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ustomProperty2.bin" ContentType="application/vnd.openxmlformats-officedocument.spreadsheetml.customProperty"/>
  <Override PartName="/xl/drawings/drawing2.xml" ContentType="application/vnd.openxmlformats-officedocument.drawing+xml"/>
  <Override PartName="/xl/customProperty3.bin" ContentType="application/vnd.openxmlformats-officedocument.spreadsheetml.customProperty"/>
  <Override PartName="/xl/drawings/drawing3.xml" ContentType="application/vnd.openxmlformats-officedocument.drawing+xml"/>
  <Override PartName="/xl/customProperty4.bin" ContentType="application/vnd.openxmlformats-officedocument.spreadsheetml.customProperty"/>
  <Override PartName="/xl/drawings/drawing4.xml" ContentType="application/vnd.openxmlformats-officedocument.drawing+xml"/>
  <Override PartName="/xl/customProperty5.bin" ContentType="application/vnd.openxmlformats-officedocument.spreadsheetml.customProperty"/>
  <Override PartName="/xl/drawings/drawing5.xml" ContentType="application/vnd.openxmlformats-officedocument.drawing+xml"/>
  <Override PartName="/xl/customProperty6.bin" ContentType="application/vnd.openxmlformats-officedocument.spreadsheetml.customProperty"/>
  <Override PartName="/xl/drawings/drawing6.xml" ContentType="application/vnd.openxmlformats-officedocument.drawing+xml"/>
  <Override PartName="/xl/customProperty7.bin" ContentType="application/vnd.openxmlformats-officedocument.spreadsheetml.customProperty"/>
  <Override PartName="/xl/drawings/drawing7.xml" ContentType="application/vnd.openxmlformats-officedocument.drawing+xml"/>
  <Override PartName="/xl/customProperty8.bin" ContentType="application/vnd.openxmlformats-officedocument.spreadsheetml.customProperty"/>
  <Override PartName="/xl/drawings/drawing8.xml" ContentType="application/vnd.openxmlformats-officedocument.drawing+xml"/>
  <Override PartName="/xl/customProperty9.bin" ContentType="application/vnd.openxmlformats-officedocument.spreadsheetml.customProperty"/>
  <Override PartName="/xl/drawings/drawing9.xml" ContentType="application/vnd.openxmlformats-officedocument.drawing+xml"/>
  <Override PartName="/xl/customProperty10.bin" ContentType="application/vnd.openxmlformats-officedocument.spreadsheetml.customProperty"/>
  <Override PartName="/xl/drawings/drawing10.xml" ContentType="application/vnd.openxmlformats-officedocument.drawing+xml"/>
  <Override PartName="/xl/customProperty11.bin" ContentType="application/vnd.openxmlformats-officedocument.spreadsheetml.customProperty"/>
  <Override PartName="/xl/drawings/drawing11.xml" ContentType="application/vnd.openxmlformats-officedocument.drawing+xml"/>
  <Override PartName="/xl/customProperty12.bin" ContentType="application/vnd.openxmlformats-officedocument.spreadsheetml.customProperty"/>
  <Override PartName="/xl/drawings/drawing12.xml" ContentType="application/vnd.openxmlformats-officedocument.drawing+xml"/>
  <Override PartName="/xl/customProperty13.bin" ContentType="application/vnd.openxmlformats-officedocument.spreadsheetml.customProperty"/>
  <Override PartName="/xl/drawings/drawing13.xml" ContentType="application/vnd.openxmlformats-officedocument.drawing+xml"/>
  <Override PartName="/xl/customProperty14.bin" ContentType="application/vnd.openxmlformats-officedocument.spreadsheetml.customProperty"/>
  <Override PartName="/xl/drawings/drawing14.xml" ContentType="application/vnd.openxmlformats-officedocument.drawing+xml"/>
  <Override PartName="/xl/customProperty15.bin" ContentType="application/vnd.openxmlformats-officedocument.spreadsheetml.customProperty"/>
  <Override PartName="/xl/drawings/drawing15.xml" ContentType="application/vnd.openxmlformats-officedocument.drawing+xml"/>
  <Override PartName="/xl/customProperty16.bin" ContentType="application/vnd.openxmlformats-officedocument.spreadsheetml.customProperty"/>
  <Override PartName="/xl/drawings/drawing16.xml" ContentType="application/vnd.openxmlformats-officedocument.drawing+xml"/>
  <Override PartName="/xl/customProperty17.bin" ContentType="application/vnd.openxmlformats-officedocument.spreadsheetml.customProperty"/>
  <Override PartName="/xl/drawings/drawing17.xml" ContentType="application/vnd.openxmlformats-officedocument.drawing+xml"/>
  <Override PartName="/xl/customProperty18.bin" ContentType="application/vnd.openxmlformats-officedocument.spreadsheetml.customProperty"/>
  <Override PartName="/xl/drawings/drawing18.xml" ContentType="application/vnd.openxmlformats-officedocument.drawing+xml"/>
  <Override PartName="/xl/customProperty19.bin" ContentType="application/vnd.openxmlformats-officedocument.spreadsheetml.customProperty"/>
  <Override PartName="/xl/drawings/drawing19.xml" ContentType="application/vnd.openxmlformats-officedocument.drawing+xml"/>
  <Override PartName="/xl/comments2.xml" ContentType="application/vnd.openxmlformats-officedocument.spreadsheetml.comments+xml"/>
  <Override PartName="/xl/customProperty20.bin" ContentType="application/vnd.openxmlformats-officedocument.spreadsheetml.customProperty"/>
  <Override PartName="/xl/drawings/drawing20.xml" ContentType="application/vnd.openxmlformats-officedocument.drawing+xml"/>
  <Override PartName="/xl/customProperty21.bin" ContentType="application/vnd.openxmlformats-officedocument.spreadsheetml.customProperty"/>
  <Override PartName="/xl/drawings/drawing21.xml" ContentType="application/vnd.openxmlformats-officedocument.drawing+xml"/>
  <Override PartName="/xl/customProperty22.bin" ContentType="application/vnd.openxmlformats-officedocument.spreadsheetml.customProperty"/>
  <Override PartName="/xl/drawings/drawing22.xml" ContentType="application/vnd.openxmlformats-officedocument.drawing+xml"/>
  <Override PartName="/xl/customProperty23.bin" ContentType="application/vnd.openxmlformats-officedocument.spreadsheetml.customProperty"/>
  <Override PartName="/xl/drawings/drawing23.xml" ContentType="application/vnd.openxmlformats-officedocument.drawing+xml"/>
  <Override PartName="/xl/customProperty24.bin" ContentType="application/vnd.openxmlformats-officedocument.spreadsheetml.customProperty"/>
  <Override PartName="/xl/drawings/drawing24.xml" ContentType="application/vnd.openxmlformats-officedocument.drawing+xml"/>
  <Override PartName="/xl/customProperty25.bin" ContentType="application/vnd.openxmlformats-officedocument.spreadsheetml.customProperty"/>
  <Override PartName="/xl/drawings/drawing25.xml" ContentType="application/vnd.openxmlformats-officedocument.drawing+xml"/>
  <Override PartName="/xl/customProperty26.bin" ContentType="application/vnd.openxmlformats-officedocument.spreadsheetml.customProperty"/>
  <Override PartName="/xl/drawings/drawing26.xml" ContentType="application/vnd.openxmlformats-officedocument.drawing+xml"/>
  <Override PartName="/xl/customProperty27.bin" ContentType="application/vnd.openxmlformats-officedocument.spreadsheetml.customProperty"/>
  <Override PartName="/xl/drawings/drawing27.xml" ContentType="application/vnd.openxmlformats-officedocument.drawing+xml"/>
  <Override PartName="/xl/customProperty28.bin" ContentType="application/vnd.openxmlformats-officedocument.spreadsheetml.customProperty"/>
  <Override PartName="/xl/drawings/drawing28.xml" ContentType="application/vnd.openxmlformats-officedocument.drawing+xml"/>
  <Override PartName="/xl/customProperty29.bin" ContentType="application/vnd.openxmlformats-officedocument.spreadsheetml.customProperty"/>
  <Override PartName="/xl/drawings/drawing29.xml" ContentType="application/vnd.openxmlformats-officedocument.drawing+xml"/>
  <Override PartName="/xl/customProperty30.bin" ContentType="application/vnd.openxmlformats-officedocument.spreadsheetml.customProperty"/>
  <Override PartName="/xl/drawings/drawing30.xml" ContentType="application/vnd.openxmlformats-officedocument.drawing+xml"/>
  <Override PartName="/xl/customProperty31.bin" ContentType="application/vnd.openxmlformats-officedocument.spreadsheetml.customProperty"/>
  <Override PartName="/xl/drawings/drawing31.xml" ContentType="application/vnd.openxmlformats-officedocument.drawing+xml"/>
  <Override PartName="/xl/customProperty32.bin" ContentType="application/vnd.openxmlformats-officedocument.spreadsheetml.customProperty"/>
  <Override PartName="/xl/drawings/drawing32.xml" ContentType="application/vnd.openxmlformats-officedocument.drawing+xml"/>
  <Override PartName="/xl/customProperty33.bin" ContentType="application/vnd.openxmlformats-officedocument.spreadsheetml.customProperty"/>
  <Override PartName="/xl/drawings/drawing33.xml" ContentType="application/vnd.openxmlformats-officedocument.drawing+xml"/>
  <Override PartName="/xl/customProperty34.bin" ContentType="application/vnd.openxmlformats-officedocument.spreadsheetml.customProperty"/>
  <Override PartName="/xl/drawings/drawing34.xml" ContentType="application/vnd.openxmlformats-officedocument.drawing+xml"/>
  <Override PartName="/xl/customProperty35.bin" ContentType="application/vnd.openxmlformats-officedocument.spreadsheetml.customProperty"/>
  <Override PartName="/xl/drawings/drawing35.xml" ContentType="application/vnd.openxmlformats-officedocument.drawing+xml"/>
  <Override PartName="/xl/customProperty36.bin" ContentType="application/vnd.openxmlformats-officedocument.spreadsheetml.customProperty"/>
  <Override PartName="/xl/drawings/drawing36.xml" ContentType="application/vnd.openxmlformats-officedocument.drawing+xml"/>
  <Override PartName="/xl/customProperty37.bin" ContentType="application/vnd.openxmlformats-officedocument.spreadsheetml.customProperty"/>
  <Override PartName="/xl/drawings/drawing37.xml" ContentType="application/vnd.openxmlformats-officedocument.drawing+xml"/>
  <Override PartName="/xl/customProperty38.bin" ContentType="application/vnd.openxmlformats-officedocument.spreadsheetml.customProperty"/>
  <Override PartName="/xl/drawings/drawing38.xml" ContentType="application/vnd.openxmlformats-officedocument.drawing+xml"/>
  <Override PartName="/xl/customProperty39.bin" ContentType="application/vnd.openxmlformats-officedocument.spreadsheetml.customProperty"/>
  <Override PartName="/xl/drawings/drawing39.xml" ContentType="application/vnd.openxmlformats-officedocument.drawing+xml"/>
  <Override PartName="/xl/customProperty40.bin" ContentType="application/vnd.openxmlformats-officedocument.spreadsheetml.customProperty"/>
  <Override PartName="/xl/drawings/drawing40.xml" ContentType="application/vnd.openxmlformats-officedocument.drawing+xml"/>
  <Override PartName="/xl/customProperty41.bin" ContentType="application/vnd.openxmlformats-officedocument.spreadsheetml.customProperty"/>
  <Override PartName="/xl/drawings/drawing41.xml" ContentType="application/vnd.openxmlformats-officedocument.drawing+xml"/>
  <Override PartName="/xl/customProperty42.bin" ContentType="application/vnd.openxmlformats-officedocument.spreadsheetml.customProperty"/>
  <Override PartName="/xl/drawings/drawing42.xml" ContentType="application/vnd.openxmlformats-officedocument.drawing+xml"/>
  <Override PartName="/xl/customProperty43.bin" ContentType="application/vnd.openxmlformats-officedocument.spreadsheetml.customProperty"/>
  <Override PartName="/xl/drawings/drawing43.xml" ContentType="application/vnd.openxmlformats-officedocument.drawing+xml"/>
  <Override PartName="/xl/customProperty44.bin" ContentType="application/vnd.openxmlformats-officedocument.spreadsheetml.customProperty"/>
  <Override PartName="/xl/drawings/drawing44.xml" ContentType="application/vnd.openxmlformats-officedocument.drawing+xml"/>
  <Override PartName="/xl/customProperty45.bin" ContentType="application/vnd.openxmlformats-officedocument.spreadsheetml.customProperty"/>
  <Override PartName="/xl/drawings/drawing4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45" yWindow="390" windowWidth="24015" windowHeight="10950" tabRatio="795" firstSheet="1" activeTab="3"/>
  </bookViews>
  <sheets>
    <sheet name="AER only" sheetId="247" state="veryHidden" r:id="rId1"/>
    <sheet name="Contents" sheetId="137" r:id="rId2"/>
    <sheet name="Instructions" sheetId="86" r:id="rId3"/>
    <sheet name="Business &amp; other details" sheetId="248" r:id="rId4"/>
    <sheet name="1. CPI" sheetId="216" r:id="rId5"/>
    <sheet name="2. Escalators" sheetId="250" r:id="rId6"/>
    <sheet name="3 - Capex summary" sheetId="203" state="hidden" r:id="rId7"/>
    <sheet name="4. Connections market expansn" sheetId="242" r:id="rId8"/>
    <sheet name="5. Mains augmentation" sheetId="205" r:id="rId9"/>
    <sheet name="6. Mains replacement" sheetId="187" r:id="rId10"/>
    <sheet name="7. Telemetry" sheetId="238" r:id="rId11"/>
    <sheet name="8. Meter replacement" sheetId="206" r:id="rId12"/>
    <sheet name="9. Other capex" sheetId="235" r:id="rId13"/>
    <sheet name="12. IT" sheetId="239" r:id="rId14"/>
    <sheet name="14. Overheads" sheetId="210" r:id="rId15"/>
    <sheet name="15. Related party transactions" sheetId="223" r:id="rId16"/>
    <sheet name="16. Capex allocation" sheetId="211" r:id="rId17"/>
    <sheet name="17. Gross Capex " sheetId="201" r:id="rId18"/>
    <sheet name="20. Changes in provisions" sheetId="217" r:id="rId19"/>
    <sheet name="21 - Indicative bill impacts" sheetId="233" r:id="rId20"/>
    <sheet name="22. WACC Inputs" sheetId="94" r:id="rId21"/>
    <sheet name="23.1 Opex incl. RPM" sheetId="218" r:id="rId22"/>
    <sheet name="23.2 Opex excl. RPM" sheetId="243" r:id="rId23"/>
    <sheet name="23.3 Opex base-step-trend" sheetId="249" r:id="rId24"/>
    <sheet name="23.4 Opex incentive mechanism" sheetId="246" r:id="rId25"/>
    <sheet name="24. Cost category matrix" sheetId="220" r:id="rId26"/>
    <sheet name="25. ARS" sheetId="221" r:id="rId27"/>
    <sheet name="26. Allocation of total revenue" sheetId="245" r:id="rId28"/>
    <sheet name="27. Customer numbers" sheetId="190" r:id="rId29"/>
    <sheet name="28. Consumption and demand" sheetId="191" r:id="rId30"/>
    <sheet name="29.1.1 Gas extenstions ($)" sheetId="259" r:id="rId31"/>
    <sheet name="29.1.2 Gas extenstions ($)" sheetId="260" r:id="rId32"/>
    <sheet name="29.1.3 Gas extenstions ($)" sheetId="261" r:id="rId33"/>
    <sheet name="29.1.4 Gas extenstions ($)" sheetId="262" r:id="rId34"/>
    <sheet name="29.2.1 Gas extenstions cust no" sheetId="252" r:id="rId35"/>
    <sheet name="29.2.2 Gas extenstions cust no" sheetId="254" r:id="rId36"/>
    <sheet name="29.2.3 Gas extenstions cust no" sheetId="256" r:id="rId37"/>
    <sheet name="29.2.4 Gas extenstions cust no" sheetId="258" r:id="rId38"/>
    <sheet name="29.3.1 Gas extensions - demand" sheetId="253" r:id="rId39"/>
    <sheet name="29.3.2 Gas extensions - demand" sheetId="255" r:id="rId40"/>
    <sheet name="29.3.3 Gas extensions - demand" sheetId="257" r:id="rId41"/>
    <sheet name="29.3.4 Gas extensions - demand" sheetId="251" r:id="rId42"/>
    <sheet name="29.4 Gas extensions - tariffs" sheetId="232" r:id="rId43"/>
    <sheet name="30. Network characteristics" sheetId="263" r:id="rId44"/>
    <sheet name="31 - Pass throughs" sheetId="224" r:id="rId45"/>
  </sheets>
  <externalReferences>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s>
  <definedNames>
    <definedName name="___INDEX_SHEET___ASAP_Utilities" localSheetId="5">#REF!</definedName>
    <definedName name="___INDEX_SHEET___ASAP_Utilities" localSheetId="23">#REF!</definedName>
    <definedName name="___INDEX_SHEET___ASAP_Utilities" localSheetId="31">#REF!</definedName>
    <definedName name="___INDEX_SHEET___ASAP_Utilities" localSheetId="32">#REF!</definedName>
    <definedName name="___INDEX_SHEET___ASAP_Utilities" localSheetId="33">#REF!</definedName>
    <definedName name="___INDEX_SHEET___ASAP_Utilities" localSheetId="41">#REF!</definedName>
    <definedName name="___INDEX_SHEET___ASAP_Utilities" localSheetId="43">#REF!</definedName>
    <definedName name="___INDEX_SHEET___ASAP_Utilities">#REF!</definedName>
    <definedName name="_xlnm._FilterDatabase" localSheetId="14" hidden="1">'14. Overheads'!$B$1:$B$86</definedName>
    <definedName name="_xlnm._FilterDatabase" localSheetId="5" hidden="1">'2. Escalators'!$C$1:$C$52</definedName>
    <definedName name="_xlnm._FilterDatabase" localSheetId="7" hidden="1">'4. Connections market expansn'!$B$1:$B$271</definedName>
    <definedName name="_xlnm._FilterDatabase" localSheetId="9" hidden="1">'6. Mains replacement'!$F$1:$F$906</definedName>
    <definedName name="_xlnm._FilterDatabase" localSheetId="10" hidden="1">'7. Telemetry'!$F$1:$F$354</definedName>
    <definedName name="_xlnm._FilterDatabase" localSheetId="11" hidden="1">'8. Meter replacement'!$C$1:$C$339</definedName>
    <definedName name="_xlnm._FilterDatabase" localSheetId="12" hidden="1">'9. Other capex'!$F$1:$F$101</definedName>
    <definedName name="_xlnm._FilterDatabase" localSheetId="0" hidden="1">'AER only'!$B$7:$AA$42</definedName>
    <definedName name="_xlnm._FilterDatabase" localSheetId="3" hidden="1">'[1]AER only'!$G$1:$G$71</definedName>
    <definedName name="anscount" hidden="1">1</definedName>
    <definedName name="CRCP">'Business &amp; other details'!$C$38:$G$38</definedName>
    <definedName name="CRCP_span" localSheetId="5">CONCATENATE('2. Escalators'!CRCP_y1, " to ",'2. Escalators'!CRCP_y5)</definedName>
    <definedName name="CRCP_span" localSheetId="23">CONCATENATE('23.3 Opex base-step-trend'!CRCP_y1, " to ",'23.3 Opex base-step-trend'!CRCP_y5)</definedName>
    <definedName name="CRCP_span" localSheetId="24">CONCATENATE([0]!CRCP_y1, " to ",[0]!CRCP_y5)</definedName>
    <definedName name="CRCP_span" localSheetId="41">CONCATENATE('29.3.4 Gas extensions - demand'!CRCP_y1, " to ",'29.3.4 Gas extensions - demand'!CRCP_y5)</definedName>
    <definedName name="CRCP_span" localSheetId="43">CONCATENATE('30. Network characteristics'!CRCP_y1, " to ",'30. Network characteristics'!CRCP_y5)</definedName>
    <definedName name="CRCP_span" comment="Generic cover sheet" localSheetId="0">CONCATENATE(CRCP_y1, " to ",CRCP_y5)</definedName>
    <definedName name="CRCP_span" comment="Generic cover sheet" localSheetId="3">CONCATENATE(CRCP_y1, " to ",CRCP_y5)</definedName>
    <definedName name="CRCP_span">CONCATENATE([0]!CRCP_y1, " to ",[0]!CRCP_y5)</definedName>
    <definedName name="CRCP_y1" localSheetId="5">'[2]Business &amp; other details'!$C$38</definedName>
    <definedName name="CRCP_y1" localSheetId="23">'[3]Business &amp; other details'!$C$38</definedName>
    <definedName name="CRCP_y1" localSheetId="43">'[4]Business &amp; other details'!$C$38</definedName>
    <definedName name="CRCP_y1">'Business &amp; other details'!$C$38</definedName>
    <definedName name="CRCP_y10">'Business &amp; other details'!$L$38</definedName>
    <definedName name="CRCP_y2" localSheetId="5">'[2]Business &amp; other details'!$D$38</definedName>
    <definedName name="CRCP_y2" localSheetId="23">'[3]Business &amp; other details'!$D$38</definedName>
    <definedName name="CRCP_y2" localSheetId="43">'[4]Business &amp; other details'!$D$38</definedName>
    <definedName name="CRCP_y2">'Business &amp; other details'!$D$38</definedName>
    <definedName name="CRCP_y3" localSheetId="5">'[2]Business &amp; other details'!$E$38</definedName>
    <definedName name="CRCP_y3" localSheetId="23">'[3]Business &amp; other details'!$E$38</definedName>
    <definedName name="CRCP_y3" localSheetId="43">'[4]Business &amp; other details'!$E$38</definedName>
    <definedName name="CRCP_y3">'Business &amp; other details'!$E$38</definedName>
    <definedName name="CRCP_y4" localSheetId="5">'[2]Business &amp; other details'!$F$38</definedName>
    <definedName name="CRCP_y4" localSheetId="23">'[3]Business &amp; other details'!$F$38</definedName>
    <definedName name="CRCP_y4" localSheetId="43">'[4]Business &amp; other details'!$F$38</definedName>
    <definedName name="CRCP_y4">'Business &amp; other details'!$F$38</definedName>
    <definedName name="CRCP_y5" localSheetId="5">'[2]Business &amp; other details'!$G$38</definedName>
    <definedName name="CRCP_y5" localSheetId="23">'[3]Business &amp; other details'!$G$38</definedName>
    <definedName name="CRCP_y5" localSheetId="43">'[4]Business &amp; other details'!$G$38</definedName>
    <definedName name="CRCP_y5">'Business &amp; other details'!$G$38</definedName>
    <definedName name="CRCP_y6" localSheetId="5">'[2]Business &amp; other details'!$H$38</definedName>
    <definedName name="CRCP_y6" localSheetId="23">'[3]Business &amp; other details'!$H$38</definedName>
    <definedName name="CRCP_y6" localSheetId="43">'[4]Business &amp; other details'!$H$38</definedName>
    <definedName name="CRCP_y6">'Business &amp; other details'!$H$38</definedName>
    <definedName name="CRCP_y7" localSheetId="5">'[2]Business &amp; other details'!$I$38</definedName>
    <definedName name="CRCP_y7" localSheetId="23">'[3]Business &amp; other details'!$I$38</definedName>
    <definedName name="CRCP_y7" localSheetId="43">'[4]Business &amp; other details'!$I$38</definedName>
    <definedName name="CRCP_y7">'Business &amp; other details'!$I$38</definedName>
    <definedName name="CRCP_y8" localSheetId="5">'[2]Business &amp; other details'!$J$38</definedName>
    <definedName name="CRCP_y8" localSheetId="23">'[3]Business &amp; other details'!$J$38</definedName>
    <definedName name="CRCP_y8" localSheetId="43">'[4]Business &amp; other details'!$J$38</definedName>
    <definedName name="CRCP_y8">'Business &amp; other details'!$J$38</definedName>
    <definedName name="CRCP_y9" localSheetId="5">'[2]Business &amp; other details'!$K$38</definedName>
    <definedName name="CRCP_y9" localSheetId="23">'[3]Business &amp; other details'!$K$38</definedName>
    <definedName name="CRCP_y9" localSheetId="43">'[4]Business &amp; other details'!$K$38</definedName>
    <definedName name="CRCP_y9">'Business &amp; other details'!$K$38</definedName>
    <definedName name="dms_0203_ProjectType">'AER only'!$N$48:$N$55</definedName>
    <definedName name="dms_020303_01_UOM">'AER only'!$O$48:$O$54</definedName>
    <definedName name="dms_020501_01_UOM">'AER only'!$P$48:$P$60</definedName>
    <definedName name="dms_020501_02_UOM">'AER only'!$Q$48:$Q$56</definedName>
    <definedName name="dms_020501_03_UOM">'AER only'!$R$48:$R$57</definedName>
    <definedName name="dms_020501_04_UOM">'AER only'!$S$48:$S$56</definedName>
    <definedName name="dms_020603_01_UOM">'AER only'!$T$48:$T$52</definedName>
    <definedName name="dms_030601_01_UOM">'AER only'!$W$48:$W$51</definedName>
    <definedName name="dms_030601_02_UOM">'AER only'!$X$48:$X$51</definedName>
    <definedName name="dms_030701_01_UOM">'AER only'!$Y$48:$Y$50</definedName>
    <definedName name="dms_030702_01_UOM">'AER only'!$Z$48:$Z$61</definedName>
    <definedName name="dms_030703_01_UOM">'AER only'!$AA$48</definedName>
    <definedName name="dms_040102_01_UOM">'AER only'!$U$48:$U$51</definedName>
    <definedName name="dms_040102_04_UOM">'AER only'!$V$48:$V$51</definedName>
    <definedName name="dms_663">'Business &amp; other details'!$C$81</definedName>
    <definedName name="dms_663_List" localSheetId="3">'AER only'!$M$8:$M$42</definedName>
    <definedName name="dms_663_List">'AER only'!$M$8:$M$42</definedName>
    <definedName name="dms_ABN">'Business &amp; other details'!$C$15</definedName>
    <definedName name="dms_ABN_List" localSheetId="3">'AER only'!$D$8:$D$42</definedName>
    <definedName name="dms_ABN_List">'AER only'!$D$8:$D$42</definedName>
    <definedName name="dms_Addr1">'Business &amp; other details'!$E$18</definedName>
    <definedName name="dms_Addr1_List" localSheetId="3">'AER only'!$O$8:$O$42</definedName>
    <definedName name="dms_Addr1_List">'AER only'!$O$8:$O$42</definedName>
    <definedName name="dms_Addr2">'Business &amp; other details'!$E$19</definedName>
    <definedName name="dms_Addr2_List" localSheetId="3">'AER only'!$P$8:$P$42</definedName>
    <definedName name="dms_Addr2_List">'AER only'!$P$8:$P$42</definedName>
    <definedName name="dms_AGN_Assets" localSheetId="31">#REF!</definedName>
    <definedName name="dms_AGN_Assets" localSheetId="32">#REF!</definedName>
    <definedName name="dms_AGN_Assets" localSheetId="33">#REF!</definedName>
    <definedName name="dms_AGN_Assets">#REF!</definedName>
    <definedName name="dms_AmendmentReason">'Business &amp; other details'!$C$52</definedName>
    <definedName name="dms_ARR">'Business &amp; other details'!$C$71</definedName>
    <definedName name="dms_CA">'Business &amp; other details'!$C$70</definedName>
    <definedName name="dms_CBD_flag">'AER only'!$AC$8:$AC$42</definedName>
    <definedName name="dms_CFinalYear_List" localSheetId="3">'AER only'!$H$66:$H$80</definedName>
    <definedName name="dms_CFinalYear_List">'AER only'!$H$66:$H$80</definedName>
    <definedName name="dms_Classification">'Business &amp; other details'!$C$60</definedName>
    <definedName name="dms_ContactEmail">'Business &amp; other details'!$C$31</definedName>
    <definedName name="dms_ContactEmail_List" localSheetId="3">'AER only'!$AA$8:$AA$42</definedName>
    <definedName name="dms_ContactEmail_List">'AER only'!$AA$8:$AA$42</definedName>
    <definedName name="dms_ContactEmail2">'Business &amp; other details'!$F$31</definedName>
    <definedName name="dms_ContactName1">'Business &amp; other details'!$C$29</definedName>
    <definedName name="dms_ContactName1_List" localSheetId="3">'AER only'!$Y$8:$Y$42</definedName>
    <definedName name="dms_ContactName1_List">'AER only'!$Y$8:$Y$42</definedName>
    <definedName name="dms_ContactName2">'Business &amp; other details'!$F$29</definedName>
    <definedName name="dms_ContactPh1">'Business &amp; other details'!$C$30</definedName>
    <definedName name="dms_ContactPh1_List" localSheetId="3">'AER only'!$Z$8:$Z$42</definedName>
    <definedName name="dms_ContactPh1_List">'AER only'!$Z$8:$Z$42</definedName>
    <definedName name="dms_ContactPh2">'Business &amp; other details'!$F$30</definedName>
    <definedName name="dms_crcp_cy1">'AER only'!$K$84</definedName>
    <definedName name="dms_crcp_cy10">'AER only'!$K$93</definedName>
    <definedName name="dms_crcp_cy11">'AER only'!$K$94</definedName>
    <definedName name="dms_crcp_cy12">'AER only'!$K$95</definedName>
    <definedName name="dms_crcp_cy13">'AER only'!$K$96</definedName>
    <definedName name="dms_crcp_cy14">'AER only'!$K$97</definedName>
    <definedName name="dms_crcp_cy15">'AER only'!$K$98</definedName>
    <definedName name="dms_crcp_cy2">'AER only'!$K$85</definedName>
    <definedName name="dms_crcp_cy3">'AER only'!$K$86</definedName>
    <definedName name="dms_crcp_cy4">'AER only'!$K$87</definedName>
    <definedName name="dms_crcp_cy5">'AER only'!$K$88</definedName>
    <definedName name="dms_crcp_cy6">'AER only'!$K$89</definedName>
    <definedName name="dms_crcp_cy7">'AER only'!$K$90</definedName>
    <definedName name="dms_crcp_cy8">'AER only'!$K$91</definedName>
    <definedName name="dms_crcp_cy9">'AER only'!$K$92</definedName>
    <definedName name="dms_CRCP_FinalYear_Ref">'Business &amp; other details'!$C$78</definedName>
    <definedName name="dms_CRCP_FinalYear_Result" localSheetId="5">'[2]Business &amp; other details'!$C$80</definedName>
    <definedName name="dms_CRCP_FinalYear_Result" localSheetId="23">'[3]Business &amp; other details'!$C$80</definedName>
    <definedName name="dms_CRCP_FinalYear_Result" localSheetId="43">'[4]Business &amp; other details'!$C$80</definedName>
    <definedName name="dms_CRCP_FinalYear_Result">'Business &amp; other details'!$C$80</definedName>
    <definedName name="dms_CRCP_FirstYear_Result" localSheetId="5">'[2]Business &amp; other details'!$C$79</definedName>
    <definedName name="dms_CRCP_FirstYear_Result" localSheetId="23">'[3]Business &amp; other details'!$C$79</definedName>
    <definedName name="dms_CRCP_FirstYear_Result" localSheetId="43">'[4]Business &amp; other details'!$C$79</definedName>
    <definedName name="dms_CRCP_FirstYear_Result">'Business &amp; other details'!$C$79</definedName>
    <definedName name="dms_CRCP_index" localSheetId="3">'AER only'!$M$66:$M$80</definedName>
    <definedName name="dms_CRCP_index">'AER only'!$M$66:$M$80</definedName>
    <definedName name="dms_CRCP_years" localSheetId="3">'AER only'!$K$66:$K$80</definedName>
    <definedName name="dms_CRCP_years">'AER only'!$K$66:$K$80</definedName>
    <definedName name="dms_CRCP_yM" localSheetId="5">'[2]AER only'!$K$79</definedName>
    <definedName name="dms_CRCP_yM" localSheetId="23">'[3]AER only'!$K$79</definedName>
    <definedName name="dms_CRCP_yM" localSheetId="43">'[4]AER only'!$K$79</definedName>
    <definedName name="dms_CRCP_yM" localSheetId="3">'AER only'!$K$79</definedName>
    <definedName name="dms_CRCP_yM">'AER only'!$K$79</definedName>
    <definedName name="dms_CRCP_yN" localSheetId="5">'[2]AER only'!$K$78</definedName>
    <definedName name="dms_CRCP_yN" localSheetId="23">'[3]AER only'!$K$78</definedName>
    <definedName name="dms_CRCP_yN" localSheetId="43">'[4]AER only'!$K$78</definedName>
    <definedName name="dms_CRCP_yN" localSheetId="3">'AER only'!$K$78</definedName>
    <definedName name="dms_CRCP_yN">'AER only'!$K$78</definedName>
    <definedName name="dms_CRCP_yO" localSheetId="5">'[2]AER only'!$K$77</definedName>
    <definedName name="dms_CRCP_yO" localSheetId="23">'[3]AER only'!$K$77</definedName>
    <definedName name="dms_CRCP_yO" localSheetId="43">'[4]AER only'!$K$77</definedName>
    <definedName name="dms_CRCP_yO" localSheetId="3">'AER only'!$K$77</definedName>
    <definedName name="dms_CRCP_yO">'AER only'!$K$77</definedName>
    <definedName name="dms_CRCP_yP" localSheetId="5">'[2]AER only'!$K$76</definedName>
    <definedName name="dms_CRCP_yP" localSheetId="23">'[3]AER only'!$K$76</definedName>
    <definedName name="dms_CRCP_yP" localSheetId="43">'[4]AER only'!$K$76</definedName>
    <definedName name="dms_CRCP_yP" localSheetId="3">'AER only'!$K$76</definedName>
    <definedName name="dms_CRCP_yP">'AER only'!$K$76</definedName>
    <definedName name="dms_CRCP_yQ" localSheetId="5">'[2]AER only'!$K$75</definedName>
    <definedName name="dms_CRCP_yQ" localSheetId="23">'[3]AER only'!$K$75</definedName>
    <definedName name="dms_CRCP_yQ" localSheetId="43">'[4]AER only'!$K$75</definedName>
    <definedName name="dms_CRCP_yQ" localSheetId="3">'AER only'!$K$75</definedName>
    <definedName name="dms_CRCP_yQ">'AER only'!$K$75</definedName>
    <definedName name="dms_CRCP_yR" localSheetId="5">'[2]AER only'!$K$74</definedName>
    <definedName name="dms_CRCP_yR" localSheetId="23">'[3]AER only'!$K$74</definedName>
    <definedName name="dms_CRCP_yR" localSheetId="43">'[4]AER only'!$K$74</definedName>
    <definedName name="dms_CRCP_yR" localSheetId="3">'AER only'!$K$74</definedName>
    <definedName name="dms_CRCP_yR">'AER only'!$K$74</definedName>
    <definedName name="dms_CRCP_yS" localSheetId="5">'[2]AER only'!$K$73</definedName>
    <definedName name="dms_CRCP_yS" localSheetId="23">'[3]AER only'!$K$73</definedName>
    <definedName name="dms_CRCP_yS" localSheetId="43">'[4]AER only'!$K$73</definedName>
    <definedName name="dms_CRCP_yS" localSheetId="3">'AER only'!$K$73</definedName>
    <definedName name="dms_CRCP_yS">'AER only'!$K$73</definedName>
    <definedName name="dms_CRCP_yT" localSheetId="5">'[2]AER only'!$K$72</definedName>
    <definedName name="dms_CRCP_yT" localSheetId="23">'[3]AER only'!$K$72</definedName>
    <definedName name="dms_CRCP_yT" localSheetId="43">'[4]AER only'!$K$72</definedName>
    <definedName name="dms_CRCP_yT" localSheetId="3">'AER only'!$K$72</definedName>
    <definedName name="dms_CRCP_yT">'AER only'!$K$72</definedName>
    <definedName name="dms_CRCP_yU" localSheetId="5">'[2]AER only'!$K$71</definedName>
    <definedName name="dms_CRCP_yU" localSheetId="23">'[3]AER only'!$K$71</definedName>
    <definedName name="dms_CRCP_yU" localSheetId="43">'[4]AER only'!$K$71</definedName>
    <definedName name="dms_CRCP_yU" localSheetId="3">'AER only'!$K$71</definedName>
    <definedName name="dms_CRCP_yU">'AER only'!$K$71</definedName>
    <definedName name="dms_CRCP_yV" localSheetId="5">'[2]AER only'!$K$70</definedName>
    <definedName name="dms_CRCP_yV" localSheetId="23">'[3]AER only'!$K$70</definedName>
    <definedName name="dms_CRCP_yV" localSheetId="43">'[4]AER only'!$K$70</definedName>
    <definedName name="dms_CRCP_yV" localSheetId="3">'AER only'!$K$70</definedName>
    <definedName name="dms_CRCP_yV">'AER only'!$K$70</definedName>
    <definedName name="dms_CRCP_yW" localSheetId="5">'[2]AER only'!$K$69</definedName>
    <definedName name="dms_CRCP_yW" localSheetId="23">'[3]AER only'!$K$69</definedName>
    <definedName name="dms_CRCP_yW" localSheetId="43">'[4]AER only'!$K$69</definedName>
    <definedName name="dms_CRCP_yW" localSheetId="3">'AER only'!$K$69</definedName>
    <definedName name="dms_CRCP_yW">'AER only'!$K$69</definedName>
    <definedName name="dms_CRCP_yX" localSheetId="5">'[2]AER only'!$K$68</definedName>
    <definedName name="dms_CRCP_yX" localSheetId="23">'[3]AER only'!$K$68</definedName>
    <definedName name="dms_CRCP_yX" localSheetId="43">'[4]AER only'!$K$68</definedName>
    <definedName name="dms_CRCP_yX" localSheetId="3">'AER only'!$K$68</definedName>
    <definedName name="dms_CRCP_yX">'AER only'!$K$68</definedName>
    <definedName name="dms_CRCP_yY" localSheetId="5">'[2]AER only'!$K$67</definedName>
    <definedName name="dms_CRCP_yY" localSheetId="23">'[3]AER only'!$K$67</definedName>
    <definedName name="dms_CRCP_yY" localSheetId="43">'[4]AER only'!$K$67</definedName>
    <definedName name="dms_CRCP_yY" localSheetId="3">'AER only'!$K$67</definedName>
    <definedName name="dms_CRCP_yY">'AER only'!$K$67</definedName>
    <definedName name="dms_CRCP_yZ" localSheetId="5">'[2]AER only'!$K$66</definedName>
    <definedName name="dms_CRCP_yZ" localSheetId="23">'[3]AER only'!$K$66</definedName>
    <definedName name="dms_CRCP_yZ" localSheetId="43">'[4]AER only'!$K$66</definedName>
    <definedName name="dms_CRCP_yZ" localSheetId="3">'AER only'!$K$66</definedName>
    <definedName name="dms_CRCP_yZ">'AER only'!$K$66</definedName>
    <definedName name="dms_CRCPlength_List" localSheetId="3">'AER only'!$K$8:$K$42</definedName>
    <definedName name="dms_CRCPlength_List">'AER only'!$K$8:$K$42</definedName>
    <definedName name="dms_CRCPlength_Num" localSheetId="5">'[2]Business &amp; other details'!$C$77</definedName>
    <definedName name="dms_CRCPlength_Num" localSheetId="23">'[3]Business &amp; other details'!$C$77</definedName>
    <definedName name="dms_CRCPlength_Num" localSheetId="43">'[4]Business &amp; other details'!$C$77</definedName>
    <definedName name="dms_CRCPlength_Num">'Business &amp; other details'!$C$77</definedName>
    <definedName name="dms_CRCPlength_Num_List" localSheetId="3">'AER only'!$G$66:$G$80</definedName>
    <definedName name="dms_CRCPlength_Num_List">'AER only'!$G$66:$G$80</definedName>
    <definedName name="dms_CRY_ListC" localSheetId="3">'AER only'!$G$84:$G$98</definedName>
    <definedName name="dms_CRY_ListC">'AER only'!$G$84:$G$98</definedName>
    <definedName name="dms_CRY_ListF" localSheetId="3">'AER only'!$F$84:$F$98</definedName>
    <definedName name="dms_CRY_ListF">'AER only'!$F$84:$F$98</definedName>
    <definedName name="dms_cy1">'AER only'!$G$84</definedName>
    <definedName name="dms_cy10">'AER only'!$G$93</definedName>
    <definedName name="dms_cy11">'AER only'!$G$94</definedName>
    <definedName name="dms_cy12">'AER only'!$G$95</definedName>
    <definedName name="dms_cy13">'AER only'!$G$96</definedName>
    <definedName name="dms_cy14">'AER only'!$G$97</definedName>
    <definedName name="dms_cy15">'AER only'!$G$98</definedName>
    <definedName name="dms_cy2">'AER only'!$G$85</definedName>
    <definedName name="dms_cy3">'AER only'!$G$86</definedName>
    <definedName name="dms_cy4">'AER only'!$G$87</definedName>
    <definedName name="dms_cy5">'AER only'!$G$88</definedName>
    <definedName name="dms_cy6">'AER only'!$G$89</definedName>
    <definedName name="dms_cy7">'AER only'!$G$90</definedName>
    <definedName name="dms_cy8">'AER only'!$G$91</definedName>
    <definedName name="dms_cy9">'AER only'!$G$92</definedName>
    <definedName name="dms_DataQuality" localSheetId="5">'[2]Business &amp; other details'!$C$51</definedName>
    <definedName name="dms_DataQuality" localSheetId="23">'[3]Business &amp; other details'!$C$51</definedName>
    <definedName name="dms_DataQuality" localSheetId="43">'[4]Business &amp; other details'!$C$51</definedName>
    <definedName name="dms_DataQuality">'Business &amp; other details'!$C$51</definedName>
    <definedName name="dms_DataQuality_List" localSheetId="3">'AER only'!$B$84:$B$88</definedName>
    <definedName name="dms_DataQuality_List">'AER only'!$B$84:$B$88</definedName>
    <definedName name="dms_Defined_Names_Used">'Business &amp; other details'!$C$88</definedName>
    <definedName name="dms_DeterminationRef_List" localSheetId="3">'AER only'!$N$8:$N$42</definedName>
    <definedName name="dms_DeterminationRef_List">'AER only'!$N$8:$N$42</definedName>
    <definedName name="dms_DollarReal" localSheetId="5">'[2]Business &amp; other details'!$C$63</definedName>
    <definedName name="dms_DollarReal" localSheetId="23">'[3]Business &amp; other details'!$C$63</definedName>
    <definedName name="dms_DollarReal" localSheetId="43">'[4]Business &amp; other details'!$C$63</definedName>
    <definedName name="dms_DollarReal">'Business &amp; other details'!$C$63</definedName>
    <definedName name="dms_EB">'Business &amp; other details'!$C$69</definedName>
    <definedName name="dms_EBSS_status" localSheetId="24">#REF!</definedName>
    <definedName name="dms_EBSS_status" localSheetId="31">#REF!</definedName>
    <definedName name="dms_EBSS_status" localSheetId="32">#REF!</definedName>
    <definedName name="dms_EBSS_status" localSheetId="33">#REF!</definedName>
    <definedName name="dms_EBSS_status" localSheetId="3">'Business &amp; other details'!$C$54</definedName>
    <definedName name="dms_EBSS_status">#REF!</definedName>
    <definedName name="dms_ESCALATOR_rows" localSheetId="5">'2. Escalators'!$B$26:$B$49</definedName>
    <definedName name="dms_ESCALATOR_rows">#REF!</definedName>
    <definedName name="dms_FeederName_1">'AER only'!$AI$8:$AI$42</definedName>
    <definedName name="dms_FeederName_2">'AER only'!$AJ$8:$AJ$42</definedName>
    <definedName name="dms_FeederName_3">'AER only'!$AK$8:$AK$42</definedName>
    <definedName name="dms_FeederName_4">'AER only'!$AL$8:$AL$42</definedName>
    <definedName name="dms_FeederName_5">'AER only'!$AM$8:$AM$42</definedName>
    <definedName name="dms_FeederType_5_flag">'AER only'!$AG$8:$AG$42</definedName>
    <definedName name="dms_FinalYear_List" localSheetId="3">'AER only'!$F$66:$F$80</definedName>
    <definedName name="dms_FinalYear_List">'AER only'!$F$66:$F$80</definedName>
    <definedName name="dms_FormControl">'Business &amp; other details'!$C$64</definedName>
    <definedName name="dms_FormControl_Choices">'AER only'!$C$66:$C$68</definedName>
    <definedName name="dms_FormControl_List" localSheetId="3">'AER only'!$H$8:$H$42</definedName>
    <definedName name="dms_FormControl_List">'AER only'!$H$8:$H$42</definedName>
    <definedName name="dms_FRCP_cyear_list">'AER only'!$L$84:$L$98</definedName>
    <definedName name="dms_frcp_fy1">'AER only'!$J$84</definedName>
    <definedName name="dms_frcp_fy10">'AER only'!$J$93</definedName>
    <definedName name="dms_frcp_fy11">'AER only'!$J$94</definedName>
    <definedName name="dms_frcp_fy12">'AER only'!$J$95</definedName>
    <definedName name="dms_frcp_fy13">'AER only'!$J$96</definedName>
    <definedName name="dms_frcp_fy14">'AER only'!$J$97</definedName>
    <definedName name="dms_frcp_fy15">'AER only'!$J$98</definedName>
    <definedName name="dms_frcp_fy2">'AER only'!$J$85</definedName>
    <definedName name="dms_frcp_fy3">'AER only'!$J$86</definedName>
    <definedName name="dms_frcp_fy4">'AER only'!$J$87</definedName>
    <definedName name="dms_frcp_fy5">'AER only'!$J$88</definedName>
    <definedName name="dms_frcp_fy6">'AER only'!$J$89</definedName>
    <definedName name="dms_frcp_fy7">'AER only'!$J$90</definedName>
    <definedName name="dms_frcp_fy8">'AER only'!$J$91</definedName>
    <definedName name="dms_frcp_fy9">'AER only'!$J$92</definedName>
    <definedName name="dms_FRCP_fyear_list">'AER only'!$I$84:$I$98</definedName>
    <definedName name="dms_FRCP_ListC" localSheetId="3">'AER only'!$K$84:$K$98</definedName>
    <definedName name="dms_FRCP_ListC">'AER only'!$K$84:$K$98</definedName>
    <definedName name="dms_FRCP_ListF" localSheetId="3">'AER only'!$J$84:$J$98</definedName>
    <definedName name="dms_FRCP_ListF">'AER only'!$J$84:$J$98</definedName>
    <definedName name="dms_FRCP_y1" localSheetId="5">'[2]AER only'!$I$66</definedName>
    <definedName name="dms_FRCP_y1" localSheetId="23">'[3]AER only'!$I$66</definedName>
    <definedName name="dms_FRCP_y1" localSheetId="43">'[4]AER only'!$I$66</definedName>
    <definedName name="dms_FRCP_y1" localSheetId="3">'AER only'!$I$66</definedName>
    <definedName name="dms_FRCP_y1">'AER only'!$I$66</definedName>
    <definedName name="dms_FRCP_y10" localSheetId="5">'[2]AER only'!$I$75</definedName>
    <definedName name="dms_FRCP_y10" localSheetId="23">'[3]AER only'!$I$75</definedName>
    <definedName name="dms_FRCP_y10" localSheetId="43">'[4]AER only'!$I$75</definedName>
    <definedName name="dms_FRCP_y10" localSheetId="3">'AER only'!$I$75</definedName>
    <definedName name="dms_FRCP_y10">'AER only'!$I$75</definedName>
    <definedName name="dms_FRCP_y11" localSheetId="5">'[2]AER only'!$I$76</definedName>
    <definedName name="dms_FRCP_y11" localSheetId="23">'[3]AER only'!$I$76</definedName>
    <definedName name="dms_FRCP_y11" localSheetId="43">'[4]AER only'!$I$76</definedName>
    <definedName name="dms_FRCP_y11" localSheetId="3">'AER only'!$I$76</definedName>
    <definedName name="dms_FRCP_y11">'AER only'!$I$76</definedName>
    <definedName name="dms_FRCP_y12" localSheetId="5">'[2]AER only'!$I$77</definedName>
    <definedName name="dms_FRCP_y12" localSheetId="23">'[3]AER only'!$I$77</definedName>
    <definedName name="dms_FRCP_y12" localSheetId="43">'[4]AER only'!$I$77</definedName>
    <definedName name="dms_FRCP_y12" localSheetId="3">'AER only'!$I$77</definedName>
    <definedName name="dms_FRCP_y12">'AER only'!$I$77</definedName>
    <definedName name="dms_FRCP_y13" localSheetId="5">'[2]AER only'!$I$78</definedName>
    <definedName name="dms_FRCP_y13" localSheetId="23">'[3]AER only'!$I$78</definedName>
    <definedName name="dms_FRCP_y13" localSheetId="43">'[4]AER only'!$I$78</definedName>
    <definedName name="dms_FRCP_y13" localSheetId="3">'AER only'!$I$78</definedName>
    <definedName name="dms_FRCP_y13">'AER only'!$I$78</definedName>
    <definedName name="dms_FRCP_y14" localSheetId="5">'[2]AER only'!$I$79</definedName>
    <definedName name="dms_FRCP_y14" localSheetId="23">'[3]AER only'!$I$79</definedName>
    <definedName name="dms_FRCP_y14" localSheetId="43">'[4]AER only'!$I$79</definedName>
    <definedName name="dms_FRCP_y14" localSheetId="3">'AER only'!$I$79</definedName>
    <definedName name="dms_FRCP_y14">'AER only'!$I$79</definedName>
    <definedName name="dms_FRCP_y2" localSheetId="5">'[2]AER only'!$I$67</definedName>
    <definedName name="dms_FRCP_y2" localSheetId="23">'[3]AER only'!$I$67</definedName>
    <definedName name="dms_FRCP_y2" localSheetId="43">'[4]AER only'!$I$67</definedName>
    <definedName name="dms_FRCP_y2" localSheetId="3">'AER only'!$I$67</definedName>
    <definedName name="dms_FRCP_y2">'AER only'!$I$67</definedName>
    <definedName name="dms_FRCP_y3" localSheetId="5">'[2]AER only'!$I$68</definedName>
    <definedName name="dms_FRCP_y3" localSheetId="23">'[3]AER only'!$I$68</definedName>
    <definedName name="dms_FRCP_y3" localSheetId="43">'[4]AER only'!$I$68</definedName>
    <definedName name="dms_FRCP_y3" localSheetId="3">'AER only'!$I$68</definedName>
    <definedName name="dms_FRCP_y3">'AER only'!$I$68</definedName>
    <definedName name="dms_FRCP_y4" localSheetId="5">'[2]AER only'!$I$69</definedName>
    <definedName name="dms_FRCP_y4" localSheetId="23">'[3]AER only'!$I$69</definedName>
    <definedName name="dms_FRCP_y4" localSheetId="43">'[4]AER only'!$I$69</definedName>
    <definedName name="dms_FRCP_y4" localSheetId="3">'AER only'!$I$69</definedName>
    <definedName name="dms_FRCP_y4">'AER only'!$I$69</definedName>
    <definedName name="dms_FRCP_y5" localSheetId="5">'[2]AER only'!$I$70</definedName>
    <definedName name="dms_FRCP_y5" localSheetId="23">'[3]AER only'!$I$70</definedName>
    <definedName name="dms_FRCP_y5" localSheetId="43">'[4]AER only'!$I$70</definedName>
    <definedName name="dms_FRCP_y5" localSheetId="3">'AER only'!$I$70</definedName>
    <definedName name="dms_FRCP_y5">'AER only'!$I$70</definedName>
    <definedName name="dms_FRCP_y6" localSheetId="5">'[2]AER only'!$I$71</definedName>
    <definedName name="dms_FRCP_y6" localSheetId="23">'[3]AER only'!$I$71</definedName>
    <definedName name="dms_FRCP_y6" localSheetId="43">'[4]AER only'!$I$71</definedName>
    <definedName name="dms_FRCP_y6" localSheetId="3">'AER only'!$I$71</definedName>
    <definedName name="dms_FRCP_y6">'AER only'!$I$71</definedName>
    <definedName name="dms_FRCP_y7" localSheetId="5">'[2]AER only'!$I$72</definedName>
    <definedName name="dms_FRCP_y7" localSheetId="23">'[3]AER only'!$I$72</definedName>
    <definedName name="dms_FRCP_y7" localSheetId="43">'[4]AER only'!$I$72</definedName>
    <definedName name="dms_FRCP_y7" localSheetId="3">'AER only'!$I$72</definedName>
    <definedName name="dms_FRCP_y7">'AER only'!$I$72</definedName>
    <definedName name="dms_FRCP_y8" localSheetId="5">'[2]AER only'!$I$73</definedName>
    <definedName name="dms_FRCP_y8" localSheetId="23">'[3]AER only'!$I$73</definedName>
    <definedName name="dms_FRCP_y8" localSheetId="43">'[4]AER only'!$I$73</definedName>
    <definedName name="dms_FRCP_y8" localSheetId="3">'AER only'!$I$73</definedName>
    <definedName name="dms_FRCP_y8">'AER only'!$I$73</definedName>
    <definedName name="dms_FRCP_y9" localSheetId="5">'[2]AER only'!$I$74</definedName>
    <definedName name="dms_FRCP_y9" localSheetId="23">'[3]AER only'!$I$74</definedName>
    <definedName name="dms_FRCP_y9" localSheetId="43">'[4]AER only'!$I$74</definedName>
    <definedName name="dms_FRCP_y9" localSheetId="3">'AER only'!$I$74</definedName>
    <definedName name="dms_FRCP_y9">'AER only'!$I$74</definedName>
    <definedName name="dms_FRCP_years">'AER only'!$I$66:$I$80</definedName>
    <definedName name="dms_FRCPlength_List" localSheetId="3">'AER only'!$L$8:$L$42</definedName>
    <definedName name="dms_FRCPlength_List">'AER only'!$L$8:$L$42</definedName>
    <definedName name="dms_FRCPlength_Num" localSheetId="5">'[2]Business &amp; other details'!$C$74</definedName>
    <definedName name="dms_FRCPlength_Num" localSheetId="23">'[3]Business &amp; other details'!$C$74</definedName>
    <definedName name="dms_FRCPlength_Num" localSheetId="43">'[4]Business &amp; other details'!$C$74</definedName>
    <definedName name="dms_FRCPlength_Num">'Business &amp; other details'!$C$74</definedName>
    <definedName name="dms_FRCPlength_Num_List" localSheetId="3">'AER only'!$E$66:$E$80</definedName>
    <definedName name="dms_FRCPlength_Num_List">'AER only'!$E$66:$E$80</definedName>
    <definedName name="dms_fy1">'AER only'!$F$84</definedName>
    <definedName name="dms_fy10">'AER only'!$F$93</definedName>
    <definedName name="dms_fy11">'AER only'!$F$94</definedName>
    <definedName name="dms_fy12">'AER only'!$F$95</definedName>
    <definedName name="dms_fy13">'AER only'!$F$96</definedName>
    <definedName name="dms_fy14">'AER only'!$F$97</definedName>
    <definedName name="dms_fy15">'AER only'!$F$98</definedName>
    <definedName name="dms_fy2">'AER only'!$F$85</definedName>
    <definedName name="dms_fy3">'AER only'!$F$86</definedName>
    <definedName name="dms_fy4">'AER only'!$F$87</definedName>
    <definedName name="dms_fy5">'AER only'!$F$88</definedName>
    <definedName name="dms_fy6">'AER only'!$F$89</definedName>
    <definedName name="dms_fy7">'AER only'!$F$90</definedName>
    <definedName name="dms_fy8">'AER only'!$F$91</definedName>
    <definedName name="dms_fy9">'AER only'!$F$92</definedName>
    <definedName name="dms_Jurisdiction">'Business &amp; other details'!$C$66</definedName>
    <definedName name="dms_JurisdictionList" localSheetId="3">'AER only'!$E$8:$E$42</definedName>
    <definedName name="dms_JurisdictionList">'AER only'!$E$8:$E$42</definedName>
    <definedName name="dms_LongRural_flag">'AER only'!$AF$8:$AF$42</definedName>
    <definedName name="dms_MAIFI_flag_List">'AER only'!$AH$8:$AH$42</definedName>
    <definedName name="dms_Model" localSheetId="5">'[2]Business &amp; other details'!$C$59</definedName>
    <definedName name="dms_Model" localSheetId="23">'[3]Business &amp; other details'!$C$59</definedName>
    <definedName name="dms_Model" localSheetId="43">'[4]Business &amp; other details'!$C$59</definedName>
    <definedName name="dms_Model">'Business &amp; other details'!$C$59</definedName>
    <definedName name="dms_Model_List" localSheetId="5">'[2]AER only'!$B$48:$B$55</definedName>
    <definedName name="dms_Model_List" localSheetId="23">'[3]AER only'!$B$48:$B$55</definedName>
    <definedName name="dms_Model_List" localSheetId="43">'[4]AER only'!$B$48:$B$55</definedName>
    <definedName name="dms_Model_List" localSheetId="3">'AER only'!$B$48:$B$55</definedName>
    <definedName name="dms_Model_List">'AER only'!$B$48:$B$55</definedName>
    <definedName name="dms_MultiYear_FinalYear_Ref" localSheetId="5">'[2]Business &amp; other details'!$C$75</definedName>
    <definedName name="dms_MultiYear_FinalYear_Ref" localSheetId="23">'[3]Business &amp; other details'!$C$75</definedName>
    <definedName name="dms_MultiYear_FinalYear_Ref" localSheetId="43">'[4]Business &amp; other details'!$C$75</definedName>
    <definedName name="dms_MultiYear_FinalYear_Ref">'Business &amp; other details'!$C$75</definedName>
    <definedName name="dms_MultiYear_FinalYear_Result" localSheetId="5">'[2]Business &amp; other details'!$C$76</definedName>
    <definedName name="dms_MultiYear_FinalYear_Result" localSheetId="23">'[3]Business &amp; other details'!$C$76</definedName>
    <definedName name="dms_MultiYear_FinalYear_Result" localSheetId="43">'[4]Business &amp; other details'!$C$76</definedName>
    <definedName name="dms_MultiYear_FinalYear_Result">'Business &amp; other details'!$C$76</definedName>
    <definedName name="dms_MultiYear_Flag" localSheetId="5">'[2]Business &amp; other details'!$C$67</definedName>
    <definedName name="dms_MultiYear_Flag" localSheetId="23">'[3]Business &amp; other details'!$C$67</definedName>
    <definedName name="dms_MultiYear_Flag" localSheetId="43">'[4]Business &amp; other details'!$C$67</definedName>
    <definedName name="dms_MultiYear_Flag">'Business &amp; other details'!$C$67</definedName>
    <definedName name="dms_PAddr1">'Business &amp; other details'!$E$23</definedName>
    <definedName name="dms_PAddr1_List" localSheetId="3">'AER only'!$T$8:$T$42</definedName>
    <definedName name="dms_PAddr1_List">'AER only'!$T$8:$T$42</definedName>
    <definedName name="dms_PAddr2">'Business &amp; other details'!$E$24</definedName>
    <definedName name="dms_PAddr2_List" localSheetId="3">'AER only'!$U$8:$U$42</definedName>
    <definedName name="dms_PAddr2_List">'AER only'!$U$8:$U$42</definedName>
    <definedName name="dms_PostCode">'Business &amp; other details'!$G$21</definedName>
    <definedName name="dms_PostCode_List" localSheetId="3">'AER only'!$S$8:$S$42</definedName>
    <definedName name="dms_PostCode_List">'AER only'!$S$8:$S$42</definedName>
    <definedName name="dms_PPostCode">'Business &amp; other details'!$G$26</definedName>
    <definedName name="dms_PPostCode_List" localSheetId="3">'AER only'!$X$8:$X$42</definedName>
    <definedName name="dms_PPostCode_List">'AER only'!$X$8:$X$42</definedName>
    <definedName name="dms_PState">'Business &amp; other details'!$E$26</definedName>
    <definedName name="dms_PState_List" localSheetId="3">'AER only'!$W$8:$W$42</definedName>
    <definedName name="dms_PState_List">'AER only'!$W$8:$W$42</definedName>
    <definedName name="dms_PSuburb">'Business &amp; other details'!$E$25</definedName>
    <definedName name="dms_PSuburb_List" localSheetId="3">'AER only'!$V$8:$V$42</definedName>
    <definedName name="dms_PSuburb_List">'AER only'!$V$8:$V$42</definedName>
    <definedName name="dms_RCP_cyear_list">'AER only'!$H$84:$H$98</definedName>
    <definedName name="dms_RCP_fyear_list">'AER only'!$E$84:$E$98</definedName>
    <definedName name="dms_Reason_Interruption">'AER only'!$AK$47:$AK$62</definedName>
    <definedName name="dms_Reason_Interruption_Detailed">'AER only'!$AJ$47:$AJ$69</definedName>
    <definedName name="dms_Reg_Year_Span" localSheetId="5">'[2]Business &amp; other details'!$B$3</definedName>
    <definedName name="dms_Reg_Year_Span" localSheetId="23">'[3]Business &amp; other details'!$B$3</definedName>
    <definedName name="dms_Reg_Year_Span" localSheetId="43">'[4]Business &amp; other details'!$B$3</definedName>
    <definedName name="dms_Reg_Year_Span">'Business &amp; other details'!$B$3</definedName>
    <definedName name="dms_RINversion">'Business &amp; other details'!$C$65</definedName>
    <definedName name="dms_RPT" localSheetId="5">'[2]Business &amp; other details'!$C$58</definedName>
    <definedName name="dms_RPT" localSheetId="23">'[3]Business &amp; other details'!$C$58</definedName>
    <definedName name="dms_RPT" localSheetId="43">'[4]Business &amp; other details'!$C$58</definedName>
    <definedName name="dms_RPT">'Business &amp; other details'!$C$58</definedName>
    <definedName name="dms_RPT_List" localSheetId="3">'AER only'!$I$8:$I$42</definedName>
    <definedName name="dms_RPT_List">'AER only'!$I$8:$I$42</definedName>
    <definedName name="dms_RPTMonth" localSheetId="5">'[2]Business &amp; other details'!$C$62</definedName>
    <definedName name="dms_RPTMonth" localSheetId="23">'[3]Business &amp; other details'!$C$62</definedName>
    <definedName name="dms_RPTMonth" localSheetId="43">'[4]Business &amp; other details'!$C$62</definedName>
    <definedName name="dms_RPTMonth">'Business &amp; other details'!$C$62</definedName>
    <definedName name="dms_RPTMonth_List" localSheetId="3">'AER only'!$J$8:$J$42</definedName>
    <definedName name="dms_RPTMonth_List">'AER only'!$J$8:$J$42</definedName>
    <definedName name="dms_RYE">'Business &amp; other details'!$C$57</definedName>
    <definedName name="dms_RYE_Formula_Result" localSheetId="3">'AER only'!$E$48:$E$55</definedName>
    <definedName name="dms_RYE_Formula_Result">'AER only'!$E$48:$E$55</definedName>
    <definedName name="dms_Sector">'Business &amp; other details'!$C$55</definedName>
    <definedName name="dms_Sector_List" localSheetId="3">'AER only'!$F$8:$F$42</definedName>
    <definedName name="dms_Sector_List">'AER only'!$F$8:$F$42</definedName>
    <definedName name="dms_Segment">'Business &amp; other details'!$C$56</definedName>
    <definedName name="dms_Segment_List" localSheetId="3">'AER only'!$G$8:$G$42</definedName>
    <definedName name="dms_Segment_List">'AER only'!$G$8:$G$42</definedName>
    <definedName name="dms_ShortRural_flag">'AER only'!$AE$8:$AE$42</definedName>
    <definedName name="dms_SingleYear_FinalYear_Ref" localSheetId="5">'[2]Business &amp; other details'!$C$72</definedName>
    <definedName name="dms_SingleYear_FinalYear_Ref" localSheetId="23">'[3]Business &amp; other details'!$C$72</definedName>
    <definedName name="dms_SingleYear_FinalYear_Ref" localSheetId="43">'[4]Business &amp; other details'!$C$72</definedName>
    <definedName name="dms_SingleYear_FinalYear_Ref">'Business &amp; other details'!$C$72</definedName>
    <definedName name="dms_SingleYear_FinalYear_Result" localSheetId="5">'[2]Business &amp; other details'!$C$73</definedName>
    <definedName name="dms_SingleYear_FinalYear_Result" localSheetId="23">'[3]Business &amp; other details'!$C$73</definedName>
    <definedName name="dms_SingleYear_FinalYear_Result" localSheetId="43">'[4]Business &amp; other details'!$C$73</definedName>
    <definedName name="dms_SingleYear_FinalYear_Result">'Business &amp; other details'!$C$73</definedName>
    <definedName name="dms_SingleYear_Model" localSheetId="5">'[2]Business &amp; other details'!$C$69:$C$71</definedName>
    <definedName name="dms_SingleYear_Model" localSheetId="23">'[3]Business &amp; other details'!$C$69:$C$71</definedName>
    <definedName name="dms_SingleYear_Model" localSheetId="43">'[4]Business &amp; other details'!$C$69:$C$71</definedName>
    <definedName name="dms_SingleYear_Model">'Business &amp; other details'!$C$69:$C$71</definedName>
    <definedName name="dms_Source">'Business &amp; other details'!$C$50</definedName>
    <definedName name="dms_SourceList" localSheetId="3">'AER only'!$B$66:$B$78</definedName>
    <definedName name="dms_SourceList">'AER only'!$B$66:$B$78</definedName>
    <definedName name="dms_Specified_FinalYear" localSheetId="5">'[2]Business &amp; other details'!$C$68</definedName>
    <definedName name="dms_Specified_FinalYear" localSheetId="23">'[3]Business &amp; other details'!$C$68</definedName>
    <definedName name="dms_Specified_FinalYear" localSheetId="43">'[4]Business &amp; other details'!$C$68</definedName>
    <definedName name="dms_Specified_FinalYear">'Business &amp; other details'!$C$68</definedName>
    <definedName name="dms_State">'Business &amp; other details'!$E$21</definedName>
    <definedName name="dms_State_List" localSheetId="3">'AER only'!$R$8:$R$42</definedName>
    <definedName name="dms_State_List">'AER only'!$R$8:$R$42</definedName>
    <definedName name="dms_STPIS_exclusions">'AER only'!$AI$71:$AI$76</definedName>
    <definedName name="dms_SubmissionDate">'Business &amp; other details'!$C$53</definedName>
    <definedName name="dms_Suburb">'Business &amp; other details'!$E$20</definedName>
    <definedName name="dms_Suburb_List" localSheetId="3">'AER only'!$Q$8:$Q$42</definedName>
    <definedName name="dms_Suburb_List">'AER only'!$Q$8:$Q$42</definedName>
    <definedName name="dms_TemplateNumber">'Business &amp; other details'!$C$61</definedName>
    <definedName name="dms_TradingName" localSheetId="5">'[2]Business &amp; other details'!$C$14</definedName>
    <definedName name="dms_TradingName" localSheetId="23">'[3]Business &amp; other details'!$C$14</definedName>
    <definedName name="dms_TradingName" localSheetId="43">'[4]Business &amp; other details'!$C$14</definedName>
    <definedName name="dms_TradingName">'Business &amp; other details'!$C$14</definedName>
    <definedName name="dms_TradingName_List" localSheetId="5">'[2]AER only'!$B$8:$B$42</definedName>
    <definedName name="dms_TradingName_List" localSheetId="23">'[3]AER only'!$B$8:$B$42</definedName>
    <definedName name="dms_TradingName_List" localSheetId="43">'[4]AER only'!$B$8:$B$42</definedName>
    <definedName name="dms_TradingName_List" localSheetId="3">'AER only'!$B$8:$B$42</definedName>
    <definedName name="dms_TradingName_List">'AER only'!$B$8:$B$42</definedName>
    <definedName name="dms_TradingNameFull">'Business &amp; other details'!$B$2</definedName>
    <definedName name="dms_TradingNameFull_List" localSheetId="5">'[2]AER only'!$C$8:$C$42</definedName>
    <definedName name="dms_TradingNameFull_List" localSheetId="23">'[3]AER only'!$C$8:$C$42</definedName>
    <definedName name="dms_TradingNameFull_List" localSheetId="43">'[4]AER only'!$C$8:$C$42</definedName>
    <definedName name="dms_TradingNameFull_List" localSheetId="3">'AER only'!$C$8:$C$42</definedName>
    <definedName name="dms_TradingNameFull_List">'AER only'!$C$8:$C$42</definedName>
    <definedName name="dms_Urban_flag">'AER only'!$AD$8:$AD$42</definedName>
    <definedName name="dms_Worksheet_List" localSheetId="5">'[2]AER only'!$C$48:$C$55</definedName>
    <definedName name="dms_Worksheet_List" localSheetId="23">'[3]AER only'!$C$48:$C$55</definedName>
    <definedName name="dms_Worksheet_List" localSheetId="43">'[4]AER only'!$C$48:$C$55</definedName>
    <definedName name="dms_Worksheet_List" localSheetId="3">'AER only'!$C$48:$C$55</definedName>
    <definedName name="dms_Worksheet_List">'AER only'!$C$48:$C$55</definedName>
    <definedName name="EBSS" localSheetId="24">'23.4 Opex incentive mechanism'!$B$1</definedName>
    <definedName name="FRCP" localSheetId="5">'[2]Business &amp; other details'!$C$35:$G$35</definedName>
    <definedName name="FRCP" localSheetId="23">'[3]Business &amp; other details'!$C$35:$G$35</definedName>
    <definedName name="FRCP" localSheetId="43">'[4]Business &amp; other details'!$C$35:$G$35</definedName>
    <definedName name="FRCP">'Business &amp; other details'!$C$35:$G$35</definedName>
    <definedName name="FRCP_1to5">"2015-16 to 2019-20"</definedName>
    <definedName name="FRCP_span" localSheetId="5">CONCATENATE('2. Escalators'!FRCP_y1, " to ", '2. Escalators'!FRCP_y5)</definedName>
    <definedName name="FRCP_span" localSheetId="23">CONCATENATE('23.3 Opex base-step-trend'!FRCP_y1, " to ", '23.3 Opex base-step-trend'!FRCP_y5)</definedName>
    <definedName name="FRCP_span" localSheetId="24">CONCATENATE([0]!FRCP_y1, " to ", [0]!FRCP_y5)</definedName>
    <definedName name="FRCP_span" localSheetId="41">CONCATENATE('29.3.4 Gas extensions - demand'!FRCP_y1, " to ", '29.3.4 Gas extensions - demand'!FRCP_y5)</definedName>
    <definedName name="FRCP_span" localSheetId="43">CONCATENATE('30. Network characteristics'!FRCP_y1, " to ", '30. Network characteristics'!FRCP_y5)</definedName>
    <definedName name="FRCP_span" comment="Generic cover sheet" localSheetId="0">CONCATENATE(FRCP_y1, " to ", FRCP_y5)</definedName>
    <definedName name="FRCP_span" comment="Generic cover sheet" localSheetId="3">CONCATENATE(FRCP_y1, " to ", FRCP_y5)</definedName>
    <definedName name="FRCP_span">CONCATENATE(FRCP_y1, " to ", FRCP_y5)</definedName>
    <definedName name="FRCP_y1" localSheetId="5">'[2]Business &amp; other details'!$C$35</definedName>
    <definedName name="FRCP_y1" localSheetId="23">'[3]Business &amp; other details'!$C$35</definedName>
    <definedName name="FRCP_y1" localSheetId="43">'[4]Business &amp; other details'!$C$35</definedName>
    <definedName name="FRCP_y1">'Business &amp; other details'!$C$35</definedName>
    <definedName name="FRCP_y10">'Business &amp; other details'!$L$35</definedName>
    <definedName name="FRCP_y2" localSheetId="5">'[2]Business &amp; other details'!$D$35</definedName>
    <definedName name="FRCP_y2" localSheetId="23">'[3]Business &amp; other details'!$D$35</definedName>
    <definedName name="FRCP_y2" localSheetId="43">'[4]Business &amp; other details'!$D$35</definedName>
    <definedName name="FRCP_y2">'Business &amp; other details'!$D$35</definedName>
    <definedName name="FRCP_y3" localSheetId="5">'[2]Business &amp; other details'!$E$35</definedName>
    <definedName name="FRCP_y3" localSheetId="23">'[3]Business &amp; other details'!$E$35</definedName>
    <definedName name="FRCP_y3" localSheetId="43">'[4]Business &amp; other details'!$E$35</definedName>
    <definedName name="FRCP_y3">'Business &amp; other details'!$E$35</definedName>
    <definedName name="FRCP_y4" localSheetId="5">'[2]Business &amp; other details'!$F$35</definedName>
    <definedName name="FRCP_y4" localSheetId="23">'[3]Business &amp; other details'!$F$35</definedName>
    <definedName name="FRCP_y4" localSheetId="43">'[4]Business &amp; other details'!$F$35</definedName>
    <definedName name="FRCP_y4">'Business &amp; other details'!$F$35</definedName>
    <definedName name="FRCP_y5" localSheetId="5">'[2]Business &amp; other details'!$G$35</definedName>
    <definedName name="FRCP_y5" localSheetId="23">'[3]Business &amp; other details'!$G$35</definedName>
    <definedName name="FRCP_y5" localSheetId="43">'[4]Business &amp; other details'!$G$35</definedName>
    <definedName name="FRCP_y5">'Business &amp; other details'!$G$35</definedName>
    <definedName name="FRCP_y6">'Business &amp; other details'!$H$35</definedName>
    <definedName name="FRCP_y7">'Business &amp; other details'!$I$35</definedName>
    <definedName name="FRCP_y8">'Business &amp; other details'!$J$35</definedName>
    <definedName name="FRCP_y9">'Business &amp; other details'!$K$35</definedName>
    <definedName name="MAIFI_flag">'AER only'!$AH$6</definedName>
    <definedName name="OLE_LINK1" localSheetId="21">'23.1 Opex incl. RPM'!$B$50</definedName>
    <definedName name="PRCP" localSheetId="5">'[2]Business &amp; other details'!$C$41:$G$41</definedName>
    <definedName name="PRCP" localSheetId="23">'[3]Business &amp; other details'!$C$41:$G$41</definedName>
    <definedName name="PRCP" localSheetId="43">'[4]Business &amp; other details'!$C$41:$G$41</definedName>
    <definedName name="PRCP">'Business &amp; other details'!$C$41:$G$41</definedName>
    <definedName name="PRCP_y1" localSheetId="5">'[2]Business &amp; other details'!$C$41</definedName>
    <definedName name="PRCP_y1" localSheetId="23">'[3]Business &amp; other details'!$C$41</definedName>
    <definedName name="PRCP_y1" localSheetId="43">'[4]Business &amp; other details'!$C$41</definedName>
    <definedName name="PRCP_y1">'Business &amp; other details'!$C$41</definedName>
    <definedName name="PRCP_y2" localSheetId="5">'[2]Business &amp; other details'!$D$41</definedName>
    <definedName name="PRCP_y2" localSheetId="23">'[3]Business &amp; other details'!$D$41</definedName>
    <definedName name="PRCP_y2" localSheetId="43">'[4]Business &amp; other details'!$D$41</definedName>
    <definedName name="PRCP_y2">'Business &amp; other details'!$D$41</definedName>
    <definedName name="PRCP_y3" localSheetId="5">'[2]Business &amp; other details'!$E$41</definedName>
    <definedName name="PRCP_y3" localSheetId="23">'[3]Business &amp; other details'!$E$41</definedName>
    <definedName name="PRCP_y3" localSheetId="43">'[4]Business &amp; other details'!$E$41</definedName>
    <definedName name="PRCP_y3">'Business &amp; other details'!$E$41</definedName>
    <definedName name="PRCP_y4" localSheetId="5">'[2]Business &amp; other details'!$F$41</definedName>
    <definedName name="PRCP_y4" localSheetId="23">'[3]Business &amp; other details'!$F$41</definedName>
    <definedName name="PRCP_y4" localSheetId="43">'[4]Business &amp; other details'!$F$41</definedName>
    <definedName name="PRCP_y4">'Business &amp; other details'!$F$41</definedName>
    <definedName name="PRCP_y5" localSheetId="5">'[2]Business &amp; other details'!$G$41</definedName>
    <definedName name="PRCP_y5" localSheetId="23">'[3]Business &amp; other details'!$G$41</definedName>
    <definedName name="PRCP_y5" localSheetId="43">'[4]Business &amp; other details'!$G$41</definedName>
    <definedName name="PRCP_y5">'Business &amp; other details'!$G$41</definedName>
    <definedName name="_xlnm.Print_Area" localSheetId="17">'17. Gross Capex '!$B$18:$Q$19</definedName>
    <definedName name="_xlnm.Print_Area" localSheetId="24">'23.4 Opex incentive mechanism'!$C$1:$AG$80</definedName>
    <definedName name="_xlnm.Print_Area" localSheetId="1">Contents!$A$1:$O$40</definedName>
    <definedName name="RCP_1to5">"2015-16 to 2019-20"</definedName>
    <definedName name="SheetHeader" localSheetId="5">'[2]Business &amp; other details'!$B$1</definedName>
    <definedName name="SheetHeader" localSheetId="23">'[3]Business &amp; other details'!$B$1</definedName>
    <definedName name="SheetHeader" localSheetId="43">'[4]Business &amp; other details'!$B$1</definedName>
    <definedName name="SheetHeader">'Business &amp; other details'!$B$1</definedName>
    <definedName name="Years">'Business &amp; other details'!$C$38:$H$38</definedName>
    <definedName name="Z_70D595AD_AEC5_4236_BEEA_8B1F11A9C0EB_.wvu.PrintArea" localSheetId="17" hidden="1">'17. Gross Capex '!$B$18:$L$19</definedName>
    <definedName name="Z_9E68353C_A777_4F31_B10F_800632648195_.wvu.PrintArea" localSheetId="17" hidden="1">'17. Gross Capex '!$B$18:$L$19</definedName>
    <definedName name="Z_B71BDC4E_7246_482B_AFA3_F08BF8B63C7B_.wvu.PrintArea" localSheetId="17" hidden="1">'17. Gross Capex '!$B$18:$L$19</definedName>
  </definedNames>
  <calcPr calcId="145621"/>
</workbook>
</file>

<file path=xl/calcChain.xml><?xml version="1.0" encoding="utf-8"?>
<calcChain xmlns="http://schemas.openxmlformats.org/spreadsheetml/2006/main">
  <c r="N840" i="187" l="1"/>
  <c r="M840" i="187"/>
  <c r="L840" i="187"/>
  <c r="M263" i="242"/>
  <c r="L503" i="206" l="1"/>
  <c r="L514" i="206"/>
  <c r="L525" i="206"/>
  <c r="L536" i="206"/>
  <c r="L547" i="206"/>
  <c r="L558" i="206"/>
  <c r="L569" i="206"/>
  <c r="L580" i="206"/>
  <c r="L591" i="206"/>
  <c r="L602" i="206"/>
  <c r="L613" i="206"/>
  <c r="L624" i="206"/>
  <c r="L921" i="206"/>
  <c r="L910" i="206"/>
  <c r="L899" i="206"/>
  <c r="L888" i="206"/>
  <c r="L877" i="206"/>
  <c r="L866" i="206"/>
  <c r="L855" i="206"/>
  <c r="L844" i="206"/>
  <c r="L833" i="206"/>
  <c r="L822" i="206"/>
  <c r="L811" i="206"/>
  <c r="L800" i="206"/>
  <c r="L789" i="206"/>
  <c r="L778" i="206"/>
  <c r="L767" i="206"/>
  <c r="L756" i="206"/>
  <c r="L745" i="206"/>
  <c r="L734" i="206"/>
  <c r="L723" i="206"/>
  <c r="L712" i="206"/>
  <c r="L701" i="206"/>
  <c r="L690" i="206"/>
  <c r="L679" i="206"/>
  <c r="L668" i="206"/>
  <c r="L657" i="206"/>
  <c r="L646" i="206"/>
  <c r="L635" i="206"/>
  <c r="J635" i="206"/>
  <c r="K635" i="206"/>
  <c r="H801" i="187"/>
  <c r="I801" i="187"/>
  <c r="J801" i="187"/>
  <c r="K801" i="187"/>
  <c r="G801" i="187"/>
  <c r="G892" i="187"/>
  <c r="C53" i="94" l="1"/>
  <c r="C44" i="94"/>
  <c r="H123" i="211"/>
  <c r="I226" i="235"/>
  <c r="K226" i="235"/>
  <c r="L226" i="235"/>
  <c r="M226" i="235"/>
  <c r="N226" i="235"/>
  <c r="H224" i="235"/>
  <c r="H226" i="235" s="1"/>
  <c r="I224" i="235"/>
  <c r="J224" i="235"/>
  <c r="J226" i="235" s="1"/>
  <c r="K224" i="235"/>
  <c r="L224" i="235"/>
  <c r="M224" i="235"/>
  <c r="N224" i="235"/>
  <c r="G224" i="235"/>
  <c r="G226" i="235" s="1"/>
  <c r="I90" i="211"/>
  <c r="H90" i="211"/>
  <c r="G90" i="211"/>
  <c r="F90" i="211"/>
  <c r="E90" i="211"/>
  <c r="D90" i="211"/>
  <c r="C90" i="211"/>
  <c r="J90" i="211"/>
  <c r="L489" i="206"/>
  <c r="K489" i="206"/>
  <c r="J489" i="206"/>
  <c r="I489" i="206"/>
  <c r="L481" i="206"/>
  <c r="K481" i="206"/>
  <c r="J481" i="206"/>
  <c r="I481" i="206"/>
  <c r="L473" i="206"/>
  <c r="K473" i="206"/>
  <c r="J473" i="206"/>
  <c r="I473" i="206"/>
  <c r="L465" i="206"/>
  <c r="K465" i="206"/>
  <c r="J465" i="206"/>
  <c r="I465" i="206"/>
  <c r="L457" i="206"/>
  <c r="K457" i="206"/>
  <c r="J457" i="206"/>
  <c r="I457" i="206"/>
  <c r="L449" i="206"/>
  <c r="K449" i="206"/>
  <c r="J449" i="206"/>
  <c r="I449" i="206"/>
  <c r="L441" i="206"/>
  <c r="K441" i="206"/>
  <c r="J441" i="206"/>
  <c r="I441" i="206"/>
  <c r="L433" i="206"/>
  <c r="K433" i="206"/>
  <c r="J433" i="206"/>
  <c r="I433" i="206"/>
  <c r="L425" i="206"/>
  <c r="K425" i="206"/>
  <c r="J425" i="206"/>
  <c r="I425" i="206"/>
  <c r="L417" i="206"/>
  <c r="K417" i="206"/>
  <c r="J417" i="206"/>
  <c r="I417" i="206"/>
  <c r="L409" i="206"/>
  <c r="K409" i="206"/>
  <c r="J409" i="206"/>
  <c r="I409" i="206"/>
  <c r="L401" i="206"/>
  <c r="K401" i="206"/>
  <c r="J401" i="206"/>
  <c r="I401" i="206"/>
  <c r="L393" i="206"/>
  <c r="K393" i="206"/>
  <c r="J393" i="206"/>
  <c r="I393" i="206"/>
  <c r="L385" i="206"/>
  <c r="K385" i="206"/>
  <c r="J385" i="206"/>
  <c r="I385" i="206"/>
  <c r="L377" i="206"/>
  <c r="K377" i="206"/>
  <c r="J377" i="206"/>
  <c r="I377" i="206"/>
  <c r="L369" i="206"/>
  <c r="K369" i="206"/>
  <c r="J369" i="206"/>
  <c r="I369" i="206"/>
  <c r="L361" i="206"/>
  <c r="K361" i="206"/>
  <c r="J361" i="206"/>
  <c r="I361" i="206"/>
  <c r="L353" i="206"/>
  <c r="K353" i="206"/>
  <c r="J353" i="206"/>
  <c r="I353" i="206"/>
  <c r="L345" i="206"/>
  <c r="K345" i="206"/>
  <c r="J345" i="206"/>
  <c r="I345" i="206"/>
  <c r="L337" i="206"/>
  <c r="L339" i="206"/>
  <c r="K337" i="206"/>
  <c r="K339" i="206"/>
  <c r="J337" i="206"/>
  <c r="I337" i="206"/>
  <c r="I339" i="206"/>
  <c r="J339" i="206"/>
  <c r="L329" i="206"/>
  <c r="K329" i="206"/>
  <c r="J329" i="206"/>
  <c r="I329" i="206"/>
  <c r="J321" i="206"/>
  <c r="K321" i="206"/>
  <c r="L321" i="206"/>
  <c r="J54" i="211"/>
  <c r="I54" i="211"/>
  <c r="H54" i="211"/>
  <c r="G54" i="211"/>
  <c r="F54" i="211"/>
  <c r="E54" i="211"/>
  <c r="D54" i="211"/>
  <c r="C54" i="211"/>
  <c r="C168" i="242"/>
  <c r="F27" i="259"/>
  <c r="E27" i="259"/>
  <c r="D27" i="259"/>
  <c r="F27" i="260"/>
  <c r="E27" i="260"/>
  <c r="D27" i="260"/>
  <c r="F27" i="261"/>
  <c r="E27" i="261"/>
  <c r="D27" i="261"/>
  <c r="AA27" i="262"/>
  <c r="Z27" i="262"/>
  <c r="Y27" i="262"/>
  <c r="X27" i="262"/>
  <c r="W27" i="262"/>
  <c r="V27" i="262"/>
  <c r="U27" i="262"/>
  <c r="T27" i="262"/>
  <c r="S27" i="262"/>
  <c r="R27" i="262"/>
  <c r="Q27" i="262"/>
  <c r="P27" i="262"/>
  <c r="O27" i="262"/>
  <c r="N27" i="262"/>
  <c r="M27" i="262"/>
  <c r="L27" i="262"/>
  <c r="K27" i="262"/>
  <c r="J27" i="262"/>
  <c r="I27" i="262"/>
  <c r="H27" i="262"/>
  <c r="F27" i="262"/>
  <c r="E27" i="262"/>
  <c r="D27" i="262"/>
  <c r="G27" i="262"/>
  <c r="AA25" i="262"/>
  <c r="Z25" i="262"/>
  <c r="Y25" i="262"/>
  <c r="X25" i="262"/>
  <c r="W25" i="262"/>
  <c r="V25" i="262"/>
  <c r="U25" i="262"/>
  <c r="T25" i="262"/>
  <c r="S25" i="262"/>
  <c r="R25" i="262"/>
  <c r="Q25" i="262"/>
  <c r="P25" i="262"/>
  <c r="O25" i="262"/>
  <c r="N25" i="262"/>
  <c r="M25" i="262"/>
  <c r="L25" i="262"/>
  <c r="K25" i="262"/>
  <c r="J25" i="262"/>
  <c r="I25" i="262"/>
  <c r="H25" i="262"/>
  <c r="F25" i="262"/>
  <c r="E25" i="262"/>
  <c r="D25" i="262"/>
  <c r="G25" i="262"/>
  <c r="O77" i="232"/>
  <c r="P77" i="232"/>
  <c r="Q77" i="232"/>
  <c r="R77" i="232"/>
  <c r="S77" i="232"/>
  <c r="T77" i="232"/>
  <c r="U77" i="232"/>
  <c r="V77" i="232"/>
  <c r="W77" i="232"/>
  <c r="X77" i="232"/>
  <c r="Y77" i="232"/>
  <c r="Z77" i="232"/>
  <c r="AA77" i="232"/>
  <c r="AB77" i="232"/>
  <c r="AC77" i="232"/>
  <c r="O76" i="232"/>
  <c r="P76" i="232"/>
  <c r="Q76" i="232"/>
  <c r="R76" i="232"/>
  <c r="S76" i="232"/>
  <c r="T76" i="232"/>
  <c r="U76" i="232"/>
  <c r="V76" i="232"/>
  <c r="W76" i="232"/>
  <c r="X76" i="232"/>
  <c r="Y76" i="232"/>
  <c r="Z76" i="232"/>
  <c r="AA76" i="232"/>
  <c r="AB76" i="232"/>
  <c r="AC76" i="232"/>
  <c r="O75" i="232"/>
  <c r="P75" i="232"/>
  <c r="Q75" i="232"/>
  <c r="R75" i="232"/>
  <c r="S75" i="232"/>
  <c r="T75" i="232"/>
  <c r="U75" i="232"/>
  <c r="V75" i="232"/>
  <c r="W75" i="232"/>
  <c r="X75" i="232"/>
  <c r="Y75" i="232"/>
  <c r="Z75" i="232"/>
  <c r="AA75" i="232"/>
  <c r="AB75" i="232"/>
  <c r="AC75" i="232"/>
  <c r="O74" i="232"/>
  <c r="P74" i="232"/>
  <c r="Q74" i="232"/>
  <c r="R74" i="232"/>
  <c r="S74" i="232"/>
  <c r="T74" i="232"/>
  <c r="U74" i="232"/>
  <c r="V74" i="232"/>
  <c r="W74" i="232"/>
  <c r="X74" i="232"/>
  <c r="Y74" i="232"/>
  <c r="Z74" i="232"/>
  <c r="AA74" i="232"/>
  <c r="AB74" i="232"/>
  <c r="AC74" i="232"/>
  <c r="O73" i="232"/>
  <c r="P73" i="232"/>
  <c r="Q73" i="232"/>
  <c r="R73" i="232"/>
  <c r="S73" i="232"/>
  <c r="T73" i="232"/>
  <c r="U73" i="232"/>
  <c r="V73" i="232"/>
  <c r="W73" i="232"/>
  <c r="X73" i="232"/>
  <c r="Y73" i="232"/>
  <c r="Z73" i="232"/>
  <c r="AA73" i="232"/>
  <c r="AB73" i="232"/>
  <c r="AC73" i="232"/>
  <c r="O72" i="232"/>
  <c r="P72" i="232"/>
  <c r="Q72" i="232"/>
  <c r="R72" i="232"/>
  <c r="S72" i="232"/>
  <c r="T72" i="232"/>
  <c r="U72" i="232"/>
  <c r="V72" i="232"/>
  <c r="W72" i="232"/>
  <c r="X72" i="232"/>
  <c r="Y72" i="232"/>
  <c r="Z72" i="232"/>
  <c r="AA72" i="232"/>
  <c r="AB72" i="232"/>
  <c r="AC72" i="232"/>
  <c r="O71" i="232"/>
  <c r="P71" i="232"/>
  <c r="Q71" i="232"/>
  <c r="R71" i="232"/>
  <c r="S71" i="232"/>
  <c r="T71" i="232"/>
  <c r="U71" i="232"/>
  <c r="V71" i="232"/>
  <c r="W71" i="232"/>
  <c r="X71" i="232"/>
  <c r="Y71" i="232"/>
  <c r="Z71" i="232"/>
  <c r="AA71" i="232"/>
  <c r="AB71" i="232"/>
  <c r="AC71" i="232"/>
  <c r="O70" i="232"/>
  <c r="P70" i="232"/>
  <c r="Q70" i="232"/>
  <c r="R70" i="232"/>
  <c r="S70" i="232"/>
  <c r="T70" i="232"/>
  <c r="U70" i="232"/>
  <c r="V70" i="232"/>
  <c r="W70" i="232"/>
  <c r="X70" i="232"/>
  <c r="Y70" i="232"/>
  <c r="Z70" i="232"/>
  <c r="AA70" i="232"/>
  <c r="AB70" i="232"/>
  <c r="AC70" i="232"/>
  <c r="O69" i="232"/>
  <c r="P69" i="232"/>
  <c r="Q69" i="232"/>
  <c r="R69" i="232"/>
  <c r="S69" i="232"/>
  <c r="T69" i="232"/>
  <c r="U69" i="232"/>
  <c r="V69" i="232"/>
  <c r="W69" i="232"/>
  <c r="X69" i="232"/>
  <c r="Y69" i="232"/>
  <c r="Z69" i="232"/>
  <c r="AA69" i="232"/>
  <c r="AB69" i="232"/>
  <c r="AC69" i="232"/>
  <c r="O68" i="232"/>
  <c r="P68" i="232"/>
  <c r="Q68" i="232"/>
  <c r="R68" i="232"/>
  <c r="S68" i="232"/>
  <c r="T68" i="232"/>
  <c r="U68" i="232"/>
  <c r="V68" i="232"/>
  <c r="W68" i="232"/>
  <c r="X68" i="232"/>
  <c r="Y68" i="232"/>
  <c r="Z68" i="232"/>
  <c r="AA68" i="232"/>
  <c r="AB68" i="232"/>
  <c r="AC68" i="232"/>
  <c r="O67" i="232"/>
  <c r="P67" i="232"/>
  <c r="Q67" i="232"/>
  <c r="R67" i="232"/>
  <c r="S67" i="232"/>
  <c r="T67" i="232"/>
  <c r="U67" i="232"/>
  <c r="V67" i="232"/>
  <c r="W67" i="232"/>
  <c r="X67" i="232"/>
  <c r="Y67" i="232"/>
  <c r="Z67" i="232"/>
  <c r="AA67" i="232"/>
  <c r="AB67" i="232"/>
  <c r="AC67" i="232"/>
  <c r="O66" i="232"/>
  <c r="P66" i="232"/>
  <c r="Q66" i="232"/>
  <c r="R66" i="232"/>
  <c r="S66" i="232"/>
  <c r="T66" i="232"/>
  <c r="U66" i="232"/>
  <c r="V66" i="232"/>
  <c r="W66" i="232"/>
  <c r="X66" i="232"/>
  <c r="Y66" i="232"/>
  <c r="Z66" i="232"/>
  <c r="AA66" i="232"/>
  <c r="AB66" i="232"/>
  <c r="AC66" i="232"/>
  <c r="O65" i="232"/>
  <c r="P65" i="232"/>
  <c r="Q65" i="232"/>
  <c r="R65" i="232"/>
  <c r="S65" i="232"/>
  <c r="T65" i="232"/>
  <c r="U65" i="232"/>
  <c r="V65" i="232"/>
  <c r="W65" i="232"/>
  <c r="X65" i="232"/>
  <c r="Y65" i="232"/>
  <c r="Z65" i="232"/>
  <c r="AA65" i="232"/>
  <c r="AB65" i="232"/>
  <c r="AC65" i="232"/>
  <c r="O64" i="232"/>
  <c r="P64" i="232"/>
  <c r="Q64" i="232"/>
  <c r="R64" i="232"/>
  <c r="S64" i="232"/>
  <c r="T64" i="232"/>
  <c r="U64" i="232"/>
  <c r="V64" i="232"/>
  <c r="W64" i="232"/>
  <c r="X64" i="232"/>
  <c r="Y64" i="232"/>
  <c r="Z64" i="232"/>
  <c r="AA64" i="232"/>
  <c r="AB64" i="232"/>
  <c r="AC64" i="232"/>
  <c r="O63" i="232"/>
  <c r="P63" i="232"/>
  <c r="Q63" i="232"/>
  <c r="R63" i="232"/>
  <c r="S63" i="232"/>
  <c r="T63" i="232"/>
  <c r="U63" i="232"/>
  <c r="V63" i="232"/>
  <c r="W63" i="232"/>
  <c r="X63" i="232"/>
  <c r="Y63" i="232"/>
  <c r="Z63" i="232"/>
  <c r="AA63" i="232"/>
  <c r="AB63" i="232"/>
  <c r="AC63" i="232"/>
  <c r="O62" i="232"/>
  <c r="P62" i="232"/>
  <c r="Q62" i="232"/>
  <c r="R62" i="232"/>
  <c r="S62" i="232"/>
  <c r="T62" i="232"/>
  <c r="U62" i="232"/>
  <c r="V62" i="232"/>
  <c r="W62" i="232"/>
  <c r="X62" i="232"/>
  <c r="Y62" i="232"/>
  <c r="Z62" i="232"/>
  <c r="AA62" i="232"/>
  <c r="AB62" i="232"/>
  <c r="AC62" i="232"/>
  <c r="O61" i="232"/>
  <c r="P61" i="232"/>
  <c r="Q61" i="232"/>
  <c r="R61" i="232"/>
  <c r="S61" i="232"/>
  <c r="T61" i="232"/>
  <c r="U61" i="232"/>
  <c r="V61" i="232"/>
  <c r="W61" i="232"/>
  <c r="X61" i="232"/>
  <c r="Y61" i="232"/>
  <c r="Z61" i="232"/>
  <c r="AA61" i="232"/>
  <c r="AB61" i="232"/>
  <c r="AC61" i="232"/>
  <c r="O60" i="232"/>
  <c r="P60" i="232"/>
  <c r="Q60" i="232"/>
  <c r="R60" i="232"/>
  <c r="S60" i="232"/>
  <c r="T60" i="232"/>
  <c r="U60" i="232"/>
  <c r="V60" i="232"/>
  <c r="W60" i="232"/>
  <c r="X60" i="232"/>
  <c r="Y60" i="232"/>
  <c r="Z60" i="232"/>
  <c r="AA60" i="232"/>
  <c r="AB60" i="232"/>
  <c r="AC60" i="232"/>
  <c r="O43" i="232"/>
  <c r="P43" i="232"/>
  <c r="Q43" i="232"/>
  <c r="R43" i="232"/>
  <c r="S43" i="232"/>
  <c r="T43" i="232"/>
  <c r="U43" i="232"/>
  <c r="V43" i="232"/>
  <c r="W43" i="232"/>
  <c r="X43" i="232"/>
  <c r="Y43" i="232"/>
  <c r="Z43" i="232"/>
  <c r="AA43" i="232"/>
  <c r="AB43" i="232"/>
  <c r="AC43" i="232"/>
  <c r="O42" i="232"/>
  <c r="P42" i="232"/>
  <c r="Q42" i="232"/>
  <c r="R42" i="232"/>
  <c r="S42" i="232"/>
  <c r="T42" i="232"/>
  <c r="U42" i="232"/>
  <c r="V42" i="232"/>
  <c r="W42" i="232"/>
  <c r="X42" i="232"/>
  <c r="Y42" i="232"/>
  <c r="Z42" i="232"/>
  <c r="AA42" i="232"/>
  <c r="AB42" i="232"/>
  <c r="AC42" i="232"/>
  <c r="O41" i="232"/>
  <c r="P41" i="232"/>
  <c r="Q41" i="232"/>
  <c r="R41" i="232"/>
  <c r="S41" i="232"/>
  <c r="T41" i="232"/>
  <c r="U41" i="232"/>
  <c r="V41" i="232"/>
  <c r="W41" i="232"/>
  <c r="X41" i="232"/>
  <c r="Y41" i="232"/>
  <c r="Z41" i="232"/>
  <c r="AA41" i="232"/>
  <c r="AB41" i="232"/>
  <c r="AC41" i="232"/>
  <c r="O40" i="232"/>
  <c r="P40" i="232"/>
  <c r="Q40" i="232"/>
  <c r="R40" i="232"/>
  <c r="S40" i="232"/>
  <c r="T40" i="232"/>
  <c r="U40" i="232"/>
  <c r="V40" i="232"/>
  <c r="W40" i="232"/>
  <c r="X40" i="232"/>
  <c r="Y40" i="232"/>
  <c r="Z40" i="232"/>
  <c r="AA40" i="232"/>
  <c r="AB40" i="232"/>
  <c r="AC40" i="232"/>
  <c r="O39" i="232"/>
  <c r="P39" i="232"/>
  <c r="Q39" i="232"/>
  <c r="R39" i="232"/>
  <c r="S39" i="232"/>
  <c r="T39" i="232"/>
  <c r="U39" i="232"/>
  <c r="V39" i="232"/>
  <c r="W39" i="232"/>
  <c r="X39" i="232"/>
  <c r="Y39" i="232"/>
  <c r="Z39" i="232"/>
  <c r="AA39" i="232"/>
  <c r="AB39" i="232"/>
  <c r="AC39" i="232"/>
  <c r="O38" i="232"/>
  <c r="P38" i="232"/>
  <c r="Q38" i="232"/>
  <c r="R38" i="232"/>
  <c r="S38" i="232"/>
  <c r="T38" i="232"/>
  <c r="U38" i="232"/>
  <c r="V38" i="232"/>
  <c r="W38" i="232"/>
  <c r="X38" i="232"/>
  <c r="Y38" i="232"/>
  <c r="Z38" i="232"/>
  <c r="AA38" i="232"/>
  <c r="AB38" i="232"/>
  <c r="AC38" i="232"/>
  <c r="O37" i="232"/>
  <c r="P37" i="232"/>
  <c r="Q37" i="232"/>
  <c r="R37" i="232"/>
  <c r="S37" i="232"/>
  <c r="T37" i="232"/>
  <c r="U37" i="232"/>
  <c r="V37" i="232"/>
  <c r="W37" i="232"/>
  <c r="X37" i="232"/>
  <c r="Y37" i="232"/>
  <c r="Z37" i="232"/>
  <c r="AA37" i="232"/>
  <c r="AB37" i="232"/>
  <c r="AC37" i="232"/>
  <c r="O36" i="232"/>
  <c r="P36" i="232"/>
  <c r="Q36" i="232"/>
  <c r="R36" i="232"/>
  <c r="S36" i="232"/>
  <c r="T36" i="232"/>
  <c r="U36" i="232"/>
  <c r="V36" i="232"/>
  <c r="W36" i="232"/>
  <c r="X36" i="232"/>
  <c r="Y36" i="232"/>
  <c r="Z36" i="232"/>
  <c r="AA36" i="232"/>
  <c r="AB36" i="232"/>
  <c r="AC36" i="232"/>
  <c r="O35" i="232"/>
  <c r="P35" i="232"/>
  <c r="Q35" i="232"/>
  <c r="R35" i="232"/>
  <c r="S35" i="232"/>
  <c r="T35" i="232"/>
  <c r="U35" i="232"/>
  <c r="V35" i="232"/>
  <c r="W35" i="232"/>
  <c r="X35" i="232"/>
  <c r="Y35" i="232"/>
  <c r="Z35" i="232"/>
  <c r="AA35" i="232"/>
  <c r="AB35" i="232"/>
  <c r="AC35" i="232"/>
  <c r="O34" i="232"/>
  <c r="P34" i="232"/>
  <c r="Q34" i="232"/>
  <c r="R34" i="232"/>
  <c r="S34" i="232"/>
  <c r="T34" i="232"/>
  <c r="U34" i="232"/>
  <c r="V34" i="232"/>
  <c r="W34" i="232"/>
  <c r="X34" i="232"/>
  <c r="Y34" i="232"/>
  <c r="Z34" i="232"/>
  <c r="AA34" i="232"/>
  <c r="AB34" i="232"/>
  <c r="AC34" i="232"/>
  <c r="O33" i="232"/>
  <c r="P33" i="232"/>
  <c r="Q33" i="232"/>
  <c r="R33" i="232"/>
  <c r="S33" i="232"/>
  <c r="T33" i="232"/>
  <c r="U33" i="232"/>
  <c r="V33" i="232"/>
  <c r="W33" i="232"/>
  <c r="X33" i="232"/>
  <c r="Y33" i="232"/>
  <c r="Z33" i="232"/>
  <c r="AA33" i="232"/>
  <c r="AB33" i="232"/>
  <c r="AC33" i="232"/>
  <c r="O32" i="232"/>
  <c r="P32" i="232"/>
  <c r="Q32" i="232"/>
  <c r="R32" i="232"/>
  <c r="S32" i="232"/>
  <c r="T32" i="232"/>
  <c r="U32" i="232"/>
  <c r="V32" i="232"/>
  <c r="W32" i="232"/>
  <c r="X32" i="232"/>
  <c r="Y32" i="232"/>
  <c r="Z32" i="232"/>
  <c r="AA32" i="232"/>
  <c r="AB32" i="232"/>
  <c r="AC32" i="232"/>
  <c r="O31" i="232"/>
  <c r="P31" i="232"/>
  <c r="Q31" i="232"/>
  <c r="R31" i="232"/>
  <c r="S31" i="232"/>
  <c r="T31" i="232"/>
  <c r="U31" i="232"/>
  <c r="V31" i="232"/>
  <c r="W31" i="232"/>
  <c r="X31" i="232"/>
  <c r="Y31" i="232"/>
  <c r="Z31" i="232"/>
  <c r="AA31" i="232"/>
  <c r="AB31" i="232"/>
  <c r="AC31" i="232"/>
  <c r="O30" i="232"/>
  <c r="P30" i="232"/>
  <c r="Q30" i="232"/>
  <c r="R30" i="232"/>
  <c r="S30" i="232"/>
  <c r="T30" i="232"/>
  <c r="U30" i="232"/>
  <c r="V30" i="232"/>
  <c r="W30" i="232"/>
  <c r="X30" i="232"/>
  <c r="Y30" i="232"/>
  <c r="Z30" i="232"/>
  <c r="AA30" i="232"/>
  <c r="AB30" i="232"/>
  <c r="AC30" i="232"/>
  <c r="O29" i="232"/>
  <c r="P29" i="232"/>
  <c r="Q29" i="232"/>
  <c r="R29" i="232"/>
  <c r="S29" i="232"/>
  <c r="T29" i="232"/>
  <c r="U29" i="232"/>
  <c r="V29" i="232"/>
  <c r="W29" i="232"/>
  <c r="X29" i="232"/>
  <c r="Y29" i="232"/>
  <c r="Z29" i="232"/>
  <c r="AA29" i="232"/>
  <c r="AB29" i="232"/>
  <c r="AC29" i="232"/>
  <c r="O28" i="232"/>
  <c r="P28" i="232"/>
  <c r="Q28" i="232"/>
  <c r="R28" i="232"/>
  <c r="S28" i="232"/>
  <c r="T28" i="232"/>
  <c r="U28" i="232"/>
  <c r="V28" i="232"/>
  <c r="W28" i="232"/>
  <c r="X28" i="232"/>
  <c r="Y28" i="232"/>
  <c r="Z28" i="232"/>
  <c r="AA28" i="232"/>
  <c r="AB28" i="232"/>
  <c r="AC28" i="232"/>
  <c r="O27" i="232"/>
  <c r="P27" i="232"/>
  <c r="Q27" i="232"/>
  <c r="R27" i="232"/>
  <c r="S27" i="232"/>
  <c r="T27" i="232"/>
  <c r="U27" i="232"/>
  <c r="V27" i="232"/>
  <c r="W27" i="232"/>
  <c r="X27" i="232"/>
  <c r="Y27" i="232"/>
  <c r="Z27" i="232"/>
  <c r="AA27" i="232"/>
  <c r="AB27" i="232"/>
  <c r="AC27" i="232"/>
  <c r="P26" i="232"/>
  <c r="Q26" i="232"/>
  <c r="R26" i="232"/>
  <c r="S26" i="232"/>
  <c r="T26" i="232"/>
  <c r="U26" i="232"/>
  <c r="V26" i="232"/>
  <c r="W26" i="232"/>
  <c r="X26" i="232"/>
  <c r="Y26" i="232"/>
  <c r="Z26" i="232"/>
  <c r="AA26" i="232"/>
  <c r="AB26" i="232"/>
  <c r="AC26" i="232"/>
  <c r="O26" i="232"/>
  <c r="Z50" i="216"/>
  <c r="Z49" i="216"/>
  <c r="AA50" i="216"/>
  <c r="AA49" i="216"/>
  <c r="AB50" i="216"/>
  <c r="AB49" i="216"/>
  <c r="AC50" i="216"/>
  <c r="AC49" i="216"/>
  <c r="AD50" i="216"/>
  <c r="AD49" i="216"/>
  <c r="AE50" i="216"/>
  <c r="AE49" i="216"/>
  <c r="AF50" i="216"/>
  <c r="AF49" i="216"/>
  <c r="AG50" i="216"/>
  <c r="AG49" i="216"/>
  <c r="AH50" i="216"/>
  <c r="AH49" i="216"/>
  <c r="AI50" i="216"/>
  <c r="AI49" i="216"/>
  <c r="AJ50" i="216"/>
  <c r="AJ49" i="216"/>
  <c r="AK50" i="216"/>
  <c r="AK49" i="216"/>
  <c r="AL50" i="216"/>
  <c r="AL49" i="216"/>
  <c r="AM50" i="216"/>
  <c r="AM49" i="216"/>
  <c r="AN50" i="216"/>
  <c r="AN49" i="216"/>
  <c r="AO50" i="216"/>
  <c r="AO49" i="216"/>
  <c r="AP50" i="216"/>
  <c r="AP49" i="216"/>
  <c r="U50" i="216"/>
  <c r="T50" i="216"/>
  <c r="F251" i="242"/>
  <c r="Q840" i="187"/>
  <c r="H844" i="187"/>
  <c r="I844" i="187"/>
  <c r="J844" i="187"/>
  <c r="K844" i="187"/>
  <c r="H840" i="187"/>
  <c r="I840" i="187"/>
  <c r="J840" i="187"/>
  <c r="K840" i="187"/>
  <c r="G844" i="187"/>
  <c r="G840" i="187"/>
  <c r="K843" i="187"/>
  <c r="J843" i="187"/>
  <c r="I843" i="187"/>
  <c r="H843" i="187"/>
  <c r="G843" i="187"/>
  <c r="K842" i="187"/>
  <c r="J842" i="187"/>
  <c r="I842" i="187"/>
  <c r="H842" i="187"/>
  <c r="G842" i="187"/>
  <c r="K841" i="187"/>
  <c r="J841" i="187"/>
  <c r="I841" i="187"/>
  <c r="H841" i="187"/>
  <c r="G841" i="187"/>
  <c r="AR801" i="187"/>
  <c r="AR803" i="187"/>
  <c r="AQ801" i="187"/>
  <c r="AQ803" i="187"/>
  <c r="AP801" i="187"/>
  <c r="AP803" i="187"/>
  <c r="AO801" i="187"/>
  <c r="AO803" i="187"/>
  <c r="AN801" i="187"/>
  <c r="AN803" i="187"/>
  <c r="AM801" i="187"/>
  <c r="AM803" i="187"/>
  <c r="AL801" i="187"/>
  <c r="AL803" i="187"/>
  <c r="L798" i="187"/>
  <c r="L801" i="187"/>
  <c r="L803" i="187"/>
  <c r="M798" i="187"/>
  <c r="M801" i="187"/>
  <c r="M803" i="187"/>
  <c r="N798" i="187"/>
  <c r="N801" i="187"/>
  <c r="N803" i="187"/>
  <c r="AC798" i="187"/>
  <c r="AC801" i="187"/>
  <c r="AC803" i="187"/>
  <c r="AD798" i="187"/>
  <c r="AD801" i="187"/>
  <c r="AD803" i="187"/>
  <c r="AE798" i="187"/>
  <c r="AE801" i="187"/>
  <c r="AE803" i="187"/>
  <c r="AF798" i="187"/>
  <c r="AF801" i="187"/>
  <c r="AF803" i="187"/>
  <c r="AG798" i="187"/>
  <c r="AG801" i="187"/>
  <c r="AG803" i="187"/>
  <c r="W798" i="187"/>
  <c r="W801" i="187"/>
  <c r="W803" i="187"/>
  <c r="X798" i="187"/>
  <c r="X801" i="187"/>
  <c r="X803" i="187"/>
  <c r="Y798" i="187"/>
  <c r="Y801" i="187"/>
  <c r="Y803" i="187"/>
  <c r="Z798" i="187"/>
  <c r="Z801" i="187"/>
  <c r="Z803" i="187"/>
  <c r="AA798" i="187"/>
  <c r="AA801" i="187"/>
  <c r="AA803" i="187"/>
  <c r="I848" i="187"/>
  <c r="I896" i="187" s="1"/>
  <c r="AR798" i="187"/>
  <c r="AQ798" i="187"/>
  <c r="L793" i="187"/>
  <c r="M793" i="187"/>
  <c r="N793" i="187"/>
  <c r="AC793" i="187"/>
  <c r="AD793" i="187"/>
  <c r="AE793" i="187"/>
  <c r="AF793" i="187"/>
  <c r="AG793" i="187"/>
  <c r="AA793" i="187"/>
  <c r="Z793" i="187"/>
  <c r="Y793" i="187"/>
  <c r="X793" i="187"/>
  <c r="W793" i="187"/>
  <c r="AR792" i="187"/>
  <c r="AQ792" i="187"/>
  <c r="O218" i="235"/>
  <c r="O208" i="235"/>
  <c r="O198" i="235"/>
  <c r="O188" i="235"/>
  <c r="O168" i="235"/>
  <c r="M310" i="206"/>
  <c r="L310" i="206"/>
  <c r="K310" i="206"/>
  <c r="J310" i="206"/>
  <c r="I310" i="206"/>
  <c r="M292" i="206"/>
  <c r="L292" i="206"/>
  <c r="K292" i="206"/>
  <c r="J292" i="206"/>
  <c r="I292" i="206"/>
  <c r="M283" i="206"/>
  <c r="L283" i="206"/>
  <c r="K283" i="206"/>
  <c r="J283" i="206"/>
  <c r="I283" i="206"/>
  <c r="M274" i="206"/>
  <c r="L274" i="206"/>
  <c r="K274" i="206"/>
  <c r="J274" i="206"/>
  <c r="I274" i="206"/>
  <c r="J265" i="206"/>
  <c r="K265" i="206"/>
  <c r="L265" i="206"/>
  <c r="M265" i="206"/>
  <c r="I265" i="206"/>
  <c r="S273" i="238"/>
  <c r="T273" i="238"/>
  <c r="U273" i="238"/>
  <c r="V273" i="238"/>
  <c r="R273" i="238"/>
  <c r="V268" i="238"/>
  <c r="U268" i="238"/>
  <c r="T268" i="238"/>
  <c r="S268" i="238"/>
  <c r="R268" i="238"/>
  <c r="H271" i="238"/>
  <c r="H272" i="238" s="1"/>
  <c r="I271" i="238"/>
  <c r="I272" i="238" s="1"/>
  <c r="J271" i="238"/>
  <c r="J272" i="238" s="1"/>
  <c r="K271" i="238"/>
  <c r="K272" i="238" s="1"/>
  <c r="L271" i="238"/>
  <c r="L279" i="238" s="1"/>
  <c r="M271" i="238"/>
  <c r="M279" i="238" s="1"/>
  <c r="N271" i="238"/>
  <c r="N272" i="238" s="1"/>
  <c r="O271" i="238"/>
  <c r="O272" i="238" s="1"/>
  <c r="P271" i="238"/>
  <c r="P272" i="238" s="1"/>
  <c r="Q271" i="238"/>
  <c r="Q272" i="238" s="1"/>
  <c r="R271" i="238"/>
  <c r="R272" i="238" s="1"/>
  <c r="S271" i="238"/>
  <c r="S272" i="238" s="1"/>
  <c r="T271" i="238"/>
  <c r="T279" i="238" s="1"/>
  <c r="U271" i="238"/>
  <c r="U272" i="238" s="1"/>
  <c r="V271" i="238"/>
  <c r="V272" i="238" s="1"/>
  <c r="H273" i="238"/>
  <c r="H280" i="238" s="1"/>
  <c r="I273" i="238"/>
  <c r="I280" i="238" s="1"/>
  <c r="J273" i="238"/>
  <c r="J280" i="238" s="1"/>
  <c r="K273" i="238"/>
  <c r="K280" i="238" s="1"/>
  <c r="L273" i="238"/>
  <c r="L280" i="238" s="1"/>
  <c r="M273" i="238"/>
  <c r="M280" i="238" s="1"/>
  <c r="N273" i="238"/>
  <c r="N280" i="238" s="1"/>
  <c r="O273" i="238"/>
  <c r="O280" i="238" s="1"/>
  <c r="P273" i="238"/>
  <c r="P280" i="238" s="1"/>
  <c r="Q273" i="238"/>
  <c r="Q280" i="238" s="1"/>
  <c r="H274" i="238"/>
  <c r="H281" i="238" s="1"/>
  <c r="I274" i="238"/>
  <c r="I281" i="238" s="1"/>
  <c r="J274" i="238"/>
  <c r="J281" i="238" s="1"/>
  <c r="K274" i="238"/>
  <c r="K281" i="238" s="1"/>
  <c r="L274" i="238"/>
  <c r="L281" i="238" s="1"/>
  <c r="M274" i="238"/>
  <c r="M281" i="238" s="1"/>
  <c r="N274" i="238"/>
  <c r="N281" i="238" s="1"/>
  <c r="O274" i="238"/>
  <c r="O281" i="238" s="1"/>
  <c r="P274" i="238"/>
  <c r="P281" i="238" s="1"/>
  <c r="Q274" i="238"/>
  <c r="Q281" i="238" s="1"/>
  <c r="R274" i="238"/>
  <c r="R281" i="238" s="1"/>
  <c r="S274" i="238"/>
  <c r="S281" i="238" s="1"/>
  <c r="T274" i="238"/>
  <c r="T281" i="238" s="1"/>
  <c r="U274" i="238"/>
  <c r="U281" i="238" s="1"/>
  <c r="V274" i="238"/>
  <c r="V281" i="238" s="1"/>
  <c r="H276" i="238"/>
  <c r="H283" i="238" s="1"/>
  <c r="I276" i="238"/>
  <c r="I283" i="238" s="1"/>
  <c r="J276" i="238"/>
  <c r="J283" i="238" s="1"/>
  <c r="K276" i="238"/>
  <c r="K283" i="238" s="1"/>
  <c r="L276" i="238"/>
  <c r="L283" i="238" s="1"/>
  <c r="M276" i="238"/>
  <c r="M283" i="238" s="1"/>
  <c r="N276" i="238"/>
  <c r="N283" i="238" s="1"/>
  <c r="O276" i="238"/>
  <c r="O283" i="238" s="1"/>
  <c r="P276" i="238"/>
  <c r="P283" i="238" s="1"/>
  <c r="Q276" i="238"/>
  <c r="Q283" i="238" s="1"/>
  <c r="R276" i="238"/>
  <c r="R283" i="238" s="1"/>
  <c r="S276" i="238"/>
  <c r="S283" i="238" s="1"/>
  <c r="T276" i="238"/>
  <c r="T283" i="238" s="1"/>
  <c r="U276" i="238"/>
  <c r="U283" i="238" s="1"/>
  <c r="V276" i="238"/>
  <c r="V283" i="238" s="1"/>
  <c r="R280" i="238"/>
  <c r="S280" i="238"/>
  <c r="T280" i="238"/>
  <c r="U280" i="238"/>
  <c r="V280" i="238"/>
  <c r="G271" i="238"/>
  <c r="G272" i="238" s="1"/>
  <c r="G273" i="238"/>
  <c r="G280" i="238" s="1"/>
  <c r="G274" i="238"/>
  <c r="G281" i="238" s="1"/>
  <c r="G276" i="238"/>
  <c r="G283" i="238" s="1"/>
  <c r="L85" i="233"/>
  <c r="L82" i="233"/>
  <c r="L79" i="233"/>
  <c r="L76" i="233"/>
  <c r="L73" i="233"/>
  <c r="L70" i="233"/>
  <c r="D69" i="233"/>
  <c r="E47" i="233"/>
  <c r="E69" i="233"/>
  <c r="E70" i="233"/>
  <c r="F47" i="233"/>
  <c r="F69" i="233"/>
  <c r="F70" i="233"/>
  <c r="G47" i="233"/>
  <c r="G69" i="233"/>
  <c r="G70" i="233"/>
  <c r="H47" i="233"/>
  <c r="H69" i="233"/>
  <c r="H70" i="233"/>
  <c r="I47" i="233"/>
  <c r="I69" i="233"/>
  <c r="I70" i="233"/>
  <c r="K70" i="233"/>
  <c r="D72" i="233"/>
  <c r="E72" i="233"/>
  <c r="E73" i="233"/>
  <c r="F72" i="233"/>
  <c r="F73" i="233"/>
  <c r="G72" i="233"/>
  <c r="G73" i="233"/>
  <c r="H72" i="233"/>
  <c r="H73" i="233"/>
  <c r="I72" i="233"/>
  <c r="I73" i="233"/>
  <c r="K73" i="233"/>
  <c r="D75" i="233"/>
  <c r="E75" i="233"/>
  <c r="E76" i="233"/>
  <c r="F75" i="233"/>
  <c r="F76" i="233"/>
  <c r="G75" i="233"/>
  <c r="G76" i="233"/>
  <c r="H75" i="233"/>
  <c r="H76" i="233"/>
  <c r="I75" i="233"/>
  <c r="I76" i="233"/>
  <c r="K76" i="233"/>
  <c r="D78" i="233"/>
  <c r="E78" i="233"/>
  <c r="E79" i="233"/>
  <c r="F78" i="233"/>
  <c r="F79" i="233"/>
  <c r="G78" i="233"/>
  <c r="G79" i="233"/>
  <c r="H78" i="233"/>
  <c r="H79" i="233"/>
  <c r="I78" i="233"/>
  <c r="I79" i="233"/>
  <c r="K79" i="233"/>
  <c r="J73" i="233"/>
  <c r="J76" i="233"/>
  <c r="J79" i="233"/>
  <c r="C78" i="233"/>
  <c r="C75" i="233"/>
  <c r="C72" i="233"/>
  <c r="C51" i="94"/>
  <c r="H310" i="206"/>
  <c r="G310" i="206"/>
  <c r="F310" i="206"/>
  <c r="E310" i="206"/>
  <c r="D310" i="206"/>
  <c r="H309" i="206"/>
  <c r="G309" i="206"/>
  <c r="F309" i="206"/>
  <c r="E309" i="206"/>
  <c r="D309" i="206"/>
  <c r="H308" i="206"/>
  <c r="G308" i="206"/>
  <c r="F308" i="206"/>
  <c r="E308" i="206"/>
  <c r="D308" i="206"/>
  <c r="H307" i="206"/>
  <c r="G307" i="206"/>
  <c r="F307" i="206"/>
  <c r="E307" i="206"/>
  <c r="D307" i="206"/>
  <c r="H306" i="206"/>
  <c r="G306" i="206"/>
  <c r="F306" i="206"/>
  <c r="E306" i="206"/>
  <c r="D306" i="206"/>
  <c r="H305" i="206"/>
  <c r="G305" i="206"/>
  <c r="F305" i="206"/>
  <c r="E305" i="206"/>
  <c r="D305" i="206"/>
  <c r="H304" i="206"/>
  <c r="G304" i="206"/>
  <c r="F304" i="206"/>
  <c r="E304" i="206"/>
  <c r="D304" i="206"/>
  <c r="H303" i="206"/>
  <c r="G303" i="206"/>
  <c r="F303" i="206"/>
  <c r="E303" i="206"/>
  <c r="D303" i="206"/>
  <c r="H302" i="206"/>
  <c r="G302" i="206"/>
  <c r="F302" i="206"/>
  <c r="E302" i="206"/>
  <c r="D302" i="206"/>
  <c r="AG897" i="187"/>
  <c r="AC897" i="187"/>
  <c r="AG896" i="187"/>
  <c r="AF896" i="187"/>
  <c r="AE896" i="187"/>
  <c r="AD896" i="187"/>
  <c r="AD897" i="187"/>
  <c r="AC896" i="187"/>
  <c r="AG895" i="187"/>
  <c r="AF895" i="187"/>
  <c r="AF897" i="187"/>
  <c r="AE895" i="187"/>
  <c r="AE897" i="187"/>
  <c r="AD895" i="187"/>
  <c r="AC895" i="187"/>
  <c r="AG894" i="187"/>
  <c r="AF894" i="187"/>
  <c r="AE894" i="187"/>
  <c r="AD894" i="187"/>
  <c r="AC894" i="187"/>
  <c r="AG893" i="187"/>
  <c r="AF893" i="187"/>
  <c r="AE893" i="187"/>
  <c r="AD893" i="187"/>
  <c r="AC893" i="187"/>
  <c r="AG892" i="187"/>
  <c r="AF892" i="187"/>
  <c r="AE892" i="187"/>
  <c r="AD892" i="187"/>
  <c r="AC892" i="187"/>
  <c r="X897" i="187"/>
  <c r="AA896" i="187"/>
  <c r="Z896" i="187"/>
  <c r="Y896" i="187"/>
  <c r="Y897" i="187"/>
  <c r="X896" i="187"/>
  <c r="W896" i="187"/>
  <c r="AA895" i="187"/>
  <c r="AA897" i="187"/>
  <c r="Z895" i="187"/>
  <c r="Z897" i="187"/>
  <c r="Y895" i="187"/>
  <c r="X895" i="187"/>
  <c r="W895" i="187"/>
  <c r="W897" i="187"/>
  <c r="AA894" i="187"/>
  <c r="Z894" i="187"/>
  <c r="Y894" i="187"/>
  <c r="X894" i="187"/>
  <c r="W894" i="187"/>
  <c r="AA893" i="187"/>
  <c r="Z893" i="187"/>
  <c r="Y893" i="187"/>
  <c r="X893" i="187"/>
  <c r="W893" i="187"/>
  <c r="AA892" i="187"/>
  <c r="Z892" i="187"/>
  <c r="Y892" i="187"/>
  <c r="X892" i="187"/>
  <c r="W892" i="187"/>
  <c r="O847" i="187"/>
  <c r="O895" i="187"/>
  <c r="O848" i="187"/>
  <c r="O896" i="187"/>
  <c r="O897" i="187"/>
  <c r="U848" i="187"/>
  <c r="U896" i="187"/>
  <c r="T848" i="187"/>
  <c r="T896" i="187"/>
  <c r="S848" i="187"/>
  <c r="S896" i="187"/>
  <c r="R848" i="187"/>
  <c r="R896" i="187"/>
  <c r="Q848" i="187"/>
  <c r="Q896" i="187"/>
  <c r="P848" i="187"/>
  <c r="P896" i="187"/>
  <c r="N848" i="187"/>
  <c r="N896" i="187"/>
  <c r="M848" i="187"/>
  <c r="M896" i="187"/>
  <c r="L848" i="187"/>
  <c r="L896" i="187"/>
  <c r="U847" i="187"/>
  <c r="U895" i="187"/>
  <c r="U897" i="187"/>
  <c r="T847" i="187"/>
  <c r="T895" i="187"/>
  <c r="T897" i="187"/>
  <c r="S847" i="187"/>
  <c r="S895" i="187"/>
  <c r="S897" i="187"/>
  <c r="R847" i="187"/>
  <c r="R895" i="187"/>
  <c r="R897" i="187"/>
  <c r="Q847" i="187"/>
  <c r="Q895" i="187"/>
  <c r="Q897" i="187"/>
  <c r="P847" i="187"/>
  <c r="P895" i="187"/>
  <c r="P897" i="187"/>
  <c r="N847" i="187"/>
  <c r="N895" i="187"/>
  <c r="N897" i="187"/>
  <c r="M847" i="187"/>
  <c r="M895" i="187"/>
  <c r="M897" i="187"/>
  <c r="L847" i="187"/>
  <c r="L895" i="187"/>
  <c r="L897" i="187"/>
  <c r="U846" i="187"/>
  <c r="U894" i="187"/>
  <c r="T846" i="187"/>
  <c r="T894" i="187"/>
  <c r="S846" i="187"/>
  <c r="S894" i="187"/>
  <c r="R846" i="187"/>
  <c r="R894" i="187"/>
  <c r="Q846" i="187"/>
  <c r="Q894" i="187"/>
  <c r="P846" i="187"/>
  <c r="P894" i="187"/>
  <c r="O846" i="187"/>
  <c r="O894" i="187"/>
  <c r="N846" i="187"/>
  <c r="N894" i="187"/>
  <c r="M846" i="187"/>
  <c r="M894" i="187"/>
  <c r="L846" i="187"/>
  <c r="L894" i="187"/>
  <c r="U845" i="187"/>
  <c r="U893" i="187"/>
  <c r="T845" i="187"/>
  <c r="T893" i="187"/>
  <c r="S845" i="187"/>
  <c r="S893" i="187"/>
  <c r="R845" i="187"/>
  <c r="R893" i="187"/>
  <c r="Q845" i="187"/>
  <c r="Q893" i="187"/>
  <c r="P845" i="187"/>
  <c r="P893" i="187"/>
  <c r="O845" i="187"/>
  <c r="O893" i="187"/>
  <c r="N845" i="187"/>
  <c r="N893" i="187"/>
  <c r="M845" i="187"/>
  <c r="M893" i="187"/>
  <c r="L845" i="187"/>
  <c r="L893" i="187"/>
  <c r="U844" i="187"/>
  <c r="U892" i="187"/>
  <c r="T844" i="187"/>
  <c r="T892" i="187"/>
  <c r="S844" i="187"/>
  <c r="S892" i="187"/>
  <c r="R844" i="187"/>
  <c r="R892" i="187"/>
  <c r="Q844" i="187"/>
  <c r="Q892" i="187"/>
  <c r="P844" i="187"/>
  <c r="P892" i="187"/>
  <c r="O844" i="187"/>
  <c r="O892" i="187"/>
  <c r="N844" i="187"/>
  <c r="N892" i="187"/>
  <c r="M844" i="187"/>
  <c r="M892" i="187"/>
  <c r="L844" i="187"/>
  <c r="L892" i="187"/>
  <c r="K892" i="187"/>
  <c r="J892" i="187"/>
  <c r="I892" i="187"/>
  <c r="H892" i="187"/>
  <c r="AG888" i="187"/>
  <c r="AF888" i="187"/>
  <c r="AE888" i="187"/>
  <c r="AD888" i="187"/>
  <c r="AC888" i="187"/>
  <c r="AG887" i="187"/>
  <c r="AF887" i="187"/>
  <c r="AE887" i="187"/>
  <c r="AD887" i="187"/>
  <c r="AC887" i="187"/>
  <c r="AG886" i="187"/>
  <c r="AF886" i="187"/>
  <c r="AE886" i="187"/>
  <c r="AD886" i="187"/>
  <c r="AC886" i="187"/>
  <c r="AG885" i="187"/>
  <c r="AF885" i="187"/>
  <c r="AE885" i="187"/>
  <c r="AD885" i="187"/>
  <c r="AC885" i="187"/>
  <c r="AG884" i="187"/>
  <c r="AF884" i="187"/>
  <c r="AE884" i="187"/>
  <c r="AD884" i="187"/>
  <c r="AC884" i="187"/>
  <c r="AG883" i="187"/>
  <c r="AF883" i="187"/>
  <c r="AE883" i="187"/>
  <c r="AD883" i="187"/>
  <c r="AC883" i="187"/>
  <c r="AG882" i="187"/>
  <c r="AF882" i="187"/>
  <c r="AE882" i="187"/>
  <c r="AD882" i="187"/>
  <c r="AC882" i="187"/>
  <c r="AG881" i="187"/>
  <c r="AF881" i="187"/>
  <c r="AE881" i="187"/>
  <c r="AD881" i="187"/>
  <c r="AC881" i="187"/>
  <c r="AG880" i="187"/>
  <c r="AF880" i="187"/>
  <c r="AE880" i="187"/>
  <c r="AD880" i="187"/>
  <c r="AC880" i="187"/>
  <c r="AG879" i="187"/>
  <c r="AF879" i="187"/>
  <c r="AE879" i="187"/>
  <c r="AD879" i="187"/>
  <c r="AC879" i="187"/>
  <c r="AA888" i="187"/>
  <c r="Z888" i="187"/>
  <c r="Y888" i="187"/>
  <c r="X888" i="187"/>
  <c r="W888" i="187"/>
  <c r="AA887" i="187"/>
  <c r="Z887" i="187"/>
  <c r="Y887" i="187"/>
  <c r="X887" i="187"/>
  <c r="W887" i="187"/>
  <c r="AA886" i="187"/>
  <c r="Z886" i="187"/>
  <c r="Y886" i="187"/>
  <c r="X886" i="187"/>
  <c r="W886" i="187"/>
  <c r="AA885" i="187"/>
  <c r="Z885" i="187"/>
  <c r="Y885" i="187"/>
  <c r="X885" i="187"/>
  <c r="W885" i="187"/>
  <c r="AA884" i="187"/>
  <c r="Z884" i="187"/>
  <c r="Y884" i="187"/>
  <c r="X884" i="187"/>
  <c r="W884" i="187"/>
  <c r="AA883" i="187"/>
  <c r="Z883" i="187"/>
  <c r="Y883" i="187"/>
  <c r="X883" i="187"/>
  <c r="W883" i="187"/>
  <c r="AA882" i="187"/>
  <c r="Z882" i="187"/>
  <c r="Y882" i="187"/>
  <c r="X882" i="187"/>
  <c r="W882" i="187"/>
  <c r="AA881" i="187"/>
  <c r="Z881" i="187"/>
  <c r="Y881" i="187"/>
  <c r="X881" i="187"/>
  <c r="W881" i="187"/>
  <c r="AA880" i="187"/>
  <c r="Z880" i="187"/>
  <c r="Y880" i="187"/>
  <c r="X880" i="187"/>
  <c r="W880" i="187"/>
  <c r="AA879" i="187"/>
  <c r="Z879" i="187"/>
  <c r="Y879" i="187"/>
  <c r="X879" i="187"/>
  <c r="W879" i="187"/>
  <c r="U888" i="187"/>
  <c r="T888" i="187"/>
  <c r="S888" i="187"/>
  <c r="R888" i="187"/>
  <c r="Q888" i="187"/>
  <c r="P888" i="187"/>
  <c r="O888" i="187"/>
  <c r="N888" i="187"/>
  <c r="M888" i="187"/>
  <c r="U887" i="187"/>
  <c r="T887" i="187"/>
  <c r="S887" i="187"/>
  <c r="R887" i="187"/>
  <c r="Q887" i="187"/>
  <c r="P887" i="187"/>
  <c r="O887" i="187"/>
  <c r="N887" i="187"/>
  <c r="M887" i="187"/>
  <c r="U886" i="187"/>
  <c r="T886" i="187"/>
  <c r="S886" i="187"/>
  <c r="R886" i="187"/>
  <c r="Q886" i="187"/>
  <c r="P886" i="187"/>
  <c r="O886" i="187"/>
  <c r="N886" i="187"/>
  <c r="M886" i="187"/>
  <c r="U885" i="187"/>
  <c r="T885" i="187"/>
  <c r="S885" i="187"/>
  <c r="R885" i="187"/>
  <c r="Q885" i="187"/>
  <c r="P885" i="187"/>
  <c r="O885" i="187"/>
  <c r="N885" i="187"/>
  <c r="M885" i="187"/>
  <c r="U884" i="187"/>
  <c r="T884" i="187"/>
  <c r="S884" i="187"/>
  <c r="R884" i="187"/>
  <c r="Q884" i="187"/>
  <c r="P884" i="187"/>
  <c r="O884" i="187"/>
  <c r="N884" i="187"/>
  <c r="M884" i="187"/>
  <c r="U883" i="187"/>
  <c r="T883" i="187"/>
  <c r="S883" i="187"/>
  <c r="R883" i="187"/>
  <c r="Q883" i="187"/>
  <c r="P883" i="187"/>
  <c r="O883" i="187"/>
  <c r="N883" i="187"/>
  <c r="M883" i="187"/>
  <c r="U882" i="187"/>
  <c r="T882" i="187"/>
  <c r="S882" i="187"/>
  <c r="R882" i="187"/>
  <c r="Q882" i="187"/>
  <c r="P882" i="187"/>
  <c r="O882" i="187"/>
  <c r="N882" i="187"/>
  <c r="M882" i="187"/>
  <c r="U881" i="187"/>
  <c r="T881" i="187"/>
  <c r="S881" i="187"/>
  <c r="R881" i="187"/>
  <c r="Q881" i="187"/>
  <c r="P881" i="187"/>
  <c r="O881" i="187"/>
  <c r="N881" i="187"/>
  <c r="M881" i="187"/>
  <c r="U880" i="187"/>
  <c r="T880" i="187"/>
  <c r="S880" i="187"/>
  <c r="R880" i="187"/>
  <c r="Q880" i="187"/>
  <c r="P880" i="187"/>
  <c r="O880" i="187"/>
  <c r="N880" i="187"/>
  <c r="M880" i="187"/>
  <c r="U879" i="187"/>
  <c r="T879" i="187"/>
  <c r="S879" i="187"/>
  <c r="R879" i="187"/>
  <c r="Q879" i="187"/>
  <c r="P879" i="187"/>
  <c r="O879" i="187"/>
  <c r="N879" i="187"/>
  <c r="M879" i="187"/>
  <c r="L888" i="187"/>
  <c r="L887" i="187"/>
  <c r="L886" i="187"/>
  <c r="L885" i="187"/>
  <c r="L884" i="187"/>
  <c r="L883" i="187"/>
  <c r="L882" i="187"/>
  <c r="L881" i="187"/>
  <c r="L880" i="187"/>
  <c r="L879" i="187"/>
  <c r="AF878" i="187"/>
  <c r="AD878" i="187"/>
  <c r="AG876" i="187"/>
  <c r="AG878" i="187"/>
  <c r="AF876" i="187"/>
  <c r="AE876" i="187"/>
  <c r="AE878" i="187"/>
  <c r="AD876" i="187"/>
  <c r="AC876" i="187"/>
  <c r="AC878" i="187"/>
  <c r="X878" i="187"/>
  <c r="AA876" i="187"/>
  <c r="AA878" i="187"/>
  <c r="Z876" i="187"/>
  <c r="Z878" i="187"/>
  <c r="Y876" i="187"/>
  <c r="Y878" i="187"/>
  <c r="X876" i="187"/>
  <c r="W876" i="187"/>
  <c r="W878" i="187"/>
  <c r="S878" i="187"/>
  <c r="R878" i="187"/>
  <c r="O878" i="187"/>
  <c r="N878" i="187"/>
  <c r="U876" i="187"/>
  <c r="U878" i="187"/>
  <c r="T876" i="187"/>
  <c r="T878" i="187"/>
  <c r="S876" i="187"/>
  <c r="R876" i="187"/>
  <c r="Q876" i="187"/>
  <c r="Q878" i="187"/>
  <c r="P876" i="187"/>
  <c r="P878" i="187"/>
  <c r="O876" i="187"/>
  <c r="N876" i="187"/>
  <c r="M876" i="187"/>
  <c r="M878" i="187"/>
  <c r="L876" i="187"/>
  <c r="L878" i="187"/>
  <c r="AF867" i="187"/>
  <c r="AD867" i="187"/>
  <c r="AG865" i="187"/>
  <c r="AG867" i="187"/>
  <c r="AF865" i="187"/>
  <c r="AE865" i="187"/>
  <c r="AE867" i="187"/>
  <c r="AD865" i="187"/>
  <c r="AC865" i="187"/>
  <c r="AC867" i="187"/>
  <c r="AA867" i="187"/>
  <c r="W867" i="187"/>
  <c r="AA865" i="187"/>
  <c r="Z865" i="187"/>
  <c r="Z867" i="187"/>
  <c r="Y865" i="187"/>
  <c r="Y867" i="187"/>
  <c r="X865" i="187"/>
  <c r="X867" i="187"/>
  <c r="W865" i="187"/>
  <c r="U867" i="187"/>
  <c r="Q867" i="187"/>
  <c r="M867" i="187"/>
  <c r="U865" i="187"/>
  <c r="T865" i="187"/>
  <c r="T867" i="187"/>
  <c r="S865" i="187"/>
  <c r="S867" i="187"/>
  <c r="R865" i="187"/>
  <c r="R867" i="187"/>
  <c r="Q865" i="187"/>
  <c r="P865" i="187"/>
  <c r="P867" i="187"/>
  <c r="O865" i="187"/>
  <c r="O867" i="187"/>
  <c r="N865" i="187"/>
  <c r="N867" i="187"/>
  <c r="M865" i="187"/>
  <c r="L867" i="187"/>
  <c r="L865" i="187"/>
  <c r="AG849" i="187"/>
  <c r="AF849" i="187"/>
  <c r="AE849" i="187"/>
  <c r="AD849" i="187"/>
  <c r="AC849" i="187"/>
  <c r="AG848" i="187"/>
  <c r="AF848" i="187"/>
  <c r="AE848" i="187"/>
  <c r="AD848" i="187"/>
  <c r="AC848" i="187"/>
  <c r="AG847" i="187"/>
  <c r="AF847" i="187"/>
  <c r="AE847" i="187"/>
  <c r="AD847" i="187"/>
  <c r="AC847" i="187"/>
  <c r="AG846" i="187"/>
  <c r="AF846" i="187"/>
  <c r="AE846" i="187"/>
  <c r="AD846" i="187"/>
  <c r="AC846" i="187"/>
  <c r="AG845" i="187"/>
  <c r="AF845" i="187"/>
  <c r="AE845" i="187"/>
  <c r="AD845" i="187"/>
  <c r="AC845" i="187"/>
  <c r="AG844" i="187"/>
  <c r="AF844" i="187"/>
  <c r="AE844" i="187"/>
  <c r="AD844" i="187"/>
  <c r="AC844" i="187"/>
  <c r="AG843" i="187"/>
  <c r="AF843" i="187"/>
  <c r="AE843" i="187"/>
  <c r="AD843" i="187"/>
  <c r="AC843" i="187"/>
  <c r="AG842" i="187"/>
  <c r="AF842" i="187"/>
  <c r="AE842" i="187"/>
  <c r="AD842" i="187"/>
  <c r="AC842" i="187"/>
  <c r="AG841" i="187"/>
  <c r="AF841" i="187"/>
  <c r="AE841" i="187"/>
  <c r="AD841" i="187"/>
  <c r="AC841" i="187"/>
  <c r="AG840" i="187"/>
  <c r="AF840" i="187"/>
  <c r="AE840" i="187"/>
  <c r="AD840" i="187"/>
  <c r="AC840" i="187"/>
  <c r="AA849" i="187"/>
  <c r="Z849" i="187"/>
  <c r="Y849" i="187"/>
  <c r="X849" i="187"/>
  <c r="W849" i="187"/>
  <c r="AA848" i="187"/>
  <c r="Z848" i="187"/>
  <c r="Y848" i="187"/>
  <c r="X848" i="187"/>
  <c r="W848" i="187"/>
  <c r="AA847" i="187"/>
  <c r="Z847" i="187"/>
  <c r="Y847" i="187"/>
  <c r="X847" i="187"/>
  <c r="W847" i="187"/>
  <c r="AA846" i="187"/>
  <c r="Z846" i="187"/>
  <c r="Y846" i="187"/>
  <c r="X846" i="187"/>
  <c r="W846" i="187"/>
  <c r="AA845" i="187"/>
  <c r="Z845" i="187"/>
  <c r="Y845" i="187"/>
  <c r="X845" i="187"/>
  <c r="W845" i="187"/>
  <c r="AA844" i="187"/>
  <c r="Z844" i="187"/>
  <c r="Y844" i="187"/>
  <c r="X844" i="187"/>
  <c r="W844" i="187"/>
  <c r="AA843" i="187"/>
  <c r="Z843" i="187"/>
  <c r="Y843" i="187"/>
  <c r="X843" i="187"/>
  <c r="W843" i="187"/>
  <c r="AA842" i="187"/>
  <c r="Z842" i="187"/>
  <c r="Y842" i="187"/>
  <c r="X842" i="187"/>
  <c r="W842" i="187"/>
  <c r="AA841" i="187"/>
  <c r="Z841" i="187"/>
  <c r="Y841" i="187"/>
  <c r="X841" i="187"/>
  <c r="W841" i="187"/>
  <c r="AA840" i="187"/>
  <c r="Z840" i="187"/>
  <c r="Y840" i="187"/>
  <c r="X840" i="187"/>
  <c r="W840" i="187"/>
  <c r="U849" i="187"/>
  <c r="T849" i="187"/>
  <c r="S849" i="187"/>
  <c r="R849" i="187"/>
  <c r="Q849" i="187"/>
  <c r="P849" i="187"/>
  <c r="O849" i="187"/>
  <c r="N849" i="187"/>
  <c r="M849" i="187"/>
  <c r="U843" i="187"/>
  <c r="T843" i="187"/>
  <c r="S843" i="187"/>
  <c r="R843" i="187"/>
  <c r="Q843" i="187"/>
  <c r="P843" i="187"/>
  <c r="O843" i="187"/>
  <c r="N843" i="187"/>
  <c r="M843" i="187"/>
  <c r="U842" i="187"/>
  <c r="T842" i="187"/>
  <c r="S842" i="187"/>
  <c r="R842" i="187"/>
  <c r="Q842" i="187"/>
  <c r="P842" i="187"/>
  <c r="O842" i="187"/>
  <c r="N842" i="187"/>
  <c r="M842" i="187"/>
  <c r="U841" i="187"/>
  <c r="T841" i="187"/>
  <c r="S841" i="187"/>
  <c r="R841" i="187"/>
  <c r="Q841" i="187"/>
  <c r="P841" i="187"/>
  <c r="O841" i="187"/>
  <c r="N841" i="187"/>
  <c r="M841" i="187"/>
  <c r="U840" i="187"/>
  <c r="T840" i="187"/>
  <c r="S840" i="187"/>
  <c r="R840" i="187"/>
  <c r="P840" i="187"/>
  <c r="O840" i="187"/>
  <c r="L843" i="187"/>
  <c r="L842" i="187"/>
  <c r="L841" i="187"/>
  <c r="L849" i="187"/>
  <c r="AG835" i="187"/>
  <c r="AG837" i="187"/>
  <c r="AF835" i="187"/>
  <c r="AF837" i="187"/>
  <c r="AE835" i="187"/>
  <c r="AE837" i="187"/>
  <c r="AD835" i="187"/>
  <c r="AC835" i="187"/>
  <c r="AC837" i="187"/>
  <c r="AA835" i="187"/>
  <c r="AA837" i="187"/>
  <c r="Z835" i="187"/>
  <c r="Y835" i="187"/>
  <c r="X835" i="187"/>
  <c r="X837" i="187"/>
  <c r="W835" i="187"/>
  <c r="W837" i="187"/>
  <c r="U835" i="187"/>
  <c r="T835" i="187"/>
  <c r="S835" i="187"/>
  <c r="S837" i="187"/>
  <c r="R835" i="187"/>
  <c r="R837" i="187"/>
  <c r="Q835" i="187"/>
  <c r="P835" i="187"/>
  <c r="O835" i="187"/>
  <c r="O837" i="187"/>
  <c r="N835" i="187"/>
  <c r="N837" i="187"/>
  <c r="M835" i="187"/>
  <c r="L835" i="187"/>
  <c r="AG818" i="187"/>
  <c r="AF818" i="187"/>
  <c r="AE818" i="187"/>
  <c r="AE820" i="187"/>
  <c r="AD818" i="187"/>
  <c r="AC818" i="187"/>
  <c r="AA818" i="187"/>
  <c r="AA820" i="187"/>
  <c r="Z818" i="187"/>
  <c r="Y818" i="187"/>
  <c r="X818" i="187"/>
  <c r="W818" i="187"/>
  <c r="W820" i="187"/>
  <c r="U818" i="187"/>
  <c r="T818" i="187"/>
  <c r="S818" i="187"/>
  <c r="R818" i="187"/>
  <c r="R820" i="187"/>
  <c r="Q818" i="187"/>
  <c r="P818" i="187"/>
  <c r="O818" i="187"/>
  <c r="N818" i="187"/>
  <c r="N820" i="187"/>
  <c r="M818" i="187"/>
  <c r="L818" i="187"/>
  <c r="AG784" i="187"/>
  <c r="AF784" i="187"/>
  <c r="AF786" i="187"/>
  <c r="AE784" i="187"/>
  <c r="AE786" i="187"/>
  <c r="AD784" i="187"/>
  <c r="AC784" i="187"/>
  <c r="AA784" i="187"/>
  <c r="AA786" i="187"/>
  <c r="Z784" i="187"/>
  <c r="Y784" i="187"/>
  <c r="X784" i="187"/>
  <c r="X786" i="187"/>
  <c r="W784" i="187"/>
  <c r="U784" i="187"/>
  <c r="T784" i="187"/>
  <c r="S784" i="187"/>
  <c r="S786" i="187"/>
  <c r="R784" i="187"/>
  <c r="R786" i="187"/>
  <c r="Q784" i="187"/>
  <c r="P784" i="187"/>
  <c r="O784" i="187"/>
  <c r="O786" i="187"/>
  <c r="N784" i="187"/>
  <c r="N786" i="187"/>
  <c r="M784" i="187"/>
  <c r="L784" i="187"/>
  <c r="AG767" i="187"/>
  <c r="AF767" i="187"/>
  <c r="AF769" i="187"/>
  <c r="AE767" i="187"/>
  <c r="AE769" i="187"/>
  <c r="AD767" i="187"/>
  <c r="AC767" i="187"/>
  <c r="AA767" i="187"/>
  <c r="AA769" i="187"/>
  <c r="Z767" i="187"/>
  <c r="Y767" i="187"/>
  <c r="X767" i="187"/>
  <c r="X769" i="187"/>
  <c r="W767" i="187"/>
  <c r="U767" i="187"/>
  <c r="T767" i="187"/>
  <c r="S767" i="187"/>
  <c r="S769" i="187"/>
  <c r="R767" i="187"/>
  <c r="R769" i="187"/>
  <c r="Q767" i="187"/>
  <c r="P767" i="187"/>
  <c r="O767" i="187"/>
  <c r="O769" i="187"/>
  <c r="N767" i="187"/>
  <c r="N769" i="187"/>
  <c r="M767" i="187"/>
  <c r="L767" i="187"/>
  <c r="AG750" i="187"/>
  <c r="AF750" i="187"/>
  <c r="AE750" i="187"/>
  <c r="AE752" i="187"/>
  <c r="AD750" i="187"/>
  <c r="AC750" i="187"/>
  <c r="AA750" i="187"/>
  <c r="AA752" i="187"/>
  <c r="Z750" i="187"/>
  <c r="Y750" i="187"/>
  <c r="X750" i="187"/>
  <c r="W750" i="187"/>
  <c r="W752" i="187"/>
  <c r="U750" i="187"/>
  <c r="T750" i="187"/>
  <c r="S750" i="187"/>
  <c r="R750" i="187"/>
  <c r="R752" i="187"/>
  <c r="Q750" i="187"/>
  <c r="P750" i="187"/>
  <c r="O750" i="187"/>
  <c r="N750" i="187"/>
  <c r="N752" i="187"/>
  <c r="M750" i="187"/>
  <c r="L750" i="187"/>
  <c r="AG733" i="187"/>
  <c r="AF733" i="187"/>
  <c r="AF735" i="187"/>
  <c r="AE733" i="187"/>
  <c r="AE735" i="187"/>
  <c r="AD733" i="187"/>
  <c r="AC733" i="187"/>
  <c r="AA733" i="187"/>
  <c r="AA735" i="187"/>
  <c r="Z733" i="187"/>
  <c r="Y733" i="187"/>
  <c r="X733" i="187"/>
  <c r="X735" i="187"/>
  <c r="W733" i="187"/>
  <c r="U733" i="187"/>
  <c r="T733" i="187"/>
  <c r="S733" i="187"/>
  <c r="S735" i="187"/>
  <c r="R733" i="187"/>
  <c r="R735" i="187"/>
  <c r="Q733" i="187"/>
  <c r="P733" i="187"/>
  <c r="O733" i="187"/>
  <c r="O735" i="187"/>
  <c r="N733" i="187"/>
  <c r="N735" i="187"/>
  <c r="M733" i="187"/>
  <c r="L733" i="187"/>
  <c r="AG716" i="187"/>
  <c r="AG718" i="187"/>
  <c r="AF716" i="187"/>
  <c r="AE716" i="187"/>
  <c r="AE718" i="187"/>
  <c r="AD716" i="187"/>
  <c r="AC716" i="187"/>
  <c r="AC718" i="187"/>
  <c r="AA716" i="187"/>
  <c r="Z716" i="187"/>
  <c r="Y716" i="187"/>
  <c r="X716" i="187"/>
  <c r="W716" i="187"/>
  <c r="U716" i="187"/>
  <c r="T716" i="187"/>
  <c r="S716" i="187"/>
  <c r="R716" i="187"/>
  <c r="Q716" i="187"/>
  <c r="P716" i="187"/>
  <c r="O716" i="187"/>
  <c r="N716" i="187"/>
  <c r="M716" i="187"/>
  <c r="L716" i="187"/>
  <c r="AG699" i="187"/>
  <c r="AF699" i="187"/>
  <c r="AF701" i="187"/>
  <c r="AE699" i="187"/>
  <c r="AE701" i="187"/>
  <c r="AD699" i="187"/>
  <c r="AC699" i="187"/>
  <c r="AA699" i="187"/>
  <c r="AA701" i="187"/>
  <c r="Z699" i="187"/>
  <c r="Y699" i="187"/>
  <c r="X699" i="187"/>
  <c r="X701" i="187"/>
  <c r="W699" i="187"/>
  <c r="U699" i="187"/>
  <c r="T699" i="187"/>
  <c r="S699" i="187"/>
  <c r="S701" i="187"/>
  <c r="R699" i="187"/>
  <c r="R701" i="187"/>
  <c r="Q699" i="187"/>
  <c r="P699" i="187"/>
  <c r="O699" i="187"/>
  <c r="O701" i="187"/>
  <c r="N699" i="187"/>
  <c r="N701" i="187"/>
  <c r="M699" i="187"/>
  <c r="L699" i="187"/>
  <c r="AG682" i="187"/>
  <c r="AF682" i="187"/>
  <c r="AF684" i="187"/>
  <c r="AE682" i="187"/>
  <c r="AE684" i="187"/>
  <c r="AD682" i="187"/>
  <c r="AC682" i="187"/>
  <c r="AA682" i="187"/>
  <c r="AA684" i="187"/>
  <c r="Z682" i="187"/>
  <c r="Y682" i="187"/>
  <c r="X682" i="187"/>
  <c r="X684" i="187"/>
  <c r="W682" i="187"/>
  <c r="U682" i="187"/>
  <c r="T682" i="187"/>
  <c r="S682" i="187"/>
  <c r="S684" i="187"/>
  <c r="R682" i="187"/>
  <c r="R684" i="187"/>
  <c r="Q682" i="187"/>
  <c r="P682" i="187"/>
  <c r="O682" i="187"/>
  <c r="O684" i="187"/>
  <c r="N682" i="187"/>
  <c r="N684" i="187"/>
  <c r="M682" i="187"/>
  <c r="L682" i="187"/>
  <c r="AG665" i="187"/>
  <c r="AG667" i="187"/>
  <c r="AF665" i="187"/>
  <c r="AE665" i="187"/>
  <c r="AE667" i="187"/>
  <c r="AD665" i="187"/>
  <c r="AC665" i="187"/>
  <c r="AC667" i="187"/>
  <c r="AA665" i="187"/>
  <c r="Z665" i="187"/>
  <c r="Y665" i="187"/>
  <c r="Y667" i="187"/>
  <c r="X665" i="187"/>
  <c r="W665" i="187"/>
  <c r="U665" i="187"/>
  <c r="T665" i="187"/>
  <c r="T667" i="187"/>
  <c r="S665" i="187"/>
  <c r="R665" i="187"/>
  <c r="Q665" i="187"/>
  <c r="P665" i="187"/>
  <c r="P667" i="187"/>
  <c r="O665" i="187"/>
  <c r="N665" i="187"/>
  <c r="M665" i="187"/>
  <c r="L665" i="187"/>
  <c r="AG648" i="187"/>
  <c r="AG650" i="187"/>
  <c r="AF648" i="187"/>
  <c r="AE648" i="187"/>
  <c r="AE650" i="187"/>
  <c r="AD648" i="187"/>
  <c r="AC648" i="187"/>
  <c r="AC650" i="187"/>
  <c r="AA648" i="187"/>
  <c r="Z648" i="187"/>
  <c r="Y648" i="187"/>
  <c r="Y650" i="187"/>
  <c r="X648" i="187"/>
  <c r="W648" i="187"/>
  <c r="U648" i="187"/>
  <c r="T648" i="187"/>
  <c r="T650" i="187"/>
  <c r="S648" i="187"/>
  <c r="R648" i="187"/>
  <c r="Q648" i="187"/>
  <c r="P648" i="187"/>
  <c r="P650" i="187"/>
  <c r="O648" i="187"/>
  <c r="N648" i="187"/>
  <c r="M648" i="187"/>
  <c r="L648" i="187"/>
  <c r="AG631" i="187"/>
  <c r="AG633" i="187"/>
  <c r="AF631" i="187"/>
  <c r="AE631" i="187"/>
  <c r="AE633" i="187"/>
  <c r="AD631" i="187"/>
  <c r="AC631" i="187"/>
  <c r="AC633" i="187"/>
  <c r="AA631" i="187"/>
  <c r="Z631" i="187"/>
  <c r="Y631" i="187"/>
  <c r="Y633" i="187"/>
  <c r="X631" i="187"/>
  <c r="W631" i="187"/>
  <c r="U631" i="187"/>
  <c r="T631" i="187"/>
  <c r="T633" i="187"/>
  <c r="S631" i="187"/>
  <c r="R631" i="187"/>
  <c r="Q631" i="187"/>
  <c r="P631" i="187"/>
  <c r="P633" i="187"/>
  <c r="O631" i="187"/>
  <c r="N631" i="187"/>
  <c r="M631" i="187"/>
  <c r="L631" i="187"/>
  <c r="AG614" i="187"/>
  <c r="AF614" i="187"/>
  <c r="AF616" i="187"/>
  <c r="AE614" i="187"/>
  <c r="AE616" i="187"/>
  <c r="AD614" i="187"/>
  <c r="AC614" i="187"/>
  <c r="AA614" i="187"/>
  <c r="AA616" i="187"/>
  <c r="Z614" i="187"/>
  <c r="Y614" i="187"/>
  <c r="X614" i="187"/>
  <c r="X616" i="187"/>
  <c r="W614" i="187"/>
  <c r="U614" i="187"/>
  <c r="T614" i="187"/>
  <c r="S614" i="187"/>
  <c r="S616" i="187"/>
  <c r="R614" i="187"/>
  <c r="R616" i="187"/>
  <c r="Q614" i="187"/>
  <c r="P614" i="187"/>
  <c r="O614" i="187"/>
  <c r="O616" i="187"/>
  <c r="N614" i="187"/>
  <c r="N616" i="187"/>
  <c r="M614" i="187"/>
  <c r="L614" i="187"/>
  <c r="AG597" i="187"/>
  <c r="AF597" i="187"/>
  <c r="AF599" i="187"/>
  <c r="AE597" i="187"/>
  <c r="AE599" i="187"/>
  <c r="AD597" i="187"/>
  <c r="AC597" i="187"/>
  <c r="AA597" i="187"/>
  <c r="AA599" i="187"/>
  <c r="Z597" i="187"/>
  <c r="Y597" i="187"/>
  <c r="X597" i="187"/>
  <c r="X599" i="187"/>
  <c r="W597" i="187"/>
  <c r="U597" i="187"/>
  <c r="T597" i="187"/>
  <c r="S597" i="187"/>
  <c r="S599" i="187"/>
  <c r="R597" i="187"/>
  <c r="R599" i="187"/>
  <c r="Q597" i="187"/>
  <c r="P597" i="187"/>
  <c r="O597" i="187"/>
  <c r="O599" i="187"/>
  <c r="N597" i="187"/>
  <c r="N599" i="187"/>
  <c r="M597" i="187"/>
  <c r="L597" i="187"/>
  <c r="AG580" i="187"/>
  <c r="AF580" i="187"/>
  <c r="AF582" i="187"/>
  <c r="AE580" i="187"/>
  <c r="AE582" i="187"/>
  <c r="AD580" i="187"/>
  <c r="AD582" i="187"/>
  <c r="AC580" i="187"/>
  <c r="AA580" i="187"/>
  <c r="AA582" i="187"/>
  <c r="Z580" i="187"/>
  <c r="Z582" i="187"/>
  <c r="Y580" i="187"/>
  <c r="X580" i="187"/>
  <c r="W580" i="187"/>
  <c r="W582" i="187"/>
  <c r="U580" i="187"/>
  <c r="U582" i="187"/>
  <c r="T580" i="187"/>
  <c r="S580" i="187"/>
  <c r="R580" i="187"/>
  <c r="R582" i="187"/>
  <c r="Q580" i="187"/>
  <c r="Q582" i="187"/>
  <c r="P580" i="187"/>
  <c r="O580" i="187"/>
  <c r="N580" i="187"/>
  <c r="N582" i="187"/>
  <c r="M580" i="187"/>
  <c r="M582" i="187"/>
  <c r="L580" i="187"/>
  <c r="AG563" i="187"/>
  <c r="AF563" i="187"/>
  <c r="AE563" i="187"/>
  <c r="AE565" i="187"/>
  <c r="AD563" i="187"/>
  <c r="AC563" i="187"/>
  <c r="AA563" i="187"/>
  <c r="AA565" i="187"/>
  <c r="Z563" i="187"/>
  <c r="Y563" i="187"/>
  <c r="X563" i="187"/>
  <c r="W563" i="187"/>
  <c r="W565" i="187"/>
  <c r="U563" i="187"/>
  <c r="T563" i="187"/>
  <c r="S563" i="187"/>
  <c r="R563" i="187"/>
  <c r="R565" i="187"/>
  <c r="Q563" i="187"/>
  <c r="P563" i="187"/>
  <c r="O563" i="187"/>
  <c r="N563" i="187"/>
  <c r="N565" i="187"/>
  <c r="M563" i="187"/>
  <c r="L563" i="187"/>
  <c r="AG546" i="187"/>
  <c r="AF546" i="187"/>
  <c r="AF548" i="187"/>
  <c r="AE546" i="187"/>
  <c r="AE548" i="187"/>
  <c r="AD546" i="187"/>
  <c r="AC546" i="187"/>
  <c r="AA546" i="187"/>
  <c r="AA548" i="187"/>
  <c r="Z546" i="187"/>
  <c r="Y546" i="187"/>
  <c r="X546" i="187"/>
  <c r="X548" i="187"/>
  <c r="W546" i="187"/>
  <c r="U546" i="187"/>
  <c r="T546" i="187"/>
  <c r="S546" i="187"/>
  <c r="S548" i="187"/>
  <c r="R546" i="187"/>
  <c r="R548" i="187"/>
  <c r="Q546" i="187"/>
  <c r="P546" i="187"/>
  <c r="O546" i="187"/>
  <c r="O548" i="187"/>
  <c r="N546" i="187"/>
  <c r="N548" i="187"/>
  <c r="M546" i="187"/>
  <c r="L546" i="187"/>
  <c r="AG529" i="187"/>
  <c r="AF529" i="187"/>
  <c r="AF531" i="187"/>
  <c r="AE529" i="187"/>
  <c r="AE531" i="187"/>
  <c r="AD529" i="187"/>
  <c r="AC529" i="187"/>
  <c r="AA529" i="187"/>
  <c r="AA531" i="187"/>
  <c r="Z529" i="187"/>
  <c r="Y529" i="187"/>
  <c r="X529" i="187"/>
  <c r="X531" i="187"/>
  <c r="W529" i="187"/>
  <c r="U529" i="187"/>
  <c r="T529" i="187"/>
  <c r="S529" i="187"/>
  <c r="S531" i="187"/>
  <c r="R529" i="187"/>
  <c r="R531" i="187"/>
  <c r="Q529" i="187"/>
  <c r="P529" i="187"/>
  <c r="O529" i="187"/>
  <c r="O531" i="187"/>
  <c r="N529" i="187"/>
  <c r="N531" i="187"/>
  <c r="M529" i="187"/>
  <c r="L529" i="187"/>
  <c r="AG512" i="187"/>
  <c r="AF512" i="187"/>
  <c r="AF514" i="187"/>
  <c r="AE512" i="187"/>
  <c r="AE514" i="187"/>
  <c r="AD512" i="187"/>
  <c r="AC512" i="187"/>
  <c r="AA512" i="187"/>
  <c r="AA514" i="187"/>
  <c r="Z512" i="187"/>
  <c r="Y512" i="187"/>
  <c r="X512" i="187"/>
  <c r="X514" i="187"/>
  <c r="W512" i="187"/>
  <c r="U512" i="187"/>
  <c r="T512" i="187"/>
  <c r="S512" i="187"/>
  <c r="S514" i="187"/>
  <c r="R512" i="187"/>
  <c r="R514" i="187"/>
  <c r="Q512" i="187"/>
  <c r="P512" i="187"/>
  <c r="O512" i="187"/>
  <c r="O514" i="187"/>
  <c r="N512" i="187"/>
  <c r="N514" i="187"/>
  <c r="M512" i="187"/>
  <c r="L512" i="187"/>
  <c r="AG495" i="187"/>
  <c r="AG497" i="187"/>
  <c r="AF495" i="187"/>
  <c r="AE495" i="187"/>
  <c r="AE497" i="187"/>
  <c r="AD495" i="187"/>
  <c r="AC495" i="187"/>
  <c r="AC497" i="187"/>
  <c r="AA495" i="187"/>
  <c r="Z495" i="187"/>
  <c r="Y495" i="187"/>
  <c r="Y497" i="187"/>
  <c r="X495" i="187"/>
  <c r="W495" i="187"/>
  <c r="U495" i="187"/>
  <c r="T495" i="187"/>
  <c r="T497" i="187"/>
  <c r="S495" i="187"/>
  <c r="R495" i="187"/>
  <c r="Q495" i="187"/>
  <c r="P495" i="187"/>
  <c r="P497" i="187"/>
  <c r="O495" i="187"/>
  <c r="N495" i="187"/>
  <c r="M495" i="187"/>
  <c r="L495" i="187"/>
  <c r="AG478" i="187"/>
  <c r="AG480" i="187"/>
  <c r="AF478" i="187"/>
  <c r="AE478" i="187"/>
  <c r="AE480" i="187"/>
  <c r="AD478" i="187"/>
  <c r="AC478" i="187"/>
  <c r="AC480" i="187"/>
  <c r="AA478" i="187"/>
  <c r="Z478" i="187"/>
  <c r="Y478" i="187"/>
  <c r="Y480" i="187"/>
  <c r="X478" i="187"/>
  <c r="W478" i="187"/>
  <c r="U478" i="187"/>
  <c r="T478" i="187"/>
  <c r="T480" i="187"/>
  <c r="S478" i="187"/>
  <c r="R478" i="187"/>
  <c r="Q478" i="187"/>
  <c r="P478" i="187"/>
  <c r="P480" i="187"/>
  <c r="O478" i="187"/>
  <c r="N478" i="187"/>
  <c r="M478" i="187"/>
  <c r="L478" i="187"/>
  <c r="AG461" i="187"/>
  <c r="AF461" i="187"/>
  <c r="AF463" i="187"/>
  <c r="AE461" i="187"/>
  <c r="AE463" i="187"/>
  <c r="AD461" i="187"/>
  <c r="AD463" i="187"/>
  <c r="AC461" i="187"/>
  <c r="AA461" i="187"/>
  <c r="AA463" i="187"/>
  <c r="Z461" i="187"/>
  <c r="Z463" i="187"/>
  <c r="Y461" i="187"/>
  <c r="X461" i="187"/>
  <c r="W461" i="187"/>
  <c r="W463" i="187"/>
  <c r="U461" i="187"/>
  <c r="U463" i="187"/>
  <c r="T461" i="187"/>
  <c r="S461" i="187"/>
  <c r="R461" i="187"/>
  <c r="R463" i="187"/>
  <c r="Q461" i="187"/>
  <c r="Q463" i="187"/>
  <c r="P461" i="187"/>
  <c r="O461" i="187"/>
  <c r="N461" i="187"/>
  <c r="N463" i="187"/>
  <c r="M461" i="187"/>
  <c r="M463" i="187"/>
  <c r="L461" i="187"/>
  <c r="AG444" i="187"/>
  <c r="AF444" i="187"/>
  <c r="AF446" i="187"/>
  <c r="AE444" i="187"/>
  <c r="AE446" i="187"/>
  <c r="AD444" i="187"/>
  <c r="AC444" i="187"/>
  <c r="AA444" i="187"/>
  <c r="AA446" i="187"/>
  <c r="Z444" i="187"/>
  <c r="Y444" i="187"/>
  <c r="X444" i="187"/>
  <c r="X446" i="187"/>
  <c r="W444" i="187"/>
  <c r="U444" i="187"/>
  <c r="T444" i="187"/>
  <c r="S444" i="187"/>
  <c r="S446" i="187"/>
  <c r="R444" i="187"/>
  <c r="R446" i="187"/>
  <c r="Q444" i="187"/>
  <c r="P444" i="187"/>
  <c r="O444" i="187"/>
  <c r="O446" i="187"/>
  <c r="N444" i="187"/>
  <c r="N446" i="187"/>
  <c r="M444" i="187"/>
  <c r="L444" i="187"/>
  <c r="AG427" i="187"/>
  <c r="AF427" i="187"/>
  <c r="AF429" i="187"/>
  <c r="AE427" i="187"/>
  <c r="AE429" i="187"/>
  <c r="AD427" i="187"/>
  <c r="AC427" i="187"/>
  <c r="AA427" i="187"/>
  <c r="AA429" i="187"/>
  <c r="Z427" i="187"/>
  <c r="Y427" i="187"/>
  <c r="X427" i="187"/>
  <c r="X429" i="187"/>
  <c r="W427" i="187"/>
  <c r="U427" i="187"/>
  <c r="T427" i="187"/>
  <c r="S427" i="187"/>
  <c r="S429" i="187"/>
  <c r="R427" i="187"/>
  <c r="R429" i="187"/>
  <c r="Q427" i="187"/>
  <c r="P427" i="187"/>
  <c r="O427" i="187"/>
  <c r="O429" i="187"/>
  <c r="N427" i="187"/>
  <c r="N429" i="187"/>
  <c r="M427" i="187"/>
  <c r="L427" i="187"/>
  <c r="AG410" i="187"/>
  <c r="AF410" i="187"/>
  <c r="AF412" i="187"/>
  <c r="AE410" i="187"/>
  <c r="AE412" i="187"/>
  <c r="AD410" i="187"/>
  <c r="AC410" i="187"/>
  <c r="AA410" i="187"/>
  <c r="AA412" i="187"/>
  <c r="Z410" i="187"/>
  <c r="Y410" i="187"/>
  <c r="X410" i="187"/>
  <c r="X412" i="187"/>
  <c r="W410" i="187"/>
  <c r="U410" i="187"/>
  <c r="T410" i="187"/>
  <c r="S410" i="187"/>
  <c r="S412" i="187"/>
  <c r="R410" i="187"/>
  <c r="R412" i="187"/>
  <c r="Q410" i="187"/>
  <c r="P410" i="187"/>
  <c r="O410" i="187"/>
  <c r="O412" i="187"/>
  <c r="N410" i="187"/>
  <c r="N412" i="187"/>
  <c r="M410" i="187"/>
  <c r="L410" i="187"/>
  <c r="AG393" i="187"/>
  <c r="AF393" i="187"/>
  <c r="AF395" i="187"/>
  <c r="AE393" i="187"/>
  <c r="AE395" i="187"/>
  <c r="AD393" i="187"/>
  <c r="AC393" i="187"/>
  <c r="AA393" i="187"/>
  <c r="AA395" i="187"/>
  <c r="Z393" i="187"/>
  <c r="Y393" i="187"/>
  <c r="X393" i="187"/>
  <c r="X395" i="187"/>
  <c r="W393" i="187"/>
  <c r="W395" i="187"/>
  <c r="U393" i="187"/>
  <c r="T393" i="187"/>
  <c r="S393" i="187"/>
  <c r="S395" i="187"/>
  <c r="R393" i="187"/>
  <c r="R395" i="187"/>
  <c r="Q393" i="187"/>
  <c r="P393" i="187"/>
  <c r="O393" i="187"/>
  <c r="O395" i="187"/>
  <c r="N393" i="187"/>
  <c r="N395" i="187"/>
  <c r="M393" i="187"/>
  <c r="L393" i="187"/>
  <c r="AG376" i="187"/>
  <c r="AF376" i="187"/>
  <c r="AF378" i="187"/>
  <c r="AE376" i="187"/>
  <c r="AE378" i="187"/>
  <c r="AD376" i="187"/>
  <c r="AC376" i="187"/>
  <c r="AA376" i="187"/>
  <c r="AA378" i="187"/>
  <c r="Z376" i="187"/>
  <c r="Y376" i="187"/>
  <c r="X376" i="187"/>
  <c r="X378" i="187"/>
  <c r="W376" i="187"/>
  <c r="U376" i="187"/>
  <c r="T376" i="187"/>
  <c r="S376" i="187"/>
  <c r="S378" i="187"/>
  <c r="R376" i="187"/>
  <c r="R378" i="187"/>
  <c r="Q376" i="187"/>
  <c r="P376" i="187"/>
  <c r="O376" i="187"/>
  <c r="O378" i="187"/>
  <c r="N376" i="187"/>
  <c r="N378" i="187"/>
  <c r="M376" i="187"/>
  <c r="L376" i="187"/>
  <c r="AG359" i="187"/>
  <c r="AG361" i="187"/>
  <c r="AF359" i="187"/>
  <c r="AE359" i="187"/>
  <c r="AE361" i="187"/>
  <c r="AD359" i="187"/>
  <c r="AC359" i="187"/>
  <c r="AC361" i="187"/>
  <c r="AA359" i="187"/>
  <c r="Z359" i="187"/>
  <c r="Y359" i="187"/>
  <c r="X359" i="187"/>
  <c r="W359" i="187"/>
  <c r="U359" i="187"/>
  <c r="T359" i="187"/>
  <c r="S359" i="187"/>
  <c r="R359" i="187"/>
  <c r="Q359" i="187"/>
  <c r="P359" i="187"/>
  <c r="O359" i="187"/>
  <c r="N359" i="187"/>
  <c r="M359" i="187"/>
  <c r="L359" i="187"/>
  <c r="AG342" i="187"/>
  <c r="AF342" i="187"/>
  <c r="AF344" i="187"/>
  <c r="AE342" i="187"/>
  <c r="AE344" i="187"/>
  <c r="AD342" i="187"/>
  <c r="AC342" i="187"/>
  <c r="AA342" i="187"/>
  <c r="AA344" i="187"/>
  <c r="Z342" i="187"/>
  <c r="Y342" i="187"/>
  <c r="X342" i="187"/>
  <c r="X344" i="187"/>
  <c r="W342" i="187"/>
  <c r="U342" i="187"/>
  <c r="T342" i="187"/>
  <c r="S342" i="187"/>
  <c r="S344" i="187"/>
  <c r="R342" i="187"/>
  <c r="R344" i="187"/>
  <c r="Q342" i="187"/>
  <c r="P342" i="187"/>
  <c r="O342" i="187"/>
  <c r="O344" i="187"/>
  <c r="N342" i="187"/>
  <c r="N344" i="187"/>
  <c r="M342" i="187"/>
  <c r="L342" i="187"/>
  <c r="AG325" i="187"/>
  <c r="AF325" i="187"/>
  <c r="AE325" i="187"/>
  <c r="AE327" i="187"/>
  <c r="AD325" i="187"/>
  <c r="AC325" i="187"/>
  <c r="AA325" i="187"/>
  <c r="AA327" i="187"/>
  <c r="Z325" i="187"/>
  <c r="Y325" i="187"/>
  <c r="X325" i="187"/>
  <c r="W325" i="187"/>
  <c r="W327" i="187"/>
  <c r="U325" i="187"/>
  <c r="T325" i="187"/>
  <c r="S325" i="187"/>
  <c r="R325" i="187"/>
  <c r="R327" i="187"/>
  <c r="Q325" i="187"/>
  <c r="P325" i="187"/>
  <c r="O325" i="187"/>
  <c r="N325" i="187"/>
  <c r="N327" i="187"/>
  <c r="M325" i="187"/>
  <c r="L325" i="187"/>
  <c r="AG308" i="187"/>
  <c r="AF308" i="187"/>
  <c r="AF310" i="187"/>
  <c r="AE308" i="187"/>
  <c r="AE310" i="187"/>
  <c r="AD308" i="187"/>
  <c r="AC308" i="187"/>
  <c r="AA308" i="187"/>
  <c r="AA310" i="187"/>
  <c r="Z308" i="187"/>
  <c r="Y308" i="187"/>
  <c r="X308" i="187"/>
  <c r="X310" i="187"/>
  <c r="W308" i="187"/>
  <c r="U308" i="187"/>
  <c r="T308" i="187"/>
  <c r="S308" i="187"/>
  <c r="S310" i="187"/>
  <c r="R308" i="187"/>
  <c r="R310" i="187"/>
  <c r="Q308" i="187"/>
  <c r="P308" i="187"/>
  <c r="O308" i="187"/>
  <c r="O310" i="187"/>
  <c r="N308" i="187"/>
  <c r="N310" i="187"/>
  <c r="M308" i="187"/>
  <c r="L308" i="187"/>
  <c r="AG291" i="187"/>
  <c r="AF291" i="187"/>
  <c r="AF293" i="187"/>
  <c r="AE291" i="187"/>
  <c r="AE293" i="187"/>
  <c r="AD291" i="187"/>
  <c r="AC291" i="187"/>
  <c r="AA291" i="187"/>
  <c r="AA293" i="187"/>
  <c r="Z291" i="187"/>
  <c r="Y291" i="187"/>
  <c r="X291" i="187"/>
  <c r="X293" i="187"/>
  <c r="W291" i="187"/>
  <c r="U291" i="187"/>
  <c r="T291" i="187"/>
  <c r="S291" i="187"/>
  <c r="S293" i="187"/>
  <c r="R291" i="187"/>
  <c r="R293" i="187"/>
  <c r="Q291" i="187"/>
  <c r="P291" i="187"/>
  <c r="O291" i="187"/>
  <c r="O293" i="187"/>
  <c r="N291" i="187"/>
  <c r="N293" i="187"/>
  <c r="M291" i="187"/>
  <c r="L291" i="187"/>
  <c r="AG274" i="187"/>
  <c r="AF274" i="187"/>
  <c r="AF276" i="187"/>
  <c r="AE274" i="187"/>
  <c r="AE276" i="187"/>
  <c r="AD274" i="187"/>
  <c r="AC274" i="187"/>
  <c r="AA274" i="187"/>
  <c r="AA276" i="187"/>
  <c r="Z274" i="187"/>
  <c r="Y274" i="187"/>
  <c r="X274" i="187"/>
  <c r="X276" i="187"/>
  <c r="W274" i="187"/>
  <c r="U274" i="187"/>
  <c r="T274" i="187"/>
  <c r="S274" i="187"/>
  <c r="S276" i="187"/>
  <c r="R274" i="187"/>
  <c r="R276" i="187"/>
  <c r="Q274" i="187"/>
  <c r="P274" i="187"/>
  <c r="O274" i="187"/>
  <c r="O276" i="187"/>
  <c r="N274" i="187"/>
  <c r="N276" i="187"/>
  <c r="M274" i="187"/>
  <c r="L274" i="187"/>
  <c r="AG257" i="187"/>
  <c r="AG259" i="187"/>
  <c r="AF257" i="187"/>
  <c r="AF259" i="187"/>
  <c r="AE257" i="187"/>
  <c r="AE259" i="187"/>
  <c r="AD257" i="187"/>
  <c r="AC257" i="187"/>
  <c r="AC259" i="187"/>
  <c r="AA257" i="187"/>
  <c r="AA259" i="187"/>
  <c r="Z257" i="187"/>
  <c r="Y257" i="187"/>
  <c r="X257" i="187"/>
  <c r="X259" i="187"/>
  <c r="W257" i="187"/>
  <c r="W259" i="187"/>
  <c r="U257" i="187"/>
  <c r="T257" i="187"/>
  <c r="S257" i="187"/>
  <c r="S259" i="187"/>
  <c r="R257" i="187"/>
  <c r="R259" i="187"/>
  <c r="Q257" i="187"/>
  <c r="P257" i="187"/>
  <c r="O257" i="187"/>
  <c r="O259" i="187"/>
  <c r="N257" i="187"/>
  <c r="N259" i="187"/>
  <c r="M257" i="187"/>
  <c r="L257" i="187"/>
  <c r="AG240" i="187"/>
  <c r="AF240" i="187"/>
  <c r="AF242" i="187"/>
  <c r="AE240" i="187"/>
  <c r="AE242" i="187"/>
  <c r="AD240" i="187"/>
  <c r="AC240" i="187"/>
  <c r="AA240" i="187"/>
  <c r="AA242" i="187"/>
  <c r="Z240" i="187"/>
  <c r="Y240" i="187"/>
  <c r="X240" i="187"/>
  <c r="X242" i="187"/>
  <c r="W240" i="187"/>
  <c r="U240" i="187"/>
  <c r="T240" i="187"/>
  <c r="S240" i="187"/>
  <c r="S242" i="187"/>
  <c r="R240" i="187"/>
  <c r="R242" i="187"/>
  <c r="Q240" i="187"/>
  <c r="P240" i="187"/>
  <c r="O240" i="187"/>
  <c r="O242" i="187"/>
  <c r="N240" i="187"/>
  <c r="N242" i="187"/>
  <c r="M240" i="187"/>
  <c r="L240" i="187"/>
  <c r="AG223" i="187"/>
  <c r="AF223" i="187"/>
  <c r="AF225" i="187"/>
  <c r="AE223" i="187"/>
  <c r="AE225" i="187"/>
  <c r="AD223" i="187"/>
  <c r="AC223" i="187"/>
  <c r="AA223" i="187"/>
  <c r="AA225" i="187"/>
  <c r="Z223" i="187"/>
  <c r="Y223" i="187"/>
  <c r="X223" i="187"/>
  <c r="X225" i="187"/>
  <c r="W223" i="187"/>
  <c r="U223" i="187"/>
  <c r="T223" i="187"/>
  <c r="S223" i="187"/>
  <c r="S225" i="187"/>
  <c r="R223" i="187"/>
  <c r="R225" i="187"/>
  <c r="Q223" i="187"/>
  <c r="P223" i="187"/>
  <c r="O223" i="187"/>
  <c r="O225" i="187"/>
  <c r="N223" i="187"/>
  <c r="N225" i="187"/>
  <c r="M223" i="187"/>
  <c r="L223" i="187"/>
  <c r="AG206" i="187"/>
  <c r="AG208" i="187"/>
  <c r="AF206" i="187"/>
  <c r="AE206" i="187"/>
  <c r="AE208" i="187"/>
  <c r="AD206" i="187"/>
  <c r="AC206" i="187"/>
  <c r="AC208" i="187"/>
  <c r="AA206" i="187"/>
  <c r="Z206" i="187"/>
  <c r="Y206" i="187"/>
  <c r="Y208" i="187"/>
  <c r="X206" i="187"/>
  <c r="W206" i="187"/>
  <c r="U206" i="187"/>
  <c r="T206" i="187"/>
  <c r="T208" i="187"/>
  <c r="S206" i="187"/>
  <c r="R206" i="187"/>
  <c r="Q206" i="187"/>
  <c r="P206" i="187"/>
  <c r="P208" i="187"/>
  <c r="O206" i="187"/>
  <c r="N206" i="187"/>
  <c r="M206" i="187"/>
  <c r="L206" i="187"/>
  <c r="AG189" i="187"/>
  <c r="AG191" i="187"/>
  <c r="AF189" i="187"/>
  <c r="AE189" i="187"/>
  <c r="AE191" i="187"/>
  <c r="AD189" i="187"/>
  <c r="AC189" i="187"/>
  <c r="AC191" i="187"/>
  <c r="AA189" i="187"/>
  <c r="Z189" i="187"/>
  <c r="Y189" i="187"/>
  <c r="Y191" i="187"/>
  <c r="X189" i="187"/>
  <c r="W189" i="187"/>
  <c r="U189" i="187"/>
  <c r="T189" i="187"/>
  <c r="T191" i="187"/>
  <c r="S189" i="187"/>
  <c r="R189" i="187"/>
  <c r="Q189" i="187"/>
  <c r="P189" i="187"/>
  <c r="P191" i="187"/>
  <c r="O189" i="187"/>
  <c r="N189" i="187"/>
  <c r="M189" i="187"/>
  <c r="L189" i="187"/>
  <c r="AG172" i="187"/>
  <c r="AF172" i="187"/>
  <c r="AF174" i="187"/>
  <c r="AE172" i="187"/>
  <c r="AE174" i="187"/>
  <c r="AD172" i="187"/>
  <c r="AC172" i="187"/>
  <c r="AA172" i="187"/>
  <c r="AA174" i="187"/>
  <c r="Z172" i="187"/>
  <c r="Y172" i="187"/>
  <c r="X172" i="187"/>
  <c r="X174" i="187"/>
  <c r="W172" i="187"/>
  <c r="U172" i="187"/>
  <c r="T172" i="187"/>
  <c r="S172" i="187"/>
  <c r="S174" i="187"/>
  <c r="R172" i="187"/>
  <c r="R174" i="187"/>
  <c r="Q172" i="187"/>
  <c r="P172" i="187"/>
  <c r="O172" i="187"/>
  <c r="O174" i="187"/>
  <c r="N172" i="187"/>
  <c r="N174" i="187"/>
  <c r="M172" i="187"/>
  <c r="L172" i="187"/>
  <c r="AG155" i="187"/>
  <c r="AF155" i="187"/>
  <c r="AF157" i="187"/>
  <c r="AE155" i="187"/>
  <c r="AE157" i="187"/>
  <c r="AD155" i="187"/>
  <c r="AC155" i="187"/>
  <c r="AA155" i="187"/>
  <c r="AA157" i="187"/>
  <c r="Z155" i="187"/>
  <c r="Y155" i="187"/>
  <c r="X155" i="187"/>
  <c r="X157" i="187"/>
  <c r="W155" i="187"/>
  <c r="U155" i="187"/>
  <c r="T155" i="187"/>
  <c r="S155" i="187"/>
  <c r="S157" i="187"/>
  <c r="R155" i="187"/>
  <c r="R157" i="187"/>
  <c r="Q155" i="187"/>
  <c r="P155" i="187"/>
  <c r="O155" i="187"/>
  <c r="O157" i="187"/>
  <c r="N155" i="187"/>
  <c r="N157" i="187"/>
  <c r="M155" i="187"/>
  <c r="L155" i="187"/>
  <c r="AG138" i="187"/>
  <c r="AF138" i="187"/>
  <c r="AF140" i="187"/>
  <c r="AE138" i="187"/>
  <c r="AE140" i="187"/>
  <c r="AD138" i="187"/>
  <c r="AC138" i="187"/>
  <c r="AA138" i="187"/>
  <c r="AA140" i="187"/>
  <c r="Z138" i="187"/>
  <c r="Y138" i="187"/>
  <c r="X138" i="187"/>
  <c r="X140" i="187"/>
  <c r="W138" i="187"/>
  <c r="U138" i="187"/>
  <c r="T138" i="187"/>
  <c r="S138" i="187"/>
  <c r="S140" i="187"/>
  <c r="R138" i="187"/>
  <c r="R140" i="187"/>
  <c r="Q138" i="187"/>
  <c r="P138" i="187"/>
  <c r="O138" i="187"/>
  <c r="O140" i="187"/>
  <c r="N138" i="187"/>
  <c r="N140" i="187"/>
  <c r="M138" i="187"/>
  <c r="L138" i="187"/>
  <c r="AG121" i="187"/>
  <c r="AF121" i="187"/>
  <c r="AF123" i="187"/>
  <c r="AE121" i="187"/>
  <c r="AE123" i="187"/>
  <c r="AD121" i="187"/>
  <c r="AD123" i="187"/>
  <c r="AC121" i="187"/>
  <c r="AA121" i="187"/>
  <c r="AA123" i="187"/>
  <c r="Z121" i="187"/>
  <c r="Z123" i="187"/>
  <c r="Y121" i="187"/>
  <c r="X121" i="187"/>
  <c r="W121" i="187"/>
  <c r="W123" i="187"/>
  <c r="U121" i="187"/>
  <c r="U123" i="187"/>
  <c r="T121" i="187"/>
  <c r="S121" i="187"/>
  <c r="R121" i="187"/>
  <c r="R123" i="187"/>
  <c r="Q121" i="187"/>
  <c r="Q123" i="187"/>
  <c r="P121" i="187"/>
  <c r="O121" i="187"/>
  <c r="N121" i="187"/>
  <c r="N123" i="187"/>
  <c r="M121" i="187"/>
  <c r="M123" i="187"/>
  <c r="L121" i="187"/>
  <c r="AG104" i="187"/>
  <c r="AF104" i="187"/>
  <c r="AF106" i="187"/>
  <c r="AE104" i="187"/>
  <c r="AE106" i="187"/>
  <c r="AD104" i="187"/>
  <c r="AC104" i="187"/>
  <c r="AA104" i="187"/>
  <c r="AA106" i="187"/>
  <c r="Z104" i="187"/>
  <c r="Y104" i="187"/>
  <c r="X104" i="187"/>
  <c r="X106" i="187"/>
  <c r="W104" i="187"/>
  <c r="U104" i="187"/>
  <c r="T104" i="187"/>
  <c r="S104" i="187"/>
  <c r="S106" i="187"/>
  <c r="R104" i="187"/>
  <c r="R106" i="187"/>
  <c r="Q104" i="187"/>
  <c r="P104" i="187"/>
  <c r="O104" i="187"/>
  <c r="O106" i="187"/>
  <c r="N104" i="187"/>
  <c r="N106" i="187"/>
  <c r="M104" i="187"/>
  <c r="L104" i="187"/>
  <c r="AG87" i="187"/>
  <c r="AF87" i="187"/>
  <c r="AF89" i="187"/>
  <c r="AE87" i="187"/>
  <c r="AE89" i="187"/>
  <c r="AD87" i="187"/>
  <c r="AC87" i="187"/>
  <c r="AA87" i="187"/>
  <c r="AA89" i="187"/>
  <c r="Z87" i="187"/>
  <c r="Y87" i="187"/>
  <c r="X87" i="187"/>
  <c r="X89" i="187"/>
  <c r="W87" i="187"/>
  <c r="U87" i="187"/>
  <c r="T87" i="187"/>
  <c r="S87" i="187"/>
  <c r="S89" i="187"/>
  <c r="R87" i="187"/>
  <c r="R89" i="187"/>
  <c r="Q87" i="187"/>
  <c r="P87" i="187"/>
  <c r="O87" i="187"/>
  <c r="O89" i="187"/>
  <c r="N87" i="187"/>
  <c r="N89" i="187"/>
  <c r="M87" i="187"/>
  <c r="L87" i="187"/>
  <c r="AG70" i="187"/>
  <c r="AF70" i="187"/>
  <c r="AF72" i="187"/>
  <c r="AE70" i="187"/>
  <c r="AE72" i="187"/>
  <c r="AD70" i="187"/>
  <c r="AD72" i="187"/>
  <c r="AC70" i="187"/>
  <c r="AA70" i="187"/>
  <c r="AA72" i="187"/>
  <c r="Z70" i="187"/>
  <c r="Z72" i="187"/>
  <c r="Y70" i="187"/>
  <c r="X70" i="187"/>
  <c r="W70" i="187"/>
  <c r="W72" i="187"/>
  <c r="U70" i="187"/>
  <c r="U72" i="187"/>
  <c r="T70" i="187"/>
  <c r="S70" i="187"/>
  <c r="R70" i="187"/>
  <c r="R72" i="187"/>
  <c r="Q70" i="187"/>
  <c r="Q72" i="187"/>
  <c r="P70" i="187"/>
  <c r="O70" i="187"/>
  <c r="N70" i="187"/>
  <c r="N72" i="187"/>
  <c r="M70" i="187"/>
  <c r="M72" i="187"/>
  <c r="L70" i="187"/>
  <c r="AG53" i="187"/>
  <c r="AF53" i="187"/>
  <c r="AF55" i="187"/>
  <c r="AE53" i="187"/>
  <c r="AE55" i="187"/>
  <c r="AD53" i="187"/>
  <c r="AC53" i="187"/>
  <c r="AA53" i="187"/>
  <c r="AA55" i="187"/>
  <c r="Z53" i="187"/>
  <c r="Y53" i="187"/>
  <c r="X53" i="187"/>
  <c r="X55" i="187"/>
  <c r="W53" i="187"/>
  <c r="U53" i="187"/>
  <c r="T53" i="187"/>
  <c r="S53" i="187"/>
  <c r="S55" i="187"/>
  <c r="R53" i="187"/>
  <c r="R55" i="187"/>
  <c r="Q53" i="187"/>
  <c r="P53" i="187"/>
  <c r="O53" i="187"/>
  <c r="O55" i="187"/>
  <c r="N53" i="187"/>
  <c r="N55" i="187"/>
  <c r="M53" i="187"/>
  <c r="L53" i="187"/>
  <c r="AH53" i="187"/>
  <c r="AB36" i="187"/>
  <c r="AG36" i="187"/>
  <c r="AF36" i="187"/>
  <c r="AE36" i="187"/>
  <c r="AE38" i="187"/>
  <c r="AD36" i="187"/>
  <c r="AD38" i="187"/>
  <c r="AC36" i="187"/>
  <c r="AA36" i="187"/>
  <c r="Z36" i="187"/>
  <c r="Y36" i="187"/>
  <c r="X36" i="187"/>
  <c r="W36" i="187"/>
  <c r="U36" i="187"/>
  <c r="T36" i="187"/>
  <c r="S36" i="187"/>
  <c r="R36" i="187"/>
  <c r="R38" i="187"/>
  <c r="Q36" i="187"/>
  <c r="P36" i="187"/>
  <c r="O36" i="187"/>
  <c r="O38" i="187"/>
  <c r="N36" i="187"/>
  <c r="M36" i="187"/>
  <c r="L36" i="187"/>
  <c r="G865" i="187"/>
  <c r="AD837" i="187"/>
  <c r="Z837" i="187"/>
  <c r="Y837" i="187"/>
  <c r="U837" i="187"/>
  <c r="T837" i="187"/>
  <c r="Q837" i="187"/>
  <c r="P837" i="187"/>
  <c r="M837" i="187"/>
  <c r="L837" i="187"/>
  <c r="AG820" i="187"/>
  <c r="AF820" i="187"/>
  <c r="AD820" i="187"/>
  <c r="AC820" i="187"/>
  <c r="Z820" i="187"/>
  <c r="Y820" i="187"/>
  <c r="X820" i="187"/>
  <c r="U820" i="187"/>
  <c r="T820" i="187"/>
  <c r="S820" i="187"/>
  <c r="Q820" i="187"/>
  <c r="P820" i="187"/>
  <c r="O820" i="187"/>
  <c r="M820" i="187"/>
  <c r="L820" i="187"/>
  <c r="AG786" i="187"/>
  <c r="AD786" i="187"/>
  <c r="AC786" i="187"/>
  <c r="Z786" i="187"/>
  <c r="Y786" i="187"/>
  <c r="U786" i="187"/>
  <c r="T786" i="187"/>
  <c r="Q786" i="187"/>
  <c r="P786" i="187"/>
  <c r="M786" i="187"/>
  <c r="L786" i="187"/>
  <c r="AG769" i="187"/>
  <c r="AD769" i="187"/>
  <c r="AC769" i="187"/>
  <c r="Z769" i="187"/>
  <c r="Y769" i="187"/>
  <c r="U769" i="187"/>
  <c r="T769" i="187"/>
  <c r="Q769" i="187"/>
  <c r="P769" i="187"/>
  <c r="M769" i="187"/>
  <c r="L769" i="187"/>
  <c r="AG752" i="187"/>
  <c r="AF752" i="187"/>
  <c r="AD752" i="187"/>
  <c r="AC752" i="187"/>
  <c r="Z752" i="187"/>
  <c r="Y752" i="187"/>
  <c r="X752" i="187"/>
  <c r="U752" i="187"/>
  <c r="T752" i="187"/>
  <c r="S752" i="187"/>
  <c r="Q752" i="187"/>
  <c r="P752" i="187"/>
  <c r="O752" i="187"/>
  <c r="M752" i="187"/>
  <c r="L752" i="187"/>
  <c r="AG735" i="187"/>
  <c r="AD735" i="187"/>
  <c r="AC735" i="187"/>
  <c r="Z735" i="187"/>
  <c r="Y735" i="187"/>
  <c r="U735" i="187"/>
  <c r="T735" i="187"/>
  <c r="Q735" i="187"/>
  <c r="P735" i="187"/>
  <c r="M735" i="187"/>
  <c r="L735" i="187"/>
  <c r="AF718" i="187"/>
  <c r="AD718" i="187"/>
  <c r="AA718" i="187"/>
  <c r="Z718" i="187"/>
  <c r="Y718" i="187"/>
  <c r="X718" i="187"/>
  <c r="W718" i="187"/>
  <c r="U718" i="187"/>
  <c r="T718" i="187"/>
  <c r="S718" i="187"/>
  <c r="R718" i="187"/>
  <c r="Q718" i="187"/>
  <c r="P718" i="187"/>
  <c r="O718" i="187"/>
  <c r="N718" i="187"/>
  <c r="M718" i="187"/>
  <c r="L718" i="187"/>
  <c r="AG701" i="187"/>
  <c r="AD701" i="187"/>
  <c r="AC701" i="187"/>
  <c r="Z701" i="187"/>
  <c r="Y701" i="187"/>
  <c r="U701" i="187"/>
  <c r="T701" i="187"/>
  <c r="Q701" i="187"/>
  <c r="P701" i="187"/>
  <c r="M701" i="187"/>
  <c r="L701" i="187"/>
  <c r="AG684" i="187"/>
  <c r="AD684" i="187"/>
  <c r="AC684" i="187"/>
  <c r="Z684" i="187"/>
  <c r="Y684" i="187"/>
  <c r="U684" i="187"/>
  <c r="T684" i="187"/>
  <c r="Q684" i="187"/>
  <c r="P684" i="187"/>
  <c r="M684" i="187"/>
  <c r="L684" i="187"/>
  <c r="AF667" i="187"/>
  <c r="AD667" i="187"/>
  <c r="AA667" i="187"/>
  <c r="Z667" i="187"/>
  <c r="X667" i="187"/>
  <c r="W667" i="187"/>
  <c r="U667" i="187"/>
  <c r="S667" i="187"/>
  <c r="R667" i="187"/>
  <c r="Q667" i="187"/>
  <c r="O667" i="187"/>
  <c r="N667" i="187"/>
  <c r="M667" i="187"/>
  <c r="AF650" i="187"/>
  <c r="AD650" i="187"/>
  <c r="AA650" i="187"/>
  <c r="Z650" i="187"/>
  <c r="X650" i="187"/>
  <c r="W650" i="187"/>
  <c r="U650" i="187"/>
  <c r="S650" i="187"/>
  <c r="R650" i="187"/>
  <c r="Q650" i="187"/>
  <c r="O650" i="187"/>
  <c r="N650" i="187"/>
  <c r="M650" i="187"/>
  <c r="AF633" i="187"/>
  <c r="AD633" i="187"/>
  <c r="AA633" i="187"/>
  <c r="Z633" i="187"/>
  <c r="X633" i="187"/>
  <c r="W633" i="187"/>
  <c r="U633" i="187"/>
  <c r="S633" i="187"/>
  <c r="R633" i="187"/>
  <c r="Q633" i="187"/>
  <c r="O633" i="187"/>
  <c r="N633" i="187"/>
  <c r="M633" i="187"/>
  <c r="AG616" i="187"/>
  <c r="AD616" i="187"/>
  <c r="AC616" i="187"/>
  <c r="Z616" i="187"/>
  <c r="Y616" i="187"/>
  <c r="U616" i="187"/>
  <c r="T616" i="187"/>
  <c r="Q616" i="187"/>
  <c r="P616" i="187"/>
  <c r="M616" i="187"/>
  <c r="L616" i="187"/>
  <c r="AG599" i="187"/>
  <c r="AD599" i="187"/>
  <c r="AC599" i="187"/>
  <c r="Z599" i="187"/>
  <c r="Y599" i="187"/>
  <c r="U599" i="187"/>
  <c r="T599" i="187"/>
  <c r="Q599" i="187"/>
  <c r="P599" i="187"/>
  <c r="M599" i="187"/>
  <c r="L599" i="187"/>
  <c r="AG582" i="187"/>
  <c r="AC582" i="187"/>
  <c r="Y582" i="187"/>
  <c r="X582" i="187"/>
  <c r="T582" i="187"/>
  <c r="S582" i="187"/>
  <c r="P582" i="187"/>
  <c r="O582" i="187"/>
  <c r="L582" i="187"/>
  <c r="AG565" i="187"/>
  <c r="AF565" i="187"/>
  <c r="AD565" i="187"/>
  <c r="AC565" i="187"/>
  <c r="Z565" i="187"/>
  <c r="Y565" i="187"/>
  <c r="X565" i="187"/>
  <c r="U565" i="187"/>
  <c r="T565" i="187"/>
  <c r="S565" i="187"/>
  <c r="Q565" i="187"/>
  <c r="P565" i="187"/>
  <c r="O565" i="187"/>
  <c r="M565" i="187"/>
  <c r="L565" i="187"/>
  <c r="AG548" i="187"/>
  <c r="AD548" i="187"/>
  <c r="AC548" i="187"/>
  <c r="Z548" i="187"/>
  <c r="Y548" i="187"/>
  <c r="U548" i="187"/>
  <c r="T548" i="187"/>
  <c r="Q548" i="187"/>
  <c r="P548" i="187"/>
  <c r="M548" i="187"/>
  <c r="L548" i="187"/>
  <c r="AG531" i="187"/>
  <c r="AD531" i="187"/>
  <c r="AC531" i="187"/>
  <c r="Z531" i="187"/>
  <c r="Y531" i="187"/>
  <c r="U531" i="187"/>
  <c r="T531" i="187"/>
  <c r="Q531" i="187"/>
  <c r="P531" i="187"/>
  <c r="M531" i="187"/>
  <c r="L531" i="187"/>
  <c r="AG514" i="187"/>
  <c r="AD514" i="187"/>
  <c r="AC514" i="187"/>
  <c r="Z514" i="187"/>
  <c r="Y514" i="187"/>
  <c r="U514" i="187"/>
  <c r="T514" i="187"/>
  <c r="Q514" i="187"/>
  <c r="P514" i="187"/>
  <c r="M514" i="187"/>
  <c r="L514" i="187"/>
  <c r="AF497" i="187"/>
  <c r="AD497" i="187"/>
  <c r="AA497" i="187"/>
  <c r="Z497" i="187"/>
  <c r="X497" i="187"/>
  <c r="W497" i="187"/>
  <c r="U497" i="187"/>
  <c r="S497" i="187"/>
  <c r="R497" i="187"/>
  <c r="Q497" i="187"/>
  <c r="O497" i="187"/>
  <c r="N497" i="187"/>
  <c r="M497" i="187"/>
  <c r="AF480" i="187"/>
  <c r="AD480" i="187"/>
  <c r="AA480" i="187"/>
  <c r="Z480" i="187"/>
  <c r="X480" i="187"/>
  <c r="W480" i="187"/>
  <c r="U480" i="187"/>
  <c r="S480" i="187"/>
  <c r="R480" i="187"/>
  <c r="Q480" i="187"/>
  <c r="O480" i="187"/>
  <c r="N480" i="187"/>
  <c r="M480" i="187"/>
  <c r="AG463" i="187"/>
  <c r="AC463" i="187"/>
  <c r="Y463" i="187"/>
  <c r="X463" i="187"/>
  <c r="T463" i="187"/>
  <c r="S463" i="187"/>
  <c r="P463" i="187"/>
  <c r="O463" i="187"/>
  <c r="L463" i="187"/>
  <c r="AG446" i="187"/>
  <c r="AD446" i="187"/>
  <c r="AC446" i="187"/>
  <c r="Z446" i="187"/>
  <c r="Y446" i="187"/>
  <c r="U446" i="187"/>
  <c r="T446" i="187"/>
  <c r="Q446" i="187"/>
  <c r="P446" i="187"/>
  <c r="M446" i="187"/>
  <c r="L446" i="187"/>
  <c r="AG429" i="187"/>
  <c r="AD429" i="187"/>
  <c r="AC429" i="187"/>
  <c r="Z429" i="187"/>
  <c r="Y429" i="187"/>
  <c r="U429" i="187"/>
  <c r="T429" i="187"/>
  <c r="Q429" i="187"/>
  <c r="P429" i="187"/>
  <c r="M429" i="187"/>
  <c r="L429" i="187"/>
  <c r="AG412" i="187"/>
  <c r="AD412" i="187"/>
  <c r="AC412" i="187"/>
  <c r="Z412" i="187"/>
  <c r="Y412" i="187"/>
  <c r="U412" i="187"/>
  <c r="T412" i="187"/>
  <c r="Q412" i="187"/>
  <c r="P412" i="187"/>
  <c r="M412" i="187"/>
  <c r="L412" i="187"/>
  <c r="AG395" i="187"/>
  <c r="AD395" i="187"/>
  <c r="AC395" i="187"/>
  <c r="Z395" i="187"/>
  <c r="Y395" i="187"/>
  <c r="U395" i="187"/>
  <c r="T395" i="187"/>
  <c r="Q395" i="187"/>
  <c r="P395" i="187"/>
  <c r="M395" i="187"/>
  <c r="L395" i="187"/>
  <c r="AG378" i="187"/>
  <c r="AD378" i="187"/>
  <c r="AC378" i="187"/>
  <c r="Z378" i="187"/>
  <c r="Y378" i="187"/>
  <c r="U378" i="187"/>
  <c r="T378" i="187"/>
  <c r="Q378" i="187"/>
  <c r="P378" i="187"/>
  <c r="M378" i="187"/>
  <c r="L378" i="187"/>
  <c r="AF361" i="187"/>
  <c r="AD361" i="187"/>
  <c r="AA361" i="187"/>
  <c r="Z361" i="187"/>
  <c r="Y361" i="187"/>
  <c r="X361" i="187"/>
  <c r="W361" i="187"/>
  <c r="U361" i="187"/>
  <c r="T361" i="187"/>
  <c r="S361" i="187"/>
  <c r="R361" i="187"/>
  <c r="Q361" i="187"/>
  <c r="P361" i="187"/>
  <c r="O361" i="187"/>
  <c r="N361" i="187"/>
  <c r="M361" i="187"/>
  <c r="L361" i="187"/>
  <c r="AG344" i="187"/>
  <c r="AD344" i="187"/>
  <c r="AC344" i="187"/>
  <c r="Z344" i="187"/>
  <c r="Y344" i="187"/>
  <c r="U344" i="187"/>
  <c r="T344" i="187"/>
  <c r="Q344" i="187"/>
  <c r="P344" i="187"/>
  <c r="M344" i="187"/>
  <c r="L344" i="187"/>
  <c r="AG327" i="187"/>
  <c r="AF327" i="187"/>
  <c r="AD327" i="187"/>
  <c r="AC327" i="187"/>
  <c r="Z327" i="187"/>
  <c r="Y327" i="187"/>
  <c r="X327" i="187"/>
  <c r="U327" i="187"/>
  <c r="T327" i="187"/>
  <c r="S327" i="187"/>
  <c r="Q327" i="187"/>
  <c r="P327" i="187"/>
  <c r="O327" i="187"/>
  <c r="M327" i="187"/>
  <c r="L327" i="187"/>
  <c r="AG310" i="187"/>
  <c r="AD310" i="187"/>
  <c r="AC310" i="187"/>
  <c r="Z310" i="187"/>
  <c r="Y310" i="187"/>
  <c r="U310" i="187"/>
  <c r="T310" i="187"/>
  <c r="Q310" i="187"/>
  <c r="P310" i="187"/>
  <c r="M310" i="187"/>
  <c r="L310" i="187"/>
  <c r="AG293" i="187"/>
  <c r="AD293" i="187"/>
  <c r="AC293" i="187"/>
  <c r="Z293" i="187"/>
  <c r="Y293" i="187"/>
  <c r="U293" i="187"/>
  <c r="T293" i="187"/>
  <c r="Q293" i="187"/>
  <c r="P293" i="187"/>
  <c r="M293" i="187"/>
  <c r="L293" i="187"/>
  <c r="AG276" i="187"/>
  <c r="AD276" i="187"/>
  <c r="AC276" i="187"/>
  <c r="Z276" i="187"/>
  <c r="Y276" i="187"/>
  <c r="U276" i="187"/>
  <c r="T276" i="187"/>
  <c r="Q276" i="187"/>
  <c r="P276" i="187"/>
  <c r="M276" i="187"/>
  <c r="L276" i="187"/>
  <c r="AD259" i="187"/>
  <c r="Z259" i="187"/>
  <c r="Y259" i="187"/>
  <c r="U259" i="187"/>
  <c r="T259" i="187"/>
  <c r="Q259" i="187"/>
  <c r="P259" i="187"/>
  <c r="M259" i="187"/>
  <c r="L259" i="187"/>
  <c r="AG242" i="187"/>
  <c r="AD242" i="187"/>
  <c r="AC242" i="187"/>
  <c r="Z242" i="187"/>
  <c r="Y242" i="187"/>
  <c r="U242" i="187"/>
  <c r="T242" i="187"/>
  <c r="Q242" i="187"/>
  <c r="P242" i="187"/>
  <c r="M242" i="187"/>
  <c r="L242" i="187"/>
  <c r="AG225" i="187"/>
  <c r="AD225" i="187"/>
  <c r="AC225" i="187"/>
  <c r="Z225" i="187"/>
  <c r="Y225" i="187"/>
  <c r="U225" i="187"/>
  <c r="T225" i="187"/>
  <c r="Q225" i="187"/>
  <c r="P225" i="187"/>
  <c r="M225" i="187"/>
  <c r="L225" i="187"/>
  <c r="AF208" i="187"/>
  <c r="AD208" i="187"/>
  <c r="AA208" i="187"/>
  <c r="Z208" i="187"/>
  <c r="X208" i="187"/>
  <c r="W208" i="187"/>
  <c r="U208" i="187"/>
  <c r="S208" i="187"/>
  <c r="R208" i="187"/>
  <c r="Q208" i="187"/>
  <c r="O208" i="187"/>
  <c r="N208" i="187"/>
  <c r="M208" i="187"/>
  <c r="AF191" i="187"/>
  <c r="AD191" i="187"/>
  <c r="AA191" i="187"/>
  <c r="Z191" i="187"/>
  <c r="X191" i="187"/>
  <c r="W191" i="187"/>
  <c r="U191" i="187"/>
  <c r="S191" i="187"/>
  <c r="R191" i="187"/>
  <c r="Q191" i="187"/>
  <c r="O191" i="187"/>
  <c r="N191" i="187"/>
  <c r="M191" i="187"/>
  <c r="AG174" i="187"/>
  <c r="AD174" i="187"/>
  <c r="AC174" i="187"/>
  <c r="Z174" i="187"/>
  <c r="Y174" i="187"/>
  <c r="U174" i="187"/>
  <c r="T174" i="187"/>
  <c r="Q174" i="187"/>
  <c r="P174" i="187"/>
  <c r="M174" i="187"/>
  <c r="L174" i="187"/>
  <c r="AG157" i="187"/>
  <c r="AD157" i="187"/>
  <c r="AC157" i="187"/>
  <c r="Z157" i="187"/>
  <c r="Y157" i="187"/>
  <c r="U157" i="187"/>
  <c r="T157" i="187"/>
  <c r="Q157" i="187"/>
  <c r="P157" i="187"/>
  <c r="M157" i="187"/>
  <c r="L157" i="187"/>
  <c r="AG140" i="187"/>
  <c r="AD140" i="187"/>
  <c r="AC140" i="187"/>
  <c r="Z140" i="187"/>
  <c r="Y140" i="187"/>
  <c r="U140" i="187"/>
  <c r="T140" i="187"/>
  <c r="Q140" i="187"/>
  <c r="P140" i="187"/>
  <c r="M140" i="187"/>
  <c r="L140" i="187"/>
  <c r="AG123" i="187"/>
  <c r="AC123" i="187"/>
  <c r="Y123" i="187"/>
  <c r="X123" i="187"/>
  <c r="T123" i="187"/>
  <c r="S123" i="187"/>
  <c r="P123" i="187"/>
  <c r="O123" i="187"/>
  <c r="L123" i="187"/>
  <c r="AG106" i="187"/>
  <c r="AD106" i="187"/>
  <c r="AC106" i="187"/>
  <c r="Z106" i="187"/>
  <c r="Y106" i="187"/>
  <c r="U106" i="187"/>
  <c r="T106" i="187"/>
  <c r="Q106" i="187"/>
  <c r="P106" i="187"/>
  <c r="M106" i="187"/>
  <c r="L106" i="187"/>
  <c r="AG89" i="187"/>
  <c r="AD89" i="187"/>
  <c r="AC89" i="187"/>
  <c r="Z89" i="187"/>
  <c r="Y89" i="187"/>
  <c r="U89" i="187"/>
  <c r="T89" i="187"/>
  <c r="Q89" i="187"/>
  <c r="P89" i="187"/>
  <c r="M89" i="187"/>
  <c r="L89" i="187"/>
  <c r="AG72" i="187"/>
  <c r="AC72" i="187"/>
  <c r="Y72" i="187"/>
  <c r="X72" i="187"/>
  <c r="T72" i="187"/>
  <c r="S72" i="187"/>
  <c r="P72" i="187"/>
  <c r="O72" i="187"/>
  <c r="L72" i="187"/>
  <c r="AG55" i="187"/>
  <c r="AD55" i="187"/>
  <c r="AC55" i="187"/>
  <c r="Z55" i="187"/>
  <c r="Y55" i="187"/>
  <c r="U55" i="187"/>
  <c r="T55" i="187"/>
  <c r="Q55" i="187"/>
  <c r="P55" i="187"/>
  <c r="M55" i="187"/>
  <c r="L55" i="187"/>
  <c r="AG832" i="187"/>
  <c r="AF832" i="187"/>
  <c r="AE832" i="187"/>
  <c r="AD832" i="187"/>
  <c r="AC832" i="187"/>
  <c r="AA832" i="187"/>
  <c r="Z832" i="187"/>
  <c r="Y832" i="187"/>
  <c r="X832" i="187"/>
  <c r="W832" i="187"/>
  <c r="U832" i="187"/>
  <c r="T832" i="187"/>
  <c r="S832" i="187"/>
  <c r="R832" i="187"/>
  <c r="Q832" i="187"/>
  <c r="P832" i="187"/>
  <c r="O832" i="187"/>
  <c r="N832" i="187"/>
  <c r="M832" i="187"/>
  <c r="L832" i="187"/>
  <c r="L827" i="187"/>
  <c r="M827" i="187"/>
  <c r="N827" i="187"/>
  <c r="O827" i="187"/>
  <c r="P827" i="187"/>
  <c r="Q827" i="187"/>
  <c r="R827" i="187"/>
  <c r="S827" i="187"/>
  <c r="T827" i="187"/>
  <c r="U827" i="187"/>
  <c r="W827" i="187"/>
  <c r="X827" i="187"/>
  <c r="Y827" i="187"/>
  <c r="Z827" i="187"/>
  <c r="AA827" i="187"/>
  <c r="AC827" i="187"/>
  <c r="AD827" i="187"/>
  <c r="AE827" i="187"/>
  <c r="AF827" i="187"/>
  <c r="AG827" i="187"/>
  <c r="AG815" i="187"/>
  <c r="AF815" i="187"/>
  <c r="AE815" i="187"/>
  <c r="AD815" i="187"/>
  <c r="AC815" i="187"/>
  <c r="AA815" i="187"/>
  <c r="Z815" i="187"/>
  <c r="Y815" i="187"/>
  <c r="X815" i="187"/>
  <c r="W815" i="187"/>
  <c r="U815" i="187"/>
  <c r="T815" i="187"/>
  <c r="S815" i="187"/>
  <c r="R815" i="187"/>
  <c r="Q815" i="187"/>
  <c r="P815" i="187"/>
  <c r="O815" i="187"/>
  <c r="N815" i="187"/>
  <c r="M815" i="187"/>
  <c r="L815" i="187"/>
  <c r="AG781" i="187"/>
  <c r="AF781" i="187"/>
  <c r="AE781" i="187"/>
  <c r="AD781" i="187"/>
  <c r="AC781" i="187"/>
  <c r="AA781" i="187"/>
  <c r="Z781" i="187"/>
  <c r="Y781" i="187"/>
  <c r="X781" i="187"/>
  <c r="W781" i="187"/>
  <c r="U781" i="187"/>
  <c r="T781" i="187"/>
  <c r="S781" i="187"/>
  <c r="R781" i="187"/>
  <c r="Q781" i="187"/>
  <c r="P781" i="187"/>
  <c r="O781" i="187"/>
  <c r="N781" i="187"/>
  <c r="M781" i="187"/>
  <c r="L781" i="187"/>
  <c r="AG764" i="187"/>
  <c r="AF764" i="187"/>
  <c r="AE764" i="187"/>
  <c r="AD764" i="187"/>
  <c r="AC764" i="187"/>
  <c r="AA764" i="187"/>
  <c r="Z764" i="187"/>
  <c r="Y764" i="187"/>
  <c r="X764" i="187"/>
  <c r="W764" i="187"/>
  <c r="U764" i="187"/>
  <c r="T764" i="187"/>
  <c r="S764" i="187"/>
  <c r="R764" i="187"/>
  <c r="Q764" i="187"/>
  <c r="P764" i="187"/>
  <c r="O764" i="187"/>
  <c r="N764" i="187"/>
  <c r="M764" i="187"/>
  <c r="L764" i="187"/>
  <c r="AG747" i="187"/>
  <c r="AF747" i="187"/>
  <c r="AE747" i="187"/>
  <c r="AD747" i="187"/>
  <c r="AC747" i="187"/>
  <c r="AA747" i="187"/>
  <c r="Z747" i="187"/>
  <c r="Y747" i="187"/>
  <c r="X747" i="187"/>
  <c r="W747" i="187"/>
  <c r="U747" i="187"/>
  <c r="T747" i="187"/>
  <c r="S747" i="187"/>
  <c r="R747" i="187"/>
  <c r="Q747" i="187"/>
  <c r="P747" i="187"/>
  <c r="O747" i="187"/>
  <c r="N747" i="187"/>
  <c r="M747" i="187"/>
  <c r="L747" i="187"/>
  <c r="AG730" i="187"/>
  <c r="AF730" i="187"/>
  <c r="AE730" i="187"/>
  <c r="AD730" i="187"/>
  <c r="AC730" i="187"/>
  <c r="AA730" i="187"/>
  <c r="Z730" i="187"/>
  <c r="Y730" i="187"/>
  <c r="X730" i="187"/>
  <c r="W730" i="187"/>
  <c r="U730" i="187"/>
  <c r="T730" i="187"/>
  <c r="S730" i="187"/>
  <c r="R730" i="187"/>
  <c r="Q730" i="187"/>
  <c r="P730" i="187"/>
  <c r="O730" i="187"/>
  <c r="N730" i="187"/>
  <c r="M730" i="187"/>
  <c r="L730" i="187"/>
  <c r="AG713" i="187"/>
  <c r="AF713" i="187"/>
  <c r="AE713" i="187"/>
  <c r="AD713" i="187"/>
  <c r="AC713" i="187"/>
  <c r="AA713" i="187"/>
  <c r="Z713" i="187"/>
  <c r="Y713" i="187"/>
  <c r="X713" i="187"/>
  <c r="W713" i="187"/>
  <c r="U713" i="187"/>
  <c r="T713" i="187"/>
  <c r="S713" i="187"/>
  <c r="R713" i="187"/>
  <c r="Q713" i="187"/>
  <c r="P713" i="187"/>
  <c r="O713" i="187"/>
  <c r="N713" i="187"/>
  <c r="M713" i="187"/>
  <c r="L713" i="187"/>
  <c r="AG696" i="187"/>
  <c r="AF696" i="187"/>
  <c r="AE696" i="187"/>
  <c r="AD696" i="187"/>
  <c r="AC696" i="187"/>
  <c r="AA696" i="187"/>
  <c r="Z696" i="187"/>
  <c r="Y696" i="187"/>
  <c r="X696" i="187"/>
  <c r="W696" i="187"/>
  <c r="U696" i="187"/>
  <c r="T696" i="187"/>
  <c r="S696" i="187"/>
  <c r="R696" i="187"/>
  <c r="Q696" i="187"/>
  <c r="P696" i="187"/>
  <c r="O696" i="187"/>
  <c r="N696" i="187"/>
  <c r="M696" i="187"/>
  <c r="L696" i="187"/>
  <c r="AG679" i="187"/>
  <c r="AF679" i="187"/>
  <c r="AE679" i="187"/>
  <c r="AD679" i="187"/>
  <c r="AC679" i="187"/>
  <c r="AA679" i="187"/>
  <c r="Z679" i="187"/>
  <c r="Y679" i="187"/>
  <c r="X679" i="187"/>
  <c r="W679" i="187"/>
  <c r="U679" i="187"/>
  <c r="T679" i="187"/>
  <c r="S679" i="187"/>
  <c r="R679" i="187"/>
  <c r="Q679" i="187"/>
  <c r="P679" i="187"/>
  <c r="O679" i="187"/>
  <c r="N679" i="187"/>
  <c r="M679" i="187"/>
  <c r="L679" i="187"/>
  <c r="AG662" i="187"/>
  <c r="AF662" i="187"/>
  <c r="AE662" i="187"/>
  <c r="AD662" i="187"/>
  <c r="AC662" i="187"/>
  <c r="AA662" i="187"/>
  <c r="Z662" i="187"/>
  <c r="Y662" i="187"/>
  <c r="X662" i="187"/>
  <c r="W662" i="187"/>
  <c r="U662" i="187"/>
  <c r="T662" i="187"/>
  <c r="S662" i="187"/>
  <c r="R662" i="187"/>
  <c r="Q662" i="187"/>
  <c r="P662" i="187"/>
  <c r="O662" i="187"/>
  <c r="N662" i="187"/>
  <c r="M662" i="187"/>
  <c r="L662" i="187"/>
  <c r="AG645" i="187"/>
  <c r="AF645" i="187"/>
  <c r="AE645" i="187"/>
  <c r="AD645" i="187"/>
  <c r="AC645" i="187"/>
  <c r="AA645" i="187"/>
  <c r="Z645" i="187"/>
  <c r="Y645" i="187"/>
  <c r="X645" i="187"/>
  <c r="W645" i="187"/>
  <c r="U645" i="187"/>
  <c r="T645" i="187"/>
  <c r="S645" i="187"/>
  <c r="R645" i="187"/>
  <c r="Q645" i="187"/>
  <c r="P645" i="187"/>
  <c r="O645" i="187"/>
  <c r="N645" i="187"/>
  <c r="M645" i="187"/>
  <c r="L645" i="187"/>
  <c r="AG628" i="187"/>
  <c r="AF628" i="187"/>
  <c r="AE628" i="187"/>
  <c r="AD628" i="187"/>
  <c r="AC628" i="187"/>
  <c r="AA628" i="187"/>
  <c r="Z628" i="187"/>
  <c r="Y628" i="187"/>
  <c r="X628" i="187"/>
  <c r="W628" i="187"/>
  <c r="U628" i="187"/>
  <c r="T628" i="187"/>
  <c r="S628" i="187"/>
  <c r="R628" i="187"/>
  <c r="Q628" i="187"/>
  <c r="P628" i="187"/>
  <c r="O628" i="187"/>
  <c r="N628" i="187"/>
  <c r="M628" i="187"/>
  <c r="L628" i="187"/>
  <c r="AG611" i="187"/>
  <c r="AF611" i="187"/>
  <c r="AE611" i="187"/>
  <c r="AD611" i="187"/>
  <c r="AC611" i="187"/>
  <c r="AA611" i="187"/>
  <c r="Z611" i="187"/>
  <c r="Y611" i="187"/>
  <c r="X611" i="187"/>
  <c r="W611" i="187"/>
  <c r="U611" i="187"/>
  <c r="T611" i="187"/>
  <c r="S611" i="187"/>
  <c r="R611" i="187"/>
  <c r="Q611" i="187"/>
  <c r="P611" i="187"/>
  <c r="O611" i="187"/>
  <c r="N611" i="187"/>
  <c r="M611" i="187"/>
  <c r="L611" i="187"/>
  <c r="AG594" i="187"/>
  <c r="AF594" i="187"/>
  <c r="AE594" i="187"/>
  <c r="AD594" i="187"/>
  <c r="AC594" i="187"/>
  <c r="AA594" i="187"/>
  <c r="Z594" i="187"/>
  <c r="Y594" i="187"/>
  <c r="X594" i="187"/>
  <c r="W594" i="187"/>
  <c r="U594" i="187"/>
  <c r="T594" i="187"/>
  <c r="S594" i="187"/>
  <c r="R594" i="187"/>
  <c r="Q594" i="187"/>
  <c r="P594" i="187"/>
  <c r="O594" i="187"/>
  <c r="N594" i="187"/>
  <c r="M594" i="187"/>
  <c r="L594" i="187"/>
  <c r="AG577" i="187"/>
  <c r="AF577" i="187"/>
  <c r="AE577" i="187"/>
  <c r="AD577" i="187"/>
  <c r="AC577" i="187"/>
  <c r="AA577" i="187"/>
  <c r="Z577" i="187"/>
  <c r="Y577" i="187"/>
  <c r="X577" i="187"/>
  <c r="W577" i="187"/>
  <c r="U577" i="187"/>
  <c r="T577" i="187"/>
  <c r="S577" i="187"/>
  <c r="R577" i="187"/>
  <c r="Q577" i="187"/>
  <c r="P577" i="187"/>
  <c r="O577" i="187"/>
  <c r="N577" i="187"/>
  <c r="M577" i="187"/>
  <c r="L577" i="187"/>
  <c r="AG560" i="187"/>
  <c r="AF560" i="187"/>
  <c r="AE560" i="187"/>
  <c r="AD560" i="187"/>
  <c r="AC560" i="187"/>
  <c r="AA560" i="187"/>
  <c r="Z560" i="187"/>
  <c r="Y560" i="187"/>
  <c r="X560" i="187"/>
  <c r="W560" i="187"/>
  <c r="U560" i="187"/>
  <c r="T560" i="187"/>
  <c r="S560" i="187"/>
  <c r="R560" i="187"/>
  <c r="Q560" i="187"/>
  <c r="P560" i="187"/>
  <c r="O560" i="187"/>
  <c r="N560" i="187"/>
  <c r="M560" i="187"/>
  <c r="L560" i="187"/>
  <c r="AG543" i="187"/>
  <c r="AF543" i="187"/>
  <c r="AE543" i="187"/>
  <c r="AD543" i="187"/>
  <c r="AC543" i="187"/>
  <c r="AA543" i="187"/>
  <c r="Z543" i="187"/>
  <c r="Y543" i="187"/>
  <c r="X543" i="187"/>
  <c r="W543" i="187"/>
  <c r="U543" i="187"/>
  <c r="T543" i="187"/>
  <c r="S543" i="187"/>
  <c r="R543" i="187"/>
  <c r="Q543" i="187"/>
  <c r="P543" i="187"/>
  <c r="O543" i="187"/>
  <c r="N543" i="187"/>
  <c r="M543" i="187"/>
  <c r="L543" i="187"/>
  <c r="AG526" i="187"/>
  <c r="AF526" i="187"/>
  <c r="AE526" i="187"/>
  <c r="AD526" i="187"/>
  <c r="AC526" i="187"/>
  <c r="AA526" i="187"/>
  <c r="Z526" i="187"/>
  <c r="Y526" i="187"/>
  <c r="X526" i="187"/>
  <c r="W526" i="187"/>
  <c r="U526" i="187"/>
  <c r="T526" i="187"/>
  <c r="S526" i="187"/>
  <c r="R526" i="187"/>
  <c r="Q526" i="187"/>
  <c r="P526" i="187"/>
  <c r="O526" i="187"/>
  <c r="N526" i="187"/>
  <c r="M526" i="187"/>
  <c r="L526" i="187"/>
  <c r="AG509" i="187"/>
  <c r="AF509" i="187"/>
  <c r="AE509" i="187"/>
  <c r="AD509" i="187"/>
  <c r="AC509" i="187"/>
  <c r="AA509" i="187"/>
  <c r="Z509" i="187"/>
  <c r="Y509" i="187"/>
  <c r="X509" i="187"/>
  <c r="W509" i="187"/>
  <c r="U509" i="187"/>
  <c r="T509" i="187"/>
  <c r="S509" i="187"/>
  <c r="R509" i="187"/>
  <c r="Q509" i="187"/>
  <c r="P509" i="187"/>
  <c r="O509" i="187"/>
  <c r="N509" i="187"/>
  <c r="M509" i="187"/>
  <c r="L509" i="187"/>
  <c r="AG492" i="187"/>
  <c r="AF492" i="187"/>
  <c r="AE492" i="187"/>
  <c r="AD492" i="187"/>
  <c r="AC492" i="187"/>
  <c r="AA492" i="187"/>
  <c r="Z492" i="187"/>
  <c r="Y492" i="187"/>
  <c r="X492" i="187"/>
  <c r="W492" i="187"/>
  <c r="U492" i="187"/>
  <c r="T492" i="187"/>
  <c r="S492" i="187"/>
  <c r="R492" i="187"/>
  <c r="Q492" i="187"/>
  <c r="P492" i="187"/>
  <c r="O492" i="187"/>
  <c r="N492" i="187"/>
  <c r="M492" i="187"/>
  <c r="L492" i="187"/>
  <c r="AG475" i="187"/>
  <c r="AF475" i="187"/>
  <c r="AE475" i="187"/>
  <c r="AD475" i="187"/>
  <c r="AC475" i="187"/>
  <c r="AA475" i="187"/>
  <c r="Z475" i="187"/>
  <c r="Y475" i="187"/>
  <c r="X475" i="187"/>
  <c r="W475" i="187"/>
  <c r="U475" i="187"/>
  <c r="T475" i="187"/>
  <c r="S475" i="187"/>
  <c r="R475" i="187"/>
  <c r="Q475" i="187"/>
  <c r="P475" i="187"/>
  <c r="O475" i="187"/>
  <c r="N475" i="187"/>
  <c r="M475" i="187"/>
  <c r="L475" i="187"/>
  <c r="AG458" i="187"/>
  <c r="AF458" i="187"/>
  <c r="AE458" i="187"/>
  <c r="AD458" i="187"/>
  <c r="AC458" i="187"/>
  <c r="AA458" i="187"/>
  <c r="Z458" i="187"/>
  <c r="Y458" i="187"/>
  <c r="X458" i="187"/>
  <c r="W458" i="187"/>
  <c r="U458" i="187"/>
  <c r="T458" i="187"/>
  <c r="S458" i="187"/>
  <c r="R458" i="187"/>
  <c r="Q458" i="187"/>
  <c r="P458" i="187"/>
  <c r="O458" i="187"/>
  <c r="N458" i="187"/>
  <c r="M458" i="187"/>
  <c r="L458" i="187"/>
  <c r="AG441" i="187"/>
  <c r="AF441" i="187"/>
  <c r="AE441" i="187"/>
  <c r="AD441" i="187"/>
  <c r="AC441" i="187"/>
  <c r="AA441" i="187"/>
  <c r="Z441" i="187"/>
  <c r="Y441" i="187"/>
  <c r="X441" i="187"/>
  <c r="W441" i="187"/>
  <c r="U441" i="187"/>
  <c r="T441" i="187"/>
  <c r="S441" i="187"/>
  <c r="R441" i="187"/>
  <c r="Q441" i="187"/>
  <c r="P441" i="187"/>
  <c r="O441" i="187"/>
  <c r="N441" i="187"/>
  <c r="M441" i="187"/>
  <c r="L441" i="187"/>
  <c r="AG424" i="187"/>
  <c r="AF424" i="187"/>
  <c r="AE424" i="187"/>
  <c r="AD424" i="187"/>
  <c r="AC424" i="187"/>
  <c r="AA424" i="187"/>
  <c r="Z424" i="187"/>
  <c r="Y424" i="187"/>
  <c r="X424" i="187"/>
  <c r="W424" i="187"/>
  <c r="U424" i="187"/>
  <c r="T424" i="187"/>
  <c r="S424" i="187"/>
  <c r="R424" i="187"/>
  <c r="Q424" i="187"/>
  <c r="P424" i="187"/>
  <c r="O424" i="187"/>
  <c r="N424" i="187"/>
  <c r="M424" i="187"/>
  <c r="L424" i="187"/>
  <c r="AG407" i="187"/>
  <c r="AF407" i="187"/>
  <c r="AE407" i="187"/>
  <c r="AD407" i="187"/>
  <c r="AC407" i="187"/>
  <c r="AA407" i="187"/>
  <c r="Z407" i="187"/>
  <c r="Y407" i="187"/>
  <c r="X407" i="187"/>
  <c r="W407" i="187"/>
  <c r="U407" i="187"/>
  <c r="T407" i="187"/>
  <c r="S407" i="187"/>
  <c r="R407" i="187"/>
  <c r="Q407" i="187"/>
  <c r="P407" i="187"/>
  <c r="O407" i="187"/>
  <c r="N407" i="187"/>
  <c r="M407" i="187"/>
  <c r="L407" i="187"/>
  <c r="AG390" i="187"/>
  <c r="AF390" i="187"/>
  <c r="AE390" i="187"/>
  <c r="AD390" i="187"/>
  <c r="AC390" i="187"/>
  <c r="AA390" i="187"/>
  <c r="Z390" i="187"/>
  <c r="Y390" i="187"/>
  <c r="X390" i="187"/>
  <c r="W390" i="187"/>
  <c r="U390" i="187"/>
  <c r="T390" i="187"/>
  <c r="S390" i="187"/>
  <c r="R390" i="187"/>
  <c r="Q390" i="187"/>
  <c r="P390" i="187"/>
  <c r="O390" i="187"/>
  <c r="N390" i="187"/>
  <c r="M390" i="187"/>
  <c r="L390" i="187"/>
  <c r="AG373" i="187"/>
  <c r="AF373" i="187"/>
  <c r="AE373" i="187"/>
  <c r="AD373" i="187"/>
  <c r="AC373" i="187"/>
  <c r="AA373" i="187"/>
  <c r="Z373" i="187"/>
  <c r="Y373" i="187"/>
  <c r="X373" i="187"/>
  <c r="W373" i="187"/>
  <c r="U373" i="187"/>
  <c r="T373" i="187"/>
  <c r="S373" i="187"/>
  <c r="R373" i="187"/>
  <c r="Q373" i="187"/>
  <c r="P373" i="187"/>
  <c r="O373" i="187"/>
  <c r="N373" i="187"/>
  <c r="M373" i="187"/>
  <c r="L373" i="187"/>
  <c r="AG356" i="187"/>
  <c r="AF356" i="187"/>
  <c r="AE356" i="187"/>
  <c r="AD356" i="187"/>
  <c r="AC356" i="187"/>
  <c r="AA356" i="187"/>
  <c r="Z356" i="187"/>
  <c r="Y356" i="187"/>
  <c r="X356" i="187"/>
  <c r="W356" i="187"/>
  <c r="U356" i="187"/>
  <c r="T356" i="187"/>
  <c r="S356" i="187"/>
  <c r="R356" i="187"/>
  <c r="Q356" i="187"/>
  <c r="P356" i="187"/>
  <c r="O356" i="187"/>
  <c r="N356" i="187"/>
  <c r="M356" i="187"/>
  <c r="L356" i="187"/>
  <c r="AG339" i="187"/>
  <c r="AF339" i="187"/>
  <c r="AE339" i="187"/>
  <c r="AD339" i="187"/>
  <c r="AC339" i="187"/>
  <c r="AA339" i="187"/>
  <c r="Z339" i="187"/>
  <c r="Y339" i="187"/>
  <c r="X339" i="187"/>
  <c r="W339" i="187"/>
  <c r="U339" i="187"/>
  <c r="T339" i="187"/>
  <c r="S339" i="187"/>
  <c r="R339" i="187"/>
  <c r="Q339" i="187"/>
  <c r="P339" i="187"/>
  <c r="O339" i="187"/>
  <c r="N339" i="187"/>
  <c r="M339" i="187"/>
  <c r="L339" i="187"/>
  <c r="AG322" i="187"/>
  <c r="AF322" i="187"/>
  <c r="AE322" i="187"/>
  <c r="AD322" i="187"/>
  <c r="AC322" i="187"/>
  <c r="AA322" i="187"/>
  <c r="Z322" i="187"/>
  <c r="Y322" i="187"/>
  <c r="X322" i="187"/>
  <c r="W322" i="187"/>
  <c r="U322" i="187"/>
  <c r="T322" i="187"/>
  <c r="S322" i="187"/>
  <c r="R322" i="187"/>
  <c r="Q322" i="187"/>
  <c r="P322" i="187"/>
  <c r="O322" i="187"/>
  <c r="N322" i="187"/>
  <c r="M322" i="187"/>
  <c r="L322" i="187"/>
  <c r="AG305" i="187"/>
  <c r="AF305" i="187"/>
  <c r="AE305" i="187"/>
  <c r="AD305" i="187"/>
  <c r="AC305" i="187"/>
  <c r="AA305" i="187"/>
  <c r="Z305" i="187"/>
  <c r="Y305" i="187"/>
  <c r="X305" i="187"/>
  <c r="W305" i="187"/>
  <c r="U305" i="187"/>
  <c r="T305" i="187"/>
  <c r="S305" i="187"/>
  <c r="R305" i="187"/>
  <c r="Q305" i="187"/>
  <c r="P305" i="187"/>
  <c r="O305" i="187"/>
  <c r="N305" i="187"/>
  <c r="M305" i="187"/>
  <c r="L305" i="187"/>
  <c r="AG288" i="187"/>
  <c r="AF288" i="187"/>
  <c r="AE288" i="187"/>
  <c r="AD288" i="187"/>
  <c r="AC288" i="187"/>
  <c r="AA288" i="187"/>
  <c r="Z288" i="187"/>
  <c r="Y288" i="187"/>
  <c r="X288" i="187"/>
  <c r="W288" i="187"/>
  <c r="U288" i="187"/>
  <c r="T288" i="187"/>
  <c r="S288" i="187"/>
  <c r="R288" i="187"/>
  <c r="Q288" i="187"/>
  <c r="P288" i="187"/>
  <c r="O288" i="187"/>
  <c r="N288" i="187"/>
  <c r="M288" i="187"/>
  <c r="L288" i="187"/>
  <c r="AG271" i="187"/>
  <c r="AF271" i="187"/>
  <c r="AE271" i="187"/>
  <c r="AD271" i="187"/>
  <c r="AC271" i="187"/>
  <c r="AA271" i="187"/>
  <c r="Z271" i="187"/>
  <c r="Y271" i="187"/>
  <c r="X271" i="187"/>
  <c r="W271" i="187"/>
  <c r="U271" i="187"/>
  <c r="T271" i="187"/>
  <c r="S271" i="187"/>
  <c r="R271" i="187"/>
  <c r="Q271" i="187"/>
  <c r="P271" i="187"/>
  <c r="O271" i="187"/>
  <c r="N271" i="187"/>
  <c r="M271" i="187"/>
  <c r="L271" i="187"/>
  <c r="AG254" i="187"/>
  <c r="AF254" i="187"/>
  <c r="AE254" i="187"/>
  <c r="AD254" i="187"/>
  <c r="AC254" i="187"/>
  <c r="AA254" i="187"/>
  <c r="Z254" i="187"/>
  <c r="Y254" i="187"/>
  <c r="X254" i="187"/>
  <c r="W254" i="187"/>
  <c r="U254" i="187"/>
  <c r="T254" i="187"/>
  <c r="S254" i="187"/>
  <c r="R254" i="187"/>
  <c r="Q254" i="187"/>
  <c r="P254" i="187"/>
  <c r="O254" i="187"/>
  <c r="N254" i="187"/>
  <c r="M254" i="187"/>
  <c r="L254" i="187"/>
  <c r="AG237" i="187"/>
  <c r="AF237" i="187"/>
  <c r="AE237" i="187"/>
  <c r="AD237" i="187"/>
  <c r="AC237" i="187"/>
  <c r="AA237" i="187"/>
  <c r="Z237" i="187"/>
  <c r="Y237" i="187"/>
  <c r="X237" i="187"/>
  <c r="W237" i="187"/>
  <c r="U237" i="187"/>
  <c r="T237" i="187"/>
  <c r="S237" i="187"/>
  <c r="R237" i="187"/>
  <c r="Q237" i="187"/>
  <c r="P237" i="187"/>
  <c r="O237" i="187"/>
  <c r="N237" i="187"/>
  <c r="M237" i="187"/>
  <c r="L237" i="187"/>
  <c r="AG220" i="187"/>
  <c r="AF220" i="187"/>
  <c r="AE220" i="187"/>
  <c r="AD220" i="187"/>
  <c r="AC220" i="187"/>
  <c r="AA220" i="187"/>
  <c r="Z220" i="187"/>
  <c r="Y220" i="187"/>
  <c r="X220" i="187"/>
  <c r="W220" i="187"/>
  <c r="U220" i="187"/>
  <c r="T220" i="187"/>
  <c r="S220" i="187"/>
  <c r="R220" i="187"/>
  <c r="Q220" i="187"/>
  <c r="P220" i="187"/>
  <c r="O220" i="187"/>
  <c r="N220" i="187"/>
  <c r="M220" i="187"/>
  <c r="L220" i="187"/>
  <c r="AG203" i="187"/>
  <c r="AF203" i="187"/>
  <c r="AE203" i="187"/>
  <c r="AD203" i="187"/>
  <c r="AC203" i="187"/>
  <c r="AA203" i="187"/>
  <c r="Z203" i="187"/>
  <c r="Y203" i="187"/>
  <c r="X203" i="187"/>
  <c r="W203" i="187"/>
  <c r="U203" i="187"/>
  <c r="T203" i="187"/>
  <c r="S203" i="187"/>
  <c r="R203" i="187"/>
  <c r="Q203" i="187"/>
  <c r="P203" i="187"/>
  <c r="O203" i="187"/>
  <c r="N203" i="187"/>
  <c r="M203" i="187"/>
  <c r="L203" i="187"/>
  <c r="AG186" i="187"/>
  <c r="AF186" i="187"/>
  <c r="AE186" i="187"/>
  <c r="AD186" i="187"/>
  <c r="AC186" i="187"/>
  <c r="AA186" i="187"/>
  <c r="Z186" i="187"/>
  <c r="Y186" i="187"/>
  <c r="X186" i="187"/>
  <c r="W186" i="187"/>
  <c r="U186" i="187"/>
  <c r="T186" i="187"/>
  <c r="S186" i="187"/>
  <c r="R186" i="187"/>
  <c r="Q186" i="187"/>
  <c r="P186" i="187"/>
  <c r="O186" i="187"/>
  <c r="N186" i="187"/>
  <c r="M186" i="187"/>
  <c r="L186" i="187"/>
  <c r="AG169" i="187"/>
  <c r="AF169" i="187"/>
  <c r="AE169" i="187"/>
  <c r="AD169" i="187"/>
  <c r="AC169" i="187"/>
  <c r="AA169" i="187"/>
  <c r="Z169" i="187"/>
  <c r="Y169" i="187"/>
  <c r="X169" i="187"/>
  <c r="W169" i="187"/>
  <c r="U169" i="187"/>
  <c r="T169" i="187"/>
  <c r="S169" i="187"/>
  <c r="R169" i="187"/>
  <c r="Q169" i="187"/>
  <c r="P169" i="187"/>
  <c r="O169" i="187"/>
  <c r="N169" i="187"/>
  <c r="M169" i="187"/>
  <c r="L169" i="187"/>
  <c r="AG152" i="187"/>
  <c r="AF152" i="187"/>
  <c r="AE152" i="187"/>
  <c r="AD152" i="187"/>
  <c r="AC152" i="187"/>
  <c r="AA152" i="187"/>
  <c r="Z152" i="187"/>
  <c r="Y152" i="187"/>
  <c r="X152" i="187"/>
  <c r="W152" i="187"/>
  <c r="U152" i="187"/>
  <c r="T152" i="187"/>
  <c r="S152" i="187"/>
  <c r="R152" i="187"/>
  <c r="Q152" i="187"/>
  <c r="P152" i="187"/>
  <c r="O152" i="187"/>
  <c r="N152" i="187"/>
  <c r="M152" i="187"/>
  <c r="L152" i="187"/>
  <c r="AG135" i="187"/>
  <c r="AF135" i="187"/>
  <c r="AE135" i="187"/>
  <c r="AD135" i="187"/>
  <c r="AC135" i="187"/>
  <c r="AA135" i="187"/>
  <c r="Z135" i="187"/>
  <c r="Y135" i="187"/>
  <c r="X135" i="187"/>
  <c r="W135" i="187"/>
  <c r="U135" i="187"/>
  <c r="T135" i="187"/>
  <c r="S135" i="187"/>
  <c r="R135" i="187"/>
  <c r="Q135" i="187"/>
  <c r="P135" i="187"/>
  <c r="O135" i="187"/>
  <c r="N135" i="187"/>
  <c r="M135" i="187"/>
  <c r="L135" i="187"/>
  <c r="AG118" i="187"/>
  <c r="AF118" i="187"/>
  <c r="AE118" i="187"/>
  <c r="AD118" i="187"/>
  <c r="AC118" i="187"/>
  <c r="AA118" i="187"/>
  <c r="Z118" i="187"/>
  <c r="Y118" i="187"/>
  <c r="X118" i="187"/>
  <c r="W118" i="187"/>
  <c r="U118" i="187"/>
  <c r="T118" i="187"/>
  <c r="S118" i="187"/>
  <c r="R118" i="187"/>
  <c r="Q118" i="187"/>
  <c r="P118" i="187"/>
  <c r="O118" i="187"/>
  <c r="N118" i="187"/>
  <c r="M118" i="187"/>
  <c r="L118" i="187"/>
  <c r="AG101" i="187"/>
  <c r="AF101" i="187"/>
  <c r="AE101" i="187"/>
  <c r="AD101" i="187"/>
  <c r="AC101" i="187"/>
  <c r="AA101" i="187"/>
  <c r="Z101" i="187"/>
  <c r="Y101" i="187"/>
  <c r="X101" i="187"/>
  <c r="W101" i="187"/>
  <c r="U101" i="187"/>
  <c r="T101" i="187"/>
  <c r="S101" i="187"/>
  <c r="R101" i="187"/>
  <c r="Q101" i="187"/>
  <c r="P101" i="187"/>
  <c r="O101" i="187"/>
  <c r="N101" i="187"/>
  <c r="M101" i="187"/>
  <c r="L101" i="187"/>
  <c r="AG84" i="187"/>
  <c r="AF84" i="187"/>
  <c r="AE84" i="187"/>
  <c r="AD84" i="187"/>
  <c r="AC84" i="187"/>
  <c r="AA84" i="187"/>
  <c r="Z84" i="187"/>
  <c r="Y84" i="187"/>
  <c r="X84" i="187"/>
  <c r="W84" i="187"/>
  <c r="U84" i="187"/>
  <c r="T84" i="187"/>
  <c r="S84" i="187"/>
  <c r="R84" i="187"/>
  <c r="Q84" i="187"/>
  <c r="P84" i="187"/>
  <c r="O84" i="187"/>
  <c r="N84" i="187"/>
  <c r="M84" i="187"/>
  <c r="L84" i="187"/>
  <c r="AG67" i="187"/>
  <c r="AF67" i="187"/>
  <c r="AE67" i="187"/>
  <c r="AD67" i="187"/>
  <c r="AC67" i="187"/>
  <c r="AA67" i="187"/>
  <c r="Z67" i="187"/>
  <c r="Y67" i="187"/>
  <c r="X67" i="187"/>
  <c r="W67" i="187"/>
  <c r="U67" i="187"/>
  <c r="T67" i="187"/>
  <c r="S67" i="187"/>
  <c r="R67" i="187"/>
  <c r="Q67" i="187"/>
  <c r="P67" i="187"/>
  <c r="O67" i="187"/>
  <c r="N67" i="187"/>
  <c r="M67" i="187"/>
  <c r="L67" i="187"/>
  <c r="AG50" i="187"/>
  <c r="AF50" i="187"/>
  <c r="AE50" i="187"/>
  <c r="AD50" i="187"/>
  <c r="AC50" i="187"/>
  <c r="AA50" i="187"/>
  <c r="Z50" i="187"/>
  <c r="Y50" i="187"/>
  <c r="X50" i="187"/>
  <c r="W50" i="187"/>
  <c r="U50" i="187"/>
  <c r="T50" i="187"/>
  <c r="S50" i="187"/>
  <c r="R50" i="187"/>
  <c r="Q50" i="187"/>
  <c r="P50" i="187"/>
  <c r="O50" i="187"/>
  <c r="N50" i="187"/>
  <c r="M50" i="187"/>
  <c r="L50" i="187"/>
  <c r="AH50" i="187"/>
  <c r="AG38" i="187"/>
  <c r="AF38" i="187"/>
  <c r="AC38" i="187"/>
  <c r="X38" i="187"/>
  <c r="AA38" i="187"/>
  <c r="Z38" i="187"/>
  <c r="Y38" i="187"/>
  <c r="W38" i="187"/>
  <c r="T38" i="187"/>
  <c r="P38" i="187"/>
  <c r="U38" i="187"/>
  <c r="S38" i="187"/>
  <c r="Q38" i="187"/>
  <c r="M38" i="187"/>
  <c r="L38" i="187"/>
  <c r="AG810" i="187"/>
  <c r="AF810" i="187"/>
  <c r="AE810" i="187"/>
  <c r="AD810" i="187"/>
  <c r="AC810" i="187"/>
  <c r="AA810" i="187"/>
  <c r="Z810" i="187"/>
  <c r="Y810" i="187"/>
  <c r="X810" i="187"/>
  <c r="W810" i="187"/>
  <c r="U810" i="187"/>
  <c r="T810" i="187"/>
  <c r="S810" i="187"/>
  <c r="R810" i="187"/>
  <c r="Q810" i="187"/>
  <c r="P810" i="187"/>
  <c r="O810" i="187"/>
  <c r="N810" i="187"/>
  <c r="M810" i="187"/>
  <c r="L810" i="187"/>
  <c r="AG776" i="187"/>
  <c r="AF776" i="187"/>
  <c r="AE776" i="187"/>
  <c r="AD776" i="187"/>
  <c r="AC776" i="187"/>
  <c r="AA776" i="187"/>
  <c r="Z776" i="187"/>
  <c r="Y776" i="187"/>
  <c r="X776" i="187"/>
  <c r="W776" i="187"/>
  <c r="U776" i="187"/>
  <c r="T776" i="187"/>
  <c r="S776" i="187"/>
  <c r="R776" i="187"/>
  <c r="Q776" i="187"/>
  <c r="P776" i="187"/>
  <c r="O776" i="187"/>
  <c r="N776" i="187"/>
  <c r="M776" i="187"/>
  <c r="L776" i="187"/>
  <c r="AG759" i="187"/>
  <c r="AF759" i="187"/>
  <c r="AE759" i="187"/>
  <c r="AD759" i="187"/>
  <c r="AC759" i="187"/>
  <c r="AA759" i="187"/>
  <c r="Z759" i="187"/>
  <c r="Y759" i="187"/>
  <c r="X759" i="187"/>
  <c r="W759" i="187"/>
  <c r="U759" i="187"/>
  <c r="T759" i="187"/>
  <c r="S759" i="187"/>
  <c r="R759" i="187"/>
  <c r="Q759" i="187"/>
  <c r="P759" i="187"/>
  <c r="O759" i="187"/>
  <c r="N759" i="187"/>
  <c r="M759" i="187"/>
  <c r="L759" i="187"/>
  <c r="AG742" i="187"/>
  <c r="AF742" i="187"/>
  <c r="AE742" i="187"/>
  <c r="AD742" i="187"/>
  <c r="AC742" i="187"/>
  <c r="AA742" i="187"/>
  <c r="Z742" i="187"/>
  <c r="Y742" i="187"/>
  <c r="X742" i="187"/>
  <c r="W742" i="187"/>
  <c r="U742" i="187"/>
  <c r="T742" i="187"/>
  <c r="S742" i="187"/>
  <c r="R742" i="187"/>
  <c r="Q742" i="187"/>
  <c r="P742" i="187"/>
  <c r="O742" i="187"/>
  <c r="N742" i="187"/>
  <c r="M742" i="187"/>
  <c r="L742" i="187"/>
  <c r="AG725" i="187"/>
  <c r="AF725" i="187"/>
  <c r="AE725" i="187"/>
  <c r="AD725" i="187"/>
  <c r="AC725" i="187"/>
  <c r="AA725" i="187"/>
  <c r="Z725" i="187"/>
  <c r="Y725" i="187"/>
  <c r="X725" i="187"/>
  <c r="W725" i="187"/>
  <c r="U725" i="187"/>
  <c r="T725" i="187"/>
  <c r="S725" i="187"/>
  <c r="R725" i="187"/>
  <c r="Q725" i="187"/>
  <c r="P725" i="187"/>
  <c r="O725" i="187"/>
  <c r="N725" i="187"/>
  <c r="M725" i="187"/>
  <c r="L725" i="187"/>
  <c r="AG708" i="187"/>
  <c r="AF708" i="187"/>
  <c r="AE708" i="187"/>
  <c r="AD708" i="187"/>
  <c r="AC708" i="187"/>
  <c r="AA708" i="187"/>
  <c r="Z708" i="187"/>
  <c r="Y708" i="187"/>
  <c r="X708" i="187"/>
  <c r="W708" i="187"/>
  <c r="U708" i="187"/>
  <c r="T708" i="187"/>
  <c r="S708" i="187"/>
  <c r="R708" i="187"/>
  <c r="Q708" i="187"/>
  <c r="P708" i="187"/>
  <c r="O708" i="187"/>
  <c r="N708" i="187"/>
  <c r="M708" i="187"/>
  <c r="L708" i="187"/>
  <c r="AG691" i="187"/>
  <c r="AF691" i="187"/>
  <c r="AE691" i="187"/>
  <c r="AD691" i="187"/>
  <c r="AC691" i="187"/>
  <c r="AA691" i="187"/>
  <c r="Z691" i="187"/>
  <c r="Y691" i="187"/>
  <c r="X691" i="187"/>
  <c r="W691" i="187"/>
  <c r="U691" i="187"/>
  <c r="T691" i="187"/>
  <c r="S691" i="187"/>
  <c r="R691" i="187"/>
  <c r="Q691" i="187"/>
  <c r="P691" i="187"/>
  <c r="O691" i="187"/>
  <c r="N691" i="187"/>
  <c r="M691" i="187"/>
  <c r="L691" i="187"/>
  <c r="AG674" i="187"/>
  <c r="AF674" i="187"/>
  <c r="AE674" i="187"/>
  <c r="AD674" i="187"/>
  <c r="AC674" i="187"/>
  <c r="AA674" i="187"/>
  <c r="Z674" i="187"/>
  <c r="Y674" i="187"/>
  <c r="X674" i="187"/>
  <c r="W674" i="187"/>
  <c r="U674" i="187"/>
  <c r="T674" i="187"/>
  <c r="S674" i="187"/>
  <c r="R674" i="187"/>
  <c r="Q674" i="187"/>
  <c r="P674" i="187"/>
  <c r="O674" i="187"/>
  <c r="N674" i="187"/>
  <c r="M674" i="187"/>
  <c r="L674" i="187"/>
  <c r="AG657" i="187"/>
  <c r="AF657" i="187"/>
  <c r="AE657" i="187"/>
  <c r="AD657" i="187"/>
  <c r="AC657" i="187"/>
  <c r="AA657" i="187"/>
  <c r="Z657" i="187"/>
  <c r="Y657" i="187"/>
  <c r="X657" i="187"/>
  <c r="W657" i="187"/>
  <c r="U657" i="187"/>
  <c r="T657" i="187"/>
  <c r="S657" i="187"/>
  <c r="R657" i="187"/>
  <c r="Q657" i="187"/>
  <c r="P657" i="187"/>
  <c r="O657" i="187"/>
  <c r="N657" i="187"/>
  <c r="M657" i="187"/>
  <c r="L657" i="187"/>
  <c r="AG640" i="187"/>
  <c r="AF640" i="187"/>
  <c r="AE640" i="187"/>
  <c r="AD640" i="187"/>
  <c r="AC640" i="187"/>
  <c r="AA640" i="187"/>
  <c r="Z640" i="187"/>
  <c r="Y640" i="187"/>
  <c r="X640" i="187"/>
  <c r="W640" i="187"/>
  <c r="U640" i="187"/>
  <c r="T640" i="187"/>
  <c r="S640" i="187"/>
  <c r="R640" i="187"/>
  <c r="Q640" i="187"/>
  <c r="P640" i="187"/>
  <c r="O640" i="187"/>
  <c r="N640" i="187"/>
  <c r="M640" i="187"/>
  <c r="L640" i="187"/>
  <c r="AG623" i="187"/>
  <c r="AF623" i="187"/>
  <c r="AE623" i="187"/>
  <c r="AD623" i="187"/>
  <c r="AC623" i="187"/>
  <c r="AA623" i="187"/>
  <c r="Z623" i="187"/>
  <c r="Y623" i="187"/>
  <c r="X623" i="187"/>
  <c r="W623" i="187"/>
  <c r="U623" i="187"/>
  <c r="T623" i="187"/>
  <c r="S623" i="187"/>
  <c r="R623" i="187"/>
  <c r="Q623" i="187"/>
  <c r="P623" i="187"/>
  <c r="O623" i="187"/>
  <c r="N623" i="187"/>
  <c r="M623" i="187"/>
  <c r="L623" i="187"/>
  <c r="AG606" i="187"/>
  <c r="AF606" i="187"/>
  <c r="AE606" i="187"/>
  <c r="AD606" i="187"/>
  <c r="AC606" i="187"/>
  <c r="AA606" i="187"/>
  <c r="Z606" i="187"/>
  <c r="Y606" i="187"/>
  <c r="X606" i="187"/>
  <c r="W606" i="187"/>
  <c r="U606" i="187"/>
  <c r="T606" i="187"/>
  <c r="S606" i="187"/>
  <c r="R606" i="187"/>
  <c r="Q606" i="187"/>
  <c r="P606" i="187"/>
  <c r="O606" i="187"/>
  <c r="N606" i="187"/>
  <c r="M606" i="187"/>
  <c r="L606" i="187"/>
  <c r="AG589" i="187"/>
  <c r="AF589" i="187"/>
  <c r="AE589" i="187"/>
  <c r="AD589" i="187"/>
  <c r="AC589" i="187"/>
  <c r="AA589" i="187"/>
  <c r="Z589" i="187"/>
  <c r="Y589" i="187"/>
  <c r="X589" i="187"/>
  <c r="W589" i="187"/>
  <c r="U589" i="187"/>
  <c r="T589" i="187"/>
  <c r="S589" i="187"/>
  <c r="R589" i="187"/>
  <c r="Q589" i="187"/>
  <c r="P589" i="187"/>
  <c r="O589" i="187"/>
  <c r="N589" i="187"/>
  <c r="M589" i="187"/>
  <c r="L589" i="187"/>
  <c r="AG572" i="187"/>
  <c r="AF572" i="187"/>
  <c r="AE572" i="187"/>
  <c r="AD572" i="187"/>
  <c r="AC572" i="187"/>
  <c r="AA572" i="187"/>
  <c r="Z572" i="187"/>
  <c r="Y572" i="187"/>
  <c r="X572" i="187"/>
  <c r="W572" i="187"/>
  <c r="U572" i="187"/>
  <c r="T572" i="187"/>
  <c r="S572" i="187"/>
  <c r="R572" i="187"/>
  <c r="Q572" i="187"/>
  <c r="P572" i="187"/>
  <c r="O572" i="187"/>
  <c r="N572" i="187"/>
  <c r="M572" i="187"/>
  <c r="L572" i="187"/>
  <c r="AG555" i="187"/>
  <c r="AF555" i="187"/>
  <c r="AE555" i="187"/>
  <c r="AD555" i="187"/>
  <c r="AC555" i="187"/>
  <c r="AA555" i="187"/>
  <c r="Z555" i="187"/>
  <c r="Y555" i="187"/>
  <c r="X555" i="187"/>
  <c r="W555" i="187"/>
  <c r="U555" i="187"/>
  <c r="T555" i="187"/>
  <c r="S555" i="187"/>
  <c r="R555" i="187"/>
  <c r="Q555" i="187"/>
  <c r="P555" i="187"/>
  <c r="O555" i="187"/>
  <c r="N555" i="187"/>
  <c r="M555" i="187"/>
  <c r="L555" i="187"/>
  <c r="AG538" i="187"/>
  <c r="AF538" i="187"/>
  <c r="AE538" i="187"/>
  <c r="AD538" i="187"/>
  <c r="AC538" i="187"/>
  <c r="AA538" i="187"/>
  <c r="Z538" i="187"/>
  <c r="Y538" i="187"/>
  <c r="X538" i="187"/>
  <c r="W538" i="187"/>
  <c r="U538" i="187"/>
  <c r="T538" i="187"/>
  <c r="S538" i="187"/>
  <c r="R538" i="187"/>
  <c r="Q538" i="187"/>
  <c r="P538" i="187"/>
  <c r="O538" i="187"/>
  <c r="N538" i="187"/>
  <c r="M538" i="187"/>
  <c r="L538" i="187"/>
  <c r="AG521" i="187"/>
  <c r="AF521" i="187"/>
  <c r="AE521" i="187"/>
  <c r="AD521" i="187"/>
  <c r="AC521" i="187"/>
  <c r="AA521" i="187"/>
  <c r="Z521" i="187"/>
  <c r="Y521" i="187"/>
  <c r="X521" i="187"/>
  <c r="W521" i="187"/>
  <c r="U521" i="187"/>
  <c r="T521" i="187"/>
  <c r="S521" i="187"/>
  <c r="R521" i="187"/>
  <c r="Q521" i="187"/>
  <c r="P521" i="187"/>
  <c r="O521" i="187"/>
  <c r="N521" i="187"/>
  <c r="M521" i="187"/>
  <c r="L521" i="187"/>
  <c r="AG504" i="187"/>
  <c r="AF504" i="187"/>
  <c r="AE504" i="187"/>
  <c r="AD504" i="187"/>
  <c r="AC504" i="187"/>
  <c r="AA504" i="187"/>
  <c r="Z504" i="187"/>
  <c r="Y504" i="187"/>
  <c r="X504" i="187"/>
  <c r="W504" i="187"/>
  <c r="U504" i="187"/>
  <c r="T504" i="187"/>
  <c r="S504" i="187"/>
  <c r="R504" i="187"/>
  <c r="Q504" i="187"/>
  <c r="P504" i="187"/>
  <c r="O504" i="187"/>
  <c r="N504" i="187"/>
  <c r="M504" i="187"/>
  <c r="L504" i="187"/>
  <c r="AG487" i="187"/>
  <c r="AF487" i="187"/>
  <c r="AE487" i="187"/>
  <c r="AD487" i="187"/>
  <c r="AC487" i="187"/>
  <c r="AA487" i="187"/>
  <c r="Z487" i="187"/>
  <c r="Y487" i="187"/>
  <c r="X487" i="187"/>
  <c r="W487" i="187"/>
  <c r="U487" i="187"/>
  <c r="T487" i="187"/>
  <c r="S487" i="187"/>
  <c r="R487" i="187"/>
  <c r="Q487" i="187"/>
  <c r="P487" i="187"/>
  <c r="O487" i="187"/>
  <c r="N487" i="187"/>
  <c r="M487" i="187"/>
  <c r="L487" i="187"/>
  <c r="AG470" i="187"/>
  <c r="AF470" i="187"/>
  <c r="AE470" i="187"/>
  <c r="AD470" i="187"/>
  <c r="AC470" i="187"/>
  <c r="AA470" i="187"/>
  <c r="Z470" i="187"/>
  <c r="Y470" i="187"/>
  <c r="X470" i="187"/>
  <c r="W470" i="187"/>
  <c r="U470" i="187"/>
  <c r="T470" i="187"/>
  <c r="S470" i="187"/>
  <c r="R470" i="187"/>
  <c r="Q470" i="187"/>
  <c r="P470" i="187"/>
  <c r="O470" i="187"/>
  <c r="N470" i="187"/>
  <c r="M470" i="187"/>
  <c r="L470" i="187"/>
  <c r="AG453" i="187"/>
  <c r="AF453" i="187"/>
  <c r="AE453" i="187"/>
  <c r="AD453" i="187"/>
  <c r="AC453" i="187"/>
  <c r="AA453" i="187"/>
  <c r="Z453" i="187"/>
  <c r="Y453" i="187"/>
  <c r="X453" i="187"/>
  <c r="W453" i="187"/>
  <c r="U453" i="187"/>
  <c r="T453" i="187"/>
  <c r="S453" i="187"/>
  <c r="R453" i="187"/>
  <c r="Q453" i="187"/>
  <c r="P453" i="187"/>
  <c r="O453" i="187"/>
  <c r="N453" i="187"/>
  <c r="M453" i="187"/>
  <c r="L453" i="187"/>
  <c r="AG436" i="187"/>
  <c r="AF436" i="187"/>
  <c r="AE436" i="187"/>
  <c r="AD436" i="187"/>
  <c r="AC436" i="187"/>
  <c r="AA436" i="187"/>
  <c r="Z436" i="187"/>
  <c r="Y436" i="187"/>
  <c r="X436" i="187"/>
  <c r="W436" i="187"/>
  <c r="U436" i="187"/>
  <c r="T436" i="187"/>
  <c r="S436" i="187"/>
  <c r="R436" i="187"/>
  <c r="Q436" i="187"/>
  <c r="P436" i="187"/>
  <c r="O436" i="187"/>
  <c r="N436" i="187"/>
  <c r="M436" i="187"/>
  <c r="L436" i="187"/>
  <c r="AG419" i="187"/>
  <c r="AF419" i="187"/>
  <c r="AE419" i="187"/>
  <c r="AD419" i="187"/>
  <c r="AC419" i="187"/>
  <c r="AA419" i="187"/>
  <c r="Z419" i="187"/>
  <c r="Y419" i="187"/>
  <c r="X419" i="187"/>
  <c r="W419" i="187"/>
  <c r="U419" i="187"/>
  <c r="T419" i="187"/>
  <c r="S419" i="187"/>
  <c r="R419" i="187"/>
  <c r="Q419" i="187"/>
  <c r="P419" i="187"/>
  <c r="O419" i="187"/>
  <c r="N419" i="187"/>
  <c r="M419" i="187"/>
  <c r="L419" i="187"/>
  <c r="AG402" i="187"/>
  <c r="AF402" i="187"/>
  <c r="AE402" i="187"/>
  <c r="AD402" i="187"/>
  <c r="AC402" i="187"/>
  <c r="AA402" i="187"/>
  <c r="Z402" i="187"/>
  <c r="Y402" i="187"/>
  <c r="X402" i="187"/>
  <c r="W402" i="187"/>
  <c r="U402" i="187"/>
  <c r="T402" i="187"/>
  <c r="S402" i="187"/>
  <c r="R402" i="187"/>
  <c r="Q402" i="187"/>
  <c r="P402" i="187"/>
  <c r="O402" i="187"/>
  <c r="N402" i="187"/>
  <c r="M402" i="187"/>
  <c r="L402" i="187"/>
  <c r="AG385" i="187"/>
  <c r="AF385" i="187"/>
  <c r="AE385" i="187"/>
  <c r="AD385" i="187"/>
  <c r="AC385" i="187"/>
  <c r="AA385" i="187"/>
  <c r="Z385" i="187"/>
  <c r="Y385" i="187"/>
  <c r="X385" i="187"/>
  <c r="W385" i="187"/>
  <c r="U385" i="187"/>
  <c r="T385" i="187"/>
  <c r="S385" i="187"/>
  <c r="R385" i="187"/>
  <c r="Q385" i="187"/>
  <c r="P385" i="187"/>
  <c r="O385" i="187"/>
  <c r="N385" i="187"/>
  <c r="M385" i="187"/>
  <c r="L385" i="187"/>
  <c r="AG368" i="187"/>
  <c r="AF368" i="187"/>
  <c r="AE368" i="187"/>
  <c r="AD368" i="187"/>
  <c r="AC368" i="187"/>
  <c r="AA368" i="187"/>
  <c r="Z368" i="187"/>
  <c r="Y368" i="187"/>
  <c r="X368" i="187"/>
  <c r="W368" i="187"/>
  <c r="U368" i="187"/>
  <c r="T368" i="187"/>
  <c r="S368" i="187"/>
  <c r="R368" i="187"/>
  <c r="Q368" i="187"/>
  <c r="P368" i="187"/>
  <c r="O368" i="187"/>
  <c r="N368" i="187"/>
  <c r="M368" i="187"/>
  <c r="L368" i="187"/>
  <c r="AG351" i="187"/>
  <c r="AF351" i="187"/>
  <c r="AE351" i="187"/>
  <c r="AD351" i="187"/>
  <c r="AC351" i="187"/>
  <c r="AA351" i="187"/>
  <c r="Z351" i="187"/>
  <c r="Y351" i="187"/>
  <c r="X351" i="187"/>
  <c r="W351" i="187"/>
  <c r="U351" i="187"/>
  <c r="T351" i="187"/>
  <c r="S351" i="187"/>
  <c r="R351" i="187"/>
  <c r="Q351" i="187"/>
  <c r="P351" i="187"/>
  <c r="O351" i="187"/>
  <c r="N351" i="187"/>
  <c r="M351" i="187"/>
  <c r="L351" i="187"/>
  <c r="AG334" i="187"/>
  <c r="AF334" i="187"/>
  <c r="AE334" i="187"/>
  <c r="AD334" i="187"/>
  <c r="AC334" i="187"/>
  <c r="AA334" i="187"/>
  <c r="Z334" i="187"/>
  <c r="Y334" i="187"/>
  <c r="X334" i="187"/>
  <c r="W334" i="187"/>
  <c r="U334" i="187"/>
  <c r="T334" i="187"/>
  <c r="S334" i="187"/>
  <c r="R334" i="187"/>
  <c r="Q334" i="187"/>
  <c r="P334" i="187"/>
  <c r="O334" i="187"/>
  <c r="N334" i="187"/>
  <c r="M334" i="187"/>
  <c r="L334" i="187"/>
  <c r="AG317" i="187"/>
  <c r="AF317" i="187"/>
  <c r="AE317" i="187"/>
  <c r="AD317" i="187"/>
  <c r="AC317" i="187"/>
  <c r="AA317" i="187"/>
  <c r="Z317" i="187"/>
  <c r="Y317" i="187"/>
  <c r="X317" i="187"/>
  <c r="W317" i="187"/>
  <c r="U317" i="187"/>
  <c r="T317" i="187"/>
  <c r="S317" i="187"/>
  <c r="R317" i="187"/>
  <c r="Q317" i="187"/>
  <c r="P317" i="187"/>
  <c r="O317" i="187"/>
  <c r="N317" i="187"/>
  <c r="M317" i="187"/>
  <c r="L317" i="187"/>
  <c r="AG300" i="187"/>
  <c r="AF300" i="187"/>
  <c r="AE300" i="187"/>
  <c r="AD300" i="187"/>
  <c r="AC300" i="187"/>
  <c r="AA300" i="187"/>
  <c r="Z300" i="187"/>
  <c r="Y300" i="187"/>
  <c r="X300" i="187"/>
  <c r="W300" i="187"/>
  <c r="U300" i="187"/>
  <c r="T300" i="187"/>
  <c r="S300" i="187"/>
  <c r="R300" i="187"/>
  <c r="Q300" i="187"/>
  <c r="P300" i="187"/>
  <c r="O300" i="187"/>
  <c r="N300" i="187"/>
  <c r="M300" i="187"/>
  <c r="L300" i="187"/>
  <c r="AG283" i="187"/>
  <c r="AF283" i="187"/>
  <c r="AE283" i="187"/>
  <c r="AD283" i="187"/>
  <c r="AC283" i="187"/>
  <c r="AA283" i="187"/>
  <c r="Z283" i="187"/>
  <c r="Y283" i="187"/>
  <c r="X283" i="187"/>
  <c r="W283" i="187"/>
  <c r="U283" i="187"/>
  <c r="T283" i="187"/>
  <c r="S283" i="187"/>
  <c r="R283" i="187"/>
  <c r="Q283" i="187"/>
  <c r="P283" i="187"/>
  <c r="O283" i="187"/>
  <c r="N283" i="187"/>
  <c r="M283" i="187"/>
  <c r="L283" i="187"/>
  <c r="AG266" i="187"/>
  <c r="AF266" i="187"/>
  <c r="AE266" i="187"/>
  <c r="AD266" i="187"/>
  <c r="AC266" i="187"/>
  <c r="AA266" i="187"/>
  <c r="Z266" i="187"/>
  <c r="Y266" i="187"/>
  <c r="X266" i="187"/>
  <c r="W266" i="187"/>
  <c r="U266" i="187"/>
  <c r="T266" i="187"/>
  <c r="S266" i="187"/>
  <c r="R266" i="187"/>
  <c r="Q266" i="187"/>
  <c r="P266" i="187"/>
  <c r="O266" i="187"/>
  <c r="N266" i="187"/>
  <c r="M266" i="187"/>
  <c r="L266" i="187"/>
  <c r="AG249" i="187"/>
  <c r="AF249" i="187"/>
  <c r="AE249" i="187"/>
  <c r="AD249" i="187"/>
  <c r="AC249" i="187"/>
  <c r="AA249" i="187"/>
  <c r="Z249" i="187"/>
  <c r="Y249" i="187"/>
  <c r="X249" i="187"/>
  <c r="W249" i="187"/>
  <c r="U249" i="187"/>
  <c r="T249" i="187"/>
  <c r="S249" i="187"/>
  <c r="R249" i="187"/>
  <c r="Q249" i="187"/>
  <c r="P249" i="187"/>
  <c r="O249" i="187"/>
  <c r="N249" i="187"/>
  <c r="M249" i="187"/>
  <c r="L249" i="187"/>
  <c r="AG232" i="187"/>
  <c r="AF232" i="187"/>
  <c r="AE232" i="187"/>
  <c r="AD232" i="187"/>
  <c r="AC232" i="187"/>
  <c r="AA232" i="187"/>
  <c r="Z232" i="187"/>
  <c r="Y232" i="187"/>
  <c r="X232" i="187"/>
  <c r="W232" i="187"/>
  <c r="U232" i="187"/>
  <c r="T232" i="187"/>
  <c r="S232" i="187"/>
  <c r="R232" i="187"/>
  <c r="Q232" i="187"/>
  <c r="P232" i="187"/>
  <c r="O232" i="187"/>
  <c r="N232" i="187"/>
  <c r="M232" i="187"/>
  <c r="L232" i="187"/>
  <c r="AG215" i="187"/>
  <c r="AF215" i="187"/>
  <c r="AE215" i="187"/>
  <c r="AD215" i="187"/>
  <c r="AC215" i="187"/>
  <c r="AA215" i="187"/>
  <c r="Z215" i="187"/>
  <c r="Y215" i="187"/>
  <c r="X215" i="187"/>
  <c r="W215" i="187"/>
  <c r="U215" i="187"/>
  <c r="T215" i="187"/>
  <c r="S215" i="187"/>
  <c r="R215" i="187"/>
  <c r="Q215" i="187"/>
  <c r="P215" i="187"/>
  <c r="O215" i="187"/>
  <c r="N215" i="187"/>
  <c r="M215" i="187"/>
  <c r="L215" i="187"/>
  <c r="AG198" i="187"/>
  <c r="AF198" i="187"/>
  <c r="AE198" i="187"/>
  <c r="AD198" i="187"/>
  <c r="AC198" i="187"/>
  <c r="AA198" i="187"/>
  <c r="Z198" i="187"/>
  <c r="Y198" i="187"/>
  <c r="X198" i="187"/>
  <c r="W198" i="187"/>
  <c r="U198" i="187"/>
  <c r="T198" i="187"/>
  <c r="S198" i="187"/>
  <c r="R198" i="187"/>
  <c r="Q198" i="187"/>
  <c r="P198" i="187"/>
  <c r="O198" i="187"/>
  <c r="N198" i="187"/>
  <c r="M198" i="187"/>
  <c r="L198" i="187"/>
  <c r="AG181" i="187"/>
  <c r="AF181" i="187"/>
  <c r="AE181" i="187"/>
  <c r="AD181" i="187"/>
  <c r="AC181" i="187"/>
  <c r="AA181" i="187"/>
  <c r="Z181" i="187"/>
  <c r="Y181" i="187"/>
  <c r="X181" i="187"/>
  <c r="W181" i="187"/>
  <c r="U181" i="187"/>
  <c r="T181" i="187"/>
  <c r="S181" i="187"/>
  <c r="R181" i="187"/>
  <c r="Q181" i="187"/>
  <c r="P181" i="187"/>
  <c r="O181" i="187"/>
  <c r="N181" i="187"/>
  <c r="M181" i="187"/>
  <c r="L181" i="187"/>
  <c r="AG164" i="187"/>
  <c r="AF164" i="187"/>
  <c r="AE164" i="187"/>
  <c r="AD164" i="187"/>
  <c r="AC164" i="187"/>
  <c r="AA164" i="187"/>
  <c r="Z164" i="187"/>
  <c r="Y164" i="187"/>
  <c r="X164" i="187"/>
  <c r="W164" i="187"/>
  <c r="U164" i="187"/>
  <c r="T164" i="187"/>
  <c r="S164" i="187"/>
  <c r="R164" i="187"/>
  <c r="Q164" i="187"/>
  <c r="P164" i="187"/>
  <c r="O164" i="187"/>
  <c r="N164" i="187"/>
  <c r="M164" i="187"/>
  <c r="L164" i="187"/>
  <c r="AG147" i="187"/>
  <c r="AF147" i="187"/>
  <c r="AE147" i="187"/>
  <c r="AD147" i="187"/>
  <c r="AC147" i="187"/>
  <c r="AA147" i="187"/>
  <c r="Z147" i="187"/>
  <c r="Y147" i="187"/>
  <c r="X147" i="187"/>
  <c r="W147" i="187"/>
  <c r="U147" i="187"/>
  <c r="T147" i="187"/>
  <c r="S147" i="187"/>
  <c r="R147" i="187"/>
  <c r="Q147" i="187"/>
  <c r="P147" i="187"/>
  <c r="O147" i="187"/>
  <c r="N147" i="187"/>
  <c r="M147" i="187"/>
  <c r="L147" i="187"/>
  <c r="AG130" i="187"/>
  <c r="AF130" i="187"/>
  <c r="AE130" i="187"/>
  <c r="AD130" i="187"/>
  <c r="AC130" i="187"/>
  <c r="AA130" i="187"/>
  <c r="Z130" i="187"/>
  <c r="Y130" i="187"/>
  <c r="X130" i="187"/>
  <c r="W130" i="187"/>
  <c r="U130" i="187"/>
  <c r="T130" i="187"/>
  <c r="S130" i="187"/>
  <c r="R130" i="187"/>
  <c r="Q130" i="187"/>
  <c r="P130" i="187"/>
  <c r="O130" i="187"/>
  <c r="N130" i="187"/>
  <c r="M130" i="187"/>
  <c r="L130" i="187"/>
  <c r="AG113" i="187"/>
  <c r="AF113" i="187"/>
  <c r="AE113" i="187"/>
  <c r="AD113" i="187"/>
  <c r="AC113" i="187"/>
  <c r="AA113" i="187"/>
  <c r="Z113" i="187"/>
  <c r="Y113" i="187"/>
  <c r="X113" i="187"/>
  <c r="W113" i="187"/>
  <c r="U113" i="187"/>
  <c r="T113" i="187"/>
  <c r="S113" i="187"/>
  <c r="R113" i="187"/>
  <c r="Q113" i="187"/>
  <c r="P113" i="187"/>
  <c r="O113" i="187"/>
  <c r="N113" i="187"/>
  <c r="M113" i="187"/>
  <c r="L113" i="187"/>
  <c r="AG96" i="187"/>
  <c r="AF96" i="187"/>
  <c r="AE96" i="187"/>
  <c r="AD96" i="187"/>
  <c r="AC96" i="187"/>
  <c r="AA96" i="187"/>
  <c r="Z96" i="187"/>
  <c r="Y96" i="187"/>
  <c r="X96" i="187"/>
  <c r="W96" i="187"/>
  <c r="U96" i="187"/>
  <c r="T96" i="187"/>
  <c r="S96" i="187"/>
  <c r="R96" i="187"/>
  <c r="Q96" i="187"/>
  <c r="P96" i="187"/>
  <c r="O96" i="187"/>
  <c r="N96" i="187"/>
  <c r="M96" i="187"/>
  <c r="L96" i="187"/>
  <c r="AG79" i="187"/>
  <c r="AF79" i="187"/>
  <c r="AE79" i="187"/>
  <c r="AD79" i="187"/>
  <c r="AC79" i="187"/>
  <c r="AA79" i="187"/>
  <c r="Z79" i="187"/>
  <c r="Y79" i="187"/>
  <c r="X79" i="187"/>
  <c r="W79" i="187"/>
  <c r="U79" i="187"/>
  <c r="T79" i="187"/>
  <c r="S79" i="187"/>
  <c r="R79" i="187"/>
  <c r="Q79" i="187"/>
  <c r="P79" i="187"/>
  <c r="O79" i="187"/>
  <c r="N79" i="187"/>
  <c r="M79" i="187"/>
  <c r="L79" i="187"/>
  <c r="AG62" i="187"/>
  <c r="AF62" i="187"/>
  <c r="AE62" i="187"/>
  <c r="AD62" i="187"/>
  <c r="AC62" i="187"/>
  <c r="AA62" i="187"/>
  <c r="Z62" i="187"/>
  <c r="Y62" i="187"/>
  <c r="X62" i="187"/>
  <c r="W62" i="187"/>
  <c r="U62" i="187"/>
  <c r="T62" i="187"/>
  <c r="S62" i="187"/>
  <c r="R62" i="187"/>
  <c r="Q62" i="187"/>
  <c r="P62" i="187"/>
  <c r="O62" i="187"/>
  <c r="N62" i="187"/>
  <c r="M62" i="187"/>
  <c r="L62" i="187"/>
  <c r="AG45" i="187"/>
  <c r="AF45" i="187"/>
  <c r="AE45" i="187"/>
  <c r="AD45" i="187"/>
  <c r="AC45" i="187"/>
  <c r="AA45" i="187"/>
  <c r="Z45" i="187"/>
  <c r="Y45" i="187"/>
  <c r="X45" i="187"/>
  <c r="W45" i="187"/>
  <c r="U45" i="187"/>
  <c r="T45" i="187"/>
  <c r="S45" i="187"/>
  <c r="R45" i="187"/>
  <c r="Q45" i="187"/>
  <c r="P45" i="187"/>
  <c r="O45" i="187"/>
  <c r="N45" i="187"/>
  <c r="M45" i="187"/>
  <c r="L45" i="187"/>
  <c r="AH45" i="187"/>
  <c r="AH33" i="187"/>
  <c r="AH28" i="187"/>
  <c r="AG33" i="187"/>
  <c r="AF33" i="187"/>
  <c r="AE33" i="187"/>
  <c r="AD33" i="187"/>
  <c r="AC33" i="187"/>
  <c r="AA33" i="187"/>
  <c r="Z33" i="187"/>
  <c r="Y33" i="187"/>
  <c r="X33" i="187"/>
  <c r="W33" i="187"/>
  <c r="U33" i="187"/>
  <c r="T33" i="187"/>
  <c r="S33" i="187"/>
  <c r="R33" i="187"/>
  <c r="Q33" i="187"/>
  <c r="P33" i="187"/>
  <c r="O33" i="187"/>
  <c r="N33" i="187"/>
  <c r="M33" i="187"/>
  <c r="L33" i="187"/>
  <c r="AG28" i="187"/>
  <c r="AF28" i="187"/>
  <c r="AE28" i="187"/>
  <c r="AD28" i="187"/>
  <c r="AC28" i="187"/>
  <c r="AB23" i="187"/>
  <c r="AA28" i="187"/>
  <c r="Z28" i="187"/>
  <c r="Y28" i="187"/>
  <c r="X28" i="187"/>
  <c r="W28" i="187"/>
  <c r="U28" i="187"/>
  <c r="T28" i="187"/>
  <c r="S28" i="187"/>
  <c r="R28" i="187"/>
  <c r="Q28" i="187"/>
  <c r="P28" i="187"/>
  <c r="O28" i="187"/>
  <c r="N28" i="187"/>
  <c r="M28" i="187"/>
  <c r="L28" i="187"/>
  <c r="W786" i="187"/>
  <c r="W769" i="187"/>
  <c r="W735" i="187"/>
  <c r="W701" i="187"/>
  <c r="W684" i="187"/>
  <c r="L667" i="187"/>
  <c r="L650" i="187"/>
  <c r="L633" i="187"/>
  <c r="W616" i="187"/>
  <c r="W599" i="187"/>
  <c r="W548" i="187"/>
  <c r="W531" i="187"/>
  <c r="W514" i="187"/>
  <c r="L497" i="187"/>
  <c r="L480" i="187"/>
  <c r="W446" i="187"/>
  <c r="W429" i="187"/>
  <c r="W412" i="187"/>
  <c r="W378" i="187"/>
  <c r="W344" i="187"/>
  <c r="W310" i="187"/>
  <c r="W293" i="187"/>
  <c r="W276" i="187"/>
  <c r="W242" i="187"/>
  <c r="W225" i="187"/>
  <c r="L208" i="187"/>
  <c r="L191" i="187"/>
  <c r="W174" i="187"/>
  <c r="W157" i="187"/>
  <c r="W140" i="187"/>
  <c r="W106" i="187"/>
  <c r="W89" i="187"/>
  <c r="AH55" i="187"/>
  <c r="W55" i="187"/>
  <c r="AH36" i="187"/>
  <c r="N38" i="187"/>
  <c r="AH38" i="187"/>
  <c r="G282" i="205"/>
  <c r="C19" i="203" s="1"/>
  <c r="C228" i="242"/>
  <c r="X228" i="242"/>
  <c r="J29" i="210"/>
  <c r="D55" i="243"/>
  <c r="E55" i="243"/>
  <c r="F55" i="243"/>
  <c r="G55" i="243"/>
  <c r="H55" i="243"/>
  <c r="I55" i="243"/>
  <c r="J55" i="243"/>
  <c r="C55" i="243"/>
  <c r="C55" i="218"/>
  <c r="D55" i="218"/>
  <c r="E55" i="218"/>
  <c r="F55" i="218"/>
  <c r="G55" i="218"/>
  <c r="H55" i="218"/>
  <c r="I55" i="218"/>
  <c r="J55" i="218"/>
  <c r="L55" i="218"/>
  <c r="M55" i="218"/>
  <c r="N55" i="218"/>
  <c r="O55" i="218"/>
  <c r="P55" i="218"/>
  <c r="Q55" i="218"/>
  <c r="K55" i="218"/>
  <c r="D30" i="242"/>
  <c r="E30" i="242"/>
  <c r="F30" i="242"/>
  <c r="G30" i="242"/>
  <c r="H30" i="242"/>
  <c r="I30" i="242"/>
  <c r="J30" i="242"/>
  <c r="K30" i="242"/>
  <c r="L30" i="242"/>
  <c r="M30" i="242"/>
  <c r="N30" i="242"/>
  <c r="O30" i="242"/>
  <c r="P30" i="242"/>
  <c r="Q30" i="242"/>
  <c r="C30" i="242"/>
  <c r="K34" i="210"/>
  <c r="K45" i="210"/>
  <c r="I29" i="210"/>
  <c r="H29" i="210"/>
  <c r="G29" i="210"/>
  <c r="F29" i="210"/>
  <c r="E29" i="210"/>
  <c r="D29" i="210"/>
  <c r="C29" i="210"/>
  <c r="J28" i="210"/>
  <c r="I28" i="210"/>
  <c r="H28" i="210"/>
  <c r="G28" i="210"/>
  <c r="F28" i="210"/>
  <c r="E28" i="210"/>
  <c r="D28" i="210"/>
  <c r="C28" i="210"/>
  <c r="AD112" i="242"/>
  <c r="AD114" i="242"/>
  <c r="AD115" i="242"/>
  <c r="AD116" i="242"/>
  <c r="AD117" i="242"/>
  <c r="F345" i="238"/>
  <c r="J344" i="238"/>
  <c r="H343" i="238"/>
  <c r="F343" i="238"/>
  <c r="F342" i="238"/>
  <c r="H341" i="238"/>
  <c r="F341" i="238"/>
  <c r="F340" i="238"/>
  <c r="E340" i="238"/>
  <c r="K339" i="238"/>
  <c r="J339" i="238"/>
  <c r="I339" i="238"/>
  <c r="H339" i="238"/>
  <c r="G339" i="238"/>
  <c r="K337" i="238"/>
  <c r="J337" i="238"/>
  <c r="I337" i="238"/>
  <c r="H337" i="238"/>
  <c r="G337" i="238"/>
  <c r="K329" i="238"/>
  <c r="J329" i="238"/>
  <c r="I329" i="238"/>
  <c r="H329" i="238"/>
  <c r="G329" i="238"/>
  <c r="K327" i="238"/>
  <c r="J327" i="238"/>
  <c r="I327" i="238"/>
  <c r="H327" i="238"/>
  <c r="G327" i="238"/>
  <c r="K318" i="238"/>
  <c r="G318" i="238"/>
  <c r="F318" i="238"/>
  <c r="H317" i="238"/>
  <c r="J316" i="238"/>
  <c r="F316" i="238"/>
  <c r="I315" i="238"/>
  <c r="F315" i="238"/>
  <c r="J314" i="238"/>
  <c r="F314" i="238"/>
  <c r="I313" i="238"/>
  <c r="F313" i="238"/>
  <c r="E313" i="238"/>
  <c r="K312" i="238"/>
  <c r="J312" i="238"/>
  <c r="I312" i="238"/>
  <c r="H312" i="238"/>
  <c r="G312" i="238"/>
  <c r="K310" i="238"/>
  <c r="J310" i="238"/>
  <c r="I310" i="238"/>
  <c r="H310" i="238"/>
  <c r="G310" i="238"/>
  <c r="K302" i="238"/>
  <c r="J302" i="238"/>
  <c r="I302" i="238"/>
  <c r="H302" i="238"/>
  <c r="G302" i="238"/>
  <c r="K300" i="238"/>
  <c r="J300" i="238"/>
  <c r="I300" i="238"/>
  <c r="H300" i="238"/>
  <c r="G300" i="238"/>
  <c r="P291" i="238"/>
  <c r="O291" i="238"/>
  <c r="N291" i="238"/>
  <c r="M291" i="238"/>
  <c r="L291" i="238"/>
  <c r="K291" i="238"/>
  <c r="J291" i="238"/>
  <c r="I291" i="238"/>
  <c r="H291" i="238"/>
  <c r="G291" i="238"/>
  <c r="G291" i="238" a="1"/>
  <c r="G289" i="238"/>
  <c r="F277" i="238"/>
  <c r="F275" i="238"/>
  <c r="F274" i="238"/>
  <c r="F273" i="238"/>
  <c r="F272" i="238"/>
  <c r="F271" i="238"/>
  <c r="E271" i="238"/>
  <c r="AG270" i="238"/>
  <c r="AE270" i="238"/>
  <c r="AC270" i="238"/>
  <c r="AA270" i="238"/>
  <c r="U270" i="238"/>
  <c r="S270" i="238"/>
  <c r="P270" i="238"/>
  <c r="N270" i="238"/>
  <c r="L270" i="238"/>
  <c r="J270" i="238"/>
  <c r="H270" i="238"/>
  <c r="AH268" i="238"/>
  <c r="AH270" i="238"/>
  <c r="AG268" i="238"/>
  <c r="AF268" i="238"/>
  <c r="AF270" i="238"/>
  <c r="AE268" i="238"/>
  <c r="AD268" i="238"/>
  <c r="AD270" i="238"/>
  <c r="AC268" i="238"/>
  <c r="AB268" i="238"/>
  <c r="AB270" i="238"/>
  <c r="AA268" i="238"/>
  <c r="V270" i="238"/>
  <c r="T270" i="238"/>
  <c r="R270" i="238"/>
  <c r="P268" i="238"/>
  <c r="O268" i="238"/>
  <c r="O270" i="238"/>
  <c r="N268" i="238"/>
  <c r="M268" i="238"/>
  <c r="M270" i="238"/>
  <c r="L268" i="238"/>
  <c r="K268" i="238"/>
  <c r="K270" i="238"/>
  <c r="J268" i="238"/>
  <c r="I268" i="238"/>
  <c r="I270" i="238"/>
  <c r="H268" i="238"/>
  <c r="G268" i="238"/>
  <c r="G270" i="238"/>
  <c r="AH265" i="238"/>
  <c r="AG265" i="238"/>
  <c r="AF265" i="238"/>
  <c r="V265" i="238"/>
  <c r="U265" i="238"/>
  <c r="T265" i="238"/>
  <c r="S265" i="238"/>
  <c r="R265" i="238"/>
  <c r="P265" i="238"/>
  <c r="O265" i="238"/>
  <c r="N265" i="238"/>
  <c r="M265" i="238"/>
  <c r="L265" i="238"/>
  <c r="AH260" i="238"/>
  <c r="AF260" i="238"/>
  <c r="AB260" i="238"/>
  <c r="V260" i="238"/>
  <c r="T260" i="238"/>
  <c r="R260" i="238"/>
  <c r="O260" i="238"/>
  <c r="M260" i="238"/>
  <c r="K260" i="238"/>
  <c r="I260" i="238"/>
  <c r="G260" i="238"/>
  <c r="AH258" i="238"/>
  <c r="AG258" i="238"/>
  <c r="AG260" i="238"/>
  <c r="AF258" i="238"/>
  <c r="AE258" i="238"/>
  <c r="AE260" i="238" s="1"/>
  <c r="AD258" i="238"/>
  <c r="AD260" i="238" s="1"/>
  <c r="AC258" i="238"/>
  <c r="AC260" i="238"/>
  <c r="AB258" i="238"/>
  <c r="AA258" i="238"/>
  <c r="AA260" i="238" s="1"/>
  <c r="V258" i="238"/>
  <c r="U258" i="238"/>
  <c r="U260" i="238"/>
  <c r="T258" i="238"/>
  <c r="S258" i="238"/>
  <c r="S260" i="238"/>
  <c r="R258" i="238"/>
  <c r="P258" i="238"/>
  <c r="P260" i="238"/>
  <c r="O258" i="238"/>
  <c r="N258" i="238"/>
  <c r="N260" i="238"/>
  <c r="M258" i="238"/>
  <c r="L258" i="238"/>
  <c r="L260" i="238"/>
  <c r="K258" i="238"/>
  <c r="J258" i="238"/>
  <c r="J260" i="238"/>
  <c r="I258" i="238"/>
  <c r="H258" i="238"/>
  <c r="H260" i="238"/>
  <c r="G258" i="238"/>
  <c r="AH255" i="238"/>
  <c r="AG255" i="238"/>
  <c r="AF255" i="238"/>
  <c r="V255" i="238"/>
  <c r="U255" i="238"/>
  <c r="T255" i="238"/>
  <c r="S255" i="238"/>
  <c r="R255" i="238"/>
  <c r="P255" i="238"/>
  <c r="O255" i="238"/>
  <c r="N255" i="238"/>
  <c r="M255" i="238"/>
  <c r="L255" i="238"/>
  <c r="AG250" i="238"/>
  <c r="AC250" i="238"/>
  <c r="AB250" i="238"/>
  <c r="U250" i="238"/>
  <c r="T250" i="238"/>
  <c r="S250" i="238"/>
  <c r="P250" i="238"/>
  <c r="L250" i="238"/>
  <c r="K250" i="238"/>
  <c r="H250" i="238"/>
  <c r="G250" i="238"/>
  <c r="AH248" i="238"/>
  <c r="AH250" i="238"/>
  <c r="AG248" i="238"/>
  <c r="AF248" i="238"/>
  <c r="AF250" i="238"/>
  <c r="AE248" i="238"/>
  <c r="AE250" i="238"/>
  <c r="AD248" i="238"/>
  <c r="AD250" i="238"/>
  <c r="AC248" i="238"/>
  <c r="AB248" i="238"/>
  <c r="AA248" i="238"/>
  <c r="AA250" i="238"/>
  <c r="V248" i="238"/>
  <c r="V250" i="238"/>
  <c r="U248" i="238"/>
  <c r="T248" i="238"/>
  <c r="S248" i="238"/>
  <c r="R248" i="238"/>
  <c r="R250" i="238"/>
  <c r="P248" i="238"/>
  <c r="O248" i="238"/>
  <c r="O250" i="238"/>
  <c r="N248" i="238"/>
  <c r="N250" i="238"/>
  <c r="M248" i="238"/>
  <c r="M250" i="238"/>
  <c r="L248" i="238"/>
  <c r="K248" i="238"/>
  <c r="J248" i="238"/>
  <c r="J250" i="238"/>
  <c r="I248" i="238"/>
  <c r="I250" i="238"/>
  <c r="H248" i="238"/>
  <c r="G248" i="238"/>
  <c r="AH245" i="238"/>
  <c r="AG245" i="238"/>
  <c r="AF245" i="238"/>
  <c r="V245" i="238"/>
  <c r="U245" i="238"/>
  <c r="T245" i="238"/>
  <c r="S245" i="238"/>
  <c r="R245" i="238"/>
  <c r="P245" i="238"/>
  <c r="O245" i="238"/>
  <c r="N245" i="238"/>
  <c r="M245" i="238"/>
  <c r="L245" i="238"/>
  <c r="AH240" i="238"/>
  <c r="AF240" i="238"/>
  <c r="AD240" i="238"/>
  <c r="AB240" i="238"/>
  <c r="V240" i="238"/>
  <c r="T240" i="238"/>
  <c r="S240" i="238"/>
  <c r="O240" i="238"/>
  <c r="N240" i="238"/>
  <c r="M240" i="238"/>
  <c r="K240" i="238"/>
  <c r="J240" i="238"/>
  <c r="I240" i="238"/>
  <c r="G240" i="238"/>
  <c r="AH238" i="238"/>
  <c r="AG238" i="238"/>
  <c r="AG240" i="238"/>
  <c r="AF238" i="238"/>
  <c r="AE238" i="238"/>
  <c r="AE240" i="238"/>
  <c r="AD238" i="238"/>
  <c r="AC238" i="238"/>
  <c r="AC240" i="238"/>
  <c r="AB238" i="238"/>
  <c r="AA238" i="238"/>
  <c r="AA240" i="238"/>
  <c r="V238" i="238"/>
  <c r="U238" i="238"/>
  <c r="U240" i="238"/>
  <c r="T238" i="238"/>
  <c r="S238" i="238"/>
  <c r="R238" i="238"/>
  <c r="R240" i="238"/>
  <c r="P238" i="238"/>
  <c r="P240" i="238"/>
  <c r="O238" i="238"/>
  <c r="N238" i="238"/>
  <c r="M238" i="238"/>
  <c r="L238" i="238"/>
  <c r="L240" i="238"/>
  <c r="K238" i="238"/>
  <c r="J238" i="238"/>
  <c r="I238" i="238"/>
  <c r="H238" i="238"/>
  <c r="H240" i="238"/>
  <c r="G238" i="238"/>
  <c r="AH235" i="238"/>
  <c r="AG235" i="238"/>
  <c r="AF235" i="238"/>
  <c r="V235" i="238"/>
  <c r="U235" i="238"/>
  <c r="T235" i="238"/>
  <c r="S235" i="238"/>
  <c r="R235" i="238"/>
  <c r="P235" i="238"/>
  <c r="O235" i="238"/>
  <c r="N235" i="238"/>
  <c r="M235" i="238"/>
  <c r="L235" i="238"/>
  <c r="AE230" i="238"/>
  <c r="AD230" i="238"/>
  <c r="AA230" i="238"/>
  <c r="S230" i="238"/>
  <c r="N230" i="238"/>
  <c r="J230" i="238"/>
  <c r="AH228" i="238"/>
  <c r="AH230" i="238"/>
  <c r="AG228" i="238"/>
  <c r="AG230" i="238"/>
  <c r="AF228" i="238"/>
  <c r="AF230" i="238"/>
  <c r="AE228" i="238"/>
  <c r="AD228" i="238"/>
  <c r="AC228" i="238"/>
  <c r="AC230" i="238"/>
  <c r="AB228" i="238"/>
  <c r="AB230" i="238"/>
  <c r="AA228" i="238"/>
  <c r="V228" i="238"/>
  <c r="V230" i="238"/>
  <c r="U228" i="238"/>
  <c r="U230" i="238"/>
  <c r="T228" i="238"/>
  <c r="T230" i="238"/>
  <c r="S228" i="238"/>
  <c r="R228" i="238"/>
  <c r="R230" i="238"/>
  <c r="P228" i="238"/>
  <c r="P230" i="238"/>
  <c r="O228" i="238"/>
  <c r="O230" i="238"/>
  <c r="N228" i="238"/>
  <c r="M228" i="238"/>
  <c r="M230" i="238"/>
  <c r="L228" i="238"/>
  <c r="L230" i="238"/>
  <c r="K228" i="238"/>
  <c r="K230" i="238"/>
  <c r="J228" i="238"/>
  <c r="I228" i="238"/>
  <c r="I230" i="238"/>
  <c r="H228" i="238"/>
  <c r="H230" i="238"/>
  <c r="G228" i="238"/>
  <c r="G230" i="238"/>
  <c r="AH225" i="238"/>
  <c r="AG225" i="238"/>
  <c r="AF225" i="238"/>
  <c r="V225" i="238"/>
  <c r="U225" i="238"/>
  <c r="T225" i="238"/>
  <c r="S225" i="238"/>
  <c r="R225" i="238"/>
  <c r="P225" i="238"/>
  <c r="O225" i="238"/>
  <c r="N225" i="238"/>
  <c r="M225" i="238"/>
  <c r="L225" i="238"/>
  <c r="AH220" i="238"/>
  <c r="AG220" i="238"/>
  <c r="AD220" i="238"/>
  <c r="AC220" i="238"/>
  <c r="AB220" i="238"/>
  <c r="V220" i="238"/>
  <c r="T220" i="238"/>
  <c r="R220" i="238"/>
  <c r="P220" i="238"/>
  <c r="M220" i="238"/>
  <c r="L220" i="238"/>
  <c r="K220" i="238"/>
  <c r="I220" i="238"/>
  <c r="H220" i="238"/>
  <c r="G220" i="238"/>
  <c r="AH218" i="238"/>
  <c r="AG218" i="238"/>
  <c r="AF218" i="238"/>
  <c r="AF220" i="238"/>
  <c r="AE218" i="238"/>
  <c r="AE220" i="238"/>
  <c r="AD218" i="238"/>
  <c r="AC218" i="238"/>
  <c r="AB218" i="238"/>
  <c r="AA218" i="238"/>
  <c r="AA220" i="238"/>
  <c r="V218" i="238"/>
  <c r="U218" i="238"/>
  <c r="U220" i="238"/>
  <c r="T218" i="238"/>
  <c r="S218" i="238"/>
  <c r="S220" i="238"/>
  <c r="R218" i="238"/>
  <c r="P218" i="238"/>
  <c r="O218" i="238"/>
  <c r="O220" i="238"/>
  <c r="N218" i="238"/>
  <c r="N220" i="238"/>
  <c r="M218" i="238"/>
  <c r="L218" i="238"/>
  <c r="K218" i="238"/>
  <c r="J218" i="238"/>
  <c r="J220" i="238"/>
  <c r="I218" i="238"/>
  <c r="H218" i="238"/>
  <c r="G218" i="238"/>
  <c r="AH215" i="238"/>
  <c r="AG215" i="238"/>
  <c r="AF215" i="238"/>
  <c r="V215" i="238"/>
  <c r="U215" i="238"/>
  <c r="T215" i="238"/>
  <c r="S215" i="238"/>
  <c r="R215" i="238"/>
  <c r="P215" i="238"/>
  <c r="O215" i="238"/>
  <c r="N215" i="238"/>
  <c r="M215" i="238"/>
  <c r="L215" i="238"/>
  <c r="AG210" i="238"/>
  <c r="AC210" i="238"/>
  <c r="U210" i="238"/>
  <c r="T210" i="238"/>
  <c r="P210" i="238"/>
  <c r="L210" i="238"/>
  <c r="H210" i="238"/>
  <c r="G210" i="238"/>
  <c r="AH208" i="238"/>
  <c r="AH210" i="238"/>
  <c r="AG208" i="238"/>
  <c r="AF208" i="238"/>
  <c r="AF210" i="238"/>
  <c r="AE208" i="238"/>
  <c r="AE210" i="238"/>
  <c r="AD208" i="238"/>
  <c r="AD210" i="238"/>
  <c r="AC208" i="238"/>
  <c r="AB208" i="238"/>
  <c r="AB210" i="238"/>
  <c r="AA208" i="238"/>
  <c r="AA210" i="238"/>
  <c r="V208" i="238"/>
  <c r="V210" i="238"/>
  <c r="U208" i="238"/>
  <c r="T208" i="238"/>
  <c r="S208" i="238"/>
  <c r="S210" i="238"/>
  <c r="R208" i="238"/>
  <c r="R210" i="238"/>
  <c r="P208" i="238"/>
  <c r="O208" i="238"/>
  <c r="O210" i="238"/>
  <c r="N208" i="238"/>
  <c r="N210" i="238"/>
  <c r="M208" i="238"/>
  <c r="M210" i="238"/>
  <c r="L208" i="238"/>
  <c r="K208" i="238"/>
  <c r="K210" i="238"/>
  <c r="J208" i="238"/>
  <c r="J210" i="238"/>
  <c r="I208" i="238"/>
  <c r="I210" i="238"/>
  <c r="H208" i="238"/>
  <c r="G208" i="238"/>
  <c r="AH205" i="238"/>
  <c r="AG205" i="238"/>
  <c r="AF205" i="238"/>
  <c r="V205" i="238"/>
  <c r="U205" i="238"/>
  <c r="T205" i="238"/>
  <c r="S205" i="238"/>
  <c r="R205" i="238"/>
  <c r="P205" i="238"/>
  <c r="O205" i="238"/>
  <c r="N205" i="238"/>
  <c r="M205" i="238"/>
  <c r="L205" i="238"/>
  <c r="AF200" i="238"/>
  <c r="AE200" i="238"/>
  <c r="AB200" i="238"/>
  <c r="AA200" i="238"/>
  <c r="T200" i="238"/>
  <c r="R200" i="238"/>
  <c r="O200" i="238"/>
  <c r="N200" i="238"/>
  <c r="K200" i="238"/>
  <c r="J200" i="238"/>
  <c r="G200" i="238"/>
  <c r="AH198" i="238"/>
  <c r="AH200" i="238"/>
  <c r="AG198" i="238"/>
  <c r="AG200" i="238"/>
  <c r="AF198" i="238"/>
  <c r="AE198" i="238"/>
  <c r="AD198" i="238"/>
  <c r="AD200" i="238"/>
  <c r="AC198" i="238"/>
  <c r="AC200" i="238"/>
  <c r="AB198" i="238"/>
  <c r="AA198" i="238"/>
  <c r="V198" i="238"/>
  <c r="V200" i="238"/>
  <c r="U198" i="238"/>
  <c r="U200" i="238"/>
  <c r="T198" i="238"/>
  <c r="S198" i="238"/>
  <c r="S200" i="238"/>
  <c r="R198" i="238"/>
  <c r="P198" i="238"/>
  <c r="P200" i="238"/>
  <c r="O198" i="238"/>
  <c r="N198" i="238"/>
  <c r="M198" i="238"/>
  <c r="M200" i="238"/>
  <c r="L198" i="238"/>
  <c r="L200" i="238"/>
  <c r="K198" i="238"/>
  <c r="J198" i="238"/>
  <c r="I198" i="238"/>
  <c r="I200" i="238"/>
  <c r="H198" i="238"/>
  <c r="H200" i="238"/>
  <c r="G198" i="238"/>
  <c r="AH195" i="238"/>
  <c r="AG195" i="238"/>
  <c r="AF195" i="238"/>
  <c r="V195" i="238"/>
  <c r="U195" i="238"/>
  <c r="T195" i="238"/>
  <c r="S195" i="238"/>
  <c r="R195" i="238"/>
  <c r="P195" i="238"/>
  <c r="O195" i="238"/>
  <c r="N195" i="238"/>
  <c r="M195" i="238"/>
  <c r="L195" i="238"/>
  <c r="AH190" i="238"/>
  <c r="AG190" i="238"/>
  <c r="AE190" i="238"/>
  <c r="AA190" i="238"/>
  <c r="V190" i="238"/>
  <c r="S190" i="238"/>
  <c r="R190" i="238"/>
  <c r="P190" i="238"/>
  <c r="N190" i="238"/>
  <c r="J190" i="238"/>
  <c r="H190" i="238"/>
  <c r="AH188" i="238"/>
  <c r="AG188" i="238"/>
  <c r="AF188" i="238"/>
  <c r="AF190" i="238"/>
  <c r="AE188" i="238"/>
  <c r="AD188" i="238"/>
  <c r="AD190" i="238"/>
  <c r="AC188" i="238"/>
  <c r="AC190" i="238"/>
  <c r="AB188" i="238"/>
  <c r="AB190" i="238"/>
  <c r="AA188" i="238"/>
  <c r="V188" i="238"/>
  <c r="U188" i="238"/>
  <c r="U190" i="238"/>
  <c r="T188" i="238"/>
  <c r="T190" i="238"/>
  <c r="S188" i="238"/>
  <c r="R188" i="238"/>
  <c r="P188" i="238"/>
  <c r="O188" i="238"/>
  <c r="O190" i="238"/>
  <c r="N188" i="238"/>
  <c r="M188" i="238"/>
  <c r="M190" i="238"/>
  <c r="L188" i="238"/>
  <c r="L190" i="238"/>
  <c r="K188" i="238"/>
  <c r="K190" i="238"/>
  <c r="J188" i="238"/>
  <c r="I188" i="238"/>
  <c r="I190" i="238"/>
  <c r="H188" i="238"/>
  <c r="G188" i="238"/>
  <c r="G190" i="238"/>
  <c r="AH185" i="238"/>
  <c r="AG185" i="238"/>
  <c r="AF185" i="238"/>
  <c r="V185" i="238"/>
  <c r="U185" i="238"/>
  <c r="T185" i="238"/>
  <c r="S185" i="238"/>
  <c r="R185" i="238"/>
  <c r="P185" i="238"/>
  <c r="O185" i="238"/>
  <c r="N185" i="238"/>
  <c r="M185" i="238"/>
  <c r="L185" i="238"/>
  <c r="AH180" i="238"/>
  <c r="AG180" i="238"/>
  <c r="AD180" i="238"/>
  <c r="AC180" i="238"/>
  <c r="V180" i="238"/>
  <c r="U180" i="238"/>
  <c r="T180" i="238"/>
  <c r="R180" i="238"/>
  <c r="M180" i="238"/>
  <c r="L180" i="238"/>
  <c r="I180" i="238"/>
  <c r="H180" i="238"/>
  <c r="G180" i="238"/>
  <c r="AH178" i="238"/>
  <c r="AG178" i="238"/>
  <c r="AF178" i="238"/>
  <c r="AF180" i="238"/>
  <c r="AE178" i="238"/>
  <c r="AE180" i="238"/>
  <c r="AD178" i="238"/>
  <c r="AC178" i="238"/>
  <c r="AB178" i="238"/>
  <c r="AB180" i="238"/>
  <c r="AA178" i="238"/>
  <c r="AA180" i="238"/>
  <c r="V178" i="238"/>
  <c r="U178" i="238"/>
  <c r="T178" i="238"/>
  <c r="S178" i="238"/>
  <c r="S180" i="238"/>
  <c r="R178" i="238"/>
  <c r="P178" i="238"/>
  <c r="P180" i="238"/>
  <c r="O178" i="238"/>
  <c r="O180" i="238"/>
  <c r="N178" i="238"/>
  <c r="N180" i="238"/>
  <c r="M178" i="238"/>
  <c r="L178" i="238"/>
  <c r="K178" i="238"/>
  <c r="K180" i="238"/>
  <c r="J178" i="238"/>
  <c r="J180" i="238"/>
  <c r="I178" i="238"/>
  <c r="H178" i="238"/>
  <c r="G178" i="238"/>
  <c r="AH175" i="238"/>
  <c r="AG175" i="238"/>
  <c r="AF175" i="238"/>
  <c r="V175" i="238"/>
  <c r="U175" i="238"/>
  <c r="T175" i="238"/>
  <c r="S175" i="238"/>
  <c r="R175" i="238"/>
  <c r="P175" i="238"/>
  <c r="O175" i="238"/>
  <c r="N175" i="238"/>
  <c r="M175" i="238"/>
  <c r="L175" i="238"/>
  <c r="AG170" i="238"/>
  <c r="AC170" i="238"/>
  <c r="AB170" i="238"/>
  <c r="U170" i="238"/>
  <c r="P170" i="238"/>
  <c r="L170" i="238"/>
  <c r="H170" i="238"/>
  <c r="G170" i="238"/>
  <c r="AH168" i="238"/>
  <c r="AH170" i="238"/>
  <c r="AG168" i="238"/>
  <c r="AF168" i="238"/>
  <c r="AF170" i="238"/>
  <c r="AE168" i="238"/>
  <c r="AE170" i="238"/>
  <c r="AD168" i="238"/>
  <c r="AD170" i="238"/>
  <c r="AC168" i="238"/>
  <c r="AB168" i="238"/>
  <c r="AA168" i="238"/>
  <c r="AA170" i="238"/>
  <c r="V168" i="238"/>
  <c r="V170" i="238"/>
  <c r="U168" i="238"/>
  <c r="T168" i="238"/>
  <c r="T170" i="238"/>
  <c r="S168" i="238"/>
  <c r="S170" i="238"/>
  <c r="R168" i="238"/>
  <c r="R170" i="238"/>
  <c r="P168" i="238"/>
  <c r="O168" i="238"/>
  <c r="O170" i="238"/>
  <c r="N168" i="238"/>
  <c r="N170" i="238"/>
  <c r="M168" i="238"/>
  <c r="M170" i="238"/>
  <c r="L168" i="238"/>
  <c r="K168" i="238"/>
  <c r="K170" i="238"/>
  <c r="J168" i="238"/>
  <c r="J170" i="238"/>
  <c r="I168" i="238"/>
  <c r="I170" i="238"/>
  <c r="H168" i="238"/>
  <c r="G168" i="238"/>
  <c r="AH165" i="238"/>
  <c r="AG165" i="238"/>
  <c r="AF165" i="238"/>
  <c r="V165" i="238"/>
  <c r="U165" i="238"/>
  <c r="T165" i="238"/>
  <c r="S165" i="238"/>
  <c r="R165" i="238"/>
  <c r="P165" i="238"/>
  <c r="O165" i="238"/>
  <c r="N165" i="238"/>
  <c r="M165" i="238"/>
  <c r="L165" i="238"/>
  <c r="AF160" i="238"/>
  <c r="AE160" i="238"/>
  <c r="AD160" i="238"/>
  <c r="AB160" i="238"/>
  <c r="AA160" i="238"/>
  <c r="V160" i="238"/>
  <c r="T160" i="238"/>
  <c r="O160" i="238"/>
  <c r="N160" i="238"/>
  <c r="K160" i="238"/>
  <c r="J160" i="238"/>
  <c r="I160" i="238"/>
  <c r="G160" i="238"/>
  <c r="AH158" i="238"/>
  <c r="AH160" i="238"/>
  <c r="AG158" i="238"/>
  <c r="AG160" i="238"/>
  <c r="AF158" i="238"/>
  <c r="AE158" i="238"/>
  <c r="AD158" i="238"/>
  <c r="AC158" i="238"/>
  <c r="AC160" i="238"/>
  <c r="AB158" i="238"/>
  <c r="AA158" i="238"/>
  <c r="V158" i="238"/>
  <c r="U158" i="238"/>
  <c r="U160" i="238"/>
  <c r="T158" i="238"/>
  <c r="S158" i="238"/>
  <c r="S160" i="238"/>
  <c r="R158" i="238"/>
  <c r="R160" i="238"/>
  <c r="P158" i="238"/>
  <c r="P160" i="238"/>
  <c r="O158" i="238"/>
  <c r="N158" i="238"/>
  <c r="M158" i="238"/>
  <c r="M160" i="238"/>
  <c r="L158" i="238"/>
  <c r="L160" i="238"/>
  <c r="K158" i="238"/>
  <c r="J158" i="238"/>
  <c r="I158" i="238"/>
  <c r="H158" i="238"/>
  <c r="H160" i="238"/>
  <c r="G158" i="238"/>
  <c r="AH155" i="238"/>
  <c r="AG155" i="238"/>
  <c r="AF155" i="238"/>
  <c r="V155" i="238"/>
  <c r="U155" i="238"/>
  <c r="T155" i="238"/>
  <c r="S155" i="238"/>
  <c r="R155" i="238"/>
  <c r="P155" i="238"/>
  <c r="O155" i="238"/>
  <c r="N155" i="238"/>
  <c r="M155" i="238"/>
  <c r="L155" i="238"/>
  <c r="AE150" i="238"/>
  <c r="AA150" i="238"/>
  <c r="V150" i="238"/>
  <c r="S150" i="238"/>
  <c r="N150" i="238"/>
  <c r="J150" i="238"/>
  <c r="AH148" i="238"/>
  <c r="AH150" i="238"/>
  <c r="AG148" i="238"/>
  <c r="AG150" i="238"/>
  <c r="AF148" i="238"/>
  <c r="AF150" i="238"/>
  <c r="AE148" i="238"/>
  <c r="AD148" i="238"/>
  <c r="AD150" i="238"/>
  <c r="AC148" i="238"/>
  <c r="AC150" i="238"/>
  <c r="AB148" i="238"/>
  <c r="AB150" i="238"/>
  <c r="AA148" i="238"/>
  <c r="V148" i="238"/>
  <c r="U148" i="238"/>
  <c r="U150" i="238"/>
  <c r="T148" i="238"/>
  <c r="T150" i="238"/>
  <c r="S148" i="238"/>
  <c r="R148" i="238"/>
  <c r="R150" i="238"/>
  <c r="P148" i="238"/>
  <c r="P150" i="238"/>
  <c r="O148" i="238"/>
  <c r="O150" i="238"/>
  <c r="N148" i="238"/>
  <c r="M148" i="238"/>
  <c r="M150" i="238"/>
  <c r="L148" i="238"/>
  <c r="L150" i="238"/>
  <c r="K148" i="238"/>
  <c r="K150" i="238"/>
  <c r="J148" i="238"/>
  <c r="I148" i="238"/>
  <c r="I150" i="238"/>
  <c r="H148" i="238"/>
  <c r="H150" i="238"/>
  <c r="G148" i="238"/>
  <c r="G150" i="238"/>
  <c r="AH145" i="238"/>
  <c r="AG145" i="238"/>
  <c r="AF145" i="238"/>
  <c r="V145" i="238"/>
  <c r="U145" i="238"/>
  <c r="T145" i="238"/>
  <c r="S145" i="238"/>
  <c r="R145" i="238"/>
  <c r="P145" i="238"/>
  <c r="O145" i="238"/>
  <c r="N145" i="238"/>
  <c r="M145" i="238"/>
  <c r="L145" i="238"/>
  <c r="AH140" i="238"/>
  <c r="AG140" i="238"/>
  <c r="AD140" i="238"/>
  <c r="AC140" i="238"/>
  <c r="AB140" i="238"/>
  <c r="V140" i="238"/>
  <c r="R140" i="238"/>
  <c r="M140" i="238"/>
  <c r="L140" i="238"/>
  <c r="I140" i="238"/>
  <c r="H140" i="238"/>
  <c r="G140" i="238"/>
  <c r="AH138" i="238"/>
  <c r="AG138" i="238"/>
  <c r="AF138" i="238"/>
  <c r="AF140" i="238"/>
  <c r="AE138" i="238"/>
  <c r="AE140" i="238"/>
  <c r="AD138" i="238"/>
  <c r="AC138" i="238"/>
  <c r="AB138" i="238"/>
  <c r="AA138" i="238"/>
  <c r="AA140" i="238"/>
  <c r="V138" i="238"/>
  <c r="U138" i="238"/>
  <c r="U140" i="238"/>
  <c r="T138" i="238"/>
  <c r="T140" i="238"/>
  <c r="S138" i="238"/>
  <c r="S140" i="238"/>
  <c r="R138" i="238"/>
  <c r="P138" i="238"/>
  <c r="P140" i="238"/>
  <c r="O138" i="238"/>
  <c r="O140" i="238"/>
  <c r="N138" i="238"/>
  <c r="N140" i="238"/>
  <c r="M138" i="238"/>
  <c r="L138" i="238"/>
  <c r="K138" i="238"/>
  <c r="K140" i="238"/>
  <c r="J138" i="238"/>
  <c r="J140" i="238"/>
  <c r="I138" i="238"/>
  <c r="H138" i="238"/>
  <c r="G138" i="238"/>
  <c r="AH135" i="238"/>
  <c r="AG135" i="238"/>
  <c r="AF135" i="238"/>
  <c r="V135" i="238"/>
  <c r="U135" i="238"/>
  <c r="T135" i="238"/>
  <c r="S135" i="238"/>
  <c r="R135" i="238"/>
  <c r="P135" i="238"/>
  <c r="O135" i="238"/>
  <c r="N135" i="238"/>
  <c r="M135" i="238"/>
  <c r="L135" i="238"/>
  <c r="AG130" i="238"/>
  <c r="AE130" i="238"/>
  <c r="AC130" i="238"/>
  <c r="AA130" i="238"/>
  <c r="U130" i="238"/>
  <c r="P130" i="238"/>
  <c r="N130" i="238"/>
  <c r="L130" i="238"/>
  <c r="J130" i="238"/>
  <c r="H130" i="238"/>
  <c r="AH128" i="238"/>
  <c r="AH130" i="238"/>
  <c r="AG128" i="238"/>
  <c r="AF128" i="238"/>
  <c r="AF130" i="238"/>
  <c r="AE128" i="238"/>
  <c r="AD128" i="238"/>
  <c r="AD130" i="238"/>
  <c r="AC128" i="238"/>
  <c r="AB128" i="238"/>
  <c r="AB130" i="238"/>
  <c r="AA128" i="238"/>
  <c r="V128" i="238"/>
  <c r="V130" i="238"/>
  <c r="U128" i="238"/>
  <c r="T128" i="238"/>
  <c r="T130" i="238"/>
  <c r="S128" i="238"/>
  <c r="S130" i="238"/>
  <c r="R128" i="238"/>
  <c r="R130" i="238"/>
  <c r="P128" i="238"/>
  <c r="O128" i="238"/>
  <c r="O130" i="238"/>
  <c r="N128" i="238"/>
  <c r="M128" i="238"/>
  <c r="M130" i="238"/>
  <c r="L128" i="238"/>
  <c r="K128" i="238"/>
  <c r="K130" i="238"/>
  <c r="J128" i="238"/>
  <c r="I128" i="238"/>
  <c r="I130" i="238"/>
  <c r="H128" i="238"/>
  <c r="G128" i="238"/>
  <c r="G130" i="238"/>
  <c r="AH125" i="238"/>
  <c r="AG125" i="238"/>
  <c r="AF125" i="238"/>
  <c r="V125" i="238"/>
  <c r="U125" i="238"/>
  <c r="T125" i="238"/>
  <c r="S125" i="238"/>
  <c r="R125" i="238"/>
  <c r="P125" i="238"/>
  <c r="O125" i="238"/>
  <c r="N125" i="238"/>
  <c r="M125" i="238"/>
  <c r="L125" i="238"/>
  <c r="AH120" i="238"/>
  <c r="V120" i="238"/>
  <c r="R120" i="238"/>
  <c r="O120" i="238"/>
  <c r="M120" i="238"/>
  <c r="L120" i="238"/>
  <c r="K120" i="238"/>
  <c r="I120" i="238"/>
  <c r="H120" i="238"/>
  <c r="G120" i="238"/>
  <c r="AH118" i="238"/>
  <c r="AG118" i="238"/>
  <c r="AG120" i="238"/>
  <c r="AF118" i="238"/>
  <c r="AF120" i="238"/>
  <c r="AE118" i="238"/>
  <c r="AE120" i="238"/>
  <c r="AD118" i="238"/>
  <c r="AD120" i="238"/>
  <c r="AC118" i="238"/>
  <c r="AC120" i="238"/>
  <c r="AB118" i="238"/>
  <c r="AB120" i="238"/>
  <c r="AA118" i="238"/>
  <c r="AA120" i="238"/>
  <c r="V118" i="238"/>
  <c r="U118" i="238"/>
  <c r="U120" i="238"/>
  <c r="T118" i="238"/>
  <c r="T120" i="238"/>
  <c r="S118" i="238"/>
  <c r="S120" i="238"/>
  <c r="R118" i="238"/>
  <c r="P118" i="238"/>
  <c r="P120" i="238"/>
  <c r="O118" i="238"/>
  <c r="N118" i="238"/>
  <c r="N120" i="238"/>
  <c r="M118" i="238"/>
  <c r="L118" i="238"/>
  <c r="K118" i="238"/>
  <c r="J118" i="238"/>
  <c r="J120" i="238"/>
  <c r="I118" i="238"/>
  <c r="H118" i="238"/>
  <c r="G118" i="238"/>
  <c r="AH115" i="238"/>
  <c r="AG115" i="238"/>
  <c r="AF115" i="238"/>
  <c r="V115" i="238"/>
  <c r="U115" i="238"/>
  <c r="T115" i="238"/>
  <c r="S115" i="238"/>
  <c r="R115" i="238"/>
  <c r="P115" i="238"/>
  <c r="O115" i="238"/>
  <c r="N115" i="238"/>
  <c r="M115" i="238"/>
  <c r="L115" i="238"/>
  <c r="AG110" i="238"/>
  <c r="AF110" i="238"/>
  <c r="AE110" i="238"/>
  <c r="AC110" i="238"/>
  <c r="AB110" i="238"/>
  <c r="AA110" i="238"/>
  <c r="U110" i="238"/>
  <c r="T110" i="238"/>
  <c r="S110" i="238"/>
  <c r="P110" i="238"/>
  <c r="O110" i="238"/>
  <c r="N110" i="238"/>
  <c r="L110" i="238"/>
  <c r="K110" i="238"/>
  <c r="J110" i="238"/>
  <c r="H110" i="238"/>
  <c r="G110" i="238"/>
  <c r="AH108" i="238"/>
  <c r="AH110" i="238"/>
  <c r="AG108" i="238"/>
  <c r="AF108" i="238"/>
  <c r="AE108" i="238"/>
  <c r="AD108" i="238"/>
  <c r="AD110" i="238"/>
  <c r="AC108" i="238"/>
  <c r="AB108" i="238"/>
  <c r="AA108" i="238"/>
  <c r="V108" i="238"/>
  <c r="V110" i="238"/>
  <c r="U108" i="238"/>
  <c r="T108" i="238"/>
  <c r="S108" i="238"/>
  <c r="R108" i="238"/>
  <c r="R110" i="238"/>
  <c r="P108" i="238"/>
  <c r="O108" i="238"/>
  <c r="N108" i="238"/>
  <c r="M108" i="238"/>
  <c r="M110" i="238"/>
  <c r="L108" i="238"/>
  <c r="K108" i="238"/>
  <c r="J108" i="238"/>
  <c r="I108" i="238"/>
  <c r="I110" i="238"/>
  <c r="H108" i="238"/>
  <c r="G108" i="238"/>
  <c r="AH105" i="238"/>
  <c r="AG105" i="238"/>
  <c r="AF105" i="238"/>
  <c r="V105" i="238"/>
  <c r="U105" i="238"/>
  <c r="T105" i="238"/>
  <c r="S105" i="238"/>
  <c r="R105" i="238"/>
  <c r="P105" i="238"/>
  <c r="O105" i="238"/>
  <c r="N105" i="238"/>
  <c r="M105" i="238"/>
  <c r="L105" i="238"/>
  <c r="AH100" i="238"/>
  <c r="AF100" i="238"/>
  <c r="AE100" i="238"/>
  <c r="AD100" i="238"/>
  <c r="AB100" i="238"/>
  <c r="AA100" i="238"/>
  <c r="V100" i="238"/>
  <c r="T100" i="238"/>
  <c r="S100" i="238"/>
  <c r="R100" i="238"/>
  <c r="O100" i="238"/>
  <c r="N100" i="238"/>
  <c r="M100" i="238"/>
  <c r="K100" i="238"/>
  <c r="J100" i="238"/>
  <c r="I100" i="238"/>
  <c r="G100" i="238"/>
  <c r="AH98" i="238"/>
  <c r="AG98" i="238"/>
  <c r="AG100" i="238"/>
  <c r="AF98" i="238"/>
  <c r="AE98" i="238"/>
  <c r="AD98" i="238"/>
  <c r="AC98" i="238"/>
  <c r="AC100" i="238"/>
  <c r="AB98" i="238"/>
  <c r="AA98" i="238"/>
  <c r="V98" i="238"/>
  <c r="U98" i="238"/>
  <c r="U100" i="238"/>
  <c r="T98" i="238"/>
  <c r="S98" i="238"/>
  <c r="R98" i="238"/>
  <c r="P98" i="238"/>
  <c r="P100" i="238"/>
  <c r="O98" i="238"/>
  <c r="N98" i="238"/>
  <c r="M98" i="238"/>
  <c r="L98" i="238"/>
  <c r="L100" i="238"/>
  <c r="K98" i="238"/>
  <c r="J98" i="238"/>
  <c r="I98" i="238"/>
  <c r="H98" i="238"/>
  <c r="H100" i="238"/>
  <c r="G98" i="238"/>
  <c r="AH95" i="238"/>
  <c r="AG95" i="238"/>
  <c r="AF95" i="238"/>
  <c r="V95" i="238"/>
  <c r="U95" i="238"/>
  <c r="T95" i="238"/>
  <c r="S95" i="238"/>
  <c r="R95" i="238"/>
  <c r="P95" i="238"/>
  <c r="O95" i="238"/>
  <c r="N95" i="238"/>
  <c r="M95" i="238"/>
  <c r="L95" i="238"/>
  <c r="AH90" i="238"/>
  <c r="AG90" i="238"/>
  <c r="AE90" i="238"/>
  <c r="AD90" i="238"/>
  <c r="AC90" i="238"/>
  <c r="AA90" i="238"/>
  <c r="V90" i="238"/>
  <c r="U90" i="238"/>
  <c r="S90" i="238"/>
  <c r="R90" i="238"/>
  <c r="P90" i="238"/>
  <c r="N90" i="238"/>
  <c r="M90" i="238"/>
  <c r="L90" i="238"/>
  <c r="J90" i="238"/>
  <c r="I90" i="238"/>
  <c r="H90" i="238"/>
  <c r="AH88" i="238"/>
  <c r="AG88" i="238"/>
  <c r="AF88" i="238"/>
  <c r="AF90" i="238"/>
  <c r="AE88" i="238"/>
  <c r="AD88" i="238"/>
  <c r="AC88" i="238"/>
  <c r="AB88" i="238"/>
  <c r="AB90" i="238"/>
  <c r="AA88" i="238"/>
  <c r="V88" i="238"/>
  <c r="U88" i="238"/>
  <c r="T88" i="238"/>
  <c r="T90" i="238"/>
  <c r="S88" i="238"/>
  <c r="R88" i="238"/>
  <c r="P88" i="238"/>
  <c r="O88" i="238"/>
  <c r="O90" i="238"/>
  <c r="N88" i="238"/>
  <c r="M88" i="238"/>
  <c r="L88" i="238"/>
  <c r="K88" i="238"/>
  <c r="K90" i="238"/>
  <c r="J88" i="238"/>
  <c r="I88" i="238"/>
  <c r="H88" i="238"/>
  <c r="G88" i="238"/>
  <c r="G90" i="238"/>
  <c r="AH85" i="238"/>
  <c r="AG85" i="238"/>
  <c r="AF85" i="238"/>
  <c r="V85" i="238"/>
  <c r="U85" i="238"/>
  <c r="T85" i="238"/>
  <c r="S85" i="238"/>
  <c r="R85" i="238"/>
  <c r="P85" i="238"/>
  <c r="O85" i="238"/>
  <c r="N85" i="238"/>
  <c r="M85" i="238"/>
  <c r="L85" i="238"/>
  <c r="AH80" i="238"/>
  <c r="AG80" i="238"/>
  <c r="AF80" i="238"/>
  <c r="AD80" i="238"/>
  <c r="AC80" i="238"/>
  <c r="AB80" i="238"/>
  <c r="V80" i="238"/>
  <c r="U80" i="238"/>
  <c r="T80" i="238"/>
  <c r="R80" i="238"/>
  <c r="P80" i="238"/>
  <c r="O80" i="238"/>
  <c r="M80" i="238"/>
  <c r="L80" i="238"/>
  <c r="K80" i="238"/>
  <c r="I80" i="238"/>
  <c r="H80" i="238"/>
  <c r="G80" i="238"/>
  <c r="AH78" i="238"/>
  <c r="AG78" i="238"/>
  <c r="AF78" i="238"/>
  <c r="AE78" i="238"/>
  <c r="AE80" i="238"/>
  <c r="AD78" i="238"/>
  <c r="AC78" i="238"/>
  <c r="AB78" i="238"/>
  <c r="AA78" i="238"/>
  <c r="AA80" i="238"/>
  <c r="V78" i="238"/>
  <c r="U78" i="238"/>
  <c r="T78" i="238"/>
  <c r="S78" i="238"/>
  <c r="S80" i="238"/>
  <c r="R78" i="238"/>
  <c r="P78" i="238"/>
  <c r="O78" i="238"/>
  <c r="N78" i="238"/>
  <c r="N80" i="238"/>
  <c r="M78" i="238"/>
  <c r="L78" i="238"/>
  <c r="K78" i="238"/>
  <c r="J78" i="238"/>
  <c r="J80" i="238"/>
  <c r="I78" i="238"/>
  <c r="H78" i="238"/>
  <c r="G78" i="238"/>
  <c r="AH75" i="238"/>
  <c r="AG75" i="238"/>
  <c r="AF75" i="238"/>
  <c r="V75" i="238"/>
  <c r="U75" i="238"/>
  <c r="T75" i="238"/>
  <c r="S75" i="238"/>
  <c r="R75" i="238"/>
  <c r="P75" i="238"/>
  <c r="O75" i="238"/>
  <c r="N75" i="238"/>
  <c r="M75" i="238"/>
  <c r="L75" i="238"/>
  <c r="AG70" i="238"/>
  <c r="AF70" i="238"/>
  <c r="AE70" i="238"/>
  <c r="AC70" i="238"/>
  <c r="AB70" i="238"/>
  <c r="AA70" i="238"/>
  <c r="U70" i="238"/>
  <c r="T70" i="238"/>
  <c r="S70" i="238"/>
  <c r="P70" i="238"/>
  <c r="O70" i="238"/>
  <c r="N70" i="238"/>
  <c r="L70" i="238"/>
  <c r="K70" i="238"/>
  <c r="J70" i="238"/>
  <c r="H70" i="238"/>
  <c r="G70" i="238"/>
  <c r="AH68" i="238"/>
  <c r="AH70" i="238"/>
  <c r="AG68" i="238"/>
  <c r="AF68" i="238"/>
  <c r="AE68" i="238"/>
  <c r="AD68" i="238"/>
  <c r="AD70" i="238"/>
  <c r="AC68" i="238"/>
  <c r="AB68" i="238"/>
  <c r="AA68" i="238"/>
  <c r="V68" i="238"/>
  <c r="V70" i="238"/>
  <c r="U68" i="238"/>
  <c r="T68" i="238"/>
  <c r="S68" i="238"/>
  <c r="R68" i="238"/>
  <c r="R70" i="238"/>
  <c r="P68" i="238"/>
  <c r="O68" i="238"/>
  <c r="N68" i="238"/>
  <c r="M68" i="238"/>
  <c r="M70" i="238"/>
  <c r="L68" i="238"/>
  <c r="K68" i="238"/>
  <c r="J68" i="238"/>
  <c r="I68" i="238"/>
  <c r="I70" i="238"/>
  <c r="H68" i="238"/>
  <c r="G68" i="238"/>
  <c r="AH65" i="238"/>
  <c r="AG65" i="238"/>
  <c r="AF65" i="238"/>
  <c r="V65" i="238"/>
  <c r="U65" i="238"/>
  <c r="T65" i="238"/>
  <c r="S65" i="238"/>
  <c r="R65" i="238"/>
  <c r="P65" i="238"/>
  <c r="O65" i="238"/>
  <c r="N65" i="238"/>
  <c r="M65" i="238"/>
  <c r="L65" i="238"/>
  <c r="AH60" i="238"/>
  <c r="AF60" i="238"/>
  <c r="AE60" i="238"/>
  <c r="AD60" i="238"/>
  <c r="AB60" i="238"/>
  <c r="AA60" i="238"/>
  <c r="V60" i="238"/>
  <c r="T60" i="238"/>
  <c r="S60" i="238"/>
  <c r="R60" i="238"/>
  <c r="O60" i="238"/>
  <c r="N60" i="238"/>
  <c r="M60" i="238"/>
  <c r="K60" i="238"/>
  <c r="J60" i="238"/>
  <c r="I60" i="238"/>
  <c r="G60" i="238"/>
  <c r="AH58" i="238"/>
  <c r="AG58" i="238"/>
  <c r="AG60" i="238"/>
  <c r="AF58" i="238"/>
  <c r="AE58" i="238"/>
  <c r="AD58" i="238"/>
  <c r="AC58" i="238"/>
  <c r="AC60" i="238"/>
  <c r="AB58" i="238"/>
  <c r="AA58" i="238"/>
  <c r="V58" i="238"/>
  <c r="U58" i="238"/>
  <c r="U60" i="238"/>
  <c r="T58" i="238"/>
  <c r="S58" i="238"/>
  <c r="R58" i="238"/>
  <c r="P58" i="238"/>
  <c r="P60" i="238"/>
  <c r="O58" i="238"/>
  <c r="N58" i="238"/>
  <c r="M58" i="238"/>
  <c r="L58" i="238"/>
  <c r="L60" i="238"/>
  <c r="K58" i="238"/>
  <c r="J58" i="238"/>
  <c r="I58" i="238"/>
  <c r="H58" i="238"/>
  <c r="H60" i="238"/>
  <c r="G58" i="238"/>
  <c r="AH55" i="238"/>
  <c r="AG55" i="238"/>
  <c r="AF55" i="238"/>
  <c r="V55" i="238"/>
  <c r="U55" i="238"/>
  <c r="T55" i="238"/>
  <c r="S55" i="238"/>
  <c r="R55" i="238"/>
  <c r="P55" i="238"/>
  <c r="O55" i="238"/>
  <c r="N55" i="238"/>
  <c r="M55" i="238"/>
  <c r="L55" i="238"/>
  <c r="AH50" i="238"/>
  <c r="AG50" i="238"/>
  <c r="AE50" i="238"/>
  <c r="AD50" i="238"/>
  <c r="AC50" i="238"/>
  <c r="AA50" i="238"/>
  <c r="V50" i="238"/>
  <c r="U50" i="238"/>
  <c r="S50" i="238"/>
  <c r="R50" i="238"/>
  <c r="P50" i="238"/>
  <c r="N50" i="238"/>
  <c r="M50" i="238"/>
  <c r="L50" i="238"/>
  <c r="J50" i="238"/>
  <c r="I50" i="238"/>
  <c r="H50" i="238"/>
  <c r="AH48" i="238"/>
  <c r="AG48" i="238"/>
  <c r="AF48" i="238"/>
  <c r="AF50" i="238"/>
  <c r="AE48" i="238"/>
  <c r="AD48" i="238"/>
  <c r="AC48" i="238"/>
  <c r="AB48" i="238"/>
  <c r="AB50" i="238"/>
  <c r="AA48" i="238"/>
  <c r="V48" i="238"/>
  <c r="U48" i="238"/>
  <c r="T48" i="238"/>
  <c r="T50" i="238"/>
  <c r="S48" i="238"/>
  <c r="R48" i="238"/>
  <c r="P48" i="238"/>
  <c r="O48" i="238"/>
  <c r="O50" i="238"/>
  <c r="N48" i="238"/>
  <c r="M48" i="238"/>
  <c r="L48" i="238"/>
  <c r="K48" i="238"/>
  <c r="K50" i="238"/>
  <c r="J48" i="238"/>
  <c r="I48" i="238"/>
  <c r="H48" i="238"/>
  <c r="G48" i="238"/>
  <c r="G50" i="238"/>
  <c r="AH45" i="238"/>
  <c r="AG45" i="238"/>
  <c r="AF45" i="238"/>
  <c r="V45" i="238"/>
  <c r="U45" i="238"/>
  <c r="T45" i="238"/>
  <c r="S45" i="238"/>
  <c r="R45" i="238"/>
  <c r="P45" i="238"/>
  <c r="O45" i="238"/>
  <c r="N45" i="238"/>
  <c r="M45" i="238"/>
  <c r="L45" i="238"/>
  <c r="AH40" i="238"/>
  <c r="AG40" i="238"/>
  <c r="AF40" i="238"/>
  <c r="AD40" i="238"/>
  <c r="AC40" i="238"/>
  <c r="AB40" i="238"/>
  <c r="V40" i="238"/>
  <c r="U40" i="238"/>
  <c r="T40" i="238"/>
  <c r="R40" i="238"/>
  <c r="P40" i="238"/>
  <c r="O40" i="238"/>
  <c r="M40" i="238"/>
  <c r="L40" i="238"/>
  <c r="K40" i="238"/>
  <c r="I40" i="238"/>
  <c r="H40" i="238"/>
  <c r="G40" i="238"/>
  <c r="AH272" i="238"/>
  <c r="AH38" i="238"/>
  <c r="AG38" i="238"/>
  <c r="AF38" i="238"/>
  <c r="AE38" i="238"/>
  <c r="AE40" i="238"/>
  <c r="AD38" i="238"/>
  <c r="AC38" i="238"/>
  <c r="AB38" i="238"/>
  <c r="AA38" i="238"/>
  <c r="AA40" i="238"/>
  <c r="V38" i="238"/>
  <c r="U38" i="238"/>
  <c r="T38" i="238"/>
  <c r="S38" i="238"/>
  <c r="S40" i="238"/>
  <c r="R38" i="238"/>
  <c r="P38" i="238"/>
  <c r="O38" i="238"/>
  <c r="N38" i="238"/>
  <c r="N40" i="238"/>
  <c r="M38" i="238"/>
  <c r="L38" i="238"/>
  <c r="K38" i="238"/>
  <c r="J38" i="238"/>
  <c r="J40" i="238"/>
  <c r="I38" i="238"/>
  <c r="H38" i="238"/>
  <c r="G38" i="238"/>
  <c r="AH35" i="238"/>
  <c r="AG35" i="238"/>
  <c r="AF35" i="238"/>
  <c r="V35" i="238"/>
  <c r="U35" i="238"/>
  <c r="T35" i="238"/>
  <c r="S35" i="238"/>
  <c r="R35" i="238"/>
  <c r="P35" i="238"/>
  <c r="O35" i="238"/>
  <c r="N35" i="238"/>
  <c r="M35" i="238"/>
  <c r="L35" i="238"/>
  <c r="AG30" i="238"/>
  <c r="AF30" i="238"/>
  <c r="AE30" i="238"/>
  <c r="AC30" i="238"/>
  <c r="AB30" i="238"/>
  <c r="AA30" i="238"/>
  <c r="U30" i="238"/>
  <c r="T30" i="238"/>
  <c r="S30" i="238"/>
  <c r="P30" i="238"/>
  <c r="O30" i="238"/>
  <c r="N30" i="238"/>
  <c r="L30" i="238"/>
  <c r="K30" i="238"/>
  <c r="J30" i="238"/>
  <c r="H30" i="238"/>
  <c r="G30" i="238"/>
  <c r="AH271" i="238"/>
  <c r="AH28" i="238"/>
  <c r="AG28" i="238"/>
  <c r="AF28" i="238"/>
  <c r="AE28" i="238"/>
  <c r="AD28" i="238"/>
  <c r="AD30" i="238"/>
  <c r="AC28" i="238"/>
  <c r="AB28" i="238"/>
  <c r="AA28" i="238"/>
  <c r="V28" i="238"/>
  <c r="V30" i="238"/>
  <c r="U28" i="238"/>
  <c r="T28" i="238"/>
  <c r="S28" i="238"/>
  <c r="R28" i="238"/>
  <c r="R30" i="238"/>
  <c r="P28" i="238"/>
  <c r="O28" i="238"/>
  <c r="N28" i="238"/>
  <c r="M28" i="238"/>
  <c r="M30" i="238"/>
  <c r="L28" i="238"/>
  <c r="K28" i="238"/>
  <c r="J28" i="238"/>
  <c r="I28" i="238"/>
  <c r="I30" i="238"/>
  <c r="H28" i="238"/>
  <c r="G28" i="238"/>
  <c r="AH25" i="238"/>
  <c r="AG25" i="238"/>
  <c r="AF25" i="238"/>
  <c r="V25" i="238"/>
  <c r="U25" i="238"/>
  <c r="T25" i="238"/>
  <c r="S25" i="238"/>
  <c r="R25" i="238"/>
  <c r="P25" i="238"/>
  <c r="O25" i="238"/>
  <c r="N25" i="238"/>
  <c r="M25" i="238"/>
  <c r="L25" i="238"/>
  <c r="AH19" i="238"/>
  <c r="AG19" i="238"/>
  <c r="AF19" i="238"/>
  <c r="AA19" i="238" a="1"/>
  <c r="AC19" i="238"/>
  <c r="T19" i="238"/>
  <c r="S19" i="238"/>
  <c r="R19" i="238" a="1"/>
  <c r="V19" i="238"/>
  <c r="P19" i="238"/>
  <c r="O19" i="238"/>
  <c r="N19" i="238"/>
  <c r="M19" i="238"/>
  <c r="L19" i="238"/>
  <c r="K19" i="238"/>
  <c r="I19" i="238"/>
  <c r="H19" i="238"/>
  <c r="G19" i="238"/>
  <c r="G19" i="238" a="1"/>
  <c r="J19" i="238"/>
  <c r="AA17" i="238"/>
  <c r="R17" i="238"/>
  <c r="AG275" i="238"/>
  <c r="AA19" i="238"/>
  <c r="AE19" i="238"/>
  <c r="AD277" i="238"/>
  <c r="AD276" i="238"/>
  <c r="AB277" i="238"/>
  <c r="AB276" i="238"/>
  <c r="AA275" i="238"/>
  <c r="AC274" i="238"/>
  <c r="AC273" i="238"/>
  <c r="AC272" i="238"/>
  <c r="AC271" i="238"/>
  <c r="AA277" i="238"/>
  <c r="AA276" i="238"/>
  <c r="AC275" i="238"/>
  <c r="AA274" i="238"/>
  <c r="AA273" i="238"/>
  <c r="AA272" i="238"/>
  <c r="AA271" i="238"/>
  <c r="AC276" i="238"/>
  <c r="AB273" i="238"/>
  <c r="AD272" i="238"/>
  <c r="AC277" i="238"/>
  <c r="AB272" i="238"/>
  <c r="AD271" i="238"/>
  <c r="AB274" i="238"/>
  <c r="AH277" i="238"/>
  <c r="AH276" i="238"/>
  <c r="AF277" i="238"/>
  <c r="AF276" i="238"/>
  <c r="AE277" i="238"/>
  <c r="AE276" i="238"/>
  <c r="AG274" i="238"/>
  <c r="AG273" i="238"/>
  <c r="AG272" i="238"/>
  <c r="AH275" i="238"/>
  <c r="AE274" i="238"/>
  <c r="AE273" i="238"/>
  <c r="AE272" i="238"/>
  <c r="AH274" i="238"/>
  <c r="AF274" i="238"/>
  <c r="AH273" i="238"/>
  <c r="AE275" i="238"/>
  <c r="AD273" i="238"/>
  <c r="AD274" i="238"/>
  <c r="I345" i="238"/>
  <c r="K342" i="238"/>
  <c r="K340" i="238"/>
  <c r="G340" i="238"/>
  <c r="G342" i="238"/>
  <c r="AD19" i="238"/>
  <c r="AF271" i="238"/>
  <c r="AB271" i="238"/>
  <c r="AD275" i="238"/>
  <c r="AG271" i="238"/>
  <c r="U19" i="238"/>
  <c r="AB19" i="238"/>
  <c r="R19" i="238"/>
  <c r="AE271" i="238"/>
  <c r="AF275" i="238"/>
  <c r="AH30" i="238"/>
  <c r="AG277" i="238"/>
  <c r="AF272" i="238"/>
  <c r="AF273" i="238"/>
  <c r="AB275" i="238"/>
  <c r="AG276" i="238"/>
  <c r="H318" i="238"/>
  <c r="K317" i="238"/>
  <c r="G317" i="238"/>
  <c r="I316" i="238"/>
  <c r="H315" i="238"/>
  <c r="K314" i="238"/>
  <c r="G314" i="238"/>
  <c r="J313" i="238"/>
  <c r="J318" i="238"/>
  <c r="I317" i="238"/>
  <c r="K316" i="238"/>
  <c r="G316" i="238"/>
  <c r="J315" i="238"/>
  <c r="I314" i="238"/>
  <c r="H313" i="238"/>
  <c r="G313" i="238"/>
  <c r="G315" i="238"/>
  <c r="J317" i="238"/>
  <c r="H345" i="238"/>
  <c r="K344" i="238"/>
  <c r="G344" i="238"/>
  <c r="I343" i="238"/>
  <c r="H342" i="238"/>
  <c r="K341" i="238"/>
  <c r="G341" i="238"/>
  <c r="J340" i="238"/>
  <c r="J345" i="238"/>
  <c r="I344" i="238"/>
  <c r="K343" i="238"/>
  <c r="G343" i="238"/>
  <c r="J342" i="238"/>
  <c r="I341" i="238"/>
  <c r="H340" i="238"/>
  <c r="I340" i="238"/>
  <c r="I342" i="238"/>
  <c r="G345" i="238"/>
  <c r="K313" i="238"/>
  <c r="H314" i="238"/>
  <c r="K315" i="238"/>
  <c r="H316" i="238"/>
  <c r="I318" i="238"/>
  <c r="J341" i="238"/>
  <c r="J343" i="238"/>
  <c r="H344" i="238"/>
  <c r="K345" i="238"/>
  <c r="P1171" i="206"/>
  <c r="M1171" i="206"/>
  <c r="J1171" i="206"/>
  <c r="G1171" i="206"/>
  <c r="D1171" i="206"/>
  <c r="P1156" i="206"/>
  <c r="M1156" i="206"/>
  <c r="J1156" i="206"/>
  <c r="G1156" i="206"/>
  <c r="D1156" i="206"/>
  <c r="P1111" i="206"/>
  <c r="M1111" i="206"/>
  <c r="J1111" i="206"/>
  <c r="G1111" i="206"/>
  <c r="D1111" i="206"/>
  <c r="C1108" i="206"/>
  <c r="B1108" i="206"/>
  <c r="H1107" i="206"/>
  <c r="H1106" i="206"/>
  <c r="H1105" i="206"/>
  <c r="H1104" i="206"/>
  <c r="H1103" i="206"/>
  <c r="H1102" i="206"/>
  <c r="H1101" i="206"/>
  <c r="H1100" i="206"/>
  <c r="H1099" i="206"/>
  <c r="H1098" i="206"/>
  <c r="H1097" i="206"/>
  <c r="H1096" i="206"/>
  <c r="H1095" i="206"/>
  <c r="H1094" i="206"/>
  <c r="H1093" i="206"/>
  <c r="H1092" i="206"/>
  <c r="H1091" i="206"/>
  <c r="H1090" i="206"/>
  <c r="H1089" i="206"/>
  <c r="H1088" i="206"/>
  <c r="H1087" i="206"/>
  <c r="H1086" i="206"/>
  <c r="H1085" i="206"/>
  <c r="H1084" i="206"/>
  <c r="H1083" i="206"/>
  <c r="H1082" i="206"/>
  <c r="H1081" i="206"/>
  <c r="H1080" i="206"/>
  <c r="H1079" i="206"/>
  <c r="H1078" i="206"/>
  <c r="H1077" i="206"/>
  <c r="H1076" i="206"/>
  <c r="H1075" i="206"/>
  <c r="H1074" i="206"/>
  <c r="H1073" i="206"/>
  <c r="H1072" i="206"/>
  <c r="H1071" i="206"/>
  <c r="H1070" i="206"/>
  <c r="H1069" i="206"/>
  <c r="H1068" i="206"/>
  <c r="H1067" i="206"/>
  <c r="H1066" i="206"/>
  <c r="H1065" i="206"/>
  <c r="H1064" i="206"/>
  <c r="H1063" i="206"/>
  <c r="H1062" i="206"/>
  <c r="H1061" i="206"/>
  <c r="H1060" i="206"/>
  <c r="H1059" i="206"/>
  <c r="H1058" i="206"/>
  <c r="H1057" i="206"/>
  <c r="H1056" i="206"/>
  <c r="H1055" i="206"/>
  <c r="H1054" i="206"/>
  <c r="H1053" i="206"/>
  <c r="H1052" i="206"/>
  <c r="H1051" i="206"/>
  <c r="H1050" i="206"/>
  <c r="H1049" i="206"/>
  <c r="H1048" i="206"/>
  <c r="H1047" i="206"/>
  <c r="H1046" i="206"/>
  <c r="H1045" i="206"/>
  <c r="H1044" i="206"/>
  <c r="H1043" i="206"/>
  <c r="H1042" i="206"/>
  <c r="H1041" i="206"/>
  <c r="H1040" i="206"/>
  <c r="H1039" i="206"/>
  <c r="H1038" i="206"/>
  <c r="H1037" i="206"/>
  <c r="H1036" i="206"/>
  <c r="H1035" i="206"/>
  <c r="H1034" i="206"/>
  <c r="H1033" i="206"/>
  <c r="H1032" i="206"/>
  <c r="H1031" i="206"/>
  <c r="H1030" i="206"/>
  <c r="H1029" i="206"/>
  <c r="H1028" i="206"/>
  <c r="H1027" i="206"/>
  <c r="H1026" i="206"/>
  <c r="H1025" i="206"/>
  <c r="H1024" i="206"/>
  <c r="H1023" i="206"/>
  <c r="H1022" i="206"/>
  <c r="H1021" i="206"/>
  <c r="H1020" i="206"/>
  <c r="H1019" i="206"/>
  <c r="H1018" i="206"/>
  <c r="H1017" i="206"/>
  <c r="H1016" i="206"/>
  <c r="H1015" i="206"/>
  <c r="H1014" i="206"/>
  <c r="H1013" i="206"/>
  <c r="H1012" i="206"/>
  <c r="H1011" i="206"/>
  <c r="H1010" i="206"/>
  <c r="H1009" i="206"/>
  <c r="H1008" i="206"/>
  <c r="H1007" i="206"/>
  <c r="H1006" i="206"/>
  <c r="H1005" i="206"/>
  <c r="H1004" i="206"/>
  <c r="H1003" i="206"/>
  <c r="H1002" i="206"/>
  <c r="H1001" i="206"/>
  <c r="H1000" i="206"/>
  <c r="H999" i="206"/>
  <c r="H998" i="206"/>
  <c r="H997" i="206"/>
  <c r="H996" i="206"/>
  <c r="H995" i="206"/>
  <c r="H994" i="206"/>
  <c r="H993" i="206"/>
  <c r="H992" i="206"/>
  <c r="H991" i="206"/>
  <c r="H990" i="206"/>
  <c r="H989" i="206"/>
  <c r="H988" i="206"/>
  <c r="H987" i="206"/>
  <c r="H986" i="206"/>
  <c r="H985" i="206"/>
  <c r="H984" i="206"/>
  <c r="H983" i="206"/>
  <c r="H982" i="206"/>
  <c r="H981" i="206"/>
  <c r="H980" i="206"/>
  <c r="H979" i="206"/>
  <c r="H978" i="206"/>
  <c r="H977" i="206"/>
  <c r="B971" i="206"/>
  <c r="AC967" i="206"/>
  <c r="Z967" i="206"/>
  <c r="Y967" i="206"/>
  <c r="Y968" i="206"/>
  <c r="V967" i="206"/>
  <c r="R967" i="206"/>
  <c r="O967" i="206"/>
  <c r="N967" i="206"/>
  <c r="N968" i="206"/>
  <c r="K967" i="206"/>
  <c r="J967" i="206"/>
  <c r="G967" i="206"/>
  <c r="F967" i="206"/>
  <c r="F968" i="206"/>
  <c r="AC965" i="206"/>
  <c r="AB965" i="206"/>
  <c r="AB967" i="206"/>
  <c r="AB968" i="206"/>
  <c r="Z965" i="206"/>
  <c r="Y965" i="206"/>
  <c r="X965" i="206"/>
  <c r="X967" i="206"/>
  <c r="X968" i="206"/>
  <c r="V965" i="206"/>
  <c r="R965" i="206"/>
  <c r="Q965" i="206"/>
  <c r="Q967" i="206"/>
  <c r="Q968" i="206"/>
  <c r="O965" i="206"/>
  <c r="N965" i="206"/>
  <c r="M965" i="206"/>
  <c r="M967" i="206"/>
  <c r="M968" i="206"/>
  <c r="K965" i="206"/>
  <c r="J965" i="206"/>
  <c r="I965" i="206"/>
  <c r="I967" i="206"/>
  <c r="I968" i="206"/>
  <c r="G965" i="206"/>
  <c r="F965" i="206"/>
  <c r="E965" i="206"/>
  <c r="E967" i="206"/>
  <c r="E968" i="206"/>
  <c r="AC962" i="206"/>
  <c r="AB962" i="206"/>
  <c r="AA962" i="206"/>
  <c r="AA965" i="206"/>
  <c r="AA967" i="206"/>
  <c r="AA968" i="206"/>
  <c r="Z962" i="206"/>
  <c r="Y962" i="206"/>
  <c r="X962" i="206"/>
  <c r="W962" i="206"/>
  <c r="W965" i="206"/>
  <c r="W967" i="206"/>
  <c r="W968" i="206"/>
  <c r="V962" i="206"/>
  <c r="R962" i="206"/>
  <c r="Q962" i="206"/>
  <c r="P962" i="206"/>
  <c r="P965" i="206"/>
  <c r="P967" i="206"/>
  <c r="P968" i="206"/>
  <c r="O962" i="206"/>
  <c r="N962" i="206"/>
  <c r="M962" i="206"/>
  <c r="L962" i="206"/>
  <c r="L965" i="206"/>
  <c r="L967" i="206"/>
  <c r="L968" i="206"/>
  <c r="K962" i="206"/>
  <c r="J962" i="206"/>
  <c r="I962" i="206"/>
  <c r="H962" i="206"/>
  <c r="H965" i="206"/>
  <c r="H967" i="206"/>
  <c r="H968" i="206"/>
  <c r="G962" i="206"/>
  <c r="F962" i="206"/>
  <c r="E962" i="206"/>
  <c r="D962" i="206"/>
  <c r="D965" i="206"/>
  <c r="D967" i="206"/>
  <c r="D968" i="206"/>
  <c r="AA957" i="206"/>
  <c r="Z957" i="206"/>
  <c r="W957" i="206"/>
  <c r="V957" i="206"/>
  <c r="P957" i="206"/>
  <c r="O957" i="206"/>
  <c r="L957" i="206"/>
  <c r="K957" i="206"/>
  <c r="H957" i="206"/>
  <c r="G957" i="206"/>
  <c r="D957" i="206"/>
  <c r="AC955" i="206"/>
  <c r="AC957" i="206"/>
  <c r="AA955" i="206"/>
  <c r="Z955" i="206"/>
  <c r="Y955" i="206"/>
  <c r="Y957" i="206"/>
  <c r="W955" i="206"/>
  <c r="V955" i="206"/>
  <c r="R955" i="206"/>
  <c r="R957" i="206"/>
  <c r="P955" i="206"/>
  <c r="O955" i="206"/>
  <c r="N955" i="206"/>
  <c r="N957" i="206"/>
  <c r="L955" i="206"/>
  <c r="K955" i="206"/>
  <c r="J955" i="206"/>
  <c r="J957" i="206"/>
  <c r="H955" i="206"/>
  <c r="G955" i="206"/>
  <c r="F955" i="206"/>
  <c r="F957" i="206"/>
  <c r="D955" i="206"/>
  <c r="AC952" i="206"/>
  <c r="AB952" i="206"/>
  <c r="AB955" i="206"/>
  <c r="AB957" i="206"/>
  <c r="AA952" i="206"/>
  <c r="Z952" i="206"/>
  <c r="Y952" i="206"/>
  <c r="X952" i="206"/>
  <c r="X955" i="206"/>
  <c r="X957" i="206"/>
  <c r="W952" i="206"/>
  <c r="V952" i="206"/>
  <c r="R952" i="206"/>
  <c r="Q952" i="206"/>
  <c r="Q955" i="206"/>
  <c r="Q957" i="206"/>
  <c r="P952" i="206"/>
  <c r="O952" i="206"/>
  <c r="N952" i="206"/>
  <c r="M952" i="206"/>
  <c r="M955" i="206"/>
  <c r="M957" i="206"/>
  <c r="L952" i="206"/>
  <c r="K952" i="206"/>
  <c r="J952" i="206"/>
  <c r="I952" i="206"/>
  <c r="I955" i="206"/>
  <c r="I957" i="206"/>
  <c r="H952" i="206"/>
  <c r="G952" i="206"/>
  <c r="F952" i="206"/>
  <c r="E952" i="206"/>
  <c r="E955" i="206"/>
  <c r="E957" i="206"/>
  <c r="D952" i="206"/>
  <c r="AB947" i="206"/>
  <c r="AA947" i="206"/>
  <c r="X947" i="206"/>
  <c r="W947" i="206"/>
  <c r="Q947" i="206"/>
  <c r="P947" i="206"/>
  <c r="M947" i="206"/>
  <c r="L947" i="206"/>
  <c r="I947" i="206"/>
  <c r="H947" i="206"/>
  <c r="E947" i="206"/>
  <c r="D947" i="206"/>
  <c r="AB945" i="206"/>
  <c r="AA945" i="206"/>
  <c r="Z945" i="206"/>
  <c r="Z968" i="206"/>
  <c r="X945" i="206"/>
  <c r="W945" i="206"/>
  <c r="V945" i="206"/>
  <c r="V968" i="206"/>
  <c r="Q945" i="206"/>
  <c r="P945" i="206"/>
  <c r="O945" i="206"/>
  <c r="O968" i="206"/>
  <c r="M945" i="206"/>
  <c r="L945" i="206"/>
  <c r="K945" i="206"/>
  <c r="K968" i="206"/>
  <c r="I945" i="206"/>
  <c r="H945" i="206"/>
  <c r="G945" i="206"/>
  <c r="G968" i="206"/>
  <c r="E945" i="206"/>
  <c r="D945" i="206"/>
  <c r="AC942" i="206"/>
  <c r="AC945" i="206"/>
  <c r="AC947" i="206"/>
  <c r="AB942" i="206"/>
  <c r="AA942" i="206"/>
  <c r="Z942" i="206"/>
  <c r="Y942" i="206"/>
  <c r="Y945" i="206"/>
  <c r="Y947" i="206"/>
  <c r="X942" i="206"/>
  <c r="W942" i="206"/>
  <c r="V942" i="206"/>
  <c r="R942" i="206"/>
  <c r="R945" i="206"/>
  <c r="R947" i="206"/>
  <c r="Q942" i="206"/>
  <c r="P942" i="206"/>
  <c r="O942" i="206"/>
  <c r="N942" i="206"/>
  <c r="N945" i="206"/>
  <c r="N947" i="206"/>
  <c r="M942" i="206"/>
  <c r="L942" i="206"/>
  <c r="K942" i="206"/>
  <c r="J942" i="206"/>
  <c r="J945" i="206"/>
  <c r="J947" i="206"/>
  <c r="I942" i="206"/>
  <c r="H942" i="206"/>
  <c r="G942" i="206"/>
  <c r="F942" i="206"/>
  <c r="F945" i="206"/>
  <c r="F947" i="206"/>
  <c r="E942" i="206"/>
  <c r="D942" i="206"/>
  <c r="AC937" i="206"/>
  <c r="AB937" i="206"/>
  <c r="AA937" i="206"/>
  <c r="X937" i="206"/>
  <c r="V937" i="206" a="1"/>
  <c r="W937" i="206"/>
  <c r="R937" i="206"/>
  <c r="P937" i="206"/>
  <c r="O937" i="206"/>
  <c r="N937" i="206"/>
  <c r="N937" i="206" a="1"/>
  <c r="Q937" i="206"/>
  <c r="M937" i="206"/>
  <c r="L937" i="206"/>
  <c r="K937" i="206"/>
  <c r="J937" i="206"/>
  <c r="I937" i="206"/>
  <c r="D937" i="206" a="1"/>
  <c r="G937" i="206"/>
  <c r="V935" i="206"/>
  <c r="L935" i="206"/>
  <c r="M923" i="206"/>
  <c r="M925" i="206"/>
  <c r="K921" i="206"/>
  <c r="K923" i="206"/>
  <c r="K925" i="206"/>
  <c r="K926" i="206"/>
  <c r="G923" i="206"/>
  <c r="G925" i="206"/>
  <c r="J921" i="206"/>
  <c r="J923" i="206"/>
  <c r="J925" i="206"/>
  <c r="I921" i="206"/>
  <c r="I923" i="206"/>
  <c r="I925" i="206"/>
  <c r="H921" i="206"/>
  <c r="H923" i="206"/>
  <c r="H925" i="206"/>
  <c r="H926" i="206"/>
  <c r="G921" i="206"/>
  <c r="F921" i="206"/>
  <c r="F923" i="206"/>
  <c r="F925" i="206"/>
  <c r="E921" i="206"/>
  <c r="E923" i="206"/>
  <c r="E925" i="206"/>
  <c r="D921" i="206"/>
  <c r="D923" i="206"/>
  <c r="D925" i="206"/>
  <c r="M916" i="206"/>
  <c r="L916" i="206"/>
  <c r="K916" i="206"/>
  <c r="J916" i="206"/>
  <c r="I916" i="206"/>
  <c r="H916" i="206"/>
  <c r="G916" i="206"/>
  <c r="F916" i="206"/>
  <c r="E916" i="206"/>
  <c r="D916" i="206"/>
  <c r="H912" i="206"/>
  <c r="H914" i="206"/>
  <c r="D912" i="206"/>
  <c r="D914" i="206"/>
  <c r="K910" i="206"/>
  <c r="K912" i="206"/>
  <c r="K914" i="206"/>
  <c r="K915" i="206"/>
  <c r="J910" i="206"/>
  <c r="J912" i="206"/>
  <c r="J914" i="206"/>
  <c r="I910" i="206"/>
  <c r="I912" i="206"/>
  <c r="I914" i="206"/>
  <c r="H910" i="206"/>
  <c r="G910" i="206"/>
  <c r="G912" i="206"/>
  <c r="G914" i="206"/>
  <c r="F910" i="206"/>
  <c r="F912" i="206"/>
  <c r="F914" i="206"/>
  <c r="E910" i="206"/>
  <c r="E912" i="206"/>
  <c r="E914" i="206"/>
  <c r="D910" i="206"/>
  <c r="M905" i="206"/>
  <c r="L905" i="206"/>
  <c r="K905" i="206"/>
  <c r="J905" i="206"/>
  <c r="I905" i="206"/>
  <c r="H905" i="206"/>
  <c r="G905" i="206"/>
  <c r="F905" i="206"/>
  <c r="E905" i="206"/>
  <c r="D905" i="206"/>
  <c r="K899" i="206"/>
  <c r="K901" i="206"/>
  <c r="K903" i="206"/>
  <c r="K904" i="206"/>
  <c r="I899" i="206"/>
  <c r="I901" i="206"/>
  <c r="I903" i="206"/>
  <c r="G901" i="206"/>
  <c r="G903" i="206"/>
  <c r="E901" i="206"/>
  <c r="E903" i="206"/>
  <c r="J899" i="206"/>
  <c r="J901" i="206"/>
  <c r="J903" i="206"/>
  <c r="H899" i="206"/>
  <c r="H901" i="206"/>
  <c r="H903" i="206"/>
  <c r="G899" i="206"/>
  <c r="F899" i="206"/>
  <c r="F901" i="206"/>
  <c r="F903" i="206"/>
  <c r="E899" i="206"/>
  <c r="D899" i="206"/>
  <c r="D901" i="206"/>
  <c r="D903" i="206"/>
  <c r="D904" i="206"/>
  <c r="M894" i="206"/>
  <c r="L894" i="206"/>
  <c r="K894" i="206"/>
  <c r="J894" i="206"/>
  <c r="I894" i="206"/>
  <c r="H894" i="206"/>
  <c r="G894" i="206"/>
  <c r="F894" i="206"/>
  <c r="E894" i="206"/>
  <c r="D894" i="206"/>
  <c r="I888" i="206"/>
  <c r="I890" i="206"/>
  <c r="I892" i="206"/>
  <c r="E890" i="206"/>
  <c r="E892" i="206"/>
  <c r="K888" i="206"/>
  <c r="K890" i="206"/>
  <c r="K892" i="206"/>
  <c r="K893" i="206"/>
  <c r="J888" i="206"/>
  <c r="J890" i="206"/>
  <c r="J892" i="206"/>
  <c r="H888" i="206"/>
  <c r="H890" i="206"/>
  <c r="H892" i="206"/>
  <c r="G888" i="206"/>
  <c r="G890" i="206"/>
  <c r="G892" i="206"/>
  <c r="F888" i="206"/>
  <c r="F890" i="206"/>
  <c r="F892" i="206"/>
  <c r="F893" i="206"/>
  <c r="E888" i="206"/>
  <c r="D888" i="206"/>
  <c r="D890" i="206"/>
  <c r="D892" i="206"/>
  <c r="M883" i="206"/>
  <c r="L883" i="206"/>
  <c r="K883" i="206"/>
  <c r="J883" i="206"/>
  <c r="I883" i="206"/>
  <c r="H883" i="206"/>
  <c r="G883" i="206"/>
  <c r="F883" i="206"/>
  <c r="E883" i="206"/>
  <c r="D883" i="206"/>
  <c r="H879" i="206"/>
  <c r="H881" i="206"/>
  <c r="D879" i="206"/>
  <c r="D881" i="206"/>
  <c r="K877" i="206"/>
  <c r="K879" i="206"/>
  <c r="K881" i="206"/>
  <c r="K882" i="206"/>
  <c r="J877" i="206"/>
  <c r="J879" i="206"/>
  <c r="J881" i="206"/>
  <c r="I877" i="206"/>
  <c r="I879" i="206"/>
  <c r="I881" i="206"/>
  <c r="H877" i="206"/>
  <c r="G877" i="206"/>
  <c r="G879" i="206"/>
  <c r="G881" i="206"/>
  <c r="F877" i="206"/>
  <c r="F879" i="206"/>
  <c r="F881" i="206"/>
  <c r="F882" i="206"/>
  <c r="E877" i="206"/>
  <c r="E879" i="206"/>
  <c r="E881" i="206"/>
  <c r="D877" i="206"/>
  <c r="M872" i="206"/>
  <c r="L872" i="206"/>
  <c r="K872" i="206"/>
  <c r="J872" i="206"/>
  <c r="I872" i="206"/>
  <c r="H872" i="206"/>
  <c r="G872" i="206"/>
  <c r="F872" i="206"/>
  <c r="E872" i="206"/>
  <c r="D872" i="206"/>
  <c r="K866" i="206"/>
  <c r="K868" i="206"/>
  <c r="K870" i="206"/>
  <c r="G868" i="206"/>
  <c r="G870" i="206"/>
  <c r="G871" i="206"/>
  <c r="J866" i="206"/>
  <c r="J868" i="206"/>
  <c r="J870" i="206"/>
  <c r="I866" i="206"/>
  <c r="I868" i="206"/>
  <c r="I870" i="206"/>
  <c r="H866" i="206"/>
  <c r="H868" i="206"/>
  <c r="H870" i="206"/>
  <c r="G866" i="206"/>
  <c r="F866" i="206"/>
  <c r="F868" i="206"/>
  <c r="F870" i="206"/>
  <c r="F871" i="206"/>
  <c r="E866" i="206"/>
  <c r="E868" i="206"/>
  <c r="E870" i="206"/>
  <c r="D866" i="206"/>
  <c r="D868" i="206"/>
  <c r="D870" i="206"/>
  <c r="D871" i="206"/>
  <c r="M861" i="206"/>
  <c r="L861" i="206"/>
  <c r="K861" i="206"/>
  <c r="J861" i="206"/>
  <c r="I861" i="206"/>
  <c r="H861" i="206"/>
  <c r="G861" i="206"/>
  <c r="F861" i="206"/>
  <c r="E861" i="206"/>
  <c r="D861" i="206"/>
  <c r="G857" i="206"/>
  <c r="G859" i="206"/>
  <c r="J855" i="206"/>
  <c r="J857" i="206"/>
  <c r="J859" i="206"/>
  <c r="F857" i="206"/>
  <c r="F859" i="206"/>
  <c r="F860" i="206"/>
  <c r="K855" i="206"/>
  <c r="K857" i="206"/>
  <c r="K859" i="206"/>
  <c r="I855" i="206"/>
  <c r="I857" i="206"/>
  <c r="I859" i="206"/>
  <c r="H855" i="206"/>
  <c r="H857" i="206"/>
  <c r="H859" i="206"/>
  <c r="H860" i="206"/>
  <c r="G855" i="206"/>
  <c r="F855" i="206"/>
  <c r="E855" i="206"/>
  <c r="E857" i="206"/>
  <c r="E859" i="206"/>
  <c r="E860" i="206"/>
  <c r="D855" i="206"/>
  <c r="D857" i="206"/>
  <c r="D859" i="206"/>
  <c r="M850" i="206"/>
  <c r="L850" i="206"/>
  <c r="K850" i="206"/>
  <c r="J850" i="206"/>
  <c r="I850" i="206"/>
  <c r="H850" i="206"/>
  <c r="G850" i="206"/>
  <c r="F850" i="206"/>
  <c r="E850" i="206"/>
  <c r="D850" i="206"/>
  <c r="I844" i="206"/>
  <c r="I846" i="206"/>
  <c r="I848" i="206"/>
  <c r="H846" i="206"/>
  <c r="H848" i="206"/>
  <c r="E846" i="206"/>
  <c r="E848" i="206"/>
  <c r="D846" i="206"/>
  <c r="D848" i="206"/>
  <c r="K844" i="206"/>
  <c r="K846" i="206"/>
  <c r="K848" i="206"/>
  <c r="J844" i="206"/>
  <c r="J846" i="206"/>
  <c r="J848" i="206"/>
  <c r="H844" i="206"/>
  <c r="G844" i="206"/>
  <c r="G846" i="206"/>
  <c r="G848" i="206"/>
  <c r="F844" i="206"/>
  <c r="F846" i="206"/>
  <c r="F848" i="206"/>
  <c r="E844" i="206"/>
  <c r="D844" i="206"/>
  <c r="M839" i="206"/>
  <c r="L839" i="206"/>
  <c r="K839" i="206"/>
  <c r="J839" i="206"/>
  <c r="I839" i="206"/>
  <c r="H839" i="206"/>
  <c r="G839" i="206"/>
  <c r="F839" i="206"/>
  <c r="E839" i="206"/>
  <c r="D839" i="206"/>
  <c r="K833" i="206"/>
  <c r="K835" i="206"/>
  <c r="K837" i="206"/>
  <c r="J833" i="206"/>
  <c r="J835" i="206"/>
  <c r="J837" i="206"/>
  <c r="G835" i="206"/>
  <c r="G837" i="206"/>
  <c r="G838" i="206"/>
  <c r="F835" i="206"/>
  <c r="F837" i="206"/>
  <c r="I833" i="206"/>
  <c r="I835" i="206"/>
  <c r="I837" i="206"/>
  <c r="H833" i="206"/>
  <c r="H835" i="206"/>
  <c r="H837" i="206"/>
  <c r="G833" i="206"/>
  <c r="F833" i="206"/>
  <c r="E833" i="206"/>
  <c r="E835" i="206"/>
  <c r="E837" i="206"/>
  <c r="D833" i="206"/>
  <c r="D835" i="206"/>
  <c r="D837" i="206"/>
  <c r="M828" i="206"/>
  <c r="L828" i="206"/>
  <c r="K828" i="206"/>
  <c r="J828" i="206"/>
  <c r="I828" i="206"/>
  <c r="H828" i="206"/>
  <c r="G828" i="206"/>
  <c r="F828" i="206"/>
  <c r="E828" i="206"/>
  <c r="D828" i="206"/>
  <c r="M824" i="206"/>
  <c r="M826" i="206"/>
  <c r="I822" i="206"/>
  <c r="I824" i="206"/>
  <c r="I826" i="206"/>
  <c r="H824" i="206"/>
  <c r="H826" i="206"/>
  <c r="E824" i="206"/>
  <c r="E826" i="206"/>
  <c r="D824" i="206"/>
  <c r="D826" i="206"/>
  <c r="K822" i="206"/>
  <c r="K824" i="206"/>
  <c r="K826" i="206"/>
  <c r="J822" i="206"/>
  <c r="J824" i="206"/>
  <c r="J826" i="206"/>
  <c r="H822" i="206"/>
  <c r="G822" i="206"/>
  <c r="G824" i="206"/>
  <c r="G826" i="206"/>
  <c r="F822" i="206"/>
  <c r="F824" i="206"/>
  <c r="F826" i="206"/>
  <c r="E822" i="206"/>
  <c r="D822" i="206"/>
  <c r="M817" i="206"/>
  <c r="L817" i="206"/>
  <c r="K817" i="206"/>
  <c r="J817" i="206"/>
  <c r="I817" i="206"/>
  <c r="H817" i="206"/>
  <c r="G817" i="206"/>
  <c r="F817" i="206"/>
  <c r="E817" i="206"/>
  <c r="D817" i="206"/>
  <c r="K811" i="206"/>
  <c r="K813" i="206"/>
  <c r="K815" i="206"/>
  <c r="K816" i="206"/>
  <c r="G813" i="206"/>
  <c r="G815" i="206"/>
  <c r="G816" i="206"/>
  <c r="M813" i="206"/>
  <c r="M815" i="206"/>
  <c r="J811" i="206"/>
  <c r="J813" i="206"/>
  <c r="J815" i="206"/>
  <c r="I811" i="206"/>
  <c r="I813" i="206"/>
  <c r="I815" i="206"/>
  <c r="F813" i="206"/>
  <c r="F815" i="206"/>
  <c r="E813" i="206"/>
  <c r="E815" i="206"/>
  <c r="H811" i="206"/>
  <c r="H813" i="206"/>
  <c r="H815" i="206"/>
  <c r="G811" i="206"/>
  <c r="F811" i="206"/>
  <c r="E811" i="206"/>
  <c r="D811" i="206"/>
  <c r="D813" i="206"/>
  <c r="D815" i="206"/>
  <c r="M806" i="206"/>
  <c r="L806" i="206"/>
  <c r="K806" i="206"/>
  <c r="J806" i="206"/>
  <c r="I806" i="206"/>
  <c r="H806" i="206"/>
  <c r="G806" i="206"/>
  <c r="F806" i="206"/>
  <c r="E806" i="206"/>
  <c r="D806" i="206"/>
  <c r="M802" i="206"/>
  <c r="M804" i="206"/>
  <c r="K800" i="206"/>
  <c r="K802" i="206"/>
  <c r="K804" i="206"/>
  <c r="J800" i="206"/>
  <c r="J802" i="206"/>
  <c r="J804" i="206"/>
  <c r="G802" i="206"/>
  <c r="G804" i="206"/>
  <c r="F802" i="206"/>
  <c r="F804" i="206"/>
  <c r="F805" i="206"/>
  <c r="I800" i="206"/>
  <c r="I802" i="206"/>
  <c r="I804" i="206"/>
  <c r="H800" i="206"/>
  <c r="H802" i="206"/>
  <c r="H804" i="206"/>
  <c r="G800" i="206"/>
  <c r="F800" i="206"/>
  <c r="E800" i="206"/>
  <c r="E802" i="206"/>
  <c r="E804" i="206"/>
  <c r="D800" i="206"/>
  <c r="D802" i="206"/>
  <c r="D804" i="206"/>
  <c r="M795" i="206"/>
  <c r="L795" i="206"/>
  <c r="K795" i="206"/>
  <c r="J795" i="206"/>
  <c r="I795" i="206"/>
  <c r="H795" i="206"/>
  <c r="G795" i="206"/>
  <c r="F795" i="206"/>
  <c r="E795" i="206"/>
  <c r="D795" i="206"/>
  <c r="F791" i="206"/>
  <c r="F793" i="206"/>
  <c r="M791" i="206"/>
  <c r="M793" i="206"/>
  <c r="E791" i="206"/>
  <c r="E793" i="206"/>
  <c r="H791" i="206"/>
  <c r="H793" i="206"/>
  <c r="D791" i="206"/>
  <c r="D793" i="206"/>
  <c r="K789" i="206"/>
  <c r="K791" i="206"/>
  <c r="K793" i="206"/>
  <c r="K794" i="206"/>
  <c r="J789" i="206"/>
  <c r="J791" i="206"/>
  <c r="J793" i="206"/>
  <c r="I789" i="206"/>
  <c r="I791" i="206"/>
  <c r="I793" i="206"/>
  <c r="H789" i="206"/>
  <c r="G789" i="206"/>
  <c r="G791" i="206"/>
  <c r="G793" i="206"/>
  <c r="F789" i="206"/>
  <c r="E789" i="206"/>
  <c r="D789" i="206"/>
  <c r="M784" i="206"/>
  <c r="L784" i="206"/>
  <c r="K784" i="206"/>
  <c r="J784" i="206"/>
  <c r="I784" i="206"/>
  <c r="H784" i="206"/>
  <c r="G784" i="206"/>
  <c r="F784" i="206"/>
  <c r="E784" i="206"/>
  <c r="D784" i="206"/>
  <c r="H780" i="206"/>
  <c r="H782" i="206"/>
  <c r="K778" i="206"/>
  <c r="K780" i="206"/>
  <c r="K782" i="206"/>
  <c r="M780" i="206"/>
  <c r="M782" i="206"/>
  <c r="J778" i="206"/>
  <c r="J780" i="206"/>
  <c r="J782" i="206"/>
  <c r="F780" i="206"/>
  <c r="F782" i="206"/>
  <c r="I778" i="206"/>
  <c r="I780" i="206"/>
  <c r="I782" i="206"/>
  <c r="H778" i="206"/>
  <c r="G778" i="206"/>
  <c r="G780" i="206"/>
  <c r="G782" i="206"/>
  <c r="G783" i="206"/>
  <c r="F778" i="206"/>
  <c r="E778" i="206"/>
  <c r="E780" i="206"/>
  <c r="E782" i="206"/>
  <c r="D778" i="206"/>
  <c r="D780" i="206"/>
  <c r="D782" i="206"/>
  <c r="M773" i="206"/>
  <c r="L773" i="206"/>
  <c r="K773" i="206"/>
  <c r="J773" i="206"/>
  <c r="I773" i="206"/>
  <c r="H773" i="206"/>
  <c r="G773" i="206"/>
  <c r="F773" i="206"/>
  <c r="E773" i="206"/>
  <c r="D773" i="206"/>
  <c r="J767" i="206"/>
  <c r="J769" i="206"/>
  <c r="J771" i="206"/>
  <c r="I767" i="206"/>
  <c r="I769" i="206"/>
  <c r="I771" i="206"/>
  <c r="H769" i="206"/>
  <c r="H771" i="206"/>
  <c r="D769" i="206"/>
  <c r="D771" i="206"/>
  <c r="K767" i="206"/>
  <c r="K769" i="206"/>
  <c r="K771" i="206"/>
  <c r="H767" i="206"/>
  <c r="G767" i="206"/>
  <c r="G769" i="206"/>
  <c r="G771" i="206"/>
  <c r="F767" i="206"/>
  <c r="F769" i="206"/>
  <c r="F771" i="206"/>
  <c r="E767" i="206"/>
  <c r="E769" i="206"/>
  <c r="E771" i="206"/>
  <c r="D767" i="206"/>
  <c r="M762" i="206"/>
  <c r="L762" i="206"/>
  <c r="K762" i="206"/>
  <c r="J762" i="206"/>
  <c r="I762" i="206"/>
  <c r="H762" i="206"/>
  <c r="G762" i="206"/>
  <c r="F762" i="206"/>
  <c r="E762" i="206"/>
  <c r="D762" i="206"/>
  <c r="K756" i="206"/>
  <c r="K758" i="206"/>
  <c r="K760" i="206"/>
  <c r="K761" i="206"/>
  <c r="G758" i="206"/>
  <c r="G760" i="206"/>
  <c r="J756" i="206"/>
  <c r="J758" i="206"/>
  <c r="J760" i="206"/>
  <c r="J761" i="206"/>
  <c r="I756" i="206"/>
  <c r="I758" i="206"/>
  <c r="I760" i="206"/>
  <c r="H756" i="206"/>
  <c r="H758" i="206"/>
  <c r="H760" i="206"/>
  <c r="G756" i="206"/>
  <c r="F756" i="206"/>
  <c r="F758" i="206"/>
  <c r="F760" i="206"/>
  <c r="F761" i="206"/>
  <c r="E756" i="206"/>
  <c r="E758" i="206"/>
  <c r="E760" i="206"/>
  <c r="E761" i="206"/>
  <c r="D756" i="206"/>
  <c r="D758" i="206"/>
  <c r="D760" i="206"/>
  <c r="D761" i="206"/>
  <c r="L751" i="206"/>
  <c r="K751" i="206"/>
  <c r="J751" i="206"/>
  <c r="F751" i="206"/>
  <c r="E751" i="206"/>
  <c r="D751" i="206"/>
  <c r="M747" i="206"/>
  <c r="M749" i="206"/>
  <c r="I745" i="206"/>
  <c r="I747" i="206"/>
  <c r="I749" i="206"/>
  <c r="E747" i="206"/>
  <c r="E749" i="206"/>
  <c r="K745" i="206"/>
  <c r="K747" i="206"/>
  <c r="K749" i="206"/>
  <c r="J745" i="206"/>
  <c r="J747" i="206"/>
  <c r="J749" i="206"/>
  <c r="H745" i="206"/>
  <c r="H747" i="206"/>
  <c r="H749" i="206"/>
  <c r="G745" i="206"/>
  <c r="G747" i="206"/>
  <c r="G749" i="206"/>
  <c r="F745" i="206"/>
  <c r="F747" i="206"/>
  <c r="F749" i="206"/>
  <c r="E745" i="206"/>
  <c r="D745" i="206"/>
  <c r="D747" i="206"/>
  <c r="D749" i="206"/>
  <c r="D750" i="206"/>
  <c r="M740" i="206"/>
  <c r="L740" i="206"/>
  <c r="K740" i="206"/>
  <c r="J740" i="206"/>
  <c r="I740" i="206"/>
  <c r="H740" i="206"/>
  <c r="G740" i="206"/>
  <c r="F740" i="206"/>
  <c r="E740" i="206"/>
  <c r="D740" i="206"/>
  <c r="H736" i="206"/>
  <c r="H738" i="206"/>
  <c r="D736" i="206"/>
  <c r="D738" i="206"/>
  <c r="K734" i="206"/>
  <c r="K736" i="206"/>
  <c r="K738" i="206"/>
  <c r="G736" i="206"/>
  <c r="G738" i="206"/>
  <c r="J734" i="206"/>
  <c r="J736" i="206"/>
  <c r="J738" i="206"/>
  <c r="J739" i="206"/>
  <c r="I734" i="206"/>
  <c r="I736" i="206"/>
  <c r="I738" i="206"/>
  <c r="H734" i="206"/>
  <c r="G734" i="206"/>
  <c r="F734" i="206"/>
  <c r="F736" i="206"/>
  <c r="F738" i="206"/>
  <c r="E734" i="206"/>
  <c r="E736" i="206"/>
  <c r="E738" i="206"/>
  <c r="D734" i="206"/>
  <c r="M729" i="206"/>
  <c r="L729" i="206"/>
  <c r="K729" i="206"/>
  <c r="J729" i="206"/>
  <c r="I729" i="206"/>
  <c r="H729" i="206"/>
  <c r="G729" i="206"/>
  <c r="F729" i="206"/>
  <c r="E729" i="206"/>
  <c r="D729" i="206"/>
  <c r="K723" i="206"/>
  <c r="K725" i="206"/>
  <c r="K727" i="206"/>
  <c r="K728" i="206"/>
  <c r="G725" i="206"/>
  <c r="G727" i="206"/>
  <c r="G728" i="206"/>
  <c r="J723" i="206"/>
  <c r="J725" i="206"/>
  <c r="J727" i="206"/>
  <c r="J728" i="206"/>
  <c r="F725" i="206"/>
  <c r="F727" i="206"/>
  <c r="F728" i="206"/>
  <c r="I723" i="206"/>
  <c r="I725" i="206"/>
  <c r="I727" i="206"/>
  <c r="I728" i="206"/>
  <c r="H723" i="206"/>
  <c r="H725" i="206"/>
  <c r="H727" i="206"/>
  <c r="H728" i="206"/>
  <c r="G723" i="206"/>
  <c r="F723" i="206"/>
  <c r="E723" i="206"/>
  <c r="E725" i="206"/>
  <c r="E727" i="206"/>
  <c r="D723" i="206"/>
  <c r="D725" i="206"/>
  <c r="D727" i="206"/>
  <c r="M718" i="206"/>
  <c r="L718" i="206"/>
  <c r="K718" i="206"/>
  <c r="J718" i="206"/>
  <c r="I718" i="206"/>
  <c r="H718" i="206"/>
  <c r="G718" i="206"/>
  <c r="F718" i="206"/>
  <c r="E718" i="206"/>
  <c r="D718" i="206"/>
  <c r="J712" i="206"/>
  <c r="J714" i="206"/>
  <c r="J716" i="206"/>
  <c r="F714" i="206"/>
  <c r="F716" i="206"/>
  <c r="I712" i="206"/>
  <c r="I714" i="206"/>
  <c r="I716" i="206"/>
  <c r="I717" i="206"/>
  <c r="E714" i="206"/>
  <c r="E716" i="206"/>
  <c r="E717" i="206"/>
  <c r="K712" i="206"/>
  <c r="K714" i="206"/>
  <c r="K716" i="206"/>
  <c r="K717" i="206"/>
  <c r="H712" i="206"/>
  <c r="H714" i="206"/>
  <c r="H716" i="206"/>
  <c r="H717" i="206"/>
  <c r="G712" i="206"/>
  <c r="G714" i="206"/>
  <c r="G716" i="206"/>
  <c r="G717" i="206"/>
  <c r="F712" i="206"/>
  <c r="E712" i="206"/>
  <c r="D712" i="206"/>
  <c r="D714" i="206"/>
  <c r="D716" i="206"/>
  <c r="D717" i="206"/>
  <c r="M707" i="206"/>
  <c r="L707" i="206"/>
  <c r="K707" i="206"/>
  <c r="J707" i="206"/>
  <c r="I707" i="206"/>
  <c r="H707" i="206"/>
  <c r="G707" i="206"/>
  <c r="F707" i="206"/>
  <c r="E707" i="206"/>
  <c r="D707" i="206"/>
  <c r="I701" i="206"/>
  <c r="I703" i="206"/>
  <c r="I705" i="206"/>
  <c r="I706" i="206"/>
  <c r="E703" i="206"/>
  <c r="E705" i="206"/>
  <c r="E706" i="206"/>
  <c r="H703" i="206"/>
  <c r="H705" i="206"/>
  <c r="H706" i="206"/>
  <c r="D703" i="206"/>
  <c r="D705" i="206"/>
  <c r="D706" i="206"/>
  <c r="K701" i="206"/>
  <c r="K703" i="206"/>
  <c r="K705" i="206"/>
  <c r="K706" i="206"/>
  <c r="J701" i="206"/>
  <c r="J703" i="206"/>
  <c r="J705" i="206"/>
  <c r="H701" i="206"/>
  <c r="G701" i="206"/>
  <c r="G703" i="206"/>
  <c r="G705" i="206"/>
  <c r="G706" i="206"/>
  <c r="F701" i="206"/>
  <c r="F703" i="206"/>
  <c r="F705" i="206"/>
  <c r="E701" i="206"/>
  <c r="D701" i="206"/>
  <c r="L696" i="206"/>
  <c r="K696" i="206"/>
  <c r="J696" i="206"/>
  <c r="I696" i="206"/>
  <c r="H696" i="206"/>
  <c r="G696" i="206"/>
  <c r="F696" i="206"/>
  <c r="E696" i="206"/>
  <c r="D696" i="206"/>
  <c r="H692" i="206"/>
  <c r="H694" i="206"/>
  <c r="D694" i="206"/>
  <c r="K690" i="206"/>
  <c r="K692" i="206"/>
  <c r="K694" i="206"/>
  <c r="K695" i="206"/>
  <c r="G692" i="206"/>
  <c r="G694" i="206"/>
  <c r="F692" i="206"/>
  <c r="F694" i="206"/>
  <c r="D692" i="206"/>
  <c r="J690" i="206"/>
  <c r="J692" i="206"/>
  <c r="J694" i="206"/>
  <c r="J695" i="206"/>
  <c r="I690" i="206"/>
  <c r="I692" i="206"/>
  <c r="I694" i="206"/>
  <c r="H690" i="206"/>
  <c r="G690" i="206"/>
  <c r="F690" i="206"/>
  <c r="E690" i="206"/>
  <c r="E692" i="206"/>
  <c r="E694" i="206"/>
  <c r="D690" i="206"/>
  <c r="M685" i="206"/>
  <c r="L685" i="206"/>
  <c r="K685" i="206"/>
  <c r="J685" i="206"/>
  <c r="I685" i="206"/>
  <c r="H685" i="206"/>
  <c r="G685" i="206"/>
  <c r="F685" i="206"/>
  <c r="E685" i="206"/>
  <c r="D685" i="206"/>
  <c r="M681" i="206"/>
  <c r="M683" i="206"/>
  <c r="I679" i="206"/>
  <c r="I681" i="206"/>
  <c r="I683" i="206"/>
  <c r="E681" i="206"/>
  <c r="E683" i="206"/>
  <c r="K679" i="206"/>
  <c r="K681" i="206"/>
  <c r="K683" i="206"/>
  <c r="K684" i="206"/>
  <c r="J679" i="206"/>
  <c r="J681" i="206"/>
  <c r="J683" i="206"/>
  <c r="H679" i="206"/>
  <c r="H681" i="206"/>
  <c r="H683" i="206"/>
  <c r="G679" i="206"/>
  <c r="G681" i="206"/>
  <c r="G683" i="206"/>
  <c r="F679" i="206"/>
  <c r="F681" i="206"/>
  <c r="F683" i="206"/>
  <c r="E679" i="206"/>
  <c r="D679" i="206"/>
  <c r="D681" i="206"/>
  <c r="D683" i="206"/>
  <c r="M674" i="206"/>
  <c r="L674" i="206"/>
  <c r="K674" i="206"/>
  <c r="J674" i="206"/>
  <c r="I674" i="206"/>
  <c r="H674" i="206"/>
  <c r="G674" i="206"/>
  <c r="F674" i="206"/>
  <c r="E674" i="206"/>
  <c r="D674" i="206"/>
  <c r="M670" i="206"/>
  <c r="M672" i="206"/>
  <c r="J668" i="206"/>
  <c r="J670" i="206"/>
  <c r="J672" i="206"/>
  <c r="F670" i="206"/>
  <c r="F672" i="206"/>
  <c r="K668" i="206"/>
  <c r="K670" i="206"/>
  <c r="K672" i="206"/>
  <c r="K673" i="206"/>
  <c r="I668" i="206"/>
  <c r="I670" i="206"/>
  <c r="I672" i="206"/>
  <c r="H668" i="206"/>
  <c r="H670" i="206"/>
  <c r="H672" i="206"/>
  <c r="G668" i="206"/>
  <c r="G670" i="206"/>
  <c r="G672" i="206"/>
  <c r="F668" i="206"/>
  <c r="E668" i="206"/>
  <c r="E670" i="206"/>
  <c r="E672" i="206"/>
  <c r="D668" i="206"/>
  <c r="D670" i="206"/>
  <c r="D672" i="206"/>
  <c r="M663" i="206"/>
  <c r="L663" i="206"/>
  <c r="K663" i="206"/>
  <c r="J663" i="206"/>
  <c r="I663" i="206"/>
  <c r="H663" i="206"/>
  <c r="G663" i="206"/>
  <c r="F663" i="206"/>
  <c r="E663" i="206"/>
  <c r="D663" i="206"/>
  <c r="M659" i="206"/>
  <c r="M661" i="206"/>
  <c r="K657" i="206"/>
  <c r="K659" i="206"/>
  <c r="K661" i="206"/>
  <c r="K662" i="206"/>
  <c r="G659" i="206"/>
  <c r="G661" i="206"/>
  <c r="J657" i="206"/>
  <c r="J659" i="206"/>
  <c r="J661" i="206"/>
  <c r="I657" i="206"/>
  <c r="I659" i="206"/>
  <c r="I661" i="206"/>
  <c r="H657" i="206"/>
  <c r="H659" i="206"/>
  <c r="H661" i="206"/>
  <c r="G657" i="206"/>
  <c r="F657" i="206"/>
  <c r="F659" i="206"/>
  <c r="F661" i="206"/>
  <c r="E657" i="206"/>
  <c r="E659" i="206"/>
  <c r="E661" i="206"/>
  <c r="D657" i="206"/>
  <c r="D659" i="206"/>
  <c r="D661" i="206"/>
  <c r="M652" i="206"/>
  <c r="L652" i="206"/>
  <c r="K652" i="206"/>
  <c r="J652" i="206"/>
  <c r="I652" i="206"/>
  <c r="H652" i="206"/>
  <c r="G652" i="206"/>
  <c r="F652" i="206"/>
  <c r="E652" i="206"/>
  <c r="D652" i="206"/>
  <c r="M648" i="206"/>
  <c r="M650" i="206"/>
  <c r="I646" i="206"/>
  <c r="I648" i="206"/>
  <c r="I650" i="206"/>
  <c r="E648" i="206"/>
  <c r="E650" i="206"/>
  <c r="H648" i="206"/>
  <c r="H650" i="206"/>
  <c r="D648" i="206"/>
  <c r="D650" i="206"/>
  <c r="K646" i="206"/>
  <c r="K648" i="206"/>
  <c r="K650" i="206"/>
  <c r="K651" i="206"/>
  <c r="J646" i="206"/>
  <c r="J648" i="206"/>
  <c r="J650" i="206"/>
  <c r="J651" i="206"/>
  <c r="H646" i="206"/>
  <c r="G646" i="206"/>
  <c r="G648" i="206"/>
  <c r="G650" i="206"/>
  <c r="G651" i="206"/>
  <c r="F646" i="206"/>
  <c r="F648" i="206"/>
  <c r="F650" i="206"/>
  <c r="E646" i="206"/>
  <c r="D646" i="206"/>
  <c r="M641" i="206"/>
  <c r="L641" i="206"/>
  <c r="K641" i="206"/>
  <c r="J641" i="206"/>
  <c r="I641" i="206"/>
  <c r="H641" i="206"/>
  <c r="G641" i="206"/>
  <c r="F641" i="206"/>
  <c r="E641" i="206"/>
  <c r="D641" i="206"/>
  <c r="K637" i="206"/>
  <c r="K639" i="206"/>
  <c r="K640" i="206" s="1"/>
  <c r="H637" i="206"/>
  <c r="H639" i="206"/>
  <c r="G637" i="206"/>
  <c r="G639" i="206"/>
  <c r="G640" i="206"/>
  <c r="D639" i="206"/>
  <c r="J637" i="206"/>
  <c r="J639" i="206" s="1"/>
  <c r="F637" i="206"/>
  <c r="F639" i="206"/>
  <c r="F640" i="206"/>
  <c r="D637" i="206"/>
  <c r="I635" i="206"/>
  <c r="I637" i="206"/>
  <c r="I639" i="206"/>
  <c r="H635" i="206"/>
  <c r="G635" i="206"/>
  <c r="F635" i="206"/>
  <c r="E635" i="206"/>
  <c r="E637" i="206"/>
  <c r="E639" i="206"/>
  <c r="D635" i="206"/>
  <c r="M630" i="206"/>
  <c r="L630" i="206"/>
  <c r="K630" i="206"/>
  <c r="J630" i="206"/>
  <c r="I630" i="206"/>
  <c r="H630" i="206"/>
  <c r="G630" i="206"/>
  <c r="F630" i="206"/>
  <c r="E630" i="206"/>
  <c r="D630" i="206"/>
  <c r="J624" i="206"/>
  <c r="J626" i="206"/>
  <c r="J628" i="206"/>
  <c r="F626" i="206"/>
  <c r="F628" i="206"/>
  <c r="I624" i="206"/>
  <c r="I626" i="206"/>
  <c r="I628" i="206"/>
  <c r="E626" i="206"/>
  <c r="E628" i="206"/>
  <c r="K624" i="206"/>
  <c r="K626" i="206"/>
  <c r="K628" i="206"/>
  <c r="K629" i="206"/>
  <c r="H624" i="206"/>
  <c r="H626" i="206"/>
  <c r="H628" i="206"/>
  <c r="G624" i="206"/>
  <c r="G626" i="206"/>
  <c r="G628" i="206"/>
  <c r="G629" i="206"/>
  <c r="F624" i="206"/>
  <c r="E624" i="206"/>
  <c r="D624" i="206"/>
  <c r="D626" i="206"/>
  <c r="D628" i="206"/>
  <c r="M619" i="206"/>
  <c r="L619" i="206"/>
  <c r="K619" i="206"/>
  <c r="J619" i="206"/>
  <c r="I619" i="206"/>
  <c r="H619" i="206"/>
  <c r="G619" i="206"/>
  <c r="F619" i="206"/>
  <c r="E619" i="206"/>
  <c r="D619" i="206"/>
  <c r="I613" i="206"/>
  <c r="I615" i="206"/>
  <c r="I617" i="206"/>
  <c r="I618" i="206"/>
  <c r="E615" i="206"/>
  <c r="E617" i="206"/>
  <c r="E618" i="206"/>
  <c r="H615" i="206"/>
  <c r="H617" i="206"/>
  <c r="H618" i="206"/>
  <c r="D615" i="206"/>
  <c r="D617" i="206"/>
  <c r="D618" i="206"/>
  <c r="K613" i="206"/>
  <c r="K615" i="206"/>
  <c r="K617" i="206"/>
  <c r="K618" i="206"/>
  <c r="J613" i="206"/>
  <c r="J615" i="206"/>
  <c r="J617" i="206"/>
  <c r="J618" i="206"/>
  <c r="H613" i="206"/>
  <c r="G613" i="206"/>
  <c r="G615" i="206"/>
  <c r="G617" i="206"/>
  <c r="G618" i="206"/>
  <c r="F613" i="206"/>
  <c r="F615" i="206"/>
  <c r="F617" i="206"/>
  <c r="F618" i="206"/>
  <c r="E613" i="206"/>
  <c r="D613" i="206"/>
  <c r="L608" i="206"/>
  <c r="K608" i="206"/>
  <c r="J608" i="206"/>
  <c r="I608" i="206"/>
  <c r="H608" i="206"/>
  <c r="G608" i="206"/>
  <c r="F608" i="206"/>
  <c r="E608" i="206"/>
  <c r="D608" i="206"/>
  <c r="H604" i="206"/>
  <c r="H606" i="206"/>
  <c r="H607" i="206"/>
  <c r="D606" i="206"/>
  <c r="D607" i="206"/>
  <c r="K602" i="206"/>
  <c r="K604" i="206"/>
  <c r="K606" i="206"/>
  <c r="K607" i="206"/>
  <c r="G604" i="206"/>
  <c r="G606" i="206"/>
  <c r="G607" i="206"/>
  <c r="D604" i="206"/>
  <c r="J602" i="206"/>
  <c r="J604" i="206"/>
  <c r="J606" i="206"/>
  <c r="J607" i="206"/>
  <c r="I602" i="206"/>
  <c r="I604" i="206"/>
  <c r="I606" i="206"/>
  <c r="I607" i="206"/>
  <c r="H602" i="206"/>
  <c r="G602" i="206"/>
  <c r="F602" i="206"/>
  <c r="F604" i="206"/>
  <c r="F606" i="206"/>
  <c r="F607" i="206"/>
  <c r="E602" i="206"/>
  <c r="E604" i="206"/>
  <c r="E606" i="206"/>
  <c r="E607" i="206"/>
  <c r="D602" i="206"/>
  <c r="L597" i="206"/>
  <c r="K597" i="206"/>
  <c r="J597" i="206"/>
  <c r="I597" i="206"/>
  <c r="H597" i="206"/>
  <c r="G597" i="206"/>
  <c r="F597" i="206"/>
  <c r="E597" i="206"/>
  <c r="D597" i="206"/>
  <c r="K591" i="206"/>
  <c r="K593" i="206"/>
  <c r="K595" i="206"/>
  <c r="K596" i="206"/>
  <c r="G593" i="206"/>
  <c r="G595" i="206"/>
  <c r="G596" i="206"/>
  <c r="J591" i="206"/>
  <c r="J593" i="206"/>
  <c r="J595" i="206"/>
  <c r="J596" i="206"/>
  <c r="F593" i="206"/>
  <c r="F595" i="206"/>
  <c r="F596" i="206"/>
  <c r="I591" i="206"/>
  <c r="I593" i="206"/>
  <c r="I595" i="206"/>
  <c r="I596" i="206"/>
  <c r="H591" i="206"/>
  <c r="H593" i="206"/>
  <c r="H595" i="206"/>
  <c r="H596" i="206"/>
  <c r="G591" i="206"/>
  <c r="F591" i="206"/>
  <c r="E591" i="206"/>
  <c r="E593" i="206"/>
  <c r="E595" i="206"/>
  <c r="E596" i="206"/>
  <c r="D591" i="206"/>
  <c r="D593" i="206"/>
  <c r="D595" i="206"/>
  <c r="D596" i="206"/>
  <c r="L586" i="206"/>
  <c r="K586" i="206"/>
  <c r="J586" i="206"/>
  <c r="I586" i="206"/>
  <c r="H586" i="206"/>
  <c r="G586" i="206"/>
  <c r="F586" i="206"/>
  <c r="E586" i="206"/>
  <c r="D586" i="206"/>
  <c r="J580" i="206"/>
  <c r="J582" i="206"/>
  <c r="J584" i="206"/>
  <c r="J585" i="206"/>
  <c r="F582" i="206"/>
  <c r="F584" i="206"/>
  <c r="F585" i="206"/>
  <c r="I580" i="206"/>
  <c r="I582" i="206"/>
  <c r="I584" i="206"/>
  <c r="I585" i="206"/>
  <c r="E582" i="206"/>
  <c r="E584" i="206"/>
  <c r="E585" i="206"/>
  <c r="K580" i="206"/>
  <c r="K582" i="206"/>
  <c r="K584" i="206"/>
  <c r="K585" i="206"/>
  <c r="H580" i="206"/>
  <c r="H582" i="206"/>
  <c r="H584" i="206"/>
  <c r="H585" i="206"/>
  <c r="G580" i="206"/>
  <c r="G582" i="206"/>
  <c r="G584" i="206"/>
  <c r="G585" i="206"/>
  <c r="F580" i="206"/>
  <c r="E580" i="206"/>
  <c r="D580" i="206"/>
  <c r="D582" i="206"/>
  <c r="D584" i="206"/>
  <c r="D585" i="206"/>
  <c r="L575" i="206"/>
  <c r="K575" i="206"/>
  <c r="J575" i="206"/>
  <c r="I575" i="206"/>
  <c r="H575" i="206"/>
  <c r="G575" i="206"/>
  <c r="F575" i="206"/>
  <c r="E575" i="206"/>
  <c r="D575" i="206"/>
  <c r="I569" i="206"/>
  <c r="I571" i="206"/>
  <c r="I573" i="206"/>
  <c r="I574" i="206"/>
  <c r="E571" i="206"/>
  <c r="E573" i="206"/>
  <c r="E574" i="206"/>
  <c r="H571" i="206"/>
  <c r="H573" i="206"/>
  <c r="H574" i="206"/>
  <c r="D571" i="206"/>
  <c r="D573" i="206"/>
  <c r="D574" i="206"/>
  <c r="K569" i="206"/>
  <c r="K571" i="206"/>
  <c r="K573" i="206"/>
  <c r="J569" i="206"/>
  <c r="J571" i="206"/>
  <c r="J573" i="206"/>
  <c r="H569" i="206"/>
  <c r="G569" i="206"/>
  <c r="G571" i="206"/>
  <c r="G573" i="206"/>
  <c r="F569" i="206"/>
  <c r="F571" i="206"/>
  <c r="F573" i="206"/>
  <c r="E569" i="206"/>
  <c r="D569" i="206"/>
  <c r="L564" i="206"/>
  <c r="K564" i="206"/>
  <c r="J564" i="206"/>
  <c r="I564" i="206"/>
  <c r="H564" i="206"/>
  <c r="G564" i="206"/>
  <c r="F564" i="206"/>
  <c r="F574" i="206"/>
  <c r="E564" i="206"/>
  <c r="D564" i="206"/>
  <c r="M560" i="206"/>
  <c r="M562" i="206"/>
  <c r="K558" i="206"/>
  <c r="K560" i="206"/>
  <c r="K562" i="206"/>
  <c r="G560" i="206"/>
  <c r="G562" i="206"/>
  <c r="D560" i="206"/>
  <c r="D562" i="206"/>
  <c r="J558" i="206"/>
  <c r="J560" i="206"/>
  <c r="J562" i="206"/>
  <c r="I558" i="206"/>
  <c r="I560" i="206"/>
  <c r="I562" i="206"/>
  <c r="H558" i="206"/>
  <c r="H560" i="206"/>
  <c r="H562" i="206"/>
  <c r="H563" i="206"/>
  <c r="G558" i="206"/>
  <c r="F558" i="206"/>
  <c r="F560" i="206"/>
  <c r="F562" i="206"/>
  <c r="E558" i="206"/>
  <c r="E560" i="206"/>
  <c r="E562" i="206"/>
  <c r="D558" i="206"/>
  <c r="M553" i="206"/>
  <c r="L553" i="206"/>
  <c r="K553" i="206"/>
  <c r="J553" i="206"/>
  <c r="I553" i="206"/>
  <c r="H553" i="206"/>
  <c r="G553" i="206"/>
  <c r="F553" i="206"/>
  <c r="E553" i="206"/>
  <c r="D553" i="206"/>
  <c r="M549" i="206"/>
  <c r="M551" i="206"/>
  <c r="I547" i="206"/>
  <c r="I549" i="206"/>
  <c r="I551" i="206"/>
  <c r="I552" i="206"/>
  <c r="H549" i="206"/>
  <c r="H551" i="206"/>
  <c r="H552" i="206"/>
  <c r="D549" i="206"/>
  <c r="D551" i="206"/>
  <c r="K547" i="206"/>
  <c r="K549" i="206"/>
  <c r="K551" i="206"/>
  <c r="J547" i="206"/>
  <c r="J549" i="206"/>
  <c r="J551" i="206"/>
  <c r="H547" i="206"/>
  <c r="G547" i="206"/>
  <c r="G549" i="206"/>
  <c r="G551" i="206"/>
  <c r="F547" i="206"/>
  <c r="F549" i="206"/>
  <c r="F551" i="206"/>
  <c r="E547" i="206"/>
  <c r="E549" i="206"/>
  <c r="E551" i="206"/>
  <c r="D547" i="206"/>
  <c r="M542" i="206"/>
  <c r="L542" i="206"/>
  <c r="K542" i="206"/>
  <c r="J542" i="206"/>
  <c r="I542" i="206"/>
  <c r="H542" i="206"/>
  <c r="G542" i="206"/>
  <c r="F542" i="206"/>
  <c r="E542" i="206"/>
  <c r="D542" i="206"/>
  <c r="M538" i="206"/>
  <c r="M540" i="206"/>
  <c r="J536" i="206"/>
  <c r="J538" i="206"/>
  <c r="J540" i="206"/>
  <c r="J541" i="206"/>
  <c r="I536" i="206"/>
  <c r="I538" i="206"/>
  <c r="I540" i="206"/>
  <c r="I541" i="206"/>
  <c r="F538" i="206"/>
  <c r="F540" i="206"/>
  <c r="F541" i="206"/>
  <c r="E538" i="206"/>
  <c r="E540" i="206"/>
  <c r="E541" i="206"/>
  <c r="K536" i="206"/>
  <c r="K538" i="206"/>
  <c r="K540" i="206"/>
  <c r="K541" i="206"/>
  <c r="H536" i="206"/>
  <c r="H538" i="206"/>
  <c r="H540" i="206"/>
  <c r="H541" i="206"/>
  <c r="G536" i="206"/>
  <c r="G538" i="206"/>
  <c r="G540" i="206"/>
  <c r="G541" i="206"/>
  <c r="F536" i="206"/>
  <c r="E536" i="206"/>
  <c r="D536" i="206"/>
  <c r="D538" i="206"/>
  <c r="D540" i="206"/>
  <c r="D541" i="206"/>
  <c r="M531" i="206"/>
  <c r="L531" i="206"/>
  <c r="K531" i="206"/>
  <c r="J531" i="206"/>
  <c r="I531" i="206"/>
  <c r="H531" i="206"/>
  <c r="G531" i="206"/>
  <c r="F531" i="206"/>
  <c r="E531" i="206"/>
  <c r="D531" i="206"/>
  <c r="M527" i="206"/>
  <c r="M529" i="206"/>
  <c r="K525" i="206"/>
  <c r="K527" i="206"/>
  <c r="K529" i="206"/>
  <c r="K530" i="206"/>
  <c r="J525" i="206"/>
  <c r="J527" i="206"/>
  <c r="J529" i="206"/>
  <c r="G527" i="206"/>
  <c r="G529" i="206"/>
  <c r="F527" i="206"/>
  <c r="F529" i="206"/>
  <c r="I525" i="206"/>
  <c r="I527" i="206"/>
  <c r="I529" i="206"/>
  <c r="H525" i="206"/>
  <c r="H527" i="206"/>
  <c r="H529" i="206"/>
  <c r="G525" i="206"/>
  <c r="F525" i="206"/>
  <c r="E525" i="206"/>
  <c r="E527" i="206"/>
  <c r="E529" i="206"/>
  <c r="D525" i="206"/>
  <c r="D527" i="206"/>
  <c r="D529" i="206"/>
  <c r="M520" i="206"/>
  <c r="L520" i="206"/>
  <c r="K520" i="206"/>
  <c r="J520" i="206"/>
  <c r="I520" i="206"/>
  <c r="H520" i="206"/>
  <c r="G520" i="206"/>
  <c r="F520" i="206"/>
  <c r="E520" i="206"/>
  <c r="D520" i="206"/>
  <c r="M516" i="206"/>
  <c r="M518" i="206"/>
  <c r="K514" i="206"/>
  <c r="K516" i="206"/>
  <c r="K518" i="206"/>
  <c r="K519" i="206"/>
  <c r="H516" i="206"/>
  <c r="H518" i="206"/>
  <c r="H519" i="206"/>
  <c r="G516" i="206"/>
  <c r="G518" i="206"/>
  <c r="G519" i="206"/>
  <c r="D516" i="206"/>
  <c r="D518" i="206"/>
  <c r="D519" i="206"/>
  <c r="J514" i="206"/>
  <c r="J516" i="206"/>
  <c r="J518" i="206"/>
  <c r="J519" i="206"/>
  <c r="I514" i="206"/>
  <c r="I516" i="206"/>
  <c r="I518" i="206"/>
  <c r="H514" i="206"/>
  <c r="G514" i="206"/>
  <c r="F514" i="206"/>
  <c r="F516" i="206"/>
  <c r="F518" i="206"/>
  <c r="F519" i="206"/>
  <c r="E514" i="206"/>
  <c r="E516" i="206"/>
  <c r="E518" i="206"/>
  <c r="D514" i="206"/>
  <c r="M509" i="206"/>
  <c r="L509" i="206"/>
  <c r="K509" i="206"/>
  <c r="J509" i="206"/>
  <c r="H509" i="206"/>
  <c r="G509" i="206"/>
  <c r="F509" i="206"/>
  <c r="E509" i="206"/>
  <c r="D509" i="206"/>
  <c r="M505" i="206"/>
  <c r="M507" i="206"/>
  <c r="I503" i="206"/>
  <c r="I505" i="206"/>
  <c r="I507" i="206"/>
  <c r="H505" i="206"/>
  <c r="E505" i="206"/>
  <c r="E507" i="206"/>
  <c r="D505" i="206"/>
  <c r="K503" i="206"/>
  <c r="K505" i="206"/>
  <c r="J503" i="206"/>
  <c r="J505" i="206"/>
  <c r="H503" i="206"/>
  <c r="G503" i="206"/>
  <c r="G505" i="206"/>
  <c r="F503" i="206"/>
  <c r="F505" i="206"/>
  <c r="E503" i="206"/>
  <c r="D503" i="206"/>
  <c r="AC502" i="206"/>
  <c r="AC505" i="206"/>
  <c r="AB502" i="206"/>
  <c r="AB505" i="206"/>
  <c r="AA502" i="206"/>
  <c r="AA505" i="206"/>
  <c r="Z502" i="206"/>
  <c r="Z505" i="206"/>
  <c r="Y502" i="206"/>
  <c r="Y505" i="206"/>
  <c r="X502" i="206"/>
  <c r="X505" i="206"/>
  <c r="W502" i="206"/>
  <c r="W505" i="206"/>
  <c r="V502" i="206"/>
  <c r="V505" i="206"/>
  <c r="M498" i="206"/>
  <c r="J498" i="206"/>
  <c r="J927" i="206"/>
  <c r="M491" i="206"/>
  <c r="K491" i="206"/>
  <c r="K493" i="206"/>
  <c r="H491" i="206"/>
  <c r="H493" i="206"/>
  <c r="G491" i="206"/>
  <c r="G493" i="206"/>
  <c r="D491" i="206"/>
  <c r="D493" i="206"/>
  <c r="J491" i="206"/>
  <c r="J493" i="206"/>
  <c r="I491" i="206"/>
  <c r="I493" i="206"/>
  <c r="H489" i="206"/>
  <c r="G489" i="206"/>
  <c r="F489" i="206"/>
  <c r="F491" i="206"/>
  <c r="F493" i="206"/>
  <c r="E489" i="206"/>
  <c r="E491" i="206"/>
  <c r="E493" i="206"/>
  <c r="D489" i="206"/>
  <c r="M483" i="206"/>
  <c r="M485" i="206"/>
  <c r="J483" i="206"/>
  <c r="J485" i="206"/>
  <c r="I483" i="206"/>
  <c r="I485" i="206"/>
  <c r="F483" i="206"/>
  <c r="F485" i="206"/>
  <c r="E483" i="206"/>
  <c r="E485" i="206"/>
  <c r="K483" i="206"/>
  <c r="K485" i="206"/>
  <c r="H481" i="206"/>
  <c r="H483" i="206"/>
  <c r="H485" i="206"/>
  <c r="G481" i="206"/>
  <c r="G483" i="206"/>
  <c r="G485" i="206"/>
  <c r="F481" i="206"/>
  <c r="E481" i="206"/>
  <c r="D481" i="206"/>
  <c r="D483" i="206"/>
  <c r="D485" i="206"/>
  <c r="M475" i="206"/>
  <c r="M477" i="206"/>
  <c r="K475" i="206"/>
  <c r="K477" i="206"/>
  <c r="H475" i="206"/>
  <c r="H477" i="206"/>
  <c r="G475" i="206"/>
  <c r="G477" i="206"/>
  <c r="D475" i="206"/>
  <c r="D477" i="206"/>
  <c r="J475" i="206"/>
  <c r="J477" i="206"/>
  <c r="I475" i="206"/>
  <c r="I477" i="206"/>
  <c r="H473" i="206"/>
  <c r="G473" i="206"/>
  <c r="F473" i="206"/>
  <c r="F475" i="206"/>
  <c r="F477" i="206"/>
  <c r="E473" i="206"/>
  <c r="E475" i="206"/>
  <c r="E477" i="206"/>
  <c r="D473" i="206"/>
  <c r="M471" i="206"/>
  <c r="L471" i="206"/>
  <c r="L478" i="206"/>
  <c r="K471" i="206"/>
  <c r="J471" i="206"/>
  <c r="I471" i="206"/>
  <c r="H471" i="206"/>
  <c r="G471" i="206"/>
  <c r="F471" i="206"/>
  <c r="E471" i="206"/>
  <c r="D471" i="206"/>
  <c r="L470" i="206"/>
  <c r="K470" i="206"/>
  <c r="M467" i="206"/>
  <c r="M469" i="206"/>
  <c r="I467" i="206"/>
  <c r="I469" i="206"/>
  <c r="H467" i="206"/>
  <c r="H469" i="206"/>
  <c r="E467" i="206"/>
  <c r="E469" i="206"/>
  <c r="D467" i="206"/>
  <c r="D469" i="206"/>
  <c r="K467" i="206"/>
  <c r="K469" i="206"/>
  <c r="J467" i="206"/>
  <c r="J469" i="206"/>
  <c r="H465" i="206"/>
  <c r="G465" i="206"/>
  <c r="G467" i="206"/>
  <c r="G469" i="206"/>
  <c r="F465" i="206"/>
  <c r="F467" i="206"/>
  <c r="F469" i="206"/>
  <c r="E465" i="206"/>
  <c r="D465" i="206"/>
  <c r="M463" i="206"/>
  <c r="L463" i="206"/>
  <c r="K463" i="206"/>
  <c r="J463" i="206"/>
  <c r="I463" i="206"/>
  <c r="H463" i="206"/>
  <c r="G463" i="206"/>
  <c r="F463" i="206"/>
  <c r="E463" i="206"/>
  <c r="D463" i="206"/>
  <c r="L462" i="206"/>
  <c r="M459" i="206"/>
  <c r="M461" i="206"/>
  <c r="J459" i="206"/>
  <c r="J461" i="206"/>
  <c r="I459" i="206"/>
  <c r="I461" i="206"/>
  <c r="F459" i="206"/>
  <c r="F461" i="206"/>
  <c r="E459" i="206"/>
  <c r="E461" i="206"/>
  <c r="K459" i="206"/>
  <c r="K461" i="206"/>
  <c r="H457" i="206"/>
  <c r="H459" i="206"/>
  <c r="H461" i="206"/>
  <c r="G457" i="206"/>
  <c r="G459" i="206"/>
  <c r="G461" i="206"/>
  <c r="F457" i="206"/>
  <c r="E457" i="206"/>
  <c r="D457" i="206"/>
  <c r="D459" i="206"/>
  <c r="D461" i="206"/>
  <c r="M455" i="206"/>
  <c r="L455" i="206"/>
  <c r="K455" i="206"/>
  <c r="J455" i="206"/>
  <c r="I455" i="206"/>
  <c r="H455" i="206"/>
  <c r="G455" i="206"/>
  <c r="F455" i="206"/>
  <c r="E455" i="206"/>
  <c r="D455" i="206"/>
  <c r="J454" i="206"/>
  <c r="I454" i="206"/>
  <c r="M451" i="206"/>
  <c r="M453" i="206"/>
  <c r="K451" i="206"/>
  <c r="K453" i="206"/>
  <c r="J451" i="206"/>
  <c r="J453" i="206"/>
  <c r="G451" i="206"/>
  <c r="G453" i="206"/>
  <c r="F451" i="206"/>
  <c r="F453" i="206"/>
  <c r="I451" i="206"/>
  <c r="I453" i="206"/>
  <c r="H449" i="206"/>
  <c r="H451" i="206"/>
  <c r="H453" i="206"/>
  <c r="G449" i="206"/>
  <c r="F449" i="206"/>
  <c r="E449" i="206"/>
  <c r="E451" i="206"/>
  <c r="E453" i="206"/>
  <c r="D449" i="206"/>
  <c r="D451" i="206"/>
  <c r="D453" i="206"/>
  <c r="M447" i="206"/>
  <c r="L447" i="206"/>
  <c r="L454" i="206"/>
  <c r="K447" i="206"/>
  <c r="K454" i="206"/>
  <c r="J447" i="206"/>
  <c r="I447" i="206"/>
  <c r="H447" i="206"/>
  <c r="G447" i="206"/>
  <c r="F447" i="206"/>
  <c r="E447" i="206"/>
  <c r="D447" i="206"/>
  <c r="I443" i="206"/>
  <c r="I445" i="206"/>
  <c r="E443" i="206"/>
  <c r="E445" i="206"/>
  <c r="H443" i="206"/>
  <c r="H445" i="206"/>
  <c r="D443" i="206"/>
  <c r="D445" i="206"/>
  <c r="K443" i="206"/>
  <c r="K445" i="206"/>
  <c r="J443" i="206"/>
  <c r="J445" i="206"/>
  <c r="H441" i="206"/>
  <c r="G441" i="206"/>
  <c r="G443" i="206"/>
  <c r="G445" i="206"/>
  <c r="F441" i="206"/>
  <c r="F443" i="206"/>
  <c r="F445" i="206"/>
  <c r="E441" i="206"/>
  <c r="D441" i="206"/>
  <c r="M439" i="206"/>
  <c r="M446" i="206"/>
  <c r="L439" i="206"/>
  <c r="K439" i="206"/>
  <c r="J439" i="206"/>
  <c r="I439" i="206"/>
  <c r="I446" i="206"/>
  <c r="H439" i="206"/>
  <c r="G439" i="206"/>
  <c r="F439" i="206"/>
  <c r="F446" i="206"/>
  <c r="E439" i="206"/>
  <c r="E446" i="206"/>
  <c r="D439" i="206"/>
  <c r="D446" i="206"/>
  <c r="H435" i="206"/>
  <c r="H437" i="206"/>
  <c r="D435" i="206"/>
  <c r="D437" i="206"/>
  <c r="K435" i="206"/>
  <c r="K437" i="206"/>
  <c r="G435" i="206"/>
  <c r="G437" i="206"/>
  <c r="J435" i="206"/>
  <c r="J437" i="206"/>
  <c r="I435" i="206"/>
  <c r="I437" i="206"/>
  <c r="H433" i="206"/>
  <c r="G433" i="206"/>
  <c r="F433" i="206"/>
  <c r="F435" i="206"/>
  <c r="F437" i="206"/>
  <c r="E433" i="206"/>
  <c r="E435" i="206"/>
  <c r="E437" i="206"/>
  <c r="D433" i="206"/>
  <c r="M431" i="206"/>
  <c r="M438" i="206"/>
  <c r="L431" i="206"/>
  <c r="K431" i="206"/>
  <c r="J431" i="206"/>
  <c r="I431" i="206"/>
  <c r="H431" i="206"/>
  <c r="H438" i="206"/>
  <c r="G431" i="206"/>
  <c r="G438" i="206"/>
  <c r="F431" i="206"/>
  <c r="F438" i="206"/>
  <c r="E431" i="206"/>
  <c r="E438" i="206"/>
  <c r="D431" i="206"/>
  <c r="D438" i="206"/>
  <c r="D430" i="206"/>
  <c r="K427" i="206"/>
  <c r="K429" i="206"/>
  <c r="G427" i="206"/>
  <c r="G429" i="206"/>
  <c r="J427" i="206"/>
  <c r="J429" i="206"/>
  <c r="F427" i="206"/>
  <c r="F429" i="206"/>
  <c r="I427" i="206"/>
  <c r="I429" i="206"/>
  <c r="H425" i="206"/>
  <c r="H427" i="206"/>
  <c r="H429" i="206"/>
  <c r="G425" i="206"/>
  <c r="F425" i="206"/>
  <c r="E425" i="206"/>
  <c r="E427" i="206"/>
  <c r="E429" i="206"/>
  <c r="D425" i="206"/>
  <c r="D427" i="206"/>
  <c r="D429" i="206"/>
  <c r="M423" i="206"/>
  <c r="M430" i="206"/>
  <c r="L423" i="206"/>
  <c r="L430" i="206"/>
  <c r="K423" i="206"/>
  <c r="J423" i="206"/>
  <c r="I423" i="206"/>
  <c r="H423" i="206"/>
  <c r="H430" i="206"/>
  <c r="G423" i="206"/>
  <c r="F423" i="206"/>
  <c r="F430" i="206"/>
  <c r="E423" i="206"/>
  <c r="E430" i="206"/>
  <c r="D423" i="206"/>
  <c r="G422" i="206"/>
  <c r="M419" i="206"/>
  <c r="M421" i="206"/>
  <c r="I419" i="206"/>
  <c r="I421" i="206"/>
  <c r="H419" i="206"/>
  <c r="H421" i="206"/>
  <c r="E419" i="206"/>
  <c r="E421" i="206"/>
  <c r="D419" i="206"/>
  <c r="D421" i="206"/>
  <c r="K419" i="206"/>
  <c r="K421" i="206"/>
  <c r="J419" i="206"/>
  <c r="J421" i="206"/>
  <c r="H417" i="206"/>
  <c r="G417" i="206"/>
  <c r="G419" i="206"/>
  <c r="G421" i="206"/>
  <c r="F417" i="206"/>
  <c r="F419" i="206"/>
  <c r="F421" i="206"/>
  <c r="E417" i="206"/>
  <c r="D417" i="206"/>
  <c r="M415" i="206"/>
  <c r="L415" i="206"/>
  <c r="K415" i="206"/>
  <c r="J415" i="206"/>
  <c r="I415" i="206"/>
  <c r="H415" i="206"/>
  <c r="G415" i="206"/>
  <c r="F415" i="206"/>
  <c r="F422" i="206"/>
  <c r="E415" i="206"/>
  <c r="D415" i="206"/>
  <c r="G411" i="206"/>
  <c r="G413" i="206"/>
  <c r="K411" i="206"/>
  <c r="K413" i="206"/>
  <c r="J411" i="206"/>
  <c r="J413" i="206"/>
  <c r="F411" i="206"/>
  <c r="F413" i="206"/>
  <c r="I411" i="206"/>
  <c r="I413" i="206"/>
  <c r="H409" i="206"/>
  <c r="H411" i="206"/>
  <c r="H413" i="206"/>
  <c r="G409" i="206"/>
  <c r="F409" i="206"/>
  <c r="E409" i="206"/>
  <c r="E411" i="206"/>
  <c r="E413" i="206"/>
  <c r="D409" i="206"/>
  <c r="D411" i="206"/>
  <c r="D413" i="206"/>
  <c r="M407" i="206"/>
  <c r="M414" i="206"/>
  <c r="L407" i="206"/>
  <c r="K407" i="206"/>
  <c r="J407" i="206"/>
  <c r="I407" i="206"/>
  <c r="H407" i="206"/>
  <c r="G407" i="206"/>
  <c r="F407" i="206"/>
  <c r="E407" i="206"/>
  <c r="D407" i="206"/>
  <c r="K403" i="206"/>
  <c r="K405" i="206"/>
  <c r="F403" i="206"/>
  <c r="F405" i="206"/>
  <c r="J403" i="206"/>
  <c r="J405" i="206"/>
  <c r="D403" i="206"/>
  <c r="D405" i="206"/>
  <c r="I403" i="206"/>
  <c r="I405" i="206"/>
  <c r="H401" i="206"/>
  <c r="H403" i="206"/>
  <c r="H405" i="206"/>
  <c r="G401" i="206"/>
  <c r="G403" i="206"/>
  <c r="G405" i="206"/>
  <c r="F401" i="206"/>
  <c r="E401" i="206"/>
  <c r="E403" i="206"/>
  <c r="E405" i="206"/>
  <c r="D401" i="206"/>
  <c r="M399" i="206"/>
  <c r="M406" i="206"/>
  <c r="L399" i="206"/>
  <c r="K399" i="206"/>
  <c r="J399" i="206"/>
  <c r="I399" i="206"/>
  <c r="H399" i="206"/>
  <c r="G399" i="206"/>
  <c r="F399" i="206"/>
  <c r="E399" i="206"/>
  <c r="D399" i="206"/>
  <c r="H398" i="206"/>
  <c r="M395" i="206"/>
  <c r="M397" i="206"/>
  <c r="I395" i="206"/>
  <c r="I397" i="206"/>
  <c r="E395" i="206"/>
  <c r="E397" i="206"/>
  <c r="K395" i="206"/>
  <c r="K397" i="206"/>
  <c r="J395" i="206"/>
  <c r="J397" i="206"/>
  <c r="H393" i="206"/>
  <c r="H395" i="206"/>
  <c r="H397" i="206"/>
  <c r="G393" i="206"/>
  <c r="G395" i="206"/>
  <c r="G397" i="206"/>
  <c r="F393" i="206"/>
  <c r="F395" i="206"/>
  <c r="F397" i="206"/>
  <c r="E393" i="206"/>
  <c r="D393" i="206"/>
  <c r="D395" i="206"/>
  <c r="D397" i="206"/>
  <c r="M391" i="206"/>
  <c r="L391" i="206"/>
  <c r="K391" i="206"/>
  <c r="J391" i="206"/>
  <c r="I391" i="206"/>
  <c r="H391" i="206"/>
  <c r="G391" i="206"/>
  <c r="F391" i="206"/>
  <c r="E391" i="206"/>
  <c r="D391" i="206"/>
  <c r="K387" i="206"/>
  <c r="K389" i="206"/>
  <c r="G387" i="206"/>
  <c r="G389" i="206"/>
  <c r="J387" i="206"/>
  <c r="J389" i="206"/>
  <c r="I387" i="206"/>
  <c r="I389" i="206"/>
  <c r="H385" i="206"/>
  <c r="H387" i="206"/>
  <c r="H389" i="206"/>
  <c r="G385" i="206"/>
  <c r="F385" i="206"/>
  <c r="F387" i="206"/>
  <c r="F389" i="206"/>
  <c r="E385" i="206"/>
  <c r="E387" i="206"/>
  <c r="E389" i="206"/>
  <c r="D385" i="206"/>
  <c r="D387" i="206"/>
  <c r="D389" i="206"/>
  <c r="L383" i="206"/>
  <c r="K383" i="206"/>
  <c r="J383" i="206"/>
  <c r="I383" i="206"/>
  <c r="H383" i="206"/>
  <c r="G383" i="206"/>
  <c r="F383" i="206"/>
  <c r="E383" i="206"/>
  <c r="D383" i="206"/>
  <c r="J379" i="206"/>
  <c r="J381" i="206"/>
  <c r="F379" i="206"/>
  <c r="F381" i="206"/>
  <c r="K379" i="206"/>
  <c r="K381" i="206"/>
  <c r="I379" i="206"/>
  <c r="I381" i="206"/>
  <c r="H377" i="206"/>
  <c r="H379" i="206"/>
  <c r="H381" i="206"/>
  <c r="G377" i="206"/>
  <c r="G379" i="206"/>
  <c r="G381" i="206"/>
  <c r="F377" i="206"/>
  <c r="E377" i="206"/>
  <c r="E379" i="206"/>
  <c r="E381" i="206"/>
  <c r="D377" i="206"/>
  <c r="D379" i="206"/>
  <c r="D381" i="206"/>
  <c r="L375" i="206"/>
  <c r="K375" i="206"/>
  <c r="J375" i="206"/>
  <c r="J382" i="206"/>
  <c r="I375" i="206"/>
  <c r="I382" i="206"/>
  <c r="H375" i="206"/>
  <c r="G375" i="206"/>
  <c r="G382" i="206"/>
  <c r="F375" i="206"/>
  <c r="E375" i="206"/>
  <c r="D375" i="206"/>
  <c r="I371" i="206"/>
  <c r="I373" i="206"/>
  <c r="E371" i="206"/>
  <c r="E373" i="206"/>
  <c r="K371" i="206"/>
  <c r="K373" i="206"/>
  <c r="J371" i="206"/>
  <c r="J373" i="206"/>
  <c r="H369" i="206"/>
  <c r="H371" i="206"/>
  <c r="H373" i="206"/>
  <c r="G369" i="206"/>
  <c r="G371" i="206"/>
  <c r="G373" i="206"/>
  <c r="F369" i="206"/>
  <c r="F371" i="206"/>
  <c r="F373" i="206"/>
  <c r="E369" i="206"/>
  <c r="D369" i="206"/>
  <c r="D371" i="206"/>
  <c r="D373" i="206"/>
  <c r="L367" i="206"/>
  <c r="K367" i="206"/>
  <c r="J367" i="206"/>
  <c r="J374" i="206"/>
  <c r="I367" i="206"/>
  <c r="H367" i="206"/>
  <c r="G367" i="206"/>
  <c r="G374" i="206"/>
  <c r="F367" i="206"/>
  <c r="E367" i="206"/>
  <c r="D367" i="206"/>
  <c r="H363" i="206"/>
  <c r="H365" i="206"/>
  <c r="D363" i="206"/>
  <c r="D365" i="206"/>
  <c r="K363" i="206"/>
  <c r="K365" i="206"/>
  <c r="J363" i="206"/>
  <c r="J365" i="206"/>
  <c r="I363" i="206"/>
  <c r="I365" i="206"/>
  <c r="H361" i="206"/>
  <c r="G361" i="206"/>
  <c r="G363" i="206"/>
  <c r="G365" i="206"/>
  <c r="F361" i="206"/>
  <c r="F363" i="206"/>
  <c r="F365" i="206"/>
  <c r="E361" i="206"/>
  <c r="E363" i="206"/>
  <c r="E365" i="206"/>
  <c r="D361" i="206"/>
  <c r="L359" i="206"/>
  <c r="L366" i="206"/>
  <c r="K359" i="206"/>
  <c r="K366" i="206"/>
  <c r="J359" i="206"/>
  <c r="J366" i="206"/>
  <c r="I359" i="206"/>
  <c r="I366" i="206"/>
  <c r="H359" i="206"/>
  <c r="H366" i="206"/>
  <c r="G359" i="206"/>
  <c r="G366" i="206"/>
  <c r="F359" i="206"/>
  <c r="F366" i="206"/>
  <c r="E359" i="206"/>
  <c r="E366" i="206"/>
  <c r="D359" i="206"/>
  <c r="D366" i="206"/>
  <c r="K355" i="206"/>
  <c r="K357" i="206"/>
  <c r="G355" i="206"/>
  <c r="G357" i="206"/>
  <c r="J355" i="206"/>
  <c r="J357" i="206"/>
  <c r="I355" i="206"/>
  <c r="I357" i="206"/>
  <c r="H353" i="206"/>
  <c r="H355" i="206"/>
  <c r="H357" i="206"/>
  <c r="G353" i="206"/>
  <c r="F353" i="206"/>
  <c r="F355" i="206"/>
  <c r="F357" i="206"/>
  <c r="E353" i="206"/>
  <c r="E355" i="206"/>
  <c r="E357" i="206"/>
  <c r="D353" i="206"/>
  <c r="D355" i="206"/>
  <c r="D357" i="206"/>
  <c r="L351" i="206"/>
  <c r="L358" i="206"/>
  <c r="K351" i="206"/>
  <c r="K358" i="206"/>
  <c r="J351" i="206"/>
  <c r="J358" i="206"/>
  <c r="I351" i="206"/>
  <c r="I358" i="206"/>
  <c r="H351" i="206"/>
  <c r="H358" i="206"/>
  <c r="G351" i="206"/>
  <c r="G358" i="206"/>
  <c r="F351" i="206"/>
  <c r="F358" i="206"/>
  <c r="E351" i="206"/>
  <c r="E358" i="206"/>
  <c r="D351" i="206"/>
  <c r="D358" i="206"/>
  <c r="M347" i="206"/>
  <c r="M349" i="206"/>
  <c r="I347" i="206"/>
  <c r="I349" i="206"/>
  <c r="E347" i="206"/>
  <c r="E349" i="206"/>
  <c r="K347" i="206"/>
  <c r="K349" i="206"/>
  <c r="J347" i="206"/>
  <c r="J349" i="206"/>
  <c r="H345" i="206"/>
  <c r="H347" i="206"/>
  <c r="H349" i="206"/>
  <c r="G345" i="206"/>
  <c r="G347" i="206"/>
  <c r="G349" i="206"/>
  <c r="F345" i="206"/>
  <c r="F347" i="206"/>
  <c r="F349" i="206"/>
  <c r="E345" i="206"/>
  <c r="D345" i="206"/>
  <c r="D347" i="206"/>
  <c r="D349" i="206"/>
  <c r="L343" i="206"/>
  <c r="L350" i="206"/>
  <c r="K343" i="206"/>
  <c r="K350" i="206"/>
  <c r="J343" i="206"/>
  <c r="J350" i="206"/>
  <c r="I343" i="206"/>
  <c r="I350" i="206"/>
  <c r="H343" i="206"/>
  <c r="H350" i="206"/>
  <c r="G343" i="206"/>
  <c r="G350" i="206"/>
  <c r="F343" i="206"/>
  <c r="F350" i="206"/>
  <c r="E343" i="206"/>
  <c r="E350" i="206"/>
  <c r="D343" i="206"/>
  <c r="D350" i="206"/>
  <c r="I341" i="206"/>
  <c r="E339" i="206"/>
  <c r="E341" i="206"/>
  <c r="K341" i="206"/>
  <c r="J341" i="206"/>
  <c r="H337" i="206"/>
  <c r="H339" i="206"/>
  <c r="H341" i="206"/>
  <c r="G337" i="206"/>
  <c r="G339" i="206"/>
  <c r="G341" i="206"/>
  <c r="F337" i="206"/>
  <c r="F339" i="206"/>
  <c r="F341" i="206"/>
  <c r="E337" i="206"/>
  <c r="D337" i="206"/>
  <c r="D339" i="206"/>
  <c r="D341" i="206"/>
  <c r="L335" i="206"/>
  <c r="L342" i="206"/>
  <c r="K335" i="206"/>
  <c r="K342" i="206"/>
  <c r="J335" i="206"/>
  <c r="I335" i="206"/>
  <c r="I342" i="206"/>
  <c r="H335" i="206"/>
  <c r="G335" i="206"/>
  <c r="G342" i="206"/>
  <c r="F335" i="206"/>
  <c r="F342" i="206"/>
  <c r="E335" i="206"/>
  <c r="E342" i="206"/>
  <c r="D335" i="206"/>
  <c r="D342" i="206"/>
  <c r="M331" i="206"/>
  <c r="M333" i="206"/>
  <c r="K331" i="206"/>
  <c r="K333" i="206"/>
  <c r="G331" i="206"/>
  <c r="G333" i="206"/>
  <c r="J331" i="206"/>
  <c r="J333" i="206"/>
  <c r="I331" i="206"/>
  <c r="I333" i="206"/>
  <c r="H329" i="206"/>
  <c r="H331" i="206"/>
  <c r="H333" i="206"/>
  <c r="G329" i="206"/>
  <c r="F329" i="206"/>
  <c r="F331" i="206"/>
  <c r="F333" i="206"/>
  <c r="E329" i="206"/>
  <c r="E331" i="206"/>
  <c r="E333" i="206"/>
  <c r="D329" i="206"/>
  <c r="D331" i="206"/>
  <c r="D333" i="206"/>
  <c r="M327" i="206"/>
  <c r="L327" i="206"/>
  <c r="K327" i="206"/>
  <c r="J327" i="206"/>
  <c r="I327" i="206"/>
  <c r="H327" i="206"/>
  <c r="G327" i="206"/>
  <c r="G334" i="206"/>
  <c r="F327" i="206"/>
  <c r="E327" i="206"/>
  <c r="D327" i="206"/>
  <c r="D334" i="206"/>
  <c r="AB325" i="206"/>
  <c r="X325" i="206"/>
  <c r="AC323" i="206"/>
  <c r="AB323" i="206"/>
  <c r="AA323" i="206"/>
  <c r="Z323" i="206"/>
  <c r="Y323" i="206"/>
  <c r="X323" i="206"/>
  <c r="W323" i="206"/>
  <c r="V323" i="206"/>
  <c r="H323" i="206"/>
  <c r="H325" i="206"/>
  <c r="D323" i="206"/>
  <c r="D325" i="206"/>
  <c r="K323" i="206"/>
  <c r="J323" i="206"/>
  <c r="J325" i="206"/>
  <c r="I321" i="206"/>
  <c r="I323" i="206"/>
  <c r="H321" i="206"/>
  <c r="G321" i="206"/>
  <c r="G323" i="206"/>
  <c r="F321" i="206"/>
  <c r="F323" i="206"/>
  <c r="E321" i="206"/>
  <c r="E323" i="206"/>
  <c r="D321" i="206"/>
  <c r="L319" i="206"/>
  <c r="L495" i="206"/>
  <c r="L929" i="206"/>
  <c r="K319" i="206"/>
  <c r="K495" i="206"/>
  <c r="K929" i="206"/>
  <c r="J319" i="206"/>
  <c r="J495" i="206"/>
  <c r="J929" i="206"/>
  <c r="I319" i="206"/>
  <c r="I495" i="206"/>
  <c r="I929" i="206"/>
  <c r="H319" i="206"/>
  <c r="H495" i="206"/>
  <c r="G319" i="206"/>
  <c r="G495" i="206"/>
  <c r="F319" i="206"/>
  <c r="F495" i="206"/>
  <c r="E319" i="206"/>
  <c r="E495" i="206"/>
  <c r="D319" i="206"/>
  <c r="D495" i="206"/>
  <c r="AC317" i="206"/>
  <c r="AB317" i="206"/>
  <c r="AA317" i="206"/>
  <c r="X317" i="206"/>
  <c r="V317" i="206" a="1"/>
  <c r="W317" i="206"/>
  <c r="N317" i="206"/>
  <c r="N317" i="206" a="1"/>
  <c r="R317" i="206"/>
  <c r="M317" i="206"/>
  <c r="L317" i="206"/>
  <c r="K317" i="206"/>
  <c r="J317" i="206"/>
  <c r="I317" i="206"/>
  <c r="F317" i="206"/>
  <c r="D317" i="206" a="1"/>
  <c r="G317" i="206"/>
  <c r="V315" i="206"/>
  <c r="L315" i="206"/>
  <c r="M256" i="206"/>
  <c r="L256" i="206"/>
  <c r="K256" i="206"/>
  <c r="J256" i="206"/>
  <c r="I256" i="206"/>
  <c r="H256" i="206"/>
  <c r="F256" i="206"/>
  <c r="E256" i="206"/>
  <c r="D256" i="206"/>
  <c r="D256" i="206" a="1"/>
  <c r="G256" i="206"/>
  <c r="D254" i="206"/>
  <c r="AC248" i="206"/>
  <c r="AB248" i="206"/>
  <c r="AA248" i="206"/>
  <c r="Z248" i="206"/>
  <c r="Y248" i="206"/>
  <c r="X248" i="206"/>
  <c r="W248" i="206"/>
  <c r="V248" i="206"/>
  <c r="M248" i="206"/>
  <c r="L248" i="206"/>
  <c r="K248" i="206"/>
  <c r="J248" i="206"/>
  <c r="I248" i="206"/>
  <c r="H248" i="206"/>
  <c r="G248" i="206"/>
  <c r="F248" i="206"/>
  <c r="E248" i="206"/>
  <c r="D248" i="206"/>
  <c r="AC246" i="206"/>
  <c r="AB246" i="206"/>
  <c r="AA246" i="206"/>
  <c r="Z246" i="206"/>
  <c r="Y246" i="206"/>
  <c r="X246" i="206"/>
  <c r="W246" i="206"/>
  <c r="V246" i="206"/>
  <c r="M246" i="206"/>
  <c r="L246" i="206"/>
  <c r="K246" i="206"/>
  <c r="J246" i="206"/>
  <c r="I246" i="206"/>
  <c r="H246" i="206"/>
  <c r="G246" i="206"/>
  <c r="F246" i="206"/>
  <c r="E246" i="206"/>
  <c r="D246" i="206"/>
  <c r="AC245" i="206"/>
  <c r="AB245" i="206"/>
  <c r="AA245" i="206"/>
  <c r="Z245" i="206"/>
  <c r="Y245" i="206"/>
  <c r="X245" i="206"/>
  <c r="W245" i="206"/>
  <c r="V245" i="206"/>
  <c r="M245" i="206"/>
  <c r="L245" i="206"/>
  <c r="AC243" i="206"/>
  <c r="AB243" i="206"/>
  <c r="AA243" i="206"/>
  <c r="Z243" i="206"/>
  <c r="Y243" i="206"/>
  <c r="X243" i="206"/>
  <c r="W243" i="206"/>
  <c r="V243" i="206"/>
  <c r="M243" i="206"/>
  <c r="L243" i="206"/>
  <c r="K243" i="206"/>
  <c r="J243" i="206"/>
  <c r="I243" i="206"/>
  <c r="H243" i="206"/>
  <c r="G243" i="206"/>
  <c r="F243" i="206"/>
  <c r="E243" i="206"/>
  <c r="D243" i="206"/>
  <c r="AC242" i="206"/>
  <c r="AB242" i="206"/>
  <c r="AA242" i="206"/>
  <c r="Z242" i="206"/>
  <c r="Y242" i="206"/>
  <c r="X242" i="206"/>
  <c r="W242" i="206"/>
  <c r="V242" i="206"/>
  <c r="M242" i="206"/>
  <c r="L242" i="206"/>
  <c r="K242" i="206"/>
  <c r="J242" i="206"/>
  <c r="I242" i="206"/>
  <c r="H242" i="206"/>
  <c r="G242" i="206"/>
  <c r="F242" i="206"/>
  <c r="E242" i="206"/>
  <c r="D242" i="206"/>
  <c r="AC241" i="206"/>
  <c r="AB241" i="206"/>
  <c r="AA241" i="206"/>
  <c r="Z241" i="206"/>
  <c r="Y241" i="206"/>
  <c r="X241" i="206"/>
  <c r="W241" i="206"/>
  <c r="V241" i="206"/>
  <c r="M241" i="206"/>
  <c r="L241" i="206"/>
  <c r="K241" i="206"/>
  <c r="J241" i="206"/>
  <c r="I241" i="206"/>
  <c r="H241" i="206"/>
  <c r="G241" i="206"/>
  <c r="F241" i="206"/>
  <c r="E241" i="206"/>
  <c r="D241" i="206"/>
  <c r="AC240" i="206"/>
  <c r="AB240" i="206"/>
  <c r="AA240" i="206"/>
  <c r="Z240" i="206"/>
  <c r="Y240" i="206"/>
  <c r="X240" i="206"/>
  <c r="W240" i="206"/>
  <c r="V240" i="206"/>
  <c r="Z238" i="206"/>
  <c r="V238" i="206"/>
  <c r="K238" i="206"/>
  <c r="G238" i="206"/>
  <c r="AC236" i="206"/>
  <c r="AC238" i="206"/>
  <c r="Z236" i="206"/>
  <c r="Y236" i="206"/>
  <c r="Y238" i="206"/>
  <c r="V236" i="206"/>
  <c r="K236" i="206"/>
  <c r="J236" i="206"/>
  <c r="J238" i="206"/>
  <c r="G236" i="206"/>
  <c r="F236" i="206"/>
  <c r="F238" i="206"/>
  <c r="AC233" i="206"/>
  <c r="AB233" i="206"/>
  <c r="AB236" i="206"/>
  <c r="AB238" i="206"/>
  <c r="AA233" i="206"/>
  <c r="AA236" i="206"/>
  <c r="AA238" i="206"/>
  <c r="Z233" i="206"/>
  <c r="Y233" i="206"/>
  <c r="X233" i="206"/>
  <c r="X236" i="206"/>
  <c r="X238" i="206"/>
  <c r="W233" i="206"/>
  <c r="W236" i="206"/>
  <c r="W238" i="206"/>
  <c r="V233" i="206"/>
  <c r="M233" i="206"/>
  <c r="M236" i="206"/>
  <c r="M238" i="206"/>
  <c r="L233" i="206"/>
  <c r="L236" i="206"/>
  <c r="L238" i="206"/>
  <c r="K233" i="206"/>
  <c r="J233" i="206"/>
  <c r="I233" i="206"/>
  <c r="I236" i="206"/>
  <c r="I238" i="206"/>
  <c r="H233" i="206"/>
  <c r="H236" i="206"/>
  <c r="H238" i="206"/>
  <c r="G233" i="206"/>
  <c r="F233" i="206"/>
  <c r="E233" i="206"/>
  <c r="E236" i="206"/>
  <c r="E238" i="206"/>
  <c r="D233" i="206"/>
  <c r="D236" i="206"/>
  <c r="D238" i="206"/>
  <c r="AA227" i="206"/>
  <c r="W227" i="206"/>
  <c r="AA225" i="206"/>
  <c r="Z225" i="206"/>
  <c r="Z227" i="206"/>
  <c r="W225" i="206"/>
  <c r="V225" i="206"/>
  <c r="V227" i="206"/>
  <c r="K223" i="206"/>
  <c r="K225" i="206" s="1"/>
  <c r="K227" i="206" s="1"/>
  <c r="G223" i="206"/>
  <c r="AC222" i="206"/>
  <c r="AC225" i="206"/>
  <c r="AC227" i="206"/>
  <c r="AB222" i="206"/>
  <c r="AB225" i="206"/>
  <c r="AB227" i="206"/>
  <c r="AA222" i="206"/>
  <c r="Z222" i="206"/>
  <c r="Y222" i="206"/>
  <c r="Y225" i="206"/>
  <c r="Y227" i="206"/>
  <c r="X222" i="206"/>
  <c r="X225" i="206"/>
  <c r="X227" i="206"/>
  <c r="W222" i="206"/>
  <c r="V222" i="206"/>
  <c r="M222" i="206"/>
  <c r="M225" i="206"/>
  <c r="M227" i="206" s="1"/>
  <c r="L222" i="206"/>
  <c r="L244" i="206" s="1"/>
  <c r="K222" i="206"/>
  <c r="J222" i="206"/>
  <c r="J225" i="206" s="1"/>
  <c r="J227" i="206" s="1"/>
  <c r="I222" i="206"/>
  <c r="I223" i="206" s="1"/>
  <c r="I225" i="206" s="1"/>
  <c r="I227" i="206" s="1"/>
  <c r="H222" i="206"/>
  <c r="H223" i="206" s="1"/>
  <c r="G222" i="206"/>
  <c r="G225" i="206" s="1"/>
  <c r="G227" i="206" s="1"/>
  <c r="F222" i="206"/>
  <c r="F223" i="206" s="1"/>
  <c r="E222" i="206"/>
  <c r="D222" i="206"/>
  <c r="D223" i="206" s="1"/>
  <c r="AA216" i="206"/>
  <c r="AA249" i="206"/>
  <c r="W216" i="206"/>
  <c r="W249" i="206"/>
  <c r="AA214" i="206"/>
  <c r="AA247" i="206"/>
  <c r="Z214" i="206"/>
  <c r="Z216" i="206"/>
  <c r="Z249" i="206"/>
  <c r="W214" i="206"/>
  <c r="V214" i="206"/>
  <c r="V216" i="206"/>
  <c r="K212" i="206"/>
  <c r="K214" i="206" s="1"/>
  <c r="K245" i="206"/>
  <c r="AC211" i="206"/>
  <c r="AC214" i="206"/>
  <c r="AB211" i="206"/>
  <c r="AB214" i="206"/>
  <c r="AA211" i="206"/>
  <c r="AA244" i="206"/>
  <c r="Z211" i="206"/>
  <c r="Z244" i="206"/>
  <c r="Y211" i="206"/>
  <c r="Y214" i="206"/>
  <c r="X211" i="206"/>
  <c r="X214" i="206"/>
  <c r="W211" i="206"/>
  <c r="W244" i="206"/>
  <c r="V211" i="206"/>
  <c r="V244" i="206"/>
  <c r="M211" i="206"/>
  <c r="M214" i="206" s="1"/>
  <c r="L211" i="206"/>
  <c r="L214" i="206" s="1"/>
  <c r="K211" i="206"/>
  <c r="K244" i="206" s="1"/>
  <c r="J211" i="206"/>
  <c r="J214" i="206" s="1"/>
  <c r="I211" i="206"/>
  <c r="I212" i="206" s="1"/>
  <c r="H211" i="206"/>
  <c r="H212" i="206" s="1"/>
  <c r="G211" i="206"/>
  <c r="G212" i="206" s="1"/>
  <c r="G244" i="206"/>
  <c r="F211" i="206"/>
  <c r="F244" i="206" s="1"/>
  <c r="E211" i="206"/>
  <c r="D211" i="206"/>
  <c r="D212" i="206" s="1"/>
  <c r="AC205" i="206"/>
  <c r="AB205" i="206"/>
  <c r="AA205" i="206"/>
  <c r="X205" i="206"/>
  <c r="W205" i="206"/>
  <c r="V205" i="206" a="1"/>
  <c r="Z205" i="206"/>
  <c r="N205" i="206" a="1"/>
  <c r="P205" i="206"/>
  <c r="M205" i="206"/>
  <c r="L205" i="206"/>
  <c r="K205" i="206"/>
  <c r="J205" i="206"/>
  <c r="I205" i="206"/>
  <c r="F205" i="206"/>
  <c r="D205" i="206" a="1"/>
  <c r="E205" i="206"/>
  <c r="V203" i="206"/>
  <c r="L203" i="206"/>
  <c r="AA198" i="206"/>
  <c r="W198" i="206"/>
  <c r="L198" i="206"/>
  <c r="AA196" i="206"/>
  <c r="Z196" i="206"/>
  <c r="Z198" i="206"/>
  <c r="W196" i="206"/>
  <c r="V196" i="206"/>
  <c r="V198" i="206"/>
  <c r="L196" i="206"/>
  <c r="K194" i="206"/>
  <c r="K196" i="206"/>
  <c r="K198" i="206"/>
  <c r="H194" i="206"/>
  <c r="H196" i="206"/>
  <c r="H198" i="206"/>
  <c r="G194" i="206"/>
  <c r="G196" i="206"/>
  <c r="G198" i="206"/>
  <c r="D194" i="206"/>
  <c r="D196" i="206"/>
  <c r="D198" i="206"/>
  <c r="AC193" i="206"/>
  <c r="AC196" i="206"/>
  <c r="AC198" i="206"/>
  <c r="AB193" i="206"/>
  <c r="AB196" i="206"/>
  <c r="AB198" i="206"/>
  <c r="AA193" i="206"/>
  <c r="Z193" i="206"/>
  <c r="Y193" i="206"/>
  <c r="Y196" i="206"/>
  <c r="Y198" i="206"/>
  <c r="X193" i="206"/>
  <c r="X196" i="206"/>
  <c r="X198" i="206"/>
  <c r="W193" i="206"/>
  <c r="V193" i="206"/>
  <c r="M193" i="206"/>
  <c r="M196" i="206"/>
  <c r="M198" i="206"/>
  <c r="L193" i="206"/>
  <c r="K193" i="206"/>
  <c r="J193" i="206"/>
  <c r="I193" i="206"/>
  <c r="H193" i="206"/>
  <c r="G193" i="206"/>
  <c r="F193" i="206"/>
  <c r="E193" i="206"/>
  <c r="D193" i="206"/>
  <c r="AC188" i="206"/>
  <c r="AB188" i="206"/>
  <c r="AA188" i="206"/>
  <c r="X188" i="206"/>
  <c r="W188" i="206"/>
  <c r="V188" i="206" a="1"/>
  <c r="Z188" i="206"/>
  <c r="N188" i="206" a="1"/>
  <c r="P188" i="206"/>
  <c r="M188" i="206"/>
  <c r="L188" i="206"/>
  <c r="K188" i="206"/>
  <c r="J188" i="206"/>
  <c r="I188" i="206"/>
  <c r="F188" i="206"/>
  <c r="D188" i="206" a="1"/>
  <c r="E188" i="206"/>
  <c r="V186" i="206"/>
  <c r="L186" i="206"/>
  <c r="M179" i="206"/>
  <c r="L179" i="206"/>
  <c r="K179" i="206"/>
  <c r="J179" i="206"/>
  <c r="I179" i="206"/>
  <c r="H179" i="206"/>
  <c r="G179" i="206"/>
  <c r="F179" i="206"/>
  <c r="E179" i="206"/>
  <c r="D179" i="206"/>
  <c r="M176" i="206"/>
  <c r="L176" i="206"/>
  <c r="K176" i="206"/>
  <c r="J176" i="206"/>
  <c r="I176" i="206"/>
  <c r="H176" i="206"/>
  <c r="G176" i="206"/>
  <c r="F176" i="206"/>
  <c r="E176" i="206"/>
  <c r="D176" i="206"/>
  <c r="M173" i="206"/>
  <c r="L173" i="206"/>
  <c r="K173" i="206"/>
  <c r="J173" i="206"/>
  <c r="I173" i="206"/>
  <c r="H173" i="206"/>
  <c r="G173" i="206"/>
  <c r="F173" i="206"/>
  <c r="E173" i="206"/>
  <c r="D173" i="206"/>
  <c r="M170" i="206"/>
  <c r="L170" i="206"/>
  <c r="K170" i="206"/>
  <c r="J170" i="206"/>
  <c r="I170" i="206"/>
  <c r="H170" i="206"/>
  <c r="G170" i="206"/>
  <c r="F170" i="206"/>
  <c r="E170" i="206"/>
  <c r="D170" i="206"/>
  <c r="M167" i="206"/>
  <c r="L167" i="206"/>
  <c r="K167" i="206"/>
  <c r="J167" i="206"/>
  <c r="I167" i="206"/>
  <c r="H167" i="206"/>
  <c r="G167" i="206"/>
  <c r="F167" i="206"/>
  <c r="E167" i="206"/>
  <c r="D167" i="206"/>
  <c r="M164" i="206"/>
  <c r="L164" i="206"/>
  <c r="K164" i="206"/>
  <c r="J164" i="206"/>
  <c r="I164" i="206"/>
  <c r="H164" i="206"/>
  <c r="G164" i="206"/>
  <c r="F164" i="206"/>
  <c r="E164" i="206"/>
  <c r="D164" i="206"/>
  <c r="M161" i="206"/>
  <c r="L161" i="206"/>
  <c r="K161" i="206"/>
  <c r="J161" i="206"/>
  <c r="I161" i="206"/>
  <c r="H161" i="206"/>
  <c r="G161" i="206"/>
  <c r="F161" i="206"/>
  <c r="E161" i="206"/>
  <c r="D161" i="206"/>
  <c r="M158" i="206"/>
  <c r="L158" i="206"/>
  <c r="K158" i="206"/>
  <c r="J158" i="206"/>
  <c r="I158" i="206"/>
  <c r="H158" i="206"/>
  <c r="G158" i="206"/>
  <c r="F158" i="206"/>
  <c r="E158" i="206"/>
  <c r="D158" i="206"/>
  <c r="M155" i="206"/>
  <c r="L155" i="206"/>
  <c r="K155" i="206"/>
  <c r="J155" i="206"/>
  <c r="I155" i="206"/>
  <c r="H155" i="206"/>
  <c r="G155" i="206"/>
  <c r="F155" i="206"/>
  <c r="E155" i="206"/>
  <c r="D155" i="206"/>
  <c r="M152" i="206"/>
  <c r="L152" i="206"/>
  <c r="K152" i="206"/>
  <c r="J152" i="206"/>
  <c r="I152" i="206"/>
  <c r="H152" i="206"/>
  <c r="G152" i="206"/>
  <c r="F152" i="206"/>
  <c r="E152" i="206"/>
  <c r="D152" i="206"/>
  <c r="M149" i="206"/>
  <c r="L149" i="206"/>
  <c r="K149" i="206"/>
  <c r="J149" i="206"/>
  <c r="I149" i="206"/>
  <c r="H149" i="206"/>
  <c r="G149" i="206"/>
  <c r="F149" i="206"/>
  <c r="E149" i="206"/>
  <c r="D149" i="206"/>
  <c r="M146" i="206"/>
  <c r="L146" i="206"/>
  <c r="K146" i="206"/>
  <c r="J146" i="206"/>
  <c r="I146" i="206"/>
  <c r="H146" i="206"/>
  <c r="G146" i="206"/>
  <c r="F146" i="206"/>
  <c r="E146" i="206"/>
  <c r="D146" i="206"/>
  <c r="M143" i="206"/>
  <c r="L143" i="206"/>
  <c r="K143" i="206"/>
  <c r="J143" i="206"/>
  <c r="I143" i="206"/>
  <c r="H143" i="206"/>
  <c r="G143" i="206"/>
  <c r="F143" i="206"/>
  <c r="E143" i="206"/>
  <c r="D143" i="206"/>
  <c r="M140" i="206"/>
  <c r="L140" i="206"/>
  <c r="K140" i="206"/>
  <c r="J140" i="206"/>
  <c r="I140" i="206"/>
  <c r="H140" i="206"/>
  <c r="G140" i="206"/>
  <c r="F140" i="206"/>
  <c r="E140" i="206"/>
  <c r="D140" i="206"/>
  <c r="M137" i="206"/>
  <c r="L137" i="206"/>
  <c r="K137" i="206"/>
  <c r="J137" i="206"/>
  <c r="I137" i="206"/>
  <c r="H137" i="206"/>
  <c r="G137" i="206"/>
  <c r="F137" i="206"/>
  <c r="E137" i="206"/>
  <c r="D137" i="206"/>
  <c r="M134" i="206"/>
  <c r="L134" i="206"/>
  <c r="K134" i="206"/>
  <c r="J134" i="206"/>
  <c r="I134" i="206"/>
  <c r="H134" i="206"/>
  <c r="G134" i="206"/>
  <c r="F134" i="206"/>
  <c r="E134" i="206"/>
  <c r="D134" i="206"/>
  <c r="L131" i="206"/>
  <c r="K131" i="206"/>
  <c r="J131" i="206"/>
  <c r="F131" i="206"/>
  <c r="E131" i="206"/>
  <c r="D131" i="206"/>
  <c r="M129" i="206"/>
  <c r="M751" i="206"/>
  <c r="I129" i="206"/>
  <c r="I751" i="206"/>
  <c r="H129" i="206"/>
  <c r="H751" i="206"/>
  <c r="G129" i="206"/>
  <c r="G751" i="206"/>
  <c r="M128" i="206"/>
  <c r="L128" i="206"/>
  <c r="K128" i="206"/>
  <c r="J128" i="206"/>
  <c r="I128" i="206"/>
  <c r="H128" i="206"/>
  <c r="G128" i="206"/>
  <c r="F128" i="206"/>
  <c r="E128" i="206"/>
  <c r="D128" i="206"/>
  <c r="M125" i="206"/>
  <c r="L125" i="206"/>
  <c r="K125" i="206"/>
  <c r="J125" i="206"/>
  <c r="I125" i="206"/>
  <c r="H125" i="206"/>
  <c r="G125" i="206"/>
  <c r="F125" i="206"/>
  <c r="E125" i="206"/>
  <c r="D125" i="206"/>
  <c r="M122" i="206"/>
  <c r="L122" i="206"/>
  <c r="K122" i="206"/>
  <c r="J122" i="206"/>
  <c r="I122" i="206"/>
  <c r="H122" i="206"/>
  <c r="G122" i="206"/>
  <c r="F122" i="206"/>
  <c r="E122" i="206"/>
  <c r="D122" i="206"/>
  <c r="L119" i="206"/>
  <c r="K119" i="206"/>
  <c r="J119" i="206"/>
  <c r="I119" i="206"/>
  <c r="H119" i="206"/>
  <c r="G119" i="206"/>
  <c r="F119" i="206"/>
  <c r="E119" i="206"/>
  <c r="D119" i="206"/>
  <c r="M117" i="206"/>
  <c r="M696" i="206"/>
  <c r="M116" i="206"/>
  <c r="L116" i="206"/>
  <c r="K116" i="206"/>
  <c r="J116" i="206"/>
  <c r="I116" i="206"/>
  <c r="H116" i="206"/>
  <c r="G116" i="206"/>
  <c r="F116" i="206"/>
  <c r="E116" i="206"/>
  <c r="D116" i="206"/>
  <c r="M113" i="206"/>
  <c r="L113" i="206"/>
  <c r="K113" i="206"/>
  <c r="J113" i="206"/>
  <c r="I113" i="206"/>
  <c r="H113" i="206"/>
  <c r="G113" i="206"/>
  <c r="F113" i="206"/>
  <c r="E113" i="206"/>
  <c r="D113" i="206"/>
  <c r="M110" i="206"/>
  <c r="L110" i="206"/>
  <c r="K110" i="206"/>
  <c r="J110" i="206"/>
  <c r="I110" i="206"/>
  <c r="H110" i="206"/>
  <c r="G110" i="206"/>
  <c r="F110" i="206"/>
  <c r="E110" i="206"/>
  <c r="D110" i="206"/>
  <c r="M107" i="206"/>
  <c r="L107" i="206"/>
  <c r="K107" i="206"/>
  <c r="J107" i="206"/>
  <c r="I107" i="206"/>
  <c r="H107" i="206"/>
  <c r="G107" i="206"/>
  <c r="F107" i="206"/>
  <c r="E107" i="206"/>
  <c r="D107" i="206"/>
  <c r="M104" i="206"/>
  <c r="L104" i="206"/>
  <c r="K104" i="206"/>
  <c r="J104" i="206"/>
  <c r="I104" i="206"/>
  <c r="H104" i="206"/>
  <c r="G104" i="206"/>
  <c r="F104" i="206"/>
  <c r="E104" i="206"/>
  <c r="D104" i="206"/>
  <c r="M101" i="206"/>
  <c r="L101" i="206"/>
  <c r="K101" i="206"/>
  <c r="J101" i="206"/>
  <c r="I101" i="206"/>
  <c r="H101" i="206"/>
  <c r="G101" i="206"/>
  <c r="F101" i="206"/>
  <c r="E101" i="206"/>
  <c r="D101" i="206"/>
  <c r="M98" i="206"/>
  <c r="L98" i="206"/>
  <c r="K98" i="206"/>
  <c r="J98" i="206"/>
  <c r="I98" i="206"/>
  <c r="H98" i="206"/>
  <c r="G98" i="206"/>
  <c r="F98" i="206"/>
  <c r="E98" i="206"/>
  <c r="D98" i="206"/>
  <c r="M95" i="206"/>
  <c r="L95" i="206"/>
  <c r="K95" i="206"/>
  <c r="J95" i="206"/>
  <c r="I95" i="206"/>
  <c r="H95" i="206"/>
  <c r="G95" i="206"/>
  <c r="F95" i="206"/>
  <c r="E95" i="206"/>
  <c r="D95" i="206"/>
  <c r="M92" i="206"/>
  <c r="L92" i="206"/>
  <c r="K92" i="206"/>
  <c r="J92" i="206"/>
  <c r="I92" i="206"/>
  <c r="H92" i="206"/>
  <c r="G92" i="206"/>
  <c r="F92" i="206"/>
  <c r="E92" i="206"/>
  <c r="D92" i="206"/>
  <c r="M89" i="206"/>
  <c r="L89" i="206"/>
  <c r="K89" i="206"/>
  <c r="J89" i="206"/>
  <c r="I89" i="206"/>
  <c r="H89" i="206"/>
  <c r="G89" i="206"/>
  <c r="F89" i="206"/>
  <c r="E89" i="206"/>
  <c r="D89" i="206"/>
  <c r="M86" i="206"/>
  <c r="L86" i="206"/>
  <c r="K86" i="206"/>
  <c r="J86" i="206"/>
  <c r="I86" i="206"/>
  <c r="H86" i="206"/>
  <c r="G86" i="206"/>
  <c r="F86" i="206"/>
  <c r="E86" i="206"/>
  <c r="D86" i="206"/>
  <c r="M83" i="206"/>
  <c r="L83" i="206"/>
  <c r="K83" i="206"/>
  <c r="J83" i="206"/>
  <c r="I83" i="206"/>
  <c r="H83" i="206"/>
  <c r="G83" i="206"/>
  <c r="F83" i="206"/>
  <c r="E83" i="206"/>
  <c r="D83" i="206"/>
  <c r="L80" i="206"/>
  <c r="K80" i="206"/>
  <c r="J80" i="206"/>
  <c r="I80" i="206"/>
  <c r="H80" i="206"/>
  <c r="G80" i="206"/>
  <c r="F80" i="206"/>
  <c r="E80" i="206"/>
  <c r="D80" i="206"/>
  <c r="M79" i="206"/>
  <c r="M383" i="206"/>
  <c r="M390" i="206" s="1"/>
  <c r="M78" i="206"/>
  <c r="M608" i="206" s="1"/>
  <c r="L77" i="206"/>
  <c r="K77" i="206"/>
  <c r="J77" i="206"/>
  <c r="I77" i="206"/>
  <c r="H77" i="206"/>
  <c r="G77" i="206"/>
  <c r="F77" i="206"/>
  <c r="E77" i="206"/>
  <c r="D77" i="206"/>
  <c r="M76" i="206"/>
  <c r="M375" i="206" s="1"/>
  <c r="M382" i="206" s="1"/>
  <c r="M75" i="206"/>
  <c r="M597" i="206" s="1"/>
  <c r="M607" i="206" s="1"/>
  <c r="L74" i="206"/>
  <c r="K74" i="206"/>
  <c r="J74" i="206"/>
  <c r="I74" i="206"/>
  <c r="H74" i="206"/>
  <c r="G74" i="206"/>
  <c r="F74" i="206"/>
  <c r="E74" i="206"/>
  <c r="D74" i="206"/>
  <c r="M73" i="206"/>
  <c r="M367" i="206" s="1"/>
  <c r="M374" i="206" s="1"/>
  <c r="M72" i="206"/>
  <c r="M586" i="206" s="1"/>
  <c r="M596" i="206" s="1"/>
  <c r="L71" i="206"/>
  <c r="K71" i="206"/>
  <c r="J71" i="206"/>
  <c r="I71" i="206"/>
  <c r="H71" i="206"/>
  <c r="G71" i="206"/>
  <c r="F71" i="206"/>
  <c r="E71" i="206"/>
  <c r="D71" i="206"/>
  <c r="M70" i="206"/>
  <c r="M359" i="206" s="1"/>
  <c r="M69" i="206"/>
  <c r="M575" i="206" s="1"/>
  <c r="M585" i="206" s="1"/>
  <c r="L68" i="206"/>
  <c r="K68" i="206"/>
  <c r="J68" i="206"/>
  <c r="I68" i="206"/>
  <c r="H68" i="206"/>
  <c r="G68" i="206"/>
  <c r="F68" i="206"/>
  <c r="E68" i="206"/>
  <c r="D68" i="206"/>
  <c r="M67" i="206"/>
  <c r="M351" i="206"/>
  <c r="M358" i="206"/>
  <c r="M66" i="206"/>
  <c r="M564" i="206"/>
  <c r="L65" i="206"/>
  <c r="K65" i="206"/>
  <c r="J65" i="206"/>
  <c r="I65" i="206"/>
  <c r="H65" i="206"/>
  <c r="G65" i="206"/>
  <c r="F65" i="206"/>
  <c r="E65" i="206"/>
  <c r="D65" i="206"/>
  <c r="M64" i="206"/>
  <c r="M65" i="206"/>
  <c r="L62" i="206"/>
  <c r="K62" i="206"/>
  <c r="J62" i="206"/>
  <c r="I62" i="206"/>
  <c r="H62" i="206"/>
  <c r="G62" i="206"/>
  <c r="F62" i="206"/>
  <c r="E62" i="206"/>
  <c r="D62" i="206"/>
  <c r="M61" i="206"/>
  <c r="M62" i="206"/>
  <c r="M59" i="206"/>
  <c r="L59" i="206"/>
  <c r="K59" i="206"/>
  <c r="J59" i="206"/>
  <c r="I59" i="206"/>
  <c r="H59" i="206"/>
  <c r="G59" i="206"/>
  <c r="F59" i="206"/>
  <c r="E59" i="206"/>
  <c r="D59" i="206"/>
  <c r="M58" i="206"/>
  <c r="L56" i="206"/>
  <c r="K56" i="206"/>
  <c r="J56" i="206"/>
  <c r="I56" i="206"/>
  <c r="H56" i="206"/>
  <c r="G56" i="206"/>
  <c r="F56" i="206"/>
  <c r="E56" i="206"/>
  <c r="D56" i="206"/>
  <c r="M55" i="206"/>
  <c r="M56" i="206"/>
  <c r="M53" i="206"/>
  <c r="L53" i="206"/>
  <c r="K53" i="206"/>
  <c r="J53" i="206"/>
  <c r="I53" i="206"/>
  <c r="H53" i="206"/>
  <c r="G53" i="206"/>
  <c r="F53" i="206"/>
  <c r="E53" i="206"/>
  <c r="D53" i="206"/>
  <c r="M50" i="206"/>
  <c r="L50" i="206"/>
  <c r="K50" i="206"/>
  <c r="J50" i="206"/>
  <c r="I50" i="206"/>
  <c r="H50" i="206"/>
  <c r="G50" i="206"/>
  <c r="F50" i="206"/>
  <c r="E50" i="206"/>
  <c r="D50" i="206"/>
  <c r="M47" i="206"/>
  <c r="L47" i="206"/>
  <c r="K47" i="206"/>
  <c r="J47" i="206"/>
  <c r="I47" i="206"/>
  <c r="H47" i="206"/>
  <c r="G47" i="206"/>
  <c r="F47" i="206"/>
  <c r="E47" i="206"/>
  <c r="D47" i="206"/>
  <c r="M46" i="206"/>
  <c r="L44" i="206"/>
  <c r="K44" i="206"/>
  <c r="J44" i="206"/>
  <c r="I44" i="206"/>
  <c r="H44" i="206"/>
  <c r="G44" i="206"/>
  <c r="F44" i="206"/>
  <c r="E44" i="206"/>
  <c r="D44" i="206"/>
  <c r="M43" i="206"/>
  <c r="M44" i="206"/>
  <c r="L41" i="206"/>
  <c r="K41" i="206"/>
  <c r="J41" i="206"/>
  <c r="I41" i="206"/>
  <c r="H41" i="206"/>
  <c r="G41" i="206"/>
  <c r="F41" i="206"/>
  <c r="E41" i="206"/>
  <c r="D41" i="206"/>
  <c r="M40" i="206"/>
  <c r="M41" i="206"/>
  <c r="M38" i="206"/>
  <c r="L38" i="206"/>
  <c r="K38" i="206"/>
  <c r="J38" i="206"/>
  <c r="I38" i="206"/>
  <c r="H38" i="206"/>
  <c r="G38" i="206"/>
  <c r="F38" i="206"/>
  <c r="E38" i="206"/>
  <c r="D38" i="206"/>
  <c r="M37" i="206"/>
  <c r="M35" i="206"/>
  <c r="L35" i="206"/>
  <c r="K35" i="206"/>
  <c r="J35" i="206"/>
  <c r="H35" i="206"/>
  <c r="G35" i="206"/>
  <c r="F35" i="206"/>
  <c r="E35" i="206"/>
  <c r="D35" i="206"/>
  <c r="M34" i="206"/>
  <c r="I33" i="206"/>
  <c r="I509" i="206"/>
  <c r="L32" i="206"/>
  <c r="K32" i="206"/>
  <c r="J32" i="206"/>
  <c r="H32" i="206"/>
  <c r="G32" i="206"/>
  <c r="D32" i="206"/>
  <c r="M31" i="206"/>
  <c r="M32" i="206"/>
  <c r="L30" i="206"/>
  <c r="L498" i="206"/>
  <c r="L927" i="206"/>
  <c r="K30" i="206"/>
  <c r="K498" i="206"/>
  <c r="K927" i="206"/>
  <c r="I30" i="206"/>
  <c r="I498" i="206"/>
  <c r="I927" i="206"/>
  <c r="H30" i="206"/>
  <c r="H498" i="206"/>
  <c r="H927" i="206"/>
  <c r="G30" i="206"/>
  <c r="G498" i="206"/>
  <c r="G927" i="206"/>
  <c r="F30" i="206"/>
  <c r="F498" i="206"/>
  <c r="F927" i="206"/>
  <c r="E30" i="206"/>
  <c r="E498" i="206"/>
  <c r="E927" i="206"/>
  <c r="D30" i="206"/>
  <c r="D498" i="206"/>
  <c r="D927" i="206"/>
  <c r="M29" i="206"/>
  <c r="L29" i="206"/>
  <c r="K29" i="206"/>
  <c r="J29" i="206"/>
  <c r="I29" i="206"/>
  <c r="H29" i="206"/>
  <c r="G29" i="206"/>
  <c r="F29" i="206"/>
  <c r="E29" i="206"/>
  <c r="D29" i="206"/>
  <c r="M28" i="206"/>
  <c r="M26" i="206"/>
  <c r="L26" i="206"/>
  <c r="L207" i="206"/>
  <c r="K26" i="206"/>
  <c r="K180" i="206"/>
  <c r="J26" i="206"/>
  <c r="J180" i="206"/>
  <c r="I26" i="206"/>
  <c r="H26" i="206"/>
  <c r="H207" i="206"/>
  <c r="G26" i="206"/>
  <c r="F26" i="206"/>
  <c r="E26" i="206"/>
  <c r="D26" i="206"/>
  <c r="D207" i="206"/>
  <c r="M25" i="206"/>
  <c r="M319" i="206"/>
  <c r="R23" i="206"/>
  <c r="O23" i="206"/>
  <c r="N23" i="206"/>
  <c r="N23" i="206" a="1"/>
  <c r="Q23" i="206"/>
  <c r="M23" i="206"/>
  <c r="L23" i="206"/>
  <c r="K23" i="206"/>
  <c r="J23" i="206"/>
  <c r="I23" i="206"/>
  <c r="D23" i="206" a="1"/>
  <c r="F23" i="206"/>
  <c r="X247" i="206"/>
  <c r="X216" i="206"/>
  <c r="X249" i="206"/>
  <c r="AB247" i="206"/>
  <c r="AB216" i="206"/>
  <c r="AB249" i="206"/>
  <c r="K189" i="206"/>
  <c r="E180" i="206"/>
  <c r="Y247" i="206"/>
  <c r="Y216" i="206"/>
  <c r="Y249" i="206"/>
  <c r="AC247" i="206"/>
  <c r="AC216" i="206"/>
  <c r="AC249" i="206"/>
  <c r="V249" i="206"/>
  <c r="J218" i="206"/>
  <c r="J189" i="206"/>
  <c r="I196" i="206"/>
  <c r="I198" i="206"/>
  <c r="W247" i="206"/>
  <c r="I35" i="206"/>
  <c r="G131" i="206"/>
  <c r="G180" i="206"/>
  <c r="D180" i="206"/>
  <c r="L180" i="206"/>
  <c r="Q188" i="206"/>
  <c r="Q205" i="206"/>
  <c r="M207" i="206"/>
  <c r="V247" i="206"/>
  <c r="Z247" i="206"/>
  <c r="M326" i="206"/>
  <c r="M119" i="206"/>
  <c r="H131" i="206"/>
  <c r="H180" i="206"/>
  <c r="G188" i="206"/>
  <c r="N188" i="206"/>
  <c r="R188" i="206"/>
  <c r="G205" i="206"/>
  <c r="N205" i="206"/>
  <c r="R205" i="206"/>
  <c r="J207" i="206"/>
  <c r="E244" i="206"/>
  <c r="M244" i="206"/>
  <c r="X244" i="206"/>
  <c r="AB244" i="206"/>
  <c r="E496" i="206"/>
  <c r="E325" i="206"/>
  <c r="I928" i="206"/>
  <c r="I325" i="206"/>
  <c r="G23" i="206"/>
  <c r="D23" i="206"/>
  <c r="H23" i="206"/>
  <c r="E23" i="206"/>
  <c r="P23" i="206"/>
  <c r="M335" i="206"/>
  <c r="M342" i="206"/>
  <c r="E32" i="206"/>
  <c r="E207" i="206"/>
  <c r="I32" i="206"/>
  <c r="I180" i="206"/>
  <c r="I131" i="206"/>
  <c r="M131" i="206"/>
  <c r="D188" i="206"/>
  <c r="H188" i="206"/>
  <c r="O188" i="206"/>
  <c r="Y188" i="206"/>
  <c r="E194" i="206"/>
  <c r="E196" i="206"/>
  <c r="E198" i="206"/>
  <c r="I194" i="206"/>
  <c r="D205" i="206"/>
  <c r="H205" i="206"/>
  <c r="O205" i="206"/>
  <c r="Y205" i="206"/>
  <c r="G207" i="206"/>
  <c r="K207" i="206"/>
  <c r="E212" i="206"/>
  <c r="E214" i="206" s="1"/>
  <c r="E223" i="206"/>
  <c r="E245" i="206" s="1"/>
  <c r="J244" i="206"/>
  <c r="Y244" i="206"/>
  <c r="AC244" i="206"/>
  <c r="F496" i="206"/>
  <c r="F325" i="206"/>
  <c r="F32" i="206"/>
  <c r="F207" i="206"/>
  <c r="M68" i="206"/>
  <c r="V188" i="206"/>
  <c r="F194" i="206"/>
  <c r="F196" i="206"/>
  <c r="F198" i="206"/>
  <c r="J194" i="206"/>
  <c r="J196" i="206"/>
  <c r="J198" i="206"/>
  <c r="V205" i="206"/>
  <c r="J212" i="206"/>
  <c r="J223" i="206"/>
  <c r="G496" i="206"/>
  <c r="G325" i="206"/>
  <c r="K325" i="206"/>
  <c r="D317" i="206"/>
  <c r="H317" i="206"/>
  <c r="O317" i="206"/>
  <c r="Y317" i="206"/>
  <c r="G929" i="206"/>
  <c r="Y325" i="206"/>
  <c r="AC325" i="206"/>
  <c r="G326" i="206"/>
  <c r="K326" i="206"/>
  <c r="W507" i="206"/>
  <c r="AA507" i="206"/>
  <c r="E508" i="206"/>
  <c r="I519" i="206"/>
  <c r="E317" i="206"/>
  <c r="P317" i="206"/>
  <c r="V317" i="206"/>
  <c r="Z317" i="206"/>
  <c r="D929" i="206"/>
  <c r="H929" i="206"/>
  <c r="V325" i="206"/>
  <c r="Z325" i="206"/>
  <c r="D326" i="206"/>
  <c r="H326" i="206"/>
  <c r="L326" i="206"/>
  <c r="X507" i="206"/>
  <c r="AB507" i="206"/>
  <c r="F928" i="206"/>
  <c r="F507" i="206"/>
  <c r="F508" i="206"/>
  <c r="J507" i="206"/>
  <c r="J508" i="206"/>
  <c r="Q317" i="206"/>
  <c r="E929" i="206"/>
  <c r="W325" i="206"/>
  <c r="AA325" i="206"/>
  <c r="E326" i="206"/>
  <c r="I326" i="206"/>
  <c r="Y507" i="206"/>
  <c r="AC507" i="206"/>
  <c r="G928" i="206"/>
  <c r="G507" i="206"/>
  <c r="G508" i="206"/>
  <c r="K928" i="206"/>
  <c r="K930" i="206" s="1"/>
  <c r="K507" i="206"/>
  <c r="K508" i="206"/>
  <c r="I508" i="206"/>
  <c r="F929" i="206"/>
  <c r="D496" i="206"/>
  <c r="D928" i="206"/>
  <c r="D930" i="206"/>
  <c r="H496" i="206"/>
  <c r="F326" i="206"/>
  <c r="J326" i="206"/>
  <c r="V507" i="206"/>
  <c r="Z507" i="206"/>
  <c r="H928" i="206"/>
  <c r="E928" i="206"/>
  <c r="D507" i="206"/>
  <c r="D508" i="206"/>
  <c r="H507" i="206"/>
  <c r="H508" i="206"/>
  <c r="H761" i="206"/>
  <c r="I761" i="206"/>
  <c r="F706" i="206"/>
  <c r="E871" i="206"/>
  <c r="G761" i="206"/>
  <c r="J968" i="206"/>
  <c r="R968" i="206"/>
  <c r="AC968" i="206"/>
  <c r="D937" i="206"/>
  <c r="H937" i="206"/>
  <c r="Y937" i="206"/>
  <c r="E937" i="206"/>
  <c r="V937" i="206"/>
  <c r="Z937" i="206"/>
  <c r="F937" i="206"/>
  <c r="G947" i="206"/>
  <c r="K947" i="206"/>
  <c r="O947" i="206"/>
  <c r="V947" i="206"/>
  <c r="Z947" i="206"/>
  <c r="N269" i="235"/>
  <c r="M269" i="235"/>
  <c r="J269" i="235"/>
  <c r="P268" i="235"/>
  <c r="O268" i="235"/>
  <c r="N268" i="235"/>
  <c r="M268" i="235"/>
  <c r="L268" i="235"/>
  <c r="K268" i="235"/>
  <c r="J268" i="235"/>
  <c r="I268" i="235"/>
  <c r="H268" i="235"/>
  <c r="G268" i="235"/>
  <c r="P267" i="235"/>
  <c r="N267" i="235"/>
  <c r="M267" i="235"/>
  <c r="L267" i="235"/>
  <c r="J267" i="235"/>
  <c r="I267" i="235"/>
  <c r="H267" i="235"/>
  <c r="P266" i="235"/>
  <c r="O266" i="235"/>
  <c r="N266" i="235"/>
  <c r="M266" i="235"/>
  <c r="L266" i="235"/>
  <c r="K266" i="235"/>
  <c r="J266" i="235"/>
  <c r="I266" i="235"/>
  <c r="H266" i="235"/>
  <c r="G266" i="235"/>
  <c r="AG265" i="235"/>
  <c r="AF265" i="235"/>
  <c r="AE265" i="235"/>
  <c r="AD265" i="235"/>
  <c r="AC265" i="235"/>
  <c r="AB265" i="235"/>
  <c r="AA265" i="235"/>
  <c r="Z265" i="235"/>
  <c r="P265" i="235"/>
  <c r="O265" i="235"/>
  <c r="N265" i="235"/>
  <c r="M265" i="235"/>
  <c r="L265" i="235"/>
  <c r="K265" i="235"/>
  <c r="J265" i="235"/>
  <c r="I265" i="235"/>
  <c r="H265" i="235"/>
  <c r="G265" i="235"/>
  <c r="O264" i="235"/>
  <c r="L264" i="235"/>
  <c r="K264" i="235"/>
  <c r="J264" i="235"/>
  <c r="I264" i="235"/>
  <c r="H264" i="235"/>
  <c r="G264" i="235"/>
  <c r="AG263" i="235"/>
  <c r="AF263" i="235"/>
  <c r="AE263" i="235"/>
  <c r="AD263" i="235"/>
  <c r="AC263" i="235"/>
  <c r="AB263" i="235"/>
  <c r="AA263" i="235"/>
  <c r="Z263" i="235"/>
  <c r="P263" i="235"/>
  <c r="N263" i="235"/>
  <c r="M263" i="235"/>
  <c r="L263" i="235"/>
  <c r="J263" i="235"/>
  <c r="I263" i="235"/>
  <c r="H263" i="235"/>
  <c r="AG262" i="235"/>
  <c r="AF262" i="235"/>
  <c r="AE262" i="235"/>
  <c r="AD262" i="235"/>
  <c r="AC262" i="235"/>
  <c r="AB262" i="235"/>
  <c r="AA262" i="235"/>
  <c r="Z262" i="235"/>
  <c r="AD261" i="235"/>
  <c r="AC261" i="235"/>
  <c r="AB261" i="235"/>
  <c r="AA261" i="235"/>
  <c r="Z261" i="235"/>
  <c r="P261" i="235"/>
  <c r="O261" i="235"/>
  <c r="O263" i="235"/>
  <c r="N261" i="235"/>
  <c r="M261" i="235"/>
  <c r="L261" i="235"/>
  <c r="K261" i="235"/>
  <c r="K263" i="235"/>
  <c r="J261" i="235"/>
  <c r="I261" i="235"/>
  <c r="H261" i="235"/>
  <c r="G261" i="235"/>
  <c r="G263" i="235"/>
  <c r="AF260" i="235"/>
  <c r="AE260" i="235"/>
  <c r="AC260" i="235"/>
  <c r="AB260" i="235"/>
  <c r="AA260" i="235"/>
  <c r="AG258" i="235"/>
  <c r="AG260" i="235"/>
  <c r="AF258" i="235"/>
  <c r="AE258" i="235"/>
  <c r="AD258" i="235"/>
  <c r="AD260" i="235"/>
  <c r="AC258" i="235"/>
  <c r="AB258" i="235"/>
  <c r="AA258" i="235"/>
  <c r="Z258" i="235"/>
  <c r="Z260" i="235"/>
  <c r="P258" i="235"/>
  <c r="O258" i="235"/>
  <c r="N258" i="235"/>
  <c r="M258" i="235"/>
  <c r="L258" i="235"/>
  <c r="AG255" i="235"/>
  <c r="AF255" i="235"/>
  <c r="AE255" i="235"/>
  <c r="P253" i="235"/>
  <c r="N253" i="235"/>
  <c r="M253" i="235"/>
  <c r="L253" i="235"/>
  <c r="J253" i="235"/>
  <c r="I253" i="235"/>
  <c r="H253" i="235"/>
  <c r="P251" i="235"/>
  <c r="O251" i="235"/>
  <c r="O253" i="235"/>
  <c r="N251" i="235"/>
  <c r="M251" i="235"/>
  <c r="L251" i="235"/>
  <c r="K251" i="235"/>
  <c r="K253" i="235"/>
  <c r="J251" i="235"/>
  <c r="I251" i="235"/>
  <c r="H251" i="235"/>
  <c r="G251" i="235"/>
  <c r="G253" i="235"/>
  <c r="AF250" i="235"/>
  <c r="AE250" i="235"/>
  <c r="AC250" i="235"/>
  <c r="AB250" i="235"/>
  <c r="AA250" i="235"/>
  <c r="AG248" i="235"/>
  <c r="AG250" i="235"/>
  <c r="AF248" i="235"/>
  <c r="AE248" i="235"/>
  <c r="AD248" i="235"/>
  <c r="AD250" i="235"/>
  <c r="AC248" i="235"/>
  <c r="AB248" i="235"/>
  <c r="AA248" i="235"/>
  <c r="Z248" i="235"/>
  <c r="Z250" i="235"/>
  <c r="P248" i="235"/>
  <c r="O248" i="235"/>
  <c r="N248" i="235"/>
  <c r="M248" i="235"/>
  <c r="L248" i="235"/>
  <c r="AG245" i="235"/>
  <c r="AF245" i="235"/>
  <c r="AE245" i="235"/>
  <c r="P243" i="235"/>
  <c r="P269" i="235"/>
  <c r="N243" i="235"/>
  <c r="M243" i="235"/>
  <c r="L243" i="235"/>
  <c r="L269" i="235"/>
  <c r="J243" i="235"/>
  <c r="I243" i="235"/>
  <c r="I269" i="235"/>
  <c r="H243" i="235"/>
  <c r="H269" i="235"/>
  <c r="P241" i="235"/>
  <c r="O241" i="235"/>
  <c r="N241" i="235"/>
  <c r="M241" i="235"/>
  <c r="L241" i="235"/>
  <c r="K241" i="235"/>
  <c r="J241" i="235"/>
  <c r="I241" i="235"/>
  <c r="H241" i="235"/>
  <c r="G241" i="235"/>
  <c r="AF240" i="235"/>
  <c r="AE240" i="235"/>
  <c r="AC240" i="235"/>
  <c r="AB240" i="235"/>
  <c r="AA240" i="235"/>
  <c r="AG238" i="235"/>
  <c r="AG240" i="235"/>
  <c r="AF238" i="235"/>
  <c r="AE238" i="235"/>
  <c r="AD238" i="235"/>
  <c r="AD240" i="235"/>
  <c r="AC238" i="235"/>
  <c r="AB238" i="235"/>
  <c r="AA238" i="235"/>
  <c r="Z238" i="235"/>
  <c r="Z240" i="235"/>
  <c r="P238" i="235"/>
  <c r="P264" i="235"/>
  <c r="O238" i="235"/>
  <c r="N238" i="235"/>
  <c r="N264" i="235"/>
  <c r="M238" i="235"/>
  <c r="M264" i="235"/>
  <c r="L238" i="235"/>
  <c r="AG235" i="235"/>
  <c r="AF235" i="235"/>
  <c r="AE235" i="235"/>
  <c r="P233" i="235"/>
  <c r="O233" i="235"/>
  <c r="N233" i="235"/>
  <c r="M233" i="235"/>
  <c r="L233" i="235"/>
  <c r="K233" i="235"/>
  <c r="J233" i="235"/>
  <c r="I233" i="235"/>
  <c r="H233" i="235"/>
  <c r="G233" i="235"/>
  <c r="G233" i="235" a="1"/>
  <c r="G231" i="235"/>
  <c r="AF230" i="235"/>
  <c r="AE230" i="235"/>
  <c r="AC230" i="235"/>
  <c r="AB230" i="235"/>
  <c r="AA230" i="235"/>
  <c r="AF228" i="235"/>
  <c r="AE228" i="235"/>
  <c r="AD228" i="235"/>
  <c r="AD230" i="235"/>
  <c r="AC228" i="235"/>
  <c r="AB228" i="235"/>
  <c r="AA228" i="235"/>
  <c r="Z228" i="235"/>
  <c r="Z230" i="235"/>
  <c r="AG225" i="235"/>
  <c r="AG228" i="235"/>
  <c r="AG230" i="235"/>
  <c r="AF225" i="235"/>
  <c r="AE225" i="235"/>
  <c r="O225" i="235"/>
  <c r="J225" i="235"/>
  <c r="I225" i="235"/>
  <c r="H225" i="235"/>
  <c r="G225" i="235"/>
  <c r="O223" i="235"/>
  <c r="N223" i="235"/>
  <c r="M223" i="235"/>
  <c r="L223" i="235"/>
  <c r="K223" i="235"/>
  <c r="J223" i="235"/>
  <c r="I223" i="235"/>
  <c r="H223" i="235"/>
  <c r="G223" i="235"/>
  <c r="O222" i="235"/>
  <c r="AF220" i="235"/>
  <c r="AE220" i="235"/>
  <c r="AC220" i="235"/>
  <c r="AB220" i="235"/>
  <c r="AA220" i="235"/>
  <c r="O220" i="235"/>
  <c r="K220" i="235"/>
  <c r="I220" i="235"/>
  <c r="H220" i="235"/>
  <c r="G220" i="235"/>
  <c r="AF218" i="235"/>
  <c r="AE218" i="235"/>
  <c r="AD218" i="235"/>
  <c r="AD220" i="235"/>
  <c r="AC218" i="235"/>
  <c r="AB218" i="235"/>
  <c r="AA218" i="235"/>
  <c r="Z218" i="235"/>
  <c r="Z220" i="235"/>
  <c r="N218" i="235"/>
  <c r="N220" i="235"/>
  <c r="K218" i="235"/>
  <c r="J218" i="235"/>
  <c r="J220" i="235"/>
  <c r="I218" i="235"/>
  <c r="H218" i="235"/>
  <c r="G218" i="235"/>
  <c r="AG215" i="235"/>
  <c r="AG218" i="235"/>
  <c r="AG220" i="235"/>
  <c r="AF215" i="235"/>
  <c r="AE215" i="235"/>
  <c r="N215" i="235"/>
  <c r="M215" i="235"/>
  <c r="M218" i="235"/>
  <c r="M220" i="235"/>
  <c r="L215" i="235"/>
  <c r="L218" i="235"/>
  <c r="L220" i="235"/>
  <c r="AG210" i="235"/>
  <c r="AE210" i="235"/>
  <c r="AD210" i="235"/>
  <c r="AC210" i="235"/>
  <c r="AA210" i="235"/>
  <c r="Z210" i="235"/>
  <c r="O210" i="235"/>
  <c r="K210" i="235"/>
  <c r="J210" i="235"/>
  <c r="I210" i="235"/>
  <c r="G210" i="235"/>
  <c r="AG208" i="235"/>
  <c r="AF208" i="235"/>
  <c r="AF210" i="235"/>
  <c r="AE208" i="235"/>
  <c r="AD208" i="235"/>
  <c r="AC208" i="235"/>
  <c r="AB208" i="235"/>
  <c r="AB210" i="235"/>
  <c r="AA208" i="235"/>
  <c r="Z208" i="235"/>
  <c r="L208" i="235"/>
  <c r="L210" i="235"/>
  <c r="K208" i="235"/>
  <c r="J208" i="235"/>
  <c r="I208" i="235"/>
  <c r="H208" i="235"/>
  <c r="H210" i="235"/>
  <c r="G208" i="235"/>
  <c r="AG205" i="235"/>
  <c r="AF205" i="235"/>
  <c r="AE205" i="235"/>
  <c r="N205" i="235"/>
  <c r="N208" i="235"/>
  <c r="N210" i="235"/>
  <c r="M205" i="235"/>
  <c r="M208" i="235"/>
  <c r="M210" i="235"/>
  <c r="L205" i="235"/>
  <c r="AF200" i="235"/>
  <c r="AC200" i="235"/>
  <c r="AB200" i="235"/>
  <c r="I200" i="235"/>
  <c r="H200" i="235"/>
  <c r="AF198" i="235"/>
  <c r="AE198" i="235"/>
  <c r="AE200" i="235"/>
  <c r="AD198" i="235"/>
  <c r="AD200" i="235"/>
  <c r="AC198" i="235"/>
  <c r="AB198" i="235"/>
  <c r="AA198" i="235"/>
  <c r="AA200" i="235"/>
  <c r="Z198" i="235"/>
  <c r="Z200" i="235"/>
  <c r="O200" i="235"/>
  <c r="N198" i="235"/>
  <c r="N200" i="235"/>
  <c r="K198" i="235"/>
  <c r="K200" i="235"/>
  <c r="J198" i="235"/>
  <c r="J200" i="235"/>
  <c r="I198" i="235"/>
  <c r="H198" i="235"/>
  <c r="G198" i="235"/>
  <c r="G200" i="235"/>
  <c r="AG195" i="235"/>
  <c r="AG198" i="235"/>
  <c r="AG200" i="235"/>
  <c r="AF195" i="235"/>
  <c r="AE195" i="235"/>
  <c r="N195" i="235"/>
  <c r="M195" i="235"/>
  <c r="M198" i="235"/>
  <c r="M200" i="235"/>
  <c r="L195" i="235"/>
  <c r="L198" i="235"/>
  <c r="L200" i="235"/>
  <c r="AE190" i="235"/>
  <c r="AD190" i="235"/>
  <c r="AC190" i="235"/>
  <c r="AA190" i="235"/>
  <c r="Z190" i="235"/>
  <c r="O190" i="235"/>
  <c r="K190" i="235"/>
  <c r="J190" i="235"/>
  <c r="G190" i="235"/>
  <c r="AG188" i="235"/>
  <c r="AG190" i="235"/>
  <c r="AF188" i="235"/>
  <c r="AF190" i="235"/>
  <c r="AE188" i="235"/>
  <c r="AD188" i="235"/>
  <c r="AC188" i="235"/>
  <c r="AB188" i="235"/>
  <c r="AB190" i="235"/>
  <c r="AA188" i="235"/>
  <c r="Z188" i="235"/>
  <c r="M188" i="235"/>
  <c r="M190" i="235"/>
  <c r="L188" i="235"/>
  <c r="L190" i="235"/>
  <c r="K188" i="235"/>
  <c r="J188" i="235"/>
  <c r="I188" i="235"/>
  <c r="I190" i="235"/>
  <c r="H188" i="235"/>
  <c r="H190" i="235"/>
  <c r="G188" i="235"/>
  <c r="AG185" i="235"/>
  <c r="AF185" i="235"/>
  <c r="AE185" i="235"/>
  <c r="N185" i="235"/>
  <c r="N188" i="235"/>
  <c r="N190" i="235"/>
  <c r="M185" i="235"/>
  <c r="L185" i="235"/>
  <c r="AF180" i="235"/>
  <c r="AE180" i="235"/>
  <c r="AC180" i="235"/>
  <c r="AB180" i="235"/>
  <c r="M180" i="235"/>
  <c r="L180" i="235"/>
  <c r="K180" i="235"/>
  <c r="I180" i="235"/>
  <c r="H180" i="235"/>
  <c r="AF178" i="235"/>
  <c r="AE178" i="235"/>
  <c r="AD178" i="235"/>
  <c r="AD180" i="235"/>
  <c r="AC178" i="235"/>
  <c r="AB178" i="235"/>
  <c r="AA178" i="235"/>
  <c r="AA180" i="235"/>
  <c r="Z178" i="235"/>
  <c r="Z180" i="235"/>
  <c r="O178" i="235"/>
  <c r="O180" i="235"/>
  <c r="N178" i="235"/>
  <c r="N180" i="235"/>
  <c r="M178" i="235"/>
  <c r="L178" i="235"/>
  <c r="K178" i="235"/>
  <c r="J178" i="235"/>
  <c r="J180" i="235"/>
  <c r="I178" i="235"/>
  <c r="H178" i="235"/>
  <c r="G178" i="235"/>
  <c r="G180" i="235"/>
  <c r="AG175" i="235"/>
  <c r="AG178" i="235"/>
  <c r="AG180" i="235"/>
  <c r="AF175" i="235"/>
  <c r="AE175" i="235"/>
  <c r="O175" i="235"/>
  <c r="N175" i="235"/>
  <c r="M175" i="235"/>
  <c r="L175" i="235"/>
  <c r="AF170" i="235"/>
  <c r="AE170" i="235"/>
  <c r="AD170" i="235"/>
  <c r="AB170" i="235"/>
  <c r="AA170" i="235"/>
  <c r="Z170" i="235"/>
  <c r="O170" i="235"/>
  <c r="N170" i="235"/>
  <c r="L170" i="235"/>
  <c r="K170" i="235"/>
  <c r="J170" i="235"/>
  <c r="H170" i="235"/>
  <c r="G170" i="235"/>
  <c r="AG168" i="235"/>
  <c r="AG170" i="235"/>
  <c r="AF168" i="235"/>
  <c r="AE168" i="235"/>
  <c r="AD168" i="235"/>
  <c r="AC168" i="235"/>
  <c r="AC170" i="235"/>
  <c r="AB168" i="235"/>
  <c r="AA168" i="235"/>
  <c r="Z168" i="235"/>
  <c r="N168" i="235"/>
  <c r="M168" i="235"/>
  <c r="M170" i="235"/>
  <c r="L168" i="235"/>
  <c r="K168" i="235"/>
  <c r="J168" i="235"/>
  <c r="I168" i="235"/>
  <c r="I170" i="235"/>
  <c r="H168" i="235"/>
  <c r="G168" i="235"/>
  <c r="AG165" i="235"/>
  <c r="AF165" i="235"/>
  <c r="AE165" i="235"/>
  <c r="N165" i="235"/>
  <c r="M165" i="235"/>
  <c r="L165" i="235"/>
  <c r="AG160" i="235"/>
  <c r="AF160" i="235"/>
  <c r="AD160" i="235"/>
  <c r="AC160" i="235"/>
  <c r="Z160" i="235"/>
  <c r="N160" i="235"/>
  <c r="M160" i="235"/>
  <c r="L160" i="235"/>
  <c r="J160" i="235"/>
  <c r="I160" i="235"/>
  <c r="AG158" i="235"/>
  <c r="AF158" i="235"/>
  <c r="AE158" i="235"/>
  <c r="AE160" i="235"/>
  <c r="AD158" i="235"/>
  <c r="AC158" i="235"/>
  <c r="AB158" i="235"/>
  <c r="AB160" i="235"/>
  <c r="AA158" i="235"/>
  <c r="AA160" i="235"/>
  <c r="Z158" i="235"/>
  <c r="O158" i="235"/>
  <c r="O160" i="235"/>
  <c r="N158" i="235"/>
  <c r="M158" i="235"/>
  <c r="L158" i="235"/>
  <c r="K158" i="235"/>
  <c r="K160" i="235"/>
  <c r="J158" i="235"/>
  <c r="I158" i="235"/>
  <c r="H158" i="235"/>
  <c r="H160" i="235"/>
  <c r="G158" i="235"/>
  <c r="G160" i="235"/>
  <c r="AG155" i="235"/>
  <c r="AF155" i="235"/>
  <c r="AE155" i="235"/>
  <c r="O155" i="235"/>
  <c r="N155" i="235"/>
  <c r="M155" i="235"/>
  <c r="L155" i="235"/>
  <c r="AF150" i="235"/>
  <c r="AC150" i="235"/>
  <c r="AB150" i="235"/>
  <c r="AA150" i="235"/>
  <c r="M150" i="235"/>
  <c r="L150" i="235"/>
  <c r="I150" i="235"/>
  <c r="H150" i="235"/>
  <c r="G150" i="235"/>
  <c r="AF148" i="235"/>
  <c r="AE148" i="235"/>
  <c r="AE150" i="235"/>
  <c r="AD148" i="235"/>
  <c r="AD150" i="235"/>
  <c r="AC148" i="235"/>
  <c r="AB148" i="235"/>
  <c r="AA148" i="235"/>
  <c r="Z148" i="235"/>
  <c r="Z150" i="235"/>
  <c r="O148" i="235"/>
  <c r="O150" i="235"/>
  <c r="N148" i="235"/>
  <c r="N150" i="235"/>
  <c r="M148" i="235"/>
  <c r="L148" i="235"/>
  <c r="K148" i="235"/>
  <c r="K150" i="235"/>
  <c r="J148" i="235"/>
  <c r="J150" i="235"/>
  <c r="I148" i="235"/>
  <c r="H148" i="235"/>
  <c r="G148" i="235"/>
  <c r="AG145" i="235"/>
  <c r="AG148" i="235"/>
  <c r="AG150" i="235"/>
  <c r="AF145" i="235"/>
  <c r="AE145" i="235"/>
  <c r="O145" i="235"/>
  <c r="N145" i="235"/>
  <c r="M145" i="235"/>
  <c r="L145" i="235"/>
  <c r="AF140" i="235"/>
  <c r="AE140" i="235"/>
  <c r="AB140" i="235"/>
  <c r="AA140" i="235"/>
  <c r="O140" i="235"/>
  <c r="L140" i="235"/>
  <c r="K140" i="235"/>
  <c r="H140" i="235"/>
  <c r="G140" i="235"/>
  <c r="AG138" i="235"/>
  <c r="AG140" i="235"/>
  <c r="AF138" i="235"/>
  <c r="AE138" i="235"/>
  <c r="AD138" i="235"/>
  <c r="AD140" i="235"/>
  <c r="AC138" i="235"/>
  <c r="AC140" i="235"/>
  <c r="AB138" i="235"/>
  <c r="AA138" i="235"/>
  <c r="Z138" i="235"/>
  <c r="Z140" i="235"/>
  <c r="O138" i="235"/>
  <c r="N138" i="235"/>
  <c r="N140" i="235"/>
  <c r="M138" i="235"/>
  <c r="M140" i="235"/>
  <c r="L138" i="235"/>
  <c r="K138" i="235"/>
  <c r="J138" i="235"/>
  <c r="J140" i="235"/>
  <c r="I138" i="235"/>
  <c r="I140" i="235"/>
  <c r="H138" i="235"/>
  <c r="G138" i="235"/>
  <c r="AG135" i="235"/>
  <c r="AF135" i="235"/>
  <c r="AE135" i="235"/>
  <c r="O135" i="235"/>
  <c r="N135" i="235"/>
  <c r="M135" i="235"/>
  <c r="L135" i="235"/>
  <c r="AE130" i="235"/>
  <c r="AD130" i="235"/>
  <c r="AC130" i="235"/>
  <c r="AA130" i="235"/>
  <c r="Z130" i="235"/>
  <c r="O130" i="235"/>
  <c r="N130" i="235"/>
  <c r="K130" i="235"/>
  <c r="J130" i="235"/>
  <c r="I130" i="235"/>
  <c r="G130" i="235"/>
  <c r="AG128" i="235"/>
  <c r="AG130" i="235"/>
  <c r="AF128" i="235"/>
  <c r="AF130" i="235"/>
  <c r="AE128" i="235"/>
  <c r="AD128" i="235"/>
  <c r="AC128" i="235"/>
  <c r="AB128" i="235"/>
  <c r="AB130" i="235"/>
  <c r="AA128" i="235"/>
  <c r="Z128" i="235"/>
  <c r="O128" i="235"/>
  <c r="N128" i="235"/>
  <c r="M128" i="235"/>
  <c r="M130" i="235"/>
  <c r="L128" i="235"/>
  <c r="L130" i="235"/>
  <c r="K128" i="235"/>
  <c r="J128" i="235"/>
  <c r="I128" i="235"/>
  <c r="H128" i="235"/>
  <c r="H130" i="235"/>
  <c r="G128" i="235"/>
  <c r="AG125" i="235"/>
  <c r="AF125" i="235"/>
  <c r="AE125" i="235"/>
  <c r="O125" i="235"/>
  <c r="N125" i="235"/>
  <c r="M125" i="235"/>
  <c r="L125" i="235"/>
  <c r="AG120" i="235"/>
  <c r="AD120" i="235"/>
  <c r="AC120" i="235"/>
  <c r="Z120" i="235"/>
  <c r="N120" i="235"/>
  <c r="M120" i="235"/>
  <c r="J120" i="235"/>
  <c r="I120" i="235"/>
  <c r="AG118" i="235"/>
  <c r="AF118" i="235"/>
  <c r="AF120" i="235"/>
  <c r="AE118" i="235"/>
  <c r="AE120" i="235"/>
  <c r="AD118" i="235"/>
  <c r="AC118" i="235"/>
  <c r="AB118" i="235"/>
  <c r="AB120" i="235"/>
  <c r="AA118" i="235"/>
  <c r="AA120" i="235"/>
  <c r="Z118" i="235"/>
  <c r="O118" i="235"/>
  <c r="O120" i="235"/>
  <c r="N118" i="235"/>
  <c r="M118" i="235"/>
  <c r="L118" i="235"/>
  <c r="L120" i="235"/>
  <c r="K118" i="235"/>
  <c r="K120" i="235"/>
  <c r="J118" i="235"/>
  <c r="I118" i="235"/>
  <c r="H118" i="235"/>
  <c r="H120" i="235"/>
  <c r="G118" i="235"/>
  <c r="G120" i="235"/>
  <c r="AG115" i="235"/>
  <c r="AF115" i="235"/>
  <c r="AE115" i="235"/>
  <c r="O115" i="235"/>
  <c r="N115" i="235"/>
  <c r="M115" i="235"/>
  <c r="L115" i="235"/>
  <c r="AG110" i="235"/>
  <c r="AF110" i="235"/>
  <c r="AE110" i="235"/>
  <c r="AC110" i="235"/>
  <c r="AB110" i="235"/>
  <c r="AA110" i="235"/>
  <c r="O110" i="235"/>
  <c r="M110" i="235"/>
  <c r="L110" i="235"/>
  <c r="K110" i="235"/>
  <c r="I110" i="235"/>
  <c r="H110" i="235"/>
  <c r="G110" i="235"/>
  <c r="AG108" i="235"/>
  <c r="AF108" i="235"/>
  <c r="AE108" i="235"/>
  <c r="AD108" i="235"/>
  <c r="AD110" i="235"/>
  <c r="AC108" i="235"/>
  <c r="AB108" i="235"/>
  <c r="AA108" i="235"/>
  <c r="Z108" i="235"/>
  <c r="Z110" i="235"/>
  <c r="O108" i="235"/>
  <c r="N108" i="235"/>
  <c r="N110" i="235"/>
  <c r="M108" i="235"/>
  <c r="L108" i="235"/>
  <c r="K108" i="235"/>
  <c r="J108" i="235"/>
  <c r="J110" i="235"/>
  <c r="I108" i="235"/>
  <c r="H108" i="235"/>
  <c r="G108" i="235"/>
  <c r="AG105" i="235"/>
  <c r="AF105" i="235"/>
  <c r="AE105" i="235"/>
  <c r="O105" i="235"/>
  <c r="N105" i="235"/>
  <c r="M105" i="235"/>
  <c r="L105" i="235"/>
  <c r="AF100" i="235"/>
  <c r="AE100" i="235"/>
  <c r="AB100" i="235"/>
  <c r="AA100" i="235"/>
  <c r="Z100" i="235"/>
  <c r="O100" i="235"/>
  <c r="N100" i="235"/>
  <c r="L100" i="235"/>
  <c r="K100" i="235"/>
  <c r="H100" i="235"/>
  <c r="G100" i="235"/>
  <c r="AG98" i="235"/>
  <c r="AG100" i="235"/>
  <c r="AF98" i="235"/>
  <c r="AE98" i="235"/>
  <c r="AD98" i="235"/>
  <c r="AD100" i="235"/>
  <c r="AC98" i="235"/>
  <c r="AC100" i="235"/>
  <c r="AB98" i="235"/>
  <c r="AA98" i="235"/>
  <c r="Z98" i="235"/>
  <c r="O98" i="235"/>
  <c r="N98" i="235"/>
  <c r="M98" i="235"/>
  <c r="M100" i="235"/>
  <c r="L98" i="235"/>
  <c r="K98" i="235"/>
  <c r="J98" i="235"/>
  <c r="J100" i="235"/>
  <c r="I98" i="235"/>
  <c r="I100" i="235"/>
  <c r="H98" i="235"/>
  <c r="G98" i="235"/>
  <c r="AG95" i="235"/>
  <c r="AF95" i="235"/>
  <c r="AE95" i="235"/>
  <c r="O95" i="235"/>
  <c r="N95" i="235"/>
  <c r="M95" i="235"/>
  <c r="L95" i="235"/>
  <c r="AG90" i="235"/>
  <c r="AE90" i="235"/>
  <c r="AD90" i="235"/>
  <c r="AC90" i="235"/>
  <c r="AA90" i="235"/>
  <c r="Z90" i="235"/>
  <c r="O90" i="235"/>
  <c r="N90" i="235"/>
  <c r="M90" i="235"/>
  <c r="K90" i="235"/>
  <c r="J90" i="235"/>
  <c r="I90" i="235"/>
  <c r="G90" i="235"/>
  <c r="AG88" i="235"/>
  <c r="AF88" i="235"/>
  <c r="AF90" i="235"/>
  <c r="AE88" i="235"/>
  <c r="AD88" i="235"/>
  <c r="AC88" i="235"/>
  <c r="AB88" i="235"/>
  <c r="AB90" i="235"/>
  <c r="AA88" i="235"/>
  <c r="Z88" i="235"/>
  <c r="O88" i="235"/>
  <c r="N88" i="235"/>
  <c r="M88" i="235"/>
  <c r="L88" i="235"/>
  <c r="L90" i="235"/>
  <c r="K88" i="235"/>
  <c r="J88" i="235"/>
  <c r="I88" i="235"/>
  <c r="H88" i="235"/>
  <c r="H90" i="235"/>
  <c r="G88" i="235"/>
  <c r="AG85" i="235"/>
  <c r="AF85" i="235"/>
  <c r="AE85" i="235"/>
  <c r="O85" i="235"/>
  <c r="N85" i="235"/>
  <c r="M85" i="235"/>
  <c r="L85" i="235"/>
  <c r="AG80" i="235"/>
  <c r="AF80" i="235"/>
  <c r="AD80" i="235"/>
  <c r="AC80" i="235"/>
  <c r="Z80" i="235"/>
  <c r="N80" i="235"/>
  <c r="M80" i="235"/>
  <c r="L80" i="235"/>
  <c r="J80" i="235"/>
  <c r="I80" i="235"/>
  <c r="AG78" i="235"/>
  <c r="AF78" i="235"/>
  <c r="AE78" i="235"/>
  <c r="AE80" i="235"/>
  <c r="AD78" i="235"/>
  <c r="AC78" i="235"/>
  <c r="AB78" i="235"/>
  <c r="AB80" i="235"/>
  <c r="AA78" i="235"/>
  <c r="AA80" i="235"/>
  <c r="Z78" i="235"/>
  <c r="O78" i="235"/>
  <c r="O80" i="235"/>
  <c r="N78" i="235"/>
  <c r="M78" i="235"/>
  <c r="L78" i="235"/>
  <c r="K78" i="235"/>
  <c r="K80" i="235"/>
  <c r="J78" i="235"/>
  <c r="I78" i="235"/>
  <c r="H78" i="235"/>
  <c r="H80" i="235"/>
  <c r="G78" i="235"/>
  <c r="G80" i="235"/>
  <c r="AG75" i="235"/>
  <c r="AF75" i="235"/>
  <c r="AE75" i="235"/>
  <c r="O75" i="235"/>
  <c r="N75" i="235"/>
  <c r="M75" i="235"/>
  <c r="L75" i="235"/>
  <c r="AG70" i="235"/>
  <c r="AF70" i="235"/>
  <c r="AC70" i="235"/>
  <c r="AB70" i="235"/>
  <c r="M70" i="235"/>
  <c r="L70" i="235"/>
  <c r="I70" i="235"/>
  <c r="H70" i="235"/>
  <c r="AG68" i="235"/>
  <c r="AF68" i="235"/>
  <c r="AE68" i="235"/>
  <c r="AE70" i="235"/>
  <c r="AD68" i="235"/>
  <c r="AD70" i="235"/>
  <c r="AC68" i="235"/>
  <c r="AB68" i="235"/>
  <c r="AA68" i="235"/>
  <c r="AA70" i="235"/>
  <c r="Z68" i="235"/>
  <c r="Z70" i="235"/>
  <c r="O68" i="235"/>
  <c r="O70" i="235"/>
  <c r="N68" i="235"/>
  <c r="N70" i="235"/>
  <c r="M68" i="235"/>
  <c r="L68" i="235"/>
  <c r="K68" i="235"/>
  <c r="J68" i="235"/>
  <c r="J70" i="235"/>
  <c r="I68" i="235"/>
  <c r="H68" i="235"/>
  <c r="G68" i="235"/>
  <c r="G70" i="235"/>
  <c r="AG65" i="235"/>
  <c r="AF65" i="235"/>
  <c r="AE65" i="235"/>
  <c r="O65" i="235"/>
  <c r="N65" i="235"/>
  <c r="M65" i="235"/>
  <c r="L65" i="235"/>
  <c r="AF60" i="235"/>
  <c r="AE60" i="235"/>
  <c r="AD60" i="235"/>
  <c r="AB60" i="235"/>
  <c r="AA60" i="235"/>
  <c r="O60" i="235"/>
  <c r="L60" i="235"/>
  <c r="K60" i="235"/>
  <c r="J60" i="235"/>
  <c r="H60" i="235"/>
  <c r="G60" i="235"/>
  <c r="AG58" i="235"/>
  <c r="AG60" i="235"/>
  <c r="AF58" i="235"/>
  <c r="AE58" i="235"/>
  <c r="AD58" i="235"/>
  <c r="AC58" i="235"/>
  <c r="AC60" i="235"/>
  <c r="AB58" i="235"/>
  <c r="AA58" i="235"/>
  <c r="Z58" i="235"/>
  <c r="Z60" i="235"/>
  <c r="O58" i="235"/>
  <c r="N58" i="235"/>
  <c r="N60" i="235"/>
  <c r="M58" i="235"/>
  <c r="M60" i="235"/>
  <c r="L58" i="235"/>
  <c r="K58" i="235"/>
  <c r="J58" i="235"/>
  <c r="I58" i="235"/>
  <c r="I60" i="235"/>
  <c r="H58" i="235"/>
  <c r="G58" i="235"/>
  <c r="AG55" i="235"/>
  <c r="AF55" i="235"/>
  <c r="AE55" i="235"/>
  <c r="O55" i="235"/>
  <c r="N55" i="235"/>
  <c r="M55" i="235"/>
  <c r="L55" i="235"/>
  <c r="AE50" i="235"/>
  <c r="AD50" i="235"/>
  <c r="AA50" i="235"/>
  <c r="Z50" i="235"/>
  <c r="O50" i="235"/>
  <c r="N50" i="235"/>
  <c r="K50" i="235"/>
  <c r="J50" i="235"/>
  <c r="G50" i="235"/>
  <c r="AG48" i="235"/>
  <c r="AG264" i="235"/>
  <c r="AF48" i="235"/>
  <c r="AF50" i="235"/>
  <c r="AE48" i="235"/>
  <c r="AD48" i="235"/>
  <c r="AC48" i="235"/>
  <c r="AC264" i="235"/>
  <c r="AB48" i="235"/>
  <c r="AB50" i="235"/>
  <c r="AA48" i="235"/>
  <c r="Z48" i="235"/>
  <c r="O48" i="235"/>
  <c r="N48" i="235"/>
  <c r="M48" i="235"/>
  <c r="M50" i="235"/>
  <c r="L48" i="235"/>
  <c r="L50" i="235"/>
  <c r="K48" i="235"/>
  <c r="J48" i="235"/>
  <c r="I48" i="235"/>
  <c r="I50" i="235"/>
  <c r="H48" i="235"/>
  <c r="H50" i="235"/>
  <c r="G48" i="235"/>
  <c r="AG45" i="235"/>
  <c r="AF45" i="235"/>
  <c r="AF261" i="235"/>
  <c r="AE45" i="235"/>
  <c r="O45" i="235"/>
  <c r="N45" i="235"/>
  <c r="M45" i="235"/>
  <c r="L45" i="235"/>
  <c r="AG40" i="235"/>
  <c r="AD40" i="235"/>
  <c r="AC40" i="235"/>
  <c r="AB40" i="235"/>
  <c r="Z40" i="235"/>
  <c r="N40" i="235"/>
  <c r="M40" i="235"/>
  <c r="J40" i="235"/>
  <c r="I40" i="235"/>
  <c r="H40" i="235"/>
  <c r="AG38" i="235"/>
  <c r="AF38" i="235"/>
  <c r="AF40" i="235"/>
  <c r="AE38" i="235"/>
  <c r="AE40" i="235"/>
  <c r="AD38" i="235"/>
  <c r="AC38" i="235"/>
  <c r="AB38" i="235"/>
  <c r="AB264" i="235"/>
  <c r="AA38" i="235"/>
  <c r="AA40" i="235"/>
  <c r="Z38" i="235"/>
  <c r="O38" i="235"/>
  <c r="O40" i="235"/>
  <c r="N38" i="235"/>
  <c r="M38" i="235"/>
  <c r="L38" i="235"/>
  <c r="K38" i="235"/>
  <c r="K40" i="235"/>
  <c r="J38" i="235"/>
  <c r="I38" i="235"/>
  <c r="H38" i="235"/>
  <c r="G38" i="235"/>
  <c r="G40" i="235"/>
  <c r="AG35" i="235"/>
  <c r="AF35" i="235"/>
  <c r="AE35" i="235"/>
  <c r="O35" i="235"/>
  <c r="N35" i="235"/>
  <c r="M35" i="235"/>
  <c r="L35" i="235"/>
  <c r="AG30" i="235"/>
  <c r="AF30" i="235"/>
  <c r="AC30" i="235"/>
  <c r="AB30" i="235"/>
  <c r="AA30" i="235"/>
  <c r="O30" i="235"/>
  <c r="M30" i="235"/>
  <c r="L30" i="235"/>
  <c r="I30" i="235"/>
  <c r="H30" i="235"/>
  <c r="G30" i="235"/>
  <c r="AG28" i="235"/>
  <c r="AF28" i="235"/>
  <c r="AE28" i="235"/>
  <c r="AD28" i="235"/>
  <c r="AC28" i="235"/>
  <c r="AB28" i="235"/>
  <c r="AA28" i="235"/>
  <c r="Z28" i="235"/>
  <c r="O28" i="235"/>
  <c r="O224" i="235"/>
  <c r="N28" i="235"/>
  <c r="M28" i="235"/>
  <c r="L28" i="235"/>
  <c r="K28" i="235"/>
  <c r="K30" i="235"/>
  <c r="J28" i="235"/>
  <c r="I28" i="235"/>
  <c r="H28" i="235"/>
  <c r="G28" i="235"/>
  <c r="AG25" i="235"/>
  <c r="AF25" i="235"/>
  <c r="AE25" i="235"/>
  <c r="AE261" i="235"/>
  <c r="O25" i="235"/>
  <c r="N25" i="235"/>
  <c r="M25" i="235"/>
  <c r="L25" i="235"/>
  <c r="AG20" i="235"/>
  <c r="AF20" i="235"/>
  <c r="AE20" i="235"/>
  <c r="AD20" i="235"/>
  <c r="AB20" i="235"/>
  <c r="AA20" i="235"/>
  <c r="Z20" i="235"/>
  <c r="Z20" i="235" a="1"/>
  <c r="AC20" i="235"/>
  <c r="S20" i="235"/>
  <c r="Q20" i="235" a="1"/>
  <c r="P20" i="235"/>
  <c r="O20" i="235"/>
  <c r="N20" i="235"/>
  <c r="M20" i="235"/>
  <c r="L20" i="235"/>
  <c r="I20" i="235"/>
  <c r="H20" i="235"/>
  <c r="G20" i="235" a="1"/>
  <c r="K20" i="235"/>
  <c r="Z18" i="235"/>
  <c r="O18" i="235"/>
  <c r="I189" i="206"/>
  <c r="M899" i="206"/>
  <c r="M901" i="206"/>
  <c r="M903" i="206"/>
  <c r="M904" i="206"/>
  <c r="M910" i="206"/>
  <c r="M912" i="206"/>
  <c r="M914" i="206"/>
  <c r="M915" i="206"/>
  <c r="M866" i="206"/>
  <c r="M868" i="206"/>
  <c r="M870" i="206"/>
  <c r="M871" i="206"/>
  <c r="M756" i="206"/>
  <c r="M758" i="206"/>
  <c r="M760" i="206"/>
  <c r="M761" i="206"/>
  <c r="M877" i="206"/>
  <c r="M879" i="206"/>
  <c r="M881" i="206"/>
  <c r="M882" i="206"/>
  <c r="M844" i="206"/>
  <c r="M846" i="206"/>
  <c r="M848" i="206"/>
  <c r="M849" i="206"/>
  <c r="M767" i="206"/>
  <c r="M769" i="206"/>
  <c r="M771" i="206"/>
  <c r="M772" i="206"/>
  <c r="M888" i="206"/>
  <c r="M890" i="206"/>
  <c r="M892" i="206"/>
  <c r="M893" i="206"/>
  <c r="M701" i="206"/>
  <c r="M703" i="206"/>
  <c r="M705" i="206"/>
  <c r="M706" i="206"/>
  <c r="M712" i="206"/>
  <c r="M714" i="206"/>
  <c r="M716" i="206"/>
  <c r="M717" i="206"/>
  <c r="M833" i="206"/>
  <c r="M835" i="206"/>
  <c r="M837" i="206"/>
  <c r="M838" i="206"/>
  <c r="M723" i="206"/>
  <c r="M725" i="206"/>
  <c r="M727" i="206"/>
  <c r="M728" i="206"/>
  <c r="M855" i="206"/>
  <c r="M857" i="206"/>
  <c r="M859" i="206"/>
  <c r="M860" i="206"/>
  <c r="M734" i="206"/>
  <c r="M736" i="206"/>
  <c r="M738" i="206"/>
  <c r="M739" i="206"/>
  <c r="M690" i="206"/>
  <c r="M692" i="206"/>
  <c r="M694" i="206"/>
  <c r="M695" i="206"/>
  <c r="M602" i="206"/>
  <c r="M604" i="206"/>
  <c r="M606" i="206"/>
  <c r="M613" i="206"/>
  <c r="M615" i="206"/>
  <c r="M617" i="206"/>
  <c r="M569" i="206"/>
  <c r="M571" i="206"/>
  <c r="M624" i="206"/>
  <c r="M626" i="206"/>
  <c r="M628" i="206"/>
  <c r="M629" i="206"/>
  <c r="M580" i="206"/>
  <c r="M582" i="206"/>
  <c r="M584" i="206"/>
  <c r="M635" i="206"/>
  <c r="M637" i="206"/>
  <c r="M639" i="206"/>
  <c r="M640" i="206"/>
  <c r="M591" i="206"/>
  <c r="M593" i="206"/>
  <c r="M595" i="206"/>
  <c r="M441" i="206"/>
  <c r="M443" i="206"/>
  <c r="M445" i="206"/>
  <c r="M433" i="206"/>
  <c r="M435" i="206"/>
  <c r="M437" i="206"/>
  <c r="M409" i="206"/>
  <c r="M411" i="206"/>
  <c r="M413" i="206"/>
  <c r="M377" i="206"/>
  <c r="M379" i="206"/>
  <c r="M381" i="206"/>
  <c r="M425" i="206"/>
  <c r="M427" i="206"/>
  <c r="M429" i="206"/>
  <c r="M401" i="206"/>
  <c r="M403" i="206"/>
  <c r="M405" i="206"/>
  <c r="M385" i="206"/>
  <c r="M387" i="206"/>
  <c r="M389" i="206"/>
  <c r="M353" i="206"/>
  <c r="M355" i="206"/>
  <c r="M357" i="206"/>
  <c r="M361" i="206"/>
  <c r="M363" i="206"/>
  <c r="M365" i="206"/>
  <c r="M321" i="206"/>
  <c r="M323" i="206"/>
  <c r="M369" i="206"/>
  <c r="M371" i="206"/>
  <c r="M373" i="206"/>
  <c r="M337" i="206"/>
  <c r="M339" i="206"/>
  <c r="M341" i="206"/>
  <c r="G218" i="206"/>
  <c r="G189" i="206"/>
  <c r="H218" i="206"/>
  <c r="H240" i="206"/>
  <c r="H189" i="206"/>
  <c r="I207" i="206"/>
  <c r="I218" i="206"/>
  <c r="I240" i="206" s="1"/>
  <c r="L218" i="206"/>
  <c r="L240" i="206" s="1"/>
  <c r="L189" i="206"/>
  <c r="E218" i="206"/>
  <c r="E240" i="206"/>
  <c r="E189" i="206"/>
  <c r="G240" i="206"/>
  <c r="F180" i="206"/>
  <c r="K218" i="206"/>
  <c r="K240" i="206" s="1"/>
  <c r="E930" i="206"/>
  <c r="J240" i="206"/>
  <c r="D218" i="206"/>
  <c r="D240" i="206"/>
  <c r="D189" i="206"/>
  <c r="L923" i="206"/>
  <c r="L925" i="206"/>
  <c r="L901" i="206"/>
  <c r="L903" i="206" s="1"/>
  <c r="L912" i="206"/>
  <c r="L914" i="206"/>
  <c r="L857" i="206"/>
  <c r="L859" i="206" s="1"/>
  <c r="L835" i="206"/>
  <c r="L837" i="206" s="1"/>
  <c r="L868" i="206"/>
  <c r="L870" i="206" s="1"/>
  <c r="L871" i="206" s="1"/>
  <c r="L824" i="206"/>
  <c r="L826" i="206" s="1"/>
  <c r="L791" i="206"/>
  <c r="L793" i="206"/>
  <c r="L794" i="206" s="1"/>
  <c r="L758" i="206"/>
  <c r="L760" i="206"/>
  <c r="L761" i="206"/>
  <c r="L879" i="206"/>
  <c r="L881" i="206"/>
  <c r="L882" i="206" s="1"/>
  <c r="L846" i="206"/>
  <c r="L848" i="206"/>
  <c r="L813" i="206"/>
  <c r="L815" i="206" s="1"/>
  <c r="L769" i="206"/>
  <c r="L771" i="206"/>
  <c r="L772" i="206" s="1"/>
  <c r="L890" i="206"/>
  <c r="L892" i="206" s="1"/>
  <c r="L893" i="206" s="1"/>
  <c r="L780" i="206"/>
  <c r="L782" i="206"/>
  <c r="L783" i="206" s="1"/>
  <c r="L736" i="206"/>
  <c r="L738" i="206"/>
  <c r="L692" i="206"/>
  <c r="L694" i="206" s="1"/>
  <c r="L695" i="206" s="1"/>
  <c r="L747" i="206"/>
  <c r="L749" i="206" s="1"/>
  <c r="L703" i="206"/>
  <c r="L705" i="206"/>
  <c r="L802" i="206"/>
  <c r="L804" i="206" s="1"/>
  <c r="L714" i="206"/>
  <c r="L716" i="206" s="1"/>
  <c r="L717" i="206" s="1"/>
  <c r="L725" i="206"/>
  <c r="L727" i="206" s="1"/>
  <c r="L637" i="206"/>
  <c r="L639" i="206" s="1"/>
  <c r="L640" i="206" s="1"/>
  <c r="L593" i="206"/>
  <c r="L595" i="206" s="1"/>
  <c r="L596" i="206" s="1"/>
  <c r="L549" i="206"/>
  <c r="L551" i="206"/>
  <c r="L681" i="206"/>
  <c r="L683" i="206"/>
  <c r="L648" i="206"/>
  <c r="L650" i="206"/>
  <c r="L651" i="206" s="1"/>
  <c r="L604" i="206"/>
  <c r="L606" i="206" s="1"/>
  <c r="L607" i="206" s="1"/>
  <c r="L670" i="206"/>
  <c r="L672" i="206"/>
  <c r="L615" i="206"/>
  <c r="L617" i="206" s="1"/>
  <c r="L618" i="206" s="1"/>
  <c r="L571" i="206"/>
  <c r="L573" i="206"/>
  <c r="L574" i="206" s="1"/>
  <c r="L659" i="206"/>
  <c r="L661" i="206"/>
  <c r="L626" i="206"/>
  <c r="L628" i="206"/>
  <c r="L582" i="206"/>
  <c r="L584" i="206" s="1"/>
  <c r="L585" i="206" s="1"/>
  <c r="L505" i="206"/>
  <c r="L928" i="206" s="1"/>
  <c r="L930" i="206" s="1"/>
  <c r="L467" i="206"/>
  <c r="L469" i="206"/>
  <c r="L435" i="206"/>
  <c r="L437" i="206"/>
  <c r="L419" i="206"/>
  <c r="L421" i="206"/>
  <c r="L538" i="206"/>
  <c r="L540" i="206" s="1"/>
  <c r="L483" i="206"/>
  <c r="L485" i="206"/>
  <c r="L459" i="206"/>
  <c r="L461" i="206"/>
  <c r="L443" i="206"/>
  <c r="L445" i="206"/>
  <c r="L527" i="206"/>
  <c r="L529" i="206"/>
  <c r="L451" i="206"/>
  <c r="L453" i="206"/>
  <c r="L560" i="206"/>
  <c r="L562" i="206"/>
  <c r="L516" i="206"/>
  <c r="L518" i="206" s="1"/>
  <c r="L519" i="206" s="1"/>
  <c r="L491" i="206"/>
  <c r="L493" i="206"/>
  <c r="L475" i="206"/>
  <c r="L477" i="206"/>
  <c r="L427" i="206"/>
  <c r="L429" i="206"/>
  <c r="L371" i="206"/>
  <c r="L373" i="206"/>
  <c r="L341" i="206"/>
  <c r="L411" i="206"/>
  <c r="L413" i="206"/>
  <c r="L379" i="206"/>
  <c r="L381" i="206"/>
  <c r="L331" i="206"/>
  <c r="L333" i="206"/>
  <c r="L403" i="206"/>
  <c r="L405" i="206"/>
  <c r="L387" i="206"/>
  <c r="L389" i="206"/>
  <c r="L355" i="206"/>
  <c r="L357" i="206"/>
  <c r="L395" i="206"/>
  <c r="L397" i="206"/>
  <c r="L363" i="206"/>
  <c r="L365" i="206"/>
  <c r="L347" i="206"/>
  <c r="L349" i="206"/>
  <c r="L323" i="206"/>
  <c r="H930" i="206"/>
  <c r="G930" i="206"/>
  <c r="F930" i="206"/>
  <c r="AF266" i="235"/>
  <c r="AB266" i="235"/>
  <c r="AG261" i="235"/>
  <c r="J30" i="235"/>
  <c r="N30" i="235"/>
  <c r="Z30" i="235"/>
  <c r="Z266" i="235"/>
  <c r="Z264" i="235"/>
  <c r="AD30" i="235"/>
  <c r="AD266" i="235"/>
  <c r="AD264" i="235"/>
  <c r="AA266" i="235"/>
  <c r="AC50" i="235"/>
  <c r="K70" i="235"/>
  <c r="AF264" i="235"/>
  <c r="R20" i="235"/>
  <c r="U20" i="235"/>
  <c r="Q20" i="235"/>
  <c r="AA264" i="235"/>
  <c r="AE264" i="235"/>
  <c r="L40" i="235"/>
  <c r="O226" i="235"/>
  <c r="AG266" i="235"/>
  <c r="T20" i="235"/>
  <c r="O221" i="235"/>
  <c r="AE30" i="235"/>
  <c r="AE266" i="235"/>
  <c r="AC266" i="235"/>
  <c r="AG50" i="235"/>
  <c r="G267" i="235"/>
  <c r="G243" i="235"/>
  <c r="G269" i="235"/>
  <c r="K267" i="235"/>
  <c r="K243" i="235"/>
  <c r="K269" i="235"/>
  <c r="O267" i="235"/>
  <c r="O243" i="235"/>
  <c r="O269" i="235"/>
  <c r="J20" i="235"/>
  <c r="G20" i="235"/>
  <c r="L325" i="206"/>
  <c r="M573" i="206"/>
  <c r="M574" i="206"/>
  <c r="M928" i="206"/>
  <c r="M325" i="206"/>
  <c r="F218" i="206"/>
  <c r="F240" i="206"/>
  <c r="F189" i="206"/>
  <c r="G300" i="239"/>
  <c r="G336" i="239"/>
  <c r="P335" i="239"/>
  <c r="O335" i="239"/>
  <c r="N335" i="239"/>
  <c r="M335" i="239"/>
  <c r="L335" i="239"/>
  <c r="L337" i="239"/>
  <c r="L339" i="239" s="1"/>
  <c r="K335" i="239"/>
  <c r="J335" i="239"/>
  <c r="I335" i="239"/>
  <c r="H335" i="239"/>
  <c r="H337" i="239" s="1"/>
  <c r="H339" i="239" s="1"/>
  <c r="G335" i="239"/>
  <c r="P334" i="239"/>
  <c r="P337" i="239" s="1"/>
  <c r="P339" i="239" s="1"/>
  <c r="O334" i="239"/>
  <c r="O337" i="239" s="1"/>
  <c r="O339" i="239" s="1"/>
  <c r="N334" i="239"/>
  <c r="N337" i="239" s="1"/>
  <c r="N339" i="239" s="1"/>
  <c r="M334" i="239"/>
  <c r="M337" i="239" s="1"/>
  <c r="M339" i="239" s="1"/>
  <c r="L334" i="239"/>
  <c r="K334" i="239"/>
  <c r="K337" i="239" s="1"/>
  <c r="K339" i="239" s="1"/>
  <c r="J334" i="239"/>
  <c r="J337" i="239" s="1"/>
  <c r="J339" i="239" s="1"/>
  <c r="I334" i="239"/>
  <c r="I337" i="239" s="1"/>
  <c r="I339" i="239" s="1"/>
  <c r="H334" i="239"/>
  <c r="G334" i="239"/>
  <c r="P313" i="239"/>
  <c r="O313" i="239"/>
  <c r="N313" i="239"/>
  <c r="M313" i="239"/>
  <c r="L313" i="239"/>
  <c r="K313" i="239"/>
  <c r="I313" i="239"/>
  <c r="H313" i="239"/>
  <c r="G313" i="239"/>
  <c r="G313" i="239" a="1"/>
  <c r="J313" i="239"/>
  <c r="G311" i="239"/>
  <c r="Z305" i="239"/>
  <c r="U305" i="239"/>
  <c r="T305" i="239"/>
  <c r="S305" i="239"/>
  <c r="R305" i="239"/>
  <c r="Q305" i="239"/>
  <c r="P305" i="239"/>
  <c r="O305" i="239"/>
  <c r="N305" i="239"/>
  <c r="M305" i="239"/>
  <c r="L305" i="239"/>
  <c r="K305" i="239"/>
  <c r="J305" i="239"/>
  <c r="I305" i="239"/>
  <c r="G305" i="239"/>
  <c r="G338" i="239" s="1"/>
  <c r="U303" i="239"/>
  <c r="T303" i="239"/>
  <c r="S303" i="239"/>
  <c r="R303" i="239"/>
  <c r="Q303" i="239"/>
  <c r="P303" i="239"/>
  <c r="Z302" i="239"/>
  <c r="U302" i="239"/>
  <c r="T302" i="239"/>
  <c r="S302" i="239"/>
  <c r="R302" i="239"/>
  <c r="Q302" i="239"/>
  <c r="P302" i="239"/>
  <c r="O302" i="239"/>
  <c r="N302" i="239"/>
  <c r="M302" i="239"/>
  <c r="L302" i="239"/>
  <c r="K302" i="239"/>
  <c r="J302" i="239"/>
  <c r="I302" i="239"/>
  <c r="G302" i="239"/>
  <c r="Z301" i="239"/>
  <c r="Z300" i="239"/>
  <c r="AF299" i="239"/>
  <c r="AB299" i="239"/>
  <c r="AG297" i="239"/>
  <c r="AG299" i="239"/>
  <c r="AF297" i="239"/>
  <c r="AE297" i="239"/>
  <c r="AE299" i="239"/>
  <c r="AD297" i="239"/>
  <c r="AD299" i="239"/>
  <c r="AC297" i="239"/>
  <c r="AC299" i="239"/>
  <c r="AB297" i="239"/>
  <c r="AA297" i="239"/>
  <c r="AA299" i="239"/>
  <c r="Z297" i="239"/>
  <c r="Z299" i="239"/>
  <c r="J299" i="239"/>
  <c r="T295" i="239"/>
  <c r="P295" i="239"/>
  <c r="L295" i="239"/>
  <c r="AG294" i="239"/>
  <c r="AF294" i="239"/>
  <c r="U294" i="239"/>
  <c r="T294" i="239"/>
  <c r="S294" i="239"/>
  <c r="R294" i="239"/>
  <c r="Q294" i="239"/>
  <c r="Q295" i="239"/>
  <c r="Q297" i="239" s="1"/>
  <c r="Q299" i="239" s="1"/>
  <c r="P294" i="239"/>
  <c r="O294" i="239"/>
  <c r="O295" i="239"/>
  <c r="O297" i="239" s="1"/>
  <c r="O299" i="239" s="1"/>
  <c r="N294" i="239"/>
  <c r="M294" i="239"/>
  <c r="L294" i="239"/>
  <c r="K294" i="239"/>
  <c r="K295" i="239"/>
  <c r="J294" i="239"/>
  <c r="J295" i="239"/>
  <c r="J297" i="239" s="1"/>
  <c r="I294" i="239"/>
  <c r="G294" i="239"/>
  <c r="G295" i="239"/>
  <c r="G297" i="239" s="1"/>
  <c r="G299" i="239" s="1"/>
  <c r="AG289" i="239"/>
  <c r="AF289" i="239"/>
  <c r="AD289" i="239"/>
  <c r="AB289" i="239"/>
  <c r="Z289" i="239"/>
  <c r="AG287" i="239"/>
  <c r="AF287" i="239"/>
  <c r="AE287" i="239"/>
  <c r="AE289" i="239"/>
  <c r="AD287" i="239"/>
  <c r="AC287" i="239"/>
  <c r="AC289" i="239"/>
  <c r="AB287" i="239"/>
  <c r="AA287" i="239"/>
  <c r="AA289" i="239"/>
  <c r="Z287" i="239"/>
  <c r="R285" i="239"/>
  <c r="P285" i="239"/>
  <c r="P287" i="239" s="1"/>
  <c r="P289" i="239"/>
  <c r="N285" i="239"/>
  <c r="L285" i="239"/>
  <c r="L287" i="239" s="1"/>
  <c r="L289" i="239" s="1"/>
  <c r="K285" i="239"/>
  <c r="J285" i="239"/>
  <c r="AG284" i="239"/>
  <c r="AF284" i="239"/>
  <c r="U284" i="239"/>
  <c r="U285" i="239"/>
  <c r="U287" i="239" s="1"/>
  <c r="U289" i="239" s="1"/>
  <c r="T284" i="239"/>
  <c r="S284" i="239"/>
  <c r="R284" i="239"/>
  <c r="R287" i="239"/>
  <c r="R289" i="239" s="1"/>
  <c r="Q284" i="239"/>
  <c r="Q285" i="239"/>
  <c r="Q287" i="239" s="1"/>
  <c r="Q289" i="239" s="1"/>
  <c r="P284" i="239"/>
  <c r="O284" i="239"/>
  <c r="N284" i="239"/>
  <c r="N287" i="239"/>
  <c r="N289" i="239"/>
  <c r="M284" i="239"/>
  <c r="M285" i="239"/>
  <c r="M287" i="239" s="1"/>
  <c r="M289" i="239" s="1"/>
  <c r="L284" i="239"/>
  <c r="K284" i="239"/>
  <c r="K287" i="239"/>
  <c r="K289" i="239"/>
  <c r="J284" i="239"/>
  <c r="J287" i="239"/>
  <c r="J289" i="239" s="1"/>
  <c r="I284" i="239"/>
  <c r="I285" i="239"/>
  <c r="G284" i="239"/>
  <c r="AF279" i="239"/>
  <c r="AB279" i="239"/>
  <c r="AA279" i="239"/>
  <c r="T279" i="239"/>
  <c r="AG277" i="239"/>
  <c r="AG279" i="239"/>
  <c r="AF277" i="239"/>
  <c r="AE277" i="239"/>
  <c r="AE279" i="239"/>
  <c r="AD277" i="239"/>
  <c r="AD279" i="239"/>
  <c r="AC277" i="239"/>
  <c r="AC279" i="239"/>
  <c r="AB277" i="239"/>
  <c r="AA277" i="239"/>
  <c r="Z277" i="239"/>
  <c r="Z279" i="239"/>
  <c r="S277" i="239"/>
  <c r="S279" i="239" s="1"/>
  <c r="M277" i="239"/>
  <c r="M279" i="239" s="1"/>
  <c r="U275" i="239"/>
  <c r="T275" i="239"/>
  <c r="R275" i="239"/>
  <c r="Q275" i="239"/>
  <c r="Q277" i="239"/>
  <c r="Q279" i="239" s="1"/>
  <c r="P275" i="239"/>
  <c r="P277" i="239" s="1"/>
  <c r="P279" i="239" s="1"/>
  <c r="M275" i="239"/>
  <c r="L275" i="239"/>
  <c r="AG274" i="239"/>
  <c r="AF274" i="239"/>
  <c r="U274" i="239"/>
  <c r="U277" i="239"/>
  <c r="U279" i="239" s="1"/>
  <c r="T274" i="239"/>
  <c r="T277" i="239"/>
  <c r="S274" i="239"/>
  <c r="S275" i="239"/>
  <c r="R274" i="239"/>
  <c r="Q274" i="239"/>
  <c r="P274" i="239"/>
  <c r="O274" i="239"/>
  <c r="N274" i="239"/>
  <c r="N275" i="239"/>
  <c r="M274" i="239"/>
  <c r="L274" i="239"/>
  <c r="K274" i="239"/>
  <c r="K275" i="239"/>
  <c r="J274" i="239"/>
  <c r="I274" i="239"/>
  <c r="I275" i="239"/>
  <c r="I277" i="239" s="1"/>
  <c r="I279" i="239" s="1"/>
  <c r="G274" i="239"/>
  <c r="G275" i="239"/>
  <c r="G277" i="239" s="1"/>
  <c r="G279" i="239" s="1"/>
  <c r="AG269" i="239"/>
  <c r="AD269" i="239"/>
  <c r="AC269" i="239"/>
  <c r="Z269" i="239"/>
  <c r="AG267" i="239"/>
  <c r="AF267" i="239"/>
  <c r="AF269" i="239"/>
  <c r="AE267" i="239"/>
  <c r="AE269" i="239"/>
  <c r="AD267" i="239"/>
  <c r="AC267" i="239"/>
  <c r="AB267" i="239"/>
  <c r="AB269" i="239"/>
  <c r="AA267" i="239"/>
  <c r="AA269" i="239"/>
  <c r="Z267" i="239"/>
  <c r="T269" i="239"/>
  <c r="O269" i="239"/>
  <c r="R265" i="239"/>
  <c r="P265" i="239"/>
  <c r="N265" i="239"/>
  <c r="K265" i="239"/>
  <c r="J265" i="239"/>
  <c r="J267" i="239" s="1"/>
  <c r="J269" i="239" s="1"/>
  <c r="AG264" i="239"/>
  <c r="AF264" i="239"/>
  <c r="U264" i="239"/>
  <c r="T264" i="239"/>
  <c r="T265" i="239"/>
  <c r="T267" i="239" s="1"/>
  <c r="S264" i="239"/>
  <c r="R264" i="239"/>
  <c r="Q264" i="239"/>
  <c r="Q265" i="239"/>
  <c r="Q267" i="239" s="1"/>
  <c r="Q269" i="239" s="1"/>
  <c r="P264" i="239"/>
  <c r="O264" i="239"/>
  <c r="O265" i="239"/>
  <c r="O267" i="239" s="1"/>
  <c r="N264" i="239"/>
  <c r="M264" i="239"/>
  <c r="M265" i="239"/>
  <c r="L264" i="239"/>
  <c r="K264" i="239"/>
  <c r="J264" i="239"/>
  <c r="I264" i="239"/>
  <c r="I265" i="239"/>
  <c r="I267" i="239" s="1"/>
  <c r="I269" i="239" s="1"/>
  <c r="G264" i="239"/>
  <c r="AF259" i="239"/>
  <c r="AD259" i="239"/>
  <c r="AB259" i="239"/>
  <c r="Z259" i="239"/>
  <c r="AG257" i="239"/>
  <c r="AG259" i="239"/>
  <c r="AF257" i="239"/>
  <c r="AE257" i="239"/>
  <c r="AE259" i="239"/>
  <c r="AD257" i="239"/>
  <c r="AC257" i="239"/>
  <c r="AC259" i="239"/>
  <c r="AB257" i="239"/>
  <c r="AA257" i="239"/>
  <c r="AA259" i="239"/>
  <c r="Z257" i="239"/>
  <c r="O257" i="239"/>
  <c r="O259" i="239" s="1"/>
  <c r="I259" i="239"/>
  <c r="R255" i="239"/>
  <c r="Q255" i="239"/>
  <c r="L255" i="239"/>
  <c r="I255" i="239"/>
  <c r="I257" i="239" s="1"/>
  <c r="G255" i="239"/>
  <c r="G257" i="239" s="1"/>
  <c r="G259" i="239" s="1"/>
  <c r="AG254" i="239"/>
  <c r="AF254" i="239"/>
  <c r="U254" i="239"/>
  <c r="U255" i="239"/>
  <c r="T254" i="239"/>
  <c r="S254" i="239"/>
  <c r="S255" i="239"/>
  <c r="S257" i="239" s="1"/>
  <c r="S259" i="239" s="1"/>
  <c r="R254" i="239"/>
  <c r="R257" i="239"/>
  <c r="R259" i="239" s="1"/>
  <c r="Q254" i="239"/>
  <c r="P254" i="239"/>
  <c r="O254" i="239"/>
  <c r="O255" i="239"/>
  <c r="N254" i="239"/>
  <c r="M254" i="239"/>
  <c r="L254" i="239"/>
  <c r="K254" i="239"/>
  <c r="K255" i="239"/>
  <c r="J254" i="239"/>
  <c r="J255" i="239"/>
  <c r="J257" i="239" s="1"/>
  <c r="J259" i="239" s="1"/>
  <c r="I254" i="239"/>
  <c r="G254" i="239"/>
  <c r="AG249" i="239"/>
  <c r="AC249" i="239"/>
  <c r="AG247" i="239"/>
  <c r="AF247" i="239"/>
  <c r="AF249" i="239"/>
  <c r="AE247" i="239"/>
  <c r="AE249" i="239"/>
  <c r="AD247" i="239"/>
  <c r="AD249" i="239"/>
  <c r="AC247" i="239"/>
  <c r="AB247" i="239"/>
  <c r="AB249" i="239"/>
  <c r="AA247" i="239"/>
  <c r="AA249" i="239"/>
  <c r="Z247" i="239"/>
  <c r="Z249" i="239"/>
  <c r="R247" i="239"/>
  <c r="R249" i="239" s="1"/>
  <c r="U245" i="239"/>
  <c r="R245" i="239"/>
  <c r="Q245" i="239"/>
  <c r="M245" i="239"/>
  <c r="K245" i="239"/>
  <c r="I245" i="239"/>
  <c r="AG244" i="239"/>
  <c r="AF244" i="239"/>
  <c r="U244" i="239"/>
  <c r="T244" i="239"/>
  <c r="S244" i="239"/>
  <c r="S245" i="239"/>
  <c r="R244" i="239"/>
  <c r="Q244" i="239"/>
  <c r="P244" i="239"/>
  <c r="O244" i="239"/>
  <c r="N244" i="239"/>
  <c r="N245" i="239"/>
  <c r="N247" i="239"/>
  <c r="N249" i="239" s="1"/>
  <c r="M244" i="239"/>
  <c r="L244" i="239"/>
  <c r="K244" i="239"/>
  <c r="J244" i="239"/>
  <c r="J245" i="239"/>
  <c r="I244" i="239"/>
  <c r="I247" i="239"/>
  <c r="I249" i="239" s="1"/>
  <c r="G244" i="239"/>
  <c r="G245" i="239"/>
  <c r="AG239" i="239"/>
  <c r="AE239" i="239"/>
  <c r="AD239" i="239"/>
  <c r="AC239" i="239"/>
  <c r="AA239" i="239"/>
  <c r="AG237" i="239"/>
  <c r="AF237" i="239"/>
  <c r="AF239" i="239"/>
  <c r="AE237" i="239"/>
  <c r="AD237" i="239"/>
  <c r="AC237" i="239"/>
  <c r="AB237" i="239"/>
  <c r="AB239" i="239"/>
  <c r="AA237" i="239"/>
  <c r="Z237" i="239"/>
  <c r="Z239" i="239"/>
  <c r="R239" i="239"/>
  <c r="S235" i="239"/>
  <c r="Q235" i="239"/>
  <c r="M235" i="239"/>
  <c r="M237" i="239"/>
  <c r="M239" i="239" s="1"/>
  <c r="AG234" i="239"/>
  <c r="AF234" i="239"/>
  <c r="U234" i="239"/>
  <c r="T234" i="239"/>
  <c r="T235" i="239"/>
  <c r="T237" i="239" s="1"/>
  <c r="T239" i="239" s="1"/>
  <c r="S234" i="239"/>
  <c r="R234" i="239"/>
  <c r="R235" i="239"/>
  <c r="R237" i="239" s="1"/>
  <c r="Q234" i="239"/>
  <c r="P234" i="239"/>
  <c r="O234" i="239"/>
  <c r="O235" i="239"/>
  <c r="N234" i="239"/>
  <c r="N235" i="239"/>
  <c r="N237" i="239" s="1"/>
  <c r="N239" i="239" s="1"/>
  <c r="M234" i="239"/>
  <c r="L234" i="239"/>
  <c r="K234" i="239"/>
  <c r="J234" i="239"/>
  <c r="J235" i="239"/>
  <c r="I234" i="239"/>
  <c r="I235" i="239"/>
  <c r="I237" i="239" s="1"/>
  <c r="I239" i="239" s="1"/>
  <c r="G234" i="239"/>
  <c r="AF229" i="239"/>
  <c r="AB229" i="239"/>
  <c r="T229" i="239"/>
  <c r="AG227" i="239"/>
  <c r="AG229" i="239"/>
  <c r="AF227" i="239"/>
  <c r="AE227" i="239"/>
  <c r="AE229" i="239"/>
  <c r="AD227" i="239"/>
  <c r="AD229" i="239"/>
  <c r="AC227" i="239"/>
  <c r="AC229" i="239"/>
  <c r="AB227" i="239"/>
  <c r="AA227" i="239"/>
  <c r="AA229" i="239"/>
  <c r="Z227" i="239"/>
  <c r="Z229" i="239"/>
  <c r="I229" i="239"/>
  <c r="G229" i="239"/>
  <c r="U225" i="239"/>
  <c r="T225" i="239"/>
  <c r="T227" i="239" s="1"/>
  <c r="Q225" i="239"/>
  <c r="Q227" i="239" s="1"/>
  <c r="Q229" i="239" s="1"/>
  <c r="P225" i="239"/>
  <c r="P227" i="239" s="1"/>
  <c r="P229" i="239" s="1"/>
  <c r="M225" i="239"/>
  <c r="M227" i="239"/>
  <c r="M229" i="239" s="1"/>
  <c r="L225" i="239"/>
  <c r="AG224" i="239"/>
  <c r="AF224" i="239"/>
  <c r="U224" i="239"/>
  <c r="U227" i="239"/>
  <c r="U229" i="239" s="1"/>
  <c r="T224" i="239"/>
  <c r="S224" i="239"/>
  <c r="S225" i="239"/>
  <c r="R224" i="239"/>
  <c r="Q224" i="239"/>
  <c r="P224" i="239"/>
  <c r="O224" i="239"/>
  <c r="N224" i="239"/>
  <c r="N225" i="239"/>
  <c r="M224" i="239"/>
  <c r="L224" i="239"/>
  <c r="K224" i="239"/>
  <c r="K225" i="239"/>
  <c r="J224" i="239"/>
  <c r="I224" i="239"/>
  <c r="I225" i="239"/>
  <c r="I227" i="239" s="1"/>
  <c r="G224" i="239"/>
  <c r="G225" i="239"/>
  <c r="G227" i="239" s="1"/>
  <c r="AG219" i="239"/>
  <c r="AD219" i="239"/>
  <c r="AC219" i="239"/>
  <c r="Z219" i="239"/>
  <c r="AG217" i="239"/>
  <c r="AF217" i="239"/>
  <c r="AF219" i="239"/>
  <c r="AE217" i="239"/>
  <c r="AE219" i="239"/>
  <c r="AD217" i="239"/>
  <c r="AC217" i="239"/>
  <c r="AB217" i="239"/>
  <c r="AB219" i="239"/>
  <c r="AA217" i="239"/>
  <c r="AA219" i="239"/>
  <c r="Z217" i="239"/>
  <c r="O219" i="239"/>
  <c r="R215" i="239"/>
  <c r="Q215" i="239"/>
  <c r="Q217" i="239" s="1"/>
  <c r="Q219" i="239"/>
  <c r="N215" i="239"/>
  <c r="M215" i="239"/>
  <c r="M217" i="239" s="1"/>
  <c r="M219" i="239" s="1"/>
  <c r="I215" i="239"/>
  <c r="I217" i="239" s="1"/>
  <c r="I219" i="239" s="1"/>
  <c r="AG214" i="239"/>
  <c r="AF214" i="239"/>
  <c r="U214" i="239"/>
  <c r="U215" i="239"/>
  <c r="T214" i="239"/>
  <c r="S214" i="239"/>
  <c r="R214" i="239"/>
  <c r="Q214" i="239"/>
  <c r="P214" i="239"/>
  <c r="O214" i="239"/>
  <c r="O215" i="239"/>
  <c r="O217" i="239" s="1"/>
  <c r="N214" i="239"/>
  <c r="M214" i="239"/>
  <c r="L214" i="239"/>
  <c r="K214" i="239"/>
  <c r="J214" i="239"/>
  <c r="I214" i="239"/>
  <c r="G214" i="239"/>
  <c r="AE209" i="239"/>
  <c r="AD209" i="239"/>
  <c r="AC209" i="239"/>
  <c r="AA209" i="239"/>
  <c r="Z209" i="239"/>
  <c r="AG207" i="239"/>
  <c r="AG209" i="239"/>
  <c r="AF207" i="239"/>
  <c r="AF209" i="239"/>
  <c r="AE207" i="239"/>
  <c r="AD207" i="239"/>
  <c r="AC207" i="239"/>
  <c r="AB207" i="239"/>
  <c r="AB209" i="239"/>
  <c r="AA207" i="239"/>
  <c r="Z207" i="239"/>
  <c r="N207" i="239"/>
  <c r="N209" i="239" s="1"/>
  <c r="S205" i="239"/>
  <c r="Q205" i="239"/>
  <c r="O205" i="239"/>
  <c r="M205" i="239"/>
  <c r="M207" i="239" s="1"/>
  <c r="M209" i="239"/>
  <c r="K205" i="239"/>
  <c r="G205" i="239"/>
  <c r="AG204" i="239"/>
  <c r="AF204" i="239"/>
  <c r="U204" i="239"/>
  <c r="T204" i="239"/>
  <c r="T205" i="239"/>
  <c r="S204" i="239"/>
  <c r="R204" i="239"/>
  <c r="R205" i="239"/>
  <c r="R207" i="239" s="1"/>
  <c r="R209" i="239" s="1"/>
  <c r="Q204" i="239"/>
  <c r="P204" i="239"/>
  <c r="O204" i="239"/>
  <c r="N204" i="239"/>
  <c r="N205" i="239"/>
  <c r="M204" i="239"/>
  <c r="L204" i="239"/>
  <c r="L205" i="239"/>
  <c r="K204" i="239"/>
  <c r="K207" i="239"/>
  <c r="K209" i="239" s="1"/>
  <c r="J204" i="239"/>
  <c r="J205" i="239"/>
  <c r="I204" i="239"/>
  <c r="I205" i="239"/>
  <c r="G204" i="239"/>
  <c r="AG199" i="239"/>
  <c r="AF199" i="239"/>
  <c r="AE199" i="239"/>
  <c r="AC199" i="239"/>
  <c r="AB199" i="239"/>
  <c r="AA199" i="239"/>
  <c r="AG197" i="239"/>
  <c r="AF197" i="239"/>
  <c r="AE197" i="239"/>
  <c r="AD197" i="239"/>
  <c r="AD199" i="239"/>
  <c r="AC197" i="239"/>
  <c r="AB197" i="239"/>
  <c r="AA197" i="239"/>
  <c r="Z197" i="239"/>
  <c r="Z199" i="239"/>
  <c r="P197" i="239"/>
  <c r="P199" i="239" s="1"/>
  <c r="U195" i="239"/>
  <c r="S195" i="239"/>
  <c r="Q195" i="239"/>
  <c r="Q197" i="239" s="1"/>
  <c r="Q199" i="239" s="1"/>
  <c r="O195" i="239"/>
  <c r="O197" i="239" s="1"/>
  <c r="O199" i="239" s="1"/>
  <c r="N195" i="239"/>
  <c r="M195" i="239"/>
  <c r="J195" i="239"/>
  <c r="J197" i="239" s="1"/>
  <c r="J199" i="239" s="1"/>
  <c r="I195" i="239"/>
  <c r="AG194" i="239"/>
  <c r="AF194" i="239"/>
  <c r="U194" i="239"/>
  <c r="T194" i="239"/>
  <c r="T195" i="239"/>
  <c r="T197" i="239" s="1"/>
  <c r="T199" i="239" s="1"/>
  <c r="S194" i="239"/>
  <c r="S197" i="239"/>
  <c r="S199" i="239" s="1"/>
  <c r="R194" i="239"/>
  <c r="Q194" i="239"/>
  <c r="P194" i="239"/>
  <c r="P195" i="239"/>
  <c r="O194" i="239"/>
  <c r="N194" i="239"/>
  <c r="M194" i="239"/>
  <c r="M197" i="239"/>
  <c r="M199" i="239"/>
  <c r="L194" i="239"/>
  <c r="L195" i="239"/>
  <c r="L197" i="239" s="1"/>
  <c r="L199" i="239" s="1"/>
  <c r="K194" i="239"/>
  <c r="K195" i="239"/>
  <c r="K197" i="239" s="1"/>
  <c r="K199" i="239"/>
  <c r="J194" i="239"/>
  <c r="I194" i="239"/>
  <c r="I197" i="239"/>
  <c r="I199" i="239"/>
  <c r="G194" i="239"/>
  <c r="G195" i="239"/>
  <c r="AE189" i="239"/>
  <c r="AA189" i="239"/>
  <c r="Z189" i="239"/>
  <c r="AG187" i="239"/>
  <c r="AG189" i="239"/>
  <c r="AF187" i="239"/>
  <c r="AF189" i="239"/>
  <c r="AE187" i="239"/>
  <c r="AD187" i="239"/>
  <c r="AD189" i="239"/>
  <c r="AC187" i="239"/>
  <c r="AC189" i="239"/>
  <c r="AB187" i="239"/>
  <c r="AB189" i="239"/>
  <c r="AA187" i="239"/>
  <c r="Z187" i="239"/>
  <c r="U187" i="239"/>
  <c r="U189" i="239" s="1"/>
  <c r="U185" i="239"/>
  <c r="T185" i="239"/>
  <c r="S185" i="239"/>
  <c r="Q185" i="239"/>
  <c r="Q187" i="239" s="1"/>
  <c r="Q189" i="239" s="1"/>
  <c r="P185" i="239"/>
  <c r="P187" i="239" s="1"/>
  <c r="P189" i="239" s="1"/>
  <c r="O185" i="239"/>
  <c r="O187" i="239" s="1"/>
  <c r="K185" i="239"/>
  <c r="I185" i="239"/>
  <c r="G185" i="239"/>
  <c r="AG184" i="239"/>
  <c r="AF184" i="239"/>
  <c r="U184" i="239"/>
  <c r="T184" i="239"/>
  <c r="S184" i="239"/>
  <c r="S187" i="239"/>
  <c r="S189" i="239"/>
  <c r="R184" i="239"/>
  <c r="Q184" i="239"/>
  <c r="P184" i="239"/>
  <c r="O184" i="239"/>
  <c r="O189" i="239"/>
  <c r="N184" i="239"/>
  <c r="M184" i="239"/>
  <c r="M185" i="239"/>
  <c r="M187" i="239"/>
  <c r="M189" i="239" s="1"/>
  <c r="L184" i="239"/>
  <c r="L185" i="239"/>
  <c r="L187" i="239"/>
  <c r="L189" i="239" s="1"/>
  <c r="K184" i="239"/>
  <c r="K187" i="239"/>
  <c r="K189" i="239"/>
  <c r="J184" i="239"/>
  <c r="J185" i="239"/>
  <c r="J187" i="239" s="1"/>
  <c r="J189" i="239" s="1"/>
  <c r="I184" i="239"/>
  <c r="I187" i="239"/>
  <c r="I189" i="239" s="1"/>
  <c r="G184" i="239"/>
  <c r="G187" i="239"/>
  <c r="G189" i="239"/>
  <c r="AG179" i="239"/>
  <c r="AC179" i="239"/>
  <c r="AG177" i="239"/>
  <c r="AF177" i="239"/>
  <c r="AF179" i="239"/>
  <c r="AE177" i="239"/>
  <c r="AE179" i="239"/>
  <c r="AD177" i="239"/>
  <c r="AD179" i="239"/>
  <c r="AC177" i="239"/>
  <c r="AB177" i="239"/>
  <c r="AB179" i="239"/>
  <c r="AA177" i="239"/>
  <c r="AA179" i="239"/>
  <c r="Z177" i="239"/>
  <c r="Z179" i="239"/>
  <c r="R177" i="239"/>
  <c r="R179" i="239" s="1"/>
  <c r="N177" i="239"/>
  <c r="N179" i="239" s="1"/>
  <c r="U175" i="239"/>
  <c r="U177" i="239" s="1"/>
  <c r="U179" i="239" s="1"/>
  <c r="R175" i="239"/>
  <c r="Q175" i="239"/>
  <c r="N175" i="239"/>
  <c r="M175" i="239"/>
  <c r="I175" i="239"/>
  <c r="AG174" i="239"/>
  <c r="AF174" i="239"/>
  <c r="U174" i="239"/>
  <c r="T174" i="239"/>
  <c r="S174" i="239"/>
  <c r="S175" i="239"/>
  <c r="R174" i="239"/>
  <c r="Q174" i="239"/>
  <c r="P174" i="239"/>
  <c r="O174" i="239"/>
  <c r="N174" i="239"/>
  <c r="M174" i="239"/>
  <c r="L174" i="239"/>
  <c r="L175" i="239"/>
  <c r="K174" i="239"/>
  <c r="K175" i="239"/>
  <c r="J174" i="239"/>
  <c r="J175" i="239"/>
  <c r="J177" i="239"/>
  <c r="J179" i="239" s="1"/>
  <c r="I174" i="239"/>
  <c r="I177" i="239"/>
  <c r="I179" i="239" s="1"/>
  <c r="G174" i="239"/>
  <c r="AE169" i="239"/>
  <c r="AD169" i="239"/>
  <c r="AC169" i="239"/>
  <c r="AA169" i="239"/>
  <c r="Z169" i="239"/>
  <c r="K169" i="239"/>
  <c r="AG167" i="239"/>
  <c r="AG169" i="239"/>
  <c r="AF167" i="239"/>
  <c r="AF169" i="239"/>
  <c r="AE167" i="239"/>
  <c r="AD167" i="239"/>
  <c r="AC167" i="239"/>
  <c r="AB167" i="239"/>
  <c r="AB169" i="239"/>
  <c r="AA167" i="239"/>
  <c r="Z167" i="239"/>
  <c r="R167" i="239"/>
  <c r="R169" i="239" s="1"/>
  <c r="M167" i="239"/>
  <c r="M169" i="239" s="1"/>
  <c r="S165" i="239"/>
  <c r="Q165" i="239"/>
  <c r="O165" i="239"/>
  <c r="M165" i="239"/>
  <c r="K165" i="239"/>
  <c r="G165" i="239"/>
  <c r="AG164" i="239"/>
  <c r="AF164" i="239"/>
  <c r="U164" i="239"/>
  <c r="T164" i="239"/>
  <c r="T165" i="239"/>
  <c r="S164" i="239"/>
  <c r="R164" i="239"/>
  <c r="R165" i="239"/>
  <c r="Q164" i="239"/>
  <c r="P164" i="239"/>
  <c r="O164" i="239"/>
  <c r="N164" i="239"/>
  <c r="N165" i="239"/>
  <c r="N167" i="239" s="1"/>
  <c r="N169" i="239" s="1"/>
  <c r="M164" i="239"/>
  <c r="L164" i="239"/>
  <c r="K164" i="239"/>
  <c r="K167" i="239"/>
  <c r="J164" i="239"/>
  <c r="J165" i="239"/>
  <c r="I164" i="239"/>
  <c r="I165" i="239"/>
  <c r="G164" i="239"/>
  <c r="AG159" i="239"/>
  <c r="AF159" i="239"/>
  <c r="AE159" i="239"/>
  <c r="AC159" i="239"/>
  <c r="AB159" i="239"/>
  <c r="AA159" i="239"/>
  <c r="AG157" i="239"/>
  <c r="AF157" i="239"/>
  <c r="AE157" i="239"/>
  <c r="AD157" i="239"/>
  <c r="AD159" i="239"/>
  <c r="AC157" i="239"/>
  <c r="AB157" i="239"/>
  <c r="AA157" i="239"/>
  <c r="Z157" i="239"/>
  <c r="Z159" i="239"/>
  <c r="T157" i="239"/>
  <c r="T159" i="239" s="1"/>
  <c r="P157" i="239"/>
  <c r="P159" i="239" s="1"/>
  <c r="O159" i="239"/>
  <c r="U155" i="239"/>
  <c r="U157" i="239" s="1"/>
  <c r="U159" i="239" s="1"/>
  <c r="S155" i="239"/>
  <c r="Q155" i="239"/>
  <c r="O155" i="239"/>
  <c r="O157" i="239" s="1"/>
  <c r="N155" i="239"/>
  <c r="M155" i="239"/>
  <c r="J155" i="239"/>
  <c r="J157" i="239" s="1"/>
  <c r="J159" i="239" s="1"/>
  <c r="I155" i="239"/>
  <c r="AG154" i="239"/>
  <c r="AF154" i="239"/>
  <c r="U154" i="239"/>
  <c r="T154" i="239"/>
  <c r="T155" i="239"/>
  <c r="S154" i="239"/>
  <c r="S157" i="239"/>
  <c r="S159" i="239" s="1"/>
  <c r="R154" i="239"/>
  <c r="Q154" i="239"/>
  <c r="Q157" i="239"/>
  <c r="Q159" i="239" s="1"/>
  <c r="P154" i="239"/>
  <c r="P155" i="239"/>
  <c r="O154" i="239"/>
  <c r="N154" i="239"/>
  <c r="M154" i="239"/>
  <c r="M157" i="239"/>
  <c r="M159" i="239"/>
  <c r="L154" i="239"/>
  <c r="L155" i="239"/>
  <c r="L157" i="239" s="1"/>
  <c r="L159" i="239" s="1"/>
  <c r="K154" i="239"/>
  <c r="K155" i="239"/>
  <c r="K157" i="239" s="1"/>
  <c r="K159" i="239" s="1"/>
  <c r="J154" i="239"/>
  <c r="I154" i="239"/>
  <c r="I157" i="239"/>
  <c r="I159" i="239"/>
  <c r="G154" i="239"/>
  <c r="G155" i="239"/>
  <c r="AE149" i="239"/>
  <c r="AA149" i="239"/>
  <c r="Z149" i="239"/>
  <c r="AG147" i="239"/>
  <c r="AG149" i="239"/>
  <c r="AF147" i="239"/>
  <c r="AF149" i="239"/>
  <c r="AE147" i="239"/>
  <c r="AD147" i="239"/>
  <c r="AD149" i="239"/>
  <c r="AC147" i="239"/>
  <c r="AC149" i="239"/>
  <c r="AB147" i="239"/>
  <c r="AB149" i="239"/>
  <c r="AA147" i="239"/>
  <c r="Z147" i="239"/>
  <c r="U147" i="239"/>
  <c r="U149" i="239" s="1"/>
  <c r="P149" i="239"/>
  <c r="U145" i="239"/>
  <c r="T145" i="239"/>
  <c r="S145" i="239"/>
  <c r="Q145" i="239"/>
  <c r="Q147" i="239" s="1"/>
  <c r="Q149" i="239" s="1"/>
  <c r="P145" i="239"/>
  <c r="P147" i="239" s="1"/>
  <c r="O145" i="239"/>
  <c r="O147" i="239" s="1"/>
  <c r="O149" i="239" s="1"/>
  <c r="K145" i="239"/>
  <c r="I145" i="239"/>
  <c r="I147" i="239" s="1"/>
  <c r="I149" i="239" s="1"/>
  <c r="G145" i="239"/>
  <c r="AG144" i="239"/>
  <c r="AF144" i="239"/>
  <c r="U144" i="239"/>
  <c r="T144" i="239"/>
  <c r="S144" i="239"/>
  <c r="S147" i="239"/>
  <c r="S149" i="239"/>
  <c r="R144" i="239"/>
  <c r="Q144" i="239"/>
  <c r="P144" i="239"/>
  <c r="O144" i="239"/>
  <c r="N144" i="239"/>
  <c r="M144" i="239"/>
  <c r="M145" i="239"/>
  <c r="M147" i="239"/>
  <c r="M149" i="239" s="1"/>
  <c r="L144" i="239"/>
  <c r="L145" i="239"/>
  <c r="L147" i="239" s="1"/>
  <c r="L149" i="239" s="1"/>
  <c r="K144" i="239"/>
  <c r="K147" i="239"/>
  <c r="K149" i="239"/>
  <c r="J144" i="239"/>
  <c r="J145" i="239"/>
  <c r="J147" i="239" s="1"/>
  <c r="J149" i="239" s="1"/>
  <c r="I144" i="239"/>
  <c r="G144" i="239"/>
  <c r="G147" i="239"/>
  <c r="G149" i="239"/>
  <c r="AG139" i="239"/>
  <c r="AC139" i="239"/>
  <c r="AG137" i="239"/>
  <c r="AF137" i="239"/>
  <c r="AF139" i="239"/>
  <c r="AE137" i="239"/>
  <c r="AE139" i="239"/>
  <c r="AD137" i="239"/>
  <c r="AD139" i="239"/>
  <c r="AC137" i="239"/>
  <c r="AB137" i="239"/>
  <c r="AB139" i="239"/>
  <c r="AA137" i="239"/>
  <c r="AA139" i="239"/>
  <c r="Z137" i="239"/>
  <c r="Z139" i="239"/>
  <c r="S137" i="239"/>
  <c r="S139" i="239" s="1"/>
  <c r="N137" i="239"/>
  <c r="N139" i="239" s="1"/>
  <c r="L137" i="239"/>
  <c r="L139" i="239" s="1"/>
  <c r="U135" i="239"/>
  <c r="U137" i="239" s="1"/>
  <c r="R135" i="239"/>
  <c r="R137" i="239"/>
  <c r="R139" i="239" s="1"/>
  <c r="Q135" i="239"/>
  <c r="Q137" i="239" s="1"/>
  <c r="N135" i="239"/>
  <c r="M135" i="239"/>
  <c r="I135" i="239"/>
  <c r="AG134" i="239"/>
  <c r="AF134" i="239"/>
  <c r="U134" i="239"/>
  <c r="U139" i="239"/>
  <c r="T134" i="239"/>
  <c r="S134" i="239"/>
  <c r="S135" i="239"/>
  <c r="R134" i="239"/>
  <c r="Q134" i="239"/>
  <c r="P134" i="239"/>
  <c r="O134" i="239"/>
  <c r="N134" i="239"/>
  <c r="M134" i="239"/>
  <c r="L134" i="239"/>
  <c r="L135" i="239"/>
  <c r="K134" i="239"/>
  <c r="J134" i="239"/>
  <c r="J135" i="239"/>
  <c r="J137" i="239" s="1"/>
  <c r="J139" i="239"/>
  <c r="I134" i="239"/>
  <c r="I137" i="239"/>
  <c r="I139" i="239" s="1"/>
  <c r="G134" i="239"/>
  <c r="AE129" i="239"/>
  <c r="AD129" i="239"/>
  <c r="AC129" i="239"/>
  <c r="AA129" i="239"/>
  <c r="Z129" i="239"/>
  <c r="AG127" i="239"/>
  <c r="AG129" i="239"/>
  <c r="AF127" i="239"/>
  <c r="AF129" i="239"/>
  <c r="AE127" i="239"/>
  <c r="AD127" i="239"/>
  <c r="AC127" i="239"/>
  <c r="AB127" i="239"/>
  <c r="AB129" i="239"/>
  <c r="AA127" i="239"/>
  <c r="Z127" i="239"/>
  <c r="R127" i="239"/>
  <c r="R129" i="239" s="1"/>
  <c r="N127" i="239"/>
  <c r="N129" i="239" s="1"/>
  <c r="S125" i="239"/>
  <c r="Q125" i="239"/>
  <c r="O125" i="239"/>
  <c r="M125" i="239"/>
  <c r="M127" i="239" s="1"/>
  <c r="M129" i="239" s="1"/>
  <c r="K125" i="239"/>
  <c r="G125" i="239"/>
  <c r="AG124" i="239"/>
  <c r="AF124" i="239"/>
  <c r="U124" i="239"/>
  <c r="T124" i="239"/>
  <c r="S124" i="239"/>
  <c r="R124" i="239"/>
  <c r="R125" i="239"/>
  <c r="Q124" i="239"/>
  <c r="P124" i="239"/>
  <c r="O124" i="239"/>
  <c r="N124" i="239"/>
  <c r="N125" i="239"/>
  <c r="M124" i="239"/>
  <c r="L124" i="239"/>
  <c r="K124" i="239"/>
  <c r="K127" i="239"/>
  <c r="K129" i="239" s="1"/>
  <c r="J124" i="239"/>
  <c r="J125" i="239"/>
  <c r="I124" i="239"/>
  <c r="I125" i="239"/>
  <c r="G124" i="239"/>
  <c r="AG119" i="239"/>
  <c r="AF119" i="239"/>
  <c r="AE119" i="239"/>
  <c r="AC119" i="239"/>
  <c r="AB119" i="239"/>
  <c r="AA119" i="239"/>
  <c r="AG117" i="239"/>
  <c r="AF117" i="239"/>
  <c r="AE117" i="239"/>
  <c r="AD117" i="239"/>
  <c r="AD119" i="239"/>
  <c r="AC117" i="239"/>
  <c r="AB117" i="239"/>
  <c r="AA117" i="239"/>
  <c r="Z117" i="239"/>
  <c r="Z119" i="239"/>
  <c r="T117" i="239"/>
  <c r="T119" i="239" s="1"/>
  <c r="P117" i="239"/>
  <c r="P119" i="239" s="1"/>
  <c r="O119" i="239"/>
  <c r="U115" i="239"/>
  <c r="S115" i="239"/>
  <c r="O115" i="239"/>
  <c r="O117" i="239" s="1"/>
  <c r="J115" i="239"/>
  <c r="AG114" i="239"/>
  <c r="AF114" i="239"/>
  <c r="U114" i="239"/>
  <c r="T114" i="239"/>
  <c r="T115" i="239"/>
  <c r="S114" i="239"/>
  <c r="S117" i="239"/>
  <c r="S119" i="239" s="1"/>
  <c r="R114" i="239"/>
  <c r="Q114" i="239"/>
  <c r="P114" i="239"/>
  <c r="P115" i="239"/>
  <c r="O114" i="239"/>
  <c r="N114" i="239"/>
  <c r="M114" i="239"/>
  <c r="L114" i="239"/>
  <c r="L115" i="239"/>
  <c r="L117" i="239" s="1"/>
  <c r="L119" i="239" s="1"/>
  <c r="K114" i="239"/>
  <c r="K115" i="239"/>
  <c r="K117" i="239" s="1"/>
  <c r="K119" i="239" s="1"/>
  <c r="J114" i="239"/>
  <c r="I114" i="239"/>
  <c r="G114" i="239"/>
  <c r="G115" i="239"/>
  <c r="AG109" i="239"/>
  <c r="AF109" i="239"/>
  <c r="AD109" i="239"/>
  <c r="AC109" i="239"/>
  <c r="Z109" i="239"/>
  <c r="AG107" i="239"/>
  <c r="AF107" i="239"/>
  <c r="AE107" i="239"/>
  <c r="AE109" i="239"/>
  <c r="AD107" i="239"/>
  <c r="AC107" i="239"/>
  <c r="AB107" i="239"/>
  <c r="AB109" i="239"/>
  <c r="AA107" i="239"/>
  <c r="AA109" i="239"/>
  <c r="Z107" i="239"/>
  <c r="O109" i="239"/>
  <c r="R105" i="239"/>
  <c r="N105" i="239"/>
  <c r="J105" i="239"/>
  <c r="AG104" i="239"/>
  <c r="AF104" i="239"/>
  <c r="U104" i="239"/>
  <c r="U105" i="239"/>
  <c r="T104" i="239"/>
  <c r="T105" i="239"/>
  <c r="S104" i="239"/>
  <c r="R104" i="239"/>
  <c r="Q104" i="239"/>
  <c r="Q105" i="239"/>
  <c r="P104" i="239"/>
  <c r="P105" i="239"/>
  <c r="O104" i="239"/>
  <c r="O105" i="239"/>
  <c r="O107" i="239" s="1"/>
  <c r="N104" i="239"/>
  <c r="M104" i="239"/>
  <c r="M105" i="239"/>
  <c r="M107" i="239" s="1"/>
  <c r="L104" i="239"/>
  <c r="L105" i="239"/>
  <c r="K104" i="239"/>
  <c r="J104" i="239"/>
  <c r="I104" i="239"/>
  <c r="I105" i="239"/>
  <c r="G104" i="239"/>
  <c r="G105" i="239"/>
  <c r="G107" i="239" s="1"/>
  <c r="G109" i="239" s="1"/>
  <c r="AF99" i="239"/>
  <c r="AE99" i="239"/>
  <c r="AD99" i="239"/>
  <c r="AB99" i="239"/>
  <c r="AA99" i="239"/>
  <c r="Z99" i="239"/>
  <c r="AG97" i="239"/>
  <c r="AG99" i="239"/>
  <c r="AF97" i="239"/>
  <c r="AE97" i="239"/>
  <c r="AD97" i="239"/>
  <c r="AC97" i="239"/>
  <c r="AC99" i="239"/>
  <c r="AB97" i="239"/>
  <c r="AA97" i="239"/>
  <c r="Z97" i="239"/>
  <c r="T95" i="239"/>
  <c r="P95" i="239"/>
  <c r="L95" i="239"/>
  <c r="AG94" i="239"/>
  <c r="AF94" i="239"/>
  <c r="U94" i="239"/>
  <c r="U95" i="239"/>
  <c r="U97" i="239"/>
  <c r="U99" i="239" s="1"/>
  <c r="T94" i="239"/>
  <c r="T97" i="239"/>
  <c r="T99" i="239"/>
  <c r="S94" i="239"/>
  <c r="S95" i="239"/>
  <c r="R94" i="239"/>
  <c r="R95" i="239"/>
  <c r="Q94" i="239"/>
  <c r="Q95" i="239"/>
  <c r="Q97" i="239" s="1"/>
  <c r="Q99" i="239"/>
  <c r="P94" i="239"/>
  <c r="P97" i="239"/>
  <c r="P99" i="239" s="1"/>
  <c r="O94" i="239"/>
  <c r="O95" i="239"/>
  <c r="N94" i="239"/>
  <c r="N95" i="239"/>
  <c r="M94" i="239"/>
  <c r="M95" i="239"/>
  <c r="M97" i="239"/>
  <c r="M99" i="239" s="1"/>
  <c r="L94" i="239"/>
  <c r="L97" i="239"/>
  <c r="L99" i="239"/>
  <c r="K94" i="239"/>
  <c r="K95" i="239"/>
  <c r="K97" i="239" s="1"/>
  <c r="J94" i="239"/>
  <c r="J95" i="239"/>
  <c r="I94" i="239"/>
  <c r="I95" i="239"/>
  <c r="I97" i="239" s="1"/>
  <c r="I99" i="239" s="1"/>
  <c r="G94" i="239"/>
  <c r="G95" i="239"/>
  <c r="AG89" i="239"/>
  <c r="AF89" i="239"/>
  <c r="AD89" i="239"/>
  <c r="AC89" i="239"/>
  <c r="AB89" i="239"/>
  <c r="Z89" i="239"/>
  <c r="AG87" i="239"/>
  <c r="AF87" i="239"/>
  <c r="AE87" i="239"/>
  <c r="AE89" i="239"/>
  <c r="AD87" i="239"/>
  <c r="AC87" i="239"/>
  <c r="AB87" i="239"/>
  <c r="AA87" i="239"/>
  <c r="AA89" i="239"/>
  <c r="Z87" i="239"/>
  <c r="T89" i="239"/>
  <c r="S85" i="239"/>
  <c r="R85" i="239"/>
  <c r="O85" i="239"/>
  <c r="N85" i="239"/>
  <c r="K85" i="239"/>
  <c r="J85" i="239"/>
  <c r="J87" i="239" s="1"/>
  <c r="J89" i="239" s="1"/>
  <c r="G85" i="239"/>
  <c r="AG84" i="239"/>
  <c r="AF84" i="239"/>
  <c r="U84" i="239"/>
  <c r="U85" i="239"/>
  <c r="T84" i="239"/>
  <c r="T85" i="239"/>
  <c r="T87" i="239" s="1"/>
  <c r="S84" i="239"/>
  <c r="S87" i="239"/>
  <c r="S89" i="239"/>
  <c r="R84" i="239"/>
  <c r="R87" i="239"/>
  <c r="R89" i="239" s="1"/>
  <c r="Q84" i="239"/>
  <c r="Q85" i="239"/>
  <c r="P84" i="239"/>
  <c r="P85" i="239"/>
  <c r="O84" i="239"/>
  <c r="O87" i="239"/>
  <c r="O89" i="239"/>
  <c r="N84" i="239"/>
  <c r="N87" i="239"/>
  <c r="N89" i="239" s="1"/>
  <c r="M84" i="239"/>
  <c r="M85" i="239"/>
  <c r="L84" i="239"/>
  <c r="L85" i="239"/>
  <c r="L87" i="239" s="1"/>
  <c r="L89" i="239" s="1"/>
  <c r="K84" i="239"/>
  <c r="K87" i="239"/>
  <c r="K89" i="239"/>
  <c r="J84" i="239"/>
  <c r="I84" i="239"/>
  <c r="I85" i="239"/>
  <c r="G84" i="239"/>
  <c r="G87" i="239"/>
  <c r="G89" i="239"/>
  <c r="AF79" i="239"/>
  <c r="AE79" i="239"/>
  <c r="AB79" i="239"/>
  <c r="AA79" i="239"/>
  <c r="AG77" i="239"/>
  <c r="AG79" i="239"/>
  <c r="AF77" i="239"/>
  <c r="AE77" i="239"/>
  <c r="AD77" i="239"/>
  <c r="AD79" i="239"/>
  <c r="AC77" i="239"/>
  <c r="AC79" i="239"/>
  <c r="AB77" i="239"/>
  <c r="AA77" i="239"/>
  <c r="Z77" i="239"/>
  <c r="J77" i="239"/>
  <c r="J79" i="239" s="1"/>
  <c r="U75" i="239"/>
  <c r="T75" i="239"/>
  <c r="P75" i="239"/>
  <c r="P77" i="239" s="1"/>
  <c r="M75" i="239"/>
  <c r="L75" i="239"/>
  <c r="L77" i="239" s="1"/>
  <c r="AG74" i="239"/>
  <c r="AF74" i="239"/>
  <c r="U74" i="239"/>
  <c r="U77" i="239"/>
  <c r="U79" i="239" s="1"/>
  <c r="T74" i="239"/>
  <c r="T77" i="239"/>
  <c r="T79" i="239"/>
  <c r="S74" i="239"/>
  <c r="S75" i="239"/>
  <c r="R74" i="239"/>
  <c r="R75" i="239"/>
  <c r="R77" i="239" s="1"/>
  <c r="R79" i="239" s="1"/>
  <c r="Q74" i="239"/>
  <c r="P74" i="239"/>
  <c r="P79" i="239"/>
  <c r="O74" i="239"/>
  <c r="O75" i="239"/>
  <c r="N74" i="239"/>
  <c r="N75" i="239"/>
  <c r="N77" i="239" s="1"/>
  <c r="N79" i="239" s="1"/>
  <c r="M74" i="239"/>
  <c r="M77" i="239"/>
  <c r="M79" i="239" s="1"/>
  <c r="L74" i="239"/>
  <c r="L79" i="239"/>
  <c r="K74" i="239"/>
  <c r="K75" i="239"/>
  <c r="J74" i="239"/>
  <c r="J75" i="239"/>
  <c r="I74" i="239"/>
  <c r="G74" i="239"/>
  <c r="G75" i="239"/>
  <c r="AG69" i="239"/>
  <c r="AD69" i="239"/>
  <c r="AC69" i="239"/>
  <c r="Z69" i="239"/>
  <c r="AG67" i="239"/>
  <c r="AF67" i="239"/>
  <c r="AF69" i="239"/>
  <c r="AE67" i="239"/>
  <c r="AE69" i="239"/>
  <c r="AD67" i="239"/>
  <c r="AC67" i="239"/>
  <c r="AB67" i="239"/>
  <c r="AB69" i="239"/>
  <c r="AA67" i="239"/>
  <c r="AA69" i="239"/>
  <c r="Z67" i="239"/>
  <c r="T67" i="239"/>
  <c r="T69" i="239" s="1"/>
  <c r="K67" i="239"/>
  <c r="K69" i="239" s="1"/>
  <c r="R65" i="239"/>
  <c r="N65" i="239"/>
  <c r="J65" i="239"/>
  <c r="AG64" i="239"/>
  <c r="AF64" i="239"/>
  <c r="U64" i="239"/>
  <c r="U65" i="239"/>
  <c r="T64" i="239"/>
  <c r="T65" i="239"/>
  <c r="S64" i="239"/>
  <c r="S65" i="239"/>
  <c r="S67" i="239" s="1"/>
  <c r="S69" i="239" s="1"/>
  <c r="R64" i="239"/>
  <c r="Q64" i="239"/>
  <c r="Q65" i="239"/>
  <c r="P64" i="239"/>
  <c r="P65" i="239"/>
  <c r="O64" i="239"/>
  <c r="N64" i="239"/>
  <c r="M64" i="239"/>
  <c r="M65" i="239"/>
  <c r="L64" i="239"/>
  <c r="L65" i="239"/>
  <c r="L67" i="239" s="1"/>
  <c r="L69" i="239" s="1"/>
  <c r="K64" i="239"/>
  <c r="K65" i="239"/>
  <c r="J64" i="239"/>
  <c r="I64" i="239"/>
  <c r="I65" i="239"/>
  <c r="G64" i="239"/>
  <c r="G65" i="239"/>
  <c r="AE59" i="239"/>
  <c r="AD59" i="239"/>
  <c r="AA59" i="239"/>
  <c r="Z59" i="239"/>
  <c r="AG57" i="239"/>
  <c r="AG59" i="239"/>
  <c r="AF57" i="239"/>
  <c r="AF59" i="239"/>
  <c r="AE57" i="239"/>
  <c r="AD57" i="239"/>
  <c r="AC57" i="239"/>
  <c r="AC59" i="239"/>
  <c r="AB57" i="239"/>
  <c r="AB59" i="239"/>
  <c r="AA57" i="239"/>
  <c r="Z57" i="239"/>
  <c r="Q59" i="239"/>
  <c r="T55" i="239"/>
  <c r="P55" i="239"/>
  <c r="P57" i="239" s="1"/>
  <c r="L55" i="239"/>
  <c r="AG54" i="239"/>
  <c r="AF54" i="239"/>
  <c r="U54" i="239"/>
  <c r="U55" i="239"/>
  <c r="U57" i="239"/>
  <c r="U59" i="239" s="1"/>
  <c r="T54" i="239"/>
  <c r="T57" i="239"/>
  <c r="T59" i="239"/>
  <c r="S54" i="239"/>
  <c r="S55" i="239"/>
  <c r="R54" i="239"/>
  <c r="Q54" i="239"/>
  <c r="Q55" i="239"/>
  <c r="Q57" i="239" s="1"/>
  <c r="P54" i="239"/>
  <c r="P59" i="239"/>
  <c r="O54" i="239"/>
  <c r="O55" i="239"/>
  <c r="N54" i="239"/>
  <c r="M54" i="239"/>
  <c r="M55" i="239"/>
  <c r="M57" i="239"/>
  <c r="M59" i="239" s="1"/>
  <c r="L54" i="239"/>
  <c r="L57" i="239"/>
  <c r="L59" i="239"/>
  <c r="K54" i="239"/>
  <c r="K55" i="239"/>
  <c r="J54" i="239"/>
  <c r="I54" i="239"/>
  <c r="I55" i="239"/>
  <c r="I57" i="239" s="1"/>
  <c r="I59" i="239" s="1"/>
  <c r="G54" i="239"/>
  <c r="G55" i="239"/>
  <c r="AF49" i="239"/>
  <c r="AC49" i="239"/>
  <c r="AG47" i="239"/>
  <c r="AG49" i="239"/>
  <c r="AF47" i="239"/>
  <c r="AE47" i="239"/>
  <c r="AE49" i="239"/>
  <c r="AD47" i="239"/>
  <c r="AD49" i="239"/>
  <c r="AC47" i="239"/>
  <c r="AB47" i="239"/>
  <c r="AB49" i="239"/>
  <c r="AA47" i="239"/>
  <c r="AA49" i="239"/>
  <c r="Z47" i="239"/>
  <c r="Z49" i="239"/>
  <c r="M49" i="239"/>
  <c r="I49" i="239"/>
  <c r="T45" i="239"/>
  <c r="R45" i="239"/>
  <c r="R47" i="239" s="1"/>
  <c r="R49" i="239" s="1"/>
  <c r="P45" i="239"/>
  <c r="N45" i="239"/>
  <c r="N47" i="239" s="1"/>
  <c r="L45" i="239"/>
  <c r="J45" i="239"/>
  <c r="J47" i="239" s="1"/>
  <c r="J49" i="239" s="1"/>
  <c r="AG44" i="239"/>
  <c r="AF44" i="239"/>
  <c r="U44" i="239"/>
  <c r="U45" i="239"/>
  <c r="U47" i="239" s="1"/>
  <c r="U49" i="239" s="1"/>
  <c r="T44" i="239"/>
  <c r="T47" i="239"/>
  <c r="T49" i="239" s="1"/>
  <c r="S44" i="239"/>
  <c r="S45" i="239"/>
  <c r="S47" i="239" s="1"/>
  <c r="S49" i="239" s="1"/>
  <c r="R44" i="239"/>
  <c r="Q44" i="239"/>
  <c r="Q45" i="239"/>
  <c r="Q47" i="239" s="1"/>
  <c r="Q49" i="239" s="1"/>
  <c r="P44" i="239"/>
  <c r="P47" i="239"/>
  <c r="P49" i="239" s="1"/>
  <c r="O44" i="239"/>
  <c r="O45" i="239"/>
  <c r="N44" i="239"/>
  <c r="N49" i="239"/>
  <c r="M44" i="239"/>
  <c r="M45" i="239"/>
  <c r="M47" i="239" s="1"/>
  <c r="L44" i="239"/>
  <c r="L47" i="239"/>
  <c r="L49" i="239" s="1"/>
  <c r="K44" i="239"/>
  <c r="K45" i="239"/>
  <c r="K47" i="239" s="1"/>
  <c r="K49" i="239" s="1"/>
  <c r="J44" i="239"/>
  <c r="I44" i="239"/>
  <c r="I45" i="239"/>
  <c r="I47" i="239" s="1"/>
  <c r="G44" i="239"/>
  <c r="G45" i="239"/>
  <c r="AF39" i="239"/>
  <c r="AD39" i="239"/>
  <c r="AB39" i="239"/>
  <c r="Z39" i="239"/>
  <c r="T39" i="239"/>
  <c r="AG37" i="239"/>
  <c r="AG39" i="239"/>
  <c r="AF37" i="239"/>
  <c r="AE37" i="239"/>
  <c r="AE39" i="239"/>
  <c r="AD37" i="239"/>
  <c r="AC37" i="239"/>
  <c r="AC39" i="239"/>
  <c r="AB37" i="239"/>
  <c r="AA37" i="239"/>
  <c r="AA39" i="239"/>
  <c r="Z37" i="239"/>
  <c r="T35" i="239"/>
  <c r="R35" i="239"/>
  <c r="P35" i="239"/>
  <c r="N35" i="239"/>
  <c r="L35" i="239"/>
  <c r="J35" i="239"/>
  <c r="AG34" i="239"/>
  <c r="AF34" i="239"/>
  <c r="U34" i="239"/>
  <c r="U35" i="239"/>
  <c r="U37" i="239" s="1"/>
  <c r="T34" i="239"/>
  <c r="T37" i="239"/>
  <c r="S34" i="239"/>
  <c r="S35" i="239"/>
  <c r="S37" i="239" s="1"/>
  <c r="R34" i="239"/>
  <c r="Q34" i="239"/>
  <c r="Q35" i="239"/>
  <c r="P34" i="239"/>
  <c r="P37" i="239"/>
  <c r="P39" i="239" s="1"/>
  <c r="O34" i="239"/>
  <c r="O35" i="239"/>
  <c r="N34" i="239"/>
  <c r="M34" i="239"/>
  <c r="M35" i="239"/>
  <c r="L34" i="239"/>
  <c r="L37" i="239"/>
  <c r="L39" i="239" s="1"/>
  <c r="K34" i="239"/>
  <c r="K35" i="239"/>
  <c r="K37" i="239" s="1"/>
  <c r="K39" i="239" s="1"/>
  <c r="J34" i="239"/>
  <c r="I34" i="239"/>
  <c r="I35" i="239"/>
  <c r="G34" i="239"/>
  <c r="G35" i="239"/>
  <c r="AF29" i="239"/>
  <c r="AD29" i="239"/>
  <c r="AB29" i="239"/>
  <c r="Z29" i="239"/>
  <c r="AG27" i="239"/>
  <c r="AG29" i="239"/>
  <c r="AF27" i="239"/>
  <c r="AE27" i="239"/>
  <c r="AE29" i="239"/>
  <c r="AD27" i="239"/>
  <c r="AC27" i="239"/>
  <c r="AC29" i="239"/>
  <c r="AB27" i="239"/>
  <c r="AA27" i="239"/>
  <c r="AA29" i="239"/>
  <c r="Z27" i="239"/>
  <c r="T25" i="239"/>
  <c r="R25" i="239"/>
  <c r="P25" i="239"/>
  <c r="N25" i="239"/>
  <c r="L25" i="239"/>
  <c r="L27" i="239" s="1"/>
  <c r="J25" i="239"/>
  <c r="AG24" i="239"/>
  <c r="AF24" i="239"/>
  <c r="U24" i="239"/>
  <c r="T24" i="239"/>
  <c r="T300" i="239"/>
  <c r="P123" i="211" s="1"/>
  <c r="S24" i="239"/>
  <c r="R24" i="239"/>
  <c r="Q24" i="239"/>
  <c r="P24" i="239"/>
  <c r="O24" i="239"/>
  <c r="N24" i="239"/>
  <c r="M24" i="239"/>
  <c r="L24" i="239"/>
  <c r="L29" i="239"/>
  <c r="K24" i="239"/>
  <c r="J24" i="239"/>
  <c r="I24" i="239"/>
  <c r="G24" i="239"/>
  <c r="AG19" i="239"/>
  <c r="AF19" i="239"/>
  <c r="AE19" i="239"/>
  <c r="AD19" i="239"/>
  <c r="AB19" i="239"/>
  <c r="Z19" i="239"/>
  <c r="Z19" i="239" a="1"/>
  <c r="AC19" i="239"/>
  <c r="U19" i="239"/>
  <c r="S19" i="239"/>
  <c r="R19" i="239"/>
  <c r="Q19" i="239"/>
  <c r="Q19" i="239" a="1"/>
  <c r="T19" i="239"/>
  <c r="P19" i="239"/>
  <c r="O19" i="239"/>
  <c r="N19" i="239"/>
  <c r="M19" i="239"/>
  <c r="L19" i="239"/>
  <c r="H19" i="239"/>
  <c r="G19" i="239" a="1"/>
  <c r="J19" i="239"/>
  <c r="Z17" i="239"/>
  <c r="O17" i="239"/>
  <c r="S39" i="239"/>
  <c r="J55" i="239"/>
  <c r="J57" i="239"/>
  <c r="J59" i="239"/>
  <c r="N55" i="239"/>
  <c r="N57" i="239"/>
  <c r="N59" i="239" s="1"/>
  <c r="R55" i="239"/>
  <c r="R57" i="239" s="1"/>
  <c r="R59" i="239" s="1"/>
  <c r="I117" i="239"/>
  <c r="I119" i="239" s="1"/>
  <c r="I115" i="239"/>
  <c r="M115" i="239"/>
  <c r="M117" i="239"/>
  <c r="M119" i="239" s="1"/>
  <c r="Q115" i="239"/>
  <c r="Q117" i="239" s="1"/>
  <c r="Q119" i="239" s="1"/>
  <c r="U117" i="239"/>
  <c r="U119" i="239"/>
  <c r="I300" i="239"/>
  <c r="I25" i="239"/>
  <c r="I301" i="239" s="1"/>
  <c r="M300" i="239"/>
  <c r="M25" i="239"/>
  <c r="Q300" i="239"/>
  <c r="M123" i="211" s="1"/>
  <c r="Q25" i="239"/>
  <c r="Q301" i="239" s="1"/>
  <c r="M124" i="211" s="1"/>
  <c r="U300" i="239"/>
  <c r="Q123" i="211" s="1"/>
  <c r="U25" i="239"/>
  <c r="N37" i="239"/>
  <c r="N39" i="239"/>
  <c r="M37" i="239"/>
  <c r="M39" i="239"/>
  <c r="U39" i="239"/>
  <c r="G47" i="239"/>
  <c r="G49" i="239"/>
  <c r="O47" i="239"/>
  <c r="O49" i="239"/>
  <c r="O65" i="239"/>
  <c r="O67" i="239"/>
  <c r="O69" i="239" s="1"/>
  <c r="G67" i="239"/>
  <c r="G69" i="239" s="1"/>
  <c r="K105" i="239"/>
  <c r="K107" i="239" s="1"/>
  <c r="K109" i="239" s="1"/>
  <c r="S105" i="239"/>
  <c r="S107" i="239"/>
  <c r="S109" i="239" s="1"/>
  <c r="J117" i="239"/>
  <c r="J119" i="239" s="1"/>
  <c r="G37" i="239"/>
  <c r="G39" i="239" s="1"/>
  <c r="O37" i="239"/>
  <c r="O39" i="239" s="1"/>
  <c r="Z304" i="239"/>
  <c r="Z79" i="239"/>
  <c r="Z306" i="239"/>
  <c r="L127" i="239"/>
  <c r="L129" i="239"/>
  <c r="L125" i="239"/>
  <c r="P125" i="239"/>
  <c r="P127" i="239" s="1"/>
  <c r="P129" i="239"/>
  <c r="T125" i="239"/>
  <c r="K19" i="239"/>
  <c r="G19" i="239"/>
  <c r="I19" i="239"/>
  <c r="G25" i="239"/>
  <c r="K300" i="239"/>
  <c r="K25" i="239"/>
  <c r="O300" i="239"/>
  <c r="K123" i="211" s="1"/>
  <c r="O25" i="239"/>
  <c r="S300" i="239"/>
  <c r="S25" i="239"/>
  <c r="S27" i="239" s="1"/>
  <c r="G27" i="239"/>
  <c r="O27" i="239"/>
  <c r="I37" i="239"/>
  <c r="I39" i="239" s="1"/>
  <c r="Q37" i="239"/>
  <c r="Q39" i="239"/>
  <c r="I75" i="239"/>
  <c r="I77" i="239"/>
  <c r="I79" i="239"/>
  <c r="Q75" i="239"/>
  <c r="Q77" i="239"/>
  <c r="Q79" i="239"/>
  <c r="P87" i="239"/>
  <c r="P89" i="239" s="1"/>
  <c r="O135" i="239"/>
  <c r="O137" i="239"/>
  <c r="O139" i="239"/>
  <c r="P165" i="239"/>
  <c r="P167" i="239"/>
  <c r="P169" i="239"/>
  <c r="S177" i="239"/>
  <c r="S179" i="239" s="1"/>
  <c r="U197" i="239"/>
  <c r="U199" i="239"/>
  <c r="S217" i="239"/>
  <c r="S219" i="239" s="1"/>
  <c r="S215" i="239"/>
  <c r="R225" i="239"/>
  <c r="R227" i="239"/>
  <c r="R229" i="239" s="1"/>
  <c r="AA19" i="239"/>
  <c r="P300" i="239"/>
  <c r="L123" i="211" s="1"/>
  <c r="P27" i="239"/>
  <c r="P29" i="239" s="1"/>
  <c r="P67" i="239"/>
  <c r="P69" i="239" s="1"/>
  <c r="N97" i="239"/>
  <c r="N99" i="239"/>
  <c r="J107" i="239"/>
  <c r="J109" i="239" s="1"/>
  <c r="N107" i="239"/>
  <c r="N109" i="239"/>
  <c r="R107" i="239"/>
  <c r="R109" i="239" s="1"/>
  <c r="L107" i="239"/>
  <c r="L109" i="239"/>
  <c r="T107" i="239"/>
  <c r="T109" i="239" s="1"/>
  <c r="P135" i="239"/>
  <c r="P137" i="239"/>
  <c r="P139" i="239"/>
  <c r="T135" i="239"/>
  <c r="T137" i="239"/>
  <c r="T139" i="239"/>
  <c r="G135" i="239"/>
  <c r="G137" i="239" s="1"/>
  <c r="G139" i="239" s="1"/>
  <c r="T147" i="239"/>
  <c r="T149" i="239"/>
  <c r="Q167" i="239"/>
  <c r="Q169" i="239"/>
  <c r="U165" i="239"/>
  <c r="U167" i="239"/>
  <c r="U169" i="239" s="1"/>
  <c r="I167" i="239"/>
  <c r="I169" i="239"/>
  <c r="T167" i="239"/>
  <c r="T169" i="239" s="1"/>
  <c r="L177" i="239"/>
  <c r="L179" i="239"/>
  <c r="N185" i="239"/>
  <c r="R185" i="239"/>
  <c r="R187" i="239"/>
  <c r="R189" i="239" s="1"/>
  <c r="N197" i="239"/>
  <c r="N199" i="239"/>
  <c r="R195" i="239"/>
  <c r="R197" i="239" s="1"/>
  <c r="R199" i="239" s="1"/>
  <c r="L215" i="239"/>
  <c r="L217" i="239"/>
  <c r="L219" i="239" s="1"/>
  <c r="P219" i="239"/>
  <c r="P215" i="239"/>
  <c r="P217" i="239" s="1"/>
  <c r="T215" i="239"/>
  <c r="T217" i="239"/>
  <c r="T219" i="239"/>
  <c r="G215" i="239"/>
  <c r="G217" i="239" s="1"/>
  <c r="G219" i="239" s="1"/>
  <c r="N227" i="239"/>
  <c r="N229" i="239"/>
  <c r="K177" i="239"/>
  <c r="K179" i="239"/>
  <c r="O175" i="239"/>
  <c r="O177" i="239"/>
  <c r="O179" i="239" s="1"/>
  <c r="L207" i="239"/>
  <c r="L209" i="239"/>
  <c r="P205" i="239"/>
  <c r="P207" i="239" s="1"/>
  <c r="P209" i="239" s="1"/>
  <c r="L300" i="239"/>
  <c r="J300" i="239"/>
  <c r="N300" i="239"/>
  <c r="R300" i="239"/>
  <c r="N123" i="211" s="1"/>
  <c r="J27" i="239"/>
  <c r="N27" i="239"/>
  <c r="R27" i="239"/>
  <c r="R29" i="239"/>
  <c r="J67" i="239"/>
  <c r="J69" i="239" s="1"/>
  <c r="N67" i="239"/>
  <c r="N69" i="239"/>
  <c r="R67" i="239"/>
  <c r="R69" i="239" s="1"/>
  <c r="J97" i="239"/>
  <c r="J99" i="239"/>
  <c r="R97" i="239"/>
  <c r="R99" i="239" s="1"/>
  <c r="P107" i="239"/>
  <c r="P109" i="239"/>
  <c r="N117" i="239"/>
  <c r="N119" i="239" s="1"/>
  <c r="R115" i="239"/>
  <c r="R117" i="239"/>
  <c r="R119" i="239"/>
  <c r="N115" i="239"/>
  <c r="Q127" i="239"/>
  <c r="Q129" i="239"/>
  <c r="U125" i="239"/>
  <c r="U127" i="239"/>
  <c r="U129" i="239"/>
  <c r="I127" i="239"/>
  <c r="I129" i="239" s="1"/>
  <c r="K135" i="239"/>
  <c r="K137" i="239" s="1"/>
  <c r="N145" i="239"/>
  <c r="N147" i="239"/>
  <c r="N149" i="239" s="1"/>
  <c r="R145" i="239"/>
  <c r="R147" i="239" s="1"/>
  <c r="R149" i="239"/>
  <c r="N157" i="239"/>
  <c r="N159" i="239" s="1"/>
  <c r="R155" i="239"/>
  <c r="R157" i="239"/>
  <c r="R159" i="239" s="1"/>
  <c r="L165" i="239"/>
  <c r="L167" i="239" s="1"/>
  <c r="P175" i="239"/>
  <c r="P177" i="239"/>
  <c r="P179" i="239" s="1"/>
  <c r="T175" i="239"/>
  <c r="T177" i="239"/>
  <c r="T179" i="239"/>
  <c r="G175" i="239"/>
  <c r="G177" i="239" s="1"/>
  <c r="G179" i="239" s="1"/>
  <c r="T187" i="239"/>
  <c r="T189" i="239"/>
  <c r="Q207" i="239"/>
  <c r="Q209" i="239" s="1"/>
  <c r="U205" i="239"/>
  <c r="U207" i="239"/>
  <c r="U209" i="239"/>
  <c r="I207" i="239"/>
  <c r="I209" i="239" s="1"/>
  <c r="T207" i="239"/>
  <c r="T209" i="239"/>
  <c r="K215" i="239"/>
  <c r="K217" i="239" s="1"/>
  <c r="K219" i="239" s="1"/>
  <c r="J225" i="239"/>
  <c r="J227" i="239"/>
  <c r="J229" i="239" s="1"/>
  <c r="G235" i="239"/>
  <c r="G237" i="239" s="1"/>
  <c r="G239" i="239" s="1"/>
  <c r="N295" i="239"/>
  <c r="N297" i="239" s="1"/>
  <c r="N299" i="239" s="1"/>
  <c r="R295" i="239"/>
  <c r="R297" i="239" s="1"/>
  <c r="R299" i="239" s="1"/>
  <c r="G57" i="239"/>
  <c r="G59" i="239"/>
  <c r="K57" i="239"/>
  <c r="K59" i="239"/>
  <c r="O57" i="239"/>
  <c r="O59" i="239"/>
  <c r="S57" i="239"/>
  <c r="S59" i="239"/>
  <c r="I67" i="239"/>
  <c r="I69" i="239"/>
  <c r="M67" i="239"/>
  <c r="M69" i="239"/>
  <c r="Q67" i="239"/>
  <c r="Q69" i="239"/>
  <c r="U67" i="239"/>
  <c r="U69" i="239"/>
  <c r="G77" i="239"/>
  <c r="G79" i="239"/>
  <c r="K77" i="239"/>
  <c r="K79" i="239"/>
  <c r="O77" i="239"/>
  <c r="O79" i="239"/>
  <c r="S77" i="239"/>
  <c r="S79" i="239"/>
  <c r="I87" i="239"/>
  <c r="I89" i="239"/>
  <c r="M87" i="239"/>
  <c r="M89" i="239"/>
  <c r="Q87" i="239"/>
  <c r="Q89" i="239"/>
  <c r="U87" i="239"/>
  <c r="U89" i="239"/>
  <c r="G97" i="239"/>
  <c r="G99" i="239"/>
  <c r="K99" i="239"/>
  <c r="O97" i="239"/>
  <c r="O99" i="239"/>
  <c r="S97" i="239"/>
  <c r="S99" i="239"/>
  <c r="I107" i="239"/>
  <c r="I109" i="239"/>
  <c r="M109" i="239"/>
  <c r="Q107" i="239"/>
  <c r="Q109" i="239" s="1"/>
  <c r="U107" i="239"/>
  <c r="U109" i="239"/>
  <c r="G117" i="239"/>
  <c r="G119" i="239" s="1"/>
  <c r="J127" i="239"/>
  <c r="J129" i="239"/>
  <c r="M137" i="239"/>
  <c r="M139" i="239" s="1"/>
  <c r="Q139" i="239"/>
  <c r="G157" i="239"/>
  <c r="G159" i="239" s="1"/>
  <c r="J167" i="239"/>
  <c r="J169" i="239"/>
  <c r="M177" i="239"/>
  <c r="M179" i="239" s="1"/>
  <c r="Q177" i="239"/>
  <c r="Q179" i="239"/>
  <c r="G197" i="239"/>
  <c r="G199" i="239" s="1"/>
  <c r="J207" i="239"/>
  <c r="J209" i="239"/>
  <c r="O225" i="239"/>
  <c r="O301" i="239" s="1"/>
  <c r="K124" i="211" s="1"/>
  <c r="K227" i="239"/>
  <c r="K229" i="239"/>
  <c r="L237" i="239"/>
  <c r="L239" i="239" s="1"/>
  <c r="P235" i="239"/>
  <c r="P237" i="239" s="1"/>
  <c r="P239" i="239" s="1"/>
  <c r="K247" i="239"/>
  <c r="K249" i="239"/>
  <c r="O245" i="239"/>
  <c r="O247" i="239"/>
  <c r="O249" i="239" s="1"/>
  <c r="G247" i="239"/>
  <c r="G249" i="239" s="1"/>
  <c r="S247" i="239"/>
  <c r="S249" i="239" s="1"/>
  <c r="J275" i="239"/>
  <c r="J277" i="239"/>
  <c r="J279" i="239" s="1"/>
  <c r="R277" i="239"/>
  <c r="R279" i="239"/>
  <c r="G127" i="239"/>
  <c r="G129" i="239" s="1"/>
  <c r="O127" i="239"/>
  <c r="O129" i="239"/>
  <c r="S127" i="239"/>
  <c r="S129" i="239" s="1"/>
  <c r="G167" i="239"/>
  <c r="G169" i="239"/>
  <c r="O167" i="239"/>
  <c r="S167" i="239"/>
  <c r="S169" i="239"/>
  <c r="G207" i="239"/>
  <c r="G209" i="239" s="1"/>
  <c r="O207" i="239"/>
  <c r="O209" i="239"/>
  <c r="S207" i="239"/>
  <c r="S209" i="239" s="1"/>
  <c r="N217" i="239"/>
  <c r="N219" i="239"/>
  <c r="R217" i="239"/>
  <c r="R219" i="239"/>
  <c r="J215" i="239"/>
  <c r="J217" i="239" s="1"/>
  <c r="J219" i="239" s="1"/>
  <c r="L227" i="239"/>
  <c r="L229" i="239" s="1"/>
  <c r="S227" i="239"/>
  <c r="S229" i="239" s="1"/>
  <c r="L235" i="239"/>
  <c r="L245" i="239"/>
  <c r="L247" i="239"/>
  <c r="L249" i="239" s="1"/>
  <c r="P245" i="239"/>
  <c r="P247" i="239" s="1"/>
  <c r="P249" i="239"/>
  <c r="T245" i="239"/>
  <c r="T247" i="239" s="1"/>
  <c r="T249" i="239" s="1"/>
  <c r="M257" i="239"/>
  <c r="M259" i="239"/>
  <c r="N277" i="239"/>
  <c r="N279" i="239" s="1"/>
  <c r="G265" i="239"/>
  <c r="G267" i="239" s="1"/>
  <c r="G269" i="239" s="1"/>
  <c r="K267" i="239"/>
  <c r="K269" i="239"/>
  <c r="S267" i="239"/>
  <c r="S269" i="239"/>
  <c r="S265" i="239"/>
  <c r="U217" i="239"/>
  <c r="U219" i="239"/>
  <c r="Q237" i="239"/>
  <c r="Q239" i="239" s="1"/>
  <c r="U235" i="239"/>
  <c r="U237" i="239" s="1"/>
  <c r="U239" i="239" s="1"/>
  <c r="N255" i="239"/>
  <c r="N257" i="239"/>
  <c r="N259" i="239" s="1"/>
  <c r="G285" i="239"/>
  <c r="G287" i="239" s="1"/>
  <c r="G289" i="239" s="1"/>
  <c r="O285" i="239"/>
  <c r="O287" i="239" s="1"/>
  <c r="O289" i="239" s="1"/>
  <c r="S285" i="239"/>
  <c r="S287" i="239"/>
  <c r="S289" i="239" s="1"/>
  <c r="M295" i="239"/>
  <c r="M297" i="239"/>
  <c r="M299" i="239"/>
  <c r="U297" i="239"/>
  <c r="U299" i="239" s="1"/>
  <c r="U295" i="239"/>
  <c r="I295" i="239"/>
  <c r="I297" i="239"/>
  <c r="I299" i="239" s="1"/>
  <c r="J237" i="239"/>
  <c r="J239" i="239" s="1"/>
  <c r="M247" i="239"/>
  <c r="M249" i="239" s="1"/>
  <c r="Q247" i="239"/>
  <c r="Q249" i="239" s="1"/>
  <c r="U247" i="239"/>
  <c r="U249" i="239" s="1"/>
  <c r="J247" i="239"/>
  <c r="J249" i="239"/>
  <c r="L257" i="239"/>
  <c r="L259" i="239" s="1"/>
  <c r="P255" i="239"/>
  <c r="P257" i="239"/>
  <c r="P259" i="239" s="1"/>
  <c r="M255" i="239"/>
  <c r="T255" i="239"/>
  <c r="T257" i="239"/>
  <c r="T259" i="239" s="1"/>
  <c r="P267" i="239"/>
  <c r="P269" i="239"/>
  <c r="L265" i="239"/>
  <c r="L267" i="239" s="1"/>
  <c r="L269" i="239" s="1"/>
  <c r="O275" i="239"/>
  <c r="O277" i="239"/>
  <c r="O279" i="239" s="1"/>
  <c r="K277" i="239"/>
  <c r="K279" i="239"/>
  <c r="T287" i="239"/>
  <c r="T289" i="239" s="1"/>
  <c r="T285" i="239"/>
  <c r="S295" i="239"/>
  <c r="S297" i="239"/>
  <c r="S299" i="239" s="1"/>
  <c r="K297" i="239"/>
  <c r="K299" i="239"/>
  <c r="O237" i="239"/>
  <c r="O239" i="239" s="1"/>
  <c r="S237" i="239"/>
  <c r="S239" i="239"/>
  <c r="K235" i="239"/>
  <c r="K237" i="239" s="1"/>
  <c r="K239" i="239" s="1"/>
  <c r="Q257" i="239"/>
  <c r="Q259" i="239"/>
  <c r="U257" i="239"/>
  <c r="U259" i="239" s="1"/>
  <c r="U265" i="239"/>
  <c r="U267" i="239"/>
  <c r="U269" i="239" s="1"/>
  <c r="M267" i="239"/>
  <c r="M269" i="239"/>
  <c r="L277" i="239"/>
  <c r="L279" i="239" s="1"/>
  <c r="K257" i="239"/>
  <c r="K259" i="239"/>
  <c r="N267" i="239"/>
  <c r="N269" i="239" s="1"/>
  <c r="R267" i="239"/>
  <c r="R269" i="239"/>
  <c r="I287" i="239"/>
  <c r="I289" i="239" s="1"/>
  <c r="L297" i="239"/>
  <c r="L299" i="239"/>
  <c r="P297" i="239"/>
  <c r="P299" i="239" s="1"/>
  <c r="T297" i="239"/>
  <c r="T299" i="239"/>
  <c r="L169" i="239"/>
  <c r="S304" i="239"/>
  <c r="S29" i="239"/>
  <c r="U301" i="239"/>
  <c r="Q124" i="211" s="1"/>
  <c r="U27" i="239"/>
  <c r="M27" i="239"/>
  <c r="N29" i="239"/>
  <c r="T127" i="239"/>
  <c r="T129" i="239" s="1"/>
  <c r="Q27" i="239"/>
  <c r="O29" i="239"/>
  <c r="G29" i="239"/>
  <c r="G306" i="239"/>
  <c r="S301" i="239"/>
  <c r="O124" i="211" s="1"/>
  <c r="K27" i="239"/>
  <c r="K29" i="239"/>
  <c r="U29" i="239"/>
  <c r="U304" i="239"/>
  <c r="M304" i="239"/>
  <c r="M29" i="239"/>
  <c r="M306" i="239" s="1"/>
  <c r="AH843" i="187"/>
  <c r="AH848" i="187"/>
  <c r="P30" i="245"/>
  <c r="P29" i="245"/>
  <c r="P28" i="245"/>
  <c r="P27" i="245"/>
  <c r="P26" i="245"/>
  <c r="P25" i="245"/>
  <c r="P24" i="245"/>
  <c r="P23" i="245"/>
  <c r="P22" i="245"/>
  <c r="P46" i="245"/>
  <c r="P45" i="245"/>
  <c r="P44" i="245"/>
  <c r="V286" i="205"/>
  <c r="U286" i="205"/>
  <c r="T286" i="205"/>
  <c r="S286" i="205"/>
  <c r="R286" i="205"/>
  <c r="Q286" i="205"/>
  <c r="P286" i="205"/>
  <c r="O286" i="205"/>
  <c r="N286" i="205"/>
  <c r="M286" i="205"/>
  <c r="L286" i="205"/>
  <c r="K286" i="205"/>
  <c r="J286" i="205"/>
  <c r="I286" i="205"/>
  <c r="H286" i="205"/>
  <c r="G286" i="205"/>
  <c r="V284" i="205"/>
  <c r="U284" i="205"/>
  <c r="T284" i="205"/>
  <c r="S284" i="205"/>
  <c r="R284" i="205"/>
  <c r="Q284" i="205"/>
  <c r="P284" i="205"/>
  <c r="O284" i="205"/>
  <c r="N284" i="205"/>
  <c r="M284" i="205"/>
  <c r="L284" i="205"/>
  <c r="K284" i="205"/>
  <c r="J284" i="205"/>
  <c r="I284" i="205"/>
  <c r="H284" i="205"/>
  <c r="G284" i="205"/>
  <c r="V283" i="205"/>
  <c r="U283" i="205"/>
  <c r="T283" i="205"/>
  <c r="S283" i="205"/>
  <c r="R283" i="205"/>
  <c r="Q283" i="205"/>
  <c r="P283" i="205"/>
  <c r="O283" i="205"/>
  <c r="N283" i="205"/>
  <c r="M283" i="205"/>
  <c r="L283" i="205"/>
  <c r="K283" i="205"/>
  <c r="J283" i="205"/>
  <c r="I283" i="205"/>
  <c r="H283" i="205"/>
  <c r="G283" i="205"/>
  <c r="F55" i="249"/>
  <c r="G55" i="249"/>
  <c r="H55" i="249"/>
  <c r="I55" i="249"/>
  <c r="E55" i="249"/>
  <c r="F34" i="249"/>
  <c r="G34" i="249"/>
  <c r="H34" i="249"/>
  <c r="I34" i="249"/>
  <c r="F35" i="249"/>
  <c r="G35" i="249"/>
  <c r="H35" i="249"/>
  <c r="I35" i="249"/>
  <c r="E35" i="249"/>
  <c r="E34" i="249"/>
  <c r="C37" i="218"/>
  <c r="D90" i="218"/>
  <c r="E90" i="218"/>
  <c r="F90" i="218"/>
  <c r="G90" i="218"/>
  <c r="H90" i="218"/>
  <c r="I90" i="218"/>
  <c r="J90" i="218"/>
  <c r="K90" i="218"/>
  <c r="L90" i="218"/>
  <c r="C90" i="218"/>
  <c r="B132" i="191"/>
  <c r="B127" i="191"/>
  <c r="B126" i="191"/>
  <c r="B125" i="191"/>
  <c r="B119" i="191"/>
  <c r="B114" i="191"/>
  <c r="B113" i="191"/>
  <c r="B112" i="191"/>
  <c r="B101" i="191"/>
  <c r="B91" i="191"/>
  <c r="B90" i="191"/>
  <c r="B89" i="191"/>
  <c r="B78" i="191"/>
  <c r="B68" i="191"/>
  <c r="B67" i="191"/>
  <c r="B66" i="191"/>
  <c r="B55" i="191"/>
  <c r="B45" i="191"/>
  <c r="B44" i="191"/>
  <c r="B43" i="191"/>
  <c r="B32" i="191"/>
  <c r="B22" i="191"/>
  <c r="B20" i="191"/>
  <c r="B19" i="191"/>
  <c r="I13796" i="263"/>
  <c r="I11283" i="263"/>
  <c r="H10119" i="263"/>
  <c r="I9401" i="263"/>
  <c r="H6477" i="263"/>
  <c r="I3237" i="263"/>
  <c r="I2068" i="263"/>
  <c r="H2060" i="263"/>
  <c r="M1686" i="263" a="1"/>
  <c r="L1686" i="263"/>
  <c r="K1686" i="263"/>
  <c r="J1686" i="263"/>
  <c r="I1686" i="263"/>
  <c r="H1686" i="263"/>
  <c r="E1686" i="263"/>
  <c r="C1686" i="263" a="1"/>
  <c r="D1686" i="263" s="1"/>
  <c r="M1672" i="263" a="1"/>
  <c r="L1672" i="263"/>
  <c r="K1672" i="263"/>
  <c r="J1672" i="263"/>
  <c r="I1672" i="263"/>
  <c r="H1672" i="263"/>
  <c r="C1672" i="263" a="1"/>
  <c r="M1658" i="263"/>
  <c r="M1658" i="263" a="1"/>
  <c r="N1658" i="263" s="1"/>
  <c r="L1658" i="263"/>
  <c r="K1658" i="263"/>
  <c r="J1658" i="263"/>
  <c r="I1658" i="263"/>
  <c r="H1658" i="263"/>
  <c r="G1658" i="263"/>
  <c r="F1658" i="263"/>
  <c r="C1658" i="263"/>
  <c r="C1658" i="263" a="1"/>
  <c r="O1644" i="263"/>
  <c r="N1644" i="263"/>
  <c r="M1644" i="263" a="1"/>
  <c r="P1644" i="263" s="1"/>
  <c r="L1644" i="263"/>
  <c r="K1644" i="263"/>
  <c r="J1644" i="263"/>
  <c r="I1644" i="263"/>
  <c r="H1644" i="263"/>
  <c r="G1644" i="263"/>
  <c r="E1644" i="263"/>
  <c r="C1644" i="263"/>
  <c r="C1644" i="263" a="1"/>
  <c r="D1644" i="263" s="1"/>
  <c r="F1644" i="263"/>
  <c r="O1630" i="263"/>
  <c r="M1630" i="263" a="1"/>
  <c r="P1630" i="263" s="1"/>
  <c r="L1630" i="263"/>
  <c r="K1630" i="263"/>
  <c r="J1630" i="263"/>
  <c r="I1630" i="263"/>
  <c r="H1630" i="263"/>
  <c r="D1630" i="263"/>
  <c r="C1630" i="263" a="1"/>
  <c r="E1630" i="263" s="1"/>
  <c r="M1616" i="263"/>
  <c r="M1616" i="263" a="1"/>
  <c r="Q1616" i="263" s="1"/>
  <c r="L1616" i="263"/>
  <c r="K1616" i="263"/>
  <c r="J1616" i="263"/>
  <c r="I1616" i="263"/>
  <c r="H1616" i="263"/>
  <c r="E1616" i="263"/>
  <c r="C1616" i="263" a="1"/>
  <c r="F1616" i="263" s="1"/>
  <c r="O1602" i="263"/>
  <c r="N1602" i="263"/>
  <c r="M1602" i="263"/>
  <c r="M1602" i="263" a="1"/>
  <c r="Q1602" i="263" s="1"/>
  <c r="P1602" i="263"/>
  <c r="L1602" i="263"/>
  <c r="K1602" i="263"/>
  <c r="J1602" i="263"/>
  <c r="I1602" i="263"/>
  <c r="H1602" i="263"/>
  <c r="C1602" i="263" a="1"/>
  <c r="N1588" i="263"/>
  <c r="M1588" i="263" a="1"/>
  <c r="O1588" i="263" s="1"/>
  <c r="L1588" i="263"/>
  <c r="K1588" i="263"/>
  <c r="J1588" i="263"/>
  <c r="I1588" i="263"/>
  <c r="H1588" i="263"/>
  <c r="C1588" i="263" a="1"/>
  <c r="M1574" i="263" a="1"/>
  <c r="L1574" i="263"/>
  <c r="K1574" i="263"/>
  <c r="J1574" i="263"/>
  <c r="I1574" i="263"/>
  <c r="H1574" i="263"/>
  <c r="E1574" i="263"/>
  <c r="D1574" i="263"/>
  <c r="C1574" i="263" a="1"/>
  <c r="F1574" i="263" s="1"/>
  <c r="M1560" i="263" a="1"/>
  <c r="L1560" i="263"/>
  <c r="K1560" i="263"/>
  <c r="J1560" i="263"/>
  <c r="I1560" i="263"/>
  <c r="H1560" i="263"/>
  <c r="C1560" i="263" a="1"/>
  <c r="O1546" i="263"/>
  <c r="N1546" i="263"/>
  <c r="M1546" i="263"/>
  <c r="M1546" i="263" a="1"/>
  <c r="Q1546" i="263" s="1"/>
  <c r="P1546" i="263"/>
  <c r="L1546" i="263"/>
  <c r="K1546" i="263"/>
  <c r="J1546" i="263"/>
  <c r="I1546" i="263"/>
  <c r="H1546" i="263"/>
  <c r="G1546" i="263"/>
  <c r="C1546" i="263"/>
  <c r="C1546" i="263" a="1"/>
  <c r="F1546" i="263" s="1"/>
  <c r="M1532" i="263" a="1"/>
  <c r="L1532" i="263"/>
  <c r="K1532" i="263"/>
  <c r="J1532" i="263"/>
  <c r="I1532" i="263"/>
  <c r="H1532" i="263"/>
  <c r="E1532" i="263"/>
  <c r="D1532" i="263"/>
  <c r="C1532" i="263"/>
  <c r="C1532" i="263" a="1"/>
  <c r="G1532" i="263" s="1"/>
  <c r="F1532" i="263"/>
  <c r="P1518" i="263"/>
  <c r="O1518" i="263"/>
  <c r="M1518" i="263" a="1"/>
  <c r="L1518" i="263"/>
  <c r="K1518" i="263"/>
  <c r="J1518" i="263"/>
  <c r="I1518" i="263"/>
  <c r="H1518" i="263"/>
  <c r="E1518" i="263"/>
  <c r="D1518" i="263"/>
  <c r="C1518" i="263" a="1"/>
  <c r="F1518" i="263"/>
  <c r="P1504" i="263"/>
  <c r="M1504" i="263"/>
  <c r="M1504" i="263" a="1"/>
  <c r="Q1504" i="263"/>
  <c r="L1504" i="263"/>
  <c r="K1504" i="263"/>
  <c r="J1504" i="263"/>
  <c r="I1504" i="263"/>
  <c r="H1504" i="263"/>
  <c r="F1504" i="263"/>
  <c r="C1504" i="263" a="1"/>
  <c r="E1504" i="263" s="1"/>
  <c r="O1490" i="263"/>
  <c r="M1490" i="263"/>
  <c r="M1490" i="263" a="1"/>
  <c r="N1490" i="263" s="1"/>
  <c r="L1490" i="263"/>
  <c r="K1490" i="263"/>
  <c r="J1490" i="263"/>
  <c r="I1490" i="263"/>
  <c r="H1490" i="263"/>
  <c r="G1490" i="263"/>
  <c r="C1490" i="263" a="1"/>
  <c r="M1476" i="263" a="1"/>
  <c r="L1476" i="263"/>
  <c r="K1476" i="263"/>
  <c r="J1476" i="263"/>
  <c r="I1476" i="263"/>
  <c r="H1476" i="263"/>
  <c r="E1476" i="263"/>
  <c r="D1476" i="263"/>
  <c r="C1476" i="263"/>
  <c r="C1476" i="263" a="1"/>
  <c r="G1476" i="263" s="1"/>
  <c r="F1476" i="263"/>
  <c r="M1462" i="263" a="1"/>
  <c r="L1462" i="263"/>
  <c r="K1462" i="263"/>
  <c r="J1462" i="263"/>
  <c r="I1462" i="263"/>
  <c r="H1462" i="263"/>
  <c r="D1462" i="263"/>
  <c r="C1462" i="263" a="1"/>
  <c r="E1462" i="263" s="1"/>
  <c r="F1462" i="263"/>
  <c r="M1448" i="263" a="1"/>
  <c r="Q1448" i="263" s="1"/>
  <c r="L1448" i="263"/>
  <c r="K1448" i="263"/>
  <c r="J1448" i="263"/>
  <c r="I1448" i="263"/>
  <c r="H1448" i="263"/>
  <c r="C1448" i="263" a="1"/>
  <c r="O1434" i="263"/>
  <c r="N1434" i="263"/>
  <c r="M1434" i="263"/>
  <c r="M1434" i="263" a="1"/>
  <c r="Q1434" i="263" s="1"/>
  <c r="P1434" i="263"/>
  <c r="L1434" i="263"/>
  <c r="K1434" i="263"/>
  <c r="J1434" i="263"/>
  <c r="I1434" i="263"/>
  <c r="H1434" i="263"/>
  <c r="F1434" i="263"/>
  <c r="C1434" i="263" a="1"/>
  <c r="C1434" i="263" s="1"/>
  <c r="G1434" i="263"/>
  <c r="O1420" i="263"/>
  <c r="M1420" i="263" a="1"/>
  <c r="N1420" i="263" s="1"/>
  <c r="L1420" i="263"/>
  <c r="K1420" i="263"/>
  <c r="J1420" i="263"/>
  <c r="I1420" i="263"/>
  <c r="H1420" i="263"/>
  <c r="E1420" i="263"/>
  <c r="D1420" i="263"/>
  <c r="C1420" i="263"/>
  <c r="C1420" i="263" a="1"/>
  <c r="G1420" i="263" s="1"/>
  <c r="F1420" i="263"/>
  <c r="P1406" i="263"/>
  <c r="O1406" i="263"/>
  <c r="M1406" i="263" a="1"/>
  <c r="L1406" i="263"/>
  <c r="K1406" i="263"/>
  <c r="J1406" i="263"/>
  <c r="I1406" i="263"/>
  <c r="H1406" i="263"/>
  <c r="E1406" i="263"/>
  <c r="D1406" i="263"/>
  <c r="C1406" i="263" a="1"/>
  <c r="F1406" i="263"/>
  <c r="P1392" i="263"/>
  <c r="M1392" i="263"/>
  <c r="M1392" i="263" a="1"/>
  <c r="Q1392" i="263"/>
  <c r="L1392" i="263"/>
  <c r="K1392" i="263"/>
  <c r="J1392" i="263"/>
  <c r="I1392" i="263"/>
  <c r="H1392" i="263"/>
  <c r="C1392" i="263" a="1"/>
  <c r="M1378" i="263" a="1"/>
  <c r="L1378" i="263"/>
  <c r="K1378" i="263"/>
  <c r="J1378" i="263"/>
  <c r="I1378" i="263"/>
  <c r="H1378" i="263"/>
  <c r="C1378" i="263" a="1"/>
  <c r="G1378" i="263"/>
  <c r="O1364" i="263"/>
  <c r="M1364" i="263" a="1"/>
  <c r="N1364" i="263" s="1"/>
  <c r="L1364" i="263"/>
  <c r="K1364" i="263"/>
  <c r="J1364" i="263"/>
  <c r="I1364" i="263"/>
  <c r="H1364" i="263"/>
  <c r="E1364" i="263"/>
  <c r="D1364" i="263"/>
  <c r="C1364" i="263"/>
  <c r="C1364" i="263" a="1"/>
  <c r="G1364" i="263" s="1"/>
  <c r="F1364" i="263"/>
  <c r="M1350" i="263" a="1"/>
  <c r="L1350" i="263"/>
  <c r="K1350" i="263"/>
  <c r="J1350" i="263"/>
  <c r="I1350" i="263"/>
  <c r="H1350" i="263"/>
  <c r="D1350" i="263"/>
  <c r="C1350" i="263" a="1"/>
  <c r="E1350" i="263" s="1"/>
  <c r="M1336" i="263" a="1"/>
  <c r="Q1336" i="263"/>
  <c r="L1336" i="263"/>
  <c r="K1336" i="263"/>
  <c r="J1336" i="263"/>
  <c r="I1336" i="263"/>
  <c r="H1336" i="263"/>
  <c r="C1336" i="263" a="1"/>
  <c r="O1322" i="263"/>
  <c r="N1322" i="263"/>
  <c r="M1322" i="263"/>
  <c r="M1322" i="263" a="1"/>
  <c r="Q1322" i="263" s="1"/>
  <c r="P1322" i="263"/>
  <c r="L1322" i="263"/>
  <c r="K1322" i="263"/>
  <c r="J1322" i="263"/>
  <c r="I1322" i="263"/>
  <c r="H1322" i="263"/>
  <c r="F1322" i="263"/>
  <c r="C1322" i="263"/>
  <c r="C1322" i="263" a="1"/>
  <c r="D1322" i="263" s="1"/>
  <c r="E1322" i="263"/>
  <c r="O1308" i="263"/>
  <c r="N1308" i="263"/>
  <c r="M1308" i="263" a="1"/>
  <c r="P1308" i="263" s="1"/>
  <c r="L1308" i="263"/>
  <c r="K1308" i="263"/>
  <c r="J1308" i="263"/>
  <c r="I1308" i="263"/>
  <c r="H1308" i="263"/>
  <c r="C1308" i="263" a="1"/>
  <c r="O1294" i="263"/>
  <c r="M1294" i="263" a="1"/>
  <c r="M1294" i="263" s="1"/>
  <c r="N1294" i="263"/>
  <c r="L1294" i="263"/>
  <c r="K1294" i="263"/>
  <c r="J1294" i="263"/>
  <c r="I1294" i="263"/>
  <c r="H1294" i="263"/>
  <c r="C1294" i="263" a="1"/>
  <c r="P1280" i="263"/>
  <c r="M1280" i="263" a="1"/>
  <c r="Q1280" i="263" s="1"/>
  <c r="L1280" i="263"/>
  <c r="K1280" i="263"/>
  <c r="J1280" i="263"/>
  <c r="I1280" i="263"/>
  <c r="H1280" i="263"/>
  <c r="C1280" i="263"/>
  <c r="C1280" i="263" a="1"/>
  <c r="E1280" i="263" s="1"/>
  <c r="O1266" i="263"/>
  <c r="N1266" i="263"/>
  <c r="M1266" i="263"/>
  <c r="M1266" i="263" a="1"/>
  <c r="Q1266" i="263" s="1"/>
  <c r="P1266" i="263"/>
  <c r="L1266" i="263"/>
  <c r="K1266" i="263"/>
  <c r="J1266" i="263"/>
  <c r="I1266" i="263"/>
  <c r="H1266" i="263"/>
  <c r="G1266" i="263"/>
  <c r="C1266" i="263" a="1"/>
  <c r="C1266" i="263" s="1"/>
  <c r="M1252" i="263" a="1"/>
  <c r="N1252" i="263"/>
  <c r="L1252" i="263"/>
  <c r="K1252" i="263"/>
  <c r="J1252" i="263"/>
  <c r="I1252" i="263"/>
  <c r="H1252" i="263"/>
  <c r="D1252" i="263"/>
  <c r="C1252" i="263" a="1"/>
  <c r="C1252" i="263" s="1"/>
  <c r="M1238" i="263" a="1"/>
  <c r="L1238" i="263"/>
  <c r="K1238" i="263"/>
  <c r="J1238" i="263"/>
  <c r="I1238" i="263"/>
  <c r="H1238" i="263"/>
  <c r="C1238" i="263" a="1"/>
  <c r="D1238" i="263" s="1"/>
  <c r="M1224" i="263"/>
  <c r="M1224" i="263" a="1"/>
  <c r="O1224" i="263" s="1"/>
  <c r="L1224" i="263"/>
  <c r="K1224" i="263"/>
  <c r="J1224" i="263"/>
  <c r="I1224" i="263"/>
  <c r="H1224" i="263"/>
  <c r="C1224" i="263" a="1"/>
  <c r="Q1210" i="263"/>
  <c r="M1210" i="263"/>
  <c r="M1210" i="263" a="1"/>
  <c r="N1210" i="263" s="1"/>
  <c r="L1210" i="263"/>
  <c r="K1210" i="263"/>
  <c r="J1210" i="263"/>
  <c r="I1210" i="263"/>
  <c r="H1210" i="263"/>
  <c r="C1210" i="263" a="1"/>
  <c r="C1210" i="263" s="1"/>
  <c r="N1196" i="263"/>
  <c r="M1196" i="263"/>
  <c r="M1196" i="263" a="1"/>
  <c r="L1196" i="263"/>
  <c r="K1196" i="263"/>
  <c r="J1196" i="263"/>
  <c r="I1196" i="263"/>
  <c r="H1196" i="263"/>
  <c r="G1196" i="263"/>
  <c r="D1196" i="263"/>
  <c r="C1196" i="263" a="1"/>
  <c r="C1196" i="263" s="1"/>
  <c r="P1182" i="263"/>
  <c r="M1182" i="263" a="1"/>
  <c r="O1182" i="263" s="1"/>
  <c r="L1182" i="263"/>
  <c r="K1182" i="263"/>
  <c r="J1182" i="263"/>
  <c r="I1182" i="263"/>
  <c r="H1182" i="263"/>
  <c r="D1182" i="263"/>
  <c r="C1182" i="263"/>
  <c r="C1182" i="263" a="1"/>
  <c r="M1168" i="263" a="1"/>
  <c r="L1168" i="263"/>
  <c r="K1168" i="263"/>
  <c r="J1168" i="263"/>
  <c r="I1168" i="263"/>
  <c r="H1168" i="263"/>
  <c r="C1168" i="263" a="1"/>
  <c r="M1154" i="263" a="1"/>
  <c r="L1154" i="263"/>
  <c r="K1154" i="263"/>
  <c r="J1154" i="263"/>
  <c r="I1154" i="263"/>
  <c r="H1154" i="263"/>
  <c r="C1154" i="263" a="1"/>
  <c r="N1140" i="263"/>
  <c r="M1140" i="263"/>
  <c r="M1140" i="263" a="1"/>
  <c r="L1140" i="263"/>
  <c r="K1140" i="263"/>
  <c r="J1140" i="263"/>
  <c r="I1140" i="263"/>
  <c r="H1140" i="263"/>
  <c r="G1140" i="263"/>
  <c r="D1140" i="263"/>
  <c r="C1140" i="263" a="1"/>
  <c r="C1140" i="263" s="1"/>
  <c r="P1126" i="263"/>
  <c r="M1126" i="263" a="1"/>
  <c r="O1126" i="263" s="1"/>
  <c r="L1126" i="263"/>
  <c r="K1126" i="263"/>
  <c r="J1126" i="263"/>
  <c r="I1126" i="263"/>
  <c r="H1126" i="263"/>
  <c r="D1126" i="263"/>
  <c r="C1126" i="263"/>
  <c r="C1126" i="263" a="1"/>
  <c r="M1112" i="263" a="1"/>
  <c r="Q1112" i="263" s="1"/>
  <c r="L1112" i="263"/>
  <c r="K1112" i="263"/>
  <c r="J1112" i="263"/>
  <c r="I1112" i="263"/>
  <c r="H1112" i="263"/>
  <c r="C1112" i="263" a="1"/>
  <c r="Q1098" i="263"/>
  <c r="N1098" i="263"/>
  <c r="M1098" i="263"/>
  <c r="M1098" i="263" a="1"/>
  <c r="P1098" i="263"/>
  <c r="L1098" i="263"/>
  <c r="K1098" i="263"/>
  <c r="J1098" i="263"/>
  <c r="I1098" i="263"/>
  <c r="H1098" i="263"/>
  <c r="C1098" i="263" a="1"/>
  <c r="C1098" i="263" s="1"/>
  <c r="N1084" i="263"/>
  <c r="M1084" i="263" a="1"/>
  <c r="M1084" i="263" s="1"/>
  <c r="L1084" i="263"/>
  <c r="K1084" i="263"/>
  <c r="J1084" i="263"/>
  <c r="I1084" i="263"/>
  <c r="H1084" i="263"/>
  <c r="D1084" i="263"/>
  <c r="C1084" i="263"/>
  <c r="C1084" i="263" a="1"/>
  <c r="O1070" i="263"/>
  <c r="M1070" i="263" a="1"/>
  <c r="P1070" i="263" s="1"/>
  <c r="L1070" i="263"/>
  <c r="K1070" i="263"/>
  <c r="J1070" i="263"/>
  <c r="I1070" i="263"/>
  <c r="H1070" i="263"/>
  <c r="E1070" i="263"/>
  <c r="D1070" i="263"/>
  <c r="C1070" i="263" a="1"/>
  <c r="C1070" i="263" s="1"/>
  <c r="M1056" i="263" a="1"/>
  <c r="L1056" i="263"/>
  <c r="K1056" i="263"/>
  <c r="J1056" i="263"/>
  <c r="I1056" i="263"/>
  <c r="H1056" i="263"/>
  <c r="C1056" i="263" a="1"/>
  <c r="N1042" i="263"/>
  <c r="M1042" i="263" a="1"/>
  <c r="M1042" i="263" s="1"/>
  <c r="L1042" i="263"/>
  <c r="K1042" i="263"/>
  <c r="J1042" i="263"/>
  <c r="I1042" i="263"/>
  <c r="H1042" i="263"/>
  <c r="C1042" i="263" a="1"/>
  <c r="M1028" i="263" a="1"/>
  <c r="L1028" i="263"/>
  <c r="K1028" i="263"/>
  <c r="J1028" i="263"/>
  <c r="I1028" i="263"/>
  <c r="H1028" i="263"/>
  <c r="C1028" i="263"/>
  <c r="C1028" i="263" a="1"/>
  <c r="M1014" i="263" a="1"/>
  <c r="L1014" i="263"/>
  <c r="K1014" i="263"/>
  <c r="J1014" i="263"/>
  <c r="I1014" i="263"/>
  <c r="H1014" i="263"/>
  <c r="D1014" i="263"/>
  <c r="C1014" i="263" a="1"/>
  <c r="C1014" i="263" s="1"/>
  <c r="Q1000" i="263"/>
  <c r="M1000" i="263" a="1"/>
  <c r="L1000" i="263"/>
  <c r="K1000" i="263"/>
  <c r="J1000" i="263"/>
  <c r="I1000" i="263"/>
  <c r="H1000" i="263"/>
  <c r="C1000" i="263" a="1"/>
  <c r="M986" i="263"/>
  <c r="M986" i="263" a="1"/>
  <c r="N986" i="263" s="1"/>
  <c r="L986" i="263"/>
  <c r="K986" i="263"/>
  <c r="J986" i="263"/>
  <c r="I986" i="263"/>
  <c r="H986" i="263"/>
  <c r="C986" i="263" a="1"/>
  <c r="C986" i="263" s="1"/>
  <c r="M972" i="263"/>
  <c r="M972" i="263" a="1"/>
  <c r="Q972" i="263" s="1"/>
  <c r="L972" i="263"/>
  <c r="K972" i="263"/>
  <c r="J972" i="263"/>
  <c r="I972" i="263"/>
  <c r="H972" i="263"/>
  <c r="D972" i="263"/>
  <c r="C972" i="263" a="1"/>
  <c r="C972" i="263" s="1"/>
  <c r="M958" i="263" a="1"/>
  <c r="L958" i="263"/>
  <c r="K958" i="263"/>
  <c r="J958" i="263"/>
  <c r="I958" i="263"/>
  <c r="H958" i="263"/>
  <c r="C958" i="263"/>
  <c r="C958" i="263" a="1"/>
  <c r="G958" i="263" s="1"/>
  <c r="M944" i="263" a="1"/>
  <c r="L944" i="263"/>
  <c r="K944" i="263"/>
  <c r="J944" i="263"/>
  <c r="I944" i="263"/>
  <c r="H944" i="263"/>
  <c r="C944" i="263" a="1"/>
  <c r="D944" i="263" s="1"/>
  <c r="N930" i="263"/>
  <c r="M930" i="263"/>
  <c r="M930" i="263" a="1"/>
  <c r="O930" i="263" s="1"/>
  <c r="L930" i="263"/>
  <c r="K930" i="263"/>
  <c r="J930" i="263"/>
  <c r="I930" i="263"/>
  <c r="H930" i="263"/>
  <c r="G930" i="263"/>
  <c r="F930" i="263"/>
  <c r="C930" i="263" a="1"/>
  <c r="Q916" i="263"/>
  <c r="O916" i="263"/>
  <c r="N916" i="263"/>
  <c r="M916" i="263" a="1"/>
  <c r="M916" i="263" s="1"/>
  <c r="P916" i="263"/>
  <c r="L916" i="263"/>
  <c r="K916" i="263"/>
  <c r="J916" i="263"/>
  <c r="I916" i="263"/>
  <c r="H916" i="263"/>
  <c r="C916" i="263" a="1"/>
  <c r="P902" i="263"/>
  <c r="O902" i="263"/>
  <c r="N902" i="263"/>
  <c r="M902" i="263" a="1"/>
  <c r="L902" i="263"/>
  <c r="K902" i="263"/>
  <c r="J902" i="263"/>
  <c r="I902" i="263"/>
  <c r="H902" i="263"/>
  <c r="C902" i="263" a="1"/>
  <c r="M888" i="263" a="1"/>
  <c r="P888" i="263" s="1"/>
  <c r="L888" i="263"/>
  <c r="K888" i="263"/>
  <c r="J888" i="263"/>
  <c r="I888" i="263"/>
  <c r="H888" i="263"/>
  <c r="G888" i="263"/>
  <c r="E888" i="263"/>
  <c r="C888" i="263"/>
  <c r="C888" i="263" a="1"/>
  <c r="D888" i="263" s="1"/>
  <c r="F888" i="263"/>
  <c r="P874" i="263"/>
  <c r="M874" i="263"/>
  <c r="M874" i="263" a="1"/>
  <c r="Q874" i="263" s="1"/>
  <c r="L874" i="263"/>
  <c r="K874" i="263"/>
  <c r="J874" i="263"/>
  <c r="I874" i="263"/>
  <c r="H874" i="263"/>
  <c r="F874" i="263"/>
  <c r="E874" i="263"/>
  <c r="C874" i="263" a="1"/>
  <c r="N860" i="263"/>
  <c r="M860" i="263"/>
  <c r="M860" i="263" a="1"/>
  <c r="L860" i="263"/>
  <c r="K860" i="263"/>
  <c r="J860" i="263"/>
  <c r="I860" i="263"/>
  <c r="H860" i="263"/>
  <c r="G860" i="263"/>
  <c r="F860" i="263"/>
  <c r="C860" i="263" a="1"/>
  <c r="C860" i="263"/>
  <c r="Q846" i="263"/>
  <c r="O846" i="263"/>
  <c r="M846" i="263"/>
  <c r="M846" i="263" a="1"/>
  <c r="N846" i="263" s="1"/>
  <c r="P846" i="263"/>
  <c r="L846" i="263"/>
  <c r="K846" i="263"/>
  <c r="J846" i="263"/>
  <c r="I846" i="263"/>
  <c r="H846" i="263"/>
  <c r="G846" i="263"/>
  <c r="D846" i="263"/>
  <c r="C846" i="263"/>
  <c r="C846" i="263" a="1"/>
  <c r="F846" i="263"/>
  <c r="M832" i="263" a="1"/>
  <c r="L832" i="263"/>
  <c r="K832" i="263"/>
  <c r="J832" i="263"/>
  <c r="I832" i="263"/>
  <c r="H832" i="263"/>
  <c r="E832" i="263"/>
  <c r="D832" i="263"/>
  <c r="C832" i="263"/>
  <c r="C832" i="263" a="1"/>
  <c r="G832" i="263" s="1"/>
  <c r="F832" i="263"/>
  <c r="M818" i="263" a="1"/>
  <c r="L818" i="263"/>
  <c r="K818" i="263"/>
  <c r="J818" i="263"/>
  <c r="I818" i="263"/>
  <c r="H818" i="263"/>
  <c r="F818" i="263"/>
  <c r="C818" i="263" a="1"/>
  <c r="E818" i="263" s="1"/>
  <c r="Q804" i="263"/>
  <c r="N804" i="263"/>
  <c r="M804" i="263" a="1"/>
  <c r="M804" i="263" s="1"/>
  <c r="L804" i="263"/>
  <c r="K804" i="263"/>
  <c r="J804" i="263"/>
  <c r="I804" i="263"/>
  <c r="H804" i="263"/>
  <c r="F804" i="263"/>
  <c r="C804" i="263" a="1"/>
  <c r="G804" i="263" s="1"/>
  <c r="O790" i="263"/>
  <c r="N790" i="263"/>
  <c r="M790" i="263"/>
  <c r="M790" i="263" a="1"/>
  <c r="Q790" i="263" s="1"/>
  <c r="P790" i="263"/>
  <c r="L790" i="263"/>
  <c r="K790" i="263"/>
  <c r="J790" i="263"/>
  <c r="I790" i="263"/>
  <c r="H790" i="263"/>
  <c r="C790" i="263" a="1"/>
  <c r="M776" i="263" a="1"/>
  <c r="P776" i="263"/>
  <c r="L776" i="263"/>
  <c r="K776" i="263"/>
  <c r="J776" i="263"/>
  <c r="I776" i="263"/>
  <c r="H776" i="263"/>
  <c r="C776" i="263" a="1"/>
  <c r="Q762" i="263"/>
  <c r="P762" i="263"/>
  <c r="M762" i="263"/>
  <c r="M762" i="263" a="1"/>
  <c r="L762" i="263"/>
  <c r="K762" i="263"/>
  <c r="J762" i="263"/>
  <c r="I762" i="263"/>
  <c r="H762" i="263"/>
  <c r="F762" i="263"/>
  <c r="E762" i="263"/>
  <c r="C762" i="263" a="1"/>
  <c r="Q748" i="263"/>
  <c r="N748" i="263"/>
  <c r="M748" i="263"/>
  <c r="M748" i="263" a="1"/>
  <c r="P748" i="263"/>
  <c r="L748" i="263"/>
  <c r="K748" i="263"/>
  <c r="J748" i="263"/>
  <c r="I748" i="263"/>
  <c r="H748" i="263"/>
  <c r="C748" i="263" a="1"/>
  <c r="M734" i="263"/>
  <c r="M734" i="263" a="1"/>
  <c r="Q734" i="263" s="1"/>
  <c r="L734" i="263"/>
  <c r="K734" i="263"/>
  <c r="J734" i="263"/>
  <c r="I734" i="263"/>
  <c r="H734" i="263"/>
  <c r="D734" i="263"/>
  <c r="C734" i="263" a="1"/>
  <c r="C734" i="263" s="1"/>
  <c r="M720" i="263" a="1"/>
  <c r="L720" i="263"/>
  <c r="K720" i="263"/>
  <c r="J720" i="263"/>
  <c r="I720" i="263"/>
  <c r="H720" i="263"/>
  <c r="C720" i="263" a="1"/>
  <c r="P706" i="263"/>
  <c r="M706" i="263" a="1"/>
  <c r="M706" i="263" s="1"/>
  <c r="L706" i="263"/>
  <c r="K706" i="263"/>
  <c r="J706" i="263"/>
  <c r="I706" i="263"/>
  <c r="H706" i="263"/>
  <c r="F706" i="263"/>
  <c r="C706" i="263" a="1"/>
  <c r="E706" i="263" s="1"/>
  <c r="N692" i="263"/>
  <c r="M692" i="263" a="1"/>
  <c r="M692" i="263" s="1"/>
  <c r="L692" i="263"/>
  <c r="K692" i="263"/>
  <c r="J692" i="263"/>
  <c r="I692" i="263"/>
  <c r="H692" i="263"/>
  <c r="F692" i="263"/>
  <c r="C692" i="263"/>
  <c r="C692" i="263" a="1"/>
  <c r="G692" i="263" s="1"/>
  <c r="O678" i="263"/>
  <c r="N678" i="263"/>
  <c r="M678" i="263"/>
  <c r="M678" i="263" a="1"/>
  <c r="Q678" i="263" s="1"/>
  <c r="P678" i="263"/>
  <c r="L678" i="263"/>
  <c r="K678" i="263"/>
  <c r="J678" i="263"/>
  <c r="I678" i="263"/>
  <c r="H678" i="263"/>
  <c r="G678" i="263"/>
  <c r="C678" i="263"/>
  <c r="C678" i="263" a="1"/>
  <c r="D678" i="263" s="1"/>
  <c r="F678" i="263"/>
  <c r="M664" i="263" a="1"/>
  <c r="P664" i="263"/>
  <c r="L664" i="263"/>
  <c r="K664" i="263"/>
  <c r="J664" i="263"/>
  <c r="I664" i="263"/>
  <c r="H664" i="263"/>
  <c r="G664" i="263"/>
  <c r="D664" i="263"/>
  <c r="C664" i="263"/>
  <c r="C664" i="263" a="1"/>
  <c r="P650" i="263"/>
  <c r="M650" i="263"/>
  <c r="M650" i="263" a="1"/>
  <c r="L650" i="263"/>
  <c r="K650" i="263"/>
  <c r="J650" i="263"/>
  <c r="I650" i="263"/>
  <c r="H650" i="263"/>
  <c r="F650" i="263"/>
  <c r="E650" i="263"/>
  <c r="C650" i="263" a="1"/>
  <c r="M636" i="263"/>
  <c r="M636" i="263" a="1"/>
  <c r="L636" i="263"/>
  <c r="K636" i="263"/>
  <c r="J636" i="263"/>
  <c r="I636" i="263"/>
  <c r="H636" i="263"/>
  <c r="C636" i="263" a="1"/>
  <c r="F636" i="263" s="1"/>
  <c r="M622" i="263"/>
  <c r="M622" i="263" a="1"/>
  <c r="L622" i="263"/>
  <c r="K622" i="263"/>
  <c r="J622" i="263"/>
  <c r="I622" i="263"/>
  <c r="H622" i="263"/>
  <c r="G622" i="263"/>
  <c r="D622" i="263"/>
  <c r="C622" i="263"/>
  <c r="C622" i="263" a="1"/>
  <c r="F622" i="263"/>
  <c r="M608" i="263" a="1"/>
  <c r="L608" i="263"/>
  <c r="K608" i="263"/>
  <c r="J608" i="263"/>
  <c r="I608" i="263"/>
  <c r="H608" i="263"/>
  <c r="E608" i="263"/>
  <c r="D608" i="263"/>
  <c r="C608" i="263"/>
  <c r="C608" i="263" a="1"/>
  <c r="G608" i="263" s="1"/>
  <c r="F608" i="263"/>
  <c r="P594" i="263"/>
  <c r="M594" i="263"/>
  <c r="M594" i="263" a="1"/>
  <c r="L594" i="263"/>
  <c r="K594" i="263"/>
  <c r="J594" i="263"/>
  <c r="I594" i="263"/>
  <c r="H594" i="263"/>
  <c r="F594" i="263"/>
  <c r="E594" i="263"/>
  <c r="C594" i="263" a="1"/>
  <c r="Q580" i="263"/>
  <c r="N580" i="263"/>
  <c r="M580" i="263"/>
  <c r="M580" i="263" a="1"/>
  <c r="P580" i="263"/>
  <c r="L580" i="263"/>
  <c r="K580" i="263"/>
  <c r="J580" i="263"/>
  <c r="I580" i="263"/>
  <c r="H580" i="263"/>
  <c r="G580" i="263"/>
  <c r="C580" i="263"/>
  <c r="C580" i="263" a="1"/>
  <c r="F580" i="263" s="1"/>
  <c r="Q566" i="263"/>
  <c r="N566" i="263"/>
  <c r="M566" i="263"/>
  <c r="M566" i="263" a="1"/>
  <c r="L566" i="263"/>
  <c r="K566" i="263"/>
  <c r="J566" i="263"/>
  <c r="I566" i="263"/>
  <c r="H566" i="263"/>
  <c r="G566" i="263"/>
  <c r="D566" i="263"/>
  <c r="C566" i="263" a="1"/>
  <c r="C566" i="263" s="1"/>
  <c r="F566" i="263"/>
  <c r="M552" i="263" a="1"/>
  <c r="L552" i="263"/>
  <c r="K552" i="263"/>
  <c r="J552" i="263"/>
  <c r="I552" i="263"/>
  <c r="H552" i="263"/>
  <c r="E552" i="263"/>
  <c r="D552" i="263"/>
  <c r="C552" i="263" a="1"/>
  <c r="C552" i="263" s="1"/>
  <c r="P538" i="263"/>
  <c r="M538" i="263"/>
  <c r="M538" i="263" a="1"/>
  <c r="L538" i="263"/>
  <c r="K538" i="263"/>
  <c r="J538" i="263"/>
  <c r="I538" i="263"/>
  <c r="H538" i="263"/>
  <c r="F538" i="263"/>
  <c r="E538" i="263"/>
  <c r="C538" i="263" a="1"/>
  <c r="N524" i="263"/>
  <c r="M524" i="263" a="1"/>
  <c r="L524" i="263"/>
  <c r="K524" i="263"/>
  <c r="J524" i="263"/>
  <c r="I524" i="263"/>
  <c r="H524" i="263"/>
  <c r="G524" i="263"/>
  <c r="C524" i="263" a="1"/>
  <c r="C524" i="263" s="1"/>
  <c r="Q510" i="263"/>
  <c r="O510" i="263"/>
  <c r="M510" i="263" a="1"/>
  <c r="N510" i="263" s="1"/>
  <c r="P510" i="263"/>
  <c r="L510" i="263"/>
  <c r="K510" i="263"/>
  <c r="J510" i="263"/>
  <c r="I510" i="263"/>
  <c r="H510" i="263"/>
  <c r="G510" i="263"/>
  <c r="D510" i="263"/>
  <c r="C510" i="263"/>
  <c r="C510" i="263" a="1"/>
  <c r="F510" i="263"/>
  <c r="M496" i="263" a="1"/>
  <c r="P496" i="263"/>
  <c r="L496" i="263"/>
  <c r="K496" i="263"/>
  <c r="J496" i="263"/>
  <c r="I496" i="263"/>
  <c r="H496" i="263"/>
  <c r="D496" i="263"/>
  <c r="C496" i="263" a="1"/>
  <c r="C496" i="263" s="1"/>
  <c r="M482" i="263" a="1"/>
  <c r="M482" i="263" s="1"/>
  <c r="L482" i="263"/>
  <c r="K482" i="263"/>
  <c r="J482" i="263"/>
  <c r="I482" i="263"/>
  <c r="H482" i="263"/>
  <c r="C482" i="263" a="1"/>
  <c r="E482" i="263" s="1"/>
  <c r="Q468" i="263"/>
  <c r="N468" i="263"/>
  <c r="M468" i="263" a="1"/>
  <c r="M468" i="263" s="1"/>
  <c r="P468" i="263"/>
  <c r="L468" i="263"/>
  <c r="K468" i="263"/>
  <c r="J468" i="263"/>
  <c r="I468" i="263"/>
  <c r="H468" i="263"/>
  <c r="F468" i="263"/>
  <c r="C468" i="263" a="1"/>
  <c r="G468" i="263" s="1"/>
  <c r="O454" i="263"/>
  <c r="N454" i="263"/>
  <c r="M454" i="263"/>
  <c r="M454" i="263" a="1"/>
  <c r="Q454" i="263" s="1"/>
  <c r="P454" i="263"/>
  <c r="L454" i="263"/>
  <c r="K454" i="263"/>
  <c r="J454" i="263"/>
  <c r="I454" i="263"/>
  <c r="H454" i="263"/>
  <c r="C454" i="263" a="1"/>
  <c r="D454" i="263" s="1"/>
  <c r="M440" i="263" a="1"/>
  <c r="L440" i="263"/>
  <c r="K440" i="263"/>
  <c r="J440" i="263"/>
  <c r="I440" i="263"/>
  <c r="H440" i="263"/>
  <c r="G440" i="263"/>
  <c r="E440" i="263"/>
  <c r="C440" i="263" a="1"/>
  <c r="D440" i="263" s="1"/>
  <c r="F440" i="263"/>
  <c r="M426" i="263"/>
  <c r="M426" i="263" a="1"/>
  <c r="P426" i="263" s="1"/>
  <c r="L426" i="263"/>
  <c r="K426" i="263"/>
  <c r="J426" i="263"/>
  <c r="I426" i="263"/>
  <c r="H426" i="263"/>
  <c r="E426" i="263"/>
  <c r="C426" i="263" a="1"/>
  <c r="F426" i="263" s="1"/>
  <c r="M412" i="263" a="1"/>
  <c r="N412" i="263" s="1"/>
  <c r="L412" i="263"/>
  <c r="K412" i="263"/>
  <c r="J412" i="263"/>
  <c r="I412" i="263"/>
  <c r="H412" i="263"/>
  <c r="G412" i="263"/>
  <c r="F412" i="263"/>
  <c r="C412" i="263"/>
  <c r="C412" i="263" a="1"/>
  <c r="Q398" i="263"/>
  <c r="O398" i="263"/>
  <c r="N398" i="263"/>
  <c r="M398" i="263" a="1"/>
  <c r="M398" i="263" s="1"/>
  <c r="P398" i="263"/>
  <c r="L398" i="263"/>
  <c r="K398" i="263"/>
  <c r="J398" i="263"/>
  <c r="I398" i="263"/>
  <c r="H398" i="263"/>
  <c r="D398" i="263"/>
  <c r="C398" i="263" a="1"/>
  <c r="M384" i="263" a="1"/>
  <c r="P384" i="263" s="1"/>
  <c r="L384" i="263"/>
  <c r="K384" i="263"/>
  <c r="J384" i="263"/>
  <c r="I384" i="263"/>
  <c r="H384" i="263"/>
  <c r="E384" i="263"/>
  <c r="D384" i="263"/>
  <c r="C384" i="263"/>
  <c r="C384" i="263" a="1"/>
  <c r="G384" i="263" s="1"/>
  <c r="F384" i="263"/>
  <c r="P370" i="263"/>
  <c r="M370" i="263"/>
  <c r="M370" i="263" a="1"/>
  <c r="L370" i="263"/>
  <c r="K370" i="263"/>
  <c r="J370" i="263"/>
  <c r="I370" i="263"/>
  <c r="H370" i="263"/>
  <c r="F370" i="263"/>
  <c r="E370" i="263"/>
  <c r="C370" i="263" a="1"/>
  <c r="Q356" i="263"/>
  <c r="N356" i="263"/>
  <c r="M356" i="263"/>
  <c r="M356" i="263" a="1"/>
  <c r="P356" i="263"/>
  <c r="L356" i="263"/>
  <c r="K356" i="263"/>
  <c r="J356" i="263"/>
  <c r="I356" i="263"/>
  <c r="H356" i="263"/>
  <c r="G356" i="263"/>
  <c r="C356" i="263" a="1"/>
  <c r="F356" i="263" s="1"/>
  <c r="O342" i="263"/>
  <c r="M342" i="263"/>
  <c r="M342" i="263" a="1"/>
  <c r="N342" i="263" s="1"/>
  <c r="Q342" i="263"/>
  <c r="L342" i="263"/>
  <c r="K342" i="263"/>
  <c r="J342" i="263"/>
  <c r="I342" i="263"/>
  <c r="H342" i="263"/>
  <c r="G342" i="263"/>
  <c r="D342" i="263"/>
  <c r="C342" i="263"/>
  <c r="C342" i="263" a="1"/>
  <c r="F342" i="263"/>
  <c r="P328" i="263"/>
  <c r="O328" i="263"/>
  <c r="M328" i="263" a="1"/>
  <c r="L328" i="263"/>
  <c r="K328" i="263"/>
  <c r="J328" i="263"/>
  <c r="I328" i="263"/>
  <c r="H328" i="263"/>
  <c r="C328" i="263"/>
  <c r="C328" i="263" a="1"/>
  <c r="D328" i="263" s="1"/>
  <c r="O314" i="263"/>
  <c r="N314" i="263"/>
  <c r="M314" i="263"/>
  <c r="M314" i="263" a="1"/>
  <c r="Q314" i="263" s="1"/>
  <c r="P314" i="263"/>
  <c r="L314" i="263"/>
  <c r="K314" i="263"/>
  <c r="J314" i="263"/>
  <c r="I314" i="263"/>
  <c r="H314" i="263"/>
  <c r="G314" i="263"/>
  <c r="C314" i="263" a="1"/>
  <c r="D314" i="263" s="1"/>
  <c r="E314" i="263"/>
  <c r="O300" i="263"/>
  <c r="M300" i="263" a="1"/>
  <c r="Q300" i="263"/>
  <c r="L300" i="263"/>
  <c r="K300" i="263"/>
  <c r="J300" i="263"/>
  <c r="I300" i="263"/>
  <c r="H300" i="263"/>
  <c r="C300" i="263"/>
  <c r="C300" i="263" a="1"/>
  <c r="G300" i="263" s="1"/>
  <c r="M286" i="263" a="1"/>
  <c r="N286" i="263"/>
  <c r="L286" i="263"/>
  <c r="K286" i="263"/>
  <c r="J286" i="263"/>
  <c r="I286" i="263"/>
  <c r="H286" i="263"/>
  <c r="C286" i="263" a="1"/>
  <c r="E286" i="263" s="1"/>
  <c r="G286" i="263"/>
  <c r="M272" i="263" a="1"/>
  <c r="Q272" i="263" s="1"/>
  <c r="L272" i="263"/>
  <c r="K272" i="263"/>
  <c r="J272" i="263"/>
  <c r="I272" i="263"/>
  <c r="H272" i="263"/>
  <c r="C272" i="263" a="1"/>
  <c r="D272" i="263"/>
  <c r="M258" i="263"/>
  <c r="M258" i="263" a="1"/>
  <c r="Q258" i="263" s="1"/>
  <c r="L258" i="263"/>
  <c r="K258" i="263"/>
  <c r="J258" i="263"/>
  <c r="I258" i="263"/>
  <c r="H258" i="263"/>
  <c r="G258" i="263"/>
  <c r="D258" i="263"/>
  <c r="C258" i="263" a="1"/>
  <c r="C258" i="263" s="1"/>
  <c r="E258" i="263"/>
  <c r="O244" i="263"/>
  <c r="M244" i="263" a="1"/>
  <c r="Q244" i="263"/>
  <c r="L244" i="263"/>
  <c r="K244" i="263"/>
  <c r="J244" i="263"/>
  <c r="I244" i="263"/>
  <c r="H244" i="263"/>
  <c r="C244" i="263"/>
  <c r="C244" i="263" a="1"/>
  <c r="G244" i="263" s="1"/>
  <c r="M230" i="263" a="1"/>
  <c r="N230" i="263"/>
  <c r="L230" i="263"/>
  <c r="K230" i="263"/>
  <c r="J230" i="263"/>
  <c r="I230" i="263"/>
  <c r="H230" i="263"/>
  <c r="C230" i="263" a="1"/>
  <c r="E230" i="263" s="1"/>
  <c r="G230" i="263"/>
  <c r="M216" i="263" a="1"/>
  <c r="Q216" i="263" s="1"/>
  <c r="L216" i="263"/>
  <c r="K216" i="263"/>
  <c r="J216" i="263"/>
  <c r="I216" i="263"/>
  <c r="H216" i="263"/>
  <c r="C216" i="263" a="1"/>
  <c r="D216" i="263"/>
  <c r="M202" i="263"/>
  <c r="M202" i="263" a="1"/>
  <c r="Q202" i="263" s="1"/>
  <c r="L202" i="263"/>
  <c r="K202" i="263"/>
  <c r="J202" i="263"/>
  <c r="I202" i="263"/>
  <c r="H202" i="263"/>
  <c r="G202" i="263"/>
  <c r="D202" i="263"/>
  <c r="C202" i="263" a="1"/>
  <c r="C202" i="263" s="1"/>
  <c r="E202" i="263"/>
  <c r="O188" i="263"/>
  <c r="M188" i="263" a="1"/>
  <c r="Q188" i="263"/>
  <c r="L188" i="263"/>
  <c r="K188" i="263"/>
  <c r="J188" i="263"/>
  <c r="I188" i="263"/>
  <c r="H188" i="263"/>
  <c r="C188" i="263"/>
  <c r="C188" i="263" a="1"/>
  <c r="G188" i="263" s="1"/>
  <c r="M174" i="263" a="1"/>
  <c r="N174" i="263"/>
  <c r="L174" i="263"/>
  <c r="K174" i="263"/>
  <c r="J174" i="263"/>
  <c r="I174" i="263"/>
  <c r="H174" i="263"/>
  <c r="C174" i="263" a="1"/>
  <c r="E174" i="263" s="1"/>
  <c r="G174" i="263"/>
  <c r="M160" i="263" a="1"/>
  <c r="Q160" i="263" s="1"/>
  <c r="L160" i="263"/>
  <c r="K160" i="263"/>
  <c r="J160" i="263"/>
  <c r="I160" i="263"/>
  <c r="H160" i="263"/>
  <c r="C160" i="263" a="1"/>
  <c r="D160" i="263"/>
  <c r="M145" i="263"/>
  <c r="M145" i="263" a="1"/>
  <c r="Q145" i="263" s="1"/>
  <c r="L145" i="263"/>
  <c r="K145" i="263"/>
  <c r="J145" i="263"/>
  <c r="I145" i="263"/>
  <c r="H145" i="263"/>
  <c r="G145" i="263"/>
  <c r="D145" i="263"/>
  <c r="C145" i="263" a="1"/>
  <c r="C145" i="263" s="1"/>
  <c r="E145" i="263"/>
  <c r="O130" i="263"/>
  <c r="M130" i="263" a="1"/>
  <c r="Q130" i="263"/>
  <c r="L130" i="263"/>
  <c r="K130" i="263"/>
  <c r="J130" i="263"/>
  <c r="I130" i="263"/>
  <c r="H130" i="263"/>
  <c r="C130" i="263"/>
  <c r="C130" i="263" a="1"/>
  <c r="G130" i="263" s="1"/>
  <c r="M116" i="263" a="1"/>
  <c r="N116" i="263"/>
  <c r="L116" i="263"/>
  <c r="K116" i="263"/>
  <c r="J116" i="263"/>
  <c r="I116" i="263"/>
  <c r="H116" i="263"/>
  <c r="C116" i="263" a="1"/>
  <c r="E116" i="263" s="1"/>
  <c r="G116" i="263"/>
  <c r="M102" i="263" a="1"/>
  <c r="Q102" i="263" s="1"/>
  <c r="L102" i="263"/>
  <c r="K102" i="263"/>
  <c r="J102" i="263"/>
  <c r="I102" i="263"/>
  <c r="H102" i="263"/>
  <c r="C102" i="263" a="1"/>
  <c r="D102" i="263"/>
  <c r="M88" i="263" a="1"/>
  <c r="M88" i="263" s="1"/>
  <c r="L88" i="263"/>
  <c r="K88" i="263"/>
  <c r="J88" i="263"/>
  <c r="I88" i="263"/>
  <c r="H88" i="263"/>
  <c r="G88" i="263"/>
  <c r="D88" i="263"/>
  <c r="C88" i="263" a="1"/>
  <c r="C88" i="263" s="1"/>
  <c r="E88" i="263"/>
  <c r="Q79" i="263"/>
  <c r="P79" i="263"/>
  <c r="O79" i="263"/>
  <c r="N79" i="263"/>
  <c r="M79" i="263"/>
  <c r="L79" i="263"/>
  <c r="K79" i="263"/>
  <c r="J79" i="263"/>
  <c r="I79" i="263"/>
  <c r="H79" i="263"/>
  <c r="G79" i="263"/>
  <c r="F79" i="263"/>
  <c r="E79" i="263"/>
  <c r="D79" i="263"/>
  <c r="C79" i="263"/>
  <c r="M76" i="263" a="1"/>
  <c r="Q76" i="263" s="1"/>
  <c r="L76" i="263"/>
  <c r="K76" i="263"/>
  <c r="J76" i="263"/>
  <c r="I76" i="263"/>
  <c r="H76" i="263"/>
  <c r="G76" i="263"/>
  <c r="D76" i="263"/>
  <c r="C76" i="263"/>
  <c r="C76" i="263" a="1"/>
  <c r="E76" i="263"/>
  <c r="L69" i="263"/>
  <c r="K69" i="263"/>
  <c r="J69" i="263"/>
  <c r="I69" i="263"/>
  <c r="H69" i="263"/>
  <c r="G69" i="263"/>
  <c r="F69" i="263"/>
  <c r="E69" i="263"/>
  <c r="D69" i="263"/>
  <c r="C69" i="263"/>
  <c r="N68" i="263"/>
  <c r="N69" i="263"/>
  <c r="M68" i="263"/>
  <c r="M69" i="263"/>
  <c r="L68" i="263"/>
  <c r="M65" i="263" a="1"/>
  <c r="N65" i="263"/>
  <c r="L65" i="263"/>
  <c r="K65" i="263"/>
  <c r="J65" i="263"/>
  <c r="I65" i="263"/>
  <c r="H65" i="263"/>
  <c r="C65" i="263" a="1"/>
  <c r="E65" i="263" s="1"/>
  <c r="G65" i="263"/>
  <c r="Q57" i="263"/>
  <c r="P57" i="263"/>
  <c r="O57" i="263"/>
  <c r="N57" i="263"/>
  <c r="M57" i="263"/>
  <c r="L57" i="263"/>
  <c r="K57" i="263"/>
  <c r="J57" i="263"/>
  <c r="I57" i="263"/>
  <c r="H57" i="263"/>
  <c r="G57" i="263"/>
  <c r="F57" i="263"/>
  <c r="E57" i="263"/>
  <c r="D57" i="263"/>
  <c r="C57" i="263"/>
  <c r="M22" i="263" a="1"/>
  <c r="N22" i="263" s="1"/>
  <c r="L22" i="263"/>
  <c r="K22" i="263"/>
  <c r="J22" i="263"/>
  <c r="I22" i="263"/>
  <c r="H22" i="263"/>
  <c r="C22" i="263" a="1"/>
  <c r="G22" i="263" s="1"/>
  <c r="B2" i="263"/>
  <c r="B1" i="263"/>
  <c r="P22" i="263"/>
  <c r="P65" i="263"/>
  <c r="F102" i="263"/>
  <c r="P116" i="263"/>
  <c r="F160" i="263"/>
  <c r="P174" i="263"/>
  <c r="E1042" i="263"/>
  <c r="D1042" i="263"/>
  <c r="G1042" i="263"/>
  <c r="F1042" i="263"/>
  <c r="F65" i="263"/>
  <c r="M65" i="263"/>
  <c r="O68" i="263"/>
  <c r="M116" i="263"/>
  <c r="Q116" i="263"/>
  <c r="F174" i="263"/>
  <c r="M174" i="263"/>
  <c r="Q174" i="263"/>
  <c r="P188" i="263"/>
  <c r="M286" i="263"/>
  <c r="Q286" i="263"/>
  <c r="P300" i="263"/>
  <c r="N440" i="263"/>
  <c r="Q440" i="263"/>
  <c r="M440" i="263"/>
  <c r="N552" i="263"/>
  <c r="Q552" i="263"/>
  <c r="M552" i="263"/>
  <c r="N608" i="263"/>
  <c r="Q608" i="263"/>
  <c r="M608" i="263"/>
  <c r="N720" i="263"/>
  <c r="Q720" i="263"/>
  <c r="M720" i="263"/>
  <c r="N832" i="263"/>
  <c r="Q832" i="263"/>
  <c r="M832" i="263"/>
  <c r="O944" i="263"/>
  <c r="N944" i="263"/>
  <c r="P944" i="263"/>
  <c r="M944" i="263"/>
  <c r="O1056" i="263"/>
  <c r="N1056" i="263"/>
  <c r="P1056" i="263"/>
  <c r="M1056" i="263"/>
  <c r="D1224" i="263"/>
  <c r="E1224" i="263"/>
  <c r="C1224" i="263"/>
  <c r="G1224" i="263"/>
  <c r="F1224" i="263"/>
  <c r="D65" i="263"/>
  <c r="O65" i="263"/>
  <c r="F76" i="263"/>
  <c r="F88" i="263"/>
  <c r="E102" i="263"/>
  <c r="P102" i="263"/>
  <c r="D116" i="263"/>
  <c r="O116" i="263"/>
  <c r="N130" i="263"/>
  <c r="F145" i="263"/>
  <c r="E160" i="263"/>
  <c r="D174" i="263"/>
  <c r="O174" i="263"/>
  <c r="N188" i="263"/>
  <c r="F202" i="263"/>
  <c r="E216" i="263"/>
  <c r="P216" i="263"/>
  <c r="D230" i="263"/>
  <c r="O230" i="263"/>
  <c r="N244" i="263"/>
  <c r="F258" i="263"/>
  <c r="E272" i="263"/>
  <c r="P272" i="263"/>
  <c r="D286" i="263"/>
  <c r="O286" i="263"/>
  <c r="N300" i="263"/>
  <c r="F314" i="263"/>
  <c r="D370" i="263"/>
  <c r="G370" i="263"/>
  <c r="C370" i="263"/>
  <c r="O370" i="263"/>
  <c r="N370" i="263"/>
  <c r="D426" i="263"/>
  <c r="G426" i="263"/>
  <c r="C426" i="263"/>
  <c r="O426" i="263"/>
  <c r="N426" i="263"/>
  <c r="P440" i="263"/>
  <c r="D482" i="263"/>
  <c r="G482" i="263"/>
  <c r="C482" i="263"/>
  <c r="O482" i="263"/>
  <c r="N482" i="263"/>
  <c r="D538" i="263"/>
  <c r="G538" i="263"/>
  <c r="C538" i="263"/>
  <c r="O538" i="263"/>
  <c r="N538" i="263"/>
  <c r="P552" i="263"/>
  <c r="D594" i="263"/>
  <c r="G594" i="263"/>
  <c r="C594" i="263"/>
  <c r="O594" i="263"/>
  <c r="N594" i="263"/>
  <c r="P608" i="263"/>
  <c r="D650" i="263"/>
  <c r="G650" i="263"/>
  <c r="C650" i="263"/>
  <c r="O650" i="263"/>
  <c r="N650" i="263"/>
  <c r="D706" i="263"/>
  <c r="G706" i="263"/>
  <c r="C706" i="263"/>
  <c r="O706" i="263"/>
  <c r="N706" i="263"/>
  <c r="P720" i="263"/>
  <c r="D762" i="263"/>
  <c r="G762" i="263"/>
  <c r="C762" i="263"/>
  <c r="O762" i="263"/>
  <c r="N762" i="263"/>
  <c r="D818" i="263"/>
  <c r="G818" i="263"/>
  <c r="C818" i="263"/>
  <c r="O818" i="263"/>
  <c r="N818" i="263"/>
  <c r="P832" i="263"/>
  <c r="D874" i="263"/>
  <c r="G874" i="263"/>
  <c r="C874" i="263"/>
  <c r="O874" i="263"/>
  <c r="N874" i="263"/>
  <c r="D930" i="263"/>
  <c r="E930" i="263"/>
  <c r="C930" i="263"/>
  <c r="O1000" i="263"/>
  <c r="N1000" i="263"/>
  <c r="P1000" i="263"/>
  <c r="M1000" i="263"/>
  <c r="D1056" i="263"/>
  <c r="G1056" i="263"/>
  <c r="C1056" i="263"/>
  <c r="F1056" i="263"/>
  <c r="E1056" i="263"/>
  <c r="O1112" i="263"/>
  <c r="N1112" i="263"/>
  <c r="P1112" i="263"/>
  <c r="M1112" i="263"/>
  <c r="D1168" i="263"/>
  <c r="G1168" i="263"/>
  <c r="C1168" i="263"/>
  <c r="F1168" i="263"/>
  <c r="E1168" i="263"/>
  <c r="N1560" i="263"/>
  <c r="O1560" i="263"/>
  <c r="P1560" i="263"/>
  <c r="M1560" i="263"/>
  <c r="Q1560" i="263"/>
  <c r="F216" i="263"/>
  <c r="P230" i="263"/>
  <c r="F272" i="263"/>
  <c r="P286" i="263"/>
  <c r="E1154" i="263"/>
  <c r="D1154" i="263"/>
  <c r="G1154" i="263"/>
  <c r="F1154" i="263"/>
  <c r="F22" i="263"/>
  <c r="Q65" i="263"/>
  <c r="C102" i="263"/>
  <c r="G102" i="263"/>
  <c r="F116" i="263"/>
  <c r="P130" i="263"/>
  <c r="C160" i="263"/>
  <c r="G160" i="263"/>
  <c r="C216" i="263"/>
  <c r="G216" i="263"/>
  <c r="F230" i="263"/>
  <c r="M230" i="263"/>
  <c r="Q230" i="263"/>
  <c r="P244" i="263"/>
  <c r="C272" i="263"/>
  <c r="G272" i="263"/>
  <c r="F286" i="263"/>
  <c r="N384" i="263"/>
  <c r="Q384" i="263"/>
  <c r="M384" i="263"/>
  <c r="N496" i="263"/>
  <c r="Q496" i="263"/>
  <c r="M496" i="263"/>
  <c r="N664" i="263"/>
  <c r="Q664" i="263"/>
  <c r="M664" i="263"/>
  <c r="N776" i="263"/>
  <c r="Q776" i="263"/>
  <c r="M776" i="263"/>
  <c r="N888" i="263"/>
  <c r="Q888" i="263"/>
  <c r="M888" i="263"/>
  <c r="D1000" i="263"/>
  <c r="G1000" i="263"/>
  <c r="C1000" i="263"/>
  <c r="F1000" i="263"/>
  <c r="E1000" i="263"/>
  <c r="C1042" i="263"/>
  <c r="D1112" i="263"/>
  <c r="G1112" i="263"/>
  <c r="C1112" i="263"/>
  <c r="F1112" i="263"/>
  <c r="E1112" i="263"/>
  <c r="C1154" i="263"/>
  <c r="O1168" i="263"/>
  <c r="N1168" i="263"/>
  <c r="P1168" i="263"/>
  <c r="M1168" i="263"/>
  <c r="N1672" i="263"/>
  <c r="O1672" i="263"/>
  <c r="P1672" i="263"/>
  <c r="M1672" i="263"/>
  <c r="Q1672" i="263"/>
  <c r="C22" i="263"/>
  <c r="C65" i="263"/>
  <c r="C116" i="263"/>
  <c r="M130" i="263"/>
  <c r="C174" i="263"/>
  <c r="M188" i="263"/>
  <c r="C230" i="263"/>
  <c r="M244" i="263"/>
  <c r="C286" i="263"/>
  <c r="M300" i="263"/>
  <c r="N328" i="263"/>
  <c r="Q328" i="263"/>
  <c r="M328" i="263"/>
  <c r="E356" i="263"/>
  <c r="D356" i="263"/>
  <c r="Q370" i="263"/>
  <c r="O384" i="263"/>
  <c r="E412" i="263"/>
  <c r="D412" i="263"/>
  <c r="Q426" i="263"/>
  <c r="O440" i="263"/>
  <c r="E468" i="263"/>
  <c r="D468" i="263"/>
  <c r="Q482" i="263"/>
  <c r="O496" i="263"/>
  <c r="E524" i="263"/>
  <c r="D524" i="263"/>
  <c r="Q538" i="263"/>
  <c r="O552" i="263"/>
  <c r="E580" i="263"/>
  <c r="D580" i="263"/>
  <c r="Q594" i="263"/>
  <c r="O608" i="263"/>
  <c r="E636" i="263"/>
  <c r="D636" i="263"/>
  <c r="Q650" i="263"/>
  <c r="O664" i="263"/>
  <c r="E692" i="263"/>
  <c r="D692" i="263"/>
  <c r="Q706" i="263"/>
  <c r="O720" i="263"/>
  <c r="E748" i="263"/>
  <c r="D748" i="263"/>
  <c r="O776" i="263"/>
  <c r="E804" i="263"/>
  <c r="D804" i="263"/>
  <c r="O832" i="263"/>
  <c r="E860" i="263"/>
  <c r="D860" i="263"/>
  <c r="O888" i="263"/>
  <c r="G944" i="263"/>
  <c r="C944" i="263"/>
  <c r="F944" i="263"/>
  <c r="E944" i="263"/>
  <c r="Q944" i="263"/>
  <c r="E986" i="263"/>
  <c r="D986" i="263"/>
  <c r="G986" i="263"/>
  <c r="F986" i="263"/>
  <c r="Q1056" i="263"/>
  <c r="E1098" i="263"/>
  <c r="D1098" i="263"/>
  <c r="G1098" i="263"/>
  <c r="F1098" i="263"/>
  <c r="Q1168" i="263"/>
  <c r="E1210" i="263"/>
  <c r="D1210" i="263"/>
  <c r="G1210" i="263"/>
  <c r="F1210" i="263"/>
  <c r="G1238" i="263"/>
  <c r="C1238" i="263"/>
  <c r="F1238" i="263"/>
  <c r="E1238" i="263"/>
  <c r="Q1252" i="263"/>
  <c r="M1252" i="263"/>
  <c r="P1252" i="263"/>
  <c r="O1252" i="263"/>
  <c r="N1336" i="263"/>
  <c r="O1336" i="263"/>
  <c r="P1336" i="263"/>
  <c r="M1336" i="263"/>
  <c r="D1378" i="263"/>
  <c r="E1378" i="263"/>
  <c r="F1378" i="263"/>
  <c r="C1378" i="263"/>
  <c r="G1448" i="263"/>
  <c r="C1448" i="263"/>
  <c r="D1448" i="263"/>
  <c r="F1448" i="263"/>
  <c r="E1448" i="263"/>
  <c r="Q1462" i="263"/>
  <c r="M1462" i="263"/>
  <c r="N1462" i="263"/>
  <c r="P1462" i="263"/>
  <c r="O1462" i="263"/>
  <c r="D1602" i="263"/>
  <c r="E1602" i="263"/>
  <c r="F1602" i="263"/>
  <c r="C1602" i="263"/>
  <c r="G1602" i="263"/>
  <c r="E342" i="263"/>
  <c r="P342" i="263"/>
  <c r="O356" i="263"/>
  <c r="E398" i="263"/>
  <c r="O412" i="263"/>
  <c r="E454" i="263"/>
  <c r="O468" i="263"/>
  <c r="E510" i="263"/>
  <c r="O524" i="263"/>
  <c r="E566" i="263"/>
  <c r="O580" i="263"/>
  <c r="E622" i="263"/>
  <c r="O636" i="263"/>
  <c r="E678" i="263"/>
  <c r="O692" i="263"/>
  <c r="E734" i="263"/>
  <c r="O748" i="263"/>
  <c r="E790" i="263"/>
  <c r="O804" i="263"/>
  <c r="E846" i="263"/>
  <c r="O860" i="263"/>
  <c r="E902" i="263"/>
  <c r="Q902" i="263"/>
  <c r="M902" i="263"/>
  <c r="G916" i="263"/>
  <c r="P930" i="263"/>
  <c r="E1266" i="263"/>
  <c r="F1266" i="263"/>
  <c r="D1266" i="263"/>
  <c r="G1336" i="263"/>
  <c r="C1336" i="263"/>
  <c r="D1336" i="263"/>
  <c r="F1336" i="263"/>
  <c r="E1336" i="263"/>
  <c r="Q1350" i="263"/>
  <c r="M1350" i="263"/>
  <c r="N1350" i="263"/>
  <c r="P1350" i="263"/>
  <c r="O1350" i="263"/>
  <c r="N1448" i="263"/>
  <c r="O1448" i="263"/>
  <c r="P1448" i="263"/>
  <c r="M1448" i="263"/>
  <c r="D1490" i="263"/>
  <c r="E1490" i="263"/>
  <c r="F1490" i="263"/>
  <c r="C1490" i="263"/>
  <c r="Q930" i="263"/>
  <c r="N958" i="263"/>
  <c r="Q958" i="263"/>
  <c r="M958" i="263"/>
  <c r="N1014" i="263"/>
  <c r="Q1014" i="263"/>
  <c r="M1014" i="263"/>
  <c r="N1070" i="263"/>
  <c r="Q1070" i="263"/>
  <c r="M1070" i="263"/>
  <c r="N1126" i="263"/>
  <c r="Q1126" i="263"/>
  <c r="M1126" i="263"/>
  <c r="N1182" i="263"/>
  <c r="Q1182" i="263"/>
  <c r="M1182" i="263"/>
  <c r="N1238" i="263"/>
  <c r="O1238" i="263"/>
  <c r="M1238" i="263"/>
  <c r="O1280" i="263"/>
  <c r="N1280" i="263"/>
  <c r="M1280" i="263"/>
  <c r="G1560" i="263"/>
  <c r="C1560" i="263"/>
  <c r="D1560" i="263"/>
  <c r="F1560" i="263"/>
  <c r="E1560" i="263"/>
  <c r="Q1574" i="263"/>
  <c r="M1574" i="263"/>
  <c r="N1574" i="263"/>
  <c r="P1574" i="263"/>
  <c r="O1574" i="263"/>
  <c r="G1672" i="263"/>
  <c r="C1672" i="263"/>
  <c r="D1672" i="263"/>
  <c r="F1672" i="263"/>
  <c r="E1672" i="263"/>
  <c r="Q1686" i="263"/>
  <c r="M1686" i="263"/>
  <c r="N1686" i="263"/>
  <c r="P1686" i="263"/>
  <c r="O1686" i="263"/>
  <c r="E972" i="263"/>
  <c r="O986" i="263"/>
  <c r="E1028" i="263"/>
  <c r="O1042" i="263"/>
  <c r="E1084" i="263"/>
  <c r="O1098" i="263"/>
  <c r="E1140" i="263"/>
  <c r="O1154" i="263"/>
  <c r="E1196" i="263"/>
  <c r="O1210" i="263"/>
  <c r="P1224" i="263"/>
  <c r="F1280" i="263"/>
  <c r="G1294" i="263"/>
  <c r="C1294" i="263"/>
  <c r="P1294" i="263"/>
  <c r="Q1308" i="263"/>
  <c r="M1308" i="263"/>
  <c r="G1322" i="263"/>
  <c r="Q1224" i="263"/>
  <c r="G1280" i="263"/>
  <c r="Q1294" i="263"/>
  <c r="G1392" i="263"/>
  <c r="C1392" i="263"/>
  <c r="D1392" i="263"/>
  <c r="N1392" i="263"/>
  <c r="O1392" i="263"/>
  <c r="Q1406" i="263"/>
  <c r="M1406" i="263"/>
  <c r="N1406" i="263"/>
  <c r="D1434" i="263"/>
  <c r="E1434" i="263"/>
  <c r="G1504" i="263"/>
  <c r="C1504" i="263"/>
  <c r="D1504" i="263"/>
  <c r="N1504" i="263"/>
  <c r="O1504" i="263"/>
  <c r="Q1518" i="263"/>
  <c r="M1518" i="263"/>
  <c r="N1518" i="263"/>
  <c r="D1546" i="263"/>
  <c r="E1546" i="263"/>
  <c r="G1616" i="263"/>
  <c r="C1616" i="263"/>
  <c r="D1616" i="263"/>
  <c r="N1616" i="263"/>
  <c r="O1616" i="263"/>
  <c r="Q1630" i="263"/>
  <c r="M1630" i="263"/>
  <c r="N1630" i="263"/>
  <c r="D1658" i="263"/>
  <c r="E1658" i="263"/>
  <c r="C1350" i="263"/>
  <c r="G1350" i="263"/>
  <c r="M1364" i="263"/>
  <c r="Q1364" i="263"/>
  <c r="C1406" i="263"/>
  <c r="G1406" i="263"/>
  <c r="M1420" i="263"/>
  <c r="Q1420" i="263"/>
  <c r="C1462" i="263"/>
  <c r="G1462" i="263"/>
  <c r="M1476" i="263"/>
  <c r="Q1476" i="263"/>
  <c r="C1518" i="263"/>
  <c r="G1518" i="263"/>
  <c r="M1532" i="263"/>
  <c r="Q1532" i="263"/>
  <c r="C1574" i="263"/>
  <c r="G1574" i="263"/>
  <c r="M1588" i="263"/>
  <c r="Q1588" i="263"/>
  <c r="C1630" i="263"/>
  <c r="G1630" i="263"/>
  <c r="M1644" i="263"/>
  <c r="Q1644" i="263"/>
  <c r="C1686" i="263"/>
  <c r="G1686" i="263"/>
  <c r="P68" i="263"/>
  <c r="O69" i="263"/>
  <c r="Q68" i="263"/>
  <c r="Q69" i="263"/>
  <c r="P69" i="263"/>
  <c r="B3" i="263"/>
  <c r="AG65" i="262"/>
  <c r="AF65" i="262"/>
  <c r="AE65" i="262"/>
  <c r="AA65" i="262"/>
  <c r="Z65" i="262"/>
  <c r="Y65" i="262"/>
  <c r="X65" i="262"/>
  <c r="W65" i="262"/>
  <c r="V65" i="262"/>
  <c r="U65" i="262"/>
  <c r="T65" i="262"/>
  <c r="S65" i="262"/>
  <c r="R65" i="262"/>
  <c r="Q65" i="262"/>
  <c r="P65" i="262"/>
  <c r="O65" i="262"/>
  <c r="N65" i="262"/>
  <c r="M65" i="262"/>
  <c r="L65" i="262"/>
  <c r="K65" i="262"/>
  <c r="J65" i="262"/>
  <c r="I65" i="262"/>
  <c r="H65" i="262"/>
  <c r="G65" i="262"/>
  <c r="F65" i="262"/>
  <c r="E65" i="262"/>
  <c r="D65" i="262"/>
  <c r="C65" i="262"/>
  <c r="AG62" i="262"/>
  <c r="AG66" i="262"/>
  <c r="AF62" i="262"/>
  <c r="AF66" i="262"/>
  <c r="AE62" i="262"/>
  <c r="AE66" i="262"/>
  <c r="AA62" i="262"/>
  <c r="AA66" i="262"/>
  <c r="Z62" i="262"/>
  <c r="Z66" i="262"/>
  <c r="Y62" i="262"/>
  <c r="Y66" i="262"/>
  <c r="X62" i="262"/>
  <c r="X66" i="262"/>
  <c r="W62" i="262"/>
  <c r="W66" i="262"/>
  <c r="V62" i="262"/>
  <c r="V66" i="262"/>
  <c r="U62" i="262"/>
  <c r="U66" i="262"/>
  <c r="T62" i="262"/>
  <c r="T66" i="262"/>
  <c r="S62" i="262"/>
  <c r="S66" i="262"/>
  <c r="R62" i="262"/>
  <c r="R66" i="262"/>
  <c r="Q62" i="262"/>
  <c r="Q66" i="262"/>
  <c r="P62" i="262"/>
  <c r="P66" i="262"/>
  <c r="O62" i="262"/>
  <c r="O66" i="262"/>
  <c r="N62" i="262"/>
  <c r="N66" i="262"/>
  <c r="M62" i="262"/>
  <c r="M66" i="262"/>
  <c r="L62" i="262"/>
  <c r="L66" i="262"/>
  <c r="K62" i="262"/>
  <c r="K66" i="262"/>
  <c r="J62" i="262"/>
  <c r="J66" i="262"/>
  <c r="I62" i="262"/>
  <c r="I66" i="262"/>
  <c r="H62" i="262"/>
  <c r="H66" i="262"/>
  <c r="G62" i="262"/>
  <c r="G66" i="262"/>
  <c r="F62" i="262"/>
  <c r="F66" i="262"/>
  <c r="E62" i="262"/>
  <c r="E66" i="262"/>
  <c r="D62" i="262"/>
  <c r="D66" i="262"/>
  <c r="C62" i="262"/>
  <c r="C66" i="262"/>
  <c r="AG34" i="262"/>
  <c r="AF34" i="262"/>
  <c r="AE34" i="262"/>
  <c r="AA34" i="262"/>
  <c r="Z34" i="262"/>
  <c r="Y34" i="262"/>
  <c r="X34" i="262"/>
  <c r="W34" i="262"/>
  <c r="V34" i="262"/>
  <c r="U34" i="262"/>
  <c r="T34" i="262"/>
  <c r="S34" i="262"/>
  <c r="R34" i="262"/>
  <c r="Q34" i="262"/>
  <c r="P34" i="262"/>
  <c r="O34" i="262"/>
  <c r="N34" i="262"/>
  <c r="M34" i="262"/>
  <c r="L34" i="262"/>
  <c r="K34" i="262"/>
  <c r="J34" i="262"/>
  <c r="I34" i="262"/>
  <c r="H34" i="262"/>
  <c r="G34" i="262"/>
  <c r="F34" i="262"/>
  <c r="E34" i="262"/>
  <c r="D34" i="262"/>
  <c r="C34" i="262"/>
  <c r="B2" i="262"/>
  <c r="B1" i="262"/>
  <c r="AG65" i="261"/>
  <c r="AF65" i="261"/>
  <c r="AE65" i="261"/>
  <c r="AA65" i="261"/>
  <c r="Z65" i="261"/>
  <c r="Y65" i="261"/>
  <c r="X65" i="261"/>
  <c r="W65" i="261"/>
  <c r="V65" i="261"/>
  <c r="U65" i="261"/>
  <c r="T65" i="261"/>
  <c r="S65" i="261"/>
  <c r="R65" i="261"/>
  <c r="Q65" i="261"/>
  <c r="P65" i="261"/>
  <c r="O65" i="261"/>
  <c r="N65" i="261"/>
  <c r="M65" i="261"/>
  <c r="L65" i="261"/>
  <c r="K65" i="261"/>
  <c r="J65" i="261"/>
  <c r="I65" i="261"/>
  <c r="H65" i="261"/>
  <c r="G65" i="261"/>
  <c r="F65" i="261"/>
  <c r="E65" i="261"/>
  <c r="D65" i="261"/>
  <c r="C65" i="261"/>
  <c r="AG62" i="261"/>
  <c r="AG66" i="261"/>
  <c r="AF62" i="261"/>
  <c r="AF66" i="261"/>
  <c r="AE62" i="261"/>
  <c r="AE66" i="261"/>
  <c r="AA62" i="261"/>
  <c r="AA66" i="261"/>
  <c r="Z62" i="261"/>
  <c r="Z66" i="261"/>
  <c r="Y62" i="261"/>
  <c r="Y66" i="261"/>
  <c r="X62" i="261"/>
  <c r="X66" i="261"/>
  <c r="W62" i="261"/>
  <c r="W66" i="261"/>
  <c r="V62" i="261"/>
  <c r="V66" i="261"/>
  <c r="U62" i="261"/>
  <c r="U66" i="261"/>
  <c r="T62" i="261"/>
  <c r="T66" i="261"/>
  <c r="S62" i="261"/>
  <c r="S66" i="261"/>
  <c r="R62" i="261"/>
  <c r="R66" i="261"/>
  <c r="Q62" i="261"/>
  <c r="Q66" i="261"/>
  <c r="P62" i="261"/>
  <c r="P66" i="261"/>
  <c r="O62" i="261"/>
  <c r="O66" i="261"/>
  <c r="N62" i="261"/>
  <c r="N66" i="261"/>
  <c r="M62" i="261"/>
  <c r="M66" i="261"/>
  <c r="L62" i="261"/>
  <c r="L66" i="261"/>
  <c r="K62" i="261"/>
  <c r="K66" i="261"/>
  <c r="J62" i="261"/>
  <c r="J66" i="261"/>
  <c r="I62" i="261"/>
  <c r="I66" i="261"/>
  <c r="H62" i="261"/>
  <c r="H66" i="261"/>
  <c r="G62" i="261"/>
  <c r="G66" i="261"/>
  <c r="F62" i="261"/>
  <c r="F66" i="261"/>
  <c r="E62" i="261"/>
  <c r="E66" i="261"/>
  <c r="D62" i="261"/>
  <c r="D66" i="261"/>
  <c r="C62" i="261"/>
  <c r="C66" i="261"/>
  <c r="AG34" i="261"/>
  <c r="AF34" i="261"/>
  <c r="AE34" i="261"/>
  <c r="C34" i="261"/>
  <c r="B2" i="261"/>
  <c r="B1" i="261"/>
  <c r="AG65" i="260"/>
  <c r="AF65" i="260"/>
  <c r="AE65" i="260"/>
  <c r="AA65" i="260"/>
  <c r="Z65" i="260"/>
  <c r="Y65" i="260"/>
  <c r="X65" i="260"/>
  <c r="W65" i="260"/>
  <c r="V65" i="260"/>
  <c r="U65" i="260"/>
  <c r="T65" i="260"/>
  <c r="S65" i="260"/>
  <c r="R65" i="260"/>
  <c r="Q65" i="260"/>
  <c r="P65" i="260"/>
  <c r="O65" i="260"/>
  <c r="N65" i="260"/>
  <c r="M65" i="260"/>
  <c r="L65" i="260"/>
  <c r="K65" i="260"/>
  <c r="J65" i="260"/>
  <c r="I65" i="260"/>
  <c r="H65" i="260"/>
  <c r="G65" i="260"/>
  <c r="F65" i="260"/>
  <c r="E65" i="260"/>
  <c r="D65" i="260"/>
  <c r="C65" i="260"/>
  <c r="AG62" i="260"/>
  <c r="AG66" i="260"/>
  <c r="AF62" i="260"/>
  <c r="AF66" i="260"/>
  <c r="AE62" i="260"/>
  <c r="AE66" i="260"/>
  <c r="AA62" i="260"/>
  <c r="AA66" i="260"/>
  <c r="Z62" i="260"/>
  <c r="Z66" i="260"/>
  <c r="Y62" i="260"/>
  <c r="Y66" i="260"/>
  <c r="X62" i="260"/>
  <c r="X66" i="260"/>
  <c r="W62" i="260"/>
  <c r="W66" i="260"/>
  <c r="V62" i="260"/>
  <c r="V66" i="260"/>
  <c r="U62" i="260"/>
  <c r="U66" i="260"/>
  <c r="T62" i="260"/>
  <c r="T66" i="260"/>
  <c r="S62" i="260"/>
  <c r="S66" i="260"/>
  <c r="R62" i="260"/>
  <c r="R66" i="260"/>
  <c r="Q62" i="260"/>
  <c r="Q66" i="260"/>
  <c r="P62" i="260"/>
  <c r="P66" i="260"/>
  <c r="O62" i="260"/>
  <c r="O66" i="260"/>
  <c r="N62" i="260"/>
  <c r="N66" i="260"/>
  <c r="M62" i="260"/>
  <c r="M66" i="260"/>
  <c r="L62" i="260"/>
  <c r="L66" i="260"/>
  <c r="K62" i="260"/>
  <c r="K66" i="260"/>
  <c r="J62" i="260"/>
  <c r="J66" i="260"/>
  <c r="I62" i="260"/>
  <c r="I66" i="260"/>
  <c r="H62" i="260"/>
  <c r="H66" i="260"/>
  <c r="G62" i="260"/>
  <c r="G66" i="260"/>
  <c r="F62" i="260"/>
  <c r="F66" i="260"/>
  <c r="E62" i="260"/>
  <c r="E66" i="260"/>
  <c r="D62" i="260"/>
  <c r="D66" i="260"/>
  <c r="C62" i="260"/>
  <c r="C66" i="260"/>
  <c r="AG34" i="260"/>
  <c r="AF34" i="260"/>
  <c r="AE34" i="260"/>
  <c r="C34" i="260"/>
  <c r="B2" i="260"/>
  <c r="B1" i="260"/>
  <c r="AG65" i="259"/>
  <c r="AF65" i="259"/>
  <c r="AE65" i="259"/>
  <c r="AA65" i="259"/>
  <c r="Z65" i="259"/>
  <c r="Y65" i="259"/>
  <c r="X65" i="259"/>
  <c r="W65" i="259"/>
  <c r="V65" i="259"/>
  <c r="U65" i="259"/>
  <c r="T65" i="259"/>
  <c r="S65" i="259"/>
  <c r="R65" i="259"/>
  <c r="Q65" i="259"/>
  <c r="P65" i="259"/>
  <c r="O65" i="259"/>
  <c r="N65" i="259"/>
  <c r="M65" i="259"/>
  <c r="L65" i="259"/>
  <c r="K65" i="259"/>
  <c r="J65" i="259"/>
  <c r="I65" i="259"/>
  <c r="H65" i="259"/>
  <c r="G65" i="259"/>
  <c r="F65" i="259"/>
  <c r="E65" i="259"/>
  <c r="D65" i="259"/>
  <c r="C65" i="259"/>
  <c r="AG62" i="259"/>
  <c r="AG66" i="259"/>
  <c r="AF62" i="259"/>
  <c r="AF66" i="259"/>
  <c r="AE62" i="259"/>
  <c r="AE66" i="259"/>
  <c r="AA62" i="259"/>
  <c r="AA66" i="259"/>
  <c r="Z62" i="259"/>
  <c r="Z66" i="259"/>
  <c r="Y62" i="259"/>
  <c r="Y66" i="259"/>
  <c r="X62" i="259"/>
  <c r="X66" i="259"/>
  <c r="W62" i="259"/>
  <c r="W66" i="259"/>
  <c r="V62" i="259"/>
  <c r="V66" i="259"/>
  <c r="U62" i="259"/>
  <c r="U66" i="259"/>
  <c r="T62" i="259"/>
  <c r="T66" i="259"/>
  <c r="S62" i="259"/>
  <c r="S66" i="259"/>
  <c r="R62" i="259"/>
  <c r="R66" i="259"/>
  <c r="Q62" i="259"/>
  <c r="Q66" i="259"/>
  <c r="P62" i="259"/>
  <c r="P66" i="259"/>
  <c r="O62" i="259"/>
  <c r="O66" i="259"/>
  <c r="N62" i="259"/>
  <c r="N66" i="259"/>
  <c r="M62" i="259"/>
  <c r="M66" i="259"/>
  <c r="L62" i="259"/>
  <c r="L66" i="259"/>
  <c r="K62" i="259"/>
  <c r="K66" i="259"/>
  <c r="J62" i="259"/>
  <c r="J66" i="259"/>
  <c r="I62" i="259"/>
  <c r="I66" i="259"/>
  <c r="H62" i="259"/>
  <c r="H66" i="259"/>
  <c r="G62" i="259"/>
  <c r="G66" i="259"/>
  <c r="F62" i="259"/>
  <c r="F66" i="259"/>
  <c r="E62" i="259"/>
  <c r="E66" i="259"/>
  <c r="D62" i="259"/>
  <c r="D66" i="259"/>
  <c r="C62" i="259"/>
  <c r="C66" i="259"/>
  <c r="AG34" i="259"/>
  <c r="AF34" i="259"/>
  <c r="AE34" i="259"/>
  <c r="C34" i="259"/>
  <c r="B2" i="259"/>
  <c r="B1" i="259"/>
  <c r="AB48" i="258"/>
  <c r="AA48" i="258"/>
  <c r="Z48" i="258"/>
  <c r="Y48" i="258"/>
  <c r="X48" i="258"/>
  <c r="W48" i="258"/>
  <c r="V48" i="258"/>
  <c r="U48" i="258"/>
  <c r="T48" i="258"/>
  <c r="S48" i="258"/>
  <c r="R48" i="258"/>
  <c r="Q48" i="258"/>
  <c r="P48" i="258"/>
  <c r="O48" i="258"/>
  <c r="N48" i="258"/>
  <c r="M48" i="258"/>
  <c r="L48" i="258"/>
  <c r="K48" i="258"/>
  <c r="J48" i="258"/>
  <c r="I48" i="258"/>
  <c r="H48" i="258"/>
  <c r="G48" i="258"/>
  <c r="F48" i="258"/>
  <c r="E48" i="258"/>
  <c r="D48" i="258"/>
  <c r="AB46" i="258"/>
  <c r="AA46" i="258"/>
  <c r="Z46" i="258"/>
  <c r="Y46" i="258"/>
  <c r="X46" i="258"/>
  <c r="W46" i="258"/>
  <c r="V46" i="258"/>
  <c r="U46" i="258"/>
  <c r="T46" i="258"/>
  <c r="S46" i="258"/>
  <c r="R46" i="258"/>
  <c r="Q46" i="258"/>
  <c r="P46" i="258"/>
  <c r="O46" i="258"/>
  <c r="N46" i="258"/>
  <c r="M46" i="258"/>
  <c r="L46" i="258"/>
  <c r="K46" i="258"/>
  <c r="J46" i="258"/>
  <c r="I46" i="258"/>
  <c r="H46" i="258"/>
  <c r="G46" i="258"/>
  <c r="F46" i="258"/>
  <c r="E46" i="258"/>
  <c r="AB43" i="258"/>
  <c r="AA43" i="258"/>
  <c r="Z43" i="258"/>
  <c r="Y43" i="258"/>
  <c r="X43" i="258"/>
  <c r="W43" i="258"/>
  <c r="V43" i="258"/>
  <c r="U43" i="258"/>
  <c r="T43" i="258"/>
  <c r="S43" i="258"/>
  <c r="R43" i="258"/>
  <c r="Q43" i="258"/>
  <c r="P43" i="258"/>
  <c r="O43" i="258"/>
  <c r="N43" i="258"/>
  <c r="M43" i="258"/>
  <c r="L43" i="258"/>
  <c r="K43" i="258"/>
  <c r="J43" i="258"/>
  <c r="I43" i="258"/>
  <c r="H43" i="258"/>
  <c r="G43" i="258"/>
  <c r="F43" i="258"/>
  <c r="E43" i="258"/>
  <c r="D43" i="258"/>
  <c r="G42" i="258"/>
  <c r="D42" i="258"/>
  <c r="E41" i="258"/>
  <c r="D41" i="258"/>
  <c r="I40" i="258"/>
  <c r="G40" i="258"/>
  <c r="F40" i="258"/>
  <c r="E40" i="258"/>
  <c r="D40" i="258"/>
  <c r="H39" i="258"/>
  <c r="G39" i="258"/>
  <c r="F39" i="258"/>
  <c r="E39" i="258"/>
  <c r="D39" i="258"/>
  <c r="H37" i="258"/>
  <c r="H42" i="258"/>
  <c r="G37" i="258"/>
  <c r="F37" i="258"/>
  <c r="F42" i="258"/>
  <c r="E37" i="258"/>
  <c r="E42" i="258"/>
  <c r="D37" i="258"/>
  <c r="I36" i="258"/>
  <c r="I41" i="258"/>
  <c r="H36" i="258"/>
  <c r="H41" i="258"/>
  <c r="G36" i="258"/>
  <c r="G41" i="258"/>
  <c r="F36" i="258"/>
  <c r="F41" i="258"/>
  <c r="E36" i="258"/>
  <c r="D36" i="258"/>
  <c r="J35" i="258"/>
  <c r="I35" i="258"/>
  <c r="H35" i="258"/>
  <c r="H40" i="258"/>
  <c r="G35" i="258"/>
  <c r="I34" i="258"/>
  <c r="I39" i="258"/>
  <c r="H34" i="258"/>
  <c r="G34" i="258"/>
  <c r="F34" i="258"/>
  <c r="E34" i="258"/>
  <c r="AB32" i="258"/>
  <c r="AA32" i="258"/>
  <c r="Z32" i="258"/>
  <c r="Y32" i="258"/>
  <c r="X32" i="258"/>
  <c r="W32" i="258"/>
  <c r="V32" i="258"/>
  <c r="U32" i="258"/>
  <c r="T32" i="258"/>
  <c r="S32" i="258"/>
  <c r="R32" i="258"/>
  <c r="Q32" i="258"/>
  <c r="P32" i="258"/>
  <c r="O32" i="258"/>
  <c r="N32" i="258"/>
  <c r="M32" i="258"/>
  <c r="L32" i="258"/>
  <c r="K32" i="258"/>
  <c r="J32" i="258"/>
  <c r="I32" i="258"/>
  <c r="H32" i="258"/>
  <c r="G32" i="258"/>
  <c r="F32" i="258"/>
  <c r="E32" i="258"/>
  <c r="D32" i="258"/>
  <c r="E31" i="258"/>
  <c r="D31" i="258"/>
  <c r="F29" i="258"/>
  <c r="E29" i="258"/>
  <c r="D29" i="258"/>
  <c r="G28" i="258"/>
  <c r="D28" i="258"/>
  <c r="E26" i="258"/>
  <c r="D26" i="258"/>
  <c r="F25" i="258"/>
  <c r="F30" i="258"/>
  <c r="D25" i="258"/>
  <c r="D30" i="258"/>
  <c r="G23" i="258"/>
  <c r="F23" i="258"/>
  <c r="E23" i="258"/>
  <c r="E28" i="258"/>
  <c r="B2" i="258"/>
  <c r="B1" i="258"/>
  <c r="V55" i="257"/>
  <c r="K55" i="257"/>
  <c r="AC54" i="257"/>
  <c r="AB54" i="257"/>
  <c r="AB55" i="257"/>
  <c r="AA54" i="257"/>
  <c r="AA55" i="257"/>
  <c r="Z54" i="257"/>
  <c r="Y54" i="257"/>
  <c r="X54" i="257"/>
  <c r="X55" i="257"/>
  <c r="W54" i="257"/>
  <c r="V54" i="257"/>
  <c r="U54" i="257"/>
  <c r="T54" i="257"/>
  <c r="T55" i="257"/>
  <c r="S54" i="257"/>
  <c r="S55" i="257"/>
  <c r="R54" i="257"/>
  <c r="R55" i="257"/>
  <c r="Q54" i="257"/>
  <c r="P54" i="257"/>
  <c r="P55" i="257"/>
  <c r="O54" i="257"/>
  <c r="N54" i="257"/>
  <c r="M54" i="257"/>
  <c r="L54" i="257"/>
  <c r="L55" i="257"/>
  <c r="K54" i="257"/>
  <c r="J54" i="257"/>
  <c r="J55" i="257"/>
  <c r="I54" i="257"/>
  <c r="H54" i="257"/>
  <c r="H55" i="257"/>
  <c r="G54" i="257"/>
  <c r="F54" i="257"/>
  <c r="F55" i="257"/>
  <c r="E54" i="257"/>
  <c r="AC49" i="257"/>
  <c r="AB49" i="257"/>
  <c r="AA49" i="257"/>
  <c r="Z49" i="257"/>
  <c r="Z55" i="257"/>
  <c r="Y49" i="257"/>
  <c r="X49" i="257"/>
  <c r="W49" i="257"/>
  <c r="V49" i="257"/>
  <c r="U49" i="257"/>
  <c r="T49" i="257"/>
  <c r="S49" i="257"/>
  <c r="R49" i="257"/>
  <c r="Q49" i="257"/>
  <c r="P49" i="257"/>
  <c r="O49" i="257"/>
  <c r="N49" i="257"/>
  <c r="N55" i="257"/>
  <c r="M49" i="257"/>
  <c r="L49" i="257"/>
  <c r="K49" i="257"/>
  <c r="J49" i="257"/>
  <c r="I49" i="257"/>
  <c r="H49" i="257"/>
  <c r="G49" i="257"/>
  <c r="F49" i="257"/>
  <c r="E49" i="257"/>
  <c r="B35" i="257"/>
  <c r="G32" i="257"/>
  <c r="H31" i="257"/>
  <c r="H32" i="257"/>
  <c r="G31" i="257"/>
  <c r="F31" i="257"/>
  <c r="F32" i="257"/>
  <c r="E31" i="257"/>
  <c r="E32" i="257"/>
  <c r="B22" i="257"/>
  <c r="B2" i="257"/>
  <c r="B1" i="257"/>
  <c r="AA48" i="256"/>
  <c r="Z48" i="256"/>
  <c r="W48" i="256"/>
  <c r="V48" i="256"/>
  <c r="T48" i="256"/>
  <c r="S48" i="256"/>
  <c r="R48" i="256"/>
  <c r="P48" i="256"/>
  <c r="O48" i="256"/>
  <c r="N48" i="256"/>
  <c r="K48" i="256"/>
  <c r="J48" i="256"/>
  <c r="G48" i="256"/>
  <c r="F48" i="256"/>
  <c r="D48" i="256"/>
  <c r="AB46" i="256"/>
  <c r="AB48" i="256"/>
  <c r="AA46" i="256"/>
  <c r="Z46" i="256"/>
  <c r="Y46" i="256"/>
  <c r="Y48" i="256"/>
  <c r="X46" i="256"/>
  <c r="X48" i="256"/>
  <c r="W46" i="256"/>
  <c r="V46" i="256"/>
  <c r="U46" i="256"/>
  <c r="U48" i="256"/>
  <c r="T46" i="256"/>
  <c r="S46" i="256"/>
  <c r="R46" i="256"/>
  <c r="Q46" i="256"/>
  <c r="Q48" i="256"/>
  <c r="P46" i="256"/>
  <c r="O46" i="256"/>
  <c r="N46" i="256"/>
  <c r="M46" i="256"/>
  <c r="M48" i="256"/>
  <c r="L46" i="256"/>
  <c r="L48" i="256"/>
  <c r="K46" i="256"/>
  <c r="J46" i="256"/>
  <c r="I46" i="256"/>
  <c r="I48" i="256"/>
  <c r="H46" i="256"/>
  <c r="H48" i="256"/>
  <c r="G46" i="256"/>
  <c r="F46" i="256"/>
  <c r="E46" i="256"/>
  <c r="E48" i="256"/>
  <c r="AB43" i="256"/>
  <c r="AA43" i="256"/>
  <c r="Z43" i="256"/>
  <c r="Y43" i="256"/>
  <c r="X43" i="256"/>
  <c r="W43" i="256"/>
  <c r="V43" i="256"/>
  <c r="U43" i="256"/>
  <c r="T43" i="256"/>
  <c r="S43" i="256"/>
  <c r="R43" i="256"/>
  <c r="Q43" i="256"/>
  <c r="P43" i="256"/>
  <c r="O43" i="256"/>
  <c r="N43" i="256"/>
  <c r="M43" i="256"/>
  <c r="L43" i="256"/>
  <c r="K43" i="256"/>
  <c r="J43" i="256"/>
  <c r="I43" i="256"/>
  <c r="H43" i="256"/>
  <c r="G43" i="256"/>
  <c r="F43" i="256"/>
  <c r="E43" i="256"/>
  <c r="D43" i="256"/>
  <c r="G42" i="256"/>
  <c r="F42" i="256"/>
  <c r="E42" i="256"/>
  <c r="D42" i="256"/>
  <c r="G40" i="256"/>
  <c r="F40" i="256"/>
  <c r="E40" i="256"/>
  <c r="D40" i="256"/>
  <c r="F39" i="256"/>
  <c r="E39" i="256"/>
  <c r="D39" i="256"/>
  <c r="G36" i="256"/>
  <c r="H35" i="257"/>
  <c r="H44" i="257"/>
  <c r="H45" i="257"/>
  <c r="D36" i="256"/>
  <c r="M35" i="256"/>
  <c r="N34" i="256" s="1"/>
  <c r="L35" i="256"/>
  <c r="M34" i="256" s="1"/>
  <c r="K35" i="256"/>
  <c r="L34" i="256"/>
  <c r="L39" i="256" s="1"/>
  <c r="J35" i="256"/>
  <c r="J40" i="256"/>
  <c r="I35" i="256"/>
  <c r="J34" i="256" s="1"/>
  <c r="H35" i="256"/>
  <c r="H36" i="256" s="1"/>
  <c r="I34" i="256"/>
  <c r="I39" i="256" s="1"/>
  <c r="H34" i="256"/>
  <c r="H39" i="256"/>
  <c r="G34" i="256"/>
  <c r="G39" i="256"/>
  <c r="F34" i="256"/>
  <c r="F36" i="256"/>
  <c r="E34" i="256"/>
  <c r="E36" i="256"/>
  <c r="AB32" i="256"/>
  <c r="AA32" i="256"/>
  <c r="Z32" i="256"/>
  <c r="Y32" i="256"/>
  <c r="X32" i="256"/>
  <c r="W32" i="256"/>
  <c r="V32" i="256"/>
  <c r="U32" i="256"/>
  <c r="T32" i="256"/>
  <c r="S32" i="256"/>
  <c r="R32" i="256"/>
  <c r="Q32" i="256"/>
  <c r="P32" i="256"/>
  <c r="O32" i="256"/>
  <c r="N32" i="256"/>
  <c r="M32" i="256"/>
  <c r="L32" i="256"/>
  <c r="K32" i="256"/>
  <c r="J32" i="256"/>
  <c r="I32" i="256"/>
  <c r="H32" i="256"/>
  <c r="G32" i="256"/>
  <c r="F32" i="256"/>
  <c r="E32" i="256"/>
  <c r="D32" i="256"/>
  <c r="G31" i="256"/>
  <c r="F31" i="256"/>
  <c r="E31" i="256"/>
  <c r="D31" i="256"/>
  <c r="G29" i="256"/>
  <c r="F29" i="256"/>
  <c r="E29" i="256"/>
  <c r="D29" i="256"/>
  <c r="E28" i="256"/>
  <c r="D28" i="256"/>
  <c r="G25" i="256"/>
  <c r="D25" i="256"/>
  <c r="M24" i="256"/>
  <c r="N23" i="256"/>
  <c r="N28" i="256"/>
  <c r="L24" i="256"/>
  <c r="K24" i="256"/>
  <c r="K29" i="256"/>
  <c r="J24" i="256"/>
  <c r="J29" i="256" s="1"/>
  <c r="I24" i="256"/>
  <c r="I29" i="256"/>
  <c r="H24" i="256"/>
  <c r="H29" i="256" s="1"/>
  <c r="J23" i="256"/>
  <c r="H23" i="256"/>
  <c r="H28" i="256"/>
  <c r="G23" i="256"/>
  <c r="G28" i="256"/>
  <c r="F23" i="256"/>
  <c r="F25" i="256" s="1"/>
  <c r="E23" i="256"/>
  <c r="E25" i="256"/>
  <c r="E30" i="256" s="1"/>
  <c r="B2" i="256"/>
  <c r="B1" i="256"/>
  <c r="X55" i="255"/>
  <c r="AC54" i="255"/>
  <c r="AB54" i="255"/>
  <c r="AA54" i="255"/>
  <c r="Z54" i="255"/>
  <c r="Y54" i="255"/>
  <c r="X54" i="255"/>
  <c r="W54" i="255"/>
  <c r="V54" i="255"/>
  <c r="V55" i="255"/>
  <c r="U54" i="255"/>
  <c r="T54" i="255"/>
  <c r="S54" i="255"/>
  <c r="R54" i="255"/>
  <c r="R55" i="255"/>
  <c r="Q54" i="255"/>
  <c r="P54" i="255"/>
  <c r="O54" i="255"/>
  <c r="N54" i="255"/>
  <c r="N55" i="255"/>
  <c r="M54" i="255"/>
  <c r="L54" i="255"/>
  <c r="K54" i="255"/>
  <c r="J54" i="255"/>
  <c r="I54" i="255"/>
  <c r="H54" i="255"/>
  <c r="G54" i="255"/>
  <c r="F54" i="255"/>
  <c r="F55" i="255"/>
  <c r="E54" i="255"/>
  <c r="AC49" i="255"/>
  <c r="AB49" i="255"/>
  <c r="AA49" i="255"/>
  <c r="Z49" i="255"/>
  <c r="Y49" i="255"/>
  <c r="X49" i="255"/>
  <c r="W49" i="255"/>
  <c r="V49" i="255"/>
  <c r="U49" i="255"/>
  <c r="T49" i="255"/>
  <c r="S49" i="255"/>
  <c r="R49" i="255"/>
  <c r="Q49" i="255"/>
  <c r="P49" i="255"/>
  <c r="O49" i="255"/>
  <c r="N49" i="255"/>
  <c r="M49" i="255"/>
  <c r="L49" i="255"/>
  <c r="K49" i="255"/>
  <c r="J49" i="255"/>
  <c r="I49" i="255"/>
  <c r="H49" i="255"/>
  <c r="G49" i="255"/>
  <c r="F49" i="255"/>
  <c r="E49" i="255"/>
  <c r="G35" i="255"/>
  <c r="G44" i="255"/>
  <c r="G45" i="255"/>
  <c r="B35" i="255"/>
  <c r="H31" i="255"/>
  <c r="H32" i="255"/>
  <c r="G31" i="255"/>
  <c r="G32" i="255"/>
  <c r="F31" i="255"/>
  <c r="F32" i="255"/>
  <c r="E31" i="255"/>
  <c r="E32" i="255"/>
  <c r="B22" i="255"/>
  <c r="B2" i="255"/>
  <c r="B1" i="255"/>
  <c r="Z48" i="254"/>
  <c r="V48" i="254"/>
  <c r="R48" i="254"/>
  <c r="O48" i="254"/>
  <c r="N48" i="254"/>
  <c r="J48" i="254"/>
  <c r="F48" i="254"/>
  <c r="D48" i="254"/>
  <c r="AB46" i="254"/>
  <c r="AB48" i="254"/>
  <c r="AA46" i="254"/>
  <c r="AA48" i="254"/>
  <c r="Z46" i="254"/>
  <c r="Y46" i="254"/>
  <c r="Y48" i="254"/>
  <c r="X46" i="254"/>
  <c r="X48" i="254"/>
  <c r="W46" i="254"/>
  <c r="W48" i="254"/>
  <c r="V46" i="254"/>
  <c r="U46" i="254"/>
  <c r="U48" i="254"/>
  <c r="T46" i="254"/>
  <c r="T48" i="254"/>
  <c r="S46" i="254"/>
  <c r="S48" i="254"/>
  <c r="R46" i="254"/>
  <c r="Q46" i="254"/>
  <c r="Q48" i="254"/>
  <c r="P46" i="254"/>
  <c r="P48" i="254"/>
  <c r="O46" i="254"/>
  <c r="N46" i="254"/>
  <c r="M46" i="254"/>
  <c r="M48" i="254"/>
  <c r="L46" i="254"/>
  <c r="L48" i="254"/>
  <c r="K46" i="254"/>
  <c r="K48" i="254"/>
  <c r="J46" i="254"/>
  <c r="I46" i="254"/>
  <c r="I48" i="254"/>
  <c r="H46" i="254"/>
  <c r="H48" i="254"/>
  <c r="G46" i="254"/>
  <c r="G48" i="254"/>
  <c r="F46" i="254"/>
  <c r="E46" i="254"/>
  <c r="E48" i="254"/>
  <c r="AB43" i="254"/>
  <c r="AA43" i="254"/>
  <c r="Z43" i="254"/>
  <c r="Y43" i="254"/>
  <c r="X43" i="254"/>
  <c r="W43" i="254"/>
  <c r="V43" i="254"/>
  <c r="U43" i="254"/>
  <c r="T43" i="254"/>
  <c r="S43" i="254"/>
  <c r="R43" i="254"/>
  <c r="Q43" i="254"/>
  <c r="P43" i="254"/>
  <c r="O43" i="254"/>
  <c r="N43" i="254"/>
  <c r="M43" i="254"/>
  <c r="L43" i="254"/>
  <c r="K43" i="254"/>
  <c r="J43" i="254"/>
  <c r="I43" i="254"/>
  <c r="H43" i="254"/>
  <c r="G43" i="254"/>
  <c r="F43" i="254"/>
  <c r="E43" i="254"/>
  <c r="D43" i="254"/>
  <c r="G42" i="254"/>
  <c r="F42" i="254"/>
  <c r="E42" i="254"/>
  <c r="D42" i="254"/>
  <c r="F41" i="254"/>
  <c r="G40" i="254"/>
  <c r="F40" i="254"/>
  <c r="E40" i="254"/>
  <c r="D40" i="254"/>
  <c r="H39" i="254"/>
  <c r="G39" i="254"/>
  <c r="D39" i="254"/>
  <c r="F36" i="254"/>
  <c r="E36" i="254"/>
  <c r="D36" i="254"/>
  <c r="E35" i="255"/>
  <c r="E44" i="255"/>
  <c r="E45" i="255"/>
  <c r="M35" i="254"/>
  <c r="M40" i="254"/>
  <c r="L35" i="254"/>
  <c r="L40" i="254"/>
  <c r="K35" i="254"/>
  <c r="J35" i="254"/>
  <c r="J40" i="254" s="1"/>
  <c r="I35" i="254"/>
  <c r="I40" i="254"/>
  <c r="H35" i="254"/>
  <c r="H40" i="254" s="1"/>
  <c r="M34" i="254"/>
  <c r="M39" i="254"/>
  <c r="I34" i="254"/>
  <c r="I39" i="254" s="1"/>
  <c r="H34" i="254"/>
  <c r="H36" i="254"/>
  <c r="G34" i="254"/>
  <c r="G36" i="254"/>
  <c r="F34" i="254"/>
  <c r="F39" i="254"/>
  <c r="E34" i="254"/>
  <c r="E39" i="254"/>
  <c r="AB32" i="254"/>
  <c r="AA32" i="254"/>
  <c r="Z32" i="254"/>
  <c r="Y32" i="254"/>
  <c r="X32" i="254"/>
  <c r="W32" i="254"/>
  <c r="V32" i="254"/>
  <c r="U32" i="254"/>
  <c r="T32" i="254"/>
  <c r="S32" i="254"/>
  <c r="R32" i="254"/>
  <c r="Q32" i="254"/>
  <c r="P32" i="254"/>
  <c r="O32" i="254"/>
  <c r="N32" i="254"/>
  <c r="M32" i="254"/>
  <c r="L32" i="254"/>
  <c r="K32" i="254"/>
  <c r="J32" i="254"/>
  <c r="I32" i="254"/>
  <c r="H32" i="254"/>
  <c r="G32" i="254"/>
  <c r="F32" i="254"/>
  <c r="E32" i="254"/>
  <c r="D32" i="254"/>
  <c r="G31" i="254"/>
  <c r="F31" i="254"/>
  <c r="E31" i="254"/>
  <c r="D31" i="254"/>
  <c r="G29" i="254"/>
  <c r="F29" i="254"/>
  <c r="E29" i="254"/>
  <c r="D29" i="254"/>
  <c r="G28" i="254"/>
  <c r="D28" i="254"/>
  <c r="E25" i="254"/>
  <c r="F22" i="255" s="1"/>
  <c r="D25" i="260" s="1"/>
  <c r="D34" i="260" s="1"/>
  <c r="D25" i="254"/>
  <c r="D30" i="254" s="1"/>
  <c r="M24" i="254"/>
  <c r="M29" i="254" s="1"/>
  <c r="L24" i="254"/>
  <c r="L29" i="254" s="1"/>
  <c r="K24" i="254"/>
  <c r="L23" i="254" s="1"/>
  <c r="J24" i="254"/>
  <c r="I24" i="254"/>
  <c r="H24" i="254"/>
  <c r="H29" i="254" s="1"/>
  <c r="H23" i="254"/>
  <c r="G23" i="254"/>
  <c r="G25" i="254"/>
  <c r="F23" i="254"/>
  <c r="F28" i="254" s="1"/>
  <c r="E23" i="254"/>
  <c r="E28" i="254"/>
  <c r="B2" i="254"/>
  <c r="B1" i="254"/>
  <c r="AC55" i="253"/>
  <c r="U55" i="253"/>
  <c r="Q55" i="253"/>
  <c r="I55" i="253"/>
  <c r="E55" i="253"/>
  <c r="AC54" i="253"/>
  <c r="AB54" i="253"/>
  <c r="AA54" i="253"/>
  <c r="Z54" i="253"/>
  <c r="Z55" i="253"/>
  <c r="Y54" i="253"/>
  <c r="Y55" i="253"/>
  <c r="X54" i="253"/>
  <c r="X55" i="253"/>
  <c r="W54" i="253"/>
  <c r="V54" i="253"/>
  <c r="V55" i="253"/>
  <c r="U54" i="253"/>
  <c r="T54" i="253"/>
  <c r="S54" i="253"/>
  <c r="R54" i="253"/>
  <c r="R55" i="253"/>
  <c r="Q54" i="253"/>
  <c r="P54" i="253"/>
  <c r="P55" i="253"/>
  <c r="O54" i="253"/>
  <c r="N54" i="253"/>
  <c r="N55" i="253"/>
  <c r="M54" i="253"/>
  <c r="M55" i="253"/>
  <c r="L54" i="253"/>
  <c r="K54" i="253"/>
  <c r="J54" i="253"/>
  <c r="J55" i="253"/>
  <c r="I54" i="253"/>
  <c r="H54" i="253"/>
  <c r="G54" i="253"/>
  <c r="F54" i="253"/>
  <c r="F55" i="253"/>
  <c r="E54" i="253"/>
  <c r="AC49" i="253"/>
  <c r="AB49" i="253"/>
  <c r="AB55" i="253"/>
  <c r="AA49" i="253"/>
  <c r="Z49" i="253"/>
  <c r="Y49" i="253"/>
  <c r="X49" i="253"/>
  <c r="W49" i="253"/>
  <c r="V49" i="253"/>
  <c r="U49" i="253"/>
  <c r="T49" i="253"/>
  <c r="T55" i="253"/>
  <c r="S49" i="253"/>
  <c r="R49" i="253"/>
  <c r="Q49" i="253"/>
  <c r="P49" i="253"/>
  <c r="O49" i="253"/>
  <c r="N49" i="253"/>
  <c r="M49" i="253"/>
  <c r="L49" i="253"/>
  <c r="L55" i="253"/>
  <c r="K49" i="253"/>
  <c r="J49" i="253"/>
  <c r="I49" i="253"/>
  <c r="H49" i="253"/>
  <c r="H55" i="253"/>
  <c r="G49" i="253"/>
  <c r="F49" i="253"/>
  <c r="E49" i="253"/>
  <c r="G35" i="253"/>
  <c r="G44" i="253"/>
  <c r="G45" i="253"/>
  <c r="B35" i="253"/>
  <c r="H31" i="253"/>
  <c r="H32" i="253"/>
  <c r="G31" i="253"/>
  <c r="G32" i="253"/>
  <c r="F31" i="253"/>
  <c r="F32" i="253"/>
  <c r="E31" i="253"/>
  <c r="E32" i="253"/>
  <c r="B22" i="253"/>
  <c r="B2" i="253"/>
  <c r="B1" i="253"/>
  <c r="V48" i="252"/>
  <c r="T48" i="252"/>
  <c r="P48" i="252"/>
  <c r="O48" i="252"/>
  <c r="K48" i="252"/>
  <c r="E48" i="252"/>
  <c r="D48" i="252"/>
  <c r="AB46" i="252"/>
  <c r="AB48" i="252"/>
  <c r="AA46" i="252"/>
  <c r="AA48" i="252"/>
  <c r="Z46" i="252"/>
  <c r="Z48" i="252"/>
  <c r="Y46" i="252"/>
  <c r="Y48" i="252"/>
  <c r="X46" i="252"/>
  <c r="X48" i="252"/>
  <c r="W46" i="252"/>
  <c r="W48" i="252"/>
  <c r="V46" i="252"/>
  <c r="U46" i="252"/>
  <c r="U48" i="252"/>
  <c r="T46" i="252"/>
  <c r="S46" i="252"/>
  <c r="S48" i="252"/>
  <c r="R46" i="252"/>
  <c r="R48" i="252"/>
  <c r="Q46" i="252"/>
  <c r="Q48" i="252"/>
  <c r="P46" i="252"/>
  <c r="O46" i="252"/>
  <c r="N46" i="252"/>
  <c r="N48" i="252"/>
  <c r="M46" i="252"/>
  <c r="M48" i="252"/>
  <c r="L46" i="252"/>
  <c r="L48" i="252"/>
  <c r="K46" i="252"/>
  <c r="J46" i="252"/>
  <c r="J48" i="252"/>
  <c r="I46" i="252"/>
  <c r="I48" i="252"/>
  <c r="H46" i="252"/>
  <c r="H48" i="252"/>
  <c r="G46" i="252"/>
  <c r="G48" i="252"/>
  <c r="F46" i="252"/>
  <c r="F48" i="252"/>
  <c r="E46" i="252"/>
  <c r="AB43" i="252"/>
  <c r="AA43" i="252"/>
  <c r="Z43" i="252"/>
  <c r="Y43" i="252"/>
  <c r="X43" i="252"/>
  <c r="W43" i="252"/>
  <c r="V43" i="252"/>
  <c r="U43" i="252"/>
  <c r="T43" i="252"/>
  <c r="S43" i="252"/>
  <c r="R43" i="252"/>
  <c r="Q43" i="252"/>
  <c r="P43" i="252"/>
  <c r="O43" i="252"/>
  <c r="N43" i="252"/>
  <c r="M43" i="252"/>
  <c r="L43" i="252"/>
  <c r="K43" i="252"/>
  <c r="J43" i="252"/>
  <c r="I43" i="252"/>
  <c r="H43" i="252"/>
  <c r="G43" i="252"/>
  <c r="F43" i="252"/>
  <c r="E43" i="252"/>
  <c r="D43" i="252"/>
  <c r="G42" i="252"/>
  <c r="F42" i="252"/>
  <c r="E42" i="252"/>
  <c r="D42" i="252"/>
  <c r="E41" i="252"/>
  <c r="G40" i="252"/>
  <c r="F40" i="252"/>
  <c r="E40" i="252"/>
  <c r="D40" i="252"/>
  <c r="F39" i="252"/>
  <c r="D39" i="252"/>
  <c r="E36" i="252"/>
  <c r="F35" i="253"/>
  <c r="F44" i="253"/>
  <c r="F45" i="253"/>
  <c r="D36" i="252"/>
  <c r="E35" i="253"/>
  <c r="E44" i="253"/>
  <c r="E45" i="253"/>
  <c r="M35" i="252"/>
  <c r="L35" i="252"/>
  <c r="L40" i="252"/>
  <c r="K35" i="252"/>
  <c r="K40" i="252" s="1"/>
  <c r="J35" i="252"/>
  <c r="J40" i="252"/>
  <c r="I35" i="252"/>
  <c r="H35" i="252"/>
  <c r="M34" i="252"/>
  <c r="M39" i="252" s="1"/>
  <c r="K34" i="252"/>
  <c r="H34" i="252"/>
  <c r="H39" i="252"/>
  <c r="G34" i="252"/>
  <c r="G36" i="252"/>
  <c r="F34" i="252"/>
  <c r="F36" i="252"/>
  <c r="F41" i="252"/>
  <c r="E34" i="252"/>
  <c r="E39" i="252"/>
  <c r="AB32" i="252"/>
  <c r="AA32" i="252"/>
  <c r="Z32" i="252"/>
  <c r="Y32" i="252"/>
  <c r="X32" i="252"/>
  <c r="W32" i="252"/>
  <c r="V32" i="252"/>
  <c r="U32" i="252"/>
  <c r="T32" i="252"/>
  <c r="S32" i="252"/>
  <c r="R32" i="252"/>
  <c r="Q32" i="252"/>
  <c r="P32" i="252"/>
  <c r="O32" i="252"/>
  <c r="N32" i="252"/>
  <c r="M32" i="252"/>
  <c r="L32" i="252"/>
  <c r="K32" i="252"/>
  <c r="J32" i="252"/>
  <c r="I32" i="252"/>
  <c r="H32" i="252"/>
  <c r="G32" i="252"/>
  <c r="F32" i="252"/>
  <c r="E32" i="252"/>
  <c r="D32" i="252"/>
  <c r="G31" i="252"/>
  <c r="F31" i="252"/>
  <c r="E31" i="252"/>
  <c r="D31" i="252"/>
  <c r="G29" i="252"/>
  <c r="F29" i="252"/>
  <c r="E29" i="252"/>
  <c r="D29" i="252"/>
  <c r="H28" i="252"/>
  <c r="D28" i="252"/>
  <c r="E25" i="252"/>
  <c r="F22" i="253" s="1"/>
  <c r="D25" i="259" s="1"/>
  <c r="D34" i="259" s="1"/>
  <c r="D25" i="252"/>
  <c r="E22" i="253" s="1"/>
  <c r="M24" i="252"/>
  <c r="N23" i="252"/>
  <c r="N28" i="252" s="1"/>
  <c r="L24" i="252"/>
  <c r="L29" i="252"/>
  <c r="K24" i="252"/>
  <c r="K29" i="252" s="1"/>
  <c r="J24" i="252"/>
  <c r="J29" i="252"/>
  <c r="I24" i="252"/>
  <c r="H24" i="252"/>
  <c r="H29" i="252" s="1"/>
  <c r="H23" i="252"/>
  <c r="G23" i="252"/>
  <c r="G25" i="252"/>
  <c r="F23" i="252"/>
  <c r="F28" i="252"/>
  <c r="E23" i="252"/>
  <c r="E28" i="252"/>
  <c r="B2" i="252"/>
  <c r="B1" i="252"/>
  <c r="T55" i="251"/>
  <c r="AC54" i="251"/>
  <c r="AC55" i="251"/>
  <c r="AB54" i="251"/>
  <c r="AB55" i="251"/>
  <c r="AA54" i="251"/>
  <c r="AA55" i="251"/>
  <c r="Z54" i="251"/>
  <c r="Y54" i="251"/>
  <c r="Y55" i="251"/>
  <c r="X54" i="251"/>
  <c r="X55" i="251"/>
  <c r="W54" i="251"/>
  <c r="W55" i="251"/>
  <c r="V54" i="251"/>
  <c r="U54" i="251"/>
  <c r="U55" i="251"/>
  <c r="T54" i="251"/>
  <c r="S54" i="251"/>
  <c r="S55" i="251"/>
  <c r="R54" i="251"/>
  <c r="Q54" i="251"/>
  <c r="Q55" i="251"/>
  <c r="P54" i="251"/>
  <c r="P55" i="251"/>
  <c r="O54" i="251"/>
  <c r="O55" i="251"/>
  <c r="N54" i="251"/>
  <c r="M54" i="251"/>
  <c r="M55" i="251"/>
  <c r="L54" i="251"/>
  <c r="L55" i="251"/>
  <c r="K54" i="251"/>
  <c r="K55" i="251"/>
  <c r="J54" i="251"/>
  <c r="I54" i="251"/>
  <c r="I55" i="251"/>
  <c r="H54" i="251"/>
  <c r="H55" i="251"/>
  <c r="G54" i="251"/>
  <c r="G55" i="251"/>
  <c r="F54" i="251"/>
  <c r="E54" i="251"/>
  <c r="E55" i="251"/>
  <c r="G44" i="251"/>
  <c r="G45" i="251"/>
  <c r="E44" i="251"/>
  <c r="E45" i="251"/>
  <c r="F44" i="251"/>
  <c r="F45" i="251"/>
  <c r="G31" i="251"/>
  <c r="G32" i="251"/>
  <c r="F31" i="251"/>
  <c r="F32" i="251"/>
  <c r="E31" i="251"/>
  <c r="E32" i="251"/>
  <c r="G27" i="251"/>
  <c r="O26" i="251"/>
  <c r="O25" i="251"/>
  <c r="O23" i="251"/>
  <c r="I20" i="251"/>
  <c r="J20" i="251"/>
  <c r="K20" i="251"/>
  <c r="L20" i="251"/>
  <c r="M20" i="251"/>
  <c r="N20" i="251"/>
  <c r="O20" i="251"/>
  <c r="P20" i="251"/>
  <c r="Q20" i="251"/>
  <c r="R20" i="251"/>
  <c r="S20" i="251"/>
  <c r="T20" i="251"/>
  <c r="U20" i="251"/>
  <c r="V20" i="251"/>
  <c r="W20" i="251"/>
  <c r="X20" i="251"/>
  <c r="Y20" i="251"/>
  <c r="Z20" i="251"/>
  <c r="AA20" i="251"/>
  <c r="AB20" i="251"/>
  <c r="AC20" i="251"/>
  <c r="H20" i="251"/>
  <c r="G20" i="251"/>
  <c r="F20" i="251"/>
  <c r="E20" i="251"/>
  <c r="B2" i="251"/>
  <c r="B1" i="251"/>
  <c r="K23" i="252"/>
  <c r="K25" i="252"/>
  <c r="L22" i="253" s="1"/>
  <c r="J25" i="259" s="1"/>
  <c r="J34" i="254"/>
  <c r="J39" i="254"/>
  <c r="H55" i="255"/>
  <c r="L55" i="255"/>
  <c r="AB55" i="255"/>
  <c r="G55" i="255"/>
  <c r="K55" i="255"/>
  <c r="O55" i="255"/>
  <c r="S55" i="255"/>
  <c r="W55" i="255"/>
  <c r="AA55" i="255"/>
  <c r="E55" i="257"/>
  <c r="I55" i="257"/>
  <c r="M55" i="257"/>
  <c r="Q55" i="257"/>
  <c r="U55" i="257"/>
  <c r="Y55" i="257"/>
  <c r="AC55" i="257"/>
  <c r="J55" i="255"/>
  <c r="Z55" i="255"/>
  <c r="G55" i="257"/>
  <c r="O55" i="257"/>
  <c r="W55" i="257"/>
  <c r="L36" i="256"/>
  <c r="L41" i="256" s="1"/>
  <c r="F25" i="252"/>
  <c r="F30" i="252" s="1"/>
  <c r="M29" i="252"/>
  <c r="I36" i="254"/>
  <c r="E22" i="255"/>
  <c r="K40" i="256"/>
  <c r="I23" i="252"/>
  <c r="H26" i="252"/>
  <c r="H31" i="252" s="1"/>
  <c r="L34" i="252"/>
  <c r="F25" i="254"/>
  <c r="G22" i="255"/>
  <c r="E25" i="260"/>
  <c r="E34" i="260" s="1"/>
  <c r="H37" i="254"/>
  <c r="H42" i="254"/>
  <c r="I23" i="256"/>
  <c r="M23" i="256"/>
  <c r="M28" i="256" s="1"/>
  <c r="H25" i="252"/>
  <c r="H30" i="252"/>
  <c r="M23" i="252"/>
  <c r="M28" i="252" s="1"/>
  <c r="D30" i="252"/>
  <c r="K36" i="252"/>
  <c r="K41" i="252" s="1"/>
  <c r="N23" i="254"/>
  <c r="N28" i="254"/>
  <c r="E30" i="254"/>
  <c r="N34" i="254"/>
  <c r="M36" i="254"/>
  <c r="L23" i="256"/>
  <c r="I26" i="256"/>
  <c r="I31" i="256" s="1"/>
  <c r="K34" i="256"/>
  <c r="L40" i="256"/>
  <c r="F22" i="257"/>
  <c r="D25" i="261" s="1"/>
  <c r="D34" i="261" s="1"/>
  <c r="H35" i="253"/>
  <c r="H44" i="253"/>
  <c r="H45" i="253"/>
  <c r="G41" i="252"/>
  <c r="H22" i="257"/>
  <c r="F25" i="261"/>
  <c r="F34" i="261" s="1"/>
  <c r="G30" i="256"/>
  <c r="I40" i="252"/>
  <c r="I22" i="253"/>
  <c r="G25" i="259" s="1"/>
  <c r="K37" i="252"/>
  <c r="K42" i="252"/>
  <c r="G39" i="252"/>
  <c r="G55" i="253"/>
  <c r="K55" i="253"/>
  <c r="O55" i="253"/>
  <c r="S55" i="253"/>
  <c r="W55" i="253"/>
  <c r="AA55" i="253"/>
  <c r="J37" i="254"/>
  <c r="J42" i="254" s="1"/>
  <c r="J36" i="254"/>
  <c r="G35" i="257"/>
  <c r="G44" i="257"/>
  <c r="G45" i="257"/>
  <c r="F41" i="256"/>
  <c r="M35" i="257"/>
  <c r="K27" i="261"/>
  <c r="K39" i="252"/>
  <c r="G22" i="253"/>
  <c r="E25" i="259" s="1"/>
  <c r="E34" i="259" s="1"/>
  <c r="H22" i="253"/>
  <c r="F25" i="259"/>
  <c r="F34" i="259" s="1"/>
  <c r="G30" i="252"/>
  <c r="K28" i="252"/>
  <c r="L23" i="252"/>
  <c r="L26" i="252" s="1"/>
  <c r="L31" i="252" s="1"/>
  <c r="K26" i="252"/>
  <c r="K31" i="252"/>
  <c r="G28" i="252"/>
  <c r="J34" i="252"/>
  <c r="J39" i="252" s="1"/>
  <c r="N34" i="252"/>
  <c r="D41" i="252"/>
  <c r="H25" i="254"/>
  <c r="H28" i="254"/>
  <c r="H26" i="254"/>
  <c r="H31" i="254"/>
  <c r="K23" i="254"/>
  <c r="K26" i="254"/>
  <c r="K31" i="254" s="1"/>
  <c r="J29" i="254"/>
  <c r="L34" i="254"/>
  <c r="K40" i="254"/>
  <c r="F35" i="255"/>
  <c r="F44" i="255"/>
  <c r="F45" i="255"/>
  <c r="E41" i="254"/>
  <c r="N35" i="255"/>
  <c r="L27" i="260"/>
  <c r="M41" i="254"/>
  <c r="E35" i="257"/>
  <c r="E44" i="257"/>
  <c r="E45" i="257"/>
  <c r="D41" i="256"/>
  <c r="H35" i="255"/>
  <c r="H44" i="255"/>
  <c r="H45" i="255"/>
  <c r="G41" i="254"/>
  <c r="K29" i="254"/>
  <c r="I35" i="255"/>
  <c r="H41" i="254"/>
  <c r="I40" i="256"/>
  <c r="I37" i="256"/>
  <c r="I42" i="256"/>
  <c r="M40" i="256"/>
  <c r="D41" i="254"/>
  <c r="M26" i="256"/>
  <c r="M31" i="256"/>
  <c r="M29" i="256"/>
  <c r="E22" i="257"/>
  <c r="D30" i="256"/>
  <c r="F28" i="256"/>
  <c r="P55" i="255"/>
  <c r="T55" i="255"/>
  <c r="J25" i="256"/>
  <c r="J28" i="256"/>
  <c r="G41" i="256"/>
  <c r="E55" i="255"/>
  <c r="I55" i="255"/>
  <c r="M55" i="255"/>
  <c r="Q55" i="255"/>
  <c r="U55" i="255"/>
  <c r="Y55" i="255"/>
  <c r="AC55" i="255"/>
  <c r="H25" i="256"/>
  <c r="I22" i="257" s="1"/>
  <c r="G25" i="261" s="1"/>
  <c r="L29" i="256"/>
  <c r="M25" i="256"/>
  <c r="F35" i="257"/>
  <c r="F44" i="257"/>
  <c r="F45" i="257"/>
  <c r="E41" i="256"/>
  <c r="I36" i="256"/>
  <c r="I41" i="256" s="1"/>
  <c r="H40" i="256"/>
  <c r="H37" i="256"/>
  <c r="H42" i="256"/>
  <c r="F28" i="258"/>
  <c r="F26" i="258"/>
  <c r="F31" i="258"/>
  <c r="E25" i="258"/>
  <c r="E30" i="258"/>
  <c r="J37" i="258"/>
  <c r="J42" i="258"/>
  <c r="K35" i="258"/>
  <c r="K34" i="258"/>
  <c r="J34" i="258"/>
  <c r="I37" i="258"/>
  <c r="I42" i="258"/>
  <c r="J40" i="258"/>
  <c r="P25" i="251"/>
  <c r="Q25" i="251"/>
  <c r="R25" i="251"/>
  <c r="S25" i="251"/>
  <c r="T25" i="251"/>
  <c r="U25" i="251"/>
  <c r="V25" i="251"/>
  <c r="W25" i="251"/>
  <c r="X25" i="251"/>
  <c r="Y25" i="251"/>
  <c r="Z25" i="251"/>
  <c r="AA25" i="251"/>
  <c r="AB25" i="251"/>
  <c r="AC25" i="251"/>
  <c r="P26" i="251"/>
  <c r="Q26" i="251"/>
  <c r="R26" i="251"/>
  <c r="S26" i="251"/>
  <c r="T26" i="251"/>
  <c r="U26" i="251"/>
  <c r="V26" i="251"/>
  <c r="W26" i="251"/>
  <c r="X26" i="251"/>
  <c r="Y26" i="251"/>
  <c r="Z26" i="251"/>
  <c r="AA26" i="251"/>
  <c r="AB26" i="251"/>
  <c r="AC26" i="251"/>
  <c r="P23" i="251"/>
  <c r="Q23" i="251"/>
  <c r="O38" i="251"/>
  <c r="P38" i="251"/>
  <c r="O42" i="251"/>
  <c r="P42" i="251"/>
  <c r="Q42" i="251"/>
  <c r="R42" i="251"/>
  <c r="S42" i="251"/>
  <c r="T42" i="251"/>
  <c r="U42" i="251"/>
  <c r="V42" i="251"/>
  <c r="W42" i="251"/>
  <c r="X42" i="251"/>
  <c r="Y42" i="251"/>
  <c r="Z42" i="251"/>
  <c r="AA42" i="251"/>
  <c r="AB42" i="251"/>
  <c r="AC42" i="251"/>
  <c r="O41" i="251"/>
  <c r="P41" i="251"/>
  <c r="Q41" i="251"/>
  <c r="R41" i="251"/>
  <c r="S41" i="251"/>
  <c r="T41" i="251"/>
  <c r="U41" i="251"/>
  <c r="V41" i="251"/>
  <c r="W41" i="251"/>
  <c r="X41" i="251"/>
  <c r="Y41" i="251"/>
  <c r="Z41" i="251"/>
  <c r="AA41" i="251"/>
  <c r="AB41" i="251"/>
  <c r="AC41" i="251"/>
  <c r="O36" i="251"/>
  <c r="O40" i="251"/>
  <c r="P40" i="251"/>
  <c r="Q40" i="251"/>
  <c r="R40" i="251"/>
  <c r="S40" i="251"/>
  <c r="T40" i="251"/>
  <c r="U40" i="251"/>
  <c r="V40" i="251"/>
  <c r="W40" i="251"/>
  <c r="X40" i="251"/>
  <c r="Y40" i="251"/>
  <c r="Z40" i="251"/>
  <c r="AA40" i="251"/>
  <c r="AB40" i="251"/>
  <c r="AC40" i="251"/>
  <c r="M31" i="251"/>
  <c r="M32" i="251"/>
  <c r="O30" i="251"/>
  <c r="P30" i="251"/>
  <c r="Q30" i="251"/>
  <c r="R30" i="251"/>
  <c r="S30" i="251"/>
  <c r="T30" i="251"/>
  <c r="U30" i="251"/>
  <c r="V30" i="251"/>
  <c r="W30" i="251"/>
  <c r="X30" i="251"/>
  <c r="Y30" i="251"/>
  <c r="Z30" i="251"/>
  <c r="AA30" i="251"/>
  <c r="AB30" i="251"/>
  <c r="AC30" i="251"/>
  <c r="O24" i="251"/>
  <c r="P24" i="251"/>
  <c r="Q24" i="251"/>
  <c r="R24" i="251"/>
  <c r="S24" i="251"/>
  <c r="T24" i="251"/>
  <c r="U24" i="251"/>
  <c r="V24" i="251"/>
  <c r="W24" i="251"/>
  <c r="X24" i="251"/>
  <c r="Y24" i="251"/>
  <c r="Z24" i="251"/>
  <c r="AA24" i="251"/>
  <c r="AB24" i="251"/>
  <c r="AC24" i="251"/>
  <c r="O27" i="251"/>
  <c r="P27" i="251"/>
  <c r="Q27" i="251"/>
  <c r="R27" i="251"/>
  <c r="S27" i="251"/>
  <c r="T27" i="251"/>
  <c r="U27" i="251"/>
  <c r="V27" i="251"/>
  <c r="W27" i="251"/>
  <c r="X27" i="251"/>
  <c r="Y27" i="251"/>
  <c r="Z27" i="251"/>
  <c r="AA27" i="251"/>
  <c r="AB27" i="251"/>
  <c r="AC27" i="251"/>
  <c r="O28" i="251"/>
  <c r="P28" i="251"/>
  <c r="Q28" i="251"/>
  <c r="R28" i="251"/>
  <c r="S28" i="251"/>
  <c r="T28" i="251"/>
  <c r="U28" i="251"/>
  <c r="V28" i="251"/>
  <c r="W28" i="251"/>
  <c r="X28" i="251"/>
  <c r="Y28" i="251"/>
  <c r="Z28" i="251"/>
  <c r="AA28" i="251"/>
  <c r="AB28" i="251"/>
  <c r="AC28" i="251"/>
  <c r="O29" i="251"/>
  <c r="P29" i="251"/>
  <c r="Q29" i="251"/>
  <c r="R29" i="251"/>
  <c r="S29" i="251"/>
  <c r="T29" i="251"/>
  <c r="U29" i="251"/>
  <c r="V29" i="251"/>
  <c r="W29" i="251"/>
  <c r="X29" i="251"/>
  <c r="Y29" i="251"/>
  <c r="Z29" i="251"/>
  <c r="AA29" i="251"/>
  <c r="AB29" i="251"/>
  <c r="AC29" i="251"/>
  <c r="I44" i="251"/>
  <c r="I45" i="251"/>
  <c r="F55" i="251"/>
  <c r="J55" i="251"/>
  <c r="N55" i="251"/>
  <c r="R55" i="251"/>
  <c r="V55" i="251"/>
  <c r="Z55" i="251"/>
  <c r="O43" i="251"/>
  <c r="P43" i="251"/>
  <c r="Q43" i="251"/>
  <c r="R43" i="251"/>
  <c r="S43" i="251"/>
  <c r="T43" i="251"/>
  <c r="U43" i="251"/>
  <c r="V43" i="251"/>
  <c r="W43" i="251"/>
  <c r="X43" i="251"/>
  <c r="Y43" i="251"/>
  <c r="Z43" i="251"/>
  <c r="AA43" i="251"/>
  <c r="AB43" i="251"/>
  <c r="AC43" i="251"/>
  <c r="K44" i="251"/>
  <c r="K45" i="251"/>
  <c r="O37" i="251"/>
  <c r="P37" i="251"/>
  <c r="Q37" i="251"/>
  <c r="R37" i="251"/>
  <c r="S37" i="251"/>
  <c r="T37" i="251"/>
  <c r="U37" i="251"/>
  <c r="V37" i="251"/>
  <c r="W37" i="251"/>
  <c r="X37" i="251"/>
  <c r="Y37" i="251"/>
  <c r="Z37" i="251"/>
  <c r="AA37" i="251"/>
  <c r="AB37" i="251"/>
  <c r="AC37" i="251"/>
  <c r="O39" i="251"/>
  <c r="P39" i="251"/>
  <c r="Q39" i="251"/>
  <c r="R39" i="251"/>
  <c r="S39" i="251"/>
  <c r="T39" i="251"/>
  <c r="U39" i="251"/>
  <c r="V39" i="251"/>
  <c r="W39" i="251"/>
  <c r="X39" i="251"/>
  <c r="Y39" i="251"/>
  <c r="Z39" i="251"/>
  <c r="AA39" i="251"/>
  <c r="AB39" i="251"/>
  <c r="AC39" i="251"/>
  <c r="Q38" i="251"/>
  <c r="R38" i="251"/>
  <c r="S38" i="251"/>
  <c r="T38" i="251"/>
  <c r="U38" i="251"/>
  <c r="V38" i="251"/>
  <c r="W38" i="251"/>
  <c r="X38" i="251"/>
  <c r="Y38" i="251"/>
  <c r="Z38" i="251"/>
  <c r="AA38" i="251"/>
  <c r="AB38" i="251"/>
  <c r="AC38" i="251"/>
  <c r="J44" i="251"/>
  <c r="J45" i="251"/>
  <c r="L44" i="251"/>
  <c r="L45" i="251"/>
  <c r="H44" i="251"/>
  <c r="H45" i="251"/>
  <c r="J31" i="251"/>
  <c r="J32" i="251"/>
  <c r="K31" i="251"/>
  <c r="K32" i="251"/>
  <c r="L39" i="252"/>
  <c r="L28" i="256"/>
  <c r="L25" i="256"/>
  <c r="L31" i="257"/>
  <c r="L32" i="257"/>
  <c r="K39" i="256"/>
  <c r="K36" i="256"/>
  <c r="L35" i="257" s="1"/>
  <c r="K37" i="256"/>
  <c r="K42" i="256"/>
  <c r="N39" i="254"/>
  <c r="N35" i="254"/>
  <c r="O34" i="254" s="1"/>
  <c r="M25" i="252"/>
  <c r="N22" i="253" s="1"/>
  <c r="L25" i="259" s="1"/>
  <c r="M26" i="252"/>
  <c r="M31" i="252"/>
  <c r="F30" i="254"/>
  <c r="I41" i="254"/>
  <c r="J35" i="255"/>
  <c r="H27" i="260"/>
  <c r="L26" i="256"/>
  <c r="L31" i="256"/>
  <c r="I31" i="253"/>
  <c r="I32" i="253"/>
  <c r="K28" i="254"/>
  <c r="K30" i="252"/>
  <c r="M31" i="255"/>
  <c r="M32" i="255"/>
  <c r="J36" i="258"/>
  <c r="J41" i="258"/>
  <c r="J39" i="258"/>
  <c r="N35" i="252"/>
  <c r="N37" i="252"/>
  <c r="N39" i="252"/>
  <c r="L35" i="258"/>
  <c r="K40" i="258"/>
  <c r="L34" i="258"/>
  <c r="K37" i="258"/>
  <c r="K42" i="258"/>
  <c r="M30" i="256"/>
  <c r="N22" i="257"/>
  <c r="L25" i="261" s="1"/>
  <c r="H30" i="256"/>
  <c r="L36" i="254"/>
  <c r="M35" i="255"/>
  <c r="L37" i="254"/>
  <c r="L42" i="254"/>
  <c r="L39" i="254"/>
  <c r="H30" i="254"/>
  <c r="I22" i="255"/>
  <c r="G25" i="260"/>
  <c r="K36" i="258"/>
  <c r="K41" i="258"/>
  <c r="K39" i="258"/>
  <c r="K22" i="257"/>
  <c r="I25" i="261"/>
  <c r="J30" i="256"/>
  <c r="J36" i="252"/>
  <c r="K35" i="253" s="1"/>
  <c r="L28" i="252"/>
  <c r="J37" i="252"/>
  <c r="J42" i="252" s="1"/>
  <c r="K35" i="255"/>
  <c r="J41" i="254"/>
  <c r="H31" i="251"/>
  <c r="H32" i="251"/>
  <c r="M44" i="251"/>
  <c r="M45" i="251"/>
  <c r="L31" i="251"/>
  <c r="L32" i="251"/>
  <c r="O31" i="251"/>
  <c r="O32" i="251"/>
  <c r="Q31" i="251"/>
  <c r="Q32" i="251"/>
  <c r="R23" i="251"/>
  <c r="N44" i="251"/>
  <c r="N45" i="251"/>
  <c r="P31" i="251"/>
  <c r="P32" i="251"/>
  <c r="O44" i="251"/>
  <c r="O45" i="251"/>
  <c r="P36" i="251"/>
  <c r="N31" i="251"/>
  <c r="N32" i="251"/>
  <c r="I31" i="251"/>
  <c r="I32" i="251"/>
  <c r="N37" i="254"/>
  <c r="N42" i="254" s="1"/>
  <c r="N36" i="254"/>
  <c r="N41" i="254" s="1"/>
  <c r="N40" i="254"/>
  <c r="M44" i="257"/>
  <c r="M45" i="257"/>
  <c r="K41" i="256"/>
  <c r="L30" i="256"/>
  <c r="M22" i="257"/>
  <c r="K25" i="261" s="1"/>
  <c r="K34" i="261" s="1"/>
  <c r="N44" i="255"/>
  <c r="N45" i="255"/>
  <c r="N42" i="252"/>
  <c r="N40" i="252"/>
  <c r="O34" i="252"/>
  <c r="K31" i="253"/>
  <c r="K32" i="253"/>
  <c r="L41" i="254"/>
  <c r="L39" i="258"/>
  <c r="L36" i="258"/>
  <c r="L41" i="258"/>
  <c r="N36" i="252"/>
  <c r="L40" i="258"/>
  <c r="M34" i="258"/>
  <c r="L37" i="258"/>
  <c r="L42" i="258"/>
  <c r="M35" i="258"/>
  <c r="J31" i="255"/>
  <c r="J32" i="255"/>
  <c r="P44" i="251"/>
  <c r="P45" i="251"/>
  <c r="Q36" i="251"/>
  <c r="R31" i="251"/>
  <c r="R32" i="251"/>
  <c r="S23" i="251"/>
  <c r="I31" i="255"/>
  <c r="I32" i="255"/>
  <c r="N31" i="255"/>
  <c r="N32" i="255"/>
  <c r="K31" i="257"/>
  <c r="K32" i="257"/>
  <c r="N31" i="257"/>
  <c r="N32" i="257"/>
  <c r="N34" i="258"/>
  <c r="M37" i="258"/>
  <c r="M42" i="258"/>
  <c r="M40" i="258"/>
  <c r="N35" i="258"/>
  <c r="J31" i="257"/>
  <c r="J32" i="257"/>
  <c r="I31" i="257"/>
  <c r="I32" i="257"/>
  <c r="K31" i="255"/>
  <c r="K32" i="255"/>
  <c r="M39" i="258"/>
  <c r="M36" i="258"/>
  <c r="M41" i="258"/>
  <c r="L31" i="253"/>
  <c r="L32" i="253"/>
  <c r="J31" i="253"/>
  <c r="J32" i="253"/>
  <c r="Q44" i="251"/>
  <c r="Q45" i="251"/>
  <c r="R36" i="251"/>
  <c r="S31" i="251"/>
  <c r="S32" i="251"/>
  <c r="T23" i="251"/>
  <c r="M31" i="257"/>
  <c r="M32" i="257"/>
  <c r="N31" i="253"/>
  <c r="N32" i="253"/>
  <c r="N37" i="258"/>
  <c r="N42" i="258"/>
  <c r="O35" i="258"/>
  <c r="N40" i="258"/>
  <c r="O34" i="258"/>
  <c r="N36" i="258"/>
  <c r="N41" i="258"/>
  <c r="N39" i="258"/>
  <c r="M31" i="253"/>
  <c r="M32" i="253"/>
  <c r="L31" i="255"/>
  <c r="L32" i="255"/>
  <c r="S36" i="251"/>
  <c r="R44" i="251"/>
  <c r="R45" i="251"/>
  <c r="T31" i="251"/>
  <c r="T32" i="251"/>
  <c r="U23" i="251"/>
  <c r="O36" i="258"/>
  <c r="O41" i="258"/>
  <c r="O39" i="258"/>
  <c r="P35" i="258"/>
  <c r="O40" i="258"/>
  <c r="O37" i="258"/>
  <c r="O42" i="258"/>
  <c r="P34" i="258"/>
  <c r="S44" i="251"/>
  <c r="S45" i="251"/>
  <c r="T36" i="251"/>
  <c r="U31" i="251"/>
  <c r="U32" i="251"/>
  <c r="V23" i="251"/>
  <c r="P39" i="258"/>
  <c r="P36" i="258"/>
  <c r="P41" i="258"/>
  <c r="P40" i="258"/>
  <c r="Q34" i="258"/>
  <c r="Q35" i="258"/>
  <c r="P37" i="258"/>
  <c r="P42" i="258"/>
  <c r="V31" i="251"/>
  <c r="V32" i="251"/>
  <c r="W23" i="251"/>
  <c r="T44" i="251"/>
  <c r="T45" i="251"/>
  <c r="U36" i="251"/>
  <c r="R34" i="258"/>
  <c r="Q37" i="258"/>
  <c r="Q42" i="258"/>
  <c r="R35" i="258"/>
  <c r="Q40" i="258"/>
  <c r="Q39" i="258"/>
  <c r="Q36" i="258"/>
  <c r="Q41" i="258"/>
  <c r="U44" i="251"/>
  <c r="U45" i="251"/>
  <c r="V36" i="251"/>
  <c r="W31" i="251"/>
  <c r="W32" i="251"/>
  <c r="X23" i="251"/>
  <c r="R37" i="258"/>
  <c r="R42" i="258"/>
  <c r="S35" i="258"/>
  <c r="R40" i="258"/>
  <c r="S34" i="258"/>
  <c r="R36" i="258"/>
  <c r="R41" i="258"/>
  <c r="R39" i="258"/>
  <c r="X31" i="251"/>
  <c r="X32" i="251"/>
  <c r="Y23" i="251"/>
  <c r="W36" i="251"/>
  <c r="V44" i="251"/>
  <c r="V45" i="251"/>
  <c r="S36" i="258"/>
  <c r="S41" i="258"/>
  <c r="S39" i="258"/>
  <c r="T35" i="258"/>
  <c r="S40" i="258"/>
  <c r="T34" i="258"/>
  <c r="S37" i="258"/>
  <c r="S42" i="258"/>
  <c r="W44" i="251"/>
  <c r="W45" i="251"/>
  <c r="X36" i="251"/>
  <c r="Y31" i="251"/>
  <c r="Y32" i="251"/>
  <c r="Z23" i="251"/>
  <c r="T39" i="258"/>
  <c r="T36" i="258"/>
  <c r="T41" i="258"/>
  <c r="T40" i="258"/>
  <c r="U34" i="258"/>
  <c r="T37" i="258"/>
  <c r="T42" i="258"/>
  <c r="U35" i="258"/>
  <c r="Z31" i="251"/>
  <c r="Z32" i="251"/>
  <c r="AA23" i="251"/>
  <c r="X44" i="251"/>
  <c r="X45" i="251"/>
  <c r="Y36" i="251"/>
  <c r="V34" i="258"/>
  <c r="U37" i="258"/>
  <c r="U42" i="258"/>
  <c r="U40" i="258"/>
  <c r="V35" i="258"/>
  <c r="U39" i="258"/>
  <c r="U36" i="258"/>
  <c r="U41" i="258"/>
  <c r="Y44" i="251"/>
  <c r="Y45" i="251"/>
  <c r="Z36" i="251"/>
  <c r="AA31" i="251"/>
  <c r="AA32" i="251"/>
  <c r="AB23" i="251"/>
  <c r="V37" i="258"/>
  <c r="V42" i="258"/>
  <c r="W35" i="258"/>
  <c r="V40" i="258"/>
  <c r="W34" i="258"/>
  <c r="V36" i="258"/>
  <c r="V41" i="258"/>
  <c r="V39" i="258"/>
  <c r="AB31" i="251"/>
  <c r="AB32" i="251"/>
  <c r="AC23" i="251"/>
  <c r="AC31" i="251"/>
  <c r="AC32" i="251"/>
  <c r="AA36" i="251"/>
  <c r="Z44" i="251"/>
  <c r="Z45" i="251"/>
  <c r="W36" i="258"/>
  <c r="W41" i="258"/>
  <c r="W39" i="258"/>
  <c r="X35" i="258"/>
  <c r="W40" i="258"/>
  <c r="W37" i="258"/>
  <c r="W42" i="258"/>
  <c r="X34" i="258"/>
  <c r="AA44" i="251"/>
  <c r="AA45" i="251"/>
  <c r="AB36" i="251"/>
  <c r="X39" i="258"/>
  <c r="X36" i="258"/>
  <c r="X41" i="258"/>
  <c r="X40" i="258"/>
  <c r="Y34" i="258"/>
  <c r="Y35" i="258"/>
  <c r="X37" i="258"/>
  <c r="X42" i="258"/>
  <c r="AC36" i="251"/>
  <c r="AC44" i="251"/>
  <c r="AC45" i="251"/>
  <c r="AB44" i="251"/>
  <c r="AB45" i="251"/>
  <c r="Y39" i="258"/>
  <c r="Y36" i="258"/>
  <c r="Y41" i="258"/>
  <c r="Z34" i="258"/>
  <c r="Y37" i="258"/>
  <c r="Y42" i="258"/>
  <c r="Z35" i="258"/>
  <c r="Y40" i="258"/>
  <c r="Z37" i="258"/>
  <c r="Z42" i="258"/>
  <c r="AA35" i="258"/>
  <c r="Z40" i="258"/>
  <c r="AA34" i="258"/>
  <c r="Z36" i="258"/>
  <c r="Z41" i="258"/>
  <c r="Z39" i="258"/>
  <c r="AB35" i="258"/>
  <c r="AA40" i="258"/>
  <c r="AB34" i="258"/>
  <c r="AA37" i="258"/>
  <c r="AA42" i="258"/>
  <c r="AA36" i="258"/>
  <c r="AA41" i="258"/>
  <c r="AA39" i="258"/>
  <c r="AB39" i="258"/>
  <c r="AB36" i="258"/>
  <c r="AB40" i="258"/>
  <c r="AB37" i="258"/>
  <c r="AB42" i="258"/>
  <c r="AB41" i="258"/>
  <c r="G24" i="258"/>
  <c r="G26" i="258"/>
  <c r="G31" i="258"/>
  <c r="G25" i="258"/>
  <c r="G30" i="258"/>
  <c r="G29" i="258"/>
  <c r="H23" i="258"/>
  <c r="H24" i="258"/>
  <c r="H28" i="258"/>
  <c r="H29" i="258"/>
  <c r="I23" i="258"/>
  <c r="H26" i="258"/>
  <c r="H31" i="258"/>
  <c r="H25" i="258"/>
  <c r="H30" i="258"/>
  <c r="I24" i="258"/>
  <c r="I28" i="258"/>
  <c r="I29" i="258"/>
  <c r="I26" i="258"/>
  <c r="I31" i="258"/>
  <c r="J23" i="258"/>
  <c r="I25" i="258"/>
  <c r="I30" i="258"/>
  <c r="J28" i="258"/>
  <c r="J24" i="258"/>
  <c r="J25" i="258"/>
  <c r="J30" i="258"/>
  <c r="K23" i="258"/>
  <c r="J26" i="258"/>
  <c r="J31" i="258"/>
  <c r="J29" i="258"/>
  <c r="K28" i="258"/>
  <c r="K24" i="258"/>
  <c r="K26" i="258"/>
  <c r="K31" i="258"/>
  <c r="K29" i="258"/>
  <c r="L23" i="258"/>
  <c r="K25" i="258"/>
  <c r="K30" i="258"/>
  <c r="L25" i="258"/>
  <c r="L30" i="258"/>
  <c r="L24" i="258"/>
  <c r="L28" i="258"/>
  <c r="L29" i="258"/>
  <c r="L26" i="258"/>
  <c r="L31" i="258"/>
  <c r="M23" i="258"/>
  <c r="M24" i="258"/>
  <c r="M25" i="258"/>
  <c r="M30" i="258"/>
  <c r="M28" i="258"/>
  <c r="M29" i="258"/>
  <c r="N23" i="258"/>
  <c r="M26" i="258"/>
  <c r="M31" i="258"/>
  <c r="N28" i="258"/>
  <c r="N24" i="258"/>
  <c r="N25" i="258"/>
  <c r="N30" i="258"/>
  <c r="O23" i="258"/>
  <c r="N26" i="258"/>
  <c r="N31" i="258"/>
  <c r="N29" i="258"/>
  <c r="O24" i="258"/>
  <c r="O28" i="258"/>
  <c r="O26" i="258"/>
  <c r="O31" i="258"/>
  <c r="P23" i="258"/>
  <c r="O29" i="258"/>
  <c r="O25" i="258"/>
  <c r="O30" i="258"/>
  <c r="P24" i="258"/>
  <c r="P28" i="258"/>
  <c r="P29" i="258"/>
  <c r="P26" i="258"/>
  <c r="P31" i="258"/>
  <c r="Q23" i="258"/>
  <c r="P25" i="258"/>
  <c r="P30" i="258"/>
  <c r="Q24" i="258"/>
  <c r="Q28" i="258"/>
  <c r="Q25" i="258"/>
  <c r="Q30" i="258"/>
  <c r="Q29" i="258"/>
  <c r="Q26" i="258"/>
  <c r="Q31" i="258"/>
  <c r="R23" i="258"/>
  <c r="R28" i="258"/>
  <c r="R24" i="258"/>
  <c r="S23" i="258"/>
  <c r="R26" i="258"/>
  <c r="R31" i="258"/>
  <c r="R29" i="258"/>
  <c r="R25" i="258"/>
  <c r="R30" i="258"/>
  <c r="S28" i="258"/>
  <c r="S24" i="258"/>
  <c r="S26" i="258"/>
  <c r="S31" i="258"/>
  <c r="S29" i="258"/>
  <c r="T23" i="258"/>
  <c r="S25" i="258"/>
  <c r="S30" i="258"/>
  <c r="T24" i="258"/>
  <c r="T28" i="258"/>
  <c r="T29" i="258"/>
  <c r="T26" i="258"/>
  <c r="T31" i="258"/>
  <c r="U23" i="258"/>
  <c r="T25" i="258"/>
  <c r="T30" i="258"/>
  <c r="U24" i="258"/>
  <c r="U28" i="258"/>
  <c r="U29" i="258"/>
  <c r="V23" i="258"/>
  <c r="U26" i="258"/>
  <c r="U31" i="258"/>
  <c r="U25" i="258"/>
  <c r="U30" i="258"/>
  <c r="V28" i="258"/>
  <c r="V24" i="258"/>
  <c r="W23" i="258"/>
  <c r="V26" i="258"/>
  <c r="V31" i="258"/>
  <c r="V29" i="258"/>
  <c r="V25" i="258"/>
  <c r="V30" i="258"/>
  <c r="W25" i="258"/>
  <c r="W30" i="258"/>
  <c r="W24" i="258"/>
  <c r="W28" i="258"/>
  <c r="W26" i="258"/>
  <c r="W31" i="258"/>
  <c r="W29" i="258"/>
  <c r="X23" i="258"/>
  <c r="X24" i="258"/>
  <c r="X28" i="258"/>
  <c r="X29" i="258"/>
  <c r="X26" i="258"/>
  <c r="X31" i="258"/>
  <c r="Y23" i="258"/>
  <c r="X25" i="258"/>
  <c r="X30" i="258"/>
  <c r="Y24" i="258"/>
  <c r="Y28" i="258"/>
  <c r="Y25" i="258"/>
  <c r="Y30" i="258"/>
  <c r="Y29" i="258"/>
  <c r="Z23" i="258"/>
  <c r="Y26" i="258"/>
  <c r="Y31" i="258"/>
  <c r="Z28" i="258"/>
  <c r="Z24" i="258"/>
  <c r="AA23" i="258"/>
  <c r="Z26" i="258"/>
  <c r="Z31" i="258"/>
  <c r="Z29" i="258"/>
  <c r="Z25" i="258"/>
  <c r="Z30" i="258"/>
  <c r="AA28" i="258"/>
  <c r="AA24" i="258"/>
  <c r="AA26" i="258"/>
  <c r="AA31" i="258"/>
  <c r="AA29" i="258"/>
  <c r="AB23" i="258"/>
  <c r="AA25" i="258"/>
  <c r="AA30" i="258"/>
  <c r="AB24" i="258"/>
  <c r="AB28" i="258"/>
  <c r="AB29" i="258"/>
  <c r="AB26" i="258"/>
  <c r="AB31" i="258"/>
  <c r="AB25" i="258"/>
  <c r="AB30" i="258"/>
  <c r="I76" i="223"/>
  <c r="J76" i="223"/>
  <c r="K76" i="223"/>
  <c r="L76" i="223"/>
  <c r="M76" i="223"/>
  <c r="N76" i="223"/>
  <c r="O76" i="223"/>
  <c r="P76" i="223"/>
  <c r="I77" i="223"/>
  <c r="J77" i="223"/>
  <c r="K77" i="223"/>
  <c r="L77" i="223"/>
  <c r="M77" i="223"/>
  <c r="N77" i="223"/>
  <c r="O77" i="223"/>
  <c r="P77" i="223"/>
  <c r="I78" i="223"/>
  <c r="J78" i="223"/>
  <c r="K78" i="223"/>
  <c r="L78" i="223"/>
  <c r="M78" i="223"/>
  <c r="N78" i="223"/>
  <c r="O78" i="223"/>
  <c r="P78" i="223"/>
  <c r="I79" i="223"/>
  <c r="J79" i="223"/>
  <c r="K79" i="223"/>
  <c r="L79" i="223"/>
  <c r="M79" i="223"/>
  <c r="N79" i="223"/>
  <c r="O79" i="223"/>
  <c r="P79" i="223"/>
  <c r="I80" i="223"/>
  <c r="J80" i="223"/>
  <c r="K80" i="223"/>
  <c r="L80" i="223"/>
  <c r="M80" i="223"/>
  <c r="N80" i="223"/>
  <c r="O80" i="223"/>
  <c r="P80" i="223"/>
  <c r="I81" i="223"/>
  <c r="J81" i="223"/>
  <c r="K81" i="223"/>
  <c r="L81" i="223"/>
  <c r="M81" i="223"/>
  <c r="N81" i="223"/>
  <c r="O81" i="223"/>
  <c r="P81" i="223"/>
  <c r="I82" i="223"/>
  <c r="J82" i="223"/>
  <c r="K82" i="223"/>
  <c r="L82" i="223"/>
  <c r="M82" i="223"/>
  <c r="N82" i="223"/>
  <c r="O82" i="223"/>
  <c r="P82" i="223"/>
  <c r="I83" i="223"/>
  <c r="J83" i="223"/>
  <c r="K83" i="223"/>
  <c r="L83" i="223"/>
  <c r="M83" i="223"/>
  <c r="N83" i="223"/>
  <c r="O83" i="223"/>
  <c r="P83" i="223"/>
  <c r="I84" i="223"/>
  <c r="J84" i="223"/>
  <c r="K84" i="223"/>
  <c r="L84" i="223"/>
  <c r="M84" i="223"/>
  <c r="N84" i="223"/>
  <c r="O84" i="223"/>
  <c r="P84" i="223"/>
  <c r="I85" i="223"/>
  <c r="J85" i="223"/>
  <c r="K85" i="223"/>
  <c r="L85" i="223"/>
  <c r="M85" i="223"/>
  <c r="N85" i="223"/>
  <c r="O85" i="223"/>
  <c r="P85" i="223"/>
  <c r="J75" i="223"/>
  <c r="K75" i="223"/>
  <c r="L75" i="223"/>
  <c r="M75" i="223"/>
  <c r="N75" i="223"/>
  <c r="O75" i="223"/>
  <c r="P75" i="223"/>
  <c r="I75" i="223"/>
  <c r="B48" i="223"/>
  <c r="B49" i="223"/>
  <c r="B50" i="223"/>
  <c r="B51" i="223"/>
  <c r="B52" i="223"/>
  <c r="B53" i="223"/>
  <c r="B54" i="223"/>
  <c r="B47" i="223"/>
  <c r="Q25" i="203"/>
  <c r="P25" i="203"/>
  <c r="O25" i="203"/>
  <c r="N25" i="203"/>
  <c r="K25" i="203"/>
  <c r="J25" i="203"/>
  <c r="I25" i="203"/>
  <c r="H25" i="203"/>
  <c r="K887" i="187"/>
  <c r="J887" i="187"/>
  <c r="I887" i="187"/>
  <c r="H887" i="187"/>
  <c r="H888" i="187" s="1"/>
  <c r="G887" i="187"/>
  <c r="G888" i="187" s="1"/>
  <c r="K886" i="187"/>
  <c r="K888" i="187"/>
  <c r="J886" i="187"/>
  <c r="J888" i="187"/>
  <c r="G886" i="187"/>
  <c r="K885" i="187"/>
  <c r="J885" i="187"/>
  <c r="I885" i="187"/>
  <c r="H885" i="187"/>
  <c r="G885" i="187"/>
  <c r="K884" i="187"/>
  <c r="J884" i="187"/>
  <c r="I884" i="187"/>
  <c r="H884" i="187"/>
  <c r="G884" i="187"/>
  <c r="K878" i="187"/>
  <c r="G878" i="187"/>
  <c r="K876" i="187"/>
  <c r="J876" i="187"/>
  <c r="J878" i="187"/>
  <c r="I876" i="187"/>
  <c r="I878" i="187"/>
  <c r="H876" i="187"/>
  <c r="H878" i="187"/>
  <c r="G876" i="187"/>
  <c r="O873" i="187"/>
  <c r="N873" i="187"/>
  <c r="M873" i="187"/>
  <c r="L873" i="187"/>
  <c r="K867" i="187"/>
  <c r="G867" i="187"/>
  <c r="K865" i="187"/>
  <c r="J865" i="187"/>
  <c r="J867" i="187"/>
  <c r="I865" i="187"/>
  <c r="I867" i="187"/>
  <c r="H865" i="187"/>
  <c r="H886" i="187"/>
  <c r="O862" i="187"/>
  <c r="N862" i="187"/>
  <c r="M862" i="187"/>
  <c r="L862" i="187"/>
  <c r="AB38" i="187"/>
  <c r="AB33" i="187"/>
  <c r="AR837" i="187"/>
  <c r="AO837" i="187"/>
  <c r="AR835" i="187"/>
  <c r="AQ835" i="187"/>
  <c r="AQ837" i="187"/>
  <c r="AP835" i="187"/>
  <c r="AP837" i="187"/>
  <c r="AO835" i="187"/>
  <c r="AN835" i="187"/>
  <c r="AN837" i="187"/>
  <c r="AM835" i="187"/>
  <c r="AM837" i="187"/>
  <c r="AL835" i="187"/>
  <c r="AL837" i="187"/>
  <c r="AR832" i="187"/>
  <c r="AQ832" i="187"/>
  <c r="AR826" i="187"/>
  <c r="AQ826" i="187"/>
  <c r="AR818" i="187"/>
  <c r="AR820" i="187"/>
  <c r="AQ818" i="187"/>
  <c r="AQ820" i="187"/>
  <c r="AP818" i="187"/>
  <c r="AP820" i="187"/>
  <c r="AO818" i="187"/>
  <c r="AO820" i="187"/>
  <c r="AN818" i="187"/>
  <c r="AN820" i="187"/>
  <c r="AM818" i="187"/>
  <c r="AM820" i="187"/>
  <c r="AL818" i="187"/>
  <c r="AL820" i="187"/>
  <c r="AR815" i="187"/>
  <c r="AQ815" i="187"/>
  <c r="AR809" i="187"/>
  <c r="AQ809" i="187"/>
  <c r="AR786" i="187"/>
  <c r="AQ786" i="187"/>
  <c r="AO786" i="187"/>
  <c r="AR784" i="187"/>
  <c r="AQ784" i="187"/>
  <c r="AP784" i="187"/>
  <c r="AP786" i="187"/>
  <c r="AO784" i="187"/>
  <c r="AN784" i="187"/>
  <c r="AN786" i="187"/>
  <c r="AM784" i="187"/>
  <c r="AM786" i="187"/>
  <c r="AL784" i="187"/>
  <c r="AL786" i="187"/>
  <c r="AR781" i="187"/>
  <c r="AQ781" i="187"/>
  <c r="AR775" i="187"/>
  <c r="AQ775" i="187"/>
  <c r="AO769" i="187"/>
  <c r="AR767" i="187"/>
  <c r="AR769" i="187"/>
  <c r="AQ767" i="187"/>
  <c r="AQ769" i="187"/>
  <c r="AP767" i="187"/>
  <c r="AP769" i="187"/>
  <c r="AO767" i="187"/>
  <c r="AN767" i="187"/>
  <c r="AN769" i="187"/>
  <c r="AM767" i="187"/>
  <c r="AM769" i="187"/>
  <c r="AL767" i="187"/>
  <c r="AL769" i="187"/>
  <c r="AR764" i="187"/>
  <c r="AQ764" i="187"/>
  <c r="AR758" i="187"/>
  <c r="AQ758" i="187"/>
  <c r="AN752" i="187"/>
  <c r="AR750" i="187"/>
  <c r="AR752" i="187"/>
  <c r="AQ750" i="187"/>
  <c r="AQ752" i="187"/>
  <c r="AP750" i="187"/>
  <c r="AP752" i="187"/>
  <c r="AO750" i="187"/>
  <c r="AO752" i="187"/>
  <c r="AN750" i="187"/>
  <c r="AM750" i="187"/>
  <c r="AM752" i="187"/>
  <c r="AL750" i="187"/>
  <c r="AL752" i="187"/>
  <c r="AR747" i="187"/>
  <c r="AQ747" i="187"/>
  <c r="AR741" i="187"/>
  <c r="AQ741" i="187"/>
  <c r="AR735" i="187"/>
  <c r="AO735" i="187"/>
  <c r="AR733" i="187"/>
  <c r="AQ733" i="187"/>
  <c r="AQ735" i="187"/>
  <c r="AP733" i="187"/>
  <c r="AP735" i="187"/>
  <c r="AO733" i="187"/>
  <c r="AN733" i="187"/>
  <c r="AN735" i="187"/>
  <c r="AM733" i="187"/>
  <c r="AM735" i="187"/>
  <c r="AL733" i="187"/>
  <c r="AL735" i="187"/>
  <c r="AR730" i="187"/>
  <c r="AQ730" i="187"/>
  <c r="AR724" i="187"/>
  <c r="AQ724" i="187"/>
  <c r="AM718" i="187"/>
  <c r="AR716" i="187"/>
  <c r="AR718" i="187"/>
  <c r="AQ716" i="187"/>
  <c r="AQ718" i="187"/>
  <c r="AP716" i="187"/>
  <c r="AP718" i="187"/>
  <c r="AO716" i="187"/>
  <c r="AO718" i="187"/>
  <c r="AN716" i="187"/>
  <c r="AN718" i="187"/>
  <c r="AM716" i="187"/>
  <c r="AL716" i="187"/>
  <c r="AL718" i="187"/>
  <c r="AR713" i="187"/>
  <c r="AQ713" i="187"/>
  <c r="AR707" i="187"/>
  <c r="AQ707" i="187"/>
  <c r="AN701" i="187"/>
  <c r="AR699" i="187"/>
  <c r="AR701" i="187"/>
  <c r="AQ699" i="187"/>
  <c r="AQ701" i="187"/>
  <c r="AP699" i="187"/>
  <c r="AP701" i="187"/>
  <c r="AO699" i="187"/>
  <c r="AO701" i="187"/>
  <c r="AN699" i="187"/>
  <c r="AM699" i="187"/>
  <c r="AM701" i="187"/>
  <c r="AL699" i="187"/>
  <c r="AL701" i="187"/>
  <c r="AR696" i="187"/>
  <c r="AQ696" i="187"/>
  <c r="AR690" i="187"/>
  <c r="AQ690" i="187"/>
  <c r="AR684" i="187"/>
  <c r="AO684" i="187"/>
  <c r="AR682" i="187"/>
  <c r="AQ682" i="187"/>
  <c r="AQ684" i="187"/>
  <c r="AP682" i="187"/>
  <c r="AP684" i="187"/>
  <c r="AO682" i="187"/>
  <c r="AN682" i="187"/>
  <c r="AN684" i="187"/>
  <c r="AM682" i="187"/>
  <c r="AM684" i="187"/>
  <c r="AL682" i="187"/>
  <c r="AL684" i="187"/>
  <c r="AR679" i="187"/>
  <c r="AQ679" i="187"/>
  <c r="AR673" i="187"/>
  <c r="AQ673" i="187"/>
  <c r="AO667" i="187"/>
  <c r="AR665" i="187"/>
  <c r="AR667" i="187"/>
  <c r="AQ665" i="187"/>
  <c r="AQ667" i="187"/>
  <c r="AP665" i="187"/>
  <c r="AP667" i="187"/>
  <c r="AO665" i="187"/>
  <c r="AN665" i="187"/>
  <c r="AN667" i="187"/>
  <c r="AM665" i="187"/>
  <c r="AM667" i="187"/>
  <c r="AL665" i="187"/>
  <c r="AL667" i="187"/>
  <c r="AR662" i="187"/>
  <c r="AQ662" i="187"/>
  <c r="AR656" i="187"/>
  <c r="AQ656" i="187"/>
  <c r="AO650" i="187"/>
  <c r="AR648" i="187"/>
  <c r="AR650" i="187"/>
  <c r="AQ648" i="187"/>
  <c r="AQ650" i="187"/>
  <c r="AP648" i="187"/>
  <c r="AP650" i="187"/>
  <c r="AO648" i="187"/>
  <c r="AN648" i="187"/>
  <c r="AN650" i="187"/>
  <c r="AM648" i="187"/>
  <c r="AM650" i="187"/>
  <c r="AL648" i="187"/>
  <c r="AL650" i="187"/>
  <c r="AR645" i="187"/>
  <c r="AQ645" i="187"/>
  <c r="AR639" i="187"/>
  <c r="AQ639" i="187"/>
  <c r="AR633" i="187"/>
  <c r="AQ633" i="187"/>
  <c r="AR631" i="187"/>
  <c r="AQ631" i="187"/>
  <c r="AP631" i="187"/>
  <c r="AP633" i="187"/>
  <c r="AO631" i="187"/>
  <c r="AO633" i="187"/>
  <c r="AN631" i="187"/>
  <c r="AN633" i="187"/>
  <c r="AM631" i="187"/>
  <c r="AM633" i="187"/>
  <c r="AL631" i="187"/>
  <c r="AL633" i="187"/>
  <c r="AR628" i="187"/>
  <c r="AQ628" i="187"/>
  <c r="AR622" i="187"/>
  <c r="AQ622" i="187"/>
  <c r="AR614" i="187"/>
  <c r="AR616" i="187"/>
  <c r="AQ614" i="187"/>
  <c r="AQ616" i="187"/>
  <c r="AP614" i="187"/>
  <c r="AP616" i="187"/>
  <c r="AO614" i="187"/>
  <c r="AO616" i="187"/>
  <c r="AN614" i="187"/>
  <c r="AN616" i="187"/>
  <c r="AM614" i="187"/>
  <c r="AM616" i="187"/>
  <c r="AL614" i="187"/>
  <c r="AL616" i="187"/>
  <c r="AR611" i="187"/>
  <c r="AQ611" i="187"/>
  <c r="AR605" i="187"/>
  <c r="AQ605" i="187"/>
  <c r="AR599" i="187"/>
  <c r="AP599" i="187"/>
  <c r="AR597" i="187"/>
  <c r="AQ597" i="187"/>
  <c r="AQ599" i="187"/>
  <c r="AP597" i="187"/>
  <c r="AO597" i="187"/>
  <c r="AO599" i="187"/>
  <c r="AN597" i="187"/>
  <c r="AN599" i="187"/>
  <c r="AM597" i="187"/>
  <c r="AM599" i="187"/>
  <c r="AL597" i="187"/>
  <c r="AL599" i="187"/>
  <c r="AR594" i="187"/>
  <c r="AQ594" i="187"/>
  <c r="AR588" i="187"/>
  <c r="AQ588" i="187"/>
  <c r="AR582" i="187"/>
  <c r="AO582" i="187"/>
  <c r="AL582" i="187"/>
  <c r="AR580" i="187"/>
  <c r="AQ580" i="187"/>
  <c r="AQ582" i="187"/>
  <c r="AP580" i="187"/>
  <c r="AP582" i="187"/>
  <c r="AO580" i="187"/>
  <c r="AN580" i="187"/>
  <c r="AN582" i="187"/>
  <c r="AM580" i="187"/>
  <c r="AM582" i="187"/>
  <c r="AL580" i="187"/>
  <c r="AR577" i="187"/>
  <c r="AQ577" i="187"/>
  <c r="AR571" i="187"/>
  <c r="AQ571" i="187"/>
  <c r="AR565" i="187"/>
  <c r="AQ565" i="187"/>
  <c r="AR563" i="187"/>
  <c r="AQ563" i="187"/>
  <c r="AP563" i="187"/>
  <c r="AP565" i="187"/>
  <c r="AO563" i="187"/>
  <c r="AO565" i="187"/>
  <c r="AN563" i="187"/>
  <c r="AN565" i="187"/>
  <c r="AM563" i="187"/>
  <c r="AM565" i="187"/>
  <c r="AL563" i="187"/>
  <c r="AL565" i="187"/>
  <c r="AR560" i="187"/>
  <c r="AQ560" i="187"/>
  <c r="AR554" i="187"/>
  <c r="AQ554" i="187"/>
  <c r="AR546" i="187"/>
  <c r="AR548" i="187"/>
  <c r="AQ546" i="187"/>
  <c r="AQ548" i="187"/>
  <c r="AP546" i="187"/>
  <c r="AP548" i="187"/>
  <c r="AO546" i="187"/>
  <c r="AO548" i="187"/>
  <c r="AN546" i="187"/>
  <c r="AN548" i="187"/>
  <c r="AM546" i="187"/>
  <c r="AM548" i="187"/>
  <c r="AL546" i="187"/>
  <c r="AL548" i="187"/>
  <c r="AR543" i="187"/>
  <c r="AQ543" i="187"/>
  <c r="AR537" i="187"/>
  <c r="AQ537" i="187"/>
  <c r="AR529" i="187"/>
  <c r="AR531" i="187"/>
  <c r="AQ529" i="187"/>
  <c r="AQ531" i="187"/>
  <c r="AP529" i="187"/>
  <c r="AP531" i="187"/>
  <c r="AO529" i="187"/>
  <c r="AO531" i="187"/>
  <c r="AN529" i="187"/>
  <c r="AN531" i="187"/>
  <c r="AM529" i="187"/>
  <c r="AM531" i="187"/>
  <c r="AL529" i="187"/>
  <c r="AL531" i="187"/>
  <c r="AR526" i="187"/>
  <c r="AQ526" i="187"/>
  <c r="AR520" i="187"/>
  <c r="AQ520" i="187"/>
  <c r="AO514" i="187"/>
  <c r="AR512" i="187"/>
  <c r="AR514" i="187"/>
  <c r="AQ512" i="187"/>
  <c r="AQ514" i="187"/>
  <c r="AP512" i="187"/>
  <c r="AP514" i="187"/>
  <c r="AO512" i="187"/>
  <c r="AN512" i="187"/>
  <c r="AN514" i="187"/>
  <c r="AM512" i="187"/>
  <c r="AM514" i="187"/>
  <c r="AL512" i="187"/>
  <c r="AL514" i="187"/>
  <c r="AR509" i="187"/>
  <c r="AQ509" i="187"/>
  <c r="AR503" i="187"/>
  <c r="AQ503" i="187"/>
  <c r="AR495" i="187"/>
  <c r="AR497" i="187"/>
  <c r="AQ495" i="187"/>
  <c r="AQ497" i="187"/>
  <c r="AP495" i="187"/>
  <c r="AP497" i="187"/>
  <c r="AO495" i="187"/>
  <c r="AO497" i="187"/>
  <c r="AN495" i="187"/>
  <c r="AN497" i="187"/>
  <c r="AM495" i="187"/>
  <c r="AM497" i="187"/>
  <c r="AL495" i="187"/>
  <c r="AL497" i="187"/>
  <c r="AR492" i="187"/>
  <c r="AQ492" i="187"/>
  <c r="AR486" i="187"/>
  <c r="AQ486" i="187"/>
  <c r="AO480" i="187"/>
  <c r="AR478" i="187"/>
  <c r="AR480" i="187"/>
  <c r="AQ478" i="187"/>
  <c r="AQ480" i="187"/>
  <c r="AP478" i="187"/>
  <c r="AP480" i="187"/>
  <c r="AO478" i="187"/>
  <c r="AN478" i="187"/>
  <c r="AN480" i="187"/>
  <c r="AM478" i="187"/>
  <c r="AM480" i="187"/>
  <c r="AL478" i="187"/>
  <c r="AL480" i="187"/>
  <c r="AR475" i="187"/>
  <c r="AQ475" i="187"/>
  <c r="AR469" i="187"/>
  <c r="AQ469" i="187"/>
  <c r="AR461" i="187"/>
  <c r="AR463" i="187"/>
  <c r="AQ461" i="187"/>
  <c r="AQ463" i="187"/>
  <c r="AP461" i="187"/>
  <c r="AP463" i="187"/>
  <c r="AO461" i="187"/>
  <c r="AO463" i="187"/>
  <c r="AN461" i="187"/>
  <c r="AN463" i="187"/>
  <c r="AM461" i="187"/>
  <c r="AM463" i="187"/>
  <c r="AL461" i="187"/>
  <c r="AL463" i="187"/>
  <c r="AR458" i="187"/>
  <c r="AQ458" i="187"/>
  <c r="AR452" i="187"/>
  <c r="AQ452" i="187"/>
  <c r="AQ446" i="187"/>
  <c r="AR444" i="187"/>
  <c r="AR446" i="187"/>
  <c r="AQ444" i="187"/>
  <c r="AP444" i="187"/>
  <c r="AP446" i="187"/>
  <c r="AO444" i="187"/>
  <c r="AO446" i="187"/>
  <c r="AN444" i="187"/>
  <c r="AN446" i="187"/>
  <c r="AM444" i="187"/>
  <c r="AM446" i="187"/>
  <c r="AL444" i="187"/>
  <c r="AL446" i="187"/>
  <c r="AR441" i="187"/>
  <c r="AQ441" i="187"/>
  <c r="AR435" i="187"/>
  <c r="AQ435" i="187"/>
  <c r="AM429" i="187"/>
  <c r="AR427" i="187"/>
  <c r="AR429" i="187"/>
  <c r="AQ427" i="187"/>
  <c r="AQ429" i="187"/>
  <c r="AP427" i="187"/>
  <c r="AP429" i="187"/>
  <c r="AO427" i="187"/>
  <c r="AO429" i="187"/>
  <c r="AN427" i="187"/>
  <c r="AN429" i="187"/>
  <c r="AM427" i="187"/>
  <c r="AL427" i="187"/>
  <c r="AL429" i="187"/>
  <c r="AR424" i="187"/>
  <c r="AQ424" i="187"/>
  <c r="AR418" i="187"/>
  <c r="AQ418" i="187"/>
  <c r="AQ412" i="187"/>
  <c r="AP412" i="187"/>
  <c r="AM412" i="187"/>
  <c r="AL412" i="187"/>
  <c r="AR410" i="187"/>
  <c r="AR412" i="187"/>
  <c r="AQ410" i="187"/>
  <c r="AP410" i="187"/>
  <c r="AO410" i="187"/>
  <c r="AO412" i="187"/>
  <c r="AN410" i="187"/>
  <c r="AN412" i="187"/>
  <c r="AM410" i="187"/>
  <c r="AL410" i="187"/>
  <c r="AR407" i="187"/>
  <c r="AQ407" i="187"/>
  <c r="AR401" i="187"/>
  <c r="AQ401" i="187"/>
  <c r="AQ395" i="187"/>
  <c r="AP395" i="187"/>
  <c r="AM395" i="187"/>
  <c r="AL395" i="187"/>
  <c r="AR393" i="187"/>
  <c r="AR395" i="187"/>
  <c r="AQ393" i="187"/>
  <c r="AP393" i="187"/>
  <c r="AO393" i="187"/>
  <c r="AO395" i="187"/>
  <c r="AN393" i="187"/>
  <c r="AN395" i="187"/>
  <c r="AM393" i="187"/>
  <c r="AL393" i="187"/>
  <c r="AR390" i="187"/>
  <c r="AQ390" i="187"/>
  <c r="AR384" i="187"/>
  <c r="AQ384" i="187"/>
  <c r="AQ378" i="187"/>
  <c r="AP378" i="187"/>
  <c r="AM378" i="187"/>
  <c r="AL378" i="187"/>
  <c r="AR376" i="187"/>
  <c r="AR378" i="187"/>
  <c r="AQ376" i="187"/>
  <c r="AP376" i="187"/>
  <c r="AO376" i="187"/>
  <c r="AO378" i="187"/>
  <c r="AN376" i="187"/>
  <c r="AN378" i="187"/>
  <c r="AM376" i="187"/>
  <c r="AL376" i="187"/>
  <c r="AR373" i="187"/>
  <c r="AQ373" i="187"/>
  <c r="AR367" i="187"/>
  <c r="AQ367" i="187"/>
  <c r="AR361" i="187"/>
  <c r="AN361" i="187"/>
  <c r="AR359" i="187"/>
  <c r="AQ359" i="187"/>
  <c r="AQ361" i="187"/>
  <c r="AP359" i="187"/>
  <c r="AP361" i="187"/>
  <c r="AO359" i="187"/>
  <c r="AO361" i="187"/>
  <c r="AN359" i="187"/>
  <c r="AM359" i="187"/>
  <c r="AM361" i="187"/>
  <c r="AL359" i="187"/>
  <c r="AL361" i="187"/>
  <c r="AR356" i="187"/>
  <c r="AQ356" i="187"/>
  <c r="AR350" i="187"/>
  <c r="AQ350" i="187"/>
  <c r="AR344" i="187"/>
  <c r="AQ344" i="187"/>
  <c r="AR342" i="187"/>
  <c r="AQ342" i="187"/>
  <c r="AP342" i="187"/>
  <c r="AP344" i="187"/>
  <c r="AO342" i="187"/>
  <c r="AO344" i="187"/>
  <c r="AN342" i="187"/>
  <c r="AN344" i="187"/>
  <c r="AM342" i="187"/>
  <c r="AM344" i="187"/>
  <c r="AL342" i="187"/>
  <c r="AL344" i="187"/>
  <c r="AR339" i="187"/>
  <c r="AQ339" i="187"/>
  <c r="AR333" i="187"/>
  <c r="AQ333" i="187"/>
  <c r="AR327" i="187"/>
  <c r="AN327" i="187"/>
  <c r="AR325" i="187"/>
  <c r="AQ325" i="187"/>
  <c r="AQ327" i="187"/>
  <c r="AP325" i="187"/>
  <c r="AP327" i="187"/>
  <c r="AO325" i="187"/>
  <c r="AO327" i="187"/>
  <c r="AN325" i="187"/>
  <c r="AM325" i="187"/>
  <c r="AM327" i="187"/>
  <c r="AL325" i="187"/>
  <c r="AL327" i="187"/>
  <c r="AR322" i="187"/>
  <c r="AQ322" i="187"/>
  <c r="AR316" i="187"/>
  <c r="AQ316" i="187"/>
  <c r="AR310" i="187"/>
  <c r="AR308" i="187"/>
  <c r="AQ308" i="187"/>
  <c r="AQ310" i="187"/>
  <c r="AP308" i="187"/>
  <c r="AP310" i="187"/>
  <c r="AO308" i="187"/>
  <c r="AO310" i="187"/>
  <c r="AN308" i="187"/>
  <c r="AN310" i="187"/>
  <c r="AM308" i="187"/>
  <c r="AM310" i="187"/>
  <c r="AL308" i="187"/>
  <c r="AL310" i="187"/>
  <c r="AR305" i="187"/>
  <c r="AQ305" i="187"/>
  <c r="AR299" i="187"/>
  <c r="AQ299" i="187"/>
  <c r="AR293" i="187"/>
  <c r="AR291" i="187"/>
  <c r="AQ291" i="187"/>
  <c r="AQ293" i="187"/>
  <c r="AP291" i="187"/>
  <c r="AP293" i="187"/>
  <c r="AO291" i="187"/>
  <c r="AO293" i="187"/>
  <c r="AN291" i="187"/>
  <c r="AN293" i="187"/>
  <c r="AM291" i="187"/>
  <c r="AM293" i="187"/>
  <c r="AL291" i="187"/>
  <c r="AL293" i="187"/>
  <c r="AR288" i="187"/>
  <c r="AQ288" i="187"/>
  <c r="AR282" i="187"/>
  <c r="AQ282" i="187"/>
  <c r="AR274" i="187"/>
  <c r="AR276" i="187"/>
  <c r="AQ274" i="187"/>
  <c r="AQ276" i="187"/>
  <c r="AP274" i="187"/>
  <c r="AP276" i="187"/>
  <c r="AO274" i="187"/>
  <c r="AO276" i="187"/>
  <c r="AN274" i="187"/>
  <c r="AN276" i="187"/>
  <c r="AM274" i="187"/>
  <c r="AM276" i="187"/>
  <c r="AL274" i="187"/>
  <c r="AL276" i="187"/>
  <c r="AR271" i="187"/>
  <c r="AQ271" i="187"/>
  <c r="AR265" i="187"/>
  <c r="AQ265" i="187"/>
  <c r="AR259" i="187"/>
  <c r="AP259" i="187"/>
  <c r="AR257" i="187"/>
  <c r="AQ257" i="187"/>
  <c r="AQ259" i="187"/>
  <c r="AP257" i="187"/>
  <c r="AO257" i="187"/>
  <c r="AO259" i="187"/>
  <c r="AN257" i="187"/>
  <c r="AN259" i="187"/>
  <c r="AM257" i="187"/>
  <c r="AM259" i="187"/>
  <c r="AL257" i="187"/>
  <c r="AL259" i="187"/>
  <c r="AR254" i="187"/>
  <c r="AQ254" i="187"/>
  <c r="AR248" i="187"/>
  <c r="AQ248" i="187"/>
  <c r="AN242" i="187"/>
  <c r="AR240" i="187"/>
  <c r="AR242" i="187"/>
  <c r="AQ240" i="187"/>
  <c r="AQ242" i="187"/>
  <c r="AP240" i="187"/>
  <c r="AP242" i="187"/>
  <c r="AO240" i="187"/>
  <c r="AO242" i="187"/>
  <c r="AN240" i="187"/>
  <c r="AM240" i="187"/>
  <c r="AM242" i="187"/>
  <c r="AL240" i="187"/>
  <c r="AL242" i="187"/>
  <c r="AR237" i="187"/>
  <c r="AQ237" i="187"/>
  <c r="AR231" i="187"/>
  <c r="AQ231" i="187"/>
  <c r="AR225" i="187"/>
  <c r="AR223" i="187"/>
  <c r="AQ223" i="187"/>
  <c r="AQ225" i="187"/>
  <c r="AP223" i="187"/>
  <c r="AP225" i="187"/>
  <c r="AO223" i="187"/>
  <c r="AO225" i="187"/>
  <c r="AN223" i="187"/>
  <c r="AN225" i="187"/>
  <c r="AM223" i="187"/>
  <c r="AM225" i="187"/>
  <c r="AL223" i="187"/>
  <c r="AL225" i="187"/>
  <c r="AR220" i="187"/>
  <c r="AQ220" i="187"/>
  <c r="AR214" i="187"/>
  <c r="AQ214" i="187"/>
  <c r="AR206" i="187"/>
  <c r="AR208" i="187"/>
  <c r="AQ206" i="187"/>
  <c r="AQ208" i="187"/>
  <c r="AP206" i="187"/>
  <c r="AP208" i="187"/>
  <c r="AO206" i="187"/>
  <c r="AO208" i="187"/>
  <c r="AN206" i="187"/>
  <c r="AN208" i="187"/>
  <c r="AM206" i="187"/>
  <c r="AM208" i="187"/>
  <c r="AL206" i="187"/>
  <c r="AL208" i="187"/>
  <c r="AR203" i="187"/>
  <c r="AQ203" i="187"/>
  <c r="AR197" i="187"/>
  <c r="AQ197" i="187"/>
  <c r="AR191" i="187"/>
  <c r="AP191" i="187"/>
  <c r="AR189" i="187"/>
  <c r="AQ189" i="187"/>
  <c r="AQ191" i="187"/>
  <c r="AP189" i="187"/>
  <c r="AO189" i="187"/>
  <c r="AO191" i="187"/>
  <c r="AN189" i="187"/>
  <c r="AN191" i="187"/>
  <c r="AM189" i="187"/>
  <c r="AM191" i="187"/>
  <c r="AL189" i="187"/>
  <c r="AL191" i="187"/>
  <c r="AR186" i="187"/>
  <c r="AQ186" i="187"/>
  <c r="AR180" i="187"/>
  <c r="AQ180" i="187"/>
  <c r="AR172" i="187"/>
  <c r="AR174" i="187"/>
  <c r="AQ172" i="187"/>
  <c r="AQ174" i="187"/>
  <c r="AP172" i="187"/>
  <c r="AP174" i="187"/>
  <c r="AO172" i="187"/>
  <c r="AO174" i="187"/>
  <c r="AN172" i="187"/>
  <c r="AN174" i="187"/>
  <c r="AM172" i="187"/>
  <c r="AM174" i="187"/>
  <c r="AL172" i="187"/>
  <c r="AL174" i="187"/>
  <c r="AR169" i="187"/>
  <c r="AQ169" i="187"/>
  <c r="AR163" i="187"/>
  <c r="AQ163" i="187"/>
  <c r="AN157" i="187"/>
  <c r="AR155" i="187"/>
  <c r="AR157" i="187"/>
  <c r="AQ155" i="187"/>
  <c r="AQ157" i="187"/>
  <c r="AP155" i="187"/>
  <c r="AP157" i="187"/>
  <c r="AO155" i="187"/>
  <c r="AO157" i="187"/>
  <c r="AN155" i="187"/>
  <c r="AM155" i="187"/>
  <c r="AM157" i="187"/>
  <c r="AL155" i="187"/>
  <c r="AL157" i="187"/>
  <c r="AR152" i="187"/>
  <c r="AQ152" i="187"/>
  <c r="AR146" i="187"/>
  <c r="AQ146" i="187"/>
  <c r="AN140" i="187"/>
  <c r="AR138" i="187"/>
  <c r="AR140" i="187"/>
  <c r="AQ138" i="187"/>
  <c r="AQ140" i="187"/>
  <c r="AP138" i="187"/>
  <c r="AP140" i="187"/>
  <c r="AO138" i="187"/>
  <c r="AO140" i="187"/>
  <c r="AN138" i="187"/>
  <c r="AM138" i="187"/>
  <c r="AM140" i="187"/>
  <c r="AL138" i="187"/>
  <c r="AL140" i="187"/>
  <c r="AR135" i="187"/>
  <c r="AQ135" i="187"/>
  <c r="AR129" i="187"/>
  <c r="AQ129" i="187"/>
  <c r="AN123" i="187"/>
  <c r="AR121" i="187"/>
  <c r="AR123" i="187"/>
  <c r="AQ121" i="187"/>
  <c r="AQ123" i="187"/>
  <c r="AP121" i="187"/>
  <c r="AP123" i="187"/>
  <c r="AO121" i="187"/>
  <c r="AO123" i="187"/>
  <c r="AN121" i="187"/>
  <c r="AM121" i="187"/>
  <c r="AM123" i="187"/>
  <c r="AL121" i="187"/>
  <c r="AL123" i="187"/>
  <c r="AR118" i="187"/>
  <c r="AQ118" i="187"/>
  <c r="AR112" i="187"/>
  <c r="AQ112" i="187"/>
  <c r="AO106" i="187"/>
  <c r="AN106" i="187"/>
  <c r="AR104" i="187"/>
  <c r="AR106" i="187"/>
  <c r="AQ104" i="187"/>
  <c r="AQ106" i="187"/>
  <c r="AP104" i="187"/>
  <c r="AP106" i="187"/>
  <c r="AO104" i="187"/>
  <c r="AN104" i="187"/>
  <c r="AM104" i="187"/>
  <c r="AM106" i="187"/>
  <c r="AL104" i="187"/>
  <c r="AL106" i="187"/>
  <c r="AR101" i="187"/>
  <c r="AQ101" i="187"/>
  <c r="AR95" i="187"/>
  <c r="AQ95" i="187"/>
  <c r="I886" i="187"/>
  <c r="I888" i="187"/>
  <c r="H867" i="187"/>
  <c r="P280" i="205"/>
  <c r="Q278" i="205"/>
  <c r="Q280" i="205"/>
  <c r="P278" i="205"/>
  <c r="O278" i="205"/>
  <c r="O280" i="205"/>
  <c r="N278" i="205"/>
  <c r="N280" i="205"/>
  <c r="M278" i="205"/>
  <c r="M280" i="205"/>
  <c r="L278" i="205"/>
  <c r="L280" i="205"/>
  <c r="K278" i="205"/>
  <c r="K280" i="205"/>
  <c r="J278" i="205"/>
  <c r="J280" i="205"/>
  <c r="I278" i="205"/>
  <c r="I280" i="205"/>
  <c r="H278" i="205"/>
  <c r="H280" i="205"/>
  <c r="G278" i="205"/>
  <c r="G280" i="205"/>
  <c r="V275" i="205"/>
  <c r="V278" i="205"/>
  <c r="V280" i="205"/>
  <c r="U275" i="205"/>
  <c r="U278" i="205"/>
  <c r="U280" i="205"/>
  <c r="T275" i="205"/>
  <c r="T278" i="205"/>
  <c r="T280" i="205"/>
  <c r="R275" i="205"/>
  <c r="R278" i="205"/>
  <c r="R280" i="205"/>
  <c r="Q269" i="205"/>
  <c r="Q271" i="205"/>
  <c r="P269" i="205"/>
  <c r="P271" i="205"/>
  <c r="O269" i="205"/>
  <c r="O271" i="205"/>
  <c r="N269" i="205"/>
  <c r="N271" i="205"/>
  <c r="M269" i="205"/>
  <c r="M271" i="205"/>
  <c r="L269" i="205"/>
  <c r="L271" i="205"/>
  <c r="K269" i="205"/>
  <c r="K271" i="205"/>
  <c r="J269" i="205"/>
  <c r="J271" i="205"/>
  <c r="I269" i="205"/>
  <c r="I271" i="205"/>
  <c r="H269" i="205"/>
  <c r="H271" i="205"/>
  <c r="G269" i="205"/>
  <c r="G271" i="205"/>
  <c r="V266" i="205"/>
  <c r="V269" i="205"/>
  <c r="V271" i="205"/>
  <c r="U266" i="205"/>
  <c r="U269" i="205"/>
  <c r="U271" i="205"/>
  <c r="T266" i="205"/>
  <c r="T269" i="205"/>
  <c r="T271" i="205"/>
  <c r="R266" i="205"/>
  <c r="R269" i="205"/>
  <c r="R271" i="205"/>
  <c r="Q260" i="205"/>
  <c r="Q262" i="205"/>
  <c r="P260" i="205"/>
  <c r="P262" i="205"/>
  <c r="O260" i="205"/>
  <c r="O262" i="205"/>
  <c r="N260" i="205"/>
  <c r="N262" i="205"/>
  <c r="M260" i="205"/>
  <c r="M262" i="205"/>
  <c r="L260" i="205"/>
  <c r="L262" i="205"/>
  <c r="K260" i="205"/>
  <c r="K262" i="205"/>
  <c r="J260" i="205"/>
  <c r="J262" i="205"/>
  <c r="I260" i="205"/>
  <c r="I262" i="205"/>
  <c r="H260" i="205"/>
  <c r="H262" i="205"/>
  <c r="G260" i="205"/>
  <c r="G262" i="205"/>
  <c r="V257" i="205"/>
  <c r="V260" i="205"/>
  <c r="V262" i="205"/>
  <c r="U257" i="205"/>
  <c r="U260" i="205"/>
  <c r="U262" i="205"/>
  <c r="T257" i="205"/>
  <c r="T260" i="205"/>
  <c r="T262" i="205"/>
  <c r="R257" i="205"/>
  <c r="R260" i="205"/>
  <c r="R262" i="205"/>
  <c r="O253" i="205"/>
  <c r="Q251" i="205"/>
  <c r="Q253" i="205"/>
  <c r="P251" i="205"/>
  <c r="P253" i="205"/>
  <c r="O251" i="205"/>
  <c r="N251" i="205"/>
  <c r="N253" i="205"/>
  <c r="M251" i="205"/>
  <c r="M253" i="205"/>
  <c r="L251" i="205"/>
  <c r="L253" i="205"/>
  <c r="K251" i="205"/>
  <c r="K253" i="205"/>
  <c r="J251" i="205"/>
  <c r="J253" i="205"/>
  <c r="I251" i="205"/>
  <c r="I253" i="205"/>
  <c r="H251" i="205"/>
  <c r="H253" i="205"/>
  <c r="G251" i="205"/>
  <c r="G253" i="205"/>
  <c r="V248" i="205"/>
  <c r="V251" i="205"/>
  <c r="V253" i="205"/>
  <c r="U248" i="205"/>
  <c r="U251" i="205"/>
  <c r="U253" i="205"/>
  <c r="T248" i="205"/>
  <c r="T251" i="205"/>
  <c r="T253" i="205"/>
  <c r="R248" i="205"/>
  <c r="R251" i="205"/>
  <c r="R253" i="205"/>
  <c r="P244" i="205"/>
  <c r="Q242" i="205"/>
  <c r="Q244" i="205"/>
  <c r="P242" i="205"/>
  <c r="O242" i="205"/>
  <c r="O244" i="205"/>
  <c r="N242" i="205"/>
  <c r="N244" i="205"/>
  <c r="M242" i="205"/>
  <c r="M244" i="205"/>
  <c r="L242" i="205"/>
  <c r="L244" i="205"/>
  <c r="K242" i="205"/>
  <c r="K244" i="205"/>
  <c r="J242" i="205"/>
  <c r="J244" i="205"/>
  <c r="I242" i="205"/>
  <c r="I244" i="205"/>
  <c r="H242" i="205"/>
  <c r="H244" i="205"/>
  <c r="G242" i="205"/>
  <c r="G244" i="205"/>
  <c r="V239" i="205"/>
  <c r="V242" i="205"/>
  <c r="V244" i="205"/>
  <c r="U239" i="205"/>
  <c r="U242" i="205"/>
  <c r="U244" i="205"/>
  <c r="T239" i="205"/>
  <c r="T242" i="205"/>
  <c r="T244" i="205"/>
  <c r="R239" i="205"/>
  <c r="R242" i="205"/>
  <c r="R244" i="205"/>
  <c r="Q233" i="205"/>
  <c r="Q235" i="205"/>
  <c r="P233" i="205"/>
  <c r="P235" i="205"/>
  <c r="O233" i="205"/>
  <c r="O235" i="205"/>
  <c r="N233" i="205"/>
  <c r="N235" i="205"/>
  <c r="M233" i="205"/>
  <c r="M235" i="205"/>
  <c r="L233" i="205"/>
  <c r="L235" i="205"/>
  <c r="K233" i="205"/>
  <c r="K235" i="205"/>
  <c r="J233" i="205"/>
  <c r="J235" i="205"/>
  <c r="I233" i="205"/>
  <c r="I235" i="205"/>
  <c r="H233" i="205"/>
  <c r="H235" i="205"/>
  <c r="G233" i="205"/>
  <c r="G235" i="205"/>
  <c r="V230" i="205"/>
  <c r="V233" i="205"/>
  <c r="V235" i="205"/>
  <c r="U230" i="205"/>
  <c r="U233" i="205"/>
  <c r="U235" i="205"/>
  <c r="T230" i="205"/>
  <c r="T233" i="205"/>
  <c r="T235" i="205"/>
  <c r="S230" i="205"/>
  <c r="S233" i="205"/>
  <c r="S235" i="205"/>
  <c r="R230" i="205"/>
  <c r="R233" i="205"/>
  <c r="R235" i="205"/>
  <c r="M226" i="205"/>
  <c r="Q224" i="205"/>
  <c r="Q226" i="205"/>
  <c r="P224" i="205"/>
  <c r="P226" i="205"/>
  <c r="O224" i="205"/>
  <c r="O226" i="205"/>
  <c r="N224" i="205"/>
  <c r="N226" i="205"/>
  <c r="M224" i="205"/>
  <c r="L224" i="205"/>
  <c r="L226" i="205"/>
  <c r="K224" i="205"/>
  <c r="K226" i="205"/>
  <c r="J224" i="205"/>
  <c r="J226" i="205"/>
  <c r="I224" i="205"/>
  <c r="I226" i="205"/>
  <c r="H224" i="205"/>
  <c r="H226" i="205"/>
  <c r="G224" i="205"/>
  <c r="G226" i="205"/>
  <c r="V221" i="205"/>
  <c r="V224" i="205"/>
  <c r="V226" i="205"/>
  <c r="U221" i="205"/>
  <c r="U224" i="205"/>
  <c r="U226" i="205"/>
  <c r="T221" i="205"/>
  <c r="T224" i="205"/>
  <c r="T226" i="205"/>
  <c r="S221" i="205"/>
  <c r="S224" i="205"/>
  <c r="S226" i="205"/>
  <c r="R221" i="205"/>
  <c r="R224" i="205"/>
  <c r="R226" i="205"/>
  <c r="Q215" i="205"/>
  <c r="Q217" i="205"/>
  <c r="P215" i="205"/>
  <c r="P217" i="205"/>
  <c r="O215" i="205"/>
  <c r="O217" i="205"/>
  <c r="N215" i="205"/>
  <c r="N217" i="205"/>
  <c r="M215" i="205"/>
  <c r="M217" i="205"/>
  <c r="L215" i="205"/>
  <c r="L217" i="205"/>
  <c r="K215" i="205"/>
  <c r="K217" i="205"/>
  <c r="J215" i="205"/>
  <c r="J217" i="205"/>
  <c r="I215" i="205"/>
  <c r="I217" i="205"/>
  <c r="H215" i="205"/>
  <c r="H217" i="205"/>
  <c r="G215" i="205"/>
  <c r="G217" i="205"/>
  <c r="V212" i="205"/>
  <c r="V215" i="205"/>
  <c r="V217" i="205"/>
  <c r="U212" i="205"/>
  <c r="U215" i="205"/>
  <c r="U217" i="205"/>
  <c r="T212" i="205"/>
  <c r="T215" i="205"/>
  <c r="T217" i="205"/>
  <c r="S212" i="205"/>
  <c r="S215" i="205"/>
  <c r="S217" i="205"/>
  <c r="R212" i="205"/>
  <c r="R215" i="205"/>
  <c r="R217" i="205"/>
  <c r="O208" i="205"/>
  <c r="G208" i="205"/>
  <c r="Q206" i="205"/>
  <c r="Q208" i="205"/>
  <c r="P206" i="205"/>
  <c r="P208" i="205"/>
  <c r="O206" i="205"/>
  <c r="N206" i="205"/>
  <c r="N208" i="205"/>
  <c r="M206" i="205"/>
  <c r="M208" i="205"/>
  <c r="L206" i="205"/>
  <c r="L208" i="205"/>
  <c r="K206" i="205"/>
  <c r="K208" i="205"/>
  <c r="J206" i="205"/>
  <c r="J208" i="205"/>
  <c r="I206" i="205"/>
  <c r="I208" i="205"/>
  <c r="H206" i="205"/>
  <c r="H208" i="205"/>
  <c r="G206" i="205"/>
  <c r="V203" i="205"/>
  <c r="V206" i="205"/>
  <c r="V208" i="205"/>
  <c r="U203" i="205"/>
  <c r="U206" i="205"/>
  <c r="U208" i="205"/>
  <c r="T203" i="205"/>
  <c r="T206" i="205"/>
  <c r="T208" i="205"/>
  <c r="S203" i="205"/>
  <c r="S206" i="205"/>
  <c r="S208" i="205"/>
  <c r="R203" i="205"/>
  <c r="R206" i="205"/>
  <c r="R208" i="205"/>
  <c r="Q197" i="205"/>
  <c r="Q199" i="205"/>
  <c r="P197" i="205"/>
  <c r="P199" i="205"/>
  <c r="O197" i="205"/>
  <c r="O199" i="205"/>
  <c r="N197" i="205"/>
  <c r="N199" i="205"/>
  <c r="M197" i="205"/>
  <c r="M199" i="205"/>
  <c r="L197" i="205"/>
  <c r="L199" i="205"/>
  <c r="K197" i="205"/>
  <c r="K199" i="205"/>
  <c r="J197" i="205"/>
  <c r="J199" i="205"/>
  <c r="I197" i="205"/>
  <c r="I199" i="205"/>
  <c r="H197" i="205"/>
  <c r="H199" i="205"/>
  <c r="G197" i="205"/>
  <c r="G199" i="205"/>
  <c r="V194" i="205"/>
  <c r="V197" i="205"/>
  <c r="V199" i="205"/>
  <c r="U194" i="205"/>
  <c r="U197" i="205"/>
  <c r="U199" i="205"/>
  <c r="T194" i="205"/>
  <c r="T197" i="205"/>
  <c r="T199" i="205"/>
  <c r="S194" i="205"/>
  <c r="S197" i="205"/>
  <c r="S199" i="205"/>
  <c r="R194" i="205"/>
  <c r="R197" i="205"/>
  <c r="R199" i="205"/>
  <c r="Q188" i="205"/>
  <c r="Q190" i="205"/>
  <c r="P188" i="205"/>
  <c r="P190" i="205"/>
  <c r="O188" i="205"/>
  <c r="O190" i="205"/>
  <c r="N188" i="205"/>
  <c r="N190" i="205"/>
  <c r="M188" i="205"/>
  <c r="M190" i="205"/>
  <c r="L188" i="205"/>
  <c r="L190" i="205"/>
  <c r="K188" i="205"/>
  <c r="K190" i="205"/>
  <c r="J188" i="205"/>
  <c r="J190" i="205"/>
  <c r="I188" i="205"/>
  <c r="I190" i="205"/>
  <c r="H188" i="205"/>
  <c r="H190" i="205"/>
  <c r="G188" i="205"/>
  <c r="G190" i="205"/>
  <c r="V185" i="205"/>
  <c r="V188" i="205"/>
  <c r="V190" i="205"/>
  <c r="U185" i="205"/>
  <c r="U188" i="205"/>
  <c r="U190" i="205"/>
  <c r="T185" i="205"/>
  <c r="T188" i="205"/>
  <c r="T190" i="205"/>
  <c r="S185" i="205"/>
  <c r="S188" i="205"/>
  <c r="S190" i="205"/>
  <c r="R185" i="205"/>
  <c r="R188" i="205"/>
  <c r="R190" i="205"/>
  <c r="O181" i="205"/>
  <c r="N181" i="205"/>
  <c r="Q179" i="205"/>
  <c r="Q181" i="205"/>
  <c r="P179" i="205"/>
  <c r="P181" i="205"/>
  <c r="O179" i="205"/>
  <c r="N179" i="205"/>
  <c r="M179" i="205"/>
  <c r="M181" i="205"/>
  <c r="L179" i="205"/>
  <c r="L181" i="205"/>
  <c r="K179" i="205"/>
  <c r="K181" i="205"/>
  <c r="J179" i="205"/>
  <c r="J181" i="205"/>
  <c r="I179" i="205"/>
  <c r="I181" i="205"/>
  <c r="H179" i="205"/>
  <c r="H181" i="205"/>
  <c r="G179" i="205"/>
  <c r="G181" i="205"/>
  <c r="V176" i="205"/>
  <c r="V179" i="205"/>
  <c r="V181" i="205"/>
  <c r="U176" i="205"/>
  <c r="U179" i="205"/>
  <c r="U181" i="205"/>
  <c r="T176" i="205"/>
  <c r="T179" i="205"/>
  <c r="T181" i="205"/>
  <c r="S176" i="205"/>
  <c r="S179" i="205"/>
  <c r="S181" i="205"/>
  <c r="R176" i="205"/>
  <c r="R179" i="205"/>
  <c r="R181" i="205"/>
  <c r="P172" i="205"/>
  <c r="L172" i="205"/>
  <c r="T170" i="205"/>
  <c r="T172" i="205"/>
  <c r="Q170" i="205"/>
  <c r="Q172" i="205"/>
  <c r="P170" i="205"/>
  <c r="O170" i="205"/>
  <c r="O172" i="205"/>
  <c r="N170" i="205"/>
  <c r="N172" i="205"/>
  <c r="M170" i="205"/>
  <c r="M172" i="205"/>
  <c r="L170" i="205"/>
  <c r="K170" i="205"/>
  <c r="K172" i="205"/>
  <c r="J170" i="205"/>
  <c r="J172" i="205"/>
  <c r="I170" i="205"/>
  <c r="I172" i="205"/>
  <c r="H170" i="205"/>
  <c r="H172" i="205"/>
  <c r="G170" i="205"/>
  <c r="G172" i="205"/>
  <c r="V167" i="205"/>
  <c r="V170" i="205"/>
  <c r="V172" i="205"/>
  <c r="U167" i="205"/>
  <c r="U170" i="205"/>
  <c r="U172" i="205"/>
  <c r="T167" i="205"/>
  <c r="S167" i="205"/>
  <c r="S170" i="205"/>
  <c r="S172" i="205"/>
  <c r="R167" i="205"/>
  <c r="R170" i="205"/>
  <c r="R172" i="205"/>
  <c r="M163" i="205"/>
  <c r="Q161" i="205"/>
  <c r="Q163" i="205"/>
  <c r="P161" i="205"/>
  <c r="P163" i="205"/>
  <c r="O161" i="205"/>
  <c r="O163" i="205"/>
  <c r="N161" i="205"/>
  <c r="N163" i="205"/>
  <c r="M161" i="205"/>
  <c r="L161" i="205"/>
  <c r="L163" i="205"/>
  <c r="K161" i="205"/>
  <c r="K163" i="205"/>
  <c r="J161" i="205"/>
  <c r="J163" i="205"/>
  <c r="I161" i="205"/>
  <c r="I163" i="205"/>
  <c r="H161" i="205"/>
  <c r="H163" i="205"/>
  <c r="G161" i="205"/>
  <c r="G163" i="205"/>
  <c r="V158" i="205"/>
  <c r="V161" i="205"/>
  <c r="V163" i="205"/>
  <c r="U158" i="205"/>
  <c r="U161" i="205"/>
  <c r="U163" i="205"/>
  <c r="T158" i="205"/>
  <c r="T161" i="205"/>
  <c r="T163" i="205"/>
  <c r="S158" i="205"/>
  <c r="S161" i="205"/>
  <c r="S163" i="205"/>
  <c r="R158" i="205"/>
  <c r="R161" i="205"/>
  <c r="R163" i="205"/>
  <c r="L154" i="205"/>
  <c r="Q152" i="205"/>
  <c r="Q154" i="205"/>
  <c r="P152" i="205"/>
  <c r="P154" i="205"/>
  <c r="O152" i="205"/>
  <c r="O154" i="205"/>
  <c r="N152" i="205"/>
  <c r="N154" i="205"/>
  <c r="M152" i="205"/>
  <c r="M154" i="205"/>
  <c r="L152" i="205"/>
  <c r="K152" i="205"/>
  <c r="K154" i="205"/>
  <c r="J152" i="205"/>
  <c r="J154" i="205"/>
  <c r="I152" i="205"/>
  <c r="I154" i="205"/>
  <c r="H152" i="205"/>
  <c r="H154" i="205"/>
  <c r="G152" i="205"/>
  <c r="G154" i="205"/>
  <c r="V149" i="205"/>
  <c r="V152" i="205"/>
  <c r="V154" i="205"/>
  <c r="U149" i="205"/>
  <c r="U152" i="205"/>
  <c r="U154" i="205"/>
  <c r="T149" i="205"/>
  <c r="T152" i="205"/>
  <c r="T154" i="205"/>
  <c r="S149" i="205"/>
  <c r="S152" i="205"/>
  <c r="S154" i="205"/>
  <c r="R149" i="205"/>
  <c r="R152" i="205"/>
  <c r="R154" i="205"/>
  <c r="Q143" i="205"/>
  <c r="Q145" i="205"/>
  <c r="P143" i="205"/>
  <c r="P145" i="205"/>
  <c r="O143" i="205"/>
  <c r="O145" i="205"/>
  <c r="N143" i="205"/>
  <c r="N145" i="205"/>
  <c r="M143" i="205"/>
  <c r="M145" i="205"/>
  <c r="L143" i="205"/>
  <c r="L145" i="205"/>
  <c r="K143" i="205"/>
  <c r="K145" i="205"/>
  <c r="J143" i="205"/>
  <c r="J145" i="205"/>
  <c r="I143" i="205"/>
  <c r="I145" i="205"/>
  <c r="H143" i="205"/>
  <c r="H145" i="205"/>
  <c r="G143" i="205"/>
  <c r="G145" i="205"/>
  <c r="V140" i="205"/>
  <c r="V143" i="205"/>
  <c r="V145" i="205"/>
  <c r="U140" i="205"/>
  <c r="U143" i="205"/>
  <c r="U145" i="205"/>
  <c r="T140" i="205"/>
  <c r="T143" i="205"/>
  <c r="T145" i="205"/>
  <c r="S140" i="205"/>
  <c r="S143" i="205"/>
  <c r="S145" i="205"/>
  <c r="R140" i="205"/>
  <c r="R143" i="205"/>
  <c r="R145" i="205"/>
  <c r="Q134" i="205"/>
  <c r="Q136" i="205"/>
  <c r="P134" i="205"/>
  <c r="P136" i="205"/>
  <c r="O134" i="205"/>
  <c r="O136" i="205"/>
  <c r="N134" i="205"/>
  <c r="N136" i="205"/>
  <c r="M134" i="205"/>
  <c r="M136" i="205"/>
  <c r="L134" i="205"/>
  <c r="L136" i="205"/>
  <c r="K134" i="205"/>
  <c r="K136" i="205"/>
  <c r="J134" i="205"/>
  <c r="J136" i="205"/>
  <c r="I134" i="205"/>
  <c r="I136" i="205"/>
  <c r="H134" i="205"/>
  <c r="H136" i="205"/>
  <c r="G134" i="205"/>
  <c r="G136" i="205"/>
  <c r="V131" i="205"/>
  <c r="V134" i="205"/>
  <c r="V136" i="205"/>
  <c r="U131" i="205"/>
  <c r="U134" i="205"/>
  <c r="U136" i="205"/>
  <c r="T131" i="205"/>
  <c r="T134" i="205"/>
  <c r="T136" i="205"/>
  <c r="S131" i="205"/>
  <c r="S134" i="205"/>
  <c r="S136" i="205"/>
  <c r="R131" i="205"/>
  <c r="R134" i="205"/>
  <c r="R136" i="205"/>
  <c r="O127" i="205"/>
  <c r="Q125" i="205"/>
  <c r="Q127" i="205"/>
  <c r="P125" i="205"/>
  <c r="P127" i="205"/>
  <c r="O125" i="205"/>
  <c r="N125" i="205"/>
  <c r="N127" i="205"/>
  <c r="M125" i="205"/>
  <c r="M127" i="205"/>
  <c r="L125" i="205"/>
  <c r="L127" i="205"/>
  <c r="K125" i="205"/>
  <c r="K127" i="205"/>
  <c r="J125" i="205"/>
  <c r="J127" i="205"/>
  <c r="I125" i="205"/>
  <c r="I127" i="205"/>
  <c r="H125" i="205"/>
  <c r="H127" i="205"/>
  <c r="G125" i="205"/>
  <c r="G127" i="205"/>
  <c r="V122" i="205"/>
  <c r="V125" i="205"/>
  <c r="V127" i="205"/>
  <c r="U122" i="205"/>
  <c r="U125" i="205"/>
  <c r="U127" i="205"/>
  <c r="T122" i="205"/>
  <c r="T125" i="205"/>
  <c r="T127" i="205"/>
  <c r="S122" i="205"/>
  <c r="S125" i="205"/>
  <c r="S127" i="205"/>
  <c r="R122" i="205"/>
  <c r="R125" i="205"/>
  <c r="R127" i="205"/>
  <c r="P118" i="205"/>
  <c r="T116" i="205"/>
  <c r="T118" i="205"/>
  <c r="Q116" i="205"/>
  <c r="Q118" i="205"/>
  <c r="P116" i="205"/>
  <c r="O116" i="205"/>
  <c r="O118" i="205"/>
  <c r="N116" i="205"/>
  <c r="N118" i="205"/>
  <c r="M116" i="205"/>
  <c r="M118" i="205"/>
  <c r="L116" i="205"/>
  <c r="L118" i="205"/>
  <c r="K116" i="205"/>
  <c r="K118" i="205"/>
  <c r="J116" i="205"/>
  <c r="J118" i="205"/>
  <c r="I116" i="205"/>
  <c r="I118" i="205"/>
  <c r="H116" i="205"/>
  <c r="H118" i="205"/>
  <c r="G116" i="205"/>
  <c r="G118" i="205"/>
  <c r="V113" i="205"/>
  <c r="V116" i="205"/>
  <c r="V118" i="205"/>
  <c r="U113" i="205"/>
  <c r="U116" i="205"/>
  <c r="U118" i="205"/>
  <c r="T113" i="205"/>
  <c r="S113" i="205"/>
  <c r="S116" i="205"/>
  <c r="S118" i="205"/>
  <c r="R113" i="205"/>
  <c r="R116" i="205"/>
  <c r="R118" i="205"/>
  <c r="Q107" i="205"/>
  <c r="Q109" i="205"/>
  <c r="P107" i="205"/>
  <c r="P109" i="205"/>
  <c r="O107" i="205"/>
  <c r="O109" i="205"/>
  <c r="N107" i="205"/>
  <c r="N109" i="205"/>
  <c r="M107" i="205"/>
  <c r="M109" i="205"/>
  <c r="L107" i="205"/>
  <c r="L109" i="205"/>
  <c r="K107" i="205"/>
  <c r="K109" i="205"/>
  <c r="J107" i="205"/>
  <c r="J109" i="205"/>
  <c r="I107" i="205"/>
  <c r="I109" i="205"/>
  <c r="H107" i="205"/>
  <c r="H109" i="205"/>
  <c r="G107" i="205"/>
  <c r="G109" i="205"/>
  <c r="V104" i="205"/>
  <c r="V107" i="205"/>
  <c r="V109" i="205"/>
  <c r="U104" i="205"/>
  <c r="U107" i="205"/>
  <c r="U109" i="205"/>
  <c r="T104" i="205"/>
  <c r="T107" i="205"/>
  <c r="T109" i="205"/>
  <c r="S104" i="205"/>
  <c r="S107" i="205"/>
  <c r="S109" i="205"/>
  <c r="R104" i="205"/>
  <c r="R107" i="205"/>
  <c r="R109" i="205"/>
  <c r="N100" i="205"/>
  <c r="V98" i="205"/>
  <c r="V100" i="205"/>
  <c r="Q98" i="205"/>
  <c r="Q100" i="205"/>
  <c r="P98" i="205"/>
  <c r="P100" i="205"/>
  <c r="O98" i="205"/>
  <c r="O100" i="205"/>
  <c r="N98" i="205"/>
  <c r="M98" i="205"/>
  <c r="M100" i="205"/>
  <c r="L98" i="205"/>
  <c r="L100" i="205"/>
  <c r="K98" i="205"/>
  <c r="K100" i="205"/>
  <c r="J98" i="205"/>
  <c r="J100" i="205"/>
  <c r="I98" i="205"/>
  <c r="I100" i="205"/>
  <c r="H98" i="205"/>
  <c r="H100" i="205"/>
  <c r="G98" i="205"/>
  <c r="G100" i="205"/>
  <c r="V95" i="205"/>
  <c r="U95" i="205"/>
  <c r="U98" i="205"/>
  <c r="U100" i="205"/>
  <c r="T95" i="205"/>
  <c r="T98" i="205"/>
  <c r="T100" i="205"/>
  <c r="S95" i="205"/>
  <c r="S98" i="205"/>
  <c r="S100" i="205"/>
  <c r="R95" i="205"/>
  <c r="R98" i="205"/>
  <c r="R100" i="205"/>
  <c r="O91" i="205"/>
  <c r="R89" i="205"/>
  <c r="R91" i="205"/>
  <c r="Q89" i="205"/>
  <c r="Q91" i="205"/>
  <c r="P89" i="205"/>
  <c r="P91" i="205"/>
  <c r="O89" i="205"/>
  <c r="N89" i="205"/>
  <c r="N91" i="205"/>
  <c r="M89" i="205"/>
  <c r="M91" i="205"/>
  <c r="K89" i="205"/>
  <c r="K91" i="205"/>
  <c r="J89" i="205"/>
  <c r="J91" i="205"/>
  <c r="I89" i="205"/>
  <c r="I91" i="205"/>
  <c r="H89" i="205"/>
  <c r="H91" i="205"/>
  <c r="G89" i="205"/>
  <c r="G91" i="205"/>
  <c r="V86" i="205"/>
  <c r="V89" i="205"/>
  <c r="V91" i="205"/>
  <c r="U86" i="205"/>
  <c r="U89" i="205"/>
  <c r="U91" i="205"/>
  <c r="T86" i="205"/>
  <c r="T89" i="205"/>
  <c r="T91" i="205"/>
  <c r="S86" i="205"/>
  <c r="S89" i="205"/>
  <c r="S91" i="205"/>
  <c r="R86" i="205"/>
  <c r="U80" i="205"/>
  <c r="U82" i="205"/>
  <c r="Q80" i="205"/>
  <c r="Q82" i="205"/>
  <c r="P80" i="205"/>
  <c r="P82" i="205"/>
  <c r="O80" i="205"/>
  <c r="O82" i="205"/>
  <c r="N80" i="205"/>
  <c r="N82" i="205"/>
  <c r="L80" i="205"/>
  <c r="L82" i="205"/>
  <c r="K80" i="205"/>
  <c r="K82" i="205"/>
  <c r="J80" i="205"/>
  <c r="J82" i="205"/>
  <c r="I80" i="205"/>
  <c r="I82" i="205"/>
  <c r="H80" i="205"/>
  <c r="H82" i="205"/>
  <c r="G80" i="205"/>
  <c r="G82" i="205"/>
  <c r="V77" i="205"/>
  <c r="V80" i="205"/>
  <c r="V82" i="205"/>
  <c r="U77" i="205"/>
  <c r="T77" i="205"/>
  <c r="T80" i="205"/>
  <c r="T82" i="205"/>
  <c r="S77" i="205"/>
  <c r="S80" i="205"/>
  <c r="S82" i="205"/>
  <c r="R77" i="205"/>
  <c r="R80" i="205"/>
  <c r="R82" i="205"/>
  <c r="Q71" i="205"/>
  <c r="Q73" i="205"/>
  <c r="P71" i="205"/>
  <c r="P73" i="205"/>
  <c r="O71" i="205"/>
  <c r="O73" i="205"/>
  <c r="N71" i="205"/>
  <c r="N73" i="205"/>
  <c r="M71" i="205"/>
  <c r="M73" i="205"/>
  <c r="L71" i="205"/>
  <c r="L73" i="205"/>
  <c r="K71" i="205"/>
  <c r="K73" i="205"/>
  <c r="J71" i="205"/>
  <c r="J73" i="205"/>
  <c r="I71" i="205"/>
  <c r="I73" i="205"/>
  <c r="H71" i="205"/>
  <c r="H73" i="205"/>
  <c r="G71" i="205"/>
  <c r="G73" i="205"/>
  <c r="V68" i="205"/>
  <c r="V71" i="205"/>
  <c r="V73" i="205"/>
  <c r="U68" i="205"/>
  <c r="U71" i="205"/>
  <c r="U73" i="205"/>
  <c r="T68" i="205"/>
  <c r="T71" i="205"/>
  <c r="T73" i="205"/>
  <c r="S68" i="205"/>
  <c r="S71" i="205"/>
  <c r="S73" i="205"/>
  <c r="R68" i="205"/>
  <c r="R71" i="205"/>
  <c r="R73" i="205"/>
  <c r="M64" i="205"/>
  <c r="T62" i="205"/>
  <c r="T64" i="205"/>
  <c r="Q62" i="205"/>
  <c r="Q64" i="205"/>
  <c r="P62" i="205"/>
  <c r="P64" i="205"/>
  <c r="O62" i="205"/>
  <c r="O64" i="205"/>
  <c r="N62" i="205"/>
  <c r="N64" i="205"/>
  <c r="M62" i="205"/>
  <c r="L62" i="205"/>
  <c r="L64" i="205"/>
  <c r="K62" i="205"/>
  <c r="K64" i="205"/>
  <c r="J62" i="205"/>
  <c r="J64" i="205"/>
  <c r="I62" i="205"/>
  <c r="I64" i="205"/>
  <c r="H62" i="205"/>
  <c r="H64" i="205"/>
  <c r="G62" i="205"/>
  <c r="G64" i="205"/>
  <c r="V59" i="205"/>
  <c r="V62" i="205"/>
  <c r="V64" i="205"/>
  <c r="U59" i="205"/>
  <c r="U62" i="205"/>
  <c r="U64" i="205"/>
  <c r="T59" i="205"/>
  <c r="S59" i="205"/>
  <c r="S62" i="205"/>
  <c r="S64" i="205"/>
  <c r="R59" i="205"/>
  <c r="R62" i="205"/>
  <c r="R64" i="205"/>
  <c r="V53" i="205"/>
  <c r="V55" i="205"/>
  <c r="Q53" i="205"/>
  <c r="Q55" i="205"/>
  <c r="P53" i="205"/>
  <c r="P55" i="205"/>
  <c r="O53" i="205"/>
  <c r="O55" i="205"/>
  <c r="N53" i="205"/>
  <c r="N55" i="205"/>
  <c r="L53" i="205"/>
  <c r="L55" i="205"/>
  <c r="K53" i="205"/>
  <c r="K55" i="205"/>
  <c r="J53" i="205"/>
  <c r="J55" i="205"/>
  <c r="I53" i="205"/>
  <c r="I55" i="205"/>
  <c r="H53" i="205"/>
  <c r="H55" i="205"/>
  <c r="G53" i="205"/>
  <c r="G55" i="205"/>
  <c r="V50" i="205"/>
  <c r="U50" i="205"/>
  <c r="U53" i="205"/>
  <c r="U55" i="205"/>
  <c r="T50" i="205"/>
  <c r="T53" i="205"/>
  <c r="T55" i="205"/>
  <c r="S50" i="205"/>
  <c r="S53" i="205"/>
  <c r="S55" i="205"/>
  <c r="R50" i="205"/>
  <c r="R53" i="205"/>
  <c r="R55" i="205"/>
  <c r="R46" i="205"/>
  <c r="Q44" i="205"/>
  <c r="Q46" i="205"/>
  <c r="P44" i="205"/>
  <c r="P46" i="205"/>
  <c r="O44" i="205"/>
  <c r="O46" i="205"/>
  <c r="N44" i="205"/>
  <c r="N46" i="205"/>
  <c r="L44" i="205"/>
  <c r="K44" i="205"/>
  <c r="K46" i="205"/>
  <c r="J44" i="205"/>
  <c r="J46" i="205"/>
  <c r="I44" i="205"/>
  <c r="I46" i="205"/>
  <c r="H44" i="205"/>
  <c r="H46" i="205"/>
  <c r="G44" i="205"/>
  <c r="G46" i="205"/>
  <c r="V41" i="205"/>
  <c r="V44" i="205"/>
  <c r="V46" i="205"/>
  <c r="U41" i="205"/>
  <c r="U44" i="205"/>
  <c r="U46" i="205"/>
  <c r="T41" i="205"/>
  <c r="T44" i="205"/>
  <c r="T46" i="205"/>
  <c r="S41" i="205"/>
  <c r="S44" i="205"/>
  <c r="S46" i="205"/>
  <c r="R41" i="205"/>
  <c r="R44" i="205"/>
  <c r="K37" i="205"/>
  <c r="H37" i="205"/>
  <c r="S35" i="205"/>
  <c r="S37" i="205"/>
  <c r="Q35" i="205"/>
  <c r="Q37" i="205"/>
  <c r="P35" i="205"/>
  <c r="P37" i="205"/>
  <c r="O35" i="205"/>
  <c r="O37" i="205"/>
  <c r="N35" i="205"/>
  <c r="N37" i="205"/>
  <c r="M35" i="205"/>
  <c r="M37" i="205"/>
  <c r="K35" i="205"/>
  <c r="J35" i="205"/>
  <c r="J37" i="205"/>
  <c r="I35" i="205"/>
  <c r="I37" i="205"/>
  <c r="H35" i="205"/>
  <c r="G35" i="205"/>
  <c r="G37" i="205"/>
  <c r="V32" i="205"/>
  <c r="V35" i="205"/>
  <c r="V37" i="205"/>
  <c r="U32" i="205"/>
  <c r="U35" i="205"/>
  <c r="U37" i="205"/>
  <c r="T32" i="205"/>
  <c r="T35" i="205"/>
  <c r="T37" i="205"/>
  <c r="S32" i="205"/>
  <c r="R32" i="205"/>
  <c r="R35" i="205"/>
  <c r="R37" i="205"/>
  <c r="M28" i="205"/>
  <c r="T26" i="205"/>
  <c r="Q26" i="205"/>
  <c r="P26" i="205"/>
  <c r="O26" i="205"/>
  <c r="N26" i="205"/>
  <c r="M26" i="205"/>
  <c r="K26" i="205"/>
  <c r="K285" i="205"/>
  <c r="J26" i="205"/>
  <c r="I26" i="205"/>
  <c r="H26" i="205"/>
  <c r="G26" i="205"/>
  <c r="G285" i="205"/>
  <c r="V23" i="205"/>
  <c r="U23" i="205"/>
  <c r="T23" i="205"/>
  <c r="S23" i="205"/>
  <c r="S26" i="205"/>
  <c r="R23" i="205"/>
  <c r="AH278" i="205"/>
  <c r="AH280" i="205"/>
  <c r="AG278" i="205"/>
  <c r="AG280" i="205"/>
  <c r="AF278" i="205"/>
  <c r="AF280" i="205"/>
  <c r="AE278" i="205"/>
  <c r="AE280" i="205"/>
  <c r="AD278" i="205"/>
  <c r="AD280" i="205"/>
  <c r="AC278" i="205"/>
  <c r="AC280" i="205"/>
  <c r="AB278" i="205"/>
  <c r="AB280" i="205"/>
  <c r="AA278" i="205"/>
  <c r="AA280" i="205"/>
  <c r="AH269" i="205"/>
  <c r="AH271" i="205"/>
  <c r="AG269" i="205"/>
  <c r="AG271" i="205"/>
  <c r="AF269" i="205"/>
  <c r="AF271" i="205"/>
  <c r="AE269" i="205"/>
  <c r="AE271" i="205"/>
  <c r="AD269" i="205"/>
  <c r="AD271" i="205"/>
  <c r="AC269" i="205"/>
  <c r="AC271" i="205"/>
  <c r="AB269" i="205"/>
  <c r="AB271" i="205"/>
  <c r="AA269" i="205"/>
  <c r="AA271" i="205"/>
  <c r="AH260" i="205"/>
  <c r="AH262" i="205"/>
  <c r="AG260" i="205"/>
  <c r="AG262" i="205"/>
  <c r="AF260" i="205"/>
  <c r="AF262" i="205"/>
  <c r="AE260" i="205"/>
  <c r="AE262" i="205"/>
  <c r="AD260" i="205"/>
  <c r="AD262" i="205"/>
  <c r="AC260" i="205"/>
  <c r="AC262" i="205"/>
  <c r="AB260" i="205"/>
  <c r="AB262" i="205"/>
  <c r="AA260" i="205"/>
  <c r="AA262" i="205"/>
  <c r="AH251" i="205"/>
  <c r="AH253" i="205"/>
  <c r="AG251" i="205"/>
  <c r="AG253" i="205"/>
  <c r="AF251" i="205"/>
  <c r="AF253" i="205"/>
  <c r="AE251" i="205"/>
  <c r="AE253" i="205"/>
  <c r="AD251" i="205"/>
  <c r="AD253" i="205"/>
  <c r="AC251" i="205"/>
  <c r="AC253" i="205"/>
  <c r="AB251" i="205"/>
  <c r="AB253" i="205"/>
  <c r="AA251" i="205"/>
  <c r="AA253" i="205"/>
  <c r="AH242" i="205"/>
  <c r="AH244" i="205"/>
  <c r="AG242" i="205"/>
  <c r="AG244" i="205"/>
  <c r="AF242" i="205"/>
  <c r="AF244" i="205"/>
  <c r="AE242" i="205"/>
  <c r="AE244" i="205"/>
  <c r="AD242" i="205"/>
  <c r="AD244" i="205"/>
  <c r="AC242" i="205"/>
  <c r="AC244" i="205"/>
  <c r="AB242" i="205"/>
  <c r="AB244" i="205"/>
  <c r="AA242" i="205"/>
  <c r="AA244" i="205"/>
  <c r="AH233" i="205"/>
  <c r="AH235" i="205"/>
  <c r="AG233" i="205"/>
  <c r="AG235" i="205"/>
  <c r="AF233" i="205"/>
  <c r="AF235" i="205"/>
  <c r="AE233" i="205"/>
  <c r="AE235" i="205"/>
  <c r="AD233" i="205"/>
  <c r="AD235" i="205"/>
  <c r="AC233" i="205"/>
  <c r="AC235" i="205"/>
  <c r="AB233" i="205"/>
  <c r="AB235" i="205"/>
  <c r="AA233" i="205"/>
  <c r="AA235" i="205"/>
  <c r="AH224" i="205"/>
  <c r="AH226" i="205"/>
  <c r="AG224" i="205"/>
  <c r="AG226" i="205"/>
  <c r="AF224" i="205"/>
  <c r="AF226" i="205"/>
  <c r="AE224" i="205"/>
  <c r="AE226" i="205"/>
  <c r="AD224" i="205"/>
  <c r="AD226" i="205"/>
  <c r="AC224" i="205"/>
  <c r="AC226" i="205"/>
  <c r="AB224" i="205"/>
  <c r="AB226" i="205"/>
  <c r="AA224" i="205"/>
  <c r="AA226" i="205"/>
  <c r="AH215" i="205"/>
  <c r="AH217" i="205"/>
  <c r="AG215" i="205"/>
  <c r="AG217" i="205"/>
  <c r="AF215" i="205"/>
  <c r="AF217" i="205"/>
  <c r="AE215" i="205"/>
  <c r="AE217" i="205"/>
  <c r="AD215" i="205"/>
  <c r="AD217" i="205"/>
  <c r="AC215" i="205"/>
  <c r="AC217" i="205"/>
  <c r="AB215" i="205"/>
  <c r="AB217" i="205"/>
  <c r="AA215" i="205"/>
  <c r="AA217" i="205"/>
  <c r="AH206" i="205"/>
  <c r="AH208" i="205"/>
  <c r="AG206" i="205"/>
  <c r="AG208" i="205"/>
  <c r="AF206" i="205"/>
  <c r="AF208" i="205"/>
  <c r="AE206" i="205"/>
  <c r="AE208" i="205"/>
  <c r="AD206" i="205"/>
  <c r="AD208" i="205"/>
  <c r="AC206" i="205"/>
  <c r="AC208" i="205"/>
  <c r="AB206" i="205"/>
  <c r="AB208" i="205"/>
  <c r="AA206" i="205"/>
  <c r="AA208" i="205"/>
  <c r="AH197" i="205"/>
  <c r="AH199" i="205"/>
  <c r="AG197" i="205"/>
  <c r="AG199" i="205"/>
  <c r="AF197" i="205"/>
  <c r="AF199" i="205"/>
  <c r="AE197" i="205"/>
  <c r="AE199" i="205"/>
  <c r="AD197" i="205"/>
  <c r="AD199" i="205"/>
  <c r="AC197" i="205"/>
  <c r="AC199" i="205"/>
  <c r="AB197" i="205"/>
  <c r="AB199" i="205"/>
  <c r="AA197" i="205"/>
  <c r="AA199" i="205"/>
  <c r="AH188" i="205"/>
  <c r="AH190" i="205"/>
  <c r="AG188" i="205"/>
  <c r="AG190" i="205"/>
  <c r="AF188" i="205"/>
  <c r="AF190" i="205"/>
  <c r="AE188" i="205"/>
  <c r="AE190" i="205"/>
  <c r="AD188" i="205"/>
  <c r="AD190" i="205"/>
  <c r="AC188" i="205"/>
  <c r="AC190" i="205"/>
  <c r="AB188" i="205"/>
  <c r="AB190" i="205"/>
  <c r="AA188" i="205"/>
  <c r="AA190" i="205"/>
  <c r="G298" i="205"/>
  <c r="G300" i="205"/>
  <c r="H298" i="205"/>
  <c r="I298" i="205"/>
  <c r="J298" i="205"/>
  <c r="K298" i="205"/>
  <c r="K300" i="205"/>
  <c r="L298" i="205"/>
  <c r="L300" i="205"/>
  <c r="M298" i="205"/>
  <c r="N298" i="205"/>
  <c r="O298" i="205"/>
  <c r="O300" i="205"/>
  <c r="P298" i="205"/>
  <c r="P300" i="205"/>
  <c r="I300" i="205"/>
  <c r="J300" i="205"/>
  <c r="M300" i="205"/>
  <c r="N300" i="205"/>
  <c r="G304" i="205"/>
  <c r="G306" i="205"/>
  <c r="H304" i="205"/>
  <c r="H306" i="205"/>
  <c r="I304" i="205"/>
  <c r="J304" i="205"/>
  <c r="K304" i="205"/>
  <c r="K306" i="205"/>
  <c r="L304" i="205"/>
  <c r="L306" i="205"/>
  <c r="M304" i="205"/>
  <c r="M306" i="205"/>
  <c r="N304" i="205"/>
  <c r="N306" i="205"/>
  <c r="O304" i="205"/>
  <c r="O306" i="205"/>
  <c r="P304" i="205"/>
  <c r="P306" i="205"/>
  <c r="I306" i="205"/>
  <c r="J306" i="205"/>
  <c r="G310" i="205"/>
  <c r="G312" i="205"/>
  <c r="H310" i="205"/>
  <c r="H312" i="205"/>
  <c r="I310" i="205"/>
  <c r="J310" i="205"/>
  <c r="K310" i="205"/>
  <c r="K312" i="205"/>
  <c r="L310" i="205"/>
  <c r="L312" i="205"/>
  <c r="M310" i="205"/>
  <c r="M312" i="205"/>
  <c r="N310" i="205"/>
  <c r="N312" i="205"/>
  <c r="O310" i="205"/>
  <c r="O312" i="205"/>
  <c r="P310" i="205"/>
  <c r="P312" i="205"/>
  <c r="I312" i="205"/>
  <c r="J312" i="205"/>
  <c r="G316" i="205"/>
  <c r="G318" i="205"/>
  <c r="H316" i="205"/>
  <c r="H318" i="205"/>
  <c r="I316" i="205"/>
  <c r="J316" i="205"/>
  <c r="K316" i="205"/>
  <c r="K318" i="205"/>
  <c r="L316" i="205"/>
  <c r="L318" i="205"/>
  <c r="M316" i="205"/>
  <c r="M318" i="205"/>
  <c r="N316" i="205"/>
  <c r="N318" i="205"/>
  <c r="O316" i="205"/>
  <c r="O318" i="205"/>
  <c r="P316" i="205"/>
  <c r="P318" i="205"/>
  <c r="I318" i="205"/>
  <c r="J318" i="205"/>
  <c r="AH179" i="205"/>
  <c r="AH181" i="205"/>
  <c r="AG179" i="205"/>
  <c r="AG181" i="205"/>
  <c r="AF179" i="205"/>
  <c r="AF181" i="205"/>
  <c r="AE179" i="205"/>
  <c r="AE181" i="205"/>
  <c r="AD179" i="205"/>
  <c r="AD181" i="205"/>
  <c r="AC179" i="205"/>
  <c r="AC181" i="205"/>
  <c r="AB179" i="205"/>
  <c r="AB181" i="205"/>
  <c r="AA179" i="205"/>
  <c r="AA181" i="205"/>
  <c r="AH170" i="205"/>
  <c r="AH172" i="205"/>
  <c r="AG170" i="205"/>
  <c r="AG172" i="205"/>
  <c r="AF170" i="205"/>
  <c r="AF172" i="205"/>
  <c r="AE170" i="205"/>
  <c r="AE172" i="205"/>
  <c r="AD170" i="205"/>
  <c r="AD172" i="205"/>
  <c r="AC170" i="205"/>
  <c r="AC172" i="205"/>
  <c r="AB170" i="205"/>
  <c r="AB172" i="205"/>
  <c r="AA170" i="205"/>
  <c r="AA172" i="205"/>
  <c r="AH161" i="205"/>
  <c r="AH163" i="205"/>
  <c r="AG161" i="205"/>
  <c r="AG163" i="205"/>
  <c r="AF161" i="205"/>
  <c r="AF163" i="205"/>
  <c r="AE161" i="205"/>
  <c r="AE163" i="205"/>
  <c r="AD161" i="205"/>
  <c r="AD163" i="205"/>
  <c r="AC161" i="205"/>
  <c r="AC163" i="205"/>
  <c r="AB161" i="205"/>
  <c r="AB163" i="205"/>
  <c r="AA161" i="205"/>
  <c r="AA163" i="205"/>
  <c r="AH152" i="205"/>
  <c r="AH154" i="205"/>
  <c r="AG152" i="205"/>
  <c r="AG154" i="205"/>
  <c r="AF152" i="205"/>
  <c r="AF154" i="205"/>
  <c r="AE152" i="205"/>
  <c r="AE154" i="205"/>
  <c r="AD152" i="205"/>
  <c r="AD154" i="205"/>
  <c r="AC152" i="205"/>
  <c r="AC154" i="205"/>
  <c r="AB152" i="205"/>
  <c r="AB154" i="205"/>
  <c r="AA152" i="205"/>
  <c r="AA154" i="205"/>
  <c r="AH143" i="205"/>
  <c r="AH145" i="205"/>
  <c r="AG143" i="205"/>
  <c r="AG145" i="205"/>
  <c r="AF143" i="205"/>
  <c r="AF145" i="205"/>
  <c r="AE143" i="205"/>
  <c r="AE145" i="205"/>
  <c r="AD143" i="205"/>
  <c r="AD145" i="205"/>
  <c r="AC143" i="205"/>
  <c r="AC145" i="205"/>
  <c r="AB143" i="205"/>
  <c r="AB145" i="205"/>
  <c r="AA143" i="205"/>
  <c r="AA145" i="205"/>
  <c r="AG136" i="205"/>
  <c r="AC136" i="205"/>
  <c r="AH134" i="205"/>
  <c r="AH136" i="205"/>
  <c r="AG134" i="205"/>
  <c r="AF134" i="205"/>
  <c r="AF136" i="205"/>
  <c r="AE134" i="205"/>
  <c r="AE136" i="205"/>
  <c r="AD134" i="205"/>
  <c r="AD136" i="205"/>
  <c r="AC134" i="205"/>
  <c r="AB134" i="205"/>
  <c r="AB136" i="205"/>
  <c r="AA134" i="205"/>
  <c r="AA136" i="205"/>
  <c r="AH125" i="205"/>
  <c r="AH127" i="205"/>
  <c r="AG125" i="205"/>
  <c r="AG127" i="205"/>
  <c r="AF125" i="205"/>
  <c r="AF127" i="205"/>
  <c r="AE125" i="205"/>
  <c r="AE127" i="205"/>
  <c r="AD125" i="205"/>
  <c r="AD127" i="205"/>
  <c r="AC125" i="205"/>
  <c r="AC127" i="205"/>
  <c r="AB125" i="205"/>
  <c r="AB127" i="205"/>
  <c r="AA125" i="205"/>
  <c r="AA127" i="205"/>
  <c r="AH116" i="205"/>
  <c r="AH118" i="205"/>
  <c r="AG116" i="205"/>
  <c r="AG118" i="205"/>
  <c r="AF116" i="205"/>
  <c r="AF118" i="205"/>
  <c r="AE116" i="205"/>
  <c r="AE118" i="205"/>
  <c r="AD116" i="205"/>
  <c r="AD118" i="205"/>
  <c r="AC116" i="205"/>
  <c r="AC118" i="205"/>
  <c r="AB116" i="205"/>
  <c r="AB118" i="205"/>
  <c r="AA116" i="205"/>
  <c r="AA118" i="205"/>
  <c r="AH107" i="205"/>
  <c r="AH109" i="205"/>
  <c r="AG107" i="205"/>
  <c r="AG109" i="205"/>
  <c r="AF107" i="205"/>
  <c r="AF109" i="205"/>
  <c r="AE107" i="205"/>
  <c r="AE109" i="205"/>
  <c r="AD107" i="205"/>
  <c r="AD109" i="205"/>
  <c r="AC107" i="205"/>
  <c r="AC109" i="205"/>
  <c r="AB107" i="205"/>
  <c r="AB109" i="205"/>
  <c r="AA107" i="205"/>
  <c r="AA109" i="205"/>
  <c r="AH98" i="205"/>
  <c r="AH100" i="205"/>
  <c r="AG98" i="205"/>
  <c r="AG100" i="205"/>
  <c r="AF98" i="205"/>
  <c r="AF100" i="205"/>
  <c r="AE98" i="205"/>
  <c r="AE100" i="205"/>
  <c r="AD98" i="205"/>
  <c r="AD100" i="205"/>
  <c r="AC98" i="205"/>
  <c r="AC100" i="205"/>
  <c r="AB98" i="205"/>
  <c r="AB100" i="205"/>
  <c r="AA98" i="205"/>
  <c r="AA100" i="205"/>
  <c r="AH89" i="205"/>
  <c r="AH91" i="205"/>
  <c r="AG89" i="205"/>
  <c r="AG91" i="205"/>
  <c r="AF89" i="205"/>
  <c r="AF91" i="205"/>
  <c r="AE89" i="205"/>
  <c r="AE91" i="205"/>
  <c r="AD89" i="205"/>
  <c r="AD91" i="205"/>
  <c r="AC89" i="205"/>
  <c r="AC91" i="205"/>
  <c r="AB89" i="205"/>
  <c r="AB91" i="205"/>
  <c r="AA89" i="205"/>
  <c r="AA91" i="205"/>
  <c r="AH80" i="205"/>
  <c r="AH82" i="205"/>
  <c r="AG80" i="205"/>
  <c r="AG82" i="205"/>
  <c r="AF80" i="205"/>
  <c r="AF82" i="205"/>
  <c r="AE80" i="205"/>
  <c r="AE82" i="205"/>
  <c r="AD80" i="205"/>
  <c r="AD82" i="205"/>
  <c r="AC80" i="205"/>
  <c r="AC82" i="205"/>
  <c r="AB80" i="205"/>
  <c r="AB82" i="205"/>
  <c r="AA80" i="205"/>
  <c r="AA82" i="205"/>
  <c r="AH71" i="205"/>
  <c r="AH73" i="205"/>
  <c r="AG71" i="205"/>
  <c r="AG73" i="205"/>
  <c r="AF71" i="205"/>
  <c r="AF73" i="205"/>
  <c r="AE71" i="205"/>
  <c r="AE73" i="205"/>
  <c r="AD71" i="205"/>
  <c r="AD73" i="205"/>
  <c r="AC71" i="205"/>
  <c r="AC73" i="205"/>
  <c r="AB71" i="205"/>
  <c r="AB73" i="205"/>
  <c r="AA71" i="205"/>
  <c r="AA73" i="205"/>
  <c r="AH62" i="205"/>
  <c r="AH64" i="205"/>
  <c r="AG62" i="205"/>
  <c r="AG64" i="205"/>
  <c r="AF62" i="205"/>
  <c r="AF64" i="205"/>
  <c r="AE62" i="205"/>
  <c r="AE64" i="205"/>
  <c r="AD62" i="205"/>
  <c r="AD64" i="205"/>
  <c r="AC62" i="205"/>
  <c r="AC64" i="205"/>
  <c r="AB62" i="205"/>
  <c r="AB64" i="205"/>
  <c r="AA62" i="205"/>
  <c r="AA64" i="205"/>
  <c r="AH53" i="205"/>
  <c r="AH55" i="205"/>
  <c r="AG53" i="205"/>
  <c r="AG55" i="205"/>
  <c r="AF53" i="205"/>
  <c r="AF55" i="205"/>
  <c r="AE53" i="205"/>
  <c r="AE55" i="205"/>
  <c r="AD53" i="205"/>
  <c r="AD55" i="205"/>
  <c r="AC53" i="205"/>
  <c r="AC55" i="205"/>
  <c r="AB53" i="205"/>
  <c r="AB55" i="205"/>
  <c r="AA53" i="205"/>
  <c r="AA55" i="205"/>
  <c r="AH44" i="205"/>
  <c r="AH46" i="205"/>
  <c r="AG44" i="205"/>
  <c r="AG46" i="205"/>
  <c r="AF44" i="205"/>
  <c r="AF46" i="205"/>
  <c r="AE44" i="205"/>
  <c r="AE46" i="205"/>
  <c r="AD44" i="205"/>
  <c r="AD46" i="205"/>
  <c r="AC44" i="205"/>
  <c r="AC46" i="205"/>
  <c r="AB44" i="205"/>
  <c r="AB46" i="205"/>
  <c r="AA44" i="205"/>
  <c r="AA46" i="205"/>
  <c r="AH35" i="205"/>
  <c r="AH37" i="205"/>
  <c r="AG35" i="205"/>
  <c r="AG37" i="205"/>
  <c r="AF35" i="205"/>
  <c r="AF37" i="205"/>
  <c r="AE35" i="205"/>
  <c r="AE37" i="205"/>
  <c r="AD35" i="205"/>
  <c r="AD37" i="205"/>
  <c r="AC35" i="205"/>
  <c r="AC37" i="205"/>
  <c r="AB35" i="205"/>
  <c r="AB37" i="205"/>
  <c r="AA35" i="205"/>
  <c r="AA37" i="205"/>
  <c r="S285" i="205"/>
  <c r="S28" i="205"/>
  <c r="S287" i="205"/>
  <c r="T285" i="205"/>
  <c r="V26" i="205"/>
  <c r="V285" i="205"/>
  <c r="J28" i="205"/>
  <c r="J287" i="205"/>
  <c r="J285" i="205"/>
  <c r="O28" i="205"/>
  <c r="O287" i="205"/>
  <c r="O285" i="205"/>
  <c r="K28" i="205"/>
  <c r="K287" i="205"/>
  <c r="T28" i="205"/>
  <c r="T287" i="205"/>
  <c r="L46" i="205"/>
  <c r="L287" i="205"/>
  <c r="L285" i="205"/>
  <c r="P28" i="205"/>
  <c r="P287" i="205"/>
  <c r="P285" i="205"/>
  <c r="H285" i="205"/>
  <c r="M285" i="205"/>
  <c r="Q285" i="205"/>
  <c r="G28" i="205"/>
  <c r="G287" i="205"/>
  <c r="Q28" i="205"/>
  <c r="Q287" i="205"/>
  <c r="M287" i="205"/>
  <c r="U26" i="205"/>
  <c r="I28" i="205"/>
  <c r="I287" i="205"/>
  <c r="I285" i="205"/>
  <c r="N28" i="205"/>
  <c r="N287" i="205"/>
  <c r="N285" i="205"/>
  <c r="R26" i="205"/>
  <c r="H28" i="205"/>
  <c r="H287" i="205"/>
  <c r="V28" i="205"/>
  <c r="V287" i="205"/>
  <c r="H300" i="205"/>
  <c r="G319" i="205"/>
  <c r="C68" i="203" s="1"/>
  <c r="I320" i="205"/>
  <c r="M319" i="205"/>
  <c r="I68" i="203" s="1"/>
  <c r="U28" i="205"/>
  <c r="U287" i="205"/>
  <c r="U285" i="205"/>
  <c r="Q282" i="205"/>
  <c r="R28" i="205"/>
  <c r="R287" i="205"/>
  <c r="R285" i="205"/>
  <c r="H282" i="205"/>
  <c r="D19" i="203" s="1"/>
  <c r="U282" i="205"/>
  <c r="P19" i="203" s="1"/>
  <c r="L282" i="205"/>
  <c r="H19" i="203" s="1"/>
  <c r="O322" i="205"/>
  <c r="I321" i="205"/>
  <c r="K323" i="205"/>
  <c r="L320" i="205"/>
  <c r="K324" i="205"/>
  <c r="N323" i="205"/>
  <c r="I322" i="205"/>
  <c r="H321" i="205"/>
  <c r="N320" i="205"/>
  <c r="M321" i="205"/>
  <c r="O324" i="205"/>
  <c r="I324" i="205"/>
  <c r="P320" i="205"/>
  <c r="L324" i="205"/>
  <c r="G323" i="205"/>
  <c r="J320" i="205"/>
  <c r="H323" i="205"/>
  <c r="G322" i="205"/>
  <c r="M323" i="205"/>
  <c r="H324" i="205"/>
  <c r="O321" i="205"/>
  <c r="N319" i="205"/>
  <c r="J321" i="205"/>
  <c r="P322" i="205"/>
  <c r="M320" i="205"/>
  <c r="O323" i="205"/>
  <c r="N322" i="205"/>
  <c r="H319" i="205"/>
  <c r="D68" i="203" s="1"/>
  <c r="J322" i="205"/>
  <c r="L319" i="205"/>
  <c r="H68" i="203" s="1"/>
  <c r="H322" i="205"/>
  <c r="K319" i="205"/>
  <c r="G68" i="203" s="1"/>
  <c r="J324" i="205"/>
  <c r="P323" i="205"/>
  <c r="G320" i="205"/>
  <c r="I323" i="205"/>
  <c r="G321" i="205"/>
  <c r="J319" i="205"/>
  <c r="F68" i="203" s="1"/>
  <c r="L322" i="205"/>
  <c r="O319" i="205"/>
  <c r="J68" i="203" s="1"/>
  <c r="L323" i="205"/>
  <c r="P319" i="205"/>
  <c r="K68" i="203" s="1"/>
  <c r="K320" i="205"/>
  <c r="I319" i="205"/>
  <c r="E68" i="203" s="1"/>
  <c r="O320" i="205"/>
  <c r="K322" i="205"/>
  <c r="G324" i="205"/>
  <c r="P324" i="205"/>
  <c r="M322" i="205"/>
  <c r="H320" i="205"/>
  <c r="N321" i="205"/>
  <c r="J323" i="205"/>
  <c r="K321" i="205"/>
  <c r="M324" i="205"/>
  <c r="P321" i="205"/>
  <c r="N324" i="205"/>
  <c r="L321" i="205"/>
  <c r="S282" i="205"/>
  <c r="N19" i="203" s="1"/>
  <c r="N282" i="205"/>
  <c r="J282" i="205"/>
  <c r="F19" i="203" s="1"/>
  <c r="M282" i="205"/>
  <c r="I19" i="203" s="1"/>
  <c r="K282" i="205"/>
  <c r="G19" i="203" s="1"/>
  <c r="I282" i="205"/>
  <c r="E19" i="203" s="1"/>
  <c r="R282" i="205"/>
  <c r="M19" i="203" s="1"/>
  <c r="V282" i="205"/>
  <c r="Q19" i="203" s="1"/>
  <c r="T282" i="205"/>
  <c r="O19" i="203" s="1"/>
  <c r="P282" i="205"/>
  <c r="K19" i="203" s="1"/>
  <c r="O282" i="205"/>
  <c r="J19" i="203" s="1"/>
  <c r="J42" i="221"/>
  <c r="T257" i="242"/>
  <c r="U257" i="242"/>
  <c r="V257" i="242"/>
  <c r="W257" i="242"/>
  <c r="S257" i="242"/>
  <c r="AC253" i="242"/>
  <c r="Z253" i="242"/>
  <c r="AA253" i="242"/>
  <c r="AB253" i="242"/>
  <c r="Y253" i="242"/>
  <c r="W253" i="242"/>
  <c r="V253" i="242"/>
  <c r="U253" i="242"/>
  <c r="T253" i="242"/>
  <c r="S253" i="242"/>
  <c r="AC254" i="242"/>
  <c r="AB254" i="242"/>
  <c r="AA254" i="242"/>
  <c r="Z254" i="242"/>
  <c r="Y254" i="242"/>
  <c r="T254" i="242"/>
  <c r="U254" i="242"/>
  <c r="V254" i="242"/>
  <c r="W254" i="242"/>
  <c r="S254" i="242"/>
  <c r="AC256" i="242"/>
  <c r="AB256" i="242"/>
  <c r="AA256" i="242"/>
  <c r="Z256" i="242"/>
  <c r="Y256" i="242"/>
  <c r="AC255" i="242"/>
  <c r="AB255" i="242"/>
  <c r="AA255" i="242"/>
  <c r="Z255" i="242"/>
  <c r="Y255" i="242"/>
  <c r="T255" i="242"/>
  <c r="U255" i="242"/>
  <c r="V255" i="242"/>
  <c r="W255" i="242"/>
  <c r="S255" i="242"/>
  <c r="T256" i="242"/>
  <c r="U256" i="242"/>
  <c r="V256" i="242"/>
  <c r="W256" i="242"/>
  <c r="S256" i="242"/>
  <c r="C229" i="242"/>
  <c r="E25" i="217"/>
  <c r="C20" i="217"/>
  <c r="E23" i="217"/>
  <c r="D21" i="217"/>
  <c r="C105" i="217"/>
  <c r="D105" i="217"/>
  <c r="D23" i="217"/>
  <c r="E21" i="217"/>
  <c r="E105" i="217"/>
  <c r="D26" i="217"/>
  <c r="D20" i="217"/>
  <c r="E20" i="217"/>
  <c r="L18" i="250"/>
  <c r="K18" i="250"/>
  <c r="J18" i="250"/>
  <c r="I18" i="250"/>
  <c r="H18" i="250"/>
  <c r="G18" i="250"/>
  <c r="F18" i="250"/>
  <c r="E18" i="250"/>
  <c r="D18" i="250"/>
  <c r="C18" i="250"/>
  <c r="L15" i="250"/>
  <c r="K15" i="250"/>
  <c r="J15" i="250"/>
  <c r="I15" i="250"/>
  <c r="H15" i="250"/>
  <c r="G15" i="250"/>
  <c r="F15" i="250"/>
  <c r="E15" i="250"/>
  <c r="D15" i="250"/>
  <c r="C15" i="250"/>
  <c r="B9" i="250"/>
  <c r="B8" i="250"/>
  <c r="B2" i="250"/>
  <c r="B1" i="250"/>
  <c r="W50" i="216"/>
  <c r="X50" i="216"/>
  <c r="Y50" i="216"/>
  <c r="Y54" i="216"/>
  <c r="B3" i="250"/>
  <c r="G40" i="216"/>
  <c r="D84" i="233"/>
  <c r="E84" i="233"/>
  <c r="C84" i="233"/>
  <c r="D81" i="233"/>
  <c r="C81" i="233"/>
  <c r="C69" i="233"/>
  <c r="E68" i="233"/>
  <c r="D62" i="233"/>
  <c r="C62" i="233"/>
  <c r="D59" i="233"/>
  <c r="C59" i="233"/>
  <c r="D56" i="233"/>
  <c r="C56" i="233"/>
  <c r="D53" i="233"/>
  <c r="C53" i="233"/>
  <c r="E52" i="233"/>
  <c r="E81" i="233"/>
  <c r="E43" i="233"/>
  <c r="E59" i="233"/>
  <c r="E60" i="233"/>
  <c r="E53" i="233"/>
  <c r="F53" i="233"/>
  <c r="E82" i="233"/>
  <c r="F81" i="233"/>
  <c r="E54" i="233"/>
  <c r="F59" i="233"/>
  <c r="E85" i="233"/>
  <c r="F84" i="233"/>
  <c r="J47" i="233"/>
  <c r="E56" i="233"/>
  <c r="E62" i="233"/>
  <c r="E9" i="235"/>
  <c r="E8" i="187"/>
  <c r="B9" i="242"/>
  <c r="E63" i="233"/>
  <c r="F62" i="233"/>
  <c r="E57" i="233"/>
  <c r="F56" i="233"/>
  <c r="F85" i="233"/>
  <c r="G84" i="233"/>
  <c r="F60" i="233"/>
  <c r="G59" i="233"/>
  <c r="F54" i="233"/>
  <c r="G53" i="233"/>
  <c r="F82" i="233"/>
  <c r="G81" i="233"/>
  <c r="B9" i="249"/>
  <c r="G82" i="233"/>
  <c r="H81" i="233"/>
  <c r="G54" i="233"/>
  <c r="H53" i="233"/>
  <c r="G60" i="233"/>
  <c r="H59" i="233"/>
  <c r="G85" i="233"/>
  <c r="H84" i="233"/>
  <c r="F57" i="233"/>
  <c r="G56" i="233"/>
  <c r="F63" i="233"/>
  <c r="G62" i="233"/>
  <c r="C26" i="249"/>
  <c r="G63" i="233"/>
  <c r="H62" i="233"/>
  <c r="G57" i="233"/>
  <c r="H56" i="233"/>
  <c r="H85" i="233"/>
  <c r="I84" i="233"/>
  <c r="I85" i="233"/>
  <c r="J85" i="233"/>
  <c r="H60" i="233"/>
  <c r="I59" i="233"/>
  <c r="H54" i="233"/>
  <c r="I53" i="233"/>
  <c r="H82" i="233"/>
  <c r="I81" i="233"/>
  <c r="I82" i="233"/>
  <c r="K85" i="233"/>
  <c r="I62" i="249"/>
  <c r="H62" i="249"/>
  <c r="G62" i="249"/>
  <c r="F62" i="249"/>
  <c r="E62" i="249"/>
  <c r="E53" i="249" a="1"/>
  <c r="H53" i="249"/>
  <c r="E51" i="249"/>
  <c r="J82" i="233"/>
  <c r="K82" i="233"/>
  <c r="I54" i="233"/>
  <c r="K54" i="233"/>
  <c r="L54" i="233"/>
  <c r="I60" i="233"/>
  <c r="K60" i="233"/>
  <c r="L60" i="233"/>
  <c r="H57" i="233"/>
  <c r="I56" i="233"/>
  <c r="H63" i="233"/>
  <c r="I62" i="233"/>
  <c r="F53" i="249"/>
  <c r="I46" i="249"/>
  <c r="H46" i="249"/>
  <c r="G46" i="249"/>
  <c r="F46" i="249"/>
  <c r="E46" i="249"/>
  <c r="E32" i="249" a="1"/>
  <c r="G32" i="249" s="1"/>
  <c r="E30" i="249"/>
  <c r="I26" i="249"/>
  <c r="H26" i="249"/>
  <c r="G26" i="249"/>
  <c r="F26" i="249"/>
  <c r="E26" i="249"/>
  <c r="D26" i="249"/>
  <c r="E19" i="249" a="1"/>
  <c r="F19" i="249"/>
  <c r="D19" i="249"/>
  <c r="C17" i="249"/>
  <c r="B2" i="249"/>
  <c r="B1" i="249"/>
  <c r="J70" i="233"/>
  <c r="J60" i="233"/>
  <c r="L63" i="233"/>
  <c r="I63" i="233"/>
  <c r="K63" i="233"/>
  <c r="L57" i="233"/>
  <c r="I57" i="233"/>
  <c r="K57" i="233"/>
  <c r="J54" i="233"/>
  <c r="H19" i="249"/>
  <c r="E19" i="249"/>
  <c r="F32" i="249"/>
  <c r="C43" i="221"/>
  <c r="Q45" i="221"/>
  <c r="P45" i="221"/>
  <c r="O45" i="221"/>
  <c r="N45" i="221"/>
  <c r="M45" i="221"/>
  <c r="L45" i="221"/>
  <c r="K45" i="221"/>
  <c r="J45" i="221"/>
  <c r="I45" i="221"/>
  <c r="H45" i="221"/>
  <c r="G45" i="221"/>
  <c r="F45" i="221"/>
  <c r="E45" i="221"/>
  <c r="D45" i="221"/>
  <c r="C45" i="221"/>
  <c r="Q44" i="221"/>
  <c r="P44" i="221"/>
  <c r="O44" i="221"/>
  <c r="N44" i="221"/>
  <c r="M44" i="221"/>
  <c r="L44" i="221"/>
  <c r="K44" i="221"/>
  <c r="J44" i="221"/>
  <c r="I44" i="221"/>
  <c r="H44" i="221"/>
  <c r="G44" i="221"/>
  <c r="F44" i="221"/>
  <c r="E44" i="221"/>
  <c r="D44" i="221"/>
  <c r="C44" i="221"/>
  <c r="Q43" i="221"/>
  <c r="P43" i="221"/>
  <c r="O43" i="221"/>
  <c r="N43" i="221"/>
  <c r="M43" i="221"/>
  <c r="L43" i="221"/>
  <c r="K43" i="221"/>
  <c r="J43" i="221"/>
  <c r="I43" i="221"/>
  <c r="H43" i="221"/>
  <c r="G43" i="221"/>
  <c r="F43" i="221"/>
  <c r="E43" i="221"/>
  <c r="D43" i="221"/>
  <c r="Q42" i="221"/>
  <c r="P42" i="221"/>
  <c r="O42" i="221"/>
  <c r="N42" i="221"/>
  <c r="M42" i="221"/>
  <c r="L42" i="221"/>
  <c r="K42" i="221"/>
  <c r="I42" i="221"/>
  <c r="H42" i="221"/>
  <c r="G42" i="221"/>
  <c r="F42" i="221"/>
  <c r="E42" i="221"/>
  <c r="D42" i="221"/>
  <c r="C42" i="221"/>
  <c r="J57" i="233"/>
  <c r="J63" i="233"/>
  <c r="D89" i="243"/>
  <c r="C89" i="243"/>
  <c r="D79" i="243"/>
  <c r="C79" i="243"/>
  <c r="L89" i="243"/>
  <c r="K89" i="243"/>
  <c r="J89" i="243"/>
  <c r="I89" i="243"/>
  <c r="H89" i="243"/>
  <c r="G89" i="243"/>
  <c r="F89" i="243"/>
  <c r="E89" i="243"/>
  <c r="L79" i="243"/>
  <c r="K79" i="243"/>
  <c r="J79" i="243"/>
  <c r="I79" i="243"/>
  <c r="H79" i="243"/>
  <c r="G79" i="243"/>
  <c r="F79" i="243"/>
  <c r="E79" i="243"/>
  <c r="AB56" i="243"/>
  <c r="AA56" i="243"/>
  <c r="Z56" i="243"/>
  <c r="Y56" i="243"/>
  <c r="X56" i="243"/>
  <c r="W56" i="243"/>
  <c r="V56" i="243"/>
  <c r="U56" i="243"/>
  <c r="AB48" i="243"/>
  <c r="AB49" i="243"/>
  <c r="AA48" i="243"/>
  <c r="AA49" i="243"/>
  <c r="Z48" i="243"/>
  <c r="Z49" i="243"/>
  <c r="Y48" i="243"/>
  <c r="Y49" i="243"/>
  <c r="X48" i="243"/>
  <c r="X49" i="243"/>
  <c r="W48" i="243"/>
  <c r="W49" i="243"/>
  <c r="V48" i="243"/>
  <c r="V49" i="243"/>
  <c r="U48" i="243"/>
  <c r="U49" i="243"/>
  <c r="Q47" i="243"/>
  <c r="P47" i="243"/>
  <c r="O47" i="243"/>
  <c r="N47" i="243"/>
  <c r="M47" i="243"/>
  <c r="L47" i="243"/>
  <c r="K47" i="243"/>
  <c r="Q37" i="243"/>
  <c r="P37" i="243"/>
  <c r="O37" i="243"/>
  <c r="N37" i="243"/>
  <c r="M37" i="243"/>
  <c r="L37" i="243"/>
  <c r="K37" i="243"/>
  <c r="L96" i="218"/>
  <c r="K96" i="218"/>
  <c r="J96" i="218"/>
  <c r="I96" i="218"/>
  <c r="H96" i="218"/>
  <c r="G96" i="218"/>
  <c r="F96" i="218"/>
  <c r="E96" i="218"/>
  <c r="D96" i="218"/>
  <c r="C96" i="218"/>
  <c r="L89" i="218"/>
  <c r="K89" i="218"/>
  <c r="J89" i="218"/>
  <c r="I89" i="218"/>
  <c r="H89" i="218"/>
  <c r="G89" i="218"/>
  <c r="F89" i="218"/>
  <c r="E89" i="218"/>
  <c r="D89" i="218"/>
  <c r="C89" i="218"/>
  <c r="L79" i="218"/>
  <c r="K79" i="218"/>
  <c r="J79" i="218"/>
  <c r="I79" i="218"/>
  <c r="H79" i="218"/>
  <c r="G79" i="218"/>
  <c r="F79" i="218"/>
  <c r="E79" i="218"/>
  <c r="D79" i="218"/>
  <c r="C79" i="218"/>
  <c r="F37" i="218"/>
  <c r="E47" i="218"/>
  <c r="F47" i="218"/>
  <c r="G47" i="218"/>
  <c r="H47" i="218"/>
  <c r="M47" i="218"/>
  <c r="Q47" i="218"/>
  <c r="L47" i="218"/>
  <c r="P47" i="218"/>
  <c r="O47" i="218"/>
  <c r="N47" i="218"/>
  <c r="K47" i="218"/>
  <c r="J47" i="218"/>
  <c r="I47" i="218"/>
  <c r="D47" i="218"/>
  <c r="C47" i="218"/>
  <c r="E37" i="218"/>
  <c r="G37" i="218"/>
  <c r="H37" i="218"/>
  <c r="H48" i="218"/>
  <c r="I37" i="218"/>
  <c r="J37" i="218"/>
  <c r="J48" i="218"/>
  <c r="K37" i="218"/>
  <c r="L37" i="218"/>
  <c r="M37" i="218"/>
  <c r="N37" i="218"/>
  <c r="O37" i="218"/>
  <c r="P37" i="218"/>
  <c r="Q37" i="218"/>
  <c r="D37" i="218"/>
  <c r="C48" i="218"/>
  <c r="G48" i="218"/>
  <c r="I48" i="218"/>
  <c r="F97" i="243"/>
  <c r="C97" i="243"/>
  <c r="E56" i="243"/>
  <c r="G56" i="243"/>
  <c r="I56" i="243"/>
  <c r="K56" i="243"/>
  <c r="O56" i="243"/>
  <c r="C56" i="243"/>
  <c r="E48" i="218"/>
  <c r="F48" i="218"/>
  <c r="D48" i="218"/>
  <c r="E97" i="243"/>
  <c r="G97" i="243"/>
  <c r="I97" i="243"/>
  <c r="K97" i="243"/>
  <c r="D97" i="243"/>
  <c r="H97" i="243"/>
  <c r="L97" i="243"/>
  <c r="D56" i="243"/>
  <c r="F56" i="243"/>
  <c r="H56" i="243"/>
  <c r="J56" i="243"/>
  <c r="L56" i="243"/>
  <c r="N56" i="243"/>
  <c r="P56" i="243"/>
  <c r="V57" i="243"/>
  <c r="X57" i="243"/>
  <c r="Z57" i="243"/>
  <c r="AB57" i="243"/>
  <c r="U57" i="243"/>
  <c r="W57" i="243"/>
  <c r="Y57" i="243"/>
  <c r="AA57" i="243"/>
  <c r="M56" i="243"/>
  <c r="Q56" i="243"/>
  <c r="D97" i="218"/>
  <c r="F97" i="218"/>
  <c r="H97" i="218"/>
  <c r="J97" i="218"/>
  <c r="L97" i="218"/>
  <c r="C97" i="218"/>
  <c r="E97" i="218"/>
  <c r="G97" i="218"/>
  <c r="I97" i="218"/>
  <c r="K97" i="218"/>
  <c r="J97" i="243"/>
  <c r="M30" i="217"/>
  <c r="L30" i="217"/>
  <c r="K30" i="217"/>
  <c r="M29" i="217"/>
  <c r="L29" i="217"/>
  <c r="K29" i="217"/>
  <c r="F30" i="217"/>
  <c r="M26" i="217"/>
  <c r="L26" i="217"/>
  <c r="K26" i="217"/>
  <c r="M25" i="217"/>
  <c r="L25" i="217"/>
  <c r="K25" i="217"/>
  <c r="M24" i="217"/>
  <c r="L24" i="217"/>
  <c r="K24" i="217"/>
  <c r="M23" i="217"/>
  <c r="L23" i="217"/>
  <c r="K23" i="217"/>
  <c r="M22" i="217"/>
  <c r="L22" i="217"/>
  <c r="K22" i="217"/>
  <c r="M21" i="217"/>
  <c r="M27" i="217"/>
  <c r="L21" i="217"/>
  <c r="L27" i="217"/>
  <c r="K21" i="217"/>
  <c r="K27" i="217"/>
  <c r="M20" i="217"/>
  <c r="L20" i="217"/>
  <c r="K20" i="217"/>
  <c r="E26" i="217"/>
  <c r="D25" i="217"/>
  <c r="E24" i="217"/>
  <c r="D24" i="217"/>
  <c r="G30" i="217"/>
  <c r="E22" i="217"/>
  <c r="D22" i="217"/>
  <c r="G27" i="217"/>
  <c r="F27" i="217"/>
  <c r="C26" i="217"/>
  <c r="C25" i="217"/>
  <c r="C24" i="217"/>
  <c r="C23" i="217"/>
  <c r="C22" i="217"/>
  <c r="C21" i="217"/>
  <c r="B42" i="217"/>
  <c r="B41" i="217"/>
  <c r="B40" i="217"/>
  <c r="B39" i="217"/>
  <c r="B38" i="217"/>
  <c r="B37" i="217"/>
  <c r="B36" i="217"/>
  <c r="B35" i="217"/>
  <c r="B34" i="217"/>
  <c r="B33" i="217"/>
  <c r="B32" i="217"/>
  <c r="B140" i="211"/>
  <c r="B128" i="211"/>
  <c r="B116" i="211"/>
  <c r="B104" i="211"/>
  <c r="B92" i="211"/>
  <c r="AB138" i="211"/>
  <c r="AA138" i="211"/>
  <c r="Z138" i="211"/>
  <c r="Y138" i="211"/>
  <c r="X138" i="211"/>
  <c r="W138" i="211"/>
  <c r="V138" i="211"/>
  <c r="U138" i="211"/>
  <c r="AB126" i="211"/>
  <c r="AA126" i="211"/>
  <c r="Z126" i="211"/>
  <c r="Y126" i="211"/>
  <c r="X126" i="211"/>
  <c r="W126" i="211"/>
  <c r="V126" i="211"/>
  <c r="U126" i="211"/>
  <c r="AB114" i="211"/>
  <c r="AA114" i="211"/>
  <c r="Z114" i="211"/>
  <c r="Y114" i="211"/>
  <c r="X114" i="211"/>
  <c r="W114" i="211"/>
  <c r="V114" i="211"/>
  <c r="U114" i="211"/>
  <c r="AB102" i="211"/>
  <c r="AA102" i="211"/>
  <c r="Z102" i="211"/>
  <c r="Y102" i="211"/>
  <c r="X102" i="211"/>
  <c r="W102" i="211"/>
  <c r="V102" i="211"/>
  <c r="U102" i="211"/>
  <c r="B83" i="201"/>
  <c r="B82" i="201"/>
  <c r="B81" i="201"/>
  <c r="B80" i="201"/>
  <c r="B79" i="201"/>
  <c r="B78" i="201"/>
  <c r="B77" i="201"/>
  <c r="B76" i="201"/>
  <c r="B75" i="201"/>
  <c r="B74" i="201"/>
  <c r="B73" i="201"/>
  <c r="B66" i="201"/>
  <c r="B65" i="201"/>
  <c r="B64" i="201"/>
  <c r="B63" i="201"/>
  <c r="B62" i="201"/>
  <c r="B61" i="201"/>
  <c r="B60" i="201"/>
  <c r="B59" i="201"/>
  <c r="B58" i="201"/>
  <c r="B57" i="201"/>
  <c r="B56" i="201"/>
  <c r="B48" i="201"/>
  <c r="B47" i="201"/>
  <c r="B46" i="201"/>
  <c r="B45" i="201"/>
  <c r="B44" i="201"/>
  <c r="B43" i="201"/>
  <c r="B42" i="201"/>
  <c r="B41" i="201"/>
  <c r="B40" i="201"/>
  <c r="B39" i="201"/>
  <c r="B38" i="201"/>
  <c r="D27" i="217"/>
  <c r="E27" i="217"/>
  <c r="C30" i="217"/>
  <c r="D30" i="217"/>
  <c r="C27" i="217"/>
  <c r="E30" i="217"/>
  <c r="C29" i="217"/>
  <c r="G29" i="217"/>
  <c r="D29" i="217"/>
  <c r="E29" i="217"/>
  <c r="F29" i="217"/>
  <c r="C2" i="246"/>
  <c r="C1" i="246"/>
  <c r="B2" i="224"/>
  <c r="B1" i="224"/>
  <c r="B2" i="232"/>
  <c r="B1" i="232"/>
  <c r="B2" i="191"/>
  <c r="B1" i="191"/>
  <c r="B2" i="190"/>
  <c r="B1" i="190"/>
  <c r="B2" i="245"/>
  <c r="B1" i="245"/>
  <c r="B2" i="221"/>
  <c r="B1" i="221"/>
  <c r="B2" i="220"/>
  <c r="B1" i="220"/>
  <c r="B2" i="243"/>
  <c r="B1" i="243"/>
  <c r="B2" i="218"/>
  <c r="B1" i="218"/>
  <c r="B2" i="94"/>
  <c r="B1" i="94"/>
  <c r="C2" i="233"/>
  <c r="C1" i="233"/>
  <c r="B2" i="217"/>
  <c r="B1" i="217"/>
  <c r="B2" i="201"/>
  <c r="B1" i="201"/>
  <c r="B2" i="211"/>
  <c r="B1" i="211"/>
  <c r="B2" i="223"/>
  <c r="B1" i="223"/>
  <c r="B2" i="210"/>
  <c r="B1" i="210"/>
  <c r="E2" i="239"/>
  <c r="E1" i="239"/>
  <c r="E2" i="235"/>
  <c r="E1" i="235"/>
  <c r="B2" i="206"/>
  <c r="B1" i="206"/>
  <c r="E2" i="238"/>
  <c r="E1" i="238"/>
  <c r="E2" i="187"/>
  <c r="E1" i="187"/>
  <c r="E2" i="205"/>
  <c r="E1" i="205"/>
  <c r="B2" i="242"/>
  <c r="B1" i="242"/>
  <c r="C2" i="216"/>
  <c r="C1" i="216"/>
  <c r="C82" i="248"/>
  <c r="C81" i="248"/>
  <c r="C77" i="248"/>
  <c r="C78" i="248"/>
  <c r="C74" i="248"/>
  <c r="C75" i="248"/>
  <c r="C71" i="248"/>
  <c r="C70" i="248"/>
  <c r="C69" i="248"/>
  <c r="C66" i="248"/>
  <c r="C64" i="248"/>
  <c r="C62" i="248"/>
  <c r="C58" i="248"/>
  <c r="C56" i="248"/>
  <c r="C55" i="248"/>
  <c r="C15" i="248"/>
  <c r="B2" i="248"/>
  <c r="B1" i="248"/>
  <c r="I66" i="247"/>
  <c r="I67" i="247"/>
  <c r="I68" i="247"/>
  <c r="I69" i="247"/>
  <c r="I70" i="247"/>
  <c r="G35" i="248"/>
  <c r="K66" i="247"/>
  <c r="K67" i="247"/>
  <c r="K68" i="247"/>
  <c r="K69" i="247"/>
  <c r="K70" i="247"/>
  <c r="K71" i="247"/>
  <c r="K72" i="247"/>
  <c r="K73" i="247"/>
  <c r="K74" i="247"/>
  <c r="K75" i="247"/>
  <c r="K76" i="247"/>
  <c r="K77" i="247"/>
  <c r="K78" i="247"/>
  <c r="K79" i="247"/>
  <c r="K80" i="247"/>
  <c r="E35" i="248"/>
  <c r="F35" i="248"/>
  <c r="D35" i="248"/>
  <c r="I68" i="233"/>
  <c r="I52" i="233"/>
  <c r="I43" i="233"/>
  <c r="I71" i="247"/>
  <c r="C79" i="248"/>
  <c r="C38" i="248"/>
  <c r="C80" i="248"/>
  <c r="B27" i="223"/>
  <c r="B12" i="223"/>
  <c r="AE42" i="262"/>
  <c r="C24" i="262"/>
  <c r="AE51" i="261"/>
  <c r="AE42" i="260"/>
  <c r="C42" i="262"/>
  <c r="C51" i="261"/>
  <c r="AE24" i="261"/>
  <c r="C42" i="260"/>
  <c r="AE51" i="262"/>
  <c r="AE42" i="261"/>
  <c r="C24" i="261"/>
  <c r="AE51" i="260"/>
  <c r="C51" i="262"/>
  <c r="AE24" i="262"/>
  <c r="C42" i="261"/>
  <c r="C51" i="260"/>
  <c r="AE24" i="260"/>
  <c r="C42" i="259"/>
  <c r="C24" i="260"/>
  <c r="AE51" i="259"/>
  <c r="AE24" i="259"/>
  <c r="C51" i="259"/>
  <c r="AE42" i="259"/>
  <c r="C24" i="259"/>
  <c r="D20" i="258"/>
  <c r="E20" i="257"/>
  <c r="D20" i="256"/>
  <c r="E20" i="255"/>
  <c r="E20" i="253"/>
  <c r="D20" i="252"/>
  <c r="D20" i="254"/>
  <c r="H62" i="243"/>
  <c r="L294" i="205"/>
  <c r="I72" i="247"/>
  <c r="H35" i="248"/>
  <c r="H43" i="233"/>
  <c r="H68" i="233"/>
  <c r="H52" i="233"/>
  <c r="G43" i="233"/>
  <c r="G68" i="233"/>
  <c r="G52" i="233"/>
  <c r="F43" i="233"/>
  <c r="F68" i="233"/>
  <c r="F52" i="233"/>
  <c r="E54" i="247"/>
  <c r="C63" i="248"/>
  <c r="G41" i="248"/>
  <c r="G46" i="247"/>
  <c r="D38" i="248"/>
  <c r="AE49" i="262"/>
  <c r="AE40" i="261"/>
  <c r="F22" i="261"/>
  <c r="AE49" i="260"/>
  <c r="F49" i="262"/>
  <c r="AE22" i="262"/>
  <c r="F40" i="261"/>
  <c r="F49" i="260"/>
  <c r="AE40" i="262"/>
  <c r="F22" i="262"/>
  <c r="AE49" i="261"/>
  <c r="AE40" i="260"/>
  <c r="F40" i="262"/>
  <c r="F49" i="261"/>
  <c r="AE22" i="261"/>
  <c r="F40" i="260"/>
  <c r="F49" i="259"/>
  <c r="AE22" i="259"/>
  <c r="AE40" i="259"/>
  <c r="F22" i="259"/>
  <c r="AE22" i="260"/>
  <c r="F40" i="259"/>
  <c r="F22" i="260"/>
  <c r="AE49" i="259"/>
  <c r="D42" i="262"/>
  <c r="D51" i="261"/>
  <c r="AF24" i="261"/>
  <c r="D42" i="260"/>
  <c r="AF51" i="262"/>
  <c r="AF42" i="261"/>
  <c r="D24" i="261"/>
  <c r="AF51" i="260"/>
  <c r="D51" i="262"/>
  <c r="AF24" i="262"/>
  <c r="D42" i="261"/>
  <c r="D51" i="260"/>
  <c r="AF24" i="260"/>
  <c r="AF42" i="262"/>
  <c r="D24" i="262"/>
  <c r="AF51" i="261"/>
  <c r="AF42" i="260"/>
  <c r="D24" i="260"/>
  <c r="AF51" i="259"/>
  <c r="D51" i="259"/>
  <c r="AF24" i="259"/>
  <c r="AF42" i="259"/>
  <c r="D24" i="259"/>
  <c r="D42" i="259"/>
  <c r="E20" i="258"/>
  <c r="F20" i="257"/>
  <c r="E20" i="254"/>
  <c r="F20" i="255"/>
  <c r="F20" i="253"/>
  <c r="E20" i="256"/>
  <c r="E20" i="252"/>
  <c r="G292" i="205"/>
  <c r="M294" i="205"/>
  <c r="I73" i="247"/>
  <c r="I35" i="248"/>
  <c r="C60" i="243"/>
  <c r="J15" i="245"/>
  <c r="L27" i="221"/>
  <c r="L39" i="221"/>
  <c r="E38" i="248"/>
  <c r="I62" i="243"/>
  <c r="F41" i="248"/>
  <c r="F24" i="246"/>
  <c r="M25" i="246"/>
  <c r="AG51" i="262"/>
  <c r="AG42" i="261"/>
  <c r="E24" i="261"/>
  <c r="AG51" i="260"/>
  <c r="E51" i="262"/>
  <c r="AG24" i="262"/>
  <c r="E42" i="261"/>
  <c r="E51" i="260"/>
  <c r="AG24" i="260"/>
  <c r="AG42" i="262"/>
  <c r="E24" i="262"/>
  <c r="AG51" i="261"/>
  <c r="AG42" i="260"/>
  <c r="E42" i="262"/>
  <c r="E51" i="261"/>
  <c r="AG24" i="261"/>
  <c r="E42" i="260"/>
  <c r="E51" i="259"/>
  <c r="AG24" i="259"/>
  <c r="AG42" i="259"/>
  <c r="E24" i="259"/>
  <c r="E42" i="259"/>
  <c r="E24" i="260"/>
  <c r="AG51" i="259"/>
  <c r="G20" i="257"/>
  <c r="F20" i="258"/>
  <c r="F20" i="256"/>
  <c r="F20" i="254"/>
  <c r="G20" i="255"/>
  <c r="G20" i="253"/>
  <c r="F20" i="252"/>
  <c r="N294" i="205"/>
  <c r="I74" i="247"/>
  <c r="J35" i="248"/>
  <c r="E41" i="248"/>
  <c r="L25" i="246"/>
  <c r="F38" i="248"/>
  <c r="J62" i="243"/>
  <c r="I19" i="190"/>
  <c r="F51" i="262"/>
  <c r="F42" i="261"/>
  <c r="F51" i="260"/>
  <c r="F24" i="262"/>
  <c r="F42" i="262"/>
  <c r="F51" i="261"/>
  <c r="F42" i="260"/>
  <c r="F24" i="261"/>
  <c r="F24" i="259"/>
  <c r="F42" i="259"/>
  <c r="F24" i="260"/>
  <c r="F51" i="259"/>
  <c r="G20" i="258"/>
  <c r="H20" i="257"/>
  <c r="G20" i="256"/>
  <c r="H20" i="255"/>
  <c r="G20" i="252"/>
  <c r="G20" i="254"/>
  <c r="H20" i="253"/>
  <c r="D41" i="248"/>
  <c r="O294" i="205"/>
  <c r="I75" i="247"/>
  <c r="K35" i="248"/>
  <c r="G38" i="248"/>
  <c r="K62" i="243"/>
  <c r="H80" i="246"/>
  <c r="G80" i="246"/>
  <c r="F80" i="246"/>
  <c r="E80" i="246"/>
  <c r="D80" i="246"/>
  <c r="I79" i="246"/>
  <c r="I78" i="246"/>
  <c r="I77" i="246"/>
  <c r="I76" i="246"/>
  <c r="I75" i="246"/>
  <c r="I74" i="246"/>
  <c r="I73" i="246"/>
  <c r="I72" i="246"/>
  <c r="I71" i="246"/>
  <c r="I70" i="246"/>
  <c r="I68" i="246"/>
  <c r="D67" i="246" a="1"/>
  <c r="G67" i="246"/>
  <c r="D66" i="246"/>
  <c r="L58" i="246"/>
  <c r="L57" i="246"/>
  <c r="L56" i="246"/>
  <c r="L55" i="246"/>
  <c r="I49" i="246"/>
  <c r="H49" i="246"/>
  <c r="G49" i="246"/>
  <c r="F49" i="246"/>
  <c r="E49" i="246"/>
  <c r="D49" i="246"/>
  <c r="C48" i="246"/>
  <c r="C46" i="246"/>
  <c r="C45" i="246"/>
  <c r="C44" i="246"/>
  <c r="Q39" i="246"/>
  <c r="P39" i="246"/>
  <c r="O39" i="246"/>
  <c r="N39" i="246"/>
  <c r="M39" i="246"/>
  <c r="L39" i="246"/>
  <c r="I39" i="246"/>
  <c r="H39" i="246"/>
  <c r="G39" i="246"/>
  <c r="F39" i="246"/>
  <c r="E39" i="246"/>
  <c r="D39" i="246"/>
  <c r="N38" i="246"/>
  <c r="J34" i="246"/>
  <c r="I34" i="246"/>
  <c r="H34" i="246"/>
  <c r="G34" i="246"/>
  <c r="F34" i="246"/>
  <c r="E34" i="246"/>
  <c r="D34" i="246"/>
  <c r="S25" i="246" a="1"/>
  <c r="W25" i="246"/>
  <c r="Q25" i="246"/>
  <c r="P25" i="246"/>
  <c r="O25" i="246"/>
  <c r="N25" i="246"/>
  <c r="I25" i="246"/>
  <c r="H25" i="246"/>
  <c r="G25" i="246"/>
  <c r="F25" i="246"/>
  <c r="E25" i="246"/>
  <c r="D25" i="246"/>
  <c r="N24" i="246"/>
  <c r="D24" i="246"/>
  <c r="I15" i="246"/>
  <c r="J15" i="246"/>
  <c r="R14" i="246"/>
  <c r="Q15" i="246"/>
  <c r="P14" i="246"/>
  <c r="O14" i="246"/>
  <c r="N14" i="246"/>
  <c r="M14" i="246"/>
  <c r="Q13" i="246"/>
  <c r="P13" i="246"/>
  <c r="O13" i="246"/>
  <c r="N13" i="246"/>
  <c r="M13" i="246"/>
  <c r="L13" i="246"/>
  <c r="I13" i="246"/>
  <c r="H13" i="246"/>
  <c r="G13" i="246"/>
  <c r="F13" i="246"/>
  <c r="E13" i="246"/>
  <c r="D13" i="246"/>
  <c r="G24" i="262"/>
  <c r="H24" i="262"/>
  <c r="I24" i="262"/>
  <c r="J24" i="262"/>
  <c r="K24" i="262"/>
  <c r="L24" i="262"/>
  <c r="M24" i="262"/>
  <c r="N24" i="262"/>
  <c r="O24" i="262"/>
  <c r="P24" i="262"/>
  <c r="Q24" i="262"/>
  <c r="R24" i="262"/>
  <c r="S24" i="262"/>
  <c r="T24" i="262"/>
  <c r="U24" i="262"/>
  <c r="V24" i="262"/>
  <c r="W24" i="262"/>
  <c r="X24" i="262"/>
  <c r="Y24" i="262"/>
  <c r="Z24" i="262"/>
  <c r="AA24" i="262"/>
  <c r="G42" i="262"/>
  <c r="H42" i="262"/>
  <c r="I42" i="262"/>
  <c r="J42" i="262"/>
  <c r="K42" i="262"/>
  <c r="L42" i="262"/>
  <c r="M42" i="262"/>
  <c r="N42" i="262"/>
  <c r="O42" i="262"/>
  <c r="P42" i="262"/>
  <c r="Q42" i="262"/>
  <c r="R42" i="262"/>
  <c r="S42" i="262"/>
  <c r="T42" i="262"/>
  <c r="U42" i="262"/>
  <c r="V42" i="262"/>
  <c r="W42" i="262"/>
  <c r="X42" i="262"/>
  <c r="Y42" i="262"/>
  <c r="Z42" i="262"/>
  <c r="AA42" i="262"/>
  <c r="G51" i="261"/>
  <c r="H51" i="261"/>
  <c r="I51" i="261"/>
  <c r="J51" i="261"/>
  <c r="K51" i="261"/>
  <c r="L51" i="261"/>
  <c r="M51" i="261"/>
  <c r="N51" i="261"/>
  <c r="O51" i="261"/>
  <c r="P51" i="261"/>
  <c r="Q51" i="261"/>
  <c r="R51" i="261"/>
  <c r="S51" i="261"/>
  <c r="T51" i="261"/>
  <c r="U51" i="261"/>
  <c r="V51" i="261"/>
  <c r="W51" i="261"/>
  <c r="X51" i="261"/>
  <c r="Y51" i="261"/>
  <c r="Z51" i="261"/>
  <c r="AA51" i="261"/>
  <c r="G42" i="260"/>
  <c r="H42" i="260"/>
  <c r="I42" i="260"/>
  <c r="J42" i="260"/>
  <c r="K42" i="260"/>
  <c r="L42" i="260"/>
  <c r="M42" i="260"/>
  <c r="N42" i="260"/>
  <c r="O42" i="260"/>
  <c r="P42" i="260"/>
  <c r="Q42" i="260"/>
  <c r="R42" i="260"/>
  <c r="S42" i="260"/>
  <c r="T42" i="260"/>
  <c r="U42" i="260"/>
  <c r="V42" i="260"/>
  <c r="W42" i="260"/>
  <c r="X42" i="260"/>
  <c r="Y42" i="260"/>
  <c r="Z42" i="260"/>
  <c r="AA42" i="260"/>
  <c r="G24" i="261"/>
  <c r="H24" i="261"/>
  <c r="I24" i="261"/>
  <c r="J24" i="261"/>
  <c r="K24" i="261"/>
  <c r="L24" i="261"/>
  <c r="M24" i="261"/>
  <c r="N24" i="261"/>
  <c r="O24" i="261"/>
  <c r="P24" i="261"/>
  <c r="Q24" i="261"/>
  <c r="R24" i="261"/>
  <c r="S24" i="261"/>
  <c r="T24" i="261"/>
  <c r="U24" i="261"/>
  <c r="V24" i="261"/>
  <c r="W24" i="261"/>
  <c r="X24" i="261"/>
  <c r="Y24" i="261"/>
  <c r="Z24" i="261"/>
  <c r="AA24" i="261"/>
  <c r="G51" i="262"/>
  <c r="H51" i="262"/>
  <c r="I51" i="262"/>
  <c r="J51" i="262"/>
  <c r="K51" i="262"/>
  <c r="L51" i="262"/>
  <c r="M51" i="262"/>
  <c r="N51" i="262"/>
  <c r="O51" i="262"/>
  <c r="P51" i="262"/>
  <c r="Q51" i="262"/>
  <c r="R51" i="262"/>
  <c r="S51" i="262"/>
  <c r="T51" i="262"/>
  <c r="U51" i="262"/>
  <c r="V51" i="262"/>
  <c r="W51" i="262"/>
  <c r="X51" i="262"/>
  <c r="Y51" i="262"/>
  <c r="Z51" i="262"/>
  <c r="AA51" i="262"/>
  <c r="G42" i="261"/>
  <c r="H42" i="261"/>
  <c r="I42" i="261"/>
  <c r="J42" i="261"/>
  <c r="K42" i="261"/>
  <c r="L42" i="261"/>
  <c r="M42" i="261"/>
  <c r="N42" i="261"/>
  <c r="O42" i="261"/>
  <c r="P42" i="261"/>
  <c r="Q42" i="261"/>
  <c r="R42" i="261"/>
  <c r="S42" i="261"/>
  <c r="T42" i="261"/>
  <c r="U42" i="261"/>
  <c r="V42" i="261"/>
  <c r="W42" i="261"/>
  <c r="X42" i="261"/>
  <c r="Y42" i="261"/>
  <c r="Z42" i="261"/>
  <c r="AA42" i="261"/>
  <c r="G51" i="260"/>
  <c r="H51" i="260"/>
  <c r="I51" i="260"/>
  <c r="J51" i="260"/>
  <c r="K51" i="260"/>
  <c r="L51" i="260"/>
  <c r="M51" i="260"/>
  <c r="N51" i="260"/>
  <c r="O51" i="260"/>
  <c r="P51" i="260"/>
  <c r="Q51" i="260"/>
  <c r="R51" i="260"/>
  <c r="S51" i="260"/>
  <c r="T51" i="260"/>
  <c r="U51" i="260"/>
  <c r="V51" i="260"/>
  <c r="W51" i="260"/>
  <c r="X51" i="260"/>
  <c r="Y51" i="260"/>
  <c r="Z51" i="260"/>
  <c r="AA51" i="260"/>
  <c r="G42" i="259"/>
  <c r="H42" i="259"/>
  <c r="I42" i="259"/>
  <c r="J42" i="259"/>
  <c r="K42" i="259"/>
  <c r="L42" i="259"/>
  <c r="M42" i="259"/>
  <c r="N42" i="259"/>
  <c r="O42" i="259"/>
  <c r="P42" i="259"/>
  <c r="Q42" i="259"/>
  <c r="R42" i="259"/>
  <c r="S42" i="259"/>
  <c r="T42" i="259"/>
  <c r="U42" i="259"/>
  <c r="V42" i="259"/>
  <c r="W42" i="259"/>
  <c r="X42" i="259"/>
  <c r="Y42" i="259"/>
  <c r="Z42" i="259"/>
  <c r="AA42" i="259"/>
  <c r="G24" i="260"/>
  <c r="H24" i="260"/>
  <c r="I24" i="260"/>
  <c r="J24" i="260"/>
  <c r="K24" i="260"/>
  <c r="L24" i="260"/>
  <c r="M24" i="260"/>
  <c r="N24" i="260"/>
  <c r="O24" i="260"/>
  <c r="P24" i="260"/>
  <c r="Q24" i="260"/>
  <c r="R24" i="260"/>
  <c r="S24" i="260"/>
  <c r="T24" i="260"/>
  <c r="U24" i="260"/>
  <c r="V24" i="260"/>
  <c r="W24" i="260"/>
  <c r="X24" i="260"/>
  <c r="Y24" i="260"/>
  <c r="Z24" i="260"/>
  <c r="AA24" i="260"/>
  <c r="G51" i="259"/>
  <c r="H51" i="259"/>
  <c r="I51" i="259"/>
  <c r="J51" i="259"/>
  <c r="K51" i="259"/>
  <c r="L51" i="259"/>
  <c r="M51" i="259"/>
  <c r="N51" i="259"/>
  <c r="O51" i="259"/>
  <c r="P51" i="259"/>
  <c r="Q51" i="259"/>
  <c r="R51" i="259"/>
  <c r="S51" i="259"/>
  <c r="T51" i="259"/>
  <c r="U51" i="259"/>
  <c r="V51" i="259"/>
  <c r="W51" i="259"/>
  <c r="X51" i="259"/>
  <c r="Y51" i="259"/>
  <c r="Z51" i="259"/>
  <c r="AA51" i="259"/>
  <c r="G24" i="259"/>
  <c r="H24" i="259"/>
  <c r="I24" i="259"/>
  <c r="J24" i="259"/>
  <c r="K24" i="259"/>
  <c r="L24" i="259"/>
  <c r="M24" i="259"/>
  <c r="N24" i="259"/>
  <c r="O24" i="259"/>
  <c r="P24" i="259"/>
  <c r="Q24" i="259"/>
  <c r="R24" i="259"/>
  <c r="S24" i="259"/>
  <c r="T24" i="259"/>
  <c r="U24" i="259"/>
  <c r="V24" i="259"/>
  <c r="W24" i="259"/>
  <c r="X24" i="259"/>
  <c r="Y24" i="259"/>
  <c r="Z24" i="259"/>
  <c r="AA24" i="259"/>
  <c r="H20" i="258"/>
  <c r="I20" i="258"/>
  <c r="J20" i="258"/>
  <c r="K20" i="258"/>
  <c r="L20" i="258"/>
  <c r="M20" i="258"/>
  <c r="N20" i="258"/>
  <c r="O20" i="258"/>
  <c r="P20" i="258"/>
  <c r="Q20" i="258"/>
  <c r="R20" i="258"/>
  <c r="S20" i="258"/>
  <c r="T20" i="258"/>
  <c r="U20" i="258"/>
  <c r="V20" i="258"/>
  <c r="W20" i="258"/>
  <c r="X20" i="258"/>
  <c r="Y20" i="258"/>
  <c r="Z20" i="258"/>
  <c r="AA20" i="258"/>
  <c r="AB20" i="258"/>
  <c r="H20" i="256"/>
  <c r="I20" i="256"/>
  <c r="J20" i="256"/>
  <c r="K20" i="256"/>
  <c r="L20" i="256"/>
  <c r="M20" i="256"/>
  <c r="N20" i="256"/>
  <c r="O20" i="256"/>
  <c r="P20" i="256"/>
  <c r="Q20" i="256"/>
  <c r="R20" i="256"/>
  <c r="S20" i="256"/>
  <c r="T20" i="256"/>
  <c r="U20" i="256"/>
  <c r="V20" i="256"/>
  <c r="W20" i="256"/>
  <c r="X20" i="256"/>
  <c r="Y20" i="256"/>
  <c r="Z20" i="256"/>
  <c r="AA20" i="256"/>
  <c r="AB20" i="256"/>
  <c r="I20" i="255"/>
  <c r="J20" i="255"/>
  <c r="K20" i="255"/>
  <c r="L20" i="255"/>
  <c r="M20" i="255"/>
  <c r="N20" i="255"/>
  <c r="O20" i="255"/>
  <c r="P20" i="255"/>
  <c r="Q20" i="255"/>
  <c r="R20" i="255"/>
  <c r="S20" i="255"/>
  <c r="T20" i="255"/>
  <c r="U20" i="255"/>
  <c r="V20" i="255"/>
  <c r="W20" i="255"/>
  <c r="X20" i="255"/>
  <c r="Y20" i="255"/>
  <c r="Z20" i="255"/>
  <c r="AA20" i="255"/>
  <c r="AB20" i="255"/>
  <c r="AC20" i="255"/>
  <c r="H20" i="254"/>
  <c r="I20" i="254"/>
  <c r="J20" i="254"/>
  <c r="K20" i="254"/>
  <c r="L20" i="254"/>
  <c r="M20" i="254"/>
  <c r="N20" i="254"/>
  <c r="O20" i="254"/>
  <c r="P20" i="254"/>
  <c r="Q20" i="254"/>
  <c r="R20" i="254"/>
  <c r="S20" i="254"/>
  <c r="T20" i="254"/>
  <c r="U20" i="254"/>
  <c r="V20" i="254"/>
  <c r="W20" i="254"/>
  <c r="X20" i="254"/>
  <c r="Y20" i="254"/>
  <c r="Z20" i="254"/>
  <c r="AA20" i="254"/>
  <c r="AB20" i="254"/>
  <c r="I20" i="253"/>
  <c r="J20" i="253"/>
  <c r="K20" i="253"/>
  <c r="L20" i="253"/>
  <c r="M20" i="253"/>
  <c r="N20" i="253"/>
  <c r="O20" i="253"/>
  <c r="P20" i="253"/>
  <c r="Q20" i="253"/>
  <c r="R20" i="253"/>
  <c r="S20" i="253"/>
  <c r="T20" i="253"/>
  <c r="U20" i="253"/>
  <c r="V20" i="253"/>
  <c r="W20" i="253"/>
  <c r="X20" i="253"/>
  <c r="Y20" i="253"/>
  <c r="Z20" i="253"/>
  <c r="AA20" i="253"/>
  <c r="AB20" i="253"/>
  <c r="AC20" i="253"/>
  <c r="H20" i="252"/>
  <c r="I20" i="252"/>
  <c r="J20" i="252"/>
  <c r="K20" i="252"/>
  <c r="L20" i="252"/>
  <c r="M20" i="252"/>
  <c r="N20" i="252"/>
  <c r="O20" i="252"/>
  <c r="P20" i="252"/>
  <c r="Q20" i="252"/>
  <c r="R20" i="252"/>
  <c r="S20" i="252"/>
  <c r="T20" i="252"/>
  <c r="U20" i="252"/>
  <c r="V20" i="252"/>
  <c r="W20" i="252"/>
  <c r="X20" i="252"/>
  <c r="Y20" i="252"/>
  <c r="Z20" i="252"/>
  <c r="AA20" i="252"/>
  <c r="AB20" i="252"/>
  <c r="I20" i="257"/>
  <c r="J20" i="257"/>
  <c r="K20" i="257"/>
  <c r="L20" i="257"/>
  <c r="M20" i="257"/>
  <c r="N20" i="257"/>
  <c r="O20" i="257"/>
  <c r="P20" i="257"/>
  <c r="Q20" i="257"/>
  <c r="R20" i="257"/>
  <c r="S20" i="257"/>
  <c r="T20" i="257"/>
  <c r="U20" i="257"/>
  <c r="V20" i="257"/>
  <c r="W20" i="257"/>
  <c r="X20" i="257"/>
  <c r="Y20" i="257"/>
  <c r="Z20" i="257"/>
  <c r="AA20" i="257"/>
  <c r="AB20" i="257"/>
  <c r="AC20" i="257"/>
  <c r="P294" i="205"/>
  <c r="R13" i="246"/>
  <c r="J13" i="246"/>
  <c r="K15" i="246"/>
  <c r="L38" i="246"/>
  <c r="J39" i="246"/>
  <c r="L59" i="246"/>
  <c r="L24" i="246"/>
  <c r="J25" i="246"/>
  <c r="L51" i="246"/>
  <c r="R25" i="246"/>
  <c r="R39" i="246"/>
  <c r="N54" i="246"/>
  <c r="C41" i="248"/>
  <c r="D43" i="233"/>
  <c r="D68" i="233"/>
  <c r="J68" i="233"/>
  <c r="D52" i="233"/>
  <c r="J52" i="233"/>
  <c r="I76" i="247"/>
  <c r="I77" i="247"/>
  <c r="I78" i="247"/>
  <c r="I79" i="247"/>
  <c r="I80" i="247"/>
  <c r="L35" i="248"/>
  <c r="H38" i="248"/>
  <c r="I38" i="248"/>
  <c r="J38" i="248"/>
  <c r="K38" i="248"/>
  <c r="L38" i="248"/>
  <c r="E25" i="233"/>
  <c r="E33" i="233"/>
  <c r="L62" i="243"/>
  <c r="I80" i="246"/>
  <c r="Q14" i="246"/>
  <c r="Q46" i="246"/>
  <c r="D67" i="246"/>
  <c r="H67" i="246"/>
  <c r="F67" i="246"/>
  <c r="Q48" i="246"/>
  <c r="T25" i="246"/>
  <c r="V25" i="246"/>
  <c r="S25" i="246"/>
  <c r="U25" i="246"/>
  <c r="E67" i="246"/>
  <c r="C62" i="243" a="1"/>
  <c r="G294" i="205" a="1"/>
  <c r="Q40" i="246"/>
  <c r="Q47" i="246"/>
  <c r="Q43" i="246"/>
  <c r="Q44" i="246"/>
  <c r="P15" i="246"/>
  <c r="P47" i="246"/>
  <c r="Q45" i="246"/>
  <c r="Q42" i="246"/>
  <c r="H294" i="205"/>
  <c r="J294" i="205"/>
  <c r="G294" i="205"/>
  <c r="I294" i="205"/>
  <c r="K294" i="205"/>
  <c r="P48" i="246"/>
  <c r="C62" i="243"/>
  <c r="E62" i="243"/>
  <c r="G62" i="243"/>
  <c r="D62" i="243"/>
  <c r="F62" i="243"/>
  <c r="P40" i="246"/>
  <c r="P44" i="246"/>
  <c r="P45" i="246"/>
  <c r="O15" i="246"/>
  <c r="O48" i="246"/>
  <c r="P42" i="246"/>
  <c r="P46" i="246"/>
  <c r="P43" i="246"/>
  <c r="Q49" i="246"/>
  <c r="O42" i="246"/>
  <c r="O47" i="246"/>
  <c r="P49" i="246"/>
  <c r="O43" i="246"/>
  <c r="O40" i="246"/>
  <c r="O45" i="246"/>
  <c r="N15" i="246"/>
  <c r="N47" i="246"/>
  <c r="O46" i="246"/>
  <c r="O44" i="246"/>
  <c r="N40" i="246"/>
  <c r="N45" i="246"/>
  <c r="N42" i="246"/>
  <c r="O49" i="246"/>
  <c r="N46" i="246"/>
  <c r="M15" i="246"/>
  <c r="M46" i="246"/>
  <c r="N44" i="246"/>
  <c r="N48" i="246"/>
  <c r="N43" i="246"/>
  <c r="M48" i="246"/>
  <c r="M30" i="246"/>
  <c r="Q29" i="246"/>
  <c r="R26" i="246"/>
  <c r="N31" i="246"/>
  <c r="N49" i="246"/>
  <c r="O28" i="246"/>
  <c r="O32" i="246"/>
  <c r="P31" i="246"/>
  <c r="O31" i="246"/>
  <c r="L29" i="246"/>
  <c r="M26" i="246"/>
  <c r="R33" i="246"/>
  <c r="P32" i="246"/>
  <c r="N26" i="246"/>
  <c r="L30" i="246"/>
  <c r="N28" i="246"/>
  <c r="M47" i="246"/>
  <c r="Q33" i="246"/>
  <c r="L26" i="246"/>
  <c r="P26" i="246"/>
  <c r="M28" i="246"/>
  <c r="Q28" i="246"/>
  <c r="O29" i="246"/>
  <c r="P30" i="246"/>
  <c r="R31" i="246"/>
  <c r="P33" i="246"/>
  <c r="Q26" i="246"/>
  <c r="R28" i="246"/>
  <c r="R30" i="246"/>
  <c r="Q32" i="246"/>
  <c r="M43" i="246"/>
  <c r="P29" i="246"/>
  <c r="Q30" i="246"/>
  <c r="L32" i="246"/>
  <c r="M33" i="246"/>
  <c r="M44" i="246"/>
  <c r="L33" i="246"/>
  <c r="L15" i="246"/>
  <c r="L43" i="246"/>
  <c r="O26" i="246"/>
  <c r="L28" i="246"/>
  <c r="P28" i="246"/>
  <c r="M29" i="246"/>
  <c r="N30" i="246"/>
  <c r="L31" i="246"/>
  <c r="M32" i="246"/>
  <c r="N33" i="246"/>
  <c r="M40" i="246"/>
  <c r="M45" i="246"/>
  <c r="N29" i="246"/>
  <c r="R29" i="246"/>
  <c r="O30" i="246"/>
  <c r="M31" i="246"/>
  <c r="Q31" i="246"/>
  <c r="N32" i="246"/>
  <c r="R32" i="246"/>
  <c r="O33" i="246"/>
  <c r="M42" i="246"/>
  <c r="L47" i="246"/>
  <c r="L45" i="246"/>
  <c r="L46" i="246"/>
  <c r="L44" i="246"/>
  <c r="L48" i="246"/>
  <c r="L40" i="246"/>
  <c r="L49" i="246"/>
  <c r="L42" i="246"/>
  <c r="M49" i="246"/>
  <c r="N34" i="246"/>
  <c r="M34" i="246"/>
  <c r="P34" i="246"/>
  <c r="L34" i="246"/>
  <c r="Q34" i="246"/>
  <c r="R34" i="246"/>
  <c r="R49" i="246"/>
  <c r="R52" i="246"/>
  <c r="O34" i="246"/>
  <c r="O52" i="246"/>
  <c r="T56" i="246"/>
  <c r="N52" i="246"/>
  <c r="P55" i="246"/>
  <c r="P52" i="246"/>
  <c r="S57" i="246"/>
  <c r="Q52" i="246"/>
  <c r="S58" i="246"/>
  <c r="R56" i="246"/>
  <c r="S56" i="246"/>
  <c r="Q56" i="246"/>
  <c r="P56" i="246"/>
  <c r="W59" i="246"/>
  <c r="W60" i="246"/>
  <c r="W62" i="246"/>
  <c r="U59" i="246"/>
  <c r="S59" i="246"/>
  <c r="T59" i="246"/>
  <c r="V59" i="246"/>
  <c r="U57" i="246"/>
  <c r="R57" i="246"/>
  <c r="S55" i="246"/>
  <c r="Q55" i="246"/>
  <c r="O55" i="246"/>
  <c r="R55" i="246"/>
  <c r="T57" i="246"/>
  <c r="T60" i="246"/>
  <c r="T62" i="246"/>
  <c r="V58" i="246"/>
  <c r="V60" i="246"/>
  <c r="V62" i="246"/>
  <c r="U58" i="246"/>
  <c r="U60" i="246"/>
  <c r="U62" i="246"/>
  <c r="R58" i="246"/>
  <c r="T58" i="246"/>
  <c r="Q57" i="246"/>
  <c r="S60" i="246"/>
  <c r="X60" i="246"/>
  <c r="S62" i="246"/>
  <c r="X62" i="246"/>
  <c r="J67" i="245"/>
  <c r="I67" i="245"/>
  <c r="H67" i="245"/>
  <c r="G67" i="245"/>
  <c r="F67" i="245"/>
  <c r="J60" i="245"/>
  <c r="I60" i="245"/>
  <c r="H60" i="245"/>
  <c r="G60" i="245"/>
  <c r="F60" i="245"/>
  <c r="J53" i="245"/>
  <c r="I53" i="245"/>
  <c r="H53" i="245"/>
  <c r="G53" i="245"/>
  <c r="F53" i="245"/>
  <c r="J38" i="245"/>
  <c r="I38" i="245"/>
  <c r="H38" i="245"/>
  <c r="G38" i="245"/>
  <c r="F38" i="245"/>
  <c r="J70" i="245"/>
  <c r="I70" i="245"/>
  <c r="H70" i="245"/>
  <c r="G70" i="245"/>
  <c r="F70" i="245"/>
  <c r="O38" i="245"/>
  <c r="N38" i="245"/>
  <c r="M38" i="245"/>
  <c r="L38" i="245"/>
  <c r="K38" i="245"/>
  <c r="O53" i="245"/>
  <c r="N53" i="245"/>
  <c r="M53" i="245"/>
  <c r="L53" i="245"/>
  <c r="K53" i="245"/>
  <c r="O60" i="245"/>
  <c r="N60" i="245"/>
  <c r="M60" i="245"/>
  <c r="L60" i="245"/>
  <c r="K60" i="245"/>
  <c r="O67" i="245"/>
  <c r="N67" i="245"/>
  <c r="M67" i="245"/>
  <c r="L67" i="245"/>
  <c r="K67" i="245"/>
  <c r="F17" i="245"/>
  <c r="P66" i="245"/>
  <c r="P65" i="245"/>
  <c r="P64" i="245"/>
  <c r="P63" i="245"/>
  <c r="P59" i="245"/>
  <c r="P58" i="245"/>
  <c r="P57" i="245"/>
  <c r="P56" i="245"/>
  <c r="P52" i="245"/>
  <c r="P51" i="245"/>
  <c r="P50" i="245"/>
  <c r="P49" i="245"/>
  <c r="P48" i="245"/>
  <c r="P47" i="245"/>
  <c r="P43" i="245"/>
  <c r="P42" i="245"/>
  <c r="P41" i="245"/>
  <c r="P37" i="245"/>
  <c r="P36" i="245"/>
  <c r="P35" i="245"/>
  <c r="P34" i="245"/>
  <c r="P33" i="245"/>
  <c r="P32" i="245"/>
  <c r="P31" i="245"/>
  <c r="P21" i="245"/>
  <c r="P20" i="245"/>
  <c r="B11" i="245"/>
  <c r="L70" i="245"/>
  <c r="K70" i="245"/>
  <c r="O70" i="245"/>
  <c r="M70" i="245"/>
  <c r="N70" i="245"/>
  <c r="P67" i="245"/>
  <c r="J19" i="190"/>
  <c r="W29" i="224"/>
  <c r="V29" i="224"/>
  <c r="U29" i="224"/>
  <c r="T29" i="224"/>
  <c r="S29" i="224"/>
  <c r="R29" i="224"/>
  <c r="Q29" i="224"/>
  <c r="P29" i="224"/>
  <c r="U20" i="224"/>
  <c r="AB24" i="220"/>
  <c r="AA24" i="220"/>
  <c r="Z24" i="220"/>
  <c r="Y24" i="220"/>
  <c r="X24" i="220"/>
  <c r="W24" i="220"/>
  <c r="V24" i="220"/>
  <c r="U24" i="220"/>
  <c r="Z15" i="220"/>
  <c r="Z20" i="243"/>
  <c r="AB56" i="218"/>
  <c r="AA56" i="218"/>
  <c r="Z56" i="218"/>
  <c r="Y56" i="218"/>
  <c r="X56" i="218"/>
  <c r="W56" i="218"/>
  <c r="V56" i="218"/>
  <c r="U56" i="218"/>
  <c r="AB48" i="218"/>
  <c r="AB49" i="218"/>
  <c r="AA48" i="218"/>
  <c r="AA49" i="218"/>
  <c r="AA57" i="218"/>
  <c r="Z48" i="218"/>
  <c r="Z49" i="218"/>
  <c r="Y48" i="218"/>
  <c r="Y49" i="218"/>
  <c r="Y57" i="218"/>
  <c r="X48" i="218"/>
  <c r="X49" i="218"/>
  <c r="W48" i="218"/>
  <c r="W49" i="218"/>
  <c r="W57" i="218"/>
  <c r="V48" i="218"/>
  <c r="U48" i="218"/>
  <c r="Z20" i="218"/>
  <c r="K97" i="217"/>
  <c r="M91" i="217"/>
  <c r="M97" i="217"/>
  <c r="K89" i="217"/>
  <c r="M83" i="217"/>
  <c r="M89" i="217"/>
  <c r="K81" i="217"/>
  <c r="M75" i="217"/>
  <c r="M81" i="217"/>
  <c r="L75" i="217"/>
  <c r="L81" i="217"/>
  <c r="K73" i="217"/>
  <c r="M67" i="217"/>
  <c r="K65" i="217"/>
  <c r="M59" i="217"/>
  <c r="K57" i="217"/>
  <c r="M51" i="217"/>
  <c r="M57" i="217"/>
  <c r="L51" i="217"/>
  <c r="L57" i="217"/>
  <c r="K49" i="217"/>
  <c r="K18" i="217"/>
  <c r="Z55" i="201"/>
  <c r="Z20" i="201"/>
  <c r="AB150" i="211"/>
  <c r="AA150" i="211"/>
  <c r="Z150" i="211"/>
  <c r="Y150" i="211"/>
  <c r="X150" i="211"/>
  <c r="W150" i="211"/>
  <c r="V150" i="211"/>
  <c r="U150" i="211"/>
  <c r="AB90" i="211"/>
  <c r="AA90" i="211"/>
  <c r="Z90" i="211"/>
  <c r="Y90" i="211"/>
  <c r="X90" i="211"/>
  <c r="W90" i="211"/>
  <c r="V90" i="211"/>
  <c r="U90" i="211"/>
  <c r="AB78" i="211"/>
  <c r="AA78" i="211"/>
  <c r="Z78" i="211"/>
  <c r="Y78" i="211"/>
  <c r="X78" i="211"/>
  <c r="W78" i="211"/>
  <c r="V78" i="211"/>
  <c r="U78" i="211"/>
  <c r="AB66" i="211"/>
  <c r="AA66" i="211"/>
  <c r="Z66" i="211"/>
  <c r="Y66" i="211"/>
  <c r="X66" i="211"/>
  <c r="W66" i="211"/>
  <c r="V66" i="211"/>
  <c r="U66" i="211"/>
  <c r="AB54" i="211"/>
  <c r="AA54" i="211"/>
  <c r="Z54" i="211"/>
  <c r="Y54" i="211"/>
  <c r="X54" i="211"/>
  <c r="W54" i="211"/>
  <c r="V54" i="211"/>
  <c r="U54" i="211"/>
  <c r="AB42" i="211"/>
  <c r="AA42" i="211"/>
  <c r="Z42" i="211"/>
  <c r="Y42" i="211"/>
  <c r="X42" i="211"/>
  <c r="W42" i="211"/>
  <c r="V42" i="211"/>
  <c r="U42" i="211"/>
  <c r="AB30" i="211"/>
  <c r="AA30" i="211"/>
  <c r="Z30" i="211"/>
  <c r="Y30" i="211"/>
  <c r="X30" i="211"/>
  <c r="W30" i="211"/>
  <c r="V30" i="211"/>
  <c r="U30" i="211"/>
  <c r="Z19" i="211"/>
  <c r="V49" i="218"/>
  <c r="V57" i="218"/>
  <c r="U49" i="218"/>
  <c r="L91" i="217"/>
  <c r="L97" i="217"/>
  <c r="L83" i="217"/>
  <c r="L89" i="217"/>
  <c r="L67" i="217"/>
  <c r="L73" i="217"/>
  <c r="L59" i="217"/>
  <c r="M65" i="217"/>
  <c r="AF31" i="223"/>
  <c r="AF16" i="223"/>
  <c r="AF111" i="223"/>
  <c r="AF61" i="223"/>
  <c r="AF46" i="223"/>
  <c r="Z52" i="210"/>
  <c r="Z42" i="210"/>
  <c r="AB34" i="210"/>
  <c r="AA34" i="210"/>
  <c r="AB45" i="210"/>
  <c r="AB44" i="210"/>
  <c r="Z34" i="210"/>
  <c r="Z45" i="210"/>
  <c r="Z44" i="210"/>
  <c r="Y34" i="210"/>
  <c r="Y45" i="210"/>
  <c r="Y44" i="210"/>
  <c r="X34" i="210"/>
  <c r="X45" i="210"/>
  <c r="X44" i="210"/>
  <c r="W34" i="210"/>
  <c r="W45" i="210"/>
  <c r="W44" i="210"/>
  <c r="V34" i="210"/>
  <c r="V45" i="210"/>
  <c r="V44" i="210"/>
  <c r="U34" i="210"/>
  <c r="U45" i="210"/>
  <c r="U44" i="210"/>
  <c r="Z18" i="210"/>
  <c r="L65" i="217"/>
  <c r="AA45" i="210"/>
  <c r="AA44" i="210"/>
  <c r="AS885" i="187"/>
  <c r="AR885" i="187"/>
  <c r="AQ885" i="187"/>
  <c r="AP885" i="187"/>
  <c r="AO885" i="187"/>
  <c r="AN885" i="187"/>
  <c r="AM885" i="187"/>
  <c r="AL885" i="187"/>
  <c r="AS884" i="187"/>
  <c r="AR884" i="187"/>
  <c r="AQ884" i="187"/>
  <c r="AP884" i="187"/>
  <c r="AO884" i="187"/>
  <c r="AN884" i="187"/>
  <c r="AM884" i="187"/>
  <c r="AL884" i="187"/>
  <c r="AS882" i="187"/>
  <c r="AR882" i="187"/>
  <c r="AQ882" i="187"/>
  <c r="AS881" i="187"/>
  <c r="AR881" i="187"/>
  <c r="AQ881" i="187"/>
  <c r="AS880" i="187"/>
  <c r="AR880" i="187"/>
  <c r="AQ880" i="187"/>
  <c r="AS876" i="187"/>
  <c r="AS878" i="187"/>
  <c r="AR876" i="187"/>
  <c r="AR878" i="187"/>
  <c r="AQ876" i="187"/>
  <c r="AQ878" i="187"/>
  <c r="AP876" i="187"/>
  <c r="AP878" i="187"/>
  <c r="AO876" i="187"/>
  <c r="AO878" i="187"/>
  <c r="AN876" i="187"/>
  <c r="AN878" i="187"/>
  <c r="AM876" i="187"/>
  <c r="AM878" i="187"/>
  <c r="AL876" i="187"/>
  <c r="AL878" i="187"/>
  <c r="AS873" i="187"/>
  <c r="AR873" i="187"/>
  <c r="AQ873" i="187"/>
  <c r="AS865" i="187"/>
  <c r="AS867" i="187"/>
  <c r="AR865" i="187"/>
  <c r="AQ865" i="187"/>
  <c r="AQ867" i="187"/>
  <c r="AQ886" i="187"/>
  <c r="AP865" i="187"/>
  <c r="AO865" i="187"/>
  <c r="AO867" i="187"/>
  <c r="AO886" i="187"/>
  <c r="AN865" i="187"/>
  <c r="AM865" i="187"/>
  <c r="AL865" i="187"/>
  <c r="AL886" i="187"/>
  <c r="AS862" i="187"/>
  <c r="AS883" i="187"/>
  <c r="AR862" i="187"/>
  <c r="AR883" i="187"/>
  <c r="AQ862" i="187"/>
  <c r="AQ883" i="187"/>
  <c r="AQ856" i="187"/>
  <c r="AR87" i="187"/>
  <c r="AR89" i="187"/>
  <c r="AQ87" i="187"/>
  <c r="AQ89" i="187"/>
  <c r="AP87" i="187"/>
  <c r="AP89" i="187"/>
  <c r="AO87" i="187"/>
  <c r="AO89" i="187"/>
  <c r="AN87" i="187"/>
  <c r="AN89" i="187"/>
  <c r="AM87" i="187"/>
  <c r="AM89" i="187"/>
  <c r="AL87" i="187"/>
  <c r="AL89" i="187"/>
  <c r="AR84" i="187"/>
  <c r="AQ84" i="187"/>
  <c r="AR78" i="187"/>
  <c r="AQ78" i="187"/>
  <c r="AR70" i="187"/>
  <c r="AR72" i="187"/>
  <c r="AQ70" i="187"/>
  <c r="AQ72" i="187"/>
  <c r="AP70" i="187"/>
  <c r="AP72" i="187"/>
  <c r="AO70" i="187"/>
  <c r="AO72" i="187"/>
  <c r="AN70" i="187"/>
  <c r="AN72" i="187"/>
  <c r="AM70" i="187"/>
  <c r="AM72" i="187"/>
  <c r="AL70" i="187"/>
  <c r="AL72" i="187"/>
  <c r="AR67" i="187"/>
  <c r="AQ67" i="187"/>
  <c r="AR61" i="187"/>
  <c r="AQ61" i="187"/>
  <c r="AR53" i="187"/>
  <c r="AR55" i="187"/>
  <c r="AQ53" i="187"/>
  <c r="AQ55" i="187"/>
  <c r="AP53" i="187"/>
  <c r="AP55" i="187"/>
  <c r="AO53" i="187"/>
  <c r="AO55" i="187"/>
  <c r="AN53" i="187"/>
  <c r="AN55" i="187"/>
  <c r="AM53" i="187"/>
  <c r="AM55" i="187"/>
  <c r="AL53" i="187"/>
  <c r="AL55" i="187"/>
  <c r="AR50" i="187"/>
  <c r="AQ50" i="187"/>
  <c r="AR44" i="187"/>
  <c r="AQ44" i="187"/>
  <c r="AR36" i="187"/>
  <c r="AR38" i="187"/>
  <c r="AQ36" i="187"/>
  <c r="AQ38" i="187"/>
  <c r="AP36" i="187"/>
  <c r="AP38" i="187"/>
  <c r="AO36" i="187"/>
  <c r="AO38" i="187"/>
  <c r="AN36" i="187"/>
  <c r="AN38" i="187"/>
  <c r="AM36" i="187"/>
  <c r="AM38" i="187"/>
  <c r="AL36" i="187"/>
  <c r="AL38" i="187"/>
  <c r="AR33" i="187"/>
  <c r="AQ33" i="187"/>
  <c r="AR27" i="187"/>
  <c r="AQ27" i="187"/>
  <c r="AQ21" i="187"/>
  <c r="AM867" i="187"/>
  <c r="AL867" i="187"/>
  <c r="AN867" i="187"/>
  <c r="AP886" i="187"/>
  <c r="AP867" i="187"/>
  <c r="AR886" i="187"/>
  <c r="AR867" i="187"/>
  <c r="G39" i="216"/>
  <c r="AH316" i="205"/>
  <c r="AH318" i="205"/>
  <c r="AG316" i="205"/>
  <c r="AG318" i="205"/>
  <c r="AF316" i="205"/>
  <c r="AF318" i="205"/>
  <c r="AE316" i="205"/>
  <c r="AE318" i="205"/>
  <c r="AD316" i="205"/>
  <c r="AD318" i="205"/>
  <c r="AC316" i="205"/>
  <c r="AC318" i="205"/>
  <c r="AB316" i="205"/>
  <c r="AB318" i="205"/>
  <c r="AA316" i="205"/>
  <c r="AA318" i="205"/>
  <c r="AH310" i="205"/>
  <c r="AH312" i="205"/>
  <c r="AG310" i="205"/>
  <c r="AG312" i="205"/>
  <c r="AF310" i="205"/>
  <c r="AF312" i="205"/>
  <c r="AE310" i="205"/>
  <c r="AE312" i="205"/>
  <c r="AD310" i="205"/>
  <c r="AD312" i="205"/>
  <c r="AC310" i="205"/>
  <c r="AC312" i="205"/>
  <c r="AB310" i="205"/>
  <c r="AB312" i="205"/>
  <c r="AA310" i="205"/>
  <c r="AA312" i="205"/>
  <c r="AH304" i="205"/>
  <c r="AH306" i="205"/>
  <c r="AG304" i="205"/>
  <c r="AG306" i="205"/>
  <c r="AF304" i="205"/>
  <c r="AF306" i="205"/>
  <c r="AE304" i="205"/>
  <c r="AE306" i="205"/>
  <c r="AD304" i="205"/>
  <c r="AD306" i="205"/>
  <c r="AC304" i="205"/>
  <c r="AC306" i="205"/>
  <c r="AB304" i="205"/>
  <c r="AB306" i="205"/>
  <c r="AA304" i="205"/>
  <c r="AA306" i="205"/>
  <c r="AH298" i="205"/>
  <c r="AH300" i="205"/>
  <c r="AG298" i="205"/>
  <c r="AG300" i="205"/>
  <c r="AF298" i="205"/>
  <c r="AF300" i="205"/>
  <c r="AE298" i="205"/>
  <c r="AE300" i="205"/>
  <c r="AD298" i="205"/>
  <c r="AC298" i="205"/>
  <c r="AC300" i="205"/>
  <c r="AB298" i="205"/>
  <c r="AB300" i="205"/>
  <c r="AA298" i="205"/>
  <c r="AF294" i="205"/>
  <c r="AH286" i="205"/>
  <c r="AG286" i="205"/>
  <c r="AF286" i="205"/>
  <c r="AE286" i="205"/>
  <c r="AD286" i="205"/>
  <c r="AC286" i="205"/>
  <c r="AB286" i="205"/>
  <c r="AA286" i="205"/>
  <c r="AH284" i="205"/>
  <c r="AG284" i="205"/>
  <c r="AF284" i="205"/>
  <c r="AE284" i="205"/>
  <c r="AD284" i="205"/>
  <c r="AC284" i="205"/>
  <c r="AB284" i="205"/>
  <c r="AA284" i="205"/>
  <c r="AH283" i="205"/>
  <c r="AG283" i="205"/>
  <c r="AF283" i="205"/>
  <c r="AE283" i="205"/>
  <c r="AD283" i="205"/>
  <c r="AC283" i="205"/>
  <c r="AB283" i="205"/>
  <c r="AA283" i="205"/>
  <c r="AH26" i="205"/>
  <c r="AG26" i="205"/>
  <c r="AG28" i="205"/>
  <c r="AF26" i="205"/>
  <c r="AF285" i="205"/>
  <c r="AE26" i="205"/>
  <c r="AE28" i="205"/>
  <c r="AD26" i="205"/>
  <c r="AD28" i="205"/>
  <c r="AD285" i="205"/>
  <c r="AC26" i="205"/>
  <c r="AC28" i="205"/>
  <c r="AB26" i="205"/>
  <c r="AA26" i="205"/>
  <c r="AA28" i="205"/>
  <c r="AF19" i="205"/>
  <c r="AD300" i="205"/>
  <c r="AF28" i="205"/>
  <c r="AF287" i="205"/>
  <c r="AM239" i="242"/>
  <c r="AO232" i="242"/>
  <c r="AN232" i="242"/>
  <c r="AM232" i="242"/>
  <c r="AL232" i="242"/>
  <c r="AK232" i="242"/>
  <c r="AJ232" i="242"/>
  <c r="AI232" i="242"/>
  <c r="AH232" i="242"/>
  <c r="AO230" i="242"/>
  <c r="AN230" i="242"/>
  <c r="AM230" i="242"/>
  <c r="AL230" i="242"/>
  <c r="AK230" i="242"/>
  <c r="AJ230" i="242"/>
  <c r="AI230" i="242"/>
  <c r="AH230" i="242"/>
  <c r="AO229" i="242"/>
  <c r="AN229" i="242"/>
  <c r="AM229" i="242"/>
  <c r="AL229" i="242"/>
  <c r="AK229" i="242"/>
  <c r="AJ229" i="242"/>
  <c r="AI229" i="242"/>
  <c r="AH229" i="242"/>
  <c r="AO218" i="242"/>
  <c r="AN218" i="242"/>
  <c r="AM218" i="242"/>
  <c r="AL218" i="242"/>
  <c r="AK218" i="242"/>
  <c r="AJ218" i="242"/>
  <c r="AI218" i="242"/>
  <c r="AH218" i="242"/>
  <c r="AO217" i="242"/>
  <c r="AN217" i="242"/>
  <c r="AM217" i="242"/>
  <c r="AL217" i="242"/>
  <c r="AK217" i="242"/>
  <c r="AJ217" i="242"/>
  <c r="AI217" i="242"/>
  <c r="AH217" i="242"/>
  <c r="AO216" i="242"/>
  <c r="AO219" i="242"/>
  <c r="AO222" i="242"/>
  <c r="AO224" i="242"/>
  <c r="AN216" i="242"/>
  <c r="AN219" i="242"/>
  <c r="AN222" i="242"/>
  <c r="AN224" i="242"/>
  <c r="AM216" i="242"/>
  <c r="AM219" i="242"/>
  <c r="AM222" i="242"/>
  <c r="AM224" i="242"/>
  <c r="AL216" i="242"/>
  <c r="AL219" i="242"/>
  <c r="AL222" i="242"/>
  <c r="AL224" i="242"/>
  <c r="AK216" i="242"/>
  <c r="AK219" i="242"/>
  <c r="AK222" i="242"/>
  <c r="AK224" i="242"/>
  <c r="AJ216" i="242"/>
  <c r="AJ219" i="242"/>
  <c r="AJ222" i="242"/>
  <c r="AJ224" i="242"/>
  <c r="AI216" i="242"/>
  <c r="AI219" i="242"/>
  <c r="AI222" i="242"/>
  <c r="AI224" i="242"/>
  <c r="AH216" i="242"/>
  <c r="AH219" i="242"/>
  <c r="AH222" i="242"/>
  <c r="AH224" i="242"/>
  <c r="AO214" i="242"/>
  <c r="AN214" i="242"/>
  <c r="AM214" i="242"/>
  <c r="AL214" i="242"/>
  <c r="AK214" i="242"/>
  <c r="AJ214" i="242"/>
  <c r="AI214" i="242"/>
  <c r="AH214" i="242"/>
  <c r="AO209" i="242"/>
  <c r="AN209" i="242"/>
  <c r="AM209" i="242"/>
  <c r="AL209" i="242"/>
  <c r="AK209" i="242"/>
  <c r="AJ209" i="242"/>
  <c r="AI209" i="242"/>
  <c r="AH209" i="242"/>
  <c r="AO204" i="242"/>
  <c r="AN204" i="242"/>
  <c r="AM204" i="242"/>
  <c r="AL204" i="242"/>
  <c r="AK204" i="242"/>
  <c r="AJ204" i="242"/>
  <c r="AI204" i="242"/>
  <c r="AH204" i="242"/>
  <c r="AO199" i="242"/>
  <c r="AN199" i="242"/>
  <c r="AM199" i="242"/>
  <c r="AL199" i="242"/>
  <c r="AK199" i="242"/>
  <c r="AJ199" i="242"/>
  <c r="AI199" i="242"/>
  <c r="AH199" i="242"/>
  <c r="AO189" i="242"/>
  <c r="AN189" i="242"/>
  <c r="AM189" i="242"/>
  <c r="AL189" i="242"/>
  <c r="AK189" i="242"/>
  <c r="AJ189" i="242"/>
  <c r="AI189" i="242"/>
  <c r="AH189" i="242"/>
  <c r="AO188" i="242"/>
  <c r="AN188" i="242"/>
  <c r="AM188" i="242"/>
  <c r="AL188" i="242"/>
  <c r="AK188" i="242"/>
  <c r="AJ188" i="242"/>
  <c r="AI188" i="242"/>
  <c r="AH188" i="242"/>
  <c r="AO187" i="242"/>
  <c r="AO190" i="242"/>
  <c r="AO193" i="242"/>
  <c r="AO195" i="242"/>
  <c r="AN187" i="242"/>
  <c r="AN190" i="242"/>
  <c r="AN193" i="242"/>
  <c r="AN195" i="242"/>
  <c r="AM187" i="242"/>
  <c r="AM190" i="242"/>
  <c r="AM193" i="242"/>
  <c r="AM195" i="242"/>
  <c r="AL187" i="242"/>
  <c r="AL190" i="242"/>
  <c r="AL193" i="242"/>
  <c r="AL195" i="242"/>
  <c r="AK187" i="242"/>
  <c r="AK190" i="242"/>
  <c r="AK193" i="242"/>
  <c r="AK195" i="242"/>
  <c r="AJ187" i="242"/>
  <c r="AJ190" i="242"/>
  <c r="AJ193" i="242"/>
  <c r="AJ195" i="242"/>
  <c r="AI187" i="242"/>
  <c r="AI190" i="242"/>
  <c r="AI193" i="242"/>
  <c r="AI195" i="242"/>
  <c r="AH187" i="242"/>
  <c r="AH190" i="242"/>
  <c r="AH193" i="242"/>
  <c r="AH195" i="242"/>
  <c r="AO185" i="242"/>
  <c r="AN185" i="242"/>
  <c r="AM185" i="242"/>
  <c r="AL185" i="242"/>
  <c r="AK185" i="242"/>
  <c r="AJ185" i="242"/>
  <c r="AI185" i="242"/>
  <c r="AH185" i="242"/>
  <c r="AO180" i="242"/>
  <c r="AN180" i="242"/>
  <c r="AM180" i="242"/>
  <c r="AL180" i="242"/>
  <c r="AK180" i="242"/>
  <c r="AJ180" i="242"/>
  <c r="AI180" i="242"/>
  <c r="AH180" i="242"/>
  <c r="AO175" i="242"/>
  <c r="AN175" i="242"/>
  <c r="AM175" i="242"/>
  <c r="AL175" i="242"/>
  <c r="AK175" i="242"/>
  <c r="AJ175" i="242"/>
  <c r="AI175" i="242"/>
  <c r="AH175" i="242"/>
  <c r="AO170" i="242"/>
  <c r="AN170" i="242"/>
  <c r="AM170" i="242"/>
  <c r="AL170" i="242"/>
  <c r="AK170" i="242"/>
  <c r="AJ170" i="242"/>
  <c r="AI170" i="242"/>
  <c r="AH170" i="242"/>
  <c r="AO160" i="242"/>
  <c r="AN160" i="242"/>
  <c r="AM160" i="242"/>
  <c r="AL160" i="242"/>
  <c r="AK160" i="242"/>
  <c r="AJ160" i="242"/>
  <c r="AI160" i="242"/>
  <c r="AH160" i="242"/>
  <c r="AO159" i="242"/>
  <c r="AN159" i="242"/>
  <c r="AM159" i="242"/>
  <c r="AL159" i="242"/>
  <c r="AK159" i="242"/>
  <c r="AJ159" i="242"/>
  <c r="AI159" i="242"/>
  <c r="AH159" i="242"/>
  <c r="AO158" i="242"/>
  <c r="AO161" i="242"/>
  <c r="AO164" i="242"/>
  <c r="AO166" i="242"/>
  <c r="AN158" i="242"/>
  <c r="AN161" i="242"/>
  <c r="AN164" i="242"/>
  <c r="AN166" i="242"/>
  <c r="AM158" i="242"/>
  <c r="AM161" i="242"/>
  <c r="AM164" i="242"/>
  <c r="AM166" i="242"/>
  <c r="AL158" i="242"/>
  <c r="AL161" i="242"/>
  <c r="AL164" i="242"/>
  <c r="AL166" i="242"/>
  <c r="AK158" i="242"/>
  <c r="AK161" i="242"/>
  <c r="AK164" i="242"/>
  <c r="AK166" i="242"/>
  <c r="AJ158" i="242"/>
  <c r="AJ161" i="242"/>
  <c r="AJ164" i="242"/>
  <c r="AJ166" i="242"/>
  <c r="AI158" i="242"/>
  <c r="AI161" i="242"/>
  <c r="AI164" i="242"/>
  <c r="AI166" i="242"/>
  <c r="AH158" i="242"/>
  <c r="AH161" i="242"/>
  <c r="AH164" i="242"/>
  <c r="AH166" i="242"/>
  <c r="AO156" i="242"/>
  <c r="AN156" i="242"/>
  <c r="AM156" i="242"/>
  <c r="AL156" i="242"/>
  <c r="AK156" i="242"/>
  <c r="AJ156" i="242"/>
  <c r="AI156" i="242"/>
  <c r="AH156" i="242"/>
  <c r="AO151" i="242"/>
  <c r="AN151" i="242"/>
  <c r="AM151" i="242"/>
  <c r="AL151" i="242"/>
  <c r="AK151" i="242"/>
  <c r="AJ151" i="242"/>
  <c r="AI151" i="242"/>
  <c r="AH151" i="242"/>
  <c r="AO146" i="242"/>
  <c r="AN146" i="242"/>
  <c r="AM146" i="242"/>
  <c r="AL146" i="242"/>
  <c r="AK146" i="242"/>
  <c r="AJ146" i="242"/>
  <c r="AI146" i="242"/>
  <c r="AH146" i="242"/>
  <c r="AO141" i="242"/>
  <c r="AN141" i="242"/>
  <c r="AM141" i="242"/>
  <c r="AL141" i="242"/>
  <c r="AK141" i="242"/>
  <c r="AJ141" i="242"/>
  <c r="AI141" i="242"/>
  <c r="AH141" i="242"/>
  <c r="AO131" i="242"/>
  <c r="AN131" i="242"/>
  <c r="AM131" i="242"/>
  <c r="AL131" i="242"/>
  <c r="AK131" i="242"/>
  <c r="AJ131" i="242"/>
  <c r="AI131" i="242"/>
  <c r="AH131" i="242"/>
  <c r="AO130" i="242"/>
  <c r="AN130" i="242"/>
  <c r="AM130" i="242"/>
  <c r="AL130" i="242"/>
  <c r="AK130" i="242"/>
  <c r="AJ130" i="242"/>
  <c r="AI130" i="242"/>
  <c r="AH130" i="242"/>
  <c r="AO129" i="242"/>
  <c r="AO132" i="242"/>
  <c r="AO135" i="242"/>
  <c r="AO137" i="242"/>
  <c r="AN129" i="242"/>
  <c r="AN132" i="242"/>
  <c r="AN135" i="242"/>
  <c r="AN137" i="242"/>
  <c r="AM129" i="242"/>
  <c r="AM132" i="242"/>
  <c r="AM135" i="242"/>
  <c r="AM137" i="242"/>
  <c r="AL129" i="242"/>
  <c r="AL132" i="242"/>
  <c r="AL135" i="242"/>
  <c r="AL137" i="242"/>
  <c r="AK129" i="242"/>
  <c r="AK132" i="242"/>
  <c r="AK135" i="242"/>
  <c r="AK137" i="242"/>
  <c r="AJ129" i="242"/>
  <c r="AJ132" i="242"/>
  <c r="AJ135" i="242"/>
  <c r="AJ137" i="242"/>
  <c r="AI129" i="242"/>
  <c r="AI132" i="242"/>
  <c r="AI135" i="242"/>
  <c r="AI137" i="242"/>
  <c r="AH129" i="242"/>
  <c r="AH132" i="242"/>
  <c r="AH135" i="242"/>
  <c r="AH137" i="242"/>
  <c r="AO127" i="242"/>
  <c r="AN127" i="242"/>
  <c r="AM127" i="242"/>
  <c r="AL127" i="242"/>
  <c r="AK127" i="242"/>
  <c r="AJ127" i="242"/>
  <c r="AI127" i="242"/>
  <c r="AH127" i="242"/>
  <c r="AO122" i="242"/>
  <c r="AN122" i="242"/>
  <c r="AM122" i="242"/>
  <c r="AL122" i="242"/>
  <c r="AK122" i="242"/>
  <c r="AJ122" i="242"/>
  <c r="AI122" i="242"/>
  <c r="AH122" i="242"/>
  <c r="AO117" i="242"/>
  <c r="AN117" i="242"/>
  <c r="AM117" i="242"/>
  <c r="AL117" i="242"/>
  <c r="AK117" i="242"/>
  <c r="AJ117" i="242"/>
  <c r="AI117" i="242"/>
  <c r="AH117" i="242"/>
  <c r="AO112" i="242"/>
  <c r="AN112" i="242"/>
  <c r="AM112" i="242"/>
  <c r="AL112" i="242"/>
  <c r="AK112" i="242"/>
  <c r="AJ112" i="242"/>
  <c r="AI112" i="242"/>
  <c r="AH112" i="242"/>
  <c r="AO102" i="242"/>
  <c r="AN102" i="242"/>
  <c r="AM102" i="242"/>
  <c r="AL102" i="242"/>
  <c r="AK102" i="242"/>
  <c r="AJ102" i="242"/>
  <c r="AI102" i="242"/>
  <c r="AH102" i="242"/>
  <c r="AO101" i="242"/>
  <c r="AN101" i="242"/>
  <c r="AM101" i="242"/>
  <c r="AL101" i="242"/>
  <c r="AK101" i="242"/>
  <c r="AJ101" i="242"/>
  <c r="AI101" i="242"/>
  <c r="AH101" i="242"/>
  <c r="AO100" i="242"/>
  <c r="AO103" i="242"/>
  <c r="AN100" i="242"/>
  <c r="AN103" i="242"/>
  <c r="AM100" i="242"/>
  <c r="AM103" i="242"/>
  <c r="AL100" i="242"/>
  <c r="AL103" i="242"/>
  <c r="AK100" i="242"/>
  <c r="AK103" i="242"/>
  <c r="AJ100" i="242"/>
  <c r="AJ103" i="242"/>
  <c r="AI100" i="242"/>
  <c r="AI103" i="242"/>
  <c r="AH100" i="242"/>
  <c r="AH103" i="242"/>
  <c r="AO98" i="242"/>
  <c r="AN98" i="242"/>
  <c r="AM98" i="242"/>
  <c r="AL98" i="242"/>
  <c r="AK98" i="242"/>
  <c r="AJ98" i="242"/>
  <c r="AI98" i="242"/>
  <c r="AH98" i="242"/>
  <c r="AO93" i="242"/>
  <c r="AN93" i="242"/>
  <c r="AM93" i="242"/>
  <c r="AL93" i="242"/>
  <c r="AK93" i="242"/>
  <c r="AJ93" i="242"/>
  <c r="AI93" i="242"/>
  <c r="AH93" i="242"/>
  <c r="AO88" i="242"/>
  <c r="AN88" i="242"/>
  <c r="AM88" i="242"/>
  <c r="AL88" i="242"/>
  <c r="AK88" i="242"/>
  <c r="AJ88" i="242"/>
  <c r="AI88" i="242"/>
  <c r="AH88" i="242"/>
  <c r="AO83" i="242"/>
  <c r="AN83" i="242"/>
  <c r="AM83" i="242"/>
  <c r="AL83" i="242"/>
  <c r="AK83" i="242"/>
  <c r="AJ83" i="242"/>
  <c r="AI83" i="242"/>
  <c r="AH83" i="242"/>
  <c r="AM59" i="242"/>
  <c r="B12" i="206"/>
  <c r="B9" i="224"/>
  <c r="J96" i="203"/>
  <c r="G83" i="210"/>
  <c r="G96" i="203"/>
  <c r="F83" i="210"/>
  <c r="E83" i="210"/>
  <c r="D83" i="210"/>
  <c r="C83" i="210"/>
  <c r="C96" i="203"/>
  <c r="E10" i="239"/>
  <c r="E10" i="235"/>
  <c r="E11" i="235"/>
  <c r="B14" i="206"/>
  <c r="E10" i="238"/>
  <c r="E10" i="187"/>
  <c r="E10" i="205"/>
  <c r="B166" i="242"/>
  <c r="B164" i="242"/>
  <c r="B137" i="242"/>
  <c r="B135" i="242"/>
  <c r="B108" i="242"/>
  <c r="B106" i="242"/>
  <c r="B11" i="242"/>
  <c r="H20" i="243"/>
  <c r="B10" i="243"/>
  <c r="H7" i="137"/>
  <c r="H74" i="210"/>
  <c r="B10" i="221"/>
  <c r="B10" i="94"/>
  <c r="AC270" i="242"/>
  <c r="AB270" i="242"/>
  <c r="AA270" i="242"/>
  <c r="Z270" i="242"/>
  <c r="Y270" i="242"/>
  <c r="X270" i="242"/>
  <c r="W270" i="242"/>
  <c r="V270" i="242"/>
  <c r="U270" i="242"/>
  <c r="T270" i="242"/>
  <c r="S270" i="242"/>
  <c r="B269" i="242"/>
  <c r="B268" i="242"/>
  <c r="B267" i="242"/>
  <c r="B266" i="242"/>
  <c r="B265" i="242"/>
  <c r="L263" i="242"/>
  <c r="J263" i="242"/>
  <c r="I263" i="242"/>
  <c r="P263" i="242"/>
  <c r="H263" i="242"/>
  <c r="G263" i="242"/>
  <c r="F263" i="242"/>
  <c r="E263" i="242"/>
  <c r="D263" i="242"/>
  <c r="C263" i="242"/>
  <c r="B263" i="242"/>
  <c r="L262" i="242"/>
  <c r="L268" i="242"/>
  <c r="K262" i="242"/>
  <c r="N262" i="242"/>
  <c r="N268" i="242"/>
  <c r="J262" i="242"/>
  <c r="I262" i="242"/>
  <c r="H262" i="242"/>
  <c r="M262" i="242"/>
  <c r="M268" i="242"/>
  <c r="G262" i="242"/>
  <c r="F262" i="242"/>
  <c r="E262" i="242"/>
  <c r="D262" i="242"/>
  <c r="C262" i="242"/>
  <c r="B262" i="242"/>
  <c r="P267" i="242"/>
  <c r="B261" i="242"/>
  <c r="B260" i="242"/>
  <c r="P265" i="242"/>
  <c r="B259" i="242"/>
  <c r="B257" i="242"/>
  <c r="B256" i="242"/>
  <c r="B255" i="242"/>
  <c r="B254" i="242"/>
  <c r="B253" i="242"/>
  <c r="Q251" i="242"/>
  <c r="P251" i="242"/>
  <c r="O251" i="242"/>
  <c r="N251" i="242"/>
  <c r="M251" i="242"/>
  <c r="L251" i="242"/>
  <c r="L269" i="242"/>
  <c r="J251" i="242"/>
  <c r="I251" i="242"/>
  <c r="H251" i="242"/>
  <c r="G251" i="242"/>
  <c r="E251" i="242"/>
  <c r="D251" i="242"/>
  <c r="C251" i="242"/>
  <c r="B251" i="242"/>
  <c r="Q250" i="242"/>
  <c r="P250" i="242"/>
  <c r="O250" i="242"/>
  <c r="N250" i="242"/>
  <c r="M250" i="242"/>
  <c r="L250" i="242"/>
  <c r="K250" i="242"/>
  <c r="J250" i="242"/>
  <c r="I250" i="242"/>
  <c r="H250" i="242"/>
  <c r="G250" i="242"/>
  <c r="F250" i="242"/>
  <c r="E250" i="242"/>
  <c r="D250" i="242"/>
  <c r="C250" i="242"/>
  <c r="B250" i="242"/>
  <c r="Q249" i="242"/>
  <c r="P249" i="242"/>
  <c r="O249" i="242"/>
  <c r="N249" i="242"/>
  <c r="M249" i="242"/>
  <c r="L249" i="242"/>
  <c r="K249" i="242"/>
  <c r="J249" i="242"/>
  <c r="I249" i="242"/>
  <c r="H249" i="242"/>
  <c r="G249" i="242"/>
  <c r="F249" i="242"/>
  <c r="E249" i="242"/>
  <c r="D249" i="242"/>
  <c r="C249" i="242"/>
  <c r="B249" i="242"/>
  <c r="Q248" i="242"/>
  <c r="P248" i="242"/>
  <c r="O248" i="242"/>
  <c r="N248" i="242"/>
  <c r="M248" i="242"/>
  <c r="L248" i="242"/>
  <c r="K248" i="242"/>
  <c r="J248" i="242"/>
  <c r="I248" i="242"/>
  <c r="H248" i="242"/>
  <c r="G248" i="242"/>
  <c r="F248" i="242"/>
  <c r="E248" i="242"/>
  <c r="D248" i="242"/>
  <c r="C248" i="242"/>
  <c r="B248" i="242"/>
  <c r="L265" i="242"/>
  <c r="B247" i="242"/>
  <c r="B245" i="242"/>
  <c r="B244" i="242"/>
  <c r="B243" i="242"/>
  <c r="B242" i="242"/>
  <c r="B241" i="242"/>
  <c r="Y239" i="242"/>
  <c r="H239" i="242"/>
  <c r="AC232" i="242"/>
  <c r="AB232" i="242"/>
  <c r="AB233" i="242" s="1"/>
  <c r="AA232" i="242"/>
  <c r="Z232" i="242"/>
  <c r="Y232" i="242"/>
  <c r="W232" i="242"/>
  <c r="W233" i="242" s="1"/>
  <c r="V232" i="242"/>
  <c r="U232" i="242"/>
  <c r="T232" i="242"/>
  <c r="T233" i="242" s="1"/>
  <c r="S232" i="242"/>
  <c r="X232" i="242" s="1"/>
  <c r="Q232" i="242"/>
  <c r="P232" i="242"/>
  <c r="O232" i="242"/>
  <c r="N232" i="242"/>
  <c r="M232" i="242"/>
  <c r="L232" i="242"/>
  <c r="K232" i="242"/>
  <c r="J232" i="242"/>
  <c r="I232" i="242"/>
  <c r="H232" i="242"/>
  <c r="G232" i="242"/>
  <c r="F232" i="242"/>
  <c r="E232" i="242"/>
  <c r="D232" i="242"/>
  <c r="C232" i="242"/>
  <c r="AC230" i="242"/>
  <c r="AB230" i="242"/>
  <c r="AA230" i="242"/>
  <c r="Z230" i="242"/>
  <c r="Y230" i="242"/>
  <c r="W230" i="242"/>
  <c r="V230" i="242"/>
  <c r="U230" i="242"/>
  <c r="T230" i="242"/>
  <c r="S230" i="242"/>
  <c r="Q230" i="242"/>
  <c r="P230" i="242"/>
  <c r="O230" i="242"/>
  <c r="N230" i="242"/>
  <c r="M230" i="242"/>
  <c r="L230" i="242"/>
  <c r="K230" i="242"/>
  <c r="J230" i="242"/>
  <c r="I230" i="242"/>
  <c r="H230" i="242"/>
  <c r="G230" i="242"/>
  <c r="F230" i="242"/>
  <c r="E230" i="242"/>
  <c r="D230" i="242"/>
  <c r="C230" i="242"/>
  <c r="AC229" i="242"/>
  <c r="AB229" i="242"/>
  <c r="AA229" i="242"/>
  <c r="Z229" i="242"/>
  <c r="Y229" i="242"/>
  <c r="W229" i="242"/>
  <c r="V229" i="242"/>
  <c r="U229" i="242"/>
  <c r="T229" i="242"/>
  <c r="S229" i="242"/>
  <c r="Q229" i="242"/>
  <c r="Q231" i="242"/>
  <c r="P229" i="242"/>
  <c r="P231" i="242"/>
  <c r="O229" i="242"/>
  <c r="N229" i="242"/>
  <c r="M229" i="242"/>
  <c r="L229" i="242"/>
  <c r="K229" i="242"/>
  <c r="K231" i="242"/>
  <c r="K233" i="242"/>
  <c r="J229" i="242"/>
  <c r="I229" i="242"/>
  <c r="H229" i="242"/>
  <c r="G229" i="242"/>
  <c r="F229" i="242"/>
  <c r="E229" i="242"/>
  <c r="D229" i="242"/>
  <c r="AC156" i="242"/>
  <c r="AB156" i="242"/>
  <c r="AA156" i="242"/>
  <c r="Z156" i="242"/>
  <c r="Y156" i="242"/>
  <c r="W156" i="242"/>
  <c r="V156" i="242"/>
  <c r="U156" i="242"/>
  <c r="T156" i="242"/>
  <c r="S156" i="242"/>
  <c r="Q156" i="242"/>
  <c r="P156" i="242"/>
  <c r="O156" i="242"/>
  <c r="N156" i="242"/>
  <c r="M156" i="242"/>
  <c r="L156" i="242"/>
  <c r="K156" i="242"/>
  <c r="J156" i="242"/>
  <c r="I156" i="242"/>
  <c r="H156" i="242"/>
  <c r="G156" i="242"/>
  <c r="F156" i="242"/>
  <c r="E156" i="242"/>
  <c r="D156" i="242"/>
  <c r="C156" i="242"/>
  <c r="AC151" i="242"/>
  <c r="AB151" i="242"/>
  <c r="AA151" i="242"/>
  <c r="Z151" i="242"/>
  <c r="Y151" i="242"/>
  <c r="W151" i="242"/>
  <c r="V151" i="242"/>
  <c r="U151" i="242"/>
  <c r="T151" i="242"/>
  <c r="S151" i="242"/>
  <c r="Q151" i="242"/>
  <c r="P151" i="242"/>
  <c r="O151" i="242"/>
  <c r="N151" i="242"/>
  <c r="M151" i="242"/>
  <c r="L151" i="242"/>
  <c r="K151" i="242"/>
  <c r="J151" i="242"/>
  <c r="I151" i="242"/>
  <c r="H151" i="242"/>
  <c r="G151" i="242"/>
  <c r="F151" i="242"/>
  <c r="E151" i="242"/>
  <c r="D151" i="242"/>
  <c r="C151" i="242"/>
  <c r="B141" i="242"/>
  <c r="B140" i="242"/>
  <c r="AD129" i="242"/>
  <c r="B112" i="242"/>
  <c r="B111" i="242"/>
  <c r="AC102" i="242"/>
  <c r="AB102" i="242"/>
  <c r="AA102" i="242"/>
  <c r="Z102" i="242"/>
  <c r="Z103" i="242"/>
  <c r="Z106" i="242"/>
  <c r="Z108" i="242"/>
  <c r="Y102" i="242"/>
  <c r="W102" i="242"/>
  <c r="V102" i="242"/>
  <c r="U102" i="242"/>
  <c r="U103" i="242"/>
  <c r="U106" i="242"/>
  <c r="U108" i="242"/>
  <c r="T102" i="242"/>
  <c r="S102" i="242"/>
  <c r="Q102" i="242"/>
  <c r="P102" i="242"/>
  <c r="P103" i="242"/>
  <c r="P106" i="242"/>
  <c r="P108" i="242"/>
  <c r="O102" i="242"/>
  <c r="N102" i="242"/>
  <c r="M102" i="242"/>
  <c r="L102" i="242"/>
  <c r="L103" i="242"/>
  <c r="L106" i="242"/>
  <c r="L108" i="242"/>
  <c r="K102" i="242"/>
  <c r="J102" i="242"/>
  <c r="I102" i="242"/>
  <c r="H102" i="242"/>
  <c r="H103" i="242"/>
  <c r="G102" i="242"/>
  <c r="F102" i="242"/>
  <c r="E102" i="242"/>
  <c r="D102" i="242"/>
  <c r="D103" i="242"/>
  <c r="C102" i="242"/>
  <c r="AC101" i="242"/>
  <c r="AB101" i="242"/>
  <c r="AA101" i="242"/>
  <c r="AA103" i="242"/>
  <c r="AA106" i="242"/>
  <c r="AA108" i="242"/>
  <c r="Z101" i="242"/>
  <c r="Y101" i="242"/>
  <c r="W101" i="242"/>
  <c r="V101" i="242"/>
  <c r="U101" i="242"/>
  <c r="T101" i="242"/>
  <c r="S101" i="242"/>
  <c r="Q101" i="242"/>
  <c r="Q103" i="242"/>
  <c r="Q106" i="242"/>
  <c r="Q108" i="242"/>
  <c r="P101" i="242"/>
  <c r="O101" i="242"/>
  <c r="N101" i="242"/>
  <c r="M101" i="242"/>
  <c r="M103" i="242"/>
  <c r="M106" i="242"/>
  <c r="M108" i="242"/>
  <c r="L101" i="242"/>
  <c r="K101" i="242"/>
  <c r="J101" i="242"/>
  <c r="I101" i="242"/>
  <c r="I103" i="242"/>
  <c r="I106" i="242"/>
  <c r="I108" i="242"/>
  <c r="H101" i="242"/>
  <c r="G101" i="242"/>
  <c r="F101" i="242"/>
  <c r="E101" i="242"/>
  <c r="D101" i="242"/>
  <c r="C101" i="242"/>
  <c r="AC100" i="242"/>
  <c r="AB100" i="242"/>
  <c r="AA100" i="242"/>
  <c r="Z100" i="242"/>
  <c r="Y100" i="242"/>
  <c r="W100" i="242"/>
  <c r="W103" i="242"/>
  <c r="W106" i="242"/>
  <c r="W108" i="242"/>
  <c r="V100" i="242"/>
  <c r="U100" i="242"/>
  <c r="T100" i="242"/>
  <c r="S100" i="242"/>
  <c r="S103" i="242"/>
  <c r="S106" i="242"/>
  <c r="S108" i="242"/>
  <c r="Q100" i="242"/>
  <c r="P100" i="242"/>
  <c r="O100" i="242"/>
  <c r="N100" i="242"/>
  <c r="N103" i="242"/>
  <c r="N106" i="242"/>
  <c r="N108" i="242"/>
  <c r="M100" i="242"/>
  <c r="L100" i="242"/>
  <c r="K100" i="242"/>
  <c r="J100" i="242"/>
  <c r="I100" i="242"/>
  <c r="H100" i="242"/>
  <c r="G100" i="242"/>
  <c r="F100" i="242"/>
  <c r="E100" i="242"/>
  <c r="D100" i="242"/>
  <c r="C100" i="242"/>
  <c r="AC98" i="242"/>
  <c r="AB98" i="242"/>
  <c r="AA98" i="242"/>
  <c r="Z98" i="242"/>
  <c r="Y98" i="242"/>
  <c r="W98" i="242"/>
  <c r="V98" i="242"/>
  <c r="U98" i="242"/>
  <c r="T98" i="242"/>
  <c r="S98" i="242"/>
  <c r="Q98" i="242"/>
  <c r="P98" i="242"/>
  <c r="O98" i="242"/>
  <c r="N98" i="242"/>
  <c r="M98" i="242"/>
  <c r="L98" i="242"/>
  <c r="K98" i="242"/>
  <c r="J98" i="242"/>
  <c r="I98" i="242"/>
  <c r="H98" i="242"/>
  <c r="G98" i="242"/>
  <c r="F98" i="242"/>
  <c r="E98" i="242"/>
  <c r="D98" i="242"/>
  <c r="C98" i="242"/>
  <c r="AC93" i="242"/>
  <c r="AB93" i="242"/>
  <c r="AA93" i="242"/>
  <c r="Z93" i="242"/>
  <c r="Y93" i="242"/>
  <c r="W93" i="242"/>
  <c r="V93" i="242"/>
  <c r="U93" i="242"/>
  <c r="T93" i="242"/>
  <c r="S93" i="242"/>
  <c r="Q93" i="242"/>
  <c r="P93" i="242"/>
  <c r="O93" i="242"/>
  <c r="N93" i="242"/>
  <c r="M93" i="242"/>
  <c r="L93" i="242"/>
  <c r="K93" i="242"/>
  <c r="J93" i="242"/>
  <c r="I93" i="242"/>
  <c r="H93" i="242"/>
  <c r="G93" i="242"/>
  <c r="F93" i="242"/>
  <c r="E93" i="242"/>
  <c r="D93" i="242"/>
  <c r="C93" i="242"/>
  <c r="AC88" i="242"/>
  <c r="AB88" i="242"/>
  <c r="AA88" i="242"/>
  <c r="Z88" i="242"/>
  <c r="Y88" i="242"/>
  <c r="W88" i="242"/>
  <c r="V88" i="242"/>
  <c r="U88" i="242"/>
  <c r="T88" i="242"/>
  <c r="S88" i="242"/>
  <c r="Q88" i="242"/>
  <c r="P88" i="242"/>
  <c r="O88" i="242"/>
  <c r="N88" i="242"/>
  <c r="M88" i="242"/>
  <c r="L88" i="242"/>
  <c r="K88" i="242"/>
  <c r="J88" i="242"/>
  <c r="I88" i="242"/>
  <c r="H88" i="242"/>
  <c r="G88" i="242"/>
  <c r="F88" i="242"/>
  <c r="E88" i="242"/>
  <c r="D88" i="242"/>
  <c r="C88" i="242"/>
  <c r="AC83" i="242"/>
  <c r="AB83" i="242"/>
  <c r="AA83" i="242"/>
  <c r="Z83" i="242"/>
  <c r="Y83" i="242"/>
  <c r="X83" i="242"/>
  <c r="W83" i="242"/>
  <c r="V83" i="242"/>
  <c r="U83" i="242"/>
  <c r="T83" i="242"/>
  <c r="S83" i="242"/>
  <c r="Q83" i="242"/>
  <c r="P83" i="242"/>
  <c r="O83" i="242"/>
  <c r="N83" i="242"/>
  <c r="M83" i="242"/>
  <c r="L83" i="242"/>
  <c r="K83" i="242"/>
  <c r="J83" i="242"/>
  <c r="I83" i="242"/>
  <c r="H83" i="242"/>
  <c r="G83" i="242"/>
  <c r="F83" i="242"/>
  <c r="E83" i="242"/>
  <c r="D83" i="242"/>
  <c r="C83" i="242"/>
  <c r="B83" i="242"/>
  <c r="B82" i="242"/>
  <c r="B79" i="242"/>
  <c r="B78" i="242"/>
  <c r="B77" i="242"/>
  <c r="B76" i="242"/>
  <c r="B75" i="242"/>
  <c r="B73" i="242"/>
  <c r="B72" i="242"/>
  <c r="B71" i="242"/>
  <c r="B70" i="242"/>
  <c r="B69" i="242"/>
  <c r="B67" i="242"/>
  <c r="B66" i="242"/>
  <c r="B65" i="242"/>
  <c r="B64" i="242"/>
  <c r="B63" i="242"/>
  <c r="Y59" i="242"/>
  <c r="H59" i="242"/>
  <c r="B52" i="242"/>
  <c r="B51" i="242"/>
  <c r="B50" i="242"/>
  <c r="B49" i="242"/>
  <c r="B48" i="242"/>
  <c r="B46" i="242"/>
  <c r="B45" i="242"/>
  <c r="B44" i="242"/>
  <c r="B43" i="242"/>
  <c r="B42" i="242"/>
  <c r="B40" i="242"/>
  <c r="B39" i="242"/>
  <c r="B38" i="242"/>
  <c r="B37" i="242"/>
  <c r="B36" i="242"/>
  <c r="AC29" i="242"/>
  <c r="AB29" i="242"/>
  <c r="AA29" i="242"/>
  <c r="Z29" i="242"/>
  <c r="Y29" i="242"/>
  <c r="W29" i="242"/>
  <c r="V29" i="242"/>
  <c r="U29" i="242"/>
  <c r="T29" i="242"/>
  <c r="S29" i="242"/>
  <c r="Q29" i="242"/>
  <c r="Q31" i="242"/>
  <c r="P29" i="242"/>
  <c r="P31" i="242"/>
  <c r="O29" i="242"/>
  <c r="O31" i="242"/>
  <c r="N29" i="242"/>
  <c r="N31" i="242"/>
  <c r="M29" i="242"/>
  <c r="M31" i="242"/>
  <c r="L29" i="242"/>
  <c r="L31" i="242"/>
  <c r="K29" i="242"/>
  <c r="K31" i="242"/>
  <c r="J29" i="242"/>
  <c r="J31" i="242"/>
  <c r="I29" i="242"/>
  <c r="I31" i="242"/>
  <c r="H29" i="242"/>
  <c r="H31" i="242"/>
  <c r="G29" i="242"/>
  <c r="G31" i="242"/>
  <c r="F29" i="242"/>
  <c r="E29" i="242"/>
  <c r="E31" i="242"/>
  <c r="D29" i="242"/>
  <c r="D31" i="242"/>
  <c r="C29" i="242"/>
  <c r="C31" i="242"/>
  <c r="Y21" i="242"/>
  <c r="H21" i="242"/>
  <c r="AB103" i="242"/>
  <c r="AB106" i="242"/>
  <c r="AB108" i="242"/>
  <c r="Y103" i="242"/>
  <c r="Y106" i="242"/>
  <c r="Y108" i="242"/>
  <c r="AC103" i="242"/>
  <c r="AC106" i="242"/>
  <c r="AC108" i="242"/>
  <c r="C103" i="242"/>
  <c r="C106" i="242"/>
  <c r="E103" i="242"/>
  <c r="E106" i="242"/>
  <c r="E108" i="242"/>
  <c r="G103" i="242"/>
  <c r="G106" i="242"/>
  <c r="G108" i="242"/>
  <c r="K103" i="242"/>
  <c r="K106" i="242"/>
  <c r="O103" i="242"/>
  <c r="O106" i="242"/>
  <c r="O108" i="242"/>
  <c r="T103" i="242"/>
  <c r="T106" i="242"/>
  <c r="T108" i="242"/>
  <c r="V103" i="242"/>
  <c r="V106" i="242"/>
  <c r="V108" i="242"/>
  <c r="F103" i="242"/>
  <c r="K108" i="242"/>
  <c r="F106" i="242"/>
  <c r="F108" i="242"/>
  <c r="E8" i="238"/>
  <c r="E8" i="239"/>
  <c r="E8" i="205"/>
  <c r="E24" i="232"/>
  <c r="G39" i="223"/>
  <c r="F39" i="223"/>
  <c r="E39" i="223"/>
  <c r="D39" i="223"/>
  <c r="C39" i="223"/>
  <c r="B39" i="223"/>
  <c r="G37" i="223"/>
  <c r="F37" i="223"/>
  <c r="E37" i="223"/>
  <c r="D37" i="223"/>
  <c r="C37" i="223"/>
  <c r="B37" i="223"/>
  <c r="G35" i="223"/>
  <c r="F35" i="223"/>
  <c r="E35" i="223"/>
  <c r="D35" i="223"/>
  <c r="C35" i="223"/>
  <c r="B35" i="223"/>
  <c r="G33" i="223"/>
  <c r="F33" i="223"/>
  <c r="E33" i="223"/>
  <c r="D33" i="223"/>
  <c r="C33" i="223"/>
  <c r="B33" i="223"/>
  <c r="N31" i="223"/>
  <c r="N16" i="223"/>
  <c r="D20" i="203"/>
  <c r="H36" i="224"/>
  <c r="H20" i="224"/>
  <c r="J45" i="224"/>
  <c r="J29" i="224"/>
  <c r="E22" i="232"/>
  <c r="J17" i="191"/>
  <c r="H41" i="221"/>
  <c r="H29" i="221"/>
  <c r="H17" i="221"/>
  <c r="K34" i="221"/>
  <c r="K22" i="221"/>
  <c r="H15" i="220"/>
  <c r="J24" i="220"/>
  <c r="H62" i="218"/>
  <c r="H20" i="218"/>
  <c r="B10" i="218"/>
  <c r="B9" i="94"/>
  <c r="C49" i="217"/>
  <c r="C18" i="217"/>
  <c r="B32" i="211"/>
  <c r="B56" i="211"/>
  <c r="B80" i="211"/>
  <c r="B20" i="211"/>
  <c r="B44" i="211"/>
  <c r="B68" i="211"/>
  <c r="H72" i="201"/>
  <c r="H55" i="201"/>
  <c r="H37" i="201"/>
  <c r="H20" i="201"/>
  <c r="H19" i="211"/>
  <c r="N130" i="223"/>
  <c r="N111" i="223"/>
  <c r="N92" i="223"/>
  <c r="N74" i="223"/>
  <c r="N61" i="223"/>
  <c r="N46" i="223"/>
  <c r="H70" i="210"/>
  <c r="H52" i="210"/>
  <c r="H42" i="210"/>
  <c r="Q34" i="210"/>
  <c r="Q45" i="210"/>
  <c r="H18" i="210"/>
  <c r="AC856" i="187"/>
  <c r="L856" i="187"/>
  <c r="AH862" i="187"/>
  <c r="AC21" i="187"/>
  <c r="L21" i="187"/>
  <c r="L19" i="205"/>
  <c r="M68" i="203"/>
  <c r="M69" i="203"/>
  <c r="M100" i="203"/>
  <c r="M70" i="203"/>
  <c r="M101" i="203"/>
  <c r="M102" i="203"/>
  <c r="M80" i="203"/>
  <c r="M99" i="203" s="1"/>
  <c r="M81" i="203"/>
  <c r="M82" i="203"/>
  <c r="M88" i="203"/>
  <c r="M89" i="203"/>
  <c r="M90" i="203"/>
  <c r="M92" i="203"/>
  <c r="M93" i="203"/>
  <c r="M94" i="203"/>
  <c r="M98" i="203"/>
  <c r="H62" i="203"/>
  <c r="R19" i="203"/>
  <c r="R20" i="203"/>
  <c r="R21" i="203"/>
  <c r="R39" i="203"/>
  <c r="R40" i="203"/>
  <c r="R41" i="203"/>
  <c r="R43" i="203"/>
  <c r="R44" i="203"/>
  <c r="R45" i="203"/>
  <c r="R49" i="203"/>
  <c r="H13" i="203"/>
  <c r="B2" i="203"/>
  <c r="B1" i="203"/>
  <c r="I20" i="243"/>
  <c r="Z59" i="242"/>
  <c r="Z239" i="242"/>
  <c r="Z21" i="242"/>
  <c r="O31" i="223"/>
  <c r="I36" i="224"/>
  <c r="I62" i="218"/>
  <c r="I41" i="221"/>
  <c r="I17" i="221"/>
  <c r="D49" i="217"/>
  <c r="I37" i="201"/>
  <c r="I72" i="201"/>
  <c r="O130" i="223"/>
  <c r="O61" i="223"/>
  <c r="I18" i="210"/>
  <c r="O92" i="223"/>
  <c r="I70" i="210"/>
  <c r="I42" i="210"/>
  <c r="AD856" i="187"/>
  <c r="AD21" i="187"/>
  <c r="I62" i="203"/>
  <c r="M21" i="187"/>
  <c r="M62" i="203"/>
  <c r="M13" i="203"/>
  <c r="D98" i="203"/>
  <c r="E98" i="203"/>
  <c r="F98" i="203"/>
  <c r="G98" i="203"/>
  <c r="H98" i="203"/>
  <c r="I98" i="203"/>
  <c r="J98" i="203"/>
  <c r="K98" i="203"/>
  <c r="L98" i="203"/>
  <c r="C98" i="203"/>
  <c r="D49" i="203"/>
  <c r="E49" i="203"/>
  <c r="F49" i="203"/>
  <c r="G49" i="203"/>
  <c r="H49" i="203"/>
  <c r="I49" i="203"/>
  <c r="J49" i="203"/>
  <c r="K49" i="203"/>
  <c r="M49" i="203"/>
  <c r="N49" i="203"/>
  <c r="O49" i="203"/>
  <c r="P49" i="203"/>
  <c r="Q49" i="203"/>
  <c r="C49" i="203"/>
  <c r="D96" i="203"/>
  <c r="E96" i="203"/>
  <c r="F96" i="203"/>
  <c r="H96" i="203"/>
  <c r="I96" i="203"/>
  <c r="I101" i="203"/>
  <c r="I102" i="203"/>
  <c r="I103" i="203"/>
  <c r="I105" i="203"/>
  <c r="K96" i="203"/>
  <c r="L96" i="203"/>
  <c r="J47" i="203"/>
  <c r="K47" i="203"/>
  <c r="M47" i="203"/>
  <c r="N47" i="203"/>
  <c r="O47" i="203"/>
  <c r="P47" i="203"/>
  <c r="Q47" i="203"/>
  <c r="D32" i="203"/>
  <c r="E32" i="203"/>
  <c r="F32" i="203"/>
  <c r="G32" i="203"/>
  <c r="H32" i="203"/>
  <c r="I32" i="203"/>
  <c r="J32" i="203"/>
  <c r="K32" i="203"/>
  <c r="M32" i="203"/>
  <c r="N32" i="203"/>
  <c r="O32" i="203"/>
  <c r="P32" i="203"/>
  <c r="Q32" i="203"/>
  <c r="C32" i="203"/>
  <c r="D23" i="203"/>
  <c r="E23" i="203"/>
  <c r="F23" i="203"/>
  <c r="G23" i="203"/>
  <c r="C23" i="203"/>
  <c r="E20" i="203"/>
  <c r="F20" i="203"/>
  <c r="G20" i="203"/>
  <c r="H20" i="203"/>
  <c r="I20" i="203"/>
  <c r="J20" i="203"/>
  <c r="K20" i="203"/>
  <c r="C20" i="203"/>
  <c r="D16" i="203"/>
  <c r="E16" i="203"/>
  <c r="F16" i="203"/>
  <c r="G16" i="203"/>
  <c r="H16" i="203"/>
  <c r="I16" i="203"/>
  <c r="J16" i="203"/>
  <c r="K16" i="203"/>
  <c r="C16" i="203"/>
  <c r="C92" i="203"/>
  <c r="C31" i="203"/>
  <c r="AA873" i="187"/>
  <c r="Z873" i="187"/>
  <c r="Y873" i="187"/>
  <c r="X873" i="187"/>
  <c r="W873" i="187"/>
  <c r="C33" i="203"/>
  <c r="L65" i="203"/>
  <c r="K65" i="203"/>
  <c r="J65" i="203"/>
  <c r="I65" i="203"/>
  <c r="H65" i="203"/>
  <c r="M16" i="203"/>
  <c r="N16" i="203"/>
  <c r="O16" i="203"/>
  <c r="P16" i="203"/>
  <c r="Q16" i="203"/>
  <c r="R16" i="203"/>
  <c r="C65" i="203"/>
  <c r="AA323" i="205"/>
  <c r="AF321" i="205"/>
  <c r="AD319" i="205"/>
  <c r="AA321" i="205"/>
  <c r="AF320" i="205"/>
  <c r="I89" i="203"/>
  <c r="H90" i="203"/>
  <c r="L89" i="203"/>
  <c r="N40" i="203"/>
  <c r="P40" i="203"/>
  <c r="Q40" i="203"/>
  <c r="O40" i="203"/>
  <c r="M40" i="203"/>
  <c r="M41" i="203"/>
  <c r="O41" i="203"/>
  <c r="Q41" i="203"/>
  <c r="K89" i="203"/>
  <c r="L64" i="203"/>
  <c r="I64" i="203"/>
  <c r="K64" i="203"/>
  <c r="H64" i="203"/>
  <c r="J64" i="203"/>
  <c r="I90" i="203"/>
  <c r="J89" i="203"/>
  <c r="H89" i="203"/>
  <c r="J90" i="203"/>
  <c r="L90" i="203"/>
  <c r="K90" i="203"/>
  <c r="J66" i="203"/>
  <c r="H66" i="203"/>
  <c r="K66" i="203"/>
  <c r="I66" i="203"/>
  <c r="L66" i="203"/>
  <c r="N41" i="203"/>
  <c r="P41" i="203"/>
  <c r="Y49" i="216"/>
  <c r="X49" i="216"/>
  <c r="W49" i="216"/>
  <c r="V49" i="216"/>
  <c r="U49" i="216"/>
  <c r="T49" i="216"/>
  <c r="G35" i="216"/>
  <c r="G23" i="216"/>
  <c r="G24" i="216"/>
  <c r="G25" i="216"/>
  <c r="F49" i="216"/>
  <c r="G26" i="216"/>
  <c r="G27" i="216"/>
  <c r="G28" i="216"/>
  <c r="G29" i="216"/>
  <c r="G30" i="216"/>
  <c r="G31" i="216"/>
  <c r="G32" i="216"/>
  <c r="G33" i="216"/>
  <c r="G34" i="216"/>
  <c r="G36" i="216"/>
  <c r="G38" i="216"/>
  <c r="S49" i="216"/>
  <c r="S50" i="216"/>
  <c r="O31" i="203"/>
  <c r="Q31" i="203"/>
  <c r="P31" i="203"/>
  <c r="N31" i="203"/>
  <c r="G31" i="203"/>
  <c r="M33" i="203"/>
  <c r="M31" i="203"/>
  <c r="I33" i="203"/>
  <c r="I31" i="203"/>
  <c r="K33" i="203"/>
  <c r="K31" i="203"/>
  <c r="E31" i="203"/>
  <c r="H33" i="203"/>
  <c r="H31" i="203"/>
  <c r="J33" i="203"/>
  <c r="J31" i="203"/>
  <c r="F31" i="203"/>
  <c r="D31" i="203"/>
  <c r="G33" i="203"/>
  <c r="D33" i="203"/>
  <c r="F33" i="203"/>
  <c r="E33" i="203"/>
  <c r="E49" i="216"/>
  <c r="G49" i="216"/>
  <c r="H49" i="216"/>
  <c r="Q49" i="216"/>
  <c r="I49" i="216"/>
  <c r="J49" i="216"/>
  <c r="K49" i="216"/>
  <c r="L49" i="216"/>
  <c r="M49" i="216"/>
  <c r="N49" i="216"/>
  <c r="O49" i="216"/>
  <c r="P49" i="216"/>
  <c r="G37" i="216"/>
  <c r="R49" i="216"/>
  <c r="R50" i="216"/>
  <c r="Q50" i="216"/>
  <c r="P50" i="216"/>
  <c r="O50" i="216"/>
  <c r="N50" i="216"/>
  <c r="M50" i="216"/>
  <c r="L50" i="216"/>
  <c r="K50" i="216"/>
  <c r="J50" i="216"/>
  <c r="I50" i="216"/>
  <c r="H50" i="216"/>
  <c r="G50" i="216"/>
  <c r="F50" i="216"/>
  <c r="E50" i="216"/>
  <c r="N33" i="203"/>
  <c r="G80" i="203"/>
  <c r="E82" i="203"/>
  <c r="H82" i="203"/>
  <c r="F81" i="203"/>
  <c r="I81" i="203"/>
  <c r="G82" i="203"/>
  <c r="J82" i="203"/>
  <c r="L80" i="203"/>
  <c r="J81" i="203"/>
  <c r="I82" i="203"/>
  <c r="E81" i="203"/>
  <c r="D82" i="203"/>
  <c r="L82" i="203"/>
  <c r="H81" i="203"/>
  <c r="C82" i="203"/>
  <c r="K81" i="203"/>
  <c r="C81" i="203"/>
  <c r="D81" i="203"/>
  <c r="L81" i="203"/>
  <c r="K82" i="203"/>
  <c r="G81" i="203"/>
  <c r="F82" i="203"/>
  <c r="O33" i="203"/>
  <c r="H80" i="203"/>
  <c r="I80" i="203"/>
  <c r="D80" i="203"/>
  <c r="K80" i="203"/>
  <c r="C80" i="203"/>
  <c r="J80" i="203"/>
  <c r="F80" i="203"/>
  <c r="E80" i="203"/>
  <c r="P33" i="203"/>
  <c r="Q34" i="221"/>
  <c r="P34" i="221"/>
  <c r="O34" i="221"/>
  <c r="N34" i="221"/>
  <c r="M34" i="221"/>
  <c r="L34" i="221"/>
  <c r="J34" i="221"/>
  <c r="I34" i="221"/>
  <c r="H34" i="221"/>
  <c r="G34" i="221"/>
  <c r="F34" i="221"/>
  <c r="E34" i="221"/>
  <c r="D34" i="221"/>
  <c r="C34" i="221"/>
  <c r="Q22" i="221"/>
  <c r="P22" i="221"/>
  <c r="O22" i="221"/>
  <c r="N22" i="221"/>
  <c r="M22" i="221"/>
  <c r="L22" i="221"/>
  <c r="J22" i="221"/>
  <c r="I22" i="221"/>
  <c r="H22" i="221"/>
  <c r="G22" i="221"/>
  <c r="F22" i="221"/>
  <c r="E22" i="221"/>
  <c r="D22" i="221"/>
  <c r="C22" i="221"/>
  <c r="Q33" i="203"/>
  <c r="C43" i="203"/>
  <c r="C56" i="218"/>
  <c r="L45" i="224"/>
  <c r="K45" i="224"/>
  <c r="I45" i="224"/>
  <c r="H45" i="224"/>
  <c r="G45" i="224"/>
  <c r="F45" i="224"/>
  <c r="E45" i="224"/>
  <c r="D45" i="224"/>
  <c r="C45" i="224"/>
  <c r="L29" i="224"/>
  <c r="K29" i="224"/>
  <c r="I29" i="224"/>
  <c r="H29" i="224"/>
  <c r="G29" i="224"/>
  <c r="F29" i="224"/>
  <c r="E29" i="224"/>
  <c r="D29" i="224"/>
  <c r="C29" i="224"/>
  <c r="C34" i="210"/>
  <c r="C45" i="210" s="1"/>
  <c r="C44" i="210" s="1"/>
  <c r="C53" i="210" s="1"/>
  <c r="D34" i="210"/>
  <c r="D45" i="210" s="1"/>
  <c r="D44" i="210" s="1"/>
  <c r="D53" i="210" s="1"/>
  <c r="E34" i="210"/>
  <c r="E45" i="210" s="1"/>
  <c r="E44" i="210" s="1"/>
  <c r="E53" i="210" s="1"/>
  <c r="F34" i="210"/>
  <c r="F45" i="210" s="1"/>
  <c r="F44" i="210" s="1"/>
  <c r="F53" i="210" s="1"/>
  <c r="G34" i="210"/>
  <c r="G45" i="210" s="1"/>
  <c r="G44" i="210" s="1"/>
  <c r="G53" i="210" s="1"/>
  <c r="H34" i="210"/>
  <c r="H45" i="210" s="1"/>
  <c r="H44" i="210" s="1"/>
  <c r="H53" i="210" s="1"/>
  <c r="I34" i="210"/>
  <c r="J34" i="210"/>
  <c r="L34" i="210"/>
  <c r="M34" i="210"/>
  <c r="N34" i="210"/>
  <c r="O34" i="210"/>
  <c r="P34" i="210"/>
  <c r="M21" i="203"/>
  <c r="M20" i="203"/>
  <c r="D65" i="203"/>
  <c r="E65" i="203"/>
  <c r="F65" i="203"/>
  <c r="G65" i="203"/>
  <c r="I88" i="203"/>
  <c r="J88" i="203"/>
  <c r="H88" i="203"/>
  <c r="K88" i="203"/>
  <c r="L88" i="203"/>
  <c r="F89" i="203"/>
  <c r="E88" i="203"/>
  <c r="D88" i="203"/>
  <c r="C88" i="203"/>
  <c r="F90" i="203"/>
  <c r="F88" i="203"/>
  <c r="E89" i="203"/>
  <c r="D89" i="203"/>
  <c r="E90" i="203"/>
  <c r="D90" i="203"/>
  <c r="G90" i="203"/>
  <c r="G88" i="203"/>
  <c r="C90" i="203"/>
  <c r="G89" i="203"/>
  <c r="C89" i="203"/>
  <c r="AA862" i="187"/>
  <c r="Z862" i="187"/>
  <c r="Y862" i="187"/>
  <c r="X862" i="187"/>
  <c r="W862" i="187"/>
  <c r="C15" i="203"/>
  <c r="AH892" i="187"/>
  <c r="N15" i="203"/>
  <c r="O15" i="203"/>
  <c r="P15" i="203"/>
  <c r="M15" i="203"/>
  <c r="Q15" i="203"/>
  <c r="Q24" i="220"/>
  <c r="P24" i="220"/>
  <c r="O24" i="220"/>
  <c r="N24" i="220"/>
  <c r="M24" i="220"/>
  <c r="L24" i="220"/>
  <c r="K24" i="220"/>
  <c r="I24" i="220"/>
  <c r="H24" i="220"/>
  <c r="G24" i="220"/>
  <c r="F24" i="220"/>
  <c r="E24" i="220"/>
  <c r="D24" i="220"/>
  <c r="C24" i="220"/>
  <c r="S54" i="216"/>
  <c r="D15" i="203"/>
  <c r="D66" i="203"/>
  <c r="D64" i="203"/>
  <c r="K15" i="203"/>
  <c r="G17" i="203"/>
  <c r="G15" i="203"/>
  <c r="G64" i="203"/>
  <c r="F66" i="203"/>
  <c r="F64" i="203"/>
  <c r="I15" i="203"/>
  <c r="E17" i="203"/>
  <c r="E15" i="203"/>
  <c r="E66" i="203"/>
  <c r="E64" i="203"/>
  <c r="H15" i="203"/>
  <c r="R15" i="203"/>
  <c r="C64" i="203"/>
  <c r="J15" i="203"/>
  <c r="F17" i="203"/>
  <c r="F15" i="203"/>
  <c r="C17" i="203"/>
  <c r="R54" i="216"/>
  <c r="N17" i="203"/>
  <c r="Q17" i="203"/>
  <c r="J17" i="203"/>
  <c r="P17" i="203"/>
  <c r="M17" i="203"/>
  <c r="O17" i="203"/>
  <c r="R17" i="203"/>
  <c r="C66" i="203"/>
  <c r="H17" i="203"/>
  <c r="I17" i="203"/>
  <c r="G66" i="203"/>
  <c r="K17" i="203"/>
  <c r="D17" i="203"/>
  <c r="T54" i="216"/>
  <c r="Q54" i="216"/>
  <c r="U54" i="216"/>
  <c r="P54" i="216"/>
  <c r="O54" i="216"/>
  <c r="Q20" i="203"/>
  <c r="O20" i="203"/>
  <c r="N20" i="203"/>
  <c r="Q21" i="203"/>
  <c r="P20" i="203"/>
  <c r="O21" i="203"/>
  <c r="P21" i="203"/>
  <c r="N21" i="203"/>
  <c r="E93" i="203"/>
  <c r="G94" i="203"/>
  <c r="G93" i="203"/>
  <c r="C94" i="203"/>
  <c r="F94" i="203"/>
  <c r="E94" i="203"/>
  <c r="D93" i="203"/>
  <c r="D92" i="203"/>
  <c r="E92" i="203"/>
  <c r="F93" i="203"/>
  <c r="G92" i="203"/>
  <c r="F92" i="203"/>
  <c r="D94" i="203"/>
  <c r="D70" i="203"/>
  <c r="F69" i="203"/>
  <c r="E70" i="203"/>
  <c r="E69" i="203"/>
  <c r="G69" i="203"/>
  <c r="F70" i="203"/>
  <c r="C21" i="203"/>
  <c r="H21" i="203"/>
  <c r="G21" i="203"/>
  <c r="F21" i="203"/>
  <c r="E21" i="203"/>
  <c r="J21" i="203"/>
  <c r="I21" i="203"/>
  <c r="G70" i="203"/>
  <c r="D69" i="203"/>
  <c r="C70" i="203"/>
  <c r="K21" i="203"/>
  <c r="D21" i="203"/>
  <c r="H93" i="203"/>
  <c r="L92" i="203"/>
  <c r="J92" i="203"/>
  <c r="J94" i="203"/>
  <c r="L93" i="203"/>
  <c r="K94" i="203"/>
  <c r="I92" i="203"/>
  <c r="I93" i="203"/>
  <c r="I94" i="203"/>
  <c r="H92" i="203"/>
  <c r="J93" i="203"/>
  <c r="L94" i="203"/>
  <c r="K92" i="203"/>
  <c r="K93" i="203"/>
  <c r="H94" i="203"/>
  <c r="N54" i="216"/>
  <c r="C93" i="203"/>
  <c r="C69" i="203"/>
  <c r="M54" i="216"/>
  <c r="I69" i="203"/>
  <c r="L54" i="216"/>
  <c r="H70" i="203"/>
  <c r="J70" i="203"/>
  <c r="L70" i="203"/>
  <c r="L69" i="203"/>
  <c r="K70" i="203"/>
  <c r="H69" i="203"/>
  <c r="I70" i="203"/>
  <c r="L68" i="203"/>
  <c r="K69" i="203"/>
  <c r="J69" i="203"/>
  <c r="K54" i="216"/>
  <c r="L72" i="203"/>
  <c r="L99" i="203"/>
  <c r="G99" i="203"/>
  <c r="D99" i="203"/>
  <c r="K99" i="203"/>
  <c r="I99" i="203"/>
  <c r="F99" i="203"/>
  <c r="C99" i="203"/>
  <c r="H99" i="203"/>
  <c r="E73" i="203"/>
  <c r="E100" i="203"/>
  <c r="E99" i="203"/>
  <c r="D73" i="203"/>
  <c r="D100" i="203"/>
  <c r="I73" i="203"/>
  <c r="I100" i="203"/>
  <c r="J99" i="203"/>
  <c r="H73" i="203"/>
  <c r="H100" i="203"/>
  <c r="R24" i="203"/>
  <c r="R51" i="203"/>
  <c r="D24" i="203"/>
  <c r="N24" i="203"/>
  <c r="J73" i="203"/>
  <c r="J100" i="203"/>
  <c r="G73" i="203"/>
  <c r="G100" i="203"/>
  <c r="K73" i="203"/>
  <c r="K100" i="203"/>
  <c r="Q24" i="203"/>
  <c r="F73" i="203"/>
  <c r="F100" i="203"/>
  <c r="L73" i="203"/>
  <c r="L100" i="203"/>
  <c r="H24" i="203"/>
  <c r="E24" i="203"/>
  <c r="C24" i="203"/>
  <c r="K24" i="203"/>
  <c r="O24" i="203"/>
  <c r="P24" i="203"/>
  <c r="I24" i="203"/>
  <c r="F24" i="203"/>
  <c r="M24" i="203"/>
  <c r="J24" i="203"/>
  <c r="G24" i="203"/>
  <c r="J101" i="203"/>
  <c r="G101" i="203"/>
  <c r="G102" i="203"/>
  <c r="G103" i="203"/>
  <c r="G105" i="203"/>
  <c r="K101" i="203"/>
  <c r="R52" i="203"/>
  <c r="R55" i="203"/>
  <c r="E101" i="203"/>
  <c r="E102" i="203"/>
  <c r="E103" i="203"/>
  <c r="E105" i="203"/>
  <c r="F101" i="203"/>
  <c r="F102" i="203"/>
  <c r="F103" i="203"/>
  <c r="F105" i="203"/>
  <c r="H101" i="203"/>
  <c r="H102" i="203"/>
  <c r="L74" i="203"/>
  <c r="L101" i="203"/>
  <c r="L102" i="203"/>
  <c r="D101" i="203"/>
  <c r="D102" i="203"/>
  <c r="D103" i="203"/>
  <c r="D105" i="203"/>
  <c r="J54" i="216"/>
  <c r="R50" i="203"/>
  <c r="R54" i="203"/>
  <c r="C73" i="203"/>
  <c r="C100" i="203"/>
  <c r="C101" i="203"/>
  <c r="C102" i="203"/>
  <c r="C103" i="203"/>
  <c r="C105" i="203"/>
  <c r="I54" i="216"/>
  <c r="AH865" i="187"/>
  <c r="H54" i="216"/>
  <c r="G54" i="216"/>
  <c r="F54" i="216"/>
  <c r="E54" i="216"/>
  <c r="D40" i="203"/>
  <c r="D39" i="203"/>
  <c r="E39" i="203"/>
  <c r="G40" i="203"/>
  <c r="E40" i="203"/>
  <c r="G39" i="203"/>
  <c r="F39" i="203"/>
  <c r="C39" i="203"/>
  <c r="C50" i="203"/>
  <c r="C54" i="203"/>
  <c r="F40" i="203"/>
  <c r="H39" i="203"/>
  <c r="H41" i="203"/>
  <c r="K39" i="203"/>
  <c r="K41" i="203"/>
  <c r="I39" i="203"/>
  <c r="G41" i="203"/>
  <c r="M39" i="203"/>
  <c r="Q39" i="203"/>
  <c r="D41" i="203"/>
  <c r="I41" i="203"/>
  <c r="O39" i="203"/>
  <c r="J40" i="203"/>
  <c r="I40" i="203"/>
  <c r="C41" i="203"/>
  <c r="F41" i="203"/>
  <c r="J41" i="203"/>
  <c r="P39" i="203"/>
  <c r="K40" i="203"/>
  <c r="N39" i="203"/>
  <c r="J39" i="203"/>
  <c r="H40" i="203"/>
  <c r="E41" i="203"/>
  <c r="F44" i="203"/>
  <c r="D43" i="203"/>
  <c r="E44" i="203"/>
  <c r="G43" i="203"/>
  <c r="E43" i="203"/>
  <c r="D44" i="203"/>
  <c r="F43" i="203"/>
  <c r="G44" i="203"/>
  <c r="G45" i="203"/>
  <c r="D45" i="203"/>
  <c r="F45" i="203"/>
  <c r="O44" i="203"/>
  <c r="O51" i="203"/>
  <c r="P45" i="203"/>
  <c r="P52" i="203"/>
  <c r="P55" i="203"/>
  <c r="N44" i="203"/>
  <c r="N51" i="203"/>
  <c r="I45" i="203"/>
  <c r="H45" i="203"/>
  <c r="M45" i="203"/>
  <c r="M52" i="203"/>
  <c r="M55" i="203"/>
  <c r="Q44" i="203"/>
  <c r="Q51" i="203"/>
  <c r="N45" i="203"/>
  <c r="N52" i="203"/>
  <c r="N55" i="203"/>
  <c r="E45" i="203"/>
  <c r="C45" i="203"/>
  <c r="Q45" i="203"/>
  <c r="Q52" i="203"/>
  <c r="Q55" i="203"/>
  <c r="M44" i="203"/>
  <c r="M51" i="203"/>
  <c r="Q43" i="203"/>
  <c r="J45" i="203"/>
  <c r="O43" i="203"/>
  <c r="O45" i="203"/>
  <c r="O52" i="203"/>
  <c r="O55" i="203"/>
  <c r="K45" i="203"/>
  <c r="N43" i="203"/>
  <c r="P44" i="203"/>
  <c r="P51" i="203"/>
  <c r="P43" i="203"/>
  <c r="M43" i="203"/>
  <c r="N50" i="203"/>
  <c r="N54" i="203" s="1"/>
  <c r="P50" i="203"/>
  <c r="P54" i="203" s="1"/>
  <c r="J52" i="203"/>
  <c r="J55" i="203"/>
  <c r="I52" i="203"/>
  <c r="I55" i="203"/>
  <c r="Q50" i="203"/>
  <c r="Q54" i="203" s="1"/>
  <c r="K52" i="203"/>
  <c r="K55" i="203"/>
  <c r="G50" i="203"/>
  <c r="G54" i="203"/>
  <c r="E50" i="203"/>
  <c r="E54" i="203"/>
  <c r="D50" i="203"/>
  <c r="D54" i="203"/>
  <c r="E52" i="203"/>
  <c r="E55" i="203"/>
  <c r="F52" i="203"/>
  <c r="F55" i="203"/>
  <c r="O50" i="203"/>
  <c r="O54" i="203" s="1"/>
  <c r="D52" i="203"/>
  <c r="D55" i="203"/>
  <c r="M50" i="203"/>
  <c r="M54" i="203" s="1"/>
  <c r="G52" i="203"/>
  <c r="G55" i="203"/>
  <c r="H52" i="203"/>
  <c r="H55" i="203"/>
  <c r="F51" i="203"/>
  <c r="F50" i="203"/>
  <c r="F54" i="203"/>
  <c r="E51" i="203"/>
  <c r="G51" i="203"/>
  <c r="D51" i="203"/>
  <c r="C52" i="203"/>
  <c r="C55" i="203"/>
  <c r="K43" i="203"/>
  <c r="K50" i="203"/>
  <c r="K54" i="203" s="1"/>
  <c r="H43" i="203"/>
  <c r="H50" i="203"/>
  <c r="H54" i="203"/>
  <c r="H44" i="203"/>
  <c r="H51" i="203"/>
  <c r="J44" i="203"/>
  <c r="J51" i="203"/>
  <c r="I44" i="203"/>
  <c r="I51" i="203"/>
  <c r="I43" i="203"/>
  <c r="I50" i="203"/>
  <c r="I54" i="203"/>
  <c r="J43" i="203"/>
  <c r="J50" i="203"/>
  <c r="J54" i="203"/>
  <c r="K44" i="203"/>
  <c r="K51" i="203"/>
  <c r="C44" i="203"/>
  <c r="C40" i="203"/>
  <c r="C51" i="203"/>
  <c r="K44" i="210"/>
  <c r="K53" i="210"/>
  <c r="J45" i="210"/>
  <c r="J44" i="210" s="1"/>
  <c r="J53" i="210" s="1"/>
  <c r="I45" i="210"/>
  <c r="I44" i="210" s="1"/>
  <c r="I53" i="210" s="1"/>
  <c r="O45" i="210"/>
  <c r="O44" i="210"/>
  <c r="M44" i="210"/>
  <c r="M53" i="210"/>
  <c r="L45" i="210"/>
  <c r="L44" i="210"/>
  <c r="L53" i="210"/>
  <c r="N45" i="210"/>
  <c r="N44" i="210"/>
  <c r="N53" i="210"/>
  <c r="Q44" i="210"/>
  <c r="Q53" i="210"/>
  <c r="P45" i="210"/>
  <c r="P44" i="210"/>
  <c r="P53" i="210"/>
  <c r="M45" i="210"/>
  <c r="K102" i="203"/>
  <c r="J102" i="203"/>
  <c r="J103" i="203"/>
  <c r="J105" i="203"/>
  <c r="N265" i="242"/>
  <c r="AO106" i="242"/>
  <c r="AO108" i="242"/>
  <c r="AO228" i="242"/>
  <c r="AO231" i="242"/>
  <c r="AO233" i="242"/>
  <c r="D106" i="242"/>
  <c r="D108" i="242"/>
  <c r="H106" i="242"/>
  <c r="AH228" i="242"/>
  <c r="AH231" i="242"/>
  <c r="AH233" i="242"/>
  <c r="AH106" i="242"/>
  <c r="AH108" i="242"/>
  <c r="AL106" i="242"/>
  <c r="AL108" i="242"/>
  <c r="AL228" i="242"/>
  <c r="AL231" i="242"/>
  <c r="AL233" i="242"/>
  <c r="AK106" i="242"/>
  <c r="AK108" i="242"/>
  <c r="AK228" i="242"/>
  <c r="AK231" i="242"/>
  <c r="AK233" i="242"/>
  <c r="AI228" i="242"/>
  <c r="AI231" i="242"/>
  <c r="AI233" i="242"/>
  <c r="AI106" i="242"/>
  <c r="AI108" i="242"/>
  <c r="AM106" i="242"/>
  <c r="AM108" i="242"/>
  <c r="AM228" i="242"/>
  <c r="AM231" i="242"/>
  <c r="AM233" i="242"/>
  <c r="C108" i="242"/>
  <c r="AJ106" i="242"/>
  <c r="AJ108" i="242"/>
  <c r="AJ228" i="242"/>
  <c r="AJ231" i="242"/>
  <c r="AJ233" i="242"/>
  <c r="AN228" i="242"/>
  <c r="AN231" i="242"/>
  <c r="AN233" i="242"/>
  <c r="AN106" i="242"/>
  <c r="AN108" i="242"/>
  <c r="J103" i="242"/>
  <c r="J106" i="242"/>
  <c r="J108" i="242"/>
  <c r="O265" i="242"/>
  <c r="M265" i="242"/>
  <c r="Q265" i="242"/>
  <c r="O267" i="242"/>
  <c r="N267" i="242"/>
  <c r="Q267" i="242"/>
  <c r="L267" i="242"/>
  <c r="N266" i="242"/>
  <c r="AH883" i="187"/>
  <c r="AN886" i="187"/>
  <c r="AS886" i="187"/>
  <c r="AO896" i="187"/>
  <c r="F74" i="203"/>
  <c r="G74" i="203"/>
  <c r="I74" i="203"/>
  <c r="J74" i="203"/>
  <c r="D74" i="203"/>
  <c r="H74" i="203"/>
  <c r="AN896" i="187"/>
  <c r="AS894" i="187"/>
  <c r="AR894" i="187"/>
  <c r="AS896" i="187"/>
  <c r="AO894" i="187"/>
  <c r="AP894" i="187"/>
  <c r="AQ894" i="187"/>
  <c r="AL894" i="187"/>
  <c r="AQ896" i="187"/>
  <c r="AM894" i="187"/>
  <c r="K74" i="203"/>
  <c r="AN894" i="187"/>
  <c r="AR896" i="187"/>
  <c r="AP896" i="187"/>
  <c r="E74" i="203"/>
  <c r="AD287" i="205"/>
  <c r="AA285" i="205"/>
  <c r="AA287" i="205"/>
  <c r="AB319" i="205"/>
  <c r="AD322" i="205"/>
  <c r="AA300" i="205"/>
  <c r="AA324" i="205"/>
  <c r="AA322" i="205"/>
  <c r="AE322" i="205"/>
  <c r="AF324" i="205"/>
  <c r="AG323" i="205"/>
  <c r="AE319" i="205"/>
  <c r="AC324" i="205"/>
  <c r="AD321" i="205"/>
  <c r="AH285" i="205"/>
  <c r="AH28" i="205"/>
  <c r="AH287" i="205"/>
  <c r="AC287" i="205"/>
  <c r="AC285" i="205"/>
  <c r="AF323" i="205"/>
  <c r="AH323" i="205"/>
  <c r="AB320" i="205"/>
  <c r="AG285" i="205"/>
  <c r="AG287" i="205"/>
  <c r="AB324" i="205"/>
  <c r="AE324" i="205"/>
  <c r="AG320" i="205"/>
  <c r="AG322" i="205"/>
  <c r="AC322" i="205"/>
  <c r="AG321" i="205"/>
  <c r="AH319" i="205"/>
  <c r="AB28" i="205"/>
  <c r="AB287" i="205"/>
  <c r="AB285" i="205"/>
  <c r="AE285" i="205"/>
  <c r="AE287" i="205"/>
  <c r="AE323" i="205"/>
  <c r="AD323" i="205"/>
  <c r="AA319" i="205"/>
  <c r="AB322" i="205"/>
  <c r="AC320" i="205"/>
  <c r="AF319" i="205"/>
  <c r="AC319" i="205"/>
  <c r="AA320" i="205"/>
  <c r="AG319" i="205"/>
  <c r="AC323" i="205"/>
  <c r="AH324" i="205"/>
  <c r="AD324" i="205"/>
  <c r="AE320" i="205"/>
  <c r="AC321" i="205"/>
  <c r="AF322" i="205"/>
  <c r="AB321" i="205"/>
  <c r="AH320" i="205"/>
  <c r="AG324" i="205"/>
  <c r="AE321" i="205"/>
  <c r="AD320" i="205"/>
  <c r="AH322" i="205"/>
  <c r="AB323" i="205"/>
  <c r="AH321" i="205"/>
  <c r="P266" i="242"/>
  <c r="O266" i="242"/>
  <c r="L266" i="242"/>
  <c r="M267" i="242"/>
  <c r="Q266" i="242"/>
  <c r="M266" i="242"/>
  <c r="AD131" i="242"/>
  <c r="AD130" i="242"/>
  <c r="C231" i="242"/>
  <c r="C233" i="242"/>
  <c r="F228" i="242"/>
  <c r="F231" i="242"/>
  <c r="F233" i="242"/>
  <c r="Q228" i="242"/>
  <c r="G228" i="242"/>
  <c r="G231" i="242"/>
  <c r="G233" i="242"/>
  <c r="K228" i="242"/>
  <c r="O228" i="242"/>
  <c r="J228" i="242"/>
  <c r="J231" i="242"/>
  <c r="J233" i="242"/>
  <c r="E228" i="242"/>
  <c r="M228" i="242"/>
  <c r="M231" i="242"/>
  <c r="M233" i="242"/>
  <c r="L228" i="242"/>
  <c r="P228" i="242"/>
  <c r="V54" i="216"/>
  <c r="K103" i="203"/>
  <c r="K105" i="203"/>
  <c r="L103" i="203"/>
  <c r="L105" i="203"/>
  <c r="H103" i="203"/>
  <c r="H105" i="203"/>
  <c r="U57" i="218"/>
  <c r="E56" i="218"/>
  <c r="Z57" i="218"/>
  <c r="G56" i="218"/>
  <c r="I56" i="218"/>
  <c r="L56" i="218"/>
  <c r="N56" i="218"/>
  <c r="P56" i="218"/>
  <c r="D56" i="218"/>
  <c r="J56" i="218"/>
  <c r="X57" i="218"/>
  <c r="AB57" i="218"/>
  <c r="H56" i="218"/>
  <c r="O56" i="218"/>
  <c r="K56" i="218"/>
  <c r="F56" i="218"/>
  <c r="M56" i="218"/>
  <c r="Q56" i="218"/>
  <c r="M73" i="217"/>
  <c r="M103" i="203"/>
  <c r="M105" i="203"/>
  <c r="G17" i="245"/>
  <c r="L49" i="217"/>
  <c r="AA20" i="201"/>
  <c r="AN239" i="242"/>
  <c r="AA19" i="211"/>
  <c r="AG16" i="223"/>
  <c r="AR21" i="187"/>
  <c r="AG19" i="205"/>
  <c r="AN59" i="242"/>
  <c r="I74" i="210"/>
  <c r="I239" i="242"/>
  <c r="I21" i="242"/>
  <c r="I59" i="242"/>
  <c r="F24" i="232"/>
  <c r="O16" i="223"/>
  <c r="I20" i="224"/>
  <c r="K17" i="191"/>
  <c r="I20" i="218"/>
  <c r="I29" i="221"/>
  <c r="I15" i="220"/>
  <c r="D18" i="217"/>
  <c r="I20" i="201"/>
  <c r="I55" i="201"/>
  <c r="O111" i="223"/>
  <c r="O46" i="223"/>
  <c r="I19" i="211"/>
  <c r="O74" i="223"/>
  <c r="I52" i="210"/>
  <c r="M856" i="187"/>
  <c r="M19" i="205"/>
  <c r="I13" i="203"/>
  <c r="AA20" i="243"/>
  <c r="AA55" i="201"/>
  <c r="AG31" i="223"/>
  <c r="AG111" i="223"/>
  <c r="AG46" i="223"/>
  <c r="AA42" i="210"/>
  <c r="AA18" i="210"/>
  <c r="K19" i="190"/>
  <c r="AG294" i="205"/>
  <c r="AR856" i="187"/>
  <c r="AA52" i="210"/>
  <c r="AG61" i="223"/>
  <c r="L18" i="217"/>
  <c r="AA20" i="218"/>
  <c r="AA15" i="220"/>
  <c r="V20" i="224"/>
  <c r="F47" i="203"/>
  <c r="I47" i="203"/>
  <c r="C47" i="203"/>
  <c r="E47" i="203"/>
  <c r="D47" i="203"/>
  <c r="G47" i="203"/>
  <c r="H47" i="203"/>
  <c r="H108" i="242"/>
  <c r="N228" i="242"/>
  <c r="N231" i="242"/>
  <c r="N233" i="242"/>
  <c r="W228" i="242"/>
  <c r="W231" i="242"/>
  <c r="U228" i="242"/>
  <c r="U231" i="242"/>
  <c r="U233" i="242"/>
  <c r="AA228" i="242"/>
  <c r="AA231" i="242"/>
  <c r="AA233" i="242"/>
  <c r="I228" i="242"/>
  <c r="D228" i="242"/>
  <c r="AD132" i="242"/>
  <c r="H228" i="242"/>
  <c r="W54" i="216"/>
  <c r="L19" i="190"/>
  <c r="H17" i="245"/>
  <c r="F62" i="203"/>
  <c r="F13" i="203"/>
  <c r="AB239" i="242"/>
  <c r="K41" i="221"/>
  <c r="K72" i="201"/>
  <c r="Q92" i="223"/>
  <c r="K62" i="203"/>
  <c r="Q111" i="223"/>
  <c r="H24" i="232"/>
  <c r="M17" i="191"/>
  <c r="Q46" i="223"/>
  <c r="W20" i="224"/>
  <c r="AB15" i="220"/>
  <c r="AB20" i="218"/>
  <c r="M49" i="217"/>
  <c r="M18" i="217"/>
  <c r="AB20" i="201"/>
  <c r="AB19" i="211"/>
  <c r="AH16" i="223"/>
  <c r="AH61" i="223"/>
  <c r="AB52" i="210"/>
  <c r="AH111" i="223"/>
  <c r="AS21" i="187"/>
  <c r="AH19" i="205"/>
  <c r="AO239" i="242"/>
  <c r="AB20" i="243"/>
  <c r="AB55" i="201"/>
  <c r="AH31" i="223"/>
  <c r="AH46" i="223"/>
  <c r="AB42" i="210"/>
  <c r="AB18" i="210"/>
  <c r="AS856" i="187"/>
  <c r="AH294" i="205"/>
  <c r="J74" i="210"/>
  <c r="AA239" i="242"/>
  <c r="AA21" i="242"/>
  <c r="AA59" i="242"/>
  <c r="G24" i="232"/>
  <c r="P31" i="223"/>
  <c r="J36" i="224"/>
  <c r="J29" i="221"/>
  <c r="J15" i="220"/>
  <c r="J20" i="218"/>
  <c r="E18" i="217"/>
  <c r="J55" i="201"/>
  <c r="J20" i="201"/>
  <c r="P92" i="223"/>
  <c r="J70" i="210"/>
  <c r="J42" i="210"/>
  <c r="P130" i="223"/>
  <c r="P61" i="223"/>
  <c r="J18" i="210"/>
  <c r="N856" i="187"/>
  <c r="N21" i="187"/>
  <c r="N19" i="205"/>
  <c r="J13" i="203"/>
  <c r="AO59" i="242"/>
  <c r="J239" i="242"/>
  <c r="J17" i="221"/>
  <c r="E49" i="217"/>
  <c r="J37" i="201"/>
  <c r="P74" i="223"/>
  <c r="P46" i="223"/>
  <c r="AE21" i="187"/>
  <c r="J62" i="203"/>
  <c r="J20" i="243"/>
  <c r="J59" i="242"/>
  <c r="J21" i="242"/>
  <c r="P16" i="223"/>
  <c r="J20" i="224"/>
  <c r="L17" i="191"/>
  <c r="J41" i="221"/>
  <c r="J62" i="218"/>
  <c r="J72" i="201"/>
  <c r="J19" i="211"/>
  <c r="J52" i="210"/>
  <c r="P111" i="223"/>
  <c r="AE856" i="187"/>
  <c r="G62" i="203"/>
  <c r="G13" i="203"/>
  <c r="Z228" i="242"/>
  <c r="Z231" i="242"/>
  <c r="Z233" i="242"/>
  <c r="AC228" i="242"/>
  <c r="AC231" i="242"/>
  <c r="AC233" i="242"/>
  <c r="V228" i="242"/>
  <c r="V231" i="242"/>
  <c r="V233" i="242"/>
  <c r="AB228" i="242"/>
  <c r="AB231" i="242"/>
  <c r="AD135" i="242"/>
  <c r="AD137" i="242"/>
  <c r="X54" i="216"/>
  <c r="AF856" i="187"/>
  <c r="F18" i="217"/>
  <c r="K239" i="242"/>
  <c r="K52" i="210"/>
  <c r="K15" i="220"/>
  <c r="Q16" i="223"/>
  <c r="K74" i="210"/>
  <c r="O856" i="187"/>
  <c r="K42" i="210"/>
  <c r="Q61" i="223"/>
  <c r="F49" i="217"/>
  <c r="I17" i="245"/>
  <c r="M19" i="190"/>
  <c r="K13" i="203"/>
  <c r="Q74" i="223"/>
  <c r="K55" i="201"/>
  <c r="K29" i="221"/>
  <c r="K20" i="224"/>
  <c r="K59" i="242"/>
  <c r="O19" i="205"/>
  <c r="K19" i="211"/>
  <c r="K20" i="201"/>
  <c r="K20" i="218"/>
  <c r="K21" i="242"/>
  <c r="O21" i="187"/>
  <c r="AF21" i="187"/>
  <c r="K70" i="210"/>
  <c r="K18" i="210"/>
  <c r="Q130" i="223"/>
  <c r="K37" i="201"/>
  <c r="K17" i="221"/>
  <c r="K62" i="218"/>
  <c r="K36" i="224"/>
  <c r="Q31" i="223"/>
  <c r="AB21" i="242"/>
  <c r="AB59" i="242"/>
  <c r="K20" i="243"/>
  <c r="AC21" i="242"/>
  <c r="L36" i="224"/>
  <c r="R16" i="223"/>
  <c r="L29" i="221"/>
  <c r="L72" i="201"/>
  <c r="L52" i="210"/>
  <c r="AG21" i="187"/>
  <c r="R130" i="223"/>
  <c r="L20" i="218"/>
  <c r="R61" i="223"/>
  <c r="E13" i="203"/>
  <c r="E62" i="203"/>
  <c r="S228" i="242"/>
  <c r="Y228" i="242"/>
  <c r="T228" i="242"/>
  <c r="T231" i="242"/>
  <c r="P19" i="205"/>
  <c r="R92" i="223"/>
  <c r="L13" i="203"/>
  <c r="L20" i="201"/>
  <c r="L62" i="203"/>
  <c r="R111" i="223"/>
  <c r="L19" i="211"/>
  <c r="L62" i="218"/>
  <c r="L239" i="242"/>
  <c r="R31" i="223"/>
  <c r="L59" i="242"/>
  <c r="L74" i="210"/>
  <c r="J17" i="245"/>
  <c r="P856" i="187"/>
  <c r="L42" i="210"/>
  <c r="L55" i="201"/>
  <c r="L17" i="221"/>
  <c r="P21" i="187"/>
  <c r="L18" i="210"/>
  <c r="L70" i="210"/>
  <c r="G18" i="217"/>
  <c r="L41" i="221"/>
  <c r="AG856" i="187"/>
  <c r="R46" i="223"/>
  <c r="R74" i="223"/>
  <c r="L37" i="201"/>
  <c r="G49" i="217"/>
  <c r="L15" i="220"/>
  <c r="N17" i="191"/>
  <c r="L20" i="224"/>
  <c r="I24" i="232"/>
  <c r="J24" i="232"/>
  <c r="K24" i="232"/>
  <c r="L24" i="232"/>
  <c r="M24" i="232"/>
  <c r="N24" i="232"/>
  <c r="O24" i="232"/>
  <c r="P24" i="232"/>
  <c r="Q24" i="232"/>
  <c r="R24" i="232"/>
  <c r="S24" i="232"/>
  <c r="T24" i="232"/>
  <c r="U24" i="232"/>
  <c r="V24" i="232"/>
  <c r="W24" i="232"/>
  <c r="X24" i="232"/>
  <c r="Y24" i="232"/>
  <c r="Z24" i="232"/>
  <c r="AA24" i="232"/>
  <c r="AB24" i="232"/>
  <c r="AC24" i="232"/>
  <c r="L21" i="242"/>
  <c r="L20" i="243"/>
  <c r="AC59" i="242"/>
  <c r="AC239" i="242"/>
  <c r="D62" i="203"/>
  <c r="D13" i="203"/>
  <c r="D19" i="190" a="1"/>
  <c r="U18" i="243"/>
  <c r="K16" i="217"/>
  <c r="U18" i="201"/>
  <c r="AA44" i="223"/>
  <c r="AA14" i="223"/>
  <c r="U40" i="210"/>
  <c r="U16" i="210"/>
  <c r="U53" i="201"/>
  <c r="U17" i="211"/>
  <c r="AA29" i="223"/>
  <c r="AL19" i="187"/>
  <c r="C70" i="201"/>
  <c r="I128" i="223"/>
  <c r="W854" i="187"/>
  <c r="W19" i="187"/>
  <c r="AA17" i="205"/>
  <c r="Y237" i="242"/>
  <c r="S57" i="242"/>
  <c r="P18" i="224"/>
  <c r="U13" i="220"/>
  <c r="U18" i="218"/>
  <c r="K47" i="217"/>
  <c r="U54" i="210"/>
  <c r="K16" i="210"/>
  <c r="AL854" i="187"/>
  <c r="C60" i="218"/>
  <c r="C72" i="210"/>
  <c r="AC854" i="187"/>
  <c r="AA292" i="205"/>
  <c r="S237" i="242"/>
  <c r="K18" i="243"/>
  <c r="K18" i="218"/>
  <c r="F16" i="217"/>
  <c r="K18" i="201"/>
  <c r="Q109" i="223"/>
  <c r="Q29" i="223"/>
  <c r="K54" i="210"/>
  <c r="O854" i="187"/>
  <c r="R17" i="205"/>
  <c r="K237" i="242"/>
  <c r="K57" i="242"/>
  <c r="C35" i="201"/>
  <c r="AC19" i="187"/>
  <c r="AH237" i="242"/>
  <c r="AH57" i="242"/>
  <c r="K13" i="220"/>
  <c r="F47" i="217"/>
  <c r="K53" i="201"/>
  <c r="K17" i="211"/>
  <c r="Q44" i="223"/>
  <c r="Q14" i="223"/>
  <c r="K40" i="210"/>
  <c r="O19" i="187"/>
  <c r="O17" i="205"/>
  <c r="Y57" i="242"/>
  <c r="H60" i="203"/>
  <c r="N11" i="203"/>
  <c r="C50" i="216"/>
  <c r="L11" i="203"/>
  <c r="Y231" i="242"/>
  <c r="S231" i="242"/>
  <c r="G19" i="190"/>
  <c r="D19" i="190"/>
  <c r="F19" i="190"/>
  <c r="H19" i="190"/>
  <c r="E19" i="190"/>
  <c r="U15" i="220" a="1"/>
  <c r="U15" i="220"/>
  <c r="U20" i="243" a="1"/>
  <c r="U20" i="243"/>
  <c r="U20" i="218" a="1"/>
  <c r="U20" i="201" a="1"/>
  <c r="U20" i="201"/>
  <c r="AA31" i="223" a="1"/>
  <c r="AA31" i="223"/>
  <c r="AL856" i="187" a="1"/>
  <c r="AL856" i="187"/>
  <c r="AA294" i="205" a="1"/>
  <c r="AA294" i="205"/>
  <c r="AH239" i="242" a="1"/>
  <c r="P20" i="224" a="1"/>
  <c r="P20" i="224"/>
  <c r="U55" i="201" a="1"/>
  <c r="U55" i="201"/>
  <c r="U19" i="211" a="1"/>
  <c r="U19" i="211"/>
  <c r="AA16" i="223" a="1"/>
  <c r="AA16" i="223"/>
  <c r="AA111" i="223" a="1"/>
  <c r="AA61" i="223" a="1"/>
  <c r="AA61" i="223"/>
  <c r="AA46" i="223" a="1"/>
  <c r="AA46" i="223"/>
  <c r="U52" i="210" a="1"/>
  <c r="U42" i="210" a="1"/>
  <c r="U18" i="210" a="1"/>
  <c r="U18" i="210"/>
  <c r="AL21" i="187" a="1"/>
  <c r="AL21" i="187"/>
  <c r="AA19" i="205" a="1"/>
  <c r="AH59" i="242" a="1"/>
  <c r="AH59" i="242"/>
  <c r="C20" i="243" a="1"/>
  <c r="C20" i="243"/>
  <c r="C239" i="242" a="1"/>
  <c r="C239" i="242"/>
  <c r="C21" i="242" a="1"/>
  <c r="C21" i="242"/>
  <c r="C59" i="242" a="1"/>
  <c r="C59" i="242"/>
  <c r="I31" i="223" a="1"/>
  <c r="I31" i="223"/>
  <c r="C36" i="224" a="1"/>
  <c r="C36" i="224"/>
  <c r="C20" i="224" a="1"/>
  <c r="E17" i="191" a="1"/>
  <c r="E17" i="191"/>
  <c r="C62" i="218" a="1"/>
  <c r="C62" i="218"/>
  <c r="C41" i="221" a="1"/>
  <c r="C41" i="221"/>
  <c r="C15" i="220" a="1"/>
  <c r="C15" i="220"/>
  <c r="C20" i="201" a="1"/>
  <c r="C20" i="201"/>
  <c r="S59" i="242" a="1"/>
  <c r="S59" i="242"/>
  <c r="S21" i="242" a="1"/>
  <c r="I16" i="223" a="1"/>
  <c r="I16" i="223"/>
  <c r="C17" i="221" a="1"/>
  <c r="C17" i="221"/>
  <c r="C29" i="221" a="1"/>
  <c r="C29" i="221"/>
  <c r="C72" i="201" a="1"/>
  <c r="C72" i="201"/>
  <c r="I130" i="223" a="1"/>
  <c r="I130" i="223"/>
  <c r="I61" i="223" a="1"/>
  <c r="I61" i="223"/>
  <c r="C18" i="210" a="1"/>
  <c r="C18" i="210"/>
  <c r="I92" i="223" a="1"/>
  <c r="I92" i="223"/>
  <c r="C70" i="210" a="1"/>
  <c r="C70" i="210"/>
  <c r="C42" i="210" a="1"/>
  <c r="C42" i="210"/>
  <c r="W856" i="187" a="1"/>
  <c r="W856" i="187"/>
  <c r="W21" i="187" a="1"/>
  <c r="W21" i="187"/>
  <c r="G21" i="187" a="1"/>
  <c r="G21" i="187"/>
  <c r="C74" i="210" a="1"/>
  <c r="C74" i="210"/>
  <c r="S239" i="242" a="1"/>
  <c r="S239" i="242"/>
  <c r="C20" i="218" a="1"/>
  <c r="C37" i="201" a="1"/>
  <c r="C37" i="201"/>
  <c r="C55" i="201" a="1"/>
  <c r="C55" i="201"/>
  <c r="I111" i="223" a="1"/>
  <c r="I111" i="223"/>
  <c r="I46" i="223" a="1"/>
  <c r="I46" i="223"/>
  <c r="C19" i="211" a="1"/>
  <c r="C19" i="211"/>
  <c r="I74" i="223" a="1"/>
  <c r="I74" i="223"/>
  <c r="C52" i="210" a="1"/>
  <c r="C52" i="210"/>
  <c r="G856" i="187" a="1"/>
  <c r="G856" i="187"/>
  <c r="G19" i="205" a="1"/>
  <c r="G19" i="205"/>
  <c r="U20" i="218"/>
  <c r="U42" i="210"/>
  <c r="AA111" i="223"/>
  <c r="U52" i="210"/>
  <c r="AA19" i="205"/>
  <c r="AH239" i="242"/>
  <c r="C62" i="203"/>
  <c r="S21" i="242"/>
  <c r="B12" i="201"/>
  <c r="C13" i="203"/>
  <c r="C20" i="224"/>
  <c r="C20" i="218"/>
  <c r="K856" i="187"/>
  <c r="J856" i="187"/>
  <c r="I856" i="187"/>
  <c r="H856" i="187"/>
  <c r="L74" i="223"/>
  <c r="M74" i="223"/>
  <c r="K74" i="223"/>
  <c r="J74" i="223"/>
  <c r="L46" i="223"/>
  <c r="M46" i="223"/>
  <c r="K46" i="223"/>
  <c r="J46" i="223"/>
  <c r="G55" i="201"/>
  <c r="F55" i="201"/>
  <c r="E55" i="201"/>
  <c r="D55" i="201"/>
  <c r="F20" i="218"/>
  <c r="G20" i="218"/>
  <c r="E20" i="218"/>
  <c r="D20" i="218"/>
  <c r="W239" i="242"/>
  <c r="V239" i="242"/>
  <c r="U239" i="242"/>
  <c r="T239" i="242"/>
  <c r="J21" i="187"/>
  <c r="K21" i="187"/>
  <c r="I21" i="187"/>
  <c r="H21" i="187"/>
  <c r="Z856" i="187"/>
  <c r="AA856" i="187"/>
  <c r="Y856" i="187"/>
  <c r="X856" i="187"/>
  <c r="F42" i="210"/>
  <c r="G42" i="210"/>
  <c r="E42" i="210"/>
  <c r="D42" i="210"/>
  <c r="L92" i="223"/>
  <c r="M92" i="223"/>
  <c r="K92" i="223"/>
  <c r="J92" i="223"/>
  <c r="L61" i="223"/>
  <c r="M61" i="223"/>
  <c r="K61" i="223"/>
  <c r="J61" i="223"/>
  <c r="F72" i="201"/>
  <c r="G72" i="201"/>
  <c r="E72" i="201"/>
  <c r="D72" i="201"/>
  <c r="F17" i="221"/>
  <c r="G17" i="221"/>
  <c r="E17" i="221"/>
  <c r="D17" i="221"/>
  <c r="L16" i="223"/>
  <c r="M16" i="223"/>
  <c r="K16" i="223"/>
  <c r="J16" i="223"/>
  <c r="W59" i="242"/>
  <c r="V59" i="242"/>
  <c r="U59" i="242"/>
  <c r="T59" i="242"/>
  <c r="F20" i="201"/>
  <c r="G20" i="201"/>
  <c r="E20" i="201"/>
  <c r="D20" i="201"/>
  <c r="F41" i="221"/>
  <c r="G41" i="221"/>
  <c r="E41" i="221"/>
  <c r="D41" i="221"/>
  <c r="I17" i="191"/>
  <c r="H17" i="191"/>
  <c r="G17" i="191"/>
  <c r="F17" i="191"/>
  <c r="F20" i="224"/>
  <c r="G20" i="224"/>
  <c r="E20" i="224"/>
  <c r="D20" i="224"/>
  <c r="L31" i="223"/>
  <c r="M31" i="223"/>
  <c r="K31" i="223"/>
  <c r="J31" i="223"/>
  <c r="F59" i="242"/>
  <c r="G59" i="242"/>
  <c r="E59" i="242"/>
  <c r="D59" i="242"/>
  <c r="F239" i="242"/>
  <c r="G239" i="242"/>
  <c r="E239" i="242"/>
  <c r="D239" i="242"/>
  <c r="AK59" i="242"/>
  <c r="AL59" i="242"/>
  <c r="AJ59" i="242"/>
  <c r="AI59" i="242"/>
  <c r="AP21" i="187"/>
  <c r="AO21" i="187"/>
  <c r="AN21" i="187"/>
  <c r="AM21" i="187"/>
  <c r="Y52" i="210"/>
  <c r="X52" i="210"/>
  <c r="W52" i="210"/>
  <c r="V52" i="210"/>
  <c r="AD61" i="223"/>
  <c r="AE61" i="223"/>
  <c r="AC61" i="223"/>
  <c r="AB61" i="223"/>
  <c r="AE16" i="223"/>
  <c r="AD16" i="223"/>
  <c r="AC16" i="223"/>
  <c r="AB16" i="223"/>
  <c r="X55" i="201"/>
  <c r="Y55" i="201"/>
  <c r="W55" i="201"/>
  <c r="V55" i="201"/>
  <c r="AK239" i="242"/>
  <c r="AL239" i="242"/>
  <c r="AJ239" i="242"/>
  <c r="AI239" i="242"/>
  <c r="AO856" i="187"/>
  <c r="AP856" i="187"/>
  <c r="AN856" i="187"/>
  <c r="AM856" i="187"/>
  <c r="AD31" i="223"/>
  <c r="AE31" i="223"/>
  <c r="AC31" i="223"/>
  <c r="AB31" i="223"/>
  <c r="X20" i="218"/>
  <c r="Y20" i="218"/>
  <c r="W20" i="218"/>
  <c r="V20" i="218"/>
  <c r="X15" i="220"/>
  <c r="Y15" i="220"/>
  <c r="W15" i="220"/>
  <c r="V15" i="220"/>
  <c r="J19" i="205"/>
  <c r="K19" i="205"/>
  <c r="I19" i="205"/>
  <c r="H19" i="205"/>
  <c r="F52" i="210"/>
  <c r="G52" i="210"/>
  <c r="E52" i="210"/>
  <c r="D52" i="210"/>
  <c r="F19" i="211"/>
  <c r="G19" i="211"/>
  <c r="E19" i="211"/>
  <c r="D19" i="211"/>
  <c r="L111" i="223"/>
  <c r="M111" i="223"/>
  <c r="K111" i="223"/>
  <c r="J111" i="223"/>
  <c r="F37" i="201"/>
  <c r="G37" i="201"/>
  <c r="E37" i="201"/>
  <c r="D37" i="201"/>
  <c r="F74" i="210"/>
  <c r="G74" i="210"/>
  <c r="E74" i="210"/>
  <c r="D74" i="210"/>
  <c r="Z21" i="187"/>
  <c r="AA21" i="187"/>
  <c r="Y21" i="187"/>
  <c r="X21" i="187"/>
  <c r="F70" i="210"/>
  <c r="G70" i="210"/>
  <c r="E70" i="210"/>
  <c r="D70" i="210"/>
  <c r="G18" i="210"/>
  <c r="F18" i="210"/>
  <c r="E18" i="210"/>
  <c r="D18" i="210"/>
  <c r="L130" i="223"/>
  <c r="M130" i="223"/>
  <c r="K130" i="223"/>
  <c r="J130" i="223"/>
  <c r="F29" i="221"/>
  <c r="G29" i="221"/>
  <c r="E29" i="221"/>
  <c r="D29" i="221"/>
  <c r="V21" i="242"/>
  <c r="W21" i="242"/>
  <c r="U21" i="242"/>
  <c r="T21" i="242"/>
  <c r="G15" i="220"/>
  <c r="F15" i="220"/>
  <c r="E15" i="220"/>
  <c r="D15" i="220"/>
  <c r="F62" i="218"/>
  <c r="G62" i="218"/>
  <c r="E62" i="218"/>
  <c r="D62" i="218"/>
  <c r="F36" i="224"/>
  <c r="G36" i="224"/>
  <c r="E36" i="224"/>
  <c r="D36" i="224"/>
  <c r="G21" i="242"/>
  <c r="F21" i="242"/>
  <c r="E21" i="242"/>
  <c r="D21" i="242"/>
  <c r="F20" i="243"/>
  <c r="G20" i="243"/>
  <c r="E20" i="243"/>
  <c r="D20" i="243"/>
  <c r="AD19" i="205"/>
  <c r="AE19" i="205"/>
  <c r="AC19" i="205"/>
  <c r="AB19" i="205"/>
  <c r="X18" i="210"/>
  <c r="Y18" i="210"/>
  <c r="W18" i="210"/>
  <c r="V18" i="210"/>
  <c r="X42" i="210"/>
  <c r="Y42" i="210"/>
  <c r="W42" i="210"/>
  <c r="V42" i="210"/>
  <c r="AD46" i="223"/>
  <c r="AE46" i="223"/>
  <c r="AC46" i="223"/>
  <c r="AB46" i="223"/>
  <c r="AE111" i="223"/>
  <c r="AD111" i="223"/>
  <c r="AC111" i="223"/>
  <c r="AB111" i="223"/>
  <c r="Y19" i="211"/>
  <c r="X19" i="211"/>
  <c r="W19" i="211"/>
  <c r="V19" i="211"/>
  <c r="S20" i="224"/>
  <c r="T20" i="224"/>
  <c r="R20" i="224"/>
  <c r="Q20" i="224"/>
  <c r="AD294" i="205"/>
  <c r="AE294" i="205"/>
  <c r="AC294" i="205"/>
  <c r="AB294" i="205"/>
  <c r="X20" i="201"/>
  <c r="Y20" i="201"/>
  <c r="W20" i="201"/>
  <c r="V20" i="201"/>
  <c r="X20" i="243"/>
  <c r="Y20" i="243"/>
  <c r="W20" i="243"/>
  <c r="V20" i="243"/>
  <c r="N19" i="190" a="1"/>
  <c r="R19" i="190"/>
  <c r="Q19" i="190"/>
  <c r="N19" i="190"/>
  <c r="O19" i="190"/>
  <c r="P19" i="190"/>
  <c r="M41" i="221" a="1"/>
  <c r="M41" i="221"/>
  <c r="K17" i="245" a="1"/>
  <c r="M21" i="242" a="1"/>
  <c r="Q21" i="242"/>
  <c r="M52" i="210" a="1"/>
  <c r="Q52" i="210"/>
  <c r="N13" i="203" a="1"/>
  <c r="R13" i="203"/>
  <c r="M239" i="242" a="1"/>
  <c r="Q239" i="242"/>
  <c r="R19" i="205" a="1"/>
  <c r="V19" i="205"/>
  <c r="O17" i="191" a="1"/>
  <c r="S17" i="191"/>
  <c r="M20" i="243" a="1"/>
  <c r="Q20" i="243"/>
  <c r="M20" i="218" a="1"/>
  <c r="Q20" i="218"/>
  <c r="M17" i="221" a="1"/>
  <c r="Q17" i="221"/>
  <c r="S74" i="223" a="1"/>
  <c r="W74" i="223"/>
  <c r="M15" i="220" a="1"/>
  <c r="Q15" i="220"/>
  <c r="S16" i="223" a="1"/>
  <c r="W16" i="223"/>
  <c r="Q856" i="187" a="1"/>
  <c r="U856" i="187"/>
  <c r="S46" i="223" a="1"/>
  <c r="W46" i="223"/>
  <c r="M42" i="210" a="1"/>
  <c r="Q42" i="210"/>
  <c r="M59" i="242" a="1"/>
  <c r="Q59" i="242"/>
  <c r="M29" i="221" a="1"/>
  <c r="M19" i="211" a="1"/>
  <c r="Q19" i="211"/>
  <c r="S31" i="223" a="1"/>
  <c r="M55" i="201" a="1"/>
  <c r="Q55" i="201"/>
  <c r="Q21" i="187" a="1"/>
  <c r="M20" i="201" a="1"/>
  <c r="Q20" i="201"/>
  <c r="M18" i="210" a="1"/>
  <c r="Q18" i="210"/>
  <c r="S111" i="223" a="1"/>
  <c r="W111" i="223"/>
  <c r="AG3" i="223"/>
  <c r="AA3" i="211"/>
  <c r="I3" i="211"/>
  <c r="F3" i="205"/>
  <c r="I3" i="223"/>
  <c r="H3" i="211"/>
  <c r="I3" i="210"/>
  <c r="K3" i="239"/>
  <c r="C3" i="203"/>
  <c r="Z3" i="211"/>
  <c r="AD3" i="239"/>
  <c r="H9" i="137"/>
  <c r="I3" i="201"/>
  <c r="H3" i="210"/>
  <c r="B3" i="203"/>
  <c r="F3" i="206"/>
  <c r="F3" i="187"/>
  <c r="C3" i="242"/>
  <c r="H3" i="201"/>
  <c r="K3" i="235"/>
  <c r="Q41" i="221"/>
  <c r="P41" i="221"/>
  <c r="N41" i="221"/>
  <c r="O41" i="221"/>
  <c r="K17" i="245"/>
  <c r="N17" i="245"/>
  <c r="O17" i="245"/>
  <c r="L17" i="245"/>
  <c r="M17" i="245"/>
  <c r="M18" i="210"/>
  <c r="N18" i="210"/>
  <c r="O18" i="210"/>
  <c r="P18" i="210"/>
  <c r="M55" i="201"/>
  <c r="N55" i="201"/>
  <c r="O55" i="201"/>
  <c r="P55" i="201"/>
  <c r="S16" i="223"/>
  <c r="T16" i="223"/>
  <c r="U16" i="223"/>
  <c r="V16" i="223"/>
  <c r="S74" i="223"/>
  <c r="T74" i="223"/>
  <c r="U74" i="223"/>
  <c r="V74" i="223"/>
  <c r="M20" i="243"/>
  <c r="N20" i="243"/>
  <c r="O20" i="243"/>
  <c r="P20" i="243"/>
  <c r="R19" i="205"/>
  <c r="S19" i="205"/>
  <c r="T19" i="205"/>
  <c r="U19" i="205"/>
  <c r="N13" i="203"/>
  <c r="O13" i="203"/>
  <c r="P13" i="203"/>
  <c r="Q13" i="203"/>
  <c r="M52" i="210"/>
  <c r="N52" i="210"/>
  <c r="O52" i="210"/>
  <c r="P52" i="210"/>
  <c r="S111" i="223"/>
  <c r="T111" i="223"/>
  <c r="U111" i="223"/>
  <c r="V111" i="223"/>
  <c r="M20" i="201"/>
  <c r="N20" i="201"/>
  <c r="O20" i="201"/>
  <c r="P20" i="201"/>
  <c r="Q21" i="187"/>
  <c r="R21" i="187"/>
  <c r="S21" i="187"/>
  <c r="T21" i="187"/>
  <c r="S31" i="223"/>
  <c r="T31" i="223"/>
  <c r="U31" i="223"/>
  <c r="V31" i="223"/>
  <c r="M29" i="221"/>
  <c r="N29" i="221"/>
  <c r="O29" i="221"/>
  <c r="P29" i="221"/>
  <c r="Q856" i="187"/>
  <c r="R856" i="187"/>
  <c r="S856" i="187"/>
  <c r="T856" i="187"/>
  <c r="U21" i="187"/>
  <c r="Q29" i="221"/>
  <c r="W31" i="223"/>
  <c r="M19" i="211"/>
  <c r="N19" i="211"/>
  <c r="O19" i="211"/>
  <c r="P19" i="211"/>
  <c r="M59" i="242"/>
  <c r="N59" i="242"/>
  <c r="O59" i="242"/>
  <c r="P59" i="242"/>
  <c r="M42" i="210"/>
  <c r="N42" i="210"/>
  <c r="O42" i="210"/>
  <c r="P42" i="210"/>
  <c r="S46" i="223"/>
  <c r="T46" i="223"/>
  <c r="U46" i="223"/>
  <c r="V46" i="223"/>
  <c r="M15" i="220"/>
  <c r="N15" i="220"/>
  <c r="O15" i="220"/>
  <c r="P15" i="220"/>
  <c r="M17" i="221"/>
  <c r="N17" i="221"/>
  <c r="O17" i="221"/>
  <c r="P17" i="221"/>
  <c r="M20" i="218"/>
  <c r="N20" i="218"/>
  <c r="O20" i="218"/>
  <c r="P20" i="218"/>
  <c r="O17" i="191"/>
  <c r="P17" i="191"/>
  <c r="Q17" i="191"/>
  <c r="R17" i="191"/>
  <c r="M239" i="242"/>
  <c r="N239" i="242"/>
  <c r="O239" i="242"/>
  <c r="P239" i="242"/>
  <c r="M21" i="242"/>
  <c r="N21" i="242"/>
  <c r="O21" i="242"/>
  <c r="P21" i="242"/>
  <c r="B3" i="249"/>
  <c r="AL848" i="187"/>
  <c r="AB844" i="187"/>
  <c r="AQ839" i="187"/>
  <c r="AQ843" i="187"/>
  <c r="AP846" i="187"/>
  <c r="AN849" i="187"/>
  <c r="AM839" i="187"/>
  <c r="AR849" i="187"/>
  <c r="AB848" i="187"/>
  <c r="AR848" i="187"/>
  <c r="AP845" i="187"/>
  <c r="AP893" i="187" s="1"/>
  <c r="AN847" i="187"/>
  <c r="AN895" i="187" s="1"/>
  <c r="AL845" i="187"/>
  <c r="AH886" i="187"/>
  <c r="H72" i="203"/>
  <c r="J72" i="203"/>
  <c r="E72" i="203"/>
  <c r="C72" i="203"/>
  <c r="N23" i="203"/>
  <c r="G72" i="203"/>
  <c r="K23" i="203"/>
  <c r="AD839" i="187"/>
  <c r="D72" i="203"/>
  <c r="X839" i="187"/>
  <c r="J23" i="203"/>
  <c r="O23" i="203"/>
  <c r="I72" i="203"/>
  <c r="P23" i="203"/>
  <c r="M23" i="203"/>
  <c r="I23" i="203"/>
  <c r="F72" i="203"/>
  <c r="K72" i="203"/>
  <c r="H23" i="203"/>
  <c r="Q23" i="203"/>
  <c r="R839" i="187"/>
  <c r="G53" i="249"/>
  <c r="AH888" i="187"/>
  <c r="I32" i="249"/>
  <c r="AH867" i="187"/>
  <c r="C74" i="203"/>
  <c r="R25" i="203"/>
  <c r="R23" i="203"/>
  <c r="AB892" i="187"/>
  <c r="AM896" i="187"/>
  <c r="AL896" i="187"/>
  <c r="E32" i="249"/>
  <c r="I19" i="249"/>
  <c r="E53" i="249"/>
  <c r="G19" i="249"/>
  <c r="I53" i="249"/>
  <c r="M496" i="206"/>
  <c r="M930" i="206"/>
  <c r="M493" i="206"/>
  <c r="I496" i="206"/>
  <c r="I930" i="206"/>
  <c r="L496" i="206"/>
  <c r="J496" i="206"/>
  <c r="K496" i="206"/>
  <c r="P269" i="242"/>
  <c r="Q262" i="242"/>
  <c r="Q268" i="242"/>
  <c r="P262" i="242"/>
  <c r="P268" i="242"/>
  <c r="O262" i="242"/>
  <c r="O268" i="242"/>
  <c r="Q263" i="242"/>
  <c r="Q269" i="242" s="1"/>
  <c r="M269" i="242"/>
  <c r="M270" i="242" s="1"/>
  <c r="O263" i="242"/>
  <c r="O269" i="242" s="1"/>
  <c r="N263" i="242"/>
  <c r="N269" i="242"/>
  <c r="Q233" i="242"/>
  <c r="P233" i="242"/>
  <c r="D231" i="242"/>
  <c r="D233" i="242"/>
  <c r="O231" i="242"/>
  <c r="O233" i="242"/>
  <c r="H231" i="242"/>
  <c r="L231" i="242"/>
  <c r="L233" i="242"/>
  <c r="I231" i="242"/>
  <c r="I233" i="242"/>
  <c r="E231" i="242"/>
  <c r="E233" i="242"/>
  <c r="H233" i="242"/>
  <c r="AD228" i="242"/>
  <c r="X29" i="242"/>
  <c r="H32" i="249"/>
  <c r="O39" i="252"/>
  <c r="O35" i="252"/>
  <c r="N41" i="252"/>
  <c r="O35" i="253"/>
  <c r="O35" i="255"/>
  <c r="I25" i="252"/>
  <c r="I28" i="252"/>
  <c r="J23" i="254"/>
  <c r="J26" i="254" s="1"/>
  <c r="J31" i="254" s="1"/>
  <c r="I29" i="254"/>
  <c r="K27" i="260"/>
  <c r="M44" i="255"/>
  <c r="M45" i="255"/>
  <c r="G27" i="260"/>
  <c r="G34" i="260"/>
  <c r="I44" i="255"/>
  <c r="I45" i="255"/>
  <c r="L36" i="252"/>
  <c r="L41" i="252" s="1"/>
  <c r="L37" i="252"/>
  <c r="L42" i="252"/>
  <c r="I29" i="252"/>
  <c r="I26" i="252"/>
  <c r="I31" i="252" s="1"/>
  <c r="J23" i="252"/>
  <c r="H40" i="252"/>
  <c r="I34" i="252"/>
  <c r="I37" i="252" s="1"/>
  <c r="I42" i="252" s="1"/>
  <c r="H36" i="252"/>
  <c r="H37" i="252"/>
  <c r="H42" i="252"/>
  <c r="M37" i="252"/>
  <c r="M42" i="252" s="1"/>
  <c r="M40" i="252"/>
  <c r="H22" i="255"/>
  <c r="F25" i="260"/>
  <c r="F34" i="260" s="1"/>
  <c r="G30" i="254"/>
  <c r="L26" i="254"/>
  <c r="L31" i="254"/>
  <c r="J27" i="261"/>
  <c r="L44" i="257"/>
  <c r="L45" i="257"/>
  <c r="I27" i="260"/>
  <c r="K44" i="255"/>
  <c r="K45" i="255"/>
  <c r="I25" i="256"/>
  <c r="I28" i="256"/>
  <c r="J26" i="256"/>
  <c r="J31" i="256"/>
  <c r="J44" i="255"/>
  <c r="J45" i="255"/>
  <c r="K25" i="254"/>
  <c r="M36" i="252"/>
  <c r="N35" i="253" s="1"/>
  <c r="K34" i="254"/>
  <c r="L37" i="256"/>
  <c r="L42" i="256" s="1"/>
  <c r="E30" i="252"/>
  <c r="M37" i="254"/>
  <c r="M42" i="254" s="1"/>
  <c r="I37" i="254"/>
  <c r="I42" i="254"/>
  <c r="M23" i="254"/>
  <c r="H26" i="256"/>
  <c r="H31" i="256" s="1"/>
  <c r="AD29" i="242"/>
  <c r="F31" i="242"/>
  <c r="X231" i="242"/>
  <c r="AD231" i="242"/>
  <c r="M41" i="252"/>
  <c r="J25" i="252"/>
  <c r="J28" i="252"/>
  <c r="J26" i="252"/>
  <c r="J31" i="252" s="1"/>
  <c r="I35" i="253"/>
  <c r="H41" i="252"/>
  <c r="M35" i="253"/>
  <c r="K27" i="259" s="1"/>
  <c r="I30" i="252"/>
  <c r="J22" i="253"/>
  <c r="H25" i="259" s="1"/>
  <c r="M25" i="254"/>
  <c r="N22" i="255" s="1"/>
  <c r="L25" i="260" s="1"/>
  <c r="L34" i="260" s="1"/>
  <c r="K30" i="254"/>
  <c r="L22" i="255"/>
  <c r="J25" i="260"/>
  <c r="I36" i="252"/>
  <c r="I39" i="252"/>
  <c r="J25" i="254"/>
  <c r="J30" i="254" s="1"/>
  <c r="J28" i="254"/>
  <c r="O37" i="255"/>
  <c r="K36" i="254"/>
  <c r="K37" i="254"/>
  <c r="K42" i="254"/>
  <c r="K39" i="254"/>
  <c r="J22" i="257"/>
  <c r="H25" i="261"/>
  <c r="I30" i="256"/>
  <c r="O40" i="253"/>
  <c r="O37" i="253"/>
  <c r="P37" i="253" s="1"/>
  <c r="O36" i="253"/>
  <c r="O43" i="253"/>
  <c r="O38" i="253"/>
  <c r="O41" i="253"/>
  <c r="O44" i="253"/>
  <c r="O45" i="253" s="1"/>
  <c r="O39" i="253"/>
  <c r="O42" i="253"/>
  <c r="O40" i="252"/>
  <c r="O37" i="252"/>
  <c r="O42" i="252"/>
  <c r="O36" i="252"/>
  <c r="P34" i="252"/>
  <c r="K22" i="255"/>
  <c r="I25" i="260"/>
  <c r="I34" i="260" s="1"/>
  <c r="O41" i="252"/>
  <c r="P35" i="253"/>
  <c r="K41" i="254"/>
  <c r="L35" i="255"/>
  <c r="L44" i="255" s="1"/>
  <c r="L45" i="255" s="1"/>
  <c r="G27" i="259"/>
  <c r="G34" i="259" s="1"/>
  <c r="I44" i="253"/>
  <c r="I45" i="253"/>
  <c r="L27" i="259"/>
  <c r="L34" i="259" s="1"/>
  <c r="N44" i="253"/>
  <c r="N45" i="253" s="1"/>
  <c r="M27" i="259"/>
  <c r="M30" i="254"/>
  <c r="M44" i="253"/>
  <c r="M45" i="253" s="1"/>
  <c r="P35" i="252"/>
  <c r="P36" i="252" s="1"/>
  <c r="P39" i="252"/>
  <c r="Q34" i="252"/>
  <c r="Q39" i="252" s="1"/>
  <c r="P37" i="252"/>
  <c r="P42" i="252" s="1"/>
  <c r="P40" i="252"/>
  <c r="P38" i="253"/>
  <c r="P41" i="253"/>
  <c r="C73" i="248"/>
  <c r="C76" i="248"/>
  <c r="J27" i="260" l="1"/>
  <c r="J34" i="260" s="1"/>
  <c r="J35" i="253"/>
  <c r="I41" i="252"/>
  <c r="P41" i="252"/>
  <c r="Q35" i="253"/>
  <c r="O38" i="255"/>
  <c r="O41" i="255"/>
  <c r="O43" i="255"/>
  <c r="O42" i="255"/>
  <c r="O36" i="255"/>
  <c r="O44" i="255" s="1"/>
  <c r="O45" i="255" s="1"/>
  <c r="O40" i="255"/>
  <c r="O39" i="255"/>
  <c r="K22" i="253"/>
  <c r="I25" i="259" s="1"/>
  <c r="I34" i="259" s="1"/>
  <c r="J30" i="252"/>
  <c r="M28" i="254"/>
  <c r="M26" i="254"/>
  <c r="M31" i="254" s="1"/>
  <c r="P39" i="253"/>
  <c r="P43" i="253"/>
  <c r="P40" i="253"/>
  <c r="P42" i="253"/>
  <c r="P36" i="253"/>
  <c r="N27" i="259" s="1"/>
  <c r="Q35" i="252"/>
  <c r="Q36" i="252" s="1"/>
  <c r="J37" i="256"/>
  <c r="J42" i="256" s="1"/>
  <c r="J36" i="256"/>
  <c r="J39" i="256"/>
  <c r="I27" i="259"/>
  <c r="K44" i="253"/>
  <c r="K45" i="253" s="1"/>
  <c r="O35" i="254"/>
  <c r="O36" i="254" s="1"/>
  <c r="O39" i="254"/>
  <c r="F30" i="256"/>
  <c r="G22" i="257"/>
  <c r="E25" i="261" s="1"/>
  <c r="E34" i="261" s="1"/>
  <c r="M37" i="256"/>
  <c r="M42" i="256" s="1"/>
  <c r="M36" i="256"/>
  <c r="M39" i="256"/>
  <c r="N35" i="256"/>
  <c r="N36" i="256" s="1"/>
  <c r="N39" i="256"/>
  <c r="L28" i="254"/>
  <c r="L25" i="254"/>
  <c r="H41" i="256"/>
  <c r="I35" i="257"/>
  <c r="K23" i="256"/>
  <c r="Q22" i="263"/>
  <c r="P160" i="263"/>
  <c r="O22" i="263"/>
  <c r="E22" i="263"/>
  <c r="M76" i="263"/>
  <c r="N88" i="263"/>
  <c r="M102" i="263"/>
  <c r="D130" i="263"/>
  <c r="N145" i="263"/>
  <c r="M160" i="263"/>
  <c r="D188" i="263"/>
  <c r="N202" i="263"/>
  <c r="M216" i="263"/>
  <c r="D244" i="263"/>
  <c r="N258" i="263"/>
  <c r="M272" i="263"/>
  <c r="D300" i="263"/>
  <c r="E328" i="263"/>
  <c r="G398" i="263"/>
  <c r="F398" i="263"/>
  <c r="M412" i="263"/>
  <c r="C454" i="263"/>
  <c r="P482" i="263"/>
  <c r="E496" i="263"/>
  <c r="Q524" i="263"/>
  <c r="P524" i="263"/>
  <c r="M30" i="252"/>
  <c r="L25" i="252"/>
  <c r="J35" i="257"/>
  <c r="L35" i="253"/>
  <c r="I23" i="254"/>
  <c r="M22" i="263"/>
  <c r="D22" i="263"/>
  <c r="N76" i="263"/>
  <c r="P88" i="263"/>
  <c r="O88" i="263"/>
  <c r="N102" i="263"/>
  <c r="F130" i="263"/>
  <c r="E130" i="263"/>
  <c r="P145" i="263"/>
  <c r="O145" i="263"/>
  <c r="N160" i="263"/>
  <c r="F188" i="263"/>
  <c r="E188" i="263"/>
  <c r="P202" i="263"/>
  <c r="O202" i="263"/>
  <c r="N216" i="263"/>
  <c r="F244" i="263"/>
  <c r="E244" i="263"/>
  <c r="P258" i="263"/>
  <c r="O258" i="263"/>
  <c r="N272" i="263"/>
  <c r="F300" i="263"/>
  <c r="E300" i="263"/>
  <c r="C314" i="263"/>
  <c r="F328" i="263"/>
  <c r="G328" i="263"/>
  <c r="C356" i="263"/>
  <c r="C398" i="263"/>
  <c r="Q412" i="263"/>
  <c r="C440" i="263"/>
  <c r="G454" i="263"/>
  <c r="C468" i="263"/>
  <c r="F482" i="263"/>
  <c r="F496" i="263"/>
  <c r="G496" i="263"/>
  <c r="M510" i="263"/>
  <c r="F524" i="263"/>
  <c r="M524" i="263"/>
  <c r="N622" i="263"/>
  <c r="O622" i="263"/>
  <c r="Q622" i="263"/>
  <c r="P622" i="263"/>
  <c r="F916" i="263"/>
  <c r="E916" i="263"/>
  <c r="C916" i="263"/>
  <c r="D916" i="263"/>
  <c r="O958" i="263"/>
  <c r="P958" i="263"/>
  <c r="N1378" i="263"/>
  <c r="M1378" i="263"/>
  <c r="Q1378" i="263"/>
  <c r="P1378" i="263"/>
  <c r="O1378" i="263"/>
  <c r="C1588" i="263"/>
  <c r="D1588" i="263"/>
  <c r="G1588" i="263"/>
  <c r="F1588" i="263"/>
  <c r="E1588" i="263"/>
  <c r="P76" i="263"/>
  <c r="O76" i="263"/>
  <c r="Q88" i="263"/>
  <c r="O102" i="263"/>
  <c r="O160" i="263"/>
  <c r="O216" i="263"/>
  <c r="O272" i="263"/>
  <c r="P412" i="263"/>
  <c r="F454" i="263"/>
  <c r="E776" i="263"/>
  <c r="F776" i="263"/>
  <c r="C776" i="263"/>
  <c r="G776" i="263"/>
  <c r="D776" i="263"/>
  <c r="D790" i="263"/>
  <c r="C790" i="263"/>
  <c r="F790" i="263"/>
  <c r="G790" i="263"/>
  <c r="M818" i="263"/>
  <c r="P818" i="263"/>
  <c r="Q818" i="263"/>
  <c r="O1014" i="263"/>
  <c r="P1014" i="263"/>
  <c r="M1028" i="263"/>
  <c r="N1028" i="263"/>
  <c r="Q1028" i="263"/>
  <c r="P1028" i="263"/>
  <c r="O1028" i="263"/>
  <c r="F1294" i="263"/>
  <c r="D1294" i="263"/>
  <c r="E1294" i="263"/>
  <c r="E1392" i="263"/>
  <c r="F1392" i="263"/>
  <c r="J41" i="252"/>
  <c r="C636" i="263"/>
  <c r="G636" i="263"/>
  <c r="C720" i="263"/>
  <c r="D720" i="263"/>
  <c r="G720" i="263"/>
  <c r="F720" i="263"/>
  <c r="E720" i="263"/>
  <c r="F748" i="263"/>
  <c r="G748" i="263"/>
  <c r="C748" i="263"/>
  <c r="C902" i="263"/>
  <c r="D902" i="263"/>
  <c r="F902" i="263"/>
  <c r="G902" i="263"/>
  <c r="Q1154" i="263"/>
  <c r="P1154" i="263"/>
  <c r="M1154" i="263"/>
  <c r="N1154" i="263"/>
  <c r="P1238" i="263"/>
  <c r="Q1238" i="263"/>
  <c r="C1308" i="263"/>
  <c r="D1308" i="263"/>
  <c r="G1308" i="263"/>
  <c r="F1308" i="263"/>
  <c r="E1308" i="263"/>
  <c r="N1476" i="263"/>
  <c r="O1476" i="263"/>
  <c r="P1476" i="263"/>
  <c r="N1532" i="263"/>
  <c r="O1532" i="263"/>
  <c r="P1532" i="263"/>
  <c r="P692" i="263"/>
  <c r="F734" i="263"/>
  <c r="Q860" i="263"/>
  <c r="P860" i="263"/>
  <c r="F972" i="263"/>
  <c r="P986" i="263"/>
  <c r="F1014" i="263"/>
  <c r="G1014" i="263"/>
  <c r="P1042" i="263"/>
  <c r="G1084" i="263"/>
  <c r="F1084" i="263"/>
  <c r="P1084" i="263"/>
  <c r="Q1084" i="263"/>
  <c r="E1126" i="263"/>
  <c r="F1126" i="263"/>
  <c r="O1140" i="263"/>
  <c r="P1140" i="263"/>
  <c r="E1182" i="263"/>
  <c r="F1182" i="263"/>
  <c r="O1196" i="263"/>
  <c r="P1196" i="263"/>
  <c r="F1252" i="263"/>
  <c r="G1252" i="263"/>
  <c r="D1280" i="263"/>
  <c r="F1350" i="263"/>
  <c r="F1630" i="263"/>
  <c r="P1658" i="263"/>
  <c r="Q1658" i="263"/>
  <c r="F1686" i="263"/>
  <c r="Q636" i="263"/>
  <c r="P636" i="263"/>
  <c r="O734" i="263"/>
  <c r="P734" i="263"/>
  <c r="E958" i="263"/>
  <c r="F958" i="263"/>
  <c r="O972" i="263"/>
  <c r="P972" i="263"/>
  <c r="G1028" i="263"/>
  <c r="F1028" i="263"/>
  <c r="Q304" i="239"/>
  <c r="Q29" i="239"/>
  <c r="Q306" i="239" s="1"/>
  <c r="U306" i="239"/>
  <c r="P306" i="239"/>
  <c r="L306" i="239"/>
  <c r="S306" i="239"/>
  <c r="F552" i="263"/>
  <c r="G552" i="263"/>
  <c r="O566" i="263"/>
  <c r="P566" i="263"/>
  <c r="N636" i="263"/>
  <c r="E664" i="263"/>
  <c r="F664" i="263"/>
  <c r="Q692" i="263"/>
  <c r="G734" i="263"/>
  <c r="N734" i="263"/>
  <c r="C804" i="263"/>
  <c r="P804" i="263"/>
  <c r="D958" i="263"/>
  <c r="G972" i="263"/>
  <c r="N972" i="263"/>
  <c r="Q986" i="263"/>
  <c r="E1014" i="263"/>
  <c r="D1028" i="263"/>
  <c r="Q1042" i="263"/>
  <c r="F1070" i="263"/>
  <c r="G1070" i="263"/>
  <c r="O1084" i="263"/>
  <c r="G1126" i="263"/>
  <c r="F1140" i="263"/>
  <c r="Q1140" i="263"/>
  <c r="G1182" i="263"/>
  <c r="F1196" i="263"/>
  <c r="Q1196" i="263"/>
  <c r="P1210" i="263"/>
  <c r="N1224" i="263"/>
  <c r="E1252" i="263"/>
  <c r="P1364" i="263"/>
  <c r="P1420" i="263"/>
  <c r="P1490" i="263"/>
  <c r="Q1490" i="263"/>
  <c r="P1588" i="263"/>
  <c r="P1616" i="263"/>
  <c r="O1658" i="263"/>
  <c r="K139" i="239"/>
  <c r="K306" i="239" s="1"/>
  <c r="K304" i="239"/>
  <c r="P304" i="239"/>
  <c r="P301" i="239"/>
  <c r="L124" i="211" s="1"/>
  <c r="I27" i="239"/>
  <c r="J29" i="239"/>
  <c r="M301" i="239"/>
  <c r="K301" i="239"/>
  <c r="G301" i="239"/>
  <c r="O169" i="239"/>
  <c r="O306" i="239" s="1"/>
  <c r="O227" i="239"/>
  <c r="O229" i="239" s="1"/>
  <c r="N187" i="239"/>
  <c r="N301" i="239"/>
  <c r="T301" i="239"/>
  <c r="P124" i="211" s="1"/>
  <c r="T27" i="239"/>
  <c r="J37" i="239"/>
  <c r="J39" i="239" s="1"/>
  <c r="J301" i="239"/>
  <c r="R37" i="239"/>
  <c r="R301" i="239"/>
  <c r="N124" i="211" s="1"/>
  <c r="L301" i="239"/>
  <c r="L304" i="239"/>
  <c r="G304" i="239"/>
  <c r="G337" i="239"/>
  <c r="G339" i="239" s="1"/>
  <c r="O123" i="211"/>
  <c r="O53" i="210" s="1"/>
  <c r="AD232" i="242"/>
  <c r="Y233" i="242"/>
  <c r="AD233" i="242" s="1"/>
  <c r="S233" i="242"/>
  <c r="X233" i="242" s="1"/>
  <c r="M77" i="206"/>
  <c r="M71" i="206"/>
  <c r="M180" i="206" s="1"/>
  <c r="M495" i="206"/>
  <c r="M366" i="206"/>
  <c r="M927" i="206"/>
  <c r="M618" i="206"/>
  <c r="M74" i="206"/>
  <c r="M80" i="206"/>
  <c r="J351" i="238"/>
  <c r="M839" i="187"/>
  <c r="P839" i="187"/>
  <c r="S839" i="187"/>
  <c r="AO847" i="187"/>
  <c r="AO895" i="187" s="1"/>
  <c r="AO897" i="187" s="1"/>
  <c r="AQ844" i="187"/>
  <c r="AQ892" i="187" s="1"/>
  <c r="AB849" i="187"/>
  <c r="AB842" i="187"/>
  <c r="G848" i="187"/>
  <c r="G896" i="187" s="1"/>
  <c r="AN846" i="187"/>
  <c r="AO849" i="187"/>
  <c r="N839" i="187"/>
  <c r="L839" i="187"/>
  <c r="AQ847" i="187"/>
  <c r="AQ895" i="187" s="1"/>
  <c r="AQ897" i="187" s="1"/>
  <c r="AO845" i="187"/>
  <c r="AO893" i="187" s="1"/>
  <c r="AN848" i="187"/>
  <c r="AB843" i="187"/>
  <c r="AO846" i="187"/>
  <c r="N270" i="242"/>
  <c r="O270" i="242"/>
  <c r="Q270" i="242"/>
  <c r="P270" i="242"/>
  <c r="L270" i="242"/>
  <c r="J245" i="206"/>
  <c r="E225" i="206"/>
  <c r="E227" i="206" s="1"/>
  <c r="I245" i="206"/>
  <c r="H225" i="206"/>
  <c r="H227" i="206" s="1"/>
  <c r="F225" i="206"/>
  <c r="F227" i="206" s="1"/>
  <c r="D244" i="206"/>
  <c r="L225" i="206"/>
  <c r="L227" i="206" s="1"/>
  <c r="D225" i="206"/>
  <c r="D227" i="206" s="1"/>
  <c r="E216" i="206"/>
  <c r="E249" i="206" s="1"/>
  <c r="M247" i="206"/>
  <c r="M216" i="206"/>
  <c r="M249" i="206" s="1"/>
  <c r="D214" i="206"/>
  <c r="D245" i="206"/>
  <c r="G245" i="206"/>
  <c r="G214" i="206"/>
  <c r="L216" i="206"/>
  <c r="L247" i="206"/>
  <c r="J216" i="206"/>
  <c r="J249" i="206" s="1"/>
  <c r="J247" i="206"/>
  <c r="H214" i="206"/>
  <c r="H245" i="206"/>
  <c r="K247" i="206"/>
  <c r="K216" i="206"/>
  <c r="K249" i="206" s="1"/>
  <c r="F212" i="206"/>
  <c r="I214" i="206"/>
  <c r="H244" i="206"/>
  <c r="I244" i="206"/>
  <c r="L507" i="206"/>
  <c r="L508" i="206" s="1"/>
  <c r="Q279" i="238"/>
  <c r="J928" i="206"/>
  <c r="J930" i="206" s="1"/>
  <c r="S279" i="238"/>
  <c r="H279" i="238"/>
  <c r="G279" i="238"/>
  <c r="L272" i="238"/>
  <c r="L275" i="238" s="1"/>
  <c r="L277" i="238" s="1"/>
  <c r="L284" i="238" s="1"/>
  <c r="H349" i="238"/>
  <c r="K349" i="238"/>
  <c r="J279" i="238"/>
  <c r="O279" i="238"/>
  <c r="H351" i="238"/>
  <c r="G846" i="187"/>
  <c r="G894" i="187" s="1"/>
  <c r="C25" i="203" s="1"/>
  <c r="K848" i="187"/>
  <c r="K896" i="187" s="1"/>
  <c r="AF839" i="187"/>
  <c r="Z839" i="187"/>
  <c r="U839" i="187"/>
  <c r="W839" i="187"/>
  <c r="AC839" i="187"/>
  <c r="AG839" i="187"/>
  <c r="O839" i="187"/>
  <c r="AE839" i="187"/>
  <c r="AM845" i="187"/>
  <c r="AM893" i="187" s="1"/>
  <c r="AP847" i="187"/>
  <c r="AP895" i="187" s="1"/>
  <c r="AP897" i="187" s="1"/>
  <c r="AR892" i="187"/>
  <c r="AN845" i="187"/>
  <c r="AN893" i="187" s="1"/>
  <c r="AQ842" i="187"/>
  <c r="I839" i="187"/>
  <c r="AR844" i="187"/>
  <c r="AO848" i="187"/>
  <c r="AM848" i="187"/>
  <c r="AM846" i="187"/>
  <c r="AL846" i="187"/>
  <c r="AL847" i="187" s="1"/>
  <c r="G839" i="187"/>
  <c r="AR845" i="187"/>
  <c r="AQ841" i="187"/>
  <c r="AO839" i="187"/>
  <c r="AR839" i="187"/>
  <c r="AR841" i="187"/>
  <c r="AN839" i="187"/>
  <c r="AH846" i="187"/>
  <c r="AH847" i="187" s="1"/>
  <c r="AH842" i="187"/>
  <c r="G893" i="187"/>
  <c r="H846" i="187"/>
  <c r="H894" i="187" s="1"/>
  <c r="D25" i="203" s="1"/>
  <c r="K893" i="187"/>
  <c r="AR843" i="187"/>
  <c r="H839" i="187"/>
  <c r="J839" i="187"/>
  <c r="AR842" i="187"/>
  <c r="AH841" i="187"/>
  <c r="H893" i="187"/>
  <c r="J846" i="187"/>
  <c r="J894" i="187" s="1"/>
  <c r="AA839" i="187"/>
  <c r="T839" i="187"/>
  <c r="Q839" i="187"/>
  <c r="Y839" i="187"/>
  <c r="AS893" i="187"/>
  <c r="AS895" i="187"/>
  <c r="AS897" i="187" s="1"/>
  <c r="AQ845" i="187"/>
  <c r="AQ893" i="187" s="1"/>
  <c r="AP848" i="187"/>
  <c r="AB841" i="187"/>
  <c r="AQ848" i="187"/>
  <c r="H848" i="187"/>
  <c r="H896" i="187" s="1"/>
  <c r="AQ849" i="187"/>
  <c r="AR846" i="187"/>
  <c r="AP849" i="187"/>
  <c r="AB846" i="187"/>
  <c r="AP839" i="187"/>
  <c r="AQ846" i="187"/>
  <c r="K839" i="187"/>
  <c r="AR847" i="187"/>
  <c r="AL839" i="187"/>
  <c r="AH849" i="187"/>
  <c r="AH844" i="187"/>
  <c r="I846" i="187"/>
  <c r="I894" i="187" s="1"/>
  <c r="E25" i="203" s="1"/>
  <c r="K846" i="187"/>
  <c r="K894" i="187" s="1"/>
  <c r="G25" i="203" s="1"/>
  <c r="J893" i="187"/>
  <c r="J848" i="187"/>
  <c r="J896" i="187" s="1"/>
  <c r="R275" i="238"/>
  <c r="R277" i="238" s="1"/>
  <c r="R284" i="238" s="1"/>
  <c r="U279" i="238"/>
  <c r="T272" i="238"/>
  <c r="T275" i="238" s="1"/>
  <c r="T282" i="238" s="1"/>
  <c r="I279" i="238"/>
  <c r="K351" i="238"/>
  <c r="K347" i="238"/>
  <c r="J348" i="238"/>
  <c r="K352" i="238"/>
  <c r="J275" i="238"/>
  <c r="J277" i="238" s="1"/>
  <c r="J284" i="238" s="1"/>
  <c r="I348" i="238"/>
  <c r="I351" i="238"/>
  <c r="K348" i="238"/>
  <c r="I352" i="238"/>
  <c r="P275" i="238"/>
  <c r="P277" i="238" s="1"/>
  <c r="P284" i="238" s="1"/>
  <c r="R279" i="238"/>
  <c r="J350" i="238"/>
  <c r="H275" i="238"/>
  <c r="H282" i="238" s="1"/>
  <c r="J349" i="238"/>
  <c r="J352" i="238"/>
  <c r="H352" i="238"/>
  <c r="G349" i="238"/>
  <c r="I349" i="238"/>
  <c r="O275" i="238"/>
  <c r="O282" i="238" s="1"/>
  <c r="Q275" i="238"/>
  <c r="Q282" i="238" s="1"/>
  <c r="H348" i="238"/>
  <c r="H347" i="238"/>
  <c r="K350" i="238"/>
  <c r="G348" i="238"/>
  <c r="G351" i="238"/>
  <c r="G352" i="238"/>
  <c r="H350" i="238"/>
  <c r="N275" i="238"/>
  <c r="N282" i="238" s="1"/>
  <c r="K275" i="238"/>
  <c r="K277" i="238" s="1"/>
  <c r="K284" i="238" s="1"/>
  <c r="AN897" i="187"/>
  <c r="V275" i="238"/>
  <c r="V282" i="238" s="1"/>
  <c r="P279" i="238"/>
  <c r="I347" i="238"/>
  <c r="G350" i="238"/>
  <c r="G347" i="238"/>
  <c r="I350" i="238"/>
  <c r="V279" i="238"/>
  <c r="G275" i="238"/>
  <c r="J347" i="238"/>
  <c r="N279" i="238"/>
  <c r="K279" i="238"/>
  <c r="M272" i="238"/>
  <c r="M275" i="238" s="1"/>
  <c r="E49" i="247"/>
  <c r="E51" i="247"/>
  <c r="E48" i="247"/>
  <c r="B3" i="243"/>
  <c r="E55" i="247"/>
  <c r="C3" i="233"/>
  <c r="E52" i="247"/>
  <c r="C3" i="216"/>
  <c r="B3" i="224"/>
  <c r="B3" i="258"/>
  <c r="B3" i="253"/>
  <c r="B3" i="257"/>
  <c r="B3" i="206"/>
  <c r="B3" i="221"/>
  <c r="B3" i="254"/>
  <c r="B3" i="256"/>
  <c r="B3" i="255"/>
  <c r="B3" i="191"/>
  <c r="E3" i="235"/>
  <c r="B3" i="252"/>
  <c r="B3" i="260"/>
  <c r="B3" i="251"/>
  <c r="B3" i="242"/>
  <c r="B3" i="232"/>
  <c r="C3" i="246"/>
  <c r="E3" i="238"/>
  <c r="B3" i="248"/>
  <c r="C20" i="246" s="1"/>
  <c r="B3" i="94"/>
  <c r="B3" i="259"/>
  <c r="E3" i="187"/>
  <c r="E3" i="239"/>
  <c r="B3" i="262"/>
  <c r="B3" i="210"/>
  <c r="B3" i="245"/>
  <c r="B3" i="261"/>
  <c r="B3" i="190"/>
  <c r="B3" i="211"/>
  <c r="B3" i="218"/>
  <c r="B3" i="220"/>
  <c r="E3" i="205"/>
  <c r="B3" i="217"/>
  <c r="B3" i="223"/>
  <c r="E53" i="247"/>
  <c r="C57" i="248" s="1"/>
  <c r="B3" i="201"/>
  <c r="AL893" i="187"/>
  <c r="U275" i="238"/>
  <c r="I275" i="238"/>
  <c r="S275" i="238"/>
  <c r="I893" i="187"/>
  <c r="O41" i="254" l="1"/>
  <c r="P35" i="255"/>
  <c r="O35" i="257"/>
  <c r="N41" i="256"/>
  <c r="Q41" i="252"/>
  <c r="R35" i="253"/>
  <c r="T29" i="239"/>
  <c r="T306" i="239" s="1"/>
  <c r="T304" i="239"/>
  <c r="M22" i="253"/>
  <c r="K25" i="259" s="1"/>
  <c r="K34" i="259" s="1"/>
  <c r="L30" i="252"/>
  <c r="K28" i="256"/>
  <c r="K25" i="256"/>
  <c r="K26" i="256"/>
  <c r="K31" i="256" s="1"/>
  <c r="R304" i="239"/>
  <c r="R39" i="239"/>
  <c r="R306" i="239" s="1"/>
  <c r="J306" i="239"/>
  <c r="J304" i="239"/>
  <c r="I26" i="254"/>
  <c r="I31" i="254" s="1"/>
  <c r="I28" i="254"/>
  <c r="I25" i="254"/>
  <c r="G27" i="261"/>
  <c r="G34" i="261" s="1"/>
  <c r="I44" i="257"/>
  <c r="I45" i="257" s="1"/>
  <c r="N35" i="257"/>
  <c r="M41" i="256"/>
  <c r="P44" i="253"/>
  <c r="P45" i="253" s="1"/>
  <c r="M27" i="260"/>
  <c r="I304" i="239"/>
  <c r="I29" i="239"/>
  <c r="I306" i="239" s="1"/>
  <c r="O304" i="239"/>
  <c r="L44" i="253"/>
  <c r="L45" i="253" s="1"/>
  <c r="J27" i="259"/>
  <c r="J34" i="259" s="1"/>
  <c r="Q37" i="252"/>
  <c r="Q42" i="252" s="1"/>
  <c r="R34" i="252"/>
  <c r="Q40" i="252"/>
  <c r="H27" i="259"/>
  <c r="H34" i="259" s="1"/>
  <c r="J44" i="253"/>
  <c r="J45" i="253" s="1"/>
  <c r="N189" i="239"/>
  <c r="N306" i="239" s="1"/>
  <c r="N304" i="239"/>
  <c r="J44" i="257"/>
  <c r="J45" i="257" s="1"/>
  <c r="H27" i="261"/>
  <c r="H34" i="261" s="1"/>
  <c r="M22" i="255"/>
  <c r="K25" i="260" s="1"/>
  <c r="K34" i="260" s="1"/>
  <c r="L30" i="254"/>
  <c r="O34" i="256"/>
  <c r="N40" i="256"/>
  <c r="N37" i="256"/>
  <c r="N42" i="256" s="1"/>
  <c r="O40" i="254"/>
  <c r="O37" i="254"/>
  <c r="O42" i="254" s="1"/>
  <c r="P34" i="254"/>
  <c r="J41" i="256"/>
  <c r="K35" i="257"/>
  <c r="Q36" i="253"/>
  <c r="Q37" i="253"/>
  <c r="Q44" i="253" s="1"/>
  <c r="Q45" i="253" s="1"/>
  <c r="Q38" i="253"/>
  <c r="Q42" i="253"/>
  <c r="Q41" i="253"/>
  <c r="Q40" i="253"/>
  <c r="Q43" i="253"/>
  <c r="Q39" i="253"/>
  <c r="M929" i="206"/>
  <c r="M218" i="206"/>
  <c r="M240" i="206" s="1"/>
  <c r="M189" i="206"/>
  <c r="L249" i="206"/>
  <c r="E247" i="206"/>
  <c r="G247" i="206"/>
  <c r="G216" i="206"/>
  <c r="G249" i="206" s="1"/>
  <c r="I216" i="206"/>
  <c r="I249" i="206" s="1"/>
  <c r="I247" i="206"/>
  <c r="H247" i="206"/>
  <c r="H216" i="206"/>
  <c r="H249" i="206" s="1"/>
  <c r="F245" i="206"/>
  <c r="F214" i="206"/>
  <c r="D247" i="206"/>
  <c r="D216" i="206"/>
  <c r="D249" i="206" s="1"/>
  <c r="AR893" i="187"/>
  <c r="H847" i="187"/>
  <c r="H849" i="187" s="1"/>
  <c r="K282" i="238"/>
  <c r="R282" i="238"/>
  <c r="AS892" i="187"/>
  <c r="O277" i="238"/>
  <c r="O284" i="238" s="1"/>
  <c r="G847" i="187"/>
  <c r="G895" i="187" s="1"/>
  <c r="G897" i="187" s="1"/>
  <c r="AM847" i="187"/>
  <c r="AM895" i="187" s="1"/>
  <c r="AM897" i="187" s="1"/>
  <c r="N277" i="238"/>
  <c r="N284" i="238" s="1"/>
  <c r="AR895" i="187"/>
  <c r="AR897" i="187" s="1"/>
  <c r="J282" i="238"/>
  <c r="I847" i="187"/>
  <c r="I895" i="187" s="1"/>
  <c r="I897" i="187" s="1"/>
  <c r="V277" i="238"/>
  <c r="V284" i="238" s="1"/>
  <c r="Q277" i="238"/>
  <c r="Q284" i="238" s="1"/>
  <c r="J847" i="187"/>
  <c r="J849" i="187" s="1"/>
  <c r="P282" i="238"/>
  <c r="K847" i="187"/>
  <c r="L282" i="238"/>
  <c r="H277" i="238"/>
  <c r="H284" i="238" s="1"/>
  <c r="T277" i="238"/>
  <c r="T284" i="238" s="1"/>
  <c r="M282" i="238"/>
  <c r="M277" i="238"/>
  <c r="M284" i="238" s="1"/>
  <c r="G277" i="238"/>
  <c r="G284" i="238" s="1"/>
  <c r="G282" i="238"/>
  <c r="I277" i="238"/>
  <c r="I284" i="238" s="1"/>
  <c r="I282" i="238"/>
  <c r="F25" i="203"/>
  <c r="AL849" i="187"/>
  <c r="AL895" i="187"/>
  <c r="AL897" i="187" s="1"/>
  <c r="S282" i="238"/>
  <c r="S277" i="238"/>
  <c r="S284" i="238" s="1"/>
  <c r="U277" i="238"/>
  <c r="U284" i="238" s="1"/>
  <c r="U282" i="238"/>
  <c r="P39" i="254" l="1"/>
  <c r="P35" i="254"/>
  <c r="P36" i="254"/>
  <c r="I30" i="254"/>
  <c r="J22" i="255"/>
  <c r="H25" i="260" s="1"/>
  <c r="H34" i="260" s="1"/>
  <c r="N44" i="257"/>
  <c r="N45" i="257" s="1"/>
  <c r="L27" i="261"/>
  <c r="L34" i="261" s="1"/>
  <c r="O43" i="257"/>
  <c r="O40" i="257"/>
  <c r="O42" i="257"/>
  <c r="O36" i="257"/>
  <c r="O41" i="257"/>
  <c r="O38" i="257"/>
  <c r="O37" i="257"/>
  <c r="O39" i="257"/>
  <c r="O44" i="257"/>
  <c r="O45" i="257" s="1"/>
  <c r="K30" i="256"/>
  <c r="L22" i="257"/>
  <c r="J25" i="261" s="1"/>
  <c r="J34" i="261" s="1"/>
  <c r="O27" i="259"/>
  <c r="O36" i="256"/>
  <c r="O39" i="256"/>
  <c r="O35" i="256"/>
  <c r="K44" i="257"/>
  <c r="K45" i="257" s="1"/>
  <c r="I27" i="261"/>
  <c r="I34" i="261" s="1"/>
  <c r="R36" i="253"/>
  <c r="R44" i="253" s="1"/>
  <c r="R45" i="253" s="1"/>
  <c r="R38" i="253"/>
  <c r="R41" i="253"/>
  <c r="R37" i="253"/>
  <c r="R43" i="253"/>
  <c r="R39" i="253"/>
  <c r="R42" i="253"/>
  <c r="R40" i="253"/>
  <c r="P40" i="255"/>
  <c r="P42" i="255"/>
  <c r="P39" i="255"/>
  <c r="P36" i="255"/>
  <c r="P44" i="255" s="1"/>
  <c r="P45" i="255" s="1"/>
  <c r="P38" i="255"/>
  <c r="P37" i="255"/>
  <c r="P43" i="255"/>
  <c r="P41" i="255"/>
  <c r="R35" i="252"/>
  <c r="R36" i="252"/>
  <c r="R39" i="252"/>
  <c r="F247" i="206"/>
  <c r="F216" i="206"/>
  <c r="F249" i="206" s="1"/>
  <c r="H895" i="187"/>
  <c r="H897" i="187" s="1"/>
  <c r="J895" i="187"/>
  <c r="J897" i="187" s="1"/>
  <c r="G849" i="187"/>
  <c r="AM849" i="187"/>
  <c r="I849" i="187"/>
  <c r="K895" i="187"/>
  <c r="K897" i="187" s="1"/>
  <c r="K849" i="187"/>
  <c r="S34" i="252" l="1"/>
  <c r="R37" i="252"/>
  <c r="R42" i="252" s="1"/>
  <c r="R40" i="252"/>
  <c r="M27" i="261"/>
  <c r="P41" i="254"/>
  <c r="Q35" i="255"/>
  <c r="R41" i="252"/>
  <c r="S35" i="253"/>
  <c r="P35" i="257"/>
  <c r="O41" i="256"/>
  <c r="P34" i="256"/>
  <c r="O37" i="256"/>
  <c r="O42" i="256" s="1"/>
  <c r="O40" i="256"/>
  <c r="Q34" i="254"/>
  <c r="P37" i="254"/>
  <c r="P42" i="254" s="1"/>
  <c r="P40" i="254"/>
  <c r="N27" i="260"/>
  <c r="P27" i="259"/>
  <c r="AB897" i="187"/>
  <c r="AB895" i="187"/>
  <c r="S43" i="253" l="1"/>
  <c r="S36" i="253"/>
  <c r="S37" i="253"/>
  <c r="S39" i="253"/>
  <c r="S40" i="253"/>
  <c r="S38" i="253"/>
  <c r="S44" i="253" s="1"/>
  <c r="S45" i="253" s="1"/>
  <c r="S41" i="253"/>
  <c r="S42" i="253"/>
  <c r="P39" i="256"/>
  <c r="P35" i="256"/>
  <c r="P36" i="256"/>
  <c r="Q39" i="254"/>
  <c r="Q35" i="254"/>
  <c r="Q36" i="254" s="1"/>
  <c r="Q38" i="255"/>
  <c r="Q39" i="255"/>
  <c r="Q42" i="255"/>
  <c r="Q43" i="255"/>
  <c r="Q36" i="255"/>
  <c r="O27" i="260" s="1"/>
  <c r="Q41" i="255"/>
  <c r="Q37" i="255"/>
  <c r="Q40" i="255"/>
  <c r="P40" i="257"/>
  <c r="P42" i="257"/>
  <c r="P41" i="257"/>
  <c r="P36" i="257"/>
  <c r="N27" i="261" s="1"/>
  <c r="P39" i="257"/>
  <c r="P38" i="257"/>
  <c r="P43" i="257"/>
  <c r="P37" i="257"/>
  <c r="S39" i="252"/>
  <c r="S35" i="252"/>
  <c r="S36" i="252"/>
  <c r="R35" i="255" l="1"/>
  <c r="Q41" i="254"/>
  <c r="P41" i="256"/>
  <c r="Q35" i="257"/>
  <c r="T34" i="252"/>
  <c r="S40" i="252"/>
  <c r="S37" i="252"/>
  <c r="S42" i="252" s="1"/>
  <c r="Q44" i="255"/>
  <c r="Q45" i="255" s="1"/>
  <c r="Q34" i="256"/>
  <c r="P40" i="256"/>
  <c r="P37" i="256"/>
  <c r="P42" i="256" s="1"/>
  <c r="R34" i="254"/>
  <c r="Q40" i="254"/>
  <c r="Q37" i="254"/>
  <c r="Q42" i="254" s="1"/>
  <c r="Q27" i="259"/>
  <c r="S41" i="252"/>
  <c r="T35" i="253"/>
  <c r="P44" i="257"/>
  <c r="P45" i="257" s="1"/>
  <c r="R39" i="254" l="1"/>
  <c r="R36" i="254"/>
  <c r="R35" i="254"/>
  <c r="Q38" i="257"/>
  <c r="Q41" i="257"/>
  <c r="Q37" i="257"/>
  <c r="Q44" i="257" s="1"/>
  <c r="Q45" i="257" s="1"/>
  <c r="Q39" i="257"/>
  <c r="Q42" i="257"/>
  <c r="Q40" i="257"/>
  <c r="Q43" i="257"/>
  <c r="Q36" i="257"/>
  <c r="O27" i="261" s="1"/>
  <c r="T36" i="253"/>
  <c r="T44" i="253" s="1"/>
  <c r="T45" i="253" s="1"/>
  <c r="T41" i="253"/>
  <c r="T39" i="253"/>
  <c r="T37" i="253"/>
  <c r="T38" i="253"/>
  <c r="T40" i="253"/>
  <c r="T43" i="253"/>
  <c r="T42" i="253"/>
  <c r="Q36" i="256"/>
  <c r="Q35" i="256"/>
  <c r="Q39" i="256"/>
  <c r="T35" i="252"/>
  <c r="T39" i="252"/>
  <c r="R38" i="255"/>
  <c r="R39" i="255"/>
  <c r="R44" i="255" s="1"/>
  <c r="R45" i="255" s="1"/>
  <c r="R42" i="255"/>
  <c r="R36" i="255"/>
  <c r="R37" i="255"/>
  <c r="R40" i="255"/>
  <c r="R41" i="255"/>
  <c r="R43" i="255"/>
  <c r="P27" i="260" l="1"/>
  <c r="Q40" i="256"/>
  <c r="Q37" i="256"/>
  <c r="Q42" i="256" s="1"/>
  <c r="R34" i="256"/>
  <c r="R40" i="254"/>
  <c r="S34" i="254"/>
  <c r="R37" i="254"/>
  <c r="R42" i="254" s="1"/>
  <c r="T40" i="252"/>
  <c r="T37" i="252"/>
  <c r="T42" i="252" s="1"/>
  <c r="U34" i="252"/>
  <c r="T36" i="252"/>
  <c r="R35" i="257"/>
  <c r="Q41" i="256"/>
  <c r="S35" i="255"/>
  <c r="R41" i="254"/>
  <c r="R27" i="259"/>
  <c r="U35" i="253" l="1"/>
  <c r="T41" i="252"/>
  <c r="R41" i="257"/>
  <c r="R40" i="257"/>
  <c r="R38" i="257"/>
  <c r="R37" i="257"/>
  <c r="R39" i="257"/>
  <c r="R42" i="257"/>
  <c r="R36" i="257"/>
  <c r="R44" i="257" s="1"/>
  <c r="R45" i="257" s="1"/>
  <c r="R43" i="257"/>
  <c r="R36" i="256"/>
  <c r="R39" i="256"/>
  <c r="R35" i="256"/>
  <c r="S39" i="255"/>
  <c r="S38" i="255"/>
  <c r="S41" i="255"/>
  <c r="S42" i="255"/>
  <c r="S43" i="255"/>
  <c r="S40" i="255"/>
  <c r="S37" i="255"/>
  <c r="S36" i="255"/>
  <c r="Q27" i="260" s="1"/>
  <c r="U35" i="252"/>
  <c r="U39" i="252"/>
  <c r="S39" i="254"/>
  <c r="S35" i="254"/>
  <c r="T34" i="254" l="1"/>
  <c r="S40" i="254"/>
  <c r="S37" i="254"/>
  <c r="S42" i="254" s="1"/>
  <c r="U40" i="252"/>
  <c r="U37" i="252"/>
  <c r="U42" i="252" s="1"/>
  <c r="V34" i="252"/>
  <c r="R41" i="256"/>
  <c r="S35" i="257"/>
  <c r="S44" i="255"/>
  <c r="S45" i="255" s="1"/>
  <c r="P27" i="261"/>
  <c r="S34" i="256"/>
  <c r="R40" i="256"/>
  <c r="R37" i="256"/>
  <c r="R42" i="256" s="1"/>
  <c r="S36" i="254"/>
  <c r="U36" i="252"/>
  <c r="U42" i="253"/>
  <c r="U41" i="253"/>
  <c r="U40" i="253"/>
  <c r="U36" i="253"/>
  <c r="U37" i="253"/>
  <c r="U43" i="253"/>
  <c r="U39" i="253"/>
  <c r="U38" i="253"/>
  <c r="S27" i="259" l="1"/>
  <c r="S41" i="257"/>
  <c r="S39" i="257"/>
  <c r="S37" i="257"/>
  <c r="S40" i="257"/>
  <c r="S42" i="257"/>
  <c r="S38" i="257"/>
  <c r="S43" i="257"/>
  <c r="S36" i="257"/>
  <c r="Q27" i="261" s="1"/>
  <c r="U44" i="253"/>
  <c r="U45" i="253" s="1"/>
  <c r="V35" i="253"/>
  <c r="U41" i="252"/>
  <c r="S36" i="256"/>
  <c r="S35" i="256"/>
  <c r="S39" i="256"/>
  <c r="V39" i="252"/>
  <c r="V35" i="252"/>
  <c r="V36" i="252" s="1"/>
  <c r="T35" i="255"/>
  <c r="S41" i="254"/>
  <c r="T36" i="254"/>
  <c r="T35" i="254"/>
  <c r="T39" i="254"/>
  <c r="V41" i="252" l="1"/>
  <c r="W35" i="253"/>
  <c r="T39" i="255"/>
  <c r="T37" i="255"/>
  <c r="T43" i="255"/>
  <c r="T42" i="255"/>
  <c r="T36" i="255"/>
  <c r="R27" i="260" s="1"/>
  <c r="T40" i="255"/>
  <c r="T41" i="255"/>
  <c r="T38" i="255"/>
  <c r="V41" i="253"/>
  <c r="V37" i="253"/>
  <c r="V38" i="253"/>
  <c r="V43" i="253"/>
  <c r="V36" i="253"/>
  <c r="T27" i="259" s="1"/>
  <c r="V42" i="253"/>
  <c r="V40" i="253"/>
  <c r="V39" i="253"/>
  <c r="T40" i="254"/>
  <c r="T37" i="254"/>
  <c r="T42" i="254" s="1"/>
  <c r="U34" i="254"/>
  <c r="S40" i="256"/>
  <c r="T34" i="256"/>
  <c r="S37" i="256"/>
  <c r="S42" i="256" s="1"/>
  <c r="T41" i="254"/>
  <c r="U35" i="255"/>
  <c r="V40" i="252"/>
  <c r="V37" i="252"/>
  <c r="V42" i="252" s="1"/>
  <c r="W34" i="252"/>
  <c r="T35" i="257"/>
  <c r="S41" i="256"/>
  <c r="S44" i="257"/>
  <c r="S45" i="257" s="1"/>
  <c r="T36" i="257" l="1"/>
  <c r="T41" i="257"/>
  <c r="T37" i="257"/>
  <c r="T43" i="257"/>
  <c r="T39" i="257"/>
  <c r="T40" i="257"/>
  <c r="T38" i="257"/>
  <c r="T42" i="257"/>
  <c r="T44" i="257"/>
  <c r="T45" i="257" s="1"/>
  <c r="U36" i="255"/>
  <c r="U44" i="255" s="1"/>
  <c r="U45" i="255" s="1"/>
  <c r="U40" i="255"/>
  <c r="U43" i="255"/>
  <c r="U42" i="255"/>
  <c r="U38" i="255"/>
  <c r="U41" i="255"/>
  <c r="U39" i="255"/>
  <c r="U37" i="255"/>
  <c r="W35" i="252"/>
  <c r="W36" i="252"/>
  <c r="W39" i="252"/>
  <c r="U36" i="254"/>
  <c r="U39" i="254"/>
  <c r="U35" i="254"/>
  <c r="T44" i="255"/>
  <c r="T45" i="255" s="1"/>
  <c r="V44" i="253"/>
  <c r="V45" i="253" s="1"/>
  <c r="W38" i="253"/>
  <c r="W36" i="253"/>
  <c r="U27" i="259" s="1"/>
  <c r="W42" i="253"/>
  <c r="W41" i="253"/>
  <c r="W39" i="253"/>
  <c r="W40" i="253"/>
  <c r="W43" i="253"/>
  <c r="W37" i="253"/>
  <c r="T35" i="256"/>
  <c r="T39" i="256"/>
  <c r="T36" i="256"/>
  <c r="U35" i="257" l="1"/>
  <c r="T41" i="256"/>
  <c r="T37" i="256"/>
  <c r="T42" i="256" s="1"/>
  <c r="U34" i="256"/>
  <c r="T40" i="256"/>
  <c r="W44" i="253"/>
  <c r="W45" i="253" s="1"/>
  <c r="V34" i="254"/>
  <c r="U37" i="254"/>
  <c r="U42" i="254" s="1"/>
  <c r="U40" i="254"/>
  <c r="X35" i="253"/>
  <c r="W41" i="252"/>
  <c r="X34" i="252"/>
  <c r="W37" i="252"/>
  <c r="W42" i="252" s="1"/>
  <c r="W40" i="252"/>
  <c r="V35" i="255"/>
  <c r="U41" i="254"/>
  <c r="S27" i="260"/>
  <c r="R27" i="261"/>
  <c r="X35" i="252" l="1"/>
  <c r="X36" i="252"/>
  <c r="X39" i="252"/>
  <c r="U35" i="256"/>
  <c r="U36" i="256" s="1"/>
  <c r="U39" i="256"/>
  <c r="V41" i="255"/>
  <c r="V39" i="255"/>
  <c r="V42" i="255"/>
  <c r="V38" i="255"/>
  <c r="V36" i="255"/>
  <c r="T27" i="260" s="1"/>
  <c r="V43" i="255"/>
  <c r="V37" i="255"/>
  <c r="V40" i="255"/>
  <c r="V39" i="254"/>
  <c r="V35" i="254"/>
  <c r="X39" i="253"/>
  <c r="X38" i="253"/>
  <c r="X37" i="253"/>
  <c r="X40" i="253"/>
  <c r="X43" i="253"/>
  <c r="X44" i="253"/>
  <c r="X45" i="253" s="1"/>
  <c r="X42" i="253"/>
  <c r="X36" i="253"/>
  <c r="X41" i="253"/>
  <c r="U41" i="257"/>
  <c r="U38" i="257"/>
  <c r="U36" i="257"/>
  <c r="U40" i="257"/>
  <c r="U37" i="257"/>
  <c r="U39" i="257"/>
  <c r="U44" i="257" s="1"/>
  <c r="U45" i="257" s="1"/>
  <c r="U42" i="257"/>
  <c r="U43" i="257"/>
  <c r="U41" i="256" l="1"/>
  <c r="V35" i="257"/>
  <c r="S27" i="261"/>
  <c r="V27" i="259"/>
  <c r="V40" i="254"/>
  <c r="W34" i="254"/>
  <c r="V37" i="254"/>
  <c r="V42" i="254" s="1"/>
  <c r="Y35" i="253"/>
  <c r="X41" i="252"/>
  <c r="U37" i="256"/>
  <c r="U42" i="256" s="1"/>
  <c r="V34" i="256"/>
  <c r="U40" i="256"/>
  <c r="V36" i="254"/>
  <c r="V44" i="255"/>
  <c r="V45" i="255" s="1"/>
  <c r="X37" i="252"/>
  <c r="X42" i="252" s="1"/>
  <c r="Y34" i="252"/>
  <c r="X40" i="252"/>
  <c r="W39" i="254" l="1"/>
  <c r="W36" i="254"/>
  <c r="W35" i="254"/>
  <c r="V40" i="257"/>
  <c r="V39" i="257"/>
  <c r="V41" i="257"/>
  <c r="V43" i="257"/>
  <c r="V42" i="257"/>
  <c r="V36" i="257"/>
  <c r="T27" i="261" s="1"/>
  <c r="V38" i="257"/>
  <c r="V37" i="257"/>
  <c r="Y36" i="252"/>
  <c r="Y39" i="252"/>
  <c r="Y35" i="252"/>
  <c r="Y38" i="253"/>
  <c r="Y36" i="253"/>
  <c r="Y44" i="253" s="1"/>
  <c r="Y45" i="253" s="1"/>
  <c r="Y42" i="253"/>
  <c r="Y40" i="253"/>
  <c r="Y43" i="253"/>
  <c r="Y39" i="253"/>
  <c r="Y41" i="253"/>
  <c r="Y37" i="253"/>
  <c r="V36" i="256"/>
  <c r="V39" i="256"/>
  <c r="V35" i="256"/>
  <c r="W35" i="255"/>
  <c r="V41" i="254"/>
  <c r="V41" i="256" l="1"/>
  <c r="W35" i="257"/>
  <c r="W39" i="255"/>
  <c r="W37" i="255"/>
  <c r="W41" i="255"/>
  <c r="W38" i="255"/>
  <c r="W36" i="255"/>
  <c r="W43" i="255"/>
  <c r="W40" i="255"/>
  <c r="W42" i="255"/>
  <c r="W34" i="256"/>
  <c r="V37" i="256"/>
  <c r="V42" i="256" s="1"/>
  <c r="V40" i="256"/>
  <c r="Y40" i="252"/>
  <c r="Z34" i="252"/>
  <c r="Y37" i="252"/>
  <c r="Y42" i="252" s="1"/>
  <c r="W40" i="254"/>
  <c r="W37" i="254"/>
  <c r="W42" i="254" s="1"/>
  <c r="X34" i="254"/>
  <c r="X35" i="255"/>
  <c r="W41" i="254"/>
  <c r="W27" i="259"/>
  <c r="Z35" i="253"/>
  <c r="Y41" i="252"/>
  <c r="V44" i="257"/>
  <c r="V45" i="257" s="1"/>
  <c r="U27" i="260" l="1"/>
  <c r="Z37" i="253"/>
  <c r="Z43" i="253"/>
  <c r="Z39" i="253"/>
  <c r="Z38" i="253"/>
  <c r="Z40" i="253"/>
  <c r="Z36" i="253"/>
  <c r="Z42" i="253"/>
  <c r="Z44" i="253"/>
  <c r="Z45" i="253" s="1"/>
  <c r="Z41" i="253"/>
  <c r="X35" i="254"/>
  <c r="X36" i="254"/>
  <c r="X39" i="254"/>
  <c r="Z39" i="252"/>
  <c r="Z35" i="252"/>
  <c r="W35" i="256"/>
  <c r="W36" i="256" s="1"/>
  <c r="W39" i="256"/>
  <c r="W36" i="257"/>
  <c r="W38" i="257"/>
  <c r="W40" i="257"/>
  <c r="W39" i="257"/>
  <c r="W42" i="257"/>
  <c r="W43" i="257"/>
  <c r="W41" i="257"/>
  <c r="W37" i="257"/>
  <c r="X36" i="255"/>
  <c r="V27" i="260" s="1"/>
  <c r="X37" i="255"/>
  <c r="X43" i="255"/>
  <c r="X39" i="255"/>
  <c r="X42" i="255"/>
  <c r="X41" i="255"/>
  <c r="X40" i="255"/>
  <c r="X38" i="255"/>
  <c r="W44" i="255"/>
  <c r="W45" i="255" s="1"/>
  <c r="W41" i="256" l="1"/>
  <c r="X35" i="257"/>
  <c r="U27" i="261"/>
  <c r="Z40" i="252"/>
  <c r="AA34" i="252"/>
  <c r="Z37" i="252"/>
  <c r="Z42" i="252" s="1"/>
  <c r="X27" i="259"/>
  <c r="X44" i="255"/>
  <c r="X45" i="255" s="1"/>
  <c r="Y35" i="255"/>
  <c r="X41" i="254"/>
  <c r="W44" i="257"/>
  <c r="W45" i="257" s="1"/>
  <c r="X37" i="254"/>
  <c r="X42" i="254" s="1"/>
  <c r="Y34" i="254"/>
  <c r="X40" i="254"/>
  <c r="Z36" i="252"/>
  <c r="W40" i="256"/>
  <c r="X34" i="256"/>
  <c r="W37" i="256"/>
  <c r="W42" i="256" s="1"/>
  <c r="AA35" i="253" l="1"/>
  <c r="Z41" i="252"/>
  <c r="X36" i="257"/>
  <c r="X39" i="257"/>
  <c r="X43" i="257"/>
  <c r="X37" i="257"/>
  <c r="X44" i="257" s="1"/>
  <c r="X45" i="257" s="1"/>
  <c r="X40" i="257"/>
  <c r="X38" i="257"/>
  <c r="X42" i="257"/>
  <c r="X41" i="257"/>
  <c r="X36" i="256"/>
  <c r="X39" i="256"/>
  <c r="X35" i="256"/>
  <c r="Y35" i="254"/>
  <c r="Y39" i="254"/>
  <c r="Y42" i="255"/>
  <c r="Y39" i="255"/>
  <c r="Y40" i="255"/>
  <c r="Y44" i="255" s="1"/>
  <c r="Y45" i="255" s="1"/>
  <c r="Y38" i="255"/>
  <c r="Y36" i="255"/>
  <c r="Y41" i="255"/>
  <c r="Y43" i="255"/>
  <c r="Y37" i="255"/>
  <c r="AA36" i="252"/>
  <c r="AA39" i="252"/>
  <c r="AA35" i="252"/>
  <c r="Z34" i="254" l="1"/>
  <c r="Y37" i="254"/>
  <c r="Y42" i="254" s="1"/>
  <c r="Y40" i="254"/>
  <c r="Y35" i="257"/>
  <c r="X41" i="256"/>
  <c r="AA41" i="252"/>
  <c r="AB35" i="253"/>
  <c r="Y36" i="254"/>
  <c r="V27" i="261"/>
  <c r="W27" i="260"/>
  <c r="Y34" i="256"/>
  <c r="X37" i="256"/>
  <c r="X42" i="256" s="1"/>
  <c r="X40" i="256"/>
  <c r="AB34" i="252"/>
  <c r="AA37" i="252"/>
  <c r="AA42" i="252" s="1"/>
  <c r="AA40" i="252"/>
  <c r="AA37" i="253"/>
  <c r="AA39" i="253"/>
  <c r="AA38" i="253"/>
  <c r="AA44" i="253" s="1"/>
  <c r="AA45" i="253" s="1"/>
  <c r="AA36" i="253"/>
  <c r="AA42" i="253"/>
  <c r="AA41" i="253"/>
  <c r="AA43" i="253"/>
  <c r="AA40" i="253"/>
  <c r="Y35" i="256" l="1"/>
  <c r="Y39" i="256"/>
  <c r="AB36" i="253"/>
  <c r="AB39" i="253"/>
  <c r="AB42" i="253"/>
  <c r="AB38" i="253"/>
  <c r="AB44" i="253" s="1"/>
  <c r="AB45" i="253" s="1"/>
  <c r="AB37" i="253"/>
  <c r="AB43" i="253"/>
  <c r="AB41" i="253"/>
  <c r="AB40" i="253"/>
  <c r="AB35" i="252"/>
  <c r="AB39" i="252"/>
  <c r="Y27" i="259"/>
  <c r="Y41" i="254"/>
  <c r="Z35" i="255"/>
  <c r="Y41" i="257"/>
  <c r="Y42" i="257"/>
  <c r="Y36" i="257"/>
  <c r="Y43" i="257"/>
  <c r="Y40" i="257"/>
  <c r="Y39" i="257"/>
  <c r="Y38" i="257"/>
  <c r="Y37" i="257"/>
  <c r="Y44" i="257" s="1"/>
  <c r="Y45" i="257" s="1"/>
  <c r="Z39" i="254"/>
  <c r="Z35" i="254"/>
  <c r="Z36" i="254"/>
  <c r="Z27" i="259" l="1"/>
  <c r="Z41" i="254"/>
  <c r="AA35" i="255"/>
  <c r="Z42" i="255"/>
  <c r="Z36" i="255"/>
  <c r="X27" i="260" s="1"/>
  <c r="Z40" i="255"/>
  <c r="Z43" i="255"/>
  <c r="Z41" i="255"/>
  <c r="Z37" i="255"/>
  <c r="Z39" i="255"/>
  <c r="Z38" i="255"/>
  <c r="Y37" i="256"/>
  <c r="Y42" i="256" s="1"/>
  <c r="Y40" i="256"/>
  <c r="Z34" i="256"/>
  <c r="AB37" i="252"/>
  <c r="AB42" i="252" s="1"/>
  <c r="AB40" i="252"/>
  <c r="Z40" i="254"/>
  <c r="Z37" i="254"/>
  <c r="Z42" i="254" s="1"/>
  <c r="AA34" i="254"/>
  <c r="W27" i="261"/>
  <c r="AB36" i="252"/>
  <c r="Y36" i="256"/>
  <c r="Y41" i="256" l="1"/>
  <c r="Z35" i="257"/>
  <c r="Z39" i="256"/>
  <c r="Z35" i="256"/>
  <c r="Z44" i="255"/>
  <c r="Z45" i="255" s="1"/>
  <c r="AA36" i="255"/>
  <c r="AA38" i="255"/>
  <c r="AA37" i="255"/>
  <c r="AA44" i="255" s="1"/>
  <c r="AA45" i="255" s="1"/>
  <c r="AA43" i="255"/>
  <c r="AA39" i="255"/>
  <c r="AA40" i="255"/>
  <c r="AA42" i="255"/>
  <c r="AA41" i="255"/>
  <c r="AA39" i="254"/>
  <c r="AA35" i="254"/>
  <c r="AA36" i="254"/>
  <c r="AC35" i="253"/>
  <c r="N24" i="252"/>
  <c r="AB41" i="252"/>
  <c r="AB35" i="255" l="1"/>
  <c r="AA41" i="254"/>
  <c r="Z38" i="257"/>
  <c r="Z41" i="257"/>
  <c r="Z39" i="257"/>
  <c r="Z40" i="257"/>
  <c r="Z36" i="257"/>
  <c r="Z44" i="257"/>
  <c r="Z45" i="257" s="1"/>
  <c r="Z43" i="257"/>
  <c r="Z37" i="257"/>
  <c r="Z42" i="257"/>
  <c r="AA40" i="254"/>
  <c r="AB34" i="254"/>
  <c r="AA37" i="254"/>
  <c r="AA42" i="254" s="1"/>
  <c r="Z37" i="256"/>
  <c r="Z42" i="256" s="1"/>
  <c r="Z40" i="256"/>
  <c r="AA34" i="256"/>
  <c r="N29" i="252"/>
  <c r="N25" i="252"/>
  <c r="O23" i="252"/>
  <c r="N26" i="252"/>
  <c r="N31" i="252" s="1"/>
  <c r="AC37" i="253"/>
  <c r="AC42" i="253"/>
  <c r="AC38" i="253"/>
  <c r="AC41" i="253"/>
  <c r="AC40" i="253"/>
  <c r="AC39" i="253"/>
  <c r="AC36" i="253"/>
  <c r="AA27" i="259" s="1"/>
  <c r="AC43" i="253"/>
  <c r="Y27" i="260"/>
  <c r="Z36" i="256"/>
  <c r="O24" i="252" l="1"/>
  <c r="O25" i="252" s="1"/>
  <c r="O28" i="252"/>
  <c r="X27" i="261"/>
  <c r="Z41" i="256"/>
  <c r="AA35" i="257"/>
  <c r="O22" i="253"/>
  <c r="N30" i="252"/>
  <c r="AC44" i="253"/>
  <c r="AC45" i="253" s="1"/>
  <c r="AA35" i="256"/>
  <c r="AA36" i="256" s="1"/>
  <c r="AA39" i="256"/>
  <c r="AB35" i="254"/>
  <c r="AB36" i="254" s="1"/>
  <c r="AB39" i="254"/>
  <c r="AB42" i="255"/>
  <c r="AB38" i="255"/>
  <c r="AB39" i="255"/>
  <c r="AB36" i="255"/>
  <c r="AB41" i="255"/>
  <c r="AB43" i="255"/>
  <c r="AB40" i="255"/>
  <c r="AB37" i="255"/>
  <c r="AB44" i="255" s="1"/>
  <c r="AB45" i="255" s="1"/>
  <c r="AC35" i="255" l="1"/>
  <c r="N24" i="254"/>
  <c r="AB41" i="254"/>
  <c r="AA41" i="256"/>
  <c r="AB35" i="257"/>
  <c r="P22" i="253"/>
  <c r="O30" i="252"/>
  <c r="Z27" i="260"/>
  <c r="O26" i="253"/>
  <c r="O27" i="253"/>
  <c r="O29" i="253"/>
  <c r="O24" i="253"/>
  <c r="O23" i="253"/>
  <c r="O25" i="253"/>
  <c r="O28" i="253"/>
  <c r="O30" i="253"/>
  <c r="AB34" i="256"/>
  <c r="AA40" i="256"/>
  <c r="AA37" i="256"/>
  <c r="AA42" i="256" s="1"/>
  <c r="AA42" i="257"/>
  <c r="AA37" i="257"/>
  <c r="AA40" i="257"/>
  <c r="AA39" i="257"/>
  <c r="AA41" i="257"/>
  <c r="AA43" i="257"/>
  <c r="AA36" i="257"/>
  <c r="Y27" i="261" s="1"/>
  <c r="AA38" i="257"/>
  <c r="AB40" i="254"/>
  <c r="AB37" i="254"/>
  <c r="AB42" i="254" s="1"/>
  <c r="O29" i="252"/>
  <c r="P23" i="252"/>
  <c r="O26" i="252"/>
  <c r="O31" i="252" s="1"/>
  <c r="P28" i="252" l="1"/>
  <c r="P24" i="252"/>
  <c r="AA44" i="257"/>
  <c r="AA45" i="257" s="1"/>
  <c r="P28" i="253"/>
  <c r="P24" i="253"/>
  <c r="P23" i="253"/>
  <c r="P25" i="253"/>
  <c r="P26" i="253"/>
  <c r="P27" i="253"/>
  <c r="P29" i="253"/>
  <c r="P30" i="253"/>
  <c r="N29" i="254"/>
  <c r="N25" i="254"/>
  <c r="O23" i="254"/>
  <c r="N26" i="254"/>
  <c r="N31" i="254" s="1"/>
  <c r="AB39" i="256"/>
  <c r="AB35" i="256"/>
  <c r="M25" i="259"/>
  <c r="M34" i="259" s="1"/>
  <c r="O31" i="253"/>
  <c r="O32" i="253" s="1"/>
  <c r="AB42" i="257"/>
  <c r="AB41" i="257"/>
  <c r="AB39" i="257"/>
  <c r="AB37" i="257"/>
  <c r="AB36" i="257"/>
  <c r="AB40" i="257"/>
  <c r="AB43" i="257"/>
  <c r="AB38" i="257"/>
  <c r="AB44" i="257" s="1"/>
  <c r="AB45" i="257" s="1"/>
  <c r="AC36" i="255"/>
  <c r="AC38" i="255"/>
  <c r="AC39" i="255"/>
  <c r="AC41" i="255"/>
  <c r="AC37" i="255"/>
  <c r="AC44" i="255" s="1"/>
  <c r="AC45" i="255" s="1"/>
  <c r="AC40" i="255"/>
  <c r="AC43" i="255"/>
  <c r="AC42" i="255"/>
  <c r="AA27" i="260" l="1"/>
  <c r="AB40" i="256"/>
  <c r="AB37" i="256"/>
  <c r="AB42" i="256" s="1"/>
  <c r="O28" i="254"/>
  <c r="O24" i="254"/>
  <c r="O25" i="254" s="1"/>
  <c r="N25" i="259"/>
  <c r="N34" i="259" s="1"/>
  <c r="P31" i="253"/>
  <c r="P32" i="253" s="1"/>
  <c r="P29" i="252"/>
  <c r="Q23" i="252"/>
  <c r="P26" i="252"/>
  <c r="P31" i="252" s="1"/>
  <c r="Z27" i="261"/>
  <c r="N30" i="254"/>
  <c r="O22" i="255"/>
  <c r="AB36" i="256"/>
  <c r="P25" i="252"/>
  <c r="O30" i="254" l="1"/>
  <c r="P22" i="255"/>
  <c r="AC35" i="257"/>
  <c r="AB41" i="256"/>
  <c r="N24" i="256"/>
  <c r="O23" i="255"/>
  <c r="O25" i="255"/>
  <c r="O28" i="255"/>
  <c r="O30" i="255"/>
  <c r="O27" i="255"/>
  <c r="O29" i="255"/>
  <c r="O26" i="255"/>
  <c r="O24" i="255"/>
  <c r="Q24" i="252"/>
  <c r="Q25" i="252" s="1"/>
  <c r="Q28" i="252"/>
  <c r="Q22" i="253"/>
  <c r="P30" i="252"/>
  <c r="P23" i="254"/>
  <c r="O29" i="254"/>
  <c r="O26" i="254"/>
  <c r="O31" i="254" s="1"/>
  <c r="R22" i="253" l="1"/>
  <c r="Q30" i="252"/>
  <c r="P24" i="254"/>
  <c r="P25" i="254"/>
  <c r="P28" i="254"/>
  <c r="AC42" i="257"/>
  <c r="AC38" i="257"/>
  <c r="AC36" i="257"/>
  <c r="AA27" i="261" s="1"/>
  <c r="AC43" i="257"/>
  <c r="AC39" i="257"/>
  <c r="AC37" i="257"/>
  <c r="AC41" i="257"/>
  <c r="AC40" i="257"/>
  <c r="Q29" i="252"/>
  <c r="R23" i="252"/>
  <c r="Q26" i="252"/>
  <c r="Q31" i="252" s="1"/>
  <c r="O31" i="255"/>
  <c r="O32" i="255" s="1"/>
  <c r="M25" i="260"/>
  <c r="M34" i="260" s="1"/>
  <c r="P30" i="255"/>
  <c r="P27" i="255"/>
  <c r="P28" i="255"/>
  <c r="P26" i="255"/>
  <c r="P25" i="255"/>
  <c r="P29" i="255"/>
  <c r="P24" i="255"/>
  <c r="P23" i="255"/>
  <c r="Q30" i="253"/>
  <c r="Q27" i="253"/>
  <c r="Q24" i="253"/>
  <c r="Q29" i="253"/>
  <c r="Q26" i="253"/>
  <c r="Q28" i="253"/>
  <c r="Q23" i="253"/>
  <c r="Q25" i="253"/>
  <c r="O23" i="256"/>
  <c r="N26" i="256"/>
  <c r="N31" i="256" s="1"/>
  <c r="N29" i="256"/>
  <c r="N25" i="256"/>
  <c r="P29" i="254" l="1"/>
  <c r="Q23" i="254"/>
  <c r="P26" i="254"/>
  <c r="P31" i="254" s="1"/>
  <c r="O25" i="256"/>
  <c r="O28" i="256"/>
  <c r="O24" i="256"/>
  <c r="R28" i="252"/>
  <c r="R25" i="252"/>
  <c r="R24" i="252"/>
  <c r="Q22" i="255"/>
  <c r="P30" i="254"/>
  <c r="P31" i="255"/>
  <c r="P32" i="255" s="1"/>
  <c r="N25" i="260"/>
  <c r="N34" i="260" s="1"/>
  <c r="O25" i="259"/>
  <c r="O34" i="259" s="1"/>
  <c r="Q31" i="253"/>
  <c r="Q32" i="253" s="1"/>
  <c r="O22" i="257"/>
  <c r="N30" i="256"/>
  <c r="AC44" i="257"/>
  <c r="AC45" i="257" s="1"/>
  <c r="R30" i="253"/>
  <c r="R23" i="253"/>
  <c r="R28" i="253"/>
  <c r="R27" i="253"/>
  <c r="R25" i="253"/>
  <c r="R29" i="253"/>
  <c r="R26" i="253"/>
  <c r="R24" i="253"/>
  <c r="R31" i="253" l="1"/>
  <c r="R32" i="253" s="1"/>
  <c r="P25" i="259"/>
  <c r="P34" i="259" s="1"/>
  <c r="O25" i="257"/>
  <c r="O29" i="257"/>
  <c r="O23" i="257"/>
  <c r="O24" i="257"/>
  <c r="O30" i="257"/>
  <c r="O26" i="257"/>
  <c r="O27" i="257"/>
  <c r="O28" i="257"/>
  <c r="S22" i="253"/>
  <c r="R30" i="252"/>
  <c r="P22" i="257"/>
  <c r="O30" i="256"/>
  <c r="Q30" i="255"/>
  <c r="Q24" i="255"/>
  <c r="Q23" i="255"/>
  <c r="Q29" i="255"/>
  <c r="Q25" i="255"/>
  <c r="Q27" i="255"/>
  <c r="Q28" i="255"/>
  <c r="Q26" i="255"/>
  <c r="O26" i="256"/>
  <c r="O31" i="256" s="1"/>
  <c r="O29" i="256"/>
  <c r="P23" i="256"/>
  <c r="Q25" i="254"/>
  <c r="Q24" i="254"/>
  <c r="Q28" i="254"/>
  <c r="S23" i="252"/>
  <c r="R29" i="252"/>
  <c r="R26" i="252"/>
  <c r="R31" i="252" s="1"/>
  <c r="R22" i="255" l="1"/>
  <c r="Q30" i="254"/>
  <c r="S24" i="252"/>
  <c r="S25" i="252"/>
  <c r="S28" i="252"/>
  <c r="P28" i="256"/>
  <c r="P24" i="256"/>
  <c r="P25" i="256"/>
  <c r="Q31" i="255"/>
  <c r="Q32" i="255" s="1"/>
  <c r="O25" i="260"/>
  <c r="O34" i="260" s="1"/>
  <c r="P25" i="257"/>
  <c r="P24" i="257"/>
  <c r="P23" i="257"/>
  <c r="P26" i="257"/>
  <c r="P29" i="257"/>
  <c r="P28" i="257"/>
  <c r="P30" i="257"/>
  <c r="P27" i="257"/>
  <c r="O31" i="257"/>
  <c r="O32" i="257" s="1"/>
  <c r="M25" i="261"/>
  <c r="M34" i="261" s="1"/>
  <c r="Q29" i="254"/>
  <c r="Q26" i="254"/>
  <c r="Q31" i="254" s="1"/>
  <c r="R23" i="254"/>
  <c r="S28" i="253"/>
  <c r="S29" i="253"/>
  <c r="S30" i="253"/>
  <c r="S26" i="253"/>
  <c r="S25" i="253"/>
  <c r="S24" i="253"/>
  <c r="S23" i="253"/>
  <c r="S27" i="253"/>
  <c r="Q22" i="257" l="1"/>
  <c r="P30" i="256"/>
  <c r="S30" i="252"/>
  <c r="T22" i="253"/>
  <c r="R24" i="254"/>
  <c r="R25" i="254" s="1"/>
  <c r="R28" i="254"/>
  <c r="P29" i="256"/>
  <c r="Q23" i="256"/>
  <c r="P26" i="256"/>
  <c r="P31" i="256" s="1"/>
  <c r="S26" i="252"/>
  <c r="S31" i="252" s="1"/>
  <c r="T23" i="252"/>
  <c r="S29" i="252"/>
  <c r="Q25" i="259"/>
  <c r="Q34" i="259" s="1"/>
  <c r="S31" i="253"/>
  <c r="S32" i="253" s="1"/>
  <c r="N25" i="261"/>
  <c r="N34" i="261" s="1"/>
  <c r="P31" i="257"/>
  <c r="P32" i="257" s="1"/>
  <c r="R25" i="255"/>
  <c r="R30" i="255"/>
  <c r="R23" i="255"/>
  <c r="R27" i="255"/>
  <c r="R26" i="255"/>
  <c r="R29" i="255"/>
  <c r="R28" i="255"/>
  <c r="R24" i="255"/>
  <c r="S22" i="255" l="1"/>
  <c r="R30" i="254"/>
  <c r="T24" i="252"/>
  <c r="T25" i="252" s="1"/>
  <c r="T28" i="252"/>
  <c r="T29" i="253"/>
  <c r="T25" i="253"/>
  <c r="T26" i="253"/>
  <c r="T28" i="253"/>
  <c r="T27" i="253"/>
  <c r="T30" i="253"/>
  <c r="T24" i="253"/>
  <c r="T23" i="253"/>
  <c r="R31" i="255"/>
  <c r="R32" i="255" s="1"/>
  <c r="P25" i="260"/>
  <c r="P34" i="260" s="1"/>
  <c r="Q24" i="256"/>
  <c r="Q28" i="256"/>
  <c r="R29" i="254"/>
  <c r="R26" i="254"/>
  <c r="R31" i="254" s="1"/>
  <c r="S23" i="254"/>
  <c r="Q25" i="257"/>
  <c r="Q26" i="257"/>
  <c r="Q23" i="257"/>
  <c r="Q24" i="257"/>
  <c r="Q29" i="257"/>
  <c r="Q30" i="257"/>
  <c r="Q27" i="257"/>
  <c r="Q28" i="257"/>
  <c r="T30" i="252" l="1"/>
  <c r="U22" i="253"/>
  <c r="Q31" i="257"/>
  <c r="Q32" i="257" s="1"/>
  <c r="O25" i="261"/>
  <c r="O34" i="261" s="1"/>
  <c r="R23" i="256"/>
  <c r="Q29" i="256"/>
  <c r="Q26" i="256"/>
  <c r="Q31" i="256" s="1"/>
  <c r="T29" i="252"/>
  <c r="U23" i="252"/>
  <c r="T26" i="252"/>
  <c r="T31" i="252" s="1"/>
  <c r="S28" i="254"/>
  <c r="S24" i="254"/>
  <c r="Q25" i="256"/>
  <c r="R25" i="259"/>
  <c r="R34" i="259" s="1"/>
  <c r="T31" i="253"/>
  <c r="T32" i="253" s="1"/>
  <c r="S24" i="255"/>
  <c r="S29" i="255"/>
  <c r="S28" i="255"/>
  <c r="S23" i="255"/>
  <c r="S27" i="255"/>
  <c r="S26" i="255"/>
  <c r="S30" i="255"/>
  <c r="S25" i="255"/>
  <c r="S31" i="255" l="1"/>
  <c r="S32" i="255" s="1"/>
  <c r="Q25" i="260"/>
  <c r="Q34" i="260" s="1"/>
  <c r="S29" i="254"/>
  <c r="T23" i="254"/>
  <c r="S26" i="254"/>
  <c r="S31" i="254" s="1"/>
  <c r="U30" i="253"/>
  <c r="U27" i="253"/>
  <c r="U25" i="253"/>
  <c r="U23" i="253"/>
  <c r="U26" i="253"/>
  <c r="U28" i="253"/>
  <c r="U29" i="253"/>
  <c r="U24" i="253"/>
  <c r="Q30" i="256"/>
  <c r="R22" i="257"/>
  <c r="S25" i="254"/>
  <c r="U28" i="252"/>
  <c r="U24" i="252"/>
  <c r="U25" i="252" s="1"/>
  <c r="R28" i="256"/>
  <c r="R24" i="256"/>
  <c r="R25" i="256"/>
  <c r="V22" i="253" l="1"/>
  <c r="U30" i="252"/>
  <c r="S30" i="254"/>
  <c r="T22" i="255"/>
  <c r="T24" i="254"/>
  <c r="T28" i="254"/>
  <c r="T25" i="254"/>
  <c r="R25" i="257"/>
  <c r="R24" i="257"/>
  <c r="R27" i="257"/>
  <c r="R26" i="257"/>
  <c r="R29" i="257"/>
  <c r="R28" i="257"/>
  <c r="R30" i="257"/>
  <c r="R23" i="257"/>
  <c r="S22" i="257"/>
  <c r="R30" i="256"/>
  <c r="V23" i="252"/>
  <c r="U29" i="252"/>
  <c r="U26" i="252"/>
  <c r="U31" i="252" s="1"/>
  <c r="R26" i="256"/>
  <c r="R31" i="256" s="1"/>
  <c r="R29" i="256"/>
  <c r="S23" i="256"/>
  <c r="U31" i="253"/>
  <c r="U32" i="253" s="1"/>
  <c r="S25" i="259"/>
  <c r="S34" i="259" s="1"/>
  <c r="S23" i="257" l="1"/>
  <c r="S24" i="257"/>
  <c r="S29" i="257"/>
  <c r="S30" i="257"/>
  <c r="S27" i="257"/>
  <c r="S28" i="257"/>
  <c r="S26" i="257"/>
  <c r="S25" i="257"/>
  <c r="T30" i="254"/>
  <c r="U22" i="255"/>
  <c r="T28" i="255"/>
  <c r="T23" i="255"/>
  <c r="T25" i="255"/>
  <c r="T24" i="255"/>
  <c r="T29" i="255"/>
  <c r="T27" i="255"/>
  <c r="T26" i="255"/>
  <c r="T30" i="255"/>
  <c r="S28" i="256"/>
  <c r="S24" i="256"/>
  <c r="S25" i="256"/>
  <c r="R31" i="257"/>
  <c r="R32" i="257" s="1"/>
  <c r="P25" i="261"/>
  <c r="P34" i="261" s="1"/>
  <c r="V28" i="252"/>
  <c r="V24" i="252"/>
  <c r="U23" i="254"/>
  <c r="T26" i="254"/>
  <c r="T31" i="254" s="1"/>
  <c r="T29" i="254"/>
  <c r="V25" i="253"/>
  <c r="V29" i="253"/>
  <c r="V23" i="253"/>
  <c r="V28" i="253"/>
  <c r="V26" i="253"/>
  <c r="V30" i="253"/>
  <c r="V27" i="253"/>
  <c r="V24" i="253"/>
  <c r="V26" i="252" l="1"/>
  <c r="V31" i="252" s="1"/>
  <c r="W23" i="252"/>
  <c r="V29" i="252"/>
  <c r="U30" i="255"/>
  <c r="U23" i="255"/>
  <c r="U27" i="255"/>
  <c r="U24" i="255"/>
  <c r="U28" i="255"/>
  <c r="U25" i="255"/>
  <c r="U29" i="255"/>
  <c r="U26" i="255"/>
  <c r="T22" i="257"/>
  <c r="S30" i="256"/>
  <c r="Q25" i="261"/>
  <c r="Q34" i="261" s="1"/>
  <c r="S31" i="257"/>
  <c r="S32" i="257" s="1"/>
  <c r="T25" i="259"/>
  <c r="T34" i="259" s="1"/>
  <c r="V31" i="253"/>
  <c r="V32" i="253" s="1"/>
  <c r="V25" i="252"/>
  <c r="S29" i="256"/>
  <c r="T23" i="256"/>
  <c r="S26" i="256"/>
  <c r="S31" i="256" s="1"/>
  <c r="T31" i="255"/>
  <c r="T32" i="255" s="1"/>
  <c r="R25" i="260"/>
  <c r="R34" i="260" s="1"/>
  <c r="U25" i="254"/>
  <c r="U28" i="254"/>
  <c r="U24" i="254"/>
  <c r="W24" i="252" l="1"/>
  <c r="W25" i="252" s="1"/>
  <c r="W28" i="252"/>
  <c r="V22" i="255"/>
  <c r="U30" i="254"/>
  <c r="T28" i="256"/>
  <c r="T24" i="256"/>
  <c r="T28" i="257"/>
  <c r="T26" i="257"/>
  <c r="T30" i="257"/>
  <c r="T25" i="257"/>
  <c r="T24" i="257"/>
  <c r="T29" i="257"/>
  <c r="T23" i="257"/>
  <c r="T27" i="257"/>
  <c r="U26" i="254"/>
  <c r="U31" i="254" s="1"/>
  <c r="U29" i="254"/>
  <c r="V23" i="254"/>
  <c r="W22" i="253"/>
  <c r="V30" i="252"/>
  <c r="U31" i="255"/>
  <c r="U32" i="255" s="1"/>
  <c r="S25" i="260"/>
  <c r="S34" i="260" s="1"/>
  <c r="X22" i="253" l="1"/>
  <c r="W30" i="252"/>
  <c r="V28" i="254"/>
  <c r="V24" i="254"/>
  <c r="V25" i="254"/>
  <c r="T31" i="257"/>
  <c r="T32" i="257" s="1"/>
  <c r="R25" i="261"/>
  <c r="R34" i="261" s="1"/>
  <c r="W26" i="253"/>
  <c r="W27" i="253"/>
  <c r="W29" i="253"/>
  <c r="W24" i="253"/>
  <c r="W25" i="253"/>
  <c r="W28" i="253"/>
  <c r="W23" i="253"/>
  <c r="W30" i="253"/>
  <c r="T29" i="256"/>
  <c r="T26" i="256"/>
  <c r="T31" i="256" s="1"/>
  <c r="U23" i="256"/>
  <c r="T25" i="256"/>
  <c r="V25" i="255"/>
  <c r="V28" i="255"/>
  <c r="V24" i="255"/>
  <c r="V26" i="255"/>
  <c r="V27" i="255"/>
  <c r="V29" i="255"/>
  <c r="V30" i="255"/>
  <c r="V23" i="255"/>
  <c r="W26" i="252"/>
  <c r="W31" i="252" s="1"/>
  <c r="X23" i="252"/>
  <c r="W29" i="252"/>
  <c r="W23" i="254" l="1"/>
  <c r="V26" i="254"/>
  <c r="V31" i="254" s="1"/>
  <c r="V29" i="254"/>
  <c r="T25" i="260"/>
  <c r="T34" i="260" s="1"/>
  <c r="V31" i="255"/>
  <c r="V32" i="255" s="1"/>
  <c r="T30" i="256"/>
  <c r="U22" i="257"/>
  <c r="U24" i="256"/>
  <c r="U28" i="256"/>
  <c r="U25" i="259"/>
  <c r="U34" i="259" s="1"/>
  <c r="W31" i="253"/>
  <c r="W32" i="253" s="1"/>
  <c r="X28" i="252"/>
  <c r="X25" i="252"/>
  <c r="X24" i="252"/>
  <c r="V30" i="254"/>
  <c r="W22" i="255"/>
  <c r="X25" i="253"/>
  <c r="X23" i="253"/>
  <c r="X26" i="253"/>
  <c r="X30" i="253"/>
  <c r="X24" i="253"/>
  <c r="X29" i="253"/>
  <c r="X27" i="253"/>
  <c r="X28" i="253"/>
  <c r="V25" i="259" l="1"/>
  <c r="V34" i="259" s="1"/>
  <c r="X31" i="253"/>
  <c r="X32" i="253" s="1"/>
  <c r="X26" i="252"/>
  <c r="X31" i="252" s="1"/>
  <c r="X29" i="252"/>
  <c r="Y23" i="252"/>
  <c r="U29" i="257"/>
  <c r="U30" i="257"/>
  <c r="U24" i="257"/>
  <c r="U23" i="257"/>
  <c r="U25" i="257"/>
  <c r="U26" i="257"/>
  <c r="U28" i="257"/>
  <c r="U27" i="257"/>
  <c r="V23" i="256"/>
  <c r="U26" i="256"/>
  <c r="U31" i="256" s="1"/>
  <c r="U29" i="256"/>
  <c r="X30" i="252"/>
  <c r="Y22" i="253"/>
  <c r="W30" i="255"/>
  <c r="W23" i="255"/>
  <c r="W29" i="255"/>
  <c r="W28" i="255"/>
  <c r="W26" i="255"/>
  <c r="W25" i="255"/>
  <c r="W24" i="255"/>
  <c r="W27" i="255"/>
  <c r="U25" i="256"/>
  <c r="W24" i="254"/>
  <c r="W25" i="254"/>
  <c r="W28" i="254"/>
  <c r="W29" i="254" l="1"/>
  <c r="W26" i="254"/>
  <c r="W31" i="254" s="1"/>
  <c r="X23" i="254"/>
  <c r="U25" i="260"/>
  <c r="U34" i="260" s="1"/>
  <c r="W31" i="255"/>
  <c r="W32" i="255" s="1"/>
  <c r="X22" i="255"/>
  <c r="W30" i="254"/>
  <c r="U31" i="257"/>
  <c r="U32" i="257" s="1"/>
  <c r="S25" i="261"/>
  <c r="S34" i="261" s="1"/>
  <c r="Y24" i="252"/>
  <c r="Y25" i="252" s="1"/>
  <c r="Y28" i="252"/>
  <c r="V22" i="257"/>
  <c r="U30" i="256"/>
  <c r="Y25" i="253"/>
  <c r="Y24" i="253"/>
  <c r="Y26" i="253"/>
  <c r="Y29" i="253"/>
  <c r="Y30" i="253"/>
  <c r="Y28" i="253"/>
  <c r="Y23" i="253"/>
  <c r="Y27" i="253"/>
  <c r="V24" i="256"/>
  <c r="V25" i="256"/>
  <c r="V28" i="256"/>
  <c r="Z22" i="253" l="1"/>
  <c r="Y30" i="252"/>
  <c r="W25" i="259"/>
  <c r="W34" i="259" s="1"/>
  <c r="Y31" i="253"/>
  <c r="Y32" i="253" s="1"/>
  <c r="V26" i="257"/>
  <c r="V27" i="257"/>
  <c r="V24" i="257"/>
  <c r="V25" i="257"/>
  <c r="V30" i="257"/>
  <c r="V29" i="257"/>
  <c r="V23" i="257"/>
  <c r="V28" i="257"/>
  <c r="W22" i="257"/>
  <c r="V30" i="256"/>
  <c r="V29" i="256"/>
  <c r="W23" i="256"/>
  <c r="V26" i="256"/>
  <c r="V31" i="256" s="1"/>
  <c r="X28" i="254"/>
  <c r="X24" i="254"/>
  <c r="X25" i="254" s="1"/>
  <c r="Y26" i="252"/>
  <c r="Y31" i="252" s="1"/>
  <c r="Y29" i="252"/>
  <c r="Z23" i="252"/>
  <c r="X30" i="255"/>
  <c r="X29" i="255"/>
  <c r="X27" i="255"/>
  <c r="X26" i="255"/>
  <c r="X24" i="255"/>
  <c r="X25" i="255"/>
  <c r="X28" i="255"/>
  <c r="X23" i="255"/>
  <c r="X30" i="254" l="1"/>
  <c r="Y22" i="255"/>
  <c r="W28" i="257"/>
  <c r="W27" i="257"/>
  <c r="W29" i="257"/>
  <c r="W30" i="257"/>
  <c r="W23" i="257"/>
  <c r="W24" i="257"/>
  <c r="W26" i="257"/>
  <c r="W25" i="257"/>
  <c r="Z28" i="253"/>
  <c r="Z23" i="253"/>
  <c r="Z26" i="253"/>
  <c r="Z27" i="253"/>
  <c r="Z24" i="253"/>
  <c r="Z29" i="253"/>
  <c r="Z25" i="253"/>
  <c r="Z30" i="253"/>
  <c r="W28" i="256"/>
  <c r="W24" i="256"/>
  <c r="V25" i="260"/>
  <c r="V34" i="260" s="1"/>
  <c r="X31" i="255"/>
  <c r="X32" i="255" s="1"/>
  <c r="Z28" i="252"/>
  <c r="Z24" i="252"/>
  <c r="Z25" i="252" s="1"/>
  <c r="X29" i="254"/>
  <c r="Y23" i="254"/>
  <c r="X26" i="254"/>
  <c r="X31" i="254" s="1"/>
  <c r="T25" i="261"/>
  <c r="T34" i="261" s="1"/>
  <c r="V31" i="257"/>
  <c r="V32" i="257" s="1"/>
  <c r="AA22" i="253" l="1"/>
  <c r="Z30" i="252"/>
  <c r="Y25" i="254"/>
  <c r="Y28" i="254"/>
  <c r="Y24" i="254"/>
  <c r="W26" i="256"/>
  <c r="W31" i="256" s="1"/>
  <c r="W29" i="256"/>
  <c r="X23" i="256"/>
  <c r="X25" i="259"/>
  <c r="X34" i="259" s="1"/>
  <c r="Z31" i="253"/>
  <c r="Z32" i="253" s="1"/>
  <c r="W31" i="257"/>
  <c r="W32" i="257" s="1"/>
  <c r="U25" i="261"/>
  <c r="U34" i="261" s="1"/>
  <c r="Y30" i="255"/>
  <c r="Y23" i="255"/>
  <c r="Y27" i="255"/>
  <c r="Y24" i="255"/>
  <c r="Y29" i="255"/>
  <c r="Y26" i="255"/>
  <c r="Y25" i="255"/>
  <c r="Y28" i="255"/>
  <c r="Z29" i="252"/>
  <c r="Z26" i="252"/>
  <c r="Z31" i="252" s="1"/>
  <c r="AA23" i="252"/>
  <c r="W25" i="256"/>
  <c r="X25" i="256" l="1"/>
  <c r="X28" i="256"/>
  <c r="X24" i="256"/>
  <c r="Z22" i="255"/>
  <c r="Y30" i="254"/>
  <c r="X22" i="257"/>
  <c r="W30" i="256"/>
  <c r="AA24" i="252"/>
  <c r="AA25" i="252"/>
  <c r="AA28" i="252"/>
  <c r="Y31" i="255"/>
  <c r="Y32" i="255" s="1"/>
  <c r="W25" i="260"/>
  <c r="W34" i="260" s="1"/>
  <c r="Y26" i="254"/>
  <c r="Y31" i="254" s="1"/>
  <c r="Y29" i="254"/>
  <c r="Z23" i="254"/>
  <c r="AA29" i="253"/>
  <c r="AA24" i="253"/>
  <c r="AA25" i="253"/>
  <c r="AA28" i="253"/>
  <c r="AA30" i="253"/>
  <c r="AA23" i="253"/>
  <c r="AA26" i="253"/>
  <c r="AA27" i="253"/>
  <c r="AB23" i="252" l="1"/>
  <c r="AA29" i="252"/>
  <c r="AA26" i="252"/>
  <c r="AA31" i="252" s="1"/>
  <c r="Z24" i="255"/>
  <c r="Z26" i="255"/>
  <c r="Z25" i="255"/>
  <c r="Z30" i="255"/>
  <c r="Z28" i="255"/>
  <c r="Z29" i="255"/>
  <c r="Z23" i="255"/>
  <c r="Z27" i="255"/>
  <c r="Y25" i="259"/>
  <c r="Y34" i="259" s="1"/>
  <c r="AA31" i="253"/>
  <c r="AA32" i="253" s="1"/>
  <c r="AA30" i="252"/>
  <c r="AB22" i="253"/>
  <c r="Y22" i="257"/>
  <c r="X30" i="256"/>
  <c r="Z28" i="254"/>
  <c r="Z24" i="254"/>
  <c r="X29" i="256"/>
  <c r="Y23" i="256"/>
  <c r="X26" i="256"/>
  <c r="X31" i="256" s="1"/>
  <c r="X27" i="257"/>
  <c r="X30" i="257"/>
  <c r="X24" i="257"/>
  <c r="X28" i="257"/>
  <c r="X23" i="257"/>
  <c r="X26" i="257"/>
  <c r="X25" i="257"/>
  <c r="X29" i="257"/>
  <c r="AB24" i="252" l="1"/>
  <c r="AB28" i="252"/>
  <c r="X31" i="257"/>
  <c r="X32" i="257" s="1"/>
  <c r="V25" i="261"/>
  <c r="V34" i="261" s="1"/>
  <c r="AA23" i="254"/>
  <c r="Z29" i="254"/>
  <c r="Z26" i="254"/>
  <c r="Z31" i="254" s="1"/>
  <c r="Y24" i="257"/>
  <c r="Y28" i="257"/>
  <c r="Y30" i="257"/>
  <c r="Y29" i="257"/>
  <c r="Y23" i="257"/>
  <c r="Y27" i="257"/>
  <c r="Y26" i="257"/>
  <c r="Y25" i="257"/>
  <c r="AB29" i="253"/>
  <c r="AB30" i="253"/>
  <c r="AB28" i="253"/>
  <c r="AB23" i="253"/>
  <c r="AB24" i="253"/>
  <c r="AB27" i="253"/>
  <c r="AB25" i="253"/>
  <c r="AB26" i="253"/>
  <c r="Y24" i="256"/>
  <c r="Y28" i="256"/>
  <c r="Z25" i="254"/>
  <c r="X25" i="260"/>
  <c r="X34" i="260" s="1"/>
  <c r="Z31" i="255"/>
  <c r="Z32" i="255" s="1"/>
  <c r="AB29" i="252" l="1"/>
  <c r="AB26" i="252"/>
  <c r="AB31" i="252" s="1"/>
  <c r="Z30" i="254"/>
  <c r="AA22" i="255"/>
  <c r="AB31" i="253"/>
  <c r="AB32" i="253" s="1"/>
  <c r="Z25" i="259"/>
  <c r="Z34" i="259" s="1"/>
  <c r="Y29" i="256"/>
  <c r="Y26" i="256"/>
  <c r="Y31" i="256" s="1"/>
  <c r="Z23" i="256"/>
  <c r="W25" i="261"/>
  <c r="W34" i="261" s="1"/>
  <c r="Y31" i="257"/>
  <c r="Y32" i="257" s="1"/>
  <c r="Y25" i="256"/>
  <c r="AA28" i="254"/>
  <c r="AA24" i="254"/>
  <c r="AB25" i="252"/>
  <c r="AB30" i="252" l="1"/>
  <c r="AC22" i="253"/>
  <c r="Y30" i="256"/>
  <c r="Z22" i="257"/>
  <c r="AA29" i="255"/>
  <c r="AA25" i="255"/>
  <c r="AA23" i="255"/>
  <c r="AA28" i="255"/>
  <c r="AA26" i="255"/>
  <c r="AA30" i="255"/>
  <c r="AA27" i="255"/>
  <c r="AA24" i="255"/>
  <c r="AA29" i="254"/>
  <c r="AB23" i="254"/>
  <c r="AA26" i="254"/>
  <c r="AA31" i="254" s="1"/>
  <c r="AA25" i="254"/>
  <c r="Z28" i="256"/>
  <c r="Z24" i="256"/>
  <c r="AA30" i="254" l="1"/>
  <c r="AB22" i="255"/>
  <c r="Z27" i="257"/>
  <c r="Z26" i="257"/>
  <c r="Z29" i="257"/>
  <c r="Z30" i="257"/>
  <c r="Z23" i="257"/>
  <c r="Z25" i="257"/>
  <c r="Z24" i="257"/>
  <c r="Z28" i="257"/>
  <c r="Z26" i="256"/>
  <c r="Z31" i="256" s="1"/>
  <c r="Z29" i="256"/>
  <c r="AA23" i="256"/>
  <c r="AA31" i="255"/>
  <c r="AA32" i="255" s="1"/>
  <c r="Y25" i="260"/>
  <c r="Y34" i="260" s="1"/>
  <c r="Z25" i="256"/>
  <c r="AB28" i="254"/>
  <c r="AB24" i="254"/>
  <c r="AB25" i="254"/>
  <c r="AC23" i="253"/>
  <c r="AC30" i="253"/>
  <c r="AC24" i="253"/>
  <c r="AC29" i="253"/>
  <c r="AC28" i="253"/>
  <c r="AC26" i="253"/>
  <c r="AC27" i="253"/>
  <c r="AC25" i="253"/>
  <c r="AB30" i="254" l="1"/>
  <c r="AC22" i="255"/>
  <c r="AA28" i="256"/>
  <c r="AA24" i="256"/>
  <c r="AA25" i="256" s="1"/>
  <c r="AC31" i="253"/>
  <c r="AC32" i="253" s="1"/>
  <c r="AA25" i="259"/>
  <c r="AA34" i="259" s="1"/>
  <c r="AA22" i="257"/>
  <c r="Z30" i="256"/>
  <c r="Z31" i="257"/>
  <c r="Z32" i="257" s="1"/>
  <c r="X25" i="261"/>
  <c r="X34" i="261" s="1"/>
  <c r="AB29" i="254"/>
  <c r="AB26" i="254"/>
  <c r="AB31" i="254" s="1"/>
  <c r="AB28" i="255"/>
  <c r="AB25" i="255"/>
  <c r="AB27" i="255"/>
  <c r="AB30" i="255"/>
  <c r="AB24" i="255"/>
  <c r="AB26" i="255"/>
  <c r="AB23" i="255"/>
  <c r="AB29" i="255"/>
  <c r="AB22" i="257" l="1"/>
  <c r="AA30" i="256"/>
  <c r="AB31" i="255"/>
  <c r="AB32" i="255" s="1"/>
  <c r="Z25" i="260"/>
  <c r="Z34" i="260" s="1"/>
  <c r="AA27" i="257"/>
  <c r="AA28" i="257"/>
  <c r="AA24" i="257"/>
  <c r="AA23" i="257"/>
  <c r="AA26" i="257"/>
  <c r="AA30" i="257"/>
  <c r="AA29" i="257"/>
  <c r="AA25" i="257"/>
  <c r="AC30" i="255"/>
  <c r="AC24" i="255"/>
  <c r="AC27" i="255"/>
  <c r="AC26" i="255"/>
  <c r="AC29" i="255"/>
  <c r="AC28" i="255"/>
  <c r="AC25" i="255"/>
  <c r="AC23" i="255"/>
  <c r="AA29" i="256"/>
  <c r="AB23" i="256"/>
  <c r="AA26" i="256"/>
  <c r="AA31" i="256" s="1"/>
  <c r="Y25" i="261" l="1"/>
  <c r="Y34" i="261" s="1"/>
  <c r="AA31" i="257"/>
  <c r="AA32" i="257" s="1"/>
  <c r="AB28" i="256"/>
  <c r="AB24" i="256"/>
  <c r="AB25" i="256" s="1"/>
  <c r="AA25" i="260"/>
  <c r="AA34" i="260" s="1"/>
  <c r="AC31" i="255"/>
  <c r="AC32" i="255" s="1"/>
  <c r="AB24" i="257"/>
  <c r="AB25" i="257"/>
  <c r="AB30" i="257"/>
  <c r="AB28" i="257"/>
  <c r="AB29" i="257"/>
  <c r="AB26" i="257"/>
  <c r="AB23" i="257"/>
  <c r="AB27" i="257"/>
  <c r="AB30" i="256" l="1"/>
  <c r="AC22" i="257"/>
  <c r="AB31" i="257"/>
  <c r="AB32" i="257" s="1"/>
  <c r="Z25" i="261"/>
  <c r="Z34" i="261" s="1"/>
  <c r="AB29" i="256"/>
  <c r="AB26" i="256"/>
  <c r="AB31" i="256" s="1"/>
  <c r="AC27" i="257" l="1"/>
  <c r="AC30" i="257"/>
  <c r="AC29" i="257"/>
  <c r="AC28" i="257"/>
  <c r="AC23" i="257"/>
  <c r="AC24" i="257"/>
  <c r="AC25" i="257"/>
  <c r="AC26" i="257"/>
  <c r="AC31" i="257" l="1"/>
  <c r="AC32" i="257" s="1"/>
  <c r="AA25" i="261"/>
  <c r="AA34" i="261" s="1"/>
</calcChain>
</file>

<file path=xl/comments1.xml><?xml version="1.0" encoding="utf-8"?>
<comments xmlns="http://schemas.openxmlformats.org/spreadsheetml/2006/main">
  <authors>
    <author>Hogan, Susan</author>
  </authors>
  <commentList>
    <comment ref="I66" authorId="0">
      <text>
        <r>
          <rPr>
            <b/>
            <sz val="9"/>
            <color rgb="FF000000"/>
            <rFont val="Tahoma"/>
            <family val="2"/>
          </rPr>
          <t>Hogan, Susan:</t>
        </r>
        <r>
          <rPr>
            <sz val="9"/>
            <color rgb="FF000000"/>
            <rFont val="Tahoma"/>
            <family val="2"/>
          </rPr>
          <t xml:space="preserve">
This is populated from FRCP_y1 which is selected by the business on the cover sheet.</t>
        </r>
      </text>
    </comment>
    <comment ref="K66" authorId="0">
      <text>
        <r>
          <rPr>
            <b/>
            <sz val="9"/>
            <color rgb="FF000000"/>
            <rFont val="Tahoma"/>
            <family val="2"/>
          </rPr>
          <t>Hogan, Susan:</t>
        </r>
        <r>
          <rPr>
            <sz val="9"/>
            <color rgb="FF000000"/>
            <rFont val="Tahoma"/>
            <family val="2"/>
          </rPr>
          <t xml:space="preserve">
This is the last year in the CRCP. The years count backward from FRCP_y1.
</t>
        </r>
      </text>
    </comment>
  </commentList>
</comments>
</file>

<file path=xl/comments2.xml><?xml version="1.0" encoding="utf-8"?>
<comments xmlns="http://schemas.openxmlformats.org/spreadsheetml/2006/main">
  <authors>
    <author>Clare Thompson</author>
  </authors>
  <commentList>
    <comment ref="E20" authorId="0">
      <text>
        <r>
          <rPr>
            <b/>
            <sz val="9"/>
            <color indexed="81"/>
            <rFont val="Tahoma"/>
            <family val="2"/>
          </rPr>
          <t>Clare Thompson:</t>
        </r>
        <r>
          <rPr>
            <sz val="9"/>
            <color indexed="81"/>
            <rFont val="Tahoma"/>
            <family val="2"/>
          </rPr>
          <t xml:space="preserve">
amended formula to correct</t>
        </r>
      </text>
    </comment>
    <comment ref="E21" authorId="0">
      <text>
        <r>
          <rPr>
            <b/>
            <sz val="9"/>
            <color indexed="81"/>
            <rFont val="Tahoma"/>
            <family val="2"/>
          </rPr>
          <t>Clare Thompson:</t>
        </r>
        <r>
          <rPr>
            <sz val="9"/>
            <color indexed="81"/>
            <rFont val="Tahoma"/>
            <family val="2"/>
          </rPr>
          <t xml:space="preserve">
amended formula to correct</t>
        </r>
      </text>
    </comment>
    <comment ref="D23" authorId="0">
      <text>
        <r>
          <rPr>
            <b/>
            <sz val="9"/>
            <color indexed="81"/>
            <rFont val="Tahoma"/>
            <family val="2"/>
          </rPr>
          <t>Clare Thompson:</t>
        </r>
        <r>
          <rPr>
            <sz val="9"/>
            <color indexed="81"/>
            <rFont val="Tahoma"/>
            <family val="2"/>
          </rPr>
          <t xml:space="preserve">
Amended incorrect formula</t>
        </r>
      </text>
    </comment>
  </commentList>
</comments>
</file>

<file path=xl/sharedStrings.xml><?xml version="1.0" encoding="utf-8"?>
<sst xmlns="http://schemas.openxmlformats.org/spreadsheetml/2006/main" count="41148" uniqueCount="2126">
  <si>
    <t>If the service provider proposes changes to its tariff structure for the next access arrangement period, please provide an explanation in this template or in the proposal submission as to how historical consumption and demand data reconciles with the new tariff stucture.</t>
  </si>
  <si>
    <t>The pro formas in this spreadsheet must be filled out as part of an access arrangement proposal</t>
  </si>
  <si>
    <t>Identify the dollar unit used in the template.</t>
  </si>
  <si>
    <t>Standalone cost per unit of reference service</t>
  </si>
  <si>
    <t>Avoidable cost per unit of reference service</t>
  </si>
  <si>
    <t>This template asks for information regarding changes in provisions</t>
  </si>
  <si>
    <t>This template asks for information relating to operating expenditure inclusive of related party margins.</t>
  </si>
  <si>
    <t>This template asks for information relating to ancillary reference services</t>
  </si>
  <si>
    <t>This template asks for information on customers numbers</t>
  </si>
  <si>
    <t>This template asks for information on network characteristics.</t>
  </si>
  <si>
    <t xml:space="preserve">Services Provided  </t>
  </si>
  <si>
    <t>select</t>
  </si>
  <si>
    <t>Total Overhead cost</t>
  </si>
  <si>
    <t xml:space="preserve"> This may require the insertion of new lines in each table.</t>
  </si>
  <si>
    <t>CPI Index</t>
  </si>
  <si>
    <t>Annual CPI</t>
  </si>
  <si>
    <t>Example</t>
  </si>
  <si>
    <t>Costs ($nominal)</t>
  </si>
  <si>
    <t>City Gate</t>
  </si>
  <si>
    <t>Total cost</t>
  </si>
  <si>
    <t>Recurrent?</t>
  </si>
  <si>
    <t>Field Regulator</t>
  </si>
  <si>
    <t>District Regulator</t>
  </si>
  <si>
    <t>Total network length</t>
  </si>
  <si>
    <t xml:space="preserve">                           </t>
  </si>
  <si>
    <t>Name of related party</t>
  </si>
  <si>
    <t>Description of how this transaction amount was determined</t>
  </si>
  <si>
    <t>Description of how this amount is reflected in the Regulatory Templates, including the asset class or cost category</t>
  </si>
  <si>
    <t>Business address</t>
  </si>
  <si>
    <t>Suburb</t>
  </si>
  <si>
    <t>State</t>
  </si>
  <si>
    <t>Postal address</t>
  </si>
  <si>
    <t>Contact name/s</t>
  </si>
  <si>
    <t>Contact phone/s</t>
  </si>
  <si>
    <t>Contact email address/s</t>
  </si>
  <si>
    <t>Less customer contributions</t>
  </si>
  <si>
    <t>Previous access arrangement period</t>
  </si>
  <si>
    <t>Current access arrangement period</t>
  </si>
  <si>
    <t>Capital expenditure</t>
  </si>
  <si>
    <t>Nominal risk free rate</t>
  </si>
  <si>
    <t>Inflation rate</t>
  </si>
  <si>
    <t>Credit rating</t>
  </si>
  <si>
    <t>Market risk premium</t>
  </si>
  <si>
    <t>Corporate tax rate</t>
  </si>
  <si>
    <t>Debt to equity ratio</t>
  </si>
  <si>
    <t>Step Changes</t>
  </si>
  <si>
    <t>Total step changes</t>
  </si>
  <si>
    <t>Fixed customer tariff numbers</t>
  </si>
  <si>
    <t>Unit used in this sheet</t>
  </si>
  <si>
    <t>Opening Balance</t>
  </si>
  <si>
    <t>Other adjustments</t>
  </si>
  <si>
    <t>Closing Balance</t>
  </si>
  <si>
    <t>Movement in total provisions</t>
  </si>
  <si>
    <t>Total contributions</t>
  </si>
  <si>
    <t>Actual</t>
  </si>
  <si>
    <t>Forecast</t>
  </si>
  <si>
    <t>IT</t>
  </si>
  <si>
    <t>Distribution mains</t>
  </si>
  <si>
    <t>Gross customer disconnections</t>
  </si>
  <si>
    <t>Instructions</t>
  </si>
  <si>
    <t>Service Pipes</t>
  </si>
  <si>
    <t>Meters</t>
  </si>
  <si>
    <t>Other</t>
  </si>
  <si>
    <t>Total</t>
  </si>
  <si>
    <t>Cast Iron</t>
  </si>
  <si>
    <t>PVC</t>
  </si>
  <si>
    <t>Unprotected steel</t>
  </si>
  <si>
    <t>Protected steel</t>
  </si>
  <si>
    <t>Average customer numbers</t>
  </si>
  <si>
    <t>Gross customer connections</t>
  </si>
  <si>
    <t>Band definition</t>
  </si>
  <si>
    <t>Equity beta</t>
  </si>
  <si>
    <t>Please follow the instructions below when completing the pro formas in this spreadsheet:</t>
  </si>
  <si>
    <t>Next access arrangement period</t>
  </si>
  <si>
    <t>Approved</t>
  </si>
  <si>
    <t>.</t>
  </si>
  <si>
    <t>Regulatory templates</t>
  </si>
  <si>
    <t>for access arrangement period</t>
  </si>
  <si>
    <t>Gas Distribution Regulatory Information Notice</t>
  </si>
  <si>
    <t>Actual cost incurred by related party</t>
  </si>
  <si>
    <t>Step changes should be EXCLUSIVE of base level opex</t>
  </si>
  <si>
    <t>&lt;insert material type&gt;</t>
  </si>
  <si>
    <t>Polyamide</t>
  </si>
  <si>
    <t>Payment made by distributor</t>
  </si>
  <si>
    <t>Payment made to distributor</t>
  </si>
  <si>
    <t>Actual cost incurred by distributor</t>
  </si>
  <si>
    <t>Overheads</t>
  </si>
  <si>
    <t>&lt;insert step change&gt;</t>
  </si>
  <si>
    <t>&lt;insert project name&gt;</t>
  </si>
  <si>
    <t>Refurbishable meters</t>
  </si>
  <si>
    <t>Volume</t>
  </si>
  <si>
    <t>Total cost of new meters acquired for meter replacement</t>
  </si>
  <si>
    <t>Total number of new meters acquired for meter replacement</t>
  </si>
  <si>
    <t>Unit cost</t>
  </si>
  <si>
    <t xml:space="preserve">The asset classes currently listed are from service providers' 2010 RAB RFM. </t>
  </si>
  <si>
    <t>This template asks for information relating to capitalised overhead expenditure.</t>
  </si>
  <si>
    <t>2006-07</t>
  </si>
  <si>
    <t>2007-08</t>
  </si>
  <si>
    <t>2008-09</t>
  </si>
  <si>
    <t>2009-10</t>
  </si>
  <si>
    <t>2010-11</t>
  </si>
  <si>
    <t>2011-12</t>
  </si>
  <si>
    <t>2012-13</t>
  </si>
  <si>
    <t>2013-14</t>
  </si>
  <si>
    <t>2014-15</t>
  </si>
  <si>
    <t>2015-16</t>
  </si>
  <si>
    <t>2016-17</t>
  </si>
  <si>
    <t>2017-18</t>
  </si>
  <si>
    <t>2018-19</t>
  </si>
  <si>
    <t>2019-20</t>
  </si>
  <si>
    <t>Services replaced (number)</t>
  </si>
  <si>
    <t>Length of mains replaced (metres)</t>
  </si>
  <si>
    <t>%</t>
  </si>
  <si>
    <t>Actual v approved</t>
  </si>
  <si>
    <t>Variance</t>
  </si>
  <si>
    <t>Number of new I&amp;C contract connections</t>
  </si>
  <si>
    <t>Number of new I&amp;C tariff connections</t>
  </si>
  <si>
    <t>Difference</t>
  </si>
  <si>
    <t>Total number of new connections</t>
  </si>
  <si>
    <t>Average demand throughput consumption</t>
  </si>
  <si>
    <t>Total demand throughput consumption</t>
  </si>
  <si>
    <t>Source(s) of data:</t>
  </si>
  <si>
    <t>&lt;insert pass through event&gt;</t>
  </si>
  <si>
    <t>This template asks for information relating to cost pass through events.</t>
  </si>
  <si>
    <t>&lt;Insert reference service&gt;</t>
  </si>
  <si>
    <t>&lt;insert tariff class&gt;</t>
  </si>
  <si>
    <t>This template asks the service provider to allocate total revenue to reference and non-reference services.</t>
  </si>
  <si>
    <t>&lt;Insert rebateable services&gt;</t>
  </si>
  <si>
    <t>&lt;Insert non-reference services&gt;</t>
  </si>
  <si>
    <t>Total meters removed</t>
  </si>
  <si>
    <t>Total costs</t>
  </si>
  <si>
    <t>Equity raising costs</t>
  </si>
  <si>
    <t>Debt term</t>
  </si>
  <si>
    <t>Equity term -risk free rate</t>
  </si>
  <si>
    <t>Total direct costs (excl escalation)</t>
  </si>
  <si>
    <t>Escalation</t>
  </si>
  <si>
    <t>Total direct costs (incl escalation)</t>
  </si>
  <si>
    <t>Less: Contributions</t>
  </si>
  <si>
    <t>Total of all projects</t>
  </si>
  <si>
    <t>Gross total capex (incl escalation)</t>
  </si>
  <si>
    <t>Total escalation</t>
  </si>
  <si>
    <t>Gross total capex (excl escalation)</t>
  </si>
  <si>
    <t>Net total capex (excl escalation)</t>
  </si>
  <si>
    <t>Net total capex (incl escalation)</t>
  </si>
  <si>
    <t>EBA</t>
  </si>
  <si>
    <t>Non-EBA</t>
  </si>
  <si>
    <t>Connections/ Market expansion</t>
  </si>
  <si>
    <t>Augmentation/ Growth capacity development</t>
  </si>
  <si>
    <t>Mains and service renewal</t>
  </si>
  <si>
    <t>Facilities renewal and upgrade</t>
  </si>
  <si>
    <t>Meter renewal and upgrade</t>
  </si>
  <si>
    <t>Related party margin</t>
  </si>
  <si>
    <t>Reported expenditure is to be entered EXCLUSIVE of any profit margins or management fees paid directly or indirectly to related party contractors (which is not an actual incurred cost of the related party contractor). Include any related party margins or management fees in the separate 'Related party margin' line item.</t>
  </si>
  <si>
    <t>Capital expenditure amounts entered should be GROSS of customer contributions. There is a separate line item for customer contributions from which net capital expenditure is derived.</t>
  </si>
  <si>
    <t>Supporting documentation (business case, costing spreadsheet, contracts)</t>
  </si>
  <si>
    <t>Overhead rate</t>
  </si>
  <si>
    <t xml:space="preserve">Mains &amp; services renewal </t>
  </si>
  <si>
    <t>Facilities renewal &amp; upgrade</t>
  </si>
  <si>
    <t>IT &amp; communications</t>
  </si>
  <si>
    <t>Rate of contributions</t>
  </si>
  <si>
    <t>Value of contribution</t>
  </si>
  <si>
    <t>Average value of contribution</t>
  </si>
  <si>
    <t>Contribution (rate of contributions x number of connections x average value)</t>
  </si>
  <si>
    <t>Total number of new connections (from tab 27 - Customer numbers)</t>
  </si>
  <si>
    <t>Total number of refurbished meters used for meter replacement</t>
  </si>
  <si>
    <t>Opex overheads</t>
  </si>
  <si>
    <t>Capex overheads</t>
  </si>
  <si>
    <t>Total overheads</t>
  </si>
  <si>
    <t>Table 17a.1</t>
  </si>
  <si>
    <t>This template asks for information relating to meter replacement</t>
  </si>
  <si>
    <t>Original installation year</t>
  </si>
  <si>
    <t>Total units within network</t>
  </si>
  <si>
    <t>Expected life</t>
  </si>
  <si>
    <t>Original installation date</t>
  </si>
  <si>
    <t>Result</t>
  </si>
  <si>
    <t>Next access arrangement</t>
  </si>
  <si>
    <t>Liabilities paid from provision charged to opex</t>
  </si>
  <si>
    <t>Liabilities paid from provision charged to capex</t>
  </si>
  <si>
    <t>Increase /decrease in provision charged to opex</t>
  </si>
  <si>
    <t>Increase/decrease in provision charged to capex</t>
  </si>
  <si>
    <t>Meters decommissioned</t>
  </si>
  <si>
    <t>&lt;insert other meter replacement cost&gt;</t>
  </si>
  <si>
    <t>Volume (of compliance tests)</t>
  </si>
  <si>
    <t>Internal identification code</t>
  </si>
  <si>
    <t>Asset category</t>
  </si>
  <si>
    <t>CM</t>
  </si>
  <si>
    <t>HPM</t>
  </si>
  <si>
    <t>HPS</t>
  </si>
  <si>
    <t>MPM</t>
  </si>
  <si>
    <t>MPS</t>
  </si>
  <si>
    <t>TM</t>
  </si>
  <si>
    <t>Contract meters</t>
  </si>
  <si>
    <t>HP mains</t>
  </si>
  <si>
    <t>HP services</t>
  </si>
  <si>
    <t>MP mains</t>
  </si>
  <si>
    <t>MP services</t>
  </si>
  <si>
    <t>Tariff meters</t>
  </si>
  <si>
    <t>Percent allocation</t>
  </si>
  <si>
    <t>Volume of meter replacements</t>
  </si>
  <si>
    <t>Total opex</t>
  </si>
  <si>
    <t>Gross total capex (excl escalation) excluding overheads and RPM</t>
  </si>
  <si>
    <t>Gross total capex (incl escalation) excluding overheads and RPM</t>
  </si>
  <si>
    <t>Gross total capex (incl escalation) including overheads, excluding RPM</t>
  </si>
  <si>
    <t>Gross total capex (incl escalation) including overheads and RPM</t>
  </si>
  <si>
    <t>Net total capex (incl escalation) including overheads and RPM</t>
  </si>
  <si>
    <t>Reasons for the removal</t>
  </si>
  <si>
    <t>TJ</t>
  </si>
  <si>
    <t>2020-21</t>
  </si>
  <si>
    <t>Total revenue</t>
  </si>
  <si>
    <t>Surcharge or premium revenue</t>
  </si>
  <si>
    <t>Government contributions</t>
  </si>
  <si>
    <t>Customer contributions</t>
  </si>
  <si>
    <t>$/day</t>
  </si>
  <si>
    <t>Tariff type</t>
  </si>
  <si>
    <t>Description of tariff type</t>
  </si>
  <si>
    <t>Average</t>
  </si>
  <si>
    <t>Annual price path (per cent, nominal)</t>
  </si>
  <si>
    <t>Annual impact on customer bill (%)</t>
  </si>
  <si>
    <t>Annual change</t>
  </si>
  <si>
    <t>Distribution costs as a proportion of a typical customer's gas bill (per cent)</t>
  </si>
  <si>
    <t>This template asks for an estimate of the service provider's proposal on indicative gas bills. It includes entries for various major tariff structures.</t>
  </si>
  <si>
    <t>This template asks for information on the service provider's capex including related party margins. It is divided into tables for actual/forecast capex and for approved capex.</t>
  </si>
  <si>
    <t>In table 21 enter the required details into the yellow cells.</t>
  </si>
  <si>
    <t>In table 31.1 report the actual costs incurred as a result of an event that gave rise to a cost pass through.</t>
  </si>
  <si>
    <t>In table 31.2 report the costs approved by the relevant regulator for the cost pass through event.</t>
  </si>
  <si>
    <t>In tables 31.1 and 31.2 enter the required details into the yellow cells. This may require the insertion of new lines in each table. Provide details/links to supporting information.</t>
  </si>
  <si>
    <t>This template applies to gas extensions that commenced in the CURRENT access arrangement period or are forecast for the NEXT access arrangement period</t>
  </si>
  <si>
    <t>Table 1.1 provides CPI index figures used to calculate CPI escalators to be used in the RIN</t>
  </si>
  <si>
    <t xml:space="preserve">All input amounts should be gross of contributions. Contributions are to be separately entered on the allocated line. </t>
  </si>
  <si>
    <t>The asset classes listed are sourced from service provider's 2010 RAB RFM. Service providers are to change/add to these asset classes if deemed necessary and backcast the data accordingly.</t>
  </si>
  <si>
    <t>In tables 20.1 and 20.2 reported expenditure is to be entered INCLUSIVE of any profit margins or management fees paid directly or indirectly to related party contractors (which is not an actual incurred cost of the related party contractor).</t>
  </si>
  <si>
    <t>Historical tariff band information should be provided on the same basis as the tariff band forecasts for the next access arrangment period are provided.</t>
  </si>
  <si>
    <t xml:space="preserve">Provide the assumptions used where necessary in the proposal submission or in this template. </t>
  </si>
  <si>
    <t>Expected testing year</t>
  </si>
  <si>
    <t>Expected removal year</t>
  </si>
  <si>
    <t>Capex overhead amount</t>
  </si>
  <si>
    <t>Ensure all dependent links are correct.</t>
  </si>
  <si>
    <t>Change/add to these asset classes if deemed necessary and backcast the data accordingly.</t>
  </si>
  <si>
    <t>In tables 25.1 and 25.2 enter the required details into the yellow cells. This may require the insertion of new lines in each table.</t>
  </si>
  <si>
    <t xml:space="preserve">Fixed Customer tariff </t>
  </si>
  <si>
    <t xml:space="preserve">ABS series ID A2325846C, 25/1/12 release
</t>
  </si>
  <si>
    <t>ABS series ID A2325846C, 22/1/14 release</t>
  </si>
  <si>
    <t>Costs (real $2015)</t>
  </si>
  <si>
    <t>Estimated</t>
  </si>
  <si>
    <t>SERVICE PROVIDERS ARE NOT TO MAKE ANY CHANGES TO THIS TEMPLATE EXCEPT AS INDICATED</t>
  </si>
  <si>
    <t>Service providers should insert inflation forecasts (yellow cells)</t>
  </si>
  <si>
    <t>Tables 1.2 provide the CPI escalators for converting nominal values to real values.</t>
  </si>
  <si>
    <t>Extension name</t>
  </si>
  <si>
    <t>Extension description</t>
  </si>
  <si>
    <t>Following years for NPV analysis</t>
  </si>
  <si>
    <t>O&amp;M incl. contributions</t>
  </si>
  <si>
    <t>O&amp;M excl. contributions</t>
  </si>
  <si>
    <t>The tariffs should include any new town surcharges or premiums applied to the extension in excess of the reference tariffs usually applied to the relevant customer calss.</t>
  </si>
  <si>
    <t>This template asks for divisions between cost categories used to escalate unit costs. The expenditure is to include related party margins and overheads.</t>
  </si>
  <si>
    <t>General</t>
  </si>
  <si>
    <t>TRS &amp; DRS - valves &amp; regulators</t>
  </si>
  <si>
    <t>Regulatory costs</t>
  </si>
  <si>
    <t>IT system</t>
  </si>
  <si>
    <t>Capitalised regulatory costs</t>
  </si>
  <si>
    <t>Labour</t>
  </si>
  <si>
    <t>Materials</t>
  </si>
  <si>
    <t>TRS</t>
  </si>
  <si>
    <t>RC</t>
  </si>
  <si>
    <t>ITS</t>
  </si>
  <si>
    <t>IT System</t>
  </si>
  <si>
    <t>ERC</t>
  </si>
  <si>
    <t>Nature of the relationship - eg. percentage ownership by/of related party of/by Gas Distributor</t>
  </si>
  <si>
    <t>[capex category]</t>
  </si>
  <si>
    <t>&lt;enter band definition&gt;</t>
  </si>
  <si>
    <t>&lt;enter band name&gt;</t>
  </si>
  <si>
    <t>Average  tariff business consumption</t>
  </si>
  <si>
    <t>ActewAGL Distribution</t>
  </si>
  <si>
    <t>ACN / ABN</t>
  </si>
  <si>
    <t>CA</t>
  </si>
  <si>
    <t>CATEGORY ANALYSIS</t>
  </si>
  <si>
    <t>REGULATORY REPORTING STATEMENT</t>
  </si>
  <si>
    <t>CPI</t>
  </si>
  <si>
    <t>Address 1</t>
  </si>
  <si>
    <t>EB</t>
  </si>
  <si>
    <t>ECONOMIC BENCHMARKING</t>
  </si>
  <si>
    <t>Address 2</t>
  </si>
  <si>
    <t>PTRM</t>
  </si>
  <si>
    <t>POST TAX REVENUE MODEL</t>
  </si>
  <si>
    <t>Reset</t>
  </si>
  <si>
    <t>RFM</t>
  </si>
  <si>
    <t>ROLL FORWARD MODEL</t>
  </si>
  <si>
    <t>WACC</t>
  </si>
  <si>
    <t>WEIGHTED AVERAGE COST OF CAPITAL</t>
  </si>
  <si>
    <t>p/code</t>
  </si>
  <si>
    <t>Ausgrid</t>
  </si>
  <si>
    <t>AusNet (D)</t>
  </si>
  <si>
    <t>AusNet (T)</t>
  </si>
  <si>
    <t>Endeavour Energy</t>
  </si>
  <si>
    <t>Energex</t>
  </si>
  <si>
    <t>Forthcoming regulatory control period</t>
  </si>
  <si>
    <t>Ergon Energy</t>
  </si>
  <si>
    <t>Essential Energy</t>
  </si>
  <si>
    <t>Jemena Electricity</t>
  </si>
  <si>
    <t>Current regulatory control period</t>
  </si>
  <si>
    <t>Powercor Australia</t>
  </si>
  <si>
    <t>Powerlink</t>
  </si>
  <si>
    <t>Previous regulatory control period</t>
  </si>
  <si>
    <t>SA Power Networks</t>
  </si>
  <si>
    <t>TasNetworks (D)</t>
  </si>
  <si>
    <t>TasNetworks (T)</t>
  </si>
  <si>
    <t>Sector</t>
  </si>
  <si>
    <t>Gas</t>
  </si>
  <si>
    <t>TransGrid</t>
  </si>
  <si>
    <t>Segment</t>
  </si>
  <si>
    <t>Distribution</t>
  </si>
  <si>
    <t>United Energy</t>
  </si>
  <si>
    <t>Source</t>
  </si>
  <si>
    <t>Regulatory proposal</t>
  </si>
  <si>
    <t>Regulatory Year Ending</t>
  </si>
  <si>
    <t>Reporting Period Type</t>
  </si>
  <si>
    <t>Model or RIN Type</t>
  </si>
  <si>
    <t>Security Classification</t>
  </si>
  <si>
    <t>Consolidated</t>
  </si>
  <si>
    <t>RIN response - version no.</t>
  </si>
  <si>
    <t>Amended RIN submission - amendment reason</t>
  </si>
  <si>
    <t>Template - version no.</t>
  </si>
  <si>
    <t>Table 2.1 - Real cost escalators ( % )</t>
  </si>
  <si>
    <t xml:space="preserve">Current access arrangement </t>
  </si>
  <si>
    <t>Table 2.2 - Input / Cost Mix (Weights)</t>
  </si>
  <si>
    <t>Cumulative Factor</t>
  </si>
  <si>
    <t>Table 3.1 - Capex by driver (forecast)</t>
  </si>
  <si>
    <t>Table 3.2 - Capex by driver (approved)</t>
  </si>
  <si>
    <t>Actual vs Approved</t>
  </si>
  <si>
    <t>Number of mains metres per connection</t>
  </si>
  <si>
    <t>Number of meters per connection</t>
  </si>
  <si>
    <t>Unit rates per metre of mains per connection</t>
  </si>
  <si>
    <t>Unit rates per service per connection</t>
  </si>
  <si>
    <t>Table 4.2.6 - I&amp;C contract</t>
  </si>
  <si>
    <t>TABLE 4.3 -  CUSTOMER CONTRIBUTIONS</t>
  </si>
  <si>
    <t>TABLE 4.1 -  NEW CUSTOMER CONNECTIONS</t>
  </si>
  <si>
    <t>Table 4.1.1 - Number of new customer connections</t>
  </si>
  <si>
    <t xml:space="preserve">Variance </t>
  </si>
  <si>
    <t>0's</t>
  </si>
  <si>
    <t xml:space="preserve">Mains </t>
  </si>
  <si>
    <t>Services</t>
  </si>
  <si>
    <t>Direct internal labour</t>
  </si>
  <si>
    <t>TOTALS</t>
  </si>
  <si>
    <t>[ enter meter type 1 ]</t>
  </si>
  <si>
    <t>&lt; insert sub-category &gt;</t>
  </si>
  <si>
    <t xml:space="preserve">4. CAPITAL EXPENDITURE SUMMARY (by driver) </t>
  </si>
  <si>
    <t>2. REAL COST ESCALATORS</t>
  </si>
  <si>
    <t>1. CPI ESCALATION</t>
  </si>
  <si>
    <t>Table 1.2 - CPI p.a.</t>
  </si>
  <si>
    <t xml:space="preserve">% </t>
  </si>
  <si>
    <t>Augmentation growth capacity</t>
  </si>
  <si>
    <t>Table 17.2 - Gross capex including RPM (approved)</t>
  </si>
  <si>
    <t>17. GROSS CAPITAL EXPENDITURE</t>
  </si>
  <si>
    <t>Table 17.4 - Gross capex excluding RPM (approved)</t>
  </si>
  <si>
    <t>2016-2021</t>
  </si>
  <si>
    <t>16. CAPITAL EXPENDITURE ALLOCATION</t>
  </si>
  <si>
    <t>20. CHANGES IN PROVISIONS</t>
  </si>
  <si>
    <t>Table 20.2 - Changes in provisions by provision incl. RPM</t>
  </si>
  <si>
    <t>Table 20.1.1 - Total Provisions</t>
  </si>
  <si>
    <t>Operating and maintenance expenditure</t>
  </si>
  <si>
    <t>$0's, Nominal</t>
  </si>
  <si>
    <t>Table 16.1 - Allocation of capital expenditure driver classes  to asset classes</t>
  </si>
  <si>
    <t>21. INDICATIVE BILL IMPACTS</t>
  </si>
  <si>
    <t>22. WACC AND CAPM PARAMETERS</t>
  </si>
  <si>
    <t>24. COST CATEGORY MATRIX</t>
  </si>
  <si>
    <t>25. ANCILLARY REFERENCE SERVICES</t>
  </si>
  <si>
    <t>26. ALLOCATION OF TOTAL REVENUE</t>
  </si>
  <si>
    <t>27. CUSTOMER NUMBERS</t>
  </si>
  <si>
    <t>28. CONSUMPTION AND DEMAND</t>
  </si>
  <si>
    <t>30. NETWORKS CHARACTERISTICS</t>
  </si>
  <si>
    <t>31. PASS THROUGHS</t>
  </si>
  <si>
    <t>Table 21.1 - Typical gas bill - Residential customer</t>
  </si>
  <si>
    <t>Table 22.2 - Rate of return on debt - Transition - 'trailing average' approach</t>
  </si>
  <si>
    <t>Table 22.1 - Rate of return on equity</t>
  </si>
  <si>
    <t>Table 22.3 - Other WACC parameters</t>
  </si>
  <si>
    <t>This template asks for inputs used to determine the weighted average cost of capital  (WACC) and capital asset pricing model (CAPM).</t>
  </si>
  <si>
    <t>Table 25.3 - Price</t>
  </si>
  <si>
    <t xml:space="preserve">Total </t>
  </si>
  <si>
    <t xml:space="preserve">Forecast </t>
  </si>
  <si>
    <t>Table 30.2 - City Gates/Regulators</t>
  </si>
  <si>
    <t>Table 31.2 - Pass through event costs (approved)</t>
  </si>
  <si>
    <r>
      <t xml:space="preserve">Instructions
</t>
    </r>
    <r>
      <rPr>
        <sz val="10"/>
        <rFont val="Arial"/>
        <family val="2"/>
      </rPr>
      <t xml:space="preserve">This template aggregates information relating to capital expenditure inclusive of related party margins from tabs 4 to 15.
</t>
    </r>
    <r>
      <rPr>
        <b/>
        <sz val="10"/>
        <color rgb="FFFF0000"/>
        <rFont val="Arial"/>
        <family val="2"/>
      </rPr>
      <t>No input is required</t>
    </r>
    <r>
      <rPr>
        <sz val="10"/>
        <rFont val="Arial"/>
        <family val="2"/>
      </rPr>
      <t>. Please check that the forecast capex aligns with the AAI proposed totals and the capex totals in the PTRM and RFM models.</t>
    </r>
  </si>
  <si>
    <t xml:space="preserve"> </t>
  </si>
  <si>
    <r>
      <rPr>
        <b/>
        <sz val="10"/>
        <color rgb="FFFF0000"/>
        <rFont val="Arial"/>
        <family val="2"/>
      </rPr>
      <t xml:space="preserve">ONE EXTENSION PER SHEET. </t>
    </r>
    <r>
      <rPr>
        <sz val="10"/>
        <color rgb="FFFF0000"/>
        <rFont val="Arial"/>
        <family val="2"/>
      </rPr>
      <t>Please copy and begin a new sheet if more than one extension applies.</t>
    </r>
  </si>
  <si>
    <t>YYYY</t>
  </si>
  <si>
    <t>DD/MM/YYYY</t>
  </si>
  <si>
    <t>Connections / market expansion</t>
  </si>
  <si>
    <r>
      <rPr>
        <b/>
        <sz val="10"/>
        <color rgb="FFFF0000"/>
        <rFont val="Arial"/>
        <family val="2"/>
      </rPr>
      <t>ONE EXTENSION PER SHEET.</t>
    </r>
    <r>
      <rPr>
        <sz val="10"/>
        <color rgb="FFFF0000"/>
        <rFont val="Arial"/>
        <family val="2"/>
      </rPr>
      <t xml:space="preserve"> Please copy and begin a new sheet if more than one extension applies.</t>
    </r>
  </si>
  <si>
    <r>
      <rPr>
        <b/>
        <sz val="10"/>
        <color rgb="FFFF0000"/>
        <rFont val="Arial"/>
        <family val="2"/>
      </rPr>
      <t>ONE EXTENSION PER SHEET</t>
    </r>
    <r>
      <rPr>
        <sz val="10"/>
        <color rgb="FFFF0000"/>
        <rFont val="Arial"/>
        <family val="2"/>
      </rPr>
      <t>. Please copy and begin a new sheet if more than one extension applies.</t>
    </r>
  </si>
  <si>
    <t>Form of control</t>
  </si>
  <si>
    <t>Actual and estimated inflation</t>
  </si>
  <si>
    <t>Estimate</t>
  </si>
  <si>
    <t>ED_EBS751_00001</t>
  </si>
  <si>
    <t>ED_EBS751_00002</t>
  </si>
  <si>
    <t>Previous period</t>
  </si>
  <si>
    <t>ED_EBS751_00003</t>
  </si>
  <si>
    <t>Total opex allowance</t>
  </si>
  <si>
    <t>ED_EBS751_00008</t>
  </si>
  <si>
    <t>ED_EBS751_00011</t>
  </si>
  <si>
    <t>$m, Actual</t>
  </si>
  <si>
    <t>ED_EBS751_00012</t>
  </si>
  <si>
    <t>Total opex (actual)</t>
  </si>
  <si>
    <t>Less approved excludable costs</t>
  </si>
  <si>
    <t>ED_EBS751_00016</t>
  </si>
  <si>
    <t>ED_EBS751_00017</t>
  </si>
  <si>
    <t>ED_EBS751_00018</t>
  </si>
  <si>
    <t>ED_EBS751_00021</t>
  </si>
  <si>
    <t>Carryover</t>
  </si>
  <si>
    <t>Total Carryover Amount ($million, 2015-16)</t>
  </si>
  <si>
    <t>PTRM inputs</t>
  </si>
  <si>
    <t>ED_EBS752_00001</t>
  </si>
  <si>
    <t xml:space="preserve">Less excluded costs </t>
  </si>
  <si>
    <t>ED_EBS752_00002</t>
  </si>
  <si>
    <t>ED_EBS752_00003</t>
  </si>
  <si>
    <t>&lt;category proposed for exclusion&gt;</t>
  </si>
  <si>
    <t>ED_EBS752_00004</t>
  </si>
  <si>
    <t>ED_EBS752_00005</t>
  </si>
  <si>
    <t>ED_EBS752_00006</t>
  </si>
  <si>
    <t>ED_EBS752_00007</t>
  </si>
  <si>
    <t>ED_EBS752_00008</t>
  </si>
  <si>
    <t>ED_EBS752_00009</t>
  </si>
  <si>
    <t>ED_EBS752_00010</t>
  </si>
  <si>
    <t>ED_EBS752_00011</t>
  </si>
  <si>
    <t>ED_EBS752_99999</t>
  </si>
  <si>
    <t>Adjusted forecast opex ($million, 2015-16)</t>
  </si>
  <si>
    <t>Reported expenditure is to be entered EXCLUSIVE of any profit margins or management fees paid pursuant to arrangements or contracts with any related parties. Include any related party margins or management fees in the separate 'Related party margin' line item.</t>
  </si>
  <si>
    <t>Table 1.1 - CPI   (actual/estimated)</t>
  </si>
  <si>
    <t>4. NEW CUSTOMER CONNECTIONS / GROWTH CAPTIAL EXPENDITURE</t>
  </si>
  <si>
    <t>Number of inlets/services per connection</t>
  </si>
  <si>
    <t>Table 4.2.5 - I&amp;C volume</t>
  </si>
  <si>
    <t>5. MAINS AUGMENTATION CAPITAL EXPENDITURE</t>
  </si>
  <si>
    <t>6. MAINS REPLACEMENT CAPITAL EXPENDITURE</t>
  </si>
  <si>
    <t>Table 6.1.2 - Ad hoc/reactive mains replacement</t>
  </si>
  <si>
    <t>This template asks for information relating to mains replacement capital expenditure.</t>
  </si>
  <si>
    <t>This template asks for information relating to network augmentation capital expenditure</t>
  </si>
  <si>
    <r>
      <rPr>
        <b/>
        <sz val="10"/>
        <rFont val="Arial"/>
        <family val="2"/>
      </rPr>
      <t>Instructions</t>
    </r>
    <r>
      <rPr>
        <sz val="10"/>
        <rFont val="Arial"/>
        <family val="2"/>
      </rPr>
      <t xml:space="preserve">
This template asks for information relating to new connections/ market growth capital expenditure. This does not include expenditure relating to network capacity expansion, which should be included at tab 5 relating to augmentation. </t>
    </r>
  </si>
  <si>
    <t>In table 4.1.1 AGN is to insert each residential and industrial and commerical type of new connection. This may require the insertion of new lines in the table.</t>
  </si>
  <si>
    <t>9. REGULATORS CAPITAL EXPENDITURE</t>
  </si>
  <si>
    <t>8. METER REPLACEMENT CAPITAL EXPENDITURE</t>
  </si>
  <si>
    <t xml:space="preserve">Record data on the meters removed from service as part of the service provider's meter replacement program in Table 8.1. The data should be INCLUSIVE of meters removed through providing ancillary services. </t>
  </si>
  <si>
    <t>Record data on the cost and volume of meters refurbished and procured for the service provider's meter replacement program in Table 8.6. These data are to be exclusive of meters procured for new connections.</t>
  </si>
  <si>
    <t>Table 8.5.1 - New meters acquired</t>
  </si>
  <si>
    <t>Table 8.5.2 - Meters refurbished</t>
  </si>
  <si>
    <t>7. TELEMETRY CAPITAL EXPENDITURE</t>
  </si>
  <si>
    <t>This template asks for information relating to telemetry capital expenditure</t>
  </si>
  <si>
    <t>12. IT CAPITAL EXPENDITURE</t>
  </si>
  <si>
    <t>This template asks for information relating to IT capital expenditure</t>
  </si>
  <si>
    <t>Mains augmentation</t>
  </si>
  <si>
    <t xml:space="preserve">Mains replacement </t>
  </si>
  <si>
    <t>Telemetry</t>
  </si>
  <si>
    <t>Meter replacement</t>
  </si>
  <si>
    <r>
      <rPr>
        <b/>
        <sz val="10"/>
        <rFont val="Times New Roman"/>
        <family val="1"/>
      </rPr>
      <t>Instructions</t>
    </r>
    <r>
      <rPr>
        <sz val="10"/>
        <rFont val="Times New Roman"/>
        <family val="1"/>
      </rPr>
      <t xml:space="preserve">
This template asks for real cost escalators used to escalate unit costs.
Please identify the unit used in this sheet.
</t>
    </r>
  </si>
  <si>
    <t>New homes</t>
  </si>
  <si>
    <t>I&amp;C tariff</t>
  </si>
  <si>
    <t>I&amp;C contract</t>
  </si>
  <si>
    <t>Reported expenditure is to be entered INCLUSIVE of any profit margins or management fees paid pursuant to arrangements or contracts with any related parties.</t>
  </si>
  <si>
    <t>Output growth ($0's)</t>
  </si>
  <si>
    <t>Productivity growth ($0's)</t>
  </si>
  <si>
    <t xml:space="preserve"> Only input data into the yellow input cells.</t>
  </si>
  <si>
    <t>Check all pre-entered formulas to ensure they are operating correctly and as intended.</t>
  </si>
  <si>
    <t>Ensure all links within each worksheet and between worksheets are correct.</t>
  </si>
  <si>
    <t xml:space="preserve"> As stated in the notice, further information must be provided in the accompanying proposal.</t>
  </si>
  <si>
    <t>The service provider is encouraged to add extra rows in a regulatory template if it considers that this is necessary to fully complete the regulatory template in question.</t>
  </si>
  <si>
    <t>INSTRUCTIONS</t>
  </si>
  <si>
    <r>
      <t xml:space="preserve">Complete the </t>
    </r>
    <r>
      <rPr>
        <i/>
        <sz val="11"/>
        <rFont val="Calibri"/>
        <family val="2"/>
        <scheme val="minor"/>
      </rPr>
      <t xml:space="preserve">Business Details </t>
    </r>
    <r>
      <rPr>
        <sz val="11"/>
        <rFont val="Calibri"/>
        <family val="2"/>
        <scheme val="minor"/>
      </rPr>
      <t>pro forma first.</t>
    </r>
  </si>
  <si>
    <t>23.2 - OPERATING EXPENDITURE EXCLUDING RPM</t>
  </si>
  <si>
    <t>23.1 - OPERATING EXPENDITURE INCLUDING RPM</t>
  </si>
  <si>
    <t xml:space="preserve">In table 23.1.2, only enter amounts APPROVED BY THE RELEVANT REGULATOR. </t>
  </si>
  <si>
    <t xml:space="preserve">In tables 23.2.1 to 23.2.3 enter the required details into the yellow cells. This may require the insertion of new lines in each table. </t>
  </si>
  <si>
    <t xml:space="preserve">In table 23.2.2, only enter amounts APPROVED BY THE RELEVANT REGULATOR. </t>
  </si>
  <si>
    <t>Table 23.3.1 - Total opex rate of change by item</t>
  </si>
  <si>
    <t>In tables 29.1.1 to 29.1.3 enter the required data in the yellow cells. This may require the insertion of new rows.</t>
  </si>
  <si>
    <t>Table 29.1.1 - Revenue Information (incl. surcharge or premium revenue)</t>
  </si>
  <si>
    <t>Table 29.1.2 - Operations and Maintenance Cost</t>
  </si>
  <si>
    <t>Table 29.1.3 - Capital expenditure</t>
  </si>
  <si>
    <t>29.1 - GAS EXTENTIONS - FINANCIAL INFORMATION</t>
  </si>
  <si>
    <t>In tables 29.2 enter the required data in the yellow cells. This may require the insertion of new rows.</t>
  </si>
  <si>
    <t>In table 29.3 enter the required data in the yellow cells. This may require the insertion of new rows</t>
  </si>
  <si>
    <t>Table 29.1 - Gas Extensions - Financial Information</t>
  </si>
  <si>
    <t>In tables 29.4 enter the required data in the yellow cells. This may require the insertion of new rows.</t>
  </si>
  <si>
    <t>29.4 - GAS EXTENSIONS - TARIFFS</t>
  </si>
  <si>
    <t>Table 1 - CPI ESCALATION</t>
  </si>
  <si>
    <t>TABLE 4 - NEW CUSTOMER CONNECTIONS / MARKET EXPANSION CAPITAL EXPENDITURE</t>
  </si>
  <si>
    <t>Table 6 - MAINS REPLACEMENT CAPITAL EXPENDITURE</t>
  </si>
  <si>
    <t>Table 6.1.3 - Total Mains replacement</t>
  </si>
  <si>
    <t>Table 7 - TELEMETRY CAPITAL EXPENDITURE</t>
  </si>
  <si>
    <t>Table 8 - METER REPLACEMENT CAPITAL EXPENDITURE</t>
  </si>
  <si>
    <t>Table 8.9 - Meter removals</t>
  </si>
  <si>
    <t>Table 8.9.1 - Time expired meter removals</t>
  </si>
  <si>
    <t>Table 8.9.2 - Voluntary meter removals</t>
  </si>
  <si>
    <t>Table 8.8 - In service compliance testing results</t>
  </si>
  <si>
    <t>Table 12 - IT CAPITAL EXPENDITURE</t>
  </si>
  <si>
    <t>Table 12.1 - IT Capex (actual/forecast)</t>
  </si>
  <si>
    <t>Table 12.2 - IT Capex (approved)</t>
  </si>
  <si>
    <t>14. CAPITALISED OVERHEAD EXPENDITURE</t>
  </si>
  <si>
    <t xml:space="preserve">For tables 14.1 to 14.5 enter the required details into the yellow cells. This may require the insertion of new lines in each table.
</t>
  </si>
  <si>
    <t>Table  14 - CAPITALISED OVERHEAD EXPENDITURE</t>
  </si>
  <si>
    <t>Table  14.1 - Total overhead expenditure (actual/forecast)</t>
  </si>
  <si>
    <t>15. RELATED PARTY TRANSACTIONS</t>
  </si>
  <si>
    <t>In Table 15.1 and 15.2 enter the required data in the yellow cells. This may require the insertion of new rows.</t>
  </si>
  <si>
    <t>Table 15.4 - Related party margin (approved)</t>
  </si>
  <si>
    <t>Table 15.6 - Per cent of capex outsourced to related party (approved)</t>
  </si>
  <si>
    <t>Table 15.7 - Capex outsourced to related party (actual)</t>
  </si>
  <si>
    <t>Table 15.8 - Capex outsourced to related party (approved)</t>
  </si>
  <si>
    <t>Table 15 - RELATED PARTY TRANSACTIONS</t>
  </si>
  <si>
    <t>Table 16 - CAPITAL EXPENDITURE ALLOCATION</t>
  </si>
  <si>
    <t>Table 17 - GROSS CAPITAL EXPENDITURE</t>
  </si>
  <si>
    <t>Table 20 - CHANGES IN PROVISIONS</t>
  </si>
  <si>
    <t>Table 20.1 - Changes in provisions (including RPM)</t>
  </si>
  <si>
    <t>Table 20.1.2 - Allocation of movement in total provisions</t>
  </si>
  <si>
    <t>Land</t>
  </si>
  <si>
    <t>Table 20.1.3 - Allocation of movements in provisions for capex</t>
  </si>
  <si>
    <t>Table 22 - WACC AND CAPM PARAMETERS</t>
  </si>
  <si>
    <t>Table 23 - OPERATING EXPENDITURE</t>
  </si>
  <si>
    <t>Table 23.1.1 - Operating and maintenance expenditure (actual/forecast)</t>
  </si>
  <si>
    <t>Table 23.1 - Operating expenditure including RPM</t>
  </si>
  <si>
    <t>Table 23.1.2 - Operating and maintenance expenditure (approved)</t>
  </si>
  <si>
    <t>Table 23.2 - Operating expenditure excluding RPM</t>
  </si>
  <si>
    <t>Table 23.2.1 - Operating and maintenance expenditure (actual/forecast)</t>
  </si>
  <si>
    <t>Table 23.2.2 - Operating and maintenance expenditure (approved)</t>
  </si>
  <si>
    <t>Table 23.3 - OPERATING EXPENDITURE RATE OF CHANGE</t>
  </si>
  <si>
    <t>Table 24 - COST CATEGORY MATRIX</t>
  </si>
  <si>
    <t>Table 24.1 - Capex</t>
  </si>
  <si>
    <t>Table 24.2 - Opex</t>
  </si>
  <si>
    <t>Table 25 - ANCILLARY REFERENCE SERVICES</t>
  </si>
  <si>
    <t>Table 25.1 - Volume</t>
  </si>
  <si>
    <t>Table 25.2 - Revenue</t>
  </si>
  <si>
    <t>Table 26 - ALLOCATION OF TOTAL REVENUE</t>
  </si>
  <si>
    <t>Table 26.1 - Reference services</t>
  </si>
  <si>
    <t>Table 26.2 - Ancillary reference services</t>
  </si>
  <si>
    <t>Table 26.3 - Rebateable services</t>
  </si>
  <si>
    <t>Table 26.4 - Non-reference services</t>
  </si>
  <si>
    <t>Table 27 - CUSTOMER NUMBERS</t>
  </si>
  <si>
    <t>Table 27.1 - Tariff Customer Numbers</t>
  </si>
  <si>
    <t>Table 28 - CONSUMPTION AND DEMAND</t>
  </si>
  <si>
    <t>Table 29.4 - GAS EXTENSIONS - TARIFFS</t>
  </si>
  <si>
    <t>Table 29.4.1 - Residential tariffs</t>
  </si>
  <si>
    <t>Table 29.4.2 - Business tariffs</t>
  </si>
  <si>
    <t>Table 29.4.3 - Contract tariffs</t>
  </si>
  <si>
    <t>Table 30 - NETWORK CHARACTERISTICS</t>
  </si>
  <si>
    <t>Table 30.3 - Unaccounted for Gas - transmission and distribution</t>
  </si>
  <si>
    <t>Table 31 - PASS THROUGHS</t>
  </si>
  <si>
    <t>Table 31.1 - Pass through event costs (actual)</t>
  </si>
  <si>
    <t>$0's, real June 2016</t>
  </si>
  <si>
    <t>$0's, nominal</t>
  </si>
  <si>
    <t>SUBMISSION PARTICULARS INPUT SHEETS</t>
  </si>
  <si>
    <t>BUSINESS &amp; OTHER DETAILS</t>
  </si>
  <si>
    <t>Table 5 - MAINS AUGMENTATION CAPITAL EXPENDITURE</t>
  </si>
  <si>
    <t>Data quality (actual, estimate, public, consolidated)</t>
  </si>
  <si>
    <t>Table 15.3 - Related party margin (actual/forecast)</t>
  </si>
  <si>
    <t>Table 15.5 - Per cent of capex outsourced to related party (actual/forecast)</t>
  </si>
  <si>
    <t>Table 17.1 - Gross capex including RPM (actual/forecast)</t>
  </si>
  <si>
    <t>Table 17.3 - Gross capex excluding RPM (actual/forecast)</t>
  </si>
  <si>
    <t>Table of Contents</t>
  </si>
  <si>
    <t>Electricity to gas</t>
  </si>
  <si>
    <t>Table 4.1.2 -  Volume of mains / services / meters per connection</t>
  </si>
  <si>
    <t>Table 4.2.1 -  Unit rates - mains / services / meters</t>
  </si>
  <si>
    <t>New medium density / high rise</t>
  </si>
  <si>
    <t>Table 4.2.7 - Total New Customer Connection expenditure</t>
  </si>
  <si>
    <t>Direct contractor expenditure</t>
  </si>
  <si>
    <t>Direct internal labour expenditure</t>
  </si>
  <si>
    <t>Total labour expenditure</t>
  </si>
  <si>
    <t>TABLE 4.2 -  NEW CUSTOMER CONNECTION EXPENDITURE</t>
  </si>
  <si>
    <t>Inlet / service pipes</t>
  </si>
  <si>
    <t xml:space="preserve">Total contractor expenditure </t>
  </si>
  <si>
    <t xml:space="preserve">Other internal direct expenditure </t>
  </si>
  <si>
    <t xml:space="preserve">Total material expenditure </t>
  </si>
  <si>
    <t xml:space="preserve">Total direct expenditure </t>
  </si>
  <si>
    <t>Total overhead cost</t>
  </si>
  <si>
    <t xml:space="preserve">Total other direct expenditure </t>
  </si>
  <si>
    <t>Total gross expenditure on I&amp;C volume connections</t>
  </si>
  <si>
    <t>Total Net expenditure on I&amp;C volume connections</t>
  </si>
  <si>
    <t>Total gross expenditure on new I&amp;C contract connections</t>
  </si>
  <si>
    <t>Total Net expenditure on new I&amp;C contract connections</t>
  </si>
  <si>
    <t>Total gross expenditure on new connections</t>
  </si>
  <si>
    <t>Total Net expenditure on new connections</t>
  </si>
  <si>
    <t>Number of connections that made a contribution</t>
  </si>
  <si>
    <t>If the expenditure for the connection is not split by the line items specified, provide assumptions on how the expenditure is split between line items. This can be provided as a note to this template or in the written RIN submission.</t>
  </si>
  <si>
    <t>Table 5.1 - Mains augmentation expenditure (actual/forecast)</t>
  </si>
  <si>
    <t>Other internal direct expenditure</t>
  </si>
  <si>
    <t>Total direct expenditure</t>
  </si>
  <si>
    <t>Total Direct expenditure</t>
  </si>
  <si>
    <t>Related party margin expenditure</t>
  </si>
  <si>
    <t>Reported expenditure is to be entered EXCLUSIVE of any profit margins or management fees paid pursuant to arrangements or contracts with any related parties. Include any Related party margin expenditure or management fees in the separate 'Related party margin expenditure' line item.</t>
  </si>
  <si>
    <t>Total overhead expenditure</t>
  </si>
  <si>
    <t>Total gross expenditure</t>
  </si>
  <si>
    <t>Total net expenditure</t>
  </si>
  <si>
    <t>Table 5.2 - Mains augmentation expenditure (approved)</t>
  </si>
  <si>
    <t>Total volume</t>
  </si>
  <si>
    <t>Low pressure - high pressure</t>
  </si>
  <si>
    <t>Low pressure - medium pressure</t>
  </si>
  <si>
    <t>Low pressure - low pressure</t>
  </si>
  <si>
    <t>Medium pressure - medium pressure</t>
  </si>
  <si>
    <t>Medium pressure - high pressure</t>
  </si>
  <si>
    <t>Direct expenditure</t>
  </si>
  <si>
    <t>Total direct contractor expenditure</t>
  </si>
  <si>
    <t xml:space="preserve">Total direct internal labor expenditure </t>
  </si>
  <si>
    <t xml:space="preserve">Total Other internal direct expenditure </t>
  </si>
  <si>
    <t>Equity raising expenditure</t>
  </si>
  <si>
    <t xml:space="preserve">Direct expenditure </t>
  </si>
  <si>
    <t>Total Gross expenditure</t>
  </si>
  <si>
    <t>Record Other internal expenditure attributable to the service provider's meter replacement program in tables 8.8.</t>
  </si>
  <si>
    <t>Contractor expenditure</t>
  </si>
  <si>
    <t>Other expenditure</t>
  </si>
  <si>
    <t>Table 8.6 - Other meter replacement expenditure (actual/forecast)</t>
  </si>
  <si>
    <t>Total other meter replacement expenditure</t>
  </si>
  <si>
    <t>Less contributions</t>
  </si>
  <si>
    <t>Table 8.2 - Meter replacement expenditure  (actual/forecast)</t>
  </si>
  <si>
    <t>Table 8.3 - Replacement meter installation expenditure (actual/forecast)</t>
  </si>
  <si>
    <t>Table 8.3.1 - Residential meter replacement installation expenditure</t>
  </si>
  <si>
    <t>Table 8.3.2 - Industrial and commercial meter replacement installation expenditure</t>
  </si>
  <si>
    <t>Table 8.3.3 - Water meter replacement installation expenditure</t>
  </si>
  <si>
    <t>Table 8.3.4 - Total meter replacement installation expenditure</t>
  </si>
  <si>
    <t>Table 8.5 - Meter replacement expenditure by meter type (actual/forecast)</t>
  </si>
  <si>
    <t>Table 8.4 - Meter replacement expenditure by category / project  (approved)</t>
  </si>
  <si>
    <t>Total number of meters refurbished and acquired</t>
  </si>
  <si>
    <t xml:space="preserve">Total gross expenditure on refurbishing and acquiring meters </t>
  </si>
  <si>
    <t>Total gross expenditure on refurbished meters used for meter replacement</t>
  </si>
  <si>
    <t>Total Overhead expenditure</t>
  </si>
  <si>
    <t>This template asks for information relating to regulatory capital expenditure</t>
  </si>
  <si>
    <t xml:space="preserve">Total net expenditure </t>
  </si>
  <si>
    <t>Regulatory expenditure</t>
  </si>
  <si>
    <t xml:space="preserve">This template asks for information on forecast payments by the service provider to a related party or vice versa over the next access arrangement period. </t>
  </si>
  <si>
    <t>Table 14.1.1 - Network overhead expenditure</t>
  </si>
  <si>
    <t>Table 14.1.2 - Corporate overhead expenditure</t>
  </si>
  <si>
    <t>Capitalised regulatory expenditure</t>
  </si>
  <si>
    <t>Where the related party expenditure has been allocated to different asset classes or cost categories, the description of the basis of allocation and the quantum of the allocator</t>
  </si>
  <si>
    <t>Table 22.4 - Debt and equity raising  expenditure</t>
  </si>
  <si>
    <t>Debt raising expenditure</t>
  </si>
  <si>
    <t>Total expenditure</t>
  </si>
  <si>
    <t>Internal labour expenditure</t>
  </si>
  <si>
    <t>Total quantities</t>
  </si>
  <si>
    <t>Contract customers</t>
  </si>
  <si>
    <t>Total gross capital expenditure</t>
  </si>
  <si>
    <t>Total net capital expenditure</t>
  </si>
  <si>
    <t>Band (Gj)</t>
  </si>
  <si>
    <t>Table 30.1.1 - Low pressure</t>
  </si>
  <si>
    <t>Table 30.1.3 - High pressure</t>
  </si>
  <si>
    <t>Table 30.1.4 - Transmission</t>
  </si>
  <si>
    <t>Table 6.1.1 - Proactive mains replacement expenditure</t>
  </si>
  <si>
    <t>Table 6.1 - Mains replacement expenditure (actual/forecast)</t>
  </si>
  <si>
    <t>Table 7.2 - Telemetry expenditure (approved)</t>
  </si>
  <si>
    <t>Table 7.1 - Telemetry expenditure (actual / forecast)</t>
  </si>
  <si>
    <t xml:space="preserve">REAL $ CONVERSION OF HISTORICAL DATA </t>
  </si>
  <si>
    <t>Table 8.1 - Number of meters removed (actual/forecast)</t>
  </si>
  <si>
    <t>Variance (actual vs approved)
%</t>
  </si>
  <si>
    <t>Date last modified:</t>
  </si>
  <si>
    <t>dms_ABN_List</t>
  </si>
  <si>
    <t>dms_State_List</t>
  </si>
  <si>
    <t>dms_Sector_List</t>
  </si>
  <si>
    <t>dms_Segment_List</t>
  </si>
  <si>
    <t>dms_FormControl</t>
  </si>
  <si>
    <t>ACT</t>
  </si>
  <si>
    <t>Electricity</t>
  </si>
  <si>
    <t>Revenue yield</t>
  </si>
  <si>
    <t>ActewAGL Distribution (Tx Assets)</t>
  </si>
  <si>
    <t>Revenue cap</t>
  </si>
  <si>
    <t>SA</t>
  </si>
  <si>
    <t>NSW</t>
  </si>
  <si>
    <t>Ausgrid (Tx Assets)</t>
  </si>
  <si>
    <t>Vic</t>
  </si>
  <si>
    <t>Transmission</t>
  </si>
  <si>
    <t>Australian Distribution Co.</t>
  </si>
  <si>
    <t>Australian Transmission Co.</t>
  </si>
  <si>
    <t>CitiPower</t>
  </si>
  <si>
    <t>Weighted average price cap</t>
  </si>
  <si>
    <t>Directlink</t>
  </si>
  <si>
    <t>Qld</t>
  </si>
  <si>
    <t>ElectraNet</t>
  </si>
  <si>
    <t>Murraylink</t>
  </si>
  <si>
    <t>Tas</t>
  </si>
  <si>
    <t>Revised regulatory proposal</t>
  </si>
  <si>
    <t>Draft decision</t>
  </si>
  <si>
    <t>Final decision</t>
  </si>
  <si>
    <t>After appeal</t>
  </si>
  <si>
    <t>Total customer numbers</t>
  </si>
  <si>
    <t>Broken pipe - cracked</t>
  </si>
  <si>
    <t>Broken pipe - full break</t>
  </si>
  <si>
    <t>Corrosion</t>
  </si>
  <si>
    <t>Joint leak</t>
  </si>
  <si>
    <t>3rd party damage</t>
  </si>
  <si>
    <t>High density polyethylene (250)</t>
  </si>
  <si>
    <t>High density polyethylene (575)</t>
  </si>
  <si>
    <t>Medium density polyethylene</t>
  </si>
  <si>
    <t>Table 28.1 - Consumption and demand</t>
  </si>
  <si>
    <t>In tables 30.1 to 30.5 enter the required data in the yellow cells. This may require the insertion of new rows.</t>
  </si>
  <si>
    <t>Table 30.1 - Network Length by pressure</t>
  </si>
  <si>
    <t>Number of actual leak repairs/replacements</t>
  </si>
  <si>
    <t>Number of leaks per kilometre</t>
  </si>
  <si>
    <t>Crack related leaks per kilometre</t>
  </si>
  <si>
    <t>Table 26.5 - Total revenue</t>
  </si>
  <si>
    <t>Total reference services revenue</t>
  </si>
  <si>
    <t>Total ancillary reference services revenue</t>
  </si>
  <si>
    <t>Total rebateable services revenue</t>
  </si>
  <si>
    <t>Total non-reference services revenue</t>
  </si>
  <si>
    <t>Table 30.2.1</t>
  </si>
  <si>
    <t>Low pressure</t>
  </si>
  <si>
    <t>Medium pressure</t>
  </si>
  <si>
    <t>High pressure</t>
  </si>
  <si>
    <t>Table 30.1.2 - Medium pressure</t>
  </si>
  <si>
    <t>Table 30.4 - Network Length by suburb/post code</t>
  </si>
  <si>
    <t xml:space="preserve">In table 30.4 insert the length of each asset type in each suburb/post code in AGN's service area in kilometres. </t>
  </si>
  <si>
    <t>Tables 30.4 and 30.5 must be filled in for each suburb or post code in AGN's service area.</t>
  </si>
  <si>
    <t>Description</t>
  </si>
  <si>
    <t>Residential customer</t>
  </si>
  <si>
    <t>Table 21.2 - Typical gas bill - Residential customer</t>
  </si>
  <si>
    <t>Table 21.4 - Indicative annual average distribution price impact</t>
  </si>
  <si>
    <t>Table 21.5 - Distribution bill component - Residential customer</t>
  </si>
  <si>
    <t xml:space="preserve">In table 30.5, insert the number of leaks against each cause of leak by for each suburb or post code in DNSP's service area. The forecast leak rate per kilometre relates to estimate rate of all leaks expected for each asset in the suburb/post code in the 2018-22 access arrangement period. The crack related leak per kilometre relates to leaks resulting from cracks only. Please state the assumptions used to estimate the leak rate. For example, if the estimate was based on historical data. </t>
  </si>
  <si>
    <t xml:space="preserve">Less approved excludable costs - allowance </t>
  </si>
  <si>
    <t>ABS CPI index - December (old base)</t>
  </si>
  <si>
    <t>Inflation rate (per cent)</t>
  </si>
  <si>
    <t>ABS CPI index - December (rebased index in March 2012)</t>
  </si>
  <si>
    <t>Forecast opex ($million, 2017)</t>
  </si>
  <si>
    <t>Customer numbers as at 1 January</t>
  </si>
  <si>
    <t>Customer numbers as at 31 December</t>
  </si>
  <si>
    <t>ONE ZONE PER TABLE. If the service provider has more than one zone, copy and paste Table 27.1 accordingly.</t>
  </si>
  <si>
    <t xml:space="preserve">In table 27.1 enter the customer types and required data in the yellow cells. This may require the insertion of new rows for additional customer types and tariff types. For example, commercial customers that have are on a volume based tariff should be identified separately to business customers on a demand based tariff. </t>
  </si>
  <si>
    <t>Table 28.1.1</t>
  </si>
  <si>
    <t>Band name</t>
  </si>
  <si>
    <t>The band name must specify the units (eg. GJ or MHQ).</t>
  </si>
  <si>
    <t>Identified water in main</t>
  </si>
  <si>
    <t>Table 9 - OTHER CAPITAL EXPENDITURE</t>
  </si>
  <si>
    <t>Table 9.1 - Other capital expenditure (actual / forecast )</t>
  </si>
  <si>
    <t>Table 9.2 - Other capital expenditure  (approved)</t>
  </si>
  <si>
    <t>Include all other non-residential customer types in the commercial/industrial customers section.</t>
  </si>
  <si>
    <t>2018</t>
  </si>
  <si>
    <t>2019</t>
  </si>
  <si>
    <t>2020</t>
  </si>
  <si>
    <t>2021</t>
  </si>
  <si>
    <t>2022</t>
  </si>
  <si>
    <t>2014</t>
  </si>
  <si>
    <t>2015</t>
  </si>
  <si>
    <t>2016</t>
  </si>
  <si>
    <t>2017</t>
  </si>
  <si>
    <t>2008</t>
  </si>
  <si>
    <t>2009</t>
  </si>
  <si>
    <t>2010</t>
  </si>
  <si>
    <t>2011</t>
  </si>
  <si>
    <t>2012</t>
  </si>
  <si>
    <t>Calendar</t>
  </si>
  <si>
    <t>Data in these columns used for data validation and database purposes.</t>
  </si>
  <si>
    <t>added new business names, improved column heading formatting</t>
  </si>
  <si>
    <t>FOR ELECTRICITY BUSINESSES ONLY</t>
  </si>
  <si>
    <t>Feeder Types</t>
  </si>
  <si>
    <t>MAIFI flag</t>
  </si>
  <si>
    <t>Feeder Names</t>
  </si>
  <si>
    <t>CBD</t>
  </si>
  <si>
    <t>Urban</t>
  </si>
  <si>
    <t>Short rural</t>
  </si>
  <si>
    <t>long rural</t>
  </si>
  <si>
    <t>EXTRA</t>
  </si>
  <si>
    <t>dms_TradingName_List</t>
  </si>
  <si>
    <t>dms_TradingNameFull_List</t>
  </si>
  <si>
    <t>dms_JurisdictionList</t>
  </si>
  <si>
    <t>dms_FormControl_List</t>
  </si>
  <si>
    <t>dms_RPT_List</t>
  </si>
  <si>
    <t>dms_RPTMonth_List</t>
  </si>
  <si>
    <t>dms_CRCPlength_List</t>
  </si>
  <si>
    <t>dms_FRCPlength_List</t>
  </si>
  <si>
    <t>dms_663_List</t>
  </si>
  <si>
    <t>dms_DeterminationRef_List</t>
  </si>
  <si>
    <t>dms_Addr1_List</t>
  </si>
  <si>
    <t>dms_Addr2_List</t>
  </si>
  <si>
    <t>dms_Suburb_List</t>
  </si>
  <si>
    <t>dms_PostCode_List</t>
  </si>
  <si>
    <t>dms_PAddr1_List</t>
  </si>
  <si>
    <t>dms_PAddr2_List</t>
  </si>
  <si>
    <t>dms_PSuburb_List</t>
  </si>
  <si>
    <t>dms_PState_List</t>
  </si>
  <si>
    <t>dms_PPostCode_List</t>
  </si>
  <si>
    <t>dms_ContactName1_List</t>
  </si>
  <si>
    <t>dms_ContactPh1_List</t>
  </si>
  <si>
    <t>dms_ContactEmail_List</t>
  </si>
  <si>
    <t>dms_CBD_flag</t>
  </si>
  <si>
    <t>dms_Urban_flag</t>
  </si>
  <si>
    <t>dms_ShortRural_flag</t>
  </si>
  <si>
    <t>dms_LongRural_flag</t>
  </si>
  <si>
    <t>dms_FeederType_5_flag</t>
  </si>
  <si>
    <t>dms_MAIFI_flag_List</t>
  </si>
  <si>
    <t>dms_FeederName_1</t>
  </si>
  <si>
    <t>dms_FeederName_2</t>
  </si>
  <si>
    <t>dms_FeederName_3</t>
  </si>
  <si>
    <t>dms_FeederName_4</t>
  </si>
  <si>
    <t>dms_FeederName_5</t>
  </si>
  <si>
    <t>Financial</t>
  </si>
  <si>
    <t>June</t>
  </si>
  <si>
    <t>2014-19 Distribution Determination</t>
  </si>
  <si>
    <t>40 Bunda Street</t>
  </si>
  <si>
    <t>CANBERRA</t>
  </si>
  <si>
    <t>2600</t>
  </si>
  <si>
    <t>GPO BOX 366</t>
  </si>
  <si>
    <t>Robert Walker</t>
  </si>
  <si>
    <t>02 6248 3847</t>
  </si>
  <si>
    <t>robert.walker@actewagle.com.au</t>
  </si>
  <si>
    <t>NO</t>
  </si>
  <si>
    <t>YES</t>
  </si>
  <si>
    <t>Long rural</t>
  </si>
  <si>
    <t>distribution determination</t>
  </si>
  <si>
    <t>ActewAGL Gas</t>
  </si>
  <si>
    <t>x</t>
  </si>
  <si>
    <t>Philip Deamer</t>
  </si>
  <si>
    <t>02 6248 3438</t>
  </si>
  <si>
    <t>GasAAReview@actewagl.com.au</t>
  </si>
  <si>
    <t>AGN (SA)</t>
  </si>
  <si>
    <t>AGN (Victoria)</t>
  </si>
  <si>
    <t>Australian Gas Networks Limited</t>
  </si>
  <si>
    <t>December</t>
  </si>
  <si>
    <t>Level 10</t>
  </si>
  <si>
    <t>81 Flinders Street</t>
  </si>
  <si>
    <t>ADELAIDE</t>
  </si>
  <si>
    <t>5000</t>
  </si>
  <si>
    <t>08 8227 1500</t>
  </si>
  <si>
    <t>Amadeus</t>
  </si>
  <si>
    <t>APT Pipelines (NT) Pty Ltd</t>
  </si>
  <si>
    <t>NT</t>
  </si>
  <si>
    <t>n/a</t>
  </si>
  <si>
    <t>Level 19, HSBC Building</t>
  </si>
  <si>
    <t>580 George Street</t>
  </si>
  <si>
    <t>SYDNEY</t>
  </si>
  <si>
    <t>2000</t>
  </si>
  <si>
    <t>Alexandra Curran</t>
  </si>
  <si>
    <t>02 9275 0020</t>
  </si>
  <si>
    <t>alexandra.curran@apa.com.au</t>
  </si>
  <si>
    <t>APA GasNet</t>
  </si>
  <si>
    <t>APA VTS Australia Limited</t>
  </si>
  <si>
    <t>PO Box R41</t>
  </si>
  <si>
    <t>ROYAL EXCHANGE</t>
  </si>
  <si>
    <t>1225</t>
  </si>
  <si>
    <t>02 9693 0000</t>
  </si>
  <si>
    <t>570 George St</t>
  </si>
  <si>
    <t>John Thomson</t>
  </si>
  <si>
    <t>(02) 9269 2312</t>
  </si>
  <si>
    <t>john.thomson@ausgrid.com.au</t>
  </si>
  <si>
    <t>AusNet Services (D)</t>
  </si>
  <si>
    <t>2016-20 Distribution Determination</t>
  </si>
  <si>
    <t>Level 32</t>
  </si>
  <si>
    <t>2 Southbank Boulevard</t>
  </si>
  <si>
    <t>SOUTHBANK</t>
  </si>
  <si>
    <t>3006</t>
  </si>
  <si>
    <t>Locked Bag 14051</t>
  </si>
  <si>
    <t>MELBOURNE CITY MAIL CENTRE</t>
  </si>
  <si>
    <t>VIC</t>
  </si>
  <si>
    <t>Hannah Williams</t>
  </si>
  <si>
    <t>03 9683 4088</t>
  </si>
  <si>
    <t>hwilliams@powercor.com.au</t>
  </si>
  <si>
    <t>AusNet (Gas)</t>
  </si>
  <si>
    <t>AusNet Gas Services</t>
  </si>
  <si>
    <t>X</t>
  </si>
  <si>
    <t>March</t>
  </si>
  <si>
    <t>transmission determination</t>
  </si>
  <si>
    <t>8001</t>
  </si>
  <si>
    <t>Clare Thompson</t>
  </si>
  <si>
    <t>03 9695 6670</t>
  </si>
  <si>
    <t>clare.e.thompson@ausnetservices.com.au</t>
  </si>
  <si>
    <t>-</t>
  </si>
  <si>
    <t>123 Straight Street</t>
  </si>
  <si>
    <t>PO Box 123</t>
  </si>
  <si>
    <t>Bob Smith</t>
  </si>
  <si>
    <t>02 1234 5678</t>
  </si>
  <si>
    <t>bob@auselec.net.au</t>
  </si>
  <si>
    <t>40 Market Street</t>
  </si>
  <si>
    <t>MELBOURNE</t>
  </si>
  <si>
    <t>3000</t>
  </si>
  <si>
    <t>Locked Bag 14090</t>
  </si>
  <si>
    <t>52-55 East Terrace</t>
  </si>
  <si>
    <t>Rymill Park</t>
  </si>
  <si>
    <t>PO Box 7096</t>
  </si>
  <si>
    <t>Hutt Street Post Office</t>
  </si>
  <si>
    <t>Bill Jackson</t>
  </si>
  <si>
    <t>08 8404 7969</t>
  </si>
  <si>
    <t>jackson.bill@electranet.com.au</t>
  </si>
  <si>
    <t>51 Huntingwood Drive</t>
  </si>
  <si>
    <t>HUNTINGWOOD</t>
  </si>
  <si>
    <t>2148</t>
  </si>
  <si>
    <t>PO Box 811</t>
  </si>
  <si>
    <t>SEVEN HILLS</t>
  </si>
  <si>
    <t>1730</t>
  </si>
  <si>
    <t>Jon Hocking</t>
  </si>
  <si>
    <t>02 9853 4386 / 0407 348 156</t>
  </si>
  <si>
    <t>Jon.Hocking@Endeavourenergy.com.au</t>
  </si>
  <si>
    <t>2015-20 Distribution Determination</t>
  </si>
  <si>
    <t>26 Reddacliff Street</t>
  </si>
  <si>
    <t>NEWSTEAD</t>
  </si>
  <si>
    <t>4006</t>
  </si>
  <si>
    <t>QLD</t>
  </si>
  <si>
    <t>Nicola Roscoe</t>
  </si>
  <si>
    <t>07 3664 5891</t>
  </si>
  <si>
    <t>nicolaroscoe@energex.com.au</t>
  </si>
  <si>
    <t>22 Walker Street</t>
  </si>
  <si>
    <t>TOWNSVILLE</t>
  </si>
  <si>
    <t>4810</t>
  </si>
  <si>
    <t>Po Box 264</t>
  </si>
  <si>
    <t>FORTITUDE VALLEY</t>
  </si>
  <si>
    <t>Jenny Doyle, Group Manager Regulatory Affairs</t>
  </si>
  <si>
    <t>(07) 3851 6416</t>
  </si>
  <si>
    <t>jenny.doyle@ergon.com.au</t>
  </si>
  <si>
    <t>8 Buller Street</t>
  </si>
  <si>
    <t>PORT MACQUARIE</t>
  </si>
  <si>
    <t>2444</t>
  </si>
  <si>
    <t>PO Box 5730</t>
  </si>
  <si>
    <t>Catherine Waddell</t>
  </si>
  <si>
    <t>02 6338 3553</t>
  </si>
  <si>
    <t>catherine.waddell@essentialenergy.com.au</t>
  </si>
  <si>
    <t>Level 16</t>
  </si>
  <si>
    <t>567 Collins Street</t>
  </si>
  <si>
    <t>PO Box 16182</t>
  </si>
  <si>
    <t>Robert McMillan</t>
  </si>
  <si>
    <t>03 9173 7000</t>
  </si>
  <si>
    <t>robert.mcmillan@jemena.com.au</t>
  </si>
  <si>
    <t>JGN</t>
  </si>
  <si>
    <t>Jemena Gas Networks</t>
  </si>
  <si>
    <t>Multinet Gas</t>
  </si>
  <si>
    <t>Multinet Gas (DB No.1) Pty Ltd (ACN 086 026 986), Multinet Gas (DB No.2) Pty Ltd (ACN 086 230 122)</t>
  </si>
  <si>
    <t>Locked bag 14090</t>
  </si>
  <si>
    <t>Queensland Electricity Transmission Corporation Limited trading as Powerlink Queensland</t>
  </si>
  <si>
    <t>33 Harold St</t>
  </si>
  <si>
    <t>VIRGINIA</t>
  </si>
  <si>
    <t>4014</t>
  </si>
  <si>
    <t>PO Box 1193</t>
  </si>
  <si>
    <t>Jennifer Harris</t>
  </si>
  <si>
    <t>07 3860 2667</t>
  </si>
  <si>
    <t>jharris@powerlink.com.au</t>
  </si>
  <si>
    <t>Roma to Brisbane Pipeline</t>
  </si>
  <si>
    <t>APT Petroleum Pipelines Limited t/a Roma to Brisbane Pipeline</t>
  </si>
  <si>
    <t>009 737 393</t>
  </si>
  <si>
    <t>1 Anzac Highway</t>
  </si>
  <si>
    <t>KESWICK</t>
  </si>
  <si>
    <t>5035</t>
  </si>
  <si>
    <t>GPO Box 77</t>
  </si>
  <si>
    <t>Damien O'Connor</t>
  </si>
  <si>
    <t>08 8404 5066</t>
  </si>
  <si>
    <t>damien.oconnor@sapowernetworks.com.au</t>
  </si>
  <si>
    <t>21 Kirksway Place</t>
  </si>
  <si>
    <t>HOBART</t>
  </si>
  <si>
    <t>7000</t>
  </si>
  <si>
    <t>GPO Box 191</t>
  </si>
  <si>
    <t>Leigh Mayne</t>
  </si>
  <si>
    <t>03 6270 3691</t>
  </si>
  <si>
    <t>rrp2012@auroraenergy.com.au</t>
  </si>
  <si>
    <t>Critical Infrastructure</t>
  </si>
  <si>
    <t>High density commercial</t>
  </si>
  <si>
    <t>High density rural</t>
  </si>
  <si>
    <t>Low density rural</t>
  </si>
  <si>
    <t>1-7 Maria Street</t>
  </si>
  <si>
    <t>LENAH VALLEY</t>
  </si>
  <si>
    <t>7008</t>
  </si>
  <si>
    <t>PO Box 606</t>
  </si>
  <si>
    <t>MOONAH</t>
  </si>
  <si>
    <t>7009</t>
  </si>
  <si>
    <t>Heath Dillon</t>
  </si>
  <si>
    <t>03 6274 3664</t>
  </si>
  <si>
    <t>heath.dillon@transend.com.au</t>
  </si>
  <si>
    <t>180 Thomas Street</t>
  </si>
  <si>
    <t>HAYMARKET</t>
  </si>
  <si>
    <t>PO Box A1000</t>
  </si>
  <si>
    <t>SYDNEY SOUTH</t>
  </si>
  <si>
    <t>1235</t>
  </si>
  <si>
    <t>Andrew Kingsmill</t>
  </si>
  <si>
    <t>02 9284 3149</t>
  </si>
  <si>
    <t>andrew.kingsmill@transgrid.com.au</t>
  </si>
  <si>
    <t>Level 3</t>
  </si>
  <si>
    <t>6 Nexus Court</t>
  </si>
  <si>
    <t>MULGRAVE</t>
  </si>
  <si>
    <t>3149</t>
  </si>
  <si>
    <t>PO Box 449</t>
  </si>
  <si>
    <t>MOUNT WAVERLEY</t>
  </si>
  <si>
    <t>Mathew Abraham</t>
  </si>
  <si>
    <t>03 8846 9758</t>
  </si>
  <si>
    <t>mathew.abraham@ue.com.au</t>
  </si>
  <si>
    <t>Western Power (D)</t>
  </si>
  <si>
    <t>WA</t>
  </si>
  <si>
    <t>363 Wellington Street</t>
  </si>
  <si>
    <t>PERTH</t>
  </si>
  <si>
    <t>6000</t>
  </si>
  <si>
    <t>GPO Box L921</t>
  </si>
  <si>
    <t>Judy Hunter</t>
  </si>
  <si>
    <t>08 9326 6239</t>
  </si>
  <si>
    <t>judy.hunter@westernpower.com.au</t>
  </si>
  <si>
    <t>Western Power (T)</t>
  </si>
  <si>
    <t>For EB &amp; Reset RINs only</t>
  </si>
  <si>
    <t>The Reg Year Ending (dms_RYE) must be set to the last year of the regulatory period. For forecast data is is usually (FRCP_y5) for actual it is a single year (CRY). For historical actual data the RYE will need to be set manually in the business details sheet by setting the dms_Multiyear_flag to 1 and putting the correct value in 'dms_Specified_FinalYear. See cells C67:C68</t>
  </si>
  <si>
    <t>Drop down selector box for CA &amp; Reset RINs.</t>
  </si>
  <si>
    <t>For CA &amp; Reset RINs only</t>
  </si>
  <si>
    <t>for DNSP only</t>
  </si>
  <si>
    <t>Reason for interruption</t>
  </si>
  <si>
    <t>dms_Reason_Interruption_Detailed</t>
  </si>
  <si>
    <t>dms_Reason_Interruption</t>
  </si>
  <si>
    <t xml:space="preserve">dms_Model_List </t>
  </si>
  <si>
    <t>DELETE NR 'CRY' IF NOT AN ANNUAL RIN (EB, CA , ARR)</t>
  </si>
  <si>
    <t>dms_RYE_Formula_Result</t>
  </si>
  <si>
    <t>dms_0203_ProjectType</t>
  </si>
  <si>
    <t>dms_020303_01_UOM</t>
  </si>
  <si>
    <t>dms_020501_01_UOM</t>
  </si>
  <si>
    <t>dms_020501_02_UOM</t>
  </si>
  <si>
    <t>dms_020501_03_UOM</t>
  </si>
  <si>
    <t>dms_020501_04_UOM</t>
  </si>
  <si>
    <t>dms_020603_01_UOM</t>
  </si>
  <si>
    <t>dms_040102_01_UOM</t>
  </si>
  <si>
    <t>dms_040102_04_UOM</t>
  </si>
  <si>
    <t>dms_030601_01_UOM</t>
  </si>
  <si>
    <t>dms_030601_02_UOM</t>
  </si>
  <si>
    <t>dms_030701_01_UOM</t>
  </si>
  <si>
    <t>dms_030702_01_UOM</t>
  </si>
  <si>
    <t>dms_030703_01_UOM</t>
  </si>
  <si>
    <t>Animal</t>
  </si>
  <si>
    <t>Animal impact</t>
  </si>
  <si>
    <t>ARR</t>
  </si>
  <si>
    <t>ANNUAL REPORTING STATEMENT</t>
  </si>
  <si>
    <t>=LEFT(dms_SingleYear_FinalYear_Result,2)&amp;RIGHT(dms_SingleYear_FinalYear_Result,2)</t>
  </si>
  <si>
    <t>Formula errors are OK</t>
  </si>
  <si>
    <t>New line on new route - single circuit</t>
  </si>
  <si>
    <t>Circuit line length in km</t>
  </si>
  <si>
    <t>days</t>
  </si>
  <si>
    <t>minutes/customer</t>
  </si>
  <si>
    <t>Customer / km</t>
  </si>
  <si>
    <t>km</t>
  </si>
  <si>
    <t>Animal nesting/burrowing, etc and other</t>
  </si>
  <si>
    <t>Asset failure</t>
  </si>
  <si>
    <t>New line on new route - dual circuit</t>
  </si>
  <si>
    <t>MWh/customer</t>
  </si>
  <si>
    <t>Number of spans</t>
  </si>
  <si>
    <t>New line on new route - other</t>
  </si>
  <si>
    <t>MVA added</t>
  </si>
  <si>
    <t>$0s</t>
  </si>
  <si>
    <t>interruptions/customer</t>
  </si>
  <si>
    <t>kVA / customer</t>
  </si>
  <si>
    <t>LV</t>
  </si>
  <si>
    <t>Overloads</t>
  </si>
  <si>
    <t>Line rebuild over existing route - single circuit</t>
  </si>
  <si>
    <t>Distribution substation</t>
  </si>
  <si>
    <t>Planned</t>
  </si>
  <si>
    <t>=LEFT(dms_MultiYear_FinalYear_Result,2)&amp;RIGHT(dms_MultiYear_FinalYear_Result,2)</t>
  </si>
  <si>
    <t>Line rebuild over existing route - dual circuit</t>
  </si>
  <si>
    <t>Number</t>
  </si>
  <si>
    <t>total spend $0s</t>
  </si>
  <si>
    <t>(per cent)</t>
  </si>
  <si>
    <t>HV</t>
  </si>
  <si>
    <t>Network business</t>
  </si>
  <si>
    <t>Reconductor - Single circuit</t>
  </si>
  <si>
    <t>net circuit km added</t>
  </si>
  <si>
    <t>Years</t>
  </si>
  <si>
    <t>Zone substation</t>
  </si>
  <si>
    <t>Third party</t>
  </si>
  <si>
    <t>=LEFT(dms_CRCP_FinalYear_Result,2)&amp;RIGHT(dms_CRCP_FinalYear_Result,2)</t>
  </si>
  <si>
    <t>Reconductor - Dual circuit</t>
  </si>
  <si>
    <t>Subtransmission</t>
  </si>
  <si>
    <t>Unknown</t>
  </si>
  <si>
    <t>Trees</t>
  </si>
  <si>
    <t>insert description of 'other'</t>
  </si>
  <si>
    <t>Vegetation</t>
  </si>
  <si>
    <t>Weather</t>
  </si>
  <si>
    <t>Defects</t>
  </si>
  <si>
    <t>2 - STPIS Exclusion (3.3)(a)</t>
  </si>
  <si>
    <t>Network error</t>
  </si>
  <si>
    <t>3 - STPIS Exclusion (3.3)(a)</t>
  </si>
  <si>
    <t>Spans</t>
  </si>
  <si>
    <t>Switching and protection error</t>
  </si>
  <si>
    <t>4 - STPIS Exclusion (3.3)(a)</t>
  </si>
  <si>
    <t>Fire</t>
  </si>
  <si>
    <t>5 - STPIS Exclusion (3.3)(a)</t>
  </si>
  <si>
    <t/>
  </si>
  <si>
    <t>6 - STPIS Exclusion (3.3)(a)</t>
  </si>
  <si>
    <t>Dig-in</t>
  </si>
  <si>
    <t>7 - STPIS Exclusion (3.3)(a)</t>
  </si>
  <si>
    <t>Unauthorised access</t>
  </si>
  <si>
    <t>For all files either AER or business needs to be able to specify the type of submission</t>
  </si>
  <si>
    <t>For PTRM &amp; RFM templates we must provide a choice in case they change their form of control - otherwise it is drawn from the business specific lookup table above.</t>
  </si>
  <si>
    <t>These are indeces and lookup values for various dates. All step from the value placed in FRCP_y1 on the business and other details worksheet</t>
  </si>
  <si>
    <t>for TNSP only</t>
  </si>
  <si>
    <t>Vehicle impact</t>
  </si>
  <si>
    <t>dms_SourceList</t>
  </si>
  <si>
    <t>dms_FormControl_Choices</t>
  </si>
  <si>
    <t>dms_FRCPlength_Num_List</t>
  </si>
  <si>
    <t>dms_FinalYear_List</t>
  </si>
  <si>
    <t>dms_CRCPlength_Num_List</t>
  </si>
  <si>
    <t>dms_CFinalYear_List</t>
  </si>
  <si>
    <t>dms_FRCP_years</t>
  </si>
  <si>
    <t>dms_CRCP_years</t>
  </si>
  <si>
    <t>dms_CRCP_index</t>
  </si>
  <si>
    <t>dms_FRCP_y1</t>
  </si>
  <si>
    <t>CRCP_y1</t>
  </si>
  <si>
    <t>dms_CRCP_yZ</t>
  </si>
  <si>
    <t>Blow-in/Fall-in - NSP responsibility</t>
  </si>
  <si>
    <t>dms_FRCP_y2</t>
  </si>
  <si>
    <t>CRCP_y2</t>
  </si>
  <si>
    <t>dms_CRCP_yY</t>
  </si>
  <si>
    <t>number</t>
  </si>
  <si>
    <t>Grow-in - NSP responsibility</t>
  </si>
  <si>
    <t>dms_FRCP_y3</t>
  </si>
  <si>
    <t>CRCP_y3</t>
  </si>
  <si>
    <t>dms_CRCP_yX</t>
  </si>
  <si>
    <t>Blow-in/Fall-in - Other responsible party</t>
  </si>
  <si>
    <t>PTRM update 1</t>
  </si>
  <si>
    <t>dms_FRCP_y4</t>
  </si>
  <si>
    <t>CRCP_y4</t>
  </si>
  <si>
    <t>dms_CRCP_yW</t>
  </si>
  <si>
    <t>Grow-in - Other responsible party</t>
  </si>
  <si>
    <t>PTRM update 2</t>
  </si>
  <si>
    <t>dms_FRCP_y5</t>
  </si>
  <si>
    <t>CRCP_y5</t>
  </si>
  <si>
    <t>dms_CRCP_yV</t>
  </si>
  <si>
    <t>PTRM update 3</t>
  </si>
  <si>
    <t>dms_FRCP_y6</t>
  </si>
  <si>
    <t>CRCP_y6</t>
  </si>
  <si>
    <t>dms_CRCP_yU</t>
  </si>
  <si>
    <t>PTRM update 4</t>
  </si>
  <si>
    <t>dms_FRCP_y7</t>
  </si>
  <si>
    <t>CRCP_y7</t>
  </si>
  <si>
    <t>dms_CRCP_yT</t>
  </si>
  <si>
    <t>PTRM update 5</t>
  </si>
  <si>
    <t>dms_FRCP_y8</t>
  </si>
  <si>
    <t>CRCP_y8</t>
  </si>
  <si>
    <t>dms_CRCP_yS</t>
  </si>
  <si>
    <t>PTRM update 6</t>
  </si>
  <si>
    <t>dms_FRCP_y9</t>
  </si>
  <si>
    <t>CRCP_y9</t>
  </si>
  <si>
    <t>dms_CRCP_yR</t>
  </si>
  <si>
    <t>PTRM update 7</t>
  </si>
  <si>
    <t>dms_FRCP_y10</t>
  </si>
  <si>
    <t>CRCP_y10</t>
  </si>
  <si>
    <t>dms_CRCP_yQ</t>
  </si>
  <si>
    <t>dms_FRCP_y11</t>
  </si>
  <si>
    <t>CRCP_y11</t>
  </si>
  <si>
    <t>dms_CRCP_yP</t>
  </si>
  <si>
    <t>Reporting</t>
  </si>
  <si>
    <t>dms_FRCP_y12</t>
  </si>
  <si>
    <t>CRCP_y12</t>
  </si>
  <si>
    <t>dms_CRCP_yO</t>
  </si>
  <si>
    <t>dms_FRCP_y13</t>
  </si>
  <si>
    <t>CRCP_y13</t>
  </si>
  <si>
    <t>dms_CRCP_yN</t>
  </si>
  <si>
    <t>dms_FRCP_y14</t>
  </si>
  <si>
    <t>CRCP_y14</t>
  </si>
  <si>
    <t>dms_CRCP_yM</t>
  </si>
  <si>
    <t>dms_FRCP_y15</t>
  </si>
  <si>
    <t>CRCP_y15</t>
  </si>
  <si>
    <t>dms_CRCP_yL</t>
  </si>
  <si>
    <t>These are drop down lists for businesses to select the correct FRCP_y1 on the business and other details worksheet.
This also populates the column headings in the worksheets</t>
  </si>
  <si>
    <t>dms_DataQuality_List</t>
  </si>
  <si>
    <t>dms_RCP_fyear_list</t>
  </si>
  <si>
    <t>dms_CRY_ListF</t>
  </si>
  <si>
    <t>dms_CRY_ListC</t>
  </si>
  <si>
    <t>dms_RCP_cyear_list</t>
  </si>
  <si>
    <t>dms_FRCP_fyear_list</t>
  </si>
  <si>
    <t>dms_FRCP_ListF</t>
  </si>
  <si>
    <t>dms_FRCP_ListC</t>
  </si>
  <si>
    <t>dms_FRCP_cyear_list</t>
  </si>
  <si>
    <t>dms_fy1</t>
  </si>
  <si>
    <t>dms_cy1</t>
  </si>
  <si>
    <t>dms_frcp_fy1</t>
  </si>
  <si>
    <t>dms_crcp_cy1</t>
  </si>
  <si>
    <t>dms_fy2</t>
  </si>
  <si>
    <t>dms_cy2</t>
  </si>
  <si>
    <t>dms_frcp_fy2</t>
  </si>
  <si>
    <t>dms_crcp_cy2</t>
  </si>
  <si>
    <t>dms_fy3</t>
  </si>
  <si>
    <t>dms_cy3</t>
  </si>
  <si>
    <t>dms_frcp_fy3</t>
  </si>
  <si>
    <t>dms_crcp_cy3</t>
  </si>
  <si>
    <t>Recast</t>
  </si>
  <si>
    <t>dms_fy4</t>
  </si>
  <si>
    <t>dms_cy4</t>
  </si>
  <si>
    <t>dms_frcp_fy4</t>
  </si>
  <si>
    <t>dms_crcp_cy4</t>
  </si>
  <si>
    <t>Public</t>
  </si>
  <si>
    <t>dms_fy5</t>
  </si>
  <si>
    <t>dms_cy5</t>
  </si>
  <si>
    <t>dms_frcp_fy5</t>
  </si>
  <si>
    <t>dms_crcp_cy5</t>
  </si>
  <si>
    <t>dms_fy6</t>
  </si>
  <si>
    <t>dms_cy6</t>
  </si>
  <si>
    <t>dms_frcp_fy6</t>
  </si>
  <si>
    <t>2021-22</t>
  </si>
  <si>
    <t>dms_crcp_cy6</t>
  </si>
  <si>
    <t>dms_fy7</t>
  </si>
  <si>
    <t>2013</t>
  </si>
  <si>
    <t>dms_cy7</t>
  </si>
  <si>
    <t>dms_frcp_fy7</t>
  </si>
  <si>
    <t>2022-23</t>
  </si>
  <si>
    <t>2023</t>
  </si>
  <si>
    <t>dms_crcp_cy7</t>
  </si>
  <si>
    <t>dms_fy8</t>
  </si>
  <si>
    <t>dms_cy8</t>
  </si>
  <si>
    <t>dms_frcp_fy8</t>
  </si>
  <si>
    <t>2023-24</t>
  </si>
  <si>
    <t>2024</t>
  </si>
  <si>
    <t>dms_crcp_cy8</t>
  </si>
  <si>
    <t>dms_fy9</t>
  </si>
  <si>
    <t>dms_cy9</t>
  </si>
  <si>
    <t>dms_frcp_fy9</t>
  </si>
  <si>
    <t>2024-25</t>
  </si>
  <si>
    <t>2025</t>
  </si>
  <si>
    <t>dms_crcp_cy9</t>
  </si>
  <si>
    <t>dms_fy10</t>
  </si>
  <si>
    <t>dms_cy10</t>
  </si>
  <si>
    <t>dms_frcp_fy10</t>
  </si>
  <si>
    <t>2025-26</t>
  </si>
  <si>
    <t>2026</t>
  </si>
  <si>
    <t>dms_crcp_cy10</t>
  </si>
  <si>
    <t>dms_fy11</t>
  </si>
  <si>
    <t>dms_cy11</t>
  </si>
  <si>
    <t>dms_frcp_fy11</t>
  </si>
  <si>
    <t>2026-27</t>
  </si>
  <si>
    <t>2027</t>
  </si>
  <si>
    <t>dms_crcp_cy11</t>
  </si>
  <si>
    <t>dms_fy12</t>
  </si>
  <si>
    <t>dms_cy12</t>
  </si>
  <si>
    <t>dms_frcp_fy12</t>
  </si>
  <si>
    <t>2027-28</t>
  </si>
  <si>
    <t>2028</t>
  </si>
  <si>
    <t>dms_crcp_cy12</t>
  </si>
  <si>
    <t>dms_fy13</t>
  </si>
  <si>
    <t>dms_cy13</t>
  </si>
  <si>
    <t>dms_frcp_fy13</t>
  </si>
  <si>
    <t>2028-29</t>
  </si>
  <si>
    <t>2029</t>
  </si>
  <si>
    <t>dms_crcp_cy13</t>
  </si>
  <si>
    <t>dms_fy14</t>
  </si>
  <si>
    <t>dms_cy14</t>
  </si>
  <si>
    <t>dms_frcp_fy14</t>
  </si>
  <si>
    <t>2029-30</t>
  </si>
  <si>
    <t>2030</t>
  </si>
  <si>
    <t>dms_crcp_cy14</t>
  </si>
  <si>
    <t>dms_fy15</t>
  </si>
  <si>
    <t>dms_cy15</t>
  </si>
  <si>
    <t>dms_frcp_fy15</t>
  </si>
  <si>
    <t>2030-31</t>
  </si>
  <si>
    <t>2031</t>
  </si>
  <si>
    <t>dms_crcp_cy15</t>
  </si>
  <si>
    <r>
      <t xml:space="preserve">Complete the following business details regulatory template </t>
    </r>
    <r>
      <rPr>
        <b/>
        <sz val="10"/>
        <color indexed="10"/>
        <rFont val="Arial"/>
        <family val="2"/>
      </rPr>
      <t>before</t>
    </r>
    <r>
      <rPr>
        <sz val="10"/>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</si>
  <si>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ENTITY DETAILS</t>
  </si>
  <si>
    <t>Short name</t>
  </si>
  <si>
    <t>Select business name from drop down list first</t>
  </si>
  <si>
    <t>REGULATORY CONTROL PERIODS</t>
  </si>
  <si>
    <t>Current regulatory year</t>
  </si>
  <si>
    <t>CRY</t>
  </si>
  <si>
    <t>APPLY NR 'CRY' IF AN ANNUAL RIN (EB, CA , ARR) - including multi year annual RINs eg. Recast CA. EB</t>
  </si>
  <si>
    <t>Please select the correct submission type from the dropdown list.</t>
  </si>
  <si>
    <t>Submission Date</t>
  </si>
  <si>
    <t>dms_SubmissionDate</t>
  </si>
  <si>
    <t>Please enter date this file submitted to AER (dd/mm/yyyy)</t>
  </si>
  <si>
    <t>EBSS - First application of scheme in forthcoming period?</t>
  </si>
  <si>
    <t>No</t>
  </si>
  <si>
    <t>dms_Sector</t>
  </si>
  <si>
    <t>=INDEX(dms_Sector_List,MATCH(dms_TradingName,dms_TradingName_List))</t>
  </si>
  <si>
    <t>dms_Segment</t>
  </si>
  <si>
    <t>=INDEX(dms_Segment_List,MATCH(dms_TradingName,dms_TradingName_List))</t>
  </si>
  <si>
    <t>dms_RYE</t>
  </si>
  <si>
    <t>=IF(dms_MultiYear_Flag=1,LEFT(dms_Specified_FinalYear,2)&amp;RIGHT(dms_Specified_FinalYear,2),INDEX(dms_RYE_Formula_Result,MATCH(dms_Model,dms_Model_List)))</t>
  </si>
  <si>
    <t>dms_RPT</t>
  </si>
  <si>
    <t>=INDEX(dms_RPT_List,MATCH(dms_TradingName,dms_TradingName_List))</t>
  </si>
  <si>
    <t>dms_Model</t>
  </si>
  <si>
    <t>Drop down selection</t>
  </si>
  <si>
    <t>dms_Classification</t>
  </si>
  <si>
    <t>Always Public</t>
  </si>
  <si>
    <t>dms_TemplateNumber</t>
  </si>
  <si>
    <t>Dollar $ real month</t>
  </si>
  <si>
    <t>dms_RPTMonth</t>
  </si>
  <si>
    <t>=INDEX(dms_RPTMonth_List,MATCH(dms_TradingName,dms_TradingName_List))</t>
  </si>
  <si>
    <t>Dollar $ real  (the last month before the FRCP_y1)</t>
  </si>
  <si>
    <t>dms_DollarReal</t>
  </si>
  <si>
    <t>=IF(SUM(dms_SingleYear_Model)&gt;0,CONCATENATE(dms_RPTMonth)&amp;" "&amp;VALUE((LEFT(CRY,2))&amp;RIGHT(CRY,2)),CONCATENATE(dms_RPTMonth)&amp;" "&amp;VALUE((LEFT(dms_CRCP_FinalYear_Result,2)&amp;RIGHT(dms_CRCP_FinalYear_Result,2))))</t>
  </si>
  <si>
    <t>=INDEX(dms_FormControl_List,MATCH(dms_TradingName,dms_TradingName_List))</t>
  </si>
  <si>
    <t>dms_RINversion</t>
  </si>
  <si>
    <t>Jurisdiction</t>
  </si>
  <si>
    <t>dms_Jurisdiction</t>
  </si>
  <si>
    <t>=INDEX(dms_JurisdictionList,MATCH(dms_TradingName,dms_TradingName_List))</t>
  </si>
  <si>
    <t>Backcast Multiyear EB, CA or ARR?</t>
  </si>
  <si>
    <t>dms_MultiYear_Flag</t>
  </si>
  <si>
    <t>1=y, 0-n</t>
  </si>
  <si>
    <t>dms_Specified_FinalYear</t>
  </si>
  <si>
    <t>The result here is returned to dms_CRCP_FinalYear_Result if dms_MultiYear_Flag is set to 1</t>
  </si>
  <si>
    <t>Single Year Model T/F</t>
  </si>
  <si>
    <t>dms_EB</t>
  </si>
  <si>
    <t>dms_CA</t>
  </si>
  <si>
    <t>=dms_SingleYear_Model</t>
  </si>
  <si>
    <t>dms_ARR</t>
  </si>
  <si>
    <t>Single Year Final Year Reference</t>
  </si>
  <si>
    <t>dms_SingleYear_FinalYear_Ref</t>
  </si>
  <si>
    <t>This is the reference for EB, CA &amp; ARR RINs</t>
  </si>
  <si>
    <t>Single Year Final Year Result</t>
  </si>
  <si>
    <t>dms_SingleYear_FinalYear_Result</t>
  </si>
  <si>
    <t>=INDIRECT(dms_SingleYear_FinalYear_Ref)</t>
  </si>
  <si>
    <t>Formula errors OK</t>
  </si>
  <si>
    <t>FRCP length in years</t>
  </si>
  <si>
    <t>dms_FRCPlength_Num</t>
  </si>
  <si>
    <t>=INDEX(dms_FRCPlength_List,MATCH(dms_TradingName,dms_TradingName_List))</t>
  </si>
  <si>
    <t>Multi Year Final Year Reference</t>
  </si>
  <si>
    <t>dms_MultiYear_FinalYear_Ref</t>
  </si>
  <si>
    <t>=INDEX(dms_FinalYear_List,MATCH(dms_FRCPlength_Num,dms_FRCPlength_Num_List))</t>
  </si>
  <si>
    <t>Multi Year Final Year Result</t>
  </si>
  <si>
    <t>dms_MultiYear_FinalYear_Result</t>
  </si>
  <si>
    <t>=IF(dms_MultiYear_Flag=0,INDIRECT(dms_MultiYear_FinalYear_Ref),dms_Specified_FinalYear)</t>
  </si>
  <si>
    <t>CRCP length in years</t>
  </si>
  <si>
    <t>dms_CRCPlength_Num</t>
  </si>
  <si>
    <t>=INDEX(dms_CRCPlength_List,MATCH(dms_TradingName,dms_TradingName_List))</t>
  </si>
  <si>
    <t>CRCP Final Year Reference</t>
  </si>
  <si>
    <t>dms_CRCP_FinalYear_Ref</t>
  </si>
  <si>
    <t>=INDEX(dms_CFinalYear_List,MATCH(dms_CRCPlength_Num,dms_CRCPlength_Num_List))</t>
  </si>
  <si>
    <t>CRCP First Year Result</t>
  </si>
  <si>
    <t>dms_CRCP_FirstYear_Result</t>
  </si>
  <si>
    <t>=INDEX(dms_CRCP_years,MATCH(dms_CRCPlength_Num,dms_CRCP_index))</t>
  </si>
  <si>
    <t>CRCP Final Year Result</t>
  </si>
  <si>
    <t>dms_CRCP_FinalYear_Result</t>
  </si>
  <si>
    <t>=IF(dms_MultiYear_Flag=0,(IF(SUM(dms_SingleYear_Model)&gt;0,CRY,dms_CRCP_yZ)),dms_Specified_FinalYear)</t>
  </si>
  <si>
    <t>Table 6.6.3 - Public lighting repair - no. business days</t>
  </si>
  <si>
    <t>dms_663</t>
  </si>
  <si>
    <t>Distribution Determination Reference</t>
  </si>
  <si>
    <t xml:space="preserve">Backcast templates only - unit of measure </t>
  </si>
  <si>
    <t>dms_Backcast_UOM</t>
  </si>
  <si>
    <r>
      <t xml:space="preserve">If the cover sheet is for </t>
    </r>
    <r>
      <rPr>
        <b/>
        <sz val="11"/>
        <color theme="5" tint="-0.249977111117893"/>
        <rFont val="Arial"/>
        <family val="2"/>
      </rPr>
      <t>Backcast</t>
    </r>
    <r>
      <rPr>
        <sz val="11"/>
        <color theme="5" tint="-0.249977111117893"/>
        <rFont val="Arial"/>
        <family val="2"/>
      </rPr>
      <t xml:space="preserve"> data ensure to apply </t>
    </r>
    <r>
      <rPr>
        <b/>
        <sz val="11"/>
        <color theme="5" tint="-0.249977111117893"/>
        <rFont val="Arial"/>
        <family val="2"/>
      </rPr>
      <t xml:space="preserve">dms_Backcast_UOM </t>
    </r>
    <r>
      <rPr>
        <sz val="11"/>
        <color theme="5" tint="-0.249977111117893"/>
        <rFont val="Arial"/>
        <family val="2"/>
      </rPr>
      <t>named range to this field. Otherwise, do not apply this named range.</t>
    </r>
  </si>
  <si>
    <t>EB/CA Unit of Measure for Monetary Values</t>
  </si>
  <si>
    <t>dms_dollar_nom_UOM</t>
  </si>
  <si>
    <t>If the cover sheet is attached to an EB files make sure this field is set</t>
  </si>
  <si>
    <t>discard this record?</t>
  </si>
  <si>
    <t>dms_DISCARD</t>
  </si>
  <si>
    <t>If record is to be discarded from DB set this flag to YES</t>
  </si>
  <si>
    <t>USES NAMED RANGES FLAG</t>
  </si>
  <si>
    <t>yes</t>
  </si>
  <si>
    <t>dms_Defined_Names_Used</t>
  </si>
  <si>
    <t xml:space="preserve">086 015 036 </t>
  </si>
  <si>
    <t>Transmission pipelines</t>
  </si>
  <si>
    <t>Distribution pipelines</t>
  </si>
  <si>
    <t>Service pipes</t>
  </si>
  <si>
    <t>Cathodic protection</t>
  </si>
  <si>
    <t>SCADA and remote control</t>
  </si>
  <si>
    <t>Buildings</t>
  </si>
  <si>
    <t>Other - IT</t>
  </si>
  <si>
    <t>Other - Non IT</t>
  </si>
  <si>
    <t>Operating costs</t>
  </si>
  <si>
    <t>Network operating costs</t>
  </si>
  <si>
    <t>Customer connections</t>
  </si>
  <si>
    <t>Meter reading services</t>
  </si>
  <si>
    <t>Billing and revenue collection</t>
  </si>
  <si>
    <t>Advertising and marketing</t>
  </si>
  <si>
    <t>Licence fees</t>
  </si>
  <si>
    <t xml:space="preserve">GSL payments </t>
  </si>
  <si>
    <t>Energy Safe Victoria levy</t>
  </si>
  <si>
    <t>Debt raising costs</t>
  </si>
  <si>
    <t>Other operating costs</t>
  </si>
  <si>
    <t>Movement in provisions</t>
  </si>
  <si>
    <t>Maintenance costs</t>
  </si>
  <si>
    <t>Transmission Pipelines</t>
  </si>
  <si>
    <t>Distribution Pipelines</t>
  </si>
  <si>
    <t>Cathodic Protection</t>
  </si>
  <si>
    <t>Supply Regulators</t>
  </si>
  <si>
    <t>SCADA &amp; remote control</t>
  </si>
  <si>
    <t>Total maintenance costs</t>
  </si>
  <si>
    <t>Total operating and maintenance expenditure - Ancillary reference services</t>
  </si>
  <si>
    <t>Total operating and maintenance expenditure - including RPM</t>
  </si>
  <si>
    <t>On-site meter and gas installation test</t>
  </si>
  <si>
    <t>Disconnection</t>
  </si>
  <si>
    <t>Reconnection</t>
  </si>
  <si>
    <t xml:space="preserve">Special meter reading </t>
  </si>
  <si>
    <t xml:space="preserve">Table 23.1.1.1 - Operating and maintenance expenditure (actual/forecast) - Reference Services </t>
  </si>
  <si>
    <t>Total operating &amp; maintenance expenditure - Reference services</t>
  </si>
  <si>
    <t>Total operating costs</t>
  </si>
  <si>
    <t xml:space="preserve">Table 23.1.2.1 - Operating and maintenance expenditure (approved) - Reference Services </t>
  </si>
  <si>
    <t>Total operating and maintenance expenditure - excluding RPM</t>
  </si>
  <si>
    <t xml:space="preserve">Table 23.2.2.1 - Operating and maintenance expenditure (approved) - Reference Services </t>
  </si>
  <si>
    <t xml:space="preserve">Table 23.2.1.1 - Operating and maintenance expenditure (actual/forecast) - Reference Services </t>
  </si>
  <si>
    <t>Table 23.2.1.2 - Ancillary reference services</t>
  </si>
  <si>
    <t>Table 23.2.2.2 - Ancillary reference services</t>
  </si>
  <si>
    <t>Table 23.1.1.2 - Ancillary reference services</t>
  </si>
  <si>
    <t>Table 23.1.2.2 - Ancillary reference services</t>
  </si>
  <si>
    <t>Reported expenditure is to be entered EXCLUSIVE of any profit margins or management fees paid pursuant to arrangements or contracts with any related parties.</t>
  </si>
  <si>
    <t>If the service provider proposes changes to its tariff structure for the next access arrangement period, please copy and paste the relevant tables and provide historical data based on the tariff stucture at that time.</t>
  </si>
  <si>
    <t>Forecast opex for Incentive Mechanism purposes</t>
  </si>
  <si>
    <t>Actual opex for Incentive Mechanism purposes</t>
  </si>
  <si>
    <t>Table 23.4.1.1 - Opex allowance applicable to Incentive Mechanism (Incentive Mechanism target)</t>
  </si>
  <si>
    <t>Table 23.4.1.2 - Actual and estimated opex applicable to Incentive Mechanism</t>
  </si>
  <si>
    <t>Table 23.4.1.3 - Proposed forecast opex for the Incentive Mechanism for the forthcoming regulatory control period</t>
  </si>
  <si>
    <r>
      <t>AusNet Gas is required to populate all input cells (yellow) in tables 23.4.1.1 to 23.4.1.3 presented below.
Efficiency gains are calculated using the formulae below.  Adjusted target and actual amounts are used to calculate the carry-over amounts.
For the first application of the scheme, the efficiency carry forward amount for the first year of the regulatory period is expressed mathematically as: 
                 E</t>
    </r>
    <r>
      <rPr>
        <vertAlign val="subscript"/>
        <sz val="10"/>
        <rFont val="Arial"/>
        <family val="2"/>
      </rPr>
      <t>1</t>
    </r>
    <r>
      <rPr>
        <sz val="10"/>
        <rFont val="Arial"/>
        <family val="2"/>
      </rPr>
      <t xml:space="preserve"> = F</t>
    </r>
    <r>
      <rPr>
        <vertAlign val="subscript"/>
        <sz val="10"/>
        <rFont val="Arial"/>
        <family val="2"/>
      </rPr>
      <t>1</t>
    </r>
    <r>
      <rPr>
        <sz val="10"/>
        <rFont val="Arial"/>
        <family val="2"/>
      </rPr>
      <t xml:space="preserve"> – A</t>
    </r>
    <r>
      <rPr>
        <vertAlign val="subscript"/>
        <sz val="10"/>
        <rFont val="Arial"/>
        <family val="2"/>
      </rPr>
      <t>1</t>
    </r>
    <r>
      <rPr>
        <sz val="10"/>
        <rFont val="Arial"/>
        <family val="2"/>
      </rPr>
      <t xml:space="preserve"> where A</t>
    </r>
    <r>
      <rPr>
        <vertAlign val="subscript"/>
        <sz val="10"/>
        <rFont val="Arial"/>
        <family val="2"/>
      </rPr>
      <t>1</t>
    </r>
    <r>
      <rPr>
        <sz val="10"/>
        <rFont val="Arial"/>
        <family val="2"/>
      </rPr>
      <t xml:space="preserve"> is the actual operating cost for year 1 and F</t>
    </r>
    <r>
      <rPr>
        <vertAlign val="subscript"/>
        <sz val="10"/>
        <rFont val="Arial"/>
        <family val="2"/>
      </rPr>
      <t>1</t>
    </r>
    <r>
      <rPr>
        <sz val="10"/>
        <rFont val="Arial"/>
        <family val="2"/>
      </rPr>
      <t xml:space="preserve"> is the regulatory target operating cost for that year. 
For savings that arose in the second to fifth year of the regulatory period, the efficiency carry forward amount is calculated as:
                 E</t>
    </r>
    <r>
      <rPr>
        <vertAlign val="subscript"/>
        <sz val="10"/>
        <rFont val="Arial"/>
        <family val="2"/>
      </rPr>
      <t>t</t>
    </r>
    <r>
      <rPr>
        <sz val="10"/>
        <rFont val="Arial"/>
        <family val="2"/>
      </rPr>
      <t xml:space="preserve"> = (F</t>
    </r>
    <r>
      <rPr>
        <vertAlign val="subscript"/>
        <sz val="10"/>
        <rFont val="Arial"/>
        <family val="2"/>
      </rPr>
      <t>t</t>
    </r>
    <r>
      <rPr>
        <sz val="10"/>
        <rFont val="Arial"/>
        <family val="2"/>
      </rPr>
      <t xml:space="preserve"> – A</t>
    </r>
    <r>
      <rPr>
        <vertAlign val="subscript"/>
        <sz val="10"/>
        <rFont val="Arial"/>
        <family val="2"/>
      </rPr>
      <t>t</t>
    </r>
    <r>
      <rPr>
        <sz val="10"/>
        <rFont val="Arial"/>
        <family val="2"/>
      </rPr>
      <t>) – (F</t>
    </r>
    <r>
      <rPr>
        <vertAlign val="subscript"/>
        <sz val="10"/>
        <rFont val="Arial"/>
        <family val="2"/>
      </rPr>
      <t>t-1</t>
    </r>
    <r>
      <rPr>
        <sz val="10"/>
        <rFont val="Arial"/>
        <family val="2"/>
      </rPr>
      <t xml:space="preserve"> – A</t>
    </r>
    <r>
      <rPr>
        <vertAlign val="subscript"/>
        <sz val="10"/>
        <rFont val="Arial"/>
        <family val="2"/>
      </rPr>
      <t>t-1</t>
    </r>
    <r>
      <rPr>
        <sz val="10"/>
        <rFont val="Arial"/>
        <family val="2"/>
      </rPr>
      <t>), where: Et is the efficiency benefit/loss in year t;
                 A</t>
    </r>
    <r>
      <rPr>
        <vertAlign val="subscript"/>
        <sz val="10"/>
        <rFont val="Arial"/>
        <family val="2"/>
      </rPr>
      <t>t</t>
    </r>
    <r>
      <rPr>
        <sz val="10"/>
        <rFont val="Arial"/>
        <family val="2"/>
      </rPr>
      <t>, A</t>
    </r>
    <r>
      <rPr>
        <vertAlign val="subscript"/>
        <sz val="10"/>
        <rFont val="Arial"/>
        <family val="2"/>
      </rPr>
      <t>t-1</t>
    </r>
    <r>
      <rPr>
        <sz val="10"/>
        <rFont val="Arial"/>
        <family val="2"/>
      </rPr>
      <t xml:space="preserve"> is the actual operating cost for the years t and t-1 respectively; and
                 F</t>
    </r>
    <r>
      <rPr>
        <vertAlign val="subscript"/>
        <sz val="10"/>
        <rFont val="Arial"/>
        <family val="2"/>
      </rPr>
      <t>t</t>
    </r>
    <r>
      <rPr>
        <sz val="10"/>
        <rFont val="Arial"/>
        <family val="2"/>
      </rPr>
      <t>, F</t>
    </r>
    <r>
      <rPr>
        <vertAlign val="subscript"/>
        <sz val="10"/>
        <rFont val="Arial"/>
        <family val="2"/>
      </rPr>
      <t>t-1</t>
    </r>
    <r>
      <rPr>
        <sz val="10"/>
        <rFont val="Arial"/>
        <family val="2"/>
      </rPr>
      <t xml:space="preserve"> is the forecast operating cost for the years t and t-1 respectively 
Because the revenue determination will  occur prior to the completion of the current period, opex for the final year will be estimated as follows:
                 A</t>
    </r>
    <r>
      <rPr>
        <vertAlign val="subscript"/>
        <sz val="10"/>
        <rFont val="Arial"/>
        <family val="2"/>
      </rPr>
      <t>5</t>
    </r>
    <r>
      <rPr>
        <sz val="10"/>
        <rFont val="Arial"/>
        <family val="2"/>
      </rPr>
      <t xml:space="preserve"> = F</t>
    </r>
    <r>
      <rPr>
        <vertAlign val="subscript"/>
        <sz val="10"/>
        <rFont val="Arial"/>
        <family val="2"/>
      </rPr>
      <t>5</t>
    </r>
    <r>
      <rPr>
        <sz val="10"/>
        <rFont val="Arial"/>
        <family val="2"/>
      </rPr>
      <t xml:space="preserve"> – (F</t>
    </r>
    <r>
      <rPr>
        <vertAlign val="subscript"/>
        <sz val="10"/>
        <rFont val="Arial"/>
        <family val="2"/>
      </rPr>
      <t>4</t>
    </r>
    <r>
      <rPr>
        <sz val="10"/>
        <rFont val="Arial"/>
        <family val="2"/>
      </rPr>
      <t xml:space="preserve"> – A</t>
    </r>
    <r>
      <rPr>
        <vertAlign val="subscript"/>
        <sz val="10"/>
        <rFont val="Arial"/>
        <family val="2"/>
      </rPr>
      <t>4</t>
    </r>
    <r>
      <rPr>
        <sz val="10"/>
        <rFont val="Arial"/>
        <family val="2"/>
      </rPr>
      <t>)</t>
    </r>
  </si>
  <si>
    <t>costs associated with complying with any retailer of last resort requirements (clause 6.4(b)(8)(a))</t>
  </si>
  <si>
    <t>licence fees (clause 6.4(b)(8)(d))</t>
  </si>
  <si>
    <t>unaccounted for gas expenses (clause 6.4(b)(8)(c))</t>
  </si>
  <si>
    <t>amounts for approved Cost Pass Through Events (clause 6.4(b)(8)(b))</t>
  </si>
  <si>
    <t>debt raising costs (clause 6.4(b)(8)(e))</t>
  </si>
  <si>
    <t>movements in provisions (clause 6.4(b)(8)(f))</t>
  </si>
  <si>
    <t>any other activity that the Service Provider and the Regulator agree to exclude from the operation of the efficiency carryover mechanism (clause 6.4(b)(8)(g))</t>
  </si>
  <si>
    <t>Change in scale adjustment (clause 6.4(b)(9)(a))</t>
  </si>
  <si>
    <t>Change in capitalisation policy (clause 6.4(b)(10))</t>
  </si>
  <si>
    <t>23.4  OPEX INCENTIVE MECHANISM</t>
  </si>
  <si>
    <t xml:space="preserve">Table 22.5 - Cost of capital measures </t>
  </si>
  <si>
    <t>Weighted cost of capital (nominal vanilla)</t>
  </si>
  <si>
    <t>Nominated (placeholder) equity averaging period (if nominated)</t>
  </si>
  <si>
    <t>Year 1 nominated debt averaging period</t>
  </si>
  <si>
    <t>Year 2 nominated debt averaging period</t>
  </si>
  <si>
    <t>Year 3 nominated debt averaging period</t>
  </si>
  <si>
    <t>Year 4 nominated debt averaging period</t>
  </si>
  <si>
    <t>Year 5 nominated debt averaging period</t>
  </si>
  <si>
    <t>Year 1 nominated (placeholder) debt averaging period (if nominated)</t>
  </si>
  <si>
    <t>3rd party debt proxy/ies (e.g. 50% RBA BBB and 50% Bloomberg BBB)</t>
  </si>
  <si>
    <t>Equity risk premium</t>
  </si>
  <si>
    <t>Nominated equity averaging period (if nominated)</t>
  </si>
  <si>
    <t>Table 23.3.2 - Step Changes</t>
  </si>
  <si>
    <t xml:space="preserve">In tables 23.1.1 and 23.1.2 enter the required details into the yellow cells. This may require the insertion of new lines in each table. </t>
  </si>
  <si>
    <t>Category specific forecast</t>
  </si>
  <si>
    <t>&lt;insert category specific forecast&gt;</t>
  </si>
  <si>
    <t>Total category specific forecasts</t>
  </si>
  <si>
    <t>Table 23.3.3 - Category specific forecasts</t>
  </si>
  <si>
    <t xml:space="preserve">Return on equity (nominal post-tax) </t>
  </si>
  <si>
    <t>Return on debt (nominal post-tax)</t>
  </si>
  <si>
    <t>Value of imputation credits (gamma)</t>
  </si>
  <si>
    <t>Step changes ($0's)</t>
  </si>
  <si>
    <t xml:space="preserve">Estimated 2017 opex ($0's) </t>
  </si>
  <si>
    <t xml:space="preserve">Category specific forecasts ($0's) </t>
  </si>
  <si>
    <t>Real price growth ($0's)</t>
  </si>
  <si>
    <t>Connections market expansion</t>
  </si>
  <si>
    <t>Other capex</t>
  </si>
  <si>
    <t>Related party transactions</t>
  </si>
  <si>
    <t>Supply regulators/Valve stations</t>
  </si>
  <si>
    <t>Supply regulators/valve station</t>
  </si>
  <si>
    <t>Other - non IT</t>
  </si>
  <si>
    <t>Table 14.2 - Capex/opex overhead apportionment (actual/forecast)</t>
  </si>
  <si>
    <t>Table 14.3 - Capex overhead rates (actual/forecast)</t>
  </si>
  <si>
    <t>Table 14.4 - Capex overhead rates (approved)</t>
  </si>
  <si>
    <t>23.3 - OPERATING EXPENDITURE BASE-STEP-TREND</t>
  </si>
  <si>
    <t>If using the post-tax revenue model (PTRM) to determine total revenue,  in table 16.1 enter the AMOUNT of capex for each capex driver for each year that is attributable to the relevant capex asset category.</t>
  </si>
  <si>
    <t>In Table 28 enter the required data relating to consumption in the yellow cells.. This may require the insertion of new rows. The zones and the tariff types in table 28 must match those in table 27.</t>
  </si>
  <si>
    <t>&lt;enter customer type&gt;</t>
  </si>
  <si>
    <t>Table 21 - Indicative impact of the regulatory proposal on the average residential and small business customer gas bills</t>
  </si>
  <si>
    <t>Small business customer</t>
  </si>
  <si>
    <t>Table 21.3 - Typical gas bill - Small business customer</t>
  </si>
  <si>
    <t>Forecast inflation (per cent)</t>
  </si>
  <si>
    <t>Forecast X factors (per cent)</t>
  </si>
  <si>
    <t>Table 21.6 - Distribution bill component - Small business customer</t>
  </si>
  <si>
    <t xml:space="preserve">All </t>
  </si>
  <si>
    <t>Based on actual weights (please refer to ch7 of AAI)</t>
  </si>
  <si>
    <t>Average of BIS Shrapnell and DAE Forecast (please refer to ch7 of AAI)</t>
  </si>
  <si>
    <t xml:space="preserve">Labour </t>
  </si>
  <si>
    <t xml:space="preserve">Materials </t>
  </si>
  <si>
    <t>Provision for Doubtful Debts</t>
  </si>
  <si>
    <t>Provision for Employee Entitlements</t>
  </si>
  <si>
    <t xml:space="preserve">Uninsured Losses Provision </t>
  </si>
  <si>
    <t>Environmental Provision</t>
  </si>
  <si>
    <t>Provision for Superannuation</t>
  </si>
  <si>
    <t>Miscellaneous Provision</t>
  </si>
  <si>
    <t>Provision for Corporate Restructuring</t>
  </si>
  <si>
    <t>Network Operations</t>
  </si>
  <si>
    <t>Customer Connections</t>
  </si>
  <si>
    <t>Billing and Revenue Collection</t>
  </si>
  <si>
    <t>Advertising and Marketing</t>
  </si>
  <si>
    <t>Regulatory Costs</t>
  </si>
  <si>
    <t>Other Operating Costs</t>
  </si>
  <si>
    <t xml:space="preserve">Low pressure mains replacement </t>
  </si>
  <si>
    <t>Historical Annual Regulatory Accounts, ARS forecast prepared for GAAR</t>
  </si>
  <si>
    <t>Historical Annual Regulatory Accounts</t>
  </si>
  <si>
    <t>74318401 - Grand Blvd and Hume Hwy 180P8 50m Tie-In - Craigieburn</t>
  </si>
  <si>
    <t>74338921 - Howe St reinforcement - Miners Rest</t>
  </si>
  <si>
    <t>74338939 - Coburns Rd HP2 reinforcement - Melton</t>
  </si>
  <si>
    <t>74338959 - Fenchurch St reinforcement - Sunbury</t>
  </si>
  <si>
    <t>74397402 - Paramount Rd 180mm P8 reinforcement</t>
  </si>
  <si>
    <t>74398907 - Howard St reinforcement - Bendigo</t>
  </si>
  <si>
    <t>74401104 - Halletts Way 125P8 reinforcement - Bacchus Marsh</t>
  </si>
  <si>
    <t>74410306 - Ghazeepore Rd 180P8 duplication augmentation - Torquay</t>
  </si>
  <si>
    <t>74421883 - Marshall - Torquay Mains Reinforcement</t>
  </si>
  <si>
    <t>74424477 - Duncans Rd reinforcement Werribee</t>
  </si>
  <si>
    <t>74441261 - Lara (H62) and Corio (H59) Gas Main Interconnection</t>
  </si>
  <si>
    <t>H21 - Craigieburn (4km x 180P10) (Stage 1)</t>
  </si>
  <si>
    <t>H96 - Macedon Ranges (2km x 180P9)</t>
  </si>
  <si>
    <t>H75 - Warrnambool (0.95km x 125P10)</t>
  </si>
  <si>
    <t>H27 Bacchus Marsh (0.5km x 125P10)</t>
  </si>
  <si>
    <t>H68 St Leonards (10.8km x 125P10)</t>
  </si>
  <si>
    <t>74337290 - Supply Main from new Mt Cottrell City Gate</t>
  </si>
  <si>
    <t>74368259 - Rowsley Station Rd Reinforcement</t>
  </si>
  <si>
    <t>H23 - Sunbury (0.53km x 125P10)</t>
  </si>
  <si>
    <t>MP44 - Sunshine (0.9km x 125P10)</t>
  </si>
  <si>
    <t>H21 - Craigieburn (3.6km x 180P10) (Stage 2)</t>
  </si>
  <si>
    <t>TP61 - Bendigo (1km x 200S7)</t>
  </si>
  <si>
    <t>TP60 - Mt Duneed (4km x 150S7)</t>
  </si>
  <si>
    <t>H12 Bulban road (7km 180P10)</t>
  </si>
  <si>
    <t>2008 Augmentation (Reg Accts)</t>
  </si>
  <si>
    <t>2009 Augmentation (Reg Accts)</t>
  </si>
  <si>
    <t>2010 Augmentation (Reg Accts)</t>
  </si>
  <si>
    <t>2011 Augmentation (Reg Accts)</t>
  </si>
  <si>
    <t>2012 Augmentation (Reg Accts)</t>
  </si>
  <si>
    <t>Greenville Drive, Grovedale</t>
  </si>
  <si>
    <t>Lucknow Street, Ascot Vale</t>
  </si>
  <si>
    <t>Archer Avenue, Ascot Vale</t>
  </si>
  <si>
    <t>Weddell Road, Geelong North</t>
  </si>
  <si>
    <t>Welch Street, Fawkner</t>
  </si>
  <si>
    <t>McNamara Avenue, Airport West</t>
  </si>
  <si>
    <t>Mascoma Street, Strathmore</t>
  </si>
  <si>
    <t>Alexandra Street, Pascoe Vale</t>
  </si>
  <si>
    <t>Little Street, Deer Park</t>
  </si>
  <si>
    <t>Cambra Road, Belmont</t>
  </si>
  <si>
    <t>Huntly Street, Moonee Ponds</t>
  </si>
  <si>
    <t>Theresa Street, Sunshine North</t>
  </si>
  <si>
    <t>Bellara Crescent, Kealba</t>
  </si>
  <si>
    <t>Hargraves Street, Castlemaine</t>
  </si>
  <si>
    <t>Churchill Avenue, Maidstone</t>
  </si>
  <si>
    <t>Macdonald Avenue, Altona North</t>
  </si>
  <si>
    <t xml:space="preserve">View Street, Essendon </t>
  </si>
  <si>
    <t>Eldridge Street, Footscray</t>
  </si>
  <si>
    <t>Douglas Parade, Williamstown</t>
  </si>
  <si>
    <t>Bowen Street, Moonee Ponds</t>
  </si>
  <si>
    <t>Drew Street, Yarraville</t>
  </si>
  <si>
    <t>Wattletree Road, Geelong</t>
  </si>
  <si>
    <t>Fairy Street, Bell Post Hill</t>
  </si>
  <si>
    <t>Bellnore Drive, Norlane</t>
  </si>
  <si>
    <t>Landells Road, Pascoe Vale</t>
  </si>
  <si>
    <t>Woodland Street, Essendon</t>
  </si>
  <si>
    <t>Kanooka Drive, Corio</t>
  </si>
  <si>
    <t>Eglington Street, Moonee Ponds</t>
  </si>
  <si>
    <t>Edgecomb Street, Hamlyn Heights</t>
  </si>
  <si>
    <t>Robertson Street, Kensington</t>
  </si>
  <si>
    <t>Dinnell Street, Sunshine</t>
  </si>
  <si>
    <t>Western Hwy, Deer Park</t>
  </si>
  <si>
    <t>The Esplanade, Maribyrnong</t>
  </si>
  <si>
    <t xml:space="preserve"> York Street, Pascoe Vale South</t>
  </si>
  <si>
    <t xml:space="preserve"> Barkly Street, West Footscray</t>
  </si>
  <si>
    <t>Vernon Street, South Kingsville</t>
  </si>
  <si>
    <t xml:space="preserve"> Balmoral Street, Essedon</t>
  </si>
  <si>
    <t>Blackwood Street, Yarraville</t>
  </si>
  <si>
    <t>Walsh Grove North Geelong</t>
  </si>
  <si>
    <t>Buffalo Avenue Corio</t>
  </si>
  <si>
    <t>Fisher Street, Belmont</t>
  </si>
  <si>
    <t>Jedda Street, Bell Post Hill</t>
  </si>
  <si>
    <t>Warwick Road, Sunshine</t>
  </si>
  <si>
    <t>Taylor St,  Moonee Ponds</t>
  </si>
  <si>
    <t>Ballarat Road, Braybrook</t>
  </si>
  <si>
    <t>Mains Replcament 2016-2022 (LP)</t>
  </si>
  <si>
    <t>Mains Replacement 2016-2022 (MP)</t>
  </si>
  <si>
    <t>74172654 - SCADA Control - Williamstown HP Network</t>
  </si>
  <si>
    <t>74318064 - Remote Pressure Recorder 2012/2013</t>
  </si>
  <si>
    <t>74326463 - SCADA upgrade of Lara HP Network</t>
  </si>
  <si>
    <t>74329100 - SCADA Upgrade of Diggers Rest Network</t>
  </si>
  <si>
    <t>74333220 - SCADA Control Upgrade of H75 Warrnambool</t>
  </si>
  <si>
    <t>74341785 - SCADA Control Upgrade of Maryborough Network - H72</t>
  </si>
  <si>
    <t>74341969 - Water Level Gauges in Pits 2013-2014</t>
  </si>
  <si>
    <t>74341971 - Gas Detectors in Regulator Pits 2013/2014</t>
  </si>
  <si>
    <t>74341999 - Remote Cathodic Protection Recorders 2013/2014</t>
  </si>
  <si>
    <t>74343701 - Slam Shut Switch Installation</t>
  </si>
  <si>
    <t>74345046 - SCADA Control Upgrade Kingsley Rd FR</t>
  </si>
  <si>
    <t>74363424 - Remote CP Recorders 2012-2013</t>
  </si>
  <si>
    <t>74370129 - Mains Power Fail Alarm</t>
  </si>
  <si>
    <t>74370341 - Ararat Stawell Horsham City Gate CTM Setup</t>
  </si>
  <si>
    <t>74380601 - SCADA Control Upgrade New Gisborne H96c</t>
  </si>
  <si>
    <t>74396789 - 7 New Fringe RTU Installations</t>
  </si>
  <si>
    <t>74400661 - Stevedore St Junction Box replacement and relocation</t>
  </si>
  <si>
    <t>74407141 - Eureka and Queen in Ballarat (New RTU Unit)</t>
  </si>
  <si>
    <t>74408325 - Water Level Gauges 2014-15</t>
  </si>
  <si>
    <t>74414921 - Gas Detectors Installation 2014-15</t>
  </si>
  <si>
    <t>74426803 - Remote CP Recorders FY15</t>
  </si>
  <si>
    <t>SCADA Program FY16</t>
  </si>
  <si>
    <t>SCADA Program FY17</t>
  </si>
  <si>
    <t>SCADA 2008-2012</t>
  </si>
  <si>
    <t>SCADA 2018-2022</t>
  </si>
  <si>
    <t>SCADA</t>
  </si>
  <si>
    <t>SPI Management Services Pty Ltd 
("SPIMS")</t>
  </si>
  <si>
    <t>Management Services</t>
  </si>
  <si>
    <t xml:space="preserve">Management Service fees represented a recovery of costs by SPIMS for services provided by key senior management, in accordance with the Management Services Agreement. The amount charged to AusNet (Gas) was based on SPIMS's Activity Based Costing (ABC) survey results.
Note:
In 2013/2014, the Management Services Agreement was terminated, and SPIMS employees were absorbed into the AusNet Services group of which AusNet (Gas) is a part of. Therefore, as of 2015, SPIMS was no longer a Related Party.
</t>
  </si>
  <si>
    <t xml:space="preserve">Operating Costs, and
Capital Expenditure
</t>
  </si>
  <si>
    <t xml:space="preserve">Operating Costs:
Network Operations
Customer Connections
Meter Reading Services
Billing and Revenue Collection
Advertising and Marketing
Regulatory Costs 
Other Operating
Capital Expenditure:
Allocated to all categories of capital expenditure within the overhead capitalisation rate. 
</t>
  </si>
  <si>
    <t>ENTERPRISE BUSINESS SERVICES (AUSTRALIA) PTY LTD 
("EBS")</t>
  </si>
  <si>
    <t xml:space="preserve">IT Services for Operational and Capital Projects
</t>
  </si>
  <si>
    <t>Amounts invoiced and charged for the period.</t>
  </si>
  <si>
    <t xml:space="preserve">Operating Costs
Costs are allocated on an activity basis.
Capital Expenditure
Directly attributed to IT Capital Projects.
</t>
  </si>
  <si>
    <t xml:space="preserve">JEMENA ASSET MANAGEMENT PTY LTD
("JAM")
</t>
  </si>
  <si>
    <t xml:space="preserve">Both JAM and AusNet (Gas) were ultimately controlled by a common investor (Singapore Power).
</t>
  </si>
  <si>
    <t>Capital Projects</t>
  </si>
  <si>
    <t xml:space="preserve">Capital Expenditure
</t>
  </si>
  <si>
    <t>Project types mapped to regulated capex categories.</t>
  </si>
  <si>
    <t xml:space="preserve">CLM INFRASTRUCTURE PTY LTD
("CLM")
</t>
  </si>
  <si>
    <t xml:space="preserve">Both CLM and AusNet (Gas) were ultimately controlled by a common investor (Singapore Power).
</t>
  </si>
  <si>
    <t>Annual Regulatory Accounts</t>
  </si>
  <si>
    <t>None noted</t>
  </si>
  <si>
    <t>AusNet Services financial system</t>
  </si>
  <si>
    <t xml:space="preserve">Amounts invoiced and charged for the period.
Note - the amounts reported are consistent with the Annual Regulatory Accounts which are reported exclusive of the JAM margin of 6% . 
</t>
  </si>
  <si>
    <t xml:space="preserve">Amounts invoiced and charged for the period.
Note: Amounts reported are consistent with the Annual Regulatory Accounts, and may contain a margin which AusNet Services is not privy of as this contract was on an arm's length / competitive basis. 
</t>
  </si>
  <si>
    <t xml:space="preserve">Amounts invoiced and charged for the period.
Note: Amounts reported are consistent with the Annual Regulatory Accounts, and may contain a margin which AusNet Services is not privy of as this contract was on an arm's length / competitive basis. 
</t>
  </si>
  <si>
    <t>Central</t>
  </si>
  <si>
    <t>Tariff V</t>
  </si>
  <si>
    <t>Residential customers</t>
  </si>
  <si>
    <t>Commercial customers</t>
  </si>
  <si>
    <t>West</t>
  </si>
  <si>
    <t>Table 27.2.1 - Tariff V</t>
  </si>
  <si>
    <t>Residential customers : Tariff V</t>
  </si>
  <si>
    <t>Table 27.2 - Tariff Customer Numbers</t>
  </si>
  <si>
    <t>Commercial/industrial customers : Tariff V</t>
  </si>
  <si>
    <t>Table 27.3 - Tariff Customer Numbers</t>
  </si>
  <si>
    <t>Adjoining central</t>
  </si>
  <si>
    <t>Table 27.4 - Tariff Customer Numbers</t>
  </si>
  <si>
    <t>Adjoining West</t>
  </si>
  <si>
    <t>Table 27.5 - Tariff Customer Numbers</t>
  </si>
  <si>
    <t>Central and West</t>
  </si>
  <si>
    <t>MHQ customers</t>
  </si>
  <si>
    <t>Tariff D</t>
  </si>
  <si>
    <t>Tariff M</t>
  </si>
  <si>
    <t>Adjoining Central and Adjoining West</t>
  </si>
  <si>
    <t>Table 27.1.1 - Tariff V</t>
  </si>
  <si>
    <t>Table 27.3.1 - Tariff V</t>
  </si>
  <si>
    <t>Table 27.4.1 - Tariff V</t>
  </si>
  <si>
    <t>Table 27.4.1 - MHQ customers</t>
  </si>
  <si>
    <t>Commercial/industrial customers : MHQ customers</t>
  </si>
  <si>
    <t>29.3.4 - GAS EXTENSIONS - DEMAND</t>
  </si>
  <si>
    <t>Huntly</t>
  </si>
  <si>
    <t>Table 29.3.4 - Gas Extensions - Demand</t>
  </si>
  <si>
    <t>Table 29.3.4.1 - Residential tariff</t>
  </si>
  <si>
    <t>Peak Block 1</t>
  </si>
  <si>
    <t>0.0 - 0.1 GJ per day, Jun-Sep</t>
  </si>
  <si>
    <t>Peak Block 2</t>
  </si>
  <si>
    <t>&gt;0.1 - 0.2 GJ per day, Jun-Sep</t>
  </si>
  <si>
    <t>Peak Block 3</t>
  </si>
  <si>
    <t>&gt;0.2 - 1.4 GJ per day, Jun-Sep</t>
  </si>
  <si>
    <t>Peak Block 4</t>
  </si>
  <si>
    <t>&gt;1.4 GJ per day, Jun-Sep</t>
  </si>
  <si>
    <t>Off Peak Block 1</t>
  </si>
  <si>
    <t>0.0 - 0.1 GJ per day, all other months</t>
  </si>
  <si>
    <t>Off Peak Block 2</t>
  </si>
  <si>
    <t>&gt;0.1 - 0.2 GJ per day, all other months</t>
  </si>
  <si>
    <t>Off Peak Block 3</t>
  </si>
  <si>
    <t>&gt;0.2 - 1.4 GJ per day, all other months</t>
  </si>
  <si>
    <t>Off Peak Block 4</t>
  </si>
  <si>
    <t>&gt;1.4 GJ per day, all other months</t>
  </si>
  <si>
    <t>Table 29.3.4.2 - Business tariff</t>
  </si>
  <si>
    <t>Table 29.3.4.3 - Contract tariff</t>
  </si>
  <si>
    <t>29.2.1 - GAS EXTENSIONS - CUSTOMER NUMBERS</t>
  </si>
  <si>
    <t>Winchelsea</t>
  </si>
  <si>
    <t>Table 29.2.1 - GAS EXTENSIONS - CUSTOMER NUMBERS</t>
  </si>
  <si>
    <t>Table 29.2.1.1 - Tariff customer numbers</t>
  </si>
  <si>
    <t>Table 29.2.1.1.1 - Residential tariff</t>
  </si>
  <si>
    <t>Declining block tariff</t>
  </si>
  <si>
    <t>Table 29.2.1.1.2 - Business tariff</t>
  </si>
  <si>
    <t>Table 29.2.1.2 - Contract customer numbers</t>
  </si>
  <si>
    <t>29.3.1 - GAS EXTENSIONS - DEMAND</t>
  </si>
  <si>
    <t>Table 29.3.1 - Gas Extensions - Demand</t>
  </si>
  <si>
    <t>Table 29.3.1.1 - Residential tariff</t>
  </si>
  <si>
    <t>Table 29.3.1.2 - Business tariff</t>
  </si>
  <si>
    <t>Table 29.3.1.3 - Contract tariff</t>
  </si>
  <si>
    <t>29.2.2 - GAS EXTENSIONS - CUSTOMER NUMBERS</t>
  </si>
  <si>
    <t>Bannockburn</t>
  </si>
  <si>
    <t>Table 29.2.2 - GAS EXTENSIONS - CUSTOMER NUMBERS</t>
  </si>
  <si>
    <t>Table 29.2.2.1 - Tariff customer numbers</t>
  </si>
  <si>
    <t>Table 29.2.2.1.1 - Residential tariff</t>
  </si>
  <si>
    <t>Table 29.2.2.1.2 - Business tariff</t>
  </si>
  <si>
    <t>Table 29.2.2.2 - Contract customer numbers</t>
  </si>
  <si>
    <t>29.3.2 - GAS EXTENSIONS - DEMAND</t>
  </si>
  <si>
    <t>Table 29.3.2 - Gas Extensions - Demand</t>
  </si>
  <si>
    <t>Table 29.3.2.1 - Residential tariff</t>
  </si>
  <si>
    <t>Table 29.3.2.2 - Business tariff</t>
  </si>
  <si>
    <t>Table 29.3.2.3 - Contract tariff</t>
  </si>
  <si>
    <t>29.2.3 - GAS EXTENSIONS - CUSTOMER NUMBERS</t>
  </si>
  <si>
    <t>Avoca</t>
  </si>
  <si>
    <t>Table 29.2.3 - GAS EXTENSIONS - CUSTOMER NUMBERS</t>
  </si>
  <si>
    <t>Table 29.2.3.1 - Tariff customer numbers</t>
  </si>
  <si>
    <t>Table 29.2.3.1.1 - Residential tariff</t>
  </si>
  <si>
    <t>Table 29.2.3.1.2 - Business tariff</t>
  </si>
  <si>
    <t>Table 29.2.3.2 - Contract customer numbers</t>
  </si>
  <si>
    <t>29.3.3 - GAS EXTENSIONS - DEMAND</t>
  </si>
  <si>
    <t>Table 29.3.3 - Gas Extensions - Demand</t>
  </si>
  <si>
    <t>Table 29.3.3.1 - Residential tariff</t>
  </si>
  <si>
    <t>Table 29.3.3.2 - Business tariff</t>
  </si>
  <si>
    <t>Table 29.3.3.3 - Contract tariff</t>
  </si>
  <si>
    <t>29.2.4 - GAS EXTENSIONS - CUSTOMER NUMBERS</t>
  </si>
  <si>
    <t>Table 29.2.4 - GAS EXTENSIONS - CUSTOMER NUMBERS</t>
  </si>
  <si>
    <t>Table 29.2.4.1 - Tariff customer numbers</t>
  </si>
  <si>
    <t>Table 29.2.4.1.1 - Residential tariff</t>
  </si>
  <si>
    <t>Table 29.2.4.1.2 - Business tariff</t>
  </si>
  <si>
    <t>Table 29.2.4.2 - Contract customer numbers</t>
  </si>
  <si>
    <t>Residential Declining Block Tariff</t>
  </si>
  <si>
    <t>Business Declining Block Tariff</t>
  </si>
  <si>
    <t>Calculated using forecast customer numbers and estimated per customer opex cost. Modeling assumes no customer contributions to O&amp;M.</t>
  </si>
  <si>
    <t xml:space="preserve">                    -  </t>
  </si>
  <si>
    <t xml:space="preserve">         1,303,800</t>
  </si>
  <si>
    <t>New town connection to Avoca</t>
  </si>
  <si>
    <t>New town connection to Winchelsea</t>
  </si>
  <si>
    <t>]</t>
  </si>
  <si>
    <t>New town connection to Bannockburn</t>
  </si>
  <si>
    <t>New town connection to Huntly</t>
  </si>
  <si>
    <t>Direct costs only. 2013-15 sourced from Annual Regulatory Accounts. 2016 &amp; 2017 sourced from internal project forecasts. Govt. contribution - sourced from Annual Regulatory accounts. No customer contribution from residential customers and immaterial contributions from Business customers.</t>
  </si>
  <si>
    <t>Direct costs only. 2013-15 sourced from Annual Regulatory Accounts. 2016 &amp; 2017 sourced from internal project forecasts. Govt. contribution - sourced from internal forecast. No customer contribution from residential customers and immaterial contributions from Business customers.</t>
  </si>
  <si>
    <t>Kilometres</t>
  </si>
  <si>
    <t>DTS</t>
  </si>
  <si>
    <t>Non-DTS</t>
  </si>
  <si>
    <t>Table 30.2.2</t>
  </si>
  <si>
    <t>Table 30.2.3</t>
  </si>
  <si>
    <t>Table 30.2.4</t>
  </si>
  <si>
    <t>Table 30.2.5</t>
  </si>
  <si>
    <t>Table 30.2.6</t>
  </si>
  <si>
    <t>Table 30.2.7</t>
  </si>
  <si>
    <t>Table 30.2.8</t>
  </si>
  <si>
    <t>Table 30.2.9</t>
  </si>
  <si>
    <t>Table 30.2.10</t>
  </si>
  <si>
    <t>Table 30.2.11</t>
  </si>
  <si>
    <t>Table 30.2.12</t>
  </si>
  <si>
    <t>Table 30.2.13</t>
  </si>
  <si>
    <t>Table 30.2.14</t>
  </si>
  <si>
    <t>Table 30.2.15</t>
  </si>
  <si>
    <t>Table 30.2.16</t>
  </si>
  <si>
    <t>Table 30.2.17</t>
  </si>
  <si>
    <t>Table 30.2.18</t>
  </si>
  <si>
    <t>Table 30.2.19</t>
  </si>
  <si>
    <t>Table 30.2.20</t>
  </si>
  <si>
    <t>Table 30.2.21</t>
  </si>
  <si>
    <t>Table 30.2.22</t>
  </si>
  <si>
    <t>Table 30.2.23</t>
  </si>
  <si>
    <t>Table 30.2.24</t>
  </si>
  <si>
    <t>Table 30.2.25</t>
  </si>
  <si>
    <t>Table 30.2.26</t>
  </si>
  <si>
    <t>Table 30.2.27</t>
  </si>
  <si>
    <t>Table 30.2.28</t>
  </si>
  <si>
    <t>Table 30.2.29</t>
  </si>
  <si>
    <t>Table 30.2.30</t>
  </si>
  <si>
    <t>Table 30.2.31</t>
  </si>
  <si>
    <t>Table 30.2.32</t>
  </si>
  <si>
    <t>Table 30.2.33</t>
  </si>
  <si>
    <t>Table 30.2.34</t>
  </si>
  <si>
    <t>Table 30.2.35</t>
  </si>
  <si>
    <t>Table 30.2.36</t>
  </si>
  <si>
    <t>Table 30.2.37</t>
  </si>
  <si>
    <t>Table 30.2.38</t>
  </si>
  <si>
    <t>Table 30.2.39</t>
  </si>
  <si>
    <t>Table 30.2.40</t>
  </si>
  <si>
    <t>Table 30.2.41</t>
  </si>
  <si>
    <t>Table 30.2.42</t>
  </si>
  <si>
    <t>Table 30.2.43</t>
  </si>
  <si>
    <t>Table 30.2.44</t>
  </si>
  <si>
    <t>Table 30.2.45</t>
  </si>
  <si>
    <t>Table 30.2.46</t>
  </si>
  <si>
    <t>Table 30.2.47</t>
  </si>
  <si>
    <t>Table 30.2.48</t>
  </si>
  <si>
    <t>Table 30.2.49</t>
  </si>
  <si>
    <t>Table 30.2.50</t>
  </si>
  <si>
    <t>Table 30.2.51</t>
  </si>
  <si>
    <t>Table 30.2.52</t>
  </si>
  <si>
    <t>Table 30.5 - Leaks (publicly reported or identified by AST) by cause of leak by suburb/post code and average forecast leak rate for each asset type by suburb/post code</t>
  </si>
  <si>
    <t>3011</t>
  </si>
  <si>
    <t>Band 1</t>
  </si>
  <si>
    <t>0 - 10 GJ per hour</t>
  </si>
  <si>
    <t>Band 2</t>
  </si>
  <si>
    <t>&gt;10 - 50 GJ per hour</t>
  </si>
  <si>
    <t>Band 3</t>
  </si>
  <si>
    <t>&gt;50 GJ per hour</t>
  </si>
  <si>
    <t xml:space="preserve">AER Final Decision </t>
  </si>
  <si>
    <t>AER Final Decision</t>
  </si>
  <si>
    <t>Marketing Program</t>
  </si>
  <si>
    <t xml:space="preserve">Pigging of Dandenong to Docklands Main in 2021 </t>
  </si>
  <si>
    <t>no</t>
  </si>
  <si>
    <t xml:space="preserve">Debt raising costs </t>
  </si>
  <si>
    <t>Level 31, 2 Southbank Boulevard</t>
  </si>
  <si>
    <t>Southbank</t>
  </si>
  <si>
    <t>Domestic Tariff V Zone - SP AusNet Central</t>
  </si>
  <si>
    <t>Commercial Tariff V Zone - SP AusNet Central</t>
  </si>
  <si>
    <t>Domestic Tariff V Zone - SP AusNet West</t>
  </si>
  <si>
    <t>Commercial Tariff V Zone - SP AusNet West</t>
  </si>
  <si>
    <t>Domestic Tariff V Zone - SP AusNet Adjoining Central</t>
  </si>
  <si>
    <t>Commercial Tariff V Zone - SP AusNet Adjoining Central</t>
  </si>
  <si>
    <t>Domestic Tariff V Zone - SP AusNet Adjoining West</t>
  </si>
  <si>
    <t>Commercial Tariff V Zone - SP AusNet Adjoining West</t>
  </si>
  <si>
    <t xml:space="preserve"> Tariff D Zone - SP AusNet West &amp; Central</t>
  </si>
  <si>
    <t xml:space="preserve"> Tariff D Zone - SP AusNet Adjoining West &amp; Central</t>
  </si>
  <si>
    <t xml:space="preserve"> Tariff M Zone - SP AusNet West &amp; Central</t>
  </si>
  <si>
    <t xml:space="preserve"> Tariff M Zone - SP AusNet Adjoining West &amp; Central</t>
  </si>
  <si>
    <t>Meter and Gas installation test</t>
  </si>
  <si>
    <t>Special read</t>
  </si>
  <si>
    <t>Other non-reference services</t>
  </si>
  <si>
    <t>Haulage reference services</t>
  </si>
  <si>
    <t>Asset Management</t>
  </si>
  <si>
    <t>Corporate</t>
  </si>
  <si>
    <t>Customer</t>
  </si>
  <si>
    <t>Data Centre &amp; Storage</t>
  </si>
  <si>
    <t>Drawings Management</t>
  </si>
  <si>
    <t>EAI</t>
  </si>
  <si>
    <t>EAM/ERP</t>
  </si>
  <si>
    <t xml:space="preserve">Enterprise Risk, Governance and Compliance </t>
  </si>
  <si>
    <t>GIS</t>
  </si>
  <si>
    <t>Information Management</t>
  </si>
  <si>
    <t>Infrastructure</t>
  </si>
  <si>
    <t>Licensing</t>
  </si>
  <si>
    <t>Lifecycle Management</t>
  </si>
  <si>
    <t>Metering</t>
  </si>
  <si>
    <t>Mobility</t>
  </si>
  <si>
    <t>Network &amp; Comms</t>
  </si>
  <si>
    <t>Network Management</t>
  </si>
  <si>
    <t>Outage Management</t>
  </si>
  <si>
    <t>Security</t>
  </si>
  <si>
    <t>Servers</t>
  </si>
  <si>
    <t>SOE &amp; Desktop</t>
  </si>
  <si>
    <t>System Enhancements</t>
  </si>
  <si>
    <t>Safety Management</t>
  </si>
  <si>
    <t>Employee Management Capabilities</t>
  </si>
  <si>
    <t>Building Management</t>
  </si>
  <si>
    <t>Application Rationalisation</t>
  </si>
  <si>
    <t>Cost escalation</t>
  </si>
  <si>
    <t>Capex model</t>
  </si>
  <si>
    <t>ESC Final Decision</t>
  </si>
  <si>
    <t>AER Final Decision capex model</t>
  </si>
  <si>
    <t>Annual Regulatory Accountts</t>
  </si>
  <si>
    <t>Grove Regulator Replacement - City Gates</t>
  </si>
  <si>
    <t>Grove Regulator Replacement - Field Regulators</t>
  </si>
  <si>
    <t>Welker Jet  Regulator Upgrade Program - $200k</t>
  </si>
  <si>
    <t>Welker Jet  Regulator Upgrade Program - $150k</t>
  </si>
  <si>
    <t>City Gate Heater Replacements - $50k</t>
  </si>
  <si>
    <t>City Gate Heater Replacements - $80k</t>
  </si>
  <si>
    <t>City Gate Heater Replacements - $500k</t>
  </si>
  <si>
    <t>City Gate Heater Replacements - $600k</t>
  </si>
  <si>
    <t>Miscellaneous network regulator capital works</t>
  </si>
  <si>
    <t>Grove Regulator Replacement - I&amp;C</t>
  </si>
  <si>
    <t>298 Regulator Replacement</t>
  </si>
  <si>
    <t>Proactive Domestic Regulator Replacement</t>
  </si>
  <si>
    <t>Miscellaneous work</t>
  </si>
  <si>
    <t>Domestic regulators</t>
  </si>
  <si>
    <t>City Gate Lighting Program</t>
  </si>
  <si>
    <t>City Gate Security Fence Upgrades</t>
  </si>
  <si>
    <t>Consumer regulators - planned</t>
  </si>
  <si>
    <t>Other Non-demand</t>
  </si>
  <si>
    <t>Major Alterations</t>
  </si>
  <si>
    <t>U10 Aluminium Case</t>
  </si>
  <si>
    <t>EDMI U8</t>
  </si>
  <si>
    <t>Email 602</t>
  </si>
  <si>
    <t>Email 610</t>
  </si>
  <si>
    <t>Email 750</t>
  </si>
  <si>
    <t>Davy Shephard</t>
  </si>
  <si>
    <t>Rockwell MRA6</t>
  </si>
  <si>
    <t>Rockwell MR8</t>
  </si>
  <si>
    <t>UGI U6</t>
  </si>
  <si>
    <t>UGIU10 TIN CASE</t>
  </si>
  <si>
    <t>Gallus</t>
  </si>
  <si>
    <t>Jubilee</t>
  </si>
  <si>
    <t>Toyo MT5</t>
  </si>
  <si>
    <t>Park Cowan U6</t>
  </si>
  <si>
    <t>AL0425</t>
  </si>
  <si>
    <t>AL1000</t>
  </si>
  <si>
    <t>AL1400</t>
  </si>
  <si>
    <t>AL2300</t>
  </si>
  <si>
    <t>AL5000</t>
  </si>
  <si>
    <t>AMC GT 18M</t>
  </si>
  <si>
    <t>AMC GT 30M</t>
  </si>
  <si>
    <t>AMC GT 60M</t>
  </si>
  <si>
    <t>Elster RVG G40</t>
  </si>
  <si>
    <t>Elster RVG G65</t>
  </si>
  <si>
    <t>Elster RVG G100</t>
  </si>
  <si>
    <t>Elster RVG G160</t>
  </si>
  <si>
    <t>Elster G250</t>
  </si>
  <si>
    <t>Elster RVG G400</t>
  </si>
  <si>
    <t>Instromet IRMG160</t>
  </si>
  <si>
    <t>Rabo G160</t>
  </si>
  <si>
    <t>Rabo G250</t>
  </si>
  <si>
    <t>Rockwell 1000</t>
  </si>
  <si>
    <t>Rockwell 3000</t>
  </si>
  <si>
    <t>Rockwell 5000</t>
  </si>
  <si>
    <t>Rockwell 10000</t>
  </si>
  <si>
    <t>Rockwell MR12</t>
  </si>
  <si>
    <t>Rockwell 18M</t>
  </si>
  <si>
    <t>Rockwell 30M</t>
  </si>
  <si>
    <t>Rockwell 60M</t>
  </si>
  <si>
    <t>Romet RM140</t>
  </si>
  <si>
    <t>Romet RM200</t>
  </si>
  <si>
    <t>Romet RM300</t>
  </si>
  <si>
    <t>Romet RM650</t>
  </si>
  <si>
    <t>Roots 3M</t>
  </si>
  <si>
    <t>Roots 5M</t>
  </si>
  <si>
    <t>Roots 7M</t>
  </si>
  <si>
    <t>Roots 11M</t>
  </si>
  <si>
    <t>Roots 16M</t>
  </si>
  <si>
    <t>Roots 23M</t>
  </si>
  <si>
    <t>Roots 38M</t>
  </si>
  <si>
    <t>Fluxi</t>
  </si>
  <si>
    <t>Hansen Meter Change Report (2015-16</t>
  </si>
  <si>
    <t xml:space="preserve">Installed Meter Report from Hansen </t>
  </si>
  <si>
    <t xml:space="preserve">Master Meter Test Results </t>
  </si>
  <si>
    <t>Strategy for forecasts</t>
  </si>
  <si>
    <t xml:space="preserve">contractor expenditure includes meter costs </t>
  </si>
  <si>
    <t>distributed based on % I&amp;C vs Domestic meter replacements</t>
  </si>
  <si>
    <t xml:space="preserve">Field Life Extension Program </t>
  </si>
  <si>
    <t>Domestic Time Expired Program</t>
  </si>
  <si>
    <t>I&amp;C Time Expired Program</t>
  </si>
  <si>
    <t>Reactive Meter Replacement</t>
  </si>
  <si>
    <t>No Access Program</t>
  </si>
  <si>
    <t>UGI10 Tin Case</t>
  </si>
  <si>
    <t>Rabo 160</t>
  </si>
  <si>
    <t>0</t>
  </si>
  <si>
    <t>Email 602 1990</t>
  </si>
  <si>
    <t>Email 602 1991</t>
  </si>
  <si>
    <t>Email 602 1992</t>
  </si>
  <si>
    <t>Email 602 1994</t>
  </si>
  <si>
    <t>Email 602 (Merged Codes) 2001</t>
  </si>
  <si>
    <t>Email 602 (Merged Codes) 2002</t>
  </si>
  <si>
    <t>Email 602 (Merged Codes) 2003</t>
  </si>
  <si>
    <t>Email 602 (Merged Codes) 2004</t>
  </si>
  <si>
    <t>Email 610 1996</t>
  </si>
  <si>
    <t>Email 610 2000</t>
  </si>
  <si>
    <t>Email 610 2003</t>
  </si>
  <si>
    <t>Email 610 2004</t>
  </si>
  <si>
    <t>Email 610 2006</t>
  </si>
  <si>
    <t>Email 610 2007</t>
  </si>
  <si>
    <t>Email 610 2008</t>
  </si>
  <si>
    <t>Rockwell MR8 2003</t>
  </si>
  <si>
    <t>Rockwell MR8 2004</t>
  </si>
  <si>
    <t>AL425 1997</t>
  </si>
  <si>
    <t>U10 2000</t>
  </si>
  <si>
    <t>U10 2003</t>
  </si>
  <si>
    <t>U10 2004</t>
  </si>
  <si>
    <t>AL 1000 2003</t>
  </si>
  <si>
    <t>NA</t>
  </si>
  <si>
    <t>AL 1400 2003</t>
  </si>
  <si>
    <t>AL 2300 2003</t>
  </si>
  <si>
    <t>AL 5000 2005</t>
  </si>
  <si>
    <t>AMC GT 18M 2005</t>
  </si>
  <si>
    <t>AMC GT 30M 2005</t>
  </si>
  <si>
    <t>AMC GT 60M 2005</t>
  </si>
  <si>
    <t>INSTROMET IRMG160 2005</t>
  </si>
  <si>
    <t>RK MR 12 H 2003</t>
  </si>
  <si>
    <t>ROCKWELL 1000 2003</t>
  </si>
  <si>
    <t>ROCKWELL 18M 2005</t>
  </si>
  <si>
    <t>ROCKWELL 3000 2003</t>
  </si>
  <si>
    <t>ROCKWELL 30M 2005</t>
  </si>
  <si>
    <t>ROCKWELL 5000 2003</t>
  </si>
  <si>
    <t>ROCKWELL 60M 2003</t>
  </si>
  <si>
    <t>ROCKWELL MR12 2003</t>
  </si>
  <si>
    <t>ROCKWELL10000 2003</t>
  </si>
  <si>
    <t>ROOTS   5M 2005</t>
  </si>
  <si>
    <t>ROOTS   7M 2005</t>
  </si>
  <si>
    <t>ROOTS  11M 2005</t>
  </si>
  <si>
    <t>ROOTS  16M 2005</t>
  </si>
  <si>
    <t>ROOTS  23M 2005</t>
  </si>
  <si>
    <t>ROOTS  38M 2005</t>
  </si>
  <si>
    <t>AL 1000 2004</t>
  </si>
  <si>
    <t>AL 1400 2004</t>
  </si>
  <si>
    <t>AL 2300 2004</t>
  </si>
  <si>
    <t>AL 5000 2004</t>
  </si>
  <si>
    <t>AMC GT 18M 2006</t>
  </si>
  <si>
    <t>AMC GT 30M 2006</t>
  </si>
  <si>
    <t>AMC GT 60M 2006</t>
  </si>
  <si>
    <t>Elster RVG G100 2006</t>
  </si>
  <si>
    <t>Elster RVG G65 2006</t>
  </si>
  <si>
    <t>FLUXI 2006</t>
  </si>
  <si>
    <t>RK MR 12 H 2004</t>
  </si>
  <si>
    <t>ROCKWELL 1000 2004</t>
  </si>
  <si>
    <t>ROCKWELL 3000 2004</t>
  </si>
  <si>
    <t>ROCKWELL 5000 2004</t>
  </si>
  <si>
    <t>ROCKWELL MR12 2004</t>
  </si>
  <si>
    <t>ROMET RM140 2006</t>
  </si>
  <si>
    <t>ROMET RM300 2006</t>
  </si>
  <si>
    <t>ROOTS   3M 2006</t>
  </si>
  <si>
    <t>ROOTS   7M 2006</t>
  </si>
  <si>
    <t>ROOTS  11M 2006</t>
  </si>
  <si>
    <t>ROOTS  16M 2006</t>
  </si>
  <si>
    <t>ROOTS  23M 2006</t>
  </si>
  <si>
    <t>AL 1000 2005</t>
  </si>
  <si>
    <t>AL 1400 2005</t>
  </si>
  <si>
    <t>AL 2300 2005</t>
  </si>
  <si>
    <t>AMC GT 30M 2007</t>
  </si>
  <si>
    <t>Elster RVG G100 2007</t>
  </si>
  <si>
    <t>Elster RVG G160 2007</t>
  </si>
  <si>
    <t>RK MR 12 H 2005</t>
  </si>
  <si>
    <t>ROCKWELL 1000 2005</t>
  </si>
  <si>
    <t>ROCKWELL 3000 2005</t>
  </si>
  <si>
    <t>ROCKWELL 5000 2005</t>
  </si>
  <si>
    <t>ROCKWELL MR12 2005</t>
  </si>
  <si>
    <t>ROCKWELL10000 2005</t>
  </si>
  <si>
    <t>ROOTS   5M 2007</t>
  </si>
  <si>
    <t>ROOTS   7M 2007</t>
  </si>
  <si>
    <t>ROOTS  11M 2007</t>
  </si>
  <si>
    <t>ROOTS  16M 2007</t>
  </si>
  <si>
    <t>ROOTS  23M 2007</t>
  </si>
  <si>
    <t>AL 1000 2006</t>
  </si>
  <si>
    <t>AL 1400 2006</t>
  </si>
  <si>
    <t>AL 2300 2006</t>
  </si>
  <si>
    <t>AL 5000 2006</t>
  </si>
  <si>
    <t>AMC GT 18M 2007</t>
  </si>
  <si>
    <t>AMC GT 35M - 30 Degree Rotor 2007</t>
  </si>
  <si>
    <t>AMC GT 60M 2007</t>
  </si>
  <si>
    <t>ELSTER G250 2007</t>
  </si>
  <si>
    <t>FLUXI 2007</t>
  </si>
  <si>
    <t>INSTROMET 2007</t>
  </si>
  <si>
    <t>RK MR 12 H 2006</t>
  </si>
  <si>
    <t>ROCKWELL 1000 2006</t>
  </si>
  <si>
    <t>ROCKWELL 5000 2006</t>
  </si>
  <si>
    <t>ROCKWELL10000 2006</t>
  </si>
  <si>
    <t>ROMET RM200 2007</t>
  </si>
  <si>
    <t>ROOTS  38M 2007</t>
  </si>
  <si>
    <t>AL 1000 2007</t>
  </si>
  <si>
    <t>AL 1400 2007</t>
  </si>
  <si>
    <t>AL 2300 2007</t>
  </si>
  <si>
    <t>AL 5000 2007</t>
  </si>
  <si>
    <t>AMC GT 18M 2009</t>
  </si>
  <si>
    <t>AMC GT 30M 2009</t>
  </si>
  <si>
    <t>AMC GT 60M 2009</t>
  </si>
  <si>
    <t>ELSTER G250 2009</t>
  </si>
  <si>
    <t>Elster RVG G100 2009</t>
  </si>
  <si>
    <t>Elster RVG G160 2009</t>
  </si>
  <si>
    <t>Elster RVG G40 2009</t>
  </si>
  <si>
    <t>INSTROMET 2009</t>
  </si>
  <si>
    <t>RK MR 12 H 2007</t>
  </si>
  <si>
    <t>ROCKWELL 1000 2007</t>
  </si>
  <si>
    <t>ROCKWELL 3000 2007</t>
  </si>
  <si>
    <t>ROCKWELL 5000 2007</t>
  </si>
  <si>
    <t>ROCKWELL10000 2007</t>
  </si>
  <si>
    <t>ROMET RM300 2009</t>
  </si>
  <si>
    <t>ROOTS   5M 2009</t>
  </si>
  <si>
    <t>ROOTS   7M 2009</t>
  </si>
  <si>
    <t>ROOTS  11M 2009</t>
  </si>
  <si>
    <t>ROOTS  16M 2009</t>
  </si>
  <si>
    <t>ROOTS  23M 2009</t>
  </si>
  <si>
    <t>Email 610 1999</t>
  </si>
  <si>
    <t>Passed</t>
  </si>
  <si>
    <t>Email 602 Repaired 1999</t>
  </si>
  <si>
    <t>results taken from annual letters to AER</t>
  </si>
  <si>
    <t>Rockwell MR8 1999</t>
  </si>
  <si>
    <t>in line with strategy a meter is considered to be installed during the first month of the calendar year</t>
  </si>
  <si>
    <t>AL425 1999</t>
  </si>
  <si>
    <t>Email 602 New 1991</t>
  </si>
  <si>
    <t>Email 602 New 1992</t>
  </si>
  <si>
    <t>Email 610 New 1995</t>
  </si>
  <si>
    <t>Email 610 New 1996</t>
  </si>
  <si>
    <t>Email 610 New 1998</t>
  </si>
  <si>
    <t>Email 602 New 1995</t>
  </si>
  <si>
    <t>Email 602 Repaired 1995</t>
  </si>
  <si>
    <t>Email 602 IM 1997</t>
  </si>
  <si>
    <t>Email 602 Merged 2000</t>
  </si>
  <si>
    <t>Fail</t>
  </si>
  <si>
    <t>Email 610 1998</t>
  </si>
  <si>
    <t>EDMI U10 2000</t>
  </si>
  <si>
    <t>AL425 1995</t>
  </si>
  <si>
    <t>AL425 2000</t>
  </si>
  <si>
    <t>Email 602 New 1990</t>
  </si>
  <si>
    <t>Email 602 New 1994</t>
  </si>
  <si>
    <t>Email 602 Merged 2001</t>
  </si>
  <si>
    <t>Email 610 1997</t>
  </si>
  <si>
    <t>Failed</t>
  </si>
  <si>
    <t>Email 610 2001</t>
  </si>
  <si>
    <t>AL425 2001</t>
  </si>
  <si>
    <t>U10 2001</t>
  </si>
  <si>
    <t>Email 610 2002</t>
  </si>
  <si>
    <t>AL425 2002</t>
  </si>
  <si>
    <t>EDMI U10 2002</t>
  </si>
  <si>
    <t>Gallus 1998</t>
  </si>
  <si>
    <t>end of compliance period - not tested due to small population</t>
  </si>
  <si>
    <t>Davy Shepard 1998</t>
  </si>
  <si>
    <t>Email 602 Repaired 1998</t>
  </si>
  <si>
    <t>Failed compliance testing</t>
  </si>
  <si>
    <t>Gallus 2000 1999</t>
  </si>
  <si>
    <t>end of compliance period - meter not tested</t>
  </si>
  <si>
    <t>Email 602 New 1988</t>
  </si>
  <si>
    <t>end of compliance period - not tested</t>
  </si>
  <si>
    <t>Gallus 1994</t>
  </si>
  <si>
    <t>to remove future spikes in meter replacements over subsequent years</t>
  </si>
  <si>
    <t>Gallus 1995</t>
  </si>
  <si>
    <t>Davy Shepard 1999</t>
  </si>
  <si>
    <t>Email 602 New 1997</t>
  </si>
  <si>
    <t>Email 602 New 1996</t>
  </si>
  <si>
    <t xml:space="preserve">voluntary replacement - small volume </t>
  </si>
  <si>
    <t>voluntary replacement - partial replacement of large meter family to derisk future program</t>
  </si>
  <si>
    <t xml:space="preserve">Voluntary Replacement. Partial replacement of large meter family. De-risking future programs. </t>
  </si>
  <si>
    <t>Voluntary Replacement. De-risking future programs Low volume family</t>
  </si>
  <si>
    <t>as above</t>
  </si>
  <si>
    <t>Email 602 New 1998</t>
  </si>
  <si>
    <t>Email 750 2003</t>
  </si>
  <si>
    <t>Davy Shepard 2000</t>
  </si>
  <si>
    <t>Davy Shepard 2002</t>
  </si>
  <si>
    <t>Davy Shepard 2003</t>
  </si>
  <si>
    <t>Gallus 2002</t>
  </si>
  <si>
    <t>Gallus 2003</t>
  </si>
  <si>
    <t>Jubilee 2002</t>
  </si>
  <si>
    <t>Park Cowan 2002</t>
  </si>
  <si>
    <t>Park Cowan 2003</t>
  </si>
  <si>
    <t>Rockwell MR8 1998</t>
  </si>
  <si>
    <t>Rockwell MR8 2000</t>
  </si>
  <si>
    <t>Rockwell MR8 2001</t>
  </si>
  <si>
    <t>Rockwell MR8 2002</t>
  </si>
  <si>
    <t>Both SPIMS and AusNet (Gas) were ultimately controlled by a common entity.</t>
  </si>
  <si>
    <t xml:space="preserve">Both EBS and AusNet (Gas) were ultimately controlled by a common entity
</t>
  </si>
  <si>
    <t xml:space="preserve">Both EBS and AusNet (Gas) were ultimately controlled by a common entity.
</t>
  </si>
  <si>
    <t>BBB+</t>
  </si>
  <si>
    <t>100% RBA BBB+</t>
  </si>
  <si>
    <t>$484 per MHQ</t>
  </si>
  <si>
    <t>$241 per MHQ</t>
  </si>
  <si>
    <t>https://www.industry.gov.au/Energy/Energy-information/Documents/Gas-Price-Trends-Report.pdf</t>
  </si>
  <si>
    <t>Tariff V - Central - Residential</t>
  </si>
  <si>
    <t>Gas Volume</t>
  </si>
  <si>
    <t>Tariff V - West - Residential</t>
  </si>
  <si>
    <t>Tariff V - Adjoining Central - Residential</t>
  </si>
  <si>
    <t>Tariff V - Adjoining West - Residential</t>
  </si>
  <si>
    <t>Tariff V - SP AusNet Central - Non Residential</t>
  </si>
  <si>
    <t>Tariff V - SP AusNet West - Non Residential</t>
  </si>
  <si>
    <t>Tariff V - Adjoining Central - Non Residential</t>
  </si>
  <si>
    <t>Tariff V - Adjoining West - Non Residential</t>
  </si>
  <si>
    <t>Gas MHQ Demand</t>
  </si>
  <si>
    <t>Peak 0 - 0.1</t>
  </si>
  <si>
    <t xml:space="preserve"> 0 - 0.1 GJ</t>
  </si>
  <si>
    <t>Peak 0.1 - 0.2</t>
  </si>
  <si>
    <t>0.1 - 0.2  GJ</t>
  </si>
  <si>
    <t>Peak 0.2 - 1.4</t>
  </si>
  <si>
    <t xml:space="preserve">0.2 - 1.4  GJ </t>
  </si>
  <si>
    <t>Peak &gt; 1.4</t>
  </si>
  <si>
    <t xml:space="preserve"> &gt; 1.4  GJ</t>
  </si>
  <si>
    <t>Off Peak 0 - 0.1</t>
  </si>
  <si>
    <t>Off Peak 0.1 - 0.2</t>
  </si>
  <si>
    <t>Off Peak 0.2 - 1.4</t>
  </si>
  <si>
    <t>Off Peak &gt; 1.4</t>
  </si>
  <si>
    <t>Regional Gas Infrastructure Program</t>
  </si>
  <si>
    <t>Final Decision</t>
  </si>
  <si>
    <t>Capex Forecast Model</t>
  </si>
  <si>
    <t xml:space="preserve">Other non-reference services </t>
  </si>
  <si>
    <t>AusNet Services gas mains replacement cost pass through AER decision September 2016.</t>
  </si>
  <si>
    <t>Real December 2012</t>
  </si>
  <si>
    <t xml:space="preserve">Ausnet Services </t>
  </si>
  <si>
    <t xml:space="preserve">AER PTRM </t>
  </si>
  <si>
    <t>Total Approved Mains Augmentation</t>
  </si>
  <si>
    <t>Capex and Opex Forecast Models; AusNet Services analysis</t>
  </si>
  <si>
    <t>Regulatory Accounts</t>
  </si>
  <si>
    <t>Regulatory Accounts; AusNet Services analysis</t>
  </si>
  <si>
    <t>Internal Capex Report by work code type</t>
  </si>
  <si>
    <t>Internal capex reporting</t>
  </si>
  <si>
    <t>5 Sep 2016 to 30 Sep 2016</t>
  </si>
  <si>
    <t>AusNet Services' Proposal PTRM</t>
  </si>
  <si>
    <t>Approved Tariffs, AusNet Services' Proposal PTRM</t>
  </si>
  <si>
    <t>Linked above</t>
  </si>
  <si>
    <t>Calculated using actual/forecast volumes (and customers) from templates 29.3.1 to 29.3.4 and annual tariffs from template 29.4</t>
  </si>
  <si>
    <t>Annual Regulatory Accounts &amp; CIE forecast Report</t>
  </si>
  <si>
    <t>CIE report</t>
  </si>
  <si>
    <t>Capex forecast model</t>
  </si>
  <si>
    <t>Capex Model</t>
  </si>
  <si>
    <r>
      <rPr>
        <i/>
        <sz val="10"/>
        <rFont val="Arial"/>
        <family val="2"/>
      </rPr>
      <t>kd</t>
    </r>
    <r>
      <rPr>
        <vertAlign val="subscript"/>
        <sz val="10"/>
        <rFont val="Arial"/>
        <family val="2"/>
      </rPr>
      <t>2018</t>
    </r>
    <r>
      <rPr>
        <sz val="10"/>
        <rFont val="Arial"/>
        <family val="2"/>
      </rPr>
      <t xml:space="preserve"> = </t>
    </r>
    <r>
      <rPr>
        <i/>
        <sz val="10"/>
        <rFont val="Arial"/>
        <family val="2"/>
      </rPr>
      <t>T</t>
    </r>
    <r>
      <rPr>
        <vertAlign val="subscript"/>
        <sz val="9"/>
        <rFont val="Arial"/>
        <family val="2"/>
      </rPr>
      <t>2018</t>
    </r>
  </si>
  <si>
    <t>Effective annual yield to maturity for debt for each year of the regulatory control period - 2018</t>
  </si>
  <si>
    <r>
      <rPr>
        <i/>
        <sz val="10"/>
        <rFont val="Arial"/>
        <family val="2"/>
      </rPr>
      <t>kd</t>
    </r>
    <r>
      <rPr>
        <vertAlign val="subscript"/>
        <sz val="10"/>
        <rFont val="Arial"/>
        <family val="2"/>
      </rPr>
      <t>2020</t>
    </r>
    <r>
      <rPr>
        <sz val="10"/>
        <rFont val="Arial"/>
        <family val="2"/>
      </rPr>
      <t xml:space="preserve"> = (0.8 x </t>
    </r>
    <r>
      <rPr>
        <i/>
        <sz val="10"/>
        <rFont val="Arial"/>
        <family val="2"/>
      </rPr>
      <t>T</t>
    </r>
    <r>
      <rPr>
        <vertAlign val="subscript"/>
        <sz val="9"/>
        <rFont val="Arial"/>
        <family val="2"/>
      </rPr>
      <t>2018</t>
    </r>
    <r>
      <rPr>
        <sz val="9"/>
        <rFont val="Arial"/>
        <family val="2"/>
      </rPr>
      <t xml:space="preserve">) + (0.1 x </t>
    </r>
    <r>
      <rPr>
        <i/>
        <sz val="9"/>
        <rFont val="Arial"/>
        <family val="2"/>
      </rPr>
      <t>R</t>
    </r>
    <r>
      <rPr>
        <vertAlign val="subscript"/>
        <sz val="9"/>
        <rFont val="Arial"/>
        <family val="2"/>
      </rPr>
      <t>2019</t>
    </r>
    <r>
      <rPr>
        <sz val="9"/>
        <rFont val="Arial"/>
        <family val="2"/>
      </rPr>
      <t xml:space="preserve">) + (0.1 x </t>
    </r>
    <r>
      <rPr>
        <i/>
        <sz val="9"/>
        <rFont val="Arial"/>
        <family val="2"/>
      </rPr>
      <t>R</t>
    </r>
    <r>
      <rPr>
        <vertAlign val="subscript"/>
        <sz val="9"/>
        <rFont val="Arial"/>
        <family val="2"/>
      </rPr>
      <t>2020</t>
    </r>
    <r>
      <rPr>
        <sz val="9"/>
        <rFont val="Arial"/>
        <family val="2"/>
      </rPr>
      <t>)</t>
    </r>
  </si>
  <si>
    <r>
      <rPr>
        <i/>
        <sz val="10"/>
        <rFont val="Arial"/>
        <family val="2"/>
      </rPr>
      <t>kd</t>
    </r>
    <r>
      <rPr>
        <vertAlign val="subscript"/>
        <sz val="10"/>
        <rFont val="Arial"/>
        <family val="2"/>
      </rPr>
      <t>2019</t>
    </r>
    <r>
      <rPr>
        <sz val="10"/>
        <rFont val="Arial"/>
        <family val="2"/>
      </rPr>
      <t xml:space="preserve"> = (0.9 x </t>
    </r>
    <r>
      <rPr>
        <i/>
        <sz val="10"/>
        <rFont val="Arial"/>
        <family val="2"/>
      </rPr>
      <t>T</t>
    </r>
    <r>
      <rPr>
        <vertAlign val="subscript"/>
        <sz val="9"/>
        <rFont val="Arial"/>
        <family val="2"/>
      </rPr>
      <t>2018</t>
    </r>
    <r>
      <rPr>
        <sz val="9"/>
        <rFont val="Arial"/>
        <family val="2"/>
      </rPr>
      <t xml:space="preserve">) + (0.1 x </t>
    </r>
    <r>
      <rPr>
        <i/>
        <sz val="9"/>
        <rFont val="Arial"/>
        <family val="2"/>
      </rPr>
      <t>R</t>
    </r>
    <r>
      <rPr>
        <vertAlign val="subscript"/>
        <sz val="9"/>
        <rFont val="Arial"/>
        <family val="2"/>
      </rPr>
      <t>2019</t>
    </r>
    <r>
      <rPr>
        <sz val="9"/>
        <rFont val="Arial"/>
        <family val="2"/>
      </rPr>
      <t>)</t>
    </r>
  </si>
  <si>
    <r>
      <rPr>
        <i/>
        <sz val="10"/>
        <rFont val="Arial"/>
        <family val="2"/>
      </rPr>
      <t>kd</t>
    </r>
    <r>
      <rPr>
        <vertAlign val="subscript"/>
        <sz val="10"/>
        <rFont val="Arial"/>
        <family val="2"/>
      </rPr>
      <t>2021</t>
    </r>
    <r>
      <rPr>
        <sz val="10"/>
        <rFont val="Arial"/>
        <family val="2"/>
      </rPr>
      <t xml:space="preserve"> = (0.7 x </t>
    </r>
    <r>
      <rPr>
        <i/>
        <sz val="10"/>
        <rFont val="Arial"/>
        <family val="2"/>
      </rPr>
      <t>T</t>
    </r>
    <r>
      <rPr>
        <vertAlign val="subscript"/>
        <sz val="9"/>
        <rFont val="Arial"/>
        <family val="2"/>
      </rPr>
      <t>2018</t>
    </r>
    <r>
      <rPr>
        <sz val="9"/>
        <rFont val="Arial"/>
        <family val="2"/>
      </rPr>
      <t xml:space="preserve">) + (0.1 x </t>
    </r>
    <r>
      <rPr>
        <i/>
        <sz val="9"/>
        <rFont val="Arial"/>
        <family val="2"/>
      </rPr>
      <t>R</t>
    </r>
    <r>
      <rPr>
        <vertAlign val="subscript"/>
        <sz val="9"/>
        <rFont val="Arial"/>
        <family val="2"/>
      </rPr>
      <t>2019</t>
    </r>
    <r>
      <rPr>
        <sz val="9"/>
        <rFont val="Arial"/>
        <family val="2"/>
      </rPr>
      <t xml:space="preserve">) + (0.1 x </t>
    </r>
    <r>
      <rPr>
        <i/>
        <sz val="9"/>
        <rFont val="Arial"/>
        <family val="2"/>
      </rPr>
      <t>R</t>
    </r>
    <r>
      <rPr>
        <vertAlign val="subscript"/>
        <sz val="9"/>
        <rFont val="Arial"/>
        <family val="2"/>
      </rPr>
      <t>2020</t>
    </r>
    <r>
      <rPr>
        <sz val="9"/>
        <rFont val="Arial"/>
        <family val="2"/>
      </rPr>
      <t xml:space="preserve">) + (0.1 x </t>
    </r>
    <r>
      <rPr>
        <i/>
        <sz val="9"/>
        <rFont val="Arial"/>
        <family val="2"/>
      </rPr>
      <t>R</t>
    </r>
    <r>
      <rPr>
        <vertAlign val="subscript"/>
        <sz val="9"/>
        <rFont val="Arial"/>
        <family val="2"/>
      </rPr>
      <t>2021</t>
    </r>
    <r>
      <rPr>
        <sz val="9"/>
        <rFont val="Arial"/>
        <family val="2"/>
      </rPr>
      <t>)</t>
    </r>
  </si>
  <si>
    <r>
      <rPr>
        <i/>
        <sz val="10"/>
        <rFont val="Arial"/>
        <family val="2"/>
      </rPr>
      <t>kd</t>
    </r>
    <r>
      <rPr>
        <vertAlign val="subscript"/>
        <sz val="10"/>
        <rFont val="Arial"/>
        <family val="2"/>
      </rPr>
      <t>2022</t>
    </r>
    <r>
      <rPr>
        <sz val="10"/>
        <rFont val="Arial"/>
        <family val="2"/>
      </rPr>
      <t xml:space="preserve"> = (0.6 x </t>
    </r>
    <r>
      <rPr>
        <i/>
        <sz val="10"/>
        <rFont val="Arial"/>
        <family val="2"/>
      </rPr>
      <t>T</t>
    </r>
    <r>
      <rPr>
        <vertAlign val="subscript"/>
        <sz val="9"/>
        <rFont val="Arial"/>
        <family val="2"/>
      </rPr>
      <t>2018</t>
    </r>
    <r>
      <rPr>
        <sz val="9"/>
        <rFont val="Arial"/>
        <family val="2"/>
      </rPr>
      <t xml:space="preserve">) + (0.1 x </t>
    </r>
    <r>
      <rPr>
        <i/>
        <sz val="9"/>
        <rFont val="Arial"/>
        <family val="2"/>
      </rPr>
      <t>R</t>
    </r>
    <r>
      <rPr>
        <vertAlign val="subscript"/>
        <sz val="9"/>
        <rFont val="Arial"/>
        <family val="2"/>
      </rPr>
      <t>2019</t>
    </r>
    <r>
      <rPr>
        <sz val="9"/>
        <rFont val="Arial"/>
        <family val="2"/>
      </rPr>
      <t xml:space="preserve">) + (0.1 x </t>
    </r>
    <r>
      <rPr>
        <i/>
        <sz val="9"/>
        <rFont val="Arial"/>
        <family val="2"/>
      </rPr>
      <t>R</t>
    </r>
    <r>
      <rPr>
        <vertAlign val="subscript"/>
        <sz val="9"/>
        <rFont val="Arial"/>
        <family val="2"/>
      </rPr>
      <t>2020</t>
    </r>
    <r>
      <rPr>
        <sz val="9"/>
        <rFont val="Arial"/>
        <family val="2"/>
      </rPr>
      <t xml:space="preserve">) + (0.1 x </t>
    </r>
    <r>
      <rPr>
        <i/>
        <sz val="9"/>
        <rFont val="Arial"/>
        <family val="2"/>
      </rPr>
      <t>R</t>
    </r>
    <r>
      <rPr>
        <vertAlign val="subscript"/>
        <sz val="9"/>
        <rFont val="Arial"/>
        <family val="2"/>
      </rPr>
      <t>2021</t>
    </r>
    <r>
      <rPr>
        <sz val="9"/>
        <rFont val="Arial"/>
        <family val="2"/>
      </rPr>
      <t xml:space="preserve">) + (0.1 x </t>
    </r>
    <r>
      <rPr>
        <i/>
        <sz val="9"/>
        <rFont val="Arial"/>
        <family val="2"/>
      </rPr>
      <t>R</t>
    </r>
    <r>
      <rPr>
        <vertAlign val="subscript"/>
        <sz val="9"/>
        <rFont val="Arial"/>
        <family val="2"/>
      </rPr>
      <t>2022</t>
    </r>
    <r>
      <rPr>
        <sz val="9"/>
        <rFont val="Arial"/>
        <family val="2"/>
      </rPr>
      <t>)</t>
    </r>
  </si>
  <si>
    <t>Mains Replacement (inc reactive)2008-2012</t>
  </si>
  <si>
    <t xml:space="preserve">Tom Hallam </t>
  </si>
  <si>
    <t>(03) 9695 6617</t>
  </si>
  <si>
    <t>tom.hallam@ausnetservices.com.au</t>
  </si>
</sst>
</file>

<file path=xl/styles.xml><?xml version="1.0" encoding="utf-8"?>
<styleSheet xmlns="http://schemas.openxmlformats.org/spreadsheetml/2006/main" xmlns:mc="http://schemas.openxmlformats.org/markup-compatibility/2006" xmlns:x14ac="http://schemas.microsoft.com/office/spreadsheetml/2009/9/ac" mc:Ignorable="x14ac">
  <numFmts count="54">
    <numFmt numFmtId="6" formatCode="&quot;$&quot;#,##0;[Red]\-&quot;$&quot;#,##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0%"/>
    <numFmt numFmtId="165" formatCode="_(* #,##0_);_(* \(#,##0\);_(* &quot;-&quot;_);_(@_)"/>
    <numFmt numFmtId="166" formatCode="_-* #,##0.0_-;\-* #,##0.0_-;_-* &quot;-&quot;??_-;_-@_-"/>
    <numFmt numFmtId="167" formatCode="0.0"/>
    <numFmt numFmtId="168" formatCode="_-* #,##0_-;\-* #,##0_-;_-* &quot;-&quot;??_-;_-@_-"/>
    <numFmt numFmtId="169" formatCode="#,##0.0"/>
    <numFmt numFmtId="170" formatCode="_-* #,##0.000_-;\-* #,##0.000_-;_-* &quot;-&quot;??_-;_-@_-"/>
    <numFmt numFmtId="171" formatCode="_([$€-2]* #,##0.00_);_([$€-2]* \(#,##0.00\);_([$€-2]* &quot;-&quot;??_)"/>
    <numFmt numFmtId="172" formatCode="_-* #,##0.000_-;\-* #,##0.000_-;_-* &quot;-&quot;???_-;_-@_-"/>
    <numFmt numFmtId="173" formatCode="_(* #,##0.00_);_(* \(#,##0.00\);_(* &quot;-&quot;??_);_(@_)"/>
    <numFmt numFmtId="174" formatCode="_-* #,##0.000000_-;\-* #,##0.000000_-;_-* &quot;-&quot;??_-;_-@_-"/>
    <numFmt numFmtId="175" formatCode="#,##0.0_ ;\-#,##0.0\ "/>
    <numFmt numFmtId="176" formatCode="&quot;$&quot;#,##0"/>
    <numFmt numFmtId="177" formatCode="&quot;$&quot;0"/>
    <numFmt numFmtId="178" formatCode="#,##0.000"/>
    <numFmt numFmtId="179" formatCode="##\ ###\ ###\ ###\ ##0"/>
    <numFmt numFmtId="180" formatCode="\(0#\)\ ####\ ####"/>
    <numFmt numFmtId="181" formatCode="_(* #,##0.0_);_(* \(#,##0.0\);_(* &quot;-&quot;?_);_(@_)"/>
    <numFmt numFmtId="182" formatCode="0.000000"/>
    <numFmt numFmtId="183" formatCode="#,##0_ ;\(#,##0\)_ "/>
    <numFmt numFmtId="184" formatCode="_(* #,##0_);_(* \(#,##0\);_(* &quot;-&quot;?_);_(@_)"/>
    <numFmt numFmtId="185" formatCode="_-* #,##0.00_-;[Red]\(#,##0.00\)_-;_-* &quot;-&quot;??_-;_-@_-"/>
    <numFmt numFmtId="186" formatCode="mm/dd/yy"/>
    <numFmt numFmtId="187" formatCode="0_);[Red]\(0\)"/>
    <numFmt numFmtId="188" formatCode="#,##0.0_);\(#,##0.0\)"/>
    <numFmt numFmtId="189" formatCode="#,##0_ ;\-#,##0\ "/>
    <numFmt numFmtId="190" formatCode="#,##0;[Red]\(#,##0.0\)"/>
    <numFmt numFmtId="191" formatCode="#,##0_ ;[Red]\(#,##0\)\ "/>
    <numFmt numFmtId="192" formatCode="#,##0.00;\(#,##0.00\)"/>
    <numFmt numFmtId="193" formatCode="_)d\-mmm\-yy_)"/>
    <numFmt numFmtId="194" formatCode="_(#,##0.0_);\(#,##0.0\);_(&quot;-&quot;_)"/>
    <numFmt numFmtId="195" formatCode="_(###0_);\(###0\);_(###0_)"/>
    <numFmt numFmtId="196" formatCode="#,##0.0000_);[Red]\(#,##0.0000\)"/>
    <numFmt numFmtId="197" formatCode="0.000"/>
    <numFmt numFmtId="198" formatCode="_(&quot;$&quot;* #,##0.00_);_(&quot;$&quot;* \(#,##0.00\);_(&quot;$&quot;* &quot;-&quot;??_);_(@_)"/>
    <numFmt numFmtId="199" formatCode="#,##0.000_ ;[Red]\-#,##0.000\ "/>
    <numFmt numFmtId="200" formatCode="###,000"/>
    <numFmt numFmtId="201" formatCode="_(&quot;$&quot;#,##0.0_);\(&quot;$&quot;#,##0.0\);_(&quot;$&quot;#,##0.0_)"/>
    <numFmt numFmtId="202" formatCode="d/m/yy"/>
    <numFmt numFmtId="203" formatCode="_(#,##0.0\x_);\(#,##0.0\x\);_(#,##0.0\x_)"/>
    <numFmt numFmtId="204" formatCode="_(#,##0.0_);\(#,##0.0\);_(#,##0.0_)"/>
    <numFmt numFmtId="205" formatCode="_(#,##0.0%_);\(#,##0.0%\);_(#,##0.0%_)"/>
    <numFmt numFmtId="206" formatCode="_)d/m/yy_)"/>
    <numFmt numFmtId="207" formatCode="#,##0.0_);[Red]\(#,##0.0\)"/>
    <numFmt numFmtId="208" formatCode="_-[$€-2]* #,##0.00_-;\-[$€-2]* #,##0.00_-;_-[$€-2]* &quot;-&quot;??_-"/>
    <numFmt numFmtId="209" formatCode="_(#,##0_);\(#,##0\);_(#,##0_)"/>
    <numFmt numFmtId="210" formatCode="_(* #,##0_)_;;_(* \(#,##0\)_;;_(* #,##0_)_;"/>
    <numFmt numFmtId="211" formatCode="_-&quot;$&quot;* #,##0_-;\-&quot;$&quot;* #,##0_-;_-&quot;$&quot;* &quot;-&quot;??_-;_-@_-"/>
    <numFmt numFmtId="212" formatCode="0.0000"/>
  </numFmts>
  <fonts count="23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Times New Roman"/>
      <family val="1"/>
    </font>
    <font>
      <sz val="10"/>
      <name val="Times New Roman"/>
      <family val="1"/>
    </font>
    <font>
      <b/>
      <sz val="10"/>
      <name val="Arial"/>
      <family val="2"/>
    </font>
    <font>
      <sz val="10"/>
      <name val="Arial"/>
      <family val="2"/>
    </font>
    <font>
      <sz val="8"/>
      <name val="Arial"/>
      <family val="2"/>
    </font>
    <font>
      <u/>
      <sz val="10"/>
      <color indexed="12"/>
      <name val="Arial"/>
      <family val="2"/>
    </font>
    <font>
      <sz val="8"/>
      <name val="Arial"/>
      <family val="2"/>
    </font>
    <font>
      <b/>
      <sz val="12"/>
      <name val="Arial"/>
      <family val="2"/>
    </font>
    <font>
      <b/>
      <sz val="10"/>
      <color indexed="9"/>
      <name val="Arial"/>
      <family val="2"/>
    </font>
    <font>
      <sz val="10"/>
      <color indexed="9"/>
      <name val="Arial"/>
      <family val="2"/>
    </font>
    <font>
      <b/>
      <sz val="14"/>
      <name val="Arial"/>
      <family val="2"/>
    </font>
    <font>
      <b/>
      <sz val="16"/>
      <color indexed="9"/>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b/>
      <sz val="11"/>
      <color indexed="8"/>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sz val="11"/>
      <color indexed="10"/>
      <name val="Calibri"/>
      <family val="2"/>
    </font>
    <font>
      <sz val="10"/>
      <color indexed="51"/>
      <name val="Arial"/>
      <family val="2"/>
    </font>
    <font>
      <b/>
      <sz val="10"/>
      <color indexed="51"/>
      <name val="Arial"/>
      <family val="2"/>
    </font>
    <font>
      <sz val="16"/>
      <color indexed="51"/>
      <name val="Arial Black"/>
      <family val="2"/>
    </font>
    <font>
      <b/>
      <sz val="10"/>
      <name val="Arial Black"/>
      <family val="2"/>
    </font>
    <font>
      <sz val="16"/>
      <color indexed="51"/>
      <name val="Arial"/>
      <family val="2"/>
    </font>
    <font>
      <sz val="16"/>
      <name val="Arial"/>
      <family val="2"/>
    </font>
    <font>
      <b/>
      <sz val="10"/>
      <color indexed="62"/>
      <name val="Arial"/>
      <family val="2"/>
    </font>
    <font>
      <b/>
      <sz val="20"/>
      <color indexed="62"/>
      <name val="Arial"/>
      <family val="2"/>
    </font>
    <font>
      <sz val="10"/>
      <color indexed="62"/>
      <name val="Arial"/>
      <family val="2"/>
    </font>
    <font>
      <u/>
      <sz val="10"/>
      <name val="Arial"/>
      <family val="2"/>
    </font>
    <font>
      <sz val="10"/>
      <color indexed="12"/>
      <name val="Arial"/>
      <family val="2"/>
    </font>
    <font>
      <sz val="12"/>
      <name val="Arial"/>
      <family val="2"/>
    </font>
    <font>
      <sz val="10"/>
      <color theme="1"/>
      <name val="Arial"/>
      <family val="2"/>
    </font>
    <font>
      <sz val="10"/>
      <color rgb="FFFFCC00"/>
      <name val="Arial"/>
      <family val="2"/>
    </font>
    <font>
      <b/>
      <sz val="10"/>
      <color theme="0"/>
      <name val="Arial"/>
      <family val="2"/>
    </font>
    <font>
      <sz val="14"/>
      <name val="Arial"/>
      <family val="2"/>
    </font>
    <font>
      <sz val="16"/>
      <name val="Arial Black"/>
      <family val="2"/>
    </font>
    <font>
      <b/>
      <sz val="10"/>
      <color theme="1"/>
      <name val="Arial"/>
      <family val="2"/>
    </font>
    <font>
      <b/>
      <sz val="10"/>
      <color rgb="FF002060"/>
      <name val="Arial"/>
      <family val="2"/>
    </font>
    <font>
      <b/>
      <sz val="16"/>
      <color theme="1"/>
      <name val="Arial Black"/>
      <family val="2"/>
    </font>
    <font>
      <b/>
      <sz val="16"/>
      <color indexed="51"/>
      <name val="Arial"/>
      <family val="2"/>
    </font>
    <font>
      <sz val="10"/>
      <color rgb="FFFFFFFF"/>
      <name val="Arial"/>
      <family val="2"/>
    </font>
    <font>
      <sz val="10"/>
      <color rgb="FFFFCC00"/>
      <name val="Arial Black"/>
      <family val="2"/>
    </font>
    <font>
      <b/>
      <sz val="16"/>
      <color theme="1"/>
      <name val="Arial"/>
      <family val="2"/>
    </font>
    <font>
      <b/>
      <sz val="16"/>
      <name val="Arial"/>
      <family val="2"/>
    </font>
    <font>
      <sz val="11"/>
      <color theme="1"/>
      <name val="Arial"/>
      <family val="2"/>
    </font>
    <font>
      <b/>
      <sz val="11"/>
      <color theme="1"/>
      <name val="Arial"/>
      <family val="2"/>
    </font>
    <font>
      <b/>
      <sz val="10"/>
      <color indexed="10"/>
      <name val="Arial"/>
      <family val="2"/>
    </font>
    <font>
      <b/>
      <sz val="9"/>
      <color indexed="10"/>
      <name val="Arial"/>
      <family val="2"/>
    </font>
    <font>
      <b/>
      <sz val="11"/>
      <color rgb="FF002060"/>
      <name val="Arial"/>
      <family val="2"/>
    </font>
    <font>
      <b/>
      <sz val="11"/>
      <name val="Arial"/>
      <family val="2"/>
    </font>
    <font>
      <b/>
      <sz val="12"/>
      <color theme="1"/>
      <name val="Arial"/>
      <family val="2"/>
    </font>
    <font>
      <b/>
      <sz val="11"/>
      <color theme="0"/>
      <name val="Arial"/>
      <family val="2"/>
    </font>
    <font>
      <b/>
      <sz val="16"/>
      <name val="Arial Black"/>
      <family val="2"/>
    </font>
    <font>
      <b/>
      <sz val="11"/>
      <name val="Calibri"/>
      <family val="2"/>
    </font>
    <font>
      <b/>
      <sz val="18"/>
      <color indexed="51"/>
      <name val="Arial"/>
      <family val="2"/>
    </font>
    <font>
      <b/>
      <sz val="18"/>
      <color indexed="52"/>
      <name val="Arial"/>
      <family val="2"/>
    </font>
    <font>
      <b/>
      <sz val="12"/>
      <color indexed="51"/>
      <name val="Arial"/>
      <family val="2"/>
    </font>
    <font>
      <b/>
      <sz val="16"/>
      <color indexed="52"/>
      <name val="Arial"/>
      <family val="2"/>
    </font>
    <font>
      <b/>
      <sz val="18"/>
      <color indexed="62"/>
      <name val="Arial"/>
      <family val="2"/>
    </font>
    <font>
      <sz val="20"/>
      <color indexed="9"/>
      <name val="Arial"/>
      <family val="2"/>
    </font>
    <font>
      <sz val="16"/>
      <color rgb="FFFFCC00"/>
      <name val="Arial"/>
      <family val="2"/>
    </font>
    <font>
      <b/>
      <sz val="12"/>
      <color theme="0"/>
      <name val="Arial"/>
      <family val="2"/>
    </font>
    <font>
      <b/>
      <sz val="14"/>
      <color theme="0"/>
      <name val="Arial"/>
      <family val="2"/>
    </font>
    <font>
      <b/>
      <sz val="11"/>
      <name val="Calibri"/>
      <family val="2"/>
      <scheme val="minor"/>
    </font>
    <font>
      <b/>
      <sz val="10"/>
      <name val="Calibri"/>
      <family val="2"/>
      <scheme val="minor"/>
    </font>
    <font>
      <i/>
      <sz val="10"/>
      <name val="Arial"/>
      <family val="2"/>
    </font>
    <font>
      <b/>
      <sz val="10"/>
      <color indexed="51"/>
      <name val="Arial Black"/>
      <family val="2"/>
    </font>
    <font>
      <b/>
      <sz val="16"/>
      <color theme="0"/>
      <name val="Arial"/>
      <family val="2"/>
    </font>
    <font>
      <b/>
      <sz val="10"/>
      <color rgb="FF000000"/>
      <name val="Arial"/>
      <family val="2"/>
    </font>
    <font>
      <b/>
      <sz val="10"/>
      <color rgb="FFFF0000"/>
      <name val="Arial"/>
      <family val="2"/>
    </font>
    <font>
      <sz val="10"/>
      <color rgb="FFFF0000"/>
      <name val="Arial"/>
      <family val="2"/>
    </font>
    <font>
      <sz val="11"/>
      <name val="Arial"/>
      <family val="2"/>
    </font>
    <font>
      <sz val="11"/>
      <color theme="0"/>
      <name val="Calibri"/>
      <family val="2"/>
      <scheme val="minor"/>
    </font>
    <font>
      <vertAlign val="subscript"/>
      <sz val="10"/>
      <name val="Arial"/>
      <family val="2"/>
    </font>
    <font>
      <b/>
      <sz val="11"/>
      <color theme="1"/>
      <name val="Calibri"/>
      <family val="2"/>
      <scheme val="minor"/>
    </font>
    <font>
      <sz val="12"/>
      <color theme="1"/>
      <name val="Calibri"/>
      <family val="2"/>
      <scheme val="minor"/>
    </font>
    <font>
      <b/>
      <sz val="12"/>
      <color indexed="8"/>
      <name val="Calibri"/>
      <family val="2"/>
    </font>
    <font>
      <i/>
      <sz val="11"/>
      <color theme="1"/>
      <name val="Arial"/>
      <family val="2"/>
    </font>
    <font>
      <sz val="5"/>
      <name val="Arial"/>
      <family val="2"/>
    </font>
    <font>
      <vertAlign val="superscript"/>
      <sz val="5"/>
      <name val="Arial"/>
      <family val="2"/>
    </font>
    <font>
      <sz val="11"/>
      <color rgb="FFFF0000"/>
      <name val="Calibri"/>
      <family val="2"/>
      <scheme val="minor"/>
    </font>
    <font>
      <sz val="11"/>
      <name val="Calibri"/>
      <family val="2"/>
      <scheme val="minor"/>
    </font>
    <font>
      <sz val="10"/>
      <name val="Helv"/>
      <charset val="204"/>
    </font>
    <font>
      <sz val="14"/>
      <name val="System"/>
      <family val="2"/>
    </font>
    <font>
      <sz val="12"/>
      <name val="Calibri"/>
      <family val="2"/>
      <scheme val="minor"/>
    </font>
    <font>
      <sz val="10"/>
      <name val="Calibri"/>
      <family val="2"/>
      <scheme val="minor"/>
    </font>
    <font>
      <b/>
      <sz val="22"/>
      <name val="Calibri"/>
      <family val="2"/>
      <scheme val="minor"/>
    </font>
    <font>
      <i/>
      <sz val="11"/>
      <name val="Calibri"/>
      <family val="2"/>
      <scheme val="minor"/>
    </font>
    <font>
      <sz val="9"/>
      <name val="AGaramond"/>
    </font>
    <font>
      <sz val="10"/>
      <name val="Helvetica"/>
      <family val="2"/>
    </font>
    <font>
      <sz val="10"/>
      <color indexed="12"/>
      <name val="Helvetica"/>
      <family val="2"/>
    </font>
    <font>
      <sz val="10"/>
      <name val="MS Sans Serif"/>
      <family val="2"/>
    </font>
    <font>
      <sz val="10"/>
      <color indexed="24"/>
      <name val="Arial"/>
      <family val="2"/>
    </font>
    <font>
      <sz val="9"/>
      <name val="GillSans"/>
      <family val="2"/>
    </font>
    <font>
      <sz val="9"/>
      <name val="GillSans Light"/>
      <family val="2"/>
    </font>
    <font>
      <b/>
      <sz val="9"/>
      <name val="Arial"/>
      <family val="2"/>
    </font>
    <font>
      <b/>
      <sz val="8"/>
      <name val="Arial"/>
      <family val="2"/>
    </font>
    <font>
      <b/>
      <sz val="8.5"/>
      <name val="Univers 65"/>
      <family val="2"/>
    </font>
    <font>
      <u/>
      <sz val="11"/>
      <color indexed="12"/>
      <name val="Calibri"/>
      <family val="2"/>
    </font>
    <font>
      <b/>
      <sz val="10"/>
      <color indexed="56"/>
      <name val="Wingdings"/>
      <charset val="2"/>
    </font>
    <font>
      <b/>
      <u/>
      <sz val="8"/>
      <color indexed="56"/>
      <name val="Arial"/>
      <family val="2"/>
    </font>
    <font>
      <sz val="12"/>
      <color indexed="14"/>
      <name val="Arial"/>
      <family val="2"/>
    </font>
    <font>
      <sz val="8"/>
      <name val="Palatino"/>
      <family val="1"/>
    </font>
    <font>
      <sz val="8.5"/>
      <name val="Univers 55"/>
      <family val="2"/>
    </font>
    <font>
      <sz val="10"/>
      <color indexed="18"/>
      <name val="Times New Roman"/>
      <family val="1"/>
    </font>
    <font>
      <b/>
      <sz val="10"/>
      <name val="MS Sans Serif"/>
      <family val="2"/>
    </font>
    <font>
      <sz val="9"/>
      <color indexed="21"/>
      <name val="Helvetica-Black"/>
    </font>
    <font>
      <b/>
      <sz val="9"/>
      <name val="Palatino"/>
      <family val="1"/>
    </font>
    <font>
      <sz val="7"/>
      <name val="Palatino"/>
      <family val="1"/>
    </font>
    <font>
      <sz val="12"/>
      <name val="Palatino"/>
      <family val="1"/>
    </font>
    <font>
      <sz val="11"/>
      <name val="Helvetica-Black"/>
    </font>
    <font>
      <sz val="12"/>
      <color indexed="12"/>
      <name val="Arial MT"/>
    </font>
    <font>
      <b/>
      <u/>
      <sz val="9.5"/>
      <color indexed="56"/>
      <name val="Arial"/>
      <family val="2"/>
    </font>
    <font>
      <u/>
      <sz val="8"/>
      <color indexed="56"/>
      <name val="Arial"/>
      <family val="2"/>
    </font>
    <font>
      <sz val="10"/>
      <name val="Verdana"/>
      <family val="2"/>
    </font>
    <font>
      <sz val="20"/>
      <color rgb="FFFF0000"/>
      <name val="Arial"/>
      <family val="2"/>
    </font>
    <font>
      <b/>
      <i/>
      <sz val="10"/>
      <name val="Arial"/>
      <family val="2"/>
    </font>
    <font>
      <sz val="10"/>
      <color rgb="FF000000"/>
      <name val="Arial"/>
      <family val="2"/>
    </font>
    <font>
      <b/>
      <sz val="14"/>
      <color theme="1"/>
      <name val="Arial"/>
      <family val="2"/>
    </font>
    <font>
      <sz val="14"/>
      <color rgb="FFFF0000"/>
      <name val="Arial"/>
      <family val="2"/>
    </font>
    <font>
      <b/>
      <sz val="12"/>
      <color theme="1"/>
      <name val="Calibri"/>
      <family val="2"/>
      <scheme val="minor"/>
    </font>
    <font>
      <sz val="10"/>
      <color theme="7" tint="-0.249977111117893"/>
      <name val="Arial"/>
      <family val="2"/>
    </font>
    <font>
      <sz val="11"/>
      <color theme="8" tint="-0.249977111117893"/>
      <name val="Arial"/>
      <family val="2"/>
    </font>
    <font>
      <sz val="10"/>
      <color indexed="8"/>
      <name val="Arial"/>
      <family val="2"/>
    </font>
    <font>
      <sz val="11"/>
      <color rgb="FF44546A"/>
      <name val="Calibri"/>
      <family val="2"/>
      <scheme val="minor"/>
    </font>
    <font>
      <b/>
      <sz val="11"/>
      <color rgb="FFFF0000"/>
      <name val="Arial"/>
      <family val="2"/>
    </font>
    <font>
      <sz val="11"/>
      <color theme="0" tint="-0.34998626667073579"/>
      <name val="Arial"/>
      <family val="2"/>
    </font>
    <font>
      <sz val="11"/>
      <color theme="1"/>
      <name val="Calibri"/>
      <family val="2"/>
    </font>
    <font>
      <sz val="9"/>
      <name val="Arial"/>
      <family val="2"/>
    </font>
    <font>
      <sz val="10"/>
      <color theme="0" tint="-0.34998626667073579"/>
      <name val="Arial"/>
      <family val="2"/>
    </font>
    <font>
      <b/>
      <sz val="11"/>
      <color rgb="FF000000"/>
      <name val="Arial"/>
      <family val="2"/>
    </font>
    <font>
      <sz val="11"/>
      <color rgb="FF000000"/>
      <name val="Arial"/>
      <family val="2"/>
    </font>
    <font>
      <sz val="10"/>
      <color rgb="FF808080"/>
      <name val="Arial"/>
      <family val="2"/>
    </font>
    <font>
      <sz val="9"/>
      <color rgb="FF808080"/>
      <name val="Arial"/>
      <family val="2"/>
    </font>
    <font>
      <b/>
      <sz val="9"/>
      <color rgb="FF000000"/>
      <name val="Tahoma"/>
      <family val="2"/>
    </font>
    <font>
      <sz val="9"/>
      <color rgb="FF000000"/>
      <name val="Tahoma"/>
      <family val="2"/>
    </font>
    <font>
      <u/>
      <sz val="11"/>
      <color theme="10"/>
      <name val="Calibri"/>
      <family val="2"/>
      <scheme val="minor"/>
    </font>
    <font>
      <b/>
      <sz val="9"/>
      <color indexed="9"/>
      <name val="Arial"/>
      <family val="2"/>
    </font>
    <font>
      <b/>
      <sz val="12"/>
      <color theme="0"/>
      <name val="Calibri"/>
      <family val="2"/>
      <scheme val="minor"/>
    </font>
    <font>
      <sz val="10"/>
      <color theme="4" tint="-0.249977111117893"/>
      <name val="Arial"/>
      <family val="2"/>
    </font>
    <font>
      <b/>
      <sz val="16"/>
      <color theme="0" tint="-4.9989318521683403E-2"/>
      <name val="Arial"/>
      <family val="2"/>
    </font>
    <font>
      <b/>
      <sz val="10"/>
      <color theme="0" tint="-4.9989318521683403E-2"/>
      <name val="Arial"/>
      <family val="2"/>
    </font>
    <font>
      <b/>
      <i/>
      <sz val="12"/>
      <color theme="0"/>
      <name val="Arial"/>
      <family val="2"/>
    </font>
    <font>
      <sz val="10"/>
      <color theme="0"/>
      <name val="Arial"/>
      <family val="2"/>
    </font>
    <font>
      <b/>
      <sz val="12"/>
      <color rgb="FFFF0000"/>
      <name val="Calibri"/>
      <family val="2"/>
      <scheme val="minor"/>
    </font>
    <font>
      <b/>
      <sz val="10"/>
      <color rgb="FFFFCC00"/>
      <name val="Arial"/>
      <family val="2"/>
    </font>
    <font>
      <b/>
      <sz val="10"/>
      <color theme="1" tint="0.14999847407452621"/>
      <name val="Arial"/>
      <family val="2"/>
    </font>
    <font>
      <sz val="10"/>
      <color theme="4" tint="0.59999389629810485"/>
      <name val="Arial"/>
      <family val="2"/>
    </font>
    <font>
      <sz val="10"/>
      <color theme="0" tint="-0.499984740745262"/>
      <name val="Arial"/>
      <family val="2"/>
    </font>
    <font>
      <b/>
      <sz val="10"/>
      <color theme="0" tint="-0.499984740745262"/>
      <name val="Arial"/>
      <family val="2"/>
    </font>
    <font>
      <sz val="11"/>
      <color theme="5" tint="-0.249977111117893"/>
      <name val="Arial"/>
      <family val="2"/>
    </font>
    <font>
      <b/>
      <sz val="11"/>
      <color theme="5" tint="-0.249977111117893"/>
      <name val="Arial"/>
      <family val="2"/>
    </font>
    <font>
      <b/>
      <sz val="16"/>
      <color rgb="FFFF0000"/>
      <name val="Arial"/>
      <family val="2"/>
    </font>
    <font>
      <sz val="10"/>
      <color theme="5" tint="-0.249977111117893"/>
      <name val="Arial"/>
      <family val="2"/>
    </font>
    <font>
      <b/>
      <sz val="12"/>
      <color indexed="18"/>
      <name val="Arial"/>
      <family val="2"/>
    </font>
    <font>
      <sz val="10"/>
      <color indexed="18"/>
      <name val="Arial"/>
      <family val="2"/>
    </font>
    <font>
      <sz val="9"/>
      <color indexed="81"/>
      <name val="Tahoma"/>
      <family val="2"/>
    </font>
    <font>
      <b/>
      <sz val="9"/>
      <color indexed="81"/>
      <name val="Tahoma"/>
      <family val="2"/>
    </font>
    <font>
      <sz val="10"/>
      <name val="Tahoma"/>
      <family val="2"/>
    </font>
    <font>
      <sz val="8"/>
      <color rgb="FF000000"/>
      <name val="Arial"/>
      <family val="2"/>
    </font>
    <font>
      <sz val="8"/>
      <color rgb="FF1F497D"/>
      <name val="Verdana"/>
      <family val="2"/>
    </font>
    <font>
      <b/>
      <sz val="8"/>
      <color rgb="FF1F497D"/>
      <name val="Verdana"/>
      <family val="2"/>
    </font>
    <font>
      <sz val="8"/>
      <color rgb="FF000000"/>
      <name val="Verdana"/>
      <family val="2"/>
    </font>
    <font>
      <i/>
      <sz val="8"/>
      <color rgb="FF000000"/>
      <name val="Verdana"/>
      <family val="2"/>
    </font>
    <font>
      <i/>
      <sz val="8"/>
      <color rgb="FF1F497D"/>
      <name val="Verdana"/>
      <family val="2"/>
    </font>
    <font>
      <b/>
      <i/>
      <sz val="8"/>
      <color rgb="FF1F497D"/>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10"/>
      <color rgb="FF9C0006"/>
      <name val="Arial"/>
      <family val="2"/>
    </font>
    <font>
      <sz val="11"/>
      <color rgb="FF9C0006"/>
      <name val="Calibri"/>
      <family val="2"/>
      <scheme val="minor"/>
    </font>
    <font>
      <b/>
      <sz val="10"/>
      <color rgb="FFFA7D00"/>
      <name val="Arial"/>
      <family val="2"/>
    </font>
    <font>
      <b/>
      <sz val="11"/>
      <color rgb="FFFA7D00"/>
      <name val="Calibri"/>
      <family val="2"/>
      <scheme val="minor"/>
    </font>
    <font>
      <b/>
      <sz val="11"/>
      <color theme="0"/>
      <name val="Calibri"/>
      <family val="2"/>
      <scheme val="minor"/>
    </font>
    <font>
      <sz val="8"/>
      <name val="Tahoma"/>
      <family val="2"/>
    </font>
    <font>
      <sz val="10"/>
      <name val="Arial Narrow"/>
      <family val="2"/>
    </font>
    <font>
      <i/>
      <sz val="10"/>
      <color rgb="FF7F7F7F"/>
      <name val="Arial"/>
      <family val="2"/>
    </font>
    <font>
      <i/>
      <sz val="11"/>
      <color rgb="FF7F7F7F"/>
      <name val="Calibri"/>
      <family val="2"/>
      <scheme val="minor"/>
    </font>
    <font>
      <sz val="9"/>
      <name val="GillSans"/>
    </font>
    <font>
      <sz val="9"/>
      <name val="GillSans Light"/>
    </font>
    <font>
      <sz val="10"/>
      <color rgb="FF006100"/>
      <name val="Arial"/>
      <family val="2"/>
    </font>
    <font>
      <sz val="11"/>
      <color rgb="FF006100"/>
      <name val="Calibri"/>
      <family val="2"/>
      <scheme val="minor"/>
    </font>
    <font>
      <b/>
      <sz val="15"/>
      <color theme="3"/>
      <name val="Arial"/>
      <family val="2"/>
    </font>
    <font>
      <b/>
      <sz val="15"/>
      <color indexed="56"/>
      <name val="Calibri"/>
      <family val="2"/>
    </font>
    <font>
      <b/>
      <sz val="15"/>
      <color theme="3"/>
      <name val="Calibri"/>
      <family val="2"/>
      <scheme val="minor"/>
    </font>
    <font>
      <b/>
      <sz val="13"/>
      <color theme="3"/>
      <name val="Arial"/>
      <family val="2"/>
    </font>
    <font>
      <b/>
      <sz val="13"/>
      <color indexed="56"/>
      <name val="Calibri"/>
      <family val="2"/>
    </font>
    <font>
      <b/>
      <sz val="13"/>
      <color theme="3"/>
      <name val="Calibri"/>
      <family val="2"/>
      <scheme val="minor"/>
    </font>
    <font>
      <b/>
      <sz val="11"/>
      <color indexed="56"/>
      <name val="Calibri"/>
      <family val="2"/>
    </font>
    <font>
      <b/>
      <sz val="11"/>
      <color theme="3"/>
      <name val="Calibri"/>
      <family val="2"/>
      <scheme val="minor"/>
    </font>
    <font>
      <b/>
      <sz val="11"/>
      <color theme="3"/>
      <name val="Arial"/>
      <family val="2"/>
    </font>
    <font>
      <u/>
      <sz val="8"/>
      <color indexed="12"/>
      <name val="Arial"/>
      <family val="2"/>
    </font>
    <font>
      <u/>
      <sz val="10"/>
      <color theme="10"/>
      <name val="Arial"/>
      <family val="2"/>
    </font>
    <font>
      <sz val="10"/>
      <color rgb="FF3F3F76"/>
      <name val="Arial"/>
      <family val="2"/>
    </font>
    <font>
      <sz val="11"/>
      <color rgb="FF3F3F76"/>
      <name val="Calibri"/>
      <family val="2"/>
      <scheme val="minor"/>
    </font>
    <font>
      <sz val="11"/>
      <color indexed="54"/>
      <name val="Calibri"/>
      <family val="2"/>
    </font>
    <font>
      <sz val="10"/>
      <color rgb="FFFA7D00"/>
      <name val="Arial"/>
      <family val="2"/>
    </font>
    <font>
      <sz val="11"/>
      <color rgb="FFFA7D00"/>
      <name val="Calibri"/>
      <family val="2"/>
      <scheme val="minor"/>
    </font>
    <font>
      <sz val="10"/>
      <color rgb="FF9C6500"/>
      <name val="Arial"/>
      <family val="2"/>
    </font>
    <font>
      <sz val="11"/>
      <color rgb="FF9C6500"/>
      <name val="Calibri"/>
      <family val="2"/>
      <scheme val="minor"/>
    </font>
    <font>
      <sz val="11"/>
      <color indexed="19"/>
      <name val="Calibri"/>
      <family val="2"/>
    </font>
    <font>
      <b/>
      <sz val="10"/>
      <color rgb="FF3F3F3F"/>
      <name val="Arial"/>
      <family val="2"/>
    </font>
    <font>
      <b/>
      <sz val="11"/>
      <color rgb="FF3F3F3F"/>
      <name val="Calibri"/>
      <family val="2"/>
      <scheme val="minor"/>
    </font>
    <font>
      <sz val="11"/>
      <color indexed="8"/>
      <name val="Times New Roman"/>
      <family val="1"/>
    </font>
    <font>
      <b/>
      <sz val="13"/>
      <name val="Arial"/>
      <family val="2"/>
    </font>
    <font>
      <b/>
      <sz val="18"/>
      <color theme="3"/>
      <name val="Cambria"/>
      <family val="2"/>
      <scheme val="major"/>
    </font>
    <font>
      <b/>
      <sz val="18"/>
      <color indexed="56"/>
      <name val="Cambria"/>
      <family val="2"/>
    </font>
    <font>
      <b/>
      <sz val="18"/>
      <color indexed="49"/>
      <name val="Cambria"/>
      <family val="2"/>
    </font>
    <font>
      <sz val="10"/>
      <color rgb="FF00B050"/>
      <name val="Arial"/>
      <family val="2"/>
    </font>
    <font>
      <sz val="11"/>
      <color indexed="9"/>
      <name val="Arial"/>
      <family val="2"/>
    </font>
    <font>
      <sz val="11"/>
      <color rgb="FFFF0000"/>
      <name val="Arial"/>
      <family val="2"/>
    </font>
    <font>
      <sz val="10"/>
      <color theme="3" tint="0.39997558519241921"/>
      <name val="Arial"/>
      <family val="2"/>
    </font>
    <font>
      <b/>
      <sz val="10"/>
      <color rgb="FF00B050"/>
      <name val="Arial"/>
      <family val="2"/>
    </font>
    <font>
      <vertAlign val="subscript"/>
      <sz val="9"/>
      <name val="Arial"/>
      <family val="2"/>
    </font>
    <font>
      <i/>
      <sz val="9"/>
      <name val="Arial"/>
      <family val="2"/>
    </font>
  </fonts>
  <fills count="158">
    <fill>
      <patternFill patternType="none"/>
    </fill>
    <fill>
      <patternFill patternType="gray125"/>
    </fill>
    <fill>
      <patternFill patternType="solid">
        <fgColor indexed="38"/>
      </patternFill>
    </fill>
    <fill>
      <patternFill patternType="solid">
        <fgColor indexed="47"/>
      </patternFill>
    </fill>
    <fill>
      <patternFill patternType="solid">
        <fgColor indexed="26"/>
      </patternFill>
    </fill>
    <fill>
      <patternFill patternType="solid">
        <fgColor indexed="9"/>
      </patternFill>
    </fill>
    <fill>
      <patternFill patternType="solid">
        <fgColor indexed="43"/>
      </patternFill>
    </fill>
    <fill>
      <patternFill patternType="solid">
        <fgColor indexed="22"/>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22"/>
        <bgColor indexed="64"/>
      </patternFill>
    </fill>
    <fill>
      <patternFill patternType="solid">
        <fgColor indexed="55"/>
      </patternFill>
    </fill>
    <fill>
      <patternFill patternType="solid">
        <fgColor indexed="42"/>
      </patternFill>
    </fill>
    <fill>
      <patternFill patternType="solid">
        <fgColor indexed="27"/>
        <bgColor indexed="64"/>
      </patternFill>
    </fill>
    <fill>
      <patternFill patternType="solid">
        <fgColor indexed="26"/>
        <bgColor indexed="64"/>
      </patternFill>
    </fill>
    <fill>
      <patternFill patternType="solid">
        <fgColor indexed="8"/>
        <bgColor indexed="64"/>
      </patternFill>
    </fill>
    <fill>
      <patternFill patternType="solid">
        <fgColor indexed="9"/>
        <bgColor indexed="64"/>
      </patternFill>
    </fill>
    <fill>
      <patternFill patternType="solid">
        <fgColor indexed="41"/>
        <bgColor indexed="64"/>
      </patternFill>
    </fill>
    <fill>
      <patternFill patternType="lightUp">
        <bgColor indexed="22"/>
      </patternFill>
    </fill>
    <fill>
      <patternFill patternType="solid">
        <fgColor indexed="62"/>
        <bgColor indexed="64"/>
      </patternFill>
    </fill>
    <fill>
      <patternFill patternType="solid">
        <fgColor indexed="47"/>
        <bgColor indexed="64"/>
      </patternFill>
    </fill>
    <fill>
      <patternFill patternType="solid">
        <fgColor rgb="FFFFFFCC"/>
        <bgColor indexed="64"/>
      </patternFill>
    </fill>
    <fill>
      <patternFill patternType="solid">
        <fgColor rgb="FF00B0F0"/>
        <bgColor indexed="64"/>
      </patternFill>
    </fill>
    <fill>
      <patternFill patternType="solid">
        <fgColor theme="1"/>
        <bgColor indexed="64"/>
      </patternFill>
    </fill>
    <fill>
      <patternFill patternType="solid">
        <fgColor rgb="FFFFFFCC"/>
        <bgColor rgb="FF000000"/>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8" tint="0.39997558519241921"/>
        <bgColor indexed="64"/>
      </patternFill>
    </fill>
    <fill>
      <patternFill patternType="solid">
        <fgColor theme="0"/>
        <bgColor indexed="64"/>
      </patternFill>
    </fill>
    <fill>
      <patternFill patternType="solid">
        <fgColor theme="0" tint="-0.499984740745262"/>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indexed="44"/>
        <bgColor indexed="64"/>
      </patternFill>
    </fill>
    <fill>
      <patternFill patternType="solid">
        <fgColor theme="0" tint="-0.14996795556505021"/>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59996337778862885"/>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2" tint="-0.499984740745262"/>
        <bgColor indexed="64"/>
      </patternFill>
    </fill>
    <fill>
      <patternFill patternType="solid">
        <fgColor theme="2" tint="-0.249977111117893"/>
        <bgColor indexed="64"/>
      </patternFill>
    </fill>
    <fill>
      <patternFill patternType="solid">
        <fgColor theme="4" tint="0.79998168889431442"/>
        <bgColor indexed="64"/>
      </patternFill>
    </fill>
    <fill>
      <patternFill patternType="lightUp">
        <bgColor theme="0" tint="-0.249977111117893"/>
      </patternFill>
    </fill>
    <fill>
      <patternFill patternType="solid">
        <fgColor theme="3" tint="0.39997558519241921"/>
        <bgColor indexed="64"/>
      </patternFill>
    </fill>
    <fill>
      <patternFill patternType="solid">
        <fgColor theme="4" tint="0.39994506668294322"/>
        <bgColor indexed="64"/>
      </patternFill>
    </fill>
    <fill>
      <patternFill patternType="lightUp">
        <bgColor theme="0" tint="-0.499984740745262"/>
      </patternFill>
    </fill>
    <fill>
      <patternFill patternType="solid">
        <fgColor theme="0"/>
        <bgColor rgb="FF000000"/>
      </patternFill>
    </fill>
    <fill>
      <patternFill patternType="solid">
        <fgColor theme="0" tint="-0.34998626667073579"/>
        <bgColor rgb="FF000000"/>
      </patternFill>
    </fill>
    <fill>
      <patternFill patternType="solid">
        <fgColor theme="4" tint="0.39997558519241921"/>
        <bgColor rgb="FF000000"/>
      </patternFill>
    </fill>
    <fill>
      <patternFill patternType="solid">
        <fgColor theme="4" tint="0.59999389629810485"/>
        <bgColor rgb="FF000000"/>
      </patternFill>
    </fill>
    <fill>
      <patternFill patternType="solid">
        <fgColor theme="7" tint="0.79998168889431442"/>
        <bgColor indexed="64"/>
      </patternFill>
    </fill>
    <fill>
      <patternFill patternType="solid">
        <fgColor theme="3" tint="0.59999389629810485"/>
        <bgColor indexed="64"/>
      </patternFill>
    </fill>
    <fill>
      <patternFill patternType="solid">
        <fgColor theme="1" tint="0.249977111117893"/>
        <bgColor indexed="64"/>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2"/>
        <bgColor indexed="64"/>
      </patternFill>
    </fill>
    <fill>
      <patternFill patternType="mediumGray">
        <fgColor indexed="22"/>
      </patternFill>
    </fill>
    <fill>
      <patternFill patternType="solid">
        <fgColor theme="7" tint="0.59999389629810485"/>
        <bgColor indexed="64"/>
      </patternFill>
    </fill>
    <fill>
      <patternFill patternType="solid">
        <fgColor theme="5" tint="0.79998168889431442"/>
        <bgColor indexed="64"/>
      </patternFill>
    </fill>
    <fill>
      <patternFill patternType="solid">
        <fgColor theme="8" tint="0.59999389629810485"/>
        <bgColor indexed="64"/>
      </patternFill>
    </fill>
    <fill>
      <patternFill patternType="solid">
        <fgColor rgb="FFFFFF99"/>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rgb="FFDAEEF3"/>
        <bgColor rgb="FF000000"/>
      </patternFill>
    </fill>
    <fill>
      <patternFill patternType="solid">
        <fgColor rgb="FFB8CCE4"/>
        <bgColor rgb="FF000000"/>
      </patternFill>
    </fill>
    <fill>
      <patternFill patternType="solid">
        <fgColor theme="9" tint="0.39997558519241921"/>
        <bgColor rgb="FF000000"/>
      </patternFill>
    </fill>
    <fill>
      <patternFill patternType="solid">
        <fgColor rgb="FFFABF8F"/>
        <bgColor rgb="FF000000"/>
      </patternFill>
    </fill>
    <fill>
      <patternFill patternType="solid">
        <fgColor theme="9" tint="0.79998168889431442"/>
        <bgColor indexed="64"/>
      </patternFill>
    </fill>
    <fill>
      <patternFill patternType="solid">
        <fgColor rgb="FFFCD5B4"/>
        <bgColor rgb="FF000000"/>
      </patternFill>
    </fill>
    <fill>
      <patternFill patternType="solid">
        <fgColor rgb="FFFFFFFF"/>
        <bgColor rgb="FF000000"/>
      </patternFill>
    </fill>
    <fill>
      <patternFill patternType="solid">
        <fgColor theme="6" tint="0.39997558519241921"/>
        <bgColor rgb="FF000000"/>
      </patternFill>
    </fill>
    <fill>
      <patternFill patternType="solid">
        <fgColor theme="7" tint="0.59999389629810485"/>
        <bgColor rgb="FF000000"/>
      </patternFill>
    </fill>
    <fill>
      <patternFill patternType="solid">
        <fgColor theme="6" tint="0.79998168889431442"/>
        <bgColor rgb="FF000000"/>
      </patternFill>
    </fill>
    <fill>
      <patternFill patternType="solid">
        <fgColor rgb="FFE4DFEC"/>
        <bgColor rgb="FF000000"/>
      </patternFill>
    </fill>
    <fill>
      <patternFill patternType="solid">
        <fgColor rgb="FFCCC0DA"/>
        <bgColor rgb="FF000000"/>
      </patternFill>
    </fill>
    <fill>
      <patternFill patternType="solid">
        <fgColor theme="7" tint="0.79998168889431442"/>
        <bgColor rgb="FF000000"/>
      </patternFill>
    </fill>
    <fill>
      <patternFill patternType="solid">
        <fgColor theme="4" tint="0.79998168889431442"/>
        <bgColor indexed="65"/>
      </patternFill>
    </fill>
    <fill>
      <patternFill patternType="solid">
        <fgColor theme="4" tint="0.59999389629810485"/>
        <bgColor indexed="65"/>
      </patternFill>
    </fill>
    <fill>
      <patternFill patternType="gray0625">
        <bgColor indexed="44"/>
      </patternFill>
    </fill>
    <fill>
      <patternFill patternType="solid">
        <fgColor theme="4" tint="-0.499984740745262"/>
        <bgColor indexed="64"/>
      </patternFill>
    </fill>
    <fill>
      <patternFill patternType="solid">
        <fgColor rgb="FF366092"/>
        <bgColor rgb="FF000000"/>
      </patternFill>
    </fill>
    <fill>
      <patternFill patternType="solid">
        <fgColor theme="5" tint="0.59999389629810485"/>
        <bgColor indexed="65"/>
      </patternFill>
    </fill>
    <fill>
      <patternFill patternType="solid">
        <fgColor rgb="FFDBE5F1"/>
        <bgColor rgb="FF000000"/>
      </patternFill>
    </fill>
    <fill>
      <patternFill patternType="solid">
        <fgColor rgb="FFE9EFF7"/>
        <bgColor rgb="FF000000"/>
      </patternFill>
    </fill>
    <fill>
      <patternFill patternType="solid">
        <fgColor rgb="FFF1F5FB"/>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DBE5F1"/>
        <bgColor rgb="FFFFFFFF"/>
      </patternFill>
    </fill>
    <fill>
      <patternFill patternType="solid">
        <fgColor rgb="FFA6A6A6"/>
        <bgColor rgb="FF000000"/>
      </patternFill>
    </fill>
    <fill>
      <patternFill patternType="solid">
        <fgColor rgb="FFD8E4BC"/>
        <bgColor rgb="FF000000"/>
      </patternFill>
    </fill>
    <fill>
      <patternFill patternType="solid">
        <fgColor rgb="FFC4D79B"/>
        <bgColor rgb="FF000000"/>
      </patternFill>
    </fill>
    <fill>
      <patternFill patternType="solid">
        <fgColor rgb="FFBFBFBF"/>
        <bgColor rgb="FF000000"/>
      </patternFill>
    </fill>
    <fill>
      <patternFill patternType="solid">
        <fgColor indexed="31"/>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indexed="46"/>
      </patternFill>
    </fill>
    <fill>
      <patternFill patternType="solid">
        <fgColor theme="8" tint="0.79998168889431442"/>
        <bgColor indexed="65"/>
      </patternFill>
    </fill>
    <fill>
      <patternFill patternType="solid">
        <fgColor indexed="27"/>
      </patternFill>
    </fill>
    <fill>
      <patternFill patternType="solid">
        <fgColor theme="9" tint="0.79998168889431442"/>
        <bgColor indexed="65"/>
      </patternFill>
    </fill>
    <fill>
      <patternFill patternType="solid">
        <fgColor indexed="44"/>
      </patternFill>
    </fill>
    <fill>
      <patternFill patternType="solid">
        <fgColor indexed="18"/>
      </patternFill>
    </fill>
    <fill>
      <patternFill patternType="solid">
        <fgColor indexed="29"/>
      </patternFill>
    </fill>
    <fill>
      <patternFill patternType="solid">
        <fgColor theme="6" tint="0.59999389629810485"/>
        <bgColor indexed="65"/>
      </patternFill>
    </fill>
    <fill>
      <patternFill patternType="solid">
        <fgColor indexed="11"/>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indexed="51"/>
      </patternFill>
    </fill>
    <fill>
      <patternFill patternType="solid">
        <fgColor theme="4" tint="0.39997558519241921"/>
        <bgColor indexed="65"/>
      </patternFill>
    </fill>
    <fill>
      <patternFill patternType="solid">
        <fgColor indexed="30"/>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indexed="36"/>
      </patternFill>
    </fill>
    <fill>
      <patternFill patternType="solid">
        <fgColor theme="8" tint="0.39997558519241921"/>
        <bgColor indexed="65"/>
      </patternFill>
    </fill>
    <fill>
      <patternFill patternType="solid">
        <fgColor theme="9" tint="0.39997558519241921"/>
        <bgColor indexed="65"/>
      </patternFill>
    </fill>
    <fill>
      <patternFill patternType="solid">
        <fgColor indexed="52"/>
      </patternFill>
    </fill>
    <fill>
      <patternFill patternType="solid">
        <fgColor indexed="62"/>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3399"/>
        <bgColor indexed="64"/>
      </patternFill>
    </fill>
  </fills>
  <borders count="43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62"/>
      </bottom>
      <diagonal/>
    </border>
    <border>
      <left/>
      <right/>
      <top/>
      <bottom style="thick">
        <color indexed="38"/>
      </bottom>
      <diagonal/>
    </border>
    <border>
      <left/>
      <right/>
      <top/>
      <bottom style="medium">
        <color indexed="3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top/>
      <bottom/>
      <diagonal/>
    </border>
    <border>
      <left/>
      <right/>
      <top style="thin">
        <color indexed="49"/>
      </top>
      <bottom style="double">
        <color indexed="49"/>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medium">
        <color indexed="64"/>
      </left>
      <right/>
      <top/>
      <bottom/>
      <diagonal/>
    </border>
    <border>
      <left style="thin">
        <color indexed="64"/>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2"/>
      </left>
      <right/>
      <top style="thick">
        <color indexed="62"/>
      </top>
      <bottom/>
      <diagonal/>
    </border>
    <border>
      <left/>
      <right/>
      <top style="thick">
        <color indexed="62"/>
      </top>
      <bottom/>
      <diagonal/>
    </border>
    <border>
      <left/>
      <right style="thick">
        <color indexed="62"/>
      </right>
      <top style="thick">
        <color indexed="62"/>
      </top>
      <bottom/>
      <diagonal/>
    </border>
    <border>
      <left style="thick">
        <color indexed="62"/>
      </left>
      <right/>
      <top/>
      <bottom/>
      <diagonal/>
    </border>
    <border>
      <left/>
      <right style="thick">
        <color indexed="62"/>
      </right>
      <top/>
      <bottom/>
      <diagonal/>
    </border>
    <border>
      <left style="thick">
        <color indexed="62"/>
      </left>
      <right/>
      <top/>
      <bottom style="thick">
        <color indexed="62"/>
      </bottom>
      <diagonal/>
    </border>
    <border>
      <left/>
      <right style="thick">
        <color indexed="62"/>
      </right>
      <top/>
      <bottom style="thick">
        <color indexed="62"/>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diagonal/>
    </border>
    <border>
      <left/>
      <right/>
      <top/>
      <bottom style="medium">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indexed="64"/>
      </left>
      <right style="thin">
        <color theme="0" tint="-0.34998626667073579"/>
      </right>
      <top style="medium">
        <color indexed="64"/>
      </top>
      <bottom style="thin">
        <color theme="0" tint="-0.34998626667073579"/>
      </bottom>
      <diagonal/>
    </border>
    <border>
      <left style="medium">
        <color indexed="64"/>
      </left>
      <right style="medium">
        <color indexed="64"/>
      </right>
      <top style="medium">
        <color indexed="64"/>
      </top>
      <bottom style="medium">
        <color indexed="64"/>
      </bottom>
      <diagonal/>
    </border>
    <border>
      <left style="medium">
        <color indexed="64"/>
      </left>
      <right style="thin">
        <color theme="0" tint="-0.34998626667073579"/>
      </right>
      <top style="thin">
        <color theme="0" tint="-0.34998626667073579"/>
      </top>
      <bottom style="thin">
        <color theme="0" tint="-0.34998626667073579"/>
      </bottom>
      <diagonal/>
    </border>
    <border>
      <left style="thin">
        <color theme="0" tint="-0.34998626667073579"/>
      </left>
      <right/>
      <top/>
      <bottom/>
      <diagonal/>
    </border>
    <border>
      <left style="medium">
        <color indexed="64"/>
      </left>
      <right style="thin">
        <color theme="0" tint="-0.34998626667073579"/>
      </right>
      <top style="thin">
        <color theme="0" tint="-0.34998626667073579"/>
      </top>
      <bottom style="medium">
        <color auto="1"/>
      </bottom>
      <diagonal/>
    </border>
    <border>
      <left style="medium">
        <color indexed="64"/>
      </left>
      <right/>
      <top style="medium">
        <color indexed="64"/>
      </top>
      <bottom style="thin">
        <color theme="0" tint="-0.34998626667073579"/>
      </bottom>
      <diagonal/>
    </border>
    <border>
      <left style="medium">
        <color indexed="64"/>
      </left>
      <right/>
      <top style="thin">
        <color theme="0" tint="-0.34998626667073579"/>
      </top>
      <bottom style="thin">
        <color theme="0" tint="-0.34998626667073579"/>
      </bottom>
      <diagonal/>
    </border>
    <border>
      <left style="medium">
        <color indexed="64"/>
      </left>
      <right style="thin">
        <color theme="0" tint="-0.34998626667073579"/>
      </right>
      <top style="medium">
        <color indexed="64"/>
      </top>
      <bottom style="medium">
        <color auto="1"/>
      </bottom>
      <diagonal/>
    </border>
    <border>
      <left style="thin">
        <color theme="0" tint="-0.34998626667073579"/>
      </left>
      <right style="thin">
        <color theme="0" tint="-0.34998626667073579"/>
      </right>
      <top style="medium">
        <color indexed="64"/>
      </top>
      <bottom style="medium">
        <color indexed="64"/>
      </bottom>
      <diagonal/>
    </border>
    <border>
      <left style="thin">
        <color theme="0" tint="-0.34998626667073579"/>
      </left>
      <right style="medium">
        <color indexed="64"/>
      </right>
      <top style="medium">
        <color indexed="64"/>
      </top>
      <bottom style="medium">
        <color indexed="64"/>
      </bottom>
      <diagonal/>
    </border>
    <border>
      <left/>
      <right style="thin">
        <color theme="0" tint="-0.34998626667073579"/>
      </right>
      <top style="medium">
        <color indexed="64"/>
      </top>
      <bottom style="medium">
        <color indexed="64"/>
      </bottom>
      <diagonal/>
    </border>
    <border>
      <left style="medium">
        <color indexed="64"/>
      </left>
      <right style="thin">
        <color theme="0" tint="-0.34998626667073579"/>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indexed="64"/>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style="medium">
        <color indexed="64"/>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indexed="64"/>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medium">
        <color auto="1"/>
      </bottom>
      <diagonal/>
    </border>
    <border>
      <left style="thin">
        <color theme="0" tint="-0.34998626667073579"/>
      </left>
      <right style="thin">
        <color indexed="64"/>
      </right>
      <top style="thin">
        <color theme="0" tint="-0.34998626667073579"/>
      </top>
      <bottom style="medium">
        <color auto="1"/>
      </bottom>
      <diagonal/>
    </border>
    <border>
      <left/>
      <right style="thin">
        <color theme="0" tint="-0.34998626667073579"/>
      </right>
      <top style="thin">
        <color theme="0" tint="-0.34998626667073579"/>
      </top>
      <bottom style="medium">
        <color auto="1"/>
      </bottom>
      <diagonal/>
    </border>
    <border>
      <left style="thin">
        <color theme="0" tint="-0.34998626667073579"/>
      </left>
      <right style="medium">
        <color indexed="64"/>
      </right>
      <top style="thin">
        <color theme="0" tint="-0.34998626667073579"/>
      </top>
      <bottom style="medium">
        <color auto="1"/>
      </bottom>
      <diagonal/>
    </border>
    <border>
      <left style="medium">
        <color indexed="64"/>
      </left>
      <right/>
      <top style="thin">
        <color theme="0" tint="-0.34998626667073579"/>
      </top>
      <bottom style="medium">
        <color indexed="64"/>
      </bottom>
      <diagonal/>
    </border>
    <border>
      <left style="thin">
        <color theme="0" tint="-0.34998626667073579"/>
      </left>
      <right style="thin">
        <color indexed="64"/>
      </right>
      <top style="medium">
        <color indexed="64"/>
      </top>
      <bottom style="medium">
        <color indexed="64"/>
      </bottom>
      <diagonal/>
    </border>
    <border>
      <left style="medium">
        <color indexed="64"/>
      </left>
      <right/>
      <top/>
      <bottom style="thin">
        <color theme="0" tint="-0.34998626667073579"/>
      </bottom>
      <diagonal/>
    </border>
    <border>
      <left style="thin">
        <color theme="0" tint="-0.34998626667073579"/>
      </left>
      <right style="thin">
        <color indexed="64"/>
      </right>
      <top style="medium">
        <color indexed="64"/>
      </top>
      <bottom style="thin">
        <color theme="0" tint="-0.34998626667073579"/>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medium">
        <color indexed="64"/>
      </top>
      <bottom style="thin">
        <color theme="0" tint="-0.34998626667073579"/>
      </bottom>
      <diagonal/>
    </border>
    <border>
      <left/>
      <right style="medium">
        <color indexed="64"/>
      </right>
      <top style="medium">
        <color indexed="64"/>
      </top>
      <bottom style="thin">
        <color theme="0" tint="-0.34998626667073579"/>
      </bottom>
      <diagonal/>
    </border>
    <border>
      <left/>
      <right/>
      <top style="thin">
        <color theme="0" tint="-0.34998626667073579"/>
      </top>
      <bottom style="thin">
        <color theme="0" tint="-0.34998626667073579"/>
      </bottom>
      <diagonal/>
    </border>
    <border>
      <left/>
      <right style="medium">
        <color indexed="64"/>
      </right>
      <top style="thin">
        <color theme="0" tint="-0.34998626667073579"/>
      </top>
      <bottom style="thin">
        <color theme="0" tint="-0.34998626667073579"/>
      </bottom>
      <diagonal/>
    </border>
    <border>
      <left style="medium">
        <color indexed="64"/>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medium">
        <color indexed="64"/>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style="thin">
        <color theme="0" tint="-0.34998626667073579"/>
      </top>
      <bottom/>
      <diagonal/>
    </border>
    <border>
      <left style="thin">
        <color theme="0" tint="-0.34998626667073579"/>
      </left>
      <right style="thin">
        <color indexed="64"/>
      </right>
      <top style="thin">
        <color theme="0" tint="-0.34998626667073579"/>
      </top>
      <bottom/>
      <diagonal/>
    </border>
    <border>
      <left style="thin">
        <color theme="0" tint="-0.34998626667073579"/>
      </left>
      <right/>
      <top style="medium">
        <color indexed="64"/>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style="thin">
        <color theme="0" tint="-0.34998626667073579"/>
      </left>
      <right/>
      <top style="thin">
        <color theme="0" tint="-0.34998626667073579"/>
      </top>
      <bottom style="medium">
        <color auto="1"/>
      </bottom>
      <diagonal/>
    </border>
    <border>
      <left/>
      <right style="thin">
        <color theme="0" tint="-0.34998626667073579"/>
      </right>
      <top style="medium">
        <color indexed="64"/>
      </top>
      <bottom style="thin">
        <color theme="0" tint="-0.34998626667073579"/>
      </bottom>
      <diagonal/>
    </border>
    <border>
      <left style="thin">
        <color theme="0" tint="-0.34998626667073579"/>
      </left>
      <right style="medium">
        <color indexed="64"/>
      </right>
      <top style="medium">
        <color indexed="64"/>
      </top>
      <bottom style="thin">
        <color theme="0" tint="-0.34998626667073579"/>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theme="0" tint="-0.34998626667073579"/>
      </bottom>
      <diagonal/>
    </border>
    <border>
      <left style="medium">
        <color indexed="64"/>
      </left>
      <right style="medium">
        <color indexed="64"/>
      </right>
      <top style="thin">
        <color theme="0" tint="-0.34998626667073579"/>
      </top>
      <bottom style="thin">
        <color theme="0" tint="-0.34998626667073579"/>
      </bottom>
      <diagonal/>
    </border>
    <border>
      <left style="medium">
        <color indexed="64"/>
      </left>
      <right style="medium">
        <color indexed="64"/>
      </right>
      <top style="thin">
        <color theme="0" tint="-0.34998626667073579"/>
      </top>
      <bottom style="medium">
        <color indexed="64"/>
      </bottom>
      <diagonal/>
    </border>
    <border>
      <left style="thin">
        <color theme="0" tint="-0.34998626667073579"/>
      </left>
      <right style="thin">
        <color theme="0" tint="-0.34998626667073579"/>
      </right>
      <top style="medium">
        <color indexed="64"/>
      </top>
      <bottom/>
      <diagonal/>
    </border>
    <border>
      <left style="thin">
        <color theme="0" tint="-0.34998626667073579"/>
      </left>
      <right style="thin">
        <color theme="0" tint="-0.34998626667073579"/>
      </right>
      <top/>
      <bottom/>
      <diagonal/>
    </border>
    <border>
      <left/>
      <right/>
      <top/>
      <bottom style="thin">
        <color theme="0" tint="-0.34998626667073579"/>
      </bottom>
      <diagonal/>
    </border>
    <border>
      <left style="medium">
        <color indexed="64"/>
      </left>
      <right style="thin">
        <color indexed="64"/>
      </right>
      <top/>
      <bottom/>
      <diagonal/>
    </border>
    <border>
      <left style="medium">
        <color indexed="64"/>
      </left>
      <right/>
      <top style="thin">
        <color theme="0" tint="-0.34998626667073579"/>
      </top>
      <bottom style="thin">
        <color theme="0" tint="-0.24994659260841701"/>
      </bottom>
      <diagonal/>
    </border>
    <border>
      <left style="thin">
        <color theme="0" tint="-0.24994659260841701"/>
      </left>
      <right style="thin">
        <color theme="0" tint="-0.24994659260841701"/>
      </right>
      <top style="thin">
        <color theme="0" tint="-0.34998626667073579"/>
      </top>
      <bottom style="thin">
        <color theme="0" tint="-0.34998626667073579"/>
      </bottom>
      <diagonal/>
    </border>
    <border>
      <left style="medium">
        <color indexed="64"/>
      </left>
      <right style="thin">
        <color theme="0" tint="-0.24994659260841701"/>
      </right>
      <top style="thin">
        <color theme="0" tint="-0.34998626667073579"/>
      </top>
      <bottom style="thin">
        <color theme="0" tint="-0.34998626667073579"/>
      </bottom>
      <diagonal/>
    </border>
    <border>
      <left style="medium">
        <color indexed="64"/>
      </left>
      <right/>
      <top style="medium">
        <color indexed="64"/>
      </top>
      <bottom style="thin">
        <color theme="0" tint="-0.24994659260841701"/>
      </bottom>
      <diagonal/>
    </border>
    <border>
      <left style="thin">
        <color theme="0" tint="-0.24994659260841701"/>
      </left>
      <right style="medium">
        <color indexed="64"/>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medium">
        <color indexed="64"/>
      </bottom>
      <diagonal/>
    </border>
    <border>
      <left style="thin">
        <color theme="0" tint="-0.24994659260841701"/>
      </left>
      <right style="medium">
        <color indexed="64"/>
      </right>
      <top style="thin">
        <color theme="0" tint="-0.24994659260841701"/>
      </top>
      <bottom style="medium">
        <color indexed="64"/>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medium">
        <color indexed="64"/>
      </bottom>
      <diagonal/>
    </border>
    <border>
      <left style="thin">
        <color theme="0" tint="-0.34998626667073579"/>
      </left>
      <right style="medium">
        <color indexed="64"/>
      </right>
      <top/>
      <bottom/>
      <diagonal/>
    </border>
    <border>
      <left style="medium">
        <color indexed="64"/>
      </left>
      <right style="thin">
        <color theme="0" tint="-0.24994659260841701"/>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style="medium">
        <color indexed="64"/>
      </bottom>
      <diagonal/>
    </border>
    <border>
      <left/>
      <right/>
      <top style="thin">
        <color theme="0" tint="-0.24994659260841701"/>
      </top>
      <bottom style="thin">
        <color theme="0" tint="-0.24994659260841701"/>
      </bottom>
      <diagonal/>
    </border>
    <border>
      <left/>
      <right style="thin">
        <color indexed="64"/>
      </right>
      <top style="medium">
        <color indexed="64"/>
      </top>
      <bottom style="thin">
        <color theme="0" tint="-0.34998626667073579"/>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medium">
        <color indexed="64"/>
      </left>
      <right/>
      <top style="thin">
        <color theme="0" tint="-0.24994659260841701"/>
      </top>
      <bottom style="thin">
        <color theme="0" tint="-0.24994659260841701"/>
      </bottom>
      <diagonal/>
    </border>
    <border>
      <left/>
      <right/>
      <top style="thin">
        <color theme="0" tint="-0.34998626667073579"/>
      </top>
      <bottom style="medium">
        <color auto="1"/>
      </bottom>
      <diagonal/>
    </border>
    <border>
      <left style="thin">
        <color theme="0" tint="-0.24994659260841701"/>
      </left>
      <right style="thin">
        <color theme="0" tint="-0.24994659260841701"/>
      </right>
      <top/>
      <bottom style="thin">
        <color theme="0" tint="-0.24994659260841701"/>
      </bottom>
      <diagonal/>
    </border>
    <border>
      <left/>
      <right/>
      <top/>
      <bottom style="medium">
        <color auto="1"/>
      </bottom>
      <diagonal/>
    </border>
    <border>
      <left style="thin">
        <color theme="0" tint="-0.24994659260841701"/>
      </left>
      <right style="thin">
        <color theme="0" tint="-0.24994659260841701"/>
      </right>
      <top style="medium">
        <color indexed="64"/>
      </top>
      <bottom style="thin">
        <color theme="0" tint="-0.24994659260841701"/>
      </bottom>
      <diagonal/>
    </border>
    <border>
      <left style="medium">
        <color indexed="64"/>
      </left>
      <right style="medium">
        <color indexed="64"/>
      </right>
      <top/>
      <bottom style="thin">
        <color theme="0" tint="-0.34998626667073579"/>
      </bottom>
      <diagonal/>
    </border>
    <border>
      <left style="medium">
        <color indexed="64"/>
      </left>
      <right style="medium">
        <color indexed="64"/>
      </right>
      <top style="thin">
        <color theme="0" tint="-0.24994659260841701"/>
      </top>
      <bottom style="thin">
        <color theme="0" tint="-0.24994659260841701"/>
      </bottom>
      <diagonal/>
    </border>
    <border>
      <left style="thin">
        <color theme="0" tint="-0.24994659260841701"/>
      </left>
      <right style="medium">
        <color indexed="64"/>
      </right>
      <top/>
      <bottom style="thin">
        <color theme="0" tint="-0.24994659260841701"/>
      </bottom>
      <diagonal/>
    </border>
    <border>
      <left/>
      <right/>
      <top/>
      <bottom style="medium">
        <color indexed="64"/>
      </bottom>
      <diagonal/>
    </border>
    <border>
      <left style="medium">
        <color indexed="64"/>
      </left>
      <right style="thin">
        <color theme="0" tint="-0.24994659260841701"/>
      </right>
      <top/>
      <bottom style="thin">
        <color theme="0" tint="-0.24994659260841701"/>
      </bottom>
      <diagonal/>
    </border>
    <border>
      <left/>
      <right style="medium">
        <color indexed="64"/>
      </right>
      <top/>
      <bottom style="thin">
        <color theme="0" tint="-0.34998626667073579"/>
      </bottom>
      <diagonal/>
    </border>
    <border>
      <left style="medium">
        <color indexed="64"/>
      </left>
      <right/>
      <top style="medium">
        <color auto="1"/>
      </top>
      <bottom style="thin">
        <color indexed="64"/>
      </bottom>
      <diagonal/>
    </border>
    <border>
      <left style="medium">
        <color indexed="64"/>
      </left>
      <right style="medium">
        <color indexed="64"/>
      </right>
      <top style="thin">
        <color theme="0" tint="-0.34998626667073579"/>
      </top>
      <bottom/>
      <diagonal/>
    </border>
    <border>
      <left style="thin">
        <color theme="0" tint="-0.34998626667073579"/>
      </left>
      <right/>
      <top style="medium">
        <color indexed="64"/>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thin">
        <color theme="0" tint="-0.34998626667073579"/>
      </left>
      <right/>
      <top/>
      <bottom style="thin">
        <color theme="0" tint="-0.34998626667073579"/>
      </bottom>
      <diagonal/>
    </border>
    <border>
      <left/>
      <right/>
      <top style="thin">
        <color theme="0" tint="-0.34998626667073579"/>
      </top>
      <bottom/>
      <diagonal/>
    </border>
    <border>
      <left style="thin">
        <color indexed="64"/>
      </left>
      <right/>
      <top style="thin">
        <color theme="0" tint="-0.34998626667073579"/>
      </top>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right style="thin">
        <color indexed="64"/>
      </right>
      <top/>
      <bottom style="thin">
        <color theme="0" tint="-0.34998626667073579"/>
      </bottom>
      <diagonal/>
    </border>
    <border>
      <left/>
      <right style="thin">
        <color indexed="64"/>
      </right>
      <top style="thin">
        <color theme="0" tint="-0.34998626667073579"/>
      </top>
      <bottom style="thin">
        <color theme="0" tint="-0.34998626667073579"/>
      </bottom>
      <diagonal/>
    </border>
    <border>
      <left style="medium">
        <color indexed="64"/>
      </left>
      <right style="thin">
        <color indexed="64"/>
      </right>
      <top style="medium">
        <color indexed="64"/>
      </top>
      <bottom style="thin">
        <color theme="0" tint="-0.34998626667073579"/>
      </bottom>
      <diagonal/>
    </border>
    <border>
      <left style="medium">
        <color indexed="64"/>
      </left>
      <right style="thin">
        <color indexed="64"/>
      </right>
      <top style="thin">
        <color theme="0" tint="-0.34998626667073579"/>
      </top>
      <bottom style="thin">
        <color theme="0" tint="-0.34998626667073579"/>
      </bottom>
      <diagonal/>
    </border>
    <border>
      <left style="medium">
        <color indexed="64"/>
      </left>
      <right style="thin">
        <color theme="0" tint="-0.34998626667073579"/>
      </right>
      <top/>
      <bottom/>
      <diagonal/>
    </border>
    <border>
      <left style="medium">
        <color indexed="64"/>
      </left>
      <right style="thin">
        <color theme="0" tint="-0.34998626667073579"/>
      </right>
      <top style="medium">
        <color indexed="64"/>
      </top>
      <bottom/>
      <diagonal/>
    </border>
    <border>
      <left style="thin">
        <color theme="0" tint="-0.34998626667073579"/>
      </left>
      <right style="thin">
        <color theme="0" tint="-0.34998626667073579"/>
      </right>
      <top/>
      <bottom style="medium">
        <color indexed="64"/>
      </bottom>
      <diagonal/>
    </border>
    <border>
      <left/>
      <right style="thin">
        <color indexed="64"/>
      </right>
      <top style="thin">
        <color theme="0" tint="-0.34998626667073579"/>
      </top>
      <bottom style="medium">
        <color auto="1"/>
      </bottom>
      <diagonal/>
    </border>
    <border>
      <left style="medium">
        <color indexed="64"/>
      </left>
      <right style="thin">
        <color indexed="64"/>
      </right>
      <top style="thin">
        <color theme="0" tint="-0.34998626667073579"/>
      </top>
      <bottom style="medium">
        <color indexed="64"/>
      </bottom>
      <diagonal/>
    </border>
    <border>
      <left/>
      <right style="medium">
        <color indexed="64"/>
      </right>
      <top style="thin">
        <color theme="0" tint="-0.34998626667073579"/>
      </top>
      <bottom style="medium">
        <color indexed="64"/>
      </bottom>
      <diagonal/>
    </border>
    <border>
      <left style="thin">
        <color indexed="64"/>
      </left>
      <right style="thin">
        <color theme="0" tint="-0.34998626667073579"/>
      </right>
      <top style="thin">
        <color theme="0" tint="-0.34998626667073579"/>
      </top>
      <bottom style="medium">
        <color auto="1"/>
      </bottom>
      <diagonal/>
    </border>
    <border>
      <left/>
      <right style="thin">
        <color indexed="64"/>
      </right>
      <top style="medium">
        <color indexed="64"/>
      </top>
      <bottom style="medium">
        <color indexed="64"/>
      </bottom>
      <diagonal/>
    </border>
    <border>
      <left style="thin">
        <color theme="0" tint="-0.34998626667073579"/>
      </left>
      <right style="thin">
        <color theme="0" tint="-0.34998626667073579"/>
      </right>
      <top style="medium">
        <color indexed="64"/>
      </top>
      <bottom style="thin">
        <color indexed="64"/>
      </bottom>
      <diagonal/>
    </border>
    <border>
      <left style="thin">
        <color theme="0" tint="-0.34998626667073579"/>
      </left>
      <right style="thin">
        <color indexed="64"/>
      </right>
      <top style="medium">
        <color indexed="64"/>
      </top>
      <bottom style="thin">
        <color indexed="64"/>
      </bottom>
      <diagonal/>
    </border>
    <border>
      <left style="medium">
        <color indexed="64"/>
      </left>
      <right/>
      <top style="thin">
        <color indexed="64"/>
      </top>
      <bottom/>
      <diagonal/>
    </border>
    <border>
      <left style="medium">
        <color indexed="64"/>
      </left>
      <right style="thin">
        <color theme="0" tint="-0.34998626667073579"/>
      </right>
      <top/>
      <bottom style="medium">
        <color auto="1"/>
      </bottom>
      <diagonal/>
    </border>
    <border>
      <left style="thin">
        <color indexed="64"/>
      </left>
      <right style="thin">
        <color indexed="64"/>
      </right>
      <top style="medium">
        <color indexed="64"/>
      </top>
      <bottom style="medium">
        <color indexed="64"/>
      </bottom>
      <diagonal/>
    </border>
    <border>
      <left style="thin">
        <color indexed="64"/>
      </left>
      <right style="thin">
        <color theme="0" tint="-0.34998626667073579"/>
      </right>
      <top style="thin">
        <color theme="0" tint="-0.34998626667073579"/>
      </top>
      <bottom style="thin">
        <color theme="0" tint="-0.34998626667073579"/>
      </bottom>
      <diagonal/>
    </border>
    <border>
      <left/>
      <right/>
      <top style="medium">
        <color indexed="64"/>
      </top>
      <bottom style="thin">
        <color theme="0" tint="-0.24994659260841701"/>
      </bottom>
      <diagonal/>
    </border>
    <border>
      <left style="thin">
        <color indexed="64"/>
      </left>
      <right style="thin">
        <color theme="0" tint="-0.34998626667073579"/>
      </right>
      <top/>
      <bottom style="thin">
        <color theme="0" tint="-0.34998626667073579"/>
      </bottom>
      <diagonal/>
    </border>
    <border>
      <left style="medium">
        <color auto="1"/>
      </left>
      <right style="thin">
        <color theme="0" tint="-0.24994659260841701"/>
      </right>
      <top style="medium">
        <color auto="1"/>
      </top>
      <bottom style="thin">
        <color indexed="64"/>
      </bottom>
      <diagonal/>
    </border>
    <border>
      <left style="thin">
        <color theme="0" tint="-0.24994659260841701"/>
      </left>
      <right style="thin">
        <color indexed="64"/>
      </right>
      <top style="medium">
        <color auto="1"/>
      </top>
      <bottom style="thin">
        <color indexed="64"/>
      </bottom>
      <diagonal/>
    </border>
    <border>
      <left/>
      <right style="thin">
        <color theme="0" tint="-0.34998626667073579"/>
      </right>
      <top style="medium">
        <color auto="1"/>
      </top>
      <bottom style="thin">
        <color indexed="64"/>
      </bottom>
      <diagonal/>
    </border>
    <border>
      <left style="thin">
        <color theme="0" tint="-0.34998626667073579"/>
      </left>
      <right style="medium">
        <color indexed="64"/>
      </right>
      <top style="medium">
        <color auto="1"/>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theme="0" tint="-0.24994659260841701"/>
      </right>
      <top style="medium">
        <color indexed="64"/>
      </top>
      <bottom style="thin">
        <color theme="0" tint="-0.24994659260841701"/>
      </bottom>
      <diagonal/>
    </border>
    <border>
      <left style="thin">
        <color theme="0" tint="-0.24994659260841701"/>
      </left>
      <right style="medium">
        <color indexed="64"/>
      </right>
      <top style="medium">
        <color indexed="64"/>
      </top>
      <bottom style="thin">
        <color theme="0" tint="-0.24994659260841701"/>
      </bottom>
      <diagonal/>
    </border>
    <border>
      <left style="thin">
        <color theme="0" tint="-0.24994659260841701"/>
      </left>
      <right style="medium">
        <color indexed="64"/>
      </right>
      <top style="thin">
        <color theme="0" tint="-0.34998626667073579"/>
      </top>
      <bottom style="thin">
        <color theme="0" tint="-0.34998626667073579"/>
      </bottom>
      <diagonal/>
    </border>
    <border>
      <left/>
      <right style="medium">
        <color indexed="64"/>
      </right>
      <top style="thin">
        <color theme="0" tint="-0.34998626667073579"/>
      </top>
      <bottom/>
      <diagonal/>
    </border>
    <border>
      <left style="thin">
        <color theme="0" tint="-0.24994659260841701"/>
      </left>
      <right/>
      <top style="thin">
        <color theme="0" tint="-0.34998626667073579"/>
      </top>
      <bottom style="medium">
        <color auto="1"/>
      </bottom>
      <diagonal/>
    </border>
    <border>
      <left style="medium">
        <color indexed="64"/>
      </left>
      <right/>
      <top/>
      <bottom style="thin">
        <color theme="0" tint="-0.24994659260841701"/>
      </bottom>
      <diagonal/>
    </border>
    <border>
      <left/>
      <right style="medium">
        <color indexed="64"/>
      </right>
      <top/>
      <bottom style="thin">
        <color theme="0" tint="-0.24994659260841701"/>
      </bottom>
      <diagonal/>
    </border>
    <border>
      <left style="medium">
        <color indexed="64"/>
      </left>
      <right style="thin">
        <color theme="0" tint="-0.34998626667073579"/>
      </right>
      <top style="thin">
        <color theme="0" tint="-0.24994659260841701"/>
      </top>
      <bottom style="thin">
        <color theme="0" tint="-0.24994659260841701"/>
      </bottom>
      <diagonal/>
    </border>
    <border>
      <left style="medium">
        <color indexed="64"/>
      </left>
      <right style="thin">
        <color theme="0" tint="-0.34998626667073579"/>
      </right>
      <top style="thin">
        <color theme="0" tint="-0.24994659260841701"/>
      </top>
      <bottom style="medium">
        <color indexed="64"/>
      </bottom>
      <diagonal/>
    </border>
    <border>
      <left/>
      <right/>
      <top style="thin">
        <color theme="0" tint="-0.24994659260841701"/>
      </top>
      <bottom style="medium">
        <color indexed="64"/>
      </bottom>
      <diagonal/>
    </border>
    <border>
      <left/>
      <right style="medium">
        <color indexed="64"/>
      </right>
      <top style="thin">
        <color theme="0" tint="-0.24994659260841701"/>
      </top>
      <bottom style="thin">
        <color theme="0" tint="-0.24994659260841701"/>
      </bottom>
      <diagonal/>
    </border>
    <border>
      <left/>
      <right style="medium">
        <color indexed="64"/>
      </right>
      <top style="thin">
        <color theme="0" tint="-0.24994659260841701"/>
      </top>
      <bottom style="medium">
        <color indexed="64"/>
      </bottom>
      <diagonal/>
    </border>
    <border>
      <left/>
      <right style="thin">
        <color theme="0" tint="-0.24994659260841701"/>
      </right>
      <top/>
      <bottom/>
      <diagonal/>
    </border>
    <border>
      <left style="thin">
        <color theme="0" tint="-0.34998626667073579"/>
      </left>
      <right style="medium">
        <color indexed="64"/>
      </right>
      <top/>
      <bottom style="medium">
        <color indexed="64"/>
      </bottom>
      <diagonal/>
    </border>
    <border>
      <left style="thin">
        <color auto="1"/>
      </left>
      <right style="medium">
        <color auto="1"/>
      </right>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auto="1"/>
      </bottom>
      <diagonal/>
    </border>
    <border>
      <left style="thin">
        <color indexed="64"/>
      </left>
      <right style="medium">
        <color indexed="64"/>
      </right>
      <top style="thin">
        <color indexed="64"/>
      </top>
      <bottom style="medium">
        <color auto="1"/>
      </bottom>
      <diagonal/>
    </border>
    <border>
      <left style="medium">
        <color indexed="64"/>
      </left>
      <right/>
      <top style="thin">
        <color theme="0" tint="-0.24994659260841701"/>
      </top>
      <bottom style="medium">
        <color auto="1"/>
      </bottom>
      <diagonal/>
    </border>
    <border>
      <left/>
      <right style="thin">
        <color theme="0" tint="-0.34998626667073579"/>
      </right>
      <top style="medium">
        <color indexed="64"/>
      </top>
      <bottom/>
      <diagonal/>
    </border>
    <border>
      <left style="thin">
        <color theme="0" tint="-0.34998626667073579"/>
      </left>
      <right style="medium">
        <color indexed="64"/>
      </right>
      <top style="medium">
        <color indexed="64"/>
      </top>
      <bottom/>
      <diagonal/>
    </border>
    <border>
      <left style="thin">
        <color indexed="64"/>
      </left>
      <right style="medium">
        <color indexed="64"/>
      </right>
      <top style="medium">
        <color indexed="64"/>
      </top>
      <bottom/>
      <diagonal/>
    </border>
    <border>
      <left style="thin">
        <color auto="1"/>
      </left>
      <right style="medium">
        <color indexed="64"/>
      </right>
      <top/>
      <bottom/>
      <diagonal/>
    </border>
    <border>
      <left style="medium">
        <color indexed="64"/>
      </left>
      <right style="thin">
        <color indexed="64"/>
      </right>
      <top style="thin">
        <color indexed="64"/>
      </top>
      <bottom style="medium">
        <color auto="1"/>
      </bottom>
      <diagonal/>
    </border>
    <border>
      <left style="thin">
        <color indexed="64"/>
      </left>
      <right style="thin">
        <color indexed="64"/>
      </right>
      <top style="medium">
        <color auto="1"/>
      </top>
      <bottom style="thin">
        <color theme="0" tint="-0.34998626667073579"/>
      </bottom>
      <diagonal/>
    </border>
    <border>
      <left style="thin">
        <color indexed="64"/>
      </left>
      <right style="medium">
        <color indexed="64"/>
      </right>
      <top style="medium">
        <color auto="1"/>
      </top>
      <bottom style="thin">
        <color theme="0" tint="-0.34998626667073579"/>
      </bottom>
      <diagonal/>
    </border>
    <border>
      <left style="thin">
        <color auto="1"/>
      </left>
      <right style="thin">
        <color auto="1"/>
      </right>
      <top style="thin">
        <color theme="0" tint="-0.34998626667073579"/>
      </top>
      <bottom style="thin">
        <color theme="0" tint="-0.34998626667073579"/>
      </bottom>
      <diagonal/>
    </border>
    <border>
      <left style="thin">
        <color indexed="64"/>
      </left>
      <right style="medium">
        <color indexed="64"/>
      </right>
      <top style="thin">
        <color theme="0" tint="-0.34998626667073579"/>
      </top>
      <bottom style="thin">
        <color theme="0" tint="-0.34998626667073579"/>
      </bottom>
      <diagonal/>
    </border>
    <border>
      <left style="thin">
        <color indexed="64"/>
      </left>
      <right style="thin">
        <color indexed="64"/>
      </right>
      <top style="thin">
        <color theme="0" tint="-0.34998626667073579"/>
      </top>
      <bottom style="medium">
        <color indexed="64"/>
      </bottom>
      <diagonal/>
    </border>
    <border>
      <left style="thin">
        <color indexed="64"/>
      </left>
      <right style="medium">
        <color auto="1"/>
      </right>
      <top style="thin">
        <color theme="0" tint="-0.34998626667073579"/>
      </top>
      <bottom style="medium">
        <color indexed="64"/>
      </bottom>
      <diagonal/>
    </border>
    <border>
      <left style="medium">
        <color auto="1"/>
      </left>
      <right style="thin">
        <color auto="1"/>
      </right>
      <top style="medium">
        <color auto="1"/>
      </top>
      <bottom style="thin">
        <color theme="0" tint="-0.24994659260841701"/>
      </bottom>
      <diagonal/>
    </border>
    <border>
      <left style="thin">
        <color indexed="64"/>
      </left>
      <right style="thin">
        <color indexed="64"/>
      </right>
      <top style="medium">
        <color auto="1"/>
      </top>
      <bottom style="thin">
        <color theme="0" tint="-0.24994659260841701"/>
      </bottom>
      <diagonal/>
    </border>
    <border>
      <left style="thin">
        <color theme="0" tint="-0.34998626667073579"/>
      </left>
      <right style="thin">
        <color theme="0" tint="-0.34998626667073579"/>
      </right>
      <top style="thin">
        <color theme="0" tint="-0.24994659260841701"/>
      </top>
      <bottom style="medium">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bottom style="medium">
        <color indexed="38"/>
      </bottom>
      <diagonal/>
    </border>
    <border>
      <left/>
      <right/>
      <top/>
      <bottom style="medium">
        <color indexed="64"/>
      </bottom>
      <diagonal/>
    </border>
    <border>
      <left/>
      <right style="medium">
        <color indexed="64"/>
      </right>
      <top/>
      <bottom style="medium">
        <color indexed="64"/>
      </bottom>
      <diagonal/>
    </border>
    <border>
      <left style="thin">
        <color theme="0" tint="-0.34998626667073579"/>
      </left>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auto="1"/>
      </left>
      <right style="thin">
        <color theme="0" tint="-0.34998626667073579"/>
      </right>
      <top style="medium">
        <color indexed="64"/>
      </top>
      <bottom style="thin">
        <color theme="0" tint="-0.34998626667073579"/>
      </bottom>
      <diagonal/>
    </border>
    <border>
      <left style="medium">
        <color auto="1"/>
      </left>
      <right style="thin">
        <color theme="0" tint="-0.34998626667073579"/>
      </right>
      <top style="thin">
        <color theme="0" tint="-0.34998626667073579"/>
      </top>
      <bottom style="medium">
        <color auto="1"/>
      </bottom>
      <diagonal/>
    </border>
    <border>
      <left style="thin">
        <color theme="0" tint="-0.34998626667073579"/>
      </left>
      <right style="thin">
        <color theme="0" tint="-0.34998626667073579"/>
      </right>
      <top style="thin">
        <color indexed="64"/>
      </top>
      <bottom style="medium">
        <color auto="1"/>
      </bottom>
      <diagonal/>
    </border>
    <border>
      <left style="thin">
        <color theme="0" tint="-0.34998626667073579"/>
      </left>
      <right style="medium">
        <color indexed="64"/>
      </right>
      <top style="thin">
        <color indexed="64"/>
      </top>
      <bottom style="medium">
        <color auto="1"/>
      </bottom>
      <diagonal/>
    </border>
    <border>
      <left style="medium">
        <color indexed="64"/>
      </left>
      <right style="thin">
        <color theme="0" tint="-0.34998626667073579"/>
      </right>
      <top style="thin">
        <color indexed="64"/>
      </top>
      <bottom style="medium">
        <color auto="1"/>
      </bottom>
      <diagonal/>
    </border>
    <border>
      <left style="medium">
        <color indexed="64"/>
      </left>
      <right style="thin">
        <color indexed="64"/>
      </right>
      <top style="thin">
        <color theme="0" tint="-0.34998626667073579"/>
      </top>
      <bottom/>
      <diagonal/>
    </border>
    <border>
      <left style="medium">
        <color indexed="64"/>
      </left>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style="medium">
        <color indexed="64"/>
      </left>
      <right style="thin">
        <color indexed="64"/>
      </right>
      <top/>
      <bottom style="thin">
        <color theme="0" tint="-0.34998626667073579"/>
      </bottom>
      <diagonal/>
    </border>
    <border>
      <left style="medium">
        <color indexed="64"/>
      </left>
      <right style="medium">
        <color indexed="64"/>
      </right>
      <top style="thin">
        <color theme="0" tint="-0.34998626667073579"/>
      </top>
      <bottom style="thin">
        <color indexed="64"/>
      </bottom>
      <diagonal/>
    </border>
    <border>
      <left style="medium">
        <color indexed="64"/>
      </left>
      <right style="thin">
        <color theme="0" tint="-0.34998626667073579"/>
      </right>
      <top style="thin">
        <color theme="0" tint="-0.34998626667073579"/>
      </top>
      <bottom style="thin">
        <color indexed="64"/>
      </bottom>
      <diagonal/>
    </border>
    <border>
      <left style="thin">
        <color theme="0" tint="-0.34998626667073579"/>
      </left>
      <right style="thin">
        <color theme="0" tint="-0.34998626667073579"/>
      </right>
      <top style="thin">
        <color theme="0" tint="-0.34998626667073579"/>
      </top>
      <bottom style="thin">
        <color indexed="64"/>
      </bottom>
      <diagonal/>
    </border>
    <border>
      <left style="thin">
        <color theme="0" tint="-0.34998626667073579"/>
      </left>
      <right style="medium">
        <color indexed="64"/>
      </right>
      <top style="thin">
        <color theme="0" tint="-0.34998626667073579"/>
      </top>
      <bottom style="thin">
        <color indexed="64"/>
      </bottom>
      <diagonal/>
    </border>
    <border>
      <left style="thin">
        <color theme="0" tint="-0.34998626667073579"/>
      </left>
      <right/>
      <top style="thin">
        <color indexed="64"/>
      </top>
      <bottom style="medium">
        <color indexed="64"/>
      </bottom>
      <diagonal/>
    </border>
    <border>
      <left/>
      <right style="thin">
        <color theme="0" tint="-0.34998626667073579"/>
      </right>
      <top style="thin">
        <color indexed="64"/>
      </top>
      <bottom style="medium">
        <color indexed="64"/>
      </bottom>
      <diagonal/>
    </border>
    <border>
      <left style="medium">
        <color indexed="64"/>
      </left>
      <right style="medium">
        <color indexed="64"/>
      </right>
      <top style="thin">
        <color indexed="64"/>
      </top>
      <bottom style="thin">
        <color theme="0" tint="-0.34998626667073579"/>
      </bottom>
      <diagonal/>
    </border>
    <border>
      <left style="medium">
        <color indexed="64"/>
      </left>
      <right style="medium">
        <color indexed="64"/>
      </right>
      <top style="thin">
        <color theme="0" tint="-0.24994659260841701"/>
      </top>
      <bottom style="thin">
        <color indexed="64"/>
      </bottom>
      <diagonal/>
    </border>
    <border>
      <left style="medium">
        <color indexed="64"/>
      </left>
      <right style="medium">
        <color indexed="64"/>
      </right>
      <top style="thin">
        <color indexed="64"/>
      </top>
      <bottom style="thin">
        <color theme="0" tint="-0.24994659260841701"/>
      </bottom>
      <diagonal/>
    </border>
    <border>
      <left style="medium">
        <color indexed="64"/>
      </left>
      <right style="medium">
        <color indexed="64"/>
      </right>
      <top/>
      <bottom style="thin">
        <color theme="0" tint="-0.24994659260841701"/>
      </bottom>
      <diagonal/>
    </border>
    <border>
      <left style="thin">
        <color theme="0" tint="-0.34998626667073579"/>
      </left>
      <right style="thin">
        <color indexed="64"/>
      </right>
      <top style="thin">
        <color theme="0" tint="-0.34998626667073579"/>
      </top>
      <bottom style="thin">
        <color indexed="64"/>
      </bottom>
      <diagonal/>
    </border>
    <border>
      <left style="medium">
        <color indexed="64"/>
      </left>
      <right/>
      <top style="medium">
        <color auto="1"/>
      </top>
      <bottom style="thin">
        <color theme="1"/>
      </bottom>
      <diagonal/>
    </border>
    <border>
      <left/>
      <right/>
      <top style="medium">
        <color auto="1"/>
      </top>
      <bottom style="thin">
        <color theme="1"/>
      </bottom>
      <diagonal/>
    </border>
    <border>
      <left/>
      <right style="medium">
        <color indexed="64"/>
      </right>
      <top style="medium">
        <color auto="1"/>
      </top>
      <bottom style="thin">
        <color theme="1"/>
      </bottom>
      <diagonal/>
    </border>
    <border>
      <left style="thin">
        <color indexed="64"/>
      </left>
      <right style="thin">
        <color theme="0" tint="-0.34998626667073579"/>
      </right>
      <top style="thin">
        <color theme="0" tint="-0.34998626667073579"/>
      </top>
      <bottom style="thin">
        <color indexed="64"/>
      </bottom>
      <diagonal/>
    </border>
    <border>
      <left/>
      <right style="thin">
        <color theme="0" tint="-0.34998626667073579"/>
      </right>
      <top style="thin">
        <color theme="0" tint="-0.34998626667073579"/>
      </top>
      <bottom style="thin">
        <color indexed="64"/>
      </bottom>
      <diagonal/>
    </border>
    <border>
      <left style="medium">
        <color indexed="64"/>
      </left>
      <right/>
      <top style="thin">
        <color theme="0" tint="-0.34998626667073579"/>
      </top>
      <bottom style="thin">
        <color indexed="64"/>
      </bottom>
      <diagonal/>
    </border>
    <border>
      <left style="thin">
        <color theme="0" tint="-0.34998626667073579"/>
      </left>
      <right/>
      <top style="thin">
        <color theme="0" tint="-0.34998626667073579"/>
      </top>
      <bottom style="thin">
        <color indexed="64"/>
      </bottom>
      <diagonal/>
    </border>
    <border>
      <left style="medium">
        <color indexed="64"/>
      </left>
      <right style="thin">
        <color theme="0" tint="-0.34998626667073579"/>
      </right>
      <top/>
      <bottom style="thin">
        <color indexed="64"/>
      </bottom>
      <diagonal/>
    </border>
    <border>
      <left style="medium">
        <color indexed="64"/>
      </left>
      <right style="thin">
        <color theme="0" tint="-0.34998626667073579"/>
      </right>
      <top style="thin">
        <color indexed="64"/>
      </top>
      <bottom/>
      <diagonal/>
    </border>
    <border>
      <left style="thin">
        <color theme="0" tint="-0.34998626667073579"/>
      </left>
      <right/>
      <top style="thin">
        <color indexed="64"/>
      </top>
      <bottom style="thin">
        <color theme="0" tint="-0.34998626667073579"/>
      </bottom>
      <diagonal/>
    </border>
    <border>
      <left style="medium">
        <color indexed="64"/>
      </left>
      <right style="thin">
        <color theme="0" tint="-0.34998626667073579"/>
      </right>
      <top style="thin">
        <color indexed="64"/>
      </top>
      <bottom style="thin">
        <color theme="0" tint="-0.34998626667073579"/>
      </bottom>
      <diagonal/>
    </border>
    <border>
      <left style="thin">
        <color theme="0" tint="-0.34998626667073579"/>
      </left>
      <right style="medium">
        <color indexed="64"/>
      </right>
      <top style="thin">
        <color indexed="64"/>
      </top>
      <bottom style="thin">
        <color theme="0" tint="-0.34998626667073579"/>
      </bottom>
      <diagonal/>
    </border>
    <border>
      <left style="thin">
        <color theme="0" tint="-0.34998626667073579"/>
      </left>
      <right style="thin">
        <color theme="0" tint="-0.34998626667073579"/>
      </right>
      <top style="thin">
        <color indexed="64"/>
      </top>
      <bottom style="thin">
        <color theme="0" tint="-0.34998626667073579"/>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style="thin">
        <color theme="0" tint="-0.34998626667073579"/>
      </bottom>
      <diagonal/>
    </border>
    <border>
      <left/>
      <right style="medium">
        <color indexed="64"/>
      </right>
      <top style="thin">
        <color indexed="64"/>
      </top>
      <bottom style="thin">
        <color theme="0" tint="-0.34998626667073579"/>
      </bottom>
      <diagonal/>
    </border>
    <border>
      <left/>
      <right style="thin">
        <color theme="0" tint="-0.34998626667073579"/>
      </right>
      <top style="thin">
        <color indexed="64"/>
      </top>
      <bottom style="thin">
        <color theme="0" tint="-0.34998626667073579"/>
      </bottom>
      <diagonal/>
    </border>
    <border>
      <left style="medium">
        <color indexed="64"/>
      </left>
      <right/>
      <top/>
      <bottom style="medium">
        <color indexed="64"/>
      </bottom>
      <diagonal/>
    </border>
    <border>
      <left/>
      <right/>
      <top style="thin">
        <color indexed="64"/>
      </top>
      <bottom style="thin">
        <color theme="0" tint="-0.34998626667073579"/>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theme="0" tint="-0.34998626667073579"/>
      </right>
      <top/>
      <bottom style="medium">
        <color auto="1"/>
      </bottom>
      <diagonal/>
    </border>
    <border>
      <left style="thin">
        <color theme="0" tint="-0.34998626667073579"/>
      </left>
      <right style="thin">
        <color theme="0" tint="-0.34998626667073579"/>
      </right>
      <top/>
      <bottom style="medium">
        <color auto="1"/>
      </bottom>
      <diagonal/>
    </border>
    <border>
      <left style="thin">
        <color theme="0" tint="-0.34998626667073579"/>
      </left>
      <right style="medium">
        <color indexed="64"/>
      </right>
      <top/>
      <bottom style="medium">
        <color auto="1"/>
      </bottom>
      <diagonal/>
    </border>
    <border>
      <left style="medium">
        <color indexed="64"/>
      </left>
      <right style="medium">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auto="1"/>
      </left>
      <right/>
      <top/>
      <bottom style="medium">
        <color auto="1"/>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thin">
        <color theme="0" tint="-0.24994659260841701"/>
      </bottom>
      <diagonal/>
    </border>
    <border>
      <left style="thin">
        <color theme="0" tint="-0.34998626667073579"/>
      </left>
      <right style="medium">
        <color indexed="64"/>
      </right>
      <top style="thin">
        <color theme="0" tint="-0.24994659260841701"/>
      </top>
      <bottom style="medium">
        <color indexed="64"/>
      </bottom>
      <diagonal/>
    </border>
    <border>
      <left style="medium">
        <color indexed="64"/>
      </left>
      <right style="thin">
        <color theme="0" tint="-0.24994659260841701"/>
      </right>
      <top/>
      <bottom style="medium">
        <color indexed="64"/>
      </bottom>
      <diagonal/>
    </border>
    <border>
      <left style="thin">
        <color theme="0" tint="-0.24994659260841701"/>
      </left>
      <right style="thin">
        <color indexed="64"/>
      </right>
      <top/>
      <bottom style="medium">
        <color indexed="64"/>
      </bottom>
      <diagonal/>
    </border>
    <border>
      <left style="thin">
        <color theme="0" tint="-0.24994659260841701"/>
      </left>
      <right style="thin">
        <color theme="0" tint="-0.24994659260841701"/>
      </right>
      <top/>
      <bottom/>
      <diagonal/>
    </border>
    <border>
      <left style="thin">
        <color theme="0" tint="-0.24994659260841701"/>
      </left>
      <right style="medium">
        <color indexed="64"/>
      </right>
      <top/>
      <bottom/>
      <diagonal/>
    </border>
    <border>
      <left style="thin">
        <color theme="0" tint="-0.24994659260841701"/>
      </left>
      <right/>
      <top style="medium">
        <color indexed="64"/>
      </top>
      <bottom style="thin">
        <color theme="0" tint="-0.24994659260841701"/>
      </bottom>
      <diagonal/>
    </border>
    <border>
      <left style="thin">
        <color theme="0" tint="-0.24994659260841701"/>
      </left>
      <right/>
      <top/>
      <bottom style="thin">
        <color theme="0" tint="-0.24994659260841701"/>
      </bottom>
      <diagonal/>
    </border>
    <border>
      <left style="thin">
        <color theme="0" tint="-0.24994659260841701"/>
      </left>
      <right style="thin">
        <color indexed="64"/>
      </right>
      <top style="medium">
        <color auto="1"/>
      </top>
      <bottom style="thin">
        <color theme="0" tint="-0.24994659260841701"/>
      </bottom>
      <diagonal/>
    </border>
    <border>
      <left/>
      <right style="medium">
        <color indexed="64"/>
      </right>
      <top style="medium">
        <color auto="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top style="thin">
        <color theme="0" tint="-0.24994659260841701"/>
      </top>
      <bottom/>
      <diagonal/>
    </border>
    <border>
      <left style="thin">
        <color theme="0" tint="-0.24994659260841701"/>
      </left>
      <right style="thin">
        <color indexed="64"/>
      </right>
      <top style="thin">
        <color theme="0" tint="-0.24994659260841701"/>
      </top>
      <bottom/>
      <diagonal/>
    </border>
    <border>
      <left style="thin">
        <color theme="0" tint="-0.24994659260841701"/>
      </left>
      <right style="thin">
        <color indexed="64"/>
      </right>
      <top style="thin">
        <color theme="0" tint="-0.24994659260841701"/>
      </top>
      <bottom style="medium">
        <color auto="1"/>
      </bottom>
      <diagonal/>
    </border>
    <border>
      <left style="medium">
        <color rgb="FFFF0000"/>
      </left>
      <right/>
      <top style="medium">
        <color rgb="FFFF0000"/>
      </top>
      <bottom style="medium">
        <color auto="1"/>
      </bottom>
      <diagonal/>
    </border>
    <border>
      <left/>
      <right/>
      <top style="medium">
        <color rgb="FFFF0000"/>
      </top>
      <bottom style="medium">
        <color auto="1"/>
      </bottom>
      <diagonal/>
    </border>
    <border>
      <left/>
      <right style="medium">
        <color rgb="FFFF0000"/>
      </right>
      <top style="medium">
        <color rgb="FFFF0000"/>
      </top>
      <bottom style="medium">
        <color auto="1"/>
      </bottom>
      <diagonal/>
    </border>
    <border>
      <left style="medium">
        <color indexed="64"/>
      </left>
      <right style="thin">
        <color rgb="FFBFBFBF"/>
      </right>
      <top style="medium">
        <color indexed="64"/>
      </top>
      <bottom style="medium">
        <color auto="1"/>
      </bottom>
      <diagonal/>
    </border>
    <border>
      <left style="thin">
        <color rgb="FFBFBFBF"/>
      </left>
      <right style="thin">
        <color rgb="FFBFBFBF"/>
      </right>
      <top style="medium">
        <color indexed="64"/>
      </top>
      <bottom style="medium">
        <color auto="1"/>
      </bottom>
      <diagonal/>
    </border>
    <border>
      <left style="thin">
        <color rgb="FFBFBFBF"/>
      </left>
      <right/>
      <top style="medium">
        <color indexed="64"/>
      </top>
      <bottom style="medium">
        <color auto="1"/>
      </bottom>
      <diagonal/>
    </border>
    <border>
      <left style="medium">
        <color rgb="FFFF0000"/>
      </left>
      <right style="thin">
        <color indexed="64"/>
      </right>
      <top style="medium">
        <color indexed="64"/>
      </top>
      <bottom style="medium">
        <color auto="1"/>
      </bottom>
      <diagonal/>
    </border>
    <border>
      <left style="thin">
        <color rgb="FFBFBFBF"/>
      </left>
      <right style="thin">
        <color indexed="64"/>
      </right>
      <top style="medium">
        <color indexed="64"/>
      </top>
      <bottom style="medium">
        <color auto="1"/>
      </bottom>
      <diagonal/>
    </border>
    <border>
      <left style="thin">
        <color rgb="FFBFBFBF"/>
      </left>
      <right style="medium">
        <color rgb="FFFF0000"/>
      </right>
      <top style="medium">
        <color indexed="64"/>
      </top>
      <bottom style="medium">
        <color indexed="64"/>
      </bottom>
      <diagonal/>
    </border>
    <border>
      <left style="medium">
        <color auto="1"/>
      </left>
      <right style="medium">
        <color indexed="64"/>
      </right>
      <top style="medium">
        <color auto="1"/>
      </top>
      <bottom style="thin">
        <color theme="0" tint="-0.24994659260841701"/>
      </bottom>
      <diagonal/>
    </border>
    <border>
      <left style="medium">
        <color indexed="64"/>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top/>
      <bottom style="thin">
        <color rgb="FFBFBFBF"/>
      </bottom>
      <diagonal/>
    </border>
    <border>
      <left style="medium">
        <color rgb="FFFF0000"/>
      </left>
      <right/>
      <top/>
      <bottom/>
      <diagonal/>
    </border>
    <border>
      <left style="thin">
        <color theme="0" tint="-0.24994659260841701"/>
      </left>
      <right style="medium">
        <color rgb="FFFF0000"/>
      </right>
      <top/>
      <bottom style="thin">
        <color theme="0" tint="-0.24994659260841701"/>
      </bottom>
      <diagonal/>
    </border>
    <border>
      <left style="medium">
        <color indexed="64"/>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
      <left style="thin">
        <color theme="0" tint="-0.24994659260841701"/>
      </left>
      <right style="medium">
        <color rgb="FFFF0000"/>
      </right>
      <top style="thin">
        <color theme="0" tint="-0.24994659260841701"/>
      </top>
      <bottom style="thin">
        <color theme="0" tint="-0.24994659260841701"/>
      </bottom>
      <diagonal/>
    </border>
    <border>
      <left style="medium">
        <color indexed="64"/>
      </left>
      <right/>
      <top/>
      <bottom style="thin">
        <color indexed="64"/>
      </bottom>
      <diagonal/>
    </border>
    <border>
      <left style="medium">
        <color indexed="64"/>
      </left>
      <right style="medium">
        <color indexed="64"/>
      </right>
      <top style="thin">
        <color theme="0" tint="-0.24994659260841701"/>
      </top>
      <bottom/>
      <diagonal/>
    </border>
    <border>
      <left style="medium">
        <color rgb="FFFF0000"/>
      </left>
      <right style="thin">
        <color theme="0" tint="-0.24994659260841701"/>
      </right>
      <top style="thin">
        <color theme="0" tint="-0.24994659260841701"/>
      </top>
      <bottom style="thin">
        <color theme="0" tint="-0.24994659260841701"/>
      </bottom>
      <diagonal/>
    </border>
    <border>
      <left style="medium">
        <color auto="1"/>
      </left>
      <right style="medium">
        <color auto="1"/>
      </right>
      <top style="thin">
        <color theme="0" tint="-0.24994659260841701"/>
      </top>
      <bottom style="medium">
        <color auto="1"/>
      </bottom>
      <diagonal/>
    </border>
    <border>
      <left style="medium">
        <color indexed="64"/>
      </left>
      <right style="medium">
        <color indexed="64"/>
      </right>
      <top style="thin">
        <color indexed="64"/>
      </top>
      <bottom style="thin">
        <color indexed="64"/>
      </bottom>
      <diagonal/>
    </border>
    <border>
      <left style="medium">
        <color indexed="64"/>
      </left>
      <right style="thin">
        <color rgb="FFBFBFBF"/>
      </right>
      <top style="thin">
        <color rgb="FFBFBFBF"/>
      </top>
      <bottom style="medium">
        <color auto="1"/>
      </bottom>
      <diagonal/>
    </border>
    <border>
      <left style="thin">
        <color rgb="FFBFBFBF"/>
      </left>
      <right style="thin">
        <color rgb="FFBFBFBF"/>
      </right>
      <top style="thin">
        <color rgb="FFBFBFBF"/>
      </top>
      <bottom style="medium">
        <color indexed="64"/>
      </bottom>
      <diagonal/>
    </border>
    <border>
      <left style="thin">
        <color rgb="FFBFBFBF"/>
      </left>
      <right/>
      <top style="thin">
        <color rgb="FFBFBFBF"/>
      </top>
      <bottom style="medium">
        <color auto="1"/>
      </bottom>
      <diagonal/>
    </border>
    <border>
      <left style="medium">
        <color rgb="FFFF0000"/>
      </left>
      <right style="thin">
        <color theme="0" tint="-0.24994659260841701"/>
      </right>
      <top style="thin">
        <color theme="0" tint="-0.24994659260841701"/>
      </top>
      <bottom style="medium">
        <color auto="1"/>
      </bottom>
      <diagonal/>
    </border>
    <border>
      <left style="thin">
        <color theme="0" tint="-0.24994659260841701"/>
      </left>
      <right style="medium">
        <color rgb="FFFF0000"/>
      </right>
      <top style="thin">
        <color theme="0" tint="-0.24994659260841701"/>
      </top>
      <bottom style="medium">
        <color indexed="64"/>
      </bottom>
      <diagonal/>
    </border>
    <border>
      <left/>
      <right style="medium">
        <color rgb="FFFF0000"/>
      </right>
      <top/>
      <bottom/>
      <diagonal/>
    </border>
    <border>
      <left style="medium">
        <color rgb="FFFF0000"/>
      </left>
      <right/>
      <top style="medium">
        <color indexed="64"/>
      </top>
      <bottom style="medium">
        <color indexed="64"/>
      </bottom>
      <diagonal/>
    </border>
    <border>
      <left style="medium">
        <color auto="1"/>
      </left>
      <right style="thin">
        <color rgb="FFA6A6A6"/>
      </right>
      <top style="medium">
        <color auto="1"/>
      </top>
      <bottom style="medium">
        <color auto="1"/>
      </bottom>
      <diagonal/>
    </border>
    <border>
      <left style="thin">
        <color rgb="FFA6A6A6"/>
      </left>
      <right style="thin">
        <color rgb="FFA6A6A6"/>
      </right>
      <top style="medium">
        <color indexed="64"/>
      </top>
      <bottom style="medium">
        <color indexed="64"/>
      </bottom>
      <diagonal/>
    </border>
    <border>
      <left style="thin">
        <color rgb="FFBFBFBF"/>
      </left>
      <right style="medium">
        <color indexed="64"/>
      </right>
      <top style="medium">
        <color indexed="64"/>
      </top>
      <bottom style="medium">
        <color indexed="64"/>
      </bottom>
      <diagonal/>
    </border>
    <border>
      <left style="medium">
        <color rgb="FFFF0000"/>
      </left>
      <right style="thin">
        <color theme="0" tint="-0.24994659260841701"/>
      </right>
      <top style="medium">
        <color indexed="64"/>
      </top>
      <bottom/>
      <diagonal/>
    </border>
    <border>
      <left style="medium">
        <color indexed="64"/>
      </left>
      <right style="thin">
        <color theme="0" tint="-0.24994659260841701"/>
      </right>
      <top style="medium">
        <color indexed="64"/>
      </top>
      <bottom/>
      <diagonal/>
    </border>
    <border>
      <left style="thin">
        <color theme="0" tint="-0.24994659260841701"/>
      </left>
      <right style="medium">
        <color indexed="64"/>
      </right>
      <top style="medium">
        <color indexed="64"/>
      </top>
      <bottom/>
      <diagonal/>
    </border>
    <border>
      <left style="medium">
        <color indexed="64"/>
      </left>
      <right style="thin">
        <color rgb="FFA6A6A6"/>
      </right>
      <top/>
      <bottom style="thin">
        <color rgb="FFA6A6A6"/>
      </bottom>
      <diagonal/>
    </border>
    <border>
      <left style="thin">
        <color rgb="FFA6A6A6"/>
      </left>
      <right style="thin">
        <color rgb="FFA6A6A6"/>
      </right>
      <top/>
      <bottom style="thin">
        <color rgb="FFA6A6A6"/>
      </bottom>
      <diagonal/>
    </border>
    <border>
      <left style="thin">
        <color rgb="FFBFBFBF"/>
      </left>
      <right style="thin">
        <color indexed="64"/>
      </right>
      <top/>
      <bottom style="thin">
        <color rgb="FFBFBFBF"/>
      </bottom>
      <diagonal/>
    </border>
    <border>
      <left style="medium">
        <color rgb="FFFF0000"/>
      </left>
      <right style="thin">
        <color theme="0" tint="-0.24994659260841701"/>
      </right>
      <top style="medium">
        <color indexed="64"/>
      </top>
      <bottom style="thin">
        <color theme="0" tint="-0.24994659260841701"/>
      </bottom>
      <diagonal/>
    </border>
    <border>
      <left style="medium">
        <color indexed="64"/>
      </left>
      <right style="thin">
        <color rgb="FFA6A6A6"/>
      </right>
      <top style="thin">
        <color rgb="FFA6A6A6"/>
      </top>
      <bottom style="thin">
        <color rgb="FFA6A6A6"/>
      </bottom>
      <diagonal/>
    </border>
    <border>
      <left style="thin">
        <color rgb="FFA6A6A6"/>
      </left>
      <right style="thin">
        <color rgb="FFA6A6A6"/>
      </right>
      <top style="thin">
        <color rgb="FFA6A6A6"/>
      </top>
      <bottom style="thin">
        <color rgb="FFA6A6A6"/>
      </bottom>
      <diagonal/>
    </border>
    <border>
      <left style="thin">
        <color rgb="FFBFBFBF"/>
      </left>
      <right style="thin">
        <color indexed="64"/>
      </right>
      <top style="thin">
        <color rgb="FFBFBFBF"/>
      </top>
      <bottom style="thin">
        <color rgb="FFBFBFBF"/>
      </bottom>
      <diagonal/>
    </border>
    <border>
      <left style="medium">
        <color indexed="64"/>
      </left>
      <right style="thin">
        <color indexed="64"/>
      </right>
      <top style="thin">
        <color indexed="64"/>
      </top>
      <bottom style="thin">
        <color indexed="64"/>
      </bottom>
      <diagonal/>
    </border>
    <border>
      <left style="medium">
        <color auto="1"/>
      </left>
      <right style="thin">
        <color auto="1"/>
      </right>
      <top/>
      <bottom style="thin">
        <color theme="0" tint="-0.24994659260841701"/>
      </bottom>
      <diagonal/>
    </border>
    <border>
      <left style="medium">
        <color auto="1"/>
      </left>
      <right style="thin">
        <color auto="1"/>
      </right>
      <top style="thin">
        <color theme="0" tint="-0.24994659260841701"/>
      </top>
      <bottom style="thin">
        <color theme="0" tint="-0.24994659260841701"/>
      </bottom>
      <diagonal/>
    </border>
    <border>
      <left style="medium">
        <color indexed="64"/>
      </left>
      <right style="thin">
        <color rgb="FFA6A6A6"/>
      </right>
      <top style="thin">
        <color rgb="FFA6A6A6"/>
      </top>
      <bottom style="thin">
        <color rgb="FFBFBFBF"/>
      </bottom>
      <diagonal/>
    </border>
    <border>
      <left style="thin">
        <color rgb="FFA6A6A6"/>
      </left>
      <right style="thin">
        <color rgb="FFA6A6A6"/>
      </right>
      <top style="thin">
        <color rgb="FFA6A6A6"/>
      </top>
      <bottom style="thin">
        <color rgb="FFBFBFBF"/>
      </bottom>
      <diagonal/>
    </border>
    <border>
      <left style="medium">
        <color auto="1"/>
      </left>
      <right style="thin">
        <color indexed="64"/>
      </right>
      <top style="thin">
        <color theme="0" tint="-0.24994659260841701"/>
      </top>
      <bottom style="medium">
        <color auto="1"/>
      </bottom>
      <diagonal/>
    </border>
    <border>
      <left style="medium">
        <color rgb="FFFF0000"/>
      </left>
      <right style="thin">
        <color theme="0" tint="-0.24994659260841701"/>
      </right>
      <top style="thin">
        <color theme="0" tint="-0.24994659260841701"/>
      </top>
      <bottom style="medium">
        <color rgb="FFFF0000"/>
      </bottom>
      <diagonal/>
    </border>
    <border>
      <left style="thin">
        <color theme="0" tint="-0.24994659260841701"/>
      </left>
      <right style="thin">
        <color theme="0" tint="-0.24994659260841701"/>
      </right>
      <top style="thin">
        <color theme="0" tint="-0.24994659260841701"/>
      </top>
      <bottom style="medium">
        <color rgb="FFFF0000"/>
      </bottom>
      <diagonal/>
    </border>
    <border>
      <left style="thin">
        <color theme="0" tint="-0.24994659260841701"/>
      </left>
      <right style="thin">
        <color indexed="64"/>
      </right>
      <top style="thin">
        <color theme="0" tint="-0.24994659260841701"/>
      </top>
      <bottom style="medium">
        <color rgb="FFFF0000"/>
      </bottom>
      <diagonal/>
    </border>
    <border>
      <left/>
      <right style="medium">
        <color rgb="FFFF0000"/>
      </right>
      <top/>
      <bottom style="medium">
        <color rgb="FFFF0000"/>
      </bottom>
      <diagonal/>
    </border>
    <border>
      <left style="medium">
        <color indexed="64"/>
      </left>
      <right style="medium">
        <color indexed="64"/>
      </right>
      <top style="medium">
        <color indexed="64"/>
      </top>
      <bottom style="thin">
        <color rgb="FFBFBFBF"/>
      </bottom>
      <diagonal/>
    </border>
    <border>
      <left style="medium">
        <color auto="1"/>
      </left>
      <right style="thin">
        <color auto="1"/>
      </right>
      <top style="thin">
        <color rgb="FFBFBFBF"/>
      </top>
      <bottom style="thin">
        <color rgb="FFBFBFBF"/>
      </bottom>
      <diagonal/>
    </border>
    <border>
      <left style="medium">
        <color indexed="64"/>
      </left>
      <right style="medium">
        <color indexed="64"/>
      </right>
      <top style="thin">
        <color rgb="FFBFBFBF"/>
      </top>
      <bottom style="thin">
        <color rgb="FFBFBFBF"/>
      </bottom>
      <diagonal/>
    </border>
    <border>
      <left style="medium">
        <color indexed="64"/>
      </left>
      <right style="medium">
        <color indexed="64"/>
      </right>
      <top/>
      <bottom style="thin">
        <color rgb="FFBFBFBF"/>
      </bottom>
      <diagonal/>
    </border>
    <border>
      <left style="medium">
        <color auto="1"/>
      </left>
      <right/>
      <top style="medium">
        <color auto="1"/>
      </top>
      <bottom style="thin">
        <color rgb="FFBFBFBF"/>
      </bottom>
      <diagonal/>
    </border>
    <border>
      <left style="medium">
        <color indexed="64"/>
      </left>
      <right style="thin">
        <color indexed="64"/>
      </right>
      <top style="medium">
        <color indexed="64"/>
      </top>
      <bottom style="thin">
        <color rgb="FFBFBFBF"/>
      </bottom>
      <diagonal/>
    </border>
    <border>
      <left/>
      <right style="medium">
        <color indexed="64"/>
      </right>
      <top style="thin">
        <color rgb="FFBFBFBF"/>
      </top>
      <bottom style="thin">
        <color rgb="FFBFBFBF"/>
      </bottom>
      <diagonal/>
    </border>
    <border>
      <left style="medium">
        <color auto="1"/>
      </left>
      <right/>
      <top style="thin">
        <color rgb="FFBFBFBF"/>
      </top>
      <bottom style="thin">
        <color rgb="FFBFBFBF"/>
      </bottom>
      <diagonal/>
    </border>
    <border>
      <left style="medium">
        <color indexed="64"/>
      </left>
      <right/>
      <top/>
      <bottom style="thin">
        <color rgb="FFBFBFBF"/>
      </bottom>
      <diagonal/>
    </border>
    <border>
      <left style="medium">
        <color indexed="64"/>
      </left>
      <right style="thin">
        <color indexed="64"/>
      </right>
      <top style="thin">
        <color rgb="FFBFBFBF"/>
      </top>
      <bottom style="medium">
        <color auto="1"/>
      </bottom>
      <diagonal/>
    </border>
    <border>
      <left style="medium">
        <color indexed="64"/>
      </left>
      <right style="medium">
        <color indexed="64"/>
      </right>
      <top style="thin">
        <color rgb="FFBFBFBF"/>
      </top>
      <bottom style="medium">
        <color indexed="64"/>
      </bottom>
      <diagonal/>
    </border>
    <border>
      <left style="thin">
        <color indexed="64"/>
      </left>
      <right style="medium">
        <color indexed="64"/>
      </right>
      <top style="thin">
        <color rgb="FFBFBFBF"/>
      </top>
      <bottom style="medium">
        <color indexed="64"/>
      </bottom>
      <diagonal/>
    </border>
    <border>
      <left/>
      <right/>
      <top/>
      <bottom style="medium">
        <color indexed="38"/>
      </bottom>
      <diagonal/>
    </border>
    <border>
      <left/>
      <right/>
      <top/>
      <bottom style="medium">
        <color auto="1"/>
      </bottom>
      <diagonal/>
    </border>
    <border>
      <left style="thin">
        <color theme="0" tint="-0.24994659260841701"/>
      </left>
      <right/>
      <top style="thin">
        <color theme="0" tint="-0.24994659260841701"/>
      </top>
      <bottom style="medium">
        <color auto="1"/>
      </bottom>
      <diagonal/>
    </border>
    <border>
      <left/>
      <right style="medium">
        <color auto="1"/>
      </right>
      <top/>
      <bottom style="thin">
        <color auto="1"/>
      </bottom>
      <diagonal/>
    </border>
    <border>
      <left style="medium">
        <color indexed="64"/>
      </left>
      <right/>
      <top style="thin">
        <color theme="0" tint="-0.24994659260841701"/>
      </top>
      <bottom/>
      <diagonal/>
    </border>
    <border>
      <left style="medium">
        <color indexed="64"/>
      </left>
      <right style="thin">
        <color theme="0" tint="-0.24994659260841701"/>
      </right>
      <top/>
      <bottom style="thin">
        <color indexed="64"/>
      </bottom>
      <diagonal/>
    </border>
    <border>
      <left style="thin">
        <color theme="0" tint="-0.24994659260841701"/>
      </left>
      <right style="thin">
        <color theme="0" tint="-0.24994659260841701"/>
      </right>
      <top/>
      <bottom style="thin">
        <color indexed="64"/>
      </bottom>
      <diagonal/>
    </border>
    <border>
      <left style="thin">
        <color theme="0" tint="-0.24994659260841701"/>
      </left>
      <right/>
      <top/>
      <bottom style="thin">
        <color indexed="64"/>
      </bottom>
      <diagonal/>
    </border>
    <border>
      <left style="medium">
        <color indexed="64"/>
      </left>
      <right style="thin">
        <color theme="0" tint="-0.24994659260841701"/>
      </right>
      <top/>
      <bottom/>
      <diagonal/>
    </border>
    <border>
      <left/>
      <right/>
      <top style="thin">
        <color theme="0" tint="-0.24994659260841701"/>
      </top>
      <bottom/>
      <diagonal/>
    </border>
    <border>
      <left/>
      <right style="medium">
        <color indexed="64"/>
      </right>
      <top style="thin">
        <color theme="0" tint="-0.24994659260841701"/>
      </top>
      <bottom/>
      <diagonal/>
    </border>
    <border>
      <left style="thin">
        <color theme="0" tint="-0.34998626667073579"/>
      </left>
      <right style="thin">
        <color indexed="64"/>
      </right>
      <top/>
      <bottom/>
      <diagonal/>
    </border>
    <border>
      <left style="thin">
        <color indexed="64"/>
      </left>
      <right/>
      <top style="medium">
        <color indexed="64"/>
      </top>
      <bottom style="medium">
        <color indexed="64"/>
      </bottom>
      <diagonal/>
    </border>
    <border>
      <left style="medium">
        <color indexed="64"/>
      </left>
      <right style="thin">
        <color theme="0" tint="-0.34998626667073579"/>
      </right>
      <top/>
      <bottom style="medium">
        <color auto="1"/>
      </bottom>
      <diagonal/>
    </border>
    <border>
      <left style="thin">
        <color theme="0" tint="-0.34998626667073579"/>
      </left>
      <right style="thin">
        <color theme="0" tint="-0.34998626667073579"/>
      </right>
      <top/>
      <bottom style="medium">
        <color indexed="64"/>
      </bottom>
      <diagonal/>
    </border>
    <border>
      <left style="thin">
        <color theme="0" tint="-0.34998626667073579"/>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theme="0" tint="-0.34998626667073579"/>
      </top>
      <bottom style="thin">
        <color indexed="64"/>
      </bottom>
      <diagonal/>
    </border>
    <border>
      <left style="medium">
        <color indexed="64"/>
      </left>
      <right style="thin">
        <color indexed="64"/>
      </right>
      <top style="thin">
        <color indexed="64"/>
      </top>
      <bottom style="thin">
        <color theme="0" tint="-0.34998626667073579"/>
      </bottom>
      <diagonal/>
    </border>
    <border>
      <left/>
      <right/>
      <top/>
      <bottom style="medium">
        <color indexed="38"/>
      </bottom>
      <diagonal/>
    </border>
    <border>
      <left/>
      <right/>
      <top/>
      <bottom style="medium">
        <color indexed="64"/>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style="medium">
        <color indexed="64"/>
      </left>
      <right style="thin">
        <color rgb="FFA6A6A6"/>
      </right>
      <top style="medium">
        <color indexed="64"/>
      </top>
      <bottom style="thin">
        <color rgb="FFA6A6A6"/>
      </bottom>
      <diagonal/>
    </border>
    <border>
      <left style="thin">
        <color rgb="FFA6A6A6"/>
      </left>
      <right style="thin">
        <color rgb="FFA6A6A6"/>
      </right>
      <top style="medium">
        <color indexed="64"/>
      </top>
      <bottom style="thin">
        <color rgb="FFA6A6A6"/>
      </bottom>
      <diagonal/>
    </border>
    <border>
      <left style="thin">
        <color rgb="FFA6A6A6"/>
      </left>
      <right style="thin">
        <color indexed="64"/>
      </right>
      <top style="medium">
        <color indexed="64"/>
      </top>
      <bottom style="thin">
        <color rgb="FFA6A6A6"/>
      </bottom>
      <diagonal/>
    </border>
    <border>
      <left style="medium">
        <color indexed="64"/>
      </left>
      <right/>
      <top style="thin">
        <color rgb="FFA6A6A6"/>
      </top>
      <bottom style="thin">
        <color rgb="FFA6A6A6"/>
      </bottom>
      <diagonal/>
    </border>
    <border>
      <left/>
      <right/>
      <top style="thin">
        <color rgb="FFA6A6A6"/>
      </top>
      <bottom style="thin">
        <color rgb="FFA6A6A6"/>
      </bottom>
      <diagonal/>
    </border>
    <border>
      <left/>
      <right style="thin">
        <color indexed="64"/>
      </right>
      <top style="thin">
        <color rgb="FFA6A6A6"/>
      </top>
      <bottom style="thin">
        <color rgb="FFA6A6A6"/>
      </bottom>
      <diagonal/>
    </border>
    <border>
      <left/>
      <right style="thin">
        <color rgb="FFA6A6A6"/>
      </right>
      <top style="thin">
        <color rgb="FFA6A6A6"/>
      </top>
      <bottom style="thin">
        <color rgb="FFA6A6A6"/>
      </bottom>
      <diagonal/>
    </border>
    <border>
      <left style="thin">
        <color rgb="FFA6A6A6"/>
      </left>
      <right/>
      <top style="thin">
        <color rgb="FFA6A6A6"/>
      </top>
      <bottom style="thin">
        <color rgb="FFA6A6A6"/>
      </bottom>
      <diagonal/>
    </border>
    <border>
      <left style="medium">
        <color indexed="64"/>
      </left>
      <right style="thin">
        <color rgb="FFA6A6A6"/>
      </right>
      <top style="thin">
        <color rgb="FFA6A6A6"/>
      </top>
      <bottom/>
      <diagonal/>
    </border>
    <border>
      <left style="thin">
        <color rgb="FFA6A6A6"/>
      </left>
      <right style="thin">
        <color rgb="FFA6A6A6"/>
      </right>
      <top style="thin">
        <color rgb="FFA6A6A6"/>
      </top>
      <bottom/>
      <diagonal/>
    </border>
    <border>
      <left style="thin">
        <color rgb="FFA6A6A6"/>
      </left>
      <right style="thin">
        <color indexed="64"/>
      </right>
      <top style="thin">
        <color rgb="FFA6A6A6"/>
      </top>
      <bottom/>
      <diagonal/>
    </border>
    <border>
      <left style="medium">
        <color indexed="64"/>
      </left>
      <right/>
      <top style="medium">
        <color indexed="64"/>
      </top>
      <bottom style="thin">
        <color rgb="FFA6A6A6"/>
      </bottom>
      <diagonal/>
    </border>
    <border>
      <left/>
      <right/>
      <top style="medium">
        <color indexed="64"/>
      </top>
      <bottom style="thin">
        <color rgb="FFA6A6A6"/>
      </bottom>
      <diagonal/>
    </border>
    <border>
      <left/>
      <right style="medium">
        <color indexed="64"/>
      </right>
      <top style="medium">
        <color indexed="64"/>
      </top>
      <bottom style="thin">
        <color rgb="FFA6A6A6"/>
      </bottom>
      <diagonal/>
    </border>
    <border>
      <left style="thin">
        <color rgb="FFA6A6A6"/>
      </left>
      <right style="medium">
        <color indexed="64"/>
      </right>
      <top style="thin">
        <color rgb="FFA6A6A6"/>
      </top>
      <bottom style="thin">
        <color rgb="FFA6A6A6"/>
      </bottom>
      <diagonal/>
    </border>
    <border>
      <left style="medium">
        <color auto="1"/>
      </left>
      <right style="thin">
        <color rgb="FFA6A6A6"/>
      </right>
      <top style="thin">
        <color rgb="FFA6A6A6"/>
      </top>
      <bottom style="medium">
        <color auto="1"/>
      </bottom>
      <diagonal/>
    </border>
    <border>
      <left style="thin">
        <color rgb="FFA6A6A6"/>
      </left>
      <right style="thin">
        <color rgb="FFA6A6A6"/>
      </right>
      <top style="thin">
        <color rgb="FFA6A6A6"/>
      </top>
      <bottom style="medium">
        <color auto="1"/>
      </bottom>
      <diagonal/>
    </border>
    <border>
      <left style="thin">
        <color rgb="FFA6A6A6"/>
      </left>
      <right style="medium">
        <color indexed="64"/>
      </right>
      <top style="thin">
        <color rgb="FFA6A6A6"/>
      </top>
      <bottom style="medium">
        <color auto="1"/>
      </bottom>
      <diagonal/>
    </border>
    <border>
      <left style="thin">
        <color rgb="FFA6A6A6"/>
      </left>
      <right/>
      <top/>
      <bottom style="thin">
        <color rgb="FFA6A6A6"/>
      </bottom>
      <diagonal/>
    </border>
    <border>
      <left style="medium">
        <color indexed="64"/>
      </left>
      <right style="thin">
        <color rgb="FFA6A6A6"/>
      </right>
      <top/>
      <bottom style="medium">
        <color indexed="64"/>
      </bottom>
      <diagonal/>
    </border>
    <border>
      <left/>
      <right style="thin">
        <color rgb="FFA6A6A6"/>
      </right>
      <top/>
      <bottom style="thin">
        <color rgb="FFA6A6A6"/>
      </bottom>
      <diagonal/>
    </border>
    <border>
      <left/>
      <right style="thin">
        <color rgb="FFA6A6A6"/>
      </right>
      <top style="medium">
        <color indexed="64"/>
      </top>
      <bottom style="thin">
        <color rgb="FFA6A6A6"/>
      </bottom>
      <diagonal/>
    </border>
    <border>
      <left style="thin">
        <color rgb="FFA6A6A6"/>
      </left>
      <right/>
      <top style="medium">
        <color indexed="64"/>
      </top>
      <bottom style="thin">
        <color rgb="FFA6A6A6"/>
      </bottom>
      <diagonal/>
    </border>
    <border>
      <left/>
      <right style="thin">
        <color indexed="64"/>
      </right>
      <top style="medium">
        <color indexed="64"/>
      </top>
      <bottom style="thin">
        <color rgb="FFA6A6A6"/>
      </bottom>
      <diagonal/>
    </border>
    <border>
      <left style="medium">
        <color indexed="64"/>
      </left>
      <right/>
      <top style="thin">
        <color rgb="FFA6A6A6"/>
      </top>
      <bottom style="medium">
        <color indexed="64"/>
      </bottom>
      <diagonal/>
    </border>
    <border>
      <left style="medium">
        <color indexed="22"/>
      </left>
      <right style="medium">
        <color indexed="22"/>
      </right>
      <top style="medium">
        <color indexed="22"/>
      </top>
      <bottom style="medium">
        <color indexed="2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double">
        <color indexed="8"/>
      </left>
      <right style="double">
        <color indexed="8"/>
      </right>
      <top style="double">
        <color indexed="8"/>
      </top>
      <bottom style="double">
        <color indexed="8"/>
      </bottom>
      <diagonal/>
    </border>
    <border>
      <left/>
      <right/>
      <top/>
      <bottom style="thick">
        <color theme="4"/>
      </bottom>
      <diagonal/>
    </border>
    <border>
      <left/>
      <right/>
      <top/>
      <bottom style="thick">
        <color theme="4" tint="0.499984740745262"/>
      </bottom>
      <diagonal/>
    </border>
    <border>
      <left/>
      <right/>
      <top/>
      <bottom style="thick">
        <color indexed="22"/>
      </bottom>
      <diagonal/>
    </border>
    <border>
      <left/>
      <right/>
      <top/>
      <bottom style="medium">
        <color indexed="30"/>
      </bottom>
      <diagonal/>
    </border>
    <border>
      <left/>
      <right/>
      <top/>
      <bottom style="medium">
        <color theme="4" tint="0.39997558519241921"/>
      </bottom>
      <diagonal/>
    </border>
    <border>
      <left/>
      <right/>
      <top/>
      <bottom style="double">
        <color rgb="FFFF8001"/>
      </bottom>
      <diagonal/>
    </border>
    <border>
      <left style="thin">
        <color indexed="8"/>
      </left>
      <right style="thin">
        <color indexed="8"/>
      </right>
      <top style="thin">
        <color indexed="8"/>
      </top>
      <bottom style="thin">
        <color indexed="8"/>
      </bottom>
      <diagonal/>
    </border>
    <border>
      <left style="thin">
        <color rgb="FFB2B2B2"/>
      </left>
      <right style="thin">
        <color rgb="FFB2B2B2"/>
      </right>
      <top style="thin">
        <color rgb="FFB2B2B2"/>
      </top>
      <bottom style="thin">
        <color rgb="FFB2B2B2"/>
      </bottom>
      <diagonal/>
    </border>
    <border>
      <left style="thin">
        <color indexed="18"/>
      </left>
      <right style="thin">
        <color indexed="18"/>
      </right>
      <top style="thin">
        <color indexed="18"/>
      </top>
      <bottom style="thin">
        <color indexed="18"/>
      </bottom>
      <diagonal/>
    </border>
    <border>
      <left style="thin">
        <color rgb="FF3F3F3F"/>
      </left>
      <right style="thin">
        <color rgb="FF3F3F3F"/>
      </right>
      <top style="thin">
        <color rgb="FF3F3F3F"/>
      </top>
      <bottom style="thin">
        <color rgb="FF3F3F3F"/>
      </bottom>
      <diagonal/>
    </border>
    <border>
      <left/>
      <right/>
      <top style="thin">
        <color indexed="62"/>
      </top>
      <bottom style="double">
        <color indexed="62"/>
      </bottom>
      <diagonal/>
    </border>
    <border>
      <left/>
      <right/>
      <top style="thin">
        <color theme="4"/>
      </top>
      <bottom style="double">
        <color theme="4"/>
      </bottom>
      <diagonal/>
    </border>
    <border>
      <left style="medium">
        <color indexed="64"/>
      </left>
      <right/>
      <top style="thin">
        <color indexed="64"/>
      </top>
      <bottom style="thin">
        <color theme="0" tint="-0.24994659260841701"/>
      </bottom>
      <diagonal/>
    </border>
    <border>
      <left style="medium">
        <color indexed="64"/>
      </left>
      <right/>
      <top style="thin">
        <color theme="0" tint="-0.24994659260841701"/>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theme="0" tint="-0.499984740745262"/>
      </left>
      <right style="thin">
        <color theme="0" tint="-0.499984740745262"/>
      </right>
      <top style="medium">
        <color auto="1"/>
      </top>
      <bottom style="thin">
        <color theme="0" tint="-0.34998626667073579"/>
      </bottom>
      <diagonal/>
    </border>
    <border>
      <left style="thin">
        <color theme="0" tint="-0.499984740745262"/>
      </left>
      <right/>
      <top style="medium">
        <color auto="1"/>
      </top>
      <bottom style="thin">
        <color theme="0" tint="-0.34998626667073579"/>
      </bottom>
      <diagonal/>
    </border>
    <border>
      <left style="thin">
        <color theme="0" tint="-0.499984740745262"/>
      </left>
      <right style="medium">
        <color auto="1"/>
      </right>
      <top style="medium">
        <color auto="1"/>
      </top>
      <bottom style="thin">
        <color theme="0" tint="-0.34998626667073579"/>
      </bottom>
      <diagonal/>
    </border>
    <border>
      <left style="thin">
        <color indexed="64"/>
      </left>
      <right style="thin">
        <color indexed="64"/>
      </right>
      <top style="medium">
        <color indexed="64"/>
      </top>
      <bottom/>
      <diagonal/>
    </border>
    <border>
      <left style="thin">
        <color theme="0" tint="-0.499984740745262"/>
      </left>
      <right style="thin">
        <color theme="0" tint="-0.499984740745262"/>
      </right>
      <top style="thin">
        <color theme="0" tint="-0.34998626667073579"/>
      </top>
      <bottom style="thin">
        <color theme="0" tint="-0.34998626667073579"/>
      </bottom>
      <diagonal/>
    </border>
    <border>
      <left/>
      <right style="thin">
        <color theme="0" tint="-0.499984740745262"/>
      </right>
      <top style="thin">
        <color theme="0" tint="-0.34998626667073579"/>
      </top>
      <bottom style="thin">
        <color theme="0" tint="-0.34998626667073579"/>
      </bottom>
      <diagonal/>
    </border>
    <border>
      <left style="thin">
        <color indexed="64"/>
      </left>
      <right style="thin">
        <color indexed="64"/>
      </right>
      <top/>
      <bottom style="medium">
        <color auto="1"/>
      </bottom>
      <diagonal/>
    </border>
    <border>
      <left/>
      <right style="medium">
        <color indexed="64"/>
      </right>
      <top/>
      <bottom style="medium">
        <color indexed="64"/>
      </bottom>
      <diagonal/>
    </border>
    <border>
      <left style="thin">
        <color theme="0" tint="-0.34998626667073579"/>
      </left>
      <right/>
      <top/>
      <bottom style="medium">
        <color indexed="64"/>
      </bottom>
      <diagonal/>
    </border>
    <border>
      <left/>
      <right/>
      <top style="medium">
        <color auto="1"/>
      </top>
      <bottom/>
      <diagonal/>
    </border>
    <border>
      <left style="medium">
        <color indexed="22"/>
      </left>
      <right style="medium">
        <color indexed="22"/>
      </right>
      <top style="medium">
        <color indexed="22"/>
      </top>
      <bottom style="medium">
        <color indexed="22"/>
      </bottom>
      <diagonal/>
    </border>
    <border>
      <left/>
      <right/>
      <top/>
      <bottom style="medium">
        <color indexed="30"/>
      </bottom>
      <diagonal/>
    </border>
    <border>
      <left/>
      <right/>
      <top/>
      <bottom style="medium">
        <color indexed="38"/>
      </bottom>
      <diagonal/>
    </border>
    <border>
      <left/>
      <right/>
      <top/>
      <bottom style="medium">
        <color indexed="64"/>
      </bottom>
      <diagonal/>
    </border>
    <border>
      <left style="medium">
        <color indexed="64"/>
      </left>
      <right/>
      <top style="medium">
        <color indexed="64"/>
      </top>
      <bottom/>
      <diagonal/>
    </border>
    <border>
      <left style="thin">
        <color theme="0" tint="-0.34998626667073579"/>
      </left>
      <right style="thin">
        <color theme="0" tint="-0.34998626667073579"/>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style="thin">
        <color theme="0" tint="-0.499984740745262"/>
      </left>
      <right/>
      <top style="thin">
        <color theme="0" tint="-0.34998626667073579"/>
      </top>
      <bottom style="thin">
        <color theme="0" tint="-0.34998626667073579"/>
      </bottom>
      <diagonal/>
    </border>
    <border>
      <left/>
      <right/>
      <top style="medium">
        <color indexed="64"/>
      </top>
      <bottom style="thin">
        <color theme="0" tint="-0.34998626667073579"/>
      </bottom>
      <diagonal/>
    </border>
    <border>
      <left style="thin">
        <color theme="0" tint="-0.24994659260841701"/>
      </left>
      <right/>
      <top style="thin">
        <color theme="0" tint="-0.34998626667073579"/>
      </top>
      <bottom style="thin">
        <color theme="0" tint="-0.34998626667073579"/>
      </bottom>
      <diagonal/>
    </border>
  </borders>
  <cellStyleXfs count="36725">
    <xf numFmtId="0" fontId="0" fillId="0" borderId="0"/>
    <xf numFmtId="0" fontId="10" fillId="0" borderId="0"/>
    <xf numFmtId="0" fontId="19" fillId="2"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2" borderId="0" applyNumberFormat="0" applyBorder="0" applyAlignment="0" applyProtection="0"/>
    <xf numFmtId="0" fontId="19" fillId="3" borderId="0" applyNumberFormat="0" applyBorder="0" applyAlignment="0" applyProtection="0"/>
    <xf numFmtId="0" fontId="19" fillId="2" borderId="0" applyNumberFormat="0" applyBorder="0" applyAlignment="0" applyProtection="0"/>
    <xf numFmtId="0" fontId="19" fillId="3"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2" borderId="0" applyNumberFormat="0" applyBorder="0" applyAlignment="0" applyProtection="0"/>
    <xf numFmtId="0" fontId="19" fillId="3" borderId="0" applyNumberFormat="0" applyBorder="0" applyAlignment="0" applyProtection="0"/>
    <xf numFmtId="0" fontId="20" fillId="2" borderId="0" applyNumberFormat="0" applyBorder="0" applyAlignment="0" applyProtection="0"/>
    <xf numFmtId="0" fontId="20" fillId="3"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2" borderId="0" applyNumberFormat="0" applyBorder="0" applyAlignment="0" applyProtection="0"/>
    <xf numFmtId="0" fontId="20" fillId="3"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6" fillId="0" borderId="0"/>
    <xf numFmtId="0" fontId="20" fillId="8" borderId="0" applyNumberFormat="0" applyBorder="0" applyAlignment="0" applyProtection="0"/>
    <xf numFmtId="0" fontId="20" fillId="12" borderId="0" applyNumberFormat="0" applyBorder="0" applyAlignment="0" applyProtection="0"/>
    <xf numFmtId="0" fontId="21" fillId="13" borderId="0" applyNumberFormat="0" applyBorder="0" applyAlignment="0" applyProtection="0"/>
    <xf numFmtId="0" fontId="22" fillId="5" borderId="1" applyNumberFormat="0" applyAlignment="0" applyProtection="0"/>
    <xf numFmtId="0" fontId="23" fillId="15" borderId="2" applyNumberFormat="0" applyAlignment="0" applyProtection="0"/>
    <xf numFmtId="43" fontId="6" fillId="0" borderId="0" applyFont="0" applyFill="0" applyBorder="0" applyAlignment="0" applyProtection="0"/>
    <xf numFmtId="44" fontId="6" fillId="0" borderId="0" applyFont="0" applyFill="0" applyBorder="0" applyAlignment="0" applyProtection="0"/>
    <xf numFmtId="0" fontId="25" fillId="0" borderId="0" applyNumberFormat="0" applyFill="0" applyBorder="0" applyAlignment="0" applyProtection="0"/>
    <xf numFmtId="0" fontId="26" fillId="16" borderId="0" applyNumberFormat="0" applyBorder="0" applyAlignment="0" applyProtection="0"/>
    <xf numFmtId="0" fontId="27" fillId="0" borderId="3" applyNumberFormat="0" applyFill="0" applyAlignment="0" applyProtection="0"/>
    <xf numFmtId="0" fontId="28" fillId="0" borderId="5" applyNumberFormat="0" applyFill="0" applyAlignment="0" applyProtection="0"/>
    <xf numFmtId="0" fontId="29" fillId="0" borderId="6" applyNumberFormat="0" applyFill="0" applyAlignment="0" applyProtection="0"/>
    <xf numFmtId="0" fontId="29" fillId="0" borderId="0" applyNumberFormat="0" applyFill="0" applyBorder="0" applyAlignment="0" applyProtection="0"/>
    <xf numFmtId="0" fontId="12" fillId="0" borderId="0" applyNumberFormat="0" applyFill="0" applyBorder="0" applyAlignment="0" applyProtection="0">
      <alignment vertical="top"/>
      <protection locked="0"/>
    </xf>
    <xf numFmtId="0" fontId="30" fillId="3" borderId="1" applyNumberFormat="0" applyAlignment="0" applyProtection="0"/>
    <xf numFmtId="0" fontId="31" fillId="0" borderId="7" applyNumberFormat="0" applyFill="0" applyAlignment="0" applyProtection="0"/>
    <xf numFmtId="0" fontId="32" fillId="6" borderId="0" applyNumberFormat="0" applyBorder="0" applyAlignment="0" applyProtection="0"/>
    <xf numFmtId="0" fontId="10" fillId="4" borderId="8" applyNumberFormat="0" applyFont="0" applyAlignment="0" applyProtection="0"/>
    <xf numFmtId="0" fontId="33" fillId="5" borderId="9" applyNumberFormat="0" applyAlignment="0" applyProtection="0"/>
    <xf numFmtId="9" fontId="6" fillId="0" borderId="0" applyFont="0" applyFill="0" applyBorder="0" applyAlignment="0" applyProtection="0"/>
    <xf numFmtId="0" fontId="34" fillId="0" borderId="0" applyNumberFormat="0" applyFill="0" applyBorder="0" applyAlignment="0" applyProtection="0"/>
    <xf numFmtId="0" fontId="24" fillId="0" borderId="11" applyNumberFormat="0" applyFill="0" applyAlignment="0" applyProtection="0"/>
    <xf numFmtId="0" fontId="35" fillId="0" borderId="0" applyNumberFormat="0" applyFill="0" applyBorder="0" applyAlignment="0" applyProtection="0"/>
    <xf numFmtId="0" fontId="6" fillId="0" borderId="0"/>
    <xf numFmtId="0" fontId="22" fillId="5" borderId="196" applyNumberFormat="0" applyAlignment="0" applyProtection="0"/>
    <xf numFmtId="0" fontId="6" fillId="0" borderId="0"/>
    <xf numFmtId="181" fontId="6" fillId="18" borderId="0" applyFont="0" applyBorder="0">
      <alignment horizontal="right"/>
    </xf>
    <xf numFmtId="165" fontId="6" fillId="37" borderId="0" applyFont="0" applyBorder="0" applyAlignment="0">
      <alignment horizontal="right"/>
      <protection locked="0"/>
    </xf>
    <xf numFmtId="0" fontId="6" fillId="0" borderId="0"/>
    <xf numFmtId="171" fontId="6" fillId="0" borderId="0"/>
    <xf numFmtId="0" fontId="99" fillId="0" borderId="0"/>
    <xf numFmtId="0" fontId="99"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29" fillId="0" borderId="200" applyNumberFormat="0" applyFill="0" applyAlignment="0" applyProtection="0"/>
    <xf numFmtId="0" fontId="30" fillId="3" borderId="196" applyNumberFormat="0" applyAlignment="0" applyProtection="0"/>
    <xf numFmtId="0" fontId="6" fillId="4" borderId="197" applyNumberFormat="0" applyFont="0" applyAlignment="0" applyProtection="0"/>
    <xf numFmtId="0" fontId="33" fillId="5" borderId="198" applyNumberFormat="0" applyAlignment="0" applyProtection="0"/>
    <xf numFmtId="0" fontId="24" fillId="0" borderId="199" applyNumberFormat="0" applyFill="0" applyAlignment="0" applyProtection="0"/>
    <xf numFmtId="0" fontId="6" fillId="0" borderId="0"/>
    <xf numFmtId="185" fontId="11" fillId="0" borderId="0"/>
    <xf numFmtId="185" fontId="11" fillId="0" borderId="0"/>
    <xf numFmtId="0" fontId="19" fillId="59" borderId="0" applyNumberFormat="0" applyBorder="0" applyAlignment="0" applyProtection="0"/>
    <xf numFmtId="0" fontId="19" fillId="59" borderId="0" applyNumberFormat="0" applyBorder="0" applyAlignment="0" applyProtection="0"/>
    <xf numFmtId="0" fontId="20" fillId="60" borderId="0" applyNumberFormat="0" applyBorder="0" applyAlignment="0" applyProtection="0"/>
    <xf numFmtId="0" fontId="19" fillId="61" borderId="0" applyNumberFormat="0" applyBorder="0" applyAlignment="0" applyProtection="0"/>
    <xf numFmtId="0" fontId="19" fillId="62" borderId="0" applyNumberFormat="0" applyBorder="0" applyAlignment="0" applyProtection="0"/>
    <xf numFmtId="0" fontId="20" fillId="63" borderId="0" applyNumberFormat="0" applyBorder="0" applyAlignment="0" applyProtection="0"/>
    <xf numFmtId="0" fontId="19" fillId="61" borderId="0" applyNumberFormat="0" applyBorder="0" applyAlignment="0" applyProtection="0"/>
    <xf numFmtId="0" fontId="19" fillId="64" borderId="0" applyNumberFormat="0" applyBorder="0" applyAlignment="0" applyProtection="0"/>
    <xf numFmtId="0" fontId="20" fillId="62" borderId="0" applyNumberFormat="0" applyBorder="0" applyAlignment="0" applyProtection="0"/>
    <xf numFmtId="0" fontId="19" fillId="59" borderId="0" applyNumberFormat="0" applyBorder="0" applyAlignment="0" applyProtection="0"/>
    <xf numFmtId="0" fontId="19" fillId="62" borderId="0" applyNumberFormat="0" applyBorder="0" applyAlignment="0" applyProtection="0"/>
    <xf numFmtId="0" fontId="20" fillId="62" borderId="0" applyNumberFormat="0" applyBorder="0" applyAlignment="0" applyProtection="0"/>
    <xf numFmtId="0" fontId="19" fillId="65" borderId="0" applyNumberFormat="0" applyBorder="0" applyAlignment="0" applyProtection="0"/>
    <xf numFmtId="0" fontId="19" fillId="59" borderId="0" applyNumberFormat="0" applyBorder="0" applyAlignment="0" applyProtection="0"/>
    <xf numFmtId="0" fontId="20" fillId="60" borderId="0" applyNumberFormat="0" applyBorder="0" applyAlignment="0" applyProtection="0"/>
    <xf numFmtId="0" fontId="19" fillId="61" borderId="0" applyNumberFormat="0" applyBorder="0" applyAlignment="0" applyProtection="0"/>
    <xf numFmtId="0" fontId="19" fillId="66" borderId="0" applyNumberFormat="0" applyBorder="0" applyAlignment="0" applyProtection="0"/>
    <xf numFmtId="0" fontId="20" fillId="66" borderId="0" applyNumberFormat="0" applyBorder="0" applyAlignment="0" applyProtection="0"/>
    <xf numFmtId="0" fontId="105" fillId="0" borderId="0"/>
    <xf numFmtId="42" fontId="8" fillId="0" borderId="0" applyFont="0" applyFill="0" applyBorder="0" applyAlignment="0" applyProtection="0"/>
    <xf numFmtId="0" fontId="106" fillId="0" borderId="0" applyNumberFormat="0" applyFill="0" applyBorder="0" applyAlignment="0"/>
    <xf numFmtId="165" fontId="6" fillId="14" borderId="0" applyNumberFormat="0" applyFont="0" applyBorder="0" applyAlignment="0">
      <alignment horizontal="right"/>
    </xf>
    <xf numFmtId="0" fontId="107" fillId="0" borderId="0" applyNumberFormat="0" applyFill="0" applyBorder="0" applyAlignment="0">
      <protection locked="0"/>
    </xf>
    <xf numFmtId="41" fontId="6" fillId="0" borderId="0" applyFont="0" applyFill="0" applyBorder="0" applyAlignment="0" applyProtection="0"/>
    <xf numFmtId="0" fontId="108" fillId="0" borderId="0" applyFont="0" applyFill="0" applyBorder="0" applyAlignment="0" applyProtection="0"/>
    <xf numFmtId="0" fontId="6" fillId="0" borderId="0" applyFont="0" applyFill="0" applyBorder="0" applyAlignment="0" applyProtection="0"/>
    <xf numFmtId="43" fontId="6" fillId="0" borderId="0" applyFont="0" applyFill="0" applyBorder="0" applyAlignment="0" applyProtection="0"/>
    <xf numFmtId="43" fontId="19" fillId="0" borderId="0" applyFont="0" applyFill="0" applyBorder="0" applyAlignment="0" applyProtection="0"/>
    <xf numFmtId="43" fontId="6" fillId="0" borderId="0" applyFont="0" applyFill="0" applyBorder="0" applyAlignment="0" applyProtection="0"/>
    <xf numFmtId="0" fontId="6" fillId="0" borderId="0" applyFont="0" applyFill="0" applyBorder="0" applyAlignment="0" applyProtection="0"/>
    <xf numFmtId="3" fontId="109"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2" fontId="6" fillId="0" borderId="0" applyFont="0" applyFill="0" applyBorder="0" applyAlignment="0" applyProtection="0"/>
    <xf numFmtId="186" fontId="6" fillId="0" borderId="0" applyFont="0" applyFill="0" applyBorder="0" applyAlignment="0" applyProtection="0"/>
    <xf numFmtId="0" fontId="24" fillId="67" borderId="0" applyNumberFormat="0" applyBorder="0" applyAlignment="0" applyProtection="0"/>
    <xf numFmtId="0" fontId="24" fillId="68" borderId="0" applyNumberFormat="0" applyBorder="0" applyAlignment="0" applyProtection="0"/>
    <xf numFmtId="0" fontId="24" fillId="69" borderId="0" applyNumberFormat="0" applyBorder="0" applyAlignment="0" applyProtection="0"/>
    <xf numFmtId="171" fontId="19" fillId="0" borderId="0" applyFont="0" applyFill="0" applyBorder="0" applyAlignment="0" applyProtection="0"/>
    <xf numFmtId="187" fontId="6" fillId="0" borderId="0" applyFont="0" applyFill="0" applyBorder="0" applyAlignment="0" applyProtection="0"/>
    <xf numFmtId="0" fontId="110" fillId="0" borderId="0"/>
    <xf numFmtId="0" fontId="111" fillId="0" borderId="0"/>
    <xf numFmtId="0" fontId="9" fillId="0" borderId="0" applyFill="0" applyBorder="0">
      <alignment vertical="center"/>
    </xf>
    <xf numFmtId="0" fontId="9" fillId="0" borderId="0" applyFill="0" applyBorder="0">
      <alignment vertical="center"/>
    </xf>
    <xf numFmtId="0" fontId="112" fillId="0" borderId="0" applyFill="0" applyBorder="0">
      <alignment vertical="center"/>
    </xf>
    <xf numFmtId="0" fontId="112" fillId="0" borderId="0" applyFill="0" applyBorder="0">
      <alignment vertical="center"/>
    </xf>
    <xf numFmtId="0" fontId="113" fillId="0" borderId="0" applyFill="0" applyBorder="0">
      <alignment vertical="center"/>
    </xf>
    <xf numFmtId="0" fontId="113" fillId="0" borderId="0" applyFill="0" applyBorder="0">
      <alignment vertical="center"/>
    </xf>
    <xf numFmtId="0" fontId="11" fillId="0" borderId="0" applyFill="0" applyBorder="0">
      <alignment vertical="center"/>
    </xf>
    <xf numFmtId="0" fontId="11" fillId="0" borderId="0" applyFill="0" applyBorder="0">
      <alignment vertical="center"/>
    </xf>
    <xf numFmtId="164" fontId="114" fillId="0" borderId="0"/>
    <xf numFmtId="0" fontId="115" fillId="0" borderId="0" applyNumberFormat="0" applyFill="0" applyBorder="0" applyAlignment="0" applyProtection="0">
      <alignment vertical="top"/>
      <protection locked="0"/>
    </xf>
    <xf numFmtId="0" fontId="116" fillId="0" borderId="0" applyFill="0" applyBorder="0">
      <alignment horizontal="center" vertical="center"/>
      <protection locked="0"/>
    </xf>
    <xf numFmtId="0" fontId="117" fillId="0" borderId="0" applyFill="0" applyBorder="0">
      <alignment horizontal="left" vertical="center"/>
      <protection locked="0"/>
    </xf>
    <xf numFmtId="165" fontId="6" fillId="17" borderId="0" applyFont="0" applyBorder="0" applyAlignment="0">
      <alignment horizontal="right"/>
      <protection locked="0"/>
    </xf>
    <xf numFmtId="184" fontId="6" fillId="70" borderId="0" applyFont="0" applyBorder="0">
      <alignment horizontal="right"/>
      <protection locked="0"/>
    </xf>
    <xf numFmtId="165" fontId="6" fillId="18" borderId="0" applyFont="0" applyBorder="0">
      <alignment horizontal="right"/>
      <protection locked="0"/>
    </xf>
    <xf numFmtId="0" fontId="11" fillId="14" borderId="0"/>
    <xf numFmtId="188" fontId="118" fillId="0" borderId="0"/>
    <xf numFmtId="0" fontId="14" fillId="0" borderId="0" applyFill="0" applyBorder="0">
      <alignment horizontal="left" vertical="center"/>
    </xf>
    <xf numFmtId="189" fontId="119"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19" fillId="0" borderId="0"/>
    <xf numFmtId="0" fontId="8" fillId="0" borderId="0"/>
    <xf numFmtId="190" fontId="6" fillId="0" borderId="0" applyFill="0" applyBorder="0"/>
    <xf numFmtId="9" fontId="6" fillId="0" borderId="0" applyFont="0" applyFill="0" applyBorder="0" applyAlignment="0" applyProtection="0"/>
    <xf numFmtId="9" fontId="6" fillId="0" borderId="0" applyFont="0" applyFill="0" applyBorder="0" applyAlignment="0" applyProtection="0"/>
    <xf numFmtId="164" fontId="120" fillId="0" borderId="0"/>
    <xf numFmtId="0" fontId="113" fillId="0" borderId="0" applyFill="0" applyBorder="0">
      <alignment vertical="center"/>
    </xf>
    <xf numFmtId="0" fontId="108" fillId="0" borderId="0" applyNumberFormat="0" applyFont="0" applyFill="0" applyBorder="0" applyAlignment="0" applyProtection="0">
      <alignment horizontal="left"/>
    </xf>
    <xf numFmtId="15" fontId="108" fillId="0" borderId="0" applyFont="0" applyFill="0" applyBorder="0" applyAlignment="0" applyProtection="0"/>
    <xf numFmtId="4" fontId="108" fillId="0" borderId="0" applyFont="0" applyFill="0" applyBorder="0" applyAlignment="0" applyProtection="0"/>
    <xf numFmtId="191" fontId="121" fillId="0" borderId="213"/>
    <xf numFmtId="0" fontId="122" fillId="0" borderId="201">
      <alignment horizontal="center"/>
    </xf>
    <xf numFmtId="3" fontId="108" fillId="0" borderId="0" applyFont="0" applyFill="0" applyBorder="0" applyAlignment="0" applyProtection="0"/>
    <xf numFmtId="0" fontId="108" fillId="71" borderId="0" applyNumberFormat="0" applyFont="0" applyBorder="0" applyAlignment="0" applyProtection="0"/>
    <xf numFmtId="192" fontId="6" fillId="0" borderId="0"/>
    <xf numFmtId="193" fontId="11" fillId="0" borderId="0" applyFill="0" applyBorder="0">
      <alignment horizontal="right" vertical="center"/>
    </xf>
    <xf numFmtId="194" fontId="11" fillId="0" borderId="0" applyFill="0" applyBorder="0">
      <alignment horizontal="right" vertical="center"/>
    </xf>
    <xf numFmtId="195" fontId="11" fillId="0" borderId="0" applyFill="0" applyBorder="0">
      <alignment horizontal="right" vertical="center"/>
    </xf>
    <xf numFmtId="0" fontId="6" fillId="4" borderId="0" applyNumberFormat="0" applyFont="0" applyBorder="0" applyAlignment="0" applyProtection="0"/>
    <xf numFmtId="0" fontId="6" fillId="5" borderId="0" applyNumberFormat="0" applyFont="0" applyBorder="0" applyAlignment="0" applyProtection="0"/>
    <xf numFmtId="0" fontId="6" fillId="7" borderId="0" applyNumberFormat="0" applyFont="0" applyBorder="0" applyAlignment="0" applyProtection="0"/>
    <xf numFmtId="0" fontId="6" fillId="0" borderId="0" applyNumberFormat="0" applyFont="0" applyFill="0" applyBorder="0" applyAlignment="0" applyProtection="0"/>
    <xf numFmtId="0" fontId="6" fillId="7" borderId="0" applyNumberFormat="0" applyFont="0" applyBorder="0" applyAlignment="0" applyProtection="0"/>
    <xf numFmtId="0" fontId="6" fillId="0" borderId="0" applyNumberFormat="0" applyFont="0" applyFill="0" applyBorder="0" applyAlignment="0" applyProtection="0"/>
    <xf numFmtId="0" fontId="6" fillId="0" borderId="0" applyNumberFormat="0" applyFont="0" applyBorder="0" applyAlignment="0" applyProtection="0"/>
    <xf numFmtId="0" fontId="34" fillId="0" borderId="0" applyNumberFormat="0" applyFill="0" applyBorder="0" applyAlignment="0" applyProtection="0"/>
    <xf numFmtId="0" fontId="6" fillId="0" borderId="0"/>
    <xf numFmtId="0" fontId="14" fillId="0" borderId="0"/>
    <xf numFmtId="0" fontId="17" fillId="0" borderId="0"/>
    <xf numFmtId="15" fontId="6" fillId="0" borderId="0"/>
    <xf numFmtId="10" fontId="6" fillId="0" borderId="0"/>
    <xf numFmtId="0" fontId="123" fillId="19" borderId="214" applyBorder="0" applyProtection="0">
      <alignment horizontal="centerContinuous" vertical="center"/>
    </xf>
    <xf numFmtId="0" fontId="124" fillId="0" borderId="0" applyBorder="0" applyProtection="0">
      <alignment vertical="center"/>
    </xf>
    <xf numFmtId="0" fontId="125" fillId="0" borderId="0">
      <alignment horizontal="left"/>
    </xf>
    <xf numFmtId="0" fontId="125" fillId="0" borderId="10" applyFill="0" applyBorder="0" applyProtection="0">
      <alignment horizontal="left" vertical="top"/>
    </xf>
    <xf numFmtId="49" fontId="6" fillId="0" borderId="0" applyFont="0" applyFill="0" applyBorder="0" applyAlignment="0" applyProtection="0"/>
    <xf numFmtId="0" fontId="126" fillId="0" borderId="0"/>
    <xf numFmtId="0" fontId="127" fillId="0" borderId="0"/>
    <xf numFmtId="0" fontId="127" fillId="0" borderId="0"/>
    <xf numFmtId="0" fontId="126" fillId="0" borderId="0"/>
    <xf numFmtId="188" fontId="128" fillId="0" borderId="0"/>
    <xf numFmtId="0" fontId="129" fillId="0" borderId="0" applyFill="0" applyBorder="0">
      <alignment horizontal="left" vertical="center"/>
      <protection locked="0"/>
    </xf>
    <xf numFmtId="0" fontId="126" fillId="0" borderId="0"/>
    <xf numFmtId="0" fontId="130" fillId="0" borderId="0" applyFill="0" applyBorder="0">
      <alignment horizontal="left" vertical="center"/>
      <protection locked="0"/>
    </xf>
    <xf numFmtId="196" fontId="6" fillId="0" borderId="214" applyBorder="0" applyProtection="0">
      <alignment horizontal="right"/>
    </xf>
    <xf numFmtId="0" fontId="6" fillId="0" borderId="0"/>
    <xf numFmtId="0" fontId="6" fillId="0" borderId="0"/>
    <xf numFmtId="165" fontId="6" fillId="14" borderId="0" applyNumberFormat="0" applyFont="0" applyBorder="0" applyAlignment="0">
      <alignment horizontal="right"/>
    </xf>
    <xf numFmtId="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86" fontId="6" fillId="0" borderId="0" applyFont="0" applyFill="0" applyBorder="0" applyAlignment="0" applyProtection="0"/>
    <xf numFmtId="187" fontId="6" fillId="0" borderId="0" applyFont="0" applyFill="0" applyBorder="0" applyAlignment="0" applyProtection="0"/>
    <xf numFmtId="165" fontId="6" fillId="17" borderId="0" applyFont="0" applyBorder="0" applyAlignment="0">
      <alignment horizontal="right"/>
      <protection locked="0"/>
    </xf>
    <xf numFmtId="184" fontId="6" fillId="70" borderId="0" applyFont="0" applyBorder="0">
      <alignment horizontal="right"/>
      <protection locked="0"/>
    </xf>
    <xf numFmtId="165" fontId="6" fillId="18" borderId="0" applyFont="0" applyBorder="0">
      <alignment horizontal="right"/>
      <protection locked="0"/>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applyFill="0" applyBorder="0"/>
    <xf numFmtId="9" fontId="6" fillId="0" borderId="0" applyFont="0" applyFill="0" applyBorder="0" applyAlignment="0" applyProtection="0"/>
    <xf numFmtId="9" fontId="6" fillId="0" borderId="0" applyFont="0" applyFill="0" applyBorder="0" applyAlignment="0" applyProtection="0"/>
    <xf numFmtId="192" fontId="6" fillId="0" borderId="0"/>
    <xf numFmtId="0" fontId="6" fillId="4" borderId="0" applyNumberFormat="0" applyFont="0" applyBorder="0" applyAlignment="0" applyProtection="0"/>
    <xf numFmtId="0" fontId="6" fillId="5" borderId="0" applyNumberFormat="0" applyFont="0" applyBorder="0" applyAlignment="0" applyProtection="0"/>
    <xf numFmtId="0" fontId="6" fillId="7" borderId="0" applyNumberFormat="0" applyFont="0" applyBorder="0" applyAlignment="0" applyProtection="0"/>
    <xf numFmtId="0" fontId="6" fillId="0" borderId="0" applyNumberFormat="0" applyFont="0" applyFill="0" applyBorder="0" applyAlignment="0" applyProtection="0"/>
    <xf numFmtId="0" fontId="6" fillId="7" borderId="0" applyNumberFormat="0" applyFont="0" applyBorder="0" applyAlignment="0" applyProtection="0"/>
    <xf numFmtId="0" fontId="6" fillId="0" borderId="0" applyNumberFormat="0" applyFont="0" applyFill="0" applyBorder="0" applyAlignment="0" applyProtection="0"/>
    <xf numFmtId="0" fontId="6" fillId="0" borderId="0" applyNumberFormat="0" applyFont="0" applyBorder="0" applyAlignment="0" applyProtection="0"/>
    <xf numFmtId="0" fontId="6" fillId="0" borderId="0"/>
    <xf numFmtId="15" fontId="6" fillId="0" borderId="0"/>
    <xf numFmtId="10" fontId="6" fillId="0" borderId="0"/>
    <xf numFmtId="0" fontId="6" fillId="0" borderId="0"/>
    <xf numFmtId="49" fontId="6" fillId="0" borderId="0" applyFont="0" applyFill="0" applyBorder="0" applyAlignment="0" applyProtection="0"/>
    <xf numFmtId="196" fontId="6" fillId="0" borderId="214" applyBorder="0" applyProtection="0">
      <alignment horizontal="right"/>
    </xf>
    <xf numFmtId="0" fontId="19" fillId="2"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2" borderId="0" applyNumberFormat="0" applyBorder="0" applyAlignment="0" applyProtection="0"/>
    <xf numFmtId="0" fontId="19" fillId="3" borderId="0" applyNumberFormat="0" applyBorder="0" applyAlignment="0" applyProtection="0"/>
    <xf numFmtId="0" fontId="19" fillId="2" borderId="0" applyNumberFormat="0" applyBorder="0" applyAlignment="0" applyProtection="0"/>
    <xf numFmtId="0" fontId="19" fillId="3"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2" borderId="0" applyNumberFormat="0" applyBorder="0" applyAlignment="0" applyProtection="0"/>
    <xf numFmtId="0" fontId="19" fillId="3" borderId="0" applyNumberFormat="0" applyBorder="0" applyAlignment="0" applyProtection="0"/>
    <xf numFmtId="0" fontId="20" fillId="2" borderId="0" applyNumberFormat="0" applyBorder="0" applyAlignment="0" applyProtection="0"/>
    <xf numFmtId="0" fontId="20" fillId="3"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2" borderId="0" applyNumberFormat="0" applyBorder="0" applyAlignment="0" applyProtection="0"/>
    <xf numFmtId="0" fontId="20" fillId="3"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8" borderId="0" applyNumberFormat="0" applyBorder="0" applyAlignment="0" applyProtection="0"/>
    <xf numFmtId="0" fontId="20" fillId="12" borderId="0" applyNumberFormat="0" applyBorder="0" applyAlignment="0" applyProtection="0"/>
    <xf numFmtId="0" fontId="21" fillId="13" borderId="0" applyNumberFormat="0" applyBorder="0" applyAlignment="0" applyProtection="0"/>
    <xf numFmtId="0" fontId="23" fillId="15" borderId="2" applyNumberFormat="0" applyAlignment="0" applyProtection="0"/>
    <xf numFmtId="173" fontId="6" fillId="0" borderId="0" applyFont="0" applyFill="0" applyBorder="0" applyAlignment="0" applyProtection="0"/>
    <xf numFmtId="173" fontId="131"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0" fontId="25" fillId="0" borderId="0" applyNumberFormat="0" applyFill="0" applyBorder="0" applyAlignment="0" applyProtection="0"/>
    <xf numFmtId="0" fontId="26" fillId="16" borderId="0" applyNumberFormat="0" applyBorder="0" applyAlignment="0" applyProtection="0"/>
    <xf numFmtId="0" fontId="27" fillId="0" borderId="3" applyNumberFormat="0" applyFill="0" applyAlignment="0" applyProtection="0"/>
    <xf numFmtId="0" fontId="28" fillId="0" borderId="5" applyNumberFormat="0" applyFill="0" applyAlignment="0" applyProtection="0"/>
    <xf numFmtId="0" fontId="29" fillId="0" borderId="200" applyNumberFormat="0" applyFill="0" applyAlignment="0" applyProtection="0"/>
    <xf numFmtId="0" fontId="29" fillId="0" borderId="0" applyNumberFormat="0" applyFill="0" applyBorder="0" applyAlignment="0" applyProtection="0"/>
    <xf numFmtId="0" fontId="31" fillId="0" borderId="7" applyNumberFormat="0" applyFill="0" applyAlignment="0" applyProtection="0"/>
    <xf numFmtId="0" fontId="32" fillId="6" borderId="0" applyNumberFormat="0" applyBorder="0" applyAlignment="0" applyProtection="0"/>
    <xf numFmtId="0" fontId="6" fillId="0" borderId="0"/>
    <xf numFmtId="0" fontId="6" fillId="20" borderId="0"/>
    <xf numFmtId="0" fontId="5" fillId="0" borderId="0"/>
    <xf numFmtId="0" fontId="6" fillId="0" borderId="0"/>
    <xf numFmtId="0" fontId="6" fillId="20" borderId="0"/>
    <xf numFmtId="0" fontId="5" fillId="0" borderId="0"/>
    <xf numFmtId="0" fontId="6" fillId="0" borderId="0"/>
    <xf numFmtId="9" fontId="6" fillId="0" borderId="0" applyFon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applyFill="0" applyBorder="0"/>
    <xf numFmtId="192" fontId="6" fillId="0" borderId="0"/>
    <xf numFmtId="0" fontId="6" fillId="0" borderId="0"/>
    <xf numFmtId="15" fontId="6" fillId="0" borderId="0"/>
    <xf numFmtId="10" fontId="6" fillId="0" borderId="0"/>
    <xf numFmtId="196" fontId="6" fillId="0" borderId="214" applyBorder="0" applyProtection="0">
      <alignment horizontal="right"/>
    </xf>
    <xf numFmtId="49" fontId="70" fillId="41" borderId="254">
      <alignment horizontal="center" vertical="center" wrapText="1"/>
    </xf>
    <xf numFmtId="0" fontId="4" fillId="0" borderId="0"/>
    <xf numFmtId="0" fontId="6" fillId="0" borderId="0"/>
    <xf numFmtId="0" fontId="4" fillId="0" borderId="0"/>
    <xf numFmtId="0" fontId="6" fillId="20" borderId="0"/>
    <xf numFmtId="0" fontId="4" fillId="0" borderId="0"/>
    <xf numFmtId="0" fontId="4" fillId="0" borderId="0"/>
    <xf numFmtId="171" fontId="6" fillId="0" borderId="0"/>
    <xf numFmtId="0" fontId="4" fillId="91" borderId="0" applyNumberFormat="0" applyBorder="0" applyAlignment="0" applyProtection="0"/>
    <xf numFmtId="0" fontId="4" fillId="92" borderId="0" applyNumberFormat="0" applyBorder="0" applyAlignment="0" applyProtection="0"/>
    <xf numFmtId="165" fontId="6" fillId="14" borderId="0" applyNumberFormat="0" applyFont="0" applyBorder="0" applyAlignment="0">
      <alignment horizontal="right"/>
    </xf>
    <xf numFmtId="0" fontId="22" fillId="5" borderId="196" applyNumberFormat="0" applyAlignment="0" applyProtection="0"/>
    <xf numFmtId="0" fontId="22" fillId="5" borderId="196" applyNumberFormat="0" applyAlignment="0" applyProtection="0"/>
    <xf numFmtId="0" fontId="23" fillId="15" borderId="2" applyNumberFormat="0" applyAlignment="0" applyProtection="0"/>
    <xf numFmtId="43" fontId="4" fillId="0" borderId="0" applyFont="0" applyFill="0" applyBorder="0" applyAlignment="0" applyProtection="0"/>
    <xf numFmtId="43" fontId="6" fillId="0" borderId="0" applyFont="0" applyFill="0" applyBorder="0" applyAlignment="0" applyProtection="0"/>
    <xf numFmtId="173" fontId="6" fillId="0" borderId="0" applyFont="0" applyFill="0" applyBorder="0" applyAlignment="0" applyProtection="0"/>
    <xf numFmtId="43" fontId="19" fillId="0" borderId="0" applyFont="0" applyFill="0" applyBorder="0" applyAlignment="0" applyProtection="0"/>
    <xf numFmtId="43" fontId="6" fillId="0" borderId="0" applyFont="0" applyFill="0" applyBorder="0" applyAlignment="0" applyProtection="0"/>
    <xf numFmtId="0" fontId="6" fillId="0" borderId="0" applyFont="0" applyFill="0" applyBorder="0" applyAlignment="0" applyProtection="0"/>
    <xf numFmtId="173" fontId="131" fillId="0" borderId="0" applyFont="0" applyFill="0" applyBorder="0" applyAlignment="0" applyProtection="0"/>
    <xf numFmtId="173" fontId="131" fillId="0" borderId="0" applyFont="0" applyFill="0" applyBorder="0" applyAlignment="0" applyProtection="0"/>
    <xf numFmtId="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6" fillId="0" borderId="0" applyFont="0" applyFill="0" applyBorder="0" applyAlignment="0" applyProtection="0"/>
    <xf numFmtId="198"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29" fillId="0" borderId="342" applyNumberFormat="0" applyFill="0" applyAlignment="0" applyProtection="0"/>
    <xf numFmtId="0" fontId="29" fillId="0" borderId="342" applyNumberFormat="0" applyFill="0" applyAlignment="0" applyProtection="0"/>
    <xf numFmtId="0" fontId="29" fillId="0" borderId="342" applyNumberFormat="0" applyFill="0" applyAlignment="0" applyProtection="0"/>
    <xf numFmtId="0" fontId="29" fillId="0" borderId="342" applyNumberFormat="0" applyFill="0" applyAlignment="0" applyProtection="0"/>
    <xf numFmtId="0" fontId="29" fillId="0" borderId="342" applyNumberFormat="0" applyFill="0" applyAlignment="0" applyProtection="0"/>
    <xf numFmtId="0" fontId="29" fillId="0" borderId="342" applyNumberFormat="0" applyFill="0" applyAlignment="0" applyProtection="0"/>
    <xf numFmtId="0" fontId="29" fillId="0" borderId="342" applyNumberFormat="0" applyFill="0" applyAlignment="0" applyProtection="0"/>
    <xf numFmtId="0" fontId="29" fillId="0" borderId="342" applyNumberFormat="0" applyFill="0" applyAlignment="0" applyProtection="0"/>
    <xf numFmtId="0" fontId="29" fillId="0" borderId="342" applyNumberFormat="0" applyFill="0" applyAlignment="0" applyProtection="0"/>
    <xf numFmtId="0" fontId="29" fillId="0" borderId="342" applyNumberFormat="0" applyFill="0" applyAlignment="0" applyProtection="0"/>
    <xf numFmtId="0" fontId="29" fillId="0" borderId="342" applyNumberFormat="0" applyFill="0" applyAlignment="0" applyProtection="0"/>
    <xf numFmtId="0" fontId="29" fillId="0" borderId="342" applyNumberFormat="0" applyFill="0" applyAlignment="0" applyProtection="0"/>
    <xf numFmtId="0" fontId="29" fillId="0" borderId="342" applyNumberFormat="0" applyFill="0" applyAlignment="0" applyProtection="0"/>
    <xf numFmtId="0" fontId="29" fillId="0" borderId="342" applyNumberFormat="0" applyFill="0" applyAlignment="0" applyProtection="0"/>
    <xf numFmtId="0" fontId="29" fillId="0" borderId="342" applyNumberFormat="0" applyFill="0" applyAlignment="0" applyProtection="0"/>
    <xf numFmtId="0" fontId="29" fillId="0" borderId="342" applyNumberFormat="0" applyFill="0" applyAlignment="0" applyProtection="0"/>
    <xf numFmtId="0" fontId="29" fillId="0" borderId="342" applyNumberFormat="0" applyFill="0" applyAlignment="0" applyProtection="0"/>
    <xf numFmtId="0" fontId="29" fillId="0" borderId="342" applyNumberFormat="0" applyFill="0" applyAlignment="0" applyProtection="0"/>
    <xf numFmtId="0" fontId="29" fillId="0" borderId="342" applyNumberFormat="0" applyFill="0" applyAlignment="0" applyProtection="0"/>
    <xf numFmtId="0" fontId="29" fillId="0" borderId="342" applyNumberFormat="0" applyFill="0" applyAlignment="0" applyProtection="0"/>
    <xf numFmtId="0" fontId="29" fillId="0" borderId="342" applyNumberFormat="0" applyFill="0" applyAlignment="0" applyProtection="0"/>
    <xf numFmtId="0" fontId="29" fillId="0" borderId="342" applyNumberFormat="0" applyFill="0" applyAlignment="0" applyProtection="0"/>
    <xf numFmtId="0" fontId="29" fillId="0" borderId="342" applyNumberFormat="0" applyFill="0" applyAlignment="0" applyProtection="0"/>
    <xf numFmtId="0" fontId="29" fillId="0" borderId="342" applyNumberFormat="0" applyFill="0" applyAlignment="0" applyProtection="0"/>
    <xf numFmtId="0" fontId="29" fillId="0" borderId="342" applyNumberFormat="0" applyFill="0" applyAlignment="0" applyProtection="0"/>
    <xf numFmtId="0" fontId="29" fillId="0" borderId="342" applyNumberFormat="0" applyFill="0" applyAlignment="0" applyProtection="0"/>
    <xf numFmtId="0" fontId="29" fillId="0" borderId="342" applyNumberFormat="0" applyFill="0" applyAlignment="0" applyProtection="0"/>
    <xf numFmtId="0" fontId="29" fillId="0" borderId="342" applyNumberFormat="0" applyFill="0" applyAlignment="0" applyProtection="0"/>
    <xf numFmtId="0" fontId="29" fillId="0" borderId="342" applyNumberFormat="0" applyFill="0" applyAlignment="0" applyProtection="0"/>
    <xf numFmtId="0" fontId="29" fillId="0" borderId="342" applyNumberFormat="0" applyFill="0" applyAlignment="0" applyProtection="0"/>
    <xf numFmtId="0" fontId="29" fillId="0" borderId="342" applyNumberFormat="0" applyFill="0" applyAlignment="0" applyProtection="0"/>
    <xf numFmtId="0" fontId="29" fillId="0" borderId="342" applyNumberFormat="0" applyFill="0" applyAlignment="0" applyProtection="0"/>
    <xf numFmtId="0" fontId="29" fillId="0" borderId="342" applyNumberFormat="0" applyFill="0" applyAlignment="0" applyProtection="0"/>
    <xf numFmtId="0" fontId="29" fillId="0" borderId="342" applyNumberFormat="0" applyFill="0" applyAlignment="0" applyProtection="0"/>
    <xf numFmtId="0" fontId="29" fillId="0" borderId="342" applyNumberFormat="0" applyFill="0" applyAlignment="0" applyProtection="0"/>
    <xf numFmtId="0" fontId="29" fillId="0" borderId="342" applyNumberFormat="0" applyFill="0" applyAlignment="0" applyProtection="0"/>
    <xf numFmtId="0" fontId="29" fillId="0" borderId="342" applyNumberFormat="0" applyFill="0" applyAlignment="0" applyProtection="0"/>
    <xf numFmtId="0" fontId="29" fillId="0" borderId="342" applyNumberFormat="0" applyFill="0" applyAlignment="0" applyProtection="0"/>
    <xf numFmtId="0" fontId="29" fillId="0" borderId="342" applyNumberFormat="0" applyFill="0" applyAlignment="0" applyProtection="0"/>
    <xf numFmtId="0" fontId="29" fillId="0" borderId="342" applyNumberFormat="0" applyFill="0" applyAlignment="0" applyProtection="0"/>
    <xf numFmtId="0" fontId="29" fillId="0" borderId="342" applyNumberFormat="0" applyFill="0" applyAlignment="0" applyProtection="0"/>
    <xf numFmtId="0" fontId="29" fillId="0" borderId="342" applyNumberFormat="0" applyFill="0" applyAlignment="0" applyProtection="0"/>
    <xf numFmtId="0" fontId="29" fillId="0" borderId="342" applyNumberFormat="0" applyFill="0" applyAlignment="0" applyProtection="0"/>
    <xf numFmtId="0" fontId="29" fillId="0" borderId="342" applyNumberFormat="0" applyFill="0" applyAlignment="0" applyProtection="0"/>
    <xf numFmtId="0" fontId="29" fillId="0" borderId="342" applyNumberFormat="0" applyFill="0" applyAlignment="0" applyProtection="0"/>
    <xf numFmtId="0" fontId="29" fillId="0" borderId="342" applyNumberFormat="0" applyFill="0" applyAlignment="0" applyProtection="0"/>
    <xf numFmtId="0" fontId="12"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53" fillId="0" borderId="0" applyNumberFormat="0" applyFill="0" applyBorder="0" applyAlignment="0" applyProtection="0"/>
    <xf numFmtId="0" fontId="12" fillId="0" borderId="0" applyNumberFormat="0" applyFill="0" applyBorder="0" applyAlignment="0" applyProtection="0">
      <alignment vertical="top"/>
      <protection locked="0"/>
    </xf>
    <xf numFmtId="181" fontId="6" fillId="18" borderId="0" applyFont="0" applyBorder="0">
      <alignment horizontal="right"/>
    </xf>
    <xf numFmtId="164" fontId="6" fillId="18" borderId="0" applyFont="0" applyBorder="0" applyAlignment="0"/>
    <xf numFmtId="0" fontId="30" fillId="3" borderId="196" applyNumberFormat="0" applyAlignment="0" applyProtection="0"/>
    <xf numFmtId="0" fontId="30" fillId="3" borderId="196" applyNumberFormat="0" applyAlignment="0" applyProtection="0"/>
    <xf numFmtId="165" fontId="6" fillId="17" borderId="0" applyFont="0" applyBorder="0" applyAlignment="0">
      <alignment horizontal="right"/>
      <protection locked="0"/>
    </xf>
    <xf numFmtId="165" fontId="6" fillId="17" borderId="0" applyFont="0" applyBorder="0" applyAlignment="0">
      <alignment horizontal="right"/>
      <protection locked="0"/>
    </xf>
    <xf numFmtId="165" fontId="6" fillId="17" borderId="0" applyFont="0" applyBorder="0" applyAlignment="0">
      <alignment horizontal="right"/>
      <protection locked="0"/>
    </xf>
    <xf numFmtId="165" fontId="6" fillId="17" borderId="0" applyFont="0" applyBorder="0" applyAlignment="0">
      <alignment horizontal="right"/>
      <protection locked="0"/>
    </xf>
    <xf numFmtId="165" fontId="6" fillId="37" borderId="0" applyFont="0" applyBorder="0" applyAlignment="0">
      <alignment horizontal="right"/>
      <protection locked="0"/>
    </xf>
    <xf numFmtId="10" fontId="6" fillId="37" borderId="0" applyFont="0" applyBorder="0">
      <alignment horizontal="right"/>
      <protection locked="0"/>
    </xf>
    <xf numFmtId="3" fontId="6" fillId="93" borderId="0" applyFont="0" applyBorder="0">
      <protection locked="0"/>
    </xf>
    <xf numFmtId="164" fontId="112" fillId="93" borderId="0" applyBorder="0" applyAlignment="0">
      <protection locked="0"/>
    </xf>
    <xf numFmtId="184" fontId="6" fillId="70" borderId="0" applyFont="0" applyBorder="0">
      <alignment horizontal="right"/>
      <protection locked="0"/>
    </xf>
    <xf numFmtId="165" fontId="6" fillId="18" borderId="0" applyFont="0" applyBorder="0">
      <alignment horizontal="right"/>
      <protection locked="0"/>
    </xf>
    <xf numFmtId="199" fontId="4" fillId="25" borderId="43">
      <protection locked="0"/>
    </xf>
    <xf numFmtId="199" fontId="4" fillId="25" borderId="43">
      <protection locked="0"/>
    </xf>
    <xf numFmtId="199" fontId="4" fillId="25" borderId="43">
      <protection locked="0"/>
    </xf>
    <xf numFmtId="49" fontId="4" fillId="25" borderId="43" applyFont="0" applyAlignment="0">
      <alignment horizontal="left" vertical="center" wrapText="1"/>
      <protection locked="0"/>
    </xf>
    <xf numFmtId="49" fontId="4" fillId="25" borderId="43" applyFont="0" applyAlignment="0">
      <alignment horizontal="left" vertical="center" wrapText="1"/>
      <protection locked="0"/>
    </xf>
    <xf numFmtId="49" fontId="4" fillId="25" borderId="43" applyFont="0" applyAlignment="0">
      <alignment horizontal="left" vertical="center" wrapText="1"/>
      <protection locked="0"/>
    </xf>
    <xf numFmtId="164" fontId="154" fillId="23" borderId="0" applyBorder="0" applyAlignment="0"/>
    <xf numFmtId="181" fontId="145" fillId="14" borderId="13" applyFont="0" applyBorder="0" applyAlignment="0"/>
    <xf numFmtId="164" fontId="112" fillId="14" borderId="0" applyFont="0" applyBorder="0" applyAlignment="0"/>
    <xf numFmtId="199" fontId="4" fillId="29" borderId="43"/>
    <xf numFmtId="199" fontId="4" fillId="29" borderId="43"/>
    <xf numFmtId="199" fontId="4" fillId="29" borderId="43"/>
    <xf numFmtId="0" fontId="6" fillId="20" borderId="0"/>
    <xf numFmtId="0" fontId="6" fillId="0" borderId="0"/>
    <xf numFmtId="0" fontId="6" fillId="20" borderId="0"/>
    <xf numFmtId="0" fontId="4" fillId="0" borderId="0"/>
    <xf numFmtId="0" fontId="6" fillId="0" borderId="0" applyFill="0"/>
    <xf numFmtId="0" fontId="6" fillId="0" borderId="0" applyFill="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20" borderId="0"/>
    <xf numFmtId="0" fontId="6" fillId="20" borderId="0"/>
    <xf numFmtId="0" fontId="6" fillId="0" borderId="0"/>
    <xf numFmtId="0" fontId="131" fillId="0" borderId="0"/>
    <xf numFmtId="0" fontId="19" fillId="0" borderId="0"/>
    <xf numFmtId="0" fontId="19" fillId="0" borderId="0"/>
    <xf numFmtId="0" fontId="6" fillId="0" borderId="0"/>
    <xf numFmtId="0" fontId="6" fillId="0" borderId="0" applyFill="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20" borderId="0"/>
    <xf numFmtId="0" fontId="6" fillId="20" borderId="0"/>
    <xf numFmtId="0" fontId="6" fillId="0" borderId="0"/>
    <xf numFmtId="0" fontId="6" fillId="20" borderId="0"/>
    <xf numFmtId="0" fontId="4" fillId="0" borderId="0"/>
    <xf numFmtId="0" fontId="4" fillId="0" borderId="0"/>
    <xf numFmtId="0" fontId="4" fillId="0" borderId="0"/>
    <xf numFmtId="0" fontId="6" fillId="0" borderId="0"/>
    <xf numFmtId="0" fontId="6" fillId="0" borderId="0"/>
    <xf numFmtId="0" fontId="4" fillId="0" borderId="0">
      <protection locked="0"/>
    </xf>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applyFill="0"/>
    <xf numFmtId="0" fontId="6" fillId="0" borderId="0"/>
    <xf numFmtId="0" fontId="4" fillId="0" borderId="0"/>
    <xf numFmtId="0" fontId="19" fillId="0" borderId="0"/>
    <xf numFmtId="0" fontId="6" fillId="2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84" borderId="0"/>
    <xf numFmtId="0" fontId="6" fillId="4" borderId="197" applyNumberFormat="0" applyFont="0" applyAlignment="0" applyProtection="0"/>
    <xf numFmtId="0" fontId="6" fillId="4" borderId="197" applyNumberFormat="0" applyFont="0" applyAlignment="0" applyProtection="0"/>
    <xf numFmtId="0" fontId="6" fillId="4" borderId="197" applyNumberFormat="0" applyFont="0" applyAlignment="0" applyProtection="0"/>
    <xf numFmtId="0" fontId="6" fillId="4" borderId="197" applyNumberFormat="0" applyFont="0" applyAlignment="0" applyProtection="0"/>
    <xf numFmtId="0" fontId="6" fillId="4" borderId="197" applyNumberFormat="0" applyFont="0" applyAlignment="0" applyProtection="0"/>
    <xf numFmtId="0" fontId="6" fillId="4" borderId="197" applyNumberFormat="0" applyFont="0" applyAlignment="0" applyProtection="0"/>
    <xf numFmtId="0" fontId="6" fillId="4" borderId="197" applyNumberFormat="0" applyFont="0" applyAlignment="0" applyProtection="0"/>
    <xf numFmtId="0" fontId="6" fillId="4" borderId="197" applyNumberFormat="0" applyFont="0" applyAlignment="0" applyProtection="0"/>
    <xf numFmtId="0" fontId="33" fillId="5" borderId="198" applyNumberFormat="0" applyAlignment="0" applyProtection="0"/>
    <xf numFmtId="0" fontId="33" fillId="5" borderId="198"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0" fontId="122" fillId="0" borderId="343">
      <alignment horizontal="center"/>
    </xf>
    <xf numFmtId="0" fontId="122" fillId="0" borderId="343">
      <alignment horizontal="center"/>
    </xf>
    <xf numFmtId="0" fontId="122" fillId="0" borderId="343">
      <alignment horizontal="center"/>
    </xf>
    <xf numFmtId="0" fontId="122" fillId="0" borderId="343">
      <alignment horizontal="center"/>
    </xf>
    <xf numFmtId="0" fontId="122" fillId="0" borderId="343">
      <alignment horizontal="center"/>
    </xf>
    <xf numFmtId="0" fontId="122" fillId="0" borderId="343">
      <alignment horizontal="center"/>
    </xf>
    <xf numFmtId="199" fontId="61" fillId="25" borderId="93">
      <alignment horizontal="right" indent="2"/>
      <protection locked="0"/>
    </xf>
    <xf numFmtId="0" fontId="18" fillId="94" borderId="0"/>
    <xf numFmtId="0" fontId="6" fillId="0" borderId="0"/>
    <xf numFmtId="0" fontId="6" fillId="0" borderId="0"/>
    <xf numFmtId="0" fontId="6" fillId="0" borderId="0"/>
    <xf numFmtId="0" fontId="6" fillId="0" borderId="0"/>
    <xf numFmtId="0" fontId="6" fillId="0" borderId="0"/>
    <xf numFmtId="0" fontId="18" fillId="34" borderId="0">
      <alignment horizontal="left" vertical="center"/>
      <protection locked="0"/>
    </xf>
    <xf numFmtId="0" fontId="155" fillId="27" borderId="0">
      <alignment vertical="center"/>
      <protection locked="0"/>
    </xf>
    <xf numFmtId="0" fontId="24" fillId="0" borderId="199" applyNumberFormat="0" applyFill="0" applyAlignment="0" applyProtection="0"/>
    <xf numFmtId="0" fontId="24" fillId="0" borderId="199" applyNumberFormat="0" applyFill="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0" fontId="6" fillId="20" borderId="0"/>
    <xf numFmtId="0" fontId="6" fillId="20" borderId="0"/>
    <xf numFmtId="0" fontId="6" fillId="20" borderId="0"/>
    <xf numFmtId="0" fontId="6" fillId="20" borderId="0"/>
    <xf numFmtId="0" fontId="6" fillId="20" borderId="0"/>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2" fillId="91" borderId="0" applyNumberFormat="0" applyBorder="0" applyAlignment="0" applyProtection="0"/>
    <xf numFmtId="0" fontId="19" fillId="2"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2" borderId="0" applyNumberFormat="0" applyBorder="0" applyAlignment="0" applyProtection="0"/>
    <xf numFmtId="0" fontId="19" fillId="3" borderId="0" applyNumberFormat="0" applyBorder="0" applyAlignment="0" applyProtection="0"/>
    <xf numFmtId="0" fontId="2" fillId="92" borderId="0" applyNumberFormat="0" applyBorder="0" applyAlignment="0" applyProtection="0"/>
    <xf numFmtId="0" fontId="19" fillId="2"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19" fillId="3" borderId="0" applyNumberFormat="0" applyBorder="0" applyAlignment="0" applyProtection="0"/>
    <xf numFmtId="0" fontId="2" fillId="96"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2" borderId="0" applyNumberFormat="0" applyBorder="0" applyAlignment="0" applyProtection="0"/>
    <xf numFmtId="0" fontId="19" fillId="3" borderId="0" applyNumberFormat="0" applyBorder="0" applyAlignment="0" applyProtection="0"/>
    <xf numFmtId="0" fontId="20" fillId="2" borderId="0" applyNumberFormat="0" applyBorder="0" applyAlignment="0" applyProtection="0"/>
    <xf numFmtId="0" fontId="20" fillId="3"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2" borderId="0" applyNumberFormat="0" applyBorder="0" applyAlignment="0" applyProtection="0"/>
    <xf numFmtId="0" fontId="20" fillId="3"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1" fillId="13" borderId="0" applyNumberFormat="0" applyBorder="0" applyAlignment="0" applyProtection="0"/>
    <xf numFmtId="0" fontId="22" fillId="5" borderId="196" applyNumberFormat="0" applyAlignment="0" applyProtection="0"/>
    <xf numFmtId="0" fontId="23" fillId="15"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3" fontId="175" fillId="0" borderId="0" applyFont="0" applyFill="0" applyBorder="0" applyAlignment="0" applyProtection="0"/>
    <xf numFmtId="43" fontId="6"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0" fontId="6" fillId="0" borderId="0" applyFont="0" applyFill="0" applyBorder="0" applyAlignment="0" applyProtection="0"/>
    <xf numFmtId="173" fontId="2" fillId="0" borderId="0" applyFont="0" applyFill="0" applyBorder="0" applyAlignment="0" applyProtection="0"/>
    <xf numFmtId="43" fontId="134" fillId="0" borderId="0" applyFont="0" applyFill="0" applyBorder="0" applyAlignment="0" applyProtection="0"/>
    <xf numFmtId="17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6" fillId="0" borderId="0" applyFont="0" applyFill="0" applyBorder="0" applyAlignment="0" applyProtection="0"/>
    <xf numFmtId="0" fontId="25" fillId="0" borderId="0" applyNumberFormat="0" applyFill="0" applyBorder="0" applyAlignment="0" applyProtection="0"/>
    <xf numFmtId="0" fontId="26" fillId="16" borderId="0" applyNumberFormat="0" applyBorder="0" applyAlignment="0" applyProtection="0"/>
    <xf numFmtId="0" fontId="27" fillId="0" borderId="3" applyNumberFormat="0" applyFill="0" applyAlignment="0" applyProtection="0"/>
    <xf numFmtId="0" fontId="28" fillId="0" borderId="5" applyNumberFormat="0" applyFill="0" applyAlignment="0" applyProtection="0"/>
    <xf numFmtId="0" fontId="29" fillId="0" borderId="362" applyNumberFormat="0" applyFill="0" applyAlignment="0" applyProtection="0"/>
    <xf numFmtId="0" fontId="29" fillId="0" borderId="362" applyNumberFormat="0" applyFill="0" applyAlignment="0" applyProtection="0"/>
    <xf numFmtId="0" fontId="29" fillId="0" borderId="362" applyNumberFormat="0" applyFill="0" applyAlignment="0" applyProtection="0"/>
    <xf numFmtId="0" fontId="29" fillId="0" borderId="362" applyNumberFormat="0" applyFill="0" applyAlignment="0" applyProtection="0"/>
    <xf numFmtId="0" fontId="29" fillId="0" borderId="362" applyNumberFormat="0" applyFill="0" applyAlignment="0" applyProtection="0"/>
    <xf numFmtId="0" fontId="29" fillId="0" borderId="362" applyNumberFormat="0" applyFill="0" applyAlignment="0" applyProtection="0"/>
    <xf numFmtId="0" fontId="29" fillId="0" borderId="362" applyNumberFormat="0" applyFill="0" applyAlignment="0" applyProtection="0"/>
    <xf numFmtId="0" fontId="29" fillId="0" borderId="362" applyNumberFormat="0" applyFill="0" applyAlignment="0" applyProtection="0"/>
    <xf numFmtId="0" fontId="29" fillId="0" borderId="362" applyNumberFormat="0" applyFill="0" applyAlignment="0" applyProtection="0"/>
    <xf numFmtId="0" fontId="29" fillId="0" borderId="362" applyNumberFormat="0" applyFill="0" applyAlignment="0" applyProtection="0"/>
    <xf numFmtId="0" fontId="29" fillId="0" borderId="362" applyNumberFormat="0" applyFill="0" applyAlignment="0" applyProtection="0"/>
    <xf numFmtId="0" fontId="29" fillId="0" borderId="362" applyNumberFormat="0" applyFill="0" applyAlignment="0" applyProtection="0"/>
    <xf numFmtId="0" fontId="29" fillId="0" borderId="362" applyNumberFormat="0" applyFill="0" applyAlignment="0" applyProtection="0"/>
    <xf numFmtId="0" fontId="29" fillId="0" borderId="362" applyNumberFormat="0" applyFill="0" applyAlignment="0" applyProtection="0"/>
    <xf numFmtId="0" fontId="29" fillId="0" borderId="362" applyNumberFormat="0" applyFill="0" applyAlignment="0" applyProtection="0"/>
    <xf numFmtId="0" fontId="29" fillId="0" borderId="362" applyNumberFormat="0" applyFill="0" applyAlignment="0" applyProtection="0"/>
    <xf numFmtId="0" fontId="29" fillId="0" borderId="362" applyNumberFormat="0" applyFill="0" applyAlignment="0" applyProtection="0"/>
    <xf numFmtId="0" fontId="29" fillId="0" borderId="362" applyNumberFormat="0" applyFill="0" applyAlignment="0" applyProtection="0"/>
    <xf numFmtId="0" fontId="29" fillId="0" borderId="362" applyNumberFormat="0" applyFill="0" applyAlignment="0" applyProtection="0"/>
    <xf numFmtId="0" fontId="29" fillId="0" borderId="362" applyNumberFormat="0" applyFill="0" applyAlignment="0" applyProtection="0"/>
    <xf numFmtId="0" fontId="29" fillId="0" borderId="362" applyNumberFormat="0" applyFill="0" applyAlignment="0" applyProtection="0"/>
    <xf numFmtId="0" fontId="29" fillId="0" borderId="362" applyNumberFormat="0" applyFill="0" applyAlignment="0" applyProtection="0"/>
    <xf numFmtId="0" fontId="29" fillId="0" borderId="362" applyNumberFormat="0" applyFill="0" applyAlignment="0" applyProtection="0"/>
    <xf numFmtId="0" fontId="29" fillId="0" borderId="362" applyNumberFormat="0" applyFill="0" applyAlignment="0" applyProtection="0"/>
    <xf numFmtId="0" fontId="29" fillId="0" borderId="362" applyNumberFormat="0" applyFill="0" applyAlignment="0" applyProtection="0"/>
    <xf numFmtId="0" fontId="29" fillId="0" borderId="362" applyNumberFormat="0" applyFill="0" applyAlignment="0" applyProtection="0"/>
    <xf numFmtId="0" fontId="29" fillId="0" borderId="362" applyNumberFormat="0" applyFill="0" applyAlignment="0" applyProtection="0"/>
    <xf numFmtId="0" fontId="29" fillId="0" borderId="362" applyNumberFormat="0" applyFill="0" applyAlignment="0" applyProtection="0"/>
    <xf numFmtId="0" fontId="29" fillId="0" borderId="362" applyNumberFormat="0" applyFill="0" applyAlignment="0" applyProtection="0"/>
    <xf numFmtId="0" fontId="29" fillId="0" borderId="362" applyNumberFormat="0" applyFill="0" applyAlignment="0" applyProtection="0"/>
    <xf numFmtId="0" fontId="29" fillId="0" borderId="362" applyNumberFormat="0" applyFill="0" applyAlignment="0" applyProtection="0"/>
    <xf numFmtId="0" fontId="29" fillId="0" borderId="362" applyNumberFormat="0" applyFill="0" applyAlignment="0" applyProtection="0"/>
    <xf numFmtId="0" fontId="29" fillId="0" borderId="362" applyNumberFormat="0" applyFill="0" applyAlignment="0" applyProtection="0"/>
    <xf numFmtId="0" fontId="29" fillId="0" borderId="362" applyNumberFormat="0" applyFill="0" applyAlignment="0" applyProtection="0"/>
    <xf numFmtId="0" fontId="29" fillId="0" borderId="362" applyNumberFormat="0" applyFill="0" applyAlignment="0" applyProtection="0"/>
    <xf numFmtId="0" fontId="29" fillId="0" borderId="362" applyNumberFormat="0" applyFill="0" applyAlignment="0" applyProtection="0"/>
    <xf numFmtId="0" fontId="29" fillId="0" borderId="362" applyNumberFormat="0" applyFill="0" applyAlignment="0" applyProtection="0"/>
    <xf numFmtId="0" fontId="29" fillId="0" borderId="362" applyNumberFormat="0" applyFill="0" applyAlignment="0" applyProtection="0"/>
    <xf numFmtId="0" fontId="29" fillId="0" borderId="362" applyNumberFormat="0" applyFill="0" applyAlignment="0" applyProtection="0"/>
    <xf numFmtId="0" fontId="29" fillId="0" borderId="362" applyNumberFormat="0" applyFill="0" applyAlignment="0" applyProtection="0"/>
    <xf numFmtId="0" fontId="29" fillId="0" borderId="362" applyNumberFormat="0" applyFill="0" applyAlignment="0" applyProtection="0"/>
    <xf numFmtId="0" fontId="29" fillId="0" borderId="362" applyNumberFormat="0" applyFill="0" applyAlignment="0" applyProtection="0"/>
    <xf numFmtId="0" fontId="29" fillId="0" borderId="362" applyNumberFormat="0" applyFill="0" applyAlignment="0" applyProtection="0"/>
    <xf numFmtId="0" fontId="29" fillId="0" borderId="362" applyNumberFormat="0" applyFill="0" applyAlignment="0" applyProtection="0"/>
    <xf numFmtId="0" fontId="29" fillId="0" borderId="362" applyNumberFormat="0" applyFill="0" applyAlignment="0" applyProtection="0"/>
    <xf numFmtId="0" fontId="29" fillId="0" borderId="362" applyNumberFormat="0" applyFill="0" applyAlignment="0" applyProtection="0"/>
    <xf numFmtId="0" fontId="29" fillId="0" borderId="362" applyNumberFormat="0" applyFill="0" applyAlignment="0" applyProtection="0"/>
    <xf numFmtId="0" fontId="29" fillId="0" borderId="362" applyNumberFormat="0" applyFill="0" applyAlignment="0" applyProtection="0"/>
    <xf numFmtId="0" fontId="29" fillId="0" borderId="362" applyNumberFormat="0" applyFill="0" applyAlignment="0" applyProtection="0"/>
    <xf numFmtId="0" fontId="29" fillId="0" borderId="0" applyNumberFormat="0" applyFill="0" applyBorder="0" applyAlignment="0" applyProtection="0"/>
    <xf numFmtId="0" fontId="30" fillId="3" borderId="196" applyNumberFormat="0" applyAlignment="0" applyProtection="0"/>
    <xf numFmtId="199" fontId="2" fillId="25" borderId="43">
      <protection locked="0"/>
    </xf>
    <xf numFmtId="199" fontId="2" fillId="25" borderId="43">
      <protection locked="0"/>
    </xf>
    <xf numFmtId="199" fontId="2" fillId="25" borderId="43">
      <protection locked="0"/>
    </xf>
    <xf numFmtId="49" fontId="2" fillId="25" borderId="43" applyFont="0" applyAlignment="0">
      <alignment horizontal="left" vertical="center" wrapText="1"/>
      <protection locked="0"/>
    </xf>
    <xf numFmtId="49" fontId="2" fillId="25" borderId="43" applyFont="0" applyAlignment="0">
      <alignment horizontal="left" vertical="center" wrapText="1"/>
      <protection locked="0"/>
    </xf>
    <xf numFmtId="49" fontId="2" fillId="25" borderId="43" applyFont="0" applyAlignment="0">
      <alignment horizontal="left" vertical="center" wrapText="1"/>
      <protection locked="0"/>
    </xf>
    <xf numFmtId="0" fontId="31" fillId="0" borderId="7" applyNumberFormat="0" applyFill="0" applyAlignment="0" applyProtection="0"/>
    <xf numFmtId="0" fontId="32" fillId="6" borderId="0" applyNumberFormat="0" applyBorder="0" applyAlignment="0" applyProtection="0"/>
    <xf numFmtId="199" fontId="2" fillId="29" borderId="43"/>
    <xf numFmtId="199" fontId="2" fillId="29" borderId="43"/>
    <xf numFmtId="199" fontId="2" fillId="29" borderId="43"/>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4" fillId="0" borderId="0"/>
    <xf numFmtId="0" fontId="6"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4" fillId="0" borderId="0"/>
    <xf numFmtId="0" fontId="6" fillId="0" borderId="0"/>
    <xf numFmtId="0" fontId="2" fillId="0" borderId="0"/>
    <xf numFmtId="0" fontId="2" fillId="0" borderId="0">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4" borderId="197" applyNumberFormat="0" applyFont="0" applyAlignment="0" applyProtection="0"/>
    <xf numFmtId="0" fontId="33" fillId="5" borderId="198" applyNumberFormat="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75"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22" fillId="0" borderId="363">
      <alignment horizontal="center"/>
    </xf>
    <xf numFmtId="0" fontId="122" fillId="0" borderId="363">
      <alignment horizontal="center"/>
    </xf>
    <xf numFmtId="0" fontId="176" fillId="0" borderId="364" applyNumberFormat="0" applyFont="0" applyFill="0" applyAlignment="0" applyProtection="0"/>
    <xf numFmtId="200" fontId="177" fillId="0" borderId="365" applyNumberFormat="0" applyProtection="0">
      <alignment horizontal="right" vertical="center"/>
    </xf>
    <xf numFmtId="200" fontId="178" fillId="0" borderId="366" applyNumberFormat="0" applyProtection="0">
      <alignment horizontal="right" vertical="center"/>
    </xf>
    <xf numFmtId="0" fontId="178" fillId="97" borderId="364" applyNumberFormat="0" applyAlignment="0" applyProtection="0">
      <alignment horizontal="left" vertical="center" indent="1"/>
    </xf>
    <xf numFmtId="0" fontId="179" fillId="84" borderId="366" applyNumberFormat="0" applyAlignment="0" applyProtection="0">
      <alignment horizontal="left" vertical="center" indent="1"/>
    </xf>
    <xf numFmtId="0" fontId="179" fillId="84" borderId="366" applyNumberFormat="0" applyAlignment="0" applyProtection="0">
      <alignment horizontal="left" vertical="center" indent="1"/>
    </xf>
    <xf numFmtId="0" fontId="180" fillId="0" borderId="367" applyNumberFormat="0" applyFill="0" applyBorder="0" applyAlignment="0" applyProtection="0"/>
    <xf numFmtId="0" fontId="180" fillId="84" borderId="366" applyNumberFormat="0" applyAlignment="0" applyProtection="0">
      <alignment horizontal="left" vertical="center" indent="1"/>
    </xf>
    <xf numFmtId="0" fontId="180" fillId="84" borderId="366" applyNumberFormat="0" applyAlignment="0" applyProtection="0">
      <alignment horizontal="left" vertical="center" indent="1"/>
    </xf>
    <xf numFmtId="200" fontId="181" fillId="98" borderId="365" applyNumberFormat="0" applyBorder="0" applyProtection="0">
      <alignment horizontal="right" vertical="center"/>
    </xf>
    <xf numFmtId="200" fontId="182" fillId="98" borderId="366" applyNumberFormat="0" applyBorder="0" applyProtection="0">
      <alignment horizontal="right" vertical="center"/>
    </xf>
    <xf numFmtId="0" fontId="180" fillId="99" borderId="366" applyNumberFormat="0" applyAlignment="0" applyProtection="0">
      <alignment horizontal="left" vertical="center" indent="1"/>
    </xf>
    <xf numFmtId="200" fontId="182" fillId="99" borderId="366" applyNumberFormat="0" applyProtection="0">
      <alignment horizontal="right" vertical="center"/>
    </xf>
    <xf numFmtId="0" fontId="183" fillId="0" borderId="367" applyBorder="0" applyAlignment="0" applyProtection="0"/>
    <xf numFmtId="200" fontId="184" fillId="100" borderId="368" applyNumberFormat="0" applyBorder="0" applyAlignment="0" applyProtection="0">
      <alignment horizontal="right" vertical="center" indent="1"/>
    </xf>
    <xf numFmtId="200" fontId="185" fillId="101" borderId="368" applyNumberFormat="0" applyBorder="0" applyAlignment="0" applyProtection="0">
      <alignment horizontal="right" vertical="center" indent="1"/>
    </xf>
    <xf numFmtId="200" fontId="185" fillId="102" borderId="368" applyNumberFormat="0" applyBorder="0" applyAlignment="0" applyProtection="0">
      <alignment horizontal="right" vertical="center" indent="1"/>
    </xf>
    <xf numFmtId="200" fontId="186" fillId="103" borderId="368" applyNumberFormat="0" applyBorder="0" applyAlignment="0" applyProtection="0">
      <alignment horizontal="right" vertical="center" indent="1"/>
    </xf>
    <xf numFmtId="200" fontId="186" fillId="104" borderId="368" applyNumberFormat="0" applyBorder="0" applyAlignment="0" applyProtection="0">
      <alignment horizontal="right" vertical="center" indent="1"/>
    </xf>
    <xf numFmtId="200" fontId="186" fillId="105" borderId="368" applyNumberFormat="0" applyBorder="0" applyAlignment="0" applyProtection="0">
      <alignment horizontal="right" vertical="center" indent="1"/>
    </xf>
    <xf numFmtId="200" fontId="187" fillId="106" borderId="368" applyNumberFormat="0" applyBorder="0" applyAlignment="0" applyProtection="0">
      <alignment horizontal="right" vertical="center" indent="1"/>
    </xf>
    <xf numFmtId="200" fontId="187" fillId="107" borderId="368" applyNumberFormat="0" applyBorder="0" applyAlignment="0" applyProtection="0">
      <alignment horizontal="right" vertical="center" indent="1"/>
    </xf>
    <xf numFmtId="200" fontId="187" fillId="108" borderId="368" applyNumberFormat="0" applyBorder="0" applyAlignment="0" applyProtection="0">
      <alignment horizontal="right" vertical="center" indent="1"/>
    </xf>
    <xf numFmtId="0" fontId="179" fillId="109" borderId="364" applyNumberFormat="0" applyAlignment="0" applyProtection="0">
      <alignment horizontal="left" vertical="center" indent="1"/>
    </xf>
    <xf numFmtId="0" fontId="179" fillId="110" borderId="364" applyNumberFormat="0" applyAlignment="0" applyProtection="0">
      <alignment horizontal="left" vertical="center" indent="1"/>
    </xf>
    <xf numFmtId="0" fontId="179" fillId="111" borderId="364" applyNumberFormat="0" applyAlignment="0" applyProtection="0">
      <alignment horizontal="left" vertical="center" indent="1"/>
    </xf>
    <xf numFmtId="0" fontId="179" fillId="98" borderId="364" applyNumberFormat="0" applyAlignment="0" applyProtection="0">
      <alignment horizontal="left" vertical="center" indent="1"/>
    </xf>
    <xf numFmtId="0" fontId="179" fillId="99" borderId="366" applyNumberFormat="0" applyAlignment="0" applyProtection="0">
      <alignment horizontal="left" vertical="center" indent="1"/>
    </xf>
    <xf numFmtId="200" fontId="177" fillId="98" borderId="365" applyNumberFormat="0" applyBorder="0" applyProtection="0">
      <alignment horizontal="right" vertical="center"/>
    </xf>
    <xf numFmtId="200" fontId="178" fillId="98" borderId="366" applyNumberFormat="0" applyBorder="0" applyProtection="0">
      <alignment horizontal="right" vertical="center"/>
    </xf>
    <xf numFmtId="200" fontId="177" fillId="112" borderId="364" applyNumberFormat="0" applyAlignment="0" applyProtection="0">
      <alignment horizontal="left" vertical="center" indent="1"/>
    </xf>
    <xf numFmtId="0" fontId="178" fillId="97" borderId="366" applyNumberFormat="0" applyAlignment="0" applyProtection="0">
      <alignment horizontal="left" vertical="center" indent="1"/>
    </xf>
    <xf numFmtId="0" fontId="179" fillId="99" borderId="366" applyNumberFormat="0" applyAlignment="0" applyProtection="0">
      <alignment horizontal="left" vertical="center" indent="1"/>
    </xf>
    <xf numFmtId="200" fontId="178" fillId="99" borderId="366" applyNumberFormat="0" applyProtection="0">
      <alignment horizontal="right" vertical="center"/>
    </xf>
    <xf numFmtId="0" fontId="34" fillId="0" borderId="0" applyNumberFormat="0" applyFill="0" applyBorder="0" applyAlignment="0" applyProtection="0"/>
    <xf numFmtId="0" fontId="24" fillId="0" borderId="199" applyNumberFormat="0" applyFill="0" applyAlignment="0" applyProtection="0"/>
    <xf numFmtId="0" fontId="35" fillId="0" borderId="0" applyNumberFormat="0" applyFill="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19" fillId="117"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48" fillId="91" borderId="0" applyNumberFormat="0" applyBorder="0" applyAlignment="0" applyProtection="0"/>
    <xf numFmtId="0" fontId="19" fillId="117" borderId="0" applyNumberFormat="0" applyBorder="0" applyAlignment="0" applyProtection="0"/>
    <xf numFmtId="0" fontId="19" fillId="117" borderId="0" applyNumberFormat="0" applyBorder="0" applyAlignment="0" applyProtection="0"/>
    <xf numFmtId="0" fontId="19" fillId="117"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19" fillId="5" borderId="0" applyNumberFormat="0" applyBorder="0" applyAlignment="0" applyProtection="0"/>
    <xf numFmtId="0" fontId="48"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19" fillId="117"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19" fillId="117"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19" fillId="117"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91"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19" fillId="13"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48" fillId="118"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19" fillId="3" borderId="0" applyNumberFormat="0" applyBorder="0" applyAlignment="0" applyProtection="0"/>
    <xf numFmtId="0" fontId="48"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19" fillId="13"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19" fillId="13"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19" fillId="13"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19" fillId="16"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48" fillId="119"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19" fillId="4" borderId="0" applyNumberFormat="0" applyBorder="0" applyAlignment="0" applyProtection="0"/>
    <xf numFmtId="0" fontId="48"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19" fillId="16"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19" fillId="16"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19" fillId="16"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19" fillId="121"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48" fillId="120" borderId="0" applyNumberFormat="0" applyBorder="0" applyAlignment="0" applyProtection="0"/>
    <xf numFmtId="0" fontId="19" fillId="121" borderId="0" applyNumberFormat="0" applyBorder="0" applyAlignment="0" applyProtection="0"/>
    <xf numFmtId="0" fontId="19" fillId="121" borderId="0" applyNumberFormat="0" applyBorder="0" applyAlignment="0" applyProtection="0"/>
    <xf numFmtId="0" fontId="19" fillId="121"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19" fillId="5" borderId="0" applyNumberFormat="0" applyBorder="0" applyAlignment="0" applyProtection="0"/>
    <xf numFmtId="0" fontId="48"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19" fillId="121"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19" fillId="121"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19" fillId="121"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19" fillId="123"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48" fillId="122" borderId="0" applyNumberFormat="0" applyBorder="0" applyAlignment="0" applyProtection="0"/>
    <xf numFmtId="0" fontId="19" fillId="123" borderId="0" applyNumberFormat="0" applyBorder="0" applyAlignment="0" applyProtection="0"/>
    <xf numFmtId="0" fontId="19" fillId="123" borderId="0" applyNumberFormat="0" applyBorder="0" applyAlignment="0" applyProtection="0"/>
    <xf numFmtId="0" fontId="19" fillId="123"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48"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19" fillId="123"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19" fillId="123"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19" fillId="123"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19" fillId="3"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48" fillId="124"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48"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19" fillId="3"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19" fillId="3"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19" fillId="125"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48" fillId="92" borderId="0" applyNumberFormat="0" applyBorder="0" applyAlignment="0" applyProtection="0"/>
    <xf numFmtId="0" fontId="19" fillId="125" borderId="0" applyNumberFormat="0" applyBorder="0" applyAlignment="0" applyProtection="0"/>
    <xf numFmtId="0" fontId="19" fillId="125" borderId="0" applyNumberFormat="0" applyBorder="0" applyAlignment="0" applyProtection="0"/>
    <xf numFmtId="0" fontId="19" fillId="125"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19" fillId="126" borderId="0" applyNumberFormat="0" applyBorder="0" applyAlignment="0" applyProtection="0"/>
    <xf numFmtId="0" fontId="48"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19" fillId="125"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19" fillId="125"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19" fillId="125"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2"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19" fillId="127"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48" fillId="96" borderId="0" applyNumberFormat="0" applyBorder="0" applyAlignment="0" applyProtection="0"/>
    <xf numFmtId="0" fontId="19" fillId="127" borderId="0" applyNumberFormat="0" applyBorder="0" applyAlignment="0" applyProtection="0"/>
    <xf numFmtId="0" fontId="19" fillId="127" borderId="0" applyNumberFormat="0" applyBorder="0" applyAlignment="0" applyProtection="0"/>
    <xf numFmtId="0" fontId="19" fillId="127"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48"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19" fillId="127"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19" fillId="127"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19" fillId="127"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96"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19" fillId="129"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48" fillId="128" borderId="0" applyNumberFormat="0" applyBorder="0" applyAlignment="0" applyProtection="0"/>
    <xf numFmtId="0" fontId="19" fillId="129" borderId="0" applyNumberFormat="0" applyBorder="0" applyAlignment="0" applyProtection="0"/>
    <xf numFmtId="0" fontId="19" fillId="129" borderId="0" applyNumberFormat="0" applyBorder="0" applyAlignment="0" applyProtection="0"/>
    <xf numFmtId="0" fontId="19" fillId="129"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19" fillId="6" borderId="0" applyNumberFormat="0" applyBorder="0" applyAlignment="0" applyProtection="0"/>
    <xf numFmtId="0" fontId="48"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19" fillId="129"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19" fillId="129"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19" fillId="129"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28"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19" fillId="121"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48" fillId="130" borderId="0" applyNumberFormat="0" applyBorder="0" applyAlignment="0" applyProtection="0"/>
    <xf numFmtId="0" fontId="19" fillId="121" borderId="0" applyNumberFormat="0" applyBorder="0" applyAlignment="0" applyProtection="0"/>
    <xf numFmtId="0" fontId="19" fillId="121" borderId="0" applyNumberFormat="0" applyBorder="0" applyAlignment="0" applyProtection="0"/>
    <xf numFmtId="0" fontId="19" fillId="121"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19" fillId="126" borderId="0" applyNumberFormat="0" applyBorder="0" applyAlignment="0" applyProtection="0"/>
    <xf numFmtId="0" fontId="48"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19" fillId="121"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19" fillId="121"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19" fillId="121"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0"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19" fillId="125"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48" fillId="131" borderId="0" applyNumberFormat="0" applyBorder="0" applyAlignment="0" applyProtection="0"/>
    <xf numFmtId="0" fontId="19" fillId="125" borderId="0" applyNumberFormat="0" applyBorder="0" applyAlignment="0" applyProtection="0"/>
    <xf numFmtId="0" fontId="19" fillId="125" borderId="0" applyNumberFormat="0" applyBorder="0" applyAlignment="0" applyProtection="0"/>
    <xf numFmtId="0" fontId="19" fillId="125"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48"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19" fillId="125"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19" fillId="125"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19" fillId="125"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1"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19" fillId="133"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48" fillId="132" borderId="0" applyNumberFormat="0" applyBorder="0" applyAlignment="0" applyProtection="0"/>
    <xf numFmtId="0" fontId="19" fillId="133" borderId="0" applyNumberFormat="0" applyBorder="0" applyAlignment="0" applyProtection="0"/>
    <xf numFmtId="0" fontId="19" fillId="133" borderId="0" applyNumberFormat="0" applyBorder="0" applyAlignment="0" applyProtection="0"/>
    <xf numFmtId="0" fontId="19" fillId="133"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19" fillId="3" borderId="0" applyNumberFormat="0" applyBorder="0" applyAlignment="0" applyProtection="0"/>
    <xf numFmtId="0" fontId="48"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19" fillId="133"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19" fillId="133"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19" fillId="133"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2" fillId="132" borderId="0" applyNumberFormat="0" applyBorder="0" applyAlignment="0" applyProtection="0"/>
    <xf numFmtId="0" fontId="160" fillId="134" borderId="0" applyNumberFormat="0" applyBorder="0" applyAlignment="0" applyProtection="0"/>
    <xf numFmtId="0" fontId="20" fillId="135" borderId="0" applyNumberFormat="0" applyBorder="0" applyAlignment="0" applyProtection="0"/>
    <xf numFmtId="0" fontId="20" fillId="135" borderId="0" applyNumberFormat="0" applyBorder="0" applyAlignment="0" applyProtection="0"/>
    <xf numFmtId="0" fontId="20" fillId="135" borderId="0" applyNumberFormat="0" applyBorder="0" applyAlignment="0" applyProtection="0"/>
    <xf numFmtId="0" fontId="89" fillId="134" borderId="0" applyNumberFormat="0" applyBorder="0" applyAlignment="0" applyProtection="0"/>
    <xf numFmtId="0" fontId="20" fillId="8" borderId="0" applyNumberFormat="0" applyBorder="0" applyAlignment="0" applyProtection="0"/>
    <xf numFmtId="0" fontId="160" fillId="134" borderId="0" applyNumberFormat="0" applyBorder="0" applyAlignment="0" applyProtection="0"/>
    <xf numFmtId="0" fontId="20" fillId="135" borderId="0" applyNumberFormat="0" applyBorder="0" applyAlignment="0" applyProtection="0"/>
    <xf numFmtId="0" fontId="20" fillId="135" borderId="0" applyNumberFormat="0" applyBorder="0" applyAlignment="0" applyProtection="0"/>
    <xf numFmtId="0" fontId="20" fillId="135" borderId="0" applyNumberFormat="0" applyBorder="0" applyAlignment="0" applyProtection="0"/>
    <xf numFmtId="0" fontId="20" fillId="135" borderId="0" applyNumberFormat="0" applyBorder="0" applyAlignment="0" applyProtection="0"/>
    <xf numFmtId="0" fontId="160" fillId="136" borderId="0" applyNumberFormat="0" applyBorder="0" applyAlignment="0" applyProtection="0"/>
    <xf numFmtId="0" fontId="20" fillId="127" borderId="0" applyNumberFormat="0" applyBorder="0" applyAlignment="0" applyProtection="0"/>
    <xf numFmtId="0" fontId="20" fillId="127" borderId="0" applyNumberFormat="0" applyBorder="0" applyAlignment="0" applyProtection="0"/>
    <xf numFmtId="0" fontId="20" fillId="127" borderId="0" applyNumberFormat="0" applyBorder="0" applyAlignment="0" applyProtection="0"/>
    <xf numFmtId="0" fontId="89" fillId="136" borderId="0" applyNumberFormat="0" applyBorder="0" applyAlignment="0" applyProtection="0"/>
    <xf numFmtId="0" fontId="160" fillId="136" borderId="0" applyNumberFormat="0" applyBorder="0" applyAlignment="0" applyProtection="0"/>
    <xf numFmtId="0" fontId="20" fillId="127" borderId="0" applyNumberFormat="0" applyBorder="0" applyAlignment="0" applyProtection="0"/>
    <xf numFmtId="0" fontId="20" fillId="127" borderId="0" applyNumberFormat="0" applyBorder="0" applyAlignment="0" applyProtection="0"/>
    <xf numFmtId="0" fontId="20" fillId="127" borderId="0" applyNumberFormat="0" applyBorder="0" applyAlignment="0" applyProtection="0"/>
    <xf numFmtId="0" fontId="20" fillId="127" borderId="0" applyNumberFormat="0" applyBorder="0" applyAlignment="0" applyProtection="0"/>
    <xf numFmtId="0" fontId="160" fillId="137" borderId="0" applyNumberFormat="0" applyBorder="0" applyAlignment="0" applyProtection="0"/>
    <xf numFmtId="0" fontId="20" fillId="129" borderId="0" applyNumberFormat="0" applyBorder="0" applyAlignment="0" applyProtection="0"/>
    <xf numFmtId="0" fontId="20" fillId="129" borderId="0" applyNumberFormat="0" applyBorder="0" applyAlignment="0" applyProtection="0"/>
    <xf numFmtId="0" fontId="20" fillId="129" borderId="0" applyNumberFormat="0" applyBorder="0" applyAlignment="0" applyProtection="0"/>
    <xf numFmtId="0" fontId="89" fillId="137" borderId="0" applyNumberFormat="0" applyBorder="0" applyAlignment="0" applyProtection="0"/>
    <xf numFmtId="0" fontId="20" fillId="6" borderId="0" applyNumberFormat="0" applyBorder="0" applyAlignment="0" applyProtection="0"/>
    <xf numFmtId="0" fontId="160" fillId="137" borderId="0" applyNumberFormat="0" applyBorder="0" applyAlignment="0" applyProtection="0"/>
    <xf numFmtId="0" fontId="20" fillId="129" borderId="0" applyNumberFormat="0" applyBorder="0" applyAlignment="0" applyProtection="0"/>
    <xf numFmtId="0" fontId="20" fillId="129" borderId="0" applyNumberFormat="0" applyBorder="0" applyAlignment="0" applyProtection="0"/>
    <xf numFmtId="0" fontId="20" fillId="129" borderId="0" applyNumberFormat="0" applyBorder="0" applyAlignment="0" applyProtection="0"/>
    <xf numFmtId="0" fontId="20" fillId="129" borderId="0" applyNumberFormat="0" applyBorder="0" applyAlignment="0" applyProtection="0"/>
    <xf numFmtId="0" fontId="160" fillId="138" borderId="0" applyNumberFormat="0" applyBorder="0" applyAlignment="0" applyProtection="0"/>
    <xf numFmtId="0" fontId="20" fillId="139" borderId="0" applyNumberFormat="0" applyBorder="0" applyAlignment="0" applyProtection="0"/>
    <xf numFmtId="0" fontId="20" fillId="139" borderId="0" applyNumberFormat="0" applyBorder="0" applyAlignment="0" applyProtection="0"/>
    <xf numFmtId="0" fontId="20" fillId="139" borderId="0" applyNumberFormat="0" applyBorder="0" applyAlignment="0" applyProtection="0"/>
    <xf numFmtId="0" fontId="89" fillId="138" borderId="0" applyNumberFormat="0" applyBorder="0" applyAlignment="0" applyProtection="0"/>
    <xf numFmtId="0" fontId="20" fillId="126" borderId="0" applyNumberFormat="0" applyBorder="0" applyAlignment="0" applyProtection="0"/>
    <xf numFmtId="0" fontId="160" fillId="138" borderId="0" applyNumberFormat="0" applyBorder="0" applyAlignment="0" applyProtection="0"/>
    <xf numFmtId="0" fontId="20" fillId="139" borderId="0" applyNumberFormat="0" applyBorder="0" applyAlignment="0" applyProtection="0"/>
    <xf numFmtId="0" fontId="20" fillId="139" borderId="0" applyNumberFormat="0" applyBorder="0" applyAlignment="0" applyProtection="0"/>
    <xf numFmtId="0" fontId="20" fillId="139" borderId="0" applyNumberFormat="0" applyBorder="0" applyAlignment="0" applyProtection="0"/>
    <xf numFmtId="0" fontId="20" fillId="139" borderId="0" applyNumberFormat="0" applyBorder="0" applyAlignment="0" applyProtection="0"/>
    <xf numFmtId="0" fontId="160" fillId="140"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89" fillId="140" borderId="0" applyNumberFormat="0" applyBorder="0" applyAlignment="0" applyProtection="0"/>
    <xf numFmtId="0" fontId="160" fillId="140"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160" fillId="141" borderId="0" applyNumberFormat="0" applyBorder="0" applyAlignment="0" applyProtection="0"/>
    <xf numFmtId="0" fontId="20" fillId="142" borderId="0" applyNumberFormat="0" applyBorder="0" applyAlignment="0" applyProtection="0"/>
    <xf numFmtId="0" fontId="20" fillId="142" borderId="0" applyNumberFormat="0" applyBorder="0" applyAlignment="0" applyProtection="0"/>
    <xf numFmtId="0" fontId="20" fillId="142" borderId="0" applyNumberFormat="0" applyBorder="0" applyAlignment="0" applyProtection="0"/>
    <xf numFmtId="0" fontId="89" fillId="141" borderId="0" applyNumberFormat="0" applyBorder="0" applyAlignment="0" applyProtection="0"/>
    <xf numFmtId="0" fontId="20" fillId="3" borderId="0" applyNumberFormat="0" applyBorder="0" applyAlignment="0" applyProtection="0"/>
    <xf numFmtId="0" fontId="160" fillId="141" borderId="0" applyNumberFormat="0" applyBorder="0" applyAlignment="0" applyProtection="0"/>
    <xf numFmtId="0" fontId="20" fillId="142" borderId="0" applyNumberFormat="0" applyBorder="0" applyAlignment="0" applyProtection="0"/>
    <xf numFmtId="0" fontId="20" fillId="142" borderId="0" applyNumberFormat="0" applyBorder="0" applyAlignment="0" applyProtection="0"/>
    <xf numFmtId="0" fontId="20" fillId="142" borderId="0" applyNumberFormat="0" applyBorder="0" applyAlignment="0" applyProtection="0"/>
    <xf numFmtId="0" fontId="20" fillId="142" borderId="0" applyNumberFormat="0" applyBorder="0" applyAlignment="0" applyProtection="0"/>
    <xf numFmtId="0" fontId="20" fillId="143" borderId="0" applyNumberFormat="0" applyBorder="0" applyAlignment="0" applyProtection="0"/>
    <xf numFmtId="0" fontId="20" fillId="143" borderId="0" applyNumberFormat="0" applyBorder="0" applyAlignment="0" applyProtection="0"/>
    <xf numFmtId="0" fontId="20" fillId="143" borderId="0" applyNumberFormat="0" applyBorder="0" applyAlignment="0" applyProtection="0"/>
    <xf numFmtId="0" fontId="160" fillId="144" borderId="0" applyNumberFormat="0" applyBorder="0" applyAlignment="0" applyProtection="0"/>
    <xf numFmtId="0" fontId="20" fillId="143" borderId="0" applyNumberFormat="0" applyBorder="0" applyAlignment="0" applyProtection="0"/>
    <xf numFmtId="0" fontId="20" fillId="143" borderId="0" applyNumberFormat="0" applyBorder="0" applyAlignment="0" applyProtection="0"/>
    <xf numFmtId="0" fontId="20" fillId="143" borderId="0" applyNumberFormat="0" applyBorder="0" applyAlignment="0" applyProtection="0"/>
    <xf numFmtId="0" fontId="89" fillId="144" borderId="0" applyNumberFormat="0" applyBorder="0" applyAlignment="0" applyProtection="0"/>
    <xf numFmtId="0" fontId="20" fillId="8" borderId="0" applyNumberFormat="0" applyBorder="0" applyAlignment="0" applyProtection="0"/>
    <xf numFmtId="0" fontId="160" fillId="144" borderId="0" applyNumberFormat="0" applyBorder="0" applyAlignment="0" applyProtection="0"/>
    <xf numFmtId="0" fontId="20" fillId="143" borderId="0" applyNumberFormat="0" applyBorder="0" applyAlignment="0" applyProtection="0"/>
    <xf numFmtId="0" fontId="20" fillId="143" borderId="0" applyNumberFormat="0" applyBorder="0" applyAlignment="0" applyProtection="0"/>
    <xf numFmtId="0" fontId="20" fillId="143" borderId="0" applyNumberFormat="0" applyBorder="0" applyAlignment="0" applyProtection="0"/>
    <xf numFmtId="0" fontId="20" fillId="143" borderId="0" applyNumberFormat="0" applyBorder="0" applyAlignment="0" applyProtection="0"/>
    <xf numFmtId="0" fontId="20" fillId="143" borderId="0" applyNumberFormat="0" applyBorder="0" applyAlignment="0" applyProtection="0"/>
    <xf numFmtId="0" fontId="160" fillId="145"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89" fillId="145" borderId="0" applyNumberFormat="0" applyBorder="0" applyAlignment="0" applyProtection="0"/>
    <xf numFmtId="0" fontId="160" fillId="145"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160" fillId="146"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89" fillId="146" borderId="0" applyNumberFormat="0" applyBorder="0" applyAlignment="0" applyProtection="0"/>
    <xf numFmtId="0" fontId="160" fillId="146"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39" borderId="0" applyNumberFormat="0" applyBorder="0" applyAlignment="0" applyProtection="0"/>
    <xf numFmtId="0" fontId="20" fillId="139" borderId="0" applyNumberFormat="0" applyBorder="0" applyAlignment="0" applyProtection="0"/>
    <xf numFmtId="0" fontId="20" fillId="139" borderId="0" applyNumberFormat="0" applyBorder="0" applyAlignment="0" applyProtection="0"/>
    <xf numFmtId="0" fontId="160" fillId="147" borderId="0" applyNumberFormat="0" applyBorder="0" applyAlignment="0" applyProtection="0"/>
    <xf numFmtId="0" fontId="20" fillId="139" borderId="0" applyNumberFormat="0" applyBorder="0" applyAlignment="0" applyProtection="0"/>
    <xf numFmtId="0" fontId="20" fillId="139" borderId="0" applyNumberFormat="0" applyBorder="0" applyAlignment="0" applyProtection="0"/>
    <xf numFmtId="0" fontId="20" fillId="139" borderId="0" applyNumberFormat="0" applyBorder="0" applyAlignment="0" applyProtection="0"/>
    <xf numFmtId="0" fontId="89" fillId="147" borderId="0" applyNumberFormat="0" applyBorder="0" applyAlignment="0" applyProtection="0"/>
    <xf numFmtId="0" fontId="20" fillId="11" borderId="0" applyNumberFormat="0" applyBorder="0" applyAlignment="0" applyProtection="0"/>
    <xf numFmtId="0" fontId="160" fillId="147" borderId="0" applyNumberFormat="0" applyBorder="0" applyAlignment="0" applyProtection="0"/>
    <xf numFmtId="0" fontId="20" fillId="139" borderId="0" applyNumberFormat="0" applyBorder="0" applyAlignment="0" applyProtection="0"/>
    <xf numFmtId="0" fontId="20" fillId="139" borderId="0" applyNumberFormat="0" applyBorder="0" applyAlignment="0" applyProtection="0"/>
    <xf numFmtId="0" fontId="20" fillId="139" borderId="0" applyNumberFormat="0" applyBorder="0" applyAlignment="0" applyProtection="0"/>
    <xf numFmtId="0" fontId="20" fillId="139" borderId="0" applyNumberFormat="0" applyBorder="0" applyAlignment="0" applyProtection="0"/>
    <xf numFmtId="0" fontId="20" fillId="139" borderId="0" applyNumberFormat="0" applyBorder="0" applyAlignment="0" applyProtection="0"/>
    <xf numFmtId="0" fontId="160" fillId="14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89" fillId="148" borderId="0" applyNumberFormat="0" applyBorder="0" applyAlignment="0" applyProtection="0"/>
    <xf numFmtId="0" fontId="160" fillId="14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160" fillId="149"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89" fillId="149" borderId="0" applyNumberFormat="0" applyBorder="0" applyAlignment="0" applyProtection="0"/>
    <xf numFmtId="0" fontId="160" fillId="149"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201" fontId="11" fillId="0" borderId="394">
      <alignment horizontal="center" vertical="center"/>
      <protection locked="0"/>
    </xf>
    <xf numFmtId="202" fontId="11" fillId="0" borderId="394">
      <alignment horizontal="center" vertical="center"/>
      <protection locked="0"/>
    </xf>
    <xf numFmtId="203" fontId="11" fillId="0" borderId="394">
      <alignment horizontal="center" vertical="center"/>
      <protection locked="0"/>
    </xf>
    <xf numFmtId="204" fontId="11" fillId="0" borderId="394">
      <alignment horizontal="center" vertical="center"/>
      <protection locked="0"/>
    </xf>
    <xf numFmtId="205" fontId="11" fillId="0" borderId="394">
      <alignment horizontal="center" vertical="center"/>
      <protection locked="0"/>
    </xf>
    <xf numFmtId="195" fontId="11" fillId="0" borderId="394">
      <alignment horizontal="center" vertical="center"/>
      <protection locked="0"/>
    </xf>
    <xf numFmtId="0" fontId="11" fillId="0" borderId="394" applyAlignment="0">
      <protection locked="0"/>
    </xf>
    <xf numFmtId="201" fontId="11" fillId="0" borderId="394">
      <alignment vertical="center"/>
      <protection locked="0"/>
    </xf>
    <xf numFmtId="206" fontId="11" fillId="0" borderId="394">
      <alignment horizontal="right" vertical="center"/>
      <protection locked="0"/>
    </xf>
    <xf numFmtId="203" fontId="11" fillId="0" borderId="394">
      <alignment vertical="center"/>
      <protection locked="0"/>
    </xf>
    <xf numFmtId="204" fontId="11" fillId="0" borderId="394">
      <alignment vertical="center"/>
      <protection locked="0"/>
    </xf>
    <xf numFmtId="205" fontId="11" fillId="0" borderId="394">
      <alignment vertical="center"/>
      <protection locked="0"/>
    </xf>
    <xf numFmtId="195" fontId="11" fillId="0" borderId="394">
      <alignment horizontal="right" vertical="center"/>
      <protection locked="0"/>
    </xf>
    <xf numFmtId="0" fontId="188" fillId="150"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189" fillId="150" borderId="0" applyNumberFormat="0" applyBorder="0" applyAlignment="0" applyProtection="0"/>
    <xf numFmtId="0" fontId="188" fillId="150"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207" fontId="8" fillId="0" borderId="19"/>
    <xf numFmtId="38" fontId="8" fillId="0" borderId="19"/>
    <xf numFmtId="0" fontId="22" fillId="7" borderId="196" applyNumberFormat="0" applyAlignment="0" applyProtection="0"/>
    <xf numFmtId="0" fontId="190" fillId="151" borderId="395" applyNumberFormat="0" applyAlignment="0" applyProtection="0"/>
    <xf numFmtId="0" fontId="22" fillId="7" borderId="196" applyNumberFormat="0" applyAlignment="0" applyProtection="0"/>
    <xf numFmtId="0" fontId="191" fillId="151" borderId="395" applyNumberFormat="0" applyAlignment="0" applyProtection="0"/>
    <xf numFmtId="0" fontId="22" fillId="7" borderId="196" applyNumberFormat="0" applyAlignment="0" applyProtection="0"/>
    <xf numFmtId="0" fontId="22" fillId="5" borderId="196" applyNumberFormat="0" applyAlignment="0" applyProtection="0"/>
    <xf numFmtId="0" fontId="190" fillId="151" borderId="395" applyNumberFormat="0" applyAlignment="0" applyProtection="0"/>
    <xf numFmtId="0" fontId="22" fillId="7" borderId="196" applyNumberFormat="0" applyAlignment="0" applyProtection="0"/>
    <xf numFmtId="0" fontId="22" fillId="7" borderId="196" applyNumberFormat="0" applyAlignment="0" applyProtection="0"/>
    <xf numFmtId="0" fontId="22" fillId="7" borderId="196" applyNumberFormat="0" applyAlignment="0" applyProtection="0"/>
    <xf numFmtId="0" fontId="22" fillId="7" borderId="196" applyNumberFormat="0" applyAlignment="0" applyProtection="0"/>
    <xf numFmtId="0" fontId="11" fillId="0" borderId="0" applyNumberFormat="0" applyFont="0" applyFill="0" applyBorder="0">
      <alignment horizontal="center" vertical="center"/>
      <protection locked="0"/>
    </xf>
    <xf numFmtId="201" fontId="11" fillId="0" borderId="0" applyFill="0" applyBorder="0">
      <alignment horizontal="center" vertical="center"/>
    </xf>
    <xf numFmtId="202" fontId="11" fillId="0" borderId="0" applyFill="0" applyBorder="0">
      <alignment horizontal="center" vertical="center"/>
    </xf>
    <xf numFmtId="203" fontId="11" fillId="0" borderId="0" applyFill="0" applyBorder="0">
      <alignment horizontal="center" vertical="center"/>
    </xf>
    <xf numFmtId="204" fontId="11" fillId="0" borderId="0" applyFill="0" applyBorder="0">
      <alignment horizontal="center" vertical="center"/>
    </xf>
    <xf numFmtId="205" fontId="11" fillId="0" borderId="0" applyFill="0" applyBorder="0">
      <alignment horizontal="center" vertical="center"/>
    </xf>
    <xf numFmtId="195" fontId="11" fillId="0" borderId="0" applyFill="0" applyBorder="0">
      <alignment horizontal="center" vertical="center"/>
    </xf>
    <xf numFmtId="0" fontId="50" fillId="152" borderId="396" applyNumberFormat="0" applyAlignment="0" applyProtection="0"/>
    <xf numFmtId="0" fontId="23" fillId="15" borderId="2" applyNumberFormat="0" applyAlignment="0" applyProtection="0"/>
    <xf numFmtId="0" fontId="23" fillId="15" borderId="2" applyNumberFormat="0" applyAlignment="0" applyProtection="0"/>
    <xf numFmtId="0" fontId="23" fillId="15" borderId="2" applyNumberFormat="0" applyAlignment="0" applyProtection="0"/>
    <xf numFmtId="0" fontId="192" fillId="152" borderId="396" applyNumberFormat="0" applyAlignment="0" applyProtection="0"/>
    <xf numFmtId="0" fontId="23" fillId="15" borderId="397" applyNumberFormat="0" applyAlignment="0" applyProtection="0"/>
    <xf numFmtId="0" fontId="50" fillId="152" borderId="396" applyNumberFormat="0" applyAlignment="0" applyProtection="0"/>
    <xf numFmtId="0" fontId="23" fillId="15" borderId="2" applyNumberFormat="0" applyAlignment="0" applyProtection="0"/>
    <xf numFmtId="0" fontId="23" fillId="15" borderId="2" applyNumberFormat="0" applyAlignment="0" applyProtection="0"/>
    <xf numFmtId="0" fontId="23" fillId="15" borderId="2" applyNumberFormat="0" applyAlignment="0" applyProtection="0"/>
    <xf numFmtId="43" fontId="1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173" fontId="11" fillId="0" borderId="0" applyFont="0" applyFill="0" applyBorder="0" applyAlignment="0" applyProtection="0"/>
    <xf numFmtId="43" fontId="11" fillId="0" borderId="0" applyFont="0" applyFill="0" applyBorder="0" applyAlignment="0" applyProtection="0"/>
    <xf numFmtId="43" fontId="193" fillId="0" borderId="0" applyFont="0" applyFill="0" applyBorder="0" applyAlignment="0" applyProtection="0"/>
    <xf numFmtId="43" fontId="11" fillId="0" borderId="0" applyFont="0" applyFill="0" applyBorder="0" applyAlignment="0" applyProtection="0"/>
    <xf numFmtId="173" fontId="131" fillId="0" borderId="0" applyFont="0" applyFill="0" applyBorder="0" applyAlignment="0" applyProtection="0"/>
    <xf numFmtId="173" fontId="131"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17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4" fontId="193" fillId="0" borderId="0" applyFont="0" applyFill="0" applyBorder="0" applyAlignment="0" applyProtection="0"/>
    <xf numFmtId="44" fontId="194" fillId="0" borderId="0" applyFont="0" applyFill="0" applyBorder="0" applyAlignment="0" applyProtection="0"/>
    <xf numFmtId="44" fontId="194" fillId="0" borderId="0" applyFont="0" applyFill="0" applyBorder="0" applyAlignment="0" applyProtection="0"/>
    <xf numFmtId="44" fontId="194" fillId="0" borderId="0" applyFont="0" applyFill="0" applyBorder="0" applyAlignment="0" applyProtection="0"/>
    <xf numFmtId="44" fontId="2" fillId="0" borderId="0" applyFont="0" applyFill="0" applyBorder="0" applyAlignment="0" applyProtection="0"/>
    <xf numFmtId="208" fontId="11" fillId="0" borderId="0" applyFont="0" applyFill="0" applyBorder="0" applyAlignment="0" applyProtection="0"/>
    <xf numFmtId="0" fontId="19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196" fillId="0" borderId="0" applyNumberFormat="0" applyFill="0" applyBorder="0" applyAlignment="0" applyProtection="0"/>
    <xf numFmtId="0" fontId="19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197" fillId="0" borderId="0"/>
    <xf numFmtId="0" fontId="198" fillId="0" borderId="0"/>
    <xf numFmtId="0" fontId="199" fillId="153"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00" fillId="153" borderId="0" applyNumberFormat="0" applyBorder="0" applyAlignment="0" applyProtection="0"/>
    <xf numFmtId="0" fontId="199" fillId="153"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01" fillId="0" borderId="398" applyNumberFormat="0" applyFill="0" applyAlignment="0" applyProtection="0"/>
    <xf numFmtId="0" fontId="202" fillId="0" borderId="4" applyNumberFormat="0" applyFill="0" applyAlignment="0" applyProtection="0"/>
    <xf numFmtId="0" fontId="202" fillId="0" borderId="4" applyNumberFormat="0" applyFill="0" applyAlignment="0" applyProtection="0"/>
    <xf numFmtId="0" fontId="203" fillId="0" borderId="398" applyNumberFormat="0" applyFill="0" applyAlignment="0" applyProtection="0"/>
    <xf numFmtId="0" fontId="201" fillId="0" borderId="398" applyNumberFormat="0" applyFill="0" applyAlignment="0" applyProtection="0"/>
    <xf numFmtId="0" fontId="9" fillId="0" borderId="0" applyFill="0" applyBorder="0" applyAlignment="0"/>
    <xf numFmtId="0" fontId="203" fillId="0" borderId="398" applyNumberFormat="0" applyFill="0" applyAlignment="0" applyProtection="0"/>
    <xf numFmtId="0" fontId="202" fillId="0" borderId="4" applyNumberFormat="0" applyFill="0" applyAlignment="0" applyProtection="0"/>
    <xf numFmtId="0" fontId="202" fillId="0" borderId="4" applyNumberFormat="0" applyFill="0" applyAlignment="0" applyProtection="0"/>
    <xf numFmtId="0" fontId="202" fillId="0" borderId="4" applyNumberFormat="0" applyFill="0" applyAlignment="0" applyProtection="0"/>
    <xf numFmtId="0" fontId="204" fillId="0" borderId="399" applyNumberFormat="0" applyFill="0" applyAlignment="0" applyProtection="0"/>
    <xf numFmtId="0" fontId="205" fillId="0" borderId="400" applyNumberFormat="0" applyFill="0" applyAlignment="0" applyProtection="0"/>
    <xf numFmtId="0" fontId="205" fillId="0" borderId="400" applyNumberFormat="0" applyFill="0" applyAlignment="0" applyProtection="0"/>
    <xf numFmtId="0" fontId="206" fillId="0" borderId="399" applyNumberFormat="0" applyFill="0" applyAlignment="0" applyProtection="0"/>
    <xf numFmtId="0" fontId="112" fillId="0" borderId="0" applyFill="0" applyBorder="0" applyAlignment="0"/>
    <xf numFmtId="0" fontId="204" fillId="0" borderId="399" applyNumberFormat="0" applyFill="0" applyAlignment="0" applyProtection="0"/>
    <xf numFmtId="0" fontId="112" fillId="0" borderId="0" applyFill="0" applyBorder="0" applyAlignment="0"/>
    <xf numFmtId="0" fontId="206" fillId="0" borderId="399" applyNumberFormat="0" applyFill="0" applyAlignment="0" applyProtection="0"/>
    <xf numFmtId="0" fontId="205" fillId="0" borderId="400" applyNumberFormat="0" applyFill="0" applyAlignment="0" applyProtection="0"/>
    <xf numFmtId="0" fontId="205" fillId="0" borderId="400" applyNumberFormat="0" applyFill="0" applyAlignment="0" applyProtection="0"/>
    <xf numFmtId="0" fontId="205" fillId="0" borderId="400" applyNumberFormat="0" applyFill="0" applyAlignment="0" applyProtection="0"/>
    <xf numFmtId="0" fontId="207" fillId="0" borderId="401" applyNumberFormat="0" applyFill="0" applyAlignment="0" applyProtection="0"/>
    <xf numFmtId="0" fontId="207" fillId="0" borderId="401" applyNumberFormat="0" applyFill="0" applyAlignment="0" applyProtection="0"/>
    <xf numFmtId="0" fontId="207" fillId="0" borderId="401" applyNumberFormat="0" applyFill="0" applyAlignment="0" applyProtection="0"/>
    <xf numFmtId="0" fontId="207" fillId="0" borderId="401" applyNumberFormat="0" applyFill="0" applyAlignment="0" applyProtection="0"/>
    <xf numFmtId="0" fontId="207" fillId="0" borderId="401" applyNumberFormat="0" applyFill="0" applyAlignment="0" applyProtection="0"/>
    <xf numFmtId="0" fontId="207" fillId="0" borderId="401" applyNumberFormat="0" applyFill="0" applyAlignment="0" applyProtection="0"/>
    <xf numFmtId="0" fontId="207" fillId="0" borderId="401" applyNumberFormat="0" applyFill="0" applyAlignment="0" applyProtection="0"/>
    <xf numFmtId="0" fontId="207" fillId="0" borderId="401" applyNumberFormat="0" applyFill="0" applyAlignment="0" applyProtection="0"/>
    <xf numFmtId="0" fontId="207" fillId="0" borderId="401" applyNumberFormat="0" applyFill="0" applyAlignment="0" applyProtection="0"/>
    <xf numFmtId="0" fontId="207" fillId="0" borderId="401" applyNumberFormat="0" applyFill="0" applyAlignment="0" applyProtection="0"/>
    <xf numFmtId="0" fontId="207" fillId="0" borderId="401" applyNumberFormat="0" applyFill="0" applyAlignment="0" applyProtection="0"/>
    <xf numFmtId="0" fontId="207" fillId="0" borderId="401" applyNumberFormat="0" applyFill="0" applyAlignment="0" applyProtection="0"/>
    <xf numFmtId="0" fontId="207" fillId="0" borderId="401" applyNumberFormat="0" applyFill="0" applyAlignment="0" applyProtection="0"/>
    <xf numFmtId="0" fontId="207" fillId="0" borderId="401" applyNumberFormat="0" applyFill="0" applyAlignment="0" applyProtection="0"/>
    <xf numFmtId="0" fontId="208" fillId="0" borderId="402" applyNumberFormat="0" applyFill="0" applyAlignment="0" applyProtection="0"/>
    <xf numFmtId="0" fontId="207" fillId="0" borderId="401" applyNumberFormat="0" applyFill="0" applyAlignment="0" applyProtection="0"/>
    <xf numFmtId="0" fontId="207" fillId="0" borderId="401" applyNumberFormat="0" applyFill="0" applyAlignment="0" applyProtection="0"/>
    <xf numFmtId="0" fontId="113" fillId="0" borderId="0" applyFill="0" applyBorder="0" applyAlignment="0"/>
    <xf numFmtId="0" fontId="208" fillId="0" borderId="402" applyNumberFormat="0" applyFill="0" applyAlignment="0" applyProtection="0"/>
    <xf numFmtId="0" fontId="207" fillId="0" borderId="401" applyNumberFormat="0" applyFill="0" applyAlignment="0" applyProtection="0"/>
    <xf numFmtId="0" fontId="207" fillId="0" borderId="401" applyNumberFormat="0" applyFill="0" applyAlignment="0" applyProtection="0"/>
    <xf numFmtId="0" fontId="207" fillId="0" borderId="401" applyNumberFormat="0" applyFill="0" applyAlignment="0" applyProtection="0"/>
    <xf numFmtId="0" fontId="207" fillId="0" borderId="401" applyNumberFormat="0" applyFill="0" applyAlignment="0" applyProtection="0"/>
    <xf numFmtId="0" fontId="207" fillId="0" borderId="401" applyNumberFormat="0" applyFill="0" applyAlignment="0" applyProtection="0"/>
    <xf numFmtId="0" fontId="207" fillId="0" borderId="401" applyNumberFormat="0" applyFill="0" applyAlignment="0" applyProtection="0"/>
    <xf numFmtId="0" fontId="207" fillId="0" borderId="401" applyNumberFormat="0" applyFill="0" applyAlignment="0" applyProtection="0"/>
    <xf numFmtId="0" fontId="207" fillId="0" borderId="401" applyNumberFormat="0" applyFill="0" applyAlignment="0" applyProtection="0"/>
    <xf numFmtId="0" fontId="207" fillId="0" borderId="401" applyNumberFormat="0" applyFill="0" applyAlignment="0" applyProtection="0"/>
    <xf numFmtId="0" fontId="207" fillId="0" borderId="401" applyNumberFormat="0" applyFill="0" applyAlignment="0" applyProtection="0"/>
    <xf numFmtId="0" fontId="207" fillId="0" borderId="401" applyNumberFormat="0" applyFill="0" applyAlignment="0" applyProtection="0"/>
    <xf numFmtId="0" fontId="207" fillId="0" borderId="401" applyNumberFormat="0" applyFill="0" applyAlignment="0" applyProtection="0"/>
    <xf numFmtId="0" fontId="207" fillId="0" borderId="401" applyNumberFormat="0" applyFill="0" applyAlignment="0" applyProtection="0"/>
    <xf numFmtId="0" fontId="207" fillId="0" borderId="401" applyNumberFormat="0" applyFill="0" applyAlignment="0" applyProtection="0"/>
    <xf numFmtId="0" fontId="207" fillId="0" borderId="401" applyNumberFormat="0" applyFill="0" applyAlignment="0" applyProtection="0"/>
    <xf numFmtId="0" fontId="207" fillId="0" borderId="401" applyNumberFormat="0" applyFill="0" applyAlignment="0" applyProtection="0"/>
    <xf numFmtId="0" fontId="207" fillId="0" borderId="401" applyNumberFormat="0" applyFill="0" applyAlignment="0" applyProtection="0"/>
    <xf numFmtId="0" fontId="207" fillId="0" borderId="401" applyNumberFormat="0" applyFill="0" applyAlignment="0" applyProtection="0"/>
    <xf numFmtId="0" fontId="207" fillId="0" borderId="401" applyNumberFormat="0" applyFill="0" applyAlignment="0" applyProtection="0"/>
    <xf numFmtId="0" fontId="207" fillId="0" borderId="401" applyNumberFormat="0" applyFill="0" applyAlignment="0" applyProtection="0"/>
    <xf numFmtId="0" fontId="207" fillId="0" borderId="401" applyNumberFormat="0" applyFill="0" applyAlignment="0" applyProtection="0"/>
    <xf numFmtId="0" fontId="207" fillId="0" borderId="401" applyNumberFormat="0" applyFill="0" applyAlignment="0" applyProtection="0"/>
    <xf numFmtId="0" fontId="207" fillId="0" borderId="401" applyNumberFormat="0" applyFill="0" applyAlignment="0" applyProtection="0"/>
    <xf numFmtId="0" fontId="207" fillId="0" borderId="401" applyNumberFormat="0" applyFill="0" applyAlignment="0" applyProtection="0"/>
    <xf numFmtId="0" fontId="207" fillId="0" borderId="401" applyNumberFormat="0" applyFill="0" applyAlignment="0" applyProtection="0"/>
    <xf numFmtId="0" fontId="207" fillId="0" borderId="401" applyNumberFormat="0" applyFill="0" applyAlignment="0" applyProtection="0"/>
    <xf numFmtId="0" fontId="207" fillId="0" borderId="401" applyNumberFormat="0" applyFill="0" applyAlignment="0" applyProtection="0"/>
    <xf numFmtId="0" fontId="207" fillId="0" borderId="401" applyNumberFormat="0" applyFill="0" applyAlignment="0" applyProtection="0"/>
    <xf numFmtId="0" fontId="207" fillId="0" borderId="401" applyNumberFormat="0" applyFill="0" applyAlignment="0" applyProtection="0"/>
    <xf numFmtId="0" fontId="207" fillId="0" borderId="401" applyNumberFormat="0" applyFill="0" applyAlignment="0" applyProtection="0"/>
    <xf numFmtId="0" fontId="207" fillId="0" borderId="401" applyNumberFormat="0" applyFill="0" applyAlignment="0" applyProtection="0"/>
    <xf numFmtId="0" fontId="207" fillId="0" borderId="401" applyNumberFormat="0" applyFill="0" applyAlignment="0" applyProtection="0"/>
    <xf numFmtId="0" fontId="207" fillId="0" borderId="401" applyNumberFormat="0" applyFill="0" applyAlignment="0" applyProtection="0"/>
    <xf numFmtId="0" fontId="207" fillId="0" borderId="401" applyNumberFormat="0" applyFill="0" applyAlignment="0" applyProtection="0"/>
    <xf numFmtId="0" fontId="207" fillId="0" borderId="401" applyNumberFormat="0" applyFill="0" applyAlignment="0" applyProtection="0"/>
    <xf numFmtId="0" fontId="207" fillId="0" borderId="401" applyNumberFormat="0" applyFill="0" applyAlignment="0" applyProtection="0"/>
    <xf numFmtId="0" fontId="207" fillId="0" borderId="401" applyNumberFormat="0" applyFill="0" applyAlignment="0" applyProtection="0"/>
    <xf numFmtId="0" fontId="207" fillId="0" borderId="401" applyNumberFormat="0" applyFill="0" applyAlignment="0" applyProtection="0"/>
    <xf numFmtId="0" fontId="207" fillId="0" borderId="401" applyNumberFormat="0" applyFill="0" applyAlignment="0" applyProtection="0"/>
    <xf numFmtId="0" fontId="207" fillId="0" borderId="401" applyNumberFormat="0" applyFill="0" applyAlignment="0" applyProtection="0"/>
    <xf numFmtId="0" fontId="207" fillId="0" borderId="401" applyNumberFormat="0" applyFill="0" applyAlignment="0" applyProtection="0"/>
    <xf numFmtId="0" fontId="209"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208" fillId="0" borderId="0" applyNumberFormat="0" applyFill="0" applyBorder="0" applyAlignment="0" applyProtection="0"/>
    <xf numFmtId="0" fontId="11" fillId="0" borderId="0" applyFill="0" applyBorder="0" applyAlignment="0"/>
    <xf numFmtId="0" fontId="209" fillId="0" borderId="0" applyNumberFormat="0" applyFill="0" applyBorder="0" applyAlignment="0" applyProtection="0"/>
    <xf numFmtId="0" fontId="11" fillId="0" borderId="0" applyFill="0" applyBorder="0" applyAlignment="0"/>
    <xf numFmtId="0" fontId="208"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210" fillId="0" borderId="0" applyNumberFormat="0" applyFill="0" applyBorder="0" applyAlignment="0" applyProtection="0">
      <alignment vertical="top"/>
      <protection locked="0"/>
    </xf>
    <xf numFmtId="0" fontId="211" fillId="0" borderId="0" applyNumberFormat="0" applyFill="0" applyBorder="0" applyAlignment="0" applyProtection="0"/>
    <xf numFmtId="0" fontId="116" fillId="0" borderId="0" applyFill="0" applyBorder="0" applyAlignment="0">
      <protection locked="0"/>
    </xf>
    <xf numFmtId="0" fontId="116" fillId="0" borderId="0" applyFill="0" applyBorder="0">
      <alignment horizontal="center" vertical="center"/>
      <protection locked="0"/>
    </xf>
    <xf numFmtId="0" fontId="117" fillId="0" borderId="0" applyFill="0" applyBorder="0">
      <alignment horizontal="left" vertical="center"/>
      <protection locked="0"/>
    </xf>
    <xf numFmtId="0" fontId="117" fillId="0" borderId="0" applyFill="0" applyBorder="0">
      <alignment horizontal="left" vertical="center"/>
      <protection locked="0"/>
    </xf>
    <xf numFmtId="0" fontId="117" fillId="0" borderId="0" applyFill="0" applyBorder="0" applyAlignment="0">
      <protection locked="0"/>
    </xf>
    <xf numFmtId="0" fontId="30" fillId="3" borderId="196" applyNumberFormat="0" applyAlignment="0" applyProtection="0"/>
    <xf numFmtId="0" fontId="212" fillId="154" borderId="395" applyNumberFormat="0" applyAlignment="0" applyProtection="0"/>
    <xf numFmtId="0" fontId="30" fillId="3" borderId="196" applyNumberFormat="0" applyAlignment="0" applyProtection="0"/>
    <xf numFmtId="0" fontId="213" fillId="154" borderId="395" applyNumberFormat="0" applyAlignment="0" applyProtection="0"/>
    <xf numFmtId="0" fontId="214" fillId="3" borderId="196" applyNumberFormat="0" applyAlignment="0" applyProtection="0"/>
    <xf numFmtId="0" fontId="212" fillId="154" borderId="395" applyNumberFormat="0" applyAlignment="0" applyProtection="0"/>
    <xf numFmtId="0" fontId="30" fillId="3" borderId="196" applyNumberFormat="0" applyAlignment="0" applyProtection="0"/>
    <xf numFmtId="0" fontId="30" fillId="3" borderId="196" applyNumberFormat="0" applyAlignment="0" applyProtection="0"/>
    <xf numFmtId="0" fontId="30" fillId="3" borderId="196" applyNumberFormat="0" applyAlignment="0" applyProtection="0"/>
    <xf numFmtId="0" fontId="215" fillId="0" borderId="403" applyNumberFormat="0" applyFill="0" applyAlignment="0" applyProtection="0"/>
    <xf numFmtId="0" fontId="31" fillId="0" borderId="7" applyNumberFormat="0" applyFill="0" applyAlignment="0" applyProtection="0"/>
    <xf numFmtId="0" fontId="31" fillId="0" borderId="7" applyNumberFormat="0" applyFill="0" applyAlignment="0" applyProtection="0"/>
    <xf numFmtId="0" fontId="31" fillId="0" borderId="7" applyNumberFormat="0" applyFill="0" applyAlignment="0" applyProtection="0"/>
    <xf numFmtId="0" fontId="216" fillId="0" borderId="403" applyNumberFormat="0" applyFill="0" applyAlignment="0" applyProtection="0"/>
    <xf numFmtId="0" fontId="215" fillId="0" borderId="403" applyNumberFormat="0" applyFill="0" applyAlignment="0" applyProtection="0"/>
    <xf numFmtId="0" fontId="31" fillId="0" borderId="7" applyNumberFormat="0" applyFill="0" applyAlignment="0" applyProtection="0"/>
    <xf numFmtId="0" fontId="31" fillId="0" borderId="7" applyNumberFormat="0" applyFill="0" applyAlignment="0" applyProtection="0"/>
    <xf numFmtId="0" fontId="31" fillId="0" borderId="7" applyNumberFormat="0" applyFill="0" applyAlignment="0" applyProtection="0"/>
    <xf numFmtId="0" fontId="113" fillId="0" borderId="404" applyFill="0">
      <alignment horizontal="center" vertical="center"/>
    </xf>
    <xf numFmtId="0" fontId="11" fillId="0" borderId="404" applyFill="0">
      <alignment horizontal="center" vertical="center"/>
    </xf>
    <xf numFmtId="209" fontId="11" fillId="0" borderId="404" applyFill="0">
      <alignment horizontal="center" vertical="center"/>
    </xf>
    <xf numFmtId="0" fontId="14" fillId="0" borderId="0" applyFill="0" applyBorder="0">
      <alignment horizontal="left" vertical="center"/>
    </xf>
    <xf numFmtId="0" fontId="14" fillId="0" borderId="0" applyFill="0" applyBorder="0">
      <alignment horizontal="left" vertical="center"/>
    </xf>
    <xf numFmtId="0" fontId="14" fillId="0" borderId="0" applyFill="0" applyBorder="0" applyAlignment="0"/>
    <xf numFmtId="0" fontId="217" fillId="155"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218" fillId="155" borderId="0" applyNumberFormat="0" applyBorder="0" applyAlignment="0" applyProtection="0"/>
    <xf numFmtId="0" fontId="219" fillId="6" borderId="0" applyNumberFormat="0" applyBorder="0" applyAlignment="0" applyProtection="0"/>
    <xf numFmtId="0" fontId="217" fillId="155"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6" fillId="0" borderId="0">
      <alignment vertical="top"/>
    </xf>
    <xf numFmtId="0" fontId="6" fillId="0" borderId="0">
      <alignment vertical="top"/>
    </xf>
    <xf numFmtId="0" fontId="134" fillId="0" borderId="0"/>
    <xf numFmtId="0" fontId="134" fillId="0" borderId="0"/>
    <xf numFmtId="0" fontId="6" fillId="0" borderId="0">
      <alignment vertical="top"/>
    </xf>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11" fillId="0" borderId="0"/>
    <xf numFmtId="0" fontId="6" fillId="0" borderId="0">
      <alignment vertical="top"/>
    </xf>
    <xf numFmtId="0" fontId="6" fillId="0" borderId="0">
      <alignment vertical="top"/>
    </xf>
    <xf numFmtId="0" fontId="6" fillId="0" borderId="0">
      <alignment vertical="top"/>
    </xf>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alignment vertical="top"/>
    </xf>
    <xf numFmtId="0" fontId="2" fillId="0" borderId="0"/>
    <xf numFmtId="0" fontId="6" fillId="0" borderId="0">
      <alignment vertical="top"/>
    </xf>
    <xf numFmtId="0" fontId="193" fillId="0" borderId="0"/>
    <xf numFmtId="0" fontId="11" fillId="0" borderId="0"/>
    <xf numFmtId="0" fontId="6" fillId="0" borderId="0">
      <alignment vertical="top"/>
    </xf>
    <xf numFmtId="0" fontId="48" fillId="0" borderId="0"/>
    <xf numFmtId="0" fontId="6" fillId="0" borderId="0"/>
    <xf numFmtId="0" fontId="6" fillId="0" borderId="0">
      <alignment vertical="top"/>
    </xf>
    <xf numFmtId="0" fontId="48" fillId="0" borderId="0"/>
    <xf numFmtId="0" fontId="6" fillId="0" borderId="0">
      <alignment vertical="top"/>
    </xf>
    <xf numFmtId="0" fontId="11" fillId="0" borderId="0"/>
    <xf numFmtId="0" fontId="6" fillId="0" borderId="0">
      <alignment vertical="top"/>
    </xf>
    <xf numFmtId="0" fontId="131" fillId="0" borderId="0"/>
    <xf numFmtId="0" fontId="6" fillId="0" borderId="0">
      <alignment vertical="top"/>
    </xf>
    <xf numFmtId="0" fontId="2" fillId="0" borderId="0"/>
    <xf numFmtId="0" fontId="2" fillId="0" borderId="0"/>
    <xf numFmtId="0" fontId="2" fillId="0" borderId="0"/>
    <xf numFmtId="0" fontId="2" fillId="0" borderId="0"/>
    <xf numFmtId="0" fontId="6" fillId="0" borderId="0">
      <alignment vertical="top"/>
    </xf>
    <xf numFmtId="0" fontId="6" fillId="0" borderId="0">
      <alignment vertical="top"/>
    </xf>
    <xf numFmtId="0" fontId="6"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8" fillId="0" borderId="0"/>
    <xf numFmtId="0" fontId="2" fillId="0" borderId="0"/>
    <xf numFmtId="0" fontId="2" fillId="0" borderId="0"/>
    <xf numFmtId="0" fontId="2" fillId="0" borderId="0"/>
    <xf numFmtId="0" fontId="2" fillId="0" borderId="0"/>
    <xf numFmtId="0" fontId="2" fillId="0" borderId="0"/>
    <xf numFmtId="0" fontId="6" fillId="0" borderId="0">
      <alignment vertical="top"/>
    </xf>
    <xf numFmtId="0" fontId="11"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11" fillId="0" borderId="0"/>
    <xf numFmtId="0" fontId="2" fillId="0" borderId="0"/>
    <xf numFmtId="0" fontId="2" fillId="0" borderId="0"/>
    <xf numFmtId="0" fontId="2" fillId="0" borderId="0"/>
    <xf numFmtId="0" fontId="11" fillId="0" borderId="0"/>
    <xf numFmtId="0" fontId="131"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alignment vertical="top"/>
    </xf>
    <xf numFmtId="0" fontId="6" fillId="0" borderId="0">
      <alignment vertical="top"/>
    </xf>
    <xf numFmtId="0" fontId="11" fillId="0" borderId="0"/>
    <xf numFmtId="0" fontId="6" fillId="0" borderId="0">
      <alignment vertical="top"/>
    </xf>
    <xf numFmtId="0" fontId="6" fillId="0" borderId="0">
      <alignment vertical="top"/>
    </xf>
    <xf numFmtId="0" fontId="6" fillId="0" borderId="0">
      <alignment vertical="top"/>
    </xf>
    <xf numFmtId="0" fontId="11"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2" fillId="0" borderId="0"/>
    <xf numFmtId="0" fontId="2" fillId="0" borderId="0"/>
    <xf numFmtId="0" fontId="2" fillId="0" borderId="0"/>
    <xf numFmtId="0" fontId="2" fillId="0" borderId="0"/>
    <xf numFmtId="0" fontId="6" fillId="0" borderId="0">
      <alignment vertical="top"/>
    </xf>
    <xf numFmtId="0" fontId="6" fillId="0" borderId="0">
      <alignment vertical="top"/>
    </xf>
    <xf numFmtId="0" fontId="11"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alignment vertical="top"/>
    </xf>
    <xf numFmtId="0" fontId="2" fillId="0" borderId="0"/>
    <xf numFmtId="0" fontId="2" fillId="0" borderId="0"/>
    <xf numFmtId="0" fontId="2" fillId="0" borderId="0"/>
    <xf numFmtId="0" fontId="2" fillId="0" borderId="0"/>
    <xf numFmtId="0" fontId="11" fillId="0" borderId="0"/>
    <xf numFmtId="0" fontId="11" fillId="0" borderId="0"/>
    <xf numFmtId="0" fontId="6" fillId="0" borderId="0"/>
    <xf numFmtId="0" fontId="6" fillId="0" borderId="0"/>
    <xf numFmtId="0" fontId="2" fillId="0" borderId="0"/>
    <xf numFmtId="0" fontId="2" fillId="0" borderId="0"/>
    <xf numFmtId="0" fontId="6" fillId="0" borderId="0"/>
    <xf numFmtId="0" fontId="2" fillId="0" borderId="0"/>
    <xf numFmtId="0" fontId="2" fillId="0" borderId="0"/>
    <xf numFmtId="0" fontId="2" fillId="0" borderId="0"/>
    <xf numFmtId="0" fontId="6" fillId="0" borderId="0">
      <alignment vertical="top"/>
    </xf>
    <xf numFmtId="0" fontId="6" fillId="0" borderId="0">
      <alignment vertical="top"/>
    </xf>
    <xf numFmtId="0" fontId="11" fillId="0" borderId="0"/>
    <xf numFmtId="0" fontId="6" fillId="0" borderId="0">
      <alignment vertical="top"/>
    </xf>
    <xf numFmtId="0" fontId="6" fillId="0" borderId="0">
      <alignment vertical="top"/>
    </xf>
    <xf numFmtId="0" fontId="2"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11" fillId="0" borderId="0"/>
    <xf numFmtId="0" fontId="6" fillId="0" borderId="0">
      <alignment vertical="top"/>
    </xf>
    <xf numFmtId="0" fontId="6" fillId="0" borderId="0">
      <alignment vertical="top"/>
    </xf>
    <xf numFmtId="0" fontId="6" fillId="0" borderId="0">
      <alignment vertical="top"/>
    </xf>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19" fillId="4" borderId="197"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6" fillId="4" borderId="197" applyNumberFormat="0" applyFont="0" applyAlignment="0" applyProtection="0"/>
    <xf numFmtId="0" fontId="48" fillId="156" borderId="405" applyNumberFormat="0" applyFont="0" applyAlignment="0" applyProtection="0"/>
    <xf numFmtId="0" fontId="19" fillId="4" borderId="197"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19" fillId="4" borderId="197" applyNumberFormat="0" applyFont="0" applyAlignment="0" applyProtection="0"/>
    <xf numFmtId="0" fontId="11" fillId="4" borderId="406" applyNumberFormat="0" applyFont="0" applyAlignment="0" applyProtection="0"/>
    <xf numFmtId="0" fontId="48"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19" fillId="4" borderId="197"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19" fillId="4" borderId="197"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19" fillId="4" borderId="197"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2" fillId="156" borderId="405" applyNumberFormat="0" applyFont="0" applyAlignment="0" applyProtection="0"/>
    <xf numFmtId="0" fontId="33" fillId="7" borderId="198" applyNumberFormat="0" applyAlignment="0" applyProtection="0"/>
    <xf numFmtId="0" fontId="220" fillId="151" borderId="407" applyNumberFormat="0" applyAlignment="0" applyProtection="0"/>
    <xf numFmtId="0" fontId="33" fillId="7" borderId="198" applyNumberFormat="0" applyAlignment="0" applyProtection="0"/>
    <xf numFmtId="0" fontId="221" fillId="151" borderId="407" applyNumberFormat="0" applyAlignment="0" applyProtection="0"/>
    <xf numFmtId="0" fontId="33" fillId="7" borderId="198" applyNumberFormat="0" applyAlignment="0" applyProtection="0"/>
    <xf numFmtId="0" fontId="24" fillId="5" borderId="404" applyNumberFormat="0" applyAlignment="0" applyProtection="0"/>
    <xf numFmtId="0" fontId="220" fillId="151" borderId="407" applyNumberFormat="0" applyAlignment="0" applyProtection="0"/>
    <xf numFmtId="0" fontId="33" fillId="7" borderId="198" applyNumberFormat="0" applyAlignment="0" applyProtection="0"/>
    <xf numFmtId="0" fontId="33" fillId="7" borderId="198" applyNumberFormat="0" applyAlignment="0" applyProtection="0"/>
    <xf numFmtId="0" fontId="33" fillId="7" borderId="198" applyNumberFormat="0" applyAlignment="0" applyProtection="0"/>
    <xf numFmtId="0" fontId="33" fillId="7" borderId="198" applyNumberFormat="0" applyAlignment="0" applyProtection="0"/>
    <xf numFmtId="40" fontId="222" fillId="20" borderId="0">
      <alignment horizontal="right"/>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1"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13" fillId="0" borderId="0" applyFill="0" applyBorder="0">
      <alignment horizontal="right" vertical="center"/>
    </xf>
    <xf numFmtId="0" fontId="108" fillId="0" borderId="0" applyNumberFormat="0" applyFont="0" applyFill="0" applyBorder="0" applyAlignment="0" applyProtection="0">
      <alignment horizontal="left"/>
    </xf>
    <xf numFmtId="0" fontId="108" fillId="0" borderId="0" applyNumberFormat="0" applyFont="0" applyFill="0" applyBorder="0" applyAlignment="0" applyProtection="0">
      <alignment horizontal="left"/>
    </xf>
    <xf numFmtId="15" fontId="108" fillId="0" borderId="0" applyFont="0" applyFill="0" applyBorder="0" applyAlignment="0" applyProtection="0"/>
    <xf numFmtId="15" fontId="108" fillId="0" borderId="0" applyFont="0" applyFill="0" applyBorder="0" applyAlignment="0" applyProtection="0"/>
    <xf numFmtId="4" fontId="108" fillId="0" borderId="0" applyFont="0" applyFill="0" applyBorder="0" applyAlignment="0" applyProtection="0"/>
    <xf numFmtId="4" fontId="108" fillId="0" borderId="0" applyFont="0" applyFill="0" applyBorder="0" applyAlignment="0" applyProtection="0"/>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0" fontId="122" fillId="0" borderId="123">
      <alignment horizontal="center"/>
    </xf>
    <xf numFmtId="3" fontId="108" fillId="0" borderId="0" applyFont="0" applyFill="0" applyBorder="0" applyAlignment="0" applyProtection="0"/>
    <xf numFmtId="3" fontId="108" fillId="0" borderId="0" applyFont="0" applyFill="0" applyBorder="0" applyAlignment="0" applyProtection="0"/>
    <xf numFmtId="0" fontId="108" fillId="71" borderId="0" applyNumberFormat="0" applyFont="0" applyBorder="0" applyAlignment="0" applyProtection="0"/>
    <xf numFmtId="0" fontId="108" fillId="71" borderId="0" applyNumberFormat="0" applyFont="0" applyBorder="0" applyAlignment="0" applyProtection="0"/>
    <xf numFmtId="201" fontId="11" fillId="0" borderId="0" applyFill="0" applyBorder="0">
      <alignment horizontal="right" vertical="center"/>
    </xf>
    <xf numFmtId="206" fontId="11" fillId="0" borderId="0" applyFill="0" applyBorder="0">
      <alignment horizontal="right" vertical="center"/>
    </xf>
    <xf numFmtId="203" fontId="11" fillId="0" borderId="0" applyFill="0" applyBorder="0">
      <alignment horizontal="right" vertical="center"/>
    </xf>
    <xf numFmtId="210" fontId="11" fillId="0" borderId="0" applyFill="0" applyBorder="0">
      <alignment horizontal="right" vertical="center"/>
    </xf>
    <xf numFmtId="210" fontId="11" fillId="0" borderId="0" applyFill="0" applyBorder="0">
      <alignment horizontal="right" vertical="center"/>
    </xf>
    <xf numFmtId="204" fontId="11" fillId="0" borderId="0" applyFill="0" applyBorder="0">
      <alignment horizontal="right" vertical="center"/>
    </xf>
    <xf numFmtId="210" fontId="11" fillId="0" borderId="0" applyFill="0" applyBorder="0">
      <alignment horizontal="right" vertical="center"/>
    </xf>
    <xf numFmtId="205" fontId="11" fillId="0" borderId="0" applyFill="0" applyBorder="0">
      <alignment horizontal="right" vertical="center"/>
    </xf>
    <xf numFmtId="0" fontId="223" fillId="0" borderId="0" applyFill="0" applyBorder="0" applyAlignment="0"/>
    <xf numFmtId="0" fontId="17" fillId="0" borderId="0" applyFill="0" applyBorder="0">
      <alignment horizontal="left" vertical="center"/>
    </xf>
    <xf numFmtId="0" fontId="17" fillId="0" borderId="0" applyFill="0" applyBorder="0">
      <alignment horizontal="left" vertical="center"/>
    </xf>
    <xf numFmtId="0" fontId="17" fillId="0" borderId="0" applyFill="0" applyBorder="0" applyAlignment="0"/>
    <xf numFmtId="0" fontId="17" fillId="0" borderId="0" applyFill="0" applyBorder="0">
      <alignment horizontal="left" vertical="center"/>
    </xf>
    <xf numFmtId="0" fontId="224"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6" fillId="0" borderId="0" applyNumberFormat="0" applyFill="0" applyBorder="0" applyAlignment="0" applyProtection="0"/>
    <xf numFmtId="0" fontId="224"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4" fillId="0" borderId="408" applyNumberFormat="0" applyFill="0" applyAlignment="0" applyProtection="0"/>
    <xf numFmtId="0" fontId="53" fillId="0" borderId="409" applyNumberFormat="0" applyFill="0" applyAlignment="0" applyProtection="0"/>
    <xf numFmtId="0" fontId="24" fillId="0" borderId="408" applyNumberFormat="0" applyFill="0" applyAlignment="0" applyProtection="0"/>
    <xf numFmtId="0" fontId="91" fillId="0" borderId="409" applyNumberFormat="0" applyFill="0" applyAlignment="0" applyProtection="0"/>
    <xf numFmtId="0" fontId="24" fillId="0" borderId="408" applyNumberFormat="0" applyFill="0" applyAlignment="0" applyProtection="0"/>
    <xf numFmtId="0" fontId="24" fillId="0" borderId="199" applyNumberFormat="0" applyFill="0" applyAlignment="0" applyProtection="0"/>
    <xf numFmtId="0" fontId="53" fillId="0" borderId="409" applyNumberFormat="0" applyFill="0" applyAlignment="0" applyProtection="0"/>
    <xf numFmtId="0" fontId="24" fillId="0" borderId="408" applyNumberFormat="0" applyFill="0" applyAlignment="0" applyProtection="0"/>
    <xf numFmtId="0" fontId="24" fillId="0" borderId="408" applyNumberFormat="0" applyFill="0" applyAlignment="0" applyProtection="0"/>
    <xf numFmtId="0" fontId="24" fillId="0" borderId="408" applyNumberFormat="0" applyFill="0" applyAlignment="0" applyProtection="0"/>
    <xf numFmtId="0" fontId="24" fillId="0" borderId="408" applyNumberFormat="0" applyFill="0" applyAlignment="0" applyProtection="0"/>
    <xf numFmtId="0" fontId="87"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97" fillId="0" borderId="0" applyNumberFormat="0" applyFill="0" applyBorder="0" applyAlignment="0" applyProtection="0"/>
    <xf numFmtId="0" fontId="87"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6" fillId="0" borderId="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124"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96"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28"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0"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1"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0" fontId="1" fillId="132" borderId="0" applyNumberFormat="0" applyBorder="0" applyAlignment="0" applyProtection="0"/>
    <xf numFmtId="201" fontId="11" fillId="0" borderId="424">
      <alignment horizontal="center" vertical="center"/>
      <protection locked="0"/>
    </xf>
    <xf numFmtId="202" fontId="11" fillId="0" borderId="424">
      <alignment horizontal="center" vertical="center"/>
      <protection locked="0"/>
    </xf>
    <xf numFmtId="203" fontId="11" fillId="0" borderId="424">
      <alignment horizontal="center" vertical="center"/>
      <protection locked="0"/>
    </xf>
    <xf numFmtId="204" fontId="11" fillId="0" borderId="424">
      <alignment horizontal="center" vertical="center"/>
      <protection locked="0"/>
    </xf>
    <xf numFmtId="205" fontId="11" fillId="0" borderId="424">
      <alignment horizontal="center" vertical="center"/>
      <protection locked="0"/>
    </xf>
    <xf numFmtId="195" fontId="11" fillId="0" borderId="424">
      <alignment horizontal="center" vertical="center"/>
      <protection locked="0"/>
    </xf>
    <xf numFmtId="0" fontId="11" fillId="0" borderId="424" applyAlignment="0">
      <protection locked="0"/>
    </xf>
    <xf numFmtId="201" fontId="11" fillId="0" borderId="424">
      <alignment vertical="center"/>
      <protection locked="0"/>
    </xf>
    <xf numFmtId="206" fontId="11" fillId="0" borderId="424">
      <alignment horizontal="right" vertical="center"/>
      <protection locked="0"/>
    </xf>
    <xf numFmtId="203" fontId="11" fillId="0" borderId="424">
      <alignment vertical="center"/>
      <protection locked="0"/>
    </xf>
    <xf numFmtId="204" fontId="11" fillId="0" borderId="424">
      <alignment vertical="center"/>
      <protection locked="0"/>
    </xf>
    <xf numFmtId="205" fontId="11" fillId="0" borderId="424">
      <alignment vertical="center"/>
      <protection locked="0"/>
    </xf>
    <xf numFmtId="195" fontId="11" fillId="0" borderId="424">
      <alignment horizontal="right" vertical="center"/>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07" fillId="0" borderId="425" applyNumberFormat="0" applyFill="0" applyAlignment="0" applyProtection="0"/>
    <xf numFmtId="0" fontId="207" fillId="0" borderId="425" applyNumberFormat="0" applyFill="0" applyAlignment="0" applyProtection="0"/>
    <xf numFmtId="0" fontId="29" fillId="0" borderId="426" applyNumberFormat="0" applyFill="0" applyAlignment="0" applyProtection="0"/>
    <xf numFmtId="0" fontId="29" fillId="0" borderId="426" applyNumberFormat="0" applyFill="0" applyAlignment="0" applyProtection="0"/>
    <xf numFmtId="0" fontId="29" fillId="0" borderId="426" applyNumberFormat="0" applyFill="0" applyAlignment="0" applyProtection="0"/>
    <xf numFmtId="0" fontId="29" fillId="0" borderId="426" applyNumberFormat="0" applyFill="0" applyAlignment="0" applyProtection="0"/>
    <xf numFmtId="0" fontId="29" fillId="0" borderId="426" applyNumberFormat="0" applyFill="0" applyAlignment="0" applyProtection="0"/>
    <xf numFmtId="0" fontId="29" fillId="0" borderId="426" applyNumberFormat="0" applyFill="0" applyAlignment="0" applyProtection="0"/>
    <xf numFmtId="0" fontId="29" fillId="0" borderId="426" applyNumberFormat="0" applyFill="0" applyAlignment="0" applyProtection="0"/>
    <xf numFmtId="0" fontId="29" fillId="0" borderId="426" applyNumberFormat="0" applyFill="0" applyAlignment="0" applyProtection="0"/>
    <xf numFmtId="0" fontId="29" fillId="0" borderId="426" applyNumberFormat="0" applyFill="0" applyAlignment="0" applyProtection="0"/>
    <xf numFmtId="0" fontId="29" fillId="0" borderId="426" applyNumberFormat="0" applyFill="0" applyAlignment="0" applyProtection="0"/>
    <xf numFmtId="0" fontId="29" fillId="0" borderId="426" applyNumberFormat="0" applyFill="0" applyAlignment="0" applyProtection="0"/>
    <xf numFmtId="0" fontId="29" fillId="0" borderId="426" applyNumberFormat="0" applyFill="0" applyAlignment="0" applyProtection="0"/>
    <xf numFmtId="0" fontId="29" fillId="0" borderId="426" applyNumberFormat="0" applyFill="0" applyAlignment="0" applyProtection="0"/>
    <xf numFmtId="0" fontId="29" fillId="0" borderId="426" applyNumberFormat="0" applyFill="0" applyAlignment="0" applyProtection="0"/>
    <xf numFmtId="0" fontId="29" fillId="0" borderId="426" applyNumberFormat="0" applyFill="0" applyAlignment="0" applyProtection="0"/>
    <xf numFmtId="0" fontId="29" fillId="0" borderId="426" applyNumberFormat="0" applyFill="0" applyAlignment="0" applyProtection="0"/>
    <xf numFmtId="0" fontId="29" fillId="0" borderId="426" applyNumberFormat="0" applyFill="0" applyAlignment="0" applyProtection="0"/>
    <xf numFmtId="0" fontId="29" fillId="0" borderId="426" applyNumberFormat="0" applyFill="0" applyAlignment="0" applyProtection="0"/>
    <xf numFmtId="0" fontId="29" fillId="0" borderId="426" applyNumberFormat="0" applyFill="0" applyAlignment="0" applyProtection="0"/>
    <xf numFmtId="0" fontId="29" fillId="0" borderId="426" applyNumberFormat="0" applyFill="0" applyAlignment="0" applyProtection="0"/>
    <xf numFmtId="0" fontId="29" fillId="0" borderId="426" applyNumberFormat="0" applyFill="0" applyAlignment="0" applyProtection="0"/>
    <xf numFmtId="0" fontId="29" fillId="0" borderId="426" applyNumberFormat="0" applyFill="0" applyAlignment="0" applyProtection="0"/>
    <xf numFmtId="0" fontId="29" fillId="0" borderId="426" applyNumberFormat="0" applyFill="0" applyAlignment="0" applyProtection="0"/>
    <xf numFmtId="0" fontId="29" fillId="0" borderId="426" applyNumberFormat="0" applyFill="0" applyAlignment="0" applyProtection="0"/>
    <xf numFmtId="0" fontId="29" fillId="0" borderId="426" applyNumberFormat="0" applyFill="0" applyAlignment="0" applyProtection="0"/>
    <xf numFmtId="0" fontId="29" fillId="0" borderId="426" applyNumberFormat="0" applyFill="0" applyAlignment="0" applyProtection="0"/>
    <xf numFmtId="0" fontId="29" fillId="0" borderId="426" applyNumberFormat="0" applyFill="0" applyAlignment="0" applyProtection="0"/>
    <xf numFmtId="0" fontId="29" fillId="0" borderId="426" applyNumberFormat="0" applyFill="0" applyAlignment="0" applyProtection="0"/>
    <xf numFmtId="0" fontId="29" fillId="0" borderId="426" applyNumberFormat="0" applyFill="0" applyAlignment="0" applyProtection="0"/>
    <xf numFmtId="0" fontId="29" fillId="0" borderId="426" applyNumberFormat="0" applyFill="0" applyAlignment="0" applyProtection="0"/>
    <xf numFmtId="0" fontId="29" fillId="0" borderId="426" applyNumberFormat="0" applyFill="0" applyAlignment="0" applyProtection="0"/>
    <xf numFmtId="0" fontId="29" fillId="0" borderId="426" applyNumberFormat="0" applyFill="0" applyAlignment="0" applyProtection="0"/>
    <xf numFmtId="0" fontId="29" fillId="0" borderId="426" applyNumberFormat="0" applyFill="0" applyAlignment="0" applyProtection="0"/>
    <xf numFmtId="0" fontId="29" fillId="0" borderId="426" applyNumberFormat="0" applyFill="0" applyAlignment="0" applyProtection="0"/>
    <xf numFmtId="0" fontId="29" fillId="0" borderId="426" applyNumberFormat="0" applyFill="0" applyAlignment="0" applyProtection="0"/>
    <xf numFmtId="0" fontId="29" fillId="0" borderId="426" applyNumberFormat="0" applyFill="0" applyAlignment="0" applyProtection="0"/>
    <xf numFmtId="0" fontId="29" fillId="0" borderId="426" applyNumberFormat="0" applyFill="0" applyAlignment="0" applyProtection="0"/>
    <xf numFmtId="0" fontId="29" fillId="0" borderId="426" applyNumberFormat="0" applyFill="0" applyAlignment="0" applyProtection="0"/>
    <xf numFmtId="0" fontId="29" fillId="0" borderId="426" applyNumberFormat="0" applyFill="0" applyAlignment="0" applyProtection="0"/>
    <xf numFmtId="0" fontId="29" fillId="0" borderId="426" applyNumberFormat="0" applyFill="0" applyAlignment="0" applyProtection="0"/>
    <xf numFmtId="0" fontId="29" fillId="0" borderId="426" applyNumberFormat="0" applyFill="0" applyAlignment="0" applyProtection="0"/>
    <xf numFmtId="0" fontId="29" fillId="0" borderId="426" applyNumberFormat="0" applyFill="0" applyAlignment="0" applyProtection="0"/>
    <xf numFmtId="0" fontId="29" fillId="0" borderId="426" applyNumberFormat="0" applyFill="0" applyAlignment="0" applyProtection="0"/>
    <xf numFmtId="0" fontId="29" fillId="0" borderId="426" applyNumberFormat="0" applyFill="0" applyAlignment="0" applyProtection="0"/>
    <xf numFmtId="0" fontId="29" fillId="0" borderId="426" applyNumberFormat="0" applyFill="0" applyAlignment="0" applyProtection="0"/>
    <xf numFmtId="0" fontId="29" fillId="0" borderId="426" applyNumberFormat="0" applyFill="0" applyAlignment="0" applyProtection="0"/>
    <xf numFmtId="0" fontId="29" fillId="0" borderId="426" applyNumberFormat="0" applyFill="0" applyAlignment="0" applyProtection="0"/>
    <xf numFmtId="0" fontId="29" fillId="0" borderId="426" applyNumberFormat="0" applyFill="0" applyAlignment="0" applyProtection="0"/>
    <xf numFmtId="0" fontId="29" fillId="0" borderId="426" applyNumberFormat="0" applyFill="0" applyAlignment="0" applyProtection="0"/>
    <xf numFmtId="0" fontId="207" fillId="0" borderId="425" applyNumberFormat="0" applyFill="0" applyAlignment="0" applyProtection="0"/>
    <xf numFmtId="0" fontId="207" fillId="0" borderId="425" applyNumberFormat="0" applyFill="0" applyAlignment="0" applyProtection="0"/>
    <xf numFmtId="0" fontId="207" fillId="0" borderId="425" applyNumberFormat="0" applyFill="0" applyAlignment="0" applyProtection="0"/>
    <xf numFmtId="0" fontId="207" fillId="0" borderId="425" applyNumberFormat="0" applyFill="0" applyAlignment="0" applyProtection="0"/>
    <xf numFmtId="0" fontId="207" fillId="0" borderId="425" applyNumberFormat="0" applyFill="0" applyAlignment="0" applyProtection="0"/>
    <xf numFmtId="0" fontId="207" fillId="0" borderId="425" applyNumberFormat="0" applyFill="0" applyAlignment="0" applyProtection="0"/>
    <xf numFmtId="0" fontId="207" fillId="0" borderId="425" applyNumberFormat="0" applyFill="0" applyAlignment="0" applyProtection="0"/>
    <xf numFmtId="0" fontId="207" fillId="0" borderId="425" applyNumberFormat="0" applyFill="0" applyAlignment="0" applyProtection="0"/>
    <xf numFmtId="0" fontId="207" fillId="0" borderId="425" applyNumberFormat="0" applyFill="0" applyAlignment="0" applyProtection="0"/>
    <xf numFmtId="0" fontId="207" fillId="0" borderId="425" applyNumberFormat="0" applyFill="0" applyAlignment="0" applyProtection="0"/>
    <xf numFmtId="0" fontId="207" fillId="0" borderId="425" applyNumberFormat="0" applyFill="0" applyAlignment="0" applyProtection="0"/>
    <xf numFmtId="0" fontId="207" fillId="0" borderId="425" applyNumberFormat="0" applyFill="0" applyAlignment="0" applyProtection="0"/>
    <xf numFmtId="0" fontId="207" fillId="0" borderId="425" applyNumberFormat="0" applyFill="0" applyAlignment="0" applyProtection="0"/>
    <xf numFmtId="0" fontId="207" fillId="0" borderId="425" applyNumberFormat="0" applyFill="0" applyAlignment="0" applyProtection="0"/>
    <xf numFmtId="0" fontId="29" fillId="0" borderId="426" applyNumberFormat="0" applyFill="0" applyAlignment="0" applyProtection="0"/>
    <xf numFmtId="0" fontId="29" fillId="0" borderId="426" applyNumberFormat="0" applyFill="0" applyAlignment="0" applyProtection="0"/>
    <xf numFmtId="0" fontId="29" fillId="0" borderId="426" applyNumberFormat="0" applyFill="0" applyAlignment="0" applyProtection="0"/>
    <xf numFmtId="0" fontId="29" fillId="0" borderId="426" applyNumberFormat="0" applyFill="0" applyAlignment="0" applyProtection="0"/>
    <xf numFmtId="0" fontId="29" fillId="0" borderId="426" applyNumberFormat="0" applyFill="0" applyAlignment="0" applyProtection="0"/>
    <xf numFmtId="0" fontId="29" fillId="0" borderId="426" applyNumberFormat="0" applyFill="0" applyAlignment="0" applyProtection="0"/>
    <xf numFmtId="0" fontId="29" fillId="0" borderId="426" applyNumberFormat="0" applyFill="0" applyAlignment="0" applyProtection="0"/>
    <xf numFmtId="0" fontId="29" fillId="0" borderId="426" applyNumberFormat="0" applyFill="0" applyAlignment="0" applyProtection="0"/>
    <xf numFmtId="0" fontId="29" fillId="0" borderId="426" applyNumberFormat="0" applyFill="0" applyAlignment="0" applyProtection="0"/>
    <xf numFmtId="0" fontId="29" fillId="0" borderId="426" applyNumberFormat="0" applyFill="0" applyAlignment="0" applyProtection="0"/>
    <xf numFmtId="0" fontId="29" fillId="0" borderId="426" applyNumberFormat="0" applyFill="0" applyAlignment="0" applyProtection="0"/>
    <xf numFmtId="0" fontId="29" fillId="0" borderId="426" applyNumberFormat="0" applyFill="0" applyAlignment="0" applyProtection="0"/>
    <xf numFmtId="0" fontId="29" fillId="0" borderId="426" applyNumberFormat="0" applyFill="0" applyAlignment="0" applyProtection="0"/>
    <xf numFmtId="0" fontId="29" fillId="0" borderId="426" applyNumberFormat="0" applyFill="0" applyAlignment="0" applyProtection="0"/>
    <xf numFmtId="0" fontId="29" fillId="0" borderId="426" applyNumberFormat="0" applyFill="0" applyAlignment="0" applyProtection="0"/>
    <xf numFmtId="0" fontId="29" fillId="0" borderId="426" applyNumberFormat="0" applyFill="0" applyAlignment="0" applyProtection="0"/>
    <xf numFmtId="0" fontId="29" fillId="0" borderId="426" applyNumberFormat="0" applyFill="0" applyAlignment="0" applyProtection="0"/>
    <xf numFmtId="0" fontId="29" fillId="0" borderId="426" applyNumberFormat="0" applyFill="0" applyAlignment="0" applyProtection="0"/>
    <xf numFmtId="0" fontId="29" fillId="0" borderId="426" applyNumberFormat="0" applyFill="0" applyAlignment="0" applyProtection="0"/>
    <xf numFmtId="0" fontId="29" fillId="0" borderId="426" applyNumberFormat="0" applyFill="0" applyAlignment="0" applyProtection="0"/>
    <xf numFmtId="0" fontId="29" fillId="0" borderId="426" applyNumberFormat="0" applyFill="0" applyAlignment="0" applyProtection="0"/>
    <xf numFmtId="0" fontId="29" fillId="0" borderId="426" applyNumberFormat="0" applyFill="0" applyAlignment="0" applyProtection="0"/>
    <xf numFmtId="0" fontId="29" fillId="0" borderId="426" applyNumberFormat="0" applyFill="0" applyAlignment="0" applyProtection="0"/>
    <xf numFmtId="0" fontId="29" fillId="0" borderId="426" applyNumberFormat="0" applyFill="0" applyAlignment="0" applyProtection="0"/>
    <xf numFmtId="0" fontId="29" fillId="0" borderId="426" applyNumberFormat="0" applyFill="0" applyAlignment="0" applyProtection="0"/>
    <xf numFmtId="0" fontId="29" fillId="0" borderId="426" applyNumberFormat="0" applyFill="0" applyAlignment="0" applyProtection="0"/>
    <xf numFmtId="0" fontId="29" fillId="0" borderId="426" applyNumberFormat="0" applyFill="0" applyAlignment="0" applyProtection="0"/>
    <xf numFmtId="0" fontId="29" fillId="0" borderId="426" applyNumberFormat="0" applyFill="0" applyAlignment="0" applyProtection="0"/>
    <xf numFmtId="0" fontId="29" fillId="0" borderId="426" applyNumberFormat="0" applyFill="0" applyAlignment="0" applyProtection="0"/>
    <xf numFmtId="0" fontId="29" fillId="0" borderId="426" applyNumberFormat="0" applyFill="0" applyAlignment="0" applyProtection="0"/>
    <xf numFmtId="0" fontId="29" fillId="0" borderId="426" applyNumberFormat="0" applyFill="0" applyAlignment="0" applyProtection="0"/>
    <xf numFmtId="0" fontId="29" fillId="0" borderId="426" applyNumberFormat="0" applyFill="0" applyAlignment="0" applyProtection="0"/>
    <xf numFmtId="0" fontId="29" fillId="0" borderId="426" applyNumberFormat="0" applyFill="0" applyAlignment="0" applyProtection="0"/>
    <xf numFmtId="0" fontId="29" fillId="0" borderId="426" applyNumberFormat="0" applyFill="0" applyAlignment="0" applyProtection="0"/>
    <xf numFmtId="0" fontId="29" fillId="0" borderId="426" applyNumberFormat="0" applyFill="0" applyAlignment="0" applyProtection="0"/>
    <xf numFmtId="0" fontId="29" fillId="0" borderId="426" applyNumberFormat="0" applyFill="0" applyAlignment="0" applyProtection="0"/>
    <xf numFmtId="0" fontId="29" fillId="0" borderId="426" applyNumberFormat="0" applyFill="0" applyAlignment="0" applyProtection="0"/>
    <xf numFmtId="0" fontId="29" fillId="0" borderId="426" applyNumberFormat="0" applyFill="0" applyAlignment="0" applyProtection="0"/>
    <xf numFmtId="0" fontId="29" fillId="0" borderId="426" applyNumberFormat="0" applyFill="0" applyAlignment="0" applyProtection="0"/>
    <xf numFmtId="0" fontId="29" fillId="0" borderId="426" applyNumberFormat="0" applyFill="0" applyAlignment="0" applyProtection="0"/>
    <xf numFmtId="0" fontId="29" fillId="0" borderId="426" applyNumberFormat="0" applyFill="0" applyAlignment="0" applyProtection="0"/>
    <xf numFmtId="0" fontId="29" fillId="0" borderId="426" applyNumberFormat="0" applyFill="0" applyAlignment="0" applyProtection="0"/>
    <xf numFmtId="0" fontId="29" fillId="0" borderId="426" applyNumberFormat="0" applyFill="0" applyAlignment="0" applyProtection="0"/>
    <xf numFmtId="0" fontId="29" fillId="0" borderId="426" applyNumberFormat="0" applyFill="0" applyAlignment="0" applyProtection="0"/>
    <xf numFmtId="0" fontId="29" fillId="0" borderId="426" applyNumberFormat="0" applyFill="0" applyAlignment="0" applyProtection="0"/>
    <xf numFmtId="0" fontId="29" fillId="0" borderId="426" applyNumberFormat="0" applyFill="0" applyAlignment="0" applyProtection="0"/>
    <xf numFmtId="0" fontId="29" fillId="0" borderId="426" applyNumberFormat="0" applyFill="0" applyAlignment="0" applyProtection="0"/>
    <xf numFmtId="0" fontId="29" fillId="0" borderId="426" applyNumberFormat="0" applyFill="0" applyAlignment="0" applyProtection="0"/>
    <xf numFmtId="0" fontId="207" fillId="0" borderId="425" applyNumberFormat="0" applyFill="0" applyAlignment="0" applyProtection="0"/>
    <xf numFmtId="0" fontId="207" fillId="0" borderId="425" applyNumberFormat="0" applyFill="0" applyAlignment="0" applyProtection="0"/>
    <xf numFmtId="0" fontId="207" fillId="0" borderId="425" applyNumberFormat="0" applyFill="0" applyAlignment="0" applyProtection="0"/>
    <xf numFmtId="0" fontId="207" fillId="0" borderId="425" applyNumberFormat="0" applyFill="0" applyAlignment="0" applyProtection="0"/>
    <xf numFmtId="0" fontId="207" fillId="0" borderId="425" applyNumberFormat="0" applyFill="0" applyAlignment="0" applyProtection="0"/>
    <xf numFmtId="0" fontId="207" fillId="0" borderId="425" applyNumberFormat="0" applyFill="0" applyAlignment="0" applyProtection="0"/>
    <xf numFmtId="0" fontId="207" fillId="0" borderId="425" applyNumberFormat="0" applyFill="0" applyAlignment="0" applyProtection="0"/>
    <xf numFmtId="0" fontId="207" fillId="0" borderId="425" applyNumberFormat="0" applyFill="0" applyAlignment="0" applyProtection="0"/>
    <xf numFmtId="0" fontId="207" fillId="0" borderId="425" applyNumberFormat="0" applyFill="0" applyAlignment="0" applyProtection="0"/>
    <xf numFmtId="0" fontId="207" fillId="0" borderId="425" applyNumberFormat="0" applyFill="0" applyAlignment="0" applyProtection="0"/>
    <xf numFmtId="0" fontId="207" fillId="0" borderId="425" applyNumberFormat="0" applyFill="0" applyAlignment="0" applyProtection="0"/>
    <xf numFmtId="0" fontId="207" fillId="0" borderId="425" applyNumberFormat="0" applyFill="0" applyAlignment="0" applyProtection="0"/>
    <xf numFmtId="0" fontId="207" fillId="0" borderId="425" applyNumberFormat="0" applyFill="0" applyAlignment="0" applyProtection="0"/>
    <xf numFmtId="0" fontId="207" fillId="0" borderId="425" applyNumberFormat="0" applyFill="0" applyAlignment="0" applyProtection="0"/>
    <xf numFmtId="0" fontId="207" fillId="0" borderId="425" applyNumberFormat="0" applyFill="0" applyAlignment="0" applyProtection="0"/>
    <xf numFmtId="0" fontId="207" fillId="0" borderId="425" applyNumberFormat="0" applyFill="0" applyAlignment="0" applyProtection="0"/>
    <xf numFmtId="0" fontId="207" fillId="0" borderId="425" applyNumberFormat="0" applyFill="0" applyAlignment="0" applyProtection="0"/>
    <xf numFmtId="0" fontId="207" fillId="0" borderId="425" applyNumberFormat="0" applyFill="0" applyAlignment="0" applyProtection="0"/>
    <xf numFmtId="0" fontId="207" fillId="0" borderId="425" applyNumberFormat="0" applyFill="0" applyAlignment="0" applyProtection="0"/>
    <xf numFmtId="0" fontId="207" fillId="0" borderId="425" applyNumberFormat="0" applyFill="0" applyAlignment="0" applyProtection="0"/>
    <xf numFmtId="0" fontId="207" fillId="0" borderId="425" applyNumberFormat="0" applyFill="0" applyAlignment="0" applyProtection="0"/>
    <xf numFmtId="0" fontId="207" fillId="0" borderId="425" applyNumberFormat="0" applyFill="0" applyAlignment="0" applyProtection="0"/>
    <xf numFmtId="0" fontId="207" fillId="0" borderId="425" applyNumberFormat="0" applyFill="0" applyAlignment="0" applyProtection="0"/>
    <xf numFmtId="0" fontId="207" fillId="0" borderId="425" applyNumberFormat="0" applyFill="0" applyAlignment="0" applyProtection="0"/>
    <xf numFmtId="0" fontId="207" fillId="0" borderId="425" applyNumberFormat="0" applyFill="0" applyAlignment="0" applyProtection="0"/>
    <xf numFmtId="0" fontId="207" fillId="0" borderId="425" applyNumberFormat="0" applyFill="0" applyAlignment="0" applyProtection="0"/>
    <xf numFmtId="0" fontId="207" fillId="0" borderId="425" applyNumberFormat="0" applyFill="0" applyAlignment="0" applyProtection="0"/>
    <xf numFmtId="0" fontId="207" fillId="0" borderId="425" applyNumberFormat="0" applyFill="0" applyAlignment="0" applyProtection="0"/>
    <xf numFmtId="0" fontId="207" fillId="0" borderId="425" applyNumberFormat="0" applyFill="0" applyAlignment="0" applyProtection="0"/>
    <xf numFmtId="0" fontId="207" fillId="0" borderId="425" applyNumberFormat="0" applyFill="0" applyAlignment="0" applyProtection="0"/>
    <xf numFmtId="0" fontId="207" fillId="0" borderId="425" applyNumberFormat="0" applyFill="0" applyAlignment="0" applyProtection="0"/>
    <xf numFmtId="0" fontId="207" fillId="0" borderId="425" applyNumberFormat="0" applyFill="0" applyAlignment="0" applyProtection="0"/>
    <xf numFmtId="0" fontId="207" fillId="0" borderId="425" applyNumberFormat="0" applyFill="0" applyAlignment="0" applyProtection="0"/>
    <xf numFmtId="0" fontId="207" fillId="0" borderId="425" applyNumberFormat="0" applyFill="0" applyAlignment="0" applyProtection="0"/>
    <xf numFmtId="0" fontId="207" fillId="0" borderId="425" applyNumberFormat="0" applyFill="0" applyAlignment="0" applyProtection="0"/>
    <xf numFmtId="0" fontId="207" fillId="0" borderId="425" applyNumberFormat="0" applyFill="0" applyAlignment="0" applyProtection="0"/>
    <xf numFmtId="0" fontId="207" fillId="0" borderId="425" applyNumberFormat="0" applyFill="0" applyAlignment="0" applyProtection="0"/>
    <xf numFmtId="0" fontId="207" fillId="0" borderId="425" applyNumberFormat="0" applyFill="0" applyAlignment="0" applyProtection="0"/>
    <xf numFmtId="0" fontId="207" fillId="0" borderId="425" applyNumberFormat="0" applyFill="0" applyAlignment="0" applyProtection="0"/>
    <xf numFmtId="0" fontId="207" fillId="0" borderId="425" applyNumberFormat="0" applyFill="0" applyAlignment="0" applyProtection="0"/>
    <xf numFmtId="0" fontId="207" fillId="0" borderId="425" applyNumberFormat="0" applyFill="0" applyAlignment="0" applyProtection="0"/>
    <xf numFmtId="199" fontId="1" fillId="25" borderId="43">
      <protection locked="0"/>
    </xf>
    <xf numFmtId="199" fontId="1" fillId="25" borderId="43">
      <protection locked="0"/>
    </xf>
    <xf numFmtId="199" fontId="1" fillId="25" borderId="43">
      <protection locked="0"/>
    </xf>
    <xf numFmtId="199" fontId="1" fillId="25" borderId="43">
      <protection locked="0"/>
    </xf>
    <xf numFmtId="199" fontId="1" fillId="25" borderId="43">
      <protection locked="0"/>
    </xf>
    <xf numFmtId="199" fontId="1" fillId="25" borderId="43">
      <protection locked="0"/>
    </xf>
    <xf numFmtId="49" fontId="1" fillId="25" borderId="43" applyFont="0" applyAlignment="0">
      <alignment horizontal="left" vertical="center" wrapText="1"/>
      <protection locked="0"/>
    </xf>
    <xf numFmtId="49" fontId="1" fillId="25" borderId="43" applyFont="0" applyAlignment="0">
      <alignment horizontal="left" vertical="center" wrapText="1"/>
      <protection locked="0"/>
    </xf>
    <xf numFmtId="49" fontId="1" fillId="25" borderId="43" applyFont="0" applyAlignment="0">
      <alignment horizontal="left" vertical="center" wrapText="1"/>
      <protection locked="0"/>
    </xf>
    <xf numFmtId="49" fontId="1" fillId="25" borderId="43" applyFont="0" applyAlignment="0">
      <alignment horizontal="left" vertical="center" wrapText="1"/>
      <protection locked="0"/>
    </xf>
    <xf numFmtId="49" fontId="1" fillId="25" borderId="43" applyFont="0" applyAlignment="0">
      <alignment horizontal="left" vertical="center" wrapText="1"/>
      <protection locked="0"/>
    </xf>
    <xf numFmtId="49" fontId="1" fillId="25" borderId="43" applyFont="0" applyAlignment="0">
      <alignment horizontal="left" vertical="center" wrapText="1"/>
      <protection locked="0"/>
    </xf>
    <xf numFmtId="199" fontId="1" fillId="29" borderId="43"/>
    <xf numFmtId="199" fontId="1" fillId="29" borderId="43"/>
    <xf numFmtId="199" fontId="1" fillId="29" borderId="43"/>
    <xf numFmtId="199" fontId="1" fillId="29" borderId="43"/>
    <xf numFmtId="199" fontId="1" fillId="29" borderId="43"/>
    <xf numFmtId="199" fontId="1" fillId="29" borderId="43"/>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protection locked="0"/>
    </xf>
    <xf numFmtId="0" fontId="1"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0" fontId="1" fillId="156" borderId="405"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xf numFmtId="0" fontId="122" fillId="0" borderId="427">
      <alignment horizontal="center"/>
    </xf>
  </cellStyleXfs>
  <cellXfs count="4745">
    <xf numFmtId="0" fontId="0" fillId="0" borderId="0" xfId="0"/>
    <xf numFmtId="0" fontId="6" fillId="25" borderId="49" xfId="0" applyFont="1" applyFill="1" applyBorder="1" applyAlignment="1">
      <alignment horizontal="left" vertical="center" wrapText="1" indent="2"/>
    </xf>
    <xf numFmtId="0" fontId="6" fillId="25" borderId="50" xfId="0" applyFont="1" applyFill="1" applyBorder="1" applyAlignment="1">
      <alignment horizontal="left" vertical="center" wrapText="1" indent="2"/>
    </xf>
    <xf numFmtId="0" fontId="84" fillId="30" borderId="0" xfId="0" applyFont="1" applyFill="1" applyBorder="1" applyAlignment="1">
      <alignment vertical="center"/>
    </xf>
    <xf numFmtId="0" fontId="84" fillId="30" borderId="0" xfId="0" applyFont="1" applyFill="1" applyBorder="1"/>
    <xf numFmtId="0" fontId="6" fillId="33" borderId="0" xfId="0" applyFont="1" applyFill="1" applyAlignment="1">
      <alignment horizontal="right"/>
    </xf>
    <xf numFmtId="0" fontId="18" fillId="33" borderId="0" xfId="0" applyNumberFormat="1" applyFont="1" applyFill="1" applyAlignment="1">
      <alignment horizontal="right"/>
    </xf>
    <xf numFmtId="0" fontId="48" fillId="33" borderId="0" xfId="0" applyFont="1" applyFill="1"/>
    <xf numFmtId="0" fontId="66" fillId="39" borderId="67" xfId="0" applyFont="1" applyFill="1" applyBorder="1" applyAlignment="1">
      <alignment horizontal="center" vertical="center" wrapText="1"/>
    </xf>
    <xf numFmtId="168" fontId="6" fillId="30" borderId="147" xfId="30" applyNumberFormat="1" applyFont="1" applyFill="1" applyBorder="1" applyAlignment="1">
      <alignment horizontal="right"/>
    </xf>
    <xf numFmtId="0" fontId="84" fillId="30" borderId="0" xfId="0" applyFont="1" applyFill="1" applyAlignment="1">
      <alignment vertical="center"/>
    </xf>
    <xf numFmtId="0" fontId="48" fillId="33" borderId="0" xfId="0" applyFont="1" applyFill="1" applyAlignment="1">
      <alignment horizontal="right"/>
    </xf>
    <xf numFmtId="0" fontId="84" fillId="30" borderId="0" xfId="0" applyFont="1" applyFill="1"/>
    <xf numFmtId="2" fontId="0" fillId="0" borderId="0" xfId="0" applyNumberFormat="1"/>
    <xf numFmtId="0" fontId="9" fillId="14" borderId="0" xfId="0" applyFont="1" applyFill="1" applyBorder="1" applyAlignment="1">
      <alignment horizontal="left" vertical="top"/>
    </xf>
    <xf numFmtId="0" fontId="0" fillId="33" borderId="0" xfId="0" applyFill="1" applyAlignment="1">
      <alignment horizontal="right"/>
    </xf>
    <xf numFmtId="0" fontId="50" fillId="35" borderId="79" xfId="0" applyFont="1" applyFill="1" applyBorder="1" applyAlignment="1">
      <alignment horizontal="center" vertical="center"/>
    </xf>
    <xf numFmtId="168" fontId="6" fillId="29" borderId="75" xfId="30" applyNumberFormat="1" applyFont="1" applyFill="1" applyBorder="1" applyAlignment="1">
      <alignment horizontal="right"/>
    </xf>
    <xf numFmtId="168" fontId="6" fillId="30" borderId="77" xfId="30" applyNumberFormat="1" applyFont="1" applyFill="1" applyBorder="1" applyAlignment="1">
      <alignment horizontal="right"/>
    </xf>
    <xf numFmtId="0" fontId="10" fillId="0" borderId="0" xfId="0" applyFont="1" applyFill="1"/>
    <xf numFmtId="0" fontId="0" fillId="0" borderId="0" xfId="0" applyBorder="1"/>
    <xf numFmtId="0" fontId="0" fillId="0" borderId="0" xfId="0"/>
    <xf numFmtId="0" fontId="12" fillId="0" borderId="0" xfId="38" applyFill="1" applyAlignment="1" applyProtection="1"/>
    <xf numFmtId="168" fontId="16" fillId="0" borderId="0" xfId="30" applyNumberFormat="1" applyFont="1" applyFill="1" applyBorder="1"/>
    <xf numFmtId="0" fontId="0" fillId="0" borderId="0" xfId="0"/>
    <xf numFmtId="0" fontId="0" fillId="0" borderId="0" xfId="0" applyBorder="1"/>
    <xf numFmtId="0" fontId="0" fillId="0" borderId="0" xfId="0" applyFill="1" applyBorder="1"/>
    <xf numFmtId="0" fontId="0" fillId="18" borderId="27" xfId="0" applyFill="1" applyBorder="1"/>
    <xf numFmtId="0" fontId="0" fillId="18" borderId="28" xfId="0" applyFill="1" applyBorder="1"/>
    <xf numFmtId="0" fontId="0" fillId="18" borderId="29" xfId="0" applyFill="1" applyBorder="1"/>
    <xf numFmtId="0" fontId="0" fillId="18" borderId="30" xfId="0" applyFill="1" applyBorder="1"/>
    <xf numFmtId="0" fontId="42" fillId="18" borderId="0" xfId="0" applyFont="1" applyFill="1" applyBorder="1" applyAlignment="1">
      <alignment vertical="center"/>
    </xf>
    <xf numFmtId="0" fontId="42" fillId="18" borderId="31" xfId="0" applyFont="1" applyFill="1" applyBorder="1" applyAlignment="1">
      <alignment vertical="center"/>
    </xf>
    <xf numFmtId="0" fontId="42" fillId="0" borderId="0" xfId="0" applyFont="1" applyFill="1" applyBorder="1" applyAlignment="1">
      <alignment vertical="center"/>
    </xf>
    <xf numFmtId="0" fontId="42" fillId="0" borderId="0" xfId="0" applyFont="1" applyFill="1" applyBorder="1" applyAlignment="1"/>
    <xf numFmtId="0" fontId="43" fillId="18" borderId="0" xfId="0" applyFont="1" applyFill="1" applyBorder="1" applyAlignment="1">
      <alignment vertical="center"/>
    </xf>
    <xf numFmtId="0" fontId="43" fillId="18" borderId="31" xfId="0" applyFont="1" applyFill="1" applyBorder="1" applyAlignment="1">
      <alignment vertical="center"/>
    </xf>
    <xf numFmtId="0" fontId="43" fillId="0" borderId="0" xfId="0" applyFont="1" applyFill="1" applyBorder="1" applyAlignment="1">
      <alignment vertical="center"/>
    </xf>
    <xf numFmtId="0" fontId="43" fillId="0" borderId="0" xfId="0" applyFont="1" applyFill="1" applyBorder="1" applyAlignment="1"/>
    <xf numFmtId="0" fontId="0" fillId="18" borderId="0" xfId="0" applyFill="1" applyBorder="1" applyAlignment="1">
      <alignment horizontal="center" vertical="center"/>
    </xf>
    <xf numFmtId="0" fontId="0" fillId="18" borderId="31" xfId="0" applyFill="1" applyBorder="1" applyAlignment="1">
      <alignment horizontal="center" vertical="center"/>
    </xf>
    <xf numFmtId="0" fontId="0" fillId="0" borderId="0" xfId="0" applyFill="1" applyBorder="1" applyAlignment="1">
      <alignment horizontal="center" vertical="center"/>
    </xf>
    <xf numFmtId="0" fontId="0" fillId="18" borderId="0" xfId="0" applyFill="1" applyBorder="1"/>
    <xf numFmtId="0" fontId="0" fillId="18" borderId="31" xfId="0" applyFill="1" applyBorder="1"/>
    <xf numFmtId="0" fontId="44" fillId="18" borderId="0" xfId="0" applyFont="1" applyFill="1" applyBorder="1" applyAlignment="1">
      <alignment horizontal="center" vertical="center"/>
    </xf>
    <xf numFmtId="0" fontId="44" fillId="18" borderId="0" xfId="0" applyFont="1" applyFill="1" applyBorder="1" applyAlignment="1">
      <alignment vertical="center"/>
    </xf>
    <xf numFmtId="0" fontId="44" fillId="18" borderId="31" xfId="0" applyFont="1" applyFill="1" applyBorder="1" applyAlignment="1">
      <alignment vertical="center"/>
    </xf>
    <xf numFmtId="0" fontId="44" fillId="0" borderId="0" xfId="0" applyFont="1" applyFill="1" applyBorder="1" applyAlignment="1">
      <alignment vertical="center"/>
    </xf>
    <xf numFmtId="0" fontId="44" fillId="0" borderId="0" xfId="0" applyFont="1" applyFill="1" applyBorder="1" applyAlignment="1"/>
    <xf numFmtId="0" fontId="44" fillId="0" borderId="0" xfId="0" applyFont="1" applyFill="1" applyBorder="1"/>
    <xf numFmtId="0" fontId="44" fillId="24" borderId="30" xfId="0" applyFont="1" applyFill="1" applyBorder="1"/>
    <xf numFmtId="0" fontId="42" fillId="24" borderId="30" xfId="0" applyFont="1" applyFill="1" applyBorder="1" applyAlignment="1">
      <alignment horizontal="center"/>
    </xf>
    <xf numFmtId="0" fontId="44" fillId="24" borderId="32" xfId="0" applyFont="1" applyFill="1" applyBorder="1"/>
    <xf numFmtId="0" fontId="0" fillId="24" borderId="0" xfId="0" applyFill="1" applyBorder="1"/>
    <xf numFmtId="0" fontId="0" fillId="24" borderId="4" xfId="0" applyFill="1" applyBorder="1"/>
    <xf numFmtId="0" fontId="0" fillId="24" borderId="33" xfId="0" applyFill="1" applyBorder="1"/>
    <xf numFmtId="0" fontId="0" fillId="24" borderId="31" xfId="0" applyFill="1" applyBorder="1" applyAlignment="1">
      <alignment vertical="center"/>
    </xf>
    <xf numFmtId="0" fontId="0" fillId="24" borderId="0" xfId="0" applyFill="1"/>
    <xf numFmtId="0" fontId="10" fillId="24" borderId="0" xfId="0" applyFont="1" applyFill="1" applyBorder="1"/>
    <xf numFmtId="0" fontId="45" fillId="24" borderId="0" xfId="38" applyFont="1" applyFill="1" applyBorder="1" applyAlignment="1" applyProtection="1">
      <alignment horizontal="left"/>
    </xf>
    <xf numFmtId="0" fontId="10" fillId="24" borderId="0" xfId="0" applyFont="1" applyFill="1" applyBorder="1" applyAlignment="1">
      <alignment horizontal="left"/>
    </xf>
    <xf numFmtId="0" fontId="45" fillId="24" borderId="0" xfId="38" quotePrefix="1" applyFont="1" applyFill="1" applyBorder="1" applyAlignment="1" applyProtection="1">
      <alignment horizontal="left"/>
    </xf>
    <xf numFmtId="0" fontId="44" fillId="24" borderId="0" xfId="0" applyFont="1" applyFill="1" applyBorder="1"/>
    <xf numFmtId="0" fontId="0" fillId="24" borderId="0" xfId="0" applyFill="1"/>
    <xf numFmtId="10" fontId="9" fillId="0" borderId="0" xfId="44" applyNumberFormat="1" applyFont="1"/>
    <xf numFmtId="0" fontId="0" fillId="0" borderId="0" xfId="0"/>
    <xf numFmtId="0" fontId="0" fillId="14" borderId="0" xfId="0" applyFill="1" applyBorder="1"/>
    <xf numFmtId="0" fontId="9" fillId="14" borderId="0" xfId="0" applyFont="1" applyFill="1" applyBorder="1"/>
    <xf numFmtId="0" fontId="14" fillId="0" borderId="0" xfId="0" applyFont="1" applyBorder="1"/>
    <xf numFmtId="0" fontId="0" fillId="0" borderId="0" xfId="0"/>
    <xf numFmtId="0" fontId="6" fillId="0" borderId="0" xfId="0" applyFont="1" applyFill="1" applyBorder="1" applyAlignment="1" applyProtection="1">
      <alignment horizontal="right" vertical="center" wrapText="1"/>
      <protection locked="0"/>
    </xf>
    <xf numFmtId="0" fontId="12" fillId="0" borderId="0" xfId="38" applyFill="1" applyAlignment="1" applyProtection="1"/>
    <xf numFmtId="0" fontId="47" fillId="0" borderId="0" xfId="0" applyFont="1" applyFill="1"/>
    <xf numFmtId="0" fontId="6" fillId="14" borderId="0" xfId="0" applyFont="1" applyFill="1" applyBorder="1" applyAlignment="1">
      <alignment horizontal="left" vertical="top"/>
    </xf>
    <xf numFmtId="0" fontId="0" fillId="0" borderId="0" xfId="0" applyFill="1" applyBorder="1"/>
    <xf numFmtId="0" fontId="0" fillId="0" borderId="0" xfId="0" applyBorder="1"/>
    <xf numFmtId="0" fontId="16" fillId="0" borderId="0" xfId="0" applyFont="1"/>
    <xf numFmtId="0" fontId="6" fillId="0" borderId="0" xfId="0" applyFont="1"/>
    <xf numFmtId="0" fontId="6" fillId="0" borderId="0" xfId="0" applyFont="1" applyFill="1"/>
    <xf numFmtId="0" fontId="6" fillId="0" borderId="0" xfId="0" applyFont="1" applyFill="1" applyBorder="1" applyAlignment="1">
      <alignment vertical="top"/>
    </xf>
    <xf numFmtId="0" fontId="18" fillId="0" borderId="0" xfId="0" applyNumberFormat="1" applyFont="1" applyFill="1"/>
    <xf numFmtId="0" fontId="18" fillId="0" borderId="0" xfId="0" applyFont="1" applyFill="1"/>
    <xf numFmtId="0" fontId="16" fillId="0" borderId="0" xfId="0" applyFont="1" applyFill="1"/>
    <xf numFmtId="0" fontId="14" fillId="0" borderId="0" xfId="0" applyFont="1" applyFill="1"/>
    <xf numFmtId="0" fontId="6" fillId="0" borderId="0" xfId="0" applyFont="1" applyAlignment="1"/>
    <xf numFmtId="0" fontId="9" fillId="14" borderId="0" xfId="0" applyFont="1" applyFill="1" applyAlignment="1"/>
    <xf numFmtId="0" fontId="6" fillId="14" borderId="0" xfId="0" applyFont="1" applyFill="1" applyBorder="1" applyAlignment="1">
      <alignment vertical="top"/>
    </xf>
    <xf numFmtId="0" fontId="14" fillId="0" borderId="0" xfId="0" applyFont="1" applyFill="1" applyBorder="1" applyAlignment="1">
      <alignment horizontal="left" vertical="center" wrapText="1"/>
    </xf>
    <xf numFmtId="0" fontId="6" fillId="0" borderId="0" xfId="0" applyFont="1"/>
    <xf numFmtId="0" fontId="9" fillId="0" borderId="0" xfId="0" applyFont="1" applyFill="1" applyBorder="1"/>
    <xf numFmtId="0" fontId="6" fillId="0" borderId="0" xfId="0" applyFont="1" applyFill="1"/>
    <xf numFmtId="0" fontId="18" fillId="0" borderId="0" xfId="0" applyFont="1" applyFill="1"/>
    <xf numFmtId="168" fontId="6" fillId="0" borderId="0" xfId="30" applyNumberFormat="1" applyFont="1" applyFill="1" applyBorder="1"/>
    <xf numFmtId="0" fontId="6" fillId="20" borderId="0" xfId="0" applyFont="1" applyFill="1"/>
    <xf numFmtId="0" fontId="6" fillId="0" borderId="0" xfId="0" applyFont="1" applyAlignment="1">
      <alignment wrapText="1"/>
    </xf>
    <xf numFmtId="0" fontId="0" fillId="0" borderId="0" xfId="0"/>
    <xf numFmtId="0" fontId="0" fillId="0" borderId="0" xfId="0" applyFill="1"/>
    <xf numFmtId="0" fontId="0" fillId="0" borderId="0" xfId="0" applyFill="1" applyBorder="1"/>
    <xf numFmtId="0" fontId="16" fillId="0" borderId="0" xfId="0" applyFont="1" applyFill="1" applyBorder="1"/>
    <xf numFmtId="0" fontId="15" fillId="0" borderId="0" xfId="0" applyFont="1" applyFill="1" applyBorder="1"/>
    <xf numFmtId="0" fontId="0" fillId="0" borderId="0" xfId="0" applyFill="1" applyAlignment="1">
      <alignment wrapText="1"/>
    </xf>
    <xf numFmtId="0" fontId="9" fillId="14" borderId="0" xfId="0" applyFont="1" applyFill="1" applyBorder="1" applyAlignment="1">
      <alignment vertical="top"/>
    </xf>
    <xf numFmtId="0" fontId="6" fillId="14" borderId="0" xfId="0" applyFont="1" applyFill="1" applyBorder="1" applyAlignment="1">
      <alignment vertical="top" wrapText="1"/>
    </xf>
    <xf numFmtId="0" fontId="9" fillId="14" borderId="0" xfId="0" applyFont="1" applyFill="1"/>
    <xf numFmtId="0" fontId="6" fillId="14" borderId="0" xfId="0" applyFont="1" applyFill="1"/>
    <xf numFmtId="0" fontId="11" fillId="0" borderId="0" xfId="0" applyFont="1" applyFill="1"/>
    <xf numFmtId="0" fontId="6" fillId="0" borderId="0" xfId="0" applyFont="1" applyFill="1" applyBorder="1"/>
    <xf numFmtId="0" fontId="6" fillId="14" borderId="0" xfId="0" applyFont="1" applyFill="1" applyBorder="1" applyAlignment="1">
      <alignment horizontal="left" vertical="top" wrapText="1"/>
    </xf>
    <xf numFmtId="0" fontId="9" fillId="0" borderId="0" xfId="0" applyFont="1"/>
    <xf numFmtId="0" fontId="0" fillId="14" borderId="0" xfId="0" applyFill="1"/>
    <xf numFmtId="0" fontId="0" fillId="0" borderId="0" xfId="0" applyBorder="1"/>
    <xf numFmtId="0" fontId="6" fillId="14" borderId="0" xfId="0" applyFont="1" applyFill="1" applyAlignment="1"/>
    <xf numFmtId="0" fontId="8" fillId="0" borderId="0" xfId="0" applyFont="1" applyFill="1" applyBorder="1"/>
    <xf numFmtId="0" fontId="8" fillId="14" borderId="0" xfId="0" applyFont="1" applyFill="1" applyBorder="1"/>
    <xf numFmtId="17" fontId="0" fillId="0" borderId="0" xfId="0" applyNumberFormat="1" applyFill="1" applyBorder="1"/>
    <xf numFmtId="167" fontId="46" fillId="0" borderId="0" xfId="0" applyNumberFormat="1" applyFont="1" applyFill="1" applyBorder="1"/>
    <xf numFmtId="0" fontId="9" fillId="14" borderId="0" xfId="0" applyFont="1" applyFill="1" applyBorder="1" applyAlignment="1">
      <alignment vertical="center"/>
    </xf>
    <xf numFmtId="0" fontId="6" fillId="14" borderId="0" xfId="0" applyFont="1" applyFill="1" applyBorder="1" applyAlignment="1">
      <alignment vertical="center"/>
    </xf>
    <xf numFmtId="43" fontId="16" fillId="0" borderId="0" xfId="0" applyNumberFormat="1" applyFont="1" applyFill="1"/>
    <xf numFmtId="0" fontId="6" fillId="14" borderId="0" xfId="0" applyFont="1" applyFill="1" applyBorder="1"/>
    <xf numFmtId="0" fontId="0" fillId="14" borderId="0" xfId="0" applyFill="1" applyAlignment="1"/>
    <xf numFmtId="43" fontId="16" fillId="0" borderId="0" xfId="0" applyNumberFormat="1" applyFont="1" applyFill="1" applyBorder="1"/>
    <xf numFmtId="0" fontId="16" fillId="0" borderId="0" xfId="0" applyFont="1" applyFill="1" applyAlignment="1">
      <alignment wrapText="1"/>
    </xf>
    <xf numFmtId="41" fontId="16" fillId="0" borderId="0" xfId="0" applyNumberFormat="1" applyFont="1" applyFill="1" applyBorder="1"/>
    <xf numFmtId="0" fontId="11" fillId="0" borderId="0" xfId="0" applyFont="1"/>
    <xf numFmtId="0" fontId="11" fillId="0" borderId="0" xfId="0" applyFont="1" applyAlignment="1">
      <alignment horizontal="center" vertical="center"/>
    </xf>
    <xf numFmtId="0" fontId="11" fillId="14" borderId="0" xfId="0" applyFont="1" applyFill="1"/>
    <xf numFmtId="0" fontId="6" fillId="14" borderId="0" xfId="0" applyFont="1" applyFill="1" applyAlignment="1">
      <alignment vertical="top"/>
    </xf>
    <xf numFmtId="0" fontId="6" fillId="14" borderId="0" xfId="0" applyFont="1" applyFill="1" applyAlignment="1">
      <alignment vertical="top" wrapText="1"/>
    </xf>
    <xf numFmtId="0" fontId="6" fillId="0" borderId="0" xfId="0" applyFont="1" applyFill="1" applyBorder="1"/>
    <xf numFmtId="168" fontId="15" fillId="0" borderId="0" xfId="0" applyNumberFormat="1" applyFont="1" applyFill="1" applyBorder="1" applyAlignment="1">
      <alignment horizontal="left" vertical="center" wrapText="1"/>
    </xf>
    <xf numFmtId="0" fontId="16" fillId="0" borderId="0" xfId="0" applyFont="1" applyFill="1" applyBorder="1" applyAlignment="1">
      <alignment horizontal="center" vertical="center" wrapText="1"/>
    </xf>
    <xf numFmtId="168" fontId="9" fillId="0" borderId="0" xfId="0" applyNumberFormat="1" applyFont="1" applyFill="1" applyBorder="1" applyAlignment="1">
      <alignment horizontal="left" vertical="center" wrapText="1"/>
    </xf>
    <xf numFmtId="0" fontId="50" fillId="0" borderId="0" xfId="0" applyFont="1" applyFill="1" applyBorder="1" applyAlignment="1" applyProtection="1">
      <alignment horizontal="left" vertical="center" wrapText="1"/>
      <protection locked="0"/>
    </xf>
    <xf numFmtId="0" fontId="6" fillId="0" borderId="0" xfId="0" applyFont="1" applyFill="1" applyBorder="1" applyAlignment="1" applyProtection="1">
      <alignment vertical="center" wrapText="1"/>
      <protection locked="0"/>
    </xf>
    <xf numFmtId="0" fontId="6" fillId="22" borderId="0" xfId="0" applyFont="1" applyFill="1" applyBorder="1" applyAlignment="1" applyProtection="1">
      <alignment vertical="center" wrapText="1"/>
      <protection locked="0"/>
    </xf>
    <xf numFmtId="0" fontId="0" fillId="0" borderId="0" xfId="0" applyFill="1"/>
    <xf numFmtId="0" fontId="6" fillId="0" borderId="0" xfId="0" applyFont="1" applyFill="1" applyBorder="1" applyAlignment="1">
      <alignment horizontal="center" vertical="center" wrapText="1"/>
    </xf>
    <xf numFmtId="0" fontId="9" fillId="0" borderId="0" xfId="0" applyFont="1" applyFill="1" applyBorder="1" applyAlignment="1" applyProtection="1">
      <alignment horizontal="left" vertical="center" wrapText="1"/>
      <protection locked="0"/>
    </xf>
    <xf numFmtId="0" fontId="6" fillId="22" borderId="17" xfId="0" applyFont="1" applyFill="1" applyBorder="1" applyAlignment="1" applyProtection="1">
      <alignment vertical="center" wrapText="1"/>
      <protection locked="0"/>
    </xf>
    <xf numFmtId="49" fontId="6" fillId="0" borderId="0" xfId="0" applyNumberFormat="1" applyFont="1"/>
    <xf numFmtId="0" fontId="0" fillId="0" borderId="0" xfId="0" applyFill="1" applyBorder="1"/>
    <xf numFmtId="0" fontId="6" fillId="0" borderId="0" xfId="0" applyFont="1" applyAlignment="1">
      <alignment horizontal="left"/>
    </xf>
    <xf numFmtId="3" fontId="6" fillId="0" borderId="0" xfId="0" applyNumberFormat="1" applyFont="1" applyFill="1" applyBorder="1" applyAlignment="1" applyProtection="1">
      <alignment vertical="center" wrapText="1"/>
      <protection locked="0"/>
    </xf>
    <xf numFmtId="1" fontId="59" fillId="0" borderId="0" xfId="0" applyNumberFormat="1" applyFont="1" applyFill="1"/>
    <xf numFmtId="168" fontId="6" fillId="0" borderId="0" xfId="30" applyNumberFormat="1" applyFont="1"/>
    <xf numFmtId="0" fontId="0" fillId="0" borderId="0" xfId="0" applyAlignment="1"/>
    <xf numFmtId="0" fontId="17" fillId="0" borderId="0" xfId="0" applyFont="1" applyAlignment="1"/>
    <xf numFmtId="0" fontId="6" fillId="14" borderId="0" xfId="0" applyFont="1" applyFill="1" applyBorder="1" applyAlignment="1">
      <alignment horizontal="left" vertical="top" wrapText="1"/>
    </xf>
    <xf numFmtId="0" fontId="0" fillId="29" borderId="0" xfId="0" applyFill="1"/>
    <xf numFmtId="164" fontId="9" fillId="18" borderId="34" xfId="44" applyNumberFormat="1" applyFont="1" applyFill="1" applyBorder="1" applyAlignment="1">
      <alignment vertical="center" wrapText="1"/>
    </xf>
    <xf numFmtId="10" fontId="6" fillId="0" borderId="0" xfId="44" applyNumberFormat="1"/>
    <xf numFmtId="0" fontId="6" fillId="14" borderId="0" xfId="0" applyFont="1" applyFill="1" applyBorder="1" applyAlignment="1">
      <alignment vertical="center"/>
    </xf>
    <xf numFmtId="0" fontId="9" fillId="14" borderId="0" xfId="0" applyFont="1" applyFill="1" applyAlignment="1">
      <alignment wrapText="1"/>
    </xf>
    <xf numFmtId="0" fontId="6" fillId="14" borderId="0" xfId="0" applyFont="1" applyFill="1" applyAlignment="1">
      <alignment horizontal="left" vertical="top" wrapText="1"/>
    </xf>
    <xf numFmtId="17" fontId="0" fillId="0" borderId="0" xfId="0" applyNumberFormat="1"/>
    <xf numFmtId="0" fontId="6" fillId="0" borderId="0" xfId="0" applyFont="1" applyFill="1" applyBorder="1" applyAlignment="1" applyProtection="1">
      <alignment horizontal="center" vertical="center" wrapText="1"/>
      <protection locked="0"/>
    </xf>
    <xf numFmtId="0" fontId="61" fillId="27" borderId="0" xfId="0" applyFont="1" applyFill="1" applyBorder="1" applyProtection="1"/>
    <xf numFmtId="0" fontId="61" fillId="27" borderId="0" xfId="0" applyFont="1" applyFill="1" applyBorder="1" applyAlignment="1" applyProtection="1">
      <alignment vertical="center"/>
    </xf>
    <xf numFmtId="0" fontId="61" fillId="33" borderId="0" xfId="0" applyFont="1" applyFill="1" applyProtection="1"/>
    <xf numFmtId="0" fontId="18" fillId="19" borderId="0" xfId="0" applyFont="1" applyFill="1" applyBorder="1" applyAlignment="1" applyProtection="1">
      <alignment horizontal="left" vertical="center"/>
    </xf>
    <xf numFmtId="0" fontId="18" fillId="19" borderId="0" xfId="0" applyFont="1" applyFill="1" applyBorder="1" applyAlignment="1" applyProtection="1">
      <alignment vertical="center"/>
    </xf>
    <xf numFmtId="0" fontId="60" fillId="19" borderId="0" xfId="0" applyFont="1" applyFill="1" applyBorder="1" applyAlignment="1" applyProtection="1">
      <alignment vertical="center"/>
    </xf>
    <xf numFmtId="0" fontId="0" fillId="0" borderId="0" xfId="0"/>
    <xf numFmtId="0" fontId="0" fillId="0" borderId="0" xfId="0"/>
    <xf numFmtId="10" fontId="6" fillId="18" borderId="55" xfId="44" applyNumberFormat="1" applyFont="1" applyFill="1" applyBorder="1" applyProtection="1">
      <protection locked="0"/>
    </xf>
    <xf numFmtId="10" fontId="6" fillId="18" borderId="56" xfId="44" applyNumberFormat="1" applyFont="1" applyFill="1" applyBorder="1" applyProtection="1">
      <protection locked="0"/>
    </xf>
    <xf numFmtId="10" fontId="6" fillId="18" borderId="57" xfId="44" applyNumberFormat="1" applyFont="1" applyFill="1" applyBorder="1" applyProtection="1">
      <protection locked="0"/>
    </xf>
    <xf numFmtId="10" fontId="6" fillId="18" borderId="46" xfId="44" applyNumberFormat="1" applyFont="1" applyFill="1" applyBorder="1" applyProtection="1">
      <protection locked="0"/>
    </xf>
    <xf numFmtId="10" fontId="6" fillId="18" borderId="60" xfId="44" applyNumberFormat="1" applyFont="1" applyFill="1" applyBorder="1" applyProtection="1">
      <protection locked="0"/>
    </xf>
    <xf numFmtId="10" fontId="6" fillId="18" borderId="61" xfId="44" applyNumberFormat="1" applyFont="1" applyFill="1" applyBorder="1" applyProtection="1">
      <protection locked="0"/>
    </xf>
    <xf numFmtId="0" fontId="0" fillId="0" borderId="0" xfId="0" applyBorder="1"/>
    <xf numFmtId="0" fontId="0" fillId="0" borderId="0" xfId="0" applyAlignment="1">
      <alignment vertical="center"/>
    </xf>
    <xf numFmtId="10" fontId="6" fillId="18" borderId="62" xfId="44" applyNumberFormat="1" applyFont="1" applyFill="1" applyBorder="1" applyProtection="1">
      <protection locked="0"/>
    </xf>
    <xf numFmtId="10" fontId="6" fillId="18" borderId="63" xfId="44" applyNumberFormat="1" applyFont="1" applyFill="1" applyBorder="1" applyProtection="1">
      <protection locked="0"/>
    </xf>
    <xf numFmtId="2" fontId="6" fillId="18" borderId="60" xfId="44" applyNumberFormat="1" applyFont="1" applyFill="1" applyBorder="1" applyAlignment="1" applyProtection="1">
      <alignment horizontal="left" indent="3"/>
      <protection locked="0"/>
    </xf>
    <xf numFmtId="10" fontId="6" fillId="18" borderId="63" xfId="44" applyNumberFormat="1" applyFont="1" applyFill="1" applyBorder="1" applyAlignment="1" applyProtection="1">
      <alignment vertical="center"/>
      <protection locked="0"/>
    </xf>
    <xf numFmtId="0" fontId="61" fillId="33" borderId="0" xfId="0" applyFont="1" applyFill="1" applyProtection="1"/>
    <xf numFmtId="0" fontId="18" fillId="19" borderId="22" xfId="0" applyFont="1" applyFill="1" applyBorder="1" applyAlignment="1" applyProtection="1">
      <alignment vertical="center"/>
      <protection locked="0"/>
    </xf>
    <xf numFmtId="0" fontId="61" fillId="27" borderId="0" xfId="0" applyFont="1" applyFill="1" applyBorder="1" applyProtection="1"/>
    <xf numFmtId="0" fontId="18" fillId="19" borderId="0" xfId="0" applyFont="1" applyFill="1" applyBorder="1" applyAlignment="1" applyProtection="1">
      <alignment horizontal="left" vertical="center"/>
    </xf>
    <xf numFmtId="0" fontId="18" fillId="19" borderId="0" xfId="0" applyFont="1" applyFill="1" applyBorder="1" applyAlignment="1" applyProtection="1">
      <alignment vertical="center"/>
    </xf>
    <xf numFmtId="0" fontId="60" fillId="19" borderId="0" xfId="0" applyFont="1" applyFill="1" applyBorder="1" applyAlignment="1" applyProtection="1">
      <alignment vertical="center"/>
    </xf>
    <xf numFmtId="0" fontId="6" fillId="0" borderId="0" xfId="0" applyFont="1" applyFill="1"/>
    <xf numFmtId="0" fontId="18" fillId="0" borderId="0" xfId="0" applyFont="1" applyFill="1"/>
    <xf numFmtId="0" fontId="18" fillId="0" borderId="0" xfId="0" applyNumberFormat="1" applyFont="1" applyFill="1"/>
    <xf numFmtId="0" fontId="9" fillId="29" borderId="0" xfId="0" applyFont="1" applyFill="1" applyBorder="1" applyAlignment="1">
      <alignment vertical="top" wrapText="1"/>
    </xf>
    <xf numFmtId="0" fontId="8" fillId="0" borderId="0" xfId="0" applyFont="1" applyFill="1" applyBorder="1"/>
    <xf numFmtId="0" fontId="6" fillId="0" borderId="0" xfId="0" applyFont="1"/>
    <xf numFmtId="0" fontId="41" fillId="33" borderId="19" xfId="0" applyFont="1" applyFill="1" applyBorder="1" applyAlignment="1">
      <alignment horizontal="center" vertical="center" wrapText="1"/>
    </xf>
    <xf numFmtId="0" fontId="9" fillId="33" borderId="49" xfId="0" applyFont="1" applyFill="1" applyBorder="1" applyAlignment="1">
      <alignment horizontal="left" vertical="center" wrapText="1"/>
    </xf>
    <xf numFmtId="0" fontId="6" fillId="33" borderId="50" xfId="0" applyFont="1" applyFill="1" applyBorder="1" applyAlignment="1">
      <alignment horizontal="left" vertical="center" wrapText="1" indent="4"/>
    </xf>
    <xf numFmtId="168" fontId="6" fillId="43" borderId="46" xfId="0" applyNumberFormat="1" applyFont="1" applyFill="1" applyBorder="1" applyAlignment="1">
      <alignment horizontal="right"/>
    </xf>
    <xf numFmtId="168" fontId="6" fillId="43" borderId="60" xfId="0" applyNumberFormat="1" applyFont="1" applyFill="1" applyBorder="1" applyAlignment="1">
      <alignment horizontal="right"/>
    </xf>
    <xf numFmtId="0" fontId="9" fillId="33" borderId="50" xfId="0" applyFont="1" applyFill="1" applyBorder="1" applyAlignment="1">
      <alignment horizontal="left" vertical="center" wrapText="1"/>
    </xf>
    <xf numFmtId="0" fontId="6" fillId="38" borderId="46" xfId="0" applyFont="1" applyFill="1" applyBorder="1" applyAlignment="1" applyProtection="1">
      <alignment horizontal="right"/>
      <protection locked="0"/>
    </xf>
    <xf numFmtId="0" fontId="6" fillId="38" borderId="60" xfId="0" applyFont="1" applyFill="1" applyBorder="1" applyAlignment="1" applyProtection="1">
      <alignment horizontal="right"/>
      <protection locked="0"/>
    </xf>
    <xf numFmtId="0" fontId="6" fillId="33" borderId="83" xfId="0" applyFont="1" applyFill="1" applyBorder="1" applyAlignment="1">
      <alignment horizontal="left" vertical="center" wrapText="1" indent="4"/>
    </xf>
    <xf numFmtId="168" fontId="6" fillId="43" borderId="78" xfId="0" applyNumberFormat="1" applyFont="1" applyFill="1" applyBorder="1" applyAlignment="1">
      <alignment horizontal="right"/>
    </xf>
    <xf numFmtId="168" fontId="6" fillId="43" borderId="79" xfId="0" applyNumberFormat="1" applyFont="1" applyFill="1" applyBorder="1" applyAlignment="1">
      <alignment horizontal="right"/>
    </xf>
    <xf numFmtId="0" fontId="6" fillId="30" borderId="49" xfId="0" applyFont="1" applyFill="1" applyBorder="1" applyAlignment="1">
      <alignment horizontal="left" vertical="center" wrapText="1"/>
    </xf>
    <xf numFmtId="168" fontId="6" fillId="30" borderId="44" xfId="0" applyNumberFormat="1" applyFont="1" applyFill="1" applyBorder="1" applyAlignment="1">
      <alignment horizontal="right"/>
    </xf>
    <xf numFmtId="168" fontId="6" fillId="30" borderId="82" xfId="0" applyNumberFormat="1" applyFont="1" applyFill="1" applyBorder="1" applyAlignment="1">
      <alignment horizontal="right"/>
    </xf>
    <xf numFmtId="0" fontId="6" fillId="30" borderId="50" xfId="0" applyFont="1" applyFill="1" applyBorder="1" applyAlignment="1">
      <alignment horizontal="left" vertical="center" wrapText="1"/>
    </xf>
    <xf numFmtId="168" fontId="6" fillId="30" borderId="46" xfId="0" applyNumberFormat="1" applyFont="1" applyFill="1" applyBorder="1" applyAlignment="1">
      <alignment horizontal="right"/>
    </xf>
    <xf numFmtId="168" fontId="6" fillId="30" borderId="60" xfId="0" applyNumberFormat="1" applyFont="1" applyFill="1" applyBorder="1" applyAlignment="1">
      <alignment horizontal="right"/>
    </xf>
    <xf numFmtId="0" fontId="6" fillId="31" borderId="50" xfId="0" applyFont="1" applyFill="1" applyBorder="1" applyAlignment="1">
      <alignment horizontal="left" vertical="center" wrapText="1" indent="2"/>
    </xf>
    <xf numFmtId="168" fontId="6" fillId="31" borderId="46" xfId="30" applyNumberFormat="1" applyFont="1" applyFill="1" applyBorder="1" applyAlignment="1">
      <alignment horizontal="right"/>
    </xf>
    <xf numFmtId="168" fontId="6" fillId="31" borderId="60" xfId="30" applyNumberFormat="1" applyFont="1" applyFill="1" applyBorder="1" applyAlignment="1">
      <alignment horizontal="right"/>
    </xf>
    <xf numFmtId="0" fontId="6" fillId="30" borderId="68" xfId="0" applyFont="1" applyFill="1" applyBorder="1" applyAlignment="1">
      <alignment horizontal="left" vertical="center" wrapText="1"/>
    </xf>
    <xf numFmtId="168" fontId="6" fillId="30" borderId="48" xfId="0" applyNumberFormat="1" applyFont="1" applyFill="1" applyBorder="1" applyAlignment="1">
      <alignment horizontal="right"/>
    </xf>
    <xf numFmtId="168" fontId="6" fillId="30" borderId="64" xfId="0" applyNumberFormat="1" applyFont="1" applyFill="1" applyBorder="1" applyAlignment="1">
      <alignment horizontal="right"/>
    </xf>
    <xf numFmtId="168" fontId="6" fillId="43" borderId="86" xfId="0" applyNumberFormat="1" applyFont="1" applyFill="1" applyBorder="1" applyAlignment="1">
      <alignment horizontal="right"/>
    </xf>
    <xf numFmtId="0" fontId="6" fillId="38" borderId="86" xfId="0" applyFont="1" applyFill="1" applyBorder="1" applyAlignment="1" applyProtection="1">
      <alignment horizontal="right"/>
      <protection locked="0"/>
    </xf>
    <xf numFmtId="168" fontId="6" fillId="43" borderId="87" xfId="0" applyNumberFormat="1" applyFont="1" applyFill="1" applyBorder="1" applyAlignment="1">
      <alignment horizontal="right"/>
    </xf>
    <xf numFmtId="168" fontId="6" fillId="30" borderId="85" xfId="0" applyNumberFormat="1" applyFont="1" applyFill="1" applyBorder="1" applyAlignment="1">
      <alignment horizontal="right"/>
    </xf>
    <xf numFmtId="168" fontId="6" fillId="30" borderId="86" xfId="0" applyNumberFormat="1" applyFont="1" applyFill="1" applyBorder="1" applyAlignment="1">
      <alignment horizontal="right"/>
    </xf>
    <xf numFmtId="168" fontId="6" fillId="31" borderId="86" xfId="30" applyNumberFormat="1" applyFont="1" applyFill="1" applyBorder="1" applyAlignment="1">
      <alignment horizontal="right"/>
    </xf>
    <xf numFmtId="168" fontId="6" fillId="30" borderId="88" xfId="0" applyNumberFormat="1" applyFont="1" applyFill="1" applyBorder="1" applyAlignment="1">
      <alignment horizontal="right"/>
    </xf>
    <xf numFmtId="168" fontId="6" fillId="43" borderId="62" xfId="0" applyNumberFormat="1" applyFont="1" applyFill="1" applyBorder="1" applyAlignment="1">
      <alignment horizontal="right"/>
    </xf>
    <xf numFmtId="0" fontId="6" fillId="38" borderId="62" xfId="0" applyFont="1" applyFill="1" applyBorder="1" applyAlignment="1" applyProtection="1">
      <alignment horizontal="right"/>
      <protection locked="0"/>
    </xf>
    <xf numFmtId="168" fontId="6" fillId="43" borderId="81" xfId="0" applyNumberFormat="1" applyFont="1" applyFill="1" applyBorder="1" applyAlignment="1">
      <alignment horizontal="right"/>
    </xf>
    <xf numFmtId="168" fontId="6" fillId="30" borderId="89" xfId="0" applyNumberFormat="1" applyFont="1" applyFill="1" applyBorder="1" applyAlignment="1">
      <alignment horizontal="right"/>
    </xf>
    <xf numFmtId="168" fontId="6" fillId="30" borderId="62" xfId="0" applyNumberFormat="1" applyFont="1" applyFill="1" applyBorder="1" applyAlignment="1">
      <alignment horizontal="right"/>
    </xf>
    <xf numFmtId="168" fontId="6" fillId="31" borderId="62" xfId="30" applyNumberFormat="1" applyFont="1" applyFill="1" applyBorder="1" applyAlignment="1">
      <alignment horizontal="right"/>
    </xf>
    <xf numFmtId="168" fontId="6" fillId="30" borderId="66" xfId="0" applyNumberFormat="1" applyFont="1" applyFill="1" applyBorder="1" applyAlignment="1">
      <alignment horizontal="right"/>
    </xf>
    <xf numFmtId="168" fontId="6" fillId="43" borderId="63" xfId="0" applyNumberFormat="1" applyFont="1" applyFill="1" applyBorder="1" applyAlignment="1">
      <alignment horizontal="right"/>
    </xf>
    <xf numFmtId="0" fontId="6" fillId="38" borderId="63" xfId="0" applyFont="1" applyFill="1" applyBorder="1" applyAlignment="1" applyProtection="1">
      <alignment horizontal="right"/>
      <protection locked="0"/>
    </xf>
    <xf numFmtId="168" fontId="6" fillId="43" borderId="80" xfId="0" applyNumberFormat="1" applyFont="1" applyFill="1" applyBorder="1" applyAlignment="1">
      <alignment horizontal="right"/>
    </xf>
    <xf numFmtId="168" fontId="6" fillId="30" borderId="90" xfId="0" applyNumberFormat="1" applyFont="1" applyFill="1" applyBorder="1" applyAlignment="1">
      <alignment horizontal="right"/>
    </xf>
    <xf numFmtId="168" fontId="6" fillId="30" borderId="63" xfId="0" applyNumberFormat="1" applyFont="1" applyFill="1" applyBorder="1" applyAlignment="1">
      <alignment horizontal="right"/>
    </xf>
    <xf numFmtId="168" fontId="6" fillId="31" borderId="63" xfId="30" applyNumberFormat="1" applyFont="1" applyFill="1" applyBorder="1" applyAlignment="1">
      <alignment horizontal="right"/>
    </xf>
    <xf numFmtId="168" fontId="6" fillId="30" borderId="67" xfId="0" applyNumberFormat="1" applyFont="1" applyFill="1" applyBorder="1" applyAlignment="1">
      <alignment horizontal="right"/>
    </xf>
    <xf numFmtId="0" fontId="14" fillId="36" borderId="48" xfId="0" applyFont="1" applyFill="1" applyBorder="1" applyAlignment="1">
      <alignment horizontal="center" vertical="center" wrapText="1"/>
    </xf>
    <xf numFmtId="0" fontId="14" fillId="36" borderId="64" xfId="0" applyFont="1" applyFill="1" applyBorder="1" applyAlignment="1">
      <alignment horizontal="center" vertical="center" wrapText="1"/>
    </xf>
    <xf numFmtId="168" fontId="6" fillId="43" borderId="60" xfId="30" applyNumberFormat="1" applyFont="1" applyFill="1" applyBorder="1" applyAlignment="1">
      <alignment horizontal="right"/>
    </xf>
    <xf numFmtId="168" fontId="6" fillId="43" borderId="86" xfId="30" applyNumberFormat="1" applyFont="1" applyFill="1" applyBorder="1" applyAlignment="1">
      <alignment horizontal="right"/>
    </xf>
    <xf numFmtId="168" fontId="6" fillId="43" borderId="46" xfId="30" applyNumberFormat="1" applyFont="1" applyFill="1" applyBorder="1" applyAlignment="1">
      <alignment horizontal="right"/>
    </xf>
    <xf numFmtId="168" fontId="6" fillId="43" borderId="46" xfId="0" quotePrefix="1" applyNumberFormat="1" applyFont="1" applyFill="1" applyBorder="1" applyAlignment="1">
      <alignment horizontal="right"/>
    </xf>
    <xf numFmtId="0" fontId="6" fillId="30" borderId="92" xfId="0" applyFont="1" applyFill="1" applyBorder="1" applyAlignment="1">
      <alignment horizontal="left" vertical="center" wrapText="1"/>
    </xf>
    <xf numFmtId="0" fontId="6" fillId="30" borderId="93" xfId="0" applyFont="1" applyFill="1" applyBorder="1" applyAlignment="1">
      <alignment horizontal="left" vertical="center" wrapText="1"/>
    </xf>
    <xf numFmtId="0" fontId="6" fillId="30" borderId="94" xfId="0" applyFont="1" applyFill="1" applyBorder="1" applyAlignment="1">
      <alignment horizontal="left" vertical="center" wrapText="1"/>
    </xf>
    <xf numFmtId="0" fontId="0" fillId="33" borderId="0" xfId="0" applyFill="1"/>
    <xf numFmtId="0" fontId="6" fillId="33" borderId="0" xfId="0" applyFont="1" applyFill="1"/>
    <xf numFmtId="0" fontId="0" fillId="33" borderId="21" xfId="0" applyFill="1" applyBorder="1"/>
    <xf numFmtId="0" fontId="0" fillId="33" borderId="0" xfId="0" applyFill="1" applyAlignment="1">
      <alignment horizontal="left"/>
    </xf>
    <xf numFmtId="0" fontId="0" fillId="33" borderId="19" xfId="0" applyFill="1" applyBorder="1"/>
    <xf numFmtId="0" fontId="0" fillId="33" borderId="0" xfId="0" applyFill="1" applyAlignment="1">
      <alignment vertical="center"/>
    </xf>
    <xf numFmtId="0" fontId="66" fillId="39" borderId="64" xfId="0" applyFont="1" applyFill="1" applyBorder="1" applyAlignment="1">
      <alignment horizontal="center" vertical="center" wrapText="1"/>
    </xf>
    <xf numFmtId="0" fontId="66" fillId="40" borderId="64" xfId="0" applyFont="1" applyFill="1" applyBorder="1" applyAlignment="1">
      <alignment horizontal="center" vertical="center" wrapText="1"/>
    </xf>
    <xf numFmtId="0" fontId="66" fillId="44" borderId="64" xfId="0" applyFont="1" applyFill="1" applyBorder="1" applyAlignment="1">
      <alignment horizontal="center" vertical="center" wrapText="1"/>
    </xf>
    <xf numFmtId="0" fontId="66" fillId="46" borderId="64" xfId="0" applyFont="1" applyFill="1" applyBorder="1" applyAlignment="1">
      <alignment horizontal="center" vertical="center" wrapText="1"/>
    </xf>
    <xf numFmtId="0" fontId="14" fillId="31" borderId="36" xfId="0" applyFont="1" applyFill="1" applyBorder="1" applyAlignment="1">
      <alignment vertical="center"/>
    </xf>
    <xf numFmtId="0" fontId="6" fillId="33" borderId="50" xfId="0" applyFont="1" applyFill="1" applyBorder="1" applyAlignment="1">
      <alignment horizontal="left" vertical="center" wrapText="1" indent="2"/>
    </xf>
    <xf numFmtId="168" fontId="6" fillId="18" borderId="60" xfId="30" applyNumberFormat="1" applyFont="1" applyFill="1" applyBorder="1"/>
    <xf numFmtId="168" fontId="6" fillId="18" borderId="46" xfId="30" applyNumberFormat="1" applyFont="1" applyFill="1" applyBorder="1" applyAlignment="1">
      <alignment horizontal="right"/>
    </xf>
    <xf numFmtId="168" fontId="6" fillId="18" borderId="44" xfId="30" applyNumberFormat="1" applyFont="1" applyFill="1" applyBorder="1" applyAlignment="1">
      <alignment horizontal="right"/>
    </xf>
    <xf numFmtId="168" fontId="6" fillId="18" borderId="82" xfId="30" applyNumberFormat="1" applyFont="1" applyFill="1" applyBorder="1" applyAlignment="1">
      <alignment horizontal="right"/>
    </xf>
    <xf numFmtId="168" fontId="6" fillId="29" borderId="46" xfId="30" applyNumberFormat="1" applyFont="1" applyFill="1" applyBorder="1" applyAlignment="1">
      <alignment horizontal="right"/>
    </xf>
    <xf numFmtId="168" fontId="6" fillId="38" borderId="46" xfId="30" applyNumberFormat="1" applyFont="1" applyFill="1" applyBorder="1" applyAlignment="1">
      <alignment horizontal="right"/>
    </xf>
    <xf numFmtId="168" fontId="6" fillId="29" borderId="48" xfId="30" applyNumberFormat="1" applyFont="1" applyFill="1" applyBorder="1" applyAlignment="1">
      <alignment horizontal="right"/>
    </xf>
    <xf numFmtId="168" fontId="6" fillId="29" borderId="64" xfId="30" applyNumberFormat="1" applyFont="1" applyFill="1" applyBorder="1" applyAlignment="1">
      <alignment horizontal="right"/>
    </xf>
    <xf numFmtId="0" fontId="6" fillId="33" borderId="0" xfId="0" applyFont="1" applyFill="1"/>
    <xf numFmtId="0" fontId="6" fillId="25" borderId="36" xfId="0" applyFont="1" applyFill="1" applyBorder="1" applyAlignment="1" applyProtection="1">
      <alignment vertical="center"/>
      <protection locked="0"/>
    </xf>
    <xf numFmtId="0" fontId="6" fillId="25" borderId="35" xfId="0" applyFont="1" applyFill="1" applyBorder="1" applyAlignment="1" applyProtection="1">
      <alignment vertical="center" wrapText="1"/>
      <protection locked="0"/>
    </xf>
    <xf numFmtId="166" fontId="6" fillId="18" borderId="60" xfId="30" applyNumberFormat="1" applyFont="1" applyFill="1" applyBorder="1"/>
    <xf numFmtId="0" fontId="15" fillId="29" borderId="60" xfId="0" applyFont="1" applyFill="1" applyBorder="1" applyAlignment="1">
      <alignment horizontal="left" vertical="center" wrapText="1"/>
    </xf>
    <xf numFmtId="0" fontId="9" fillId="29" borderId="60" xfId="0" applyFont="1" applyFill="1" applyBorder="1" applyAlignment="1">
      <alignment horizontal="left" vertical="center" wrapText="1"/>
    </xf>
    <xf numFmtId="0" fontId="9" fillId="29" borderId="46" xfId="0" applyFont="1" applyFill="1" applyBorder="1" applyAlignment="1">
      <alignment horizontal="left" vertical="center" wrapText="1"/>
    </xf>
    <xf numFmtId="0" fontId="14" fillId="31" borderId="35" xfId="0" applyFont="1" applyFill="1" applyBorder="1" applyAlignment="1">
      <alignment vertical="center"/>
    </xf>
    <xf numFmtId="0" fontId="14" fillId="31" borderId="34" xfId="0" applyFont="1" applyFill="1" applyBorder="1" applyAlignment="1">
      <alignment vertical="center"/>
    </xf>
    <xf numFmtId="0" fontId="14" fillId="31" borderId="35" xfId="0" applyFont="1" applyFill="1" applyBorder="1" applyAlignment="1">
      <alignment horizontal="right" vertical="center"/>
    </xf>
    <xf numFmtId="0" fontId="14" fillId="31" borderId="34" xfId="0" applyFont="1" applyFill="1" applyBorder="1" applyAlignment="1">
      <alignment horizontal="right" vertical="center"/>
    </xf>
    <xf numFmtId="0" fontId="15" fillId="29" borderId="44" xfId="0" applyFont="1" applyFill="1" applyBorder="1" applyAlignment="1">
      <alignment horizontal="left" vertical="center" wrapText="1"/>
    </xf>
    <xf numFmtId="0" fontId="15" fillId="29" borderId="82" xfId="0" applyFont="1" applyFill="1" applyBorder="1" applyAlignment="1">
      <alignment horizontal="left" vertical="center" wrapText="1"/>
    </xf>
    <xf numFmtId="0" fontId="9" fillId="29" borderId="82" xfId="0" applyFont="1" applyFill="1" applyBorder="1" applyAlignment="1">
      <alignment horizontal="left" vertical="center" wrapText="1"/>
    </xf>
    <xf numFmtId="0" fontId="9" fillId="29" borderId="90" xfId="0" applyFont="1" applyFill="1" applyBorder="1" applyAlignment="1">
      <alignment horizontal="left" vertical="center" wrapText="1"/>
    </xf>
    <xf numFmtId="9" fontId="6" fillId="18" borderId="63" xfId="44" applyFont="1" applyFill="1" applyBorder="1"/>
    <xf numFmtId="0" fontId="15" fillId="29" borderId="46" xfId="0" applyFont="1" applyFill="1" applyBorder="1" applyAlignment="1">
      <alignment horizontal="left" vertical="center" wrapText="1"/>
    </xf>
    <xf numFmtId="0" fontId="9" fillId="29" borderId="63" xfId="0" applyFont="1" applyFill="1" applyBorder="1" applyAlignment="1">
      <alignment horizontal="left" vertical="center" wrapText="1"/>
    </xf>
    <xf numFmtId="168" fontId="6" fillId="18" borderId="90" xfId="30" applyNumberFormat="1" applyFont="1" applyFill="1" applyBorder="1" applyAlignment="1">
      <alignment horizontal="right"/>
    </xf>
    <xf numFmtId="168" fontId="6" fillId="18" borderId="63" xfId="30" applyNumberFormat="1" applyFont="1" applyFill="1" applyBorder="1" applyAlignment="1">
      <alignment horizontal="right"/>
    </xf>
    <xf numFmtId="168" fontId="6" fillId="29" borderId="63" xfId="30" applyNumberFormat="1" applyFont="1" applyFill="1" applyBorder="1" applyAlignment="1">
      <alignment horizontal="right"/>
    </xf>
    <xf numFmtId="168" fontId="6" fillId="38" borderId="63" xfId="30" applyNumberFormat="1" applyFont="1" applyFill="1" applyBorder="1" applyAlignment="1">
      <alignment horizontal="right"/>
    </xf>
    <xf numFmtId="168" fontId="6" fillId="38" borderId="60" xfId="0" applyNumberFormat="1" applyFont="1" applyFill="1" applyBorder="1" applyAlignment="1">
      <alignment horizontal="right"/>
    </xf>
    <xf numFmtId="168" fontId="6" fillId="29" borderId="76" xfId="0" applyNumberFormat="1" applyFont="1" applyFill="1" applyBorder="1" applyAlignment="1">
      <alignment horizontal="right"/>
    </xf>
    <xf numFmtId="168" fontId="9" fillId="30" borderId="60" xfId="0" applyNumberFormat="1" applyFont="1" applyFill="1" applyBorder="1" applyAlignment="1">
      <alignment horizontal="right"/>
    </xf>
    <xf numFmtId="168" fontId="6" fillId="25" borderId="60" xfId="0" applyNumberFormat="1" applyFont="1" applyFill="1" applyBorder="1" applyAlignment="1">
      <alignment horizontal="right"/>
    </xf>
    <xf numFmtId="0" fontId="6" fillId="29" borderId="76" xfId="0" applyFont="1" applyFill="1" applyBorder="1" applyAlignment="1">
      <alignment horizontal="right" wrapText="1"/>
    </xf>
    <xf numFmtId="168" fontId="6" fillId="31" borderId="62" xfId="0" applyNumberFormat="1" applyFont="1" applyFill="1" applyBorder="1" applyAlignment="1">
      <alignment horizontal="right" wrapText="1"/>
    </xf>
    <xf numFmtId="168" fontId="6" fillId="29" borderId="62" xfId="0" applyNumberFormat="1" applyFont="1" applyFill="1" applyBorder="1" applyAlignment="1">
      <alignment horizontal="right" wrapText="1"/>
    </xf>
    <xf numFmtId="168" fontId="6" fillId="25" borderId="100" xfId="0" applyNumberFormat="1" applyFont="1" applyFill="1" applyBorder="1" applyAlignment="1">
      <alignment horizontal="right"/>
    </xf>
    <xf numFmtId="168" fontId="6" fillId="25" borderId="60" xfId="0" applyNumberFormat="1" applyFont="1" applyFill="1" applyBorder="1"/>
    <xf numFmtId="0" fontId="6" fillId="43" borderId="70" xfId="0" applyFont="1" applyFill="1" applyBorder="1" applyAlignment="1">
      <alignment horizontal="left" vertical="center" wrapText="1"/>
    </xf>
    <xf numFmtId="0" fontId="6" fillId="43" borderId="50" xfId="0" applyFont="1" applyFill="1" applyBorder="1" applyAlignment="1">
      <alignment horizontal="left" vertical="center" wrapText="1" indent="2"/>
    </xf>
    <xf numFmtId="168" fontId="6" fillId="31" borderId="44" xfId="0" applyNumberFormat="1" applyFont="1" applyFill="1" applyBorder="1" applyAlignment="1">
      <alignment horizontal="right" wrapText="1"/>
    </xf>
    <xf numFmtId="168" fontId="6" fillId="31" borderId="89" xfId="0" applyNumberFormat="1" applyFont="1" applyFill="1" applyBorder="1" applyAlignment="1">
      <alignment horizontal="right" wrapText="1"/>
    </xf>
    <xf numFmtId="168" fontId="6" fillId="29" borderId="75" xfId="0" applyNumberFormat="1" applyFont="1" applyFill="1" applyBorder="1" applyAlignment="1">
      <alignment horizontal="right" wrapText="1"/>
    </xf>
    <xf numFmtId="0" fontId="6" fillId="29" borderId="50" xfId="0" applyFont="1" applyFill="1" applyBorder="1" applyAlignment="1">
      <alignment horizontal="right" wrapText="1"/>
    </xf>
    <xf numFmtId="0" fontId="6" fillId="29" borderId="77" xfId="0" applyFont="1" applyFill="1" applyBorder="1" applyAlignment="1">
      <alignment horizontal="right" wrapText="1"/>
    </xf>
    <xf numFmtId="168" fontId="6" fillId="31" borderId="46" xfId="0" applyNumberFormat="1" applyFont="1" applyFill="1" applyBorder="1" applyAlignment="1">
      <alignment horizontal="right" wrapText="1"/>
    </xf>
    <xf numFmtId="168" fontId="6" fillId="29" borderId="77" xfId="0" applyNumberFormat="1" applyFont="1" applyFill="1" applyBorder="1" applyAlignment="1">
      <alignment horizontal="right" wrapText="1"/>
    </xf>
    <xf numFmtId="168" fontId="6" fillId="38" borderId="46" xfId="0" applyNumberFormat="1" applyFont="1" applyFill="1" applyBorder="1" applyAlignment="1">
      <alignment horizontal="right"/>
    </xf>
    <xf numFmtId="168" fontId="6" fillId="29" borderId="46" xfId="0" applyNumberFormat="1" applyFont="1" applyFill="1" applyBorder="1" applyAlignment="1">
      <alignment horizontal="right" wrapText="1"/>
    </xf>
    <xf numFmtId="168" fontId="6" fillId="29" borderId="77" xfId="0" applyNumberFormat="1" applyFont="1" applyFill="1" applyBorder="1" applyAlignment="1">
      <alignment horizontal="right"/>
    </xf>
    <xf numFmtId="168" fontId="6" fillId="25" borderId="101" xfId="0" applyNumberFormat="1" applyFont="1" applyFill="1" applyBorder="1" applyAlignment="1">
      <alignment horizontal="right"/>
    </xf>
    <xf numFmtId="168" fontId="9" fillId="30" borderId="46" xfId="0" applyNumberFormat="1" applyFont="1" applyFill="1" applyBorder="1" applyAlignment="1">
      <alignment horizontal="right"/>
    </xf>
    <xf numFmtId="168" fontId="9" fillId="30" borderId="63" xfId="0" applyNumberFormat="1" applyFont="1" applyFill="1" applyBorder="1" applyAlignment="1">
      <alignment horizontal="right"/>
    </xf>
    <xf numFmtId="168" fontId="6" fillId="25" borderId="46" xfId="0" applyNumberFormat="1" applyFont="1" applyFill="1" applyBorder="1" applyAlignment="1">
      <alignment horizontal="right"/>
    </xf>
    <xf numFmtId="168" fontId="6" fillId="25" borderId="63" xfId="0" applyNumberFormat="1" applyFont="1" applyFill="1" applyBorder="1" applyAlignment="1">
      <alignment horizontal="right"/>
    </xf>
    <xf numFmtId="0" fontId="6" fillId="33" borderId="50" xfId="0" applyFont="1" applyFill="1" applyBorder="1" applyAlignment="1">
      <alignment horizontal="left" wrapText="1"/>
    </xf>
    <xf numFmtId="43" fontId="6" fillId="29" borderId="46" xfId="30" applyFont="1" applyFill="1" applyBorder="1" applyAlignment="1">
      <alignment horizontal="right"/>
    </xf>
    <xf numFmtId="43" fontId="6" fillId="29" borderId="62" xfId="30" applyFont="1" applyFill="1" applyBorder="1" applyAlignment="1">
      <alignment horizontal="right"/>
    </xf>
    <xf numFmtId="43" fontId="6" fillId="29" borderId="77" xfId="30" applyFont="1" applyFill="1" applyBorder="1" applyAlignment="1">
      <alignment horizontal="right"/>
    </xf>
    <xf numFmtId="0" fontId="0" fillId="33" borderId="0" xfId="0" applyFill="1" applyBorder="1"/>
    <xf numFmtId="168" fontId="6" fillId="33" borderId="0" xfId="0" applyNumberFormat="1" applyFont="1" applyFill="1"/>
    <xf numFmtId="0" fontId="9" fillId="38" borderId="75" xfId="0" applyFont="1" applyFill="1" applyBorder="1" applyAlignment="1">
      <alignment horizontal="left" vertical="center" wrapText="1"/>
    </xf>
    <xf numFmtId="0" fontId="9" fillId="38" borderId="90" xfId="0" applyFont="1" applyFill="1" applyBorder="1" applyAlignment="1">
      <alignment horizontal="left" vertical="center" wrapText="1"/>
    </xf>
    <xf numFmtId="0" fontId="9" fillId="38" borderId="77" xfId="0" applyFont="1" applyFill="1" applyBorder="1" applyAlignment="1">
      <alignment horizontal="left" vertical="center" wrapText="1"/>
    </xf>
    <xf numFmtId="164" fontId="6" fillId="31" borderId="46" xfId="44" applyNumberFormat="1" applyFont="1" applyFill="1" applyBorder="1"/>
    <xf numFmtId="164" fontId="6" fillId="31" borderId="60" xfId="44" applyNumberFormat="1" applyFont="1" applyFill="1" applyBorder="1"/>
    <xf numFmtId="164" fontId="6" fillId="31" borderId="63" xfId="44" applyNumberFormat="1" applyFont="1" applyFill="1" applyBorder="1"/>
    <xf numFmtId="170" fontId="6" fillId="38" borderId="46" xfId="30" applyNumberFormat="1" applyFont="1" applyFill="1" applyBorder="1"/>
    <xf numFmtId="170" fontId="6" fillId="38" borderId="60" xfId="30" applyNumberFormat="1" applyFont="1" applyFill="1" applyBorder="1"/>
    <xf numFmtId="170" fontId="6" fillId="38" borderId="63" xfId="30" applyNumberFormat="1" applyFont="1" applyFill="1" applyBorder="1"/>
    <xf numFmtId="43" fontId="6" fillId="30" borderId="48" xfId="0" applyNumberFormat="1" applyFont="1" applyFill="1" applyBorder="1"/>
    <xf numFmtId="43" fontId="6" fillId="30" borderId="64" xfId="0" applyNumberFormat="1" applyFont="1" applyFill="1" applyBorder="1"/>
    <xf numFmtId="168" fontId="6" fillId="30" borderId="64" xfId="0" applyNumberFormat="1" applyFont="1" applyFill="1" applyBorder="1"/>
    <xf numFmtId="168" fontId="6" fillId="30" borderId="67" xfId="0" applyNumberFormat="1" applyFont="1" applyFill="1" applyBorder="1"/>
    <xf numFmtId="168" fontId="6" fillId="30" borderId="48" xfId="0" applyNumberFormat="1" applyFont="1" applyFill="1" applyBorder="1"/>
    <xf numFmtId="0" fontId="6" fillId="29" borderId="70" xfId="0" applyFont="1" applyFill="1" applyBorder="1" applyAlignment="1">
      <alignment horizontal="left" vertical="center" wrapText="1"/>
    </xf>
    <xf numFmtId="168" fontId="6" fillId="29" borderId="44" xfId="0" applyNumberFormat="1" applyFont="1" applyFill="1" applyBorder="1"/>
    <xf numFmtId="168" fontId="6" fillId="29" borderId="82" xfId="0" applyNumberFormat="1" applyFont="1" applyFill="1" applyBorder="1"/>
    <xf numFmtId="168" fontId="6" fillId="30" borderId="46" xfId="0" applyNumberFormat="1" applyFont="1" applyFill="1" applyBorder="1"/>
    <xf numFmtId="168" fontId="6" fillId="30" borderId="60" xfId="0" applyNumberFormat="1" applyFont="1" applyFill="1" applyBorder="1"/>
    <xf numFmtId="168" fontId="9" fillId="30" borderId="68" xfId="0" applyNumberFormat="1" applyFont="1" applyFill="1" applyBorder="1" applyAlignment="1">
      <alignment horizontal="left" wrapText="1"/>
    </xf>
    <xf numFmtId="0" fontId="9" fillId="33" borderId="70" xfId="0" applyFont="1" applyFill="1" applyBorder="1" applyAlignment="1">
      <alignment horizontal="left" vertical="center" wrapText="1"/>
    </xf>
    <xf numFmtId="0" fontId="6" fillId="25" borderId="25" xfId="0" applyFont="1" applyFill="1" applyBorder="1" applyAlignment="1" applyProtection="1">
      <alignment vertical="center"/>
      <protection locked="0"/>
    </xf>
    <xf numFmtId="0" fontId="15" fillId="29" borderId="90" xfId="0" applyFont="1" applyFill="1" applyBorder="1" applyAlignment="1">
      <alignment horizontal="left" vertical="center" wrapText="1"/>
    </xf>
    <xf numFmtId="0" fontId="15" fillId="29" borderId="63" xfId="0" applyFont="1" applyFill="1" applyBorder="1" applyAlignment="1">
      <alignment horizontal="left" vertical="center" wrapText="1"/>
    </xf>
    <xf numFmtId="0" fontId="9" fillId="29" borderId="44" xfId="0" applyFont="1" applyFill="1" applyBorder="1" applyAlignment="1">
      <alignment horizontal="left" vertical="center" wrapText="1"/>
    </xf>
    <xf numFmtId="168" fontId="6" fillId="29" borderId="67" xfId="30" applyNumberFormat="1" applyFont="1" applyFill="1" applyBorder="1" applyAlignment="1">
      <alignment horizontal="right"/>
    </xf>
    <xf numFmtId="0" fontId="66" fillId="36" borderId="64" xfId="0" applyFont="1" applyFill="1" applyBorder="1" applyAlignment="1">
      <alignment horizontal="center" vertical="center" wrapText="1"/>
    </xf>
    <xf numFmtId="0" fontId="66" fillId="36" borderId="48" xfId="0" applyFont="1" applyFill="1" applyBorder="1" applyAlignment="1">
      <alignment horizontal="center" vertical="center" wrapText="1"/>
    </xf>
    <xf numFmtId="0" fontId="66" fillId="41" borderId="64" xfId="0" applyFont="1" applyFill="1" applyBorder="1" applyAlignment="1">
      <alignment horizontal="center" vertical="center" wrapText="1"/>
    </xf>
    <xf numFmtId="0" fontId="66" fillId="36" borderId="78" xfId="0" applyFont="1" applyFill="1" applyBorder="1" applyAlignment="1">
      <alignment horizontal="center" vertical="center" wrapText="1"/>
    </xf>
    <xf numFmtId="0" fontId="66" fillId="36" borderId="79" xfId="0" applyFont="1" applyFill="1" applyBorder="1" applyAlignment="1">
      <alignment horizontal="center" vertical="center" wrapText="1"/>
    </xf>
    <xf numFmtId="0" fontId="66" fillId="41" borderId="79" xfId="0" applyFont="1" applyFill="1" applyBorder="1" applyAlignment="1">
      <alignment horizontal="center" vertical="center" wrapText="1"/>
    </xf>
    <xf numFmtId="0" fontId="68" fillId="35" borderId="79" xfId="0" applyFont="1" applyFill="1" applyBorder="1" applyAlignment="1">
      <alignment horizontal="center" vertical="center"/>
    </xf>
    <xf numFmtId="0" fontId="66" fillId="36" borderId="84" xfId="0" applyFont="1" applyFill="1" applyBorder="1" applyAlignment="1">
      <alignment horizontal="center" vertical="center" wrapText="1"/>
    </xf>
    <xf numFmtId="0" fontId="0" fillId="47" borderId="24" xfId="0" applyFill="1" applyBorder="1"/>
    <xf numFmtId="0" fontId="6" fillId="33" borderId="70" xfId="0" applyFont="1" applyFill="1" applyBorder="1" applyAlignment="1">
      <alignment horizontal="left" vertical="center" wrapText="1" indent="4"/>
    </xf>
    <xf numFmtId="0" fontId="50" fillId="35" borderId="60" xfId="0" applyFont="1" applyFill="1" applyBorder="1" applyAlignment="1">
      <alignment horizontal="center" vertical="center" wrapText="1"/>
    </xf>
    <xf numFmtId="168" fontId="6" fillId="29" borderId="46" xfId="30" applyNumberFormat="1" applyFont="1" applyFill="1" applyBorder="1"/>
    <xf numFmtId="168" fontId="6" fillId="29" borderId="60" xfId="30" applyNumberFormat="1" applyFont="1" applyFill="1" applyBorder="1"/>
    <xf numFmtId="0" fontId="6" fillId="0" borderId="0" xfId="0" applyFont="1" applyFill="1" applyAlignment="1">
      <alignment vertical="top"/>
    </xf>
    <xf numFmtId="168" fontId="6" fillId="29" borderId="64" xfId="30" applyNumberFormat="1" applyFont="1" applyFill="1" applyBorder="1"/>
    <xf numFmtId="0" fontId="9" fillId="33" borderId="68" xfId="0" applyFont="1" applyFill="1" applyBorder="1" applyAlignment="1">
      <alignment horizontal="left" vertical="center" wrapText="1"/>
    </xf>
    <xf numFmtId="168" fontId="15" fillId="34" borderId="62" xfId="30" applyNumberFormat="1" applyFont="1" applyFill="1" applyBorder="1"/>
    <xf numFmtId="168" fontId="15" fillId="34" borderId="60" xfId="30" applyNumberFormat="1" applyFont="1" applyFill="1" applyBorder="1"/>
    <xf numFmtId="0" fontId="12" fillId="33" borderId="0" xfId="38" applyFill="1" applyAlignment="1" applyProtection="1"/>
    <xf numFmtId="0" fontId="0" fillId="33" borderId="0" xfId="0" applyFill="1"/>
    <xf numFmtId="168" fontId="48" fillId="31" borderId="43" xfId="30" applyNumberFormat="1" applyFont="1" applyFill="1" applyBorder="1"/>
    <xf numFmtId="168" fontId="48" fillId="31" borderId="103" xfId="30" applyNumberFormat="1" applyFont="1" applyFill="1" applyBorder="1"/>
    <xf numFmtId="168" fontId="48" fillId="31" borderId="104" xfId="30" applyNumberFormat="1" applyFont="1" applyFill="1" applyBorder="1"/>
    <xf numFmtId="168" fontId="48" fillId="31" borderId="105" xfId="30" applyNumberFormat="1" applyFont="1" applyFill="1" applyBorder="1"/>
    <xf numFmtId="168" fontId="9" fillId="29" borderId="44" xfId="0" applyNumberFormat="1" applyFont="1" applyFill="1" applyBorder="1" applyAlignment="1">
      <alignment horizontal="left" vertical="center" wrapText="1"/>
    </xf>
    <xf numFmtId="168" fontId="9" fillId="29" borderId="82" xfId="0" applyNumberFormat="1" applyFont="1" applyFill="1" applyBorder="1" applyAlignment="1">
      <alignment horizontal="left" vertical="center" wrapText="1"/>
    </xf>
    <xf numFmtId="168" fontId="9" fillId="29" borderId="46" xfId="0" applyNumberFormat="1" applyFont="1" applyFill="1" applyBorder="1" applyAlignment="1">
      <alignment horizontal="left" vertical="center" wrapText="1"/>
    </xf>
    <xf numFmtId="168" fontId="9" fillId="29" borderId="60" xfId="0" applyNumberFormat="1" applyFont="1" applyFill="1" applyBorder="1" applyAlignment="1">
      <alignment horizontal="left" vertical="center" wrapText="1"/>
    </xf>
    <xf numFmtId="168" fontId="15" fillId="34" borderId="46" xfId="30" applyNumberFormat="1" applyFont="1" applyFill="1" applyBorder="1"/>
    <xf numFmtId="0" fontId="6" fillId="22" borderId="36" xfId="0" applyFont="1" applyFill="1" applyBorder="1" applyAlignment="1" applyProtection="1">
      <alignment vertical="center" wrapText="1"/>
      <protection locked="0"/>
    </xf>
    <xf numFmtId="0" fontId="6" fillId="22" borderId="35" xfId="0" applyFont="1" applyFill="1" applyBorder="1" applyAlignment="1" applyProtection="1">
      <alignment vertical="center" wrapText="1"/>
      <protection locked="0"/>
    </xf>
    <xf numFmtId="0" fontId="6" fillId="38" borderId="18" xfId="0" applyFont="1" applyFill="1" applyBorder="1" applyAlignment="1">
      <alignment horizontal="center" vertical="center" wrapText="1"/>
    </xf>
    <xf numFmtId="168" fontId="6" fillId="31" borderId="19" xfId="30" applyNumberFormat="1" applyFont="1" applyFill="1" applyBorder="1"/>
    <xf numFmtId="168" fontId="6" fillId="31" borderId="0" xfId="30" applyNumberFormat="1" applyFont="1" applyFill="1" applyBorder="1"/>
    <xf numFmtId="168" fontId="6" fillId="31" borderId="70" xfId="30" applyNumberFormat="1" applyFont="1" applyFill="1" applyBorder="1"/>
    <xf numFmtId="168" fontId="6" fillId="31" borderId="97" xfId="30" applyNumberFormat="1" applyFont="1" applyFill="1" applyBorder="1"/>
    <xf numFmtId="168" fontId="6" fillId="31" borderId="21" xfId="30" applyNumberFormat="1" applyFont="1" applyFill="1" applyBorder="1"/>
    <xf numFmtId="168" fontId="6" fillId="31" borderId="22" xfId="30" applyNumberFormat="1" applyFont="1" applyFill="1" applyBorder="1"/>
    <xf numFmtId="0" fontId="9" fillId="33" borderId="36" xfId="0" applyFont="1" applyFill="1" applyBorder="1" applyAlignment="1" applyProtection="1">
      <alignment horizontal="left" vertical="center" wrapText="1"/>
      <protection locked="0"/>
    </xf>
    <xf numFmtId="168" fontId="6" fillId="31" borderId="23" xfId="30" applyNumberFormat="1" applyFont="1" applyFill="1" applyBorder="1"/>
    <xf numFmtId="168" fontId="48" fillId="31" borderId="109" xfId="30" applyNumberFormat="1" applyFont="1" applyFill="1" applyBorder="1"/>
    <xf numFmtId="168" fontId="48" fillId="31" borderId="110" xfId="30" applyNumberFormat="1" applyFont="1" applyFill="1" applyBorder="1"/>
    <xf numFmtId="168" fontId="9" fillId="29" borderId="63" xfId="0" applyNumberFormat="1" applyFont="1" applyFill="1" applyBorder="1" applyAlignment="1">
      <alignment horizontal="left" vertical="center" wrapText="1"/>
    </xf>
    <xf numFmtId="168" fontId="15" fillId="34" borderId="63" xfId="30" applyNumberFormat="1" applyFont="1" applyFill="1" applyBorder="1"/>
    <xf numFmtId="168" fontId="9" fillId="29" borderId="90" xfId="0" applyNumberFormat="1" applyFont="1" applyFill="1" applyBorder="1" applyAlignment="1">
      <alignment horizontal="left" vertical="center" wrapText="1"/>
    </xf>
    <xf numFmtId="168" fontId="15" fillId="34" borderId="48" xfId="30" applyNumberFormat="1" applyFont="1" applyFill="1" applyBorder="1"/>
    <xf numFmtId="168" fontId="15" fillId="34" borderId="64" xfId="30" applyNumberFormat="1" applyFont="1" applyFill="1" applyBorder="1"/>
    <xf numFmtId="168" fontId="15" fillId="34" borderId="67" xfId="30" applyNumberFormat="1" applyFont="1" applyFill="1" applyBorder="1"/>
    <xf numFmtId="168" fontId="9" fillId="48" borderId="56" xfId="0" applyNumberFormat="1" applyFont="1" applyFill="1" applyBorder="1" applyAlignment="1">
      <alignment horizontal="left" vertical="center" wrapText="1"/>
    </xf>
    <xf numFmtId="0" fontId="6" fillId="22" borderId="51" xfId="0" applyFont="1" applyFill="1" applyBorder="1" applyAlignment="1" applyProtection="1">
      <alignment vertical="center" wrapText="1"/>
      <protection locked="0"/>
    </xf>
    <xf numFmtId="0" fontId="6" fillId="22" borderId="52" xfId="0" applyFont="1" applyFill="1" applyBorder="1" applyAlignment="1" applyProtection="1">
      <alignment vertical="center" wrapText="1"/>
      <protection locked="0"/>
    </xf>
    <xf numFmtId="0" fontId="48" fillId="0" borderId="0" xfId="0" applyFont="1" applyFill="1"/>
    <xf numFmtId="0" fontId="48" fillId="0" borderId="0" xfId="0" applyFont="1" applyFill="1" applyBorder="1"/>
    <xf numFmtId="0" fontId="48" fillId="0" borderId="0" xfId="0" applyFont="1"/>
    <xf numFmtId="0" fontId="48" fillId="0" borderId="0" xfId="0" applyFont="1" applyAlignment="1">
      <alignment horizontal="right"/>
    </xf>
    <xf numFmtId="168" fontId="48" fillId="38" borderId="0" xfId="30" applyNumberFormat="1" applyFont="1" applyFill="1" applyBorder="1" applyAlignment="1">
      <alignment horizontal="right"/>
    </xf>
    <xf numFmtId="168" fontId="16" fillId="0" borderId="0" xfId="30" applyNumberFormat="1" applyFont="1" applyFill="1" applyBorder="1" applyAlignment="1">
      <alignment horizontal="right"/>
    </xf>
    <xf numFmtId="0" fontId="6" fillId="0" borderId="0" xfId="0" applyFont="1" applyAlignment="1">
      <alignment horizontal="right"/>
    </xf>
    <xf numFmtId="0" fontId="6" fillId="0" borderId="0" xfId="0" applyFont="1" applyFill="1" applyBorder="1" applyAlignment="1">
      <alignment horizontal="right"/>
    </xf>
    <xf numFmtId="168" fontId="6" fillId="31" borderId="43" xfId="30" applyNumberFormat="1" applyFont="1" applyFill="1" applyBorder="1"/>
    <xf numFmtId="0" fontId="0" fillId="51" borderId="21" xfId="0" applyFill="1" applyBorder="1"/>
    <xf numFmtId="0" fontId="0" fillId="51" borderId="22" xfId="0" applyFill="1" applyBorder="1"/>
    <xf numFmtId="0" fontId="50" fillId="35" borderId="60" xfId="0" applyFont="1" applyFill="1" applyBorder="1" applyAlignment="1">
      <alignment horizontal="center" vertical="center"/>
    </xf>
    <xf numFmtId="0" fontId="68" fillId="35" borderId="60" xfId="0" applyFont="1" applyFill="1" applyBorder="1" applyAlignment="1">
      <alignment horizontal="center" vertical="center"/>
    </xf>
    <xf numFmtId="0" fontId="6" fillId="25" borderId="34" xfId="0" applyFont="1" applyFill="1" applyBorder="1" applyAlignment="1" applyProtection="1">
      <alignment vertical="center" wrapText="1"/>
      <protection locked="0"/>
    </xf>
    <xf numFmtId="0" fontId="6" fillId="25" borderId="42" xfId="0" applyFont="1" applyFill="1" applyBorder="1" applyAlignment="1" applyProtection="1">
      <alignment vertical="center" wrapText="1"/>
      <protection locked="0"/>
    </xf>
    <xf numFmtId="168" fontId="6" fillId="18" borderId="44" xfId="30" applyNumberFormat="1" applyFont="1" applyFill="1" applyBorder="1"/>
    <xf numFmtId="168" fontId="6" fillId="18" borderId="82" xfId="30" applyNumberFormat="1" applyFont="1" applyFill="1" applyBorder="1"/>
    <xf numFmtId="168" fontId="6" fillId="18" borderId="61" xfId="30" applyNumberFormat="1" applyFont="1" applyFill="1" applyBorder="1"/>
    <xf numFmtId="168" fontId="6" fillId="18" borderId="64" xfId="30" applyNumberFormat="1" applyFont="1" applyFill="1" applyBorder="1"/>
    <xf numFmtId="168" fontId="6" fillId="18" borderId="55" xfId="30" applyNumberFormat="1" applyFont="1" applyFill="1" applyBorder="1"/>
    <xf numFmtId="168" fontId="6" fillId="18" borderId="62" xfId="30" applyNumberFormat="1" applyFont="1" applyFill="1" applyBorder="1"/>
    <xf numFmtId="168" fontId="48" fillId="29" borderId="43" xfId="30" applyNumberFormat="1" applyFont="1" applyFill="1" applyBorder="1" applyAlignment="1">
      <alignment horizontal="right"/>
    </xf>
    <xf numFmtId="168" fontId="6" fillId="18" borderId="43" xfId="30" applyNumberFormat="1" applyFont="1" applyFill="1" applyBorder="1"/>
    <xf numFmtId="168" fontId="48" fillId="30" borderId="43" xfId="30" applyNumberFormat="1" applyFont="1" applyFill="1" applyBorder="1" applyAlignment="1">
      <alignment horizontal="right"/>
    </xf>
    <xf numFmtId="168" fontId="48" fillId="18" borderId="43" xfId="30" applyNumberFormat="1" applyFont="1" applyFill="1" applyBorder="1" applyAlignment="1">
      <alignment horizontal="right"/>
    </xf>
    <xf numFmtId="168" fontId="48" fillId="30" borderId="104" xfId="30" applyNumberFormat="1" applyFont="1" applyFill="1" applyBorder="1" applyAlignment="1">
      <alignment horizontal="right"/>
    </xf>
    <xf numFmtId="0" fontId="6" fillId="25" borderId="118" xfId="0" applyFont="1" applyFill="1" applyBorder="1" applyAlignment="1" applyProtection="1">
      <alignment vertical="center" wrapText="1"/>
      <protection locked="0"/>
    </xf>
    <xf numFmtId="168" fontId="48" fillId="25" borderId="117" xfId="30" applyNumberFormat="1" applyFont="1" applyFill="1" applyBorder="1" applyAlignment="1">
      <alignment horizontal="right"/>
    </xf>
    <xf numFmtId="168" fontId="6" fillId="29" borderId="82" xfId="30" applyNumberFormat="1" applyFont="1" applyFill="1" applyBorder="1" applyAlignment="1">
      <alignment horizontal="right"/>
    </xf>
    <xf numFmtId="168" fontId="48" fillId="30" borderId="107" xfId="30" applyNumberFormat="1" applyFont="1" applyFill="1" applyBorder="1" applyAlignment="1">
      <alignment horizontal="right"/>
    </xf>
    <xf numFmtId="168" fontId="48" fillId="25" borderId="114" xfId="30" applyNumberFormat="1" applyFont="1" applyFill="1" applyBorder="1" applyAlignment="1">
      <alignment horizontal="right"/>
    </xf>
    <xf numFmtId="0" fontId="14" fillId="31" borderId="23" xfId="0" applyFont="1" applyFill="1" applyBorder="1" applyAlignment="1">
      <alignment vertical="center"/>
    </xf>
    <xf numFmtId="168" fontId="6" fillId="31" borderId="63" xfId="30" applyNumberFormat="1" applyFont="1" applyFill="1" applyBorder="1"/>
    <xf numFmtId="168" fontId="6" fillId="38" borderId="44" xfId="30" applyNumberFormat="1" applyFont="1" applyFill="1" applyBorder="1"/>
    <xf numFmtId="168" fontId="48" fillId="38" borderId="19" xfId="30" applyNumberFormat="1" applyFont="1" applyFill="1" applyBorder="1" applyAlignment="1">
      <alignment horizontal="right"/>
    </xf>
    <xf numFmtId="168" fontId="48" fillId="25" borderId="119" xfId="30" applyNumberFormat="1" applyFont="1" applyFill="1" applyBorder="1" applyAlignment="1">
      <alignment horizontal="right"/>
    </xf>
    <xf numFmtId="168" fontId="6" fillId="25" borderId="46" xfId="0" applyNumberFormat="1" applyFont="1" applyFill="1" applyBorder="1"/>
    <xf numFmtId="168" fontId="48" fillId="30" borderId="110" xfId="30" applyNumberFormat="1" applyFont="1" applyFill="1" applyBorder="1" applyAlignment="1">
      <alignment horizontal="right"/>
    </xf>
    <xf numFmtId="0" fontId="48" fillId="33" borderId="121" xfId="0" applyFont="1" applyFill="1" applyBorder="1" applyAlignment="1">
      <alignment horizontal="left" vertical="center" wrapText="1" indent="4"/>
    </xf>
    <xf numFmtId="0" fontId="53" fillId="33" borderId="121" xfId="0" applyFont="1" applyFill="1" applyBorder="1" applyAlignment="1">
      <alignment horizontal="left" vertical="center" wrapText="1"/>
    </xf>
    <xf numFmtId="0" fontId="53" fillId="33" borderId="92" xfId="0" applyFont="1" applyFill="1" applyBorder="1" applyAlignment="1">
      <alignment horizontal="left"/>
    </xf>
    <xf numFmtId="168" fontId="48" fillId="30" borderId="106" xfId="30" applyNumberFormat="1" applyFont="1" applyFill="1" applyBorder="1" applyAlignment="1">
      <alignment horizontal="right"/>
    </xf>
    <xf numFmtId="168" fontId="6" fillId="25" borderId="63" xfId="0" applyNumberFormat="1" applyFont="1" applyFill="1" applyBorder="1"/>
    <xf numFmtId="168" fontId="6" fillId="29" borderId="90" xfId="30" applyNumberFormat="1" applyFont="1" applyFill="1" applyBorder="1"/>
    <xf numFmtId="168" fontId="6" fillId="29" borderId="82" xfId="30" applyNumberFormat="1" applyFont="1" applyFill="1" applyBorder="1"/>
    <xf numFmtId="168" fontId="48" fillId="25" borderId="124" xfId="30" applyNumberFormat="1" applyFont="1" applyFill="1" applyBorder="1" applyAlignment="1">
      <alignment horizontal="right"/>
    </xf>
    <xf numFmtId="168" fontId="48" fillId="18" borderId="103" xfId="30" applyNumberFormat="1" applyFont="1" applyFill="1" applyBorder="1" applyAlignment="1">
      <alignment horizontal="right"/>
    </xf>
    <xf numFmtId="168" fontId="48" fillId="30" borderId="103" xfId="30" applyNumberFormat="1" applyFont="1" applyFill="1" applyBorder="1" applyAlignment="1">
      <alignment horizontal="right"/>
    </xf>
    <xf numFmtId="168" fontId="48" fillId="29" borderId="109" xfId="30" applyNumberFormat="1" applyFont="1" applyFill="1" applyBorder="1" applyAlignment="1">
      <alignment horizontal="right"/>
    </xf>
    <xf numFmtId="0" fontId="6" fillId="25" borderId="26" xfId="0" applyFont="1" applyFill="1" applyBorder="1" applyAlignment="1" applyProtection="1">
      <alignment vertical="center" wrapText="1"/>
      <protection locked="0"/>
    </xf>
    <xf numFmtId="0" fontId="66" fillId="36" borderId="67" xfId="0" applyFont="1" applyFill="1" applyBorder="1" applyAlignment="1">
      <alignment horizontal="center" vertical="center" wrapText="1"/>
    </xf>
    <xf numFmtId="168" fontId="48" fillId="30" borderId="105" xfId="30" applyNumberFormat="1" applyFont="1" applyFill="1" applyBorder="1" applyAlignment="1">
      <alignment horizontal="right"/>
    </xf>
    <xf numFmtId="168" fontId="48" fillId="18" borderId="109" xfId="30" applyNumberFormat="1" applyFont="1" applyFill="1" applyBorder="1" applyAlignment="1">
      <alignment horizontal="right"/>
    </xf>
    <xf numFmtId="168" fontId="48" fillId="30" borderId="109" xfId="30" applyNumberFormat="1" applyFont="1" applyFill="1" applyBorder="1" applyAlignment="1">
      <alignment horizontal="right"/>
    </xf>
    <xf numFmtId="168" fontId="6" fillId="29" borderId="62" xfId="30" applyNumberFormat="1" applyFont="1" applyFill="1" applyBorder="1"/>
    <xf numFmtId="168" fontId="48" fillId="29" borderId="106" xfId="30" applyNumberFormat="1" applyFont="1" applyFill="1" applyBorder="1" applyAlignment="1">
      <alignment horizontal="right"/>
    </xf>
    <xf numFmtId="0" fontId="0" fillId="0" borderId="73" xfId="0" applyBorder="1"/>
    <xf numFmtId="168" fontId="6" fillId="29" borderId="63" xfId="30" applyNumberFormat="1" applyFont="1" applyFill="1" applyBorder="1"/>
    <xf numFmtId="168" fontId="48" fillId="25" borderId="122" xfId="30" applyNumberFormat="1" applyFont="1" applyFill="1" applyBorder="1" applyAlignment="1">
      <alignment horizontal="right"/>
    </xf>
    <xf numFmtId="168" fontId="48" fillId="29" borderId="103" xfId="30" applyNumberFormat="1" applyFont="1" applyFill="1" applyBorder="1" applyAlignment="1">
      <alignment horizontal="right"/>
    </xf>
    <xf numFmtId="168" fontId="6" fillId="38" borderId="82" xfId="30" applyNumberFormat="1" applyFont="1" applyFill="1" applyBorder="1"/>
    <xf numFmtId="0" fontId="14" fillId="31" borderId="22" xfId="0" applyFont="1" applyFill="1" applyBorder="1" applyAlignment="1">
      <alignment vertical="center"/>
    </xf>
    <xf numFmtId="168" fontId="6" fillId="0" borderId="0" xfId="30" applyNumberFormat="1" applyFont="1" applyFill="1" applyBorder="1"/>
    <xf numFmtId="168" fontId="6" fillId="31" borderId="60" xfId="30" applyNumberFormat="1" applyFont="1" applyFill="1" applyBorder="1" applyAlignment="1">
      <alignment horizontal="right"/>
    </xf>
    <xf numFmtId="168" fontId="6" fillId="31" borderId="63" xfId="30" applyNumberFormat="1" applyFont="1" applyFill="1" applyBorder="1" applyAlignment="1">
      <alignment horizontal="right"/>
    </xf>
    <xf numFmtId="168" fontId="6" fillId="18" borderId="60" xfId="30" applyNumberFormat="1" applyFont="1" applyFill="1" applyBorder="1"/>
    <xf numFmtId="168" fontId="6" fillId="18" borderId="46" xfId="30" applyNumberFormat="1" applyFont="1" applyFill="1" applyBorder="1"/>
    <xf numFmtId="168" fontId="6" fillId="18" borderId="63" xfId="30" applyNumberFormat="1" applyFont="1" applyFill="1" applyBorder="1"/>
    <xf numFmtId="168" fontId="6" fillId="18" borderId="60" xfId="30" applyNumberFormat="1" applyFont="1" applyFill="1" applyBorder="1" applyAlignment="1">
      <alignment horizontal="right"/>
    </xf>
    <xf numFmtId="168" fontId="6" fillId="38" borderId="46" xfId="30" applyNumberFormat="1" applyFont="1" applyFill="1" applyBorder="1"/>
    <xf numFmtId="168" fontId="6" fillId="38" borderId="60" xfId="30" applyNumberFormat="1" applyFont="1" applyFill="1" applyBorder="1"/>
    <xf numFmtId="168" fontId="6" fillId="38" borderId="63" xfId="30" applyNumberFormat="1" applyFont="1" applyFill="1" applyBorder="1"/>
    <xf numFmtId="168" fontId="6" fillId="29" borderId="60" xfId="30" applyNumberFormat="1" applyFont="1" applyFill="1" applyBorder="1" applyAlignment="1">
      <alignment horizontal="right"/>
    </xf>
    <xf numFmtId="168" fontId="6" fillId="38" borderId="60" xfId="30" applyNumberFormat="1" applyFont="1" applyFill="1" applyBorder="1" applyAlignment="1">
      <alignment horizontal="right"/>
    </xf>
    <xf numFmtId="168" fontId="6" fillId="25" borderId="60" xfId="30" applyNumberFormat="1" applyFont="1" applyFill="1" applyBorder="1"/>
    <xf numFmtId="168" fontId="6" fillId="38" borderId="0" xfId="30" applyNumberFormat="1" applyFont="1" applyFill="1" applyBorder="1"/>
    <xf numFmtId="168" fontId="6" fillId="38" borderId="97" xfId="30" applyNumberFormat="1" applyFont="1" applyFill="1" applyBorder="1"/>
    <xf numFmtId="168" fontId="6" fillId="38" borderId="19" xfId="30" applyNumberFormat="1" applyFont="1" applyFill="1" applyBorder="1"/>
    <xf numFmtId="168" fontId="6" fillId="38" borderId="70" xfId="30" applyNumberFormat="1" applyFont="1" applyFill="1" applyBorder="1"/>
    <xf numFmtId="168" fontId="6" fillId="25" borderId="46" xfId="30" applyNumberFormat="1" applyFont="1" applyFill="1" applyBorder="1"/>
    <xf numFmtId="0" fontId="0" fillId="0" borderId="0" xfId="0"/>
    <xf numFmtId="0" fontId="6" fillId="0" borderId="0" xfId="0" applyFont="1"/>
    <xf numFmtId="0" fontId="6" fillId="18" borderId="60" xfId="30" applyNumberFormat="1" applyFont="1" applyFill="1" applyBorder="1"/>
    <xf numFmtId="168" fontId="6" fillId="25" borderId="60" xfId="0" applyNumberFormat="1" applyFont="1" applyFill="1" applyBorder="1"/>
    <xf numFmtId="0" fontId="6" fillId="25" borderId="60" xfId="0" applyNumberFormat="1" applyFont="1" applyFill="1" applyBorder="1"/>
    <xf numFmtId="168" fontId="6" fillId="31" borderId="46" xfId="30" applyNumberFormat="1" applyFont="1" applyFill="1" applyBorder="1"/>
    <xf numFmtId="168" fontId="6" fillId="31" borderId="60" xfId="30" applyNumberFormat="1" applyFont="1" applyFill="1" applyBorder="1"/>
    <xf numFmtId="168" fontId="6" fillId="25" borderId="63" xfId="30" applyNumberFormat="1" applyFont="1" applyFill="1" applyBorder="1"/>
    <xf numFmtId="0" fontId="6" fillId="22" borderId="46" xfId="0" applyFont="1" applyFill="1" applyBorder="1" applyAlignment="1" applyProtection="1">
      <alignment vertical="center" wrapText="1"/>
      <protection locked="0"/>
    </xf>
    <xf numFmtId="0" fontId="9" fillId="33" borderId="0" xfId="0" applyFont="1" applyFill="1" applyBorder="1"/>
    <xf numFmtId="0" fontId="6" fillId="33" borderId="0" xfId="0" applyFont="1" applyFill="1" applyBorder="1"/>
    <xf numFmtId="0" fontId="6" fillId="33" borderId="0" xfId="0" applyFont="1" applyFill="1" applyBorder="1" applyAlignment="1">
      <alignment vertical="top" wrapText="1"/>
    </xf>
    <xf numFmtId="0" fontId="9" fillId="33" borderId="0" xfId="0" applyFont="1" applyFill="1"/>
    <xf numFmtId="0" fontId="6" fillId="33" borderId="0" xfId="0" applyFont="1" applyFill="1" applyAlignment="1">
      <alignment wrapText="1"/>
    </xf>
    <xf numFmtId="0" fontId="9" fillId="33" borderId="0" xfId="0" applyFont="1" applyFill="1" applyBorder="1" applyAlignment="1">
      <alignment wrapText="1"/>
    </xf>
    <xf numFmtId="0" fontId="6" fillId="33" borderId="0" xfId="0" applyFont="1" applyFill="1" applyBorder="1" applyAlignment="1">
      <alignment wrapText="1"/>
    </xf>
    <xf numFmtId="0" fontId="18" fillId="33" borderId="0" xfId="0" applyNumberFormat="1" applyFont="1" applyFill="1"/>
    <xf numFmtId="0" fontId="16" fillId="33" borderId="0" xfId="0" applyFont="1" applyFill="1"/>
    <xf numFmtId="0" fontId="18" fillId="19" borderId="0" xfId="0" applyFont="1" applyFill="1" applyBorder="1" applyAlignment="1" applyProtection="1">
      <alignment vertical="center"/>
      <protection locked="0"/>
    </xf>
    <xf numFmtId="0" fontId="6" fillId="33" borderId="93" xfId="0" applyFont="1" applyFill="1" applyBorder="1" applyAlignment="1">
      <alignment horizontal="left" vertical="center" wrapText="1" indent="4"/>
    </xf>
    <xf numFmtId="0" fontId="9" fillId="33" borderId="93" xfId="0" applyFont="1" applyFill="1" applyBorder="1" applyAlignment="1">
      <alignment horizontal="left" vertical="center" wrapText="1"/>
    </xf>
    <xf numFmtId="168" fontId="6" fillId="18" borderId="56" xfId="30" applyNumberFormat="1" applyFont="1" applyFill="1" applyBorder="1"/>
    <xf numFmtId="0" fontId="9" fillId="33" borderId="46" xfId="0" applyFont="1" applyFill="1" applyBorder="1"/>
    <xf numFmtId="168" fontId="9" fillId="38" borderId="60" xfId="0" applyNumberFormat="1" applyFont="1" applyFill="1" applyBorder="1" applyAlignment="1">
      <alignment horizontal="left" vertical="center" wrapText="1"/>
    </xf>
    <xf numFmtId="168" fontId="9" fillId="38" borderId="63" xfId="0" applyNumberFormat="1" applyFont="1" applyFill="1" applyBorder="1" applyAlignment="1">
      <alignment horizontal="left" vertical="center" wrapText="1"/>
    </xf>
    <xf numFmtId="0" fontId="0" fillId="25" borderId="73" xfId="0" applyFill="1" applyBorder="1"/>
    <xf numFmtId="0" fontId="0" fillId="25" borderId="91" xfId="0" applyFill="1" applyBorder="1"/>
    <xf numFmtId="168" fontId="9" fillId="38" borderId="86" xfId="0" applyNumberFormat="1" applyFont="1" applyFill="1" applyBorder="1" applyAlignment="1">
      <alignment horizontal="left" vertical="center" wrapText="1"/>
    </xf>
    <xf numFmtId="0" fontId="9" fillId="33" borderId="50" xfId="0" applyFont="1" applyFill="1" applyBorder="1" applyAlignment="1">
      <alignment horizontal="left" vertical="center" wrapText="1"/>
    </xf>
    <xf numFmtId="168" fontId="6" fillId="29" borderId="66" xfId="30" applyNumberFormat="1" applyFont="1" applyFill="1" applyBorder="1"/>
    <xf numFmtId="168" fontId="6" fillId="29" borderId="67" xfId="30" applyNumberFormat="1" applyFont="1" applyFill="1" applyBorder="1"/>
    <xf numFmtId="0" fontId="6" fillId="25" borderId="62" xfId="0" applyNumberFormat="1" applyFont="1" applyFill="1" applyBorder="1"/>
    <xf numFmtId="168" fontId="6" fillId="18" borderId="90" xfId="30" applyNumberFormat="1" applyFont="1" applyFill="1" applyBorder="1"/>
    <xf numFmtId="168" fontId="6" fillId="18" borderId="59" xfId="30" applyNumberFormat="1" applyFont="1" applyFill="1" applyBorder="1"/>
    <xf numFmtId="0" fontId="6" fillId="38" borderId="20" xfId="0" applyFont="1" applyFill="1" applyBorder="1" applyAlignment="1">
      <alignment horizontal="center" vertical="center" wrapText="1"/>
    </xf>
    <xf numFmtId="0" fontId="6" fillId="33" borderId="0" xfId="0" applyFont="1" applyFill="1" applyBorder="1" applyAlignment="1">
      <alignment vertical="top"/>
    </xf>
    <xf numFmtId="168" fontId="6" fillId="38" borderId="64" xfId="30" applyNumberFormat="1" applyFont="1" applyFill="1" applyBorder="1"/>
    <xf numFmtId="168" fontId="6" fillId="38" borderId="67" xfId="30" applyNumberFormat="1" applyFont="1" applyFill="1" applyBorder="1"/>
    <xf numFmtId="168" fontId="6" fillId="38" borderId="46" xfId="0" applyNumberFormat="1" applyFont="1" applyFill="1" applyBorder="1"/>
    <xf numFmtId="168" fontId="6" fillId="38" borderId="60" xfId="0" applyNumberFormat="1" applyFont="1" applyFill="1" applyBorder="1"/>
    <xf numFmtId="168" fontId="6" fillId="38" borderId="62" xfId="30" applyNumberFormat="1" applyFont="1" applyFill="1" applyBorder="1"/>
    <xf numFmtId="1" fontId="0" fillId="0" borderId="0" xfId="0" applyNumberFormat="1"/>
    <xf numFmtId="0" fontId="0" fillId="0" borderId="0" xfId="0" applyFill="1" applyBorder="1"/>
    <xf numFmtId="0" fontId="6" fillId="33" borderId="76" xfId="0" applyFont="1" applyFill="1" applyBorder="1" applyAlignment="1">
      <alignment horizontal="left" vertical="center" wrapText="1" indent="4"/>
    </xf>
    <xf numFmtId="0" fontId="9" fillId="33" borderId="76" xfId="0" applyFont="1" applyFill="1" applyBorder="1" applyAlignment="1">
      <alignment horizontal="left" vertical="center" wrapText="1"/>
    </xf>
    <xf numFmtId="0" fontId="6" fillId="18" borderId="63" xfId="30" applyNumberFormat="1" applyFont="1" applyFill="1" applyBorder="1"/>
    <xf numFmtId="0" fontId="6" fillId="25" borderId="63" xfId="0" applyNumberFormat="1" applyFont="1" applyFill="1" applyBorder="1"/>
    <xf numFmtId="168" fontId="6" fillId="25" borderId="62" xfId="0" applyNumberFormat="1" applyFont="1" applyFill="1" applyBorder="1"/>
    <xf numFmtId="0" fontId="0" fillId="33" borderId="23" xfId="0" applyFill="1" applyBorder="1"/>
    <xf numFmtId="0" fontId="0" fillId="33" borderId="24" xfId="0" applyFill="1" applyBorder="1"/>
    <xf numFmtId="0" fontId="0" fillId="33" borderId="25" xfId="0" applyFill="1" applyBorder="1"/>
    <xf numFmtId="0" fontId="0" fillId="33" borderId="73" xfId="0" applyFill="1" applyBorder="1"/>
    <xf numFmtId="0" fontId="0" fillId="33" borderId="91" xfId="0" applyFill="1" applyBorder="1"/>
    <xf numFmtId="168" fontId="6" fillId="38" borderId="90" xfId="30" applyNumberFormat="1" applyFont="1" applyFill="1" applyBorder="1"/>
    <xf numFmtId="168" fontId="6" fillId="38" borderId="21" xfId="30" applyNumberFormat="1" applyFont="1" applyFill="1" applyBorder="1"/>
    <xf numFmtId="168" fontId="6" fillId="38" borderId="22" xfId="30" applyNumberFormat="1" applyFont="1" applyFill="1" applyBorder="1"/>
    <xf numFmtId="168" fontId="6" fillId="38" borderId="23" xfId="30" applyNumberFormat="1" applyFont="1" applyFill="1" applyBorder="1"/>
    <xf numFmtId="168" fontId="6" fillId="38" borderId="24" xfId="30" applyNumberFormat="1" applyFont="1" applyFill="1" applyBorder="1"/>
    <xf numFmtId="168" fontId="6" fillId="38" borderId="125" xfId="30" applyNumberFormat="1" applyFont="1" applyFill="1" applyBorder="1"/>
    <xf numFmtId="0" fontId="6" fillId="33" borderId="76" xfId="0" applyFont="1" applyFill="1" applyBorder="1" applyAlignment="1">
      <alignment horizontal="left" vertical="center" wrapText="1"/>
    </xf>
    <xf numFmtId="168" fontId="9" fillId="38" borderId="46" xfId="0" applyNumberFormat="1" applyFont="1" applyFill="1" applyBorder="1" applyAlignment="1">
      <alignment horizontal="left" vertical="center" wrapText="1"/>
    </xf>
    <xf numFmtId="168" fontId="9" fillId="38" borderId="62" xfId="0" applyNumberFormat="1" applyFont="1" applyFill="1" applyBorder="1" applyAlignment="1">
      <alignment horizontal="left" vertical="center" wrapText="1"/>
    </xf>
    <xf numFmtId="168" fontId="9" fillId="38" borderId="44" xfId="0" applyNumberFormat="1" applyFont="1" applyFill="1" applyBorder="1" applyAlignment="1">
      <alignment horizontal="left" vertical="center" wrapText="1"/>
    </xf>
    <xf numFmtId="168" fontId="9" fillId="38" borderId="82" xfId="0" applyNumberFormat="1" applyFont="1" applyFill="1" applyBorder="1" applyAlignment="1">
      <alignment horizontal="left" vertical="center" wrapText="1"/>
    </xf>
    <xf numFmtId="168" fontId="9" fillId="38" borderId="90" xfId="0" applyNumberFormat="1" applyFont="1" applyFill="1" applyBorder="1" applyAlignment="1">
      <alignment horizontal="left" vertical="center" wrapText="1"/>
    </xf>
    <xf numFmtId="168" fontId="6" fillId="31" borderId="49" xfId="30" applyNumberFormat="1" applyFont="1" applyFill="1" applyBorder="1"/>
    <xf numFmtId="168" fontId="6" fillId="31" borderId="74" xfId="30" applyNumberFormat="1" applyFont="1" applyFill="1" applyBorder="1"/>
    <xf numFmtId="168" fontId="6" fillId="31" borderId="75" xfId="30" applyNumberFormat="1" applyFont="1" applyFill="1" applyBorder="1"/>
    <xf numFmtId="168" fontId="51" fillId="25" borderId="72" xfId="30" applyNumberFormat="1" applyFont="1" applyFill="1" applyBorder="1" applyAlignment="1"/>
    <xf numFmtId="0" fontId="66" fillId="41" borderId="67" xfId="0" applyFont="1" applyFill="1" applyBorder="1" applyAlignment="1">
      <alignment horizontal="center" vertical="center" wrapText="1"/>
    </xf>
    <xf numFmtId="0" fontId="6" fillId="33" borderId="0" xfId="0" applyFont="1" applyFill="1" applyAlignment="1"/>
    <xf numFmtId="0" fontId="6" fillId="0" borderId="0" xfId="0" applyFont="1" applyFill="1" applyBorder="1" applyAlignment="1" applyProtection="1">
      <alignment wrapText="1"/>
      <protection locked="0"/>
    </xf>
    <xf numFmtId="0" fontId="6" fillId="0" borderId="0" xfId="0" applyFont="1" applyFill="1" applyBorder="1" applyAlignment="1"/>
    <xf numFmtId="0" fontId="6" fillId="22" borderId="79" xfId="0" applyFont="1" applyFill="1" applyBorder="1" applyAlignment="1" applyProtection="1">
      <alignment vertical="center" wrapText="1"/>
      <protection locked="0"/>
    </xf>
    <xf numFmtId="168" fontId="6" fillId="38" borderId="63" xfId="0" applyNumberFormat="1" applyFont="1" applyFill="1" applyBorder="1"/>
    <xf numFmtId="168" fontId="9" fillId="38" borderId="85" xfId="0" applyNumberFormat="1" applyFont="1" applyFill="1" applyBorder="1" applyAlignment="1">
      <alignment horizontal="left" vertical="center" wrapText="1"/>
    </xf>
    <xf numFmtId="0" fontId="6" fillId="33" borderId="0" xfId="0" applyFont="1" applyFill="1" applyAlignment="1">
      <alignment horizontal="left"/>
    </xf>
    <xf numFmtId="43" fontId="15" fillId="33" borderId="0" xfId="0" applyNumberFormat="1" applyFont="1" applyFill="1" applyBorder="1"/>
    <xf numFmtId="168" fontId="6" fillId="33" borderId="0" xfId="30" applyNumberFormat="1" applyFont="1" applyFill="1" applyBorder="1"/>
    <xf numFmtId="0" fontId="6" fillId="33" borderId="92" xfId="0" applyFont="1" applyFill="1" applyBorder="1" applyAlignment="1">
      <alignment horizontal="left" vertical="center" wrapText="1" indent="4"/>
    </xf>
    <xf numFmtId="0" fontId="66" fillId="36" borderId="80" xfId="0" applyFont="1" applyFill="1" applyBorder="1" applyAlignment="1">
      <alignment horizontal="center" vertical="center" wrapText="1"/>
    </xf>
    <xf numFmtId="43" fontId="9" fillId="29" borderId="60" xfId="0" applyNumberFormat="1" applyFont="1" applyFill="1" applyBorder="1"/>
    <xf numFmtId="43" fontId="9" fillId="29" borderId="64" xfId="0" applyNumberFormat="1" applyFont="1" applyFill="1" applyBorder="1"/>
    <xf numFmtId="43" fontId="9" fillId="29" borderId="67" xfId="0" applyNumberFormat="1" applyFont="1" applyFill="1" applyBorder="1"/>
    <xf numFmtId="43" fontId="9" fillId="29" borderId="46" xfId="0" applyNumberFormat="1" applyFont="1" applyFill="1" applyBorder="1"/>
    <xf numFmtId="43" fontId="9" fillId="29" borderId="63" xfId="0" applyNumberFormat="1" applyFont="1" applyFill="1" applyBorder="1"/>
    <xf numFmtId="43" fontId="9" fillId="29" borderId="60" xfId="0" applyNumberFormat="1" applyFont="1" applyFill="1" applyBorder="1" applyAlignment="1">
      <alignment horizontal="right"/>
    </xf>
    <xf numFmtId="43" fontId="9" fillId="29" borderId="64" xfId="0" applyNumberFormat="1" applyFont="1" applyFill="1" applyBorder="1" applyAlignment="1">
      <alignment horizontal="right"/>
    </xf>
    <xf numFmtId="0" fontId="9" fillId="33" borderId="93" xfId="0" applyFont="1" applyFill="1" applyBorder="1"/>
    <xf numFmtId="0" fontId="9" fillId="33" borderId="94" xfId="0" applyFont="1" applyFill="1" applyBorder="1"/>
    <xf numFmtId="168" fontId="9" fillId="29" borderId="64" xfId="0" applyNumberFormat="1" applyFont="1" applyFill="1" applyBorder="1" applyAlignment="1">
      <alignment horizontal="left" vertical="center" wrapText="1"/>
    </xf>
    <xf numFmtId="0" fontId="6" fillId="25" borderId="46" xfId="0" applyNumberFormat="1" applyFont="1" applyFill="1" applyBorder="1"/>
    <xf numFmtId="0" fontId="6" fillId="33" borderId="70" xfId="0" applyFont="1" applyFill="1" applyBorder="1" applyAlignment="1">
      <alignment horizontal="left" vertical="center" wrapText="1" indent="4"/>
    </xf>
    <xf numFmtId="168" fontId="9" fillId="29" borderId="64" xfId="0" applyNumberFormat="1" applyFont="1" applyFill="1" applyBorder="1"/>
    <xf numFmtId="168" fontId="9" fillId="29" borderId="67" xfId="0" applyNumberFormat="1" applyFont="1" applyFill="1" applyBorder="1"/>
    <xf numFmtId="0" fontId="9" fillId="40" borderId="64" xfId="0" applyFont="1" applyFill="1" applyBorder="1" applyAlignment="1" applyProtection="1">
      <alignment horizontal="center" vertical="center" wrapText="1"/>
      <protection locked="0"/>
    </xf>
    <xf numFmtId="168" fontId="6" fillId="18" borderId="48" xfId="30" applyNumberFormat="1" applyFont="1" applyFill="1" applyBorder="1"/>
    <xf numFmtId="168" fontId="6" fillId="18" borderId="67" xfId="30" applyNumberFormat="1" applyFont="1" applyFill="1" applyBorder="1"/>
    <xf numFmtId="0" fontId="0" fillId="33" borderId="0" xfId="0" applyFill="1" applyBorder="1"/>
    <xf numFmtId="0" fontId="6" fillId="22" borderId="53" xfId="0" applyFont="1" applyFill="1" applyBorder="1" applyAlignment="1" applyProtection="1">
      <alignment vertical="center" wrapText="1"/>
      <protection locked="0"/>
    </xf>
    <xf numFmtId="167" fontId="6" fillId="32" borderId="60" xfId="0" applyNumberFormat="1" applyFont="1" applyFill="1" applyBorder="1"/>
    <xf numFmtId="0" fontId="6" fillId="21" borderId="60" xfId="0" applyFont="1" applyFill="1" applyBorder="1"/>
    <xf numFmtId="10" fontId="9" fillId="32" borderId="61" xfId="44" applyNumberFormat="1" applyFont="1" applyFill="1" applyBorder="1"/>
    <xf numFmtId="0" fontId="6" fillId="32" borderId="60" xfId="0" applyFont="1" applyFill="1" applyBorder="1"/>
    <xf numFmtId="167" fontId="6" fillId="21" borderId="60" xfId="0" applyNumberFormat="1" applyFont="1" applyFill="1" applyBorder="1"/>
    <xf numFmtId="10" fontId="9" fillId="21" borderId="61" xfId="44" applyNumberFormat="1" applyFont="1" applyFill="1" applyBorder="1"/>
    <xf numFmtId="10" fontId="9" fillId="25" borderId="61" xfId="44" applyNumberFormat="1" applyFont="1" applyFill="1" applyBorder="1"/>
    <xf numFmtId="0" fontId="6" fillId="21" borderId="64" xfId="0" applyFont="1" applyFill="1" applyBorder="1"/>
    <xf numFmtId="10" fontId="9" fillId="25" borderId="65" xfId="44" applyNumberFormat="1" applyFont="1" applyFill="1" applyBorder="1"/>
    <xf numFmtId="0" fontId="6" fillId="31" borderId="82" xfId="0" applyFont="1" applyFill="1" applyBorder="1"/>
    <xf numFmtId="0" fontId="6" fillId="31" borderId="71" xfId="0" applyFont="1" applyFill="1" applyBorder="1"/>
    <xf numFmtId="0" fontId="6" fillId="31" borderId="46" xfId="0" applyFont="1" applyFill="1" applyBorder="1"/>
    <xf numFmtId="0" fontId="6" fillId="31" borderId="60" xfId="0" applyFont="1" applyFill="1" applyBorder="1"/>
    <xf numFmtId="0" fontId="6" fillId="31" borderId="61" xfId="0" applyFont="1" applyFill="1" applyBorder="1"/>
    <xf numFmtId="0" fontId="9" fillId="31" borderId="46" xfId="0" applyFont="1" applyFill="1" applyBorder="1" applyAlignment="1">
      <alignment horizontal="right"/>
    </xf>
    <xf numFmtId="0" fontId="9" fillId="31" borderId="60" xfId="0" applyFont="1" applyFill="1" applyBorder="1" applyAlignment="1">
      <alignment horizontal="right"/>
    </xf>
    <xf numFmtId="0" fontId="6" fillId="31" borderId="60" xfId="0" applyFont="1" applyFill="1" applyBorder="1" applyAlignment="1">
      <alignment wrapText="1"/>
    </xf>
    <xf numFmtId="0" fontId="9" fillId="31" borderId="61" xfId="0" applyFont="1" applyFill="1" applyBorder="1" applyAlignment="1">
      <alignment horizontal="left"/>
    </xf>
    <xf numFmtId="17" fontId="6" fillId="31" borderId="60" xfId="0" applyNumberFormat="1" applyFont="1" applyFill="1" applyBorder="1"/>
    <xf numFmtId="17" fontId="6" fillId="31" borderId="64" xfId="0" applyNumberFormat="1" applyFont="1" applyFill="1" applyBorder="1"/>
    <xf numFmtId="17" fontId="6" fillId="29" borderId="19" xfId="0" applyNumberFormat="1" applyFont="1" applyFill="1" applyBorder="1"/>
    <xf numFmtId="0" fontId="9" fillId="29" borderId="19" xfId="0" applyFont="1" applyFill="1" applyBorder="1"/>
    <xf numFmtId="0" fontId="6" fillId="29" borderId="19" xfId="0" applyFont="1" applyFill="1" applyBorder="1"/>
    <xf numFmtId="0" fontId="70" fillId="29" borderId="19" xfId="0" applyFont="1" applyFill="1" applyBorder="1"/>
    <xf numFmtId="0" fontId="6" fillId="29" borderId="25" xfId="0" applyFont="1" applyFill="1" applyBorder="1"/>
    <xf numFmtId="0" fontId="6" fillId="29" borderId="13" xfId="0" applyFont="1" applyFill="1" applyBorder="1"/>
    <xf numFmtId="10" fontId="6" fillId="32" borderId="60" xfId="44" applyNumberFormat="1" applyFont="1" applyFill="1" applyBorder="1"/>
    <xf numFmtId="10" fontId="6" fillId="21" borderId="60" xfId="44" applyNumberFormat="1" applyFont="1" applyFill="1" applyBorder="1"/>
    <xf numFmtId="10" fontId="6" fillId="21" borderId="61" xfId="44" applyNumberFormat="1" applyFont="1" applyFill="1" applyBorder="1"/>
    <xf numFmtId="178" fontId="0" fillId="21" borderId="60" xfId="0" applyNumberFormat="1" applyFill="1" applyBorder="1"/>
    <xf numFmtId="178" fontId="0" fillId="21" borderId="61" xfId="0" applyNumberFormat="1" applyFill="1" applyBorder="1"/>
    <xf numFmtId="169" fontId="6" fillId="21" borderId="60" xfId="0" applyNumberFormat="1" applyFont="1" applyFill="1" applyBorder="1"/>
    <xf numFmtId="169" fontId="6" fillId="21" borderId="60" xfId="44" applyNumberFormat="1" applyFont="1" applyFill="1" applyBorder="1"/>
    <xf numFmtId="169" fontId="6" fillId="21" borderId="61" xfId="0" applyNumberFormat="1" applyFont="1" applyFill="1" applyBorder="1"/>
    <xf numFmtId="166" fontId="6" fillId="21" borderId="64" xfId="0" applyNumberFormat="1" applyFont="1" applyFill="1" applyBorder="1"/>
    <xf numFmtId="166" fontId="6" fillId="21" borderId="65" xfId="0" applyNumberFormat="1" applyFont="1" applyFill="1" applyBorder="1"/>
    <xf numFmtId="10" fontId="6" fillId="32" borderId="62" xfId="44" applyNumberFormat="1" applyFont="1" applyFill="1" applyBorder="1"/>
    <xf numFmtId="178" fontId="0" fillId="21" borderId="62" xfId="0" applyNumberFormat="1" applyFill="1" applyBorder="1"/>
    <xf numFmtId="169" fontId="6" fillId="21" borderId="62" xfId="0" applyNumberFormat="1" applyFont="1" applyFill="1" applyBorder="1"/>
    <xf numFmtId="166" fontId="6" fillId="21" borderId="66" xfId="0" applyNumberFormat="1" applyFont="1" applyFill="1" applyBorder="1"/>
    <xf numFmtId="17" fontId="6" fillId="29" borderId="13" xfId="0" applyNumberFormat="1" applyFont="1" applyFill="1" applyBorder="1"/>
    <xf numFmtId="0" fontId="9" fillId="29" borderId="13" xfId="0" applyFont="1" applyFill="1" applyBorder="1"/>
    <xf numFmtId="0" fontId="70" fillId="29" borderId="13" xfId="0" applyFont="1" applyFill="1" applyBorder="1"/>
    <xf numFmtId="0" fontId="6" fillId="29" borderId="132" xfId="0" applyFont="1" applyFill="1" applyBorder="1"/>
    <xf numFmtId="0" fontId="6" fillId="29" borderId="135" xfId="0" applyFont="1" applyFill="1" applyBorder="1"/>
    <xf numFmtId="0" fontId="6" fillId="29" borderId="134" xfId="0" applyFont="1" applyFill="1" applyBorder="1"/>
    <xf numFmtId="0" fontId="6" fillId="29" borderId="136" xfId="0" applyFont="1" applyFill="1" applyBorder="1"/>
    <xf numFmtId="172" fontId="6" fillId="29" borderId="137" xfId="0" applyNumberFormat="1" applyFont="1" applyFill="1" applyBorder="1"/>
    <xf numFmtId="172" fontId="6" fillId="29" borderId="97" xfId="0" applyNumberFormat="1" applyFont="1" applyFill="1" applyBorder="1"/>
    <xf numFmtId="172" fontId="6" fillId="29" borderId="138" xfId="0" applyNumberFormat="1" applyFont="1" applyFill="1" applyBorder="1"/>
    <xf numFmtId="17" fontId="6" fillId="31" borderId="46" xfId="0" applyNumberFormat="1" applyFont="1" applyFill="1" applyBorder="1" applyAlignment="1">
      <alignment horizontal="right"/>
    </xf>
    <xf numFmtId="17" fontId="6" fillId="31" borderId="48" xfId="0" applyNumberFormat="1" applyFont="1" applyFill="1" applyBorder="1" applyAlignment="1">
      <alignment horizontal="right"/>
    </xf>
    <xf numFmtId="168" fontId="6" fillId="18" borderId="86" xfId="30" applyNumberFormat="1" applyFont="1" applyFill="1" applyBorder="1"/>
    <xf numFmtId="168" fontId="6" fillId="29" borderId="86" xfId="30" applyNumberFormat="1" applyFont="1" applyFill="1" applyBorder="1"/>
    <xf numFmtId="168" fontId="6" fillId="29" borderId="88" xfId="30" applyNumberFormat="1" applyFont="1" applyFill="1" applyBorder="1"/>
    <xf numFmtId="0" fontId="0" fillId="31" borderId="73" xfId="0" applyFill="1" applyBorder="1"/>
    <xf numFmtId="168" fontId="9" fillId="31" borderId="60" xfId="0" applyNumberFormat="1" applyFont="1" applyFill="1" applyBorder="1" applyAlignment="1">
      <alignment horizontal="left" vertical="center"/>
    </xf>
    <xf numFmtId="168" fontId="9" fillId="31" borderId="86" xfId="0" applyNumberFormat="1" applyFont="1" applyFill="1" applyBorder="1" applyAlignment="1">
      <alignment horizontal="left" vertical="center"/>
    </xf>
    <xf numFmtId="168" fontId="9" fillId="29" borderId="60" xfId="30" applyNumberFormat="1" applyFont="1" applyFill="1" applyBorder="1" applyAlignment="1"/>
    <xf numFmtId="168" fontId="9" fillId="29" borderId="86" xfId="30" applyNumberFormat="1" applyFont="1" applyFill="1" applyBorder="1" applyAlignment="1"/>
    <xf numFmtId="168" fontId="9" fillId="29" borderId="79" xfId="30" applyNumberFormat="1" applyFont="1" applyFill="1" applyBorder="1" applyAlignment="1"/>
    <xf numFmtId="168" fontId="9" fillId="29" borderId="87" xfId="30" applyNumberFormat="1" applyFont="1" applyFill="1" applyBorder="1" applyAlignment="1"/>
    <xf numFmtId="168" fontId="9" fillId="31" borderId="62" xfId="0" applyNumberFormat="1" applyFont="1" applyFill="1" applyBorder="1" applyAlignment="1">
      <alignment horizontal="left" vertical="center"/>
    </xf>
    <xf numFmtId="168" fontId="9" fillId="29" borderId="62" xfId="30" applyNumberFormat="1" applyFont="1" applyFill="1" applyBorder="1" applyAlignment="1"/>
    <xf numFmtId="168" fontId="9" fillId="29" borderId="81" xfId="30" applyNumberFormat="1" applyFont="1" applyFill="1" applyBorder="1" applyAlignment="1"/>
    <xf numFmtId="0" fontId="6" fillId="33" borderId="0" xfId="0" applyFont="1" applyFill="1" applyBorder="1" applyAlignment="1">
      <alignment horizontal="center" vertical="center" wrapText="1"/>
    </xf>
    <xf numFmtId="0" fontId="16" fillId="33" borderId="0" xfId="0" applyFont="1" applyFill="1" applyBorder="1" applyAlignment="1">
      <alignment horizontal="center" vertical="center" wrapText="1"/>
    </xf>
    <xf numFmtId="0" fontId="6" fillId="33" borderId="0" xfId="0" applyFont="1" applyFill="1" applyBorder="1" applyAlignment="1" applyProtection="1">
      <alignment vertical="center" wrapText="1"/>
      <protection locked="0"/>
    </xf>
    <xf numFmtId="43" fontId="16" fillId="33" borderId="0" xfId="0" applyNumberFormat="1" applyFont="1" applyFill="1" applyBorder="1"/>
    <xf numFmtId="168" fontId="16" fillId="33" borderId="0" xfId="30" applyNumberFormat="1" applyFont="1" applyFill="1" applyBorder="1"/>
    <xf numFmtId="0" fontId="6" fillId="33" borderId="0" xfId="0" applyFont="1" applyFill="1" applyBorder="1" applyAlignment="1" applyProtection="1">
      <alignment horizontal="center" vertical="center" wrapText="1"/>
      <protection locked="0"/>
    </xf>
    <xf numFmtId="0" fontId="9" fillId="33" borderId="0" xfId="0" applyFont="1" applyFill="1" applyBorder="1" applyAlignment="1" applyProtection="1">
      <alignment horizontal="left" vertical="center" wrapText="1"/>
      <protection locked="0"/>
    </xf>
    <xf numFmtId="0" fontId="50" fillId="33" borderId="0" xfId="0" applyFont="1" applyFill="1" applyBorder="1" applyAlignment="1" applyProtection="1">
      <alignment horizontal="left" vertical="center" wrapText="1"/>
      <protection locked="0"/>
    </xf>
    <xf numFmtId="168" fontId="9" fillId="38" borderId="55" xfId="0" applyNumberFormat="1" applyFont="1" applyFill="1" applyBorder="1" applyAlignment="1">
      <alignment horizontal="left" vertical="center"/>
    </xf>
    <xf numFmtId="168" fontId="9" fillId="38" borderId="56" xfId="0" applyNumberFormat="1" applyFont="1" applyFill="1" applyBorder="1" applyAlignment="1">
      <alignment horizontal="left" vertical="center"/>
    </xf>
    <xf numFmtId="168" fontId="9" fillId="38" borderId="133" xfId="0" applyNumberFormat="1" applyFont="1" applyFill="1" applyBorder="1" applyAlignment="1">
      <alignment horizontal="left" vertical="center"/>
    </xf>
    <xf numFmtId="168" fontId="9" fillId="38" borderId="46" xfId="0" applyNumberFormat="1" applyFont="1" applyFill="1" applyBorder="1" applyAlignment="1">
      <alignment horizontal="left" vertical="center"/>
    </xf>
    <xf numFmtId="168" fontId="9" fillId="38" borderId="60" xfId="0" applyNumberFormat="1" applyFont="1" applyFill="1" applyBorder="1" applyAlignment="1">
      <alignment horizontal="left" vertical="center"/>
    </xf>
    <xf numFmtId="168" fontId="9" fillId="38" borderId="86" xfId="0" applyNumberFormat="1" applyFont="1" applyFill="1" applyBorder="1" applyAlignment="1">
      <alignment horizontal="left" vertical="center"/>
    </xf>
    <xf numFmtId="168" fontId="9" fillId="29" borderId="46" xfId="30" applyNumberFormat="1" applyFont="1" applyFill="1" applyBorder="1" applyAlignment="1"/>
    <xf numFmtId="168" fontId="9" fillId="29" borderId="63" xfId="30" applyNumberFormat="1" applyFont="1" applyFill="1" applyBorder="1" applyAlignment="1"/>
    <xf numFmtId="168" fontId="9" fillId="29" borderId="64" xfId="30" applyNumberFormat="1" applyFont="1" applyFill="1" applyBorder="1" applyAlignment="1"/>
    <xf numFmtId="168" fontId="9" fillId="29" borderId="88" xfId="30" applyNumberFormat="1" applyFont="1" applyFill="1" applyBorder="1" applyAlignment="1"/>
    <xf numFmtId="168" fontId="9" fillId="29" borderId="67" xfId="30" applyNumberFormat="1" applyFont="1" applyFill="1" applyBorder="1" applyAlignment="1"/>
    <xf numFmtId="168" fontId="6" fillId="29" borderId="64" xfId="30" applyNumberFormat="1" applyFont="1" applyFill="1" applyBorder="1" applyAlignment="1"/>
    <xf numFmtId="168" fontId="6" fillId="29" borderId="67" xfId="30" applyNumberFormat="1" applyFont="1" applyFill="1" applyBorder="1" applyAlignment="1"/>
    <xf numFmtId="174" fontId="6" fillId="18" borderId="60" xfId="30" applyNumberFormat="1" applyFont="1" applyFill="1" applyBorder="1"/>
    <xf numFmtId="0" fontId="66" fillId="31" borderId="36" xfId="0" applyFont="1" applyFill="1" applyBorder="1" applyAlignment="1">
      <alignment vertical="center"/>
    </xf>
    <xf numFmtId="0" fontId="48" fillId="25" borderId="50" xfId="0" applyFont="1" applyFill="1" applyBorder="1" applyAlignment="1" applyProtection="1">
      <alignment horizontal="left" vertical="center" wrapText="1"/>
      <protection locked="0"/>
    </xf>
    <xf numFmtId="0" fontId="14" fillId="31" borderId="51" xfId="0" applyFont="1" applyFill="1" applyBorder="1" applyAlignment="1">
      <alignment vertical="center"/>
    </xf>
    <xf numFmtId="0" fontId="14" fillId="31" borderId="52" xfId="0" applyFont="1" applyFill="1" applyBorder="1" applyAlignment="1">
      <alignment vertical="center"/>
    </xf>
    <xf numFmtId="0" fontId="6" fillId="25" borderId="36" xfId="0" applyFont="1" applyFill="1" applyBorder="1" applyAlignment="1" applyProtection="1">
      <alignment vertical="center" wrapText="1"/>
      <protection locked="0"/>
    </xf>
    <xf numFmtId="0" fontId="9" fillId="30" borderId="50" xfId="0" applyFont="1" applyFill="1" applyBorder="1" applyAlignment="1" applyProtection="1">
      <alignment horizontal="left" vertical="center" wrapText="1"/>
      <protection locked="0"/>
    </xf>
    <xf numFmtId="168" fontId="6" fillId="18" borderId="78" xfId="30" applyNumberFormat="1" applyFont="1" applyFill="1" applyBorder="1"/>
    <xf numFmtId="168" fontId="6" fillId="18" borderId="79" xfId="30" applyNumberFormat="1" applyFont="1" applyFill="1" applyBorder="1"/>
    <xf numFmtId="0" fontId="48" fillId="25" borderId="70" xfId="0" applyFont="1" applyFill="1" applyBorder="1" applyAlignment="1" applyProtection="1">
      <alignment horizontal="left" vertical="center" wrapText="1"/>
      <protection locked="0"/>
    </xf>
    <xf numFmtId="0" fontId="14" fillId="31" borderId="53" xfId="0" applyFont="1" applyFill="1" applyBorder="1" applyAlignment="1">
      <alignment vertical="center"/>
    </xf>
    <xf numFmtId="168" fontId="6" fillId="18" borderId="80" xfId="30" applyNumberFormat="1" applyFont="1" applyFill="1" applyBorder="1"/>
    <xf numFmtId="174" fontId="6" fillId="18" borderId="46" xfId="30" applyNumberFormat="1" applyFont="1" applyFill="1" applyBorder="1"/>
    <xf numFmtId="174" fontId="6" fillId="18" borderId="63" xfId="30" applyNumberFormat="1" applyFont="1" applyFill="1" applyBorder="1"/>
    <xf numFmtId="0" fontId="9" fillId="29" borderId="68" xfId="0" applyFont="1" applyFill="1" applyBorder="1" applyAlignment="1" applyProtection="1">
      <alignment horizontal="left" vertical="center" wrapText="1"/>
      <protection locked="0"/>
    </xf>
    <xf numFmtId="0" fontId="0" fillId="0" borderId="91" xfId="0" applyBorder="1"/>
    <xf numFmtId="0" fontId="0" fillId="33" borderId="72" xfId="0" applyFill="1" applyBorder="1"/>
    <xf numFmtId="0" fontId="6" fillId="33" borderId="50" xfId="0" applyFont="1" applyFill="1" applyBorder="1" applyAlignment="1">
      <alignment horizontal="left" vertical="center" wrapText="1" indent="1"/>
    </xf>
    <xf numFmtId="0" fontId="9" fillId="33" borderId="70" xfId="0" applyFont="1" applyFill="1" applyBorder="1" applyAlignment="1" applyProtection="1">
      <alignment horizontal="left" vertical="center" wrapText="1"/>
      <protection locked="0"/>
    </xf>
    <xf numFmtId="1" fontId="6" fillId="18" borderId="60" xfId="30" applyNumberFormat="1" applyFont="1" applyFill="1" applyBorder="1"/>
    <xf numFmtId="1" fontId="6" fillId="18" borderId="60" xfId="44" applyNumberFormat="1" applyFont="1" applyFill="1" applyBorder="1"/>
    <xf numFmtId="164" fontId="6" fillId="18" borderId="60" xfId="44" applyNumberFormat="1" applyFont="1" applyFill="1" applyBorder="1"/>
    <xf numFmtId="0" fontId="6" fillId="18" borderId="60" xfId="0" applyFont="1" applyFill="1" applyBorder="1"/>
    <xf numFmtId="0" fontId="11" fillId="33" borderId="0" xfId="0" applyFont="1" applyFill="1"/>
    <xf numFmtId="41" fontId="11" fillId="38" borderId="60" xfId="0" applyNumberFormat="1" applyFont="1" applyFill="1" applyBorder="1"/>
    <xf numFmtId="0" fontId="16" fillId="38" borderId="125" xfId="0" applyFont="1" applyFill="1" applyBorder="1" applyAlignment="1">
      <alignment horizontal="center" vertical="center" wrapText="1"/>
    </xf>
    <xf numFmtId="0" fontId="11" fillId="33" borderId="0" xfId="0" applyFont="1" applyFill="1" applyAlignment="1">
      <alignment horizontal="center" vertical="center"/>
    </xf>
    <xf numFmtId="0" fontId="66" fillId="36" borderId="65" xfId="0" applyFont="1" applyFill="1" applyBorder="1" applyAlignment="1">
      <alignment horizontal="center" vertical="center" wrapText="1"/>
    </xf>
    <xf numFmtId="0" fontId="6" fillId="33" borderId="0" xfId="0" applyFont="1" applyFill="1" applyBorder="1" applyAlignment="1">
      <alignment horizontal="center" vertical="center"/>
    </xf>
    <xf numFmtId="0" fontId="48" fillId="33" borderId="0" xfId="0" applyFont="1" applyFill="1" applyBorder="1" applyAlignment="1">
      <alignment horizontal="center" vertical="center" wrapText="1"/>
    </xf>
    <xf numFmtId="0" fontId="48" fillId="33" borderId="0" xfId="0" applyFont="1" applyFill="1" applyBorder="1" applyAlignment="1" applyProtection="1">
      <alignment horizontal="center" vertical="center" wrapText="1"/>
      <protection locked="0"/>
    </xf>
    <xf numFmtId="164" fontId="6" fillId="33" borderId="0" xfId="44" applyNumberFormat="1" applyFont="1" applyFill="1" applyBorder="1"/>
    <xf numFmtId="0" fontId="11" fillId="33" borderId="0" xfId="0" applyFont="1" applyFill="1" applyBorder="1"/>
    <xf numFmtId="164" fontId="6" fillId="38" borderId="60" xfId="44" applyNumberFormat="1" applyFont="1" applyFill="1" applyBorder="1"/>
    <xf numFmtId="0" fontId="6" fillId="33" borderId="92" xfId="0" applyFont="1" applyFill="1" applyBorder="1" applyAlignment="1">
      <alignment horizontal="left" vertical="center" wrapText="1" indent="1"/>
    </xf>
    <xf numFmtId="0" fontId="6" fillId="33" borderId="93" xfId="0" applyFont="1" applyFill="1" applyBorder="1" applyAlignment="1">
      <alignment horizontal="left" vertical="center" wrapText="1" indent="1"/>
    </xf>
    <xf numFmtId="0" fontId="6" fillId="33" borderId="94" xfId="0" applyFont="1" applyFill="1" applyBorder="1" applyAlignment="1">
      <alignment horizontal="left" vertical="center" wrapText="1" indent="1"/>
    </xf>
    <xf numFmtId="0" fontId="0" fillId="33" borderId="0" xfId="0" applyFill="1"/>
    <xf numFmtId="0" fontId="0" fillId="33" borderId="0" xfId="0" applyFill="1" applyAlignment="1">
      <alignment wrapText="1"/>
    </xf>
    <xf numFmtId="0" fontId="9" fillId="29" borderId="51" xfId="0" applyFont="1" applyFill="1" applyBorder="1"/>
    <xf numFmtId="0" fontId="9" fillId="29" borderId="52" xfId="0" applyFont="1" applyFill="1" applyBorder="1"/>
    <xf numFmtId="0" fontId="9" fillId="29" borderId="53" xfId="0" applyFont="1" applyFill="1" applyBorder="1"/>
    <xf numFmtId="0" fontId="0" fillId="33" borderId="0" xfId="0" applyFill="1"/>
    <xf numFmtId="0" fontId="47" fillId="33" borderId="0" xfId="0" applyFont="1" applyFill="1" applyBorder="1"/>
    <xf numFmtId="0" fontId="6" fillId="33" borderId="0" xfId="0" applyFont="1" applyFill="1" applyBorder="1" applyAlignment="1">
      <alignment vertical="top" wrapText="1"/>
    </xf>
    <xf numFmtId="0" fontId="9" fillId="33" borderId="0" xfId="0" applyFont="1" applyFill="1" applyBorder="1" applyAlignment="1">
      <alignment vertical="top"/>
    </xf>
    <xf numFmtId="0" fontId="0" fillId="33" borderId="0" xfId="0" applyFill="1"/>
    <xf numFmtId="0" fontId="6" fillId="33" borderId="49" xfId="0" applyFont="1" applyFill="1" applyBorder="1" applyAlignment="1">
      <alignment horizontal="left" vertical="center" wrapText="1" indent="1"/>
    </xf>
    <xf numFmtId="0" fontId="6" fillId="33" borderId="68" xfId="0" applyFont="1" applyFill="1" applyBorder="1" applyAlignment="1">
      <alignment horizontal="left" vertical="center" wrapText="1" indent="1"/>
    </xf>
    <xf numFmtId="0" fontId="6" fillId="18" borderId="46" xfId="0" applyFont="1" applyFill="1" applyBorder="1"/>
    <xf numFmtId="3" fontId="11" fillId="18" borderId="60" xfId="0" applyNumberFormat="1" applyFont="1" applyFill="1" applyBorder="1"/>
    <xf numFmtId="41" fontId="16" fillId="29" borderId="64" xfId="0" applyNumberFormat="1" applyFont="1" applyFill="1" applyBorder="1"/>
    <xf numFmtId="0" fontId="43" fillId="18" borderId="0" xfId="0" applyFont="1" applyFill="1" applyBorder="1" applyAlignment="1">
      <alignment horizontal="center" vertical="center"/>
    </xf>
    <xf numFmtId="0" fontId="71" fillId="18" borderId="0" xfId="0" applyFont="1" applyFill="1" applyBorder="1" applyAlignment="1">
      <alignment horizontal="center" vertical="center"/>
    </xf>
    <xf numFmtId="0" fontId="71" fillId="18" borderId="31" xfId="0" applyFont="1" applyFill="1" applyBorder="1" applyAlignment="1">
      <alignment horizontal="center" vertical="center"/>
    </xf>
    <xf numFmtId="0" fontId="71" fillId="0" borderId="0" xfId="0" applyFont="1" applyFill="1" applyBorder="1" applyAlignment="1">
      <alignment horizontal="center" vertical="center"/>
    </xf>
    <xf numFmtId="0" fontId="72" fillId="18" borderId="0" xfId="0" applyFont="1" applyFill="1" applyBorder="1" applyAlignment="1">
      <alignment horizontal="center" vertical="center"/>
    </xf>
    <xf numFmtId="0" fontId="56" fillId="18" borderId="30" xfId="0" applyFont="1" applyFill="1" applyBorder="1" applyAlignment="1">
      <alignment horizontal="center" vertical="center"/>
    </xf>
    <xf numFmtId="0" fontId="56" fillId="18" borderId="0" xfId="0" applyFont="1" applyFill="1" applyBorder="1" applyAlignment="1">
      <alignment horizontal="center" vertical="center"/>
    </xf>
    <xf numFmtId="0" fontId="73" fillId="18" borderId="0" xfId="0" applyFont="1" applyFill="1" applyBorder="1" applyAlignment="1">
      <alignment horizontal="center" vertical="center"/>
    </xf>
    <xf numFmtId="0" fontId="74" fillId="18" borderId="0" xfId="0" applyFont="1" applyFill="1" applyBorder="1" applyAlignment="1">
      <alignment horizontal="center" vertical="center"/>
    </xf>
    <xf numFmtId="0" fontId="56" fillId="0" borderId="0" xfId="0" applyFont="1" applyFill="1" applyBorder="1" applyAlignment="1">
      <alignment horizontal="center" vertical="center"/>
    </xf>
    <xf numFmtId="0" fontId="75" fillId="18" borderId="0" xfId="0" applyFont="1" applyFill="1" applyBorder="1" applyAlignment="1">
      <alignment horizontal="center" vertical="center"/>
    </xf>
    <xf numFmtId="0" fontId="60" fillId="31" borderId="44" xfId="0" applyFont="1" applyFill="1" applyBorder="1"/>
    <xf numFmtId="0" fontId="60" fillId="31" borderId="82" xfId="0" applyFont="1" applyFill="1" applyBorder="1"/>
    <xf numFmtId="0" fontId="36" fillId="0" borderId="0" xfId="0" applyFont="1" applyFill="1" applyBorder="1" applyAlignment="1">
      <alignment horizontal="center" vertical="center"/>
    </xf>
    <xf numFmtId="0" fontId="36" fillId="33" borderId="0" xfId="0" applyFont="1" applyFill="1" applyBorder="1" applyAlignment="1">
      <alignment horizontal="center" vertical="center"/>
    </xf>
    <xf numFmtId="0" fontId="9" fillId="33" borderId="36" xfId="0" applyFont="1" applyFill="1" applyBorder="1" applyAlignment="1">
      <alignment horizontal="left" vertical="center" wrapText="1"/>
    </xf>
    <xf numFmtId="44" fontId="56" fillId="38" borderId="23" xfId="31" applyFont="1" applyFill="1" applyBorder="1" applyAlignment="1">
      <alignment horizontal="center" vertical="center" wrapText="1"/>
    </xf>
    <xf numFmtId="44" fontId="56" fillId="38" borderId="24" xfId="31" applyFont="1" applyFill="1" applyBorder="1" applyAlignment="1">
      <alignment horizontal="center" vertical="center" wrapText="1"/>
    </xf>
    <xf numFmtId="0" fontId="48" fillId="33" borderId="0" xfId="0" applyFont="1" applyFill="1" applyBorder="1" applyAlignment="1">
      <alignment vertical="center"/>
    </xf>
    <xf numFmtId="0" fontId="76" fillId="0" borderId="0" xfId="0" applyFont="1" applyFill="1" applyBorder="1" applyAlignment="1">
      <alignment vertical="center"/>
    </xf>
    <xf numFmtId="0" fontId="6" fillId="33" borderId="70" xfId="0" applyFont="1" applyFill="1" applyBorder="1" applyAlignment="1">
      <alignment horizontal="left" vertical="center" wrapText="1" indent="1"/>
    </xf>
    <xf numFmtId="3" fontId="11" fillId="18" borderId="55" xfId="0" applyNumberFormat="1" applyFont="1" applyFill="1" applyBorder="1"/>
    <xf numFmtId="3" fontId="11" fillId="18" borderId="56" xfId="0" applyNumberFormat="1" applyFont="1" applyFill="1" applyBorder="1"/>
    <xf numFmtId="1" fontId="9" fillId="38" borderId="74" xfId="0" applyNumberFormat="1" applyFont="1" applyFill="1" applyBorder="1"/>
    <xf numFmtId="0" fontId="78" fillId="27" borderId="36" xfId="0" applyFont="1" applyFill="1" applyBorder="1" applyAlignment="1">
      <alignment vertical="center"/>
    </xf>
    <xf numFmtId="0" fontId="79" fillId="27" borderId="22" xfId="0" applyFont="1" applyFill="1" applyBorder="1" applyAlignment="1">
      <alignment vertical="center"/>
    </xf>
    <xf numFmtId="0" fontId="66" fillId="29" borderId="36" xfId="0" applyFont="1" applyFill="1" applyBorder="1" applyAlignment="1">
      <alignment vertical="center"/>
    </xf>
    <xf numFmtId="0" fontId="66" fillId="29" borderId="35" xfId="0" applyFont="1" applyFill="1" applyBorder="1" applyAlignment="1">
      <alignment vertical="center"/>
    </xf>
    <xf numFmtId="0" fontId="66" fillId="29" borderId="34" xfId="0" applyFont="1" applyFill="1" applyBorder="1" applyAlignment="1">
      <alignment vertical="center"/>
    </xf>
    <xf numFmtId="0" fontId="16" fillId="33" borderId="0" xfId="0" applyFont="1" applyFill="1" applyBorder="1"/>
    <xf numFmtId="0" fontId="0" fillId="33" borderId="0" xfId="0" applyFill="1" applyBorder="1"/>
    <xf numFmtId="0" fontId="14" fillId="41" borderId="64" xfId="0" applyFont="1" applyFill="1" applyBorder="1" applyAlignment="1">
      <alignment horizontal="center" vertical="center" wrapText="1"/>
    </xf>
    <xf numFmtId="0" fontId="6" fillId="38" borderId="55" xfId="0" applyFont="1" applyFill="1" applyBorder="1" applyAlignment="1" applyProtection="1">
      <alignment horizontal="right"/>
      <protection locked="0"/>
    </xf>
    <xf numFmtId="0" fontId="6" fillId="38" borderId="56" xfId="0" applyFont="1" applyFill="1" applyBorder="1" applyAlignment="1" applyProtection="1">
      <alignment horizontal="right"/>
      <protection locked="0"/>
    </xf>
    <xf numFmtId="0" fontId="6" fillId="38" borderId="133" xfId="0" applyFont="1" applyFill="1" applyBorder="1" applyAlignment="1" applyProtection="1">
      <alignment horizontal="right"/>
      <protection locked="0"/>
    </xf>
    <xf numFmtId="0" fontId="6" fillId="38" borderId="59" xfId="0" applyFont="1" applyFill="1" applyBorder="1" applyAlignment="1" applyProtection="1">
      <alignment horizontal="right"/>
      <protection locked="0"/>
    </xf>
    <xf numFmtId="0" fontId="6" fillId="38" borderId="58" xfId="0" applyFont="1" applyFill="1" applyBorder="1" applyAlignment="1" applyProtection="1">
      <alignment horizontal="right"/>
      <protection locked="0"/>
    </xf>
    <xf numFmtId="0" fontId="14" fillId="36" borderId="65" xfId="0" applyFont="1" applyFill="1" applyBorder="1" applyAlignment="1">
      <alignment horizontal="center" vertical="center" wrapText="1"/>
    </xf>
    <xf numFmtId="0" fontId="14" fillId="41" borderId="65" xfId="0" applyFont="1" applyFill="1" applyBorder="1" applyAlignment="1">
      <alignment horizontal="center" vertical="center" wrapText="1"/>
    </xf>
    <xf numFmtId="0" fontId="50" fillId="35" borderId="64" xfId="0" applyFont="1" applyFill="1" applyBorder="1" applyAlignment="1">
      <alignment horizontal="center" vertical="center"/>
    </xf>
    <xf numFmtId="164" fontId="6" fillId="18" borderId="44" xfId="44" applyNumberFormat="1" applyFont="1" applyFill="1" applyBorder="1"/>
    <xf numFmtId="164" fontId="6" fillId="18" borderId="82" xfId="44" applyNumberFormat="1" applyFont="1" applyFill="1" applyBorder="1"/>
    <xf numFmtId="164" fontId="6" fillId="18" borderId="90" xfId="44" applyNumberFormat="1" applyFont="1" applyFill="1" applyBorder="1"/>
    <xf numFmtId="164" fontId="6" fillId="18" borderId="46" xfId="44" applyNumberFormat="1" applyFont="1" applyFill="1" applyBorder="1"/>
    <xf numFmtId="164" fontId="6" fillId="18" borderId="63" xfId="44" applyNumberFormat="1" applyFont="1" applyFill="1" applyBorder="1"/>
    <xf numFmtId="0" fontId="6" fillId="38" borderId="86" xfId="0" applyFont="1" applyFill="1" applyBorder="1" applyAlignment="1">
      <alignment horizontal="left" vertical="center" wrapText="1"/>
    </xf>
    <xf numFmtId="0" fontId="6" fillId="18" borderId="62" xfId="0" applyFont="1" applyFill="1" applyBorder="1"/>
    <xf numFmtId="0" fontId="6" fillId="18" borderId="44" xfId="0" applyFont="1" applyFill="1" applyBorder="1"/>
    <xf numFmtId="0" fontId="6" fillId="18" borderId="82" xfId="0" applyFont="1" applyFill="1" applyBorder="1"/>
    <xf numFmtId="0" fontId="6" fillId="18" borderId="90" xfId="0" applyFont="1" applyFill="1" applyBorder="1"/>
    <xf numFmtId="0" fontId="6" fillId="18" borderId="63" xfId="0" applyFont="1" applyFill="1" applyBorder="1"/>
    <xf numFmtId="0" fontId="6" fillId="18" borderId="48" xfId="0" applyFont="1" applyFill="1" applyBorder="1"/>
    <xf numFmtId="0" fontId="6" fillId="18" borderId="64" xfId="0" applyFont="1" applyFill="1" applyBorder="1"/>
    <xf numFmtId="0" fontId="6" fillId="18" borderId="67" xfId="0" applyFont="1" applyFill="1" applyBorder="1"/>
    <xf numFmtId="0" fontId="6" fillId="18" borderId="89" xfId="0" applyFont="1" applyFill="1" applyBorder="1"/>
    <xf numFmtId="0" fontId="6" fillId="18" borderId="66" xfId="0" applyFont="1" applyFill="1" applyBorder="1"/>
    <xf numFmtId="168" fontId="9" fillId="38" borderId="48" xfId="0" applyNumberFormat="1" applyFont="1" applyFill="1" applyBorder="1" applyAlignment="1">
      <alignment horizontal="left" vertical="center" wrapText="1"/>
    </xf>
    <xf numFmtId="168" fontId="9" fillId="38" borderId="64" xfId="0" applyNumberFormat="1" applyFont="1" applyFill="1" applyBorder="1" applyAlignment="1">
      <alignment horizontal="left" vertical="center" wrapText="1"/>
    </xf>
    <xf numFmtId="168" fontId="9" fillId="38" borderId="67" xfId="0" applyNumberFormat="1" applyFont="1" applyFill="1" applyBorder="1" applyAlignment="1">
      <alignment horizontal="left" vertical="center" wrapText="1"/>
    </xf>
    <xf numFmtId="175" fontId="6" fillId="38" borderId="44" xfId="0" applyNumberFormat="1" applyFont="1" applyFill="1" applyBorder="1" applyAlignment="1">
      <alignment horizontal="right" wrapText="1"/>
    </xf>
    <xf numFmtId="175" fontId="6" fillId="38" borderId="82" xfId="0" applyNumberFormat="1" applyFont="1" applyFill="1" applyBorder="1" applyAlignment="1">
      <alignment horizontal="right" wrapText="1"/>
    </xf>
    <xf numFmtId="175" fontId="6" fillId="38" borderId="90" xfId="0" applyNumberFormat="1" applyFont="1" applyFill="1" applyBorder="1" applyAlignment="1">
      <alignment horizontal="right" wrapText="1"/>
    </xf>
    <xf numFmtId="164" fontId="6" fillId="38" borderId="46" xfId="44" applyNumberFormat="1" applyFont="1" applyFill="1" applyBorder="1"/>
    <xf numFmtId="164" fontId="6" fillId="38" borderId="63" xfId="44" applyNumberFormat="1" applyFont="1" applyFill="1" applyBorder="1"/>
    <xf numFmtId="175" fontId="6" fillId="38" borderId="48" xfId="0" applyNumberFormat="1" applyFont="1" applyFill="1" applyBorder="1" applyAlignment="1">
      <alignment horizontal="right" wrapText="1"/>
    </xf>
    <xf numFmtId="175" fontId="6" fillId="38" borderId="64" xfId="0" applyNumberFormat="1" applyFont="1" applyFill="1" applyBorder="1" applyAlignment="1">
      <alignment horizontal="right" wrapText="1"/>
    </xf>
    <xf numFmtId="175" fontId="6" fillId="38" borderId="67" xfId="0" applyNumberFormat="1" applyFont="1" applyFill="1" applyBorder="1" applyAlignment="1">
      <alignment horizontal="right" wrapText="1"/>
    </xf>
    <xf numFmtId="1" fontId="6" fillId="18" borderId="44" xfId="30" applyNumberFormat="1" applyFont="1" applyFill="1" applyBorder="1"/>
    <xf numFmtId="1" fontId="6" fillId="18" borderId="82" xfId="30" applyNumberFormat="1" applyFont="1" applyFill="1" applyBorder="1"/>
    <xf numFmtId="1" fontId="6" fillId="18" borderId="90" xfId="30" applyNumberFormat="1" applyFont="1" applyFill="1" applyBorder="1"/>
    <xf numFmtId="1" fontId="6" fillId="18" borderId="46" xfId="30" applyNumberFormat="1" applyFont="1" applyFill="1" applyBorder="1"/>
    <xf numFmtId="1" fontId="6" fillId="18" borderId="63" xfId="30" applyNumberFormat="1" applyFont="1" applyFill="1" applyBorder="1"/>
    <xf numFmtId="1" fontId="6" fillId="18" borderId="44" xfId="44" applyNumberFormat="1" applyFont="1" applyFill="1" applyBorder="1"/>
    <xf numFmtId="1" fontId="6" fillId="18" borderId="82" xfId="44" applyNumberFormat="1" applyFont="1" applyFill="1" applyBorder="1"/>
    <xf numFmtId="1" fontId="6" fillId="18" borderId="90" xfId="44" applyNumberFormat="1" applyFont="1" applyFill="1" applyBorder="1"/>
    <xf numFmtId="1" fontId="6" fillId="18" borderId="46" xfId="44" applyNumberFormat="1" applyFont="1" applyFill="1" applyBorder="1"/>
    <xf numFmtId="1" fontId="6" fillId="18" borderId="63" xfId="44" applyNumberFormat="1" applyFont="1" applyFill="1" applyBorder="1"/>
    <xf numFmtId="0" fontId="6" fillId="33" borderId="83" xfId="0" applyFont="1" applyFill="1" applyBorder="1" applyAlignment="1">
      <alignment horizontal="left" vertical="center" wrapText="1" indent="1"/>
    </xf>
    <xf numFmtId="0" fontId="80" fillId="33" borderId="0" xfId="0" applyFont="1" applyFill="1" applyBorder="1"/>
    <xf numFmtId="0" fontId="66" fillId="29" borderId="21" xfId="0" applyFont="1" applyFill="1" applyBorder="1" applyAlignment="1">
      <alignment vertical="center"/>
    </xf>
    <xf numFmtId="0" fontId="66" fillId="29" borderId="22" xfId="0" applyFont="1" applyFill="1" applyBorder="1" applyAlignment="1">
      <alignment vertical="center"/>
    </xf>
    <xf numFmtId="0" fontId="66" fillId="29" borderId="23" xfId="0" applyFont="1" applyFill="1" applyBorder="1" applyAlignment="1">
      <alignment vertical="center"/>
    </xf>
    <xf numFmtId="0" fontId="9" fillId="41" borderId="44" xfId="0" applyFont="1" applyFill="1" applyBorder="1" applyAlignment="1">
      <alignment horizontal="center" vertical="center" wrapText="1"/>
    </xf>
    <xf numFmtId="0" fontId="9" fillId="41" borderId="82" xfId="0" applyFont="1" applyFill="1" applyBorder="1" applyAlignment="1">
      <alignment horizontal="center" vertical="center" wrapText="1"/>
    </xf>
    <xf numFmtId="164" fontId="6" fillId="18" borderId="60" xfId="44" applyNumberFormat="1" applyFont="1" applyFill="1" applyBorder="1" applyAlignment="1">
      <alignment vertical="center" wrapText="1"/>
    </xf>
    <xf numFmtId="0" fontId="9" fillId="41" borderId="90" xfId="0" applyFont="1" applyFill="1" applyBorder="1" applyAlignment="1">
      <alignment horizontal="center" vertical="center" wrapText="1"/>
    </xf>
    <xf numFmtId="6" fontId="6" fillId="18" borderId="63" xfId="44" applyNumberFormat="1" applyFont="1" applyFill="1" applyBorder="1" applyAlignment="1">
      <alignment vertical="center" wrapText="1"/>
    </xf>
    <xf numFmtId="176" fontId="6" fillId="18" borderId="63" xfId="44" applyNumberFormat="1" applyFont="1" applyFill="1" applyBorder="1" applyAlignment="1">
      <alignment vertical="center" wrapText="1"/>
    </xf>
    <xf numFmtId="164" fontId="6" fillId="18" borderId="46" xfId="44" applyNumberFormat="1" applyFont="1" applyFill="1" applyBorder="1" applyAlignment="1">
      <alignment horizontal="left" vertical="center" wrapText="1" indent="1"/>
    </xf>
    <xf numFmtId="0" fontId="9" fillId="33" borderId="51" xfId="0" applyFont="1" applyFill="1" applyBorder="1" applyAlignment="1" applyProtection="1">
      <alignment horizontal="left" vertical="center" wrapText="1"/>
      <protection locked="0"/>
    </xf>
    <xf numFmtId="0" fontId="6" fillId="18" borderId="52" xfId="0" applyFont="1" applyFill="1" applyBorder="1" applyAlignment="1" applyProtection="1">
      <alignment vertical="center" wrapText="1"/>
      <protection locked="0"/>
    </xf>
    <xf numFmtId="176" fontId="6" fillId="18" borderId="53" xfId="44" applyNumberFormat="1" applyFont="1" applyFill="1" applyBorder="1" applyAlignment="1">
      <alignment vertical="center" wrapText="1"/>
    </xf>
    <xf numFmtId="0" fontId="9" fillId="31" borderId="60" xfId="0" applyFont="1" applyFill="1" applyBorder="1" applyAlignment="1" applyProtection="1">
      <alignment horizontal="right" vertical="center"/>
      <protection locked="0"/>
    </xf>
    <xf numFmtId="0" fontId="78" fillId="27" borderId="0" xfId="0" applyFont="1" applyFill="1" applyBorder="1" applyAlignment="1">
      <alignment vertical="center"/>
    </xf>
    <xf numFmtId="0" fontId="79" fillId="27" borderId="0" xfId="0" applyFont="1" applyFill="1" applyBorder="1" applyAlignment="1">
      <alignment vertical="center"/>
    </xf>
    <xf numFmtId="0" fontId="6" fillId="33" borderId="44" xfId="0" applyFont="1" applyFill="1" applyBorder="1" applyAlignment="1">
      <alignment horizontal="left" vertical="center" wrapText="1"/>
    </xf>
    <xf numFmtId="0" fontId="6" fillId="33" borderId="46" xfId="0" applyFont="1" applyFill="1" applyBorder="1" applyAlignment="1">
      <alignment horizontal="left" vertical="center" wrapText="1"/>
    </xf>
    <xf numFmtId="0" fontId="6" fillId="33" borderId="48" xfId="0" applyFont="1" applyFill="1" applyBorder="1" applyAlignment="1">
      <alignment horizontal="left" vertical="center" wrapText="1"/>
    </xf>
    <xf numFmtId="0" fontId="0" fillId="33" borderId="0" xfId="0" applyFill="1" applyBorder="1" applyAlignment="1">
      <alignment vertical="top"/>
    </xf>
    <xf numFmtId="0" fontId="0" fillId="0" borderId="0" xfId="0" applyBorder="1" applyAlignment="1">
      <alignment vertical="top"/>
    </xf>
    <xf numFmtId="0" fontId="10" fillId="18" borderId="61" xfId="0" applyFont="1" applyFill="1" applyBorder="1" applyAlignment="1" applyProtection="1">
      <alignment horizontal="right" vertical="center"/>
      <protection locked="0"/>
    </xf>
    <xf numFmtId="0" fontId="76" fillId="33" borderId="0" xfId="0" applyFont="1" applyFill="1" applyBorder="1" applyAlignment="1">
      <alignment vertical="center"/>
    </xf>
    <xf numFmtId="0" fontId="76" fillId="33" borderId="0" xfId="0" applyFont="1" applyFill="1" applyBorder="1" applyAlignment="1">
      <alignment vertical="center" wrapText="1"/>
    </xf>
    <xf numFmtId="0" fontId="6" fillId="18" borderId="60" xfId="0" applyFont="1" applyFill="1" applyBorder="1" applyAlignment="1" applyProtection="1">
      <alignment horizontal="right" vertical="center" wrapText="1"/>
      <protection locked="0"/>
    </xf>
    <xf numFmtId="0" fontId="78" fillId="27" borderId="21" xfId="0" applyFont="1" applyFill="1" applyBorder="1" applyAlignment="1">
      <alignment vertical="center"/>
    </xf>
    <xf numFmtId="0" fontId="0" fillId="33" borderId="0" xfId="0" applyFill="1" applyBorder="1" applyAlignment="1">
      <alignment wrapText="1"/>
    </xf>
    <xf numFmtId="41" fontId="9" fillId="29" borderId="60" xfId="0" applyNumberFormat="1" applyFont="1" applyFill="1" applyBorder="1" applyAlignment="1">
      <alignment horizontal="right" vertical="center" wrapText="1"/>
    </xf>
    <xf numFmtId="0" fontId="6" fillId="33" borderId="50" xfId="0" applyFont="1" applyFill="1" applyBorder="1" applyAlignment="1">
      <alignment horizontal="left" vertical="center" wrapText="1"/>
    </xf>
    <xf numFmtId="0" fontId="6" fillId="18" borderId="46" xfId="0" applyFont="1" applyFill="1" applyBorder="1" applyAlignment="1" applyProtection="1">
      <alignment horizontal="right" vertical="center" wrapText="1"/>
      <protection locked="0"/>
    </xf>
    <xf numFmtId="0" fontId="6" fillId="18" borderId="63" xfId="0" applyFont="1" applyFill="1" applyBorder="1" applyAlignment="1" applyProtection="1">
      <alignment horizontal="right" vertical="center" wrapText="1"/>
      <protection locked="0"/>
    </xf>
    <xf numFmtId="41" fontId="9" fillId="29" borderId="46" xfId="0" applyNumberFormat="1" applyFont="1" applyFill="1" applyBorder="1" applyAlignment="1">
      <alignment horizontal="right" vertical="center" wrapText="1"/>
    </xf>
    <xf numFmtId="41" fontId="9" fillId="29" borderId="63" xfId="0" applyNumberFormat="1" applyFont="1" applyFill="1" applyBorder="1" applyAlignment="1">
      <alignment horizontal="right" vertical="center" wrapText="1"/>
    </xf>
    <xf numFmtId="43" fontId="16" fillId="33" borderId="0" xfId="0" applyNumberFormat="1" applyFont="1" applyFill="1"/>
    <xf numFmtId="43" fontId="16" fillId="33" borderId="0" xfId="0" applyNumberFormat="1" applyFont="1" applyFill="1" applyBorder="1" applyAlignment="1">
      <alignment horizontal="center"/>
    </xf>
    <xf numFmtId="0" fontId="9" fillId="38" borderId="50" xfId="0" applyFont="1" applyFill="1" applyBorder="1" applyAlignment="1">
      <alignment horizontal="left" vertical="center" wrapText="1"/>
    </xf>
    <xf numFmtId="0" fontId="6" fillId="18" borderId="86" xfId="0" applyFont="1" applyFill="1" applyBorder="1"/>
    <xf numFmtId="0" fontId="9" fillId="41" borderId="64" xfId="0" applyFont="1" applyFill="1" applyBorder="1" applyAlignment="1">
      <alignment horizontal="center" vertical="center" wrapText="1"/>
    </xf>
    <xf numFmtId="0" fontId="9" fillId="36" borderId="64" xfId="0" applyFont="1" applyFill="1" applyBorder="1" applyAlignment="1">
      <alignment horizontal="center" vertical="center" wrapText="1"/>
    </xf>
    <xf numFmtId="0" fontId="8" fillId="0" borderId="0" xfId="0" applyFont="1" applyFill="1" applyBorder="1" applyAlignment="1">
      <alignment vertical="center"/>
    </xf>
    <xf numFmtId="0" fontId="78" fillId="27" borderId="22" xfId="0" applyFont="1" applyFill="1" applyBorder="1" applyAlignment="1">
      <alignment vertical="center"/>
    </xf>
    <xf numFmtId="0" fontId="78" fillId="27" borderId="23" xfId="0" applyFont="1" applyFill="1" applyBorder="1" applyAlignment="1">
      <alignment vertical="center"/>
    </xf>
    <xf numFmtId="0" fontId="8" fillId="33" borderId="0" xfId="0" applyFont="1" applyFill="1" applyBorder="1"/>
    <xf numFmtId="0" fontId="8" fillId="33" borderId="0" xfId="0" applyFont="1" applyFill="1" applyBorder="1" applyAlignment="1">
      <alignment vertical="center"/>
    </xf>
    <xf numFmtId="43" fontId="6" fillId="33" borderId="0" xfId="0" applyNumberFormat="1" applyFont="1" applyFill="1"/>
    <xf numFmtId="168" fontId="6" fillId="31" borderId="82" xfId="30" applyNumberFormat="1" applyFont="1" applyFill="1" applyBorder="1" applyAlignment="1" applyProtection="1">
      <alignment horizontal="right" vertical="center" wrapText="1"/>
      <protection locked="0"/>
    </xf>
    <xf numFmtId="168" fontId="6" fillId="31" borderId="71" xfId="30" applyNumberFormat="1" applyFont="1" applyFill="1" applyBorder="1" applyAlignment="1" applyProtection="1">
      <alignment horizontal="right" vertical="center" wrapText="1"/>
      <protection locked="0"/>
    </xf>
    <xf numFmtId="168" fontId="6" fillId="31" borderId="60" xfId="30" applyNumberFormat="1" applyFont="1" applyFill="1" applyBorder="1" applyAlignment="1" applyProtection="1">
      <alignment horizontal="right" vertical="center" wrapText="1"/>
      <protection locked="0"/>
    </xf>
    <xf numFmtId="168" fontId="6" fillId="31" borderId="61" xfId="30" applyNumberFormat="1" applyFont="1" applyFill="1" applyBorder="1" applyAlignment="1" applyProtection="1">
      <alignment horizontal="right" vertical="center" wrapText="1"/>
      <protection locked="0"/>
    </xf>
    <xf numFmtId="168" fontId="6" fillId="31" borderId="64" xfId="30" applyNumberFormat="1" applyFont="1" applyFill="1" applyBorder="1" applyAlignment="1" applyProtection="1">
      <alignment horizontal="right" vertical="center" wrapText="1"/>
      <protection locked="0"/>
    </xf>
    <xf numFmtId="0" fontId="66" fillId="41" borderId="65" xfId="0" applyFont="1" applyFill="1" applyBorder="1" applyAlignment="1">
      <alignment horizontal="center" vertical="center" wrapText="1"/>
    </xf>
    <xf numFmtId="168" fontId="6" fillId="30" borderId="60" xfId="30" applyNumberFormat="1" applyFont="1" applyFill="1" applyBorder="1"/>
    <xf numFmtId="0" fontId="9" fillId="33" borderId="0" xfId="0" applyFont="1" applyFill="1" applyBorder="1"/>
    <xf numFmtId="0" fontId="9" fillId="33" borderId="0" xfId="0" applyFont="1" applyFill="1"/>
    <xf numFmtId="0" fontId="9" fillId="0" borderId="0" xfId="0" applyFont="1"/>
    <xf numFmtId="0" fontId="9" fillId="30" borderId="50" xfId="0" applyFont="1" applyFill="1" applyBorder="1" applyAlignment="1">
      <alignment horizontal="left" vertical="center" wrapText="1"/>
    </xf>
    <xf numFmtId="168" fontId="6" fillId="30" borderId="46" xfId="30" applyNumberFormat="1" applyFont="1" applyFill="1" applyBorder="1"/>
    <xf numFmtId="168" fontId="6" fillId="30" borderId="63" xfId="30" applyNumberFormat="1" applyFont="1" applyFill="1" applyBorder="1"/>
    <xf numFmtId="0" fontId="6" fillId="38" borderId="50" xfId="0" applyFont="1" applyFill="1" applyBorder="1" applyAlignment="1">
      <alignment horizontal="left" vertical="center" wrapText="1" indent="2"/>
    </xf>
    <xf numFmtId="0" fontId="6" fillId="0" borderId="0" xfId="0" applyFont="1" applyAlignment="1">
      <alignment vertical="top"/>
    </xf>
    <xf numFmtId="0" fontId="6" fillId="25" borderId="46" xfId="0" applyFont="1" applyFill="1" applyBorder="1" applyAlignment="1">
      <alignment horizontal="left" vertical="center" wrapText="1" indent="2"/>
    </xf>
    <xf numFmtId="0" fontId="9" fillId="39" borderId="64" xfId="0" applyFont="1" applyFill="1" applyBorder="1" applyAlignment="1">
      <alignment horizontal="center" vertical="center" wrapText="1"/>
    </xf>
    <xf numFmtId="0" fontId="9" fillId="40" borderId="64" xfId="0" applyFont="1" applyFill="1" applyBorder="1" applyAlignment="1">
      <alignment horizontal="center" vertical="center" wrapText="1"/>
    </xf>
    <xf numFmtId="0" fontId="9" fillId="39" borderId="48" xfId="0" applyFont="1" applyFill="1" applyBorder="1" applyAlignment="1">
      <alignment horizontal="center" vertical="center" wrapText="1"/>
    </xf>
    <xf numFmtId="0" fontId="9" fillId="39" borderId="65" xfId="0" applyFont="1" applyFill="1" applyBorder="1" applyAlignment="1">
      <alignment horizontal="center" vertical="center" wrapText="1"/>
    </xf>
    <xf numFmtId="0" fontId="6" fillId="33" borderId="68" xfId="0" applyFont="1" applyFill="1" applyBorder="1" applyAlignment="1">
      <alignment horizontal="left" vertical="center" wrapText="1" indent="2"/>
    </xf>
    <xf numFmtId="0" fontId="6" fillId="38" borderId="50" xfId="0" applyFont="1" applyFill="1" applyBorder="1" applyAlignment="1">
      <alignment horizontal="left" vertical="center" wrapText="1" indent="1"/>
    </xf>
    <xf numFmtId="0" fontId="9" fillId="33" borderId="140" xfId="0" applyFont="1" applyFill="1" applyBorder="1" applyAlignment="1">
      <alignment horizontal="center" vertical="center" wrapText="1"/>
    </xf>
    <xf numFmtId="49" fontId="6" fillId="25" borderId="146" xfId="0" applyNumberFormat="1" applyFont="1" applyFill="1" applyBorder="1" applyAlignment="1">
      <alignment horizontal="center"/>
    </xf>
    <xf numFmtId="49" fontId="6" fillId="25" borderId="146" xfId="0" applyNumberFormat="1" applyFont="1" applyFill="1" applyBorder="1" applyAlignment="1">
      <alignment horizontal="left" wrapText="1"/>
    </xf>
    <xf numFmtId="0" fontId="0" fillId="33" borderId="0" xfId="0" applyFill="1" applyAlignment="1"/>
    <xf numFmtId="0" fontId="9" fillId="38" borderId="82" xfId="0" applyFont="1" applyFill="1" applyBorder="1" applyAlignment="1">
      <alignment horizontal="left" vertical="center" wrapText="1"/>
    </xf>
    <xf numFmtId="0" fontId="6" fillId="28" borderId="44" xfId="0" applyFont="1" applyFill="1" applyBorder="1" applyAlignment="1" applyProtection="1">
      <alignment horizontal="right" vertical="center" wrapText="1"/>
      <protection locked="0"/>
    </xf>
    <xf numFmtId="0" fontId="6" fillId="28" borderId="82" xfId="0" applyFont="1" applyFill="1" applyBorder="1" applyAlignment="1" applyProtection="1">
      <alignment horizontal="right" vertical="center" wrapText="1"/>
      <protection locked="0"/>
    </xf>
    <xf numFmtId="0" fontId="6" fillId="28" borderId="46" xfId="0" applyFont="1" applyFill="1" applyBorder="1" applyAlignment="1" applyProtection="1">
      <alignment horizontal="right" vertical="center" wrapText="1"/>
      <protection locked="0"/>
    </xf>
    <xf numFmtId="0" fontId="6" fillId="28" borderId="60" xfId="0" applyFont="1" applyFill="1" applyBorder="1" applyAlignment="1" applyProtection="1">
      <alignment horizontal="right" vertical="center" wrapText="1"/>
      <protection locked="0"/>
    </xf>
    <xf numFmtId="0" fontId="6" fillId="28" borderId="49" xfId="0" applyFont="1" applyFill="1" applyBorder="1" applyAlignment="1" applyProtection="1">
      <alignment horizontal="right" vertical="center" wrapText="1"/>
      <protection locked="0"/>
    </xf>
    <xf numFmtId="0" fontId="6" fillId="28" borderId="50" xfId="0" applyFont="1" applyFill="1" applyBorder="1" applyAlignment="1" applyProtection="1">
      <alignment horizontal="right" vertical="center" wrapText="1"/>
      <protection locked="0"/>
    </xf>
    <xf numFmtId="0" fontId="6" fillId="28" borderId="90" xfId="0" applyFont="1" applyFill="1" applyBorder="1" applyAlignment="1" applyProtection="1">
      <alignment horizontal="right" vertical="center" wrapText="1"/>
      <protection locked="0"/>
    </xf>
    <xf numFmtId="0" fontId="6" fillId="28" borderId="63" xfId="0" applyFont="1" applyFill="1" applyBorder="1" applyAlignment="1" applyProtection="1">
      <alignment horizontal="right" vertical="center" wrapText="1"/>
      <protection locked="0"/>
    </xf>
    <xf numFmtId="0" fontId="6" fillId="28" borderId="83" xfId="0" applyFont="1" applyFill="1" applyBorder="1" applyAlignment="1" applyProtection="1">
      <alignment horizontal="right" vertical="center" wrapText="1"/>
      <protection locked="0"/>
    </xf>
    <xf numFmtId="0" fontId="6" fillId="28" borderId="78" xfId="0" applyFont="1" applyFill="1" applyBorder="1" applyAlignment="1" applyProtection="1">
      <alignment horizontal="right" vertical="center" wrapText="1"/>
      <protection locked="0"/>
    </xf>
    <xf numFmtId="0" fontId="6" fillId="28" borderId="79" xfId="0" applyFont="1" applyFill="1" applyBorder="1" applyAlignment="1" applyProtection="1">
      <alignment horizontal="right" vertical="center" wrapText="1"/>
      <protection locked="0"/>
    </xf>
    <xf numFmtId="0" fontId="6" fillId="28" borderId="80" xfId="0" applyFont="1" applyFill="1" applyBorder="1" applyAlignment="1" applyProtection="1">
      <alignment horizontal="right" vertical="center" wrapText="1"/>
      <protection locked="0"/>
    </xf>
    <xf numFmtId="0" fontId="6" fillId="28" borderId="68" xfId="0" applyFont="1" applyFill="1" applyBorder="1" applyAlignment="1" applyProtection="1">
      <alignment horizontal="right" vertical="center" wrapText="1"/>
      <protection locked="0"/>
    </xf>
    <xf numFmtId="41" fontId="9" fillId="53" borderId="36" xfId="0" applyNumberFormat="1" applyFont="1" applyFill="1" applyBorder="1"/>
    <xf numFmtId="0" fontId="57" fillId="33" borderId="0" xfId="0" applyFont="1" applyFill="1" applyBorder="1"/>
    <xf numFmtId="43" fontId="57" fillId="33" borderId="0" xfId="0" applyNumberFormat="1" applyFont="1" applyFill="1" applyBorder="1"/>
    <xf numFmtId="0" fontId="52" fillId="33" borderId="19" xfId="0" applyFont="1" applyFill="1" applyBorder="1" applyAlignment="1">
      <alignment horizontal="center" vertical="center" wrapText="1"/>
    </xf>
    <xf numFmtId="0" fontId="84" fillId="19" borderId="0" xfId="0" applyFont="1" applyFill="1" applyBorder="1" applyAlignment="1" applyProtection="1">
      <alignment vertical="center"/>
    </xf>
    <xf numFmtId="0" fontId="0" fillId="33" borderId="0" xfId="0" applyFill="1"/>
    <xf numFmtId="0" fontId="0" fillId="33" borderId="0" xfId="0" applyFill="1" applyBorder="1"/>
    <xf numFmtId="0" fontId="42" fillId="33" borderId="0" xfId="0" applyFont="1" applyFill="1" applyBorder="1" applyAlignment="1">
      <alignment vertical="center"/>
    </xf>
    <xf numFmtId="0" fontId="43" fillId="33" borderId="0" xfId="0" applyFont="1" applyFill="1" applyBorder="1" applyAlignment="1">
      <alignment vertical="center"/>
    </xf>
    <xf numFmtId="0" fontId="71" fillId="33" borderId="0" xfId="0" applyFont="1" applyFill="1" applyBorder="1" applyAlignment="1">
      <alignment horizontal="center" vertical="center"/>
    </xf>
    <xf numFmtId="0" fontId="0" fillId="33" borderId="0" xfId="0" applyFill="1" applyBorder="1" applyAlignment="1">
      <alignment horizontal="center" vertical="center"/>
    </xf>
    <xf numFmtId="0" fontId="56" fillId="33" borderId="0" xfId="0" applyFont="1" applyFill="1" applyBorder="1" applyAlignment="1">
      <alignment horizontal="center" vertical="center"/>
    </xf>
    <xf numFmtId="0" fontId="44" fillId="33" borderId="0" xfId="0" applyFont="1" applyFill="1" applyBorder="1" applyAlignment="1">
      <alignment vertical="center"/>
    </xf>
    <xf numFmtId="0" fontId="44" fillId="33" borderId="0" xfId="0" applyFont="1" applyFill="1" applyBorder="1"/>
    <xf numFmtId="0" fontId="9" fillId="29" borderId="82" xfId="0" applyFont="1" applyFill="1" applyBorder="1" applyAlignment="1">
      <alignment horizontal="right" vertical="center" wrapText="1"/>
    </xf>
    <xf numFmtId="9" fontId="6" fillId="18" borderId="60" xfId="44" applyFont="1" applyFill="1" applyBorder="1" applyAlignment="1">
      <alignment horizontal="right"/>
    </xf>
    <xf numFmtId="0" fontId="9" fillId="29" borderId="60" xfId="0" applyFont="1" applyFill="1" applyBorder="1" applyAlignment="1">
      <alignment horizontal="right" vertical="center" wrapText="1"/>
    </xf>
    <xf numFmtId="0" fontId="9" fillId="0" borderId="44" xfId="0" applyFont="1" applyBorder="1" applyAlignment="1">
      <alignment horizontal="left" vertical="top"/>
    </xf>
    <xf numFmtId="0" fontId="6" fillId="0" borderId="90" xfId="0" applyFont="1" applyBorder="1" applyAlignment="1">
      <alignment horizontal="left" vertical="top"/>
    </xf>
    <xf numFmtId="0" fontId="9" fillId="0" borderId="46" xfId="0" applyFont="1" applyBorder="1" applyAlignment="1">
      <alignment horizontal="left" vertical="top"/>
    </xf>
    <xf numFmtId="0" fontId="6" fillId="0" borderId="63" xfId="0" applyFont="1" applyBorder="1" applyAlignment="1">
      <alignment horizontal="left" vertical="top"/>
    </xf>
    <xf numFmtId="0" fontId="9" fillId="0" borderId="48" xfId="0" applyFont="1" applyBorder="1" applyAlignment="1">
      <alignment horizontal="left" vertical="top"/>
    </xf>
    <xf numFmtId="0" fontId="6" fillId="0" borderId="67" xfId="0" applyFont="1" applyBorder="1" applyAlignment="1">
      <alignment horizontal="left" vertical="top"/>
    </xf>
    <xf numFmtId="0" fontId="9" fillId="0" borderId="44" xfId="0" applyFont="1" applyBorder="1" applyAlignment="1">
      <alignment horizontal="right"/>
    </xf>
    <xf numFmtId="0" fontId="9" fillId="0" borderId="46" xfId="0" applyFont="1" applyBorder="1" applyAlignment="1">
      <alignment horizontal="right"/>
    </xf>
    <xf numFmtId="0" fontId="9" fillId="0" borderId="48" xfId="0" applyFont="1" applyBorder="1" applyAlignment="1">
      <alignment horizontal="right"/>
    </xf>
    <xf numFmtId="0" fontId="6" fillId="0" borderId="90" xfId="0" applyFont="1" applyBorder="1"/>
    <xf numFmtId="0" fontId="6" fillId="0" borderId="63" xfId="0" applyFont="1" applyBorder="1"/>
    <xf numFmtId="0" fontId="6" fillId="0" borderId="67" xfId="0" applyFont="1" applyBorder="1"/>
    <xf numFmtId="0" fontId="9" fillId="33" borderId="44" xfId="0" applyFont="1" applyFill="1" applyBorder="1" applyAlignment="1">
      <alignment horizontal="right"/>
    </xf>
    <xf numFmtId="0" fontId="6" fillId="33" borderId="82" xfId="0" applyFont="1" applyFill="1" applyBorder="1"/>
    <xf numFmtId="0" fontId="9" fillId="33" borderId="46" xfId="0" applyFont="1" applyFill="1" applyBorder="1" applyAlignment="1">
      <alignment horizontal="right"/>
    </xf>
    <xf numFmtId="0" fontId="6" fillId="33" borderId="60" xfId="0" applyFont="1" applyFill="1" applyBorder="1"/>
    <xf numFmtId="0" fontId="9" fillId="33" borderId="48" xfId="0" applyFont="1" applyFill="1" applyBorder="1" applyAlignment="1">
      <alignment horizontal="right"/>
    </xf>
    <xf numFmtId="0" fontId="6" fillId="33" borderId="64" xfId="0" applyFont="1" applyFill="1" applyBorder="1"/>
    <xf numFmtId="0" fontId="6" fillId="33" borderId="90" xfId="0" applyFont="1" applyFill="1" applyBorder="1"/>
    <xf numFmtId="0" fontId="6" fillId="33" borderId="63" xfId="0" applyFont="1" applyFill="1" applyBorder="1"/>
    <xf numFmtId="0" fontId="0" fillId="33" borderId="63" xfId="0" applyFill="1" applyBorder="1"/>
    <xf numFmtId="0" fontId="6" fillId="33" borderId="63" xfId="0" applyFont="1" applyFill="1" applyBorder="1" applyAlignment="1">
      <alignment wrapText="1"/>
    </xf>
    <xf numFmtId="0" fontId="6" fillId="33" borderId="67" xfId="0" applyFont="1" applyFill="1" applyBorder="1"/>
    <xf numFmtId="0" fontId="9" fillId="33" borderId="44" xfId="0" applyFont="1" applyFill="1" applyBorder="1"/>
    <xf numFmtId="0" fontId="9" fillId="33" borderId="48" xfId="0" applyFont="1" applyFill="1" applyBorder="1"/>
    <xf numFmtId="0" fontId="0" fillId="33" borderId="0" xfId="0" applyFill="1" applyAlignment="1">
      <alignment vertical="top"/>
    </xf>
    <xf numFmtId="0" fontId="9" fillId="14" borderId="0" xfId="0" applyFont="1" applyFill="1" applyAlignment="1">
      <alignment vertical="top"/>
    </xf>
    <xf numFmtId="0" fontId="0" fillId="14" borderId="0" xfId="0" applyFill="1" applyAlignment="1">
      <alignment vertical="top"/>
    </xf>
    <xf numFmtId="0" fontId="0" fillId="0" borderId="0" xfId="0" applyAlignment="1">
      <alignment vertical="top"/>
    </xf>
    <xf numFmtId="0" fontId="14" fillId="33" borderId="0" xfId="0" applyFont="1" applyFill="1" applyAlignment="1">
      <alignment vertical="top"/>
    </xf>
    <xf numFmtId="0" fontId="9" fillId="38" borderId="49" xfId="0" applyFont="1" applyFill="1" applyBorder="1" applyAlignment="1">
      <alignment horizontal="left" vertical="center" wrapText="1"/>
    </xf>
    <xf numFmtId="0" fontId="9" fillId="38" borderId="74" xfId="0" applyFont="1" applyFill="1" applyBorder="1" applyAlignment="1">
      <alignment horizontal="left" vertical="center" wrapText="1"/>
    </xf>
    <xf numFmtId="0" fontId="9" fillId="38" borderId="76" xfId="0" applyFont="1" applyFill="1" applyBorder="1" applyAlignment="1">
      <alignment horizontal="left" vertical="center" wrapText="1"/>
    </xf>
    <xf numFmtId="0" fontId="0" fillId="43" borderId="0" xfId="0" applyFill="1"/>
    <xf numFmtId="0" fontId="88" fillId="29" borderId="22" xfId="0" applyFont="1" applyFill="1" applyBorder="1" applyAlignment="1">
      <alignment vertical="center"/>
    </xf>
    <xf numFmtId="0" fontId="88" fillId="29" borderId="34" xfId="0" applyFont="1" applyFill="1" applyBorder="1" applyAlignment="1">
      <alignment vertical="center"/>
    </xf>
    <xf numFmtId="0" fontId="88" fillId="29" borderId="35" xfId="0" applyFont="1" applyFill="1" applyBorder="1" applyAlignment="1">
      <alignment vertical="center"/>
    </xf>
    <xf numFmtId="43" fontId="9" fillId="53" borderId="51" xfId="0" applyNumberFormat="1" applyFont="1" applyFill="1" applyBorder="1"/>
    <xf numFmtId="43" fontId="9" fillId="53" borderId="52" xfId="0" applyNumberFormat="1" applyFont="1" applyFill="1" applyBorder="1"/>
    <xf numFmtId="43" fontId="9" fillId="53" borderId="53" xfId="0" applyNumberFormat="1" applyFont="1" applyFill="1" applyBorder="1"/>
    <xf numFmtId="43" fontId="9" fillId="53" borderId="54" xfId="0" applyNumberFormat="1" applyFont="1" applyFill="1" applyBorder="1"/>
    <xf numFmtId="0" fontId="6" fillId="38" borderId="39" xfId="0" applyFont="1" applyFill="1" applyBorder="1" applyAlignment="1">
      <alignment horizontal="center" vertical="center" wrapText="1"/>
    </xf>
    <xf numFmtId="0" fontId="6" fillId="38" borderId="154" xfId="0" applyFont="1" applyFill="1" applyBorder="1" applyAlignment="1">
      <alignment horizontal="center" vertical="center" wrapText="1"/>
    </xf>
    <xf numFmtId="0" fontId="6" fillId="38" borderId="162" xfId="0" applyFont="1" applyFill="1" applyBorder="1" applyAlignment="1">
      <alignment horizontal="center" vertical="center" wrapText="1"/>
    </xf>
    <xf numFmtId="168" fontId="6" fillId="18" borderId="109" xfId="30" applyNumberFormat="1" applyFont="1" applyFill="1" applyBorder="1"/>
    <xf numFmtId="168" fontId="6" fillId="18" borderId="103" xfId="30" applyNumberFormat="1" applyFont="1" applyFill="1" applyBorder="1"/>
    <xf numFmtId="0" fontId="11" fillId="18" borderId="55" xfId="0" applyFont="1" applyFill="1" applyBorder="1" applyAlignment="1">
      <alignment wrapText="1"/>
    </xf>
    <xf numFmtId="0" fontId="11" fillId="18" borderId="56" xfId="0" applyFont="1" applyFill="1" applyBorder="1" applyAlignment="1">
      <alignment wrapText="1"/>
    </xf>
    <xf numFmtId="41" fontId="11" fillId="38" borderId="46" xfId="0" applyNumberFormat="1" applyFont="1" applyFill="1" applyBorder="1" applyAlignment="1">
      <alignment wrapText="1"/>
    </xf>
    <xf numFmtId="41" fontId="11" fillId="38" borderId="60" xfId="0" applyNumberFormat="1" applyFont="1" applyFill="1" applyBorder="1" applyAlignment="1">
      <alignment wrapText="1"/>
    </xf>
    <xf numFmtId="0" fontId="11" fillId="18" borderId="46" xfId="0" applyFont="1" applyFill="1" applyBorder="1" applyAlignment="1">
      <alignment wrapText="1"/>
    </xf>
    <xf numFmtId="0" fontId="11" fillId="18" borderId="60" xfId="0" applyFont="1" applyFill="1" applyBorder="1" applyAlignment="1">
      <alignment wrapText="1"/>
    </xf>
    <xf numFmtId="0" fontId="11" fillId="18" borderId="55" xfId="0" applyFont="1" applyFill="1" applyBorder="1" applyAlignment="1">
      <alignment horizontal="left" vertical="top" wrapText="1"/>
    </xf>
    <xf numFmtId="0" fontId="11" fillId="18" borderId="56" xfId="0" applyFont="1" applyFill="1" applyBorder="1" applyAlignment="1">
      <alignment horizontal="left" vertical="top" wrapText="1"/>
    </xf>
    <xf numFmtId="41" fontId="11" fillId="38" borderId="46" xfId="0" applyNumberFormat="1" applyFont="1" applyFill="1" applyBorder="1" applyAlignment="1">
      <alignment horizontal="left" vertical="top" wrapText="1"/>
    </xf>
    <xf numFmtId="41" fontId="11" fillId="38" borderId="60" xfId="0" applyNumberFormat="1" applyFont="1" applyFill="1" applyBorder="1" applyAlignment="1">
      <alignment horizontal="left" vertical="top" wrapText="1"/>
    </xf>
    <xf numFmtId="0" fontId="11" fillId="18" borderId="46" xfId="0" applyFont="1" applyFill="1" applyBorder="1" applyAlignment="1">
      <alignment horizontal="left" vertical="top" wrapText="1"/>
    </xf>
    <xf numFmtId="0" fontId="11" fillId="18" borderId="60" xfId="0" applyFont="1" applyFill="1" applyBorder="1" applyAlignment="1">
      <alignment horizontal="left" vertical="top" wrapText="1"/>
    </xf>
    <xf numFmtId="0" fontId="6" fillId="33" borderId="21" xfId="0" applyFont="1" applyFill="1" applyBorder="1"/>
    <xf numFmtId="0" fontId="6" fillId="33" borderId="19" xfId="0" applyFont="1" applyFill="1" applyBorder="1" applyAlignment="1">
      <alignment horizontal="left"/>
    </xf>
    <xf numFmtId="0" fontId="6" fillId="33" borderId="19" xfId="0" applyFont="1" applyFill="1" applyBorder="1"/>
    <xf numFmtId="0" fontId="6" fillId="33" borderId="25" xfId="0" applyFont="1" applyFill="1" applyBorder="1" applyAlignment="1">
      <alignment vertical="center"/>
    </xf>
    <xf numFmtId="0" fontId="15" fillId="29" borderId="89" xfId="0" applyFont="1" applyFill="1" applyBorder="1" applyAlignment="1">
      <alignment horizontal="left" vertical="center" wrapText="1"/>
    </xf>
    <xf numFmtId="0" fontId="15" fillId="29" borderId="62" xfId="0" applyFont="1" applyFill="1" applyBorder="1" applyAlignment="1">
      <alignment horizontal="left" vertical="center" wrapText="1"/>
    </xf>
    <xf numFmtId="168" fontId="6" fillId="18" borderId="62" xfId="30" applyNumberFormat="1" applyFont="1" applyFill="1" applyBorder="1" applyAlignment="1">
      <alignment horizontal="right"/>
    </xf>
    <xf numFmtId="168" fontId="6" fillId="38" borderId="62" xfId="30" applyNumberFormat="1" applyFont="1" applyFill="1" applyBorder="1" applyAlignment="1">
      <alignment horizontal="right"/>
    </xf>
    <xf numFmtId="168" fontId="6" fillId="31" borderId="75" xfId="0" applyNumberFormat="1" applyFont="1" applyFill="1" applyBorder="1" applyAlignment="1">
      <alignment horizontal="right" wrapText="1"/>
    </xf>
    <xf numFmtId="168" fontId="6" fillId="31" borderId="77" xfId="0" applyNumberFormat="1" applyFont="1" applyFill="1" applyBorder="1" applyAlignment="1">
      <alignment horizontal="right" wrapText="1"/>
    </xf>
    <xf numFmtId="168" fontId="6" fillId="38" borderId="63" xfId="0" applyNumberFormat="1" applyFont="1" applyFill="1" applyBorder="1" applyAlignment="1">
      <alignment horizontal="right"/>
    </xf>
    <xf numFmtId="168" fontId="6" fillId="25" borderId="165" xfId="0" applyNumberFormat="1" applyFont="1" applyFill="1" applyBorder="1" applyAlignment="1">
      <alignment horizontal="right"/>
    </xf>
    <xf numFmtId="168" fontId="9" fillId="30" borderId="48" xfId="0" applyNumberFormat="1" applyFont="1" applyFill="1" applyBorder="1" applyAlignment="1">
      <alignment horizontal="right"/>
    </xf>
    <xf numFmtId="168" fontId="9" fillId="30" borderId="64" xfId="0" applyNumberFormat="1" applyFont="1" applyFill="1" applyBorder="1" applyAlignment="1">
      <alignment horizontal="right"/>
    </xf>
    <xf numFmtId="168" fontId="9" fillId="30" borderId="67" xfId="0" applyNumberFormat="1" applyFont="1" applyFill="1" applyBorder="1" applyAlignment="1">
      <alignment horizontal="right"/>
    </xf>
    <xf numFmtId="168" fontId="6" fillId="29" borderId="62" xfId="30" applyNumberFormat="1" applyFont="1" applyFill="1" applyBorder="1" applyAlignment="1">
      <alignment horizontal="right"/>
    </xf>
    <xf numFmtId="168" fontId="6" fillId="18" borderId="89" xfId="30" applyNumberFormat="1" applyFont="1" applyFill="1" applyBorder="1" applyAlignment="1">
      <alignment horizontal="right"/>
    </xf>
    <xf numFmtId="168" fontId="6" fillId="29" borderId="66" xfId="30" applyNumberFormat="1" applyFont="1" applyFill="1" applyBorder="1" applyAlignment="1">
      <alignment horizontal="right"/>
    </xf>
    <xf numFmtId="168" fontId="6" fillId="31" borderId="82" xfId="0" applyNumberFormat="1" applyFont="1" applyFill="1" applyBorder="1" applyAlignment="1">
      <alignment horizontal="right" wrapText="1"/>
    </xf>
    <xf numFmtId="0" fontId="6" fillId="29" borderId="46" xfId="0" applyFont="1" applyFill="1" applyBorder="1" applyAlignment="1">
      <alignment horizontal="right" wrapText="1"/>
    </xf>
    <xf numFmtId="0" fontId="6" fillId="29" borderId="60" xfId="0" applyFont="1" applyFill="1" applyBorder="1" applyAlignment="1">
      <alignment horizontal="right" wrapText="1"/>
    </xf>
    <xf numFmtId="168" fontId="6" fillId="31" borderId="60" xfId="0" applyNumberFormat="1" applyFont="1" applyFill="1" applyBorder="1" applyAlignment="1">
      <alignment horizontal="right" wrapText="1"/>
    </xf>
    <xf numFmtId="168" fontId="6" fillId="29" borderId="60" xfId="0" applyNumberFormat="1" applyFont="1" applyFill="1" applyBorder="1" applyAlignment="1">
      <alignment horizontal="right" wrapText="1"/>
    </xf>
    <xf numFmtId="168" fontId="6" fillId="31" borderId="90" xfId="0" applyNumberFormat="1" applyFont="1" applyFill="1" applyBorder="1" applyAlignment="1">
      <alignment horizontal="right" wrapText="1"/>
    </xf>
    <xf numFmtId="0" fontId="6" fillId="29" borderId="63" xfId="0" applyFont="1" applyFill="1" applyBorder="1" applyAlignment="1">
      <alignment horizontal="right" wrapText="1"/>
    </xf>
    <xf numFmtId="168" fontId="6" fillId="31" borderId="63" xfId="0" applyNumberFormat="1" applyFont="1" applyFill="1" applyBorder="1" applyAlignment="1">
      <alignment horizontal="right" wrapText="1"/>
    </xf>
    <xf numFmtId="168" fontId="6" fillId="29" borderId="63" xfId="0" applyNumberFormat="1" applyFont="1" applyFill="1" applyBorder="1" applyAlignment="1">
      <alignment horizontal="right" wrapText="1"/>
    </xf>
    <xf numFmtId="168" fontId="6" fillId="29" borderId="90" xfId="0" applyNumberFormat="1" applyFont="1" applyFill="1" applyBorder="1"/>
    <xf numFmtId="168" fontId="6" fillId="30" borderId="63" xfId="0" applyNumberFormat="1" applyFont="1" applyFill="1" applyBorder="1"/>
    <xf numFmtId="43" fontId="6" fillId="30" borderId="67" xfId="0" applyNumberFormat="1" applyFont="1" applyFill="1" applyBorder="1"/>
    <xf numFmtId="168" fontId="6" fillId="18" borderId="76" xfId="30" applyNumberFormat="1" applyFont="1" applyFill="1" applyBorder="1"/>
    <xf numFmtId="168" fontId="6" fillId="30" borderId="116" xfId="0" applyNumberFormat="1" applyFont="1" applyFill="1" applyBorder="1"/>
    <xf numFmtId="168" fontId="6" fillId="18" borderId="77" xfId="30" applyNumberFormat="1" applyFont="1" applyFill="1" applyBorder="1"/>
    <xf numFmtId="168" fontId="6" fillId="38" borderId="77" xfId="30" applyNumberFormat="1" applyFont="1" applyFill="1" applyBorder="1"/>
    <xf numFmtId="164" fontId="6" fillId="31" borderId="77" xfId="44" applyNumberFormat="1" applyFont="1" applyFill="1" applyBorder="1"/>
    <xf numFmtId="170" fontId="6" fillId="38" borderId="77" xfId="30" applyNumberFormat="1" applyFont="1" applyFill="1" applyBorder="1"/>
    <xf numFmtId="0" fontId="6" fillId="33" borderId="77" xfId="30" applyNumberFormat="1" applyFont="1" applyFill="1" applyBorder="1"/>
    <xf numFmtId="168" fontId="6" fillId="30" borderId="147" xfId="0" applyNumberFormat="1" applyFont="1" applyFill="1" applyBorder="1"/>
    <xf numFmtId="168" fontId="6" fillId="29" borderId="74" xfId="0" applyNumberFormat="1" applyFont="1" applyFill="1" applyBorder="1"/>
    <xf numFmtId="168" fontId="6" fillId="38" borderId="76" xfId="0" applyNumberFormat="1" applyFont="1" applyFill="1" applyBorder="1"/>
    <xf numFmtId="168" fontId="6" fillId="30" borderId="76" xfId="0" applyNumberFormat="1" applyFont="1" applyFill="1" applyBorder="1"/>
    <xf numFmtId="168" fontId="6" fillId="29" borderId="74" xfId="0" applyNumberFormat="1" applyFont="1" applyFill="1" applyBorder="1" applyAlignment="1">
      <alignment horizontal="right" wrapText="1"/>
    </xf>
    <xf numFmtId="168" fontId="6" fillId="29" borderId="76" xfId="30" applyNumberFormat="1" applyFont="1" applyFill="1" applyBorder="1" applyAlignment="1">
      <alignment horizontal="right"/>
    </xf>
    <xf numFmtId="168" fontId="9" fillId="30" borderId="76" xfId="0" applyNumberFormat="1" applyFont="1" applyFill="1" applyBorder="1" applyAlignment="1">
      <alignment horizontal="right"/>
    </xf>
    <xf numFmtId="168" fontId="6" fillId="25" borderId="76" xfId="0" applyNumberFormat="1" applyFont="1" applyFill="1" applyBorder="1" applyAlignment="1">
      <alignment horizontal="right"/>
    </xf>
    <xf numFmtId="168" fontId="6" fillId="29" borderId="77" xfId="30" applyNumberFormat="1" applyFont="1" applyFill="1" applyBorder="1" applyAlignment="1">
      <alignment horizontal="right"/>
    </xf>
    <xf numFmtId="168" fontId="9" fillId="30" borderId="77" xfId="0" applyNumberFormat="1" applyFont="1" applyFill="1" applyBorder="1" applyAlignment="1">
      <alignment horizontal="right"/>
    </xf>
    <xf numFmtId="168" fontId="6" fillId="25" borderId="77" xfId="0" applyNumberFormat="1" applyFont="1" applyFill="1" applyBorder="1" applyAlignment="1">
      <alignment horizontal="right"/>
    </xf>
    <xf numFmtId="168" fontId="6" fillId="29" borderId="76" xfId="0" applyNumberFormat="1" applyFont="1" applyFill="1" applyBorder="1" applyAlignment="1">
      <alignment horizontal="right" wrapText="1"/>
    </xf>
    <xf numFmtId="168" fontId="9" fillId="30" borderId="134" xfId="0" applyNumberFormat="1" applyFont="1" applyFill="1" applyBorder="1" applyAlignment="1">
      <alignment horizontal="right"/>
    </xf>
    <xf numFmtId="168" fontId="9" fillId="30" borderId="166" xfId="0" applyNumberFormat="1" applyFont="1" applyFill="1" applyBorder="1" applyAlignment="1">
      <alignment horizontal="right"/>
    </xf>
    <xf numFmtId="166" fontId="6" fillId="18" borderId="46" xfId="30" applyNumberFormat="1" applyFont="1" applyFill="1" applyBorder="1"/>
    <xf numFmtId="0" fontId="68" fillId="49" borderId="60" xfId="0" applyFont="1" applyFill="1" applyBorder="1" applyAlignment="1">
      <alignment horizontal="center" vertical="center" wrapText="1"/>
    </xf>
    <xf numFmtId="0" fontId="68" fillId="49" borderId="64" xfId="0" applyFont="1" applyFill="1" applyBorder="1" applyAlignment="1">
      <alignment horizontal="center" vertical="center"/>
    </xf>
    <xf numFmtId="168" fontId="6" fillId="18" borderId="76" xfId="30" applyNumberFormat="1" applyFont="1" applyFill="1" applyBorder="1" applyAlignment="1">
      <alignment horizontal="right"/>
    </xf>
    <xf numFmtId="0" fontId="6" fillId="25" borderId="35" xfId="0" applyFont="1" applyFill="1" applyBorder="1" applyAlignment="1" applyProtection="1">
      <alignment vertical="center"/>
      <protection locked="0"/>
    </xf>
    <xf numFmtId="0" fontId="6" fillId="25" borderId="34" xfId="0" applyFont="1" applyFill="1" applyBorder="1" applyAlignment="1" applyProtection="1">
      <alignment vertical="center"/>
      <protection locked="0"/>
    </xf>
    <xf numFmtId="0" fontId="6" fillId="38" borderId="44" xfId="0" applyFont="1" applyFill="1" applyBorder="1" applyAlignment="1" applyProtection="1">
      <alignment horizontal="right"/>
      <protection locked="0"/>
    </xf>
    <xf numFmtId="0" fontId="6" fillId="38" borderId="82" xfId="0" applyFont="1" applyFill="1" applyBorder="1" applyAlignment="1" applyProtection="1">
      <alignment horizontal="right"/>
      <protection locked="0"/>
    </xf>
    <xf numFmtId="0" fontId="6" fillId="38" borderId="90" xfId="0" applyFont="1" applyFill="1" applyBorder="1" applyAlignment="1" applyProtection="1">
      <alignment horizontal="right"/>
      <protection locked="0"/>
    </xf>
    <xf numFmtId="168" fontId="6" fillId="43" borderId="63" xfId="30" applyNumberFormat="1" applyFont="1" applyFill="1" applyBorder="1" applyAlignment="1">
      <alignment horizontal="right"/>
    </xf>
    <xf numFmtId="168" fontId="6" fillId="25" borderId="62" xfId="30" applyNumberFormat="1" applyFont="1" applyFill="1" applyBorder="1"/>
    <xf numFmtId="168" fontId="48" fillId="31" borderId="106" xfId="30" applyNumberFormat="1" applyFont="1" applyFill="1" applyBorder="1"/>
    <xf numFmtId="168" fontId="48" fillId="31" borderId="107" xfId="30" applyNumberFormat="1" applyFont="1" applyFill="1" applyBorder="1"/>
    <xf numFmtId="168" fontId="9" fillId="29" borderId="89" xfId="0" applyNumberFormat="1" applyFont="1" applyFill="1" applyBorder="1" applyAlignment="1">
      <alignment horizontal="left" vertical="center" wrapText="1"/>
    </xf>
    <xf numFmtId="168" fontId="9" fillId="29" borderId="62" xfId="0" applyNumberFormat="1" applyFont="1" applyFill="1" applyBorder="1" applyAlignment="1">
      <alignment horizontal="left" vertical="center" wrapText="1"/>
    </xf>
    <xf numFmtId="168" fontId="15" fillId="34" borderId="66" xfId="30" applyNumberFormat="1" applyFont="1" applyFill="1" applyBorder="1"/>
    <xf numFmtId="168" fontId="6" fillId="31" borderId="24" xfId="30" applyNumberFormat="1" applyFont="1" applyFill="1" applyBorder="1"/>
    <xf numFmtId="168" fontId="6" fillId="31" borderId="125" xfId="30" applyNumberFormat="1" applyFont="1" applyFill="1" applyBorder="1"/>
    <xf numFmtId="168" fontId="9" fillId="48" borderId="55" xfId="0" applyNumberFormat="1" applyFont="1" applyFill="1" applyBorder="1" applyAlignment="1">
      <alignment horizontal="left" vertical="center" wrapText="1"/>
    </xf>
    <xf numFmtId="168" fontId="9" fillId="48" borderId="59" xfId="0" applyNumberFormat="1" applyFont="1" applyFill="1" applyBorder="1" applyAlignment="1">
      <alignment horizontal="left" vertical="center" wrapText="1"/>
    </xf>
    <xf numFmtId="168" fontId="9" fillId="34" borderId="46" xfId="30" applyNumberFormat="1" applyFont="1" applyFill="1" applyBorder="1"/>
    <xf numFmtId="168" fontId="9" fillId="34" borderId="60" xfId="30" applyNumberFormat="1" applyFont="1" applyFill="1" applyBorder="1"/>
    <xf numFmtId="168" fontId="9" fillId="34" borderId="63" xfId="30" applyNumberFormat="1" applyFont="1" applyFill="1" applyBorder="1"/>
    <xf numFmtId="168" fontId="9" fillId="34" borderId="48" xfId="30" applyNumberFormat="1" applyFont="1" applyFill="1" applyBorder="1"/>
    <xf numFmtId="168" fontId="9" fillId="34" borderId="64" xfId="30" applyNumberFormat="1" applyFont="1" applyFill="1" applyBorder="1"/>
    <xf numFmtId="168" fontId="9" fillId="34" borderId="67" xfId="30" applyNumberFormat="1" applyFont="1" applyFill="1" applyBorder="1"/>
    <xf numFmtId="168" fontId="6" fillId="29" borderId="76" xfId="30" applyNumberFormat="1" applyFont="1" applyFill="1" applyBorder="1"/>
    <xf numFmtId="168" fontId="6" fillId="29" borderId="116" xfId="30" applyNumberFormat="1" applyFont="1" applyFill="1" applyBorder="1"/>
    <xf numFmtId="0" fontId="6" fillId="38" borderId="166" xfId="0" applyFont="1" applyFill="1" applyBorder="1" applyAlignment="1" applyProtection="1">
      <alignment vertical="center" wrapText="1"/>
      <protection locked="0"/>
    </xf>
    <xf numFmtId="0" fontId="6" fillId="38" borderId="24" xfId="0" applyFont="1" applyFill="1" applyBorder="1" applyAlignment="1" applyProtection="1">
      <alignment vertical="center" wrapText="1"/>
      <protection locked="0"/>
    </xf>
    <xf numFmtId="0" fontId="6" fillId="38" borderId="129" xfId="0" applyFont="1" applyFill="1" applyBorder="1" applyAlignment="1" applyProtection="1">
      <alignment vertical="center" wrapText="1"/>
      <protection locked="0"/>
    </xf>
    <xf numFmtId="0" fontId="6" fillId="14" borderId="41" xfId="0" applyFont="1" applyFill="1" applyBorder="1" applyAlignment="1" applyProtection="1">
      <alignment vertical="center" wrapText="1"/>
      <protection locked="0"/>
    </xf>
    <xf numFmtId="0" fontId="6" fillId="14" borderId="13" xfId="0" applyFont="1" applyFill="1" applyBorder="1" applyAlignment="1" applyProtection="1">
      <alignment vertical="center" wrapText="1"/>
      <protection locked="0"/>
    </xf>
    <xf numFmtId="0" fontId="6" fillId="18" borderId="46" xfId="30" applyNumberFormat="1" applyFont="1" applyFill="1" applyBorder="1"/>
    <xf numFmtId="0" fontId="48" fillId="33" borderId="115" xfId="0" applyFont="1" applyFill="1" applyBorder="1" applyAlignment="1">
      <alignment horizontal="left" vertical="center" wrapText="1"/>
    </xf>
    <xf numFmtId="168" fontId="48" fillId="38" borderId="24" xfId="30" applyNumberFormat="1" applyFont="1" applyFill="1" applyBorder="1" applyAlignment="1">
      <alignment horizontal="right"/>
    </xf>
    <xf numFmtId="168" fontId="6" fillId="31" borderId="109" xfId="30" applyNumberFormat="1" applyFont="1" applyFill="1" applyBorder="1"/>
    <xf numFmtId="168" fontId="6" fillId="31" borderId="103" xfId="30" applyNumberFormat="1" applyFont="1" applyFill="1" applyBorder="1"/>
    <xf numFmtId="168" fontId="6" fillId="31" borderId="62" xfId="30" applyNumberFormat="1" applyFont="1" applyFill="1" applyBorder="1"/>
    <xf numFmtId="168" fontId="6" fillId="31" borderId="170" xfId="30" applyNumberFormat="1" applyFont="1" applyFill="1" applyBorder="1"/>
    <xf numFmtId="168" fontId="6" fillId="31" borderId="76" xfId="30" applyNumberFormat="1" applyFont="1" applyFill="1" applyBorder="1" applyAlignment="1">
      <alignment horizontal="right"/>
    </xf>
    <xf numFmtId="168" fontId="6" fillId="31" borderId="77" xfId="30" applyNumberFormat="1" applyFont="1" applyFill="1" applyBorder="1" applyAlignment="1">
      <alignment horizontal="right"/>
    </xf>
    <xf numFmtId="168" fontId="6" fillId="29" borderId="44" xfId="30" applyNumberFormat="1" applyFont="1" applyFill="1" applyBorder="1" applyAlignment="1">
      <alignment horizontal="right"/>
    </xf>
    <xf numFmtId="168" fontId="6" fillId="29" borderId="90" xfId="30" applyNumberFormat="1" applyFont="1" applyFill="1" applyBorder="1" applyAlignment="1">
      <alignment horizontal="right"/>
    </xf>
    <xf numFmtId="168" fontId="6" fillId="29" borderId="74" xfId="30" applyNumberFormat="1" applyFont="1" applyFill="1" applyBorder="1" applyAlignment="1">
      <alignment horizontal="right"/>
    </xf>
    <xf numFmtId="168" fontId="6" fillId="29" borderId="112" xfId="30" applyNumberFormat="1" applyFont="1" applyFill="1" applyBorder="1" applyAlignment="1">
      <alignment horizontal="right"/>
    </xf>
    <xf numFmtId="168" fontId="6" fillId="18" borderId="139" xfId="30" applyNumberFormat="1" applyFont="1" applyFill="1" applyBorder="1" applyAlignment="1">
      <alignment horizontal="right"/>
    </xf>
    <xf numFmtId="168" fontId="6" fillId="31" borderId="139" xfId="30" applyNumberFormat="1" applyFont="1" applyFill="1" applyBorder="1" applyAlignment="1">
      <alignment horizontal="right"/>
    </xf>
    <xf numFmtId="168" fontId="6" fillId="29" borderId="139" xfId="30" applyNumberFormat="1" applyFont="1" applyFill="1" applyBorder="1" applyAlignment="1">
      <alignment horizontal="right"/>
    </xf>
    <xf numFmtId="168" fontId="6" fillId="30" borderId="46" xfId="30" applyNumberFormat="1" applyFont="1" applyFill="1" applyBorder="1" applyAlignment="1">
      <alignment horizontal="right"/>
    </xf>
    <xf numFmtId="168" fontId="6" fillId="30" borderId="60" xfId="30" applyNumberFormat="1" applyFont="1" applyFill="1" applyBorder="1" applyAlignment="1">
      <alignment horizontal="right"/>
    </xf>
    <xf numFmtId="168" fontId="6" fillId="30" borderId="63" xfId="30" applyNumberFormat="1" applyFont="1" applyFill="1" applyBorder="1" applyAlignment="1">
      <alignment horizontal="right"/>
    </xf>
    <xf numFmtId="168" fontId="6" fillId="30" borderId="76" xfId="30" applyNumberFormat="1" applyFont="1" applyFill="1" applyBorder="1" applyAlignment="1">
      <alignment horizontal="right"/>
    </xf>
    <xf numFmtId="168" fontId="6" fillId="30" borderId="139" xfId="30" applyNumberFormat="1" applyFont="1" applyFill="1" applyBorder="1" applyAlignment="1">
      <alignment horizontal="right"/>
    </xf>
    <xf numFmtId="168" fontId="9" fillId="30" borderId="48" xfId="0" applyNumberFormat="1" applyFont="1" applyFill="1" applyBorder="1" applyAlignment="1">
      <alignment horizontal="right" vertical="center"/>
    </xf>
    <xf numFmtId="168" fontId="9" fillId="30" borderId="64" xfId="0" applyNumberFormat="1" applyFont="1" applyFill="1" applyBorder="1" applyAlignment="1">
      <alignment horizontal="right" vertical="center"/>
    </xf>
    <xf numFmtId="168" fontId="9" fillId="30" borderId="67" xfId="0" applyNumberFormat="1" applyFont="1" applyFill="1" applyBorder="1" applyAlignment="1">
      <alignment horizontal="right" vertical="center"/>
    </xf>
    <xf numFmtId="168" fontId="9" fillId="30" borderId="116" xfId="0" applyNumberFormat="1" applyFont="1" applyFill="1" applyBorder="1" applyAlignment="1">
      <alignment horizontal="right" vertical="center"/>
    </xf>
    <xf numFmtId="168" fontId="9" fillId="30" borderId="145" xfId="0" applyNumberFormat="1" applyFont="1" applyFill="1" applyBorder="1" applyAlignment="1">
      <alignment horizontal="right" vertical="center"/>
    </xf>
    <xf numFmtId="0" fontId="6" fillId="51" borderId="21" xfId="0" applyFont="1" applyFill="1" applyBorder="1"/>
    <xf numFmtId="0" fontId="6" fillId="51" borderId="22" xfId="0" applyFont="1" applyFill="1" applyBorder="1"/>
    <xf numFmtId="0" fontId="6" fillId="51" borderId="23" xfId="0" applyFont="1" applyFill="1" applyBorder="1"/>
    <xf numFmtId="0" fontId="6" fillId="51" borderId="22" xfId="0" applyFont="1" applyFill="1" applyBorder="1" applyAlignment="1">
      <alignment horizontal="right"/>
    </xf>
    <xf numFmtId="0" fontId="6" fillId="51" borderId="23" xfId="0" applyFont="1" applyFill="1" applyBorder="1" applyAlignment="1">
      <alignment horizontal="right"/>
    </xf>
    <xf numFmtId="0" fontId="6" fillId="29" borderId="76" xfId="0" applyFont="1" applyFill="1" applyBorder="1" applyAlignment="1">
      <alignment vertical="center" wrapText="1"/>
    </xf>
    <xf numFmtId="0" fontId="6" fillId="29" borderId="77" xfId="0" applyFont="1" applyFill="1" applyBorder="1" applyAlignment="1">
      <alignment vertical="center" wrapText="1"/>
    </xf>
    <xf numFmtId="0" fontId="6" fillId="29" borderId="76" xfId="0" applyFont="1" applyFill="1" applyBorder="1" applyAlignment="1">
      <alignment horizontal="right" vertical="center"/>
    </xf>
    <xf numFmtId="0" fontId="6" fillId="29" borderId="77" xfId="0" applyFont="1" applyFill="1" applyBorder="1" applyAlignment="1">
      <alignment horizontal="right" vertical="center" wrapText="1"/>
    </xf>
    <xf numFmtId="168" fontId="9" fillId="30" borderId="60" xfId="0" applyNumberFormat="1" applyFont="1" applyFill="1" applyBorder="1" applyAlignment="1">
      <alignment horizontal="left" vertical="center" wrapText="1"/>
    </xf>
    <xf numFmtId="168" fontId="9" fillId="30" borderId="63" xfId="0" applyNumberFormat="1" applyFont="1" applyFill="1" applyBorder="1" applyAlignment="1">
      <alignment horizontal="left" vertical="center" wrapText="1"/>
    </xf>
    <xf numFmtId="168" fontId="9" fillId="30" borderId="76" xfId="0" applyNumberFormat="1" applyFont="1" applyFill="1" applyBorder="1" applyAlignment="1">
      <alignment horizontal="right" vertical="center"/>
    </xf>
    <xf numFmtId="168" fontId="9" fillId="30" borderId="77" xfId="0" applyNumberFormat="1" applyFont="1" applyFill="1" applyBorder="1" applyAlignment="1">
      <alignment horizontal="right" vertical="center" wrapText="1"/>
    </xf>
    <xf numFmtId="168" fontId="9" fillId="30" borderId="64" xfId="0" applyNumberFormat="1" applyFont="1" applyFill="1" applyBorder="1" applyAlignment="1">
      <alignment horizontal="left" vertical="center" wrapText="1"/>
    </xf>
    <xf numFmtId="168" fontId="9" fillId="30" borderId="67" xfId="0" applyNumberFormat="1" applyFont="1" applyFill="1" applyBorder="1" applyAlignment="1">
      <alignment horizontal="left" vertical="center" wrapText="1"/>
    </xf>
    <xf numFmtId="168" fontId="9" fillId="30" borderId="116" xfId="0" applyNumberFormat="1" applyFont="1" applyFill="1" applyBorder="1" applyAlignment="1">
      <alignment horizontal="right" vertical="center"/>
    </xf>
    <xf numFmtId="168" fontId="9" fillId="30" borderId="147" xfId="0" applyNumberFormat="1" applyFont="1" applyFill="1" applyBorder="1" applyAlignment="1">
      <alignment horizontal="right" vertical="center" wrapText="1"/>
    </xf>
    <xf numFmtId="168" fontId="6" fillId="29" borderId="21" xfId="30" applyNumberFormat="1" applyFont="1" applyFill="1" applyBorder="1" applyAlignment="1">
      <alignment horizontal="right"/>
    </xf>
    <xf numFmtId="168" fontId="6" fillId="29" borderId="22" xfId="30" applyNumberFormat="1" applyFont="1" applyFill="1" applyBorder="1" applyAlignment="1">
      <alignment horizontal="right"/>
    </xf>
    <xf numFmtId="168" fontId="6" fillId="29" borderId="23" xfId="30" applyNumberFormat="1" applyFont="1" applyFill="1" applyBorder="1" applyAlignment="1">
      <alignment horizontal="right"/>
    </xf>
    <xf numFmtId="168" fontId="6" fillId="29" borderId="58" xfId="30" applyNumberFormat="1" applyFont="1" applyFill="1" applyBorder="1" applyAlignment="1">
      <alignment horizontal="right"/>
    </xf>
    <xf numFmtId="168" fontId="6" fillId="29" borderId="56" xfId="30" applyNumberFormat="1" applyFont="1" applyFill="1" applyBorder="1" applyAlignment="1">
      <alignment horizontal="right"/>
    </xf>
    <xf numFmtId="168" fontId="6" fillId="29" borderId="59" xfId="30" applyNumberFormat="1" applyFont="1" applyFill="1" applyBorder="1" applyAlignment="1">
      <alignment horizontal="right"/>
    </xf>
    <xf numFmtId="168" fontId="6" fillId="38" borderId="19" xfId="30" applyNumberFormat="1" applyFont="1" applyFill="1" applyBorder="1" applyAlignment="1">
      <alignment horizontal="right"/>
    </xf>
    <xf numFmtId="168" fontId="6" fillId="38" borderId="0" xfId="30" applyNumberFormat="1" applyFont="1" applyFill="1" applyBorder="1" applyAlignment="1">
      <alignment horizontal="right"/>
    </xf>
    <xf numFmtId="168" fontId="6" fillId="38" borderId="24" xfId="30" applyNumberFormat="1" applyFont="1" applyFill="1" applyBorder="1" applyAlignment="1">
      <alignment horizontal="right"/>
    </xf>
    <xf numFmtId="168" fontId="6" fillId="29" borderId="19" xfId="30" applyNumberFormat="1" applyFont="1" applyFill="1" applyBorder="1" applyAlignment="1">
      <alignment horizontal="right"/>
    </xf>
    <xf numFmtId="168" fontId="6" fillId="29" borderId="0" xfId="30" applyNumberFormat="1" applyFont="1" applyFill="1" applyBorder="1" applyAlignment="1">
      <alignment horizontal="right"/>
    </xf>
    <xf numFmtId="168" fontId="6" fillId="29" borderId="24" xfId="30" applyNumberFormat="1" applyFont="1" applyFill="1" applyBorder="1" applyAlignment="1">
      <alignment horizontal="right"/>
    </xf>
    <xf numFmtId="168" fontId="6" fillId="38" borderId="168" xfId="30" applyNumberFormat="1" applyFont="1" applyFill="1" applyBorder="1" applyAlignment="1">
      <alignment horizontal="right"/>
    </xf>
    <xf numFmtId="168" fontId="6" fillId="38" borderId="113" xfId="30" applyNumberFormat="1" applyFont="1" applyFill="1" applyBorder="1" applyAlignment="1">
      <alignment horizontal="right"/>
    </xf>
    <xf numFmtId="168" fontId="6" fillId="38" borderId="169" xfId="30" applyNumberFormat="1" applyFont="1" applyFill="1" applyBorder="1" applyAlignment="1">
      <alignment horizontal="right"/>
    </xf>
    <xf numFmtId="168" fontId="6" fillId="30" borderId="62" xfId="30" applyNumberFormat="1" applyFont="1" applyFill="1" applyBorder="1" applyAlignment="1">
      <alignment horizontal="right"/>
    </xf>
    <xf numFmtId="168" fontId="9" fillId="30" borderId="66" xfId="0" applyNumberFormat="1" applyFont="1" applyFill="1" applyBorder="1" applyAlignment="1">
      <alignment horizontal="right" vertical="center"/>
    </xf>
    <xf numFmtId="168" fontId="9" fillId="30" borderId="78" xfId="0" applyNumberFormat="1" applyFont="1" applyFill="1" applyBorder="1" applyAlignment="1">
      <alignment horizontal="right" vertical="center"/>
    </xf>
    <xf numFmtId="168" fontId="9" fillId="30" borderId="79" xfId="0" applyNumberFormat="1" applyFont="1" applyFill="1" applyBorder="1" applyAlignment="1">
      <alignment horizontal="right" vertical="center"/>
    </xf>
    <xf numFmtId="168" fontId="9" fillId="30" borderId="80" xfId="0" applyNumberFormat="1" applyFont="1" applyFill="1" applyBorder="1" applyAlignment="1">
      <alignment horizontal="right" vertical="center"/>
    </xf>
    <xf numFmtId="168" fontId="9" fillId="30" borderId="81" xfId="0" applyNumberFormat="1" applyFont="1" applyFill="1" applyBorder="1" applyAlignment="1">
      <alignment horizontal="right" vertical="center"/>
    </xf>
    <xf numFmtId="0" fontId="6" fillId="29" borderId="99" xfId="0" applyFont="1" applyFill="1" applyBorder="1" applyAlignment="1">
      <alignment vertical="center" wrapText="1"/>
    </xf>
    <xf numFmtId="168" fontId="9" fillId="30" borderId="109" xfId="0" applyNumberFormat="1" applyFont="1" applyFill="1" applyBorder="1" applyAlignment="1">
      <alignment horizontal="left" vertical="center" wrapText="1"/>
    </xf>
    <xf numFmtId="168" fontId="9" fillId="30" borderId="43" xfId="0" applyNumberFormat="1" applyFont="1" applyFill="1" applyBorder="1" applyAlignment="1">
      <alignment horizontal="left" vertical="center" wrapText="1"/>
    </xf>
    <xf numFmtId="168" fontId="9" fillId="30" borderId="103" xfId="0" applyNumberFormat="1" applyFont="1" applyFill="1" applyBorder="1" applyAlignment="1">
      <alignment horizontal="left" vertical="center" wrapText="1"/>
    </xf>
    <xf numFmtId="168" fontId="9" fillId="30" borderId="170" xfId="0" applyNumberFormat="1" applyFont="1" applyFill="1" applyBorder="1" applyAlignment="1">
      <alignment horizontal="left" vertical="center" wrapText="1"/>
    </xf>
    <xf numFmtId="168" fontId="9" fillId="30" borderId="110" xfId="0" applyNumberFormat="1" applyFont="1" applyFill="1" applyBorder="1" applyAlignment="1">
      <alignment horizontal="left" vertical="center" wrapText="1"/>
    </xf>
    <xf numFmtId="168" fontId="9" fillId="30" borderId="104" xfId="0" applyNumberFormat="1" applyFont="1" applyFill="1" applyBorder="1" applyAlignment="1">
      <alignment horizontal="left" vertical="center" wrapText="1"/>
    </xf>
    <xf numFmtId="168" fontId="9" fillId="30" borderId="105" xfId="0" applyNumberFormat="1" applyFont="1" applyFill="1" applyBorder="1" applyAlignment="1">
      <alignment horizontal="left" vertical="center" wrapText="1"/>
    </xf>
    <xf numFmtId="168" fontId="9" fillId="30" borderId="171" xfId="0" applyNumberFormat="1" applyFont="1" applyFill="1" applyBorder="1" applyAlignment="1">
      <alignment horizontal="left" vertical="center" wrapText="1"/>
    </xf>
    <xf numFmtId="168" fontId="48" fillId="25" borderId="163" xfId="30" applyNumberFormat="1" applyFont="1" applyFill="1" applyBorder="1" applyAlignment="1">
      <alignment horizontal="right"/>
    </xf>
    <xf numFmtId="168" fontId="48" fillId="25" borderId="164" xfId="30" applyNumberFormat="1" applyFont="1" applyFill="1" applyBorder="1" applyAlignment="1">
      <alignment horizontal="right"/>
    </xf>
    <xf numFmtId="168" fontId="6" fillId="30" borderId="48" xfId="30" applyNumberFormat="1" applyFont="1" applyFill="1" applyBorder="1"/>
    <xf numFmtId="168" fontId="6" fillId="30" borderId="64" xfId="30" applyNumberFormat="1" applyFont="1" applyFill="1" applyBorder="1"/>
    <xf numFmtId="168" fontId="6" fillId="30" borderId="67" xfId="30" applyNumberFormat="1" applyFont="1" applyFill="1" applyBorder="1"/>
    <xf numFmtId="168" fontId="6" fillId="25" borderId="163" xfId="30" applyNumberFormat="1" applyFont="1" applyFill="1" applyBorder="1" applyAlignment="1">
      <alignment horizontal="right"/>
    </xf>
    <xf numFmtId="168" fontId="6" fillId="25" borderId="119" xfId="30" applyNumberFormat="1" applyFont="1" applyFill="1" applyBorder="1" applyAlignment="1">
      <alignment horizontal="right"/>
    </xf>
    <xf numFmtId="168" fontId="6" fillId="25" borderId="164" xfId="30" applyNumberFormat="1" applyFont="1" applyFill="1" applyBorder="1" applyAlignment="1">
      <alignment horizontal="right"/>
    </xf>
    <xf numFmtId="168" fontId="6" fillId="29" borderId="109" xfId="30" applyNumberFormat="1" applyFont="1" applyFill="1" applyBorder="1" applyAlignment="1">
      <alignment horizontal="right"/>
    </xf>
    <xf numFmtId="168" fontId="6" fillId="29" borderId="43" xfId="30" applyNumberFormat="1" applyFont="1" applyFill="1" applyBorder="1" applyAlignment="1">
      <alignment horizontal="right"/>
    </xf>
    <xf numFmtId="168" fontId="6" fillId="29" borderId="103" xfId="30" applyNumberFormat="1" applyFont="1" applyFill="1" applyBorder="1" applyAlignment="1">
      <alignment horizontal="right"/>
    </xf>
    <xf numFmtId="168" fontId="6" fillId="30" borderId="109" xfId="30" applyNumberFormat="1" applyFont="1" applyFill="1" applyBorder="1" applyAlignment="1">
      <alignment horizontal="right"/>
    </xf>
    <xf numFmtId="168" fontId="6" fillId="30" borderId="43" xfId="30" applyNumberFormat="1" applyFont="1" applyFill="1" applyBorder="1" applyAlignment="1">
      <alignment horizontal="right"/>
    </xf>
    <xf numFmtId="168" fontId="6" fillId="30" borderId="103" xfId="30" applyNumberFormat="1" applyFont="1" applyFill="1" applyBorder="1" applyAlignment="1">
      <alignment horizontal="right"/>
    </xf>
    <xf numFmtId="168" fontId="6" fillId="18" borderId="109" xfId="30" applyNumberFormat="1" applyFont="1" applyFill="1" applyBorder="1" applyAlignment="1">
      <alignment horizontal="right"/>
    </xf>
    <xf numFmtId="168" fontId="6" fillId="18" borderId="43" xfId="30" applyNumberFormat="1" applyFont="1" applyFill="1" applyBorder="1" applyAlignment="1">
      <alignment horizontal="right"/>
    </xf>
    <xf numFmtId="168" fontId="6" fillId="18" borderId="103" xfId="30" applyNumberFormat="1" applyFont="1" applyFill="1" applyBorder="1" applyAlignment="1">
      <alignment horizontal="right"/>
    </xf>
    <xf numFmtId="168" fontId="6" fillId="30" borderId="110" xfId="30" applyNumberFormat="1" applyFont="1" applyFill="1" applyBorder="1" applyAlignment="1">
      <alignment horizontal="right"/>
    </xf>
    <xf numFmtId="168" fontId="6" fillId="30" borderId="104" xfId="30" applyNumberFormat="1" applyFont="1" applyFill="1" applyBorder="1" applyAlignment="1">
      <alignment horizontal="right"/>
    </xf>
    <xf numFmtId="168" fontId="6" fillId="30" borderId="105" xfId="30" applyNumberFormat="1" applyFont="1" applyFill="1" applyBorder="1" applyAlignment="1">
      <alignment horizontal="right"/>
    </xf>
    <xf numFmtId="168" fontId="6" fillId="25" borderId="124" xfId="30" applyNumberFormat="1" applyFont="1" applyFill="1" applyBorder="1" applyAlignment="1">
      <alignment horizontal="right"/>
    </xf>
    <xf numFmtId="168" fontId="6" fillId="25" borderId="117" xfId="30" applyNumberFormat="1" applyFont="1" applyFill="1" applyBorder="1" applyAlignment="1">
      <alignment horizontal="right"/>
    </xf>
    <xf numFmtId="168" fontId="6" fillId="25" borderId="122" xfId="30" applyNumberFormat="1" applyFont="1" applyFill="1" applyBorder="1" applyAlignment="1">
      <alignment horizontal="right"/>
    </xf>
    <xf numFmtId="0" fontId="0" fillId="0" borderId="19" xfId="0" applyBorder="1"/>
    <xf numFmtId="168" fontId="48" fillId="29" borderId="113" xfId="30" applyNumberFormat="1" applyFont="1" applyFill="1" applyBorder="1" applyAlignment="1">
      <alignment horizontal="right"/>
    </xf>
    <xf numFmtId="168" fontId="48" fillId="29" borderId="111" xfId="30" applyNumberFormat="1" applyFont="1" applyFill="1" applyBorder="1" applyAlignment="1">
      <alignment horizontal="right"/>
    </xf>
    <xf numFmtId="168" fontId="48" fillId="30" borderId="111" xfId="30" applyNumberFormat="1" applyFont="1" applyFill="1" applyBorder="1" applyAlignment="1">
      <alignment horizontal="right"/>
    </xf>
    <xf numFmtId="168" fontId="48" fillId="18" borderId="111" xfId="30" applyNumberFormat="1" applyFont="1" applyFill="1" applyBorder="1" applyAlignment="1">
      <alignment horizontal="right"/>
    </xf>
    <xf numFmtId="168" fontId="48" fillId="30" borderId="172" xfId="30" applyNumberFormat="1" applyFont="1" applyFill="1" applyBorder="1" applyAlignment="1">
      <alignment horizontal="right"/>
    </xf>
    <xf numFmtId="168" fontId="48" fillId="29" borderId="114" xfId="30" applyNumberFormat="1" applyFont="1" applyFill="1" applyBorder="1" applyAlignment="1">
      <alignment horizontal="right"/>
    </xf>
    <xf numFmtId="168" fontId="48" fillId="29" borderId="173" xfId="30" applyNumberFormat="1" applyFont="1" applyFill="1" applyBorder="1" applyAlignment="1">
      <alignment horizontal="right"/>
    </xf>
    <xf numFmtId="168" fontId="6" fillId="18" borderId="77" xfId="30" applyNumberFormat="1" applyFont="1" applyFill="1" applyBorder="1" applyAlignment="1">
      <alignment horizontal="right"/>
    </xf>
    <xf numFmtId="168" fontId="48" fillId="30" borderId="173" xfId="30" applyNumberFormat="1" applyFont="1" applyFill="1" applyBorder="1" applyAlignment="1">
      <alignment horizontal="right"/>
    </xf>
    <xf numFmtId="168" fontId="48" fillId="18" borderId="173" xfId="30" applyNumberFormat="1" applyFont="1" applyFill="1" applyBorder="1" applyAlignment="1">
      <alignment horizontal="right"/>
    </xf>
    <xf numFmtId="168" fontId="48" fillId="30" borderId="174" xfId="30" applyNumberFormat="1" applyFont="1" applyFill="1" applyBorder="1" applyAlignment="1">
      <alignment horizontal="right"/>
    </xf>
    <xf numFmtId="43" fontId="6" fillId="25" borderId="46" xfId="0" applyNumberFormat="1" applyFont="1" applyFill="1" applyBorder="1" applyAlignment="1">
      <alignment horizontal="right"/>
    </xf>
    <xf numFmtId="168" fontId="6" fillId="30" borderId="116" xfId="30" applyNumberFormat="1" applyFont="1" applyFill="1" applyBorder="1" applyAlignment="1">
      <alignment horizontal="right"/>
    </xf>
    <xf numFmtId="168" fontId="9" fillId="29" borderId="46" xfId="30" applyNumberFormat="1" applyFont="1" applyFill="1" applyBorder="1"/>
    <xf numFmtId="168" fontId="9" fillId="29" borderId="60" xfId="30" applyNumberFormat="1" applyFont="1" applyFill="1" applyBorder="1"/>
    <xf numFmtId="168" fontId="9" fillId="29" borderId="63" xfId="30" applyNumberFormat="1" applyFont="1" applyFill="1" applyBorder="1"/>
    <xf numFmtId="168" fontId="9" fillId="29" borderId="62" xfId="30" applyNumberFormat="1" applyFont="1" applyFill="1" applyBorder="1"/>
    <xf numFmtId="168" fontId="9" fillId="29" borderId="86" xfId="30" applyNumberFormat="1" applyFont="1" applyFill="1" applyBorder="1"/>
    <xf numFmtId="168" fontId="9" fillId="29" borderId="48" xfId="30" applyNumberFormat="1" applyFont="1" applyFill="1" applyBorder="1"/>
    <xf numFmtId="168" fontId="9" fillId="29" borderId="64" xfId="30" applyNumberFormat="1" applyFont="1" applyFill="1" applyBorder="1"/>
    <xf numFmtId="168" fontId="9" fillId="29" borderId="67" xfId="30" applyNumberFormat="1" applyFont="1" applyFill="1" applyBorder="1"/>
    <xf numFmtId="168" fontId="9" fillId="29" borderId="66" xfId="30" applyNumberFormat="1" applyFont="1" applyFill="1" applyBorder="1"/>
    <xf numFmtId="168" fontId="9" fillId="29" borderId="88" xfId="30" applyNumberFormat="1" applyFont="1" applyFill="1" applyBorder="1"/>
    <xf numFmtId="43" fontId="6" fillId="0" borderId="0" xfId="0" applyNumberFormat="1" applyFont="1" applyFill="1" applyBorder="1"/>
    <xf numFmtId="0" fontId="6" fillId="0" borderId="0" xfId="0" applyFont="1" applyFill="1" applyBorder="1"/>
    <xf numFmtId="168" fontId="9" fillId="29" borderId="78" xfId="30" applyNumberFormat="1" applyFont="1" applyFill="1" applyBorder="1"/>
    <xf numFmtId="168" fontId="9" fillId="29" borderId="79" xfId="30" applyNumberFormat="1" applyFont="1" applyFill="1" applyBorder="1"/>
    <xf numFmtId="168" fontId="9" fillId="29" borderId="87" xfId="30" applyNumberFormat="1" applyFont="1" applyFill="1" applyBorder="1"/>
    <xf numFmtId="0" fontId="6" fillId="18" borderId="36" xfId="0" applyFont="1" applyFill="1" applyBorder="1" applyAlignment="1" applyProtection="1">
      <alignment vertical="center" wrapText="1"/>
      <protection locked="0"/>
    </xf>
    <xf numFmtId="0" fontId="6" fillId="18" borderId="35" xfId="0" applyFont="1" applyFill="1" applyBorder="1" applyAlignment="1" applyProtection="1">
      <alignment vertical="center" wrapText="1"/>
      <protection locked="0"/>
    </xf>
    <xf numFmtId="0" fontId="6" fillId="18" borderId="149" xfId="0" applyFont="1" applyFill="1" applyBorder="1" applyAlignment="1" applyProtection="1">
      <alignment vertical="center" wrapText="1"/>
      <protection locked="0"/>
    </xf>
    <xf numFmtId="0" fontId="0" fillId="33" borderId="22" xfId="0" applyFill="1" applyBorder="1"/>
    <xf numFmtId="168" fontId="9" fillId="31" borderId="46" xfId="0" applyNumberFormat="1" applyFont="1" applyFill="1" applyBorder="1" applyAlignment="1">
      <alignment horizontal="left" vertical="center"/>
    </xf>
    <xf numFmtId="168" fontId="6" fillId="18" borderId="85" xfId="30" applyNumberFormat="1" applyFont="1" applyFill="1" applyBorder="1"/>
    <xf numFmtId="0" fontId="6" fillId="33" borderId="0" xfId="0" applyFont="1" applyFill="1" applyAlignment="1">
      <alignment vertical="center"/>
    </xf>
    <xf numFmtId="0" fontId="6" fillId="0" borderId="0" xfId="0" applyFont="1" applyAlignment="1">
      <alignment vertical="center"/>
    </xf>
    <xf numFmtId="0" fontId="0" fillId="43" borderId="0" xfId="0" applyFill="1"/>
    <xf numFmtId="0" fontId="6" fillId="43" borderId="0" xfId="0" applyFont="1" applyFill="1"/>
    <xf numFmtId="43" fontId="6" fillId="43" borderId="0" xfId="0" applyNumberFormat="1" applyFont="1" applyFill="1"/>
    <xf numFmtId="168" fontId="6" fillId="43" borderId="0" xfId="0" applyNumberFormat="1" applyFont="1" applyFill="1"/>
    <xf numFmtId="0" fontId="18" fillId="19" borderId="0" xfId="0" applyFont="1" applyFill="1" applyBorder="1" applyAlignment="1" applyProtection="1">
      <alignment vertical="center"/>
    </xf>
    <xf numFmtId="0" fontId="0" fillId="0" borderId="0" xfId="0"/>
    <xf numFmtId="0" fontId="18" fillId="19" borderId="0" xfId="0" applyFont="1" applyFill="1" applyBorder="1" applyAlignment="1" applyProtection="1">
      <alignment horizontal="left" vertical="center"/>
    </xf>
    <xf numFmtId="0" fontId="0" fillId="33" borderId="0" xfId="0" applyFill="1"/>
    <xf numFmtId="0" fontId="0" fillId="0" borderId="21" xfId="0" applyBorder="1"/>
    <xf numFmtId="0" fontId="0" fillId="0" borderId="22" xfId="0" applyBorder="1"/>
    <xf numFmtId="0" fontId="0" fillId="0" borderId="19" xfId="0" applyBorder="1"/>
    <xf numFmtId="0" fontId="0" fillId="0" borderId="0" xfId="0" applyBorder="1"/>
    <xf numFmtId="0" fontId="0" fillId="33" borderId="19" xfId="0" applyFill="1" applyBorder="1"/>
    <xf numFmtId="0" fontId="61" fillId="33" borderId="0" xfId="0" applyFont="1" applyFill="1" applyProtection="1"/>
    <xf numFmtId="0" fontId="61" fillId="33" borderId="0" xfId="0" applyFont="1" applyFill="1" applyBorder="1" applyProtection="1"/>
    <xf numFmtId="168" fontId="6" fillId="31" borderId="92" xfId="30" applyNumberFormat="1" applyFont="1" applyFill="1" applyBorder="1"/>
    <xf numFmtId="168" fontId="6" fillId="18" borderId="93" xfId="30" applyNumberFormat="1" applyFont="1" applyFill="1" applyBorder="1"/>
    <xf numFmtId="9" fontId="6" fillId="29" borderId="93" xfId="44" applyFont="1" applyFill="1" applyBorder="1"/>
    <xf numFmtId="9" fontId="6" fillId="29" borderId="94" xfId="44" applyFont="1" applyFill="1" applyBorder="1"/>
    <xf numFmtId="0" fontId="6" fillId="22" borderId="87" xfId="0" applyFont="1" applyFill="1" applyBorder="1" applyAlignment="1" applyProtection="1">
      <alignment vertical="center" wrapText="1"/>
      <protection locked="0"/>
    </xf>
    <xf numFmtId="0" fontId="6" fillId="22" borderId="78" xfId="0" applyFont="1" applyFill="1" applyBorder="1" applyAlignment="1" applyProtection="1">
      <alignment vertical="center" wrapText="1"/>
      <protection locked="0"/>
    </xf>
    <xf numFmtId="0" fontId="6" fillId="22" borderId="80" xfId="0" applyFont="1" applyFill="1" applyBorder="1" applyAlignment="1" applyProtection="1">
      <alignment vertical="center" wrapText="1"/>
      <protection locked="0"/>
    </xf>
    <xf numFmtId="0" fontId="6" fillId="18" borderId="34" xfId="0" applyFont="1" applyFill="1" applyBorder="1" applyAlignment="1" applyProtection="1">
      <alignment vertical="center" wrapText="1"/>
      <protection locked="0"/>
    </xf>
    <xf numFmtId="168" fontId="6" fillId="38" borderId="86" xfId="30" applyNumberFormat="1" applyFont="1" applyFill="1" applyBorder="1"/>
    <xf numFmtId="43" fontId="9" fillId="29" borderId="86" xfId="0" applyNumberFormat="1" applyFont="1" applyFill="1" applyBorder="1"/>
    <xf numFmtId="43" fontId="9" fillId="29" borderId="88" xfId="0" applyNumberFormat="1" applyFont="1" applyFill="1" applyBorder="1"/>
    <xf numFmtId="0" fontId="9" fillId="29" borderId="50" xfId="0" applyFont="1" applyFill="1" applyBorder="1"/>
    <xf numFmtId="43" fontId="9" fillId="29" borderId="46" xfId="0" applyNumberFormat="1" applyFont="1" applyFill="1" applyBorder="1" applyAlignment="1">
      <alignment horizontal="right"/>
    </xf>
    <xf numFmtId="43" fontId="9" fillId="29" borderId="63" xfId="0" applyNumberFormat="1" applyFont="1" applyFill="1" applyBorder="1" applyAlignment="1">
      <alignment horizontal="right"/>
    </xf>
    <xf numFmtId="43" fontId="9" fillId="29" borderId="67" xfId="0" applyNumberFormat="1" applyFont="1" applyFill="1" applyBorder="1" applyAlignment="1">
      <alignment horizontal="right"/>
    </xf>
    <xf numFmtId="168" fontId="6" fillId="38" borderId="88" xfId="30" applyNumberFormat="1" applyFont="1" applyFill="1" applyBorder="1"/>
    <xf numFmtId="0" fontId="18" fillId="33" borderId="0" xfId="0" applyFont="1" applyFill="1"/>
    <xf numFmtId="168" fontId="6" fillId="18" borderId="133" xfId="30" applyNumberFormat="1" applyFont="1" applyFill="1" applyBorder="1"/>
    <xf numFmtId="168" fontId="6" fillId="31" borderId="86" xfId="30" applyNumberFormat="1" applyFont="1" applyFill="1" applyBorder="1"/>
    <xf numFmtId="0" fontId="78" fillId="27" borderId="45" xfId="0" applyFont="1" applyFill="1" applyBorder="1" applyAlignment="1">
      <alignment vertical="center"/>
    </xf>
    <xf numFmtId="0" fontId="9" fillId="33" borderId="0" xfId="0" applyFont="1" applyFill="1" applyAlignment="1"/>
    <xf numFmtId="43" fontId="9" fillId="29" borderId="78" xfId="0" applyNumberFormat="1" applyFont="1" applyFill="1" applyBorder="1" applyAlignment="1">
      <alignment horizontal="right" vertical="center" wrapText="1"/>
    </xf>
    <xf numFmtId="43" fontId="9" fillId="29" borderId="79" xfId="0" applyNumberFormat="1" applyFont="1" applyFill="1" applyBorder="1" applyAlignment="1">
      <alignment horizontal="right" vertical="center" wrapText="1"/>
    </xf>
    <xf numFmtId="43" fontId="9" fillId="29" borderId="80" xfId="0" applyNumberFormat="1" applyFont="1" applyFill="1" applyBorder="1" applyAlignment="1">
      <alignment horizontal="right" vertical="center" wrapText="1"/>
    </xf>
    <xf numFmtId="0" fontId="66" fillId="36" borderId="78" xfId="0" applyFont="1" applyFill="1" applyBorder="1" applyAlignment="1">
      <alignment horizontal="center" vertical="center" wrapText="1"/>
    </xf>
    <xf numFmtId="0" fontId="66" fillId="36" borderId="79" xfId="0" applyFont="1" applyFill="1" applyBorder="1" applyAlignment="1">
      <alignment horizontal="center" vertical="center" wrapText="1"/>
    </xf>
    <xf numFmtId="0" fontId="68" fillId="49" borderId="63" xfId="0" applyFont="1" applyFill="1" applyBorder="1" applyAlignment="1">
      <alignment horizontal="center" vertical="center" wrapText="1"/>
    </xf>
    <xf numFmtId="0" fontId="68" fillId="49" borderId="67" xfId="0" applyFont="1" applyFill="1" applyBorder="1" applyAlignment="1">
      <alignment horizontal="center" vertical="center"/>
    </xf>
    <xf numFmtId="0" fontId="11" fillId="14" borderId="0" xfId="0" applyFont="1" applyFill="1" applyAlignment="1">
      <alignment vertical="top"/>
    </xf>
    <xf numFmtId="0" fontId="9" fillId="29" borderId="74" xfId="0" applyFont="1" applyFill="1" applyBorder="1" applyAlignment="1">
      <alignment horizontal="right" vertical="center" wrapText="1"/>
    </xf>
    <xf numFmtId="9" fontId="6" fillId="18" borderId="76" xfId="44" applyFont="1" applyFill="1" applyBorder="1" applyAlignment="1">
      <alignment horizontal="right"/>
    </xf>
    <xf numFmtId="0" fontId="9" fillId="29" borderId="76" xfId="0" applyFont="1" applyFill="1" applyBorder="1" applyAlignment="1">
      <alignment horizontal="right" vertical="center" wrapText="1"/>
    </xf>
    <xf numFmtId="0" fontId="9" fillId="29" borderId="75" xfId="0" applyFont="1" applyFill="1" applyBorder="1" applyAlignment="1">
      <alignment horizontal="right" vertical="center" wrapText="1"/>
    </xf>
    <xf numFmtId="9" fontId="6" fillId="18" borderId="77" xfId="44" applyFont="1" applyFill="1" applyBorder="1" applyAlignment="1">
      <alignment horizontal="right"/>
    </xf>
    <xf numFmtId="0" fontId="9" fillId="29" borderId="77" xfId="0" applyFont="1" applyFill="1" applyBorder="1" applyAlignment="1">
      <alignment horizontal="right" vertical="center" wrapText="1"/>
    </xf>
    <xf numFmtId="0" fontId="66" fillId="39" borderId="48" xfId="0" applyFont="1" applyFill="1" applyBorder="1" applyAlignment="1">
      <alignment horizontal="center" vertical="center" wrapText="1"/>
    </xf>
    <xf numFmtId="0" fontId="6" fillId="33" borderId="140" xfId="0" applyFont="1" applyFill="1" applyBorder="1" applyAlignment="1">
      <alignment horizontal="left" vertical="center" wrapText="1" indent="1"/>
    </xf>
    <xf numFmtId="0" fontId="6" fillId="33" borderId="141" xfId="0" applyFont="1" applyFill="1" applyBorder="1" applyAlignment="1">
      <alignment horizontal="left" vertical="center" wrapText="1" indent="1"/>
    </xf>
    <xf numFmtId="0" fontId="6" fillId="33" borderId="146" xfId="0" applyFont="1" applyFill="1" applyBorder="1" applyAlignment="1">
      <alignment horizontal="left" vertical="center" wrapText="1" indent="1"/>
    </xf>
    <xf numFmtId="1" fontId="9" fillId="38" borderId="48" xfId="44" applyNumberFormat="1" applyFont="1" applyFill="1" applyBorder="1"/>
    <xf numFmtId="1" fontId="9" fillId="38" borderId="64" xfId="44" applyNumberFormat="1" applyFont="1" applyFill="1" applyBorder="1"/>
    <xf numFmtId="1" fontId="9" fillId="38" borderId="67" xfId="44" applyNumberFormat="1" applyFont="1" applyFill="1" applyBorder="1"/>
    <xf numFmtId="0" fontId="102" fillId="0" borderId="0" xfId="0" applyFont="1"/>
    <xf numFmtId="0" fontId="102" fillId="36" borderId="21" xfId="0" applyFont="1" applyFill="1" applyBorder="1"/>
    <xf numFmtId="0" fontId="102" fillId="36" borderId="23" xfId="0" applyFont="1" applyFill="1" applyBorder="1"/>
    <xf numFmtId="0" fontId="102" fillId="36" borderId="19" xfId="0" applyFont="1" applyFill="1" applyBorder="1" applyAlignment="1">
      <alignment horizontal="center" vertical="center"/>
    </xf>
    <xf numFmtId="0" fontId="102" fillId="36" borderId="24" xfId="0" applyFont="1" applyFill="1" applyBorder="1" applyAlignment="1">
      <alignment horizontal="center" vertical="center"/>
    </xf>
    <xf numFmtId="0" fontId="102" fillId="36" borderId="19" xfId="0" applyFont="1" applyFill="1" applyBorder="1"/>
    <xf numFmtId="0" fontId="102" fillId="36" borderId="24" xfId="0" applyFont="1" applyFill="1" applyBorder="1"/>
    <xf numFmtId="0" fontId="98" fillId="36" borderId="24" xfId="0" applyFont="1" applyFill="1" applyBorder="1" applyAlignment="1">
      <alignment horizontal="left" vertical="center" wrapText="1"/>
    </xf>
    <xf numFmtId="0" fontId="102" fillId="36" borderId="25" xfId="0" applyFont="1" applyFill="1" applyBorder="1"/>
    <xf numFmtId="0" fontId="102" fillId="36" borderId="202" xfId="0" applyFont="1" applyFill="1" applyBorder="1"/>
    <xf numFmtId="0" fontId="98" fillId="36" borderId="24" xfId="0" applyFont="1" applyFill="1" applyBorder="1" applyAlignment="1">
      <alignment horizontal="left" vertical="center" indent="1"/>
    </xf>
    <xf numFmtId="0" fontId="98" fillId="36" borderId="24" xfId="0" applyFont="1" applyFill="1" applyBorder="1" applyAlignment="1">
      <alignment horizontal="left" vertical="center" wrapText="1" indent="1"/>
    </xf>
    <xf numFmtId="0" fontId="98" fillId="36" borderId="19" xfId="0" applyFont="1" applyFill="1" applyBorder="1" applyAlignment="1">
      <alignment horizontal="left" vertical="center" indent="1"/>
    </xf>
    <xf numFmtId="0" fontId="98" fillId="36" borderId="19" xfId="0" applyFont="1" applyFill="1" applyBorder="1" applyAlignment="1">
      <alignment horizontal="center" vertical="center" wrapText="1"/>
    </xf>
    <xf numFmtId="10" fontId="6" fillId="18" borderId="58" xfId="44" applyNumberFormat="1" applyFont="1" applyFill="1" applyBorder="1" applyProtection="1">
      <protection locked="0"/>
    </xf>
    <xf numFmtId="10" fontId="6" fillId="18" borderId="59" xfId="44" applyNumberFormat="1" applyFont="1" applyFill="1" applyBorder="1" applyProtection="1">
      <protection locked="0"/>
    </xf>
    <xf numFmtId="2" fontId="6" fillId="18" borderId="56" xfId="44" applyNumberFormat="1" applyFont="1" applyFill="1" applyBorder="1" applyAlignment="1" applyProtection="1">
      <alignment horizontal="left" indent="3"/>
      <protection locked="0"/>
    </xf>
    <xf numFmtId="10" fontId="6" fillId="18" borderId="59" xfId="44" applyNumberFormat="1" applyFont="1" applyFill="1" applyBorder="1" applyAlignment="1" applyProtection="1">
      <alignment vertical="center"/>
      <protection locked="0"/>
    </xf>
    <xf numFmtId="0" fontId="41" fillId="33" borderId="22" xfId="0" applyFont="1" applyFill="1" applyBorder="1" applyAlignment="1">
      <alignment horizontal="center" vertical="center" wrapText="1"/>
    </xf>
    <xf numFmtId="0" fontId="41" fillId="33" borderId="0" xfId="0" applyFont="1" applyFill="1" applyBorder="1" applyAlignment="1">
      <alignment horizontal="center" vertical="center" wrapText="1"/>
    </xf>
    <xf numFmtId="168" fontId="9" fillId="38" borderId="59" xfId="0" applyNumberFormat="1" applyFont="1" applyFill="1" applyBorder="1" applyAlignment="1">
      <alignment horizontal="left" vertical="center"/>
    </xf>
    <xf numFmtId="168" fontId="9" fillId="38" borderId="63" xfId="0" applyNumberFormat="1" applyFont="1" applyFill="1" applyBorder="1" applyAlignment="1">
      <alignment horizontal="left" vertical="center"/>
    </xf>
    <xf numFmtId="0" fontId="0" fillId="0" borderId="25" xfId="0" applyBorder="1"/>
    <xf numFmtId="0" fontId="9" fillId="33" borderId="19" xfId="0" applyFont="1" applyFill="1" applyBorder="1" applyAlignment="1" applyProtection="1">
      <alignment horizontal="left" vertical="center" wrapText="1"/>
      <protection locked="0"/>
    </xf>
    <xf numFmtId="0" fontId="6" fillId="38" borderId="18" xfId="0" applyFont="1" applyFill="1" applyBorder="1" applyAlignment="1">
      <alignment horizontal="center" vertical="center" wrapText="1"/>
    </xf>
    <xf numFmtId="0" fontId="9" fillId="39" borderId="64" xfId="0" applyFont="1" applyFill="1" applyBorder="1" applyAlignment="1" applyProtection="1">
      <alignment horizontal="center" vertical="center" wrapText="1"/>
      <protection locked="0"/>
    </xf>
    <xf numFmtId="0" fontId="6" fillId="33" borderId="50" xfId="0" applyFont="1" applyFill="1" applyBorder="1" applyAlignment="1">
      <alignment horizontal="left" vertical="center" wrapText="1" indent="1"/>
    </xf>
    <xf numFmtId="0" fontId="6" fillId="14" borderId="0" xfId="0" applyFont="1" applyFill="1" applyBorder="1" applyAlignment="1">
      <alignment vertical="top" wrapText="1"/>
    </xf>
    <xf numFmtId="0" fontId="0" fillId="14" borderId="0" xfId="0" applyFill="1" applyAlignment="1">
      <alignment wrapText="1"/>
    </xf>
    <xf numFmtId="0" fontId="14" fillId="29" borderId="36" xfId="0" applyFont="1" applyFill="1" applyBorder="1" applyAlignment="1">
      <alignment vertical="center"/>
    </xf>
    <xf numFmtId="0" fontId="14" fillId="29" borderId="35" xfId="0" applyFont="1" applyFill="1" applyBorder="1" applyAlignment="1">
      <alignment vertical="center"/>
    </xf>
    <xf numFmtId="0" fontId="14" fillId="29" borderId="34" xfId="0" applyFont="1" applyFill="1" applyBorder="1" applyAlignment="1">
      <alignment vertical="center"/>
    </xf>
    <xf numFmtId="0" fontId="78" fillId="29" borderId="35" xfId="0" applyFont="1" applyFill="1" applyBorder="1" applyAlignment="1">
      <alignment vertical="center"/>
    </xf>
    <xf numFmtId="0" fontId="78" fillId="29" borderId="34" xfId="0" applyFont="1" applyFill="1" applyBorder="1" applyAlignment="1">
      <alignment vertical="center"/>
    </xf>
    <xf numFmtId="0" fontId="14" fillId="30" borderId="36" xfId="0" applyFont="1" applyFill="1" applyBorder="1" applyAlignment="1">
      <alignment vertical="center"/>
    </xf>
    <xf numFmtId="0" fontId="14" fillId="30" borderId="35" xfId="0" applyFont="1" applyFill="1" applyBorder="1" applyAlignment="1">
      <alignment vertical="center"/>
    </xf>
    <xf numFmtId="0" fontId="14" fillId="30" borderId="34" xfId="0" applyFont="1" applyFill="1" applyBorder="1" applyAlignment="1">
      <alignment vertical="center"/>
    </xf>
    <xf numFmtId="0" fontId="78" fillId="30" borderId="35" xfId="0" applyFont="1" applyFill="1" applyBorder="1" applyAlignment="1">
      <alignment vertical="center"/>
    </xf>
    <xf numFmtId="0" fontId="78" fillId="30" borderId="34" xfId="0" applyFont="1" applyFill="1" applyBorder="1" applyAlignment="1">
      <alignment vertical="center"/>
    </xf>
    <xf numFmtId="0" fontId="9" fillId="33" borderId="50" xfId="0" applyFont="1" applyFill="1" applyBorder="1" applyAlignment="1">
      <alignment horizontal="left" indent="2"/>
    </xf>
    <xf numFmtId="0" fontId="9" fillId="33" borderId="68" xfId="0" applyFont="1" applyFill="1" applyBorder="1" applyAlignment="1">
      <alignment horizontal="left" indent="1"/>
    </xf>
    <xf numFmtId="0" fontId="14" fillId="30" borderId="22" xfId="0" applyFont="1" applyFill="1" applyBorder="1" applyAlignment="1">
      <alignment vertical="center"/>
    </xf>
    <xf numFmtId="0" fontId="9" fillId="40" borderId="65" xfId="0" applyFont="1" applyFill="1" applyBorder="1" applyAlignment="1" applyProtection="1">
      <alignment horizontal="center" vertical="center" wrapText="1"/>
      <protection locked="0"/>
    </xf>
    <xf numFmtId="0" fontId="9" fillId="40" borderId="88" xfId="0" applyFont="1" applyFill="1" applyBorder="1" applyAlignment="1" applyProtection="1">
      <alignment horizontal="center" vertical="center" wrapText="1"/>
      <protection locked="0"/>
    </xf>
    <xf numFmtId="0" fontId="9" fillId="40" borderId="207" xfId="0" applyFont="1" applyFill="1" applyBorder="1" applyAlignment="1" applyProtection="1">
      <alignment horizontal="center" vertical="center" wrapText="1"/>
      <protection locked="0"/>
    </xf>
    <xf numFmtId="0" fontId="9" fillId="39" borderId="207" xfId="0" applyFont="1" applyFill="1" applyBorder="1" applyAlignment="1" applyProtection="1">
      <alignment horizontal="center" vertical="center" wrapText="1"/>
      <protection locked="0"/>
    </xf>
    <xf numFmtId="0" fontId="9" fillId="39" borderId="85" xfId="0" applyFont="1" applyFill="1" applyBorder="1" applyAlignment="1" applyProtection="1">
      <alignment horizontal="center" vertical="center" wrapText="1"/>
      <protection locked="0"/>
    </xf>
    <xf numFmtId="0" fontId="9" fillId="39" borderId="88" xfId="0" applyFont="1" applyFill="1" applyBorder="1" applyAlignment="1" applyProtection="1">
      <alignment horizontal="center" vertical="center" wrapText="1"/>
      <protection locked="0"/>
    </xf>
    <xf numFmtId="0" fontId="9" fillId="40" borderId="206" xfId="0" applyFont="1" applyFill="1" applyBorder="1" applyAlignment="1" applyProtection="1">
      <alignment horizontal="center" vertical="center" wrapText="1"/>
      <protection locked="0"/>
    </xf>
    <xf numFmtId="0" fontId="9" fillId="40" borderId="82" xfId="0" applyFont="1" applyFill="1" applyBorder="1" applyAlignment="1" applyProtection="1">
      <alignment horizontal="center" vertical="center" wrapText="1"/>
      <protection locked="0"/>
    </xf>
    <xf numFmtId="0" fontId="9" fillId="40" borderId="85" xfId="0" applyFont="1" applyFill="1" applyBorder="1" applyAlignment="1" applyProtection="1">
      <alignment horizontal="center" vertical="center" wrapText="1"/>
      <protection locked="0"/>
    </xf>
    <xf numFmtId="0" fontId="9" fillId="40" borderId="71" xfId="0" applyFont="1" applyFill="1" applyBorder="1" applyAlignment="1" applyProtection="1">
      <alignment horizontal="center" vertical="center" wrapText="1"/>
      <protection locked="0"/>
    </xf>
    <xf numFmtId="0" fontId="9" fillId="40" borderId="55" xfId="0" applyFont="1" applyFill="1" applyBorder="1" applyAlignment="1" applyProtection="1">
      <alignment horizontal="center" vertical="center" wrapText="1"/>
      <protection locked="0"/>
    </xf>
    <xf numFmtId="0" fontId="9" fillId="40" borderId="56" xfId="0" applyFont="1" applyFill="1" applyBorder="1" applyAlignment="1" applyProtection="1">
      <alignment horizontal="center" vertical="center" wrapText="1"/>
      <protection locked="0"/>
    </xf>
    <xf numFmtId="0" fontId="9" fillId="40" borderId="133" xfId="0" applyFont="1" applyFill="1" applyBorder="1" applyAlignment="1" applyProtection="1">
      <alignment horizontal="center" vertical="center" wrapText="1"/>
      <protection locked="0"/>
    </xf>
    <xf numFmtId="0" fontId="66" fillId="14" borderId="0" xfId="0" applyFont="1" applyFill="1" applyAlignment="1"/>
    <xf numFmtId="0" fontId="17" fillId="30" borderId="35" xfId="0" applyFont="1" applyFill="1" applyBorder="1" applyAlignment="1">
      <alignment vertical="center"/>
    </xf>
    <xf numFmtId="0" fontId="79" fillId="27" borderId="23" xfId="0" applyFont="1" applyFill="1" applyBorder="1" applyAlignment="1">
      <alignment vertical="center"/>
    </xf>
    <xf numFmtId="0" fontId="17" fillId="30" borderId="34" xfId="0" applyFont="1" applyFill="1" applyBorder="1" applyAlignment="1">
      <alignment vertical="center"/>
    </xf>
    <xf numFmtId="0" fontId="16" fillId="33" borderId="0" xfId="0" applyFont="1" applyFill="1" applyBorder="1" applyAlignment="1">
      <alignment horizontal="left" vertical="center" wrapText="1" shrinkToFit="1"/>
    </xf>
    <xf numFmtId="0" fontId="16" fillId="0" borderId="0" xfId="0" applyFont="1" applyFill="1" applyBorder="1" applyAlignment="1">
      <alignment horizontal="left" vertical="center" wrapText="1" shrinkToFit="1"/>
    </xf>
    <xf numFmtId="0" fontId="66" fillId="31" borderId="126" xfId="0" applyFont="1" applyFill="1" applyBorder="1" applyAlignment="1">
      <alignment vertical="center"/>
    </xf>
    <xf numFmtId="0" fontId="66" fillId="31" borderId="126" xfId="0" applyFont="1" applyFill="1" applyBorder="1" applyAlignment="1"/>
    <xf numFmtId="0" fontId="66" fillId="31" borderId="130" xfId="0" applyFont="1" applyFill="1" applyBorder="1" applyAlignment="1"/>
    <xf numFmtId="41" fontId="11" fillId="38" borderId="55" xfId="0" applyNumberFormat="1" applyFont="1" applyFill="1" applyBorder="1"/>
    <xf numFmtId="41" fontId="11" fillId="38" borderId="56" xfId="0" applyNumberFormat="1" applyFont="1" applyFill="1" applyBorder="1"/>
    <xf numFmtId="0" fontId="6" fillId="33" borderId="50" xfId="0" applyFont="1" applyFill="1" applyBorder="1" applyAlignment="1">
      <alignment horizontal="left" vertical="center" wrapText="1" indent="3"/>
    </xf>
    <xf numFmtId="41" fontId="11" fillId="38" borderId="46" xfId="0" applyNumberFormat="1" applyFont="1" applyFill="1" applyBorder="1"/>
    <xf numFmtId="41" fontId="16" fillId="29" borderId="48" xfId="0" applyNumberFormat="1" applyFont="1" applyFill="1" applyBorder="1"/>
    <xf numFmtId="0" fontId="6" fillId="33" borderId="70" xfId="0" applyFont="1" applyFill="1" applyBorder="1" applyAlignment="1">
      <alignment horizontal="left" vertical="center" wrapText="1" indent="2"/>
    </xf>
    <xf numFmtId="0" fontId="66" fillId="31" borderId="131" xfId="0" applyFont="1" applyFill="1" applyBorder="1" applyAlignment="1"/>
    <xf numFmtId="41" fontId="11" fillId="38" borderId="59" xfId="0" applyNumberFormat="1" applyFont="1" applyFill="1" applyBorder="1"/>
    <xf numFmtId="41" fontId="11" fillId="38" borderId="63" xfId="0" applyNumberFormat="1" applyFont="1" applyFill="1" applyBorder="1"/>
    <xf numFmtId="41" fontId="16" fillId="29" borderId="67" xfId="0" applyNumberFormat="1" applyFont="1" applyFill="1" applyBorder="1"/>
    <xf numFmtId="3" fontId="11" fillId="18" borderId="59" xfId="0" applyNumberFormat="1" applyFont="1" applyFill="1" applyBorder="1"/>
    <xf numFmtId="3" fontId="11" fillId="18" borderId="63" xfId="0" applyNumberFormat="1" applyFont="1" applyFill="1" applyBorder="1"/>
    <xf numFmtId="0" fontId="0" fillId="0" borderId="141" xfId="0" applyFill="1" applyBorder="1" applyAlignment="1">
      <alignment horizontal="left" indent="2"/>
    </xf>
    <xf numFmtId="3" fontId="11" fillId="18" borderId="80" xfId="0" applyNumberFormat="1" applyFont="1" applyFill="1" applyBorder="1"/>
    <xf numFmtId="0" fontId="0" fillId="0" borderId="215" xfId="0" applyFill="1" applyBorder="1" applyAlignment="1">
      <alignment horizontal="left" indent="2"/>
    </xf>
    <xf numFmtId="3" fontId="11" fillId="18" borderId="79" xfId="0" applyNumberFormat="1" applyFont="1" applyFill="1" applyBorder="1"/>
    <xf numFmtId="0" fontId="0" fillId="0" borderId="211" xfId="0" applyFill="1" applyBorder="1" applyAlignment="1">
      <alignment horizontal="left" indent="2"/>
    </xf>
    <xf numFmtId="0" fontId="6" fillId="18" borderId="55" xfId="0" applyFont="1" applyFill="1" applyBorder="1" applyAlignment="1" applyProtection="1">
      <alignment horizontal="right" vertical="center" wrapText="1"/>
      <protection locked="0"/>
    </xf>
    <xf numFmtId="0" fontId="6" fillId="18" borderId="56" xfId="0" applyFont="1" applyFill="1" applyBorder="1" applyAlignment="1" applyProtection="1">
      <alignment horizontal="right" vertical="center" wrapText="1"/>
      <protection locked="0"/>
    </xf>
    <xf numFmtId="0" fontId="6" fillId="18" borderId="59" xfId="0" applyFont="1" applyFill="1" applyBorder="1" applyAlignment="1" applyProtection="1">
      <alignment horizontal="right" vertical="center" wrapText="1"/>
      <protection locked="0"/>
    </xf>
    <xf numFmtId="43" fontId="9" fillId="31" borderId="64" xfId="30" applyFont="1" applyFill="1" applyBorder="1" applyAlignment="1">
      <alignment horizontal="left" vertical="center" wrapText="1"/>
    </xf>
    <xf numFmtId="43" fontId="9" fillId="31" borderId="67" xfId="30" applyFont="1" applyFill="1" applyBorder="1" applyAlignment="1">
      <alignment horizontal="left" vertical="center" wrapText="1"/>
    </xf>
    <xf numFmtId="41" fontId="9" fillId="31" borderId="46" xfId="0" applyNumberFormat="1" applyFont="1" applyFill="1" applyBorder="1" applyAlignment="1">
      <alignment horizontal="right" vertical="center" wrapText="1"/>
    </xf>
    <xf numFmtId="41" fontId="9" fillId="31" borderId="60" xfId="0" applyNumberFormat="1" applyFont="1" applyFill="1" applyBorder="1" applyAlignment="1">
      <alignment horizontal="right" vertical="center" wrapText="1"/>
    </xf>
    <xf numFmtId="41" fontId="9" fillId="31" borderId="63" xfId="0" applyNumberFormat="1" applyFont="1" applyFill="1" applyBorder="1" applyAlignment="1">
      <alignment horizontal="right" vertical="center" wrapText="1"/>
    </xf>
    <xf numFmtId="0" fontId="16" fillId="38" borderId="46" xfId="0" applyFont="1" applyFill="1" applyBorder="1" applyAlignment="1">
      <alignment horizontal="right" vertical="center" wrapText="1"/>
    </xf>
    <xf numFmtId="0" fontId="16" fillId="38" borderId="60" xfId="0" applyFont="1" applyFill="1" applyBorder="1" applyAlignment="1">
      <alignment horizontal="right" vertical="center" wrapText="1"/>
    </xf>
    <xf numFmtId="0" fontId="16" fillId="38" borderId="63" xfId="0" applyFont="1" applyFill="1" applyBorder="1" applyAlignment="1">
      <alignment horizontal="right" vertical="center" wrapText="1"/>
    </xf>
    <xf numFmtId="168" fontId="9" fillId="30" borderId="51" xfId="0" applyNumberFormat="1" applyFont="1" applyFill="1" applyBorder="1" applyAlignment="1">
      <alignment horizontal="right" vertical="center" wrapText="1"/>
    </xf>
    <xf numFmtId="168" fontId="9" fillId="30" borderId="52" xfId="0" applyNumberFormat="1" applyFont="1" applyFill="1" applyBorder="1" applyAlignment="1">
      <alignment horizontal="right" vertical="center" wrapText="1"/>
    </xf>
    <xf numFmtId="168" fontId="9" fillId="30" borderId="53" xfId="0" applyNumberFormat="1" applyFont="1" applyFill="1" applyBorder="1" applyAlignment="1">
      <alignment horizontal="right" vertical="center" wrapText="1"/>
    </xf>
    <xf numFmtId="0" fontId="14" fillId="31" borderId="130" xfId="0" applyFont="1" applyFill="1" applyBorder="1" applyAlignment="1">
      <alignment vertical="center"/>
    </xf>
    <xf numFmtId="0" fontId="14" fillId="31" borderId="131" xfId="0" applyFont="1" applyFill="1" applyBorder="1" applyAlignment="1">
      <alignment vertical="center"/>
    </xf>
    <xf numFmtId="0" fontId="48" fillId="25" borderId="70" xfId="0" applyFont="1" applyFill="1" applyBorder="1" applyAlignment="1">
      <alignment horizontal="left" vertical="center" wrapText="1" indent="3"/>
    </xf>
    <xf numFmtId="0" fontId="132" fillId="33" borderId="0" xfId="0" applyFont="1" applyFill="1" applyBorder="1" applyAlignment="1">
      <alignment vertical="center"/>
    </xf>
    <xf numFmtId="43" fontId="9" fillId="29" borderId="210" xfId="0" applyNumberFormat="1" applyFont="1" applyFill="1" applyBorder="1" applyAlignment="1">
      <alignment horizontal="right" vertical="center" wrapText="1"/>
    </xf>
    <xf numFmtId="43" fontId="9" fillId="29" borderId="208" xfId="0" applyNumberFormat="1" applyFont="1" applyFill="1" applyBorder="1" applyAlignment="1">
      <alignment horizontal="right" vertical="center" wrapText="1"/>
    </xf>
    <xf numFmtId="43" fontId="9" fillId="29" borderId="209" xfId="0" applyNumberFormat="1" applyFont="1" applyFill="1" applyBorder="1" applyAlignment="1">
      <alignment horizontal="right" vertical="center" wrapText="1"/>
    </xf>
    <xf numFmtId="0" fontId="6" fillId="29" borderId="152" xfId="0" applyFont="1" applyFill="1" applyBorder="1" applyAlignment="1">
      <alignment horizontal="left" vertical="center" wrapText="1"/>
    </xf>
    <xf numFmtId="43" fontId="9" fillId="29" borderId="220" xfId="0" applyNumberFormat="1" applyFont="1" applyFill="1" applyBorder="1" applyAlignment="1">
      <alignment horizontal="right" vertical="center" wrapText="1"/>
    </xf>
    <xf numFmtId="168" fontId="6" fillId="31" borderId="89" xfId="30" applyNumberFormat="1" applyFont="1" applyFill="1" applyBorder="1" applyAlignment="1" applyProtection="1">
      <alignment horizontal="right" vertical="center" wrapText="1"/>
      <protection locked="0"/>
    </xf>
    <xf numFmtId="168" fontId="6" fillId="31" borderId="62" xfId="30" applyNumberFormat="1" applyFont="1" applyFill="1" applyBorder="1" applyAlignment="1" applyProtection="1">
      <alignment horizontal="right" vertical="center" wrapText="1"/>
      <protection locked="0"/>
    </xf>
    <xf numFmtId="168" fontId="6" fillId="31" borderId="44" xfId="30" applyNumberFormat="1" applyFont="1" applyFill="1" applyBorder="1" applyAlignment="1" applyProtection="1">
      <alignment horizontal="right" vertical="center" wrapText="1"/>
      <protection locked="0"/>
    </xf>
    <xf numFmtId="168" fontId="6" fillId="31" borderId="90" xfId="30" applyNumberFormat="1" applyFont="1" applyFill="1" applyBorder="1" applyAlignment="1" applyProtection="1">
      <alignment horizontal="right" vertical="center" wrapText="1"/>
      <protection locked="0"/>
    </xf>
    <xf numFmtId="168" fontId="6" fillId="31" borderId="46" xfId="30" applyNumberFormat="1" applyFont="1" applyFill="1" applyBorder="1" applyAlignment="1" applyProtection="1">
      <alignment horizontal="right" vertical="center" wrapText="1"/>
      <protection locked="0"/>
    </xf>
    <xf numFmtId="168" fontId="6" fillId="31" borderId="63" xfId="30" applyNumberFormat="1" applyFont="1" applyFill="1" applyBorder="1" applyAlignment="1" applyProtection="1">
      <alignment horizontal="right" vertical="center" wrapText="1"/>
      <protection locked="0"/>
    </xf>
    <xf numFmtId="168" fontId="6" fillId="31" borderId="67" xfId="30" applyNumberFormat="1" applyFont="1" applyFill="1" applyBorder="1" applyAlignment="1" applyProtection="1">
      <alignment horizontal="right" vertical="center" wrapText="1"/>
      <protection locked="0"/>
    </xf>
    <xf numFmtId="2" fontId="0" fillId="0" borderId="0" xfId="0" applyNumberFormat="1" applyAlignment="1">
      <alignment wrapText="1"/>
    </xf>
    <xf numFmtId="0" fontId="9" fillId="14" borderId="0" xfId="0" applyFont="1" applyFill="1" applyAlignment="1">
      <alignment vertical="center" wrapText="1"/>
    </xf>
    <xf numFmtId="0" fontId="66" fillId="31" borderId="36" xfId="0" applyFont="1" applyFill="1" applyBorder="1" applyAlignment="1"/>
    <xf numFmtId="0" fontId="6" fillId="0" borderId="0" xfId="0" applyFont="1" applyAlignment="1">
      <alignment horizontal="left" indent="1"/>
    </xf>
    <xf numFmtId="0" fontId="0" fillId="0" borderId="0" xfId="0" applyAlignment="1">
      <alignment horizontal="left" indent="1"/>
    </xf>
    <xf numFmtId="0" fontId="6" fillId="0" borderId="0" xfId="0" applyFont="1" applyFill="1" applyAlignment="1">
      <alignment horizontal="left" indent="1"/>
    </xf>
    <xf numFmtId="0" fontId="66" fillId="31" borderId="130" xfId="0" applyFont="1" applyFill="1" applyBorder="1" applyAlignment="1">
      <alignment vertical="center"/>
    </xf>
    <xf numFmtId="0" fontId="9" fillId="38" borderId="70" xfId="0" applyFont="1" applyFill="1" applyBorder="1" applyAlignment="1">
      <alignment horizontal="left" vertical="center" wrapText="1"/>
    </xf>
    <xf numFmtId="0" fontId="87" fillId="14" borderId="0" xfId="0" applyFont="1" applyFill="1" applyAlignment="1">
      <alignment vertical="center"/>
    </xf>
    <xf numFmtId="0" fontId="0" fillId="14" borderId="0" xfId="0" applyFill="1" applyAlignment="1">
      <alignment vertical="center" wrapText="1"/>
    </xf>
    <xf numFmtId="0" fontId="9" fillId="14" borderId="0" xfId="0" applyFont="1" applyFill="1" applyAlignment="1">
      <alignment vertical="center"/>
    </xf>
    <xf numFmtId="0" fontId="6" fillId="14" borderId="0" xfId="0" applyFont="1" applyFill="1" applyAlignment="1">
      <alignment vertical="center"/>
    </xf>
    <xf numFmtId="0" fontId="0" fillId="14" borderId="0" xfId="0" applyFill="1" applyAlignment="1">
      <alignment vertical="center"/>
    </xf>
    <xf numFmtId="0" fontId="6" fillId="33" borderId="50" xfId="0" applyFont="1" applyFill="1" applyBorder="1" applyAlignment="1">
      <alignment horizontal="left" vertical="center" wrapText="1" indent="1"/>
    </xf>
    <xf numFmtId="0" fontId="6" fillId="25" borderId="36" xfId="0" applyFont="1" applyFill="1" applyBorder="1" applyAlignment="1" applyProtection="1">
      <alignment horizontal="left" vertical="center" wrapText="1"/>
      <protection locked="0"/>
    </xf>
    <xf numFmtId="0" fontId="6" fillId="25" borderId="35" xfId="0" applyFont="1" applyFill="1" applyBorder="1" applyAlignment="1" applyProtection="1">
      <alignment horizontal="left" vertical="center" wrapText="1"/>
      <protection locked="0"/>
    </xf>
    <xf numFmtId="0" fontId="6" fillId="25" borderId="34" xfId="0" applyFont="1" applyFill="1" applyBorder="1" applyAlignment="1" applyProtection="1">
      <alignment horizontal="left" vertical="center" wrapText="1"/>
      <protection locked="0"/>
    </xf>
    <xf numFmtId="0" fontId="6" fillId="33" borderId="50" xfId="0" applyFont="1" applyFill="1" applyBorder="1" applyAlignment="1">
      <alignment horizontal="left" vertical="center" wrapText="1" indent="1"/>
    </xf>
    <xf numFmtId="0" fontId="9" fillId="33" borderId="68" xfId="0" applyFont="1" applyFill="1" applyBorder="1" applyAlignment="1">
      <alignment vertical="center" wrapText="1"/>
    </xf>
    <xf numFmtId="0" fontId="9" fillId="43" borderId="70" xfId="0" applyFont="1" applyFill="1" applyBorder="1" applyAlignment="1">
      <alignment horizontal="left" vertical="center" wrapText="1"/>
    </xf>
    <xf numFmtId="0" fontId="9" fillId="43" borderId="93" xfId="0" applyFont="1" applyFill="1" applyBorder="1" applyAlignment="1">
      <alignment horizontal="left" vertical="center" wrapText="1"/>
    </xf>
    <xf numFmtId="0" fontId="6" fillId="43" borderId="93" xfId="0" applyFont="1" applyFill="1" applyBorder="1" applyAlignment="1">
      <alignment horizontal="left" vertical="center" wrapText="1" indent="2"/>
    </xf>
    <xf numFmtId="0" fontId="9" fillId="43" borderId="222" xfId="0" applyFont="1" applyFill="1" applyBorder="1" applyAlignment="1">
      <alignment horizontal="left" vertical="center" wrapText="1"/>
    </xf>
    <xf numFmtId="0" fontId="9" fillId="43" borderId="216" xfId="0" applyFont="1" applyFill="1" applyBorder="1" applyAlignment="1">
      <alignment horizontal="left" vertical="center" wrapText="1" indent="2"/>
    </xf>
    <xf numFmtId="0" fontId="6" fillId="33" borderId="70" xfId="0" applyFont="1" applyFill="1" applyBorder="1" applyAlignment="1">
      <alignment horizontal="left" wrapText="1"/>
    </xf>
    <xf numFmtId="0" fontId="9" fillId="38" borderId="222" xfId="0" applyFont="1" applyFill="1" applyBorder="1" applyAlignment="1">
      <alignment horizontal="left" vertical="center" wrapText="1"/>
    </xf>
    <xf numFmtId="0" fontId="6" fillId="38" borderId="93" xfId="0" applyFont="1" applyFill="1" applyBorder="1" applyAlignment="1">
      <alignment horizontal="left" vertical="center" wrapText="1" indent="2"/>
    </xf>
    <xf numFmtId="0" fontId="9" fillId="38" borderId="216" xfId="0" applyFont="1" applyFill="1" applyBorder="1" applyAlignment="1">
      <alignment horizontal="left" vertical="center" wrapText="1" indent="2"/>
    </xf>
    <xf numFmtId="0" fontId="6" fillId="38" borderId="50" xfId="0" applyFont="1" applyFill="1" applyBorder="1" applyAlignment="1">
      <alignment horizontal="left" vertical="center" wrapText="1" indent="4"/>
    </xf>
    <xf numFmtId="0" fontId="9" fillId="38" borderId="68" xfId="0" applyFont="1" applyFill="1" applyBorder="1" applyAlignment="1">
      <alignment horizontal="left" vertical="center" wrapText="1"/>
    </xf>
    <xf numFmtId="0" fontId="9" fillId="38" borderId="92" xfId="0" applyFont="1" applyFill="1" applyBorder="1" applyAlignment="1">
      <alignment horizontal="left" vertical="center" wrapText="1"/>
    </xf>
    <xf numFmtId="0" fontId="6" fillId="38" borderId="93" xfId="0" applyFont="1" applyFill="1" applyBorder="1" applyAlignment="1">
      <alignment horizontal="left" vertical="center" wrapText="1" indent="4"/>
    </xf>
    <xf numFmtId="0" fontId="9" fillId="38" borderId="93" xfId="0" applyFont="1" applyFill="1" applyBorder="1" applyAlignment="1">
      <alignment horizontal="left" vertical="center" wrapText="1"/>
    </xf>
    <xf numFmtId="0" fontId="9" fillId="38" borderId="94" xfId="0" applyFont="1" applyFill="1" applyBorder="1" applyAlignment="1">
      <alignment horizontal="left" vertical="center" wrapText="1"/>
    </xf>
    <xf numFmtId="168" fontId="6" fillId="18" borderId="206" xfId="30" applyNumberFormat="1" applyFont="1" applyFill="1" applyBorder="1"/>
    <xf numFmtId="168" fontId="6" fillId="29" borderId="207" xfId="30" applyNumberFormat="1" applyFont="1" applyFill="1" applyBorder="1"/>
    <xf numFmtId="0" fontId="6" fillId="33" borderId="36" xfId="0" applyFont="1" applyFill="1" applyBorder="1" applyAlignment="1" applyProtection="1">
      <alignment horizontal="right" vertical="center" wrapText="1"/>
      <protection locked="0"/>
    </xf>
    <xf numFmtId="0" fontId="6" fillId="22" borderId="36" xfId="0" applyFont="1" applyFill="1" applyBorder="1" applyAlignment="1" applyProtection="1">
      <alignment horizontal="left" vertical="center" wrapText="1"/>
      <protection locked="0"/>
    </xf>
    <xf numFmtId="0" fontId="6" fillId="22" borderId="34" xfId="0" applyFont="1" applyFill="1" applyBorder="1" applyAlignment="1" applyProtection="1">
      <alignment horizontal="left" vertical="center" wrapText="1"/>
      <protection locked="0"/>
    </xf>
    <xf numFmtId="0" fontId="48" fillId="33" borderId="121" xfId="0" applyFont="1" applyFill="1" applyBorder="1" applyAlignment="1">
      <alignment horizontal="left" indent="4"/>
    </xf>
    <xf numFmtId="0" fontId="53" fillId="33" borderId="223" xfId="0" applyFont="1" applyFill="1" applyBorder="1" applyAlignment="1">
      <alignment horizontal="left" indent="4"/>
    </xf>
    <xf numFmtId="0" fontId="53" fillId="33" borderId="224" xfId="0" applyFont="1" applyFill="1" applyBorder="1" applyAlignment="1">
      <alignment horizontal="left" vertical="center" wrapText="1"/>
    </xf>
    <xf numFmtId="0" fontId="53" fillId="33" borderId="223" xfId="0" applyFont="1" applyFill="1" applyBorder="1" applyAlignment="1">
      <alignment horizontal="left" vertical="center" wrapText="1" indent="4"/>
    </xf>
    <xf numFmtId="0" fontId="53" fillId="33" borderId="50" xfId="0" applyFont="1" applyFill="1" applyBorder="1" applyAlignment="1">
      <alignment horizontal="left" vertical="center" wrapText="1"/>
    </xf>
    <xf numFmtId="0" fontId="53" fillId="33" borderId="167" xfId="0" applyFont="1" applyFill="1" applyBorder="1" applyAlignment="1">
      <alignment horizontal="left" vertical="center" wrapText="1"/>
    </xf>
    <xf numFmtId="0" fontId="48" fillId="33" borderId="70" xfId="0" applyFont="1" applyFill="1" applyBorder="1" applyAlignment="1">
      <alignment horizontal="left" vertical="center" wrapText="1"/>
    </xf>
    <xf numFmtId="0" fontId="6" fillId="33" borderId="25" xfId="0" applyFont="1" applyFill="1" applyBorder="1" applyAlignment="1" applyProtection="1">
      <alignment horizontal="right" vertical="center" wrapText="1"/>
      <protection locked="0"/>
    </xf>
    <xf numFmtId="0" fontId="6" fillId="33" borderId="45" xfId="0" applyFont="1" applyFill="1" applyBorder="1" applyAlignment="1" applyProtection="1">
      <alignment horizontal="right" vertical="center" wrapText="1"/>
      <protection locked="0"/>
    </xf>
    <xf numFmtId="0" fontId="6" fillId="33" borderId="68" xfId="0" applyFont="1" applyFill="1" applyBorder="1" applyAlignment="1" applyProtection="1">
      <alignment horizontal="right" vertical="center" wrapText="1"/>
      <protection locked="0"/>
    </xf>
    <xf numFmtId="0" fontId="48" fillId="33" borderId="120" xfId="0" applyFont="1" applyFill="1" applyBorder="1" applyAlignment="1">
      <alignment horizontal="left" vertical="center" wrapText="1"/>
    </xf>
    <xf numFmtId="0" fontId="48" fillId="33" borderId="224" xfId="0" applyFont="1" applyFill="1" applyBorder="1" applyAlignment="1">
      <alignment horizontal="left" vertical="center" wrapText="1"/>
    </xf>
    <xf numFmtId="0" fontId="53" fillId="33" borderId="93" xfId="0" applyFont="1" applyFill="1" applyBorder="1" applyAlignment="1">
      <alignment horizontal="left" vertical="center" wrapText="1"/>
    </xf>
    <xf numFmtId="0" fontId="53" fillId="33" borderId="94" xfId="0" applyFont="1" applyFill="1" applyBorder="1" applyAlignment="1">
      <alignment horizontal="left" vertical="center" wrapText="1"/>
    </xf>
    <xf numFmtId="0" fontId="48" fillId="33" borderId="120" xfId="0" applyFont="1" applyFill="1" applyBorder="1" applyAlignment="1">
      <alignment horizontal="left" vertical="center" wrapText="1" indent="3"/>
    </xf>
    <xf numFmtId="0" fontId="48" fillId="33" borderId="70" xfId="0" applyFont="1" applyFill="1" applyBorder="1" applyAlignment="1">
      <alignment horizontal="left" vertical="center" wrapText="1" indent="3"/>
    </xf>
    <xf numFmtId="0" fontId="48" fillId="33" borderId="225" xfId="0" applyFont="1" applyFill="1" applyBorder="1" applyAlignment="1">
      <alignment horizontal="left" vertical="center" wrapText="1"/>
    </xf>
    <xf numFmtId="0" fontId="53" fillId="38" borderId="92" xfId="0" applyFont="1" applyFill="1" applyBorder="1" applyAlignment="1">
      <alignment horizontal="left"/>
    </xf>
    <xf numFmtId="0" fontId="6" fillId="38" borderId="73" xfId="0" applyFont="1" applyFill="1" applyBorder="1" applyAlignment="1">
      <alignment horizontal="left" indent="4"/>
    </xf>
    <xf numFmtId="0" fontId="9" fillId="38" borderId="205" xfId="0" applyFont="1" applyFill="1" applyBorder="1" applyAlignment="1">
      <alignment horizontal="left" indent="4"/>
    </xf>
    <xf numFmtId="0" fontId="0" fillId="38" borderId="73" xfId="0" applyFill="1" applyBorder="1"/>
    <xf numFmtId="0" fontId="48" fillId="38" borderId="70" xfId="0" applyFont="1" applyFill="1" applyBorder="1" applyAlignment="1">
      <alignment horizontal="left" vertical="center" wrapText="1"/>
    </xf>
    <xf numFmtId="0" fontId="53" fillId="38" borderId="93" xfId="0" applyFont="1" applyFill="1" applyBorder="1" applyAlignment="1">
      <alignment horizontal="left" vertical="center" wrapText="1"/>
    </xf>
    <xf numFmtId="0" fontId="53" fillId="38" borderId="94" xfId="0" applyFont="1" applyFill="1" applyBorder="1" applyAlignment="1">
      <alignment horizontal="left" vertical="center" wrapText="1"/>
    </xf>
    <xf numFmtId="0" fontId="48" fillId="38" borderId="120" xfId="0" applyFont="1" applyFill="1" applyBorder="1" applyAlignment="1">
      <alignment horizontal="left" vertical="center" wrapText="1" indent="3"/>
    </xf>
    <xf numFmtId="0" fontId="6" fillId="33" borderId="74" xfId="0" applyFont="1" applyFill="1" applyBorder="1" applyAlignment="1">
      <alignment horizontal="left" vertical="center" wrapText="1"/>
    </xf>
    <xf numFmtId="0" fontId="48" fillId="30" borderId="76" xfId="0" applyFont="1" applyFill="1" applyBorder="1" applyAlignment="1">
      <alignment horizontal="left" vertical="center" wrapText="1"/>
    </xf>
    <xf numFmtId="0" fontId="48" fillId="30" borderId="116" xfId="0" applyFont="1" applyFill="1" applyBorder="1" applyAlignment="1">
      <alignment horizontal="left" vertical="center" wrapText="1"/>
    </xf>
    <xf numFmtId="0" fontId="48" fillId="33" borderId="97" xfId="0" applyFont="1" applyFill="1" applyBorder="1" applyAlignment="1">
      <alignment horizontal="left" vertical="center" wrapText="1" indent="3"/>
    </xf>
    <xf numFmtId="0" fontId="53" fillId="38" borderId="74" xfId="0" applyFont="1" applyFill="1" applyBorder="1" applyAlignment="1">
      <alignment horizontal="left"/>
    </xf>
    <xf numFmtId="0" fontId="48" fillId="38" borderId="115" xfId="0" applyFont="1" applyFill="1" applyBorder="1" applyAlignment="1">
      <alignment horizontal="left" vertical="center" wrapText="1"/>
    </xf>
    <xf numFmtId="0" fontId="53" fillId="38" borderId="50" xfId="0" applyFont="1" applyFill="1" applyBorder="1" applyAlignment="1">
      <alignment horizontal="left" vertical="center" wrapText="1"/>
    </xf>
    <xf numFmtId="0" fontId="48" fillId="38" borderId="70" xfId="0" applyFont="1" applyFill="1" applyBorder="1" applyAlignment="1">
      <alignment horizontal="left" vertical="center" wrapText="1" indent="3"/>
    </xf>
    <xf numFmtId="0" fontId="53" fillId="38" borderId="167" xfId="0" applyFont="1" applyFill="1" applyBorder="1" applyAlignment="1">
      <alignment horizontal="left" vertical="center" wrapText="1"/>
    </xf>
    <xf numFmtId="168" fontId="6" fillId="29" borderId="50" xfId="30" applyNumberFormat="1" applyFont="1" applyFill="1" applyBorder="1" applyAlignment="1">
      <alignment horizontal="right"/>
    </xf>
    <xf numFmtId="0" fontId="9" fillId="33" borderId="116" xfId="0" applyFont="1" applyFill="1" applyBorder="1" applyAlignment="1">
      <alignment horizontal="left" vertical="center" wrapText="1"/>
    </xf>
    <xf numFmtId="0" fontId="6" fillId="18" borderId="35" xfId="0" applyFont="1" applyFill="1" applyBorder="1" applyAlignment="1" applyProtection="1">
      <alignment horizontal="left" vertical="center" wrapText="1"/>
      <protection locked="0"/>
    </xf>
    <xf numFmtId="0" fontId="6" fillId="18" borderId="34" xfId="0" applyFont="1" applyFill="1" applyBorder="1" applyAlignment="1" applyProtection="1">
      <alignment horizontal="left" vertical="center" wrapText="1"/>
      <protection locked="0"/>
    </xf>
    <xf numFmtId="0" fontId="9" fillId="38" borderId="50" xfId="0" applyFont="1" applyFill="1" applyBorder="1"/>
    <xf numFmtId="0" fontId="9" fillId="38" borderId="68" xfId="0" applyFont="1" applyFill="1" applyBorder="1"/>
    <xf numFmtId="168" fontId="6" fillId="38" borderId="55" xfId="30" applyNumberFormat="1" applyFont="1" applyFill="1" applyBorder="1" applyAlignment="1">
      <alignment horizontal="right"/>
    </xf>
    <xf numFmtId="168" fontId="6" fillId="38" borderId="56" xfId="30" applyNumberFormat="1" applyFont="1" applyFill="1" applyBorder="1" applyAlignment="1">
      <alignment horizontal="right"/>
    </xf>
    <xf numFmtId="168" fontId="6" fillId="38" borderId="59" xfId="30" applyNumberFormat="1" applyFont="1" applyFill="1" applyBorder="1" applyAlignment="1">
      <alignment horizontal="right"/>
    </xf>
    <xf numFmtId="0" fontId="14" fillId="29" borderId="22" xfId="0" applyFont="1" applyFill="1" applyBorder="1" applyAlignment="1">
      <alignment vertical="center"/>
    </xf>
    <xf numFmtId="0" fontId="14" fillId="29" borderId="23" xfId="0" applyFont="1" applyFill="1" applyBorder="1" applyAlignment="1">
      <alignment vertical="center"/>
    </xf>
    <xf numFmtId="0" fontId="6" fillId="33" borderId="50" xfId="0" applyFont="1" applyFill="1" applyBorder="1" applyAlignment="1">
      <alignment horizontal="left" vertical="center" wrapText="1" indent="4"/>
    </xf>
    <xf numFmtId="0" fontId="9" fillId="33" borderId="50" xfId="0" applyFont="1" applyFill="1" applyBorder="1" applyAlignment="1">
      <alignment horizontal="left" vertical="center" wrapText="1"/>
    </xf>
    <xf numFmtId="0" fontId="6" fillId="33" borderId="141" xfId="0" applyFont="1" applyFill="1" applyBorder="1" applyAlignment="1">
      <alignment horizontal="left" vertical="center" wrapText="1" indent="4"/>
    </xf>
    <xf numFmtId="0" fontId="9" fillId="38" borderId="93" xfId="0" applyFont="1" applyFill="1" applyBorder="1"/>
    <xf numFmtId="0" fontId="9" fillId="38" borderId="94" xfId="0" applyFont="1" applyFill="1" applyBorder="1"/>
    <xf numFmtId="0" fontId="6" fillId="33" borderId="68" xfId="0" applyFont="1" applyFill="1" applyBorder="1" applyAlignment="1">
      <alignment horizontal="left" vertical="center" wrapText="1" indent="4"/>
    </xf>
    <xf numFmtId="168" fontId="9" fillId="29" borderId="55" xfId="0" applyNumberFormat="1" applyFont="1" applyFill="1" applyBorder="1"/>
    <xf numFmtId="168" fontId="9" fillId="29" borderId="56" xfId="0" applyNumberFormat="1" applyFont="1" applyFill="1" applyBorder="1"/>
    <xf numFmtId="168" fontId="9" fillId="29" borderId="59" xfId="0" applyNumberFormat="1" applyFont="1" applyFill="1" applyBorder="1"/>
    <xf numFmtId="168" fontId="9" fillId="38" borderId="206" xfId="0" applyNumberFormat="1" applyFont="1" applyFill="1" applyBorder="1"/>
    <xf numFmtId="168" fontId="9" fillId="38" borderId="82" xfId="0" applyNumberFormat="1" applyFont="1" applyFill="1" applyBorder="1"/>
    <xf numFmtId="168" fontId="9" fillId="38" borderId="90" xfId="0" applyNumberFormat="1" applyFont="1" applyFill="1" applyBorder="1"/>
    <xf numFmtId="168" fontId="9" fillId="38" borderId="207" xfId="0" applyNumberFormat="1" applyFont="1" applyFill="1" applyBorder="1"/>
    <xf numFmtId="168" fontId="9" fillId="38" borderId="64" xfId="0" applyNumberFormat="1" applyFont="1" applyFill="1" applyBorder="1"/>
    <xf numFmtId="168" fontId="9" fillId="38" borderId="67" xfId="0" applyNumberFormat="1" applyFont="1" applyFill="1" applyBorder="1"/>
    <xf numFmtId="0" fontId="9" fillId="33" borderId="93" xfId="0" applyFont="1" applyFill="1" applyBorder="1" applyAlignment="1">
      <alignment horizontal="left" vertical="center" wrapText="1" indent="2"/>
    </xf>
    <xf numFmtId="0" fontId="9" fillId="33" borderId="93" xfId="0" applyFont="1" applyFill="1" applyBorder="1" applyAlignment="1">
      <alignment horizontal="left" indent="2"/>
    </xf>
    <xf numFmtId="0" fontId="9" fillId="33" borderId="94" xfId="0" applyFont="1" applyFill="1" applyBorder="1" applyAlignment="1">
      <alignment horizontal="left" indent="2"/>
    </xf>
    <xf numFmtId="0" fontId="6" fillId="33" borderId="92" xfId="0" applyFont="1" applyFill="1" applyBorder="1" applyAlignment="1">
      <alignment horizontal="left" vertical="center" wrapText="1" indent="2"/>
    </xf>
    <xf numFmtId="0" fontId="66" fillId="36" borderId="207" xfId="0" applyFont="1" applyFill="1" applyBorder="1" applyAlignment="1">
      <alignment horizontal="center" vertical="center" wrapText="1"/>
    </xf>
    <xf numFmtId="168" fontId="6" fillId="18" borderId="66" xfId="30" applyNumberFormat="1" applyFont="1" applyFill="1" applyBorder="1"/>
    <xf numFmtId="168" fontId="6" fillId="18" borderId="207" xfId="30" applyNumberFormat="1" applyFont="1" applyFill="1" applyBorder="1"/>
    <xf numFmtId="0" fontId="9" fillId="33" borderId="141" xfId="0" applyFont="1" applyFill="1" applyBorder="1" applyAlignment="1">
      <alignment horizontal="left" vertical="center" wrapText="1"/>
    </xf>
    <xf numFmtId="0" fontId="9" fillId="33" borderId="140" xfId="0" applyFont="1" applyFill="1" applyBorder="1"/>
    <xf numFmtId="0" fontId="9" fillId="33" borderId="146" xfId="0" applyFont="1" applyFill="1" applyBorder="1" applyAlignment="1">
      <alignment horizontal="left" vertical="center" wrapText="1"/>
    </xf>
    <xf numFmtId="0" fontId="9" fillId="38" borderId="70" xfId="0" applyFont="1" applyFill="1" applyBorder="1" applyAlignment="1">
      <alignment horizontal="left" wrapText="1"/>
    </xf>
    <xf numFmtId="0" fontId="6" fillId="18" borderId="229" xfId="0" applyFont="1" applyFill="1" applyBorder="1" applyAlignment="1" applyProtection="1">
      <alignment vertical="center" wrapText="1"/>
      <protection locked="0"/>
    </xf>
    <xf numFmtId="168" fontId="9" fillId="38" borderId="206" xfId="0" applyNumberFormat="1" applyFont="1" applyFill="1" applyBorder="1" applyAlignment="1">
      <alignment horizontal="left" vertical="center" wrapText="1"/>
    </xf>
    <xf numFmtId="168" fontId="9" fillId="29" borderId="207" xfId="30" applyNumberFormat="1" applyFont="1" applyFill="1" applyBorder="1"/>
    <xf numFmtId="168" fontId="6" fillId="38" borderId="230" xfId="30" applyNumberFormat="1" applyFont="1" applyFill="1" applyBorder="1"/>
    <xf numFmtId="168" fontId="6" fillId="38" borderId="218" xfId="30" applyNumberFormat="1" applyFont="1" applyFill="1" applyBorder="1"/>
    <xf numFmtId="168" fontId="6" fillId="38" borderId="219" xfId="30" applyNumberFormat="1" applyFont="1" applyFill="1" applyBorder="1"/>
    <xf numFmtId="168" fontId="6" fillId="38" borderId="217" xfId="30" applyNumberFormat="1" applyFont="1" applyFill="1" applyBorder="1"/>
    <xf numFmtId="168" fontId="6" fillId="38" borderId="46" xfId="0" applyNumberFormat="1" applyFont="1" applyFill="1" applyBorder="1" applyAlignment="1">
      <alignment horizontal="left" vertical="center" wrapText="1"/>
    </xf>
    <xf numFmtId="168" fontId="6" fillId="38" borderId="60" xfId="0" applyNumberFormat="1" applyFont="1" applyFill="1" applyBorder="1" applyAlignment="1">
      <alignment horizontal="left" vertical="center" wrapText="1"/>
    </xf>
    <xf numFmtId="168" fontId="6" fillId="38" borderId="86" xfId="0" applyNumberFormat="1" applyFont="1" applyFill="1" applyBorder="1" applyAlignment="1">
      <alignment horizontal="left" vertical="center" wrapText="1"/>
    </xf>
    <xf numFmtId="168" fontId="6" fillId="38" borderId="63" xfId="0" applyNumberFormat="1" applyFont="1" applyFill="1" applyBorder="1" applyAlignment="1">
      <alignment horizontal="left" vertical="center" wrapText="1"/>
    </xf>
    <xf numFmtId="168" fontId="6" fillId="38" borderId="46" xfId="0" applyNumberFormat="1" applyFont="1" applyFill="1" applyBorder="1" applyAlignment="1">
      <alignment horizontal="left" vertical="center"/>
    </xf>
    <xf numFmtId="168" fontId="6" fillId="38" borderId="60" xfId="0" applyNumberFormat="1" applyFont="1" applyFill="1" applyBorder="1" applyAlignment="1">
      <alignment horizontal="left" vertical="center"/>
    </xf>
    <xf numFmtId="168" fontId="6" fillId="38" borderId="86" xfId="0" applyNumberFormat="1" applyFont="1" applyFill="1" applyBorder="1" applyAlignment="1">
      <alignment horizontal="left" vertical="center"/>
    </xf>
    <xf numFmtId="168" fontId="6" fillId="38" borderId="63" xfId="0" applyNumberFormat="1" applyFont="1" applyFill="1" applyBorder="1" applyAlignment="1">
      <alignment horizontal="left" vertical="center"/>
    </xf>
    <xf numFmtId="0" fontId="6" fillId="33" borderId="49" xfId="0" applyFont="1" applyFill="1" applyBorder="1" applyAlignment="1" applyProtection="1">
      <alignment horizontal="left" vertical="center" wrapText="1" indent="2"/>
      <protection locked="0"/>
    </xf>
    <xf numFmtId="0" fontId="6" fillId="33" borderId="50" xfId="0" applyFont="1" applyFill="1" applyBorder="1" applyAlignment="1" applyProtection="1">
      <alignment horizontal="left" vertical="center" wrapText="1" indent="2"/>
      <protection locked="0"/>
    </xf>
    <xf numFmtId="9" fontId="6" fillId="18" borderId="142" xfId="44" applyFont="1" applyFill="1" applyBorder="1" applyAlignment="1">
      <alignment vertical="center"/>
    </xf>
    <xf numFmtId="9" fontId="6" fillId="18" borderId="96" xfId="44" applyFont="1" applyFill="1" applyBorder="1" applyAlignment="1">
      <alignment vertical="center"/>
    </xf>
    <xf numFmtId="9" fontId="6" fillId="18" borderId="108" xfId="44" applyFont="1" applyFill="1" applyBorder="1" applyAlignment="1">
      <alignment vertical="center"/>
    </xf>
    <xf numFmtId="9" fontId="6" fillId="18" borderId="51" xfId="44" applyFont="1" applyFill="1" applyBorder="1" applyAlignment="1">
      <alignment vertical="center"/>
    </xf>
    <xf numFmtId="9" fontId="6" fillId="18" borderId="52" xfId="44" applyFont="1" applyFill="1" applyBorder="1" applyAlignment="1">
      <alignment vertical="center"/>
    </xf>
    <xf numFmtId="9" fontId="6" fillId="18" borderId="53" xfId="44" applyFont="1" applyFill="1" applyBorder="1" applyAlignment="1">
      <alignment vertical="center"/>
    </xf>
    <xf numFmtId="0" fontId="9" fillId="29" borderId="25" xfId="0" applyFont="1" applyFill="1" applyBorder="1" applyAlignment="1" applyProtection="1">
      <alignment horizontal="left" vertical="center" wrapText="1"/>
      <protection locked="0"/>
    </xf>
    <xf numFmtId="168" fontId="6" fillId="29" borderId="153" xfId="30" applyNumberFormat="1" applyFont="1" applyFill="1" applyBorder="1"/>
    <xf numFmtId="168" fontId="6" fillId="29" borderId="144" xfId="30" applyNumberFormat="1" applyFont="1" applyFill="1" applyBorder="1"/>
    <xf numFmtId="168" fontId="6" fillId="29" borderId="176" xfId="30" applyNumberFormat="1" applyFont="1" applyFill="1" applyBorder="1"/>
    <xf numFmtId="0" fontId="6" fillId="33" borderId="232" xfId="0" applyFont="1" applyFill="1" applyBorder="1" applyAlignment="1">
      <alignment horizontal="left" vertical="center" wrapText="1" indent="1"/>
    </xf>
    <xf numFmtId="168" fontId="6" fillId="18" borderId="217" xfId="30" applyNumberFormat="1" applyFont="1" applyFill="1" applyBorder="1"/>
    <xf numFmtId="168" fontId="6" fillId="18" borderId="218" xfId="30" applyNumberFormat="1" applyFont="1" applyFill="1" applyBorder="1"/>
    <xf numFmtId="168" fontId="6" fillId="18" borderId="219" xfId="30" applyNumberFormat="1" applyFont="1" applyFill="1" applyBorder="1"/>
    <xf numFmtId="168" fontId="9" fillId="29" borderId="153" xfId="30" applyNumberFormat="1" applyFont="1" applyFill="1" applyBorder="1"/>
    <xf numFmtId="168" fontId="9" fillId="29" borderId="144" xfId="30" applyNumberFormat="1" applyFont="1" applyFill="1" applyBorder="1"/>
    <xf numFmtId="168" fontId="9" fillId="29" borderId="203" xfId="30" applyNumberFormat="1" applyFont="1" applyFill="1" applyBorder="1"/>
    <xf numFmtId="168" fontId="9" fillId="29" borderId="176" xfId="30" applyNumberFormat="1" applyFont="1" applyFill="1" applyBorder="1"/>
    <xf numFmtId="168" fontId="6" fillId="18" borderId="233" xfId="30" applyNumberFormat="1" applyFont="1" applyFill="1" applyBorder="1"/>
    <xf numFmtId="168" fontId="9" fillId="38" borderId="48" xfId="30" applyNumberFormat="1" applyFont="1" applyFill="1" applyBorder="1"/>
    <xf numFmtId="168" fontId="9" fillId="38" borderId="64" xfId="30" applyNumberFormat="1" applyFont="1" applyFill="1" applyBorder="1"/>
    <xf numFmtId="168" fontId="9" fillId="38" borderId="67" xfId="30" applyNumberFormat="1" applyFont="1" applyFill="1" applyBorder="1"/>
    <xf numFmtId="0" fontId="113" fillId="33" borderId="0" xfId="0" applyFont="1" applyFill="1"/>
    <xf numFmtId="0" fontId="113" fillId="0" borderId="0" xfId="0" applyFont="1"/>
    <xf numFmtId="168" fontId="9" fillId="31" borderId="46" xfId="30" applyNumberFormat="1" applyFont="1" applyFill="1" applyBorder="1"/>
    <xf numFmtId="168" fontId="9" fillId="31" borderId="60" xfId="30" applyNumberFormat="1" applyFont="1" applyFill="1" applyBorder="1"/>
    <xf numFmtId="168" fontId="9" fillId="31" borderId="63" xfId="30" applyNumberFormat="1" applyFont="1" applyFill="1" applyBorder="1"/>
    <xf numFmtId="164" fontId="9" fillId="31" borderId="46" xfId="44" applyNumberFormat="1" applyFont="1" applyFill="1" applyBorder="1"/>
    <xf numFmtId="164" fontId="9" fillId="31" borderId="60" xfId="44" applyNumberFormat="1" applyFont="1" applyFill="1" applyBorder="1"/>
    <xf numFmtId="164" fontId="9" fillId="31" borderId="63" xfId="44" applyNumberFormat="1" applyFont="1" applyFill="1" applyBorder="1"/>
    <xf numFmtId="164" fontId="9" fillId="33" borderId="0" xfId="44" applyNumberFormat="1" applyFont="1" applyFill="1" applyBorder="1"/>
    <xf numFmtId="41" fontId="113" fillId="29" borderId="64" xfId="0" applyNumberFormat="1" applyFont="1" applyFill="1" applyBorder="1"/>
    <xf numFmtId="0" fontId="6" fillId="33" borderId="51" xfId="0" applyFont="1" applyFill="1" applyBorder="1" applyAlignment="1" applyProtection="1">
      <alignment horizontal="right" vertical="center" wrapText="1"/>
      <protection locked="0"/>
    </xf>
    <xf numFmtId="0" fontId="82" fillId="33" borderId="0" xfId="0" applyFont="1" applyFill="1"/>
    <xf numFmtId="0" fontId="82" fillId="0" borderId="0" xfId="0" applyFont="1"/>
    <xf numFmtId="0" fontId="6" fillId="18" borderId="46" xfId="0" applyFont="1" applyFill="1" applyBorder="1" applyAlignment="1">
      <alignment horizontal="left" vertical="center" wrapText="1"/>
    </xf>
    <xf numFmtId="0" fontId="6" fillId="18" borderId="63" xfId="0" applyFont="1" applyFill="1" applyBorder="1" applyAlignment="1">
      <alignment horizontal="left" vertical="center" wrapText="1"/>
    </xf>
    <xf numFmtId="0" fontId="6" fillId="18" borderId="207" xfId="0" applyFont="1" applyFill="1" applyBorder="1" applyAlignment="1">
      <alignment horizontal="left" vertical="center" wrapText="1"/>
    </xf>
    <xf numFmtId="0" fontId="6" fillId="18" borderId="67" xfId="0" applyFont="1" applyFill="1" applyBorder="1" applyAlignment="1">
      <alignment horizontal="left" vertical="center" wrapText="1"/>
    </xf>
    <xf numFmtId="0" fontId="6" fillId="18" borderId="86" xfId="0" applyFont="1" applyFill="1" applyBorder="1" applyAlignment="1">
      <alignment horizontal="left" vertical="center" wrapText="1" indent="2"/>
    </xf>
    <xf numFmtId="0" fontId="6" fillId="18" borderId="88" xfId="0" applyFont="1" applyFill="1" applyBorder="1" applyAlignment="1">
      <alignment horizontal="left" vertical="center" wrapText="1" indent="2"/>
    </xf>
    <xf numFmtId="0" fontId="6" fillId="18" borderId="46" xfId="0" applyFont="1" applyFill="1" applyBorder="1" applyAlignment="1">
      <alignment horizontal="left" vertical="center"/>
    </xf>
    <xf numFmtId="0" fontId="6" fillId="18" borderId="63" xfId="0" applyFont="1" applyFill="1" applyBorder="1" applyAlignment="1">
      <alignment horizontal="left" vertical="center"/>
    </xf>
    <xf numFmtId="0" fontId="6" fillId="18" borderId="133" xfId="0" applyFont="1" applyFill="1" applyBorder="1" applyAlignment="1">
      <alignment horizontal="left" vertical="center" wrapText="1" indent="2"/>
    </xf>
    <xf numFmtId="0" fontId="6" fillId="18" borderId="55" xfId="0" applyFont="1" applyFill="1" applyBorder="1" applyAlignment="1">
      <alignment horizontal="left" vertical="center" wrapText="1"/>
    </xf>
    <xf numFmtId="0" fontId="6" fillId="18" borderId="59" xfId="0" applyFont="1" applyFill="1" applyBorder="1" applyAlignment="1">
      <alignment horizontal="left" vertical="center" wrapText="1"/>
    </xf>
    <xf numFmtId="0" fontId="6" fillId="18" borderId="85" xfId="0" applyFont="1" applyFill="1" applyBorder="1" applyAlignment="1">
      <alignment horizontal="left" vertical="center" wrapText="1" indent="2"/>
    </xf>
    <xf numFmtId="0" fontId="6" fillId="18" borderId="206" xfId="0" applyFont="1" applyFill="1" applyBorder="1" applyAlignment="1">
      <alignment horizontal="left" vertical="center" wrapText="1"/>
    </xf>
    <xf numFmtId="0" fontId="6" fillId="18" borderId="90" xfId="0" applyFont="1" applyFill="1" applyBorder="1" applyAlignment="1">
      <alignment horizontal="left" vertical="center" wrapText="1"/>
    </xf>
    <xf numFmtId="0" fontId="6" fillId="18" borderId="233" xfId="0" applyFont="1" applyFill="1" applyBorder="1" applyAlignment="1">
      <alignment horizontal="left" vertical="center" wrapText="1" indent="2"/>
    </xf>
    <xf numFmtId="0" fontId="6" fillId="18" borderId="217" xfId="0" applyFont="1" applyFill="1" applyBorder="1" applyAlignment="1">
      <alignment horizontal="left" vertical="center" wrapText="1"/>
    </xf>
    <xf numFmtId="0" fontId="6" fillId="18" borderId="219" xfId="0" applyFont="1" applyFill="1" applyBorder="1" applyAlignment="1">
      <alignment horizontal="left" vertical="center" wrapText="1"/>
    </xf>
    <xf numFmtId="0" fontId="6" fillId="18" borderId="236" xfId="0" applyFont="1" applyFill="1" applyBorder="1" applyAlignment="1">
      <alignment horizontal="left" vertical="center" wrapText="1" indent="2"/>
    </xf>
    <xf numFmtId="0" fontId="6" fillId="18" borderId="237" xfId="0" applyFont="1" applyFill="1" applyBorder="1" applyAlignment="1">
      <alignment horizontal="left" vertical="center" wrapText="1"/>
    </xf>
    <xf numFmtId="0" fontId="6" fillId="18" borderId="238" xfId="0" applyFont="1" applyFill="1" applyBorder="1" applyAlignment="1">
      <alignment horizontal="left" vertical="center" wrapText="1"/>
    </xf>
    <xf numFmtId="0" fontId="6" fillId="18" borderId="206" xfId="0" applyFont="1" applyFill="1" applyBorder="1" applyAlignment="1">
      <alignment horizontal="left" vertical="center"/>
    </xf>
    <xf numFmtId="0" fontId="6" fillId="18" borderId="90" xfId="0" applyFont="1" applyFill="1" applyBorder="1" applyAlignment="1">
      <alignment horizontal="left" vertical="center"/>
    </xf>
    <xf numFmtId="0" fontId="9" fillId="29" borderId="51" xfId="0" applyFont="1" applyFill="1" applyBorder="1" applyAlignment="1">
      <alignment horizontal="left" vertical="center"/>
    </xf>
    <xf numFmtId="0" fontId="9" fillId="29" borderId="53" xfId="0" applyFont="1" applyFill="1" applyBorder="1" applyAlignment="1">
      <alignment horizontal="left" vertical="center"/>
    </xf>
    <xf numFmtId="168" fontId="6" fillId="38" borderId="206" xfId="30" applyNumberFormat="1" applyFont="1" applyFill="1" applyBorder="1"/>
    <xf numFmtId="0" fontId="6" fillId="33" borderId="232" xfId="0" applyFont="1" applyFill="1" applyBorder="1" applyAlignment="1">
      <alignment horizontal="left" vertical="center" wrapText="1" indent="2"/>
    </xf>
    <xf numFmtId="0" fontId="6" fillId="18" borderId="207" xfId="0" applyFont="1" applyFill="1" applyBorder="1"/>
    <xf numFmtId="168" fontId="6" fillId="25" borderId="206" xfId="30" applyNumberFormat="1" applyFont="1" applyFill="1" applyBorder="1"/>
    <xf numFmtId="168" fontId="6" fillId="25" borderId="61" xfId="30" applyNumberFormat="1" applyFont="1" applyFill="1" applyBorder="1"/>
    <xf numFmtId="168" fontId="6" fillId="25" borderId="207" xfId="30" applyNumberFormat="1" applyFont="1" applyFill="1" applyBorder="1"/>
    <xf numFmtId="168" fontId="6" fillId="25" borderId="64" xfId="30" applyNumberFormat="1" applyFont="1" applyFill="1" applyBorder="1"/>
    <xf numFmtId="168" fontId="6" fillId="25" borderId="65" xfId="30" applyNumberFormat="1" applyFont="1" applyFill="1" applyBorder="1"/>
    <xf numFmtId="168" fontId="6" fillId="38" borderId="207" xfId="30" applyNumberFormat="1" applyFont="1" applyFill="1" applyBorder="1"/>
    <xf numFmtId="168" fontId="6" fillId="38" borderId="85" xfId="30" applyNumberFormat="1" applyFont="1" applyFill="1" applyBorder="1"/>
    <xf numFmtId="0" fontId="9" fillId="39" borderId="66" xfId="0" applyFont="1" applyFill="1" applyBorder="1" applyAlignment="1">
      <alignment horizontal="center" vertical="center" wrapText="1"/>
    </xf>
    <xf numFmtId="0" fontId="66" fillId="29" borderId="201" xfId="0" applyFont="1" applyFill="1" applyBorder="1" applyAlignment="1">
      <alignment vertical="center"/>
    </xf>
    <xf numFmtId="168" fontId="6" fillId="38" borderId="239" xfId="30" applyNumberFormat="1" applyFont="1" applyFill="1" applyBorder="1"/>
    <xf numFmtId="168" fontId="6" fillId="38" borderId="238" xfId="30" applyNumberFormat="1" applyFont="1" applyFill="1" applyBorder="1"/>
    <xf numFmtId="168" fontId="6" fillId="31" borderId="61" xfId="30" applyNumberFormat="1" applyFont="1" applyFill="1" applyBorder="1"/>
    <xf numFmtId="168" fontId="6" fillId="31" borderId="64" xfId="30" applyNumberFormat="1" applyFont="1" applyFill="1" applyBorder="1"/>
    <xf numFmtId="168" fontId="6" fillId="31" borderId="88" xfId="30" applyNumberFormat="1" applyFont="1" applyFill="1" applyBorder="1"/>
    <xf numFmtId="168" fontId="6" fillId="31" borderId="67" xfId="30" applyNumberFormat="1" applyFont="1" applyFill="1" applyBorder="1"/>
    <xf numFmtId="168" fontId="6" fillId="31" borderId="66" xfId="30" applyNumberFormat="1" applyFont="1" applyFill="1" applyBorder="1"/>
    <xf numFmtId="168" fontId="6" fillId="31" borderId="65" xfId="30" applyNumberFormat="1" applyFont="1" applyFill="1" applyBorder="1"/>
    <xf numFmtId="168" fontId="6" fillId="38" borderId="206" xfId="0" applyNumberFormat="1" applyFont="1" applyFill="1" applyBorder="1" applyAlignment="1">
      <alignment horizontal="center"/>
    </xf>
    <xf numFmtId="168" fontId="6" fillId="38" borderId="82" xfId="0" applyNumberFormat="1" applyFont="1" applyFill="1" applyBorder="1" applyAlignment="1">
      <alignment horizontal="center"/>
    </xf>
    <xf numFmtId="0" fontId="88" fillId="29" borderId="23" xfId="0" applyFont="1" applyFill="1" applyBorder="1" applyAlignment="1">
      <alignment vertical="center"/>
    </xf>
    <xf numFmtId="0" fontId="6" fillId="25" borderId="207" xfId="0" applyFont="1" applyFill="1" applyBorder="1" applyAlignment="1">
      <alignment horizontal="left" vertical="center" wrapText="1" indent="2"/>
    </xf>
    <xf numFmtId="43" fontId="6" fillId="38" borderId="206" xfId="0" applyNumberFormat="1" applyFont="1" applyFill="1" applyBorder="1" applyAlignment="1">
      <alignment horizontal="center"/>
    </xf>
    <xf numFmtId="43" fontId="6" fillId="38" borderId="82" xfId="0" applyNumberFormat="1" applyFont="1" applyFill="1" applyBorder="1" applyAlignment="1">
      <alignment horizontal="center"/>
    </xf>
    <xf numFmtId="43" fontId="6" fillId="38" borderId="89" xfId="0" applyNumberFormat="1" applyFont="1" applyFill="1" applyBorder="1" applyAlignment="1">
      <alignment horizontal="center"/>
    </xf>
    <xf numFmtId="43" fontId="6" fillId="38" borderId="90" xfId="0" applyNumberFormat="1" applyFont="1" applyFill="1" applyBorder="1" applyAlignment="1">
      <alignment horizontal="center"/>
    </xf>
    <xf numFmtId="0" fontId="6" fillId="52" borderId="45" xfId="0" applyFont="1" applyFill="1" applyBorder="1" applyAlignment="1" applyProtection="1">
      <alignment horizontal="right" vertical="center" wrapText="1"/>
      <protection locked="0"/>
    </xf>
    <xf numFmtId="0" fontId="6" fillId="28" borderId="206" xfId="0" applyFont="1" applyFill="1" applyBorder="1" applyAlignment="1" applyProtection="1">
      <alignment horizontal="right" vertical="center" wrapText="1"/>
      <protection locked="0"/>
    </xf>
    <xf numFmtId="0" fontId="6" fillId="28" borderId="207" xfId="0" applyFont="1" applyFill="1" applyBorder="1" applyAlignment="1" applyProtection="1">
      <alignment horizontal="right" vertical="center" wrapText="1"/>
      <protection locked="0"/>
    </xf>
    <xf numFmtId="0" fontId="6" fillId="28" borderId="64" xfId="0" applyFont="1" applyFill="1" applyBorder="1" applyAlignment="1" applyProtection="1">
      <alignment horizontal="right" vertical="center" wrapText="1"/>
      <protection locked="0"/>
    </xf>
    <xf numFmtId="0" fontId="6" fillId="28" borderId="67" xfId="0" applyFont="1" applyFill="1" applyBorder="1" applyAlignment="1" applyProtection="1">
      <alignment horizontal="right" vertical="center" wrapText="1"/>
      <protection locked="0"/>
    </xf>
    <xf numFmtId="0" fontId="66" fillId="31" borderId="22" xfId="0" applyFont="1" applyFill="1" applyBorder="1" applyAlignment="1">
      <alignment vertical="center"/>
    </xf>
    <xf numFmtId="168" fontId="6" fillId="29" borderId="207" xfId="0" applyNumberFormat="1" applyFont="1" applyFill="1" applyBorder="1" applyAlignment="1">
      <alignment horizontal="center"/>
    </xf>
    <xf numFmtId="168" fontId="6" fillId="38" borderId="71" xfId="0" applyNumberFormat="1" applyFont="1" applyFill="1" applyBorder="1" applyAlignment="1">
      <alignment horizontal="center"/>
    </xf>
    <xf numFmtId="168" fontId="6" fillId="29" borderId="64" xfId="0" applyNumberFormat="1" applyFont="1" applyFill="1" applyBorder="1" applyAlignment="1">
      <alignment horizontal="center"/>
    </xf>
    <xf numFmtId="168" fontId="6" fillId="29" borderId="65" xfId="0" applyNumberFormat="1" applyFont="1" applyFill="1" applyBorder="1" applyAlignment="1">
      <alignment horizontal="center"/>
    </xf>
    <xf numFmtId="168" fontId="6" fillId="38" borderId="85" xfId="0" applyNumberFormat="1" applyFont="1" applyFill="1" applyBorder="1" applyAlignment="1">
      <alignment horizontal="center"/>
    </xf>
    <xf numFmtId="168" fontId="6" fillId="29" borderId="88" xfId="0" applyNumberFormat="1" applyFont="1" applyFill="1" applyBorder="1" applyAlignment="1">
      <alignment horizontal="center"/>
    </xf>
    <xf numFmtId="0" fontId="66" fillId="31" borderId="23" xfId="0" applyFont="1" applyFill="1" applyBorder="1" applyAlignment="1">
      <alignment vertical="center"/>
    </xf>
    <xf numFmtId="168" fontId="6" fillId="30" borderId="207" xfId="0" applyNumberFormat="1" applyFont="1" applyFill="1" applyBorder="1" applyAlignment="1">
      <alignment horizontal="center"/>
    </xf>
    <xf numFmtId="168" fontId="6" fillId="30" borderId="64" xfId="0" applyNumberFormat="1" applyFont="1" applyFill="1" applyBorder="1" applyAlignment="1">
      <alignment horizontal="center"/>
    </xf>
    <xf numFmtId="168" fontId="6" fillId="30" borderId="88" xfId="0" applyNumberFormat="1" applyFont="1" applyFill="1" applyBorder="1" applyAlignment="1">
      <alignment horizontal="center"/>
    </xf>
    <xf numFmtId="168" fontId="6" fillId="30" borderId="65" xfId="0" applyNumberFormat="1" applyFont="1" applyFill="1" applyBorder="1" applyAlignment="1">
      <alignment horizontal="center"/>
    </xf>
    <xf numFmtId="168" fontId="6" fillId="29" borderId="206" xfId="30" applyNumberFormat="1" applyFont="1" applyFill="1" applyBorder="1" applyAlignment="1">
      <alignment horizontal="right"/>
    </xf>
    <xf numFmtId="168" fontId="9" fillId="30" borderId="207" xfId="0" applyNumberFormat="1" applyFont="1" applyFill="1" applyBorder="1" applyAlignment="1">
      <alignment horizontal="right" vertical="center"/>
    </xf>
    <xf numFmtId="168" fontId="48" fillId="18" borderId="106" xfId="30" applyNumberFormat="1" applyFont="1" applyFill="1" applyBorder="1" applyAlignment="1">
      <alignment horizontal="right"/>
    </xf>
    <xf numFmtId="168" fontId="6" fillId="29" borderId="89" xfId="30" applyNumberFormat="1" applyFont="1" applyFill="1" applyBorder="1"/>
    <xf numFmtId="168" fontId="6" fillId="30" borderId="62" xfId="30" applyNumberFormat="1" applyFont="1" applyFill="1" applyBorder="1"/>
    <xf numFmtId="168" fontId="6" fillId="30" borderId="66" xfId="30" applyNumberFormat="1" applyFont="1" applyFill="1" applyBorder="1"/>
    <xf numFmtId="168" fontId="6" fillId="29" borderId="206" xfId="30" applyNumberFormat="1" applyFont="1" applyFill="1" applyBorder="1"/>
    <xf numFmtId="168" fontId="6" fillId="30" borderId="207" xfId="30" applyNumberFormat="1" applyFont="1" applyFill="1" applyBorder="1"/>
    <xf numFmtId="168" fontId="6" fillId="43" borderId="21" xfId="30" applyNumberFormat="1" applyFont="1" applyFill="1" applyBorder="1"/>
    <xf numFmtId="168" fontId="6" fillId="43" borderId="22" xfId="30" applyNumberFormat="1" applyFont="1" applyFill="1" applyBorder="1"/>
    <xf numFmtId="168" fontId="6" fillId="43" borderId="19" xfId="30" applyNumberFormat="1" applyFont="1" applyFill="1" applyBorder="1"/>
    <xf numFmtId="168" fontId="6" fillId="43" borderId="0" xfId="30" applyNumberFormat="1" applyFont="1" applyFill="1" applyBorder="1"/>
    <xf numFmtId="168" fontId="6" fillId="43" borderId="49" xfId="30" applyNumberFormat="1" applyFont="1" applyFill="1" applyBorder="1"/>
    <xf numFmtId="168" fontId="6" fillId="43" borderId="74" xfId="30" applyNumberFormat="1" applyFont="1" applyFill="1" applyBorder="1"/>
    <xf numFmtId="168" fontId="6" fillId="43" borderId="75" xfId="30" applyNumberFormat="1" applyFont="1" applyFill="1" applyBorder="1"/>
    <xf numFmtId="0" fontId="6" fillId="43" borderId="128" xfId="0" applyFont="1" applyFill="1" applyBorder="1" applyAlignment="1" applyProtection="1">
      <alignment vertical="center" wrapText="1"/>
      <protection locked="0"/>
    </xf>
    <xf numFmtId="0" fontId="6" fillId="43" borderId="35" xfId="0" applyFont="1" applyFill="1" applyBorder="1" applyAlignment="1" applyProtection="1">
      <alignment vertical="center" wrapText="1"/>
      <protection locked="0"/>
    </xf>
    <xf numFmtId="0" fontId="6" fillId="43" borderId="34" xfId="0" applyFont="1" applyFill="1" applyBorder="1" applyAlignment="1" applyProtection="1">
      <alignment vertical="center" wrapText="1"/>
      <protection locked="0"/>
    </xf>
    <xf numFmtId="168" fontId="6" fillId="43" borderId="23" xfId="30" applyNumberFormat="1" applyFont="1" applyFill="1" applyBorder="1"/>
    <xf numFmtId="168" fontId="6" fillId="43" borderId="24" xfId="30" applyNumberFormat="1" applyFont="1" applyFill="1" applyBorder="1"/>
    <xf numFmtId="0" fontId="17" fillId="43" borderId="72" xfId="0" applyFont="1" applyFill="1" applyBorder="1" applyAlignment="1">
      <alignment horizontal="left" vertical="center" wrapText="1"/>
    </xf>
    <xf numFmtId="0" fontId="9" fillId="43" borderId="76" xfId="0" applyFont="1" applyFill="1" applyBorder="1" applyAlignment="1">
      <alignment horizontal="left" vertical="center" wrapText="1"/>
    </xf>
    <xf numFmtId="0" fontId="15" fillId="43" borderId="73" xfId="0" applyFont="1" applyFill="1" applyBorder="1" applyAlignment="1">
      <alignment horizontal="left" vertical="center" wrapText="1"/>
    </xf>
    <xf numFmtId="0" fontId="6" fillId="43" borderId="76" xfId="0" applyFont="1" applyFill="1" applyBorder="1" applyAlignment="1">
      <alignment horizontal="left" vertical="center" wrapText="1" indent="2"/>
    </xf>
    <xf numFmtId="0" fontId="0" fillId="43" borderId="73" xfId="0" applyFill="1" applyBorder="1"/>
    <xf numFmtId="0" fontId="9" fillId="43" borderId="76" xfId="0" applyFont="1" applyFill="1" applyBorder="1" applyAlignment="1">
      <alignment wrapText="1"/>
    </xf>
    <xf numFmtId="0" fontId="0" fillId="43" borderId="91" xfId="0" applyFill="1" applyBorder="1"/>
    <xf numFmtId="0" fontId="9" fillId="43" borderId="116" xfId="0" applyFont="1" applyFill="1" applyBorder="1" applyAlignment="1">
      <alignment wrapText="1"/>
    </xf>
    <xf numFmtId="0" fontId="9" fillId="43" borderId="50" xfId="0" applyFont="1" applyFill="1" applyBorder="1" applyAlignment="1">
      <alignment wrapText="1"/>
    </xf>
    <xf numFmtId="0" fontId="9" fillId="43" borderId="68" xfId="0" applyFont="1" applyFill="1" applyBorder="1" applyAlignment="1">
      <alignment wrapText="1"/>
    </xf>
    <xf numFmtId="0" fontId="9" fillId="43" borderId="49" xfId="0" applyFont="1" applyFill="1" applyBorder="1" applyAlignment="1">
      <alignment horizontal="left" vertical="center" wrapText="1"/>
    </xf>
    <xf numFmtId="0" fontId="6" fillId="43" borderId="76" xfId="0" applyFont="1" applyFill="1" applyBorder="1" applyAlignment="1">
      <alignment horizontal="left" vertical="center" wrapText="1" indent="4"/>
    </xf>
    <xf numFmtId="0" fontId="9" fillId="43" borderId="49" xfId="0" applyFont="1" applyFill="1" applyBorder="1" applyAlignment="1">
      <alignment horizontal="left" wrapText="1"/>
    </xf>
    <xf numFmtId="168" fontId="6" fillId="25" borderId="46" xfId="30" applyNumberFormat="1" applyFont="1" applyFill="1" applyBorder="1" applyAlignment="1">
      <alignment horizontal="right"/>
    </xf>
    <xf numFmtId="168" fontId="6" fillId="25" borderId="60" xfId="30" applyNumberFormat="1" applyFont="1" applyFill="1" applyBorder="1" applyAlignment="1">
      <alignment horizontal="right"/>
    </xf>
    <xf numFmtId="168" fontId="6" fillId="25" borderId="63" xfId="30" applyNumberFormat="1" applyFont="1" applyFill="1" applyBorder="1" applyAlignment="1">
      <alignment horizontal="right"/>
    </xf>
    <xf numFmtId="168" fontId="6" fillId="25" borderId="62" xfId="30" applyNumberFormat="1" applyFont="1" applyFill="1" applyBorder="1" applyAlignment="1">
      <alignment horizontal="right"/>
    </xf>
    <xf numFmtId="168" fontId="6" fillId="31" borderId="78" xfId="30" applyNumberFormat="1" applyFont="1" applyFill="1" applyBorder="1" applyAlignment="1">
      <alignment horizontal="right"/>
    </xf>
    <xf numFmtId="168" fontId="6" fillId="18" borderId="79" xfId="30" applyNumberFormat="1" applyFont="1" applyFill="1" applyBorder="1" applyAlignment="1">
      <alignment horizontal="right"/>
    </xf>
    <xf numFmtId="168" fontId="6" fillId="18" borderId="80" xfId="30" applyNumberFormat="1" applyFont="1" applyFill="1" applyBorder="1" applyAlignment="1">
      <alignment horizontal="right"/>
    </xf>
    <xf numFmtId="168" fontId="6" fillId="31" borderId="134" xfId="30" applyNumberFormat="1" applyFont="1" applyFill="1" applyBorder="1" applyAlignment="1">
      <alignment horizontal="right"/>
    </xf>
    <xf numFmtId="168" fontId="6" fillId="31" borderId="79" xfId="30" applyNumberFormat="1" applyFont="1" applyFill="1" applyBorder="1" applyAlignment="1">
      <alignment horizontal="right"/>
    </xf>
    <xf numFmtId="168" fontId="6" fillId="31" borderId="136" xfId="30" applyNumberFormat="1" applyFont="1" applyFill="1" applyBorder="1" applyAlignment="1">
      <alignment horizontal="right"/>
    </xf>
    <xf numFmtId="168" fontId="6" fillId="30" borderId="55" xfId="30" applyNumberFormat="1" applyFont="1" applyFill="1" applyBorder="1" applyAlignment="1">
      <alignment horizontal="right"/>
    </xf>
    <xf numFmtId="168" fontId="6" fillId="30" borderId="56" xfId="30" applyNumberFormat="1" applyFont="1" applyFill="1" applyBorder="1" applyAlignment="1">
      <alignment horizontal="right"/>
    </xf>
    <xf numFmtId="168" fontId="6" fillId="30" borderId="59" xfId="30" applyNumberFormat="1" applyFont="1" applyFill="1" applyBorder="1" applyAlignment="1">
      <alignment horizontal="right"/>
    </xf>
    <xf numFmtId="168" fontId="6" fillId="30" borderId="97" xfId="30" applyNumberFormat="1" applyFont="1" applyFill="1" applyBorder="1" applyAlignment="1">
      <alignment horizontal="right"/>
    </xf>
    <xf numFmtId="168" fontId="6" fillId="30" borderId="138" xfId="30" applyNumberFormat="1" applyFont="1" applyFill="1" applyBorder="1" applyAlignment="1">
      <alignment horizontal="right"/>
    </xf>
    <xf numFmtId="168" fontId="6" fillId="25" borderId="36" xfId="30" applyNumberFormat="1" applyFont="1" applyFill="1" applyBorder="1" applyAlignment="1">
      <alignment horizontal="right"/>
    </xf>
    <xf numFmtId="168" fontId="6" fillId="25" borderId="35" xfId="30" applyNumberFormat="1" applyFont="1" applyFill="1" applyBorder="1" applyAlignment="1">
      <alignment horizontal="right"/>
    </xf>
    <xf numFmtId="168" fontId="6" fillId="25" borderId="149" xfId="30" applyNumberFormat="1" applyFont="1" applyFill="1" applyBorder="1" applyAlignment="1">
      <alignment horizontal="right"/>
    </xf>
    <xf numFmtId="0" fontId="6" fillId="33" borderId="71" xfId="0" applyFont="1" applyFill="1" applyBorder="1" applyAlignment="1">
      <alignment horizontal="left" vertical="center" wrapText="1" indent="2"/>
    </xf>
    <xf numFmtId="0" fontId="6" fillId="33" borderId="61" xfId="0" applyFont="1" applyFill="1" applyBorder="1" applyAlignment="1">
      <alignment horizontal="left" vertical="center" wrapText="1" indent="2"/>
    </xf>
    <xf numFmtId="0" fontId="9" fillId="33" borderId="226" xfId="0" applyFont="1" applyFill="1" applyBorder="1" applyAlignment="1">
      <alignment horizontal="left" vertical="center" wrapText="1" indent="2"/>
    </xf>
    <xf numFmtId="0" fontId="78" fillId="29" borderId="36" xfId="0" applyFont="1" applyFill="1" applyBorder="1" applyAlignment="1">
      <alignment vertical="center"/>
    </xf>
    <xf numFmtId="168" fontId="6" fillId="29" borderId="206" xfId="0" applyNumberFormat="1" applyFont="1" applyFill="1" applyBorder="1"/>
    <xf numFmtId="168" fontId="6" fillId="29" borderId="75" xfId="0" applyNumberFormat="1" applyFont="1" applyFill="1" applyBorder="1"/>
    <xf numFmtId="168" fontId="6" fillId="38" borderId="77" xfId="0" applyNumberFormat="1" applyFont="1" applyFill="1" applyBorder="1"/>
    <xf numFmtId="168" fontId="6" fillId="30" borderId="77" xfId="0" applyNumberFormat="1" applyFont="1" applyFill="1" applyBorder="1"/>
    <xf numFmtId="168" fontId="6" fillId="30" borderId="207" xfId="0" applyNumberFormat="1" applyFont="1" applyFill="1" applyBorder="1"/>
    <xf numFmtId="43" fontId="6" fillId="30" borderId="249" xfId="0" applyNumberFormat="1" applyFont="1" applyFill="1" applyBorder="1"/>
    <xf numFmtId="43" fontId="6" fillId="30" borderId="250" xfId="0" applyNumberFormat="1" applyFont="1" applyFill="1" applyBorder="1"/>
    <xf numFmtId="43" fontId="6" fillId="30" borderId="251" xfId="0" applyNumberFormat="1" applyFont="1" applyFill="1" applyBorder="1"/>
    <xf numFmtId="168" fontId="6" fillId="38" borderId="245" xfId="30" applyNumberFormat="1" applyFont="1" applyFill="1" applyBorder="1"/>
    <xf numFmtId="168" fontId="6" fillId="38" borderId="201" xfId="30" applyNumberFormat="1" applyFont="1" applyFill="1" applyBorder="1"/>
    <xf numFmtId="168" fontId="6" fillId="38" borderId="202" xfId="30" applyNumberFormat="1" applyFont="1" applyFill="1" applyBorder="1"/>
    <xf numFmtId="168" fontId="6" fillId="31" borderId="206" xfId="0" applyNumberFormat="1" applyFont="1" applyFill="1" applyBorder="1" applyAlignment="1">
      <alignment horizontal="right" wrapText="1"/>
    </xf>
    <xf numFmtId="168" fontId="9" fillId="30" borderId="207" xfId="0" applyNumberFormat="1" applyFont="1" applyFill="1" applyBorder="1" applyAlignment="1">
      <alignment horizontal="right"/>
    </xf>
    <xf numFmtId="0" fontId="15" fillId="29" borderId="206" xfId="0" applyFont="1" applyFill="1" applyBorder="1" applyAlignment="1">
      <alignment horizontal="left" vertical="center" wrapText="1"/>
    </xf>
    <xf numFmtId="0" fontId="6" fillId="38" borderId="36" xfId="0" applyFont="1" applyFill="1" applyBorder="1" applyAlignment="1" applyProtection="1">
      <alignment vertical="center"/>
      <protection locked="0"/>
    </xf>
    <xf numFmtId="0" fontId="6" fillId="38" borderId="35" xfId="0" applyFont="1" applyFill="1" applyBorder="1" applyAlignment="1" applyProtection="1">
      <alignment vertical="center"/>
      <protection locked="0"/>
    </xf>
    <xf numFmtId="0" fontId="6" fillId="38" borderId="34" xfId="0" applyFont="1" applyFill="1" applyBorder="1" applyAlignment="1" applyProtection="1">
      <alignment vertical="center"/>
      <protection locked="0"/>
    </xf>
    <xf numFmtId="168" fontId="6" fillId="38" borderId="101" xfId="0" applyNumberFormat="1" applyFont="1" applyFill="1" applyBorder="1" applyAlignment="1">
      <alignment horizontal="right"/>
    </xf>
    <xf numFmtId="168" fontId="6" fillId="38" borderId="100" xfId="0" applyNumberFormat="1" applyFont="1" applyFill="1" applyBorder="1" applyAlignment="1">
      <alignment horizontal="right"/>
    </xf>
    <xf numFmtId="168" fontId="6" fillId="38" borderId="165" xfId="0" applyNumberFormat="1" applyFont="1" applyFill="1" applyBorder="1" applyAlignment="1">
      <alignment horizontal="right"/>
    </xf>
    <xf numFmtId="168" fontId="9" fillId="38" borderId="46" xfId="0" applyNumberFormat="1" applyFont="1" applyFill="1" applyBorder="1" applyAlignment="1">
      <alignment horizontal="right"/>
    </xf>
    <xf numFmtId="168" fontId="9" fillId="38" borderId="60" xfId="0" applyNumberFormat="1" applyFont="1" applyFill="1" applyBorder="1" applyAlignment="1">
      <alignment horizontal="right"/>
    </xf>
    <xf numFmtId="168" fontId="9" fillId="38" borderId="63" xfId="0" applyNumberFormat="1" applyFont="1" applyFill="1" applyBorder="1" applyAlignment="1">
      <alignment horizontal="right"/>
    </xf>
    <xf numFmtId="0" fontId="6" fillId="38" borderId="35" xfId="0" applyFont="1" applyFill="1" applyBorder="1" applyAlignment="1" applyProtection="1">
      <alignment vertical="center" wrapText="1"/>
      <protection locked="0"/>
    </xf>
    <xf numFmtId="0" fontId="66" fillId="41" borderId="80" xfId="0" applyFont="1" applyFill="1" applyBorder="1" applyAlignment="1">
      <alignment horizontal="center" vertical="center" wrapText="1"/>
    </xf>
    <xf numFmtId="168" fontId="9" fillId="34" borderId="207" xfId="30" applyNumberFormat="1" applyFont="1" applyFill="1" applyBorder="1"/>
    <xf numFmtId="0" fontId="6" fillId="38" borderId="34" xfId="0" applyFont="1" applyFill="1" applyBorder="1" applyAlignment="1" applyProtection="1">
      <alignment vertical="center" wrapText="1"/>
      <protection locked="0"/>
    </xf>
    <xf numFmtId="168" fontId="9" fillId="29" borderId="206" xfId="0" applyNumberFormat="1" applyFont="1" applyFill="1" applyBorder="1" applyAlignment="1">
      <alignment horizontal="left" vertical="center" wrapText="1"/>
    </xf>
    <xf numFmtId="168" fontId="15" fillId="34" borderId="207" xfId="30" applyNumberFormat="1" applyFont="1" applyFill="1" applyBorder="1"/>
    <xf numFmtId="168" fontId="48" fillId="38" borderId="109" xfId="30" applyNumberFormat="1" applyFont="1" applyFill="1" applyBorder="1"/>
    <xf numFmtId="168" fontId="48" fillId="38" borderId="43" xfId="30" applyNumberFormat="1" applyFont="1" applyFill="1" applyBorder="1"/>
    <xf numFmtId="168" fontId="48" fillId="38" borderId="103" xfId="30" applyNumberFormat="1" applyFont="1" applyFill="1" applyBorder="1"/>
    <xf numFmtId="168" fontId="48" fillId="38" borderId="106" xfId="30" applyNumberFormat="1" applyFont="1" applyFill="1" applyBorder="1"/>
    <xf numFmtId="168" fontId="48" fillId="38" borderId="110" xfId="30" applyNumberFormat="1" applyFont="1" applyFill="1" applyBorder="1"/>
    <xf numFmtId="168" fontId="48" fillId="38" borderId="104" xfId="30" applyNumberFormat="1" applyFont="1" applyFill="1" applyBorder="1"/>
    <xf numFmtId="168" fontId="48" fillId="38" borderId="105" xfId="30" applyNumberFormat="1" applyFont="1" applyFill="1" applyBorder="1"/>
    <xf numFmtId="168" fontId="48" fillId="38" borderId="107" xfId="30" applyNumberFormat="1" applyFont="1" applyFill="1" applyBorder="1"/>
    <xf numFmtId="0" fontId="0" fillId="38" borderId="201" xfId="0" applyFill="1" applyBorder="1" applyAlignment="1">
      <alignment vertical="center" wrapText="1"/>
    </xf>
    <xf numFmtId="0" fontId="0" fillId="38" borderId="202" xfId="0" applyFill="1" applyBorder="1" applyAlignment="1">
      <alignment vertical="center" wrapText="1"/>
    </xf>
    <xf numFmtId="0" fontId="78" fillId="30" borderId="36" xfId="0" applyFont="1" applyFill="1" applyBorder="1" applyAlignment="1">
      <alignment vertical="center"/>
    </xf>
    <xf numFmtId="0" fontId="14" fillId="31" borderId="36" xfId="0" applyFont="1" applyFill="1" applyBorder="1" applyAlignment="1">
      <alignment horizontal="right" vertical="center"/>
    </xf>
    <xf numFmtId="0" fontId="14" fillId="31" borderId="21" xfId="0" applyFont="1" applyFill="1" applyBorder="1" applyAlignment="1">
      <alignment vertical="center"/>
    </xf>
    <xf numFmtId="0" fontId="6" fillId="38" borderId="36" xfId="0" applyFont="1" applyFill="1" applyBorder="1" applyAlignment="1" applyProtection="1">
      <alignment vertical="center" wrapText="1"/>
      <protection locked="0"/>
    </xf>
    <xf numFmtId="168" fontId="48" fillId="38" borderId="163" xfId="30" applyNumberFormat="1" applyFont="1" applyFill="1" applyBorder="1" applyAlignment="1">
      <alignment horizontal="right"/>
    </xf>
    <xf numFmtId="168" fontId="48" fillId="38" borderId="119" xfId="30" applyNumberFormat="1" applyFont="1" applyFill="1" applyBorder="1" applyAlignment="1">
      <alignment horizontal="right"/>
    </xf>
    <xf numFmtId="168" fontId="48" fillId="38" borderId="164" xfId="30" applyNumberFormat="1" applyFont="1" applyFill="1" applyBorder="1" applyAlignment="1">
      <alignment horizontal="right"/>
    </xf>
    <xf numFmtId="168" fontId="6" fillId="38" borderId="163" xfId="30" applyNumberFormat="1" applyFont="1" applyFill="1" applyBorder="1" applyAlignment="1">
      <alignment horizontal="right"/>
    </xf>
    <xf numFmtId="168" fontId="6" fillId="38" borderId="119" xfId="30" applyNumberFormat="1" applyFont="1" applyFill="1" applyBorder="1" applyAlignment="1">
      <alignment horizontal="right"/>
    </xf>
    <xf numFmtId="168" fontId="6" fillId="38" borderId="164" xfId="30" applyNumberFormat="1" applyFont="1" applyFill="1" applyBorder="1" applyAlignment="1">
      <alignment horizontal="right"/>
    </xf>
    <xf numFmtId="168" fontId="6" fillId="38" borderId="109" xfId="30" applyNumberFormat="1" applyFont="1" applyFill="1" applyBorder="1"/>
    <xf numFmtId="168" fontId="6" fillId="38" borderId="43" xfId="30" applyNumberFormat="1" applyFont="1" applyFill="1" applyBorder="1"/>
    <xf numFmtId="168" fontId="6" fillId="38" borderId="103" xfId="30" applyNumberFormat="1" applyFont="1" applyFill="1" applyBorder="1"/>
    <xf numFmtId="168" fontId="48" fillId="38" borderId="109" xfId="30" applyNumberFormat="1" applyFont="1" applyFill="1" applyBorder="1" applyAlignment="1">
      <alignment horizontal="right"/>
    </xf>
    <xf numFmtId="168" fontId="48" fillId="38" borderId="43" xfId="30" applyNumberFormat="1" applyFont="1" applyFill="1" applyBorder="1" applyAlignment="1">
      <alignment horizontal="right"/>
    </xf>
    <xf numFmtId="168" fontId="48" fillId="38" borderId="103" xfId="30" applyNumberFormat="1" applyFont="1" applyFill="1" applyBorder="1" applyAlignment="1">
      <alignment horizontal="right"/>
    </xf>
    <xf numFmtId="168" fontId="6" fillId="38" borderId="109" xfId="30" applyNumberFormat="1" applyFont="1" applyFill="1" applyBorder="1" applyAlignment="1">
      <alignment horizontal="right"/>
    </xf>
    <xf numFmtId="168" fontId="6" fillId="38" borderId="43" xfId="30" applyNumberFormat="1" applyFont="1" applyFill="1" applyBorder="1" applyAlignment="1">
      <alignment horizontal="right"/>
    </xf>
    <xf numFmtId="168" fontId="6" fillId="38" borderId="103" xfId="30" applyNumberFormat="1" applyFont="1" applyFill="1" applyBorder="1" applyAlignment="1">
      <alignment horizontal="right"/>
    </xf>
    <xf numFmtId="168" fontId="48" fillId="38" borderId="124" xfId="30" applyNumberFormat="1" applyFont="1" applyFill="1" applyBorder="1" applyAlignment="1">
      <alignment horizontal="right"/>
    </xf>
    <xf numFmtId="168" fontId="48" fillId="38" borderId="117" xfId="30" applyNumberFormat="1" applyFont="1" applyFill="1" applyBorder="1" applyAlignment="1">
      <alignment horizontal="right"/>
    </xf>
    <xf numFmtId="168" fontId="48" fillId="38" borderId="122" xfId="30" applyNumberFormat="1" applyFont="1" applyFill="1" applyBorder="1" applyAlignment="1">
      <alignment horizontal="right"/>
    </xf>
    <xf numFmtId="168" fontId="6" fillId="38" borderId="124" xfId="30" applyNumberFormat="1" applyFont="1" applyFill="1" applyBorder="1" applyAlignment="1">
      <alignment horizontal="right"/>
    </xf>
    <xf numFmtId="168" fontId="6" fillId="38" borderId="117" xfId="30" applyNumberFormat="1" applyFont="1" applyFill="1" applyBorder="1" applyAlignment="1">
      <alignment horizontal="right"/>
    </xf>
    <xf numFmtId="168" fontId="6" fillId="38" borderId="122" xfId="30" applyNumberFormat="1" applyFont="1" applyFill="1" applyBorder="1" applyAlignment="1">
      <alignment horizontal="right"/>
    </xf>
    <xf numFmtId="0" fontId="6" fillId="38" borderId="245" xfId="0" applyFont="1" applyFill="1" applyBorder="1" applyAlignment="1" applyProtection="1">
      <alignment vertical="center" wrapText="1"/>
      <protection locked="0"/>
    </xf>
    <xf numFmtId="0" fontId="6" fillId="38" borderId="201" xfId="0" applyFont="1" applyFill="1" applyBorder="1" applyAlignment="1" applyProtection="1">
      <alignment vertical="center" wrapText="1"/>
      <protection locked="0"/>
    </xf>
    <xf numFmtId="0" fontId="6" fillId="38" borderId="202" xfId="0" applyFont="1" applyFill="1" applyBorder="1" applyAlignment="1" applyProtection="1">
      <alignment vertical="center" wrapText="1"/>
      <protection locked="0"/>
    </xf>
    <xf numFmtId="0" fontId="6" fillId="33" borderId="36" xfId="0" applyFont="1" applyFill="1" applyBorder="1" applyAlignment="1" applyProtection="1">
      <alignment horizontal="right" vertical="center" wrapText="1"/>
      <protection locked="0"/>
    </xf>
    <xf numFmtId="0" fontId="6" fillId="33" borderId="50" xfId="0" applyFont="1" applyFill="1" applyBorder="1" applyAlignment="1">
      <alignment horizontal="left" vertical="center" wrapText="1" indent="1"/>
    </xf>
    <xf numFmtId="0" fontId="52" fillId="33" borderId="78" xfId="0" applyFont="1" applyFill="1" applyBorder="1" applyAlignment="1">
      <alignment horizontal="center" vertical="center" wrapText="1"/>
    </xf>
    <xf numFmtId="0" fontId="6" fillId="22" borderId="152" xfId="0" applyFont="1" applyFill="1" applyBorder="1" applyAlignment="1" applyProtection="1">
      <alignment vertical="center" wrapText="1"/>
      <protection locked="0"/>
    </xf>
    <xf numFmtId="0" fontId="6" fillId="22" borderId="241" xfId="0" applyFont="1" applyFill="1" applyBorder="1" applyAlignment="1" applyProtection="1">
      <alignment vertical="center" wrapText="1"/>
      <protection locked="0"/>
    </xf>
    <xf numFmtId="0" fontId="6" fillId="43" borderId="36" xfId="0" applyFont="1" applyFill="1" applyBorder="1" applyAlignment="1" applyProtection="1">
      <alignment vertical="center" wrapText="1"/>
      <protection locked="0"/>
    </xf>
    <xf numFmtId="0" fontId="78" fillId="27" borderId="72" xfId="0" applyFont="1" applyFill="1" applyBorder="1" applyAlignment="1">
      <alignment vertical="center"/>
    </xf>
    <xf numFmtId="43" fontId="9" fillId="29" borderId="207" xfId="0" applyNumberFormat="1" applyFont="1" applyFill="1" applyBorder="1"/>
    <xf numFmtId="168" fontId="9" fillId="29" borderId="207" xfId="0" applyNumberFormat="1" applyFont="1" applyFill="1" applyBorder="1"/>
    <xf numFmtId="43" fontId="9" fillId="29" borderId="207" xfId="0" applyNumberFormat="1" applyFont="1" applyFill="1" applyBorder="1" applyAlignment="1">
      <alignment horizontal="right"/>
    </xf>
    <xf numFmtId="168" fontId="6" fillId="38" borderId="55" xfId="30" applyNumberFormat="1" applyFont="1" applyFill="1" applyBorder="1"/>
    <xf numFmtId="168" fontId="6" fillId="38" borderId="56" xfId="30" applyNumberFormat="1" applyFont="1" applyFill="1" applyBorder="1"/>
    <xf numFmtId="168" fontId="6" fillId="38" borderId="59" xfId="30" applyNumberFormat="1" applyFont="1" applyFill="1" applyBorder="1"/>
    <xf numFmtId="168" fontId="6" fillId="38" borderId="133" xfId="30" applyNumberFormat="1" applyFont="1" applyFill="1" applyBorder="1"/>
    <xf numFmtId="0" fontId="14" fillId="30" borderId="23" xfId="0" applyFont="1" applyFill="1" applyBorder="1" applyAlignment="1">
      <alignment vertical="center"/>
    </xf>
    <xf numFmtId="0" fontId="9" fillId="39" borderId="67" xfId="0" applyFont="1" applyFill="1" applyBorder="1" applyAlignment="1" applyProtection="1">
      <alignment horizontal="center" vertical="center" wrapText="1"/>
      <protection locked="0"/>
    </xf>
    <xf numFmtId="168" fontId="9" fillId="29" borderId="78" xfId="30" applyNumberFormat="1" applyFont="1" applyFill="1" applyBorder="1" applyAlignment="1"/>
    <xf numFmtId="168" fontId="9" fillId="29" borderId="207" xfId="30" applyNumberFormat="1" applyFont="1" applyFill="1" applyBorder="1" applyAlignment="1"/>
    <xf numFmtId="0" fontId="6" fillId="38" borderId="36" xfId="0" applyFont="1" applyFill="1" applyBorder="1" applyAlignment="1" applyProtection="1">
      <alignment horizontal="left" vertical="center" wrapText="1"/>
      <protection locked="0"/>
    </xf>
    <xf numFmtId="0" fontId="6" fillId="38" borderId="35" xfId="0" applyFont="1" applyFill="1" applyBorder="1" applyAlignment="1" applyProtection="1">
      <alignment horizontal="left" vertical="center" wrapText="1"/>
      <protection locked="0"/>
    </xf>
    <xf numFmtId="0" fontId="66" fillId="41" borderId="63" xfId="0" applyFont="1" applyFill="1" applyBorder="1" applyAlignment="1">
      <alignment horizontal="center" vertical="center" wrapText="1"/>
    </xf>
    <xf numFmtId="168" fontId="6" fillId="29" borderId="249" xfId="30" applyNumberFormat="1" applyFont="1" applyFill="1" applyBorder="1"/>
    <xf numFmtId="168" fontId="6" fillId="29" borderId="250" xfId="30" applyNumberFormat="1" applyFont="1" applyFill="1" applyBorder="1"/>
    <xf numFmtId="168" fontId="6" fillId="29" borderId="251" xfId="30" applyNumberFormat="1" applyFont="1" applyFill="1" applyBorder="1"/>
    <xf numFmtId="174" fontId="6" fillId="38" borderId="206" xfId="30" applyNumberFormat="1" applyFont="1" applyFill="1" applyBorder="1"/>
    <xf numFmtId="174" fontId="6" fillId="38" borderId="82" xfId="30" applyNumberFormat="1" applyFont="1" applyFill="1" applyBorder="1"/>
    <xf numFmtId="174" fontId="6" fillId="38" borderId="90" xfId="30" applyNumberFormat="1" applyFont="1" applyFill="1" applyBorder="1"/>
    <xf numFmtId="174" fontId="6" fillId="38" borderId="46" xfId="30" applyNumberFormat="1" applyFont="1" applyFill="1" applyBorder="1"/>
    <xf numFmtId="174" fontId="6" fillId="38" borderId="60" xfId="30" applyNumberFormat="1" applyFont="1" applyFill="1" applyBorder="1"/>
    <xf numFmtId="174" fontId="6" fillId="38" borderId="63" xfId="30" applyNumberFormat="1" applyFont="1" applyFill="1" applyBorder="1"/>
    <xf numFmtId="168" fontId="6" fillId="38" borderId="78" xfId="30" applyNumberFormat="1" applyFont="1" applyFill="1" applyBorder="1"/>
    <xf numFmtId="168" fontId="6" fillId="38" borderId="79" xfId="30" applyNumberFormat="1" applyFont="1" applyFill="1" applyBorder="1"/>
    <xf numFmtId="168" fontId="6" fillId="38" borderId="80" xfId="30" applyNumberFormat="1" applyFont="1" applyFill="1" applyBorder="1"/>
    <xf numFmtId="174" fontId="6" fillId="38" borderId="78" xfId="30" applyNumberFormat="1" applyFont="1" applyFill="1" applyBorder="1"/>
    <xf numFmtId="174" fontId="6" fillId="38" borderId="79" xfId="30" applyNumberFormat="1" applyFont="1" applyFill="1" applyBorder="1"/>
    <xf numFmtId="174" fontId="6" fillId="38" borderId="80" xfId="30" applyNumberFormat="1" applyFont="1" applyFill="1" applyBorder="1"/>
    <xf numFmtId="0" fontId="14" fillId="38" borderId="51" xfId="0" applyFont="1" applyFill="1" applyBorder="1" applyAlignment="1">
      <alignment vertical="center"/>
    </xf>
    <xf numFmtId="0" fontId="14" fillId="38" borderId="52" xfId="0" applyFont="1" applyFill="1" applyBorder="1" applyAlignment="1">
      <alignment vertical="center"/>
    </xf>
    <xf numFmtId="0" fontId="14" fillId="38" borderId="53" xfId="0" applyFont="1" applyFill="1" applyBorder="1" applyAlignment="1">
      <alignment vertical="center"/>
    </xf>
    <xf numFmtId="174" fontId="6" fillId="38" borderId="55" xfId="30" applyNumberFormat="1" applyFont="1" applyFill="1" applyBorder="1"/>
    <xf numFmtId="174" fontId="6" fillId="38" borderId="56" xfId="30" applyNumberFormat="1" applyFont="1" applyFill="1" applyBorder="1"/>
    <xf numFmtId="174" fontId="6" fillId="38" borderId="59" xfId="30" applyNumberFormat="1" applyFont="1" applyFill="1" applyBorder="1"/>
    <xf numFmtId="164" fontId="6" fillId="38" borderId="206" xfId="44" applyNumberFormat="1" applyFont="1" applyFill="1" applyBorder="1"/>
    <xf numFmtId="164" fontId="6" fillId="38" borderId="82" xfId="44" applyNumberFormat="1" applyFont="1" applyFill="1" applyBorder="1"/>
    <xf numFmtId="164" fontId="6" fillId="38" borderId="90" xfId="44" applyNumberFormat="1" applyFont="1" applyFill="1" applyBorder="1"/>
    <xf numFmtId="164" fontId="6" fillId="38" borderId="55" xfId="44" applyNumberFormat="1" applyFont="1" applyFill="1" applyBorder="1"/>
    <xf numFmtId="164" fontId="6" fillId="38" borderId="56" xfId="44" applyNumberFormat="1" applyFont="1" applyFill="1" applyBorder="1"/>
    <xf numFmtId="164" fontId="6" fillId="38" borderId="59" xfId="44" applyNumberFormat="1" applyFont="1" applyFill="1" applyBorder="1"/>
    <xf numFmtId="164" fontId="6" fillId="38" borderId="207" xfId="44" applyNumberFormat="1" applyFont="1" applyFill="1" applyBorder="1"/>
    <xf numFmtId="164" fontId="6" fillId="38" borderId="64" xfId="44" applyNumberFormat="1" applyFont="1" applyFill="1" applyBorder="1"/>
    <xf numFmtId="164" fontId="6" fillId="38" borderId="67" xfId="44" applyNumberFormat="1" applyFont="1" applyFill="1" applyBorder="1"/>
    <xf numFmtId="0" fontId="6" fillId="38" borderId="206" xfId="0" applyFont="1" applyFill="1" applyBorder="1"/>
    <xf numFmtId="0" fontId="6" fillId="38" borderId="82" xfId="0" applyFont="1" applyFill="1" applyBorder="1"/>
    <xf numFmtId="0" fontId="6" fillId="38" borderId="90" xfId="0" applyFont="1" applyFill="1" applyBorder="1"/>
    <xf numFmtId="0" fontId="6" fillId="38" borderId="46" xfId="0" applyFont="1" applyFill="1" applyBorder="1"/>
    <xf numFmtId="0" fontId="6" fillId="38" borderId="60" xfId="0" applyFont="1" applyFill="1" applyBorder="1"/>
    <xf numFmtId="0" fontId="6" fillId="38" borderId="63" xfId="0" applyFont="1" applyFill="1" applyBorder="1"/>
    <xf numFmtId="0" fontId="6" fillId="38" borderId="207" xfId="0" applyFont="1" applyFill="1" applyBorder="1"/>
    <xf numFmtId="0" fontId="6" fillId="38" borderId="64" xfId="0" applyFont="1" applyFill="1" applyBorder="1"/>
    <xf numFmtId="0" fontId="6" fillId="38" borderId="67" xfId="0" applyFont="1" applyFill="1" applyBorder="1"/>
    <xf numFmtId="1" fontId="9" fillId="38" borderId="207" xfId="44" applyNumberFormat="1" applyFont="1" applyFill="1" applyBorder="1"/>
    <xf numFmtId="1" fontId="6" fillId="38" borderId="206" xfId="30" applyNumberFormat="1" applyFont="1" applyFill="1" applyBorder="1"/>
    <xf numFmtId="1" fontId="6" fillId="38" borderId="82" xfId="30" applyNumberFormat="1" applyFont="1" applyFill="1" applyBorder="1"/>
    <xf numFmtId="1" fontId="6" fillId="38" borderId="90" xfId="30" applyNumberFormat="1" applyFont="1" applyFill="1" applyBorder="1"/>
    <xf numFmtId="1" fontId="6" fillId="38" borderId="46" xfId="30" applyNumberFormat="1" applyFont="1" applyFill="1" applyBorder="1"/>
    <xf numFmtId="1" fontId="6" fillId="38" borderId="60" xfId="30" applyNumberFormat="1" applyFont="1" applyFill="1" applyBorder="1"/>
    <xf numFmtId="1" fontId="6" fillId="38" borderId="63" xfId="30" applyNumberFormat="1" applyFont="1" applyFill="1" applyBorder="1"/>
    <xf numFmtId="0" fontId="41" fillId="33" borderId="206" xfId="0" applyFont="1" applyFill="1" applyBorder="1" applyAlignment="1">
      <alignment horizontal="center" vertical="center" wrapText="1"/>
    </xf>
    <xf numFmtId="0" fontId="52" fillId="33" borderId="50" xfId="0" applyFont="1" applyFill="1" applyBorder="1" applyAlignment="1">
      <alignment horizontal="center" vertical="center" wrapText="1"/>
    </xf>
    <xf numFmtId="0" fontId="0" fillId="0" borderId="23" xfId="0" applyBorder="1"/>
    <xf numFmtId="0" fontId="0" fillId="0" borderId="24" xfId="0" applyBorder="1"/>
    <xf numFmtId="164" fontId="6" fillId="18" borderId="206" xfId="44" applyNumberFormat="1" applyFont="1" applyFill="1" applyBorder="1"/>
    <xf numFmtId="0" fontId="9" fillId="38" borderId="206" xfId="0" applyFont="1" applyFill="1" applyBorder="1" applyAlignment="1">
      <alignment vertical="center" wrapText="1"/>
    </xf>
    <xf numFmtId="0" fontId="9" fillId="38" borderId="82" xfId="0" applyFont="1" applyFill="1" applyBorder="1" applyAlignment="1">
      <alignment vertical="center" wrapText="1"/>
    </xf>
    <xf numFmtId="0" fontId="9" fillId="38" borderId="90" xfId="0" applyFont="1" applyFill="1" applyBorder="1" applyAlignment="1">
      <alignment vertical="center" wrapText="1"/>
    </xf>
    <xf numFmtId="0" fontId="9" fillId="38" borderId="46" xfId="0" applyFont="1" applyFill="1" applyBorder="1" applyAlignment="1">
      <alignment vertical="center" wrapText="1"/>
    </xf>
    <xf numFmtId="0" fontId="9" fillId="38" borderId="60" xfId="0" applyFont="1" applyFill="1" applyBorder="1" applyAlignment="1">
      <alignment vertical="center" wrapText="1"/>
    </xf>
    <xf numFmtId="0" fontId="9" fillId="38" borderId="63" xfId="0" applyFont="1" applyFill="1" applyBorder="1" applyAlignment="1">
      <alignment vertical="center" wrapText="1"/>
    </xf>
    <xf numFmtId="0" fontId="9" fillId="38" borderId="46" xfId="0" applyFont="1" applyFill="1" applyBorder="1" applyAlignment="1">
      <alignment vertical="center"/>
    </xf>
    <xf numFmtId="0" fontId="9" fillId="38" borderId="60" xfId="0" applyFont="1" applyFill="1" applyBorder="1" applyAlignment="1">
      <alignment vertical="center"/>
    </xf>
    <xf numFmtId="0" fontId="9" fillId="38" borderId="63" xfId="0" applyFont="1" applyFill="1" applyBorder="1" applyAlignment="1">
      <alignment vertical="center"/>
    </xf>
    <xf numFmtId="0" fontId="79" fillId="27" borderId="21" xfId="0" applyFont="1" applyFill="1" applyBorder="1" applyAlignment="1">
      <alignment vertical="center"/>
    </xf>
    <xf numFmtId="0" fontId="17" fillId="30" borderId="36" xfId="0" applyFont="1" applyFill="1" applyBorder="1" applyAlignment="1">
      <alignment vertical="center"/>
    </xf>
    <xf numFmtId="0" fontId="6" fillId="38" borderId="82" xfId="0" applyFont="1" applyFill="1" applyBorder="1" applyAlignment="1" applyProtection="1">
      <alignment horizontal="right" vertical="center" wrapText="1"/>
      <protection locked="0"/>
    </xf>
    <xf numFmtId="0" fontId="6" fillId="38" borderId="46" xfId="0" applyFont="1" applyFill="1" applyBorder="1" applyAlignment="1" applyProtection="1">
      <alignment horizontal="right" vertical="center" wrapText="1"/>
      <protection locked="0"/>
    </xf>
    <xf numFmtId="0" fontId="6" fillId="38" borderId="60" xfId="0" applyFont="1" applyFill="1" applyBorder="1" applyAlignment="1" applyProtection="1">
      <alignment horizontal="right" vertical="center" wrapText="1"/>
      <protection locked="0"/>
    </xf>
    <xf numFmtId="0" fontId="6" fillId="38" borderId="64" xfId="0" applyFont="1" applyFill="1" applyBorder="1" applyAlignment="1" applyProtection="1">
      <alignment horizontal="right" vertical="center" wrapText="1"/>
      <protection locked="0"/>
    </xf>
    <xf numFmtId="0" fontId="6" fillId="38" borderId="206" xfId="0" applyFont="1" applyFill="1" applyBorder="1" applyAlignment="1" applyProtection="1">
      <alignment horizontal="right" vertical="center" wrapText="1"/>
      <protection locked="0"/>
    </xf>
    <xf numFmtId="0" fontId="6" fillId="38" borderId="90" xfId="0" applyFont="1" applyFill="1" applyBorder="1" applyAlignment="1" applyProtection="1">
      <alignment horizontal="right" vertical="center" wrapText="1"/>
      <protection locked="0"/>
    </xf>
    <xf numFmtId="0" fontId="6" fillId="38" borderId="63" xfId="0" applyFont="1" applyFill="1" applyBorder="1" applyAlignment="1" applyProtection="1">
      <alignment horizontal="right" vertical="center" wrapText="1"/>
      <protection locked="0"/>
    </xf>
    <xf numFmtId="0" fontId="6" fillId="38" borderId="207" xfId="0" applyFont="1" applyFill="1" applyBorder="1" applyAlignment="1" applyProtection="1">
      <alignment horizontal="right" vertical="center" wrapText="1"/>
      <protection locked="0"/>
    </xf>
    <xf numFmtId="0" fontId="6" fillId="38" borderId="67" xfId="0" applyFont="1" applyFill="1" applyBorder="1" applyAlignment="1" applyProtection="1">
      <alignment horizontal="right" vertical="center" wrapText="1"/>
      <protection locked="0"/>
    </xf>
    <xf numFmtId="41" fontId="16" fillId="29" borderId="207" xfId="0" applyNumberFormat="1" applyFont="1" applyFill="1" applyBorder="1"/>
    <xf numFmtId="3" fontId="11" fillId="38" borderId="55" xfId="0" applyNumberFormat="1" applyFont="1" applyFill="1" applyBorder="1"/>
    <xf numFmtId="3" fontId="11" fillId="38" borderId="56" xfId="0" applyNumberFormat="1" applyFont="1" applyFill="1" applyBorder="1"/>
    <xf numFmtId="3" fontId="11" fillId="38" borderId="46" xfId="0" applyNumberFormat="1" applyFont="1" applyFill="1" applyBorder="1"/>
    <xf numFmtId="3" fontId="11" fillId="38" borderId="60" xfId="0" applyNumberFormat="1" applyFont="1" applyFill="1" applyBorder="1"/>
    <xf numFmtId="3" fontId="11" fillId="38" borderId="78" xfId="0" applyNumberFormat="1" applyFont="1" applyFill="1" applyBorder="1"/>
    <xf numFmtId="3" fontId="11" fillId="38" borderId="79" xfId="0" applyNumberFormat="1" applyFont="1" applyFill="1" applyBorder="1"/>
    <xf numFmtId="1" fontId="9" fillId="38" borderId="49" xfId="0" applyNumberFormat="1" applyFont="1" applyFill="1" applyBorder="1"/>
    <xf numFmtId="1" fontId="9" fillId="38" borderId="75" xfId="0" applyNumberFormat="1" applyFont="1" applyFill="1" applyBorder="1"/>
    <xf numFmtId="41" fontId="113" fillId="29" borderId="207" xfId="0" applyNumberFormat="1" applyFont="1" applyFill="1" applyBorder="1"/>
    <xf numFmtId="41" fontId="113" fillId="29" borderId="67" xfId="0" applyNumberFormat="1" applyFont="1" applyFill="1" applyBorder="1"/>
    <xf numFmtId="41" fontId="6" fillId="29" borderId="60" xfId="0" applyNumberFormat="1" applyFont="1" applyFill="1" applyBorder="1"/>
    <xf numFmtId="41" fontId="6" fillId="29" borderId="63" xfId="0" applyNumberFormat="1" applyFont="1" applyFill="1" applyBorder="1"/>
    <xf numFmtId="3" fontId="11" fillId="38" borderId="63" xfId="0" applyNumberFormat="1" applyFont="1" applyFill="1" applyBorder="1"/>
    <xf numFmtId="3" fontId="11" fillId="38" borderId="59" xfId="0" applyNumberFormat="1" applyFont="1" applyFill="1" applyBorder="1"/>
    <xf numFmtId="3" fontId="11" fillId="38" borderId="80" xfId="0" applyNumberFormat="1" applyFont="1" applyFill="1" applyBorder="1"/>
    <xf numFmtId="43" fontId="9" fillId="31" borderId="207" xfId="30" applyFont="1" applyFill="1" applyBorder="1" applyAlignment="1">
      <alignment horizontal="left" vertical="center" wrapText="1"/>
    </xf>
    <xf numFmtId="0" fontId="14" fillId="31" borderId="126" xfId="0" applyFont="1" applyFill="1" applyBorder="1" applyAlignment="1">
      <alignment vertical="center"/>
    </xf>
    <xf numFmtId="0" fontId="6" fillId="38" borderId="55" xfId="0" applyFont="1" applyFill="1" applyBorder="1" applyAlignment="1" applyProtection="1">
      <alignment horizontal="right" vertical="center" wrapText="1"/>
      <protection locked="0"/>
    </xf>
    <xf numFmtId="0" fontId="6" fillId="38" borderId="56" xfId="0" applyFont="1" applyFill="1" applyBorder="1" applyAlignment="1" applyProtection="1">
      <alignment horizontal="right" vertical="center" wrapText="1"/>
      <protection locked="0"/>
    </xf>
    <xf numFmtId="0" fontId="6" fillId="38" borderId="59" xfId="0" applyFont="1" applyFill="1" applyBorder="1" applyAlignment="1" applyProtection="1">
      <alignment horizontal="right" vertical="center" wrapText="1"/>
      <protection locked="0"/>
    </xf>
    <xf numFmtId="1" fontId="6" fillId="38" borderId="82" xfId="44" applyNumberFormat="1" applyFont="1" applyFill="1" applyBorder="1" applyProtection="1">
      <protection locked="0"/>
    </xf>
    <xf numFmtId="1" fontId="6" fillId="38" borderId="85" xfId="44" applyNumberFormat="1" applyFont="1" applyFill="1" applyBorder="1" applyProtection="1">
      <protection locked="0"/>
    </xf>
    <xf numFmtId="1" fontId="6" fillId="38" borderId="90" xfId="44" applyNumberFormat="1" applyFont="1" applyFill="1" applyBorder="1" applyProtection="1">
      <protection locked="0"/>
    </xf>
    <xf numFmtId="1" fontId="6" fillId="38" borderId="46" xfId="44" applyNumberFormat="1" applyFont="1" applyFill="1" applyBorder="1" applyProtection="1">
      <protection locked="0"/>
    </xf>
    <xf numFmtId="1" fontId="6" fillId="38" borderId="60" xfId="44" applyNumberFormat="1" applyFont="1" applyFill="1" applyBorder="1" applyProtection="1">
      <protection locked="0"/>
    </xf>
    <xf numFmtId="1" fontId="6" fillId="38" borderId="86" xfId="44" applyNumberFormat="1" applyFont="1" applyFill="1" applyBorder="1" applyProtection="1">
      <protection locked="0"/>
    </xf>
    <xf numFmtId="1" fontId="6" fillId="38" borderId="63" xfId="44" applyNumberFormat="1" applyFont="1" applyFill="1" applyBorder="1" applyProtection="1">
      <protection locked="0"/>
    </xf>
    <xf numFmtId="1" fontId="6" fillId="38" borderId="78" xfId="44" applyNumberFormat="1" applyFont="1" applyFill="1" applyBorder="1" applyProtection="1">
      <protection locked="0"/>
    </xf>
    <xf numFmtId="1" fontId="6" fillId="38" borderId="79" xfId="44" applyNumberFormat="1" applyFont="1" applyFill="1" applyBorder="1" applyProtection="1">
      <protection locked="0"/>
    </xf>
    <xf numFmtId="1" fontId="6" fillId="38" borderId="87" xfId="44" applyNumberFormat="1" applyFont="1" applyFill="1" applyBorder="1" applyProtection="1">
      <protection locked="0"/>
    </xf>
    <xf numFmtId="1" fontId="6" fillId="38" borderId="80" xfId="44" applyNumberFormat="1" applyFont="1" applyFill="1" applyBorder="1" applyProtection="1">
      <protection locked="0"/>
    </xf>
    <xf numFmtId="1" fontId="6" fillId="38" borderId="206" xfId="44" applyNumberFormat="1" applyFont="1" applyFill="1" applyBorder="1" applyProtection="1">
      <protection locked="0"/>
    </xf>
    <xf numFmtId="168" fontId="6" fillId="31" borderId="207" xfId="30" applyNumberFormat="1" applyFont="1" applyFill="1" applyBorder="1" applyAlignment="1" applyProtection="1">
      <alignment horizontal="right" vertical="center" wrapText="1"/>
      <protection locked="0"/>
    </xf>
    <xf numFmtId="0" fontId="9" fillId="36" borderId="207" xfId="0" applyFont="1" applyFill="1" applyBorder="1" applyAlignment="1">
      <alignment horizontal="center" vertical="center" wrapText="1"/>
    </xf>
    <xf numFmtId="0" fontId="9" fillId="41" borderId="67" xfId="0" applyFont="1" applyFill="1" applyBorder="1" applyAlignment="1">
      <alignment horizontal="center" vertical="center" wrapText="1"/>
    </xf>
    <xf numFmtId="0" fontId="6" fillId="38" borderId="78" xfId="0" applyFont="1" applyFill="1" applyBorder="1" applyAlignment="1" applyProtection="1">
      <alignment horizontal="right" vertical="center" wrapText="1"/>
      <protection locked="0"/>
    </xf>
    <xf numFmtId="0" fontId="6" fillId="38" borderId="79" xfId="0" applyFont="1" applyFill="1" applyBorder="1" applyAlignment="1" applyProtection="1">
      <alignment horizontal="right" vertical="center" wrapText="1"/>
      <protection locked="0"/>
    </xf>
    <xf numFmtId="0" fontId="6" fillId="38" borderId="80" xfId="0" applyFont="1" applyFill="1" applyBorder="1" applyAlignment="1" applyProtection="1">
      <alignment horizontal="right" vertical="center" wrapText="1"/>
      <protection locked="0"/>
    </xf>
    <xf numFmtId="0" fontId="66" fillId="39" borderId="65" xfId="0" applyFont="1" applyFill="1" applyBorder="1" applyAlignment="1">
      <alignment horizontal="center" vertical="center" wrapText="1"/>
    </xf>
    <xf numFmtId="0" fontId="66" fillId="45" borderId="64" xfId="0" applyFont="1" applyFill="1" applyBorder="1" applyAlignment="1">
      <alignment horizontal="center" vertical="center" wrapText="1"/>
    </xf>
    <xf numFmtId="0" fontId="14" fillId="29" borderId="21" xfId="0" applyFont="1" applyFill="1" applyBorder="1" applyAlignment="1">
      <alignment vertical="center"/>
    </xf>
    <xf numFmtId="0" fontId="78" fillId="29" borderId="22" xfId="0" applyFont="1" applyFill="1" applyBorder="1" applyAlignment="1">
      <alignment vertical="center"/>
    </xf>
    <xf numFmtId="0" fontId="66" fillId="44" borderId="207" xfId="0" applyFont="1" applyFill="1" applyBorder="1" applyAlignment="1">
      <alignment horizontal="center" vertical="center" wrapText="1"/>
    </xf>
    <xf numFmtId="0" fontId="66" fillId="45" borderId="67" xfId="0" applyFont="1" applyFill="1" applyBorder="1" applyAlignment="1">
      <alignment horizontal="center" vertical="center" wrapText="1"/>
    </xf>
    <xf numFmtId="168" fontId="6" fillId="31" borderId="51" xfId="30" applyNumberFormat="1" applyFont="1" applyFill="1" applyBorder="1"/>
    <xf numFmtId="168" fontId="6" fillId="31" borderId="52" xfId="30" applyNumberFormat="1" applyFont="1" applyFill="1" applyBorder="1"/>
    <xf numFmtId="168" fontId="6" fillId="31" borderId="53" xfId="30" applyNumberFormat="1" applyFont="1" applyFill="1" applyBorder="1"/>
    <xf numFmtId="174" fontId="6" fillId="31" borderId="51" xfId="30" applyNumberFormat="1" applyFont="1" applyFill="1" applyBorder="1"/>
    <xf numFmtId="174" fontId="6" fillId="31" borderId="52" xfId="30" applyNumberFormat="1" applyFont="1" applyFill="1" applyBorder="1"/>
    <xf numFmtId="174" fontId="6" fillId="31" borderId="53" xfId="30" applyNumberFormat="1" applyFont="1" applyFill="1" applyBorder="1"/>
    <xf numFmtId="0" fontId="9" fillId="33" borderId="252" xfId="0" applyFont="1" applyFill="1" applyBorder="1" applyAlignment="1" applyProtection="1">
      <alignment wrapText="1"/>
      <protection locked="0"/>
    </xf>
    <xf numFmtId="0" fontId="6" fillId="0" borderId="0" xfId="144"/>
    <xf numFmtId="0" fontId="18" fillId="19" borderId="0" xfId="144" applyFont="1" applyFill="1" applyBorder="1" applyAlignment="1" applyProtection="1">
      <alignment horizontal="left" vertical="center"/>
    </xf>
    <xf numFmtId="0" fontId="18" fillId="19" borderId="0" xfId="144" applyFont="1" applyFill="1" applyBorder="1" applyAlignment="1" applyProtection="1">
      <alignment vertical="center"/>
    </xf>
    <xf numFmtId="0" fontId="61" fillId="33" borderId="0" xfId="144" applyFont="1" applyFill="1" applyProtection="1"/>
    <xf numFmtId="0" fontId="6" fillId="0" borderId="0" xfId="212"/>
    <xf numFmtId="0" fontId="0" fillId="0" borderId="0" xfId="0" applyAlignment="1">
      <alignment wrapText="1"/>
    </xf>
    <xf numFmtId="0" fontId="6" fillId="33" borderId="50" xfId="0" applyFont="1" applyFill="1" applyBorder="1" applyAlignment="1">
      <alignment horizontal="left" vertical="center" wrapText="1" indent="1"/>
    </xf>
    <xf numFmtId="0" fontId="98" fillId="33" borderId="0" xfId="144" applyFont="1" applyFill="1" applyProtection="1"/>
    <xf numFmtId="0" fontId="89" fillId="33" borderId="0" xfId="144" applyFont="1" applyFill="1" applyProtection="1">
      <protection locked="0"/>
    </xf>
    <xf numFmtId="0" fontId="18" fillId="19" borderId="0" xfId="144" applyFont="1" applyFill="1" applyAlignment="1" applyProtection="1">
      <alignment vertical="center" wrapText="1"/>
    </xf>
    <xf numFmtId="0" fontId="18" fillId="0" borderId="0" xfId="144" applyFont="1" applyFill="1" applyAlignment="1" applyProtection="1">
      <alignment vertical="center"/>
    </xf>
    <xf numFmtId="0" fontId="6" fillId="33" borderId="0" xfId="144" applyFill="1" applyProtection="1"/>
    <xf numFmtId="0" fontId="84" fillId="30" borderId="0" xfId="144" applyFont="1" applyFill="1"/>
    <xf numFmtId="0" fontId="6" fillId="33" borderId="0" xfId="144" applyFill="1" applyProtection="1">
      <protection locked="0"/>
    </xf>
    <xf numFmtId="0" fontId="9" fillId="0" borderId="0" xfId="144" applyFont="1" applyAlignment="1" applyProtection="1">
      <alignment horizontal="left" wrapText="1"/>
      <protection locked="0"/>
    </xf>
    <xf numFmtId="0" fontId="9" fillId="0" borderId="0" xfId="144" applyFont="1" applyAlignment="1" applyProtection="1">
      <alignment horizontal="left" wrapText="1"/>
    </xf>
    <xf numFmtId="0" fontId="89" fillId="33" borderId="0" xfId="144" applyFont="1" applyFill="1" applyProtection="1"/>
    <xf numFmtId="0" fontId="9" fillId="14" borderId="0" xfId="144" applyFont="1" applyFill="1" applyAlignment="1" applyProtection="1">
      <alignment vertical="center" wrapText="1"/>
    </xf>
    <xf numFmtId="0" fontId="9" fillId="33" borderId="0" xfId="144" applyFont="1" applyFill="1" applyAlignment="1" applyProtection="1">
      <alignment vertical="center" wrapText="1"/>
    </xf>
    <xf numFmtId="0" fontId="9" fillId="0" borderId="0" xfId="144" applyFont="1" applyFill="1" applyAlignment="1" applyProtection="1">
      <alignment vertical="center" wrapText="1"/>
    </xf>
    <xf numFmtId="0" fontId="6" fillId="33" borderId="0" xfId="144" applyFill="1" applyAlignment="1" applyProtection="1">
      <alignment horizontal="left" vertical="top" wrapText="1"/>
      <protection locked="0"/>
    </xf>
    <xf numFmtId="0" fontId="6" fillId="33" borderId="0" xfId="144" applyFill="1" applyAlignment="1" applyProtection="1">
      <alignment horizontal="left" vertical="top" wrapText="1"/>
    </xf>
    <xf numFmtId="0" fontId="6" fillId="0" borderId="0" xfId="144" applyFill="1" applyAlignment="1" applyProtection="1">
      <alignment vertical="top" wrapText="1"/>
    </xf>
    <xf numFmtId="0" fontId="6" fillId="33" borderId="0" xfId="144" applyFill="1" applyAlignment="1" applyProtection="1">
      <alignment vertical="top" wrapText="1"/>
    </xf>
    <xf numFmtId="0" fontId="9" fillId="33" borderId="0" xfId="144" applyFont="1" applyFill="1" applyAlignment="1" applyProtection="1">
      <alignment horizontal="left" vertical="top" wrapText="1"/>
    </xf>
    <xf numFmtId="0" fontId="9" fillId="33" borderId="201" xfId="144" applyFont="1" applyFill="1" applyBorder="1" applyAlignment="1" applyProtection="1">
      <alignment horizontal="left" vertical="top" wrapText="1"/>
    </xf>
    <xf numFmtId="0" fontId="6" fillId="33" borderId="201" xfId="144" applyFill="1" applyBorder="1" applyAlignment="1" applyProtection="1">
      <alignment horizontal="left" vertical="top" wrapText="1"/>
    </xf>
    <xf numFmtId="0" fontId="98" fillId="33" borderId="0" xfId="144" applyFont="1" applyFill="1"/>
    <xf numFmtId="0" fontId="6" fillId="33" borderId="0" xfId="144" applyFill="1"/>
    <xf numFmtId="0" fontId="14" fillId="29" borderId="36" xfId="144" applyFont="1" applyFill="1" applyBorder="1" applyAlignment="1" applyProtection="1">
      <alignment horizontal="left" vertical="center"/>
    </xf>
    <xf numFmtId="0" fontId="14" fillId="29" borderId="22" xfId="144" applyFont="1" applyFill="1" applyBorder="1" applyAlignment="1" applyProtection="1">
      <alignment horizontal="left" vertical="center"/>
    </xf>
    <xf numFmtId="0" fontId="14" fillId="29" borderId="35" xfId="144" applyFont="1" applyFill="1" applyBorder="1" applyAlignment="1" applyProtection="1">
      <alignment horizontal="left" vertical="center"/>
    </xf>
    <xf numFmtId="0" fontId="14" fillId="29" borderId="34" xfId="144" applyFont="1" applyFill="1" applyBorder="1" applyAlignment="1" applyProtection="1">
      <alignment horizontal="left" vertical="center"/>
    </xf>
    <xf numFmtId="0" fontId="17" fillId="33" borderId="19" xfId="144" applyFont="1" applyFill="1" applyBorder="1" applyAlignment="1" applyProtection="1">
      <alignment vertical="center" wrapText="1"/>
      <protection locked="0"/>
    </xf>
    <xf numFmtId="0" fontId="6" fillId="0" borderId="21" xfId="144" applyBorder="1"/>
    <xf numFmtId="0" fontId="9" fillId="29" borderId="249" xfId="144" applyFont="1" applyFill="1" applyBorder="1" applyAlignment="1" applyProtection="1">
      <alignment horizontal="right" vertical="center"/>
    </xf>
    <xf numFmtId="0" fontId="9" fillId="56" borderId="69" xfId="144" applyFont="1" applyFill="1" applyBorder="1" applyAlignment="1" applyProtection="1">
      <alignment horizontal="right" vertical="center"/>
    </xf>
    <xf numFmtId="0" fontId="6" fillId="0" borderId="19" xfId="144" applyBorder="1"/>
    <xf numFmtId="0" fontId="9" fillId="56" borderId="36" xfId="144" applyFont="1" applyFill="1" applyBorder="1" applyAlignment="1" applyProtection="1">
      <alignment horizontal="right" vertical="center"/>
    </xf>
    <xf numFmtId="0" fontId="9" fillId="56" borderId="52" xfId="144" applyFont="1" applyFill="1" applyBorder="1" applyAlignment="1" applyProtection="1">
      <alignment horizontal="right" vertical="center"/>
    </xf>
    <xf numFmtId="0" fontId="9" fillId="56" borderId="53" xfId="144" applyFont="1" applyFill="1" applyBorder="1" applyAlignment="1" applyProtection="1">
      <alignment horizontal="right" vertical="center"/>
    </xf>
    <xf numFmtId="0" fontId="6" fillId="0" borderId="49" xfId="144" applyFont="1" applyFill="1" applyBorder="1" applyAlignment="1" applyProtection="1">
      <alignment horizontal="left" vertical="center" wrapText="1" indent="1"/>
    </xf>
    <xf numFmtId="167" fontId="6" fillId="0" borderId="255" xfId="144" applyNumberFormat="1" applyFont="1" applyFill="1" applyBorder="1" applyAlignment="1" applyProtection="1">
      <alignment vertical="center" wrapText="1"/>
    </xf>
    <xf numFmtId="167" fontId="6" fillId="29" borderId="256" xfId="144" applyNumberFormat="1" applyFont="1" applyFill="1" applyBorder="1" applyAlignment="1" applyProtection="1"/>
    <xf numFmtId="167" fontId="9" fillId="29" borderId="256" xfId="144" applyNumberFormat="1" applyFont="1" applyFill="1" applyBorder="1" applyAlignment="1" applyProtection="1"/>
    <xf numFmtId="167" fontId="9" fillId="29" borderId="131" xfId="144" applyNumberFormat="1" applyFont="1" applyFill="1" applyBorder="1" applyAlignment="1" applyProtection="1"/>
    <xf numFmtId="0" fontId="48" fillId="33" borderId="49" xfId="144" applyFont="1" applyFill="1" applyBorder="1" applyAlignment="1" applyProtection="1">
      <alignment vertical="center" wrapText="1"/>
    </xf>
    <xf numFmtId="0" fontId="48" fillId="33" borderId="140" xfId="144" applyFont="1" applyFill="1" applyBorder="1" applyAlignment="1" applyProtection="1">
      <alignment vertical="center" wrapText="1"/>
    </xf>
    <xf numFmtId="10" fontId="6" fillId="33" borderId="12" xfId="144" applyNumberFormat="1" applyFont="1" applyFill="1" applyBorder="1" applyAlignment="1" applyProtection="1">
      <alignment horizontal="right" vertical="center" wrapText="1"/>
    </xf>
    <xf numFmtId="10" fontId="6" fillId="33" borderId="177" xfId="144" applyNumberFormat="1" applyFont="1" applyFill="1" applyBorder="1" applyAlignment="1" applyProtection="1">
      <alignment horizontal="right" vertical="center" wrapText="1"/>
    </xf>
    <xf numFmtId="0" fontId="6" fillId="0" borderId="68" xfId="144" applyFont="1" applyFill="1" applyBorder="1" applyAlignment="1" applyProtection="1">
      <alignment horizontal="left" vertical="center" wrapText="1" indent="1"/>
    </xf>
    <xf numFmtId="167" fontId="6" fillId="0" borderId="186" xfId="144" applyNumberFormat="1" applyFont="1" applyFill="1" applyBorder="1" applyAlignment="1" applyProtection="1">
      <alignment vertical="center" wrapText="1"/>
    </xf>
    <xf numFmtId="167" fontId="6" fillId="0" borderId="179" xfId="144" applyNumberFormat="1" applyFont="1" applyFill="1" applyBorder="1" applyAlignment="1" applyProtection="1">
      <alignment vertical="center" wrapText="1"/>
    </xf>
    <xf numFmtId="167" fontId="6" fillId="0" borderId="40" xfId="144" applyNumberFormat="1" applyFont="1" applyFill="1" applyBorder="1" applyAlignment="1" applyProtection="1">
      <alignment vertical="center" wrapText="1"/>
    </xf>
    <xf numFmtId="0" fontId="48" fillId="33" borderId="68" xfId="144" applyFont="1" applyFill="1" applyBorder="1" applyAlignment="1" applyProtection="1">
      <alignment vertical="center" wrapText="1"/>
    </xf>
    <xf numFmtId="197" fontId="6" fillId="33" borderId="186" xfId="144" applyNumberFormat="1" applyFont="1" applyFill="1" applyBorder="1" applyAlignment="1" applyProtection="1">
      <alignment horizontal="right" vertical="center" wrapText="1"/>
    </xf>
    <xf numFmtId="197" fontId="6" fillId="33" borderId="178" xfId="144" applyNumberFormat="1" applyFont="1" applyFill="1" applyBorder="1" applyAlignment="1" applyProtection="1">
      <alignment horizontal="right" vertical="center" wrapText="1"/>
    </xf>
    <xf numFmtId="197" fontId="6" fillId="33" borderId="179" xfId="144" applyNumberFormat="1" applyFont="1" applyFill="1" applyBorder="1" applyAlignment="1" applyProtection="1">
      <alignment horizontal="right" vertical="center" wrapText="1"/>
    </xf>
    <xf numFmtId="197" fontId="6" fillId="33" borderId="180" xfId="144" applyNumberFormat="1" applyFont="1" applyFill="1" applyBorder="1" applyAlignment="1" applyProtection="1">
      <alignment horizontal="right" vertical="center" wrapText="1"/>
    </xf>
    <xf numFmtId="0" fontId="98" fillId="33" borderId="0" xfId="144" applyFont="1" applyFill="1" applyBorder="1" applyProtection="1"/>
    <xf numFmtId="0" fontId="89" fillId="33" borderId="0" xfId="144" applyFont="1" applyFill="1" applyBorder="1" applyProtection="1"/>
    <xf numFmtId="0" fontId="6" fillId="0" borderId="0" xfId="144" applyFont="1" applyFill="1" applyBorder="1" applyAlignment="1" applyProtection="1">
      <alignment horizontal="left" vertical="center" wrapText="1" indent="1"/>
    </xf>
    <xf numFmtId="0" fontId="6" fillId="0" borderId="22" xfId="144" applyFont="1" applyFill="1" applyBorder="1" applyAlignment="1" applyProtection="1">
      <alignment horizontal="left" vertical="center" wrapText="1" indent="1"/>
    </xf>
    <xf numFmtId="167" fontId="6" fillId="0" borderId="22" xfId="144" applyNumberFormat="1" applyFont="1" applyFill="1" applyBorder="1" applyAlignment="1" applyProtection="1">
      <alignment horizontal="right" vertical="center" wrapText="1"/>
    </xf>
    <xf numFmtId="0" fontId="6" fillId="33" borderId="0" xfId="144" applyFill="1" applyBorder="1" applyProtection="1"/>
    <xf numFmtId="182" fontId="6" fillId="33" borderId="0" xfId="144" applyNumberFormat="1" applyFill="1" applyBorder="1" applyProtection="1"/>
    <xf numFmtId="2" fontId="6" fillId="33" borderId="0" xfId="144" applyNumberFormat="1" applyFont="1" applyFill="1" applyBorder="1" applyAlignment="1" applyProtection="1">
      <alignment horizontal="right" vertical="center" wrapText="1"/>
    </xf>
    <xf numFmtId="0" fontId="98" fillId="0" borderId="0" xfId="144" applyFont="1"/>
    <xf numFmtId="0" fontId="98" fillId="33" borderId="0" xfId="144" applyFont="1" applyFill="1" applyBorder="1" applyProtection="1">
      <protection locked="0"/>
    </xf>
    <xf numFmtId="0" fontId="89" fillId="33" borderId="0" xfId="144" applyFont="1" applyFill="1" applyBorder="1" applyProtection="1">
      <protection locked="0"/>
    </xf>
    <xf numFmtId="0" fontId="79" fillId="27" borderId="0" xfId="144" applyFont="1" applyFill="1" applyBorder="1" applyAlignment="1">
      <alignment vertical="center"/>
    </xf>
    <xf numFmtId="0" fontId="79" fillId="33" borderId="0" xfId="144" applyFont="1" applyFill="1" applyBorder="1" applyProtection="1"/>
    <xf numFmtId="0" fontId="6" fillId="33" borderId="0" xfId="144" applyFill="1" applyAlignment="1">
      <alignment horizontal="left" vertical="top" wrapText="1"/>
    </xf>
    <xf numFmtId="0" fontId="101" fillId="33" borderId="0" xfId="144" applyFont="1" applyFill="1" applyBorder="1" applyProtection="1"/>
    <xf numFmtId="0" fontId="92" fillId="33" borderId="0" xfId="144" applyFont="1" applyFill="1" applyBorder="1" applyProtection="1"/>
    <xf numFmtId="0" fontId="93" fillId="31" borderId="36" xfId="144" applyFont="1" applyFill="1" applyBorder="1" applyAlignment="1" applyProtection="1">
      <alignment horizontal="left" vertical="center"/>
      <protection locked="0"/>
    </xf>
    <xf numFmtId="0" fontId="93" fillId="31" borderId="35" xfId="144" applyFont="1" applyFill="1" applyBorder="1" applyAlignment="1" applyProtection="1">
      <alignment horizontal="left" vertical="center"/>
      <protection locked="0"/>
    </xf>
    <xf numFmtId="0" fontId="67" fillId="33" borderId="21" xfId="144" applyFont="1" applyFill="1" applyBorder="1"/>
    <xf numFmtId="0" fontId="6" fillId="33" borderId="19" xfId="144" applyFill="1" applyBorder="1"/>
    <xf numFmtId="0" fontId="9" fillId="57" borderId="68" xfId="144" applyFont="1" applyFill="1" applyBorder="1" applyAlignment="1" applyProtection="1">
      <alignment horizontal="right" vertical="center"/>
    </xf>
    <xf numFmtId="0" fontId="9" fillId="57" borderId="116" xfId="144" applyFont="1" applyFill="1" applyBorder="1" applyAlignment="1" applyProtection="1">
      <alignment horizontal="right" vertical="center"/>
    </xf>
    <xf numFmtId="0" fontId="9" fillId="57" borderId="147" xfId="144" applyFont="1" applyFill="1" applyBorder="1" applyAlignment="1" applyProtection="1">
      <alignment horizontal="right" vertical="center"/>
    </xf>
    <xf numFmtId="0" fontId="9" fillId="29" borderId="68" xfId="144" applyFont="1" applyFill="1" applyBorder="1" applyAlignment="1" applyProtection="1">
      <alignment horizontal="right" vertical="center"/>
    </xf>
    <xf numFmtId="0" fontId="9" fillId="29" borderId="116" xfId="144" applyFont="1" applyFill="1" applyBorder="1" applyAlignment="1" applyProtection="1">
      <alignment horizontal="right" vertical="center"/>
    </xf>
    <xf numFmtId="0" fontId="9" fillId="36" borderId="51" xfId="144" applyFont="1" applyFill="1" applyBorder="1" applyAlignment="1" applyProtection="1">
      <alignment horizontal="right" vertical="center"/>
    </xf>
    <xf numFmtId="0" fontId="9" fillId="36" borderId="52" xfId="144" applyFont="1" applyFill="1" applyBorder="1" applyAlignment="1" applyProtection="1">
      <alignment horizontal="right" vertical="center"/>
    </xf>
    <xf numFmtId="0" fontId="9" fillId="36" borderId="53" xfId="144" applyFont="1" applyFill="1" applyBorder="1" applyAlignment="1" applyProtection="1">
      <alignment horizontal="right" vertical="center"/>
    </xf>
    <xf numFmtId="0" fontId="9" fillId="29" borderId="36" xfId="144" applyFont="1" applyFill="1" applyBorder="1" applyAlignment="1" applyProtection="1">
      <alignment horizontal="right" vertical="center"/>
      <protection locked="0"/>
    </xf>
    <xf numFmtId="0" fontId="9" fillId="29" borderId="35" xfId="144" applyFont="1" applyFill="1" applyBorder="1" applyAlignment="1" applyProtection="1">
      <alignment horizontal="right" vertical="center"/>
      <protection locked="0"/>
    </xf>
    <xf numFmtId="0" fontId="9" fillId="57" borderId="51" xfId="144" applyFont="1" applyFill="1" applyBorder="1" applyAlignment="1" applyProtection="1">
      <alignment horizontal="right" vertical="center"/>
    </xf>
    <xf numFmtId="0" fontId="9" fillId="57" borderId="52" xfId="144" applyFont="1" applyFill="1" applyBorder="1" applyAlignment="1" applyProtection="1">
      <alignment horizontal="right" vertical="center"/>
    </xf>
    <xf numFmtId="0" fontId="9" fillId="57" borderId="53" xfId="144" applyFont="1" applyFill="1" applyBorder="1" applyAlignment="1" applyProtection="1">
      <alignment horizontal="right" vertical="center"/>
    </xf>
    <xf numFmtId="0" fontId="6" fillId="0" borderId="49" xfId="144" applyFont="1" applyBorder="1" applyAlignment="1" applyProtection="1">
      <alignment horizontal="left" vertical="center" wrapText="1" indent="1"/>
    </xf>
    <xf numFmtId="167" fontId="9" fillId="25" borderId="206" xfId="144" applyNumberFormat="1" applyFont="1" applyFill="1" applyBorder="1" applyAlignment="1" applyProtection="1">
      <alignment vertical="center" wrapText="1"/>
      <protection locked="0"/>
    </xf>
    <xf numFmtId="167" fontId="9" fillId="25" borderId="82" xfId="144" applyNumberFormat="1" applyFont="1" applyFill="1" applyBorder="1" applyAlignment="1" applyProtection="1">
      <alignment vertical="center" wrapText="1"/>
      <protection locked="0"/>
    </xf>
    <xf numFmtId="167" fontId="9" fillId="25" borderId="90" xfId="144" applyNumberFormat="1" applyFont="1" applyFill="1" applyBorder="1" applyAlignment="1" applyProtection="1">
      <alignment vertical="center" wrapText="1"/>
      <protection locked="0"/>
    </xf>
    <xf numFmtId="167" fontId="6" fillId="33" borderId="206" xfId="144" applyNumberFormat="1" applyFont="1" applyFill="1" applyBorder="1" applyAlignment="1">
      <alignment horizontal="right" vertical="center" wrapText="1"/>
    </xf>
    <xf numFmtId="167" fontId="6" fillId="33" borderId="82" xfId="144" applyNumberFormat="1" applyFont="1" applyFill="1" applyBorder="1" applyAlignment="1">
      <alignment horizontal="right" vertical="center" wrapText="1"/>
    </xf>
    <xf numFmtId="167" fontId="6" fillId="33" borderId="90" xfId="144" applyNumberFormat="1" applyFont="1" applyFill="1" applyBorder="1" applyAlignment="1">
      <alignment horizontal="right" vertical="center" wrapText="1"/>
    </xf>
    <xf numFmtId="173" fontId="6" fillId="29" borderId="0" xfId="144" applyNumberFormat="1" applyFont="1" applyFill="1" applyBorder="1" applyAlignment="1" applyProtection="1">
      <alignment horizontal="left"/>
    </xf>
    <xf numFmtId="173" fontId="6" fillId="29" borderId="24" xfId="144" applyNumberFormat="1" applyFont="1" applyFill="1" applyBorder="1" applyAlignment="1" applyProtection="1">
      <alignment horizontal="left"/>
    </xf>
    <xf numFmtId="0" fontId="6" fillId="0" borderId="0" xfId="144" applyFill="1" applyProtection="1"/>
    <xf numFmtId="0" fontId="82" fillId="29" borderId="50" xfId="144" applyFont="1" applyFill="1" applyBorder="1" applyAlignment="1" applyProtection="1">
      <alignment horizontal="left" vertical="center" wrapText="1" indent="1"/>
    </xf>
    <xf numFmtId="0" fontId="9" fillId="29" borderId="46" xfId="144" applyFont="1" applyFill="1" applyBorder="1" applyAlignment="1" applyProtection="1">
      <alignment vertical="center"/>
    </xf>
    <xf numFmtId="0" fontId="9" fillId="29" borderId="60" xfId="144" applyFont="1" applyFill="1" applyBorder="1" applyAlignment="1" applyProtection="1">
      <alignment vertical="center"/>
    </xf>
    <xf numFmtId="0" fontId="9" fillId="29" borderId="63" xfId="144" applyFont="1" applyFill="1" applyBorder="1" applyAlignment="1" applyProtection="1">
      <alignment vertical="center"/>
    </xf>
    <xf numFmtId="173" fontId="9" fillId="31" borderId="46" xfId="144" applyNumberFormat="1" applyFont="1" applyFill="1" applyBorder="1" applyAlignment="1" applyProtection="1">
      <alignment horizontal="left"/>
      <protection locked="0"/>
    </xf>
    <xf numFmtId="173" fontId="9" fillId="31" borderId="60" xfId="144" applyNumberFormat="1" applyFont="1" applyFill="1" applyBorder="1" applyAlignment="1" applyProtection="1">
      <alignment horizontal="left"/>
      <protection locked="0"/>
    </xf>
    <xf numFmtId="173" fontId="9" fillId="31" borderId="63" xfId="144" applyNumberFormat="1" applyFont="1" applyFill="1" applyBorder="1" applyAlignment="1" applyProtection="1">
      <alignment horizontal="left"/>
      <protection locked="0"/>
    </xf>
    <xf numFmtId="0" fontId="6" fillId="0" borderId="50" xfId="144" applyFont="1" applyBorder="1" applyAlignment="1" applyProtection="1">
      <alignment horizontal="left" vertical="center" indent="3"/>
    </xf>
    <xf numFmtId="167" fontId="6" fillId="25" borderId="46" xfId="144" applyNumberFormat="1" applyFont="1" applyFill="1" applyBorder="1" applyAlignment="1" applyProtection="1">
      <alignment vertical="center" wrapText="1"/>
      <protection locked="0"/>
    </xf>
    <xf numFmtId="167" fontId="6" fillId="25" borderId="60" xfId="144" applyNumberFormat="1" applyFont="1" applyFill="1" applyBorder="1" applyAlignment="1" applyProtection="1">
      <alignment vertical="center" wrapText="1"/>
      <protection locked="0"/>
    </xf>
    <xf numFmtId="167" fontId="6" fillId="25" borderId="63" xfId="144" applyNumberFormat="1" applyFont="1" applyFill="1" applyBorder="1" applyAlignment="1" applyProtection="1">
      <alignment vertical="center" wrapText="1"/>
      <protection locked="0"/>
    </xf>
    <xf numFmtId="167" fontId="6" fillId="33" borderId="46" xfId="144" applyNumberFormat="1" applyFont="1" applyFill="1" applyBorder="1" applyAlignment="1">
      <alignment horizontal="right" wrapText="1"/>
    </xf>
    <xf numFmtId="167" fontId="6" fillId="33" borderId="60" xfId="144" applyNumberFormat="1" applyFont="1" applyFill="1" applyBorder="1" applyAlignment="1">
      <alignment horizontal="right" wrapText="1"/>
    </xf>
    <xf numFmtId="167" fontId="6" fillId="33" borderId="63" xfId="144" applyNumberFormat="1" applyFont="1" applyFill="1" applyBorder="1" applyAlignment="1">
      <alignment horizontal="right" wrapText="1"/>
    </xf>
    <xf numFmtId="0" fontId="6" fillId="0" borderId="0" xfId="144" applyFill="1" applyAlignment="1" applyProtection="1">
      <alignment horizontal="right"/>
    </xf>
    <xf numFmtId="0" fontId="6" fillId="0" borderId="50" xfId="144" applyFont="1" applyBorder="1" applyAlignment="1" applyProtection="1">
      <alignment horizontal="left" vertical="center" wrapText="1" indent="1"/>
    </xf>
    <xf numFmtId="0" fontId="6" fillId="0" borderId="68" xfId="144" applyFont="1" applyBorder="1" applyAlignment="1" applyProtection="1">
      <alignment horizontal="left" vertical="center" wrapText="1" indent="1"/>
    </xf>
    <xf numFmtId="167" fontId="6" fillId="25" borderId="207" xfId="144" applyNumberFormat="1" applyFont="1" applyFill="1" applyBorder="1" applyAlignment="1" applyProtection="1">
      <alignment vertical="center" wrapText="1"/>
      <protection locked="0"/>
    </xf>
    <xf numFmtId="167" fontId="6" fillId="25" borderId="64" xfId="144" applyNumberFormat="1" applyFont="1" applyFill="1" applyBorder="1" applyAlignment="1" applyProtection="1">
      <alignment vertical="center" wrapText="1"/>
      <protection locked="0"/>
    </xf>
    <xf numFmtId="167" fontId="6" fillId="25" borderId="67" xfId="144" applyNumberFormat="1" applyFont="1" applyFill="1" applyBorder="1" applyAlignment="1" applyProtection="1">
      <alignment vertical="center" wrapText="1"/>
      <protection locked="0"/>
    </xf>
    <xf numFmtId="0" fontId="6" fillId="29" borderId="245" xfId="144" applyFont="1" applyFill="1" applyBorder="1" applyAlignment="1" applyProtection="1">
      <alignment horizontal="left" vertical="center" wrapText="1" indent="1"/>
    </xf>
    <xf numFmtId="167" fontId="50" fillId="58" borderId="249" xfId="144" applyNumberFormat="1" applyFont="1" applyFill="1" applyBorder="1" applyAlignment="1" applyProtection="1">
      <alignment horizontal="right" wrapText="1"/>
    </xf>
    <xf numFmtId="167" fontId="50" fillId="58" borderId="250" xfId="144" applyNumberFormat="1" applyFont="1" applyFill="1" applyBorder="1" applyAlignment="1" applyProtection="1">
      <alignment horizontal="right" wrapText="1"/>
    </xf>
    <xf numFmtId="167" fontId="50" fillId="58" borderId="251" xfId="144" applyNumberFormat="1" applyFont="1" applyFill="1" applyBorder="1" applyAlignment="1" applyProtection="1">
      <alignment horizontal="right" wrapText="1"/>
    </xf>
    <xf numFmtId="167" fontId="50" fillId="58" borderId="51" xfId="144" applyNumberFormat="1" applyFont="1" applyFill="1" applyBorder="1" applyAlignment="1" applyProtection="1">
      <alignment horizontal="right" wrapText="1"/>
    </xf>
    <xf numFmtId="167" fontId="50" fillId="58" borderId="52" xfId="144" applyNumberFormat="1" applyFont="1" applyFill="1" applyBorder="1" applyAlignment="1" applyProtection="1">
      <alignment horizontal="right" wrapText="1"/>
    </xf>
    <xf numFmtId="167" fontId="50" fillId="58" borderId="54" xfId="144" applyNumberFormat="1" applyFont="1" applyFill="1" applyBorder="1" applyAlignment="1" applyProtection="1">
      <alignment horizontal="right" wrapText="1"/>
    </xf>
    <xf numFmtId="167" fontId="50" fillId="58" borderId="53" xfId="144" applyNumberFormat="1" applyFont="1" applyFill="1" applyBorder="1" applyAlignment="1" applyProtection="1">
      <alignment horizontal="right" wrapText="1"/>
    </xf>
    <xf numFmtId="173" fontId="6" fillId="29" borderId="201" xfId="144" applyNumberFormat="1" applyFont="1" applyFill="1" applyBorder="1" applyAlignment="1" applyProtection="1">
      <alignment horizontal="left"/>
    </xf>
    <xf numFmtId="173" fontId="6" fillId="29" borderId="202" xfId="144" applyNumberFormat="1" applyFont="1" applyFill="1" applyBorder="1" applyAlignment="1" applyProtection="1">
      <alignment horizontal="left"/>
    </xf>
    <xf numFmtId="0" fontId="82" fillId="0" borderId="35" xfId="144" applyFont="1" applyFill="1" applyBorder="1" applyAlignment="1" applyProtection="1">
      <alignment vertical="center"/>
    </xf>
    <xf numFmtId="0" fontId="82" fillId="0" borderId="0" xfId="144" applyFont="1" applyFill="1" applyBorder="1" applyAlignment="1" applyProtection="1">
      <alignment vertical="center"/>
    </xf>
    <xf numFmtId="167" fontId="94" fillId="0" borderId="0" xfId="144" applyNumberFormat="1" applyFont="1" applyBorder="1" applyProtection="1"/>
    <xf numFmtId="167" fontId="94" fillId="0" borderId="201" xfId="144" applyNumberFormat="1" applyFont="1" applyBorder="1" applyProtection="1"/>
    <xf numFmtId="0" fontId="6" fillId="0" borderId="201" xfId="144" applyBorder="1"/>
    <xf numFmtId="173" fontId="95" fillId="0" borderId="0" xfId="144" applyNumberFormat="1" applyFont="1" applyFill="1" applyBorder="1" applyAlignment="1" applyProtection="1">
      <alignment horizontal="left"/>
    </xf>
    <xf numFmtId="173" fontId="95" fillId="0" borderId="24" xfId="144" applyNumberFormat="1" applyFont="1" applyFill="1" applyBorder="1" applyAlignment="1" applyProtection="1">
      <alignment horizontal="left"/>
    </xf>
    <xf numFmtId="0" fontId="93" fillId="31" borderId="34" xfId="144" applyFont="1" applyFill="1" applyBorder="1" applyAlignment="1" applyProtection="1">
      <alignment horizontal="left" vertical="center"/>
      <protection locked="0"/>
    </xf>
    <xf numFmtId="0" fontId="6" fillId="0" borderId="98" xfId="144" applyBorder="1"/>
    <xf numFmtId="0" fontId="93" fillId="33" borderId="0" xfId="144" applyFont="1" applyFill="1" applyBorder="1" applyAlignment="1" applyProtection="1">
      <alignment horizontal="left" vertical="center"/>
      <protection locked="0"/>
    </xf>
    <xf numFmtId="173" fontId="6" fillId="14" borderId="21" xfId="144" applyNumberFormat="1" applyFont="1" applyFill="1" applyBorder="1" applyAlignment="1" applyProtection="1">
      <alignment horizontal="left"/>
      <protection locked="0"/>
    </xf>
    <xf numFmtId="173" fontId="6" fillId="14" borderId="22" xfId="144" applyNumberFormat="1" applyFont="1" applyFill="1" applyBorder="1" applyAlignment="1" applyProtection="1">
      <alignment horizontal="left"/>
      <protection locked="0"/>
    </xf>
    <xf numFmtId="173" fontId="6" fillId="14" borderId="23" xfId="144" applyNumberFormat="1" applyFont="1" applyFill="1" applyBorder="1" applyAlignment="1" applyProtection="1">
      <alignment horizontal="left"/>
      <protection locked="0"/>
    </xf>
    <xf numFmtId="0" fontId="61" fillId="33" borderId="0" xfId="144" applyFont="1" applyFill="1" applyBorder="1" applyAlignment="1" applyProtection="1">
      <alignment horizontal="right"/>
      <protection locked="0"/>
    </xf>
    <xf numFmtId="173" fontId="6" fillId="14" borderId="19" xfId="144" applyNumberFormat="1" applyFont="1" applyFill="1" applyBorder="1" applyAlignment="1" applyProtection="1">
      <alignment horizontal="left"/>
      <protection locked="0"/>
    </xf>
    <xf numFmtId="173" fontId="6" fillId="14" borderId="0" xfId="144" applyNumberFormat="1" applyFont="1" applyFill="1" applyBorder="1" applyAlignment="1" applyProtection="1">
      <alignment horizontal="left"/>
      <protection locked="0"/>
    </xf>
    <xf numFmtId="173" fontId="6" fillId="14" borderId="24" xfId="144" applyNumberFormat="1" applyFont="1" applyFill="1" applyBorder="1" applyAlignment="1" applyProtection="1">
      <alignment horizontal="left"/>
      <protection locked="0"/>
    </xf>
    <xf numFmtId="167" fontId="9" fillId="25" borderId="85" xfId="144" applyNumberFormat="1" applyFont="1" applyFill="1" applyBorder="1" applyAlignment="1" applyProtection="1">
      <alignment vertical="center" wrapText="1"/>
      <protection locked="0"/>
    </xf>
    <xf numFmtId="2" fontId="9" fillId="29" borderId="72" xfId="144" applyNumberFormat="1" applyFont="1" applyFill="1" applyBorder="1" applyAlignment="1" applyProtection="1"/>
    <xf numFmtId="175" fontId="6" fillId="33" borderId="206" xfId="144" applyNumberFormat="1" applyFont="1" applyFill="1" applyBorder="1" applyAlignment="1" applyProtection="1">
      <alignment horizontal="right" vertical="center"/>
    </xf>
    <xf numFmtId="175" fontId="6" fillId="33" borderId="82" xfId="144" applyNumberFormat="1" applyFont="1" applyFill="1" applyBorder="1" applyAlignment="1" applyProtection="1">
      <alignment horizontal="right" vertical="center"/>
    </xf>
    <xf numFmtId="175" fontId="6" fillId="33" borderId="85" xfId="144" applyNumberFormat="1" applyFont="1" applyFill="1" applyBorder="1" applyAlignment="1" applyProtection="1">
      <alignment horizontal="right" vertical="center"/>
    </xf>
    <xf numFmtId="168" fontId="9" fillId="29" borderId="72" xfId="144" applyNumberFormat="1" applyFont="1" applyFill="1" applyBorder="1" applyAlignment="1" applyProtection="1">
      <alignment horizontal="left"/>
      <protection locked="0"/>
    </xf>
    <xf numFmtId="173" fontId="6" fillId="14" borderId="0" xfId="144" applyNumberFormat="1" applyFont="1" applyFill="1" applyBorder="1" applyAlignment="1" applyProtection="1">
      <alignment horizontal="left"/>
    </xf>
    <xf numFmtId="173" fontId="6" fillId="14" borderId="24" xfId="144" applyNumberFormat="1" applyFont="1" applyFill="1" applyBorder="1" applyAlignment="1" applyProtection="1">
      <alignment horizontal="left"/>
    </xf>
    <xf numFmtId="0" fontId="82" fillId="31" borderId="50" xfId="144" applyFont="1" applyFill="1" applyBorder="1" applyAlignment="1" applyProtection="1">
      <alignment horizontal="left" vertical="center" wrapText="1" indent="1"/>
    </xf>
    <xf numFmtId="167" fontId="9" fillId="29" borderId="46" xfId="144" applyNumberFormat="1" applyFont="1" applyFill="1" applyBorder="1" applyAlignment="1" applyProtection="1"/>
    <xf numFmtId="167" fontId="9" fillId="29" borderId="60" xfId="144" applyNumberFormat="1" applyFont="1" applyFill="1" applyBorder="1" applyAlignment="1" applyProtection="1"/>
    <xf numFmtId="167" fontId="9" fillId="29" borderId="86" xfId="144" applyNumberFormat="1" applyFont="1" applyFill="1" applyBorder="1" applyAlignment="1" applyProtection="1"/>
    <xf numFmtId="2" fontId="9" fillId="29" borderId="73" xfId="144" applyNumberFormat="1" applyFont="1" applyFill="1" applyBorder="1" applyAlignment="1" applyProtection="1"/>
    <xf numFmtId="173" fontId="9" fillId="29" borderId="46" xfId="144" applyNumberFormat="1" applyFont="1" applyFill="1" applyBorder="1" applyAlignment="1" applyProtection="1">
      <alignment horizontal="left"/>
    </xf>
    <xf numFmtId="173" fontId="9" fillId="29" borderId="60" xfId="144" applyNumberFormat="1" applyFont="1" applyFill="1" applyBorder="1" applyAlignment="1" applyProtection="1">
      <alignment horizontal="left"/>
    </xf>
    <xf numFmtId="173" fontId="9" fillId="29" borderId="86" xfId="144" applyNumberFormat="1" applyFont="1" applyFill="1" applyBorder="1" applyAlignment="1" applyProtection="1">
      <alignment horizontal="left"/>
    </xf>
    <xf numFmtId="183" fontId="9" fillId="29" borderId="73" xfId="144" applyNumberFormat="1" applyFont="1" applyFill="1" applyBorder="1" applyAlignment="1" applyProtection="1">
      <alignment horizontal="right"/>
      <protection locked="0"/>
    </xf>
    <xf numFmtId="167" fontId="6" fillId="25" borderId="86" xfId="144" applyNumberFormat="1" applyFont="1" applyFill="1" applyBorder="1" applyAlignment="1" applyProtection="1">
      <alignment vertical="center" wrapText="1"/>
      <protection locked="0"/>
    </xf>
    <xf numFmtId="175" fontId="6" fillId="33" borderId="46" xfId="144" applyNumberFormat="1" applyFont="1" applyFill="1" applyBorder="1" applyAlignment="1" applyProtection="1">
      <alignment horizontal="right" vertical="center"/>
    </xf>
    <xf numFmtId="175" fontId="6" fillId="33" borderId="60" xfId="144" applyNumberFormat="1" applyFont="1" applyFill="1" applyBorder="1" applyAlignment="1" applyProtection="1">
      <alignment horizontal="right" vertical="center"/>
    </xf>
    <xf numFmtId="175" fontId="6" fillId="33" borderId="86" xfId="144" applyNumberFormat="1" applyFont="1" applyFill="1" applyBorder="1" applyAlignment="1" applyProtection="1">
      <alignment horizontal="right" vertical="center"/>
    </xf>
    <xf numFmtId="4" fontId="9" fillId="29" borderId="73" xfId="144" applyNumberFormat="1" applyFont="1" applyFill="1" applyBorder="1" applyAlignment="1" applyProtection="1">
      <alignment horizontal="right"/>
      <protection locked="0"/>
    </xf>
    <xf numFmtId="0" fontId="95" fillId="0" borderId="0" xfId="144" applyFont="1" applyFill="1" applyProtection="1"/>
    <xf numFmtId="0" fontId="6" fillId="0" borderId="0" xfId="144" applyFill="1" applyBorder="1" applyProtection="1"/>
    <xf numFmtId="0" fontId="61" fillId="29" borderId="73" xfId="144" applyFont="1" applyFill="1" applyBorder="1"/>
    <xf numFmtId="167" fontId="6" fillId="25" borderId="78" xfId="144" applyNumberFormat="1" applyFont="1" applyFill="1" applyBorder="1" applyAlignment="1" applyProtection="1">
      <alignment vertical="center" wrapText="1"/>
      <protection locked="0"/>
    </xf>
    <xf numFmtId="167" fontId="6" fillId="25" borderId="79" xfId="144" applyNumberFormat="1" applyFont="1" applyFill="1" applyBorder="1" applyAlignment="1" applyProtection="1">
      <alignment vertical="center" wrapText="1"/>
      <protection locked="0"/>
    </xf>
    <xf numFmtId="167" fontId="6" fillId="25" borderId="87" xfId="144" applyNumberFormat="1" applyFont="1" applyFill="1" applyBorder="1" applyAlignment="1" applyProtection="1">
      <alignment vertical="center" wrapText="1"/>
      <protection locked="0"/>
    </xf>
    <xf numFmtId="175" fontId="6" fillId="33" borderId="78" xfId="144" applyNumberFormat="1" applyFont="1" applyFill="1" applyBorder="1" applyAlignment="1" applyProtection="1">
      <alignment horizontal="right" vertical="center"/>
    </xf>
    <xf numFmtId="175" fontId="6" fillId="33" borderId="79" xfId="144" applyNumberFormat="1" applyFont="1" applyFill="1" applyBorder="1" applyAlignment="1" applyProtection="1">
      <alignment horizontal="right" vertical="center"/>
    </xf>
    <xf numFmtId="175" fontId="6" fillId="33" borderId="87" xfId="144" applyNumberFormat="1" applyFont="1" applyFill="1" applyBorder="1" applyAlignment="1" applyProtection="1">
      <alignment horizontal="right" vertical="center"/>
    </xf>
    <xf numFmtId="167" fontId="6" fillId="25" borderId="88" xfId="144" applyNumberFormat="1" applyFont="1" applyFill="1" applyBorder="1" applyAlignment="1" applyProtection="1">
      <alignment vertical="center" wrapText="1"/>
      <protection locked="0"/>
    </xf>
    <xf numFmtId="167" fontId="50" fillId="58" borderId="248" xfId="144" applyNumberFormat="1" applyFont="1" applyFill="1" applyBorder="1" applyAlignment="1" applyProtection="1">
      <alignment vertical="center"/>
    </xf>
    <xf numFmtId="167" fontId="50" fillId="58" borderId="253" xfId="144" applyNumberFormat="1" applyFont="1" applyFill="1" applyBorder="1" applyAlignment="1" applyProtection="1">
      <alignment vertical="center"/>
    </xf>
    <xf numFmtId="167" fontId="50" fillId="58" borderId="91" xfId="144" applyNumberFormat="1" applyFont="1" applyFill="1" applyBorder="1" applyAlignment="1" applyProtection="1">
      <alignment horizontal="right" wrapText="1"/>
    </xf>
    <xf numFmtId="167" fontId="50" fillId="58" borderId="201" xfId="144" applyNumberFormat="1" applyFont="1" applyFill="1" applyBorder="1" applyAlignment="1" applyProtection="1">
      <alignment vertical="center"/>
    </xf>
    <xf numFmtId="0" fontId="50" fillId="58" borderId="91" xfId="144" applyFont="1" applyFill="1" applyBorder="1" applyAlignment="1" applyProtection="1">
      <alignment vertical="center"/>
    </xf>
    <xf numFmtId="167" fontId="50" fillId="58" borderId="51" xfId="144" applyNumberFormat="1" applyFont="1" applyFill="1" applyBorder="1" applyAlignment="1" applyProtection="1">
      <alignment vertical="center"/>
    </xf>
    <xf numFmtId="167" fontId="50" fillId="58" borderId="52" xfId="144" applyNumberFormat="1" applyFont="1" applyFill="1" applyBorder="1" applyAlignment="1" applyProtection="1">
      <alignment vertical="center"/>
    </xf>
    <xf numFmtId="167" fontId="50" fillId="58" borderId="128" xfId="144" applyNumberFormat="1" applyFont="1" applyFill="1" applyBorder="1" applyAlignment="1" applyProtection="1">
      <alignment vertical="center"/>
    </xf>
    <xf numFmtId="167" fontId="50" fillId="58" borderId="45" xfId="144" applyNumberFormat="1" applyFont="1" applyFill="1" applyBorder="1" applyAlignment="1" applyProtection="1">
      <alignment vertical="center"/>
    </xf>
    <xf numFmtId="173" fontId="6" fillId="14" borderId="201" xfId="144" applyNumberFormat="1" applyFont="1" applyFill="1" applyBorder="1" applyAlignment="1" applyProtection="1">
      <alignment horizontal="left"/>
    </xf>
    <xf numFmtId="173" fontId="6" fillId="14" borderId="202" xfId="144" applyNumberFormat="1" applyFont="1" applyFill="1" applyBorder="1" applyAlignment="1" applyProtection="1">
      <alignment horizontal="left"/>
    </xf>
    <xf numFmtId="0" fontId="61" fillId="33" borderId="22" xfId="144" applyFont="1" applyFill="1" applyBorder="1" applyProtection="1"/>
    <xf numFmtId="0" fontId="61" fillId="0" borderId="35" xfId="144" applyFont="1" applyFill="1" applyBorder="1" applyProtection="1"/>
    <xf numFmtId="0" fontId="61" fillId="33" borderId="35" xfId="144" applyFont="1" applyFill="1" applyBorder="1" applyProtection="1"/>
    <xf numFmtId="0" fontId="61" fillId="33" borderId="0" xfId="144" applyFont="1" applyFill="1" applyBorder="1" applyProtection="1"/>
    <xf numFmtId="0" fontId="61" fillId="33" borderId="0" xfId="144" applyFont="1" applyFill="1"/>
    <xf numFmtId="0" fontId="61" fillId="33" borderId="0" xfId="144" applyFont="1" applyFill="1" applyBorder="1" applyProtection="1">
      <protection locked="0"/>
    </xf>
    <xf numFmtId="0" fontId="17" fillId="29" borderId="36" xfId="144" applyFont="1" applyFill="1" applyBorder="1" applyAlignment="1" applyProtection="1">
      <alignment horizontal="left" vertical="center"/>
    </xf>
    <xf numFmtId="0" fontId="9" fillId="29" borderId="35" xfId="144" applyFont="1" applyFill="1" applyBorder="1" applyAlignment="1" applyProtection="1">
      <alignment horizontal="left" vertical="center"/>
    </xf>
    <xf numFmtId="0" fontId="9" fillId="29" borderId="22" xfId="144" applyFont="1" applyFill="1" applyBorder="1" applyAlignment="1" applyProtection="1">
      <alignment horizontal="left" vertical="center"/>
    </xf>
    <xf numFmtId="0" fontId="9" fillId="29" borderId="23" xfId="144" applyFont="1" applyFill="1" applyBorder="1" applyAlignment="1" applyProtection="1">
      <alignment horizontal="left" vertical="center"/>
    </xf>
    <xf numFmtId="0" fontId="9" fillId="31" borderId="245" xfId="144" applyFont="1" applyFill="1" applyBorder="1" applyAlignment="1" applyProtection="1">
      <alignment horizontal="left"/>
    </xf>
    <xf numFmtId="0" fontId="9" fillId="31" borderId="201" xfId="144" applyFont="1" applyFill="1" applyBorder="1" applyAlignment="1" applyProtection="1">
      <alignment horizontal="left"/>
    </xf>
    <xf numFmtId="175" fontId="6" fillId="33" borderId="51" xfId="144" applyNumberFormat="1" applyFont="1" applyFill="1" applyBorder="1" applyAlignment="1" applyProtection="1">
      <alignment horizontal="right" vertical="center"/>
    </xf>
    <xf numFmtId="175" fontId="6" fillId="33" borderId="52" xfId="144" applyNumberFormat="1" applyFont="1" applyFill="1" applyBorder="1" applyAlignment="1" applyProtection="1">
      <alignment horizontal="right" vertical="center"/>
    </xf>
    <xf numFmtId="175" fontId="6" fillId="33" borderId="69" xfId="144" applyNumberFormat="1" applyFont="1" applyFill="1" applyBorder="1" applyAlignment="1" applyProtection="1">
      <alignment horizontal="right" vertical="center"/>
    </xf>
    <xf numFmtId="173" fontId="6" fillId="31" borderId="14" xfId="144" applyNumberFormat="1" applyFont="1" applyFill="1" applyBorder="1" applyAlignment="1" applyProtection="1">
      <alignment horizontal="left"/>
    </xf>
    <xf numFmtId="173" fontId="6" fillId="31" borderId="15" xfId="144" applyNumberFormat="1" applyFont="1" applyFill="1" applyBorder="1" applyAlignment="1" applyProtection="1">
      <alignment horizontal="left"/>
    </xf>
    <xf numFmtId="173" fontId="6" fillId="31" borderId="16" xfId="144" applyNumberFormat="1" applyFont="1" applyFill="1" applyBorder="1" applyAlignment="1" applyProtection="1">
      <alignment horizontal="left"/>
    </xf>
    <xf numFmtId="0" fontId="9" fillId="0" borderId="0" xfId="144" applyFont="1" applyFill="1" applyBorder="1" applyAlignment="1" applyProtection="1">
      <alignment horizontal="left"/>
    </xf>
    <xf numFmtId="0" fontId="9" fillId="0" borderId="0" xfId="144" quotePrefix="1" applyFont="1" applyFill="1" applyBorder="1" applyAlignment="1" applyProtection="1">
      <alignment horizontal="left"/>
    </xf>
    <xf numFmtId="0" fontId="61" fillId="33" borderId="0" xfId="144" applyFont="1" applyFill="1" applyAlignment="1" applyProtection="1">
      <alignment horizontal="right"/>
      <protection locked="0"/>
    </xf>
    <xf numFmtId="0" fontId="17" fillId="29" borderId="21" xfId="144" applyFont="1" applyFill="1" applyBorder="1" applyAlignment="1" applyProtection="1">
      <alignment horizontal="left" vertical="center"/>
    </xf>
    <xf numFmtId="0" fontId="17" fillId="29" borderId="131" xfId="144" applyFont="1" applyFill="1" applyBorder="1" applyAlignment="1" applyProtection="1">
      <alignment horizontal="left" vertical="center"/>
    </xf>
    <xf numFmtId="0" fontId="6" fillId="0" borderId="0" xfId="144" applyFill="1" applyProtection="1">
      <protection locked="0"/>
    </xf>
    <xf numFmtId="0" fontId="6" fillId="29" borderId="72" xfId="144" applyFont="1" applyFill="1" applyBorder="1" applyAlignment="1" applyProtection="1">
      <alignment horizontal="right" indent="2"/>
    </xf>
    <xf numFmtId="175" fontId="6" fillId="33" borderId="35" xfId="144" applyNumberFormat="1" applyFont="1" applyFill="1" applyBorder="1" applyAlignment="1" applyProtection="1">
      <alignment horizontal="right" vertical="center"/>
    </xf>
    <xf numFmtId="175" fontId="6" fillId="33" borderId="74" xfId="144" applyNumberFormat="1" applyFont="1" applyFill="1" applyBorder="1" applyAlignment="1" applyProtection="1">
      <alignment horizontal="right" vertical="center"/>
    </xf>
    <xf numFmtId="175" fontId="6" fillId="33" borderId="112" xfId="144" applyNumberFormat="1" applyFont="1" applyFill="1" applyBorder="1" applyAlignment="1" applyProtection="1">
      <alignment horizontal="right" vertical="center"/>
    </xf>
    <xf numFmtId="175" fontId="6" fillId="14" borderId="22" xfId="144" applyNumberFormat="1" applyFont="1" applyFill="1" applyBorder="1" applyAlignment="1" applyProtection="1">
      <alignment horizontal="right" vertical="center"/>
    </xf>
    <xf numFmtId="175" fontId="6" fillId="14" borderId="23" xfId="144" applyNumberFormat="1" applyFont="1" applyFill="1" applyBorder="1" applyAlignment="1" applyProtection="1">
      <alignment horizontal="right" vertical="center"/>
    </xf>
    <xf numFmtId="175" fontId="6" fillId="14" borderId="73" xfId="144" applyNumberFormat="1" applyFont="1" applyFill="1" applyBorder="1" applyAlignment="1" applyProtection="1">
      <alignment horizontal="right"/>
    </xf>
    <xf numFmtId="0" fontId="6" fillId="29" borderId="19" xfId="144" applyFont="1" applyFill="1" applyBorder="1" applyAlignment="1" applyProtection="1">
      <alignment horizontal="right" indent="2"/>
    </xf>
    <xf numFmtId="175" fontId="6" fillId="14" borderId="0" xfId="144" applyNumberFormat="1" applyFont="1" applyFill="1" applyBorder="1" applyAlignment="1" applyProtection="1">
      <alignment horizontal="left" vertical="center"/>
    </xf>
    <xf numFmtId="175" fontId="6" fillId="33" borderId="207" xfId="144" applyNumberFormat="1" applyFont="1" applyFill="1" applyBorder="1" applyAlignment="1" applyProtection="1">
      <alignment horizontal="right" vertical="center"/>
    </xf>
    <xf numFmtId="175" fontId="6" fillId="33" borderId="76" xfId="144" applyNumberFormat="1" applyFont="1" applyFill="1" applyBorder="1" applyAlignment="1" applyProtection="1">
      <alignment horizontal="right" vertical="center"/>
    </xf>
    <xf numFmtId="175" fontId="6" fillId="33" borderId="71" xfId="144" applyNumberFormat="1" applyFont="1" applyFill="1" applyBorder="1" applyAlignment="1" applyProtection="1">
      <alignment horizontal="right" vertical="center"/>
    </xf>
    <xf numFmtId="175" fontId="6" fillId="14" borderId="0" xfId="144" applyNumberFormat="1" applyFont="1" applyFill="1" applyBorder="1" applyAlignment="1" applyProtection="1">
      <alignment horizontal="right" vertical="center"/>
    </xf>
    <xf numFmtId="175" fontId="6" fillId="14" borderId="24" xfId="144" applyNumberFormat="1" applyFont="1" applyFill="1" applyBorder="1" applyAlignment="1" applyProtection="1">
      <alignment horizontal="right" vertical="center"/>
    </xf>
    <xf numFmtId="175" fontId="6" fillId="33" borderId="68" xfId="144" applyNumberFormat="1" applyFont="1" applyFill="1" applyBorder="1" applyAlignment="1" applyProtection="1">
      <alignment horizontal="right" vertical="center"/>
    </xf>
    <xf numFmtId="175" fontId="6" fillId="14" borderId="202" xfId="144" applyNumberFormat="1" applyFont="1" applyFill="1" applyBorder="1" applyAlignment="1" applyProtection="1">
      <alignment horizontal="right" vertical="center"/>
    </xf>
    <xf numFmtId="0" fontId="61" fillId="0" borderId="0" xfId="144" applyFont="1" applyAlignment="1" applyProtection="1">
      <alignment horizontal="left"/>
    </xf>
    <xf numFmtId="0" fontId="61" fillId="0" borderId="0" xfId="144" applyFont="1" applyAlignment="1" applyProtection="1">
      <alignment horizontal="left" wrapText="1"/>
    </xf>
    <xf numFmtId="0" fontId="6" fillId="29" borderId="245" xfId="144" applyFont="1" applyFill="1" applyBorder="1" applyAlignment="1" applyProtection="1">
      <alignment horizontal="right" indent="2"/>
    </xf>
    <xf numFmtId="175" fontId="6" fillId="14" borderId="201" xfId="144" applyNumberFormat="1" applyFont="1" applyFill="1" applyBorder="1" applyAlignment="1" applyProtection="1">
      <alignment horizontal="right" vertical="center"/>
    </xf>
    <xf numFmtId="175" fontId="6" fillId="14" borderId="201" xfId="144" applyNumberFormat="1" applyFont="1" applyFill="1" applyBorder="1" applyAlignment="1" applyProtection="1">
      <alignment horizontal="left" vertical="center"/>
    </xf>
    <xf numFmtId="175" fontId="6" fillId="33" borderId="64" xfId="144" applyNumberFormat="1" applyFont="1" applyFill="1" applyBorder="1" applyAlignment="1" applyProtection="1">
      <alignment horizontal="right" vertical="center"/>
    </xf>
    <xf numFmtId="175" fontId="6" fillId="33" borderId="116" xfId="144" applyNumberFormat="1" applyFont="1" applyFill="1" applyBorder="1" applyAlignment="1" applyProtection="1">
      <alignment horizontal="right" vertical="center"/>
    </xf>
    <xf numFmtId="175" fontId="6" fillId="33" borderId="88" xfId="144" applyNumberFormat="1" applyFont="1" applyFill="1" applyBorder="1" applyAlignment="1" applyProtection="1">
      <alignment horizontal="right" vertical="center"/>
    </xf>
    <xf numFmtId="175" fontId="6" fillId="33" borderId="53" xfId="144" applyNumberFormat="1" applyFont="1" applyFill="1" applyBorder="1" applyAlignment="1" applyProtection="1">
      <alignment horizontal="right" vertical="center"/>
    </xf>
    <xf numFmtId="175" fontId="6" fillId="14" borderId="91" xfId="144" applyNumberFormat="1" applyFont="1" applyFill="1" applyBorder="1" applyAlignment="1" applyProtection="1">
      <alignment horizontal="right"/>
    </xf>
    <xf numFmtId="0" fontId="50" fillId="58" borderId="245" xfId="144" applyFont="1" applyFill="1" applyBorder="1" applyAlignment="1" applyProtection="1">
      <alignment wrapText="1"/>
    </xf>
    <xf numFmtId="0" fontId="50" fillId="58" borderId="201" xfId="144" applyFont="1" applyFill="1" applyBorder="1" applyAlignment="1" applyProtection="1">
      <alignment wrapText="1"/>
    </xf>
    <xf numFmtId="175" fontId="50" fillId="58" borderId="201" xfId="144" applyNumberFormat="1" applyFont="1" applyFill="1" applyBorder="1" applyAlignment="1" applyProtection="1">
      <alignment horizontal="right"/>
    </xf>
    <xf numFmtId="175" fontId="50" fillId="58" borderId="253" xfId="144" applyNumberFormat="1" applyFont="1" applyFill="1" applyBorder="1" applyAlignment="1" applyProtection="1">
      <alignment horizontal="right"/>
    </xf>
    <xf numFmtId="175" fontId="50" fillId="58" borderId="201" xfId="144" applyNumberFormat="1" applyFont="1" applyFill="1" applyBorder="1" applyAlignment="1" applyProtection="1">
      <alignment horizontal="right" vertical="center"/>
    </xf>
    <xf numFmtId="175" fontId="50" fillId="58" borderId="257" xfId="144" applyNumberFormat="1" applyFont="1" applyFill="1" applyBorder="1" applyAlignment="1" applyProtection="1">
      <alignment horizontal="right" vertical="center"/>
    </xf>
    <xf numFmtId="175" fontId="50" fillId="58" borderId="258" xfId="144" applyNumberFormat="1" applyFont="1" applyFill="1" applyBorder="1" applyAlignment="1" applyProtection="1">
      <alignment horizontal="right" vertical="center"/>
    </xf>
    <xf numFmtId="175" fontId="50" fillId="58" borderId="253" xfId="144" applyNumberFormat="1" applyFont="1" applyFill="1" applyBorder="1" applyAlignment="1" applyProtection="1">
      <alignment horizontal="right" vertical="center"/>
    </xf>
    <xf numFmtId="175" fontId="50" fillId="58" borderId="245" xfId="144" applyNumberFormat="1" applyFont="1" applyFill="1" applyBorder="1" applyAlignment="1" applyProtection="1">
      <alignment horizontal="right" vertical="center"/>
    </xf>
    <xf numFmtId="175" fontId="50" fillId="58" borderId="91" xfId="144" applyNumberFormat="1" applyFont="1" applyFill="1" applyBorder="1" applyAlignment="1" applyProtection="1">
      <alignment horizontal="right"/>
    </xf>
    <xf numFmtId="0" fontId="9" fillId="33" borderId="0" xfId="144" applyFont="1" applyFill="1" applyBorder="1" applyAlignment="1" applyProtection="1">
      <alignment horizontal="left" wrapText="1"/>
    </xf>
    <xf numFmtId="175" fontId="9" fillId="33" borderId="22" xfId="144" applyNumberFormat="1" applyFont="1" applyFill="1" applyBorder="1" applyAlignment="1" applyProtection="1">
      <alignment horizontal="right" vertical="center"/>
    </xf>
    <xf numFmtId="0" fontId="50" fillId="58" borderId="36" xfId="144" applyFont="1" applyFill="1" applyBorder="1" applyAlignment="1" applyProtection="1">
      <alignment vertical="center"/>
    </xf>
    <xf numFmtId="0" fontId="50" fillId="58" borderId="35" xfId="144" applyFont="1" applyFill="1" applyBorder="1" applyAlignment="1" applyProtection="1">
      <alignment vertical="center"/>
    </xf>
    <xf numFmtId="2" fontId="9" fillId="58" borderId="35" xfId="144" applyNumberFormat="1" applyFont="1" applyFill="1" applyBorder="1" applyAlignment="1" applyProtection="1">
      <alignment horizontal="right"/>
    </xf>
    <xf numFmtId="2" fontId="9" fillId="58" borderId="149" xfId="144" applyNumberFormat="1" applyFont="1" applyFill="1" applyBorder="1" applyAlignment="1" applyProtection="1">
      <alignment horizontal="right"/>
    </xf>
    <xf numFmtId="175" fontId="50" fillId="58" borderId="54" xfId="144" applyNumberFormat="1" applyFont="1" applyFill="1" applyBorder="1" applyAlignment="1" applyProtection="1">
      <alignment horizontal="right" vertical="center"/>
    </xf>
    <xf numFmtId="175" fontId="50" fillId="58" borderId="52" xfId="144" applyNumberFormat="1" applyFont="1" applyFill="1" applyBorder="1" applyAlignment="1" applyProtection="1">
      <alignment horizontal="right" vertical="center"/>
    </xf>
    <xf numFmtId="175" fontId="50" fillId="58" borderId="69" xfId="144" applyNumberFormat="1" applyFont="1" applyFill="1" applyBorder="1" applyAlignment="1" applyProtection="1">
      <alignment horizontal="right"/>
    </xf>
    <xf numFmtId="0" fontId="6" fillId="0" borderId="0" xfId="144" applyProtection="1"/>
    <xf numFmtId="0" fontId="6" fillId="0" borderId="0" xfId="144" applyFont="1" applyAlignment="1" applyProtection="1">
      <alignment horizontal="left"/>
    </xf>
    <xf numFmtId="0" fontId="96" fillId="0" borderId="0" xfId="144" applyFont="1" applyFill="1" applyAlignment="1" applyProtection="1">
      <alignment horizontal="center" wrapText="1"/>
    </xf>
    <xf numFmtId="0" fontId="97" fillId="0" borderId="0" xfId="144" applyFont="1" applyProtection="1"/>
    <xf numFmtId="0" fontId="98" fillId="33" borderId="0" xfId="144" applyFont="1" applyFill="1" applyAlignment="1" applyProtection="1">
      <alignment horizontal="left" vertical="center"/>
    </xf>
    <xf numFmtId="0" fontId="89" fillId="33" borderId="0" xfId="144" applyFont="1" applyFill="1" applyAlignment="1" applyProtection="1">
      <alignment horizontal="left" vertical="center"/>
    </xf>
    <xf numFmtId="0" fontId="79" fillId="0" borderId="0" xfId="144" applyFont="1" applyFill="1" applyBorder="1" applyAlignment="1" applyProtection="1">
      <alignment horizontal="left" vertical="center"/>
    </xf>
    <xf numFmtId="0" fontId="79" fillId="33" borderId="0" xfId="144" applyFont="1" applyFill="1" applyBorder="1" applyAlignment="1" applyProtection="1">
      <alignment horizontal="left" vertical="center"/>
    </xf>
    <xf numFmtId="0" fontId="6" fillId="33" borderId="0" xfId="144" applyFill="1" applyAlignment="1" applyProtection="1">
      <alignment horizontal="left" vertical="center"/>
    </xf>
    <xf numFmtId="0" fontId="68" fillId="58" borderId="23" xfId="144" applyFont="1" applyFill="1" applyBorder="1" applyAlignment="1" applyProtection="1">
      <alignment horizontal="right" vertical="center" wrapText="1"/>
    </xf>
    <xf numFmtId="0" fontId="6" fillId="0" borderId="0" xfId="144" applyFont="1" applyAlignment="1" applyProtection="1">
      <protection locked="0"/>
    </xf>
    <xf numFmtId="0" fontId="6" fillId="0" borderId="0" xfId="144" applyAlignment="1" applyProtection="1">
      <alignment horizontal="left"/>
      <protection locked="0"/>
    </xf>
    <xf numFmtId="0" fontId="97" fillId="0" borderId="0" xfId="144" applyFont="1" applyProtection="1">
      <protection locked="0"/>
    </xf>
    <xf numFmtId="0" fontId="6" fillId="0" borderId="0" xfId="144" applyProtection="1">
      <protection locked="0"/>
    </xf>
    <xf numFmtId="0" fontId="98" fillId="33" borderId="0" xfId="144" applyFont="1" applyFill="1" applyAlignment="1" applyProtection="1">
      <alignment vertical="center"/>
    </xf>
    <xf numFmtId="0" fontId="68" fillId="58" borderId="24" xfId="144" applyFont="1" applyFill="1" applyBorder="1" applyAlignment="1">
      <alignment horizontal="right" vertical="center" wrapText="1"/>
    </xf>
    <xf numFmtId="0" fontId="95" fillId="0" borderId="0" xfId="144" applyFont="1" applyProtection="1">
      <protection locked="0"/>
    </xf>
    <xf numFmtId="0" fontId="9" fillId="57" borderId="186" xfId="144" applyFont="1" applyFill="1" applyBorder="1" applyAlignment="1" applyProtection="1">
      <alignment horizontal="right" vertical="center"/>
    </xf>
    <xf numFmtId="0" fontId="9" fillId="57" borderId="179" xfId="144" applyFont="1" applyFill="1" applyBorder="1" applyAlignment="1" applyProtection="1">
      <alignment horizontal="right" vertical="center"/>
    </xf>
    <xf numFmtId="0" fontId="9" fillId="57" borderId="37" xfId="144" applyFont="1" applyFill="1" applyBorder="1" applyAlignment="1" applyProtection="1">
      <alignment horizontal="right" vertical="center"/>
    </xf>
    <xf numFmtId="0" fontId="9" fillId="33" borderId="140" xfId="144" applyFont="1" applyFill="1" applyBorder="1" applyAlignment="1" applyProtection="1">
      <alignment vertical="center" wrapText="1"/>
    </xf>
    <xf numFmtId="2" fontId="9" fillId="18" borderId="187" xfId="144" applyNumberFormat="1" applyFont="1" applyFill="1" applyBorder="1" applyAlignment="1" applyProtection="1">
      <alignment vertical="center" wrapText="1"/>
      <protection locked="0"/>
    </xf>
    <xf numFmtId="167" fontId="50" fillId="58" borderId="188" xfId="144" applyNumberFormat="1" applyFont="1" applyFill="1" applyBorder="1" applyAlignment="1" applyProtection="1">
      <alignment horizontal="right" vertical="center" wrapText="1"/>
    </xf>
    <xf numFmtId="0" fontId="6" fillId="0" borderId="0" xfId="144" applyAlignment="1" applyProtection="1">
      <alignment horizontal="left"/>
    </xf>
    <xf numFmtId="0" fontId="82" fillId="31" borderId="141" xfId="144" applyFont="1" applyFill="1" applyBorder="1" applyAlignment="1" applyProtection="1">
      <alignment horizontal="left" vertical="center" wrapText="1" indent="1"/>
    </xf>
    <xf numFmtId="0" fontId="6" fillId="29" borderId="189" xfId="144" applyFont="1" applyFill="1" applyBorder="1" applyAlignment="1" applyProtection="1">
      <alignment horizontal="right" vertical="center" wrapText="1"/>
    </xf>
    <xf numFmtId="167" fontId="6" fillId="29" borderId="190" xfId="144" applyNumberFormat="1" applyFont="1" applyFill="1" applyBorder="1" applyAlignment="1" applyProtection="1">
      <alignment horizontal="right" vertical="center" wrapText="1"/>
    </xf>
    <xf numFmtId="0" fontId="6" fillId="0" borderId="0" xfId="144" applyFont="1" applyAlignment="1" applyProtection="1"/>
    <xf numFmtId="0" fontId="87" fillId="0" borderId="0" xfId="144" applyFont="1" applyAlignment="1" applyProtection="1">
      <alignment horizontal="left"/>
    </xf>
    <xf numFmtId="2" fontId="6" fillId="18" borderId="141" xfId="144" applyNumberFormat="1" applyFont="1" applyFill="1" applyBorder="1" applyAlignment="1" applyProtection="1">
      <alignment horizontal="left" vertical="top" wrapText="1" indent="1"/>
      <protection locked="0"/>
    </xf>
    <xf numFmtId="2" fontId="6" fillId="25" borderId="189" xfId="144" applyNumberFormat="1" applyFont="1" applyFill="1" applyBorder="1" applyAlignment="1" applyProtection="1">
      <alignment vertical="center" wrapText="1"/>
      <protection locked="0"/>
    </xf>
    <xf numFmtId="167" fontId="50" fillId="58" borderId="190" xfId="144" applyNumberFormat="1" applyFont="1" applyFill="1" applyBorder="1" applyAlignment="1" applyProtection="1">
      <alignment horizontal="right" vertical="center" wrapText="1"/>
    </xf>
    <xf numFmtId="2" fontId="6" fillId="18" borderId="141" xfId="144" applyNumberFormat="1" applyFont="1" applyFill="1" applyBorder="1" applyAlignment="1" applyProtection="1">
      <alignment horizontal="left" vertical="center" wrapText="1" indent="2"/>
      <protection locked="0"/>
    </xf>
    <xf numFmtId="2" fontId="6" fillId="18" borderId="146" xfId="144" applyNumberFormat="1" applyFont="1" applyFill="1" applyBorder="1" applyAlignment="1" applyProtection="1">
      <alignment horizontal="left" vertical="center" wrapText="1" indent="2"/>
      <protection locked="0"/>
    </xf>
    <xf numFmtId="0" fontId="68" fillId="58" borderId="248" xfId="144" applyFont="1" applyFill="1" applyBorder="1" applyAlignment="1" applyProtection="1">
      <alignment vertical="center" wrapText="1"/>
    </xf>
    <xf numFmtId="167" fontId="68" fillId="58" borderId="191" xfId="144" applyNumberFormat="1" applyFont="1" applyFill="1" applyBorder="1" applyAlignment="1" applyProtection="1">
      <alignment horizontal="right" vertical="center" wrapText="1"/>
    </xf>
    <xf numFmtId="167" fontId="68" fillId="58" borderId="192" xfId="144" applyNumberFormat="1" applyFont="1" applyFill="1" applyBorder="1" applyAlignment="1" applyProtection="1">
      <alignment horizontal="right" vertical="center" wrapText="1"/>
    </xf>
    <xf numFmtId="0" fontId="9" fillId="29" borderId="203" xfId="144" applyFont="1" applyFill="1" applyBorder="1" applyAlignment="1" applyProtection="1">
      <alignment horizontal="right" vertical="center"/>
    </xf>
    <xf numFmtId="0" fontId="9" fillId="56" borderId="51" xfId="144" applyFont="1" applyFill="1" applyBorder="1" applyAlignment="1" applyProtection="1">
      <alignment horizontal="right" vertical="center"/>
    </xf>
    <xf numFmtId="0" fontId="9" fillId="56" borderId="34" xfId="144" applyFont="1" applyFill="1" applyBorder="1" applyAlignment="1" applyProtection="1">
      <alignment horizontal="right" vertical="center"/>
    </xf>
    <xf numFmtId="0" fontId="9" fillId="56" borderId="35" xfId="144" applyFont="1" applyFill="1" applyBorder="1" applyAlignment="1" applyProtection="1">
      <alignment horizontal="center" vertical="center"/>
      <protection locked="0"/>
    </xf>
    <xf numFmtId="0" fontId="37" fillId="33" borderId="19" xfId="0" applyFont="1" applyFill="1" applyBorder="1" applyAlignment="1">
      <alignment horizontal="center" vertical="center" wrapText="1"/>
    </xf>
    <xf numFmtId="0" fontId="37" fillId="33" borderId="0" xfId="0" applyFont="1" applyFill="1" applyBorder="1" applyAlignment="1">
      <alignment horizontal="center" vertical="center" wrapText="1"/>
    </xf>
    <xf numFmtId="0" fontId="9" fillId="39" borderId="0" xfId="0" applyFont="1" applyFill="1" applyBorder="1" applyAlignment="1">
      <alignment horizontal="center" vertical="center" wrapText="1"/>
    </xf>
    <xf numFmtId="0" fontId="9" fillId="40" borderId="0" xfId="0" applyFont="1" applyFill="1" applyBorder="1" applyAlignment="1">
      <alignment horizontal="center" vertical="center" wrapText="1"/>
    </xf>
    <xf numFmtId="0" fontId="37" fillId="33" borderId="22" xfId="0" applyFont="1" applyFill="1" applyBorder="1" applyAlignment="1">
      <alignment horizontal="center" vertical="center" wrapText="1"/>
    </xf>
    <xf numFmtId="0" fontId="6" fillId="20" borderId="0" xfId="0" applyFont="1" applyFill="1" applyBorder="1"/>
    <xf numFmtId="0" fontId="6" fillId="20" borderId="19" xfId="0" applyFont="1" applyFill="1" applyBorder="1"/>
    <xf numFmtId="0" fontId="66" fillId="25" borderId="45" xfId="0" applyFont="1" applyFill="1" applyBorder="1" applyAlignment="1"/>
    <xf numFmtId="0" fontId="6" fillId="31" borderId="35" xfId="0" applyFont="1" applyFill="1" applyBorder="1"/>
    <xf numFmtId="0" fontId="0" fillId="31" borderId="34" xfId="0" applyFill="1" applyBorder="1"/>
    <xf numFmtId="0" fontId="66" fillId="25" borderId="72" xfId="0" applyFont="1" applyFill="1" applyBorder="1" applyAlignment="1"/>
    <xf numFmtId="0" fontId="66" fillId="31" borderId="45" xfId="0" applyFont="1" applyFill="1" applyBorder="1" applyAlignment="1"/>
    <xf numFmtId="0" fontId="6" fillId="0" borderId="0" xfId="275"/>
    <xf numFmtId="0" fontId="6" fillId="0" borderId="0" xfId="275" applyAlignment="1">
      <alignment vertical="center"/>
    </xf>
    <xf numFmtId="0" fontId="4" fillId="0" borderId="0" xfId="305"/>
    <xf numFmtId="49" fontId="62" fillId="72" borderId="0" xfId="275" applyNumberFormat="1" applyFont="1" applyFill="1" applyAlignment="1" applyProtection="1">
      <alignment horizontal="right"/>
    </xf>
    <xf numFmtId="14" fontId="136" fillId="72" borderId="0" xfId="275" applyNumberFormat="1" applyFont="1" applyFill="1" applyAlignment="1">
      <alignment horizontal="left"/>
    </xf>
    <xf numFmtId="0" fontId="6" fillId="72" borderId="0" xfId="212" applyFill="1"/>
    <xf numFmtId="0" fontId="6" fillId="72" borderId="0" xfId="275" applyFill="1"/>
    <xf numFmtId="0" fontId="61" fillId="72" borderId="0" xfId="275" applyFont="1" applyFill="1" applyProtection="1"/>
    <xf numFmtId="0" fontId="61" fillId="72" borderId="0" xfId="275" applyFont="1" applyFill="1" applyAlignment="1" applyProtection="1">
      <alignment horizontal="center"/>
    </xf>
    <xf numFmtId="1" fontId="61" fillId="72" borderId="0" xfId="275" applyNumberFormat="1" applyFont="1" applyFill="1" applyProtection="1"/>
    <xf numFmtId="49" fontId="86" fillId="72" borderId="0" xfId="275" applyNumberFormat="1" applyFont="1" applyFill="1" applyAlignment="1" applyProtection="1">
      <alignment horizontal="right" vertical="center"/>
    </xf>
    <xf numFmtId="0" fontId="6" fillId="72" borderId="0" xfId="275" applyFont="1" applyFill="1" applyAlignment="1">
      <alignment vertical="center"/>
    </xf>
    <xf numFmtId="0" fontId="0" fillId="72" borderId="0" xfId="306" applyFont="1" applyFill="1" applyAlignment="1">
      <alignment vertical="center"/>
    </xf>
    <xf numFmtId="0" fontId="61" fillId="33" borderId="0" xfId="275" applyFont="1" applyFill="1" applyProtection="1"/>
    <xf numFmtId="0" fontId="61" fillId="33" borderId="0" xfId="275" applyFont="1" applyFill="1" applyAlignment="1" applyProtection="1">
      <alignment horizontal="center"/>
    </xf>
    <xf numFmtId="1" fontId="61" fillId="33" borderId="0" xfId="275" applyNumberFormat="1" applyFont="1" applyFill="1" applyProtection="1"/>
    <xf numFmtId="0" fontId="91" fillId="36" borderId="23" xfId="305" applyFont="1" applyFill="1" applyBorder="1" applyAlignment="1">
      <alignment horizontal="center"/>
    </xf>
    <xf numFmtId="0" fontId="80" fillId="73" borderId="72" xfId="305" applyFont="1" applyFill="1" applyBorder="1" applyAlignment="1">
      <alignment horizontal="center"/>
    </xf>
    <xf numFmtId="49" fontId="61" fillId="33" borderId="0" xfId="275" applyNumberFormat="1" applyFont="1" applyFill="1" applyProtection="1"/>
    <xf numFmtId="0" fontId="91" fillId="36" borderId="245" xfId="307" applyFont="1" applyFill="1" applyBorder="1"/>
    <xf numFmtId="0" fontId="91" fillId="36" borderId="123" xfId="307" applyFont="1" applyFill="1" applyBorder="1"/>
    <xf numFmtId="0" fontId="91" fillId="36" borderId="202" xfId="307" applyFont="1" applyFill="1" applyBorder="1" applyAlignment="1">
      <alignment horizontal="center"/>
    </xf>
    <xf numFmtId="0" fontId="80" fillId="73" borderId="73" xfId="307" applyFont="1" applyFill="1" applyBorder="1" applyAlignment="1">
      <alignment horizontal="center"/>
    </xf>
    <xf numFmtId="0" fontId="4" fillId="72" borderId="19" xfId="305" applyFill="1" applyBorder="1"/>
    <xf numFmtId="0" fontId="4" fillId="72" borderId="0" xfId="305" applyFill="1" applyBorder="1"/>
    <xf numFmtId="0" fontId="4" fillId="72" borderId="24" xfId="305" applyFill="1" applyBorder="1"/>
    <xf numFmtId="0" fontId="62" fillId="44" borderId="253" xfId="275" applyFont="1" applyFill="1" applyBorder="1" applyAlignment="1" applyProtection="1">
      <alignment wrapText="1"/>
    </xf>
    <xf numFmtId="0" fontId="62" fillId="44" borderId="258" xfId="306" applyFont="1" applyFill="1" applyBorder="1" applyAlignment="1" applyProtection="1">
      <alignment wrapText="1"/>
    </xf>
    <xf numFmtId="49" fontId="62" fillId="44" borderId="257" xfId="275" applyNumberFormat="1" applyFont="1" applyFill="1" applyBorder="1" applyAlignment="1" applyProtection="1">
      <alignment wrapText="1"/>
    </xf>
    <xf numFmtId="0" fontId="9" fillId="46" borderId="98" xfId="212" applyFont="1" applyFill="1" applyBorder="1" applyAlignment="1">
      <alignment horizontal="center" wrapText="1"/>
    </xf>
    <xf numFmtId="0" fontId="9" fillId="46" borderId="213" xfId="212" applyFont="1" applyFill="1" applyBorder="1" applyAlignment="1">
      <alignment horizontal="center" wrapText="1"/>
    </xf>
    <xf numFmtId="1" fontId="9" fillId="46" borderId="10" xfId="212" applyNumberFormat="1" applyFont="1" applyFill="1" applyBorder="1" applyAlignment="1">
      <alignment horizontal="center" wrapText="1"/>
    </xf>
    <xf numFmtId="0" fontId="9" fillId="45" borderId="261" xfId="212" applyFont="1" applyFill="1" applyBorder="1" applyAlignment="1">
      <alignment horizontal="center" wrapText="1"/>
    </xf>
    <xf numFmtId="0" fontId="9" fillId="45" borderId="262" xfId="212" applyFont="1" applyFill="1" applyBorder="1" applyAlignment="1">
      <alignment horizontal="center" wrapText="1"/>
    </xf>
    <xf numFmtId="0" fontId="9" fillId="39" borderId="175" xfId="306" applyFont="1" applyFill="1" applyBorder="1" applyAlignment="1">
      <alignment vertical="center" wrapText="1"/>
    </xf>
    <xf numFmtId="0" fontId="9" fillId="39" borderId="263" xfId="306" applyFont="1" applyFill="1" applyBorder="1" applyAlignment="1">
      <alignment vertical="center" wrapText="1"/>
    </xf>
    <xf numFmtId="0" fontId="9" fillId="40" borderId="263" xfId="306" applyFont="1" applyFill="1" applyBorder="1" applyAlignment="1">
      <alignment vertical="center" wrapText="1"/>
    </xf>
    <xf numFmtId="0" fontId="9" fillId="40" borderId="264" xfId="306" applyFont="1" applyFill="1" applyBorder="1" applyAlignment="1">
      <alignment vertical="center" wrapText="1"/>
    </xf>
    <xf numFmtId="0" fontId="9" fillId="74" borderId="263" xfId="306" applyFont="1" applyFill="1" applyBorder="1" applyAlignment="1">
      <alignment vertical="center" wrapText="1"/>
    </xf>
    <xf numFmtId="0" fontId="9" fillId="74" borderId="264" xfId="306" applyFont="1" applyFill="1" applyBorder="1" applyAlignment="1">
      <alignment vertical="center" wrapText="1"/>
    </xf>
    <xf numFmtId="0" fontId="9" fillId="0" borderId="21" xfId="306" applyFont="1" applyBorder="1" applyAlignment="1">
      <alignment vertical="center" wrapText="1"/>
    </xf>
    <xf numFmtId="0" fontId="9" fillId="0" borderId="22" xfId="212" applyFont="1" applyBorder="1" applyAlignment="1">
      <alignment vertical="center" wrapText="1"/>
    </xf>
    <xf numFmtId="0" fontId="9" fillId="0" borderId="22" xfId="306" applyFont="1" applyBorder="1" applyAlignment="1">
      <alignment vertical="center" wrapText="1"/>
    </xf>
    <xf numFmtId="0" fontId="9" fillId="0" borderId="23" xfId="306" applyFont="1" applyBorder="1" applyAlignment="1">
      <alignment vertical="center" wrapText="1"/>
    </xf>
    <xf numFmtId="0" fontId="9" fillId="0" borderId="45" xfId="306" applyFont="1" applyBorder="1" applyAlignment="1">
      <alignment horizontal="center" vertical="center" wrapText="1"/>
    </xf>
    <xf numFmtId="0" fontId="9" fillId="0" borderId="19" xfId="306" applyFont="1" applyFill="1" applyBorder="1" applyAlignment="1">
      <alignment vertical="center" wrapText="1"/>
    </xf>
    <xf numFmtId="0" fontId="9" fillId="0" borderId="0" xfId="306" applyFont="1" applyFill="1" applyBorder="1" applyAlignment="1">
      <alignment vertical="center" wrapText="1"/>
    </xf>
    <xf numFmtId="0" fontId="9" fillId="0" borderId="24" xfId="306" applyFont="1" applyFill="1" applyBorder="1" applyAlignment="1">
      <alignment vertical="center" wrapText="1"/>
    </xf>
    <xf numFmtId="0" fontId="61" fillId="33" borderId="58" xfId="275" applyFont="1" applyFill="1" applyBorder="1" applyAlignment="1" applyProtection="1">
      <alignment vertical="top"/>
    </xf>
    <xf numFmtId="0" fontId="61" fillId="33" borderId="55" xfId="306" applyFont="1" applyFill="1" applyBorder="1" applyAlignment="1" applyProtection="1">
      <alignment vertical="top"/>
    </xf>
    <xf numFmtId="179" fontId="6" fillId="33" borderId="133" xfId="275" applyNumberFormat="1" applyFont="1" applyFill="1" applyBorder="1" applyAlignment="1" applyProtection="1">
      <alignment horizontal="left" vertical="top"/>
    </xf>
    <xf numFmtId="0" fontId="6" fillId="0" borderId="163" xfId="212" applyFont="1" applyBorder="1" applyAlignment="1">
      <alignment vertical="top"/>
    </xf>
    <xf numFmtId="0" fontId="6" fillId="0" borderId="119" xfId="275" applyFont="1" applyBorder="1" applyAlignment="1">
      <alignment vertical="top"/>
    </xf>
    <xf numFmtId="0" fontId="48" fillId="33" borderId="119" xfId="275" applyFont="1" applyFill="1" applyBorder="1" applyAlignment="1" applyProtection="1">
      <alignment vertical="top"/>
    </xf>
    <xf numFmtId="0" fontId="48" fillId="33" borderId="119" xfId="275" applyFont="1" applyFill="1" applyBorder="1" applyAlignment="1" applyProtection="1">
      <alignment horizontal="center" vertical="top"/>
    </xf>
    <xf numFmtId="0" fontId="6" fillId="0" borderId="119" xfId="275" applyBorder="1" applyAlignment="1">
      <alignment horizontal="center" vertical="top"/>
    </xf>
    <xf numFmtId="1" fontId="6" fillId="0" borderId="265" xfId="275" applyNumberFormat="1" applyBorder="1" applyAlignment="1">
      <alignment horizontal="center" vertical="top"/>
    </xf>
    <xf numFmtId="0" fontId="6" fillId="0" borderId="124" xfId="212" applyFont="1" applyBorder="1" applyAlignment="1">
      <alignment horizontal="center" vertical="top"/>
    </xf>
    <xf numFmtId="0" fontId="138" fillId="0" borderId="266" xfId="275" applyFont="1" applyBorder="1" applyAlignment="1">
      <alignment vertical="top"/>
    </xf>
    <xf numFmtId="0" fontId="4" fillId="0" borderId="163" xfId="305" applyFont="1" applyBorder="1" applyAlignment="1">
      <alignment horizontal="left" vertical="center"/>
    </xf>
    <xf numFmtId="0" fontId="6" fillId="0" borderId="119" xfId="275" applyBorder="1" applyAlignment="1">
      <alignment vertical="center"/>
    </xf>
    <xf numFmtId="0" fontId="4" fillId="0" borderId="119" xfId="305" applyFont="1" applyBorder="1" applyAlignment="1">
      <alignment vertical="center"/>
    </xf>
    <xf numFmtId="0" fontId="4" fillId="0" borderId="119" xfId="305" applyFont="1" applyBorder="1" applyAlignment="1">
      <alignment horizontal="left" vertical="center"/>
    </xf>
    <xf numFmtId="49" fontId="6" fillId="0" borderId="265" xfId="275" applyNumberFormat="1" applyBorder="1" applyAlignment="1">
      <alignment vertical="center"/>
    </xf>
    <xf numFmtId="0" fontId="6" fillId="0" borderId="163" xfId="275" applyBorder="1" applyAlignment="1">
      <alignment vertical="center"/>
    </xf>
    <xf numFmtId="49" fontId="6" fillId="0" borderId="265" xfId="275" applyNumberFormat="1" applyBorder="1"/>
    <xf numFmtId="0" fontId="6" fillId="0" borderId="267" xfId="275" applyBorder="1" applyAlignment="1">
      <alignment vertical="center"/>
    </xf>
    <xf numFmtId="0" fontId="4" fillId="29" borderId="163" xfId="307" applyFill="1" applyBorder="1"/>
    <xf numFmtId="0" fontId="4" fillId="75" borderId="119" xfId="307" applyFill="1" applyBorder="1"/>
    <xf numFmtId="0" fontId="4" fillId="29" borderId="119" xfId="307" applyFill="1" applyBorder="1"/>
    <xf numFmtId="0" fontId="4" fillId="29" borderId="267" xfId="307" applyFill="1" applyBorder="1"/>
    <xf numFmtId="0" fontId="4" fillId="33" borderId="268" xfId="307" applyFill="1" applyBorder="1"/>
    <xf numFmtId="0" fontId="4" fillId="0" borderId="163" xfId="305" applyBorder="1"/>
    <xf numFmtId="0" fontId="4" fillId="0" borderId="119" xfId="305" applyBorder="1"/>
    <xf numFmtId="0" fontId="6" fillId="0" borderId="119" xfId="305" applyFont="1" applyBorder="1"/>
    <xf numFmtId="0" fontId="4" fillId="0" borderId="267" xfId="305" applyBorder="1"/>
    <xf numFmtId="0" fontId="61" fillId="33" borderId="92" xfId="275" applyFont="1" applyFill="1" applyBorder="1" applyAlignment="1" applyProtection="1">
      <alignment vertical="top"/>
    </xf>
    <xf numFmtId="0" fontId="6" fillId="0" borderId="109" xfId="212" applyFont="1" applyBorder="1" applyAlignment="1">
      <alignment vertical="top"/>
    </xf>
    <xf numFmtId="0" fontId="6" fillId="0" borderId="43" xfId="275" applyFont="1" applyBorder="1" applyAlignment="1">
      <alignment vertical="top"/>
    </xf>
    <xf numFmtId="0" fontId="48" fillId="33" borderId="43" xfId="275" applyFont="1" applyFill="1" applyBorder="1" applyAlignment="1" applyProtection="1">
      <alignment vertical="top"/>
    </xf>
    <xf numFmtId="0" fontId="48" fillId="33" borderId="43" xfId="275" applyFont="1" applyFill="1" applyBorder="1" applyAlignment="1" applyProtection="1">
      <alignment horizontal="center" vertical="top"/>
    </xf>
    <xf numFmtId="0" fontId="6" fillId="0" borderId="43" xfId="275" applyBorder="1" applyAlignment="1">
      <alignment horizontal="center" vertical="top"/>
    </xf>
    <xf numFmtId="1" fontId="61" fillId="33" borderId="269" xfId="275" applyNumberFormat="1" applyFont="1" applyFill="1" applyBorder="1" applyAlignment="1" applyProtection="1">
      <alignment horizontal="center" vertical="top"/>
    </xf>
    <xf numFmtId="0" fontId="6" fillId="0" borderId="109" xfId="212" applyFont="1" applyBorder="1" applyAlignment="1">
      <alignment horizontal="center" vertical="top"/>
    </xf>
    <xf numFmtId="0" fontId="6" fillId="0" borderId="269" xfId="275" applyFont="1" applyBorder="1" applyAlignment="1">
      <alignment vertical="top"/>
    </xf>
    <xf numFmtId="0" fontId="4" fillId="0" borderId="109" xfId="305" applyFont="1" applyBorder="1" applyAlignment="1">
      <alignment horizontal="left" vertical="center"/>
    </xf>
    <xf numFmtId="0" fontId="6" fillId="0" borderId="43" xfId="275" applyBorder="1" applyAlignment="1">
      <alignment vertical="center"/>
    </xf>
    <xf numFmtId="0" fontId="4" fillId="0" borderId="43" xfId="305" applyFont="1" applyBorder="1" applyAlignment="1">
      <alignment vertical="center"/>
    </xf>
    <xf numFmtId="0" fontId="4" fillId="0" borderId="43" xfId="305" applyFont="1" applyBorder="1" applyAlignment="1">
      <alignment horizontal="left" vertical="center"/>
    </xf>
    <xf numFmtId="49" fontId="6" fillId="0" borderId="269" xfId="275" applyNumberFormat="1" applyBorder="1" applyAlignment="1">
      <alignment vertical="center"/>
    </xf>
    <xf numFmtId="0" fontId="6" fillId="0" borderId="109" xfId="275" applyBorder="1" applyAlignment="1">
      <alignment vertical="center"/>
    </xf>
    <xf numFmtId="49" fontId="6" fillId="0" borderId="269" xfId="275" applyNumberFormat="1" applyBorder="1"/>
    <xf numFmtId="0" fontId="6" fillId="0" borderId="270" xfId="275" applyBorder="1" applyAlignment="1">
      <alignment vertical="center"/>
    </xf>
    <xf numFmtId="0" fontId="4" fillId="0" borderId="109" xfId="305" applyBorder="1"/>
    <xf numFmtId="0" fontId="4" fillId="0" borderId="43" xfId="305" applyBorder="1"/>
    <xf numFmtId="0" fontId="4" fillId="0" borderId="270" xfId="305" applyBorder="1"/>
    <xf numFmtId="0" fontId="4" fillId="33" borderId="173" xfId="305" applyFill="1" applyBorder="1"/>
    <xf numFmtId="0" fontId="6" fillId="0" borderId="43" xfId="305" applyFont="1" applyBorder="1"/>
    <xf numFmtId="0" fontId="61" fillId="33" borderId="120" xfId="275" applyFont="1" applyFill="1" applyBorder="1" applyAlignment="1" applyProtection="1">
      <alignment vertical="top"/>
    </xf>
    <xf numFmtId="0" fontId="139" fillId="33" borderId="58" xfId="275" applyFont="1" applyFill="1" applyBorder="1" applyAlignment="1" applyProtection="1">
      <alignment vertical="top"/>
    </xf>
    <xf numFmtId="0" fontId="61" fillId="33" borderId="55" xfId="275" applyFont="1" applyFill="1" applyBorder="1" applyAlignment="1" applyProtection="1">
      <alignment vertical="top"/>
    </xf>
    <xf numFmtId="0" fontId="139" fillId="33" borderId="120" xfId="275" applyFont="1" applyFill="1" applyBorder="1" applyAlignment="1" applyProtection="1">
      <alignment vertical="top"/>
    </xf>
    <xf numFmtId="0" fontId="139" fillId="33" borderId="62" xfId="275" applyFont="1" applyFill="1" applyBorder="1" applyAlignment="1" applyProtection="1">
      <alignment vertical="top"/>
    </xf>
    <xf numFmtId="0" fontId="61" fillId="33" borderId="46" xfId="306" applyFont="1" applyFill="1" applyBorder="1" applyAlignment="1" applyProtection="1">
      <alignment vertical="top"/>
    </xf>
    <xf numFmtId="179" fontId="6" fillId="33" borderId="86" xfId="275" applyNumberFormat="1" applyFont="1" applyFill="1" applyBorder="1" applyAlignment="1" applyProtection="1">
      <alignment horizontal="left" vertical="top"/>
    </xf>
    <xf numFmtId="0" fontId="6" fillId="0" borderId="43" xfId="212" applyFont="1" applyBorder="1" applyAlignment="1">
      <alignment vertical="center"/>
    </xf>
    <xf numFmtId="0" fontId="139" fillId="33" borderId="93" xfId="275" applyFont="1" applyFill="1" applyBorder="1" applyAlignment="1" applyProtection="1">
      <alignment vertical="top"/>
    </xf>
    <xf numFmtId="0" fontId="48" fillId="0" borderId="43" xfId="275" applyFont="1" applyFill="1" applyBorder="1" applyAlignment="1" applyProtection="1">
      <alignment vertical="top"/>
    </xf>
    <xf numFmtId="0" fontId="6" fillId="0" borderId="43" xfId="275" applyFont="1" applyBorder="1" applyAlignment="1">
      <alignment horizontal="center" vertical="top"/>
    </xf>
    <xf numFmtId="0" fontId="138" fillId="0" borderId="269" xfId="275" applyFont="1" applyBorder="1" applyAlignment="1">
      <alignment vertical="top"/>
    </xf>
    <xf numFmtId="0" fontId="4" fillId="29" borderId="109" xfId="307" applyFill="1" applyBorder="1"/>
    <xf numFmtId="0" fontId="4" fillId="75" borderId="43" xfId="307" applyFill="1" applyBorder="1"/>
    <xf numFmtId="0" fontId="4" fillId="29" borderId="270" xfId="307" applyFill="1" applyBorder="1"/>
    <xf numFmtId="0" fontId="0" fillId="33" borderId="173" xfId="307" applyFont="1" applyFill="1" applyBorder="1"/>
    <xf numFmtId="1" fontId="61" fillId="0" borderId="269" xfId="275" applyNumberFormat="1" applyFont="1" applyFill="1" applyBorder="1" applyAlignment="1" applyProtection="1">
      <alignment horizontal="center" vertical="top"/>
    </xf>
    <xf numFmtId="0" fontId="61" fillId="33" borderId="62" xfId="275" applyFont="1" applyFill="1" applyBorder="1" applyAlignment="1" applyProtection="1">
      <alignment vertical="top"/>
    </xf>
    <xf numFmtId="0" fontId="4" fillId="75" borderId="109" xfId="307" applyFill="1" applyBorder="1"/>
    <xf numFmtId="0" fontId="4" fillId="33" borderId="173" xfId="307" applyFill="1" applyBorder="1"/>
    <xf numFmtId="0" fontId="61" fillId="33" borderId="93" xfId="275" applyFont="1" applyFill="1" applyBorder="1" applyAlignment="1" applyProtection="1">
      <alignment vertical="top"/>
    </xf>
    <xf numFmtId="0" fontId="6" fillId="0" borderId="109" xfId="275" applyBorder="1"/>
    <xf numFmtId="0" fontId="6" fillId="0" borderId="43" xfId="275" applyBorder="1"/>
    <xf numFmtId="0" fontId="6" fillId="0" borderId="270" xfId="275" applyBorder="1"/>
    <xf numFmtId="179" fontId="6" fillId="33" borderId="86" xfId="306" applyNumberFormat="1" applyFont="1" applyFill="1" applyBorder="1" applyAlignment="1" applyProtection="1">
      <alignment horizontal="left" vertical="top"/>
    </xf>
    <xf numFmtId="1" fontId="6" fillId="0" borderId="269" xfId="275" applyNumberFormat="1" applyBorder="1" applyAlignment="1">
      <alignment horizontal="center" vertical="top"/>
    </xf>
    <xf numFmtId="0" fontId="61" fillId="29" borderId="62" xfId="275" applyFont="1" applyFill="1" applyBorder="1" applyAlignment="1" applyProtection="1">
      <alignment vertical="top"/>
    </xf>
    <xf numFmtId="0" fontId="61" fillId="29" borderId="46" xfId="306" applyFont="1" applyFill="1" applyBorder="1" applyAlignment="1" applyProtection="1">
      <alignment vertical="top"/>
    </xf>
    <xf numFmtId="179" fontId="6" fillId="29" borderId="86" xfId="275" applyNumberFormat="1" applyFont="1" applyFill="1" applyBorder="1" applyAlignment="1" applyProtection="1">
      <alignment horizontal="left" vertical="top"/>
    </xf>
    <xf numFmtId="0" fontId="0" fillId="29" borderId="109" xfId="212" applyFont="1" applyFill="1" applyBorder="1" applyAlignment="1">
      <alignment vertical="top"/>
    </xf>
    <xf numFmtId="0" fontId="6" fillId="29" borderId="43" xfId="275" applyFont="1" applyFill="1" applyBorder="1" applyAlignment="1">
      <alignment vertical="top"/>
    </xf>
    <xf numFmtId="0" fontId="6" fillId="29" borderId="43" xfId="275" applyFont="1" applyFill="1" applyBorder="1" applyAlignment="1">
      <alignment horizontal="center" vertical="top"/>
    </xf>
    <xf numFmtId="0" fontId="87" fillId="29" borderId="43" xfId="275" applyFont="1" applyFill="1" applyBorder="1" applyAlignment="1">
      <alignment horizontal="center" vertical="top"/>
    </xf>
    <xf numFmtId="1" fontId="61" fillId="29" borderId="269" xfId="275" applyNumberFormat="1" applyFont="1" applyFill="1" applyBorder="1" applyAlignment="1" applyProtection="1">
      <alignment horizontal="center" vertical="top"/>
    </xf>
    <xf numFmtId="0" fontId="6" fillId="29" borderId="109" xfId="212" applyFont="1" applyFill="1" applyBorder="1" applyAlignment="1">
      <alignment horizontal="center" vertical="top"/>
    </xf>
    <xf numFmtId="0" fontId="6" fillId="29" borderId="269" xfId="275" applyFont="1" applyFill="1" applyBorder="1" applyAlignment="1">
      <alignment vertical="top"/>
    </xf>
    <xf numFmtId="0" fontId="6" fillId="29" borderId="109" xfId="275" applyFill="1" applyBorder="1" applyAlignment="1">
      <alignment vertical="center"/>
    </xf>
    <xf numFmtId="0" fontId="6" fillId="29" borderId="43" xfId="275" applyFill="1" applyBorder="1" applyAlignment="1">
      <alignment vertical="center"/>
    </xf>
    <xf numFmtId="0" fontId="6" fillId="29" borderId="43" xfId="212" applyFont="1" applyFill="1" applyBorder="1" applyAlignment="1">
      <alignment vertical="center"/>
    </xf>
    <xf numFmtId="49" fontId="6" fillId="29" borderId="269" xfId="275" applyNumberFormat="1" applyFill="1" applyBorder="1" applyAlignment="1">
      <alignment vertical="center"/>
    </xf>
    <xf numFmtId="0" fontId="6" fillId="29" borderId="270" xfId="275" applyFill="1" applyBorder="1" applyAlignment="1">
      <alignment vertical="center"/>
    </xf>
    <xf numFmtId="0" fontId="61" fillId="29" borderId="93" xfId="275" applyFont="1" applyFill="1" applyBorder="1" applyAlignment="1" applyProtection="1">
      <alignment vertical="top"/>
    </xf>
    <xf numFmtId="0" fontId="48" fillId="29" borderId="43" xfId="275" applyFont="1" applyFill="1" applyBorder="1" applyAlignment="1" applyProtection="1">
      <alignment vertical="top"/>
    </xf>
    <xf numFmtId="0" fontId="48" fillId="29" borderId="43" xfId="275" applyFont="1" applyFill="1" applyBorder="1" applyAlignment="1" applyProtection="1">
      <alignment horizontal="center" vertical="top"/>
    </xf>
    <xf numFmtId="0" fontId="6" fillId="29" borderId="43" xfId="275" applyFill="1" applyBorder="1" applyAlignment="1">
      <alignment horizontal="center" vertical="top"/>
    </xf>
    <xf numFmtId="1" fontId="6" fillId="29" borderId="269" xfId="275" applyNumberFormat="1" applyFill="1" applyBorder="1" applyAlignment="1">
      <alignment horizontal="center" vertical="top"/>
    </xf>
    <xf numFmtId="0" fontId="4" fillId="29" borderId="43" xfId="307" applyFill="1" applyBorder="1"/>
    <xf numFmtId="0" fontId="0" fillId="0" borderId="43" xfId="212" applyFont="1" applyBorder="1" applyAlignment="1">
      <alignment vertical="center"/>
    </xf>
    <xf numFmtId="0" fontId="61" fillId="33" borderId="46" xfId="306" applyFont="1" applyFill="1" applyBorder="1" applyAlignment="1" applyProtection="1">
      <alignment vertical="top" wrapText="1"/>
    </xf>
    <xf numFmtId="179" fontId="6" fillId="33" borderId="86" xfId="275" quotePrefix="1" applyNumberFormat="1" applyFont="1" applyFill="1" applyBorder="1" applyAlignment="1" applyProtection="1">
      <alignment horizontal="right" vertical="top" indent="1"/>
    </xf>
    <xf numFmtId="49" fontId="6" fillId="0" borderId="269" xfId="212" applyNumberFormat="1" applyFont="1" applyBorder="1" applyAlignment="1">
      <alignment vertical="center"/>
    </xf>
    <xf numFmtId="0" fontId="61" fillId="33" borderId="46" xfId="275" applyFont="1" applyFill="1" applyBorder="1" applyAlignment="1" applyProtection="1">
      <alignment vertical="top"/>
    </xf>
    <xf numFmtId="0" fontId="4" fillId="75" borderId="270" xfId="307" applyFill="1" applyBorder="1"/>
    <xf numFmtId="0" fontId="140" fillId="0" borderId="109" xfId="305" applyFont="1" applyFill="1" applyBorder="1" applyAlignment="1" applyProtection="1">
      <alignment vertical="center" wrapText="1"/>
    </xf>
    <xf numFmtId="0" fontId="140" fillId="0" borderId="43" xfId="305" applyFont="1" applyFill="1" applyBorder="1" applyAlignment="1" applyProtection="1">
      <alignment vertical="center" wrapText="1"/>
    </xf>
    <xf numFmtId="0" fontId="140" fillId="0" borderId="270" xfId="305" applyFont="1" applyFill="1" applyBorder="1" applyAlignment="1" applyProtection="1">
      <alignment vertical="center" wrapText="1"/>
    </xf>
    <xf numFmtId="0" fontId="141" fillId="0" borderId="270" xfId="305" applyFont="1" applyBorder="1"/>
    <xf numFmtId="0" fontId="4" fillId="29" borderId="173" xfId="307" applyFill="1" applyBorder="1"/>
    <xf numFmtId="0" fontId="61" fillId="33" borderId="81" xfId="275" applyFont="1" applyFill="1" applyBorder="1" applyAlignment="1" applyProtection="1">
      <alignment vertical="top"/>
    </xf>
    <xf numFmtId="0" fontId="61" fillId="33" borderId="78" xfId="306" applyFont="1" applyFill="1" applyBorder="1" applyAlignment="1" applyProtection="1">
      <alignment vertical="top"/>
    </xf>
    <xf numFmtId="179" fontId="6" fillId="33" borderId="87" xfId="275" applyNumberFormat="1" applyFont="1" applyFill="1" applyBorder="1" applyAlignment="1" applyProtection="1">
      <alignment horizontal="left" vertical="top"/>
    </xf>
    <xf numFmtId="0" fontId="6" fillId="0" borderId="271" xfId="212" applyFont="1" applyBorder="1" applyAlignment="1">
      <alignment vertical="top"/>
    </xf>
    <xf numFmtId="0" fontId="6" fillId="0" borderId="272" xfId="275" applyFont="1" applyBorder="1" applyAlignment="1">
      <alignment vertical="top"/>
    </xf>
    <xf numFmtId="0" fontId="48" fillId="33" borderId="272" xfId="275" applyFont="1" applyFill="1" applyBorder="1" applyAlignment="1" applyProtection="1">
      <alignment vertical="top"/>
    </xf>
    <xf numFmtId="0" fontId="48" fillId="33" borderId="272" xfId="275" applyFont="1" applyFill="1" applyBorder="1" applyAlignment="1" applyProtection="1">
      <alignment horizontal="center" vertical="top"/>
    </xf>
    <xf numFmtId="0" fontId="6" fillId="0" borderId="272" xfId="275" applyBorder="1" applyAlignment="1">
      <alignment horizontal="center" vertical="top"/>
    </xf>
    <xf numFmtId="1" fontId="6" fillId="0" borderId="273" xfId="275" applyNumberFormat="1" applyBorder="1" applyAlignment="1">
      <alignment horizontal="center" vertical="top"/>
    </xf>
    <xf numFmtId="0" fontId="6" fillId="0" borderId="271" xfId="212" applyFont="1" applyBorder="1" applyAlignment="1">
      <alignment horizontal="center" vertical="top"/>
    </xf>
    <xf numFmtId="0" fontId="6" fillId="0" borderId="273" xfId="275" applyFont="1" applyBorder="1" applyAlignment="1">
      <alignment vertical="top"/>
    </xf>
    <xf numFmtId="0" fontId="6" fillId="0" borderId="271" xfId="275" applyBorder="1" applyAlignment="1">
      <alignment vertical="center"/>
    </xf>
    <xf numFmtId="0" fontId="6" fillId="0" borderId="272" xfId="275" applyBorder="1" applyAlignment="1">
      <alignment vertical="center"/>
    </xf>
    <xf numFmtId="0" fontId="6" fillId="0" borderId="272" xfId="212" applyFont="1" applyBorder="1" applyAlignment="1">
      <alignment vertical="center"/>
    </xf>
    <xf numFmtId="49" fontId="6" fillId="0" borderId="273" xfId="275" applyNumberFormat="1" applyBorder="1" applyAlignment="1">
      <alignment vertical="center"/>
    </xf>
    <xf numFmtId="0" fontId="6" fillId="0" borderId="272" xfId="275" applyBorder="1"/>
    <xf numFmtId="0" fontId="6" fillId="0" borderId="274" xfId="275" applyBorder="1"/>
    <xf numFmtId="0" fontId="4" fillId="29" borderId="110" xfId="307" applyFill="1" applyBorder="1"/>
    <xf numFmtId="0" fontId="4" fillId="75" borderId="104" xfId="307" applyFill="1" applyBorder="1"/>
    <xf numFmtId="0" fontId="4" fillId="29" borderId="275" xfId="307" applyFill="1" applyBorder="1"/>
    <xf numFmtId="0" fontId="4" fillId="33" borderId="174" xfId="305" applyFill="1" applyBorder="1"/>
    <xf numFmtId="0" fontId="4" fillId="0" borderId="110" xfId="305" applyBorder="1"/>
    <xf numFmtId="0" fontId="4" fillId="0" borderId="104" xfId="305" applyBorder="1"/>
    <xf numFmtId="0" fontId="6" fillId="0" borderId="104" xfId="305" applyFont="1" applyBorder="1"/>
    <xf numFmtId="0" fontId="4" fillId="0" borderId="275" xfId="305" applyBorder="1"/>
    <xf numFmtId="0" fontId="61" fillId="33" borderId="94" xfId="275" applyFont="1" applyFill="1" applyBorder="1" applyAlignment="1" applyProtection="1">
      <alignment vertical="top"/>
    </xf>
    <xf numFmtId="0" fontId="6" fillId="40" borderId="0" xfId="275" applyFill="1" applyAlignment="1">
      <alignment vertical="center" wrapText="1"/>
    </xf>
    <xf numFmtId="0" fontId="9" fillId="33" borderId="14" xfId="308" applyFont="1" applyFill="1" applyBorder="1" applyAlignment="1" applyProtection="1">
      <alignment horizontal="center" vertical="center" wrapText="1"/>
    </xf>
    <xf numFmtId="0" fontId="9" fillId="31" borderId="36" xfId="308" applyFont="1" applyFill="1" applyBorder="1" applyAlignment="1" applyProtection="1">
      <alignment horizontal="center" vertical="center" wrapText="1"/>
    </xf>
    <xf numFmtId="0" fontId="62" fillId="31" borderId="45" xfId="275" applyFont="1" applyFill="1" applyBorder="1" applyAlignment="1" applyProtection="1">
      <alignment horizontal="center" vertical="center" wrapText="1"/>
    </xf>
    <xf numFmtId="0" fontId="62" fillId="56" borderId="245" xfId="275" applyFont="1" applyFill="1" applyBorder="1" applyAlignment="1" applyProtection="1">
      <alignment vertical="center"/>
    </xf>
    <xf numFmtId="0" fontId="9" fillId="56" borderId="0" xfId="275" applyFont="1" applyFill="1" applyBorder="1" applyAlignment="1">
      <alignment vertical="center" wrapText="1"/>
    </xf>
    <xf numFmtId="0" fontId="6" fillId="56" borderId="0" xfId="275" applyFill="1" applyAlignment="1">
      <alignment vertical="center"/>
    </xf>
    <xf numFmtId="0" fontId="61" fillId="56" borderId="0" xfId="275" applyFont="1" applyFill="1" applyAlignment="1" applyProtection="1">
      <alignment vertical="center"/>
    </xf>
    <xf numFmtId="0" fontId="61" fillId="33" borderId="0" xfId="275" applyFont="1" applyFill="1" applyAlignment="1" applyProtection="1">
      <alignment horizontal="center" vertical="center"/>
    </xf>
    <xf numFmtId="0" fontId="61" fillId="33" borderId="0" xfId="275" applyFont="1" applyFill="1" applyAlignment="1" applyProtection="1">
      <alignment vertical="center"/>
    </xf>
    <xf numFmtId="1" fontId="61" fillId="33" borderId="0" xfId="275" applyNumberFormat="1" applyFont="1" applyFill="1" applyAlignment="1" applyProtection="1">
      <alignment vertical="center"/>
    </xf>
    <xf numFmtId="0" fontId="91" fillId="77" borderId="45" xfId="309" applyFont="1" applyFill="1" applyBorder="1" applyAlignment="1">
      <alignment vertical="center"/>
    </xf>
    <xf numFmtId="0" fontId="9" fillId="0" borderId="279" xfId="275" applyFont="1" applyFill="1" applyBorder="1" applyAlignment="1">
      <alignment vertical="center" wrapText="1"/>
    </xf>
    <xf numFmtId="0" fontId="9" fillId="0" borderId="280" xfId="275" applyFont="1" applyFill="1" applyBorder="1" applyAlignment="1">
      <alignment vertical="center" wrapText="1"/>
    </xf>
    <xf numFmtId="0" fontId="9" fillId="0" borderId="281" xfId="275" applyFont="1" applyFill="1" applyBorder="1" applyAlignment="1">
      <alignment vertical="center" wrapText="1"/>
    </xf>
    <xf numFmtId="0" fontId="9" fillId="32" borderId="282" xfId="275" applyFont="1" applyFill="1" applyBorder="1" applyAlignment="1">
      <alignment vertical="center" wrapText="1"/>
    </xf>
    <xf numFmtId="0" fontId="9" fillId="32" borderId="283" xfId="275" applyFont="1" applyFill="1" applyBorder="1" applyAlignment="1">
      <alignment vertical="center" wrapText="1"/>
    </xf>
    <xf numFmtId="0" fontId="9" fillId="32" borderId="284" xfId="275" applyFont="1" applyFill="1" applyBorder="1" applyAlignment="1">
      <alignment vertical="center" wrapText="1"/>
    </xf>
    <xf numFmtId="0" fontId="4" fillId="0" borderId="0" xfId="305" applyAlignment="1">
      <alignment vertical="center"/>
    </xf>
    <xf numFmtId="0" fontId="6" fillId="0" borderId="285" xfId="306" applyBorder="1" applyAlignment="1" applyProtection="1">
      <alignment horizontal="left" vertical="center"/>
    </xf>
    <xf numFmtId="0" fontId="98" fillId="0" borderId="285" xfId="305" applyFont="1" applyBorder="1"/>
    <xf numFmtId="49" fontId="61" fillId="56" borderId="21" xfId="275" applyNumberFormat="1" applyFont="1" applyFill="1" applyBorder="1" applyProtection="1"/>
    <xf numFmtId="49" fontId="48" fillId="56" borderId="21" xfId="275" applyNumberFormat="1" applyFont="1" applyFill="1" applyBorder="1" applyProtection="1"/>
    <xf numFmtId="0" fontId="6" fillId="56" borderId="22" xfId="275" applyFill="1" applyBorder="1"/>
    <xf numFmtId="0" fontId="61" fillId="56" borderId="163" xfId="275" quotePrefix="1" applyFont="1" applyFill="1" applyBorder="1" applyAlignment="1" applyProtection="1">
      <alignment vertical="center"/>
    </xf>
    <xf numFmtId="0" fontId="143" fillId="56" borderId="267" xfId="275" quotePrefix="1" applyFont="1" applyFill="1" applyBorder="1" applyAlignment="1" applyProtection="1">
      <alignment vertical="center"/>
    </xf>
    <xf numFmtId="0" fontId="6" fillId="56" borderId="0" xfId="275" applyFill="1"/>
    <xf numFmtId="0" fontId="87" fillId="56" borderId="0" xfId="275" applyFont="1" applyFill="1"/>
    <xf numFmtId="0" fontId="6" fillId="0" borderId="0" xfId="275" applyAlignment="1">
      <alignment horizontal="center"/>
    </xf>
    <xf numFmtId="0" fontId="6" fillId="77" borderId="285" xfId="275" applyFont="1" applyFill="1" applyBorder="1" applyAlignment="1"/>
    <xf numFmtId="0" fontId="144" fillId="78" borderId="286" xfId="310" applyFont="1" applyFill="1" applyBorder="1" applyAlignment="1" applyProtection="1">
      <alignment horizontal="center" wrapText="1"/>
    </xf>
    <xf numFmtId="0" fontId="6" fillId="78" borderId="287" xfId="275" applyFont="1" applyFill="1" applyBorder="1" applyAlignment="1" applyProtection="1">
      <alignment horizontal="center" wrapText="1"/>
    </xf>
    <xf numFmtId="0" fontId="145" fillId="78" borderId="287" xfId="275" applyFont="1" applyFill="1" applyBorder="1" applyAlignment="1" applyProtection="1">
      <alignment horizontal="center" vertical="center"/>
    </xf>
    <xf numFmtId="0" fontId="134" fillId="78" borderId="287" xfId="305" applyFont="1" applyFill="1" applyBorder="1" applyAlignment="1" applyProtection="1">
      <alignment horizontal="center" vertical="center" wrapText="1"/>
    </xf>
    <xf numFmtId="0" fontId="134" fillId="78" borderId="288" xfId="305" applyFont="1" applyFill="1" applyBorder="1" applyAlignment="1" applyProtection="1">
      <alignment horizontal="center" vertical="center" wrapText="1"/>
    </xf>
    <xf numFmtId="0" fontId="6" fillId="47" borderId="289" xfId="276" applyFill="1" applyBorder="1" applyAlignment="1">
      <alignment horizontal="center"/>
    </xf>
    <xf numFmtId="0" fontId="6" fillId="47" borderId="0" xfId="276" applyFill="1" applyBorder="1" applyAlignment="1">
      <alignment horizontal="center"/>
    </xf>
    <xf numFmtId="0" fontId="6" fillId="47" borderId="117" xfId="276" applyFill="1" applyBorder="1" applyAlignment="1">
      <alignment horizontal="center" vertical="center" wrapText="1"/>
    </xf>
    <xf numFmtId="0" fontId="6" fillId="47" borderId="290" xfId="276" applyFill="1" applyBorder="1" applyAlignment="1">
      <alignment horizontal="center" vertical="center" wrapText="1"/>
    </xf>
    <xf numFmtId="0" fontId="6" fillId="0" borderId="121" xfId="306" applyBorder="1" applyAlignment="1" applyProtection="1">
      <alignment horizontal="left" vertical="center"/>
    </xf>
    <xf numFmtId="0" fontId="98" fillId="0" borderId="121" xfId="305" applyFont="1" applyBorder="1"/>
    <xf numFmtId="49" fontId="61" fillId="56" borderId="19" xfId="275" applyNumberFormat="1" applyFont="1" applyFill="1" applyBorder="1" applyProtection="1"/>
    <xf numFmtId="49" fontId="48" fillId="56" borderId="19" xfId="275" applyNumberFormat="1" applyFont="1" applyFill="1" applyBorder="1" applyProtection="1"/>
    <xf numFmtId="0" fontId="6" fillId="56" borderId="0" xfId="275" applyFill="1" applyBorder="1"/>
    <xf numFmtId="0" fontId="61" fillId="56" borderId="109" xfId="275" quotePrefix="1" applyFont="1" applyFill="1" applyBorder="1" applyAlignment="1" applyProtection="1">
      <alignment vertical="center"/>
    </xf>
    <xf numFmtId="0" fontId="143" fillId="56" borderId="270" xfId="275" quotePrefix="1" applyFont="1" applyFill="1" applyBorder="1" applyAlignment="1" applyProtection="1">
      <alignment vertical="center"/>
    </xf>
    <xf numFmtId="0" fontId="6" fillId="77" borderId="121" xfId="275" applyFont="1" applyFill="1" applyBorder="1" applyAlignment="1"/>
    <xf numFmtId="0" fontId="144" fillId="78" borderId="291" xfId="310" applyFont="1" applyFill="1" applyBorder="1" applyAlignment="1" applyProtection="1">
      <alignment horizontal="center" wrapText="1"/>
    </xf>
    <xf numFmtId="0" fontId="6" fillId="78" borderId="292" xfId="275" applyFont="1" applyFill="1" applyBorder="1" applyAlignment="1" applyProtection="1">
      <alignment horizontal="center" wrapText="1"/>
    </xf>
    <xf numFmtId="0" fontId="145" fillId="78" borderId="292" xfId="305" applyFont="1" applyFill="1" applyBorder="1" applyAlignment="1" applyProtection="1">
      <alignment horizontal="center" vertical="center"/>
    </xf>
    <xf numFmtId="0" fontId="134" fillId="78" borderId="292" xfId="305" applyFont="1" applyFill="1" applyBorder="1" applyAlignment="1" applyProtection="1">
      <alignment horizontal="center" vertical="center" wrapText="1"/>
    </xf>
    <xf numFmtId="0" fontId="134" fillId="78" borderId="293" xfId="305" applyFont="1" applyFill="1" applyBorder="1" applyAlignment="1" applyProtection="1">
      <alignment horizontal="center" vertical="center" wrapText="1"/>
    </xf>
    <xf numFmtId="0" fontId="6" fillId="47" borderId="43" xfId="276" applyFill="1" applyBorder="1" applyAlignment="1">
      <alignment horizontal="center" vertical="center" wrapText="1"/>
    </xf>
    <xf numFmtId="0" fontId="6" fillId="0" borderId="294" xfId="275" applyBorder="1"/>
    <xf numFmtId="0" fontId="6" fillId="0" borderId="296" xfId="306" applyBorder="1" applyProtection="1"/>
    <xf numFmtId="0" fontId="6" fillId="56" borderId="109" xfId="275" applyFill="1" applyBorder="1"/>
    <xf numFmtId="0" fontId="146" fillId="56" borderId="270" xfId="275" applyFont="1" applyFill="1" applyBorder="1"/>
    <xf numFmtId="0" fontId="6" fillId="0" borderId="285" xfId="306" applyBorder="1" applyProtection="1"/>
    <xf numFmtId="0" fontId="6" fillId="47" borderId="123" xfId="276" applyFill="1" applyBorder="1" applyAlignment="1">
      <alignment horizontal="center"/>
    </xf>
    <xf numFmtId="49" fontId="48" fillId="56" borderId="19" xfId="275" quotePrefix="1" applyNumberFormat="1" applyFont="1" applyFill="1" applyBorder="1" applyProtection="1"/>
    <xf numFmtId="0" fontId="144" fillId="78" borderId="291" xfId="310" applyNumberFormat="1" applyFont="1" applyFill="1" applyBorder="1" applyAlignment="1" applyProtection="1">
      <alignment horizontal="center" wrapText="1"/>
    </xf>
    <xf numFmtId="0" fontId="6" fillId="0" borderId="292" xfId="275" applyFont="1" applyFill="1" applyBorder="1"/>
    <xf numFmtId="0" fontId="6" fillId="0" borderId="293" xfId="275" applyFont="1" applyFill="1" applyBorder="1"/>
    <xf numFmtId="0" fontId="6" fillId="0" borderId="297" xfId="275" applyBorder="1" applyAlignment="1">
      <alignment vertical="center"/>
    </xf>
    <xf numFmtId="0" fontId="6" fillId="0" borderId="292" xfId="275" applyFont="1" applyFill="1" applyBorder="1" applyAlignment="1">
      <alignment vertical="center"/>
    </xf>
    <xf numFmtId="0" fontId="6" fillId="0" borderId="298" xfId="306" applyBorder="1" applyProtection="1"/>
    <xf numFmtId="49" fontId="61" fillId="56" borderId="245" xfId="275" applyNumberFormat="1" applyFont="1" applyFill="1" applyBorder="1" applyProtection="1"/>
    <xf numFmtId="49" fontId="48" fillId="56" borderId="245" xfId="275" applyNumberFormat="1" applyFont="1" applyFill="1" applyBorder="1" applyProtection="1"/>
    <xf numFmtId="0" fontId="6" fillId="56" borderId="123" xfId="275" applyFill="1" applyBorder="1"/>
    <xf numFmtId="0" fontId="61" fillId="56" borderId="110" xfId="275" quotePrefix="1" applyFont="1" applyFill="1" applyBorder="1" applyAlignment="1" applyProtection="1">
      <alignment vertical="center"/>
    </xf>
    <xf numFmtId="0" fontId="143" fillId="56" borderId="275" xfId="275" quotePrefix="1" applyFont="1" applyFill="1" applyBorder="1" applyAlignment="1" applyProtection="1">
      <alignment vertical="center"/>
    </xf>
    <xf numFmtId="0" fontId="6" fillId="77" borderId="298" xfId="275" applyFont="1" applyFill="1" applyBorder="1" applyAlignment="1"/>
    <xf numFmtId="0" fontId="6" fillId="0" borderId="291" xfId="275" applyFont="1" applyFill="1" applyBorder="1" applyAlignment="1">
      <alignment vertical="center"/>
    </xf>
    <xf numFmtId="0" fontId="6" fillId="20" borderId="297" xfId="276" applyBorder="1"/>
    <xf numFmtId="0" fontId="6" fillId="33" borderId="212" xfId="306" applyFill="1" applyBorder="1" applyAlignment="1" applyProtection="1">
      <alignment vertical="center"/>
    </xf>
    <xf numFmtId="0" fontId="6" fillId="0" borderId="205" xfId="306" applyBorder="1" applyAlignment="1" applyProtection="1">
      <alignment horizontal="left" vertical="center"/>
    </xf>
    <xf numFmtId="0" fontId="6" fillId="27" borderId="299" xfId="306" applyFill="1" applyBorder="1" applyAlignment="1" applyProtection="1">
      <alignment horizontal="center" vertical="center"/>
    </xf>
    <xf numFmtId="0" fontId="6" fillId="27" borderId="240" xfId="306" applyFill="1" applyBorder="1" applyAlignment="1" applyProtection="1">
      <alignment horizontal="center" vertical="center"/>
    </xf>
    <xf numFmtId="0" fontId="6" fillId="33" borderId="285" xfId="306" applyFill="1" applyBorder="1" applyAlignment="1" applyProtection="1">
      <alignment horizontal="left" vertical="center"/>
    </xf>
    <xf numFmtId="0" fontId="6" fillId="33" borderId="296" xfId="306" applyFill="1" applyBorder="1" applyAlignment="1" applyProtection="1">
      <alignment horizontal="left" vertical="center"/>
    </xf>
    <xf numFmtId="0" fontId="6" fillId="0" borderId="300" xfId="275" applyFont="1" applyFill="1" applyBorder="1" applyAlignment="1">
      <alignment vertical="center"/>
    </xf>
    <xf numFmtId="0" fontId="6" fillId="78" borderId="301" xfId="275" applyFont="1" applyFill="1" applyBorder="1" applyAlignment="1" applyProtection="1">
      <alignment horizontal="center" wrapText="1"/>
    </xf>
    <xf numFmtId="0" fontId="6" fillId="0" borderId="301" xfId="275" applyFont="1" applyFill="1" applyBorder="1" applyAlignment="1">
      <alignment vertical="center"/>
    </xf>
    <xf numFmtId="0" fontId="6" fillId="0" borderId="301" xfId="275" applyFont="1" applyFill="1" applyBorder="1"/>
    <xf numFmtId="0" fontId="6" fillId="0" borderId="302" xfId="275" applyFont="1" applyFill="1" applyBorder="1"/>
    <xf numFmtId="0" fontId="6" fillId="33" borderId="152" xfId="306" applyFill="1" applyBorder="1" applyAlignment="1" applyProtection="1">
      <alignment vertical="center"/>
    </xf>
    <xf numFmtId="0" fontId="4" fillId="0" borderId="0" xfId="305" applyFont="1" applyAlignment="1">
      <alignment horizontal="left" indent="2"/>
    </xf>
    <xf numFmtId="0" fontId="6" fillId="20" borderId="303" xfId="276" applyBorder="1"/>
    <xf numFmtId="0" fontId="6" fillId="0" borderId="104" xfId="275" applyBorder="1"/>
    <xf numFmtId="0" fontId="6" fillId="47" borderId="104" xfId="276" applyFill="1" applyBorder="1" applyAlignment="1">
      <alignment horizontal="center" vertical="center" wrapText="1"/>
    </xf>
    <xf numFmtId="0" fontId="6" fillId="0" borderId="304" xfId="275" applyBorder="1"/>
    <xf numFmtId="0" fontId="6" fillId="33" borderId="19" xfId="306" applyFill="1" applyBorder="1" applyAlignment="1" applyProtection="1">
      <alignment vertical="center"/>
    </xf>
    <xf numFmtId="0" fontId="6" fillId="33" borderId="121" xfId="306" applyFill="1" applyBorder="1" applyAlignment="1" applyProtection="1">
      <alignment horizontal="left" vertical="center"/>
    </xf>
    <xf numFmtId="0" fontId="4" fillId="0" borderId="0" xfId="305" applyFont="1" applyAlignment="1">
      <alignment horizontal="left" indent="3"/>
    </xf>
    <xf numFmtId="0" fontId="6" fillId="0" borderId="289" xfId="275" applyBorder="1" applyAlignment="1">
      <alignment vertical="center"/>
    </xf>
    <xf numFmtId="0" fontId="6" fillId="0" borderId="0" xfId="275" applyBorder="1"/>
    <xf numFmtId="0" fontId="6" fillId="0" borderId="305" xfId="275" applyBorder="1"/>
    <xf numFmtId="0" fontId="98" fillId="0" borderId="298" xfId="305" applyFont="1" applyBorder="1"/>
    <xf numFmtId="0" fontId="4" fillId="0" borderId="0" xfId="305" applyFont="1" applyAlignment="1">
      <alignment horizontal="left" indent="4"/>
    </xf>
    <xf numFmtId="0" fontId="98" fillId="0" borderId="0" xfId="305" applyFont="1"/>
    <xf numFmtId="0" fontId="61" fillId="47" borderId="45" xfId="275" applyFont="1" applyFill="1" applyBorder="1" applyAlignment="1" applyProtection="1">
      <alignment horizontal="left" vertical="top" wrapText="1"/>
    </xf>
    <xf numFmtId="0" fontId="4" fillId="0" borderId="0" xfId="305" applyFont="1" applyAlignment="1">
      <alignment horizontal="left" indent="5"/>
    </xf>
    <xf numFmtId="0" fontId="6" fillId="33" borderId="295" xfId="306" applyFill="1" applyBorder="1" applyAlignment="1" applyProtection="1">
      <alignment vertical="center"/>
    </xf>
    <xf numFmtId="0" fontId="6" fillId="33" borderId="298" xfId="306" applyFill="1" applyBorder="1" applyAlignment="1" applyProtection="1">
      <alignment horizontal="left" vertical="center"/>
    </xf>
    <xf numFmtId="0" fontId="62" fillId="47" borderId="72" xfId="275" applyFont="1" applyFill="1" applyBorder="1" applyProtection="1"/>
    <xf numFmtId="0" fontId="85" fillId="79" borderId="307" xfId="306" applyFont="1" applyFill="1" applyBorder="1" applyAlignment="1" applyProtection="1">
      <alignment vertical="center" wrapText="1"/>
    </xf>
    <xf numFmtId="0" fontId="85" fillId="79" borderId="308" xfId="306" applyFont="1" applyFill="1" applyBorder="1" applyAlignment="1" applyProtection="1">
      <alignment vertical="center" wrapText="1"/>
    </xf>
    <xf numFmtId="0" fontId="147" fillId="80" borderId="279" xfId="275" applyFont="1" applyFill="1" applyBorder="1" applyAlignment="1" applyProtection="1">
      <alignment horizontal="center" wrapText="1"/>
    </xf>
    <xf numFmtId="0" fontId="6" fillId="80" borderId="280" xfId="212" applyFont="1" applyFill="1" applyBorder="1"/>
    <xf numFmtId="0" fontId="147" fillId="80" borderId="280" xfId="275" applyFont="1" applyFill="1" applyBorder="1" applyAlignment="1" applyProtection="1">
      <alignment wrapText="1"/>
    </xf>
    <xf numFmtId="0" fontId="147" fillId="80" borderId="309" xfId="275" applyFont="1" applyFill="1" applyBorder="1" applyAlignment="1" applyProtection="1">
      <alignment wrapText="1"/>
    </xf>
    <xf numFmtId="0" fontId="4" fillId="0" borderId="0" xfId="305" applyFont="1" applyAlignment="1">
      <alignment horizontal="left" indent="6"/>
    </xf>
    <xf numFmtId="0" fontId="9" fillId="32" borderId="310" xfId="275" applyFont="1" applyFill="1" applyBorder="1" applyAlignment="1">
      <alignment vertical="center" wrapText="1"/>
    </xf>
    <xf numFmtId="0" fontId="6" fillId="0" borderId="22" xfId="275" applyBorder="1"/>
    <xf numFmtId="0" fontId="9" fillId="32" borderId="311" xfId="275" applyFont="1" applyFill="1" applyBorder="1" applyAlignment="1">
      <alignment vertical="center" wrapText="1"/>
    </xf>
    <xf numFmtId="0" fontId="9" fillId="32" borderId="312" xfId="275" applyFont="1" applyFill="1" applyBorder="1" applyAlignment="1">
      <alignment vertical="center" wrapText="1"/>
    </xf>
    <xf numFmtId="0" fontId="6" fillId="33" borderId="73" xfId="306" applyFill="1" applyBorder="1" applyAlignment="1" applyProtection="1">
      <alignment horizontal="left" vertical="center"/>
    </xf>
    <xf numFmtId="0" fontId="61" fillId="47" borderId="92" xfId="275" applyFont="1" applyFill="1" applyBorder="1" applyProtection="1"/>
    <xf numFmtId="0" fontId="61" fillId="47" borderId="75" xfId="275" applyFont="1" applyFill="1" applyBorder="1" applyProtection="1"/>
    <xf numFmtId="0" fontId="148" fillId="79" borderId="313" xfId="306" applyFont="1" applyFill="1" applyBorder="1" applyAlignment="1" applyProtection="1">
      <alignment horizontal="center" vertical="center"/>
    </xf>
    <xf numFmtId="49" fontId="148" fillId="79" borderId="314" xfId="306" applyNumberFormat="1" applyFont="1" applyFill="1" applyBorder="1" applyProtection="1"/>
    <xf numFmtId="0" fontId="142" fillId="81" borderId="286" xfId="275" applyFont="1" applyFill="1" applyBorder="1" applyAlignment="1" applyProtection="1">
      <alignment horizontal="center"/>
    </xf>
    <xf numFmtId="0" fontId="149" fillId="82" borderId="287" xfId="275" quotePrefix="1" applyFont="1" applyFill="1" applyBorder="1"/>
    <xf numFmtId="0" fontId="148" fillId="83" borderId="287" xfId="275" applyFont="1" applyFill="1" applyBorder="1" applyAlignment="1" applyProtection="1">
      <alignment horizontal="center"/>
    </xf>
    <xf numFmtId="0" fontId="150" fillId="82" borderId="287" xfId="275" quotePrefix="1" applyFont="1" applyFill="1" applyBorder="1" applyAlignment="1" applyProtection="1">
      <alignment horizontal="left"/>
    </xf>
    <xf numFmtId="0" fontId="148" fillId="83" borderId="315" xfId="275" applyFont="1" applyFill="1" applyBorder="1" applyAlignment="1" applyProtection="1">
      <alignment horizontal="center"/>
    </xf>
    <xf numFmtId="0" fontId="6" fillId="47" borderId="316" xfId="276" applyFill="1" applyBorder="1" applyAlignment="1">
      <alignment horizontal="center"/>
    </xf>
    <xf numFmtId="0" fontId="6" fillId="0" borderId="119" xfId="275" applyBorder="1"/>
    <xf numFmtId="0" fontId="6" fillId="47" borderId="119" xfId="276" applyFill="1" applyBorder="1" applyAlignment="1">
      <alignment horizontal="center" vertical="center" wrapText="1"/>
    </xf>
    <xf numFmtId="0" fontId="6" fillId="47" borderId="267" xfId="276" applyFill="1" applyBorder="1" applyAlignment="1">
      <alignment horizontal="center" vertical="center" wrapText="1"/>
    </xf>
    <xf numFmtId="0" fontId="6" fillId="33" borderId="152" xfId="306" applyFill="1" applyBorder="1" applyAlignment="1" applyProtection="1">
      <alignment vertical="top"/>
    </xf>
    <xf numFmtId="0" fontId="61" fillId="47" borderId="93" xfId="275" applyFont="1" applyFill="1" applyBorder="1" applyProtection="1"/>
    <xf numFmtId="0" fontId="61" fillId="47" borderId="77" xfId="275" applyFont="1" applyFill="1" applyBorder="1" applyProtection="1"/>
    <xf numFmtId="0" fontId="148" fillId="79" borderId="317" xfId="306" applyFont="1" applyFill="1" applyBorder="1" applyAlignment="1" applyProtection="1">
      <alignment horizontal="center" vertical="center"/>
    </xf>
    <xf numFmtId="49" fontId="148" fillId="79" borderId="318" xfId="306" applyNumberFormat="1" applyFont="1" applyFill="1" applyBorder="1" applyProtection="1"/>
    <xf numFmtId="0" fontId="148" fillId="81" borderId="291" xfId="275" applyFont="1" applyFill="1" applyBorder="1" applyAlignment="1" applyProtection="1">
      <alignment horizontal="center"/>
    </xf>
    <xf numFmtId="0" fontId="149" fillId="82" borderId="292" xfId="275" quotePrefix="1" applyFont="1" applyFill="1" applyBorder="1"/>
    <xf numFmtId="0" fontId="148" fillId="83" borderId="292" xfId="275" applyFont="1" applyFill="1" applyBorder="1" applyAlignment="1" applyProtection="1">
      <alignment horizontal="center"/>
    </xf>
    <xf numFmtId="0" fontId="150" fillId="82" borderId="292" xfId="275" quotePrefix="1" applyFont="1" applyFill="1" applyBorder="1" applyAlignment="1" applyProtection="1">
      <alignment horizontal="left"/>
    </xf>
    <xf numFmtId="0" fontId="148" fillId="83" borderId="319" xfId="275" applyFont="1" applyFill="1" applyBorder="1" applyAlignment="1" applyProtection="1">
      <alignment horizontal="center"/>
    </xf>
    <xf numFmtId="0" fontId="6" fillId="47" borderId="297" xfId="276" applyFill="1" applyBorder="1" applyAlignment="1">
      <alignment horizontal="center"/>
    </xf>
    <xf numFmtId="0" fontId="6" fillId="47" borderId="270" xfId="276" applyFill="1" applyBorder="1" applyAlignment="1">
      <alignment horizontal="center" vertical="center" wrapText="1"/>
    </xf>
    <xf numFmtId="0" fontId="6" fillId="33" borderId="19" xfId="306" applyFill="1" applyBorder="1" applyAlignment="1" applyProtection="1">
      <alignment vertical="top"/>
    </xf>
    <xf numFmtId="0" fontId="61" fillId="47" borderId="147" xfId="275" applyFont="1" applyFill="1" applyBorder="1" applyProtection="1"/>
    <xf numFmtId="0" fontId="6" fillId="33" borderId="320" xfId="306" applyFill="1" applyBorder="1" applyAlignment="1" applyProtection="1">
      <alignment vertical="center"/>
    </xf>
    <xf numFmtId="0" fontId="6" fillId="33" borderId="321" xfId="306" applyFill="1" applyBorder="1" applyAlignment="1" applyProtection="1">
      <alignment vertical="center"/>
    </xf>
    <xf numFmtId="0" fontId="6" fillId="33" borderId="322" xfId="306" applyFill="1" applyBorder="1" applyAlignment="1" applyProtection="1">
      <alignment vertical="center"/>
    </xf>
    <xf numFmtId="0" fontId="148" fillId="79" borderId="323" xfId="306" applyFont="1" applyFill="1" applyBorder="1" applyAlignment="1" applyProtection="1">
      <alignment horizontal="center" vertical="center"/>
    </xf>
    <xf numFmtId="49" fontId="148" fillId="79" borderId="324" xfId="306" applyNumberFormat="1" applyFont="1" applyFill="1" applyBorder="1" applyProtection="1"/>
    <xf numFmtId="0" fontId="6" fillId="33" borderId="325" xfId="306" applyFill="1" applyBorder="1" applyAlignment="1" applyProtection="1">
      <alignment vertical="center"/>
    </xf>
    <xf numFmtId="0" fontId="61" fillId="47" borderId="73" xfId="275" applyFont="1" applyFill="1" applyBorder="1" applyProtection="1"/>
    <xf numFmtId="0" fontId="61" fillId="47" borderId="94" xfId="275" applyFont="1" applyFill="1" applyBorder="1" applyProtection="1"/>
    <xf numFmtId="0" fontId="6" fillId="47" borderId="326" xfId="276" applyFill="1" applyBorder="1" applyAlignment="1">
      <alignment horizontal="center"/>
    </xf>
    <xf numFmtId="0" fontId="6" fillId="0" borderId="327" xfId="275" applyBorder="1"/>
    <xf numFmtId="0" fontId="6" fillId="0" borderId="328" xfId="275" applyBorder="1"/>
    <xf numFmtId="0" fontId="6" fillId="0" borderId="329" xfId="275" applyBorder="1"/>
    <xf numFmtId="0" fontId="6" fillId="0" borderId="0" xfId="212" applyFont="1" applyFill="1" applyBorder="1"/>
    <xf numFmtId="0" fontId="6" fillId="0" borderId="0" xfId="275" applyFont="1" applyFill="1" applyBorder="1"/>
    <xf numFmtId="0" fontId="148" fillId="84" borderId="0" xfId="275" applyFont="1" applyFill="1" applyBorder="1" applyProtection="1"/>
    <xf numFmtId="0" fontId="148" fillId="84" borderId="0" xfId="275" applyFont="1" applyFill="1" applyBorder="1" applyAlignment="1" applyProtection="1">
      <alignment horizontal="center"/>
    </xf>
    <xf numFmtId="1" fontId="148" fillId="84" borderId="0" xfId="275" applyNumberFormat="1" applyFont="1" applyFill="1" applyBorder="1" applyProtection="1"/>
    <xf numFmtId="0" fontId="62" fillId="47" borderId="45" xfId="275" applyFont="1" applyFill="1" applyBorder="1" applyProtection="1"/>
    <xf numFmtId="0" fontId="147" fillId="85" borderId="45" xfId="275" applyFont="1" applyFill="1" applyBorder="1" applyAlignment="1" applyProtection="1">
      <alignment horizontal="center" vertical="top" wrapText="1"/>
    </xf>
    <xf numFmtId="0" fontId="147" fillId="85" borderId="45" xfId="275" applyFont="1" applyFill="1" applyBorder="1" applyAlignment="1" applyProtection="1">
      <alignment vertical="top" wrapText="1"/>
    </xf>
    <xf numFmtId="0" fontId="147" fillId="86" borderId="45" xfId="275" applyFont="1" applyFill="1" applyBorder="1" applyAlignment="1" applyProtection="1">
      <alignment horizontal="center" vertical="top" wrapText="1"/>
    </xf>
    <xf numFmtId="0" fontId="147" fillId="86" borderId="72" xfId="275" applyFont="1" applyFill="1" applyBorder="1" applyAlignment="1" applyProtection="1">
      <alignment vertical="top" wrapText="1"/>
    </xf>
    <xf numFmtId="0" fontId="147" fillId="86" borderId="45" xfId="275" applyFont="1" applyFill="1" applyBorder="1" applyAlignment="1" applyProtection="1">
      <alignment vertical="top" wrapText="1"/>
    </xf>
    <xf numFmtId="0" fontId="61" fillId="47" borderId="321" xfId="275" applyFont="1" applyFill="1" applyBorder="1" applyProtection="1"/>
    <xf numFmtId="49" fontId="6" fillId="87" borderId="330" xfId="275" applyNumberFormat="1" applyFont="1" applyFill="1" applyBorder="1" applyAlignment="1">
      <alignment horizontal="right" indent="1"/>
    </xf>
    <xf numFmtId="49" fontId="6" fillId="85" borderId="331" xfId="275" applyNumberFormat="1" applyFont="1" applyFill="1" applyBorder="1"/>
    <xf numFmtId="49" fontId="6" fillId="85" borderId="332" xfId="275" applyNumberFormat="1" applyFont="1" applyFill="1" applyBorder="1" applyAlignment="1" applyProtection="1">
      <alignment horizontal="right" indent="1"/>
    </xf>
    <xf numFmtId="49" fontId="6" fillId="87" borderId="333" xfId="275" applyNumberFormat="1" applyFont="1" applyFill="1" applyBorder="1"/>
    <xf numFmtId="49" fontId="6" fillId="88" borderId="334" xfId="275" applyNumberFormat="1" applyFont="1" applyFill="1" applyBorder="1" applyAlignment="1">
      <alignment horizontal="right" indent="1"/>
    </xf>
    <xf numFmtId="49" fontId="6" fillId="86" borderId="335" xfId="275" applyNumberFormat="1" applyFont="1" applyFill="1" applyBorder="1"/>
    <xf numFmtId="49" fontId="6" fillId="89" borderId="336" xfId="275" applyNumberFormat="1" applyFont="1" applyFill="1" applyBorder="1" applyAlignment="1" applyProtection="1">
      <alignment horizontal="right" indent="1"/>
    </xf>
    <xf numFmtId="49" fontId="6" fillId="90" borderId="333" xfId="275" applyNumberFormat="1" applyFont="1" applyFill="1" applyBorder="1"/>
    <xf numFmtId="0" fontId="61" fillId="47" borderId="322" xfId="275" applyFont="1" applyFill="1" applyBorder="1" applyProtection="1"/>
    <xf numFmtId="49" fontId="6" fillId="87" borderId="332" xfId="275" applyNumberFormat="1" applyFont="1" applyFill="1" applyBorder="1" applyAlignment="1">
      <alignment horizontal="right" indent="1"/>
    </xf>
    <xf numFmtId="49" fontId="6" fillId="87" borderId="332" xfId="275" applyNumberFormat="1" applyFont="1" applyFill="1" applyBorder="1"/>
    <xf numFmtId="49" fontId="6" fillId="88" borderId="337" xfId="275" applyNumberFormat="1" applyFont="1" applyFill="1" applyBorder="1" applyAlignment="1">
      <alignment horizontal="right" indent="1"/>
    </xf>
    <xf numFmtId="49" fontId="6" fillId="86" borderId="331" xfId="275" applyNumberFormat="1" applyFont="1" applyFill="1" applyBorder="1"/>
    <xf numFmtId="49" fontId="6" fillId="90" borderId="332" xfId="275" applyNumberFormat="1" applyFont="1" applyFill="1" applyBorder="1"/>
    <xf numFmtId="49" fontId="6" fillId="87" borderId="333" xfId="275" applyNumberFormat="1" applyFont="1" applyFill="1" applyBorder="1" applyAlignment="1">
      <alignment horizontal="right" indent="1"/>
    </xf>
    <xf numFmtId="49" fontId="6" fillId="88" borderId="338" xfId="275" applyNumberFormat="1" applyFont="1" applyFill="1" applyBorder="1" applyAlignment="1">
      <alignment horizontal="right" indent="1"/>
    </xf>
    <xf numFmtId="0" fontId="61" fillId="47" borderId="325" xfId="275" applyFont="1" applyFill="1" applyBorder="1" applyProtection="1"/>
    <xf numFmtId="49" fontId="6" fillId="87" borderId="91" xfId="275" applyNumberFormat="1" applyFont="1" applyFill="1" applyBorder="1" applyAlignment="1">
      <alignment horizontal="right" indent="1"/>
    </xf>
    <xf numFmtId="49" fontId="6" fillId="85" borderId="339" xfId="275" applyNumberFormat="1" applyFont="1" applyFill="1" applyBorder="1"/>
    <xf numFmtId="49" fontId="6" fillId="85" borderId="340" xfId="275" applyNumberFormat="1" applyFont="1" applyFill="1" applyBorder="1" applyAlignment="1" applyProtection="1">
      <alignment horizontal="right" indent="1"/>
    </xf>
    <xf numFmtId="49" fontId="6" fillId="87" borderId="91" xfId="275" applyNumberFormat="1" applyFont="1" applyFill="1" applyBorder="1"/>
    <xf numFmtId="49" fontId="6" fillId="88" borderId="245" xfId="275" applyNumberFormat="1" applyFont="1" applyFill="1" applyBorder="1" applyAlignment="1">
      <alignment horizontal="right" indent="1"/>
    </xf>
    <xf numFmtId="49" fontId="6" fillId="86" borderId="339" xfId="275" applyNumberFormat="1" applyFont="1" applyFill="1" applyBorder="1"/>
    <xf numFmtId="49" fontId="6" fillId="89" borderId="341" xfId="275" applyNumberFormat="1" applyFont="1" applyFill="1" applyBorder="1" applyAlignment="1" applyProtection="1">
      <alignment horizontal="right" indent="1"/>
    </xf>
    <xf numFmtId="49" fontId="6" fillId="90" borderId="91" xfId="275" applyNumberFormat="1" applyFont="1" applyFill="1" applyBorder="1"/>
    <xf numFmtId="0" fontId="144" fillId="0" borderId="0" xfId="305" applyFont="1" applyFill="1" applyBorder="1"/>
    <xf numFmtId="0" fontId="18" fillId="19" borderId="22" xfId="306" applyFont="1" applyFill="1" applyBorder="1" applyAlignment="1" applyProtection="1">
      <alignment vertical="center"/>
      <protection locked="0"/>
    </xf>
    <xf numFmtId="0" fontId="61" fillId="27" borderId="0" xfId="306" applyFont="1" applyFill="1" applyBorder="1" applyProtection="1"/>
    <xf numFmtId="0" fontId="6" fillId="0" borderId="0" xfId="306"/>
    <xf numFmtId="0" fontId="61" fillId="33" borderId="0" xfId="306" applyFont="1" applyFill="1" applyProtection="1"/>
    <xf numFmtId="0" fontId="18" fillId="19" borderId="0" xfId="306" applyFont="1" applyFill="1" applyBorder="1" applyAlignment="1" applyProtection="1">
      <alignment horizontal="left" vertical="center"/>
    </xf>
    <xf numFmtId="0" fontId="60" fillId="19" borderId="0" xfId="306" applyFont="1" applyFill="1" applyBorder="1" applyAlignment="1" applyProtection="1">
      <alignment vertical="center"/>
    </xf>
    <xf numFmtId="0" fontId="18" fillId="19" borderId="0" xfId="306" applyFont="1" applyFill="1" applyBorder="1" applyAlignment="1" applyProtection="1">
      <alignment vertical="center"/>
    </xf>
    <xf numFmtId="0" fontId="84" fillId="30" borderId="0" xfId="306" applyFont="1" applyFill="1" applyAlignment="1">
      <alignment vertical="center"/>
    </xf>
    <xf numFmtId="0" fontId="61" fillId="33" borderId="0" xfId="306" applyFont="1" applyFill="1" applyProtection="1">
      <protection locked="0"/>
    </xf>
    <xf numFmtId="0" fontId="9" fillId="14" borderId="0" xfId="306" applyFont="1" applyFill="1" applyBorder="1" applyAlignment="1" applyProtection="1">
      <alignment vertical="center"/>
    </xf>
    <xf numFmtId="0" fontId="6" fillId="14" borderId="0" xfId="306" applyFont="1" applyFill="1" applyBorder="1" applyAlignment="1" applyProtection="1">
      <alignment vertical="center"/>
    </xf>
    <xf numFmtId="0" fontId="63" fillId="33" borderId="0" xfId="306" applyFont="1" applyFill="1" applyAlignment="1" applyProtection="1">
      <alignment horizontal="left" vertical="top" wrapText="1"/>
    </xf>
    <xf numFmtId="0" fontId="6" fillId="33" borderId="0" xfId="306" applyFont="1" applyFill="1" applyAlignment="1" applyProtection="1">
      <alignment horizontal="left" vertical="top" wrapText="1"/>
    </xf>
    <xf numFmtId="0" fontId="78" fillId="27" borderId="0" xfId="306" applyFont="1" applyFill="1"/>
    <xf numFmtId="0" fontId="6" fillId="33" borderId="0" xfId="306" applyFont="1" applyFill="1" applyProtection="1"/>
    <xf numFmtId="0" fontId="40" fillId="35" borderId="19" xfId="306" applyFont="1" applyFill="1" applyBorder="1" applyAlignment="1" applyProtection="1">
      <alignment horizontal="center"/>
    </xf>
    <xf numFmtId="0" fontId="36" fillId="35" borderId="0" xfId="306" applyFont="1" applyFill="1" applyBorder="1" applyProtection="1"/>
    <xf numFmtId="0" fontId="6" fillId="35" borderId="0" xfId="306" applyFont="1" applyFill="1" applyBorder="1" applyProtection="1"/>
    <xf numFmtId="0" fontId="6" fillId="35" borderId="24" xfId="306" applyFont="1" applyFill="1" applyBorder="1" applyProtection="1"/>
    <xf numFmtId="0" fontId="158" fillId="35" borderId="19" xfId="306" applyFont="1" applyFill="1" applyBorder="1" applyAlignment="1" applyProtection="1">
      <alignment horizontal="left" indent="1"/>
    </xf>
    <xf numFmtId="0" fontId="159" fillId="35" borderId="0" xfId="306" applyFont="1" applyFill="1" applyBorder="1" applyProtection="1"/>
    <xf numFmtId="0" fontId="158" fillId="35" borderId="19" xfId="306" quotePrefix="1" applyFont="1" applyFill="1" applyBorder="1" applyAlignment="1" applyProtection="1">
      <alignment horizontal="left" indent="1"/>
    </xf>
    <xf numFmtId="0" fontId="6" fillId="35" borderId="0" xfId="306" applyFont="1" applyFill="1" applyBorder="1" applyAlignment="1" applyProtection="1">
      <alignment horizontal="left"/>
    </xf>
    <xf numFmtId="0" fontId="36" fillId="35" borderId="245" xfId="306" applyFont="1" applyFill="1" applyBorder="1" applyAlignment="1" applyProtection="1">
      <alignment horizontal="left" indent="1"/>
    </xf>
    <xf numFmtId="0" fontId="6" fillId="35" borderId="343" xfId="306" applyFont="1" applyFill="1" applyBorder="1" applyAlignment="1" applyProtection="1"/>
    <xf numFmtId="0" fontId="6" fillId="35" borderId="343" xfId="306" applyFont="1" applyFill="1" applyBorder="1" applyProtection="1"/>
    <xf numFmtId="0" fontId="6" fillId="35" borderId="202" xfId="306" applyFont="1" applyFill="1" applyBorder="1" applyProtection="1"/>
    <xf numFmtId="0" fontId="36" fillId="35" borderId="21" xfId="306" applyFont="1" applyFill="1" applyBorder="1" applyAlignment="1" applyProtection="1">
      <alignment horizontal="left" indent="1"/>
    </xf>
    <xf numFmtId="0" fontId="6" fillId="35" borderId="22" xfId="306" applyFont="1" applyFill="1" applyBorder="1" applyAlignment="1" applyProtection="1"/>
    <xf numFmtId="0" fontId="6" fillId="35" borderId="22" xfId="306" applyFont="1" applyFill="1" applyBorder="1" applyProtection="1"/>
    <xf numFmtId="0" fontId="6" fillId="35" borderId="23" xfId="306" applyFont="1" applyFill="1" applyBorder="1" applyProtection="1"/>
    <xf numFmtId="0" fontId="16" fillId="35" borderId="24" xfId="306" applyFont="1" applyFill="1" applyBorder="1" applyAlignment="1" applyProtection="1"/>
    <xf numFmtId="0" fontId="37" fillId="35" borderId="19" xfId="306" applyFont="1" applyFill="1" applyBorder="1" applyAlignment="1" applyProtection="1">
      <alignment horizontal="left" indent="1"/>
    </xf>
    <xf numFmtId="0" fontId="16" fillId="35" borderId="0" xfId="306" applyFont="1" applyFill="1" applyBorder="1" applyAlignment="1" applyProtection="1">
      <alignment horizontal="right" indent="1"/>
    </xf>
    <xf numFmtId="0" fontId="16" fillId="35" borderId="0" xfId="306" applyFont="1" applyFill="1" applyBorder="1" applyProtection="1"/>
    <xf numFmtId="0" fontId="6" fillId="29" borderId="12" xfId="306" applyFont="1" applyFill="1" applyBorder="1" applyAlignment="1" applyProtection="1">
      <alignment horizontal="left"/>
      <protection locked="0"/>
    </xf>
    <xf numFmtId="0" fontId="6" fillId="25" borderId="12" xfId="306" applyFont="1" applyFill="1" applyBorder="1" applyAlignment="1" applyProtection="1">
      <alignment horizontal="left"/>
      <protection locked="0"/>
    </xf>
    <xf numFmtId="0" fontId="6" fillId="35" borderId="24" xfId="306" applyFont="1" applyFill="1" applyBorder="1" applyAlignment="1" applyProtection="1"/>
    <xf numFmtId="0" fontId="36" fillId="35" borderId="19" xfId="306" applyFont="1" applyFill="1" applyBorder="1" applyAlignment="1" applyProtection="1">
      <alignment horizontal="left" indent="1"/>
    </xf>
    <xf numFmtId="0" fontId="36" fillId="35" borderId="295" xfId="306" applyFont="1" applyFill="1" applyBorder="1" applyAlignment="1" applyProtection="1">
      <alignment horizontal="left" indent="1"/>
    </xf>
    <xf numFmtId="0" fontId="6" fillId="35" borderId="214" xfId="306" applyFont="1" applyFill="1" applyBorder="1" applyAlignment="1" applyProtection="1"/>
    <xf numFmtId="0" fontId="6" fillId="35" borderId="214" xfId="306" applyFont="1" applyFill="1" applyBorder="1" applyProtection="1"/>
    <xf numFmtId="0" fontId="6" fillId="35" borderId="345" xfId="306" applyFont="1" applyFill="1" applyBorder="1" applyProtection="1"/>
    <xf numFmtId="0" fontId="6" fillId="35" borderId="0" xfId="306" applyFont="1" applyFill="1" applyBorder="1" applyAlignment="1" applyProtection="1"/>
    <xf numFmtId="0" fontId="158" fillId="35" borderId="19" xfId="306" applyFont="1" applyFill="1" applyBorder="1" applyAlignment="1" applyProtection="1">
      <alignment horizontal="left" vertical="top"/>
    </xf>
    <xf numFmtId="0" fontId="6" fillId="25" borderId="14" xfId="306" applyFont="1" applyFill="1" applyBorder="1" applyAlignment="1" applyProtection="1">
      <alignment horizontal="left" vertical="center"/>
      <protection locked="0"/>
    </xf>
    <xf numFmtId="0" fontId="6" fillId="25" borderId="16" xfId="306" applyFont="1" applyFill="1" applyBorder="1" applyAlignment="1" applyProtection="1">
      <alignment horizontal="left" vertical="center" wrapText="1"/>
      <protection locked="0"/>
    </xf>
    <xf numFmtId="0" fontId="6" fillId="35" borderId="0" xfId="306" applyFont="1" applyFill="1" applyBorder="1" applyAlignment="1" applyProtection="1">
      <alignment horizontal="center" vertical="top"/>
    </xf>
    <xf numFmtId="0" fontId="6" fillId="35" borderId="0" xfId="306" applyFont="1" applyFill="1" applyBorder="1" applyAlignment="1" applyProtection="1">
      <alignment vertical="top"/>
    </xf>
    <xf numFmtId="0" fontId="6" fillId="35" borderId="24" xfId="306" applyFont="1" applyFill="1" applyBorder="1" applyAlignment="1" applyProtection="1">
      <alignment vertical="top"/>
    </xf>
    <xf numFmtId="180" fontId="6" fillId="25" borderId="16" xfId="306" applyNumberFormat="1" applyFont="1" applyFill="1" applyBorder="1" applyAlignment="1" applyProtection="1">
      <alignment horizontal="left" vertical="center"/>
      <protection locked="0"/>
    </xf>
    <xf numFmtId="0" fontId="6" fillId="35" borderId="0" xfId="306" applyFont="1" applyFill="1" applyBorder="1" applyAlignment="1" applyProtection="1">
      <alignment horizontal="center"/>
    </xf>
    <xf numFmtId="180" fontId="6" fillId="25" borderId="14" xfId="306" applyNumberFormat="1" applyFont="1" applyFill="1" applyBorder="1" applyAlignment="1" applyProtection="1">
      <alignment horizontal="left" vertical="center"/>
      <protection locked="0"/>
    </xf>
    <xf numFmtId="0" fontId="6" fillId="25" borderId="14" xfId="306" applyFill="1" applyBorder="1" applyAlignment="1" applyProtection="1">
      <alignment horizontal="left" vertical="center"/>
      <protection locked="0"/>
    </xf>
    <xf numFmtId="0" fontId="16" fillId="35" borderId="19" xfId="305" applyFont="1" applyFill="1" applyBorder="1" applyProtection="1">
      <protection locked="0"/>
    </xf>
    <xf numFmtId="0" fontId="16" fillId="35" borderId="0" xfId="305" applyFont="1" applyFill="1" applyBorder="1" applyProtection="1">
      <protection locked="0"/>
    </xf>
    <xf numFmtId="0" fontId="6" fillId="35" borderId="0" xfId="305" applyFont="1" applyFill="1" applyBorder="1" applyProtection="1">
      <protection locked="0"/>
    </xf>
    <xf numFmtId="0" fontId="6" fillId="35" borderId="24" xfId="305" applyFont="1" applyFill="1" applyBorder="1" applyProtection="1">
      <protection locked="0"/>
    </xf>
    <xf numFmtId="0" fontId="158" fillId="35" borderId="19" xfId="305" applyFont="1" applyFill="1" applyBorder="1" applyAlignment="1" applyProtection="1">
      <alignment horizontal="left" indent="1"/>
      <protection locked="0"/>
    </xf>
    <xf numFmtId="0" fontId="53" fillId="25" borderId="45" xfId="305" applyNumberFormat="1" applyFont="1" applyFill="1" applyBorder="1" applyAlignment="1" applyProtection="1">
      <alignment horizontal="center" vertical="center" wrapText="1"/>
      <protection locked="0"/>
    </xf>
    <xf numFmtId="0" fontId="6" fillId="30" borderId="19" xfId="305" applyFont="1" applyFill="1" applyBorder="1" applyAlignment="1" applyProtection="1">
      <alignment horizontal="center" vertical="center"/>
    </xf>
    <xf numFmtId="0" fontId="6" fillId="30" borderId="0" xfId="305" applyFont="1" applyFill="1" applyBorder="1" applyAlignment="1" applyProtection="1">
      <alignment horizontal="center" vertical="center"/>
    </xf>
    <xf numFmtId="0" fontId="156" fillId="35" borderId="24" xfId="306" applyFont="1" applyFill="1" applyBorder="1" applyProtection="1"/>
    <xf numFmtId="0" fontId="160" fillId="0" borderId="0" xfId="306" applyFont="1"/>
    <xf numFmtId="0" fontId="36" fillId="35" borderId="245" xfId="305" applyFont="1" applyFill="1" applyBorder="1" applyAlignment="1" applyProtection="1">
      <alignment horizontal="left" indent="1"/>
      <protection locked="0"/>
    </xf>
    <xf numFmtId="0" fontId="6" fillId="35" borderId="343" xfId="305" applyFont="1" applyFill="1" applyBorder="1" applyAlignment="1" applyProtection="1">
      <protection locked="0"/>
    </xf>
    <xf numFmtId="0" fontId="6" fillId="35" borderId="343" xfId="305" applyFont="1" applyFill="1" applyBorder="1" applyProtection="1">
      <protection locked="0"/>
    </xf>
    <xf numFmtId="0" fontId="6" fillId="35" borderId="202" xfId="305" applyFont="1" applyFill="1" applyBorder="1" applyProtection="1">
      <protection locked="0"/>
    </xf>
    <xf numFmtId="0" fontId="36" fillId="35" borderId="21" xfId="305" applyFont="1" applyFill="1" applyBorder="1" applyAlignment="1" applyProtection="1">
      <alignment horizontal="left" indent="1"/>
      <protection locked="0"/>
    </xf>
    <xf numFmtId="0" fontId="6" fillId="35" borderId="22" xfId="305" applyFont="1" applyFill="1" applyBorder="1" applyAlignment="1" applyProtection="1">
      <protection locked="0"/>
    </xf>
    <xf numFmtId="0" fontId="6" fillId="35" borderId="22" xfId="305" applyFont="1" applyFill="1" applyBorder="1" applyProtection="1">
      <protection locked="0"/>
    </xf>
    <xf numFmtId="0" fontId="6" fillId="35" borderId="23" xfId="305" applyFont="1" applyFill="1" applyBorder="1" applyProtection="1">
      <protection locked="0"/>
    </xf>
    <xf numFmtId="0" fontId="6" fillId="30" borderId="0" xfId="305" quotePrefix="1" applyFont="1" applyFill="1" applyBorder="1" applyAlignment="1" applyProtection="1">
      <alignment horizontal="center" vertical="center"/>
    </xf>
    <xf numFmtId="0" fontId="156" fillId="35" borderId="24" xfId="305" applyFont="1" applyFill="1" applyBorder="1" applyAlignment="1" applyProtection="1">
      <protection locked="0"/>
    </xf>
    <xf numFmtId="0" fontId="16" fillId="35" borderId="24" xfId="305" applyFont="1" applyFill="1" applyBorder="1" applyAlignment="1" applyProtection="1">
      <protection locked="0"/>
    </xf>
    <xf numFmtId="0" fontId="16" fillId="35" borderId="245" xfId="305" applyFont="1" applyFill="1" applyBorder="1" applyAlignment="1" applyProtection="1">
      <alignment horizontal="left" indent="1"/>
      <protection locked="0"/>
    </xf>
    <xf numFmtId="0" fontId="16" fillId="35" borderId="343" xfId="305" applyFont="1" applyFill="1" applyBorder="1" applyProtection="1">
      <protection locked="0"/>
    </xf>
    <xf numFmtId="0" fontId="16" fillId="35" borderId="343" xfId="305" applyFont="1" applyFill="1" applyBorder="1" applyAlignment="1" applyProtection="1">
      <protection locked="0"/>
    </xf>
    <xf numFmtId="0" fontId="16" fillId="35" borderId="202" xfId="305" applyFont="1" applyFill="1" applyBorder="1" applyAlignment="1" applyProtection="1">
      <protection locked="0"/>
    </xf>
    <xf numFmtId="0" fontId="49" fillId="95" borderId="21" xfId="418" applyFont="1" applyFill="1" applyBorder="1" applyAlignment="1" applyProtection="1">
      <alignment horizontal="left" indent="1"/>
    </xf>
    <xf numFmtId="0" fontId="6" fillId="95" borderId="22" xfId="418" applyFont="1" applyFill="1" applyBorder="1" applyAlignment="1" applyProtection="1"/>
    <xf numFmtId="0" fontId="6" fillId="95" borderId="22" xfId="418" applyFont="1" applyFill="1" applyBorder="1" applyProtection="1"/>
    <xf numFmtId="0" fontId="6" fillId="95" borderId="23" xfId="418" applyFont="1" applyFill="1" applyBorder="1" applyProtection="1"/>
    <xf numFmtId="0" fontId="158" fillId="95" borderId="19" xfId="418" applyFont="1" applyFill="1" applyBorder="1" applyAlignment="1" applyProtection="1">
      <alignment horizontal="left" indent="1"/>
    </xf>
    <xf numFmtId="0" fontId="9" fillId="28" borderId="45" xfId="533" applyFont="1" applyFill="1" applyBorder="1" applyAlignment="1" applyProtection="1">
      <alignment horizontal="center" vertical="center"/>
      <protection locked="0"/>
    </xf>
    <xf numFmtId="0" fontId="156" fillId="95" borderId="0" xfId="418" applyFont="1" applyFill="1" applyBorder="1" applyAlignment="1" applyProtection="1">
      <alignment horizontal="right"/>
    </xf>
    <xf numFmtId="0" fontId="161" fillId="95" borderId="0" xfId="418" applyFont="1" applyFill="1" applyBorder="1" applyAlignment="1" applyProtection="1">
      <alignment horizontal="center"/>
    </xf>
    <xf numFmtId="0" fontId="6" fillId="95" borderId="0" xfId="418" applyFont="1" applyFill="1" applyBorder="1" applyProtection="1"/>
    <xf numFmtId="0" fontId="6" fillId="95" borderId="24" xfId="418" applyFont="1" applyFill="1" applyBorder="1" applyProtection="1"/>
    <xf numFmtId="0" fontId="162" fillId="95" borderId="19" xfId="418" applyFont="1" applyFill="1" applyBorder="1" applyAlignment="1" applyProtection="1">
      <alignment horizontal="left" indent="1"/>
    </xf>
    <xf numFmtId="0" fontId="57" fillId="95" borderId="0" xfId="418" applyFont="1" applyFill="1" applyBorder="1" applyProtection="1"/>
    <xf numFmtId="0" fontId="49" fillId="95" borderId="245" xfId="418" applyFont="1" applyFill="1" applyBorder="1" applyAlignment="1" applyProtection="1">
      <alignment horizontal="left" indent="1"/>
    </xf>
    <xf numFmtId="0" fontId="6" fillId="95" borderId="343" xfId="418" applyFont="1" applyFill="1" applyBorder="1" applyAlignment="1" applyProtection="1"/>
    <xf numFmtId="0" fontId="6" fillId="95" borderId="343" xfId="418" applyFont="1" applyFill="1" applyBorder="1" applyProtection="1"/>
    <xf numFmtId="0" fontId="6" fillId="95" borderId="202" xfId="418" applyFont="1" applyFill="1" applyBorder="1" applyProtection="1"/>
    <xf numFmtId="0" fontId="6" fillId="0" borderId="0" xfId="306" applyAlignment="1">
      <alignment horizontal="left"/>
    </xf>
    <xf numFmtId="0" fontId="161" fillId="0" borderId="0" xfId="418" applyFont="1" applyFill="1" applyBorder="1" applyAlignment="1" applyProtection="1">
      <alignment horizontal="left"/>
    </xf>
    <xf numFmtId="0" fontId="6" fillId="0" borderId="0" xfId="306" applyFill="1"/>
    <xf numFmtId="0" fontId="61" fillId="33" borderId="343" xfId="306" applyFont="1" applyFill="1" applyBorder="1" applyProtection="1"/>
    <xf numFmtId="0" fontId="6" fillId="36" borderId="49" xfId="306" applyFont="1" applyFill="1" applyBorder="1" applyAlignment="1" applyProtection="1"/>
    <xf numFmtId="0" fontId="163" fillId="36" borderId="175" xfId="306" applyFont="1" applyFill="1" applyBorder="1" applyAlignment="1" applyProtection="1">
      <alignment vertical="top"/>
    </xf>
    <xf numFmtId="0" fontId="61" fillId="36" borderId="22" xfId="306" applyFont="1" applyFill="1" applyBorder="1" applyProtection="1"/>
    <xf numFmtId="0" fontId="61" fillId="36" borderId="23" xfId="306" applyFont="1" applyFill="1" applyBorder="1" applyProtection="1"/>
    <xf numFmtId="0" fontId="6" fillId="36" borderId="50" xfId="306" applyFont="1" applyFill="1" applyBorder="1" applyProtection="1"/>
    <xf numFmtId="0" fontId="9" fillId="25" borderId="45" xfId="306" applyFont="1" applyFill="1" applyBorder="1" applyProtection="1">
      <protection locked="0"/>
    </xf>
    <xf numFmtId="0" fontId="61" fillId="36" borderId="0" xfId="306" applyFont="1" applyFill="1" applyBorder="1" applyProtection="1"/>
    <xf numFmtId="0" fontId="61" fillId="36" borderId="24" xfId="306" applyFont="1" applyFill="1" applyBorder="1" applyProtection="1"/>
    <xf numFmtId="0" fontId="6" fillId="36" borderId="83" xfId="306" applyFont="1" applyFill="1" applyBorder="1" applyAlignment="1" applyProtection="1">
      <alignment vertical="center"/>
    </xf>
    <xf numFmtId="0" fontId="6" fillId="36" borderId="346" xfId="306" applyFont="1" applyFill="1" applyBorder="1" applyAlignment="1" applyProtection="1">
      <alignment vertical="top"/>
    </xf>
    <xf numFmtId="14" fontId="6" fillId="25" borderId="252" xfId="306" quotePrefix="1" applyNumberFormat="1" applyFont="1" applyFill="1" applyBorder="1" applyAlignment="1" applyProtection="1">
      <alignment horizontal="center" vertical="top"/>
      <protection locked="0"/>
    </xf>
    <xf numFmtId="0" fontId="164" fillId="36" borderId="0" xfId="278" applyFont="1" applyFill="1" applyBorder="1" applyProtection="1"/>
    <xf numFmtId="0" fontId="165" fillId="36" borderId="0" xfId="306" applyFont="1" applyFill="1" applyBorder="1" applyAlignment="1" applyProtection="1">
      <alignment vertical="top"/>
    </xf>
    <xf numFmtId="0" fontId="165" fillId="36" borderId="24" xfId="306" applyFont="1" applyFill="1" applyBorder="1" applyAlignment="1" applyProtection="1">
      <alignment vertical="top"/>
    </xf>
    <xf numFmtId="0" fontId="6" fillId="36" borderId="245" xfId="306" applyFont="1" applyFill="1" applyBorder="1" applyProtection="1"/>
    <xf numFmtId="0" fontId="6" fillId="25" borderId="91" xfId="306" applyFont="1" applyFill="1" applyBorder="1" applyAlignment="1" applyProtection="1">
      <alignment horizontal="center"/>
      <protection locked="0"/>
    </xf>
    <xf numFmtId="0" fontId="61" fillId="36" borderId="343" xfId="306" applyFont="1" applyFill="1" applyBorder="1" applyProtection="1"/>
    <xf numFmtId="0" fontId="61" fillId="36" borderId="202" xfId="306" applyFont="1" applyFill="1" applyBorder="1" applyProtection="1"/>
    <xf numFmtId="0" fontId="6" fillId="36" borderId="163" xfId="306" applyFont="1" applyFill="1" applyBorder="1" applyAlignment="1" applyProtection="1">
      <alignment vertical="top"/>
    </xf>
    <xf numFmtId="0" fontId="6" fillId="36" borderId="119" xfId="306" applyFont="1" applyFill="1" applyBorder="1" applyAlignment="1" applyProtection="1">
      <alignment horizontal="center" vertical="top"/>
    </xf>
    <xf numFmtId="0" fontId="166" fillId="36" borderId="119" xfId="306" quotePrefix="1" applyFont="1" applyFill="1" applyBorder="1" applyAlignment="1" applyProtection="1">
      <alignment vertical="top"/>
    </xf>
    <xf numFmtId="0" fontId="165" fillId="36" borderId="265" xfId="306" quotePrefix="1" applyFont="1" applyFill="1" applyBorder="1" applyAlignment="1" applyProtection="1">
      <alignment vertical="top"/>
    </xf>
    <xf numFmtId="0" fontId="165" fillId="36" borderId="156" xfId="306" applyFont="1" applyFill="1" applyBorder="1" applyAlignment="1" applyProtection="1">
      <alignment vertical="top"/>
    </xf>
    <xf numFmtId="0" fontId="165" fillId="36" borderId="268" xfId="306" applyFont="1" applyFill="1" applyBorder="1" applyAlignment="1" applyProtection="1">
      <alignment vertical="top"/>
    </xf>
    <xf numFmtId="0" fontId="6" fillId="0" borderId="0" xfId="306" applyAlignment="1">
      <alignment vertical="center"/>
    </xf>
    <xf numFmtId="0" fontId="61" fillId="33" borderId="0" xfId="306" applyFont="1" applyFill="1" applyAlignment="1" applyProtection="1">
      <alignment vertical="center"/>
    </xf>
    <xf numFmtId="0" fontId="6" fillId="36" borderId="109" xfId="306" applyFont="1" applyFill="1" applyBorder="1" applyAlignment="1" applyProtection="1">
      <alignment vertical="top"/>
    </xf>
    <xf numFmtId="0" fontId="6" fillId="36" borderId="43" xfId="306" applyFont="1" applyFill="1" applyBorder="1" applyAlignment="1" applyProtection="1">
      <alignment horizontal="center" vertical="top"/>
    </xf>
    <xf numFmtId="0" fontId="166" fillId="36" borderId="43" xfId="306" quotePrefix="1" applyFont="1" applyFill="1" applyBorder="1" applyAlignment="1" applyProtection="1">
      <alignment vertical="top"/>
    </xf>
    <xf numFmtId="0" fontId="165" fillId="36" borderId="269" xfId="306" quotePrefix="1" applyFont="1" applyFill="1" applyBorder="1" applyAlignment="1" applyProtection="1">
      <alignment vertical="top"/>
    </xf>
    <xf numFmtId="0" fontId="165" fillId="36" borderId="111" xfId="306" applyFont="1" applyFill="1" applyBorder="1" applyAlignment="1" applyProtection="1">
      <alignment vertical="top"/>
    </xf>
    <xf numFmtId="0" fontId="165" fillId="36" borderId="173" xfId="306" applyFont="1" applyFill="1" applyBorder="1" applyAlignment="1" applyProtection="1">
      <alignment vertical="top"/>
    </xf>
    <xf numFmtId="0" fontId="9" fillId="36" borderId="43" xfId="306" applyFont="1" applyFill="1" applyBorder="1" applyAlignment="1" applyProtection="1">
      <alignment horizontal="center" vertical="top"/>
    </xf>
    <xf numFmtId="0" fontId="9" fillId="25" borderId="43" xfId="306" applyFont="1" applyFill="1" applyBorder="1" applyAlignment="1" applyProtection="1">
      <alignment horizontal="center" vertical="top"/>
    </xf>
    <xf numFmtId="0" fontId="166" fillId="36" borderId="43" xfId="306" applyFont="1" applyFill="1" applyBorder="1" applyAlignment="1" applyProtection="1">
      <alignment vertical="top"/>
    </xf>
    <xf numFmtId="0" fontId="165" fillId="36" borderId="269" xfId="306" applyFont="1" applyFill="1" applyBorder="1" applyAlignment="1" applyProtection="1">
      <alignment vertical="top"/>
    </xf>
    <xf numFmtId="0" fontId="87" fillId="36" borderId="109" xfId="306" applyFont="1" applyFill="1" applyBorder="1" applyAlignment="1" applyProtection="1">
      <alignment vertical="top"/>
    </xf>
    <xf numFmtId="0" fontId="87" fillId="36" borderId="43" xfId="306" applyFont="1" applyFill="1" applyBorder="1" applyAlignment="1" applyProtection="1">
      <alignment horizontal="center" vertical="top"/>
    </xf>
    <xf numFmtId="0" fontId="87" fillId="36" borderId="43" xfId="306" applyFont="1" applyFill="1" applyBorder="1" applyAlignment="1" applyProtection="1">
      <alignment vertical="top"/>
    </xf>
    <xf numFmtId="0" fontId="87" fillId="36" borderId="269" xfId="306" applyFont="1" applyFill="1" applyBorder="1" applyAlignment="1" applyProtection="1">
      <alignment vertical="top"/>
    </xf>
    <xf numFmtId="0" fontId="87" fillId="36" borderId="111" xfId="306" applyFont="1" applyFill="1" applyBorder="1" applyAlignment="1" applyProtection="1">
      <alignment vertical="top"/>
    </xf>
    <xf numFmtId="0" fontId="87" fillId="36" borderId="173" xfId="306" applyFont="1" applyFill="1" applyBorder="1" applyAlignment="1" applyProtection="1">
      <alignment vertical="top"/>
    </xf>
    <xf numFmtId="0" fontId="6" fillId="36" borderId="43" xfId="306" quotePrefix="1" applyFont="1" applyFill="1" applyBorder="1" applyAlignment="1" applyProtection="1">
      <alignment horizontal="center" vertical="top"/>
    </xf>
    <xf numFmtId="0" fontId="6" fillId="36" borderId="110" xfId="306" applyFont="1" applyFill="1" applyBorder="1" applyAlignment="1" applyProtection="1">
      <alignment vertical="top"/>
    </xf>
    <xf numFmtId="0" fontId="6" fillId="36" borderId="104" xfId="306" applyFont="1" applyFill="1" applyBorder="1" applyAlignment="1" applyProtection="1">
      <alignment horizontal="center" vertical="top"/>
    </xf>
    <xf numFmtId="0" fontId="166" fillId="36" borderId="104" xfId="306" quotePrefix="1" applyFont="1" applyFill="1" applyBorder="1" applyAlignment="1" applyProtection="1">
      <alignment vertical="top"/>
    </xf>
    <xf numFmtId="0" fontId="165" fillId="36" borderId="344" xfId="306" quotePrefix="1" applyFont="1" applyFill="1" applyBorder="1" applyAlignment="1" applyProtection="1">
      <alignment vertical="top"/>
    </xf>
    <xf numFmtId="0" fontId="165" fillId="36" borderId="172" xfId="306" applyFont="1" applyFill="1" applyBorder="1" applyAlignment="1" applyProtection="1">
      <alignment vertical="top"/>
    </xf>
    <xf numFmtId="0" fontId="165" fillId="36" borderId="174" xfId="306" applyFont="1" applyFill="1" applyBorder="1" applyAlignment="1" applyProtection="1">
      <alignment vertical="top"/>
    </xf>
    <xf numFmtId="0" fontId="6" fillId="36" borderId="311" xfId="306" applyFont="1" applyFill="1" applyBorder="1" applyAlignment="1" applyProtection="1">
      <alignment horizontal="left" vertical="top" indent="2"/>
    </xf>
    <xf numFmtId="0" fontId="6" fillId="47" borderId="22" xfId="306" applyFont="1" applyFill="1" applyBorder="1" applyAlignment="1">
      <alignment horizontal="center"/>
    </xf>
    <xf numFmtId="0" fontId="6" fillId="36" borderId="347" xfId="306" applyFont="1" applyFill="1" applyBorder="1" applyAlignment="1" applyProtection="1">
      <alignment horizontal="left" vertical="top" indent="2"/>
    </xf>
    <xf numFmtId="0" fontId="6" fillId="47" borderId="214" xfId="306" applyFont="1" applyFill="1" applyBorder="1" applyAlignment="1">
      <alignment horizontal="center"/>
    </xf>
    <xf numFmtId="0" fontId="166" fillId="36" borderId="348" xfId="306" quotePrefix="1" applyFont="1" applyFill="1" applyBorder="1" applyAlignment="1" applyProtection="1">
      <alignment vertical="top"/>
    </xf>
    <xf numFmtId="0" fontId="165" fillId="36" borderId="349" xfId="306" quotePrefix="1" applyFont="1" applyFill="1" applyBorder="1" applyAlignment="1" applyProtection="1">
      <alignment vertical="top"/>
    </xf>
    <xf numFmtId="0" fontId="165" fillId="36" borderId="214" xfId="306" applyFont="1" applyFill="1" applyBorder="1" applyAlignment="1" applyProtection="1">
      <alignment vertical="top"/>
    </xf>
    <xf numFmtId="0" fontId="165" fillId="36" borderId="345" xfId="306" applyFont="1" applyFill="1" applyBorder="1" applyAlignment="1" applyProtection="1">
      <alignment vertical="top"/>
    </xf>
    <xf numFmtId="0" fontId="6" fillId="36" borderId="350" xfId="306" applyFont="1" applyFill="1" applyBorder="1" applyAlignment="1" applyProtection="1">
      <alignment horizontal="left" vertical="top" indent="2"/>
    </xf>
    <xf numFmtId="0" fontId="6" fillId="47" borderId="0" xfId="306" applyFont="1" applyFill="1" applyBorder="1" applyAlignment="1">
      <alignment horizontal="center"/>
    </xf>
    <xf numFmtId="0" fontId="166" fillId="36" borderId="117" xfId="306" quotePrefix="1" applyFont="1" applyFill="1" applyBorder="1" applyAlignment="1" applyProtection="1">
      <alignment vertical="top"/>
    </xf>
    <xf numFmtId="0" fontId="165" fillId="36" borderId="266" xfId="306" quotePrefix="1" applyFont="1" applyFill="1" applyBorder="1" applyAlignment="1" applyProtection="1">
      <alignment vertical="top"/>
    </xf>
    <xf numFmtId="0" fontId="165" fillId="36" borderId="113" xfId="306" applyFont="1" applyFill="1" applyBorder="1" applyAlignment="1" applyProtection="1">
      <alignment vertical="top"/>
    </xf>
    <xf numFmtId="0" fontId="165" fillId="36" borderId="169" xfId="306" applyFont="1" applyFill="1" applyBorder="1" applyAlignment="1" applyProtection="1">
      <alignment vertical="top"/>
    </xf>
    <xf numFmtId="0" fontId="6" fillId="36" borderId="124" xfId="306" applyFont="1" applyFill="1" applyBorder="1" applyAlignment="1" applyProtection="1">
      <alignment horizontal="left" vertical="top" indent="2"/>
    </xf>
    <xf numFmtId="0" fontId="61" fillId="36" borderId="19" xfId="306" applyFont="1" applyFill="1" applyBorder="1" applyAlignment="1" applyProtection="1">
      <alignment horizontal="left" indent="2"/>
    </xf>
    <xf numFmtId="0" fontId="48" fillId="36" borderId="0" xfId="306" applyFont="1" applyFill="1" applyBorder="1" applyAlignment="1" applyProtection="1">
      <alignment horizontal="center"/>
    </xf>
    <xf numFmtId="0" fontId="53" fillId="36" borderId="19" xfId="306" applyFont="1" applyFill="1" applyBorder="1" applyAlignment="1" applyProtection="1">
      <alignment horizontal="left"/>
    </xf>
    <xf numFmtId="0" fontId="53" fillId="36" borderId="0" xfId="306" applyFont="1" applyFill="1" applyBorder="1" applyAlignment="1" applyProtection="1">
      <alignment horizontal="center"/>
    </xf>
    <xf numFmtId="0" fontId="142" fillId="36" borderId="24" xfId="306" applyFont="1" applyFill="1" applyBorder="1" applyAlignment="1" applyProtection="1">
      <alignment horizontal="right"/>
    </xf>
    <xf numFmtId="0" fontId="6" fillId="36" borderId="109" xfId="306" applyFont="1" applyFill="1" applyBorder="1" applyAlignment="1" applyProtection="1">
      <alignment horizontal="left" vertical="top" indent="2"/>
    </xf>
    <xf numFmtId="0" fontId="166" fillId="36" borderId="43" xfId="306" quotePrefix="1" applyFont="1" applyFill="1" applyBorder="1" applyAlignment="1" applyProtection="1">
      <alignment horizontal="left" vertical="top"/>
    </xf>
    <xf numFmtId="0" fontId="165" fillId="36" borderId="269" xfId="306" quotePrefix="1" applyFont="1" applyFill="1" applyBorder="1" applyAlignment="1" applyProtection="1">
      <alignment horizontal="left" vertical="top"/>
    </xf>
    <xf numFmtId="0" fontId="6" fillId="0" borderId="0" xfId="306" applyAlignment="1">
      <alignment vertical="top"/>
    </xf>
    <xf numFmtId="0" fontId="6" fillId="0" borderId="0" xfId="306" applyAlignment="1">
      <alignment horizontal="left" vertical="top"/>
    </xf>
    <xf numFmtId="0" fontId="61" fillId="33" borderId="0" xfId="306" applyFont="1" applyFill="1" applyAlignment="1" applyProtection="1">
      <alignment vertical="top"/>
    </xf>
    <xf numFmtId="0" fontId="6" fillId="36" borderId="271" xfId="306" applyFont="1" applyFill="1" applyBorder="1" applyAlignment="1" applyProtection="1">
      <alignment horizontal="left" vertical="top" indent="2"/>
    </xf>
    <xf numFmtId="0" fontId="166" fillId="36" borderId="272" xfId="306" quotePrefix="1" applyFont="1" applyFill="1" applyBorder="1" applyAlignment="1" applyProtection="1">
      <alignment horizontal="left" vertical="top"/>
    </xf>
    <xf numFmtId="0" fontId="165" fillId="36" borderId="351" xfId="306" applyFont="1" applyFill="1" applyBorder="1" applyAlignment="1" applyProtection="1">
      <alignment vertical="top"/>
    </xf>
    <xf numFmtId="0" fontId="9" fillId="36" borderId="110" xfId="306" applyFont="1" applyFill="1" applyBorder="1" applyAlignment="1" applyProtection="1">
      <alignment vertical="top"/>
    </xf>
    <xf numFmtId="0" fontId="53" fillId="36" borderId="343" xfId="306" applyFont="1" applyFill="1" applyBorder="1" applyAlignment="1" applyProtection="1">
      <alignment horizontal="center"/>
    </xf>
    <xf numFmtId="0" fontId="166" fillId="36" borderId="104" xfId="306" quotePrefix="1" applyFont="1" applyFill="1" applyBorder="1" applyAlignment="1" applyProtection="1">
      <alignment horizontal="left" vertical="top"/>
    </xf>
    <xf numFmtId="0" fontId="165" fillId="36" borderId="344" xfId="306" quotePrefix="1" applyFont="1" applyFill="1" applyBorder="1" applyAlignment="1" applyProtection="1">
      <alignment horizontal="left" vertical="top"/>
    </xf>
    <xf numFmtId="0" fontId="142" fillId="36" borderId="202" xfId="306" applyFont="1" applyFill="1" applyBorder="1" applyAlignment="1" applyProtection="1">
      <alignment horizontal="right"/>
    </xf>
    <xf numFmtId="0" fontId="6" fillId="36" borderId="124" xfId="306" applyFont="1" applyFill="1" applyBorder="1" applyAlignment="1" applyProtection="1">
      <alignment vertical="top"/>
    </xf>
    <xf numFmtId="0" fontId="6" fillId="36" borderId="117" xfId="306" applyFont="1" applyFill="1" applyBorder="1" applyAlignment="1" applyProtection="1">
      <alignment horizontal="center" vertical="top"/>
    </xf>
    <xf numFmtId="0" fontId="61" fillId="36" borderId="266" xfId="306" applyFont="1" applyFill="1" applyBorder="1" applyAlignment="1" applyProtection="1">
      <alignment vertical="top"/>
    </xf>
    <xf numFmtId="0" fontId="61" fillId="36" borderId="113" xfId="306" applyFont="1" applyFill="1" applyBorder="1" applyAlignment="1" applyProtection="1">
      <alignment vertical="top"/>
    </xf>
    <xf numFmtId="0" fontId="61" fillId="36" borderId="169" xfId="306" applyFont="1" applyFill="1" applyBorder="1" applyAlignment="1" applyProtection="1">
      <alignment vertical="top"/>
    </xf>
    <xf numFmtId="0" fontId="6" fillId="36" borderId="271" xfId="306" applyFont="1" applyFill="1" applyBorder="1" applyAlignment="1" applyProtection="1">
      <alignment vertical="top"/>
    </xf>
    <xf numFmtId="0" fontId="6" fillId="36" borderId="104" xfId="306" applyFont="1" applyFill="1" applyBorder="1" applyAlignment="1" applyProtection="1">
      <alignment horizontal="left" vertical="top"/>
    </xf>
    <xf numFmtId="0" fontId="53" fillId="36" borderId="272" xfId="306" applyFont="1" applyFill="1" applyBorder="1" applyAlignment="1" applyProtection="1">
      <alignment vertical="top"/>
    </xf>
    <xf numFmtId="0" fontId="61" fillId="36" borderId="273" xfId="306" applyFont="1" applyFill="1" applyBorder="1" applyAlignment="1" applyProtection="1">
      <alignment vertical="top"/>
    </xf>
    <xf numFmtId="0" fontId="61" fillId="36" borderId="351" xfId="306" applyFont="1" applyFill="1" applyBorder="1" applyAlignment="1" applyProtection="1">
      <alignment vertical="top"/>
    </xf>
    <xf numFmtId="0" fontId="61" fillId="36" borderId="352" xfId="306" applyFont="1" applyFill="1" applyBorder="1" applyAlignment="1" applyProtection="1">
      <alignment vertical="top"/>
    </xf>
    <xf numFmtId="0" fontId="48" fillId="36" borderId="117" xfId="306" quotePrefix="1" applyFont="1" applyFill="1" applyBorder="1" applyAlignment="1" applyProtection="1">
      <alignment horizontal="center" vertical="center"/>
    </xf>
    <xf numFmtId="0" fontId="166" fillId="36" borderId="119" xfId="306" quotePrefix="1" applyFont="1" applyFill="1" applyBorder="1" applyAlignment="1" applyProtection="1">
      <alignment horizontal="left" vertical="top"/>
    </xf>
    <xf numFmtId="0" fontId="48" fillId="36" borderId="43" xfId="306" quotePrefix="1" applyFont="1" applyFill="1" applyBorder="1" applyAlignment="1" applyProtection="1">
      <alignment horizontal="center" vertical="center"/>
    </xf>
    <xf numFmtId="0" fontId="167" fillId="36" borderId="269" xfId="306" quotePrefix="1" applyFont="1" applyFill="1" applyBorder="1" applyAlignment="1" applyProtection="1">
      <alignment vertical="top"/>
    </xf>
    <xf numFmtId="0" fontId="167" fillId="36" borderId="111" xfId="306" applyFont="1" applyFill="1" applyBorder="1" applyAlignment="1" applyProtection="1">
      <alignment vertical="top"/>
    </xf>
    <xf numFmtId="0" fontId="167" fillId="36" borderId="173" xfId="306" applyFont="1" applyFill="1" applyBorder="1" applyAlignment="1" applyProtection="1">
      <alignment vertical="top"/>
    </xf>
    <xf numFmtId="0" fontId="48" fillId="36" borderId="104" xfId="306" quotePrefix="1" applyFont="1" applyFill="1" applyBorder="1" applyAlignment="1" applyProtection="1">
      <alignment horizontal="center" vertical="center"/>
    </xf>
    <xf numFmtId="0" fontId="167" fillId="36" borderId="344" xfId="306" quotePrefix="1" applyFont="1" applyFill="1" applyBorder="1" applyAlignment="1" applyProtection="1">
      <alignment vertical="top"/>
    </xf>
    <xf numFmtId="0" fontId="167" fillId="36" borderId="172" xfId="306" applyFont="1" applyFill="1" applyBorder="1" applyAlignment="1" applyProtection="1">
      <alignment vertical="top"/>
    </xf>
    <xf numFmtId="0" fontId="167" fillId="36" borderId="174" xfId="306" applyFont="1" applyFill="1" applyBorder="1" applyAlignment="1" applyProtection="1">
      <alignment vertical="top"/>
    </xf>
    <xf numFmtId="0" fontId="169" fillId="72" borderId="0" xfId="275" applyFont="1" applyFill="1" applyProtection="1"/>
    <xf numFmtId="0" fontId="169" fillId="72" borderId="0" xfId="275" applyFont="1" applyFill="1" applyAlignment="1" applyProtection="1">
      <alignment horizontal="center"/>
    </xf>
    <xf numFmtId="0" fontId="170" fillId="72" borderId="0" xfId="275" quotePrefix="1" applyFont="1" applyFill="1"/>
    <xf numFmtId="0" fontId="61" fillId="72" borderId="0" xfId="306" applyFont="1" applyFill="1" applyProtection="1"/>
    <xf numFmtId="0" fontId="6" fillId="33" borderId="211" xfId="0" applyFont="1" applyFill="1" applyBorder="1" applyAlignment="1">
      <alignment horizontal="left" vertical="center" wrapText="1" indent="1"/>
    </xf>
    <xf numFmtId="0" fontId="6" fillId="33" borderId="36" xfId="0" applyFont="1" applyFill="1" applyBorder="1" applyAlignment="1" applyProtection="1">
      <alignment horizontal="right" vertical="center" wrapText="1"/>
      <protection locked="0"/>
    </xf>
    <xf numFmtId="0" fontId="9" fillId="31" borderId="91" xfId="0" applyFont="1" applyFill="1" applyBorder="1" applyAlignment="1">
      <alignment horizontal="left" vertical="center" wrapText="1"/>
    </xf>
    <xf numFmtId="0" fontId="9" fillId="31" borderId="50" xfId="0" applyFont="1" applyFill="1" applyBorder="1" applyAlignment="1">
      <alignment horizontal="left" vertical="center" wrapText="1" indent="1"/>
    </xf>
    <xf numFmtId="0" fontId="6" fillId="31" borderId="55" xfId="0" applyFont="1" applyFill="1" applyBorder="1" applyAlignment="1" applyProtection="1">
      <alignment horizontal="right" vertical="center" wrapText="1"/>
      <protection locked="0"/>
    </xf>
    <xf numFmtId="0" fontId="6" fillId="31" borderId="56" xfId="0" applyFont="1" applyFill="1" applyBorder="1" applyAlignment="1" applyProtection="1">
      <alignment horizontal="right" vertical="center" wrapText="1"/>
      <protection locked="0"/>
    </xf>
    <xf numFmtId="0" fontId="6" fillId="31" borderId="59" xfId="0" applyFont="1" applyFill="1" applyBorder="1" applyAlignment="1" applyProtection="1">
      <alignment horizontal="right" vertical="center" wrapText="1"/>
      <protection locked="0"/>
    </xf>
    <xf numFmtId="0" fontId="48" fillId="31" borderId="50" xfId="0" applyFont="1" applyFill="1" applyBorder="1" applyAlignment="1">
      <alignment horizontal="left" vertical="center" wrapText="1" indent="3"/>
    </xf>
    <xf numFmtId="0" fontId="6" fillId="31" borderId="60" xfId="0" applyFont="1" applyFill="1" applyBorder="1" applyAlignment="1" applyProtection="1">
      <alignment horizontal="right" vertical="center" wrapText="1"/>
      <protection locked="0"/>
    </xf>
    <xf numFmtId="0" fontId="48" fillId="31" borderId="70" xfId="0" applyFont="1" applyFill="1" applyBorder="1" applyAlignment="1">
      <alignment horizontal="left" vertical="center" wrapText="1" indent="3"/>
    </xf>
    <xf numFmtId="0" fontId="9" fillId="29" borderId="126" xfId="0" applyFont="1" applyFill="1" applyBorder="1" applyAlignment="1">
      <alignment horizontal="left" vertical="center" wrapText="1" indent="1"/>
    </xf>
    <xf numFmtId="0" fontId="14" fillId="29" borderId="130" xfId="0" applyFont="1" applyFill="1" applyBorder="1" applyAlignment="1">
      <alignment vertical="center"/>
    </xf>
    <xf numFmtId="0" fontId="14" fillId="29" borderId="131" xfId="0" applyFont="1" applyFill="1" applyBorder="1" applyAlignment="1">
      <alignment vertical="center"/>
    </xf>
    <xf numFmtId="43" fontId="6" fillId="31" borderId="50" xfId="0" applyNumberFormat="1" applyFont="1" applyFill="1" applyBorder="1" applyAlignment="1">
      <alignment horizontal="left" vertical="center" wrapText="1"/>
    </xf>
    <xf numFmtId="168" fontId="9" fillId="31" borderId="51" xfId="0" applyNumberFormat="1" applyFont="1" applyFill="1" applyBorder="1" applyAlignment="1">
      <alignment horizontal="right" vertical="center" wrapText="1"/>
    </xf>
    <xf numFmtId="168" fontId="9" fillId="31" borderId="52" xfId="0" applyNumberFormat="1" applyFont="1" applyFill="1" applyBorder="1" applyAlignment="1">
      <alignment horizontal="right" vertical="center" wrapText="1"/>
    </xf>
    <xf numFmtId="168" fontId="9" fillId="31" borderId="53" xfId="0" applyNumberFormat="1" applyFont="1" applyFill="1" applyBorder="1" applyAlignment="1">
      <alignment horizontal="right" vertical="center" wrapText="1"/>
    </xf>
    <xf numFmtId="0" fontId="6" fillId="18" borderId="96" xfId="0" applyFont="1" applyFill="1" applyBorder="1" applyAlignment="1" applyProtection="1">
      <alignment horizontal="right" vertical="center" wrapText="1"/>
      <protection locked="0"/>
    </xf>
    <xf numFmtId="43" fontId="9" fillId="31" borderId="78" xfId="0" applyNumberFormat="1" applyFont="1" applyFill="1" applyBorder="1" applyAlignment="1">
      <alignment horizontal="right" vertical="center" wrapText="1"/>
    </xf>
    <xf numFmtId="43" fontId="9" fillId="31" borderId="79" xfId="0" applyNumberFormat="1" applyFont="1" applyFill="1" applyBorder="1" applyAlignment="1">
      <alignment horizontal="right" vertical="center" wrapText="1"/>
    </xf>
    <xf numFmtId="43" fontId="9" fillId="31" borderId="80" xfId="0" applyNumberFormat="1" applyFont="1" applyFill="1" applyBorder="1" applyAlignment="1">
      <alignment horizontal="right" vertical="center" wrapText="1"/>
    </xf>
    <xf numFmtId="43" fontId="6" fillId="31" borderId="83" xfId="0" applyNumberFormat="1" applyFont="1" applyFill="1" applyBorder="1" applyAlignment="1">
      <alignment horizontal="left" vertical="center" wrapText="1" indent="1"/>
    </xf>
    <xf numFmtId="168" fontId="9" fillId="31" borderId="54" xfId="0" applyNumberFormat="1" applyFont="1" applyFill="1" applyBorder="1" applyAlignment="1">
      <alignment horizontal="right" vertical="center" wrapText="1"/>
    </xf>
    <xf numFmtId="0" fontId="0" fillId="0" borderId="0" xfId="0" applyAlignment="1">
      <alignment wrapText="1"/>
    </xf>
    <xf numFmtId="0" fontId="6" fillId="31" borderId="22" xfId="144" applyFill="1" applyBorder="1"/>
    <xf numFmtId="0" fontId="6" fillId="31" borderId="23" xfId="144" applyFill="1" applyBorder="1"/>
    <xf numFmtId="0" fontId="6" fillId="0" borderId="50" xfId="144" applyFont="1" applyBorder="1" applyAlignment="1" applyProtection="1">
      <alignment horizontal="left" vertical="center" wrapText="1" indent="3"/>
    </xf>
    <xf numFmtId="0" fontId="171" fillId="0" borderId="0" xfId="0" applyFont="1"/>
    <xf numFmtId="0" fontId="172" fillId="0" borderId="0" xfId="0" applyFont="1"/>
    <xf numFmtId="0" fontId="12" fillId="0" borderId="0" xfId="38" quotePrefix="1" applyAlignment="1" applyProtection="1"/>
    <xf numFmtId="0" fontId="6" fillId="33" borderId="44" xfId="0" applyFont="1" applyFill="1" applyBorder="1" applyAlignment="1">
      <alignment horizontal="left" vertical="center" wrapText="1"/>
    </xf>
    <xf numFmtId="0" fontId="14" fillId="30" borderId="36" xfId="0" applyFont="1" applyFill="1" applyBorder="1" applyAlignment="1">
      <alignment vertical="center"/>
    </xf>
    <xf numFmtId="0" fontId="6" fillId="33" borderId="142" xfId="0" applyFont="1" applyFill="1" applyBorder="1" applyAlignment="1">
      <alignment horizontal="left" vertical="center" wrapText="1"/>
    </xf>
    <xf numFmtId="168" fontId="6" fillId="31" borderId="66" xfId="30" applyNumberFormat="1" applyFont="1" applyFill="1" applyBorder="1" applyAlignment="1" applyProtection="1">
      <alignment horizontal="right" vertical="center" wrapText="1"/>
      <protection locked="0"/>
    </xf>
    <xf numFmtId="168" fontId="6" fillId="31" borderId="65" xfId="30" applyNumberFormat="1" applyFont="1" applyFill="1" applyBorder="1" applyAlignment="1" applyProtection="1">
      <alignment horizontal="right" vertical="center" wrapText="1"/>
      <protection locked="0"/>
    </xf>
    <xf numFmtId="0" fontId="6" fillId="33" borderId="46" xfId="0" applyFont="1" applyFill="1" applyBorder="1" applyAlignment="1">
      <alignment horizontal="left" vertical="center" wrapText="1"/>
    </xf>
    <xf numFmtId="0" fontId="6" fillId="33" borderId="55" xfId="0" applyFont="1" applyFill="1" applyBorder="1" applyAlignment="1">
      <alignment horizontal="left" vertical="center" wrapText="1"/>
    </xf>
    <xf numFmtId="0" fontId="10" fillId="18" borderId="57" xfId="0" applyFont="1" applyFill="1" applyBorder="1" applyAlignment="1" applyProtection="1">
      <alignment horizontal="right" vertical="center"/>
      <protection locked="0"/>
    </xf>
    <xf numFmtId="0" fontId="6" fillId="33" borderId="78" xfId="0" applyFont="1" applyFill="1" applyBorder="1" applyAlignment="1">
      <alignment horizontal="left" vertical="center" wrapText="1"/>
    </xf>
    <xf numFmtId="0" fontId="10" fillId="18" borderId="84" xfId="0" applyFont="1" applyFill="1" applyBorder="1" applyAlignment="1" applyProtection="1">
      <alignment horizontal="right" vertical="center"/>
      <protection locked="0"/>
    </xf>
    <xf numFmtId="0" fontId="18" fillId="19" borderId="0" xfId="306" applyFont="1" applyFill="1" applyBorder="1" applyAlignment="1" applyProtection="1">
      <alignment vertical="center"/>
      <protection locked="0"/>
    </xf>
    <xf numFmtId="0" fontId="84" fillId="30" borderId="0" xfId="306" applyFont="1" applyFill="1"/>
    <xf numFmtId="0" fontId="6" fillId="33" borderId="0" xfId="306" applyFill="1"/>
    <xf numFmtId="0" fontId="76" fillId="33" borderId="0" xfId="306" applyFont="1" applyFill="1" applyBorder="1" applyAlignment="1">
      <alignment vertical="center"/>
    </xf>
    <xf numFmtId="0" fontId="9" fillId="14" borderId="0" xfId="306" applyFont="1" applyFill="1" applyBorder="1" applyAlignment="1">
      <alignment vertical="center"/>
    </xf>
    <xf numFmtId="0" fontId="6" fillId="33" borderId="0" xfId="306" applyFill="1" applyAlignment="1">
      <alignment vertical="top"/>
    </xf>
    <xf numFmtId="0" fontId="6" fillId="14" borderId="0" xfId="306" applyFont="1" applyFill="1" applyBorder="1" applyAlignment="1">
      <alignment vertical="top" wrapText="1"/>
    </xf>
    <xf numFmtId="0" fontId="76" fillId="33" borderId="0" xfId="306" applyFont="1" applyFill="1" applyBorder="1" applyAlignment="1">
      <alignment vertical="top"/>
    </xf>
    <xf numFmtId="0" fontId="6" fillId="0" borderId="0" xfId="306" applyFill="1" applyAlignment="1">
      <alignment vertical="top"/>
    </xf>
    <xf numFmtId="0" fontId="6" fillId="33" borderId="0" xfId="306" applyFill="1" applyBorder="1" applyAlignment="1">
      <alignment vertical="top"/>
    </xf>
    <xf numFmtId="0" fontId="6" fillId="33" borderId="0" xfId="306" applyFill="1" applyBorder="1"/>
    <xf numFmtId="0" fontId="78" fillId="27" borderId="21" xfId="306" applyFont="1" applyFill="1" applyBorder="1" applyAlignment="1">
      <alignment vertical="center"/>
    </xf>
    <xf numFmtId="0" fontId="78" fillId="27" borderId="22" xfId="306" applyFont="1" applyFill="1" applyBorder="1" applyAlignment="1">
      <alignment vertical="center"/>
    </xf>
    <xf numFmtId="0" fontId="78" fillId="27" borderId="23" xfId="306" applyFont="1" applyFill="1" applyBorder="1" applyAlignment="1">
      <alignment vertical="center"/>
    </xf>
    <xf numFmtId="0" fontId="66" fillId="29" borderId="36" xfId="306" applyFont="1" applyFill="1" applyBorder="1" applyAlignment="1">
      <alignment vertical="center"/>
    </xf>
    <xf numFmtId="0" fontId="66" fillId="29" borderId="35" xfId="306" applyFont="1" applyFill="1" applyBorder="1" applyAlignment="1">
      <alignment vertical="center"/>
    </xf>
    <xf numFmtId="0" fontId="66" fillId="29" borderId="34" xfId="306" applyFont="1" applyFill="1" applyBorder="1" applyAlignment="1">
      <alignment vertical="center"/>
    </xf>
    <xf numFmtId="0" fontId="9" fillId="41" borderId="68" xfId="306" applyFont="1" applyFill="1" applyBorder="1" applyAlignment="1">
      <alignment horizontal="center" vertical="center" wrapText="1"/>
    </xf>
    <xf numFmtId="0" fontId="9" fillId="41" borderId="66" xfId="306" applyFont="1" applyFill="1" applyBorder="1" applyAlignment="1">
      <alignment horizontal="center" vertical="center" wrapText="1"/>
    </xf>
    <xf numFmtId="0" fontId="9" fillId="36" borderId="64" xfId="306" applyFont="1" applyFill="1" applyBorder="1" applyAlignment="1">
      <alignment horizontal="center" vertical="center" wrapText="1"/>
    </xf>
    <xf numFmtId="0" fontId="9" fillId="36" borderId="67" xfId="306" applyFont="1" applyFill="1" applyBorder="1" applyAlignment="1">
      <alignment horizontal="center" vertical="center" wrapText="1"/>
    </xf>
    <xf numFmtId="0" fontId="6" fillId="33" borderId="50" xfId="306" applyFont="1" applyFill="1" applyBorder="1" applyAlignment="1">
      <alignment horizontal="right" vertical="center" wrapText="1"/>
    </xf>
    <xf numFmtId="0" fontId="9" fillId="29" borderId="68" xfId="306" applyFont="1" applyFill="1" applyBorder="1" applyAlignment="1">
      <alignment horizontal="right" vertical="center" wrapText="1"/>
    </xf>
    <xf numFmtId="41" fontId="9" fillId="29" borderId="52" xfId="306" applyNumberFormat="1" applyFont="1" applyFill="1" applyBorder="1"/>
    <xf numFmtId="41" fontId="9" fillId="29" borderId="53" xfId="306" applyNumberFormat="1" applyFont="1" applyFill="1" applyBorder="1"/>
    <xf numFmtId="0" fontId="16" fillId="0" borderId="0" xfId="306" applyFont="1"/>
    <xf numFmtId="0" fontId="14" fillId="29" borderId="35" xfId="306" applyFont="1" applyFill="1" applyBorder="1" applyAlignment="1">
      <alignment vertical="center"/>
    </xf>
    <xf numFmtId="0" fontId="14" fillId="29" borderId="34" xfId="306" applyFont="1" applyFill="1" applyBorder="1" applyAlignment="1">
      <alignment vertical="center"/>
    </xf>
    <xf numFmtId="0" fontId="40" fillId="33" borderId="78" xfId="306" applyFont="1" applyFill="1" applyBorder="1" applyAlignment="1">
      <alignment vertical="center" wrapText="1"/>
    </xf>
    <xf numFmtId="0" fontId="15" fillId="33" borderId="87" xfId="306" applyFont="1" applyFill="1" applyBorder="1" applyAlignment="1">
      <alignment horizontal="left"/>
    </xf>
    <xf numFmtId="0" fontId="15" fillId="0" borderId="87" xfId="306" applyFont="1" applyFill="1" applyBorder="1" applyAlignment="1">
      <alignment horizontal="left"/>
    </xf>
    <xf numFmtId="43" fontId="16" fillId="33" borderId="0" xfId="306" applyNumberFormat="1" applyFont="1" applyFill="1" applyBorder="1" applyAlignment="1">
      <alignment horizontal="center"/>
    </xf>
    <xf numFmtId="0" fontId="6" fillId="33" borderId="142" xfId="306" applyFill="1" applyBorder="1"/>
    <xf numFmtId="0" fontId="15" fillId="33" borderId="47" xfId="306" applyFont="1" applyFill="1" applyBorder="1" applyAlignment="1">
      <alignment horizontal="left"/>
    </xf>
    <xf numFmtId="0" fontId="15" fillId="0" borderId="47" xfId="306" applyFont="1" applyFill="1" applyBorder="1" applyAlignment="1">
      <alignment horizontal="left"/>
    </xf>
    <xf numFmtId="0" fontId="40" fillId="33" borderId="55" xfId="306" applyFont="1" applyFill="1" applyBorder="1" applyAlignment="1">
      <alignment horizontal="left" vertical="center" wrapText="1"/>
    </xf>
    <xf numFmtId="0" fontId="40" fillId="33" borderId="133" xfId="306" applyFont="1" applyFill="1" applyBorder="1" applyAlignment="1">
      <alignment horizontal="left" vertical="center" wrapText="1"/>
    </xf>
    <xf numFmtId="0" fontId="40" fillId="0" borderId="133" xfId="306" applyFont="1" applyFill="1" applyBorder="1" applyAlignment="1">
      <alignment horizontal="left" vertical="center" wrapText="1"/>
    </xf>
    <xf numFmtId="0" fontId="66" fillId="36" borderId="207" xfId="306" applyFont="1" applyFill="1" applyBorder="1" applyAlignment="1">
      <alignment horizontal="center" vertical="center" wrapText="1"/>
    </xf>
    <xf numFmtId="0" fontId="66" fillId="36" borderId="64" xfId="306" applyFont="1" applyFill="1" applyBorder="1" applyAlignment="1">
      <alignment horizontal="center" vertical="center" wrapText="1"/>
    </xf>
    <xf numFmtId="0" fontId="66" fillId="36" borderId="67" xfId="306" applyFont="1" applyFill="1" applyBorder="1" applyAlignment="1">
      <alignment horizontal="center" vertical="center" wrapText="1"/>
    </xf>
    <xf numFmtId="0" fontId="9" fillId="29" borderId="46" xfId="306" applyFont="1" applyFill="1" applyBorder="1" applyAlignment="1">
      <alignment horizontal="left" vertical="center" wrapText="1"/>
    </xf>
    <xf numFmtId="0" fontId="9" fillId="29" borderId="86" xfId="306" applyFont="1" applyFill="1" applyBorder="1" applyAlignment="1">
      <alignment horizontal="left" vertical="center" wrapText="1"/>
    </xf>
    <xf numFmtId="0" fontId="6" fillId="29" borderId="46" xfId="306" applyFont="1" applyFill="1" applyBorder="1" applyAlignment="1">
      <alignment horizontal="right" vertical="center" wrapText="1"/>
    </xf>
    <xf numFmtId="0" fontId="6" fillId="29" borderId="60" xfId="306" applyFont="1" applyFill="1" applyBorder="1" applyAlignment="1">
      <alignment horizontal="right" vertical="center" wrapText="1"/>
    </xf>
    <xf numFmtId="0" fontId="6" fillId="29" borderId="63" xfId="306" applyFont="1" applyFill="1" applyBorder="1" applyAlignment="1">
      <alignment horizontal="right" vertical="center" wrapText="1"/>
    </xf>
    <xf numFmtId="0" fontId="48" fillId="18" borderId="46" xfId="306" applyFont="1" applyFill="1" applyBorder="1"/>
    <xf numFmtId="0" fontId="6" fillId="18" borderId="86" xfId="306" applyFont="1" applyFill="1" applyBorder="1" applyProtection="1">
      <protection locked="0"/>
    </xf>
    <xf numFmtId="0" fontId="6" fillId="29" borderId="86" xfId="306" applyFont="1" applyFill="1" applyBorder="1" applyProtection="1">
      <protection locked="0"/>
    </xf>
    <xf numFmtId="0" fontId="16" fillId="18" borderId="46" xfId="306" applyFont="1" applyFill="1" applyBorder="1"/>
    <xf numFmtId="0" fontId="16" fillId="18" borderId="60" xfId="306" applyFont="1" applyFill="1" applyBorder="1"/>
    <xf numFmtId="0" fontId="16" fillId="18" borderId="63" xfId="306" applyFont="1" applyFill="1" applyBorder="1"/>
    <xf numFmtId="0" fontId="6" fillId="29" borderId="78" xfId="306" applyFont="1" applyFill="1" applyBorder="1"/>
    <xf numFmtId="43" fontId="9" fillId="29" borderId="87" xfId="306" applyNumberFormat="1" applyFont="1" applyFill="1" applyBorder="1" applyAlignment="1">
      <alignment horizontal="right" vertical="center" wrapText="1"/>
    </xf>
    <xf numFmtId="43" fontId="9" fillId="29" borderId="207" xfId="306" applyNumberFormat="1" applyFont="1" applyFill="1" applyBorder="1" applyAlignment="1">
      <alignment horizontal="right" vertical="center" wrapText="1"/>
    </xf>
    <xf numFmtId="43" fontId="9" fillId="29" borderId="64" xfId="306" applyNumberFormat="1" applyFont="1" applyFill="1" applyBorder="1" applyAlignment="1">
      <alignment horizontal="right" vertical="center" wrapText="1"/>
    </xf>
    <xf numFmtId="43" fontId="9" fillId="29" borderId="67" xfId="306" applyNumberFormat="1" applyFont="1" applyFill="1" applyBorder="1" applyAlignment="1">
      <alignment horizontal="right" vertical="center" wrapText="1"/>
    </xf>
    <xf numFmtId="0" fontId="6" fillId="33" borderId="51" xfId="306" applyFont="1" applyFill="1" applyBorder="1" applyAlignment="1" applyProtection="1">
      <alignment horizontal="right" vertical="center" wrapText="1"/>
      <protection locked="0"/>
    </xf>
    <xf numFmtId="0" fontId="6" fillId="33" borderId="69" xfId="306" applyFont="1" applyFill="1" applyBorder="1" applyAlignment="1" applyProtection="1">
      <alignment vertical="center" wrapText="1"/>
      <protection locked="0"/>
    </xf>
    <xf numFmtId="41" fontId="9" fillId="29" borderId="54" xfId="306" applyNumberFormat="1" applyFont="1" applyFill="1" applyBorder="1"/>
    <xf numFmtId="41" fontId="9" fillId="29" borderId="36" xfId="306" applyNumberFormat="1" applyFont="1" applyFill="1" applyBorder="1"/>
    <xf numFmtId="0" fontId="48" fillId="18" borderId="50" xfId="306" applyFont="1" applyFill="1" applyBorder="1"/>
    <xf numFmtId="0" fontId="6" fillId="29" borderId="83" xfId="306" applyFont="1" applyFill="1" applyBorder="1"/>
    <xf numFmtId="0" fontId="48" fillId="29" borderId="62" xfId="306" applyFont="1" applyFill="1" applyBorder="1"/>
    <xf numFmtId="0" fontId="48" fillId="29" borderId="76" xfId="306" applyFont="1" applyFill="1" applyBorder="1"/>
    <xf numFmtId="0" fontId="48" fillId="29" borderId="116" xfId="306" applyFont="1" applyFill="1" applyBorder="1"/>
    <xf numFmtId="0" fontId="6" fillId="33" borderId="83" xfId="0" applyFont="1" applyFill="1" applyBorder="1" applyAlignment="1">
      <alignment horizontal="right" vertical="center" wrapText="1"/>
    </xf>
    <xf numFmtId="0" fontId="6" fillId="33" borderId="134" xfId="0" applyFont="1" applyFill="1" applyBorder="1" applyAlignment="1">
      <alignment horizontal="right" vertical="center" wrapText="1"/>
    </xf>
    <xf numFmtId="0" fontId="6" fillId="33" borderId="166" xfId="0" applyFont="1" applyFill="1" applyBorder="1" applyAlignment="1">
      <alignment horizontal="right" vertical="center" wrapText="1"/>
    </xf>
    <xf numFmtId="164" fontId="6" fillId="38" borderId="64" xfId="30" applyNumberFormat="1" applyFont="1" applyFill="1" applyBorder="1"/>
    <xf numFmtId="177" fontId="6" fillId="38" borderId="82" xfId="30" applyNumberFormat="1" applyFont="1" applyFill="1" applyBorder="1"/>
    <xf numFmtId="177" fontId="6" fillId="38" borderId="206" xfId="30" applyNumberFormat="1" applyFont="1" applyFill="1" applyBorder="1"/>
    <xf numFmtId="177" fontId="82" fillId="38" borderId="60" xfId="30" applyNumberFormat="1" applyFont="1" applyFill="1" applyBorder="1"/>
    <xf numFmtId="177" fontId="82" fillId="38" borderId="46" xfId="30" applyNumberFormat="1" applyFont="1" applyFill="1" applyBorder="1"/>
    <xf numFmtId="6" fontId="9" fillId="38" borderId="60" xfId="0" applyNumberFormat="1" applyFont="1" applyFill="1" applyBorder="1" applyAlignment="1" applyProtection="1">
      <alignment horizontal="right" vertical="center"/>
      <protection locked="0"/>
    </xf>
    <xf numFmtId="0" fontId="9" fillId="38" borderId="46" xfId="0" applyFont="1" applyFill="1" applyBorder="1" applyAlignment="1" applyProtection="1">
      <alignment horizontal="right" vertical="center"/>
      <protection locked="0"/>
    </xf>
    <xf numFmtId="177" fontId="6" fillId="38" borderId="60" xfId="30" applyNumberFormat="1" applyFont="1" applyFill="1" applyBorder="1"/>
    <xf numFmtId="177" fontId="6" fillId="38" borderId="46" xfId="30" applyNumberFormat="1" applyFont="1" applyFill="1" applyBorder="1"/>
    <xf numFmtId="177" fontId="82" fillId="38" borderId="64" xfId="30" applyNumberFormat="1" applyFont="1" applyFill="1" applyBorder="1"/>
    <xf numFmtId="177" fontId="82" fillId="38" borderId="207" xfId="30" applyNumberFormat="1" applyFont="1" applyFill="1" applyBorder="1"/>
    <xf numFmtId="177" fontId="6" fillId="38" borderId="90" xfId="0" applyNumberFormat="1" applyFont="1" applyFill="1" applyBorder="1"/>
    <xf numFmtId="6" fontId="9" fillId="38" borderId="46" xfId="0" applyNumberFormat="1" applyFont="1" applyFill="1" applyBorder="1" applyAlignment="1" applyProtection="1">
      <alignment horizontal="right" vertical="center"/>
      <protection locked="0"/>
    </xf>
    <xf numFmtId="177" fontId="6" fillId="38" borderId="207" xfId="30" applyNumberFormat="1" applyFont="1" applyFill="1" applyBorder="1"/>
    <xf numFmtId="0" fontId="0" fillId="29" borderId="35" xfId="0" applyFill="1" applyBorder="1"/>
    <xf numFmtId="0" fontId="16" fillId="33" borderId="49" xfId="0" applyFont="1" applyFill="1" applyBorder="1" applyAlignment="1">
      <alignment horizontal="left" vertical="center" wrapText="1"/>
    </xf>
    <xf numFmtId="0" fontId="9" fillId="41" borderId="206" xfId="0" applyFont="1" applyFill="1" applyBorder="1" applyAlignment="1">
      <alignment horizontal="center" vertical="center" wrapText="1"/>
    </xf>
    <xf numFmtId="0" fontId="9" fillId="29" borderId="90" xfId="0" applyFont="1" applyFill="1" applyBorder="1" applyAlignment="1" applyProtection="1">
      <alignment horizontal="right" vertical="center"/>
      <protection locked="0"/>
    </xf>
    <xf numFmtId="0" fontId="0" fillId="31" borderId="46" xfId="0" applyFill="1" applyBorder="1"/>
    <xf numFmtId="10" fontId="6" fillId="18" borderId="60" xfId="44" applyNumberFormat="1" applyFont="1" applyFill="1" applyBorder="1" applyAlignment="1">
      <alignment vertical="center" wrapText="1"/>
    </xf>
    <xf numFmtId="0" fontId="9" fillId="31" borderId="63" xfId="0" applyFont="1" applyFill="1" applyBorder="1" applyAlignment="1" applyProtection="1">
      <alignment horizontal="right" vertical="center"/>
      <protection locked="0"/>
    </xf>
    <xf numFmtId="0" fontId="6" fillId="33" borderId="50" xfId="0" applyFont="1" applyFill="1" applyBorder="1"/>
    <xf numFmtId="0" fontId="6" fillId="33" borderId="68" xfId="0" applyFont="1" applyFill="1" applyBorder="1" applyAlignment="1">
      <alignment horizontal="left" vertical="center" wrapText="1"/>
    </xf>
    <xf numFmtId="0" fontId="0" fillId="31" borderId="207" xfId="0" applyFill="1" applyBorder="1"/>
    <xf numFmtId="164" fontId="81" fillId="38" borderId="67" xfId="44" applyNumberFormat="1" applyFont="1" applyFill="1" applyBorder="1"/>
    <xf numFmtId="0" fontId="9" fillId="41" borderId="21" xfId="0" applyFont="1" applyFill="1" applyBorder="1" applyAlignment="1">
      <alignment vertical="center" wrapText="1"/>
    </xf>
    <xf numFmtId="0" fontId="9" fillId="41" borderId="245" xfId="0" applyFont="1" applyFill="1" applyBorder="1" applyAlignment="1">
      <alignment vertical="center" wrapText="1"/>
    </xf>
    <xf numFmtId="0" fontId="9" fillId="41" borderId="142" xfId="0" applyFont="1" applyFill="1" applyBorder="1" applyAlignment="1">
      <alignment horizontal="center" vertical="center" wrapText="1"/>
    </xf>
    <xf numFmtId="0" fontId="9" fillId="41" borderId="96" xfId="0" applyFont="1" applyFill="1" applyBorder="1" applyAlignment="1">
      <alignment horizontal="center" vertical="center" wrapText="1"/>
    </xf>
    <xf numFmtId="0" fontId="9" fillId="41" borderId="108" xfId="0" applyFont="1" applyFill="1" applyBorder="1" applyAlignment="1">
      <alignment horizontal="center" vertical="center" wrapText="1"/>
    </xf>
    <xf numFmtId="0" fontId="6" fillId="33" borderId="49" xfId="0" applyFont="1" applyFill="1" applyBorder="1" applyAlignment="1">
      <alignment vertical="center" wrapText="1"/>
    </xf>
    <xf numFmtId="177" fontId="9" fillId="38" borderId="75" xfId="30" applyNumberFormat="1" applyFont="1" applyFill="1" applyBorder="1"/>
    <xf numFmtId="0" fontId="82" fillId="33" borderId="50" xfId="0" applyFont="1" applyFill="1" applyBorder="1" applyAlignment="1">
      <alignment vertical="center" wrapText="1"/>
    </xf>
    <xf numFmtId="177" fontId="133" fillId="38" borderId="77" xfId="30" applyNumberFormat="1" applyFont="1" applyFill="1" applyBorder="1"/>
    <xf numFmtId="0" fontId="0" fillId="31" borderId="50" xfId="0" applyFill="1" applyBorder="1" applyAlignment="1">
      <alignment wrapText="1"/>
    </xf>
    <xf numFmtId="0" fontId="9" fillId="38" borderId="77" xfId="0" applyFont="1" applyFill="1" applyBorder="1" applyAlignment="1" applyProtection="1">
      <alignment horizontal="right" vertical="center"/>
      <protection locked="0"/>
    </xf>
    <xf numFmtId="0" fontId="6" fillId="33" borderId="50" xfId="0" applyFont="1" applyFill="1" applyBorder="1" applyAlignment="1">
      <alignment vertical="center" wrapText="1"/>
    </xf>
    <xf numFmtId="177" fontId="9" fillId="38" borderId="77" xfId="30" applyNumberFormat="1" applyFont="1" applyFill="1" applyBorder="1"/>
    <xf numFmtId="0" fontId="82" fillId="33" borderId="68" xfId="0" applyFont="1" applyFill="1" applyBorder="1" applyAlignment="1">
      <alignment vertical="center" wrapText="1"/>
    </xf>
    <xf numFmtId="177" fontId="133" fillId="38" borderId="147" xfId="30" applyNumberFormat="1" applyFont="1" applyFill="1" applyBorder="1"/>
    <xf numFmtId="0" fontId="61" fillId="27" borderId="0" xfId="306" applyFont="1" applyFill="1" applyBorder="1" applyAlignment="1" applyProtection="1">
      <alignment vertical="center"/>
    </xf>
    <xf numFmtId="0" fontId="8" fillId="0" borderId="0" xfId="306" applyFont="1" applyFill="1" applyBorder="1"/>
    <xf numFmtId="0" fontId="8" fillId="0" borderId="0" xfId="306" applyFont="1" applyFill="1" applyBorder="1" applyAlignment="1">
      <alignment vertical="center"/>
    </xf>
    <xf numFmtId="0" fontId="8" fillId="29" borderId="0" xfId="306" applyFont="1" applyFill="1" applyBorder="1" applyAlignment="1">
      <alignment vertical="top"/>
    </xf>
    <xf numFmtId="0" fontId="8" fillId="0" borderId="0" xfId="306" quotePrefix="1" applyFont="1" applyFill="1" applyBorder="1" applyAlignment="1">
      <alignment vertical="top"/>
    </xf>
    <xf numFmtId="0" fontId="8" fillId="0" borderId="0" xfId="306" applyFont="1" applyFill="1" applyBorder="1" applyAlignment="1">
      <alignment vertical="top"/>
    </xf>
    <xf numFmtId="0" fontId="78" fillId="27" borderId="36" xfId="306" applyFont="1" applyFill="1" applyBorder="1" applyAlignment="1">
      <alignment vertical="center"/>
    </xf>
    <xf numFmtId="0" fontId="7" fillId="0" borderId="0" xfId="306" applyFont="1" applyFill="1" applyBorder="1"/>
    <xf numFmtId="0" fontId="7" fillId="0" borderId="0" xfId="306" applyFont="1" applyFill="1" applyBorder="1" applyAlignment="1">
      <alignment vertical="center"/>
    </xf>
    <xf numFmtId="0" fontId="52" fillId="33" borderId="50" xfId="306" applyFont="1" applyFill="1" applyBorder="1" applyAlignment="1">
      <alignment horizontal="left" vertical="center" wrapText="1"/>
    </xf>
    <xf numFmtId="0" fontId="66" fillId="33" borderId="50" xfId="306" applyFont="1" applyFill="1" applyBorder="1" applyAlignment="1">
      <alignment horizontal="left" vertical="center" wrapText="1"/>
    </xf>
    <xf numFmtId="0" fontId="65" fillId="39" borderId="207" xfId="306" applyFont="1" applyFill="1" applyBorder="1" applyAlignment="1">
      <alignment horizontal="center" vertical="center" wrapText="1"/>
    </xf>
    <xf numFmtId="0" fontId="65" fillId="39" borderId="64" xfId="306" applyFont="1" applyFill="1" applyBorder="1" applyAlignment="1">
      <alignment horizontal="center" vertical="center" wrapText="1"/>
    </xf>
    <xf numFmtId="0" fontId="66" fillId="40" borderId="64" xfId="306" applyFont="1" applyFill="1" applyBorder="1" applyAlignment="1">
      <alignment horizontal="center" vertical="center" wrapText="1"/>
    </xf>
    <xf numFmtId="0" fontId="66" fillId="40" borderId="65" xfId="306" applyFont="1" applyFill="1" applyBorder="1" applyAlignment="1">
      <alignment horizontal="center" vertical="center" wrapText="1"/>
    </xf>
    <xf numFmtId="0" fontId="7" fillId="0" borderId="0" xfId="306" applyFont="1" applyFill="1" applyBorder="1" applyAlignment="1">
      <alignment wrapText="1"/>
    </xf>
    <xf numFmtId="0" fontId="7" fillId="0" borderId="0" xfId="306" applyFont="1" applyFill="1" applyBorder="1" applyAlignment="1">
      <alignment vertical="center" wrapText="1"/>
    </xf>
    <xf numFmtId="0" fontId="6" fillId="33" borderId="50" xfId="306" applyFont="1" applyFill="1" applyBorder="1" applyAlignment="1">
      <alignment horizontal="right" vertical="center" wrapText="1" indent="1"/>
    </xf>
    <xf numFmtId="0" fontId="6" fillId="0" borderId="0" xfId="306" applyBorder="1"/>
    <xf numFmtId="0" fontId="9" fillId="33" borderId="50" xfId="306" applyFont="1" applyFill="1" applyBorder="1" applyAlignment="1" applyProtection="1">
      <alignment horizontal="left" vertical="center" wrapText="1"/>
      <protection locked="0"/>
    </xf>
    <xf numFmtId="10" fontId="54" fillId="38" borderId="245" xfId="306" applyNumberFormat="1" applyFont="1" applyFill="1" applyBorder="1" applyAlignment="1" applyProtection="1">
      <alignment horizontal="center" vertical="center" wrapText="1"/>
    </xf>
    <xf numFmtId="10" fontId="54" fillId="38" borderId="343" xfId="306" applyNumberFormat="1" applyFont="1" applyFill="1" applyBorder="1" applyAlignment="1" applyProtection="1">
      <alignment horizontal="center" vertical="center" wrapText="1"/>
    </xf>
    <xf numFmtId="10" fontId="54" fillId="38" borderId="202" xfId="306" applyNumberFormat="1" applyFont="1" applyFill="1" applyBorder="1" applyAlignment="1" applyProtection="1">
      <alignment horizontal="center" vertical="center" wrapText="1"/>
    </xf>
    <xf numFmtId="0" fontId="6" fillId="33" borderId="68" xfId="306" applyFont="1" applyFill="1" applyBorder="1" applyAlignment="1" applyProtection="1">
      <alignment horizontal="left" vertical="center" wrapText="1"/>
      <protection locked="0"/>
    </xf>
    <xf numFmtId="168" fontId="9" fillId="33" borderId="19" xfId="306" applyNumberFormat="1" applyFont="1" applyFill="1" applyBorder="1" applyAlignment="1">
      <alignment horizontal="left" vertical="center" wrapText="1"/>
    </xf>
    <xf numFmtId="168" fontId="41" fillId="33" borderId="19" xfId="306" applyNumberFormat="1" applyFont="1" applyFill="1" applyBorder="1" applyAlignment="1">
      <alignment horizontal="left" vertical="center" wrapText="1"/>
    </xf>
    <xf numFmtId="0" fontId="41" fillId="33" borderId="70" xfId="306" applyFont="1" applyFill="1" applyBorder="1" applyAlignment="1">
      <alignment horizontal="left" vertical="center" wrapText="1"/>
    </xf>
    <xf numFmtId="168" fontId="9" fillId="39" borderId="207" xfId="306" applyNumberFormat="1" applyFont="1" applyFill="1" applyBorder="1" applyAlignment="1">
      <alignment horizontal="center" vertical="center" wrapText="1"/>
    </xf>
    <xf numFmtId="168" fontId="9" fillId="39" borderId="64" xfId="306" applyNumberFormat="1" applyFont="1" applyFill="1" applyBorder="1" applyAlignment="1">
      <alignment horizontal="center" vertical="center" wrapText="1"/>
    </xf>
    <xf numFmtId="168" fontId="9" fillId="40" borderId="64" xfId="306" applyNumberFormat="1" applyFont="1" applyFill="1" applyBorder="1" applyAlignment="1">
      <alignment horizontal="center" vertical="center" wrapText="1"/>
    </xf>
    <xf numFmtId="0" fontId="9" fillId="39" borderId="64" xfId="306" applyFont="1" applyFill="1" applyBorder="1" applyAlignment="1">
      <alignment horizontal="center" vertical="center" wrapText="1"/>
    </xf>
    <xf numFmtId="0" fontId="9" fillId="39" borderId="65" xfId="306" applyFont="1" applyFill="1" applyBorder="1" applyAlignment="1">
      <alignment horizontal="center" vertical="center" wrapText="1"/>
    </xf>
    <xf numFmtId="168" fontId="6" fillId="25" borderId="50" xfId="306" applyNumberFormat="1" applyFont="1" applyFill="1" applyBorder="1" applyAlignment="1">
      <alignment horizontal="left" vertical="center" wrapText="1" indent="2"/>
    </xf>
    <xf numFmtId="0" fontId="6" fillId="33" borderId="50" xfId="306" applyFont="1" applyFill="1" applyBorder="1" applyAlignment="1" applyProtection="1">
      <alignment horizontal="left" vertical="center" wrapText="1"/>
      <protection locked="0"/>
    </xf>
    <xf numFmtId="0" fontId="50" fillId="38" borderId="46" xfId="306" applyFont="1" applyFill="1" applyBorder="1" applyAlignment="1" applyProtection="1">
      <alignment horizontal="left" vertical="center" wrapText="1"/>
      <protection locked="0"/>
    </xf>
    <xf numFmtId="0" fontId="50" fillId="38" borderId="60" xfId="306" applyFont="1" applyFill="1" applyBorder="1" applyAlignment="1" applyProtection="1">
      <alignment horizontal="left" vertical="center" wrapText="1"/>
      <protection locked="0"/>
    </xf>
    <xf numFmtId="0" fontId="50" fillId="38" borderId="63" xfId="306" applyFont="1" applyFill="1" applyBorder="1" applyAlignment="1" applyProtection="1">
      <alignment horizontal="left" vertical="center" wrapText="1"/>
      <protection locked="0"/>
    </xf>
    <xf numFmtId="0" fontId="50" fillId="38" borderId="58" xfId="306" applyFont="1" applyFill="1" applyBorder="1" applyAlignment="1" applyProtection="1">
      <alignment horizontal="left" vertical="center" wrapText="1"/>
      <protection locked="0"/>
    </xf>
    <xf numFmtId="0" fontId="6" fillId="33" borderId="207" xfId="306" applyFont="1" applyFill="1" applyBorder="1" applyAlignment="1" applyProtection="1">
      <alignment horizontal="left" vertical="center" wrapText="1"/>
      <protection locked="0"/>
    </xf>
    <xf numFmtId="0" fontId="6" fillId="18" borderId="38" xfId="306" applyFont="1" applyFill="1" applyBorder="1" applyAlignment="1" applyProtection="1">
      <alignment vertical="center" wrapText="1"/>
      <protection locked="0"/>
    </xf>
    <xf numFmtId="0" fontId="6" fillId="18" borderId="40" xfId="306" applyFont="1" applyFill="1" applyBorder="1" applyAlignment="1" applyProtection="1">
      <alignment vertical="center" wrapText="1"/>
      <protection locked="0"/>
    </xf>
    <xf numFmtId="0" fontId="6" fillId="18" borderId="206" xfId="306" applyFont="1" applyFill="1" applyBorder="1" applyAlignment="1">
      <alignment vertical="center" wrapText="1"/>
    </xf>
    <xf numFmtId="1" fontId="9" fillId="38" borderId="85" xfId="306" applyNumberFormat="1" applyFont="1" applyFill="1" applyBorder="1"/>
    <xf numFmtId="1" fontId="9" fillId="38" borderId="74" xfId="306" applyNumberFormat="1" applyFont="1" applyFill="1" applyBorder="1"/>
    <xf numFmtId="0" fontId="6" fillId="33" borderId="46" xfId="306" applyFont="1" applyFill="1" applyBorder="1" applyAlignment="1">
      <alignment horizontal="left" vertical="center" wrapText="1"/>
    </xf>
    <xf numFmtId="3" fontId="11" fillId="18" borderId="60" xfId="306" applyNumberFormat="1" applyFont="1" applyFill="1" applyBorder="1"/>
    <xf numFmtId="41" fontId="6" fillId="38" borderId="60" xfId="306" applyNumberFormat="1" applyFont="1" applyFill="1" applyBorder="1"/>
    <xf numFmtId="0" fontId="6" fillId="33" borderId="46" xfId="306" applyFont="1" applyFill="1" applyBorder="1" applyAlignment="1">
      <alignment horizontal="left" vertical="center" wrapText="1" indent="2"/>
    </xf>
    <xf numFmtId="0" fontId="9" fillId="33" borderId="207" xfId="306" applyFont="1" applyFill="1" applyBorder="1" applyAlignment="1">
      <alignment horizontal="left" vertical="center" wrapText="1"/>
    </xf>
    <xf numFmtId="41" fontId="113" fillId="29" borderId="64" xfId="306" applyNumberFormat="1" applyFont="1" applyFill="1" applyBorder="1"/>
    <xf numFmtId="0" fontId="6" fillId="33" borderId="50" xfId="0" applyFont="1" applyFill="1" applyBorder="1" applyAlignment="1">
      <alignment horizontal="left" vertical="center" wrapText="1" indent="4"/>
    </xf>
    <xf numFmtId="0" fontId="6" fillId="33" borderId="49" xfId="0" applyFont="1" applyFill="1" applyBorder="1" applyAlignment="1">
      <alignment horizontal="left" vertical="center" wrapText="1" indent="2"/>
    </xf>
    <xf numFmtId="0" fontId="9" fillId="33" borderId="50" xfId="0" applyFont="1" applyFill="1" applyBorder="1" applyAlignment="1">
      <alignment horizontal="left" vertical="center" wrapText="1"/>
    </xf>
    <xf numFmtId="0" fontId="6" fillId="33" borderId="50" xfId="0" applyFont="1" applyFill="1" applyBorder="1" applyAlignment="1">
      <alignment horizontal="left" vertical="center" wrapText="1" indent="2"/>
    </xf>
    <xf numFmtId="168" fontId="48" fillId="25" borderId="49" xfId="30" applyNumberFormat="1" applyFont="1" applyFill="1" applyBorder="1" applyAlignment="1" applyProtection="1">
      <alignment horizontal="left" vertical="center" wrapText="1"/>
      <protection locked="0"/>
    </xf>
    <xf numFmtId="168" fontId="48" fillId="25" borderId="50" xfId="30" applyNumberFormat="1" applyFont="1" applyFill="1" applyBorder="1" applyAlignment="1" applyProtection="1">
      <alignment horizontal="left" vertical="center" wrapText="1"/>
      <protection locked="0"/>
    </xf>
    <xf numFmtId="168" fontId="48" fillId="25" borderId="83" xfId="30" applyNumberFormat="1" applyFont="1" applyFill="1" applyBorder="1" applyAlignment="1" applyProtection="1">
      <alignment horizontal="left" vertical="center" wrapText="1"/>
      <protection locked="0"/>
    </xf>
    <xf numFmtId="9" fontId="6" fillId="18" borderId="51" xfId="44" applyFont="1" applyFill="1" applyBorder="1"/>
    <xf numFmtId="9" fontId="6" fillId="18" borderId="52" xfId="44" applyFont="1" applyFill="1" applyBorder="1"/>
    <xf numFmtId="9" fontId="6" fillId="18" borderId="53" xfId="44" applyFont="1" applyFill="1" applyBorder="1"/>
    <xf numFmtId="168" fontId="6" fillId="29" borderId="355" xfId="30" applyNumberFormat="1" applyFont="1" applyFill="1" applyBorder="1"/>
    <xf numFmtId="168" fontId="6" fillId="29" borderId="356" xfId="30" applyNumberFormat="1" applyFont="1" applyFill="1" applyBorder="1"/>
    <xf numFmtId="168" fontId="6" fillId="29" borderId="357" xfId="30" applyNumberFormat="1" applyFont="1" applyFill="1" applyBorder="1"/>
    <xf numFmtId="168" fontId="6" fillId="18" borderId="55" xfId="30" applyNumberFormat="1" applyFont="1" applyFill="1" applyBorder="1" applyAlignment="1">
      <alignment horizontal="right"/>
    </xf>
    <xf numFmtId="168" fontId="6" fillId="18" borderId="56" xfId="30" applyNumberFormat="1" applyFont="1" applyFill="1" applyBorder="1" applyAlignment="1">
      <alignment horizontal="right"/>
    </xf>
    <xf numFmtId="9" fontId="6" fillId="18" borderId="62" xfId="44" applyFont="1" applyFill="1" applyBorder="1" applyAlignment="1">
      <alignment horizontal="right"/>
    </xf>
    <xf numFmtId="9" fontId="6" fillId="29" borderId="60" xfId="44" applyFont="1" applyFill="1" applyBorder="1" applyAlignment="1">
      <alignment horizontal="right"/>
    </xf>
    <xf numFmtId="9" fontId="6" fillId="38" borderId="60" xfId="44" applyFont="1" applyFill="1" applyBorder="1" applyAlignment="1">
      <alignment horizontal="right"/>
    </xf>
    <xf numFmtId="9" fontId="6" fillId="29" borderId="64" xfId="44" applyFont="1" applyFill="1" applyBorder="1" applyAlignment="1">
      <alignment horizontal="right"/>
    </xf>
    <xf numFmtId="9" fontId="6" fillId="18" borderId="63" xfId="44" applyFont="1" applyFill="1" applyBorder="1" applyAlignment="1">
      <alignment horizontal="right"/>
    </xf>
    <xf numFmtId="9" fontId="6" fillId="29" borderId="63" xfId="44" applyFont="1" applyFill="1" applyBorder="1" applyAlignment="1">
      <alignment horizontal="right"/>
    </xf>
    <xf numFmtId="9" fontId="6" fillId="38" borderId="63" xfId="44" applyFont="1" applyFill="1" applyBorder="1" applyAlignment="1">
      <alignment horizontal="right"/>
    </xf>
    <xf numFmtId="168" fontId="0" fillId="33" borderId="0" xfId="0" applyNumberFormat="1" applyFill="1"/>
    <xf numFmtId="43" fontId="0" fillId="33" borderId="0" xfId="30" applyFont="1" applyFill="1"/>
    <xf numFmtId="0" fontId="9" fillId="38" borderId="89" xfId="0" applyFont="1" applyFill="1" applyBorder="1" applyAlignment="1">
      <alignment horizontal="left" vertical="center" wrapText="1"/>
    </xf>
    <xf numFmtId="164" fontId="6" fillId="31" borderId="62" xfId="44" applyNumberFormat="1" applyFont="1" applyFill="1" applyBorder="1"/>
    <xf numFmtId="170" fontId="6" fillId="38" borderId="62" xfId="30" applyNumberFormat="1" applyFont="1" applyFill="1" applyBorder="1"/>
    <xf numFmtId="168" fontId="6" fillId="30" borderId="66" xfId="0" applyNumberFormat="1" applyFont="1" applyFill="1" applyBorder="1"/>
    <xf numFmtId="168" fontId="6" fillId="38" borderId="93" xfId="30" applyNumberFormat="1" applyFont="1" applyFill="1" applyBorder="1"/>
    <xf numFmtId="164" fontId="6" fillId="31" borderId="93" xfId="44" applyNumberFormat="1" applyFont="1" applyFill="1" applyBorder="1"/>
    <xf numFmtId="170" fontId="6" fillId="38" borderId="93" xfId="30" applyNumberFormat="1" applyFont="1" applyFill="1" applyBorder="1"/>
    <xf numFmtId="168" fontId="6" fillId="30" borderId="94" xfId="0" applyNumberFormat="1" applyFont="1" applyFill="1" applyBorder="1"/>
    <xf numFmtId="0" fontId="9" fillId="38" borderId="206" xfId="0" applyFont="1" applyFill="1" applyBorder="1" applyAlignment="1">
      <alignment horizontal="left" vertical="center" wrapText="1"/>
    </xf>
    <xf numFmtId="0" fontId="6" fillId="18" borderId="36" xfId="0" applyFont="1" applyFill="1" applyBorder="1" applyAlignment="1" applyProtection="1">
      <alignment vertical="center"/>
      <protection locked="0"/>
    </xf>
    <xf numFmtId="168" fontId="6" fillId="18" borderId="44" xfId="30" applyNumberFormat="1" applyFont="1" applyFill="1" applyBorder="1" applyAlignment="1" applyProtection="1">
      <alignment horizontal="right" vertical="center" wrapText="1"/>
      <protection locked="0"/>
    </xf>
    <xf numFmtId="168" fontId="6" fillId="18" borderId="82" xfId="30" applyNumberFormat="1" applyFont="1" applyFill="1" applyBorder="1" applyAlignment="1" applyProtection="1">
      <alignment horizontal="right" vertical="center" wrapText="1"/>
      <protection locked="0"/>
    </xf>
    <xf numFmtId="168" fontId="6" fillId="18" borderId="90" xfId="30" applyNumberFormat="1" applyFont="1" applyFill="1" applyBorder="1" applyAlignment="1" applyProtection="1">
      <alignment horizontal="right" vertical="center" wrapText="1"/>
      <protection locked="0"/>
    </xf>
    <xf numFmtId="168" fontId="6" fillId="18" borderId="46" xfId="30" applyNumberFormat="1" applyFont="1" applyFill="1" applyBorder="1" applyAlignment="1" applyProtection="1">
      <alignment horizontal="right" vertical="center" wrapText="1"/>
      <protection locked="0"/>
    </xf>
    <xf numFmtId="168" fontId="6" fillId="18" borderId="60" xfId="30" applyNumberFormat="1" applyFont="1" applyFill="1" applyBorder="1" applyAlignment="1" applyProtection="1">
      <alignment horizontal="right" vertical="center" wrapText="1"/>
      <protection locked="0"/>
    </xf>
    <xf numFmtId="168" fontId="6" fillId="18" borderId="63" xfId="30" applyNumberFormat="1" applyFont="1" applyFill="1" applyBorder="1" applyAlignment="1" applyProtection="1">
      <alignment horizontal="right" vertical="center" wrapText="1"/>
      <protection locked="0"/>
    </xf>
    <xf numFmtId="0" fontId="6" fillId="25" borderId="343" xfId="0" applyFont="1" applyFill="1" applyBorder="1" applyAlignment="1" applyProtection="1">
      <alignment vertical="center" wrapText="1"/>
      <protection locked="0"/>
    </xf>
    <xf numFmtId="43" fontId="6" fillId="18" borderId="60" xfId="30" applyFont="1" applyFill="1" applyBorder="1"/>
    <xf numFmtId="166" fontId="6" fillId="18" borderId="82" xfId="30" applyNumberFormat="1" applyFont="1" applyFill="1" applyBorder="1"/>
    <xf numFmtId="166" fontId="6" fillId="18" borderId="64" xfId="30" applyNumberFormat="1" applyFont="1" applyFill="1" applyBorder="1"/>
    <xf numFmtId="166" fontId="6" fillId="18" borderId="206" xfId="30" applyNumberFormat="1" applyFont="1" applyFill="1" applyBorder="1"/>
    <xf numFmtId="166" fontId="6" fillId="18" borderId="55" xfId="30" applyNumberFormat="1" applyFont="1" applyFill="1" applyBorder="1"/>
    <xf numFmtId="166" fontId="6" fillId="18" borderId="56" xfId="30" applyNumberFormat="1" applyFont="1" applyFill="1" applyBorder="1"/>
    <xf numFmtId="166" fontId="6" fillId="18" borderId="207" xfId="30" applyNumberFormat="1" applyFont="1" applyFill="1" applyBorder="1"/>
    <xf numFmtId="9" fontId="6" fillId="18" borderId="206" xfId="44" applyFont="1" applyFill="1" applyBorder="1"/>
    <xf numFmtId="9" fontId="6" fillId="18" borderId="82" xfId="44" applyFont="1" applyFill="1" applyBorder="1"/>
    <xf numFmtId="9" fontId="6" fillId="18" borderId="90" xfId="44" applyFont="1" applyFill="1" applyBorder="1"/>
    <xf numFmtId="9" fontId="6" fillId="18" borderId="44" xfId="44" applyFont="1" applyFill="1" applyBorder="1"/>
    <xf numFmtId="9" fontId="6" fillId="18" borderId="46" xfId="44" applyFont="1" applyFill="1" applyBorder="1"/>
    <xf numFmtId="9" fontId="6" fillId="18" borderId="60" xfId="44" applyFont="1" applyFill="1" applyBorder="1"/>
    <xf numFmtId="43" fontId="11" fillId="33" borderId="0" xfId="0" applyNumberFormat="1" applyFont="1" applyFill="1"/>
    <xf numFmtId="168" fontId="6" fillId="25" borderId="35" xfId="30" applyNumberFormat="1" applyFont="1" applyFill="1" applyBorder="1" applyAlignment="1" applyProtection="1">
      <alignment vertical="center" wrapText="1"/>
      <protection locked="0"/>
    </xf>
    <xf numFmtId="168" fontId="6" fillId="18" borderId="44" xfId="30" applyNumberFormat="1" applyFont="1" applyFill="1" applyBorder="1" applyAlignment="1">
      <alignment vertical="center" wrapText="1"/>
    </xf>
    <xf numFmtId="168" fontId="6" fillId="18" borderId="82" xfId="30" applyNumberFormat="1" applyFont="1" applyFill="1" applyBorder="1" applyAlignment="1">
      <alignment vertical="center" wrapText="1"/>
    </xf>
    <xf numFmtId="168" fontId="6" fillId="18" borderId="90" xfId="30" applyNumberFormat="1" applyFont="1" applyFill="1" applyBorder="1" applyAlignment="1">
      <alignment vertical="center" wrapText="1"/>
    </xf>
    <xf numFmtId="168" fontId="6" fillId="18" borderId="46" xfId="30" applyNumberFormat="1" applyFont="1" applyFill="1" applyBorder="1" applyAlignment="1">
      <alignment vertical="center" wrapText="1"/>
    </xf>
    <xf numFmtId="168" fontId="6" fillId="18" borderId="60" xfId="30" applyNumberFormat="1" applyFont="1" applyFill="1" applyBorder="1" applyAlignment="1">
      <alignment vertical="center" wrapText="1"/>
    </xf>
    <xf numFmtId="168" fontId="6" fillId="18" borderId="63" xfId="30" applyNumberFormat="1" applyFont="1" applyFill="1" applyBorder="1" applyAlignment="1">
      <alignment vertical="center" wrapText="1"/>
    </xf>
    <xf numFmtId="168" fontId="6" fillId="18" borderId="46" xfId="30" applyNumberFormat="1" applyFont="1" applyFill="1" applyBorder="1" applyAlignment="1">
      <alignment vertical="center"/>
    </xf>
    <xf numFmtId="168" fontId="6" fillId="18" borderId="60" xfId="30" applyNumberFormat="1" applyFont="1" applyFill="1" applyBorder="1" applyAlignment="1">
      <alignment vertical="center"/>
    </xf>
    <xf numFmtId="168" fontId="6" fillId="18" borderId="63" xfId="30" applyNumberFormat="1" applyFont="1" applyFill="1" applyBorder="1" applyAlignment="1">
      <alignment vertical="center"/>
    </xf>
    <xf numFmtId="168" fontId="6" fillId="29" borderId="52" xfId="30" applyNumberFormat="1" applyFont="1" applyFill="1" applyBorder="1"/>
    <xf numFmtId="168" fontId="6" fillId="29" borderId="53" xfId="30" applyNumberFormat="1" applyFont="1" applyFill="1" applyBorder="1"/>
    <xf numFmtId="168" fontId="6" fillId="33" borderId="0" xfId="30" applyNumberFormat="1" applyFont="1" applyFill="1"/>
    <xf numFmtId="168" fontId="47" fillId="31" borderId="35" xfId="30" applyNumberFormat="1" applyFont="1" applyFill="1" applyBorder="1" applyAlignment="1">
      <alignment vertical="center"/>
    </xf>
    <xf numFmtId="168" fontId="47" fillId="31" borderId="53" xfId="30" applyNumberFormat="1" applyFont="1" applyFill="1" applyBorder="1" applyAlignment="1">
      <alignment vertical="center"/>
    </xf>
    <xf numFmtId="168" fontId="6" fillId="25" borderId="36" xfId="30" applyNumberFormat="1" applyFont="1" applyFill="1" applyBorder="1" applyAlignment="1" applyProtection="1">
      <alignment vertical="center"/>
      <protection locked="0"/>
    </xf>
    <xf numFmtId="168" fontId="6" fillId="25" borderId="67" xfId="30" applyNumberFormat="1" applyFont="1" applyFill="1" applyBorder="1"/>
    <xf numFmtId="168" fontId="6" fillId="0" borderId="343" xfId="30" applyNumberFormat="1" applyFont="1" applyFill="1" applyBorder="1"/>
    <xf numFmtId="168" fontId="6" fillId="0" borderId="359" xfId="30" applyNumberFormat="1" applyFont="1" applyFill="1" applyBorder="1"/>
    <xf numFmtId="0" fontId="9" fillId="0" borderId="22" xfId="0" applyFont="1" applyFill="1" applyBorder="1" applyAlignment="1">
      <alignment horizontal="center" vertical="center" wrapText="1"/>
    </xf>
    <xf numFmtId="0" fontId="9" fillId="0" borderId="23" xfId="0" applyFont="1" applyFill="1" applyBorder="1" applyAlignment="1">
      <alignment horizontal="center" vertical="center" wrapText="1"/>
    </xf>
    <xf numFmtId="0" fontId="6" fillId="20" borderId="343" xfId="0" applyFont="1" applyFill="1" applyBorder="1"/>
    <xf numFmtId="0" fontId="0" fillId="0" borderId="359" xfId="0" applyBorder="1"/>
    <xf numFmtId="0" fontId="6" fillId="20" borderId="24" xfId="0" applyFont="1" applyFill="1" applyBorder="1"/>
    <xf numFmtId="0" fontId="66" fillId="29" borderId="45" xfId="0" applyFont="1" applyFill="1" applyBorder="1" applyAlignment="1">
      <alignment vertical="center"/>
    </xf>
    <xf numFmtId="168" fontId="6" fillId="20" borderId="0" xfId="0" applyNumberFormat="1" applyFont="1" applyFill="1" applyBorder="1"/>
    <xf numFmtId="0" fontId="6" fillId="20" borderId="358" xfId="0" applyFont="1" applyFill="1" applyBorder="1"/>
    <xf numFmtId="0" fontId="6" fillId="0" borderId="19" xfId="0" applyFont="1" applyFill="1" applyBorder="1"/>
    <xf numFmtId="0" fontId="6" fillId="33" borderId="0" xfId="306" applyFill="1" applyAlignment="1"/>
    <xf numFmtId="0" fontId="6" fillId="14" borderId="0" xfId="306" applyFont="1" applyFill="1" applyBorder="1" applyAlignment="1">
      <alignment horizontal="left" vertical="top" wrapText="1"/>
    </xf>
    <xf numFmtId="0" fontId="6" fillId="33" borderId="0" xfId="306" applyFont="1" applyFill="1"/>
    <xf numFmtId="0" fontId="17" fillId="0" borderId="0" xfId="306" applyFont="1" applyAlignment="1"/>
    <xf numFmtId="0" fontId="9" fillId="33" borderId="140" xfId="306" applyFont="1" applyFill="1" applyBorder="1" applyAlignment="1">
      <alignment horizontal="center" vertical="center" wrapText="1"/>
    </xf>
    <xf numFmtId="0" fontId="6" fillId="18" borderId="12" xfId="306" applyFill="1" applyBorder="1" applyAlignment="1">
      <alignment horizontal="left" vertical="top" wrapText="1"/>
    </xf>
    <xf numFmtId="0" fontId="9" fillId="40" borderId="64" xfId="306" applyFont="1" applyFill="1" applyBorder="1" applyAlignment="1">
      <alignment horizontal="center" vertical="center" wrapText="1"/>
    </xf>
    <xf numFmtId="0" fontId="66" fillId="29" borderId="22" xfId="306" applyFont="1" applyFill="1" applyBorder="1" applyAlignment="1">
      <alignment vertical="center"/>
    </xf>
    <xf numFmtId="0" fontId="6" fillId="20" borderId="0" xfId="306" applyFont="1" applyFill="1"/>
    <xf numFmtId="0" fontId="6" fillId="0" borderId="0" xfId="306" applyFont="1"/>
    <xf numFmtId="168" fontId="6" fillId="38" borderId="58" xfId="306" applyNumberFormat="1" applyFont="1" applyFill="1" applyBorder="1" applyAlignment="1">
      <alignment horizontal="center"/>
    </xf>
    <xf numFmtId="168" fontId="6" fillId="38" borderId="56" xfId="306" applyNumberFormat="1" applyFont="1" applyFill="1" applyBorder="1" applyAlignment="1">
      <alignment horizontal="center"/>
    </xf>
    <xf numFmtId="168" fontId="6" fillId="38" borderId="133" xfId="306" applyNumberFormat="1" applyFont="1" applyFill="1" applyBorder="1" applyAlignment="1">
      <alignment horizontal="center"/>
    </xf>
    <xf numFmtId="168" fontId="6" fillId="38" borderId="55" xfId="306" applyNumberFormat="1" applyFont="1" applyFill="1" applyBorder="1" applyAlignment="1">
      <alignment horizontal="center"/>
    </xf>
    <xf numFmtId="168" fontId="6" fillId="38" borderId="82" xfId="306" applyNumberFormat="1" applyFont="1" applyFill="1" applyBorder="1" applyAlignment="1">
      <alignment horizontal="center"/>
    </xf>
    <xf numFmtId="168" fontId="6" fillId="38" borderId="90" xfId="306" applyNumberFormat="1" applyFont="1" applyFill="1" applyBorder="1" applyAlignment="1">
      <alignment horizontal="center"/>
    </xf>
    <xf numFmtId="168" fontId="6" fillId="38" borderId="206" xfId="306" applyNumberFormat="1" applyFont="1" applyFill="1" applyBorder="1" applyAlignment="1">
      <alignment horizontal="center"/>
    </xf>
    <xf numFmtId="0" fontId="6" fillId="0" borderId="0" xfId="306" applyFont="1" applyFill="1"/>
    <xf numFmtId="0" fontId="6" fillId="25" borderId="46" xfId="306" applyFont="1" applyFill="1" applyBorder="1" applyAlignment="1">
      <alignment horizontal="left" vertical="center" wrapText="1" indent="2"/>
    </xf>
    <xf numFmtId="0" fontId="6" fillId="18" borderId="63" xfId="306" applyFont="1" applyFill="1" applyBorder="1"/>
    <xf numFmtId="0" fontId="6" fillId="25" borderId="83" xfId="306" applyFont="1" applyFill="1" applyBorder="1" applyAlignment="1">
      <alignment horizontal="left" vertical="center" wrapText="1" indent="2"/>
    </xf>
    <xf numFmtId="0" fontId="9" fillId="29" borderId="207" xfId="306" applyFont="1" applyFill="1" applyBorder="1" applyAlignment="1">
      <alignment wrapText="1"/>
    </xf>
    <xf numFmtId="0" fontId="6" fillId="29" borderId="67" xfId="306" applyFont="1" applyFill="1" applyBorder="1"/>
    <xf numFmtId="0" fontId="9" fillId="29" borderId="158" xfId="306" applyFont="1" applyFill="1" applyBorder="1" applyAlignment="1">
      <alignment wrapText="1"/>
    </xf>
    <xf numFmtId="0" fontId="9" fillId="29" borderId="130" xfId="306" applyFont="1" applyFill="1" applyBorder="1" applyAlignment="1">
      <alignment wrapText="1"/>
    </xf>
    <xf numFmtId="0" fontId="6" fillId="29" borderId="159" xfId="306" applyFont="1" applyFill="1" applyBorder="1"/>
    <xf numFmtId="0" fontId="6" fillId="29" borderId="160" xfId="306" applyFont="1" applyFill="1" applyBorder="1"/>
    <xf numFmtId="0" fontId="6" fillId="29" borderId="150" xfId="306" applyFont="1" applyFill="1" applyBorder="1"/>
    <xf numFmtId="168" fontId="6" fillId="29" borderId="150" xfId="30" applyNumberFormat="1" applyFont="1" applyFill="1" applyBorder="1"/>
    <xf numFmtId="168" fontId="6" fillId="29" borderId="160" xfId="30" applyNumberFormat="1" applyFont="1" applyFill="1" applyBorder="1"/>
    <xf numFmtId="168" fontId="6" fillId="29" borderId="151" xfId="30" applyNumberFormat="1" applyFont="1" applyFill="1" applyBorder="1"/>
    <xf numFmtId="168" fontId="6" fillId="29" borderId="161" xfId="30" applyNumberFormat="1" applyFont="1" applyFill="1" applyBorder="1"/>
    <xf numFmtId="43" fontId="6" fillId="0" borderId="0" xfId="306" applyNumberFormat="1"/>
    <xf numFmtId="168" fontId="6" fillId="38" borderId="157" xfId="30" applyNumberFormat="1" applyFont="1" applyFill="1" applyBorder="1" applyAlignment="1">
      <alignment horizontal="center"/>
    </xf>
    <xf numFmtId="168" fontId="6" fillId="38" borderId="56" xfId="30" applyNumberFormat="1" applyFont="1" applyFill="1" applyBorder="1" applyAlignment="1">
      <alignment horizontal="center"/>
    </xf>
    <xf numFmtId="168" fontId="6" fillId="38" borderId="57" xfId="30" applyNumberFormat="1" applyFont="1" applyFill="1" applyBorder="1" applyAlignment="1">
      <alignment horizontal="center"/>
    </xf>
    <xf numFmtId="168" fontId="6" fillId="38" borderId="58" xfId="30" applyNumberFormat="1" applyFont="1" applyFill="1" applyBorder="1" applyAlignment="1">
      <alignment horizontal="center"/>
    </xf>
    <xf numFmtId="168" fontId="6" fillId="38" borderId="59" xfId="30" applyNumberFormat="1" applyFont="1" applyFill="1" applyBorder="1" applyAlignment="1">
      <alignment horizontal="center"/>
    </xf>
    <xf numFmtId="43" fontId="6" fillId="18" borderId="155" xfId="30" applyFont="1" applyFill="1" applyBorder="1"/>
    <xf numFmtId="43" fontId="6" fillId="18" borderId="61" xfId="30" applyFont="1" applyFill="1" applyBorder="1"/>
    <xf numFmtId="168" fontId="6" fillId="29" borderId="148" xfId="30" applyNumberFormat="1" applyFont="1" applyFill="1" applyBorder="1"/>
    <xf numFmtId="168" fontId="6" fillId="29" borderId="65" xfId="30" applyNumberFormat="1" applyFont="1" applyFill="1" applyBorder="1"/>
    <xf numFmtId="0" fontId="6" fillId="29" borderId="54" xfId="306" applyNumberFormat="1" applyFont="1" applyFill="1" applyBorder="1"/>
    <xf numFmtId="0" fontId="6" fillId="29" borderId="52" xfId="306" applyFont="1" applyFill="1" applyBorder="1"/>
    <xf numFmtId="0" fontId="6" fillId="29" borderId="54" xfId="306" applyFont="1" applyFill="1" applyBorder="1"/>
    <xf numFmtId="0" fontId="6" fillId="29" borderId="53" xfId="306" applyFont="1" applyFill="1" applyBorder="1"/>
    <xf numFmtId="0" fontId="66" fillId="29" borderId="23" xfId="306" applyFont="1" applyFill="1" applyBorder="1" applyAlignment="1">
      <alignment vertical="center"/>
    </xf>
    <xf numFmtId="43" fontId="9" fillId="38" borderId="206" xfId="306" applyNumberFormat="1" applyFont="1" applyFill="1" applyBorder="1" applyAlignment="1">
      <alignment horizontal="center"/>
    </xf>
    <xf numFmtId="43" fontId="9" fillId="38" borderId="82" xfId="306" applyNumberFormat="1" applyFont="1" applyFill="1" applyBorder="1" applyAlignment="1">
      <alignment horizontal="center"/>
    </xf>
    <xf numFmtId="43" fontId="9" fillId="38" borderId="90" xfId="306" applyNumberFormat="1" applyFont="1" applyFill="1" applyBorder="1" applyAlignment="1">
      <alignment horizontal="center"/>
    </xf>
    <xf numFmtId="43" fontId="9" fillId="38" borderId="89" xfId="306" applyNumberFormat="1" applyFont="1" applyFill="1" applyBorder="1" applyAlignment="1">
      <alignment horizontal="center"/>
    </xf>
    <xf numFmtId="0" fontId="6" fillId="18" borderId="86" xfId="306" applyFont="1" applyFill="1" applyBorder="1"/>
    <xf numFmtId="0" fontId="6" fillId="18" borderId="46" xfId="306" applyFont="1" applyFill="1" applyBorder="1"/>
    <xf numFmtId="0" fontId="6" fillId="18" borderId="60" xfId="306" applyFont="1" applyFill="1" applyBorder="1"/>
    <xf numFmtId="0" fontId="6" fillId="18" borderId="62" xfId="306" applyFont="1" applyFill="1" applyBorder="1"/>
    <xf numFmtId="0" fontId="6" fillId="25" borderId="207" xfId="306" applyFont="1" applyFill="1" applyBorder="1" applyAlignment="1">
      <alignment horizontal="left" vertical="center" wrapText="1" indent="2"/>
    </xf>
    <xf numFmtId="0" fontId="6" fillId="18" borderId="88" xfId="306" applyFont="1" applyFill="1" applyBorder="1"/>
    <xf numFmtId="0" fontId="6" fillId="18" borderId="207" xfId="306" applyFont="1" applyFill="1" applyBorder="1"/>
    <xf numFmtId="0" fontId="6" fillId="18" borderId="64" xfId="306" applyFont="1" applyFill="1" applyBorder="1"/>
    <xf numFmtId="0" fontId="6" fillId="18" borderId="67" xfId="306" applyFont="1" applyFill="1" applyBorder="1"/>
    <xf numFmtId="0" fontId="6" fillId="18" borderId="66" xfId="306" applyFont="1" applyFill="1" applyBorder="1"/>
    <xf numFmtId="0" fontId="6" fillId="29" borderId="206" xfId="306" applyFont="1" applyFill="1" applyBorder="1"/>
    <xf numFmtId="0" fontId="6" fillId="29" borderId="82" xfId="306" applyFont="1" applyFill="1" applyBorder="1"/>
    <xf numFmtId="0" fontId="6" fillId="29" borderId="90" xfId="306" applyFont="1" applyFill="1" applyBorder="1"/>
    <xf numFmtId="0" fontId="6" fillId="29" borderId="89" xfId="306" applyFont="1" applyFill="1" applyBorder="1"/>
    <xf numFmtId="0" fontId="6" fillId="29" borderId="71" xfId="306" applyFont="1" applyFill="1" applyBorder="1"/>
    <xf numFmtId="0" fontId="6" fillId="29" borderId="207" xfId="306" applyNumberFormat="1" applyFont="1" applyFill="1" applyBorder="1"/>
    <xf numFmtId="0" fontId="6" fillId="29" borderId="64" xfId="306" applyNumberFormat="1" applyFont="1" applyFill="1" applyBorder="1"/>
    <xf numFmtId="0" fontId="6" fillId="29" borderId="67" xfId="306" applyNumberFormat="1" applyFont="1" applyFill="1" applyBorder="1"/>
    <xf numFmtId="0" fontId="6" fillId="29" borderId="66" xfId="306" applyNumberFormat="1" applyFont="1" applyFill="1" applyBorder="1"/>
    <xf numFmtId="0" fontId="6" fillId="29" borderId="65" xfId="306" applyNumberFormat="1" applyFont="1" applyFill="1" applyBorder="1"/>
    <xf numFmtId="0" fontId="6" fillId="0" borderId="0" xfId="306" applyAlignment="1"/>
    <xf numFmtId="0" fontId="9" fillId="38" borderId="18" xfId="306" applyFont="1" applyFill="1" applyBorder="1" applyAlignment="1">
      <alignment horizontal="center" vertical="center"/>
    </xf>
    <xf numFmtId="0" fontId="78" fillId="27" borderId="35" xfId="306" applyFont="1" applyFill="1" applyBorder="1" applyAlignment="1">
      <alignment vertical="center"/>
    </xf>
    <xf numFmtId="0" fontId="68" fillId="27" borderId="35" xfId="306" applyFont="1" applyFill="1" applyBorder="1" applyAlignment="1">
      <alignment vertical="center"/>
    </xf>
    <xf numFmtId="0" fontId="68" fillId="27" borderId="34" xfId="306" applyFont="1" applyFill="1" applyBorder="1" applyAlignment="1">
      <alignment vertical="center"/>
    </xf>
    <xf numFmtId="0" fontId="66" fillId="30" borderId="36" xfId="306" applyFont="1" applyFill="1" applyBorder="1" applyAlignment="1">
      <alignment vertical="center"/>
    </xf>
    <xf numFmtId="0" fontId="66" fillId="30" borderId="35" xfId="306" applyFont="1" applyFill="1" applyBorder="1" applyAlignment="1">
      <alignment vertical="center"/>
    </xf>
    <xf numFmtId="0" fontId="66" fillId="30" borderId="34" xfId="306" applyFont="1" applyFill="1" applyBorder="1" applyAlignment="1">
      <alignment vertical="center"/>
    </xf>
    <xf numFmtId="0" fontId="6" fillId="33" borderId="0" xfId="306" applyFont="1" applyFill="1" applyAlignment="1">
      <alignment horizontal="left" vertical="center"/>
    </xf>
    <xf numFmtId="0" fontId="9" fillId="29" borderId="126" xfId="306" applyFont="1" applyFill="1" applyBorder="1" applyAlignment="1">
      <alignment horizontal="left" vertical="center"/>
    </xf>
    <xf numFmtId="0" fontId="9" fillId="29" borderId="130" xfId="306" applyFont="1" applyFill="1" applyBorder="1" applyAlignment="1">
      <alignment horizontal="left" vertical="center"/>
    </xf>
    <xf numFmtId="0" fontId="66" fillId="29" borderId="130" xfId="306" applyFont="1" applyFill="1" applyBorder="1" applyAlignment="1">
      <alignment horizontal="left" vertical="center"/>
    </xf>
    <xf numFmtId="0" fontId="66" fillId="29" borderId="131" xfId="306" applyFont="1" applyFill="1" applyBorder="1" applyAlignment="1">
      <alignment horizontal="left" vertical="center"/>
    </xf>
    <xf numFmtId="0" fontId="6" fillId="0" borderId="0" xfId="306" applyAlignment="1">
      <alignment horizontal="left" vertical="center"/>
    </xf>
    <xf numFmtId="0" fontId="6" fillId="20" borderId="0" xfId="306" applyFont="1" applyFill="1" applyAlignment="1">
      <alignment horizontal="left" vertical="center"/>
    </xf>
    <xf numFmtId="0" fontId="6" fillId="33" borderId="50" xfId="306" applyFont="1" applyFill="1" applyBorder="1" applyAlignment="1">
      <alignment horizontal="left" vertical="center" wrapText="1" indent="2"/>
    </xf>
    <xf numFmtId="0" fontId="6" fillId="33" borderId="94" xfId="306" applyFont="1" applyFill="1" applyBorder="1" applyAlignment="1">
      <alignment horizontal="left" vertical="center" wrapText="1" indent="2"/>
    </xf>
    <xf numFmtId="0" fontId="6" fillId="31" borderId="50" xfId="306" applyFont="1" applyFill="1" applyBorder="1" applyAlignment="1">
      <alignment horizontal="left" vertical="center" wrapText="1" indent="1"/>
    </xf>
    <xf numFmtId="0" fontId="6" fillId="31" borderId="50" xfId="306" applyFont="1" applyFill="1" applyBorder="1" applyAlignment="1">
      <alignment horizontal="left" indent="1"/>
    </xf>
    <xf numFmtId="0" fontId="6" fillId="31" borderId="68" xfId="306" applyFont="1" applyFill="1" applyBorder="1" applyAlignment="1">
      <alignment horizontal="left" indent="1"/>
    </xf>
    <xf numFmtId="168" fontId="6" fillId="31" borderId="207" xfId="30" applyNumberFormat="1" applyFont="1" applyFill="1" applyBorder="1"/>
    <xf numFmtId="0" fontId="6" fillId="33" borderId="237" xfId="306" applyFont="1" applyFill="1" applyBorder="1" applyAlignment="1">
      <alignment horizontal="left" vertical="center" wrapText="1" indent="2"/>
    </xf>
    <xf numFmtId="0" fontId="6" fillId="18" borderId="237" xfId="306" applyFont="1" applyFill="1" applyBorder="1"/>
    <xf numFmtId="0" fontId="6" fillId="33" borderId="207" xfId="306" applyFont="1" applyFill="1" applyBorder="1" applyAlignment="1">
      <alignment horizontal="left" vertical="center" wrapText="1" indent="2"/>
    </xf>
    <xf numFmtId="168" fontId="6" fillId="18" borderId="88" xfId="30" applyNumberFormat="1" applyFont="1" applyFill="1" applyBorder="1"/>
    <xf numFmtId="0" fontId="6" fillId="18" borderId="206" xfId="306" applyFont="1" applyFill="1" applyBorder="1"/>
    <xf numFmtId="0" fontId="9" fillId="33" borderId="36" xfId="306" applyFont="1" applyFill="1" applyBorder="1" applyAlignment="1" applyProtection="1">
      <alignment horizontal="right" vertical="center" wrapText="1"/>
      <protection locked="0"/>
    </xf>
    <xf numFmtId="0" fontId="6" fillId="33" borderId="34" xfId="306" applyFont="1" applyFill="1" applyBorder="1" applyAlignment="1" applyProtection="1">
      <alignment horizontal="right" vertical="center" wrapText="1"/>
      <protection locked="0"/>
    </xf>
    <xf numFmtId="0" fontId="6" fillId="18" borderId="36" xfId="306" applyFont="1" applyFill="1" applyBorder="1" applyAlignment="1" applyProtection="1">
      <alignment vertical="center" wrapText="1"/>
      <protection locked="0"/>
    </xf>
    <xf numFmtId="0" fontId="6" fillId="18" borderId="35" xfId="306" applyFont="1" applyFill="1" applyBorder="1" applyAlignment="1" applyProtection="1">
      <alignment vertical="center" wrapText="1"/>
      <protection locked="0"/>
    </xf>
    <xf numFmtId="0" fontId="6" fillId="18" borderId="149" xfId="306" applyFont="1" applyFill="1" applyBorder="1" applyAlignment="1" applyProtection="1">
      <alignment vertical="center" wrapText="1"/>
      <protection locked="0"/>
    </xf>
    <xf numFmtId="49" fontId="6" fillId="25" borderId="146" xfId="306" applyNumberFormat="1" applyFont="1" applyFill="1" applyBorder="1" applyAlignment="1">
      <alignment horizontal="left" wrapText="1"/>
    </xf>
    <xf numFmtId="0" fontId="9" fillId="18" borderId="62" xfId="306" applyFont="1" applyFill="1" applyBorder="1"/>
    <xf numFmtId="0" fontId="9" fillId="18" borderId="60" xfId="306" applyFont="1" applyFill="1" applyBorder="1"/>
    <xf numFmtId="0" fontId="6" fillId="29" borderId="66" xfId="306" applyFont="1" applyFill="1" applyBorder="1"/>
    <xf numFmtId="0" fontId="6" fillId="29" borderId="64" xfId="306" applyFont="1" applyFill="1" applyBorder="1"/>
    <xf numFmtId="0" fontId="9" fillId="31" borderId="140" xfId="306" applyFont="1" applyFill="1" applyBorder="1" applyAlignment="1">
      <alignment horizontal="center" vertical="center" wrapText="1"/>
    </xf>
    <xf numFmtId="0" fontId="6" fillId="25" borderId="146" xfId="306" applyNumberFormat="1" applyFont="1" applyFill="1" applyBorder="1" applyAlignment="1" applyProtection="1">
      <alignment horizontal="center" vertical="center" wrapText="1"/>
      <protection locked="0"/>
    </xf>
    <xf numFmtId="0" fontId="9" fillId="41" borderId="64" xfId="306" applyFont="1" applyFill="1" applyBorder="1" applyAlignment="1">
      <alignment horizontal="center" vertical="center" wrapText="1"/>
    </xf>
    <xf numFmtId="0" fontId="9" fillId="36" borderId="207" xfId="306" applyFont="1" applyFill="1" applyBorder="1" applyAlignment="1">
      <alignment horizontal="center" vertical="center" wrapText="1"/>
    </xf>
    <xf numFmtId="0" fontId="6" fillId="33" borderId="140" xfId="306" applyFont="1" applyFill="1" applyBorder="1" applyAlignment="1">
      <alignment horizontal="left" indent="1"/>
    </xf>
    <xf numFmtId="0" fontId="6" fillId="18" borderId="89" xfId="306" applyFont="1" applyFill="1" applyBorder="1"/>
    <xf numFmtId="0" fontId="6" fillId="18" borderId="82" xfId="306" applyFont="1" applyFill="1" applyBorder="1"/>
    <xf numFmtId="3" fontId="6" fillId="18" borderId="82" xfId="306" applyNumberFormat="1" applyFont="1" applyFill="1" applyBorder="1"/>
    <xf numFmtId="3" fontId="6" fillId="18" borderId="206" xfId="306" applyNumberFormat="1" applyFont="1" applyFill="1" applyBorder="1"/>
    <xf numFmtId="3" fontId="6" fillId="18" borderId="90" xfId="306" applyNumberFormat="1" applyFont="1" applyFill="1" applyBorder="1"/>
    <xf numFmtId="0" fontId="6" fillId="38" borderId="206" xfId="306" applyFont="1" applyFill="1" applyBorder="1"/>
    <xf numFmtId="0" fontId="6" fillId="38" borderId="82" xfId="306" applyFont="1" applyFill="1" applyBorder="1"/>
    <xf numFmtId="0" fontId="6" fillId="38" borderId="90" xfId="306" applyFont="1" applyFill="1" applyBorder="1"/>
    <xf numFmtId="0" fontId="6" fillId="33" borderId="141" xfId="306" applyFont="1" applyFill="1" applyBorder="1" applyAlignment="1">
      <alignment horizontal="left" indent="1"/>
    </xf>
    <xf numFmtId="0" fontId="6" fillId="38" borderId="46" xfId="306" applyFont="1" applyFill="1" applyBorder="1"/>
    <xf numFmtId="0" fontId="6" fillId="38" borderId="60" xfId="306" applyFont="1" applyFill="1" applyBorder="1"/>
    <xf numFmtId="0" fontId="6" fillId="38" borderId="63" xfId="306" applyFont="1" applyFill="1" applyBorder="1"/>
    <xf numFmtId="3" fontId="6" fillId="18" borderId="60" xfId="306" applyNumberFormat="1" applyFont="1" applyFill="1" applyBorder="1"/>
    <xf numFmtId="3" fontId="6" fillId="18" borderId="46" xfId="306" applyNumberFormat="1" applyFont="1" applyFill="1" applyBorder="1"/>
    <xf numFmtId="3" fontId="6" fillId="18" borderId="63" xfId="306" applyNumberFormat="1" applyFont="1" applyFill="1" applyBorder="1"/>
    <xf numFmtId="0" fontId="6" fillId="33" borderId="360" xfId="306" applyFont="1" applyFill="1" applyBorder="1" applyAlignment="1">
      <alignment horizontal="left" indent="1"/>
    </xf>
    <xf numFmtId="0" fontId="6" fillId="18" borderId="231" xfId="306" applyFont="1" applyFill="1" applyBorder="1"/>
    <xf numFmtId="0" fontId="6" fillId="18" borderId="218" xfId="306" applyFont="1" applyFill="1" applyBorder="1"/>
    <xf numFmtId="0" fontId="6" fillId="18" borderId="217" xfId="306" applyFont="1" applyFill="1" applyBorder="1"/>
    <xf numFmtId="0" fontId="6" fillId="18" borderId="219" xfId="306" applyFont="1" applyFill="1" applyBorder="1"/>
    <xf numFmtId="0" fontId="6" fillId="38" borderId="217" xfId="306" applyFont="1" applyFill="1" applyBorder="1"/>
    <xf numFmtId="0" fontId="6" fillId="38" borderId="218" xfId="306" applyFont="1" applyFill="1" applyBorder="1"/>
    <xf numFmtId="0" fontId="6" fillId="38" borderId="219" xfId="306" applyFont="1" applyFill="1" applyBorder="1"/>
    <xf numFmtId="0" fontId="6" fillId="33" borderId="361" xfId="306" applyFont="1" applyFill="1" applyBorder="1" applyAlignment="1">
      <alignment horizontal="left" indent="1"/>
    </xf>
    <xf numFmtId="0" fontId="6" fillId="18" borderId="244" xfId="306" applyFont="1" applyFill="1" applyBorder="1"/>
    <xf numFmtId="0" fontId="6" fillId="18" borderId="239" xfId="306" applyFont="1" applyFill="1" applyBorder="1"/>
    <xf numFmtId="0" fontId="6" fillId="18" borderId="238" xfId="306" applyFont="1" applyFill="1" applyBorder="1"/>
    <xf numFmtId="0" fontId="6" fillId="38" borderId="237" xfId="306" applyFont="1" applyFill="1" applyBorder="1"/>
    <xf numFmtId="0" fontId="6" fillId="38" borderId="239" xfId="306" applyFont="1" applyFill="1" applyBorder="1"/>
    <xf numFmtId="0" fontId="6" fillId="38" borderId="238" xfId="306" applyFont="1" applyFill="1" applyBorder="1"/>
    <xf numFmtId="0" fontId="6" fillId="33" borderId="215" xfId="306" applyFont="1" applyFill="1" applyBorder="1" applyAlignment="1">
      <alignment horizontal="left" indent="1"/>
    </xf>
    <xf numFmtId="0" fontId="6" fillId="18" borderId="58" xfId="306" applyFont="1" applyFill="1" applyBorder="1"/>
    <xf numFmtId="0" fontId="6" fillId="18" borderId="56" xfId="306" applyFont="1" applyFill="1" applyBorder="1"/>
    <xf numFmtId="0" fontId="6" fillId="18" borderId="55" xfId="306" applyFont="1" applyFill="1" applyBorder="1"/>
    <xf numFmtId="0" fontId="6" fillId="18" borderId="59" xfId="306" applyFont="1" applyFill="1" applyBorder="1"/>
    <xf numFmtId="0" fontId="6" fillId="38" borderId="55" xfId="306" applyFont="1" applyFill="1" applyBorder="1"/>
    <xf numFmtId="0" fontId="6" fillId="38" borderId="56" xfId="306" applyFont="1" applyFill="1" applyBorder="1"/>
    <xf numFmtId="0" fontId="6" fillId="38" borderId="59" xfId="306" applyFont="1" applyFill="1" applyBorder="1"/>
    <xf numFmtId="0" fontId="9" fillId="29" borderId="50" xfId="306" applyFont="1" applyFill="1" applyBorder="1" applyAlignment="1">
      <alignment horizontal="left"/>
    </xf>
    <xf numFmtId="43" fontId="6" fillId="29" borderId="46" xfId="306" applyNumberFormat="1" applyFont="1" applyFill="1" applyBorder="1"/>
    <xf numFmtId="43" fontId="6" fillId="29" borderId="60" xfId="306" applyNumberFormat="1" applyFont="1" applyFill="1" applyBorder="1"/>
    <xf numFmtId="43" fontId="6" fillId="29" borderId="63" xfId="306" applyNumberFormat="1" applyFont="1" applyFill="1" applyBorder="1"/>
    <xf numFmtId="0" fontId="9" fillId="33" borderId="91" xfId="306" applyFont="1" applyFill="1" applyBorder="1"/>
    <xf numFmtId="0" fontId="6" fillId="18" borderId="207" xfId="306" applyFill="1" applyBorder="1"/>
    <xf numFmtId="0" fontId="6" fillId="18" borderId="64" xfId="306" applyFill="1" applyBorder="1"/>
    <xf numFmtId="0" fontId="6" fillId="18" borderId="67" xfId="306" applyFill="1" applyBorder="1"/>
    <xf numFmtId="0" fontId="6" fillId="38" borderId="207" xfId="306" applyFill="1" applyBorder="1"/>
    <xf numFmtId="0" fontId="6" fillId="38" borderId="64" xfId="306" applyFill="1" applyBorder="1"/>
    <xf numFmtId="0" fontId="6" fillId="38" borderId="67" xfId="306" applyFill="1" applyBorder="1"/>
    <xf numFmtId="0" fontId="6" fillId="33" borderId="45" xfId="306" applyFont="1" applyFill="1" applyBorder="1" applyAlignment="1" applyProtection="1">
      <alignment horizontal="right" vertical="center" wrapText="1"/>
      <protection locked="0"/>
    </xf>
    <xf numFmtId="0" fontId="6" fillId="18" borderId="343" xfId="306" applyFont="1" applyFill="1" applyBorder="1" applyAlignment="1" applyProtection="1">
      <alignment vertical="center" wrapText="1"/>
      <protection locked="0"/>
    </xf>
    <xf numFmtId="0" fontId="6" fillId="18" borderId="359" xfId="306" applyFont="1" applyFill="1" applyBorder="1" applyAlignment="1" applyProtection="1">
      <alignment vertical="center" wrapText="1"/>
      <protection locked="0"/>
    </xf>
    <xf numFmtId="0" fontId="6" fillId="38" borderId="358" xfId="306" applyFont="1" applyFill="1" applyBorder="1" applyAlignment="1" applyProtection="1">
      <alignment vertical="center" wrapText="1"/>
      <protection locked="0"/>
    </xf>
    <xf numFmtId="0" fontId="6" fillId="38" borderId="343" xfId="306" applyFont="1" applyFill="1" applyBorder="1" applyAlignment="1" applyProtection="1">
      <alignment vertical="center" wrapText="1"/>
      <protection locked="0"/>
    </xf>
    <xf numFmtId="0" fontId="6" fillId="38" borderId="359" xfId="306" applyFont="1" applyFill="1" applyBorder="1" applyAlignment="1" applyProtection="1">
      <alignment vertical="center" wrapText="1"/>
      <protection locked="0"/>
    </xf>
    <xf numFmtId="0" fontId="16" fillId="33" borderId="0" xfId="306" applyFont="1" applyFill="1"/>
    <xf numFmtId="0" fontId="6" fillId="33" borderId="21" xfId="306" applyFont="1" applyFill="1" applyBorder="1" applyAlignment="1">
      <alignment horizontal="left" indent="1"/>
    </xf>
    <xf numFmtId="0" fontId="6" fillId="18" borderId="206" xfId="306" applyFill="1" applyBorder="1"/>
    <xf numFmtId="0" fontId="6" fillId="18" borderId="82" xfId="306" applyFill="1" applyBorder="1"/>
    <xf numFmtId="0" fontId="6" fillId="18" borderId="85" xfId="306" applyFill="1" applyBorder="1"/>
    <xf numFmtId="0" fontId="6" fillId="18" borderId="71" xfId="306" applyFill="1" applyBorder="1"/>
    <xf numFmtId="0" fontId="6" fillId="38" borderId="206" xfId="306" applyFill="1" applyBorder="1"/>
    <xf numFmtId="0" fontId="6" fillId="38" borderId="82" xfId="306" applyFill="1" applyBorder="1"/>
    <xf numFmtId="0" fontId="6" fillId="38" borderId="90" xfId="306" applyFill="1" applyBorder="1"/>
    <xf numFmtId="0" fontId="6" fillId="33" borderId="358" xfId="306" applyFont="1" applyFill="1" applyBorder="1" applyAlignment="1">
      <alignment horizontal="left" indent="1"/>
    </xf>
    <xf numFmtId="0" fontId="6" fillId="18" borderId="88" xfId="306" applyFill="1" applyBorder="1"/>
    <xf numFmtId="0" fontId="6" fillId="18" borderId="65" xfId="306" applyFill="1" applyBorder="1"/>
    <xf numFmtId="0" fontId="6" fillId="33" borderId="70" xfId="306" applyFont="1" applyFill="1" applyBorder="1" applyAlignment="1">
      <alignment horizontal="left" vertical="center" wrapText="1" indent="1"/>
    </xf>
    <xf numFmtId="0" fontId="6" fillId="18" borderId="90" xfId="306" applyFont="1" applyFill="1" applyBorder="1"/>
    <xf numFmtId="0" fontId="6" fillId="33" borderId="50" xfId="306" applyFont="1" applyFill="1" applyBorder="1" applyAlignment="1">
      <alignment horizontal="left" vertical="center" wrapText="1" indent="1"/>
    </xf>
    <xf numFmtId="0" fontId="6" fillId="33" borderId="50" xfId="306" applyFont="1" applyFill="1" applyBorder="1" applyAlignment="1">
      <alignment horizontal="left" indent="1"/>
    </xf>
    <xf numFmtId="0" fontId="6" fillId="33" borderId="68" xfId="306" applyFont="1" applyFill="1" applyBorder="1" applyAlignment="1">
      <alignment horizontal="left" indent="1"/>
    </xf>
    <xf numFmtId="43" fontId="6" fillId="29" borderId="207" xfId="306" applyNumberFormat="1" applyFont="1" applyFill="1" applyBorder="1"/>
    <xf numFmtId="43" fontId="6" fillId="29" borderId="64" xfId="306" applyNumberFormat="1" applyFont="1" applyFill="1" applyBorder="1"/>
    <xf numFmtId="43" fontId="6" fillId="29" borderId="67" xfId="306" applyNumberFormat="1" applyFont="1" applyFill="1" applyBorder="1"/>
    <xf numFmtId="0" fontId="6" fillId="18" borderId="36" xfId="306" applyFont="1" applyFill="1" applyBorder="1" applyAlignment="1" applyProtection="1">
      <alignment vertical="center"/>
      <protection locked="0"/>
    </xf>
    <xf numFmtId="0" fontId="6" fillId="18" borderId="35" xfId="306" applyFont="1" applyFill="1" applyBorder="1" applyAlignment="1" applyProtection="1">
      <alignment vertical="center"/>
      <protection locked="0"/>
    </xf>
    <xf numFmtId="0" fontId="6" fillId="33" borderId="0" xfId="306" applyFill="1" applyAlignment="1">
      <alignment wrapText="1"/>
    </xf>
    <xf numFmtId="0" fontId="6" fillId="0" borderId="0" xfId="306" applyAlignment="1">
      <alignment wrapText="1"/>
    </xf>
    <xf numFmtId="0" fontId="6" fillId="33" borderId="0" xfId="306" applyFill="1" applyAlignment="1">
      <alignment vertical="center" wrapText="1"/>
    </xf>
    <xf numFmtId="0" fontId="6" fillId="33" borderId="0" xfId="306" applyFill="1" applyAlignment="1">
      <alignment vertical="center"/>
    </xf>
    <xf numFmtId="0" fontId="6" fillId="0" borderId="0" xfId="306" applyAlignment="1">
      <alignment vertical="center" wrapText="1"/>
    </xf>
    <xf numFmtId="0" fontId="6" fillId="14" borderId="0" xfId="306" applyFont="1" applyFill="1" applyAlignment="1">
      <alignment vertical="center" wrapText="1"/>
    </xf>
    <xf numFmtId="0" fontId="14" fillId="30" borderId="36" xfId="306" applyFont="1" applyFill="1" applyBorder="1" applyAlignment="1">
      <alignment vertical="center"/>
    </xf>
    <xf numFmtId="0" fontId="14" fillId="30" borderId="35" xfId="306" applyFont="1" applyFill="1" applyBorder="1" applyAlignment="1">
      <alignment vertical="center"/>
    </xf>
    <xf numFmtId="0" fontId="14" fillId="30" borderId="34" xfId="306" applyFont="1" applyFill="1" applyBorder="1" applyAlignment="1">
      <alignment vertical="center"/>
    </xf>
    <xf numFmtId="0" fontId="9" fillId="33" borderId="0" xfId="306" applyFont="1" applyFill="1" applyBorder="1"/>
    <xf numFmtId="0" fontId="9" fillId="0" borderId="0" xfId="306" applyFont="1" applyFill="1"/>
    <xf numFmtId="0" fontId="9" fillId="0" borderId="0" xfId="306" applyFont="1"/>
    <xf numFmtId="0" fontId="9" fillId="33" borderId="0" xfId="306" applyFont="1" applyFill="1"/>
    <xf numFmtId="0" fontId="9" fillId="39" borderId="78" xfId="306" applyFont="1" applyFill="1" applyBorder="1" applyAlignment="1">
      <alignment horizontal="center" vertical="center" wrapText="1"/>
    </xf>
    <xf numFmtId="0" fontId="9" fillId="39" borderId="79" xfId="306" applyFont="1" applyFill="1" applyBorder="1" applyAlignment="1">
      <alignment horizontal="center" vertical="center" wrapText="1"/>
    </xf>
    <xf numFmtId="0" fontId="9" fillId="40" borderId="79" xfId="306" applyFont="1" applyFill="1" applyBorder="1" applyAlignment="1">
      <alignment horizontal="center" vertical="center" wrapText="1"/>
    </xf>
    <xf numFmtId="0" fontId="9" fillId="39" borderId="84" xfId="306" applyFont="1" applyFill="1" applyBorder="1" applyAlignment="1">
      <alignment horizontal="center" vertical="center" wrapText="1"/>
    </xf>
    <xf numFmtId="0" fontId="9" fillId="29" borderId="49" xfId="306" applyFont="1" applyFill="1" applyBorder="1" applyAlignment="1">
      <alignment vertical="center" wrapText="1"/>
    </xf>
    <xf numFmtId="0" fontId="6" fillId="29" borderId="49" xfId="306" applyFont="1" applyFill="1" applyBorder="1" applyAlignment="1">
      <alignment wrapText="1"/>
    </xf>
    <xf numFmtId="0" fontId="6" fillId="29" borderId="74" xfId="306" applyFont="1" applyFill="1" applyBorder="1" applyAlignment="1">
      <alignment wrapText="1"/>
    </xf>
    <xf numFmtId="0" fontId="6" fillId="29" borderId="75" xfId="306" applyFont="1" applyFill="1" applyBorder="1" applyAlignment="1">
      <alignment wrapText="1"/>
    </xf>
    <xf numFmtId="1" fontId="6" fillId="18" borderId="46" xfId="306" applyNumberFormat="1" applyFont="1" applyFill="1" applyBorder="1"/>
    <xf numFmtId="1" fontId="6" fillId="18" borderId="60" xfId="306" applyNumberFormat="1" applyFont="1" applyFill="1" applyBorder="1"/>
    <xf numFmtId="1" fontId="6" fillId="18" borderId="63" xfId="306" applyNumberFormat="1" applyFont="1" applyFill="1" applyBorder="1"/>
    <xf numFmtId="167" fontId="6" fillId="18" borderId="46" xfId="306" applyNumberFormat="1" applyFont="1" applyFill="1" applyBorder="1"/>
    <xf numFmtId="167" fontId="6" fillId="18" borderId="60" xfId="306" applyNumberFormat="1" applyFont="1" applyFill="1" applyBorder="1"/>
    <xf numFmtId="167" fontId="6" fillId="18" borderId="63" xfId="306" applyNumberFormat="1" applyFont="1" applyFill="1" applyBorder="1"/>
    <xf numFmtId="1" fontId="6" fillId="29" borderId="49" xfId="306" applyNumberFormat="1" applyFont="1" applyFill="1" applyBorder="1" applyAlignment="1">
      <alignment wrapText="1"/>
    </xf>
    <xf numFmtId="1" fontId="6" fillId="29" borderId="74" xfId="306" applyNumberFormat="1" applyFont="1" applyFill="1" applyBorder="1" applyAlignment="1">
      <alignment wrapText="1"/>
    </xf>
    <xf numFmtId="1" fontId="6" fillId="29" borderId="75" xfId="306" applyNumberFormat="1" applyFont="1" applyFill="1" applyBorder="1" applyAlignment="1">
      <alignment wrapText="1"/>
    </xf>
    <xf numFmtId="0" fontId="6" fillId="25" borderId="50" xfId="306" applyFont="1" applyFill="1" applyBorder="1" applyAlignment="1">
      <alignment horizontal="left" vertical="center" wrapText="1" indent="1"/>
    </xf>
    <xf numFmtId="0" fontId="9" fillId="30" borderId="50" xfId="306" applyFont="1" applyFill="1" applyBorder="1" applyAlignment="1">
      <alignment horizontal="left" vertical="center" wrapText="1"/>
    </xf>
    <xf numFmtId="168" fontId="9" fillId="30" borderId="207" xfId="306" applyNumberFormat="1" applyFont="1" applyFill="1" applyBorder="1" applyAlignment="1">
      <alignment wrapText="1"/>
    </xf>
    <xf numFmtId="168" fontId="9" fillId="30" borderId="64" xfId="306" applyNumberFormat="1" applyFont="1" applyFill="1" applyBorder="1" applyAlignment="1">
      <alignment wrapText="1"/>
    </xf>
    <xf numFmtId="168" fontId="9" fillId="30" borderId="67" xfId="306" applyNumberFormat="1" applyFont="1" applyFill="1" applyBorder="1" applyAlignment="1">
      <alignment wrapText="1"/>
    </xf>
    <xf numFmtId="0" fontId="6" fillId="33" borderId="0" xfId="306" applyFont="1" applyFill="1" applyBorder="1" applyAlignment="1">
      <alignment wrapText="1"/>
    </xf>
    <xf numFmtId="0" fontId="6" fillId="33" borderId="94" xfId="306" applyFont="1" applyFill="1" applyBorder="1" applyAlignment="1" applyProtection="1">
      <alignment horizontal="right" vertical="center" wrapText="1"/>
      <protection locked="0"/>
    </xf>
    <xf numFmtId="0" fontId="6" fillId="18" borderId="34" xfId="306" applyFont="1" applyFill="1" applyBorder="1" applyAlignment="1" applyProtection="1">
      <alignment vertical="center" wrapText="1"/>
      <protection locked="0"/>
    </xf>
    <xf numFmtId="0" fontId="6" fillId="0" borderId="0" xfId="306" applyFont="1" applyAlignment="1">
      <alignment wrapText="1"/>
    </xf>
    <xf numFmtId="0" fontId="6" fillId="33" borderId="0" xfId="306" applyFont="1" applyFill="1" applyBorder="1" applyAlignment="1" applyProtection="1">
      <alignment horizontal="right" vertical="center" wrapText="1"/>
      <protection locked="0"/>
    </xf>
    <xf numFmtId="0" fontId="9" fillId="39" borderId="207" xfId="306" applyFont="1" applyFill="1" applyBorder="1" applyAlignment="1">
      <alignment horizontal="center" vertical="center" wrapText="1"/>
    </xf>
    <xf numFmtId="0" fontId="6" fillId="33" borderId="92" xfId="306" applyFont="1" applyFill="1" applyBorder="1" applyAlignment="1">
      <alignment horizontal="left" vertical="center" wrapText="1" indent="1"/>
    </xf>
    <xf numFmtId="0" fontId="6" fillId="33" borderId="93" xfId="306" applyFont="1" applyFill="1" applyBorder="1" applyAlignment="1">
      <alignment horizontal="left" vertical="center" wrapText="1" indent="1"/>
    </xf>
    <xf numFmtId="0" fontId="9" fillId="29" borderId="127" xfId="306" applyFont="1" applyFill="1" applyBorder="1" applyAlignment="1">
      <alignment horizontal="left" vertical="center" wrapText="1" indent="1"/>
    </xf>
    <xf numFmtId="168" fontId="9" fillId="29" borderId="207" xfId="306" applyNumberFormat="1" applyFont="1" applyFill="1" applyBorder="1" applyAlignment="1">
      <alignment wrapText="1"/>
    </xf>
    <xf numFmtId="168" fontId="9" fillId="29" borderId="64" xfId="306" applyNumberFormat="1" applyFont="1" applyFill="1" applyBorder="1" applyAlignment="1">
      <alignment wrapText="1"/>
    </xf>
    <xf numFmtId="168" fontId="9" fillId="29" borderId="67" xfId="306" applyNumberFormat="1" applyFont="1" applyFill="1" applyBorder="1" applyAlignment="1">
      <alignment wrapText="1"/>
    </xf>
    <xf numFmtId="0" fontId="9" fillId="39" borderId="67" xfId="306" applyFont="1" applyFill="1" applyBorder="1" applyAlignment="1">
      <alignment horizontal="center" vertical="center" wrapText="1"/>
    </xf>
    <xf numFmtId="0" fontId="6" fillId="25" borderId="92" xfId="306" applyFont="1" applyFill="1" applyBorder="1" applyAlignment="1">
      <alignment horizontal="left" vertical="center" wrapText="1" indent="1"/>
    </xf>
    <xf numFmtId="0" fontId="6" fillId="25" borderId="93" xfId="306" applyFont="1" applyFill="1" applyBorder="1" applyAlignment="1">
      <alignment horizontal="left" vertical="center" wrapText="1" indent="1"/>
    </xf>
    <xf numFmtId="0" fontId="6" fillId="0" borderId="0" xfId="306" applyFont="1" applyFill="1" applyBorder="1" applyAlignment="1" applyProtection="1">
      <alignment horizontal="right" vertical="center" wrapText="1"/>
      <protection locked="0"/>
    </xf>
    <xf numFmtId="0" fontId="6" fillId="0" borderId="0" xfId="306" applyFont="1" applyFill="1" applyBorder="1" applyAlignment="1" applyProtection="1">
      <alignment horizontal="left" vertical="center" wrapText="1"/>
      <protection locked="0"/>
    </xf>
    <xf numFmtId="0" fontId="9" fillId="114" borderId="377" xfId="306" applyFont="1" applyFill="1" applyBorder="1" applyAlignment="1">
      <alignment horizontal="center" vertical="center" wrapText="1"/>
    </xf>
    <xf numFmtId="0" fontId="9" fillId="114" borderId="378" xfId="306" applyFont="1" applyFill="1" applyBorder="1" applyAlignment="1">
      <alignment horizontal="center" vertical="center" wrapText="1"/>
    </xf>
    <xf numFmtId="0" fontId="9" fillId="115" borderId="378" xfId="306" applyFont="1" applyFill="1" applyBorder="1" applyAlignment="1">
      <alignment horizontal="center" vertical="center" wrapText="1"/>
    </xf>
    <xf numFmtId="0" fontId="9" fillId="114" borderId="379" xfId="306" applyFont="1" applyFill="1" applyBorder="1" applyAlignment="1">
      <alignment horizontal="center" vertical="center" wrapText="1"/>
    </xf>
    <xf numFmtId="0" fontId="9" fillId="116" borderId="380" xfId="306" applyFont="1" applyFill="1" applyBorder="1" applyAlignment="1">
      <alignment vertical="center" wrapText="1"/>
    </xf>
    <xf numFmtId="0" fontId="6" fillId="116" borderId="380" xfId="306" applyFont="1" applyFill="1" applyBorder="1" applyAlignment="1">
      <alignment wrapText="1"/>
    </xf>
    <xf numFmtId="0" fontId="6" fillId="116" borderId="381" xfId="306" applyFont="1" applyFill="1" applyBorder="1" applyAlignment="1">
      <alignment wrapText="1"/>
    </xf>
    <xf numFmtId="0" fontId="6" fillId="116" borderId="382" xfId="306" applyFont="1" applyFill="1" applyBorder="1" applyAlignment="1">
      <alignment wrapText="1"/>
    </xf>
    <xf numFmtId="0" fontId="6" fillId="84" borderId="372" xfId="306" applyFont="1" applyFill="1" applyBorder="1" applyAlignment="1">
      <alignment horizontal="left" vertical="center" wrapText="1" indent="1"/>
    </xf>
    <xf numFmtId="2" fontId="6" fillId="28" borderId="317" xfId="306" applyNumberFormat="1" applyFont="1" applyFill="1" applyBorder="1"/>
    <xf numFmtId="2" fontId="6" fillId="28" borderId="318" xfId="306" applyNumberFormat="1" applyFont="1" applyFill="1" applyBorder="1"/>
    <xf numFmtId="2" fontId="6" fillId="28" borderId="383" xfId="306" applyNumberFormat="1" applyFont="1" applyFill="1" applyBorder="1"/>
    <xf numFmtId="2" fontId="6" fillId="28" borderId="376" xfId="306" applyNumberFormat="1" applyFont="1" applyFill="1" applyBorder="1"/>
    <xf numFmtId="2" fontId="6" fillId="28" borderId="384" xfId="306" applyNumberFormat="1" applyFont="1" applyFill="1" applyBorder="1"/>
    <xf numFmtId="2" fontId="6" fillId="28" borderId="385" xfId="306" applyNumberFormat="1" applyFont="1" applyFill="1" applyBorder="1"/>
    <xf numFmtId="2" fontId="6" fillId="28" borderId="386" xfId="306" applyNumberFormat="1" applyFont="1" applyFill="1" applyBorder="1"/>
    <xf numFmtId="0" fontId="6" fillId="28" borderId="317" xfId="306" applyFont="1" applyFill="1" applyBorder="1"/>
    <xf numFmtId="0" fontId="6" fillId="28" borderId="318" xfId="306" applyFont="1" applyFill="1" applyBorder="1"/>
    <xf numFmtId="0" fontId="6" fillId="28" borderId="383" xfId="306" applyFont="1" applyFill="1" applyBorder="1"/>
    <xf numFmtId="0" fontId="6" fillId="28" borderId="376" xfId="306" applyFont="1" applyFill="1" applyBorder="1"/>
    <xf numFmtId="0" fontId="6" fillId="28" borderId="384" xfId="306" applyFont="1" applyFill="1" applyBorder="1"/>
    <xf numFmtId="0" fontId="6" fillId="28" borderId="385" xfId="306" applyFont="1" applyFill="1" applyBorder="1"/>
    <xf numFmtId="0" fontId="6" fillId="28" borderId="386" xfId="306" applyFont="1" applyFill="1" applyBorder="1"/>
    <xf numFmtId="0" fontId="6" fillId="84" borderId="19" xfId="306" applyFont="1" applyFill="1" applyBorder="1" applyAlignment="1">
      <alignment horizontal="left" vertical="center" wrapText="1" indent="1"/>
    </xf>
    <xf numFmtId="0" fontId="6" fillId="28" borderId="313" xfId="306" applyFont="1" applyFill="1" applyBorder="1"/>
    <xf numFmtId="0" fontId="6" fillId="28" borderId="314" xfId="306" applyFont="1" applyFill="1" applyBorder="1"/>
    <xf numFmtId="0" fontId="6" fillId="28" borderId="387" xfId="306" applyFont="1" applyFill="1" applyBorder="1"/>
    <xf numFmtId="0" fontId="6" fillId="28" borderId="388" xfId="306" applyFont="1" applyFill="1" applyBorder="1"/>
    <xf numFmtId="0" fontId="6" fillId="28" borderId="389" xfId="306" applyFont="1" applyFill="1" applyBorder="1"/>
    <xf numFmtId="167" fontId="6" fillId="28" borderId="318" xfId="306" applyNumberFormat="1" applyFont="1" applyFill="1" applyBorder="1"/>
    <xf numFmtId="167" fontId="6" fillId="28" borderId="376" xfId="306" applyNumberFormat="1" applyFont="1" applyFill="1" applyBorder="1"/>
    <xf numFmtId="167" fontId="6" fillId="28" borderId="317" xfId="306" applyNumberFormat="1" applyFont="1" applyFill="1" applyBorder="1"/>
    <xf numFmtId="167" fontId="6" fillId="28" borderId="383" xfId="306" applyNumberFormat="1" applyFont="1" applyFill="1" applyBorder="1"/>
    <xf numFmtId="167" fontId="6" fillId="28" borderId="384" xfId="306" applyNumberFormat="1" applyFont="1" applyFill="1" applyBorder="1"/>
    <xf numFmtId="167" fontId="6" fillId="28" borderId="385" xfId="306" applyNumberFormat="1" applyFont="1" applyFill="1" applyBorder="1"/>
    <xf numFmtId="167" fontId="6" fillId="28" borderId="386" xfId="306" applyNumberFormat="1" applyFont="1" applyFill="1" applyBorder="1"/>
    <xf numFmtId="0" fontId="6" fillId="84" borderId="393" xfId="306" applyFont="1" applyFill="1" applyBorder="1" applyAlignment="1">
      <alignment horizontal="left" vertical="center" wrapText="1" indent="1"/>
    </xf>
    <xf numFmtId="0" fontId="53" fillId="40" borderId="82" xfId="306" applyNumberFormat="1" applyFont="1" applyFill="1" applyBorder="1" applyAlignment="1" applyProtection="1">
      <alignment horizontal="center" vertical="center" wrapText="1"/>
    </xf>
    <xf numFmtId="0" fontId="9" fillId="40" borderId="82" xfId="306" applyFont="1" applyFill="1" applyBorder="1" applyAlignment="1">
      <alignment horizontal="center" vertical="center" wrapText="1"/>
    </xf>
    <xf numFmtId="0" fontId="9" fillId="39" borderId="21" xfId="306" applyFont="1" applyFill="1" applyBorder="1" applyAlignment="1">
      <alignment horizontal="center" vertical="center" wrapText="1"/>
    </xf>
    <xf numFmtId="0" fontId="9" fillId="39" borderId="23" xfId="306" applyFont="1" applyFill="1" applyBorder="1" applyAlignment="1">
      <alignment horizontal="center" vertical="center" wrapText="1"/>
    </xf>
    <xf numFmtId="0" fontId="9" fillId="39" borderId="19" xfId="306" applyFont="1" applyFill="1" applyBorder="1" applyAlignment="1">
      <alignment horizontal="center" vertical="center" wrapText="1"/>
    </xf>
    <xf numFmtId="0" fontId="9" fillId="39" borderId="24" xfId="306" applyFont="1" applyFill="1" applyBorder="1" applyAlignment="1">
      <alignment horizontal="center" vertical="center" wrapText="1"/>
    </xf>
    <xf numFmtId="0" fontId="9" fillId="39" borderId="358" xfId="306" applyFont="1" applyFill="1" applyBorder="1" applyAlignment="1">
      <alignment horizontal="center" vertical="center" wrapText="1"/>
    </xf>
    <xf numFmtId="0" fontId="9" fillId="39" borderId="359" xfId="306" applyFont="1" applyFill="1" applyBorder="1" applyAlignment="1">
      <alignment horizontal="center" vertical="center" wrapText="1"/>
    </xf>
    <xf numFmtId="0" fontId="6" fillId="29" borderId="19" xfId="306" applyFont="1" applyFill="1" applyBorder="1" applyAlignment="1">
      <alignment wrapText="1"/>
    </xf>
    <xf numFmtId="0" fontId="6" fillId="29" borderId="24" xfId="306" applyFont="1" applyFill="1" applyBorder="1" applyAlignment="1">
      <alignment wrapText="1"/>
    </xf>
    <xf numFmtId="0" fontId="9" fillId="33" borderId="50" xfId="306" applyFont="1" applyFill="1" applyBorder="1" applyAlignment="1">
      <alignment horizontal="left" vertical="center" wrapText="1" indent="1"/>
    </xf>
    <xf numFmtId="0" fontId="9" fillId="33" borderId="50" xfId="306" applyFont="1" applyFill="1" applyBorder="1" applyAlignment="1">
      <alignment horizontal="left" vertical="center" wrapText="1"/>
    </xf>
    <xf numFmtId="0" fontId="6" fillId="33" borderId="50" xfId="306" applyFont="1" applyFill="1" applyBorder="1" applyAlignment="1">
      <alignment horizontal="left" vertical="center" wrapText="1"/>
    </xf>
    <xf numFmtId="0" fontId="6" fillId="25" borderId="50" xfId="306" applyFont="1" applyFill="1" applyBorder="1" applyAlignment="1">
      <alignment horizontal="left" vertical="center" wrapText="1"/>
    </xf>
    <xf numFmtId="0" fontId="6" fillId="25" borderId="68" xfId="306" applyFont="1" applyFill="1" applyBorder="1" applyAlignment="1">
      <alignment horizontal="left" vertical="center" wrapText="1" indent="1"/>
    </xf>
    <xf numFmtId="0" fontId="6" fillId="25" borderId="68" xfId="306" applyFont="1" applyFill="1" applyBorder="1" applyAlignment="1">
      <alignment horizontal="left" vertical="center" wrapText="1"/>
    </xf>
    <xf numFmtId="43" fontId="6" fillId="28" borderId="318" xfId="30" applyFont="1" applyFill="1" applyBorder="1"/>
    <xf numFmtId="43" fontId="6" fillId="28" borderId="376" xfId="30" applyFont="1" applyFill="1" applyBorder="1"/>
    <xf numFmtId="43" fontId="6" fillId="28" borderId="317" xfId="30" applyFont="1" applyFill="1" applyBorder="1"/>
    <xf numFmtId="43" fontId="6" fillId="28" borderId="383" xfId="30" applyFont="1" applyFill="1" applyBorder="1"/>
    <xf numFmtId="43" fontId="6" fillId="28" borderId="384" xfId="30" applyFont="1" applyFill="1" applyBorder="1"/>
    <xf numFmtId="43" fontId="6" fillId="28" borderId="385" xfId="30" applyFont="1" applyFill="1" applyBorder="1"/>
    <xf numFmtId="43" fontId="6" fillId="28" borderId="386" xfId="30" applyFont="1" applyFill="1" applyBorder="1"/>
    <xf numFmtId="43" fontId="6" fillId="18" borderId="86" xfId="30" applyFont="1" applyFill="1" applyBorder="1"/>
    <xf numFmtId="43" fontId="6" fillId="18" borderId="46" xfId="30" applyFont="1" applyFill="1" applyBorder="1"/>
    <xf numFmtId="43" fontId="6" fillId="18" borderId="63" xfId="30" applyFont="1" applyFill="1" applyBorder="1"/>
    <xf numFmtId="43" fontId="6" fillId="18" borderId="50" xfId="30" applyFont="1" applyFill="1" applyBorder="1"/>
    <xf numFmtId="43" fontId="6" fillId="18" borderId="207" xfId="30" applyFont="1" applyFill="1" applyBorder="1"/>
    <xf numFmtId="43" fontId="6" fillId="18" borderId="64" xfId="30" applyFont="1" applyFill="1" applyBorder="1"/>
    <xf numFmtId="43" fontId="6" fillId="18" borderId="67" xfId="30" applyFont="1" applyFill="1" applyBorder="1"/>
    <xf numFmtId="43" fontId="6" fillId="116" borderId="381" xfId="30" applyFont="1" applyFill="1" applyBorder="1" applyAlignment="1">
      <alignment wrapText="1"/>
    </xf>
    <xf numFmtId="43" fontId="6" fillId="116" borderId="380" xfId="30" applyFont="1" applyFill="1" applyBorder="1" applyAlignment="1">
      <alignment wrapText="1"/>
    </xf>
    <xf numFmtId="43" fontId="6" fillId="116" borderId="382" xfId="30" applyFont="1" applyFill="1" applyBorder="1" applyAlignment="1">
      <alignment wrapText="1"/>
    </xf>
    <xf numFmtId="0" fontId="66" fillId="0" borderId="21" xfId="0" applyFont="1" applyFill="1" applyBorder="1" applyAlignment="1">
      <alignment vertical="center"/>
    </xf>
    <xf numFmtId="0" fontId="66" fillId="0" borderId="22" xfId="0" applyFont="1" applyFill="1" applyBorder="1" applyAlignment="1">
      <alignment vertical="center"/>
    </xf>
    <xf numFmtId="0" fontId="66" fillId="0" borderId="23" xfId="0" applyFont="1" applyFill="1" applyBorder="1" applyAlignment="1">
      <alignment vertical="center"/>
    </xf>
    <xf numFmtId="0" fontId="66" fillId="0" borderId="245" xfId="0" applyFont="1" applyFill="1" applyBorder="1" applyAlignment="1">
      <alignment vertical="center"/>
    </xf>
    <xf numFmtId="0" fontId="66" fillId="0" borderId="343" xfId="0" applyFont="1" applyFill="1" applyBorder="1" applyAlignment="1">
      <alignment vertical="center"/>
    </xf>
    <xf numFmtId="0" fontId="66" fillId="0" borderId="202" xfId="0" applyFont="1" applyFill="1" applyBorder="1" applyAlignment="1">
      <alignment vertical="center"/>
    </xf>
    <xf numFmtId="0" fontId="6" fillId="25" borderId="83" xfId="0" applyFont="1" applyFill="1" applyBorder="1" applyAlignment="1">
      <alignment horizontal="left" vertical="center" wrapText="1" indent="2"/>
    </xf>
    <xf numFmtId="168" fontId="6" fillId="18" borderId="87" xfId="30" applyNumberFormat="1" applyFont="1" applyFill="1" applyBorder="1"/>
    <xf numFmtId="168" fontId="6" fillId="18" borderId="84" xfId="30" applyNumberFormat="1" applyFont="1" applyFill="1" applyBorder="1"/>
    <xf numFmtId="0" fontId="9" fillId="30" borderId="249" xfId="0" applyFont="1" applyFill="1" applyBorder="1" applyAlignment="1">
      <alignment horizontal="left" wrapText="1" indent="1"/>
    </xf>
    <xf numFmtId="0" fontId="6" fillId="30" borderId="203" xfId="0" applyFont="1" applyFill="1" applyBorder="1" applyAlignment="1">
      <alignment horizontal="left" indent="1"/>
    </xf>
    <xf numFmtId="168" fontId="6" fillId="18" borderId="78" xfId="30" applyNumberFormat="1" applyFont="1" applyFill="1" applyBorder="1" applyAlignment="1" applyProtection="1">
      <alignment horizontal="right" vertical="center" wrapText="1"/>
      <protection locked="0"/>
    </xf>
    <xf numFmtId="168" fontId="6" fillId="18" borderId="79" xfId="30" applyNumberFormat="1" applyFont="1" applyFill="1" applyBorder="1" applyAlignment="1" applyProtection="1">
      <alignment horizontal="right" vertical="center" wrapText="1"/>
      <protection locked="0"/>
    </xf>
    <xf numFmtId="168" fontId="6" fillId="18" borderId="80" xfId="30" applyNumberFormat="1" applyFont="1" applyFill="1" applyBorder="1" applyAlignment="1" applyProtection="1">
      <alignment horizontal="right" vertical="center" wrapText="1"/>
      <protection locked="0"/>
    </xf>
    <xf numFmtId="168" fontId="6" fillId="18" borderId="48" xfId="30" applyNumberFormat="1" applyFont="1" applyFill="1" applyBorder="1" applyAlignment="1" applyProtection="1">
      <alignment horizontal="right" vertical="center" wrapText="1"/>
      <protection locked="0"/>
    </xf>
    <xf numFmtId="168" fontId="6" fillId="18" borderId="64" xfId="30" applyNumberFormat="1" applyFont="1" applyFill="1" applyBorder="1" applyAlignment="1" applyProtection="1">
      <alignment horizontal="right" vertical="center" wrapText="1"/>
      <protection locked="0"/>
    </xf>
    <xf numFmtId="168" fontId="6" fillId="18" borderId="67" xfId="30" applyNumberFormat="1" applyFont="1" applyFill="1" applyBorder="1" applyAlignment="1" applyProtection="1">
      <alignment horizontal="right" vertical="center" wrapText="1"/>
      <protection locked="0"/>
    </xf>
    <xf numFmtId="168" fontId="6" fillId="18" borderId="89" xfId="30" applyNumberFormat="1" applyFont="1" applyFill="1" applyBorder="1" applyAlignment="1" applyProtection="1">
      <alignment horizontal="right" vertical="center" wrapText="1"/>
      <protection locked="0"/>
    </xf>
    <xf numFmtId="168" fontId="6" fillId="18" borderId="62" xfId="30" applyNumberFormat="1" applyFont="1" applyFill="1" applyBorder="1" applyAlignment="1" applyProtection="1">
      <alignment horizontal="right" vertical="center" wrapText="1"/>
      <protection locked="0"/>
    </xf>
    <xf numFmtId="168" fontId="6" fillId="18" borderId="81" xfId="30" applyNumberFormat="1" applyFont="1" applyFill="1" applyBorder="1" applyAlignment="1" applyProtection="1">
      <alignment horizontal="right" vertical="center" wrapText="1"/>
      <protection locked="0"/>
    </xf>
    <xf numFmtId="168" fontId="6" fillId="18" borderId="66" xfId="30" applyNumberFormat="1" applyFont="1" applyFill="1" applyBorder="1" applyAlignment="1" applyProtection="1">
      <alignment horizontal="right" vertical="center" wrapText="1"/>
      <protection locked="0"/>
    </xf>
    <xf numFmtId="168" fontId="6" fillId="18" borderId="85" xfId="30" applyNumberFormat="1" applyFont="1" applyFill="1" applyBorder="1" applyAlignment="1" applyProtection="1">
      <alignment horizontal="right" vertical="center" wrapText="1"/>
      <protection locked="0"/>
    </xf>
    <xf numFmtId="168" fontId="6" fillId="18" borderId="86" xfId="30" applyNumberFormat="1" applyFont="1" applyFill="1" applyBorder="1" applyAlignment="1" applyProtection="1">
      <alignment horizontal="right" vertical="center" wrapText="1"/>
      <protection locked="0"/>
    </xf>
    <xf numFmtId="168" fontId="6" fillId="18" borderId="87" xfId="30" applyNumberFormat="1" applyFont="1" applyFill="1" applyBorder="1" applyAlignment="1" applyProtection="1">
      <alignment horizontal="right" vertical="center" wrapText="1"/>
      <protection locked="0"/>
    </xf>
    <xf numFmtId="168" fontId="6" fillId="18" borderId="88" xfId="30" applyNumberFormat="1" applyFont="1" applyFill="1" applyBorder="1" applyAlignment="1" applyProtection="1">
      <alignment horizontal="right" vertical="center" wrapText="1"/>
      <protection locked="0"/>
    </xf>
    <xf numFmtId="168" fontId="6" fillId="18" borderId="71" xfId="30" applyNumberFormat="1" applyFont="1" applyFill="1" applyBorder="1" applyAlignment="1" applyProtection="1">
      <alignment horizontal="right" vertical="center" wrapText="1"/>
      <protection locked="0"/>
    </xf>
    <xf numFmtId="168" fontId="6" fillId="18" borderId="61" xfId="30" applyNumberFormat="1" applyFont="1" applyFill="1" applyBorder="1" applyAlignment="1" applyProtection="1">
      <alignment horizontal="right" vertical="center" wrapText="1"/>
      <protection locked="0"/>
    </xf>
    <xf numFmtId="168" fontId="6" fillId="18" borderId="84" xfId="30" applyNumberFormat="1" applyFont="1" applyFill="1" applyBorder="1" applyAlignment="1" applyProtection="1">
      <alignment horizontal="right" vertical="center" wrapText="1"/>
      <protection locked="0"/>
    </xf>
    <xf numFmtId="168" fontId="6" fillId="18" borderId="65" xfId="30" applyNumberFormat="1" applyFont="1" applyFill="1" applyBorder="1" applyAlignment="1" applyProtection="1">
      <alignment horizontal="right" vertical="center" wrapText="1"/>
      <protection locked="0"/>
    </xf>
    <xf numFmtId="0" fontId="227" fillId="0" borderId="0" xfId="0" applyFont="1" applyFill="1" applyBorder="1" applyAlignment="1" applyProtection="1">
      <alignment horizontal="right" vertical="center" wrapText="1"/>
      <protection locked="0"/>
    </xf>
    <xf numFmtId="168" fontId="6" fillId="18" borderId="55" xfId="30" applyNumberFormat="1" applyFont="1" applyFill="1" applyBorder="1" applyAlignment="1" applyProtection="1">
      <alignment horizontal="right" vertical="center" wrapText="1"/>
      <protection locked="0"/>
    </xf>
    <xf numFmtId="168" fontId="6" fillId="18" borderId="56" xfId="30" applyNumberFormat="1" applyFont="1" applyFill="1" applyBorder="1" applyAlignment="1" applyProtection="1">
      <alignment horizontal="right" vertical="center" wrapText="1"/>
      <protection locked="0"/>
    </xf>
    <xf numFmtId="168" fontId="6" fillId="18" borderId="59" xfId="30" applyNumberFormat="1" applyFont="1" applyFill="1" applyBorder="1" applyAlignment="1" applyProtection="1">
      <alignment horizontal="right" vertical="center" wrapText="1"/>
      <protection locked="0"/>
    </xf>
    <xf numFmtId="168" fontId="6" fillId="18" borderId="96" xfId="30" applyNumberFormat="1" applyFont="1" applyFill="1" applyBorder="1" applyAlignment="1" applyProtection="1">
      <alignment horizontal="right" vertical="center" wrapText="1"/>
      <protection locked="0"/>
    </xf>
    <xf numFmtId="168" fontId="6" fillId="31" borderId="55" xfId="30" applyNumberFormat="1" applyFont="1" applyFill="1" applyBorder="1" applyAlignment="1" applyProtection="1">
      <alignment horizontal="right" vertical="center" wrapText="1"/>
      <protection locked="0"/>
    </xf>
    <xf numFmtId="168" fontId="6" fillId="31" borderId="59" xfId="30" applyNumberFormat="1" applyFont="1" applyFill="1" applyBorder="1" applyAlignment="1" applyProtection="1">
      <alignment horizontal="right" vertical="center" wrapText="1"/>
      <protection locked="0"/>
    </xf>
    <xf numFmtId="168" fontId="9" fillId="31" borderId="46" xfId="30" applyNumberFormat="1" applyFont="1" applyFill="1" applyBorder="1" applyAlignment="1">
      <alignment horizontal="right" vertical="center" wrapText="1"/>
    </xf>
    <xf numFmtId="168" fontId="9" fillId="31" borderId="60" xfId="30" applyNumberFormat="1" applyFont="1" applyFill="1" applyBorder="1" applyAlignment="1">
      <alignment horizontal="right" vertical="center" wrapText="1"/>
    </xf>
    <xf numFmtId="168" fontId="9" fillId="31" borderId="63" xfId="30" applyNumberFormat="1" applyFont="1" applyFill="1" applyBorder="1" applyAlignment="1">
      <alignment horizontal="right" vertical="center" wrapText="1"/>
    </xf>
    <xf numFmtId="168" fontId="14" fillId="29" borderId="130" xfId="30" applyNumberFormat="1" applyFont="1" applyFill="1" applyBorder="1" applyAlignment="1">
      <alignment vertical="center"/>
    </xf>
    <xf numFmtId="168" fontId="9" fillId="31" borderId="78" xfId="30" applyNumberFormat="1" applyFont="1" applyFill="1" applyBorder="1" applyAlignment="1">
      <alignment horizontal="right" vertical="center" wrapText="1"/>
    </xf>
    <xf numFmtId="168" fontId="9" fillId="31" borderId="79" xfId="30" applyNumberFormat="1" applyFont="1" applyFill="1" applyBorder="1" applyAlignment="1">
      <alignment horizontal="right" vertical="center" wrapText="1"/>
    </xf>
    <xf numFmtId="168" fontId="9" fillId="31" borderId="80" xfId="30" applyNumberFormat="1" applyFont="1" applyFill="1" applyBorder="1" applyAlignment="1">
      <alignment horizontal="right" vertical="center" wrapText="1"/>
    </xf>
    <xf numFmtId="168" fontId="9" fillId="31" borderId="54" xfId="30" applyNumberFormat="1" applyFont="1" applyFill="1" applyBorder="1" applyAlignment="1">
      <alignment horizontal="right" vertical="center" wrapText="1"/>
    </xf>
    <xf numFmtId="168" fontId="9" fillId="31" borderId="52" xfId="30" applyNumberFormat="1" applyFont="1" applyFill="1" applyBorder="1" applyAlignment="1">
      <alignment horizontal="right" vertical="center" wrapText="1"/>
    </xf>
    <xf numFmtId="168" fontId="9" fillId="31" borderId="53" xfId="30" applyNumberFormat="1" applyFont="1" applyFill="1" applyBorder="1" applyAlignment="1">
      <alignment horizontal="right" vertical="center" wrapText="1"/>
    </xf>
    <xf numFmtId="168" fontId="9" fillId="31" borderId="51" xfId="30" applyNumberFormat="1" applyFont="1" applyFill="1" applyBorder="1" applyAlignment="1">
      <alignment horizontal="right" vertical="center" wrapText="1"/>
    </xf>
    <xf numFmtId="168" fontId="6" fillId="25" borderId="49" xfId="30" applyNumberFormat="1" applyFont="1" applyFill="1" applyBorder="1" applyAlignment="1">
      <alignment horizontal="right" vertical="center" wrapText="1"/>
    </xf>
    <xf numFmtId="168" fontId="6" fillId="25" borderId="82" xfId="30" applyNumberFormat="1" applyFont="1" applyFill="1" applyBorder="1"/>
    <xf numFmtId="168" fontId="6" fillId="25" borderId="90" xfId="30" applyNumberFormat="1" applyFont="1" applyFill="1" applyBorder="1"/>
    <xf numFmtId="168" fontId="6" fillId="25" borderId="78" xfId="30" applyNumberFormat="1" applyFont="1" applyFill="1" applyBorder="1"/>
    <xf numFmtId="168" fontId="6" fillId="25" borderId="79" xfId="30" applyNumberFormat="1" applyFont="1" applyFill="1" applyBorder="1"/>
    <xf numFmtId="168" fontId="6" fillId="25" borderId="80" xfId="30" applyNumberFormat="1" applyFont="1" applyFill="1" applyBorder="1"/>
    <xf numFmtId="168" fontId="6" fillId="25" borderId="78" xfId="30" applyNumberFormat="1" applyFont="1" applyFill="1" applyBorder="1" applyAlignment="1" applyProtection="1">
      <alignment horizontal="right" vertical="center"/>
      <protection locked="0"/>
    </xf>
    <xf numFmtId="168" fontId="6" fillId="25" borderId="79" xfId="30" applyNumberFormat="1" applyFont="1" applyFill="1" applyBorder="1" applyAlignment="1" applyProtection="1">
      <alignment horizontal="right" vertical="center"/>
      <protection locked="0"/>
    </xf>
    <xf numFmtId="168" fontId="6" fillId="25" borderId="80" xfId="30" applyNumberFormat="1" applyFont="1" applyFill="1" applyBorder="1" applyAlignment="1" applyProtection="1">
      <alignment horizontal="right" vertical="center"/>
      <protection locked="0"/>
    </xf>
    <xf numFmtId="168" fontId="6" fillId="25" borderId="75" xfId="30" applyNumberFormat="1" applyFont="1" applyFill="1" applyBorder="1" applyAlignment="1" applyProtection="1">
      <alignment horizontal="right" vertical="center"/>
      <protection locked="0"/>
    </xf>
    <xf numFmtId="168" fontId="6" fillId="25" borderId="50" xfId="30" applyNumberFormat="1" applyFont="1" applyFill="1" applyBorder="1" applyAlignment="1">
      <alignment horizontal="right" vertical="center" wrapText="1"/>
    </xf>
    <xf numFmtId="168" fontId="6" fillId="25" borderId="77" xfId="30" applyNumberFormat="1" applyFont="1" applyFill="1" applyBorder="1"/>
    <xf numFmtId="168" fontId="6" fillId="25" borderId="83" xfId="30" applyNumberFormat="1" applyFont="1" applyFill="1" applyBorder="1" applyAlignment="1">
      <alignment horizontal="right" vertical="center" wrapText="1"/>
    </xf>
    <xf numFmtId="168" fontId="6" fillId="25" borderId="166" xfId="30" applyNumberFormat="1" applyFont="1" applyFill="1" applyBorder="1"/>
    <xf numFmtId="168" fontId="6" fillId="25" borderId="166" xfId="30" applyNumberFormat="1" applyFont="1" applyFill="1" applyBorder="1" applyAlignment="1" applyProtection="1">
      <alignment horizontal="right" vertical="center"/>
      <protection locked="0"/>
    </xf>
    <xf numFmtId="168" fontId="6" fillId="18" borderId="44" xfId="30" applyNumberFormat="1" applyFont="1" applyFill="1" applyBorder="1" applyProtection="1">
      <protection locked="0"/>
    </xf>
    <xf numFmtId="168" fontId="6" fillId="18" borderId="82" xfId="30" applyNumberFormat="1" applyFont="1" applyFill="1" applyBorder="1" applyProtection="1">
      <protection locked="0"/>
    </xf>
    <xf numFmtId="168" fontId="6" fillId="18" borderId="85" xfId="30" applyNumberFormat="1" applyFont="1" applyFill="1" applyBorder="1" applyProtection="1">
      <protection locked="0"/>
    </xf>
    <xf numFmtId="168" fontId="6" fillId="18" borderId="90" xfId="30" applyNumberFormat="1" applyFont="1" applyFill="1" applyBorder="1" applyProtection="1">
      <protection locked="0"/>
    </xf>
    <xf numFmtId="168" fontId="6" fillId="18" borderId="89" xfId="30" applyNumberFormat="1" applyFont="1" applyFill="1" applyBorder="1" applyProtection="1">
      <protection locked="0"/>
    </xf>
    <xf numFmtId="168" fontId="6" fillId="18" borderId="46" xfId="30" applyNumberFormat="1" applyFont="1" applyFill="1" applyBorder="1" applyProtection="1">
      <protection locked="0"/>
    </xf>
    <xf numFmtId="168" fontId="6" fillId="18" borderId="60" xfId="30" applyNumberFormat="1" applyFont="1" applyFill="1" applyBorder="1" applyProtection="1">
      <protection locked="0"/>
    </xf>
    <xf numFmtId="168" fontId="6" fillId="18" borderId="86" xfId="30" applyNumberFormat="1" applyFont="1" applyFill="1" applyBorder="1" applyProtection="1">
      <protection locked="0"/>
    </xf>
    <xf numFmtId="168" fontId="6" fillId="18" borderId="63" xfId="30" applyNumberFormat="1" applyFont="1" applyFill="1" applyBorder="1" applyProtection="1">
      <protection locked="0"/>
    </xf>
    <xf numFmtId="168" fontId="6" fillId="18" borderId="62" xfId="30" applyNumberFormat="1" applyFont="1" applyFill="1" applyBorder="1" applyProtection="1">
      <protection locked="0"/>
    </xf>
    <xf numFmtId="168" fontId="66" fillId="29" borderId="36" xfId="30" applyNumberFormat="1" applyFont="1" applyFill="1" applyBorder="1" applyAlignment="1">
      <alignment vertical="center"/>
    </xf>
    <xf numFmtId="168" fontId="66" fillId="29" borderId="35" xfId="30" applyNumberFormat="1" applyFont="1" applyFill="1" applyBorder="1" applyAlignment="1">
      <alignment vertical="center"/>
    </xf>
    <xf numFmtId="168" fontId="66" fillId="29" borderId="34" xfId="30" applyNumberFormat="1" applyFont="1" applyFill="1" applyBorder="1" applyAlignment="1">
      <alignment vertical="center"/>
    </xf>
    <xf numFmtId="168" fontId="6" fillId="18" borderId="78" xfId="30" applyNumberFormat="1" applyFont="1" applyFill="1" applyBorder="1" applyProtection="1">
      <protection locked="0"/>
    </xf>
    <xf numFmtId="168" fontId="6" fillId="18" borderId="79" xfId="30" applyNumberFormat="1" applyFont="1" applyFill="1" applyBorder="1" applyProtection="1">
      <protection locked="0"/>
    </xf>
    <xf numFmtId="168" fontId="6" fillId="18" borderId="87" xfId="30" applyNumberFormat="1" applyFont="1" applyFill="1" applyBorder="1" applyProtection="1">
      <protection locked="0"/>
    </xf>
    <xf numFmtId="168" fontId="6" fillId="18" borderId="80" xfId="30" applyNumberFormat="1" applyFont="1" applyFill="1" applyBorder="1" applyProtection="1">
      <protection locked="0"/>
    </xf>
    <xf numFmtId="168" fontId="6" fillId="18" borderId="81" xfId="30" applyNumberFormat="1" applyFont="1" applyFill="1" applyBorder="1" applyProtection="1">
      <protection locked="0"/>
    </xf>
    <xf numFmtId="168" fontId="9" fillId="29" borderId="210" xfId="30" applyNumberFormat="1" applyFont="1" applyFill="1" applyBorder="1" applyAlignment="1">
      <alignment horizontal="right" vertical="center" wrapText="1"/>
    </xf>
    <xf numFmtId="168" fontId="9" fillId="29" borderId="208" xfId="30" applyNumberFormat="1" applyFont="1" applyFill="1" applyBorder="1" applyAlignment="1">
      <alignment horizontal="right" vertical="center" wrapText="1"/>
    </xf>
    <xf numFmtId="168" fontId="9" fillId="29" borderId="220" xfId="30" applyNumberFormat="1" applyFont="1" applyFill="1" applyBorder="1" applyAlignment="1">
      <alignment horizontal="right" vertical="center" wrapText="1"/>
    </xf>
    <xf numFmtId="168" fontId="9" fillId="29" borderId="209" xfId="30" applyNumberFormat="1" applyFont="1" applyFill="1" applyBorder="1" applyAlignment="1">
      <alignment horizontal="right" vertical="center" wrapText="1"/>
    </xf>
    <xf numFmtId="168" fontId="9" fillId="29" borderId="221" xfId="30" applyNumberFormat="1" applyFont="1" applyFill="1" applyBorder="1" applyAlignment="1">
      <alignment horizontal="right" vertical="center" wrapText="1"/>
    </xf>
    <xf numFmtId="168" fontId="9" fillId="34" borderId="88" xfId="30" applyNumberFormat="1" applyFont="1" applyFill="1" applyBorder="1"/>
    <xf numFmtId="168" fontId="9" fillId="34" borderId="116" xfId="30" applyNumberFormat="1" applyFont="1" applyFill="1" applyBorder="1"/>
    <xf numFmtId="0" fontId="6" fillId="22" borderId="143" xfId="0" applyFont="1" applyFill="1" applyBorder="1" applyAlignment="1" applyProtection="1">
      <alignment vertical="center" wrapText="1"/>
      <protection locked="0"/>
    </xf>
    <xf numFmtId="0" fontId="6" fillId="22" borderId="95" xfId="0" applyFont="1" applyFill="1" applyBorder="1" applyAlignment="1" applyProtection="1">
      <alignment vertical="center" wrapText="1"/>
      <protection locked="0"/>
    </xf>
    <xf numFmtId="0" fontId="6" fillId="22" borderId="183" xfId="0" applyFont="1" applyFill="1" applyBorder="1" applyAlignment="1" applyProtection="1">
      <alignment vertical="center" wrapText="1"/>
      <protection locked="0"/>
    </xf>
    <xf numFmtId="168" fontId="6" fillId="29" borderId="0" xfId="30" applyNumberFormat="1" applyFont="1" applyFill="1" applyBorder="1"/>
    <xf numFmtId="168" fontId="9" fillId="34" borderId="0" xfId="30" applyNumberFormat="1" applyFont="1" applyFill="1" applyBorder="1"/>
    <xf numFmtId="168" fontId="6" fillId="29" borderId="21" xfId="30" applyNumberFormat="1" applyFont="1" applyFill="1" applyBorder="1"/>
    <xf numFmtId="168" fontId="6" fillId="29" borderId="22" xfId="30" applyNumberFormat="1" applyFont="1" applyFill="1" applyBorder="1"/>
    <xf numFmtId="168" fontId="6" fillId="29" borderId="23" xfId="30" applyNumberFormat="1" applyFont="1" applyFill="1" applyBorder="1"/>
    <xf numFmtId="168" fontId="6" fillId="29" borderId="19" xfId="30" applyNumberFormat="1" applyFont="1" applyFill="1" applyBorder="1"/>
    <xf numFmtId="168" fontId="6" fillId="29" borderId="24" xfId="30" applyNumberFormat="1" applyFont="1" applyFill="1" applyBorder="1"/>
    <xf numFmtId="168" fontId="9" fillId="34" borderId="19" xfId="30" applyNumberFormat="1" applyFont="1" applyFill="1" applyBorder="1"/>
    <xf numFmtId="168" fontId="9" fillId="34" borderId="24" xfId="30" applyNumberFormat="1" applyFont="1" applyFill="1" applyBorder="1"/>
    <xf numFmtId="168" fontId="9" fillId="34" borderId="358" xfId="30" applyNumberFormat="1" applyFont="1" applyFill="1" applyBorder="1"/>
    <xf numFmtId="168" fontId="9" fillId="34" borderId="363" xfId="30" applyNumberFormat="1" applyFont="1" applyFill="1" applyBorder="1"/>
    <xf numFmtId="168" fontId="9" fillId="34" borderId="359" xfId="30" applyNumberFormat="1" applyFont="1" applyFill="1" applyBorder="1"/>
    <xf numFmtId="0" fontId="66" fillId="36" borderId="50" xfId="0" applyFont="1" applyFill="1" applyBorder="1" applyAlignment="1">
      <alignment horizontal="center" vertical="center" wrapText="1"/>
    </xf>
    <xf numFmtId="0" fontId="66" fillId="36" borderId="76" xfId="0" applyFont="1" applyFill="1" applyBorder="1" applyAlignment="1">
      <alignment horizontal="center" vertical="center" wrapText="1"/>
    </xf>
    <xf numFmtId="0" fontId="66" fillId="36" borderId="62" xfId="0" applyFont="1" applyFill="1" applyBorder="1" applyAlignment="1">
      <alignment horizontal="center" vertical="center" wrapText="1"/>
    </xf>
    <xf numFmtId="0" fontId="66" fillId="36" borderId="46" xfId="0" applyFont="1" applyFill="1" applyBorder="1" applyAlignment="1">
      <alignment horizontal="center" vertical="center" wrapText="1"/>
    </xf>
    <xf numFmtId="0" fontId="66" fillId="36" borderId="60" xfId="0" applyFont="1" applyFill="1" applyBorder="1" applyAlignment="1">
      <alignment horizontal="center" vertical="center" wrapText="1"/>
    </xf>
    <xf numFmtId="0" fontId="66" fillId="41" borderId="60" xfId="0" applyFont="1" applyFill="1" applyBorder="1" applyAlignment="1">
      <alignment horizontal="center" vertical="center" wrapText="1"/>
    </xf>
    <xf numFmtId="0" fontId="66" fillId="36" borderId="77" xfId="0" applyFont="1" applyFill="1" applyBorder="1" applyAlignment="1">
      <alignment horizontal="center" vertical="center" wrapText="1"/>
    </xf>
    <xf numFmtId="0" fontId="67" fillId="42" borderId="49" xfId="0" applyNumberFormat="1" applyFont="1" applyFill="1" applyBorder="1" applyAlignment="1" applyProtection="1">
      <alignment horizontal="center" vertical="center" wrapText="1"/>
    </xf>
    <xf numFmtId="0" fontId="67" fillId="42" borderId="74" xfId="0" applyNumberFormat="1" applyFont="1" applyFill="1" applyBorder="1" applyAlignment="1" applyProtection="1">
      <alignment horizontal="center" vertical="center" wrapText="1"/>
    </xf>
    <xf numFmtId="0" fontId="67" fillId="42" borderId="89" xfId="0" applyNumberFormat="1" applyFont="1" applyFill="1" applyBorder="1" applyAlignment="1" applyProtection="1">
      <alignment horizontal="center" vertical="center" wrapText="1"/>
    </xf>
    <xf numFmtId="0" fontId="67" fillId="50" borderId="85" xfId="0" applyNumberFormat="1" applyFont="1" applyFill="1" applyBorder="1" applyAlignment="1" applyProtection="1">
      <alignment horizontal="center" vertical="center" wrapText="1"/>
    </xf>
    <xf numFmtId="0" fontId="67" fillId="50" borderId="74" xfId="0" applyNumberFormat="1" applyFont="1" applyFill="1" applyBorder="1" applyAlignment="1" applyProtection="1">
      <alignment horizontal="center" vertical="center" wrapText="1"/>
    </xf>
    <xf numFmtId="0" fontId="67" fillId="50" borderId="75" xfId="0" applyNumberFormat="1" applyFont="1" applyFill="1" applyBorder="1" applyAlignment="1" applyProtection="1">
      <alignment horizontal="center" vertical="center" wrapText="1"/>
    </xf>
    <xf numFmtId="168" fontId="51" fillId="25" borderId="72" xfId="30" applyNumberFormat="1" applyFont="1" applyFill="1" applyBorder="1"/>
    <xf numFmtId="168" fontId="51" fillId="25" borderId="73" xfId="30" applyNumberFormat="1" applyFont="1" applyFill="1" applyBorder="1"/>
    <xf numFmtId="168" fontId="51" fillId="25" borderId="91" xfId="30" applyNumberFormat="1" applyFont="1" applyFill="1" applyBorder="1"/>
    <xf numFmtId="168" fontId="47" fillId="18" borderId="50" xfId="30" applyNumberFormat="1" applyFont="1" applyFill="1" applyBorder="1" applyAlignment="1">
      <alignment horizontal="left" indent="1"/>
    </xf>
    <xf numFmtId="168" fontId="47" fillId="18" borderId="77" xfId="30" applyNumberFormat="1" applyFont="1" applyFill="1" applyBorder="1" applyAlignment="1">
      <alignment horizontal="left" indent="1"/>
    </xf>
    <xf numFmtId="168" fontId="47" fillId="18" borderId="76" xfId="30" applyNumberFormat="1" applyFont="1" applyFill="1" applyBorder="1" applyAlignment="1">
      <alignment horizontal="left" indent="1"/>
    </xf>
    <xf numFmtId="0" fontId="9" fillId="39" borderId="206" xfId="0" applyFont="1" applyFill="1" applyBorder="1" applyAlignment="1" applyProtection="1">
      <alignment horizontal="center" vertical="center" wrapText="1"/>
      <protection locked="0"/>
    </xf>
    <xf numFmtId="0" fontId="9" fillId="39" borderId="82" xfId="0" applyFont="1" applyFill="1" applyBorder="1" applyAlignment="1" applyProtection="1">
      <alignment horizontal="center" vertical="center" wrapText="1"/>
      <protection locked="0"/>
    </xf>
    <xf numFmtId="168" fontId="14" fillId="25" borderId="72" xfId="30" applyNumberFormat="1" applyFont="1" applyFill="1" applyBorder="1" applyAlignment="1">
      <alignment horizontal="left" vertical="center" wrapText="1"/>
    </xf>
    <xf numFmtId="168" fontId="14" fillId="25" borderId="73" xfId="30" applyNumberFormat="1" applyFont="1" applyFill="1" applyBorder="1" applyAlignment="1">
      <alignment horizontal="left" vertical="center" wrapText="1"/>
    </xf>
    <xf numFmtId="168" fontId="14" fillId="25" borderId="91" xfId="30" applyNumberFormat="1" applyFont="1" applyFill="1" applyBorder="1" applyAlignment="1">
      <alignment horizontal="left" vertical="center" wrapText="1"/>
    </xf>
    <xf numFmtId="0" fontId="9" fillId="47" borderId="57" xfId="0" applyFont="1" applyFill="1" applyBorder="1" applyAlignment="1">
      <alignment horizontal="center" vertical="center" wrapText="1"/>
    </xf>
    <xf numFmtId="0" fontId="9" fillId="47" borderId="61" xfId="0" applyFont="1" applyFill="1" applyBorder="1" applyAlignment="1">
      <alignment horizontal="center" vertical="center" wrapText="1"/>
    </xf>
    <xf numFmtId="0" fontId="9" fillId="47" borderId="84" xfId="0" applyFont="1" applyFill="1" applyBorder="1" applyAlignment="1">
      <alignment horizontal="center" vertical="center" wrapText="1"/>
    </xf>
    <xf numFmtId="17" fontId="10" fillId="18" borderId="71" xfId="0" applyNumberFormat="1" applyFont="1" applyFill="1" applyBorder="1" applyAlignment="1" applyProtection="1">
      <alignment horizontal="right" vertical="center"/>
      <protection locked="0"/>
    </xf>
    <xf numFmtId="10" fontId="10" fillId="18" borderId="61" xfId="44" applyNumberFormat="1" applyFont="1" applyFill="1" applyBorder="1" applyAlignment="1" applyProtection="1">
      <alignment horizontal="right" vertical="center"/>
      <protection locked="0"/>
    </xf>
    <xf numFmtId="0" fontId="6" fillId="18" borderId="87" xfId="0" applyFont="1" applyFill="1" applyBorder="1" applyAlignment="1">
      <alignment horizontal="left" vertical="center" wrapText="1" indent="2"/>
    </xf>
    <xf numFmtId="0" fontId="6" fillId="18" borderId="78" xfId="0" applyFont="1" applyFill="1" applyBorder="1" applyAlignment="1">
      <alignment horizontal="left" vertical="center" wrapText="1"/>
    </xf>
    <xf numFmtId="0" fontId="6" fillId="18" borderId="80" xfId="0" applyFont="1" applyFill="1" applyBorder="1" applyAlignment="1">
      <alignment horizontal="left" vertical="center" wrapText="1"/>
    </xf>
    <xf numFmtId="0" fontId="50" fillId="35" borderId="96" xfId="0" applyFont="1" applyFill="1" applyBorder="1" applyAlignment="1">
      <alignment horizontal="center" vertical="center" wrapText="1"/>
    </xf>
    <xf numFmtId="168" fontId="51" fillId="25" borderId="72" xfId="30" applyNumberFormat="1" applyFont="1" applyFill="1" applyBorder="1"/>
    <xf numFmtId="0" fontId="9" fillId="43" borderId="68" xfId="0" applyFont="1" applyFill="1" applyBorder="1"/>
    <xf numFmtId="0" fontId="6" fillId="43" borderId="50" xfId="0" applyFont="1" applyFill="1" applyBorder="1" applyAlignment="1">
      <alignment horizontal="left" vertical="center" wrapText="1" indent="4"/>
    </xf>
    <xf numFmtId="0" fontId="9" fillId="43" borderId="50" xfId="0" applyFont="1" applyFill="1" applyBorder="1" applyAlignment="1">
      <alignment horizontal="left" vertical="center" wrapText="1"/>
    </xf>
    <xf numFmtId="0" fontId="9" fillId="43" borderId="50" xfId="0" applyFont="1" applyFill="1" applyBorder="1"/>
    <xf numFmtId="168" fontId="9" fillId="30" borderId="19" xfId="30" applyNumberFormat="1" applyFont="1" applyFill="1" applyBorder="1" applyAlignment="1">
      <alignment horizontal="left" vertical="center" wrapText="1"/>
    </xf>
    <xf numFmtId="168" fontId="9" fillId="30" borderId="0" xfId="30" applyNumberFormat="1" applyFont="1" applyFill="1" applyBorder="1" applyAlignment="1">
      <alignment horizontal="left" vertical="center" wrapText="1"/>
    </xf>
    <xf numFmtId="168" fontId="9" fillId="30" borderId="24" xfId="30" applyNumberFormat="1" applyFont="1" applyFill="1" applyBorder="1" applyAlignment="1">
      <alignment horizontal="left" vertical="center" wrapText="1"/>
    </xf>
    <xf numFmtId="168" fontId="9" fillId="30" borderId="358" xfId="30" applyNumberFormat="1" applyFont="1" applyFill="1" applyBorder="1" applyAlignment="1">
      <alignment horizontal="left" vertical="center" wrapText="1"/>
    </xf>
    <xf numFmtId="168" fontId="9" fillId="30" borderId="363" xfId="30" applyNumberFormat="1" applyFont="1" applyFill="1" applyBorder="1" applyAlignment="1">
      <alignment horizontal="left" vertical="center" wrapText="1"/>
    </xf>
    <xf numFmtId="168" fontId="9" fillId="30" borderId="359" xfId="30" applyNumberFormat="1" applyFont="1" applyFill="1" applyBorder="1" applyAlignment="1">
      <alignment horizontal="left" vertical="center" wrapText="1"/>
    </xf>
    <xf numFmtId="0" fontId="53" fillId="38" borderId="410" xfId="0" applyFont="1" applyFill="1" applyBorder="1" applyAlignment="1">
      <alignment horizontal="left" vertical="center" wrapText="1"/>
    </xf>
    <xf numFmtId="0" fontId="48" fillId="38" borderId="115" xfId="0" applyFont="1" applyFill="1" applyBorder="1" applyAlignment="1">
      <alignment horizontal="left" vertical="center" wrapText="1" indent="4"/>
    </xf>
    <xf numFmtId="0" fontId="53" fillId="38" borderId="411" xfId="0" applyFont="1" applyFill="1" applyBorder="1" applyAlignment="1">
      <alignment horizontal="left" vertical="center" wrapText="1" indent="4"/>
    </xf>
    <xf numFmtId="168" fontId="6" fillId="29" borderId="152" xfId="30" applyNumberFormat="1" applyFont="1" applyFill="1" applyBorder="1" applyAlignment="1">
      <alignment vertical="center" wrapText="1"/>
    </xf>
    <xf numFmtId="168" fontId="6" fillId="29" borderId="17" xfId="30" applyNumberFormat="1" applyFont="1" applyFill="1" applyBorder="1" applyAlignment="1">
      <alignment vertical="center" wrapText="1"/>
    </xf>
    <xf numFmtId="168" fontId="6" fillId="29" borderId="412" xfId="30" applyNumberFormat="1" applyFont="1" applyFill="1" applyBorder="1" applyAlignment="1">
      <alignment vertical="center" wrapText="1"/>
    </xf>
    <xf numFmtId="168" fontId="6" fillId="31" borderId="13" xfId="30" applyNumberFormat="1" applyFont="1" applyFill="1" applyBorder="1"/>
    <xf numFmtId="168" fontId="6" fillId="29" borderId="214" xfId="30" applyNumberFormat="1" applyFont="1" applyFill="1" applyBorder="1" applyAlignment="1">
      <alignment horizontal="right"/>
    </xf>
    <xf numFmtId="168" fontId="6" fillId="29" borderId="295" xfId="30" applyNumberFormat="1" applyFont="1" applyFill="1" applyBorder="1" applyAlignment="1">
      <alignment horizontal="right"/>
    </xf>
    <xf numFmtId="168" fontId="6" fillId="29" borderId="413" xfId="30" applyNumberFormat="1" applyFont="1" applyFill="1" applyBorder="1" applyAlignment="1">
      <alignment horizontal="right"/>
    </xf>
    <xf numFmtId="0" fontId="0" fillId="33" borderId="358" xfId="0" applyFill="1" applyBorder="1"/>
    <xf numFmtId="0" fontId="0" fillId="33" borderId="359" xfId="0" applyFill="1" applyBorder="1"/>
    <xf numFmtId="168" fontId="6" fillId="38" borderId="86" xfId="0" applyNumberFormat="1" applyFont="1" applyFill="1" applyBorder="1"/>
    <xf numFmtId="168" fontId="9" fillId="29" borderId="116" xfId="30" applyNumberFormat="1" applyFont="1" applyFill="1" applyBorder="1"/>
    <xf numFmtId="168" fontId="9" fillId="38" borderId="49" xfId="0" applyNumberFormat="1" applyFont="1" applyFill="1" applyBorder="1" applyAlignment="1">
      <alignment horizontal="left" vertical="center" wrapText="1"/>
    </xf>
    <xf numFmtId="168" fontId="9" fillId="38" borderId="414" xfId="0" applyNumberFormat="1" applyFont="1" applyFill="1" applyBorder="1" applyAlignment="1">
      <alignment horizontal="left" vertical="center" wrapText="1"/>
    </xf>
    <xf numFmtId="168" fontId="9" fillId="38" borderId="415" xfId="0" applyNumberFormat="1" applyFont="1" applyFill="1" applyBorder="1" applyAlignment="1">
      <alignment horizontal="left" vertical="center" wrapText="1"/>
    </xf>
    <xf numFmtId="168" fontId="9" fillId="38" borderId="416" xfId="0" applyNumberFormat="1" applyFont="1" applyFill="1" applyBorder="1" applyAlignment="1">
      <alignment horizontal="left" vertical="center" wrapText="1"/>
    </xf>
    <xf numFmtId="168" fontId="6" fillId="38" borderId="418" xfId="0" applyNumberFormat="1" applyFont="1" applyFill="1" applyBorder="1" applyAlignment="1">
      <alignment horizontal="left" vertical="center" wrapText="1"/>
    </xf>
    <xf numFmtId="168" fontId="6" fillId="38" borderId="419" xfId="0" applyNumberFormat="1" applyFont="1" applyFill="1" applyBorder="1" applyAlignment="1">
      <alignment horizontal="left" vertical="center" wrapText="1"/>
    </xf>
    <xf numFmtId="168" fontId="6" fillId="38" borderId="62" xfId="0" applyNumberFormat="1" applyFont="1" applyFill="1" applyBorder="1" applyAlignment="1">
      <alignment horizontal="left" vertical="center" wrapText="1"/>
    </xf>
    <xf numFmtId="168" fontId="6" fillId="31" borderId="50" xfId="0" applyNumberFormat="1" applyFont="1" applyFill="1" applyBorder="1" applyAlignment="1">
      <alignment horizontal="left" vertical="center" wrapText="1"/>
    </xf>
    <xf numFmtId="168" fontId="6" fillId="31" borderId="86" xfId="0" applyNumberFormat="1" applyFont="1" applyFill="1" applyBorder="1" applyAlignment="1">
      <alignment horizontal="left" vertical="center" wrapText="1"/>
    </xf>
    <xf numFmtId="168" fontId="6" fillId="31" borderId="60" xfId="0" applyNumberFormat="1" applyFont="1" applyFill="1" applyBorder="1" applyAlignment="1">
      <alignment horizontal="left" vertical="center" wrapText="1"/>
    </xf>
    <xf numFmtId="168" fontId="6" fillId="31" borderId="62" xfId="0" applyNumberFormat="1" applyFont="1" applyFill="1" applyBorder="1" applyAlignment="1">
      <alignment horizontal="left" vertical="center" wrapText="1"/>
    </xf>
    <xf numFmtId="168" fontId="6" fillId="0" borderId="46" xfId="0" applyNumberFormat="1" applyFont="1" applyFill="1" applyBorder="1" applyAlignment="1">
      <alignment horizontal="left" vertical="center" wrapText="1"/>
    </xf>
    <xf numFmtId="168" fontId="6" fillId="0" borderId="60" xfId="0" applyNumberFormat="1" applyFont="1" applyFill="1" applyBorder="1" applyAlignment="1">
      <alignment horizontal="left" vertical="center" wrapText="1"/>
    </xf>
    <xf numFmtId="168" fontId="6" fillId="0" borderId="86" xfId="0" applyNumberFormat="1" applyFont="1" applyFill="1" applyBorder="1" applyAlignment="1">
      <alignment horizontal="left" vertical="center" wrapText="1"/>
    </xf>
    <xf numFmtId="168" fontId="6" fillId="0" borderId="63" xfId="0" applyNumberFormat="1" applyFont="1" applyFill="1" applyBorder="1" applyAlignment="1">
      <alignment horizontal="left" vertical="center" wrapText="1"/>
    </xf>
    <xf numFmtId="168" fontId="9" fillId="29" borderId="50" xfId="0" applyNumberFormat="1" applyFont="1" applyFill="1" applyBorder="1" applyAlignment="1">
      <alignment horizontal="left" vertical="center" wrapText="1"/>
    </xf>
    <xf numFmtId="168" fontId="9" fillId="29" borderId="86" xfId="0" applyNumberFormat="1" applyFont="1" applyFill="1" applyBorder="1" applyAlignment="1">
      <alignment horizontal="left" vertical="center" wrapText="1"/>
    </xf>
    <xf numFmtId="168" fontId="6" fillId="38" borderId="50" xfId="0" applyNumberFormat="1" applyFont="1" applyFill="1" applyBorder="1" applyAlignment="1">
      <alignment horizontal="left" vertical="center" wrapText="1"/>
    </xf>
    <xf numFmtId="0" fontId="228" fillId="33" borderId="0" xfId="0" applyFont="1" applyFill="1"/>
    <xf numFmtId="0" fontId="229" fillId="33" borderId="0" xfId="0" applyFont="1" applyFill="1" applyAlignment="1">
      <alignment horizontal="right" vertical="center"/>
    </xf>
    <xf numFmtId="211" fontId="229" fillId="33" borderId="0" xfId="31" applyNumberFormat="1" applyFont="1" applyFill="1" applyAlignment="1">
      <alignment vertical="center"/>
    </xf>
    <xf numFmtId="0" fontId="88" fillId="0" borderId="0" xfId="0" applyFont="1"/>
    <xf numFmtId="168" fontId="0" fillId="0" borderId="0" xfId="0" applyNumberFormat="1"/>
    <xf numFmtId="0" fontId="0" fillId="33" borderId="363" xfId="0" applyFill="1" applyBorder="1"/>
    <xf numFmtId="168" fontId="6" fillId="29" borderId="207" xfId="30" applyNumberFormat="1" applyFont="1" applyFill="1" applyBorder="1" applyAlignment="1"/>
    <xf numFmtId="0" fontId="66" fillId="39" borderId="207" xfId="0" applyFont="1" applyFill="1" applyBorder="1" applyAlignment="1">
      <alignment horizontal="center" vertical="center" wrapText="1"/>
    </xf>
    <xf numFmtId="3" fontId="6" fillId="18" borderId="60" xfId="30" applyNumberFormat="1" applyFont="1" applyFill="1" applyBorder="1"/>
    <xf numFmtId="168" fontId="9" fillId="29" borderId="46" xfId="0" applyNumberFormat="1" applyFont="1" applyFill="1" applyBorder="1"/>
    <xf numFmtId="168" fontId="9" fillId="29" borderId="60" xfId="0" applyNumberFormat="1" applyFont="1" applyFill="1" applyBorder="1"/>
    <xf numFmtId="168" fontId="9" fillId="29" borderId="63" xfId="0" applyNumberFormat="1" applyFont="1" applyFill="1" applyBorder="1"/>
    <xf numFmtId="168" fontId="9" fillId="29" borderId="86" xfId="0" applyNumberFormat="1" applyFont="1" applyFill="1" applyBorder="1"/>
    <xf numFmtId="168" fontId="9" fillId="29" borderId="88" xfId="0" applyNumberFormat="1" applyFont="1" applyFill="1" applyBorder="1"/>
    <xf numFmtId="168" fontId="14" fillId="29" borderId="35" xfId="0" applyNumberFormat="1" applyFont="1" applyFill="1" applyBorder="1" applyAlignment="1">
      <alignment vertical="center"/>
    </xf>
    <xf numFmtId="168" fontId="6" fillId="0" borderId="46" xfId="30" applyNumberFormat="1" applyFont="1" applyFill="1" applyBorder="1"/>
    <xf numFmtId="168" fontId="6" fillId="0" borderId="60" xfId="30" applyNumberFormat="1" applyFont="1" applyFill="1" applyBorder="1"/>
    <xf numFmtId="168" fontId="6" fillId="0" borderId="86" xfId="30" applyNumberFormat="1" applyFont="1" applyFill="1" applyBorder="1"/>
    <xf numFmtId="168" fontId="6" fillId="0" borderId="46" xfId="0" applyNumberFormat="1" applyFont="1" applyFill="1" applyBorder="1"/>
    <xf numFmtId="168" fontId="6" fillId="0" borderId="60" xfId="0" applyNumberFormat="1" applyFont="1" applyFill="1" applyBorder="1"/>
    <xf numFmtId="168" fontId="6" fillId="0" borderId="63" xfId="0" applyNumberFormat="1" applyFont="1" applyFill="1" applyBorder="1"/>
    <xf numFmtId="168" fontId="9" fillId="29" borderId="46" xfId="0" applyNumberFormat="1" applyFont="1" applyFill="1" applyBorder="1" applyAlignment="1">
      <alignment horizontal="right"/>
    </xf>
    <xf numFmtId="168" fontId="9" fillId="29" borderId="60" xfId="0" applyNumberFormat="1" applyFont="1" applyFill="1" applyBorder="1" applyAlignment="1">
      <alignment horizontal="right"/>
    </xf>
    <xf numFmtId="168" fontId="9" fillId="29" borderId="63" xfId="0" applyNumberFormat="1" applyFont="1" applyFill="1" applyBorder="1" applyAlignment="1">
      <alignment horizontal="right"/>
    </xf>
    <xf numFmtId="168" fontId="9" fillId="29" borderId="207" xfId="0" applyNumberFormat="1" applyFont="1" applyFill="1" applyBorder="1" applyAlignment="1">
      <alignment horizontal="right"/>
    </xf>
    <xf numFmtId="168" fontId="9" fillId="29" borderId="64" xfId="0" applyNumberFormat="1" applyFont="1" applyFill="1" applyBorder="1" applyAlignment="1">
      <alignment horizontal="right"/>
    </xf>
    <xf numFmtId="168" fontId="9" fillId="29" borderId="67" xfId="0" applyNumberFormat="1" applyFont="1" applyFill="1" applyBorder="1" applyAlignment="1">
      <alignment horizontal="right"/>
    </xf>
    <xf numFmtId="3" fontId="6" fillId="18" borderId="55" xfId="30" applyNumberFormat="1" applyFont="1" applyFill="1" applyBorder="1"/>
    <xf numFmtId="0" fontId="6" fillId="0" borderId="70" xfId="0" applyFont="1" applyFill="1" applyBorder="1" applyAlignment="1">
      <alignment horizontal="left" vertical="center" wrapText="1" indent="4"/>
    </xf>
    <xf numFmtId="0" fontId="9" fillId="0" borderId="50" xfId="0" applyFont="1" applyFill="1" applyBorder="1" applyAlignment="1">
      <alignment horizontal="left" vertical="center" wrapText="1" indent="2"/>
    </xf>
    <xf numFmtId="0" fontId="6" fillId="0" borderId="50" xfId="0" applyFont="1" applyFill="1" applyBorder="1" applyAlignment="1">
      <alignment horizontal="left" vertical="center" wrapText="1" indent="4"/>
    </xf>
    <xf numFmtId="0" fontId="9" fillId="0" borderId="50" xfId="0" applyFont="1" applyFill="1" applyBorder="1" applyAlignment="1">
      <alignment horizontal="left" indent="2"/>
    </xf>
    <xf numFmtId="0" fontId="6" fillId="0" borderId="68" xfId="0" applyFont="1" applyFill="1" applyBorder="1" applyAlignment="1">
      <alignment horizontal="left" vertical="center" wrapText="1" indent="4"/>
    </xf>
    <xf numFmtId="168" fontId="6" fillId="38" borderId="142" xfId="30" applyNumberFormat="1" applyFont="1" applyFill="1" applyBorder="1"/>
    <xf numFmtId="168" fontId="6" fillId="38" borderId="96" xfId="30" applyNumberFormat="1" applyFont="1" applyFill="1" applyBorder="1"/>
    <xf numFmtId="168" fontId="6" fillId="38" borderId="47" xfId="30" applyNumberFormat="1" applyFont="1" applyFill="1" applyBorder="1"/>
    <xf numFmtId="168" fontId="6" fillId="38" borderId="108" xfId="30" applyNumberFormat="1" applyFont="1" applyFill="1" applyBorder="1"/>
    <xf numFmtId="0" fontId="6" fillId="0" borderId="70" xfId="0" applyFont="1" applyFill="1" applyBorder="1" applyAlignment="1">
      <alignment horizontal="left" vertical="center" wrapText="1" indent="2"/>
    </xf>
    <xf numFmtId="0" fontId="230" fillId="33" borderId="0" xfId="0" applyFont="1" applyFill="1"/>
    <xf numFmtId="0" fontId="6" fillId="18" borderId="206" xfId="30" applyNumberFormat="1" applyFont="1" applyFill="1" applyBorder="1"/>
    <xf numFmtId="0" fontId="6" fillId="18" borderId="55" xfId="30" applyNumberFormat="1" applyFont="1" applyFill="1" applyBorder="1"/>
    <xf numFmtId="14" fontId="6" fillId="18" borderId="55" xfId="30" applyNumberFormat="1" applyFont="1" applyFill="1" applyBorder="1"/>
    <xf numFmtId="3" fontId="6" fillId="18" borderId="56" xfId="30" applyNumberFormat="1" applyFont="1" applyFill="1" applyBorder="1"/>
    <xf numFmtId="0" fontId="230" fillId="0" borderId="0" xfId="0" applyFont="1"/>
    <xf numFmtId="168" fontId="6" fillId="18" borderId="63" xfId="30" applyNumberFormat="1" applyFont="1" applyFill="1" applyBorder="1" applyAlignment="1">
      <alignment wrapText="1"/>
    </xf>
    <xf numFmtId="168" fontId="47" fillId="18" borderId="83" xfId="30" applyNumberFormat="1" applyFont="1" applyFill="1" applyBorder="1" applyAlignment="1">
      <alignment horizontal="left" indent="1"/>
    </xf>
    <xf numFmtId="0" fontId="0" fillId="33" borderId="421" xfId="0" applyFill="1" applyBorder="1"/>
    <xf numFmtId="0" fontId="41" fillId="33" borderId="343" xfId="0" applyFont="1" applyFill="1" applyBorder="1" applyAlignment="1">
      <alignment horizontal="center" vertical="center" wrapText="1"/>
    </xf>
    <xf numFmtId="0" fontId="6" fillId="43" borderId="422" xfId="0" applyFont="1" applyFill="1" applyBorder="1" applyAlignment="1" applyProtection="1">
      <alignment vertical="center" wrapText="1"/>
      <protection locked="0"/>
    </xf>
    <xf numFmtId="0" fontId="6" fillId="43" borderId="343" xfId="0" applyFont="1" applyFill="1" applyBorder="1" applyAlignment="1" applyProtection="1">
      <alignment vertical="center" wrapText="1"/>
      <protection locked="0"/>
    </xf>
    <xf numFmtId="0" fontId="6" fillId="43" borderId="421" xfId="0" applyFont="1" applyFill="1" applyBorder="1" applyAlignment="1" applyProtection="1">
      <alignment vertical="center" wrapText="1"/>
      <protection locked="0"/>
    </xf>
    <xf numFmtId="168" fontId="6" fillId="0" borderId="0" xfId="0" applyNumberFormat="1" applyFont="1" applyFill="1" applyBorder="1" applyAlignment="1" applyProtection="1">
      <alignment horizontal="right" vertical="center" wrapText="1"/>
      <protection locked="0"/>
    </xf>
    <xf numFmtId="0" fontId="6" fillId="18" borderId="206" xfId="0" applyFont="1" applyFill="1" applyBorder="1" applyAlignment="1">
      <alignment vertical="center" wrapText="1"/>
    </xf>
    <xf numFmtId="0" fontId="6" fillId="18" borderId="90" xfId="0" applyFont="1" applyFill="1" applyBorder="1" applyAlignment="1">
      <alignment vertical="center" wrapText="1"/>
    </xf>
    <xf numFmtId="0" fontId="6" fillId="18" borderId="46" xfId="0" applyFont="1" applyFill="1" applyBorder="1" applyAlignment="1">
      <alignment vertical="center" wrapText="1"/>
    </xf>
    <xf numFmtId="0" fontId="6" fillId="18" borderId="63" xfId="0" applyFont="1" applyFill="1" applyBorder="1" applyAlignment="1">
      <alignment vertical="center" wrapText="1"/>
    </xf>
    <xf numFmtId="0" fontId="6" fillId="18" borderId="78" xfId="0" applyFont="1" applyFill="1" applyBorder="1" applyAlignment="1">
      <alignment vertical="center" wrapText="1"/>
    </xf>
    <xf numFmtId="0" fontId="6" fillId="18" borderId="80" xfId="0" applyFont="1" applyFill="1" applyBorder="1" applyAlignment="1">
      <alignment vertical="center" wrapText="1"/>
    </xf>
    <xf numFmtId="9" fontId="6" fillId="18" borderId="53" xfId="44" applyFont="1" applyFill="1" applyBorder="1" applyAlignment="1">
      <alignment vertical="center" wrapText="1"/>
    </xf>
    <xf numFmtId="164" fontId="12" fillId="18" borderId="34" xfId="38" applyNumberFormat="1" applyFill="1" applyBorder="1" applyAlignment="1" applyProtection="1">
      <alignment vertical="center" wrapText="1"/>
    </xf>
    <xf numFmtId="9" fontId="6" fillId="29" borderId="74" xfId="44" applyFont="1" applyFill="1" applyBorder="1" applyAlignment="1">
      <alignment horizontal="right" wrapText="1"/>
    </xf>
    <xf numFmtId="9" fontId="6" fillId="29" borderId="76" xfId="44" applyFont="1" applyFill="1" applyBorder="1" applyAlignment="1">
      <alignment horizontal="right" wrapText="1"/>
    </xf>
    <xf numFmtId="9" fontId="6" fillId="29" borderId="76" xfId="44" applyFont="1" applyFill="1" applyBorder="1" applyAlignment="1">
      <alignment horizontal="right"/>
    </xf>
    <xf numFmtId="9" fontId="9" fillId="30" borderId="76" xfId="44" applyFont="1" applyFill="1" applyBorder="1" applyAlignment="1">
      <alignment horizontal="right"/>
    </xf>
    <xf numFmtId="9" fontId="6" fillId="25" borderId="76" xfId="44" applyFont="1" applyFill="1" applyBorder="1" applyAlignment="1">
      <alignment horizontal="right"/>
    </xf>
    <xf numFmtId="9" fontId="9" fillId="30" borderId="134" xfId="44" applyFont="1" applyFill="1" applyBorder="1" applyAlignment="1">
      <alignment horizontal="right"/>
    </xf>
    <xf numFmtId="9" fontId="0" fillId="33" borderId="0" xfId="44" applyFont="1" applyFill="1"/>
    <xf numFmtId="9" fontId="14" fillId="31" borderId="35" xfId="44" applyFont="1" applyFill="1" applyBorder="1" applyAlignment="1">
      <alignment vertical="center"/>
    </xf>
    <xf numFmtId="9" fontId="6" fillId="25" borderId="34" xfId="44" applyFont="1" applyFill="1" applyBorder="1" applyAlignment="1" applyProtection="1">
      <alignment vertical="center"/>
      <protection locked="0"/>
    </xf>
    <xf numFmtId="9" fontId="14" fillId="31" borderId="34" xfId="44" applyFont="1" applyFill="1" applyBorder="1" applyAlignment="1">
      <alignment vertical="center"/>
    </xf>
    <xf numFmtId="0" fontId="6" fillId="0" borderId="0" xfId="0" applyFont="1" applyBorder="1"/>
    <xf numFmtId="0" fontId="6" fillId="33" borderId="0" xfId="0" applyFont="1" applyFill="1" applyBorder="1" applyAlignment="1">
      <alignment horizontal="left" vertical="center" wrapText="1" indent="1"/>
    </xf>
    <xf numFmtId="9" fontId="6" fillId="25" borderId="53" xfId="44" applyFont="1" applyFill="1" applyBorder="1" applyAlignment="1">
      <alignment horizontal="right" vertical="center" wrapText="1"/>
    </xf>
    <xf numFmtId="43" fontId="6" fillId="18" borderId="82" xfId="30" applyFont="1" applyFill="1" applyBorder="1"/>
    <xf numFmtId="43" fontId="6" fillId="18" borderId="90" xfId="30" applyFont="1" applyFill="1" applyBorder="1"/>
    <xf numFmtId="43" fontId="6" fillId="18" borderId="56" xfId="30" applyFont="1" applyFill="1" applyBorder="1"/>
    <xf numFmtId="43" fontId="6" fillId="18" borderId="59" xfId="30" applyFont="1" applyFill="1" applyBorder="1"/>
    <xf numFmtId="43" fontId="6" fillId="18" borderId="55" xfId="30" applyFont="1" applyFill="1" applyBorder="1"/>
    <xf numFmtId="168" fontId="14" fillId="31" borderId="52" xfId="30" applyNumberFormat="1" applyFont="1" applyFill="1" applyBorder="1" applyAlignment="1">
      <alignment vertical="center"/>
    </xf>
    <xf numFmtId="168" fontId="14" fillId="31" borderId="53" xfId="30" applyNumberFormat="1" applyFont="1" applyFill="1" applyBorder="1" applyAlignment="1">
      <alignment vertical="center"/>
    </xf>
    <xf numFmtId="168" fontId="14" fillId="31" borderId="51" xfId="30" applyNumberFormat="1" applyFont="1" applyFill="1" applyBorder="1" applyAlignment="1">
      <alignment vertical="center"/>
    </xf>
    <xf numFmtId="168" fontId="227" fillId="0" borderId="0" xfId="30" applyNumberFormat="1" applyFont="1" applyFill="1"/>
    <xf numFmtId="168" fontId="231" fillId="0" borderId="0" xfId="30" applyNumberFormat="1" applyFont="1" applyFill="1"/>
    <xf numFmtId="43" fontId="6" fillId="18" borderId="206" xfId="30" applyFont="1" applyFill="1" applyBorder="1"/>
    <xf numFmtId="168" fontId="6" fillId="18" borderId="89" xfId="30" applyNumberFormat="1" applyFont="1" applyFill="1" applyBorder="1" applyAlignment="1" applyProtection="1">
      <alignment horizontal="right" vertical="center"/>
      <protection locked="0"/>
    </xf>
    <xf numFmtId="168" fontId="6" fillId="18" borderId="82" xfId="30" applyNumberFormat="1" applyFont="1" applyFill="1" applyBorder="1" applyAlignment="1" applyProtection="1">
      <alignment horizontal="right" vertical="center"/>
      <protection locked="0"/>
    </xf>
    <xf numFmtId="168" fontId="6" fillId="18" borderId="90" xfId="30" applyNumberFormat="1" applyFont="1" applyFill="1" applyBorder="1" applyAlignment="1" applyProtection="1">
      <alignment horizontal="right" vertical="center"/>
      <protection locked="0"/>
    </xf>
    <xf numFmtId="168" fontId="9" fillId="38" borderId="75" xfId="30" applyNumberFormat="1" applyFont="1" applyFill="1" applyBorder="1" applyAlignment="1">
      <alignment horizontal="right" vertical="center"/>
    </xf>
    <xf numFmtId="168" fontId="6" fillId="18" borderId="62" xfId="30" applyNumberFormat="1" applyFont="1" applyFill="1" applyBorder="1" applyAlignment="1" applyProtection="1">
      <alignment horizontal="right" vertical="center"/>
      <protection locked="0"/>
    </xf>
    <xf numFmtId="168" fontId="6" fillId="18" borderId="60" xfId="30" applyNumberFormat="1" applyFont="1" applyFill="1" applyBorder="1" applyAlignment="1" applyProtection="1">
      <alignment horizontal="right" vertical="center"/>
      <protection locked="0"/>
    </xf>
    <xf numFmtId="168" fontId="6" fillId="18" borderId="63" xfId="30" applyNumberFormat="1" applyFont="1" applyFill="1" applyBorder="1" applyAlignment="1" applyProtection="1">
      <alignment horizontal="right" vertical="center"/>
      <protection locked="0"/>
    </xf>
    <xf numFmtId="168" fontId="9" fillId="38" borderId="77" xfId="30" applyNumberFormat="1" applyFont="1" applyFill="1" applyBorder="1" applyAlignment="1">
      <alignment horizontal="right" vertical="center"/>
    </xf>
    <xf numFmtId="168" fontId="6" fillId="18" borderId="81" xfId="30" applyNumberFormat="1" applyFont="1" applyFill="1" applyBorder="1" applyAlignment="1" applyProtection="1">
      <alignment horizontal="right" vertical="center"/>
      <protection locked="0"/>
    </xf>
    <xf numFmtId="168" fontId="6" fillId="18" borderId="79" xfId="30" applyNumberFormat="1" applyFont="1" applyFill="1" applyBorder="1" applyAlignment="1" applyProtection="1">
      <alignment horizontal="right" vertical="center"/>
      <protection locked="0"/>
    </xf>
    <xf numFmtId="168" fontId="6" fillId="18" borderId="80" xfId="30" applyNumberFormat="1" applyFont="1" applyFill="1" applyBorder="1" applyAlignment="1" applyProtection="1">
      <alignment horizontal="right" vertical="center"/>
      <protection locked="0"/>
    </xf>
    <xf numFmtId="168" fontId="6" fillId="18" borderId="231" xfId="30" applyNumberFormat="1" applyFont="1" applyFill="1" applyBorder="1" applyAlignment="1" applyProtection="1">
      <alignment horizontal="right" vertical="center"/>
      <protection locked="0"/>
    </xf>
    <xf numFmtId="168" fontId="6" fillId="18" borderId="218" xfId="30" applyNumberFormat="1" applyFont="1" applyFill="1" applyBorder="1" applyAlignment="1" applyProtection="1">
      <alignment horizontal="right" vertical="center"/>
      <protection locked="0"/>
    </xf>
    <xf numFmtId="168" fontId="6" fillId="18" borderId="219" xfId="30" applyNumberFormat="1" applyFont="1" applyFill="1" applyBorder="1" applyAlignment="1" applyProtection="1">
      <alignment horizontal="right" vertical="center"/>
      <protection locked="0"/>
    </xf>
    <xf numFmtId="168" fontId="9" fillId="38" borderId="216" xfId="30" applyNumberFormat="1" applyFont="1" applyFill="1" applyBorder="1" applyAlignment="1">
      <alignment horizontal="right" vertical="center"/>
    </xf>
    <xf numFmtId="168" fontId="6" fillId="18" borderId="244" xfId="30" applyNumberFormat="1" applyFont="1" applyFill="1" applyBorder="1" applyAlignment="1" applyProtection="1">
      <alignment horizontal="right" vertical="center"/>
      <protection locked="0"/>
    </xf>
    <xf numFmtId="168" fontId="6" fillId="18" borderId="239" xfId="30" applyNumberFormat="1" applyFont="1" applyFill="1" applyBorder="1" applyAlignment="1" applyProtection="1">
      <alignment horizontal="right" vertical="center"/>
      <protection locked="0"/>
    </xf>
    <xf numFmtId="168" fontId="6" fillId="18" borderId="238" xfId="30" applyNumberFormat="1" applyFont="1" applyFill="1" applyBorder="1" applyAlignment="1" applyProtection="1">
      <alignment horizontal="right" vertical="center"/>
      <protection locked="0"/>
    </xf>
    <xf numFmtId="168" fontId="9" fillId="38" borderId="125" xfId="30" applyNumberFormat="1" applyFont="1" applyFill="1" applyBorder="1" applyAlignment="1">
      <alignment horizontal="right" vertical="center"/>
    </xf>
    <xf numFmtId="168" fontId="6" fillId="18" borderId="58" xfId="30" applyNumberFormat="1" applyFont="1" applyFill="1" applyBorder="1" applyAlignment="1" applyProtection="1">
      <alignment horizontal="right" vertical="center"/>
      <protection locked="0"/>
    </xf>
    <xf numFmtId="168" fontId="6" fillId="18" borderId="56" xfId="30" applyNumberFormat="1" applyFont="1" applyFill="1" applyBorder="1" applyAlignment="1" applyProtection="1">
      <alignment horizontal="right" vertical="center"/>
      <protection locked="0"/>
    </xf>
    <xf numFmtId="168" fontId="6" fillId="18" borderId="59" xfId="30" applyNumberFormat="1" applyFont="1" applyFill="1" applyBorder="1" applyAlignment="1" applyProtection="1">
      <alignment horizontal="right" vertical="center"/>
      <protection locked="0"/>
    </xf>
    <xf numFmtId="168" fontId="6" fillId="18" borderId="66" xfId="30" applyNumberFormat="1" applyFont="1" applyFill="1" applyBorder="1" applyAlignment="1" applyProtection="1">
      <alignment horizontal="right" vertical="center"/>
      <protection locked="0"/>
    </xf>
    <xf numFmtId="168" fontId="6" fillId="18" borderId="64" xfId="30" applyNumberFormat="1" applyFont="1" applyFill="1" applyBorder="1" applyAlignment="1" applyProtection="1">
      <alignment horizontal="right" vertical="center"/>
      <protection locked="0"/>
    </xf>
    <xf numFmtId="168" fontId="6" fillId="18" borderId="67" xfId="30" applyNumberFormat="1" applyFont="1" applyFill="1" applyBorder="1" applyAlignment="1" applyProtection="1">
      <alignment horizontal="right" vertical="center"/>
      <protection locked="0"/>
    </xf>
    <xf numFmtId="168" fontId="9" fillId="38" borderId="147" xfId="30" applyNumberFormat="1" applyFont="1" applyFill="1" applyBorder="1" applyAlignment="1">
      <alignment horizontal="right" vertical="center"/>
    </xf>
    <xf numFmtId="168" fontId="9" fillId="29" borderId="66" xfId="30" applyNumberFormat="1" applyFont="1" applyFill="1" applyBorder="1" applyAlignment="1">
      <alignment horizontal="right" vertical="center"/>
    </xf>
    <xf numFmtId="168" fontId="9" fillId="29" borderId="64" xfId="30" applyNumberFormat="1" applyFont="1" applyFill="1" applyBorder="1" applyAlignment="1">
      <alignment horizontal="right" vertical="center"/>
    </xf>
    <xf numFmtId="168" fontId="9" fillId="29" borderId="67" xfId="30" applyNumberFormat="1" applyFont="1" applyFill="1" applyBorder="1" applyAlignment="1">
      <alignment horizontal="right" vertical="center"/>
    </xf>
    <xf numFmtId="168" fontId="9" fillId="29" borderId="147" xfId="30" applyNumberFormat="1" applyFont="1" applyFill="1" applyBorder="1" applyAlignment="1">
      <alignment horizontal="right" vertical="center"/>
    </xf>
    <xf numFmtId="168" fontId="0" fillId="0" borderId="0" xfId="30" applyNumberFormat="1" applyFont="1"/>
    <xf numFmtId="168" fontId="66" fillId="29" borderId="149" xfId="30" applyNumberFormat="1" applyFont="1" applyFill="1" applyBorder="1" applyAlignment="1">
      <alignment vertical="center"/>
    </xf>
    <xf numFmtId="168" fontId="9" fillId="29" borderId="77" xfId="30" applyNumberFormat="1" applyFont="1" applyFill="1" applyBorder="1" applyAlignment="1">
      <alignment horizontal="right" vertical="center"/>
    </xf>
    <xf numFmtId="168" fontId="6" fillId="29" borderId="79" xfId="30" applyNumberFormat="1" applyFont="1" applyFill="1" applyBorder="1" applyAlignment="1">
      <alignment horizontal="right"/>
    </xf>
    <xf numFmtId="168" fontId="6" fillId="29" borderId="356" xfId="30" applyNumberFormat="1" applyFont="1" applyFill="1" applyBorder="1" applyAlignment="1">
      <alignment horizontal="right"/>
    </xf>
    <xf numFmtId="168" fontId="6" fillId="29" borderId="78" xfId="30" applyNumberFormat="1" applyFont="1" applyFill="1" applyBorder="1" applyAlignment="1">
      <alignment horizontal="right"/>
    </xf>
    <xf numFmtId="168" fontId="6" fillId="29" borderId="355" xfId="30" applyNumberFormat="1" applyFont="1" applyFill="1" applyBorder="1" applyAlignment="1">
      <alignment horizontal="right"/>
    </xf>
    <xf numFmtId="168" fontId="6" fillId="18" borderId="206" xfId="30" applyNumberFormat="1" applyFont="1" applyFill="1" applyBorder="1" applyAlignment="1">
      <alignment horizontal="right"/>
    </xf>
    <xf numFmtId="168" fontId="9" fillId="31" borderId="79" xfId="0" applyNumberFormat="1" applyFont="1" applyFill="1" applyBorder="1" applyAlignment="1">
      <alignment horizontal="right" vertical="center" wrapText="1"/>
    </xf>
    <xf numFmtId="0" fontId="48" fillId="25" borderId="19" xfId="0" applyFont="1" applyFill="1" applyBorder="1" applyAlignment="1">
      <alignment horizontal="left" vertical="center" wrapText="1" indent="3"/>
    </xf>
    <xf numFmtId="168" fontId="6" fillId="18" borderId="142" xfId="30" applyNumberFormat="1" applyFont="1" applyFill="1" applyBorder="1" applyAlignment="1" applyProtection="1">
      <alignment horizontal="right" vertical="center" wrapText="1"/>
      <protection locked="0"/>
    </xf>
    <xf numFmtId="168" fontId="6" fillId="18" borderId="108" xfId="30" applyNumberFormat="1" applyFont="1" applyFill="1" applyBorder="1" applyAlignment="1" applyProtection="1">
      <alignment horizontal="right" vertical="center" wrapText="1"/>
      <protection locked="0"/>
    </xf>
    <xf numFmtId="0" fontId="6" fillId="18" borderId="79" xfId="0" applyFont="1" applyFill="1" applyBorder="1" applyAlignment="1" applyProtection="1">
      <alignment horizontal="right" vertical="center" wrapText="1"/>
      <protection locked="0"/>
    </xf>
    <xf numFmtId="0" fontId="6" fillId="18" borderId="78" xfId="0" applyFont="1" applyFill="1" applyBorder="1" applyAlignment="1" applyProtection="1">
      <alignment horizontal="right" vertical="center" wrapText="1"/>
      <protection locked="0"/>
    </xf>
    <xf numFmtId="0" fontId="6" fillId="18" borderId="80" xfId="0" applyFont="1" applyFill="1" applyBorder="1" applyAlignment="1" applyProtection="1">
      <alignment horizontal="right" vertical="center" wrapText="1"/>
      <protection locked="0"/>
    </xf>
    <xf numFmtId="0" fontId="6" fillId="18" borderId="35" xfId="0" applyFont="1" applyFill="1" applyBorder="1" applyAlignment="1" applyProtection="1">
      <alignment vertical="center"/>
      <protection locked="0"/>
    </xf>
    <xf numFmtId="168" fontId="86" fillId="33" borderId="0" xfId="0" applyNumberFormat="1" applyFont="1" applyFill="1" applyBorder="1" applyAlignment="1" applyProtection="1">
      <alignment horizontal="left" vertical="center" wrapText="1"/>
      <protection locked="0"/>
    </xf>
    <xf numFmtId="0" fontId="6" fillId="25" borderId="35" xfId="0" applyFont="1" applyFill="1" applyBorder="1" applyAlignment="1" applyProtection="1">
      <alignment horizontal="center" vertical="center" wrapText="1"/>
      <protection locked="0"/>
    </xf>
    <xf numFmtId="9" fontId="6" fillId="30" borderId="97" xfId="30" applyNumberFormat="1" applyFont="1" applyFill="1" applyBorder="1" applyAlignment="1">
      <alignment horizontal="right"/>
    </xf>
    <xf numFmtId="9" fontId="9" fillId="30" borderId="116" xfId="44" applyFont="1" applyFill="1" applyBorder="1" applyAlignment="1">
      <alignment horizontal="right" vertical="center"/>
    </xf>
    <xf numFmtId="9" fontId="9" fillId="30" borderId="145" xfId="44" applyFont="1" applyFill="1" applyBorder="1" applyAlignment="1">
      <alignment horizontal="right" vertical="center"/>
    </xf>
    <xf numFmtId="0" fontId="6" fillId="25" borderId="34" xfId="0" applyFont="1" applyFill="1" applyBorder="1" applyAlignment="1" applyProtection="1">
      <alignment horizontal="center" vertical="center" wrapText="1"/>
      <protection locked="0"/>
    </xf>
    <xf numFmtId="0" fontId="50" fillId="35" borderId="96" xfId="0" applyFont="1" applyFill="1" applyBorder="1" applyAlignment="1">
      <alignment horizontal="center" vertical="center" wrapText="1"/>
    </xf>
    <xf numFmtId="0" fontId="6" fillId="18" borderId="61" xfId="0" applyFont="1" applyFill="1" applyBorder="1" applyAlignment="1" applyProtection="1">
      <alignment horizontal="right" vertical="center"/>
      <protection locked="0"/>
    </xf>
    <xf numFmtId="0" fontId="6" fillId="18" borderId="65" xfId="0" applyFont="1" applyFill="1" applyBorder="1" applyAlignment="1" applyProtection="1">
      <alignment horizontal="right" vertical="center"/>
      <protection locked="0"/>
    </xf>
    <xf numFmtId="0" fontId="6" fillId="18" borderId="71" xfId="0" applyFont="1" applyFill="1" applyBorder="1" applyAlignment="1" applyProtection="1">
      <alignment horizontal="right" vertical="center"/>
      <protection locked="0"/>
    </xf>
    <xf numFmtId="43" fontId="6" fillId="18" borderId="71" xfId="30" applyFont="1" applyFill="1" applyBorder="1" applyAlignment="1" applyProtection="1">
      <alignment horizontal="right" vertical="center"/>
      <protection locked="0"/>
    </xf>
    <xf numFmtId="43" fontId="6" fillId="18" borderId="65" xfId="30" applyFont="1" applyFill="1" applyBorder="1" applyAlignment="1" applyProtection="1">
      <alignment horizontal="right" vertical="center"/>
      <protection locked="0"/>
    </xf>
    <xf numFmtId="10" fontId="6" fillId="18" borderId="71" xfId="44" applyNumberFormat="1" applyFont="1" applyFill="1" applyBorder="1" applyAlignment="1" applyProtection="1">
      <alignment horizontal="right" vertical="center"/>
      <protection locked="0"/>
    </xf>
    <xf numFmtId="10" fontId="6" fillId="18" borderId="353" xfId="44" applyNumberFormat="1" applyFont="1" applyFill="1" applyBorder="1" applyAlignment="1" applyProtection="1">
      <alignment horizontal="right" vertical="center"/>
      <protection locked="0"/>
    </xf>
    <xf numFmtId="10" fontId="6" fillId="18" borderId="65" xfId="44" applyNumberFormat="1" applyFont="1" applyFill="1" applyBorder="1" applyAlignment="1" applyProtection="1">
      <alignment horizontal="right" vertical="center"/>
      <protection locked="0"/>
    </xf>
    <xf numFmtId="164" fontId="6" fillId="33" borderId="50" xfId="0" applyNumberFormat="1" applyFont="1" applyFill="1" applyBorder="1" applyAlignment="1">
      <alignment vertical="center" wrapText="1"/>
    </xf>
    <xf numFmtId="164" fontId="6" fillId="38" borderId="63" xfId="44" applyNumberFormat="1" applyFont="1" applyFill="1" applyBorder="1" applyAlignment="1" applyProtection="1">
      <alignment horizontal="right" vertical="center"/>
      <protection locked="0"/>
    </xf>
    <xf numFmtId="10" fontId="82" fillId="38" borderId="63" xfId="44" applyNumberFormat="1" applyFont="1" applyFill="1" applyBorder="1"/>
    <xf numFmtId="10" fontId="6" fillId="38" borderId="63" xfId="44" applyNumberFormat="1" applyFont="1" applyFill="1" applyBorder="1" applyAlignment="1" applyProtection="1">
      <alignment horizontal="right" vertical="center"/>
      <protection locked="0"/>
    </xf>
    <xf numFmtId="10" fontId="6" fillId="38" borderId="63" xfId="44" applyNumberFormat="1" applyFont="1" applyFill="1" applyBorder="1"/>
    <xf numFmtId="10" fontId="82" fillId="38" borderId="67" xfId="44" applyNumberFormat="1" applyFont="1" applyFill="1" applyBorder="1"/>
    <xf numFmtId="164" fontId="82" fillId="0" borderId="0" xfId="44" applyNumberFormat="1" applyFont="1"/>
    <xf numFmtId="10" fontId="6" fillId="38" borderId="67" xfId="44" applyNumberFormat="1" applyFont="1" applyFill="1" applyBorder="1"/>
    <xf numFmtId="212" fontId="6" fillId="18" borderId="62" xfId="0" applyNumberFormat="1" applyFont="1" applyFill="1" applyBorder="1"/>
    <xf numFmtId="212" fontId="6" fillId="18" borderId="60" xfId="0" applyNumberFormat="1" applyFont="1" applyFill="1" applyBorder="1"/>
    <xf numFmtId="212" fontId="6" fillId="18" borderId="63" xfId="0" applyNumberFormat="1" applyFont="1" applyFill="1" applyBorder="1"/>
    <xf numFmtId="212" fontId="6" fillId="18" borderId="66" xfId="0" applyNumberFormat="1" applyFont="1" applyFill="1" applyBorder="1"/>
    <xf numFmtId="212" fontId="6" fillId="18" borderId="64" xfId="0" applyNumberFormat="1" applyFont="1" applyFill="1" applyBorder="1"/>
    <xf numFmtId="212" fontId="6" fillId="18" borderId="67" xfId="0" applyNumberFormat="1" applyFont="1" applyFill="1" applyBorder="1"/>
    <xf numFmtId="0" fontId="6" fillId="18" borderId="35" xfId="0" applyFont="1" applyFill="1" applyBorder="1" applyAlignment="1" applyProtection="1">
      <alignment horizontal="left" vertical="center"/>
      <protection locked="0"/>
    </xf>
    <xf numFmtId="43" fontId="6" fillId="33" borderId="0" xfId="306" applyNumberFormat="1" applyFont="1" applyFill="1"/>
    <xf numFmtId="168" fontId="9" fillId="38" borderId="77" xfId="0" applyNumberFormat="1" applyFont="1" applyFill="1" applyBorder="1" applyAlignment="1">
      <alignment horizontal="left" vertical="center" wrapText="1"/>
    </xf>
    <xf numFmtId="168" fontId="6" fillId="29" borderId="78" xfId="30" applyNumberFormat="1" applyFont="1" applyFill="1" applyBorder="1"/>
    <xf numFmtId="168" fontId="6" fillId="29" borderId="79" xfId="30" applyNumberFormat="1" applyFont="1" applyFill="1" applyBorder="1"/>
    <xf numFmtId="168" fontId="6" fillId="29" borderId="80" xfId="30" applyNumberFormat="1" applyFont="1" applyFill="1" applyBorder="1"/>
    <xf numFmtId="168" fontId="9" fillId="38" borderId="0" xfId="0" applyNumberFormat="1" applyFont="1" applyFill="1" applyBorder="1" applyAlignment="1">
      <alignment horizontal="left" vertical="center" wrapText="1"/>
    </xf>
    <xf numFmtId="168" fontId="9" fillId="29" borderId="0" xfId="30" applyNumberFormat="1" applyFont="1" applyFill="1" applyBorder="1"/>
    <xf numFmtId="168" fontId="9" fillId="38" borderId="21" xfId="0" applyNumberFormat="1" applyFont="1" applyFill="1" applyBorder="1" applyAlignment="1">
      <alignment horizontal="left" vertical="center" wrapText="1"/>
    </xf>
    <xf numFmtId="168" fontId="9" fillId="38" borderId="423" xfId="0" applyNumberFormat="1" applyFont="1" applyFill="1" applyBorder="1" applyAlignment="1">
      <alignment horizontal="left" vertical="center" wrapText="1"/>
    </xf>
    <xf numFmtId="168" fontId="9" fillId="38" borderId="23" xfId="0" applyNumberFormat="1" applyFont="1" applyFill="1" applyBorder="1" applyAlignment="1">
      <alignment horizontal="left" vertical="center" wrapText="1"/>
    </xf>
    <xf numFmtId="168" fontId="9" fillId="38" borderId="19" xfId="0" applyNumberFormat="1" applyFont="1" applyFill="1" applyBorder="1" applyAlignment="1">
      <alignment horizontal="left" vertical="center" wrapText="1"/>
    </xf>
    <xf numFmtId="168" fontId="9" fillId="38" borderId="24" xfId="0" applyNumberFormat="1" applyFont="1" applyFill="1" applyBorder="1" applyAlignment="1">
      <alignment horizontal="left" vertical="center" wrapText="1"/>
    </xf>
    <xf numFmtId="168" fontId="9" fillId="29" borderId="19" xfId="30" applyNumberFormat="1" applyFont="1" applyFill="1" applyBorder="1"/>
    <xf numFmtId="168" fontId="9" fillId="29" borderId="24" xfId="30" applyNumberFormat="1" applyFont="1" applyFill="1" applyBorder="1"/>
    <xf numFmtId="168" fontId="9" fillId="29" borderId="358" xfId="30" applyNumberFormat="1" applyFont="1" applyFill="1" applyBorder="1"/>
    <xf numFmtId="168" fontId="9" fillId="29" borderId="343" xfId="30" applyNumberFormat="1" applyFont="1" applyFill="1" applyBorder="1"/>
    <xf numFmtId="168" fontId="9" fillId="29" borderId="421" xfId="30" applyNumberFormat="1" applyFont="1" applyFill="1" applyBorder="1"/>
    <xf numFmtId="9" fontId="6" fillId="29" borderId="68" xfId="44" applyFont="1" applyFill="1" applyBorder="1"/>
    <xf numFmtId="168" fontId="9" fillId="38" borderId="74" xfId="0" applyNumberFormat="1" applyFont="1" applyFill="1" applyBorder="1" applyAlignment="1">
      <alignment horizontal="left" vertical="center" wrapText="1"/>
    </xf>
    <xf numFmtId="168" fontId="9" fillId="38" borderId="76" xfId="0" applyNumberFormat="1" applyFont="1" applyFill="1" applyBorder="1" applyAlignment="1">
      <alignment horizontal="left" vertical="center" wrapText="1"/>
    </xf>
    <xf numFmtId="168" fontId="9" fillId="29" borderId="76" xfId="30" applyNumberFormat="1" applyFont="1" applyFill="1" applyBorder="1"/>
    <xf numFmtId="168" fontId="6" fillId="18" borderId="81" xfId="30" applyNumberFormat="1" applyFont="1" applyFill="1" applyBorder="1"/>
    <xf numFmtId="168" fontId="6" fillId="29" borderId="51" xfId="30" applyNumberFormat="1" applyFont="1" applyFill="1" applyBorder="1"/>
    <xf numFmtId="0" fontId="6" fillId="22" borderId="19" xfId="0" applyFont="1" applyFill="1" applyBorder="1" applyAlignment="1" applyProtection="1">
      <alignment vertical="center" wrapText="1"/>
      <protection locked="0"/>
    </xf>
    <xf numFmtId="0" fontId="6" fillId="22" borderId="24" xfId="0" applyFont="1" applyFill="1" applyBorder="1" applyAlignment="1" applyProtection="1">
      <alignment vertical="center" wrapText="1"/>
      <protection locked="0"/>
    </xf>
    <xf numFmtId="0" fontId="6" fillId="38" borderId="49" xfId="0" applyFont="1" applyFill="1" applyBorder="1" applyAlignment="1">
      <alignment horizontal="left" vertical="center" wrapText="1" indent="4"/>
    </xf>
    <xf numFmtId="168" fontId="9" fillId="29" borderId="78" xfId="0" applyNumberFormat="1" applyFont="1" applyFill="1" applyBorder="1"/>
    <xf numFmtId="168" fontId="9" fillId="29" borderId="79" xfId="0" applyNumberFormat="1" applyFont="1" applyFill="1" applyBorder="1"/>
    <xf numFmtId="168" fontId="9" fillId="29" borderId="80" xfId="0" applyNumberFormat="1" applyFont="1" applyFill="1" applyBorder="1"/>
    <xf numFmtId="0" fontId="6" fillId="18" borderId="358" xfId="0" applyFont="1" applyFill="1" applyBorder="1" applyAlignment="1" applyProtection="1">
      <alignment vertical="center" wrapText="1"/>
      <protection locked="0"/>
    </xf>
    <xf numFmtId="0" fontId="6" fillId="18" borderId="343" xfId="0" applyFont="1" applyFill="1" applyBorder="1" applyAlignment="1" applyProtection="1">
      <alignment vertical="center" wrapText="1"/>
      <protection locked="0"/>
    </xf>
    <xf numFmtId="168" fontId="9" fillId="29" borderId="0" xfId="0" applyNumberFormat="1" applyFont="1" applyFill="1" applyBorder="1" applyAlignment="1">
      <alignment horizontal="left" vertical="center" wrapText="1"/>
    </xf>
    <xf numFmtId="168" fontId="9" fillId="29" borderId="19" xfId="0" applyNumberFormat="1" applyFont="1" applyFill="1" applyBorder="1" applyAlignment="1">
      <alignment horizontal="left" vertical="center" wrapText="1"/>
    </xf>
    <xf numFmtId="168" fontId="9" fillId="29" borderId="24" xfId="0" applyNumberFormat="1" applyFont="1" applyFill="1" applyBorder="1" applyAlignment="1">
      <alignment horizontal="left" vertical="center" wrapText="1"/>
    </xf>
    <xf numFmtId="168" fontId="9" fillId="29" borderId="358" xfId="0" applyNumberFormat="1" applyFont="1" applyFill="1" applyBorder="1" applyAlignment="1">
      <alignment horizontal="left" vertical="center" wrapText="1"/>
    </xf>
    <xf numFmtId="168" fontId="9" fillId="29" borderId="343" xfId="0" applyNumberFormat="1" applyFont="1" applyFill="1" applyBorder="1" applyAlignment="1">
      <alignment horizontal="left" vertical="center" wrapText="1"/>
    </xf>
    <xf numFmtId="168" fontId="9" fillId="29" borderId="87" xfId="0" applyNumberFormat="1" applyFont="1" applyFill="1" applyBorder="1"/>
    <xf numFmtId="0" fontId="14" fillId="29" borderId="423" xfId="0" applyFont="1" applyFill="1" applyBorder="1" applyAlignment="1">
      <alignment vertical="center"/>
    </xf>
    <xf numFmtId="168" fontId="9" fillId="38" borderId="55" xfId="0" applyNumberFormat="1" applyFont="1" applyFill="1" applyBorder="1"/>
    <xf numFmtId="168" fontId="6" fillId="18" borderId="0" xfId="30" applyNumberFormat="1" applyFont="1" applyFill="1" applyBorder="1"/>
    <xf numFmtId="168" fontId="6" fillId="25" borderId="0" xfId="30" applyNumberFormat="1" applyFont="1" applyFill="1" applyBorder="1"/>
    <xf numFmtId="43" fontId="9" fillId="29" borderId="0" xfId="0" applyNumberFormat="1" applyFont="1" applyFill="1" applyBorder="1"/>
    <xf numFmtId="168" fontId="6" fillId="18" borderId="21" xfId="30" applyNumberFormat="1" applyFont="1" applyFill="1" applyBorder="1"/>
    <xf numFmtId="168" fontId="6" fillId="18" borderId="423" xfId="30" applyNumberFormat="1" applyFont="1" applyFill="1" applyBorder="1"/>
    <xf numFmtId="168" fontId="6" fillId="18" borderId="23" xfId="30" applyNumberFormat="1" applyFont="1" applyFill="1" applyBorder="1"/>
    <xf numFmtId="168" fontId="6" fillId="25" borderId="24" xfId="30" applyNumberFormat="1" applyFont="1" applyFill="1" applyBorder="1"/>
    <xf numFmtId="168" fontId="6" fillId="18" borderId="19" xfId="30" applyNumberFormat="1" applyFont="1" applyFill="1" applyBorder="1"/>
    <xf numFmtId="168" fontId="6" fillId="18" borderId="24" xfId="30" applyNumberFormat="1" applyFont="1" applyFill="1" applyBorder="1"/>
    <xf numFmtId="43" fontId="9" fillId="29" borderId="19" xfId="0" applyNumberFormat="1" applyFont="1" applyFill="1" applyBorder="1"/>
    <xf numFmtId="43" fontId="9" fillId="29" borderId="24" xfId="0" applyNumberFormat="1" applyFont="1" applyFill="1" applyBorder="1"/>
    <xf numFmtId="168" fontId="6" fillId="25" borderId="19" xfId="30" applyNumberFormat="1" applyFont="1" applyFill="1" applyBorder="1"/>
    <xf numFmtId="0" fontId="6" fillId="38" borderId="19" xfId="30" applyNumberFormat="1" applyFont="1" applyFill="1" applyBorder="1"/>
    <xf numFmtId="168" fontId="6" fillId="38" borderId="358" xfId="30" applyNumberFormat="1" applyFont="1" applyFill="1" applyBorder="1"/>
    <xf numFmtId="168" fontId="6" fillId="38" borderId="343" xfId="30" applyNumberFormat="1" applyFont="1" applyFill="1" applyBorder="1"/>
    <xf numFmtId="168" fontId="6" fillId="38" borderId="421" xfId="30" applyNumberFormat="1" applyFont="1" applyFill="1" applyBorder="1"/>
    <xf numFmtId="168" fontId="9" fillId="38" borderId="21" xfId="30" applyNumberFormat="1" applyFont="1" applyFill="1" applyBorder="1"/>
    <xf numFmtId="168" fontId="9" fillId="38" borderId="423" xfId="30" applyNumberFormat="1" applyFont="1" applyFill="1" applyBorder="1"/>
    <xf numFmtId="168" fontId="9" fillId="38" borderId="23" xfId="30" applyNumberFormat="1" applyFont="1" applyFill="1" applyBorder="1"/>
    <xf numFmtId="168" fontId="9" fillId="38" borderId="358" xfId="30" applyNumberFormat="1" applyFont="1" applyFill="1" applyBorder="1"/>
    <xf numFmtId="168" fontId="9" fillId="38" borderId="343" xfId="30" applyNumberFormat="1" applyFont="1" applyFill="1" applyBorder="1"/>
    <xf numFmtId="168" fontId="9" fillId="38" borderId="421" xfId="30" applyNumberFormat="1" applyFont="1" applyFill="1" applyBorder="1"/>
    <xf numFmtId="168" fontId="9" fillId="31" borderId="46" xfId="30" applyNumberFormat="1" applyFont="1" applyFill="1" applyBorder="1" applyAlignment="1">
      <alignment horizontal="left" vertical="center"/>
    </xf>
    <xf numFmtId="168" fontId="9" fillId="31" borderId="60" xfId="30" applyNumberFormat="1" applyFont="1" applyFill="1" applyBorder="1" applyAlignment="1">
      <alignment horizontal="left" vertical="center"/>
    </xf>
    <xf numFmtId="168" fontId="6" fillId="18" borderId="67" xfId="30" applyNumberFormat="1" applyFont="1" applyFill="1" applyBorder="1" applyAlignment="1">
      <alignment wrapText="1"/>
    </xf>
    <xf numFmtId="14" fontId="6" fillId="18" borderId="249" xfId="30" applyNumberFormat="1" applyFont="1" applyFill="1" applyBorder="1"/>
    <xf numFmtId="168" fontId="6" fillId="18" borderId="90" xfId="30" applyNumberFormat="1" applyFont="1" applyFill="1" applyBorder="1" applyAlignment="1">
      <alignment wrapText="1"/>
    </xf>
    <xf numFmtId="14" fontId="6" fillId="18" borderId="206" xfId="30" applyNumberFormat="1" applyFont="1" applyFill="1" applyBorder="1"/>
    <xf numFmtId="168" fontId="47" fillId="18" borderId="147" xfId="30" applyNumberFormat="1" applyFont="1" applyFill="1" applyBorder="1" applyAlignment="1">
      <alignment horizontal="left" indent="1"/>
    </xf>
    <xf numFmtId="168" fontId="47" fillId="18" borderId="68" xfId="30" applyNumberFormat="1" applyFont="1" applyFill="1" applyBorder="1" applyAlignment="1">
      <alignment horizontal="left" indent="1"/>
    </xf>
    <xf numFmtId="168" fontId="47" fillId="18" borderId="166" xfId="30" applyNumberFormat="1" applyFont="1" applyFill="1" applyBorder="1" applyAlignment="1">
      <alignment horizontal="left" indent="1"/>
    </xf>
    <xf numFmtId="168" fontId="6" fillId="38" borderId="433" xfId="30" applyNumberFormat="1" applyFont="1" applyFill="1" applyBorder="1"/>
    <xf numFmtId="168" fontId="6" fillId="38" borderId="432" xfId="30" applyNumberFormat="1" applyFont="1" applyFill="1" applyBorder="1"/>
    <xf numFmtId="168" fontId="6" fillId="38" borderId="428" xfId="30" applyNumberFormat="1" applyFont="1" applyFill="1" applyBorder="1"/>
    <xf numFmtId="168" fontId="6" fillId="38" borderId="359" xfId="30" applyNumberFormat="1" applyFont="1" applyFill="1" applyBorder="1"/>
    <xf numFmtId="168" fontId="6" fillId="38" borderId="427" xfId="30" applyNumberFormat="1" applyFont="1" applyFill="1" applyBorder="1"/>
    <xf numFmtId="168" fontId="6" fillId="18" borderId="433" xfId="30" applyNumberFormat="1" applyFont="1" applyFill="1" applyBorder="1"/>
    <xf numFmtId="168" fontId="6" fillId="18" borderId="432" xfId="30" applyNumberFormat="1" applyFont="1" applyFill="1" applyBorder="1"/>
    <xf numFmtId="168" fontId="6" fillId="18" borderId="428" xfId="30" applyNumberFormat="1" applyFont="1" applyFill="1" applyBorder="1"/>
    <xf numFmtId="168" fontId="6" fillId="51" borderId="23" xfId="30" applyNumberFormat="1" applyFont="1" applyFill="1" applyBorder="1"/>
    <xf numFmtId="168" fontId="6" fillId="51" borderId="22" xfId="30" applyNumberFormat="1" applyFont="1" applyFill="1" applyBorder="1"/>
    <xf numFmtId="168" fontId="9" fillId="30" borderId="66" xfId="30" applyNumberFormat="1" applyFont="1" applyFill="1" applyBorder="1" applyAlignment="1">
      <alignment horizontal="right" vertical="center"/>
    </xf>
    <xf numFmtId="168" fontId="9" fillId="30" borderId="67" xfId="30" applyNumberFormat="1" applyFont="1" applyFill="1" applyBorder="1" applyAlignment="1">
      <alignment horizontal="right" vertical="center"/>
    </xf>
    <xf numFmtId="168" fontId="9" fillId="30" borderId="64" xfId="30" applyNumberFormat="1" applyFont="1" applyFill="1" applyBorder="1" applyAlignment="1">
      <alignment horizontal="right" vertical="center"/>
    </xf>
    <xf numFmtId="0" fontId="68" fillId="35" borderId="64" xfId="0" applyFont="1" applyFill="1" applyBorder="1" applyAlignment="1">
      <alignment horizontal="center" vertical="center"/>
    </xf>
    <xf numFmtId="168" fontId="6" fillId="18" borderId="55" xfId="30" applyNumberFormat="1" applyFont="1" applyFill="1" applyBorder="1" applyAlignment="1" applyProtection="1">
      <alignment horizontal="right" vertical="center" wrapText="1"/>
      <protection locked="0"/>
    </xf>
    <xf numFmtId="168" fontId="6" fillId="18" borderId="56" xfId="30" applyNumberFormat="1" applyFont="1" applyFill="1" applyBorder="1" applyAlignment="1" applyProtection="1">
      <alignment horizontal="right" vertical="center" wrapText="1"/>
      <protection locked="0"/>
    </xf>
    <xf numFmtId="0" fontId="9" fillId="31" borderId="56" xfId="0" applyFont="1" applyFill="1" applyBorder="1" applyAlignment="1">
      <alignment horizontal="center"/>
    </xf>
    <xf numFmtId="0" fontId="9" fillId="31" borderId="57" xfId="0" applyFont="1" applyFill="1" applyBorder="1" applyAlignment="1">
      <alignment horizontal="center"/>
    </xf>
    <xf numFmtId="212" fontId="6" fillId="18" borderId="46" xfId="0" applyNumberFormat="1" applyFont="1" applyFill="1" applyBorder="1"/>
    <xf numFmtId="212" fontId="6" fillId="18" borderId="207" xfId="0" applyNumberFormat="1" applyFont="1" applyFill="1" applyBorder="1"/>
    <xf numFmtId="1" fontId="6" fillId="33" borderId="0" xfId="306" applyNumberFormat="1" applyFont="1" applyFill="1"/>
    <xf numFmtId="3" fontId="6" fillId="33" borderId="0" xfId="306" applyNumberFormat="1" applyFont="1" applyFill="1"/>
    <xf numFmtId="168" fontId="6" fillId="18" borderId="206" xfId="30" applyNumberFormat="1" applyFont="1" applyFill="1" applyBorder="1" applyAlignment="1">
      <alignment vertical="center" wrapText="1"/>
    </xf>
    <xf numFmtId="168" fontId="0" fillId="0" borderId="0" xfId="0" applyNumberFormat="1" applyBorder="1"/>
    <xf numFmtId="168" fontId="6" fillId="25" borderId="0" xfId="30" applyNumberFormat="1" applyFont="1" applyFill="1"/>
    <xf numFmtId="168" fontId="6" fillId="25" borderId="46" xfId="30" applyNumberFormat="1" applyFont="1" applyFill="1" applyBorder="1" applyAlignment="1">
      <alignment vertical="center"/>
    </xf>
    <xf numFmtId="168" fontId="6" fillId="38" borderId="434" xfId="0" applyNumberFormat="1" applyFont="1" applyFill="1" applyBorder="1" applyAlignment="1">
      <alignment horizontal="left" vertical="center" wrapText="1"/>
    </xf>
    <xf numFmtId="168" fontId="6" fillId="38" borderId="423" xfId="30" applyNumberFormat="1" applyFont="1" applyFill="1" applyBorder="1"/>
    <xf numFmtId="0" fontId="6" fillId="18" borderId="84" xfId="0" applyFont="1" applyFill="1" applyBorder="1" applyAlignment="1" applyProtection="1">
      <alignment horizontal="right" vertical="center"/>
      <protection locked="0"/>
    </xf>
    <xf numFmtId="0" fontId="6" fillId="18" borderId="59" xfId="30" applyNumberFormat="1" applyFont="1" applyFill="1" applyBorder="1"/>
    <xf numFmtId="168" fontId="6" fillId="33" borderId="46" xfId="30" applyNumberFormat="1" applyFont="1" applyFill="1" applyBorder="1"/>
    <xf numFmtId="168" fontId="6" fillId="33" borderId="60" xfId="30" applyNumberFormat="1" applyFont="1" applyFill="1" applyBorder="1"/>
    <xf numFmtId="168" fontId="6" fillId="33" borderId="63" xfId="30" applyNumberFormat="1" applyFont="1" applyFill="1" applyBorder="1"/>
    <xf numFmtId="9" fontId="6" fillId="18" borderId="77" xfId="44" applyFont="1" applyFill="1" applyBorder="1"/>
    <xf numFmtId="168" fontId="6" fillId="31" borderId="435" xfId="0" applyNumberFormat="1" applyFont="1" applyFill="1" applyBorder="1" applyAlignment="1">
      <alignment horizontal="right" wrapText="1"/>
    </xf>
    <xf numFmtId="168" fontId="6" fillId="18" borderId="86" xfId="30" applyNumberFormat="1" applyFont="1" applyFill="1" applyBorder="1" applyAlignment="1">
      <alignment horizontal="right"/>
    </xf>
    <xf numFmtId="168" fontId="6" fillId="38" borderId="86" xfId="30" applyNumberFormat="1" applyFont="1" applyFill="1" applyBorder="1" applyAlignment="1">
      <alignment horizontal="right"/>
    </xf>
    <xf numFmtId="168" fontId="6" fillId="38" borderId="86" xfId="0" applyNumberFormat="1" applyFont="1" applyFill="1" applyBorder="1" applyAlignment="1">
      <alignment horizontal="right"/>
    </xf>
    <xf numFmtId="43" fontId="6" fillId="29" borderId="76" xfId="30" applyFont="1" applyFill="1" applyBorder="1" applyAlignment="1">
      <alignment horizontal="right"/>
    </xf>
    <xf numFmtId="168" fontId="6" fillId="25" borderId="436" xfId="0" applyNumberFormat="1" applyFont="1" applyFill="1" applyBorder="1" applyAlignment="1">
      <alignment horizontal="right"/>
    </xf>
    <xf numFmtId="168" fontId="9" fillId="30" borderId="86" xfId="0" applyNumberFormat="1" applyFont="1" applyFill="1" applyBorder="1" applyAlignment="1">
      <alignment horizontal="right"/>
    </xf>
    <xf numFmtId="168" fontId="6" fillId="25" borderId="86" xfId="0" applyNumberFormat="1" applyFont="1" applyFill="1" applyBorder="1" applyAlignment="1">
      <alignment horizontal="right"/>
    </xf>
    <xf numFmtId="168" fontId="9" fillId="30" borderId="88" xfId="0" applyNumberFormat="1" applyFont="1" applyFill="1" applyBorder="1" applyAlignment="1">
      <alignment horizontal="right"/>
    </xf>
    <xf numFmtId="9" fontId="6" fillId="29" borderId="92" xfId="44" applyFont="1" applyFill="1" applyBorder="1" applyAlignment="1">
      <alignment horizontal="right" wrapText="1"/>
    </xf>
    <xf numFmtId="9" fontId="6" fillId="29" borderId="93" xfId="44" applyFont="1" applyFill="1" applyBorder="1" applyAlignment="1">
      <alignment horizontal="right" wrapText="1"/>
    </xf>
    <xf numFmtId="9" fontId="6" fillId="29" borderId="93" xfId="44" applyFont="1" applyFill="1" applyBorder="1" applyAlignment="1">
      <alignment horizontal="right"/>
    </xf>
    <xf numFmtId="9" fontId="9" fillId="30" borderId="93" xfId="44" applyFont="1" applyFill="1" applyBorder="1" applyAlignment="1">
      <alignment horizontal="right"/>
    </xf>
    <xf numFmtId="9" fontId="6" fillId="25" borderId="93" xfId="44" applyFont="1" applyFill="1" applyBorder="1" applyAlignment="1">
      <alignment horizontal="right"/>
    </xf>
    <xf numFmtId="9" fontId="9" fillId="30" borderId="94" xfId="44" applyFont="1" applyFill="1" applyBorder="1" applyAlignment="1">
      <alignment horizontal="right"/>
    </xf>
    <xf numFmtId="168" fontId="6" fillId="31" borderId="85" xfId="0" applyNumberFormat="1" applyFont="1" applyFill="1" applyBorder="1" applyAlignment="1">
      <alignment horizontal="right" wrapText="1"/>
    </xf>
    <xf numFmtId="168" fontId="6" fillId="31" borderId="76" xfId="0" applyNumberFormat="1" applyFont="1" applyFill="1" applyBorder="1" applyAlignment="1">
      <alignment horizontal="right" wrapText="1"/>
    </xf>
    <xf numFmtId="168" fontId="48" fillId="29" borderId="156" xfId="30" applyNumberFormat="1" applyFont="1" applyFill="1" applyBorder="1" applyAlignment="1">
      <alignment horizontal="right"/>
    </xf>
    <xf numFmtId="168" fontId="48" fillId="29" borderId="268" xfId="30" applyNumberFormat="1" applyFont="1" applyFill="1" applyBorder="1" applyAlignment="1">
      <alignment horizontal="right"/>
    </xf>
    <xf numFmtId="168" fontId="48" fillId="29" borderId="169" xfId="30" applyNumberFormat="1" applyFont="1" applyFill="1" applyBorder="1" applyAlignment="1">
      <alignment horizontal="right"/>
    </xf>
    <xf numFmtId="0" fontId="160" fillId="0" borderId="0" xfId="0" applyFont="1"/>
    <xf numFmtId="0" fontId="160" fillId="33" borderId="0" xfId="0" applyFont="1" applyFill="1"/>
    <xf numFmtId="168" fontId="6" fillId="25" borderId="93" xfId="30" applyNumberFormat="1" applyFont="1" applyFill="1" applyBorder="1"/>
    <xf numFmtId="168" fontId="6" fillId="157" borderId="62" xfId="30" applyNumberFormat="1" applyFont="1" applyFill="1" applyBorder="1"/>
    <xf numFmtId="168" fontId="6" fillId="157" borderId="60" xfId="30" applyNumberFormat="1" applyFont="1" applyFill="1" applyBorder="1"/>
    <xf numFmtId="168" fontId="6" fillId="157" borderId="61" xfId="30" applyNumberFormat="1" applyFont="1" applyFill="1" applyBorder="1"/>
    <xf numFmtId="168" fontId="6" fillId="157" borderId="231" xfId="30" applyNumberFormat="1" applyFont="1" applyFill="1" applyBorder="1"/>
    <xf numFmtId="168" fontId="6" fillId="157" borderId="218" xfId="30" applyNumberFormat="1" applyFont="1" applyFill="1" applyBorder="1"/>
    <xf numFmtId="168" fontId="6" fillId="157" borderId="226" xfId="30" applyNumberFormat="1" applyFont="1" applyFill="1" applyBorder="1"/>
    <xf numFmtId="168" fontId="6" fillId="157" borderId="63" xfId="30" applyNumberFormat="1" applyFont="1" applyFill="1" applyBorder="1"/>
    <xf numFmtId="168" fontId="6" fillId="157" borderId="46" xfId="30" applyNumberFormat="1" applyFont="1" applyFill="1" applyBorder="1"/>
    <xf numFmtId="168" fontId="6" fillId="157" borderId="217" xfId="30" applyNumberFormat="1" applyFont="1" applyFill="1" applyBorder="1"/>
    <xf numFmtId="168" fontId="6" fillId="157" borderId="219" xfId="30" applyNumberFormat="1" applyFont="1" applyFill="1" applyBorder="1"/>
    <xf numFmtId="168" fontId="9" fillId="157" borderId="207" xfId="0" applyNumberFormat="1" applyFont="1" applyFill="1" applyBorder="1"/>
    <xf numFmtId="168" fontId="6" fillId="157" borderId="58" xfId="30" applyNumberFormat="1" applyFont="1" applyFill="1" applyBorder="1"/>
    <xf numFmtId="168" fontId="6" fillId="157" borderId="56" xfId="30" applyNumberFormat="1" applyFont="1" applyFill="1" applyBorder="1"/>
    <xf numFmtId="168" fontId="6" fillId="157" borderId="59" xfId="30" applyNumberFormat="1" applyFont="1" applyFill="1" applyBorder="1"/>
    <xf numFmtId="168" fontId="6" fillId="157" borderId="66" xfId="30" applyNumberFormat="1" applyFont="1" applyFill="1" applyBorder="1"/>
    <xf numFmtId="168" fontId="6" fillId="157" borderId="64" xfId="30" applyNumberFormat="1" applyFont="1" applyFill="1" applyBorder="1"/>
    <xf numFmtId="168" fontId="6" fillId="157" borderId="67" xfId="30" applyNumberFormat="1" applyFont="1" applyFill="1" applyBorder="1"/>
    <xf numFmtId="0" fontId="14" fillId="157" borderId="35" xfId="0" applyFont="1" applyFill="1" applyBorder="1" applyAlignment="1">
      <alignment vertical="center"/>
    </xf>
    <xf numFmtId="0" fontId="14" fillId="157" borderId="34" xfId="0" applyFont="1" applyFill="1" applyBorder="1" applyAlignment="1">
      <alignment vertical="center"/>
    </xf>
    <xf numFmtId="168" fontId="14" fillId="157" borderId="35" xfId="0" applyNumberFormat="1" applyFont="1" applyFill="1" applyBorder="1" applyAlignment="1">
      <alignment vertical="center"/>
    </xf>
    <xf numFmtId="168" fontId="14" fillId="157" borderId="34" xfId="0" applyNumberFormat="1" applyFont="1" applyFill="1" applyBorder="1" applyAlignment="1">
      <alignment vertical="center"/>
    </xf>
    <xf numFmtId="168" fontId="6" fillId="157" borderId="206" xfId="30" applyNumberFormat="1" applyFont="1" applyFill="1" applyBorder="1"/>
    <xf numFmtId="168" fontId="6" fillId="157" borderId="82" xfId="30" applyNumberFormat="1" applyFont="1" applyFill="1" applyBorder="1"/>
    <xf numFmtId="168" fontId="6" fillId="157" borderId="90" xfId="30" applyNumberFormat="1" applyFont="1" applyFill="1" applyBorder="1"/>
    <xf numFmtId="168" fontId="6" fillId="157" borderId="46" xfId="0" applyNumberFormat="1" applyFont="1" applyFill="1" applyBorder="1"/>
    <xf numFmtId="168" fontId="6" fillId="157" borderId="60" xfId="0" applyNumberFormat="1" applyFont="1" applyFill="1" applyBorder="1"/>
    <xf numFmtId="168" fontId="6" fillId="157" borderId="63" xfId="0" applyNumberFormat="1" applyFont="1" applyFill="1" applyBorder="1"/>
    <xf numFmtId="168" fontId="9" fillId="157" borderId="46" xfId="0" applyNumberFormat="1" applyFont="1" applyFill="1" applyBorder="1"/>
    <xf numFmtId="168" fontId="9" fillId="157" borderId="60" xfId="0" applyNumberFormat="1" applyFont="1" applyFill="1" applyBorder="1"/>
    <xf numFmtId="168" fontId="9" fillId="157" borderId="63" xfId="0" applyNumberFormat="1" applyFont="1" applyFill="1" applyBorder="1"/>
    <xf numFmtId="168" fontId="9" fillId="157" borderId="64" xfId="0" applyNumberFormat="1" applyFont="1" applyFill="1" applyBorder="1"/>
    <xf numFmtId="168" fontId="9" fillId="157" borderId="67" xfId="0" applyNumberFormat="1" applyFont="1" applyFill="1" applyBorder="1"/>
    <xf numFmtId="168" fontId="6" fillId="157" borderId="55" xfId="30" applyNumberFormat="1" applyFont="1" applyFill="1" applyBorder="1" applyAlignment="1">
      <alignment horizontal="right"/>
    </xf>
    <xf numFmtId="168" fontId="6" fillId="157" borderId="56" xfId="30" applyNumberFormat="1" applyFont="1" applyFill="1" applyBorder="1" applyAlignment="1">
      <alignment horizontal="right"/>
    </xf>
    <xf numFmtId="168" fontId="6" fillId="157" borderId="59" xfId="30" applyNumberFormat="1" applyFont="1" applyFill="1" applyBorder="1" applyAlignment="1">
      <alignment horizontal="right"/>
    </xf>
    <xf numFmtId="168" fontId="6" fillId="157" borderId="46" xfId="30" applyNumberFormat="1" applyFont="1" applyFill="1" applyBorder="1" applyAlignment="1">
      <alignment horizontal="right"/>
    </xf>
    <xf numFmtId="168" fontId="6" fillId="157" borderId="60" xfId="30" applyNumberFormat="1" applyFont="1" applyFill="1" applyBorder="1" applyAlignment="1">
      <alignment horizontal="right"/>
    </xf>
    <xf numFmtId="168" fontId="6" fillId="157" borderId="63" xfId="30" applyNumberFormat="1" applyFont="1" applyFill="1" applyBorder="1" applyAlignment="1">
      <alignment horizontal="right"/>
    </xf>
    <xf numFmtId="168" fontId="9" fillId="157" borderId="46" xfId="0" applyNumberFormat="1" applyFont="1" applyFill="1" applyBorder="1" applyAlignment="1">
      <alignment horizontal="right"/>
    </xf>
    <xf numFmtId="168" fontId="9" fillId="157" borderId="60" xfId="0" applyNumberFormat="1" applyFont="1" applyFill="1" applyBorder="1" applyAlignment="1">
      <alignment horizontal="right"/>
    </xf>
    <xf numFmtId="168" fontId="9" fillId="157" borderId="63" xfId="0" applyNumberFormat="1" applyFont="1" applyFill="1" applyBorder="1" applyAlignment="1">
      <alignment horizontal="right"/>
    </xf>
    <xf numFmtId="168" fontId="9" fillId="157" borderId="207" xfId="0" applyNumberFormat="1" applyFont="1" applyFill="1" applyBorder="1" applyAlignment="1">
      <alignment horizontal="right"/>
    </xf>
    <xf numFmtId="168" fontId="9" fillId="157" borderId="64" xfId="0" applyNumberFormat="1" applyFont="1" applyFill="1" applyBorder="1" applyAlignment="1">
      <alignment horizontal="right"/>
    </xf>
    <xf numFmtId="168" fontId="9" fillId="157" borderId="67" xfId="0" applyNumberFormat="1" applyFont="1" applyFill="1" applyBorder="1" applyAlignment="1">
      <alignment horizontal="right"/>
    </xf>
    <xf numFmtId="168" fontId="6" fillId="157" borderId="21" xfId="30" applyNumberFormat="1" applyFont="1" applyFill="1" applyBorder="1"/>
    <xf numFmtId="168" fontId="6" fillId="157" borderId="423" xfId="30" applyNumberFormat="1" applyFont="1" applyFill="1" applyBorder="1"/>
    <xf numFmtId="168" fontId="6" fillId="157" borderId="23" xfId="30" applyNumberFormat="1" applyFont="1" applyFill="1" applyBorder="1"/>
    <xf numFmtId="168" fontId="6" fillId="157" borderId="19" xfId="30" applyNumberFormat="1" applyFont="1" applyFill="1" applyBorder="1"/>
    <xf numFmtId="168" fontId="6" fillId="157" borderId="0" xfId="30" applyNumberFormat="1" applyFont="1" applyFill="1" applyBorder="1"/>
    <xf numFmtId="168" fontId="6" fillId="157" borderId="24" xfId="30" applyNumberFormat="1" applyFont="1" applyFill="1" applyBorder="1"/>
    <xf numFmtId="168" fontId="9" fillId="157" borderId="19" xfId="30" applyNumberFormat="1" applyFont="1" applyFill="1" applyBorder="1"/>
    <xf numFmtId="168" fontId="9" fillId="157" borderId="0" xfId="30" applyNumberFormat="1" applyFont="1" applyFill="1" applyBorder="1"/>
    <xf numFmtId="168" fontId="9" fillId="157" borderId="24" xfId="30" applyNumberFormat="1" applyFont="1" applyFill="1" applyBorder="1"/>
    <xf numFmtId="168" fontId="6" fillId="157" borderId="358" xfId="30" applyNumberFormat="1" applyFont="1" applyFill="1" applyBorder="1"/>
    <xf numFmtId="168" fontId="6" fillId="157" borderId="343" xfId="30" applyNumberFormat="1" applyFont="1" applyFill="1" applyBorder="1"/>
    <xf numFmtId="168" fontId="6" fillId="157" borderId="421" xfId="30" applyNumberFormat="1" applyFont="1" applyFill="1" applyBorder="1"/>
    <xf numFmtId="168" fontId="6" fillId="157" borderId="428" xfId="30" applyNumberFormat="1" applyFont="1" applyFill="1" applyBorder="1"/>
    <xf numFmtId="168" fontId="6" fillId="157" borderId="432" xfId="30" applyNumberFormat="1" applyFont="1" applyFill="1" applyBorder="1"/>
    <xf numFmtId="168" fontId="6" fillId="157" borderId="433" xfId="30" applyNumberFormat="1" applyFont="1" applyFill="1" applyBorder="1"/>
    <xf numFmtId="168" fontId="6" fillId="157" borderId="427" xfId="30" applyNumberFormat="1" applyFont="1" applyFill="1" applyBorder="1"/>
    <xf numFmtId="168" fontId="6" fillId="157" borderId="359" xfId="30" applyNumberFormat="1" applyFont="1" applyFill="1" applyBorder="1"/>
    <xf numFmtId="168" fontId="9" fillId="157" borderId="21" xfId="30" applyNumberFormat="1" applyFont="1" applyFill="1" applyBorder="1"/>
    <xf numFmtId="168" fontId="9" fillId="157" borderId="423" xfId="30" applyNumberFormat="1" applyFont="1" applyFill="1" applyBorder="1"/>
    <xf numFmtId="168" fontId="9" fillId="157" borderId="23" xfId="30" applyNumberFormat="1" applyFont="1" applyFill="1" applyBorder="1"/>
    <xf numFmtId="168" fontId="9" fillId="157" borderId="358" xfId="30" applyNumberFormat="1" applyFont="1" applyFill="1" applyBorder="1"/>
    <xf numFmtId="168" fontId="9" fillId="157" borderId="343" xfId="30" applyNumberFormat="1" applyFont="1" applyFill="1" applyBorder="1"/>
    <xf numFmtId="168" fontId="9" fillId="157" borderId="421" xfId="30" applyNumberFormat="1" applyFont="1" applyFill="1" applyBorder="1"/>
    <xf numFmtId="0" fontId="14" fillId="157" borderId="36" xfId="0" applyFont="1" applyFill="1" applyBorder="1" applyAlignment="1">
      <alignment vertical="center"/>
    </xf>
    <xf numFmtId="0" fontId="6" fillId="157" borderId="19" xfId="30" applyNumberFormat="1" applyFont="1" applyFill="1" applyBorder="1"/>
    <xf numFmtId="43" fontId="9" fillId="157" borderId="19" xfId="0" applyNumberFormat="1" applyFont="1" applyFill="1" applyBorder="1"/>
    <xf numFmtId="43" fontId="9" fillId="157" borderId="0" xfId="0" applyNumberFormat="1" applyFont="1" applyFill="1" applyBorder="1"/>
    <xf numFmtId="43" fontId="9" fillId="157" borderId="24" xfId="0" applyNumberFormat="1" applyFont="1" applyFill="1" applyBorder="1"/>
    <xf numFmtId="168" fontId="9" fillId="157" borderId="206" xfId="0" applyNumberFormat="1" applyFont="1" applyFill="1" applyBorder="1"/>
    <xf numFmtId="168" fontId="9" fillId="157" borderId="55" xfId="0" applyNumberFormat="1" applyFont="1" applyFill="1" applyBorder="1"/>
    <xf numFmtId="168" fontId="6" fillId="157" borderId="74" xfId="30" applyNumberFormat="1" applyFont="1" applyFill="1" applyBorder="1"/>
    <xf numFmtId="168" fontId="6" fillId="157" borderId="49" xfId="30" applyNumberFormat="1" applyFont="1" applyFill="1" applyBorder="1"/>
    <xf numFmtId="168" fontId="6" fillId="157" borderId="75" xfId="30" applyNumberFormat="1" applyFont="1" applyFill="1" applyBorder="1"/>
    <xf numFmtId="168" fontId="6" fillId="157" borderId="86" xfId="30" applyNumberFormat="1" applyFont="1" applyFill="1" applyBorder="1"/>
    <xf numFmtId="168" fontId="6" fillId="157" borderId="86" xfId="0" applyNumberFormat="1" applyFont="1" applyFill="1" applyBorder="1"/>
    <xf numFmtId="168" fontId="6" fillId="157" borderId="88" xfId="30" applyNumberFormat="1" applyFont="1" applyFill="1" applyBorder="1"/>
    <xf numFmtId="168" fontId="6" fillId="157" borderId="207" xfId="30" applyNumberFormat="1" applyFont="1" applyFill="1" applyBorder="1"/>
    <xf numFmtId="168" fontId="6" fillId="157" borderId="70" xfId="30" applyNumberFormat="1" applyFont="1" applyFill="1" applyBorder="1"/>
    <xf numFmtId="168" fontId="6" fillId="157" borderId="97" xfId="30" applyNumberFormat="1" applyFont="1" applyFill="1" applyBorder="1"/>
    <xf numFmtId="168" fontId="6" fillId="157" borderId="125" xfId="30" applyNumberFormat="1" applyFont="1" applyFill="1" applyBorder="1"/>
    <xf numFmtId="168" fontId="9" fillId="157" borderId="60" xfId="30" applyNumberFormat="1" applyFont="1" applyFill="1" applyBorder="1" applyAlignment="1">
      <alignment horizontal="left" vertical="center"/>
    </xf>
    <xf numFmtId="168" fontId="9" fillId="157" borderId="62" xfId="30" applyNumberFormat="1" applyFont="1" applyFill="1" applyBorder="1" applyAlignment="1">
      <alignment horizontal="left" vertical="center"/>
    </xf>
    <xf numFmtId="168" fontId="9" fillId="157" borderId="86" xfId="30" applyNumberFormat="1" applyFont="1" applyFill="1" applyBorder="1" applyAlignment="1">
      <alignment horizontal="left" vertical="center"/>
    </xf>
    <xf numFmtId="168" fontId="9" fillId="157" borderId="60" xfId="30" applyNumberFormat="1" applyFont="1" applyFill="1" applyBorder="1" applyAlignment="1"/>
    <xf numFmtId="168" fontId="9" fillId="157" borderId="62" xfId="30" applyNumberFormat="1" applyFont="1" applyFill="1" applyBorder="1" applyAlignment="1"/>
    <xf numFmtId="168" fontId="9" fillId="157" borderId="86" xfId="30" applyNumberFormat="1" applyFont="1" applyFill="1" applyBorder="1" applyAlignment="1"/>
    <xf numFmtId="0" fontId="10" fillId="157" borderId="57" xfId="0" applyFont="1" applyFill="1" applyBorder="1" applyAlignment="1" applyProtection="1">
      <alignment horizontal="right" vertical="center"/>
      <protection locked="0"/>
    </xf>
    <xf numFmtId="0" fontId="6" fillId="0" borderId="123" xfId="212" applyFont="1" applyFill="1" applyBorder="1" applyAlignment="1">
      <alignment horizontal="left" vertical="top" wrapText="1"/>
    </xf>
    <xf numFmtId="0" fontId="135" fillId="72" borderId="0" xfId="275" applyFont="1" applyFill="1" applyAlignment="1" applyProtection="1">
      <alignment horizontal="center" vertical="center" wrapText="1"/>
    </xf>
    <xf numFmtId="0" fontId="137" fillId="29" borderId="0" xfId="305" applyFont="1" applyFill="1" applyAlignment="1">
      <alignment horizontal="center"/>
    </xf>
    <xf numFmtId="0" fontId="9" fillId="36" borderId="21" xfId="305" applyFont="1" applyFill="1" applyBorder="1" applyAlignment="1">
      <alignment horizontal="center"/>
    </xf>
    <xf numFmtId="0" fontId="9" fillId="36" borderId="22" xfId="305" applyFont="1" applyFill="1" applyBorder="1" applyAlignment="1">
      <alignment horizontal="center"/>
    </xf>
    <xf numFmtId="0" fontId="91" fillId="72" borderId="21" xfId="305" applyFont="1" applyFill="1" applyBorder="1" applyAlignment="1">
      <alignment horizontal="center"/>
    </xf>
    <xf numFmtId="0" fontId="91" fillId="72" borderId="22" xfId="305" applyFont="1" applyFill="1" applyBorder="1" applyAlignment="1">
      <alignment horizontal="center"/>
    </xf>
    <xf numFmtId="0" fontId="91" fillId="72" borderId="23" xfId="305" applyFont="1" applyFill="1" applyBorder="1" applyAlignment="1">
      <alignment horizontal="center"/>
    </xf>
    <xf numFmtId="0" fontId="6" fillId="76" borderId="21" xfId="275" applyFill="1" applyBorder="1" applyAlignment="1">
      <alignment horizontal="center" vertical="center"/>
    </xf>
    <xf numFmtId="0" fontId="6" fillId="76" borderId="22" xfId="275" applyFill="1" applyBorder="1" applyAlignment="1">
      <alignment horizontal="center" vertical="center"/>
    </xf>
    <xf numFmtId="0" fontId="6" fillId="76" borderId="23" xfId="275" applyFill="1" applyBorder="1" applyAlignment="1">
      <alignment horizontal="center" vertical="center"/>
    </xf>
    <xf numFmtId="0" fontId="61" fillId="56" borderId="36" xfId="275" applyFont="1" applyFill="1" applyBorder="1" applyAlignment="1" applyProtection="1">
      <alignment horizontal="left" vertical="top" wrapText="1"/>
    </xf>
    <xf numFmtId="0" fontId="61" fillId="56" borderId="35" xfId="275" applyFont="1" applyFill="1" applyBorder="1" applyAlignment="1" applyProtection="1">
      <alignment horizontal="left" vertical="top" wrapText="1"/>
    </xf>
    <xf numFmtId="0" fontId="61" fillId="56" borderId="34" xfId="275" applyFont="1" applyFill="1" applyBorder="1" applyAlignment="1" applyProtection="1">
      <alignment horizontal="left" vertical="top" wrapText="1"/>
    </xf>
    <xf numFmtId="0" fontId="9" fillId="40" borderId="123" xfId="275" applyFont="1" applyFill="1" applyBorder="1" applyAlignment="1">
      <alignment horizontal="center" vertical="center"/>
    </xf>
    <xf numFmtId="0" fontId="9" fillId="32" borderId="276" xfId="275" applyFont="1" applyFill="1" applyBorder="1" applyAlignment="1">
      <alignment horizontal="center"/>
    </xf>
    <xf numFmtId="0" fontId="9" fillId="32" borderId="277" xfId="275" applyFont="1" applyFill="1" applyBorder="1" applyAlignment="1">
      <alignment horizontal="center"/>
    </xf>
    <xf numFmtId="0" fontId="9" fillId="32" borderId="278" xfId="275" applyFont="1" applyFill="1" applyBorder="1" applyAlignment="1">
      <alignment horizontal="center"/>
    </xf>
    <xf numFmtId="49" fontId="142" fillId="56" borderId="35" xfId="275" applyNumberFormat="1" applyFont="1" applyFill="1" applyBorder="1" applyAlignment="1" applyProtection="1">
      <alignment horizontal="center" vertical="center"/>
    </xf>
    <xf numFmtId="0" fontId="6" fillId="33" borderId="152" xfId="306" applyFill="1" applyBorder="1" applyAlignment="1" applyProtection="1">
      <alignment vertical="center"/>
    </xf>
    <xf numFmtId="0" fontId="6" fillId="33" borderId="19" xfId="306" applyFill="1" applyBorder="1" applyAlignment="1" applyProtection="1">
      <alignment vertical="center"/>
    </xf>
    <xf numFmtId="0" fontId="6" fillId="33" borderId="295" xfId="306" applyFill="1" applyBorder="1" applyAlignment="1" applyProtection="1">
      <alignment vertical="center"/>
    </xf>
    <xf numFmtId="0" fontId="9" fillId="32" borderId="306" xfId="275" applyFont="1" applyFill="1" applyBorder="1" applyAlignment="1">
      <alignment horizontal="center"/>
    </xf>
    <xf numFmtId="0" fontId="9" fillId="32" borderId="35" xfId="275" applyFont="1" applyFill="1" applyBorder="1" applyAlignment="1">
      <alignment horizontal="center"/>
    </xf>
    <xf numFmtId="0" fontId="9" fillId="32" borderId="34" xfId="275" applyFont="1" applyFill="1" applyBorder="1" applyAlignment="1">
      <alignment horizontal="center"/>
    </xf>
    <xf numFmtId="0" fontId="103" fillId="36" borderId="19" xfId="0" applyFont="1" applyFill="1" applyBorder="1" applyAlignment="1">
      <alignment horizontal="center" vertical="center"/>
    </xf>
    <xf numFmtId="0" fontId="103" fillId="36" borderId="24" xfId="0" applyFont="1" applyFill="1" applyBorder="1" applyAlignment="1">
      <alignment horizontal="center" vertical="center"/>
    </xf>
    <xf numFmtId="0" fontId="167" fillId="36" borderId="265" xfId="306" applyFont="1" applyFill="1" applyBorder="1" applyAlignment="1" applyProtection="1">
      <alignment horizontal="left" vertical="top" wrapText="1"/>
    </xf>
    <xf numFmtId="0" fontId="167" fillId="36" borderId="156" xfId="306" applyFont="1" applyFill="1" applyBorder="1" applyAlignment="1" applyProtection="1">
      <alignment horizontal="left" vertical="top" wrapText="1"/>
    </xf>
    <xf numFmtId="0" fontId="167" fillId="36" borderId="268" xfId="306" applyFont="1" applyFill="1" applyBorder="1" applyAlignment="1" applyProtection="1">
      <alignment horizontal="left" vertical="top" wrapText="1"/>
    </xf>
    <xf numFmtId="0" fontId="6" fillId="25" borderId="14" xfId="306" applyFont="1" applyFill="1" applyBorder="1" applyAlignment="1" applyProtection="1">
      <alignment horizontal="left"/>
      <protection locked="0"/>
    </xf>
    <xf numFmtId="0" fontId="6" fillId="25" borderId="15" xfId="306" applyFont="1" applyFill="1" applyBorder="1" applyAlignment="1" applyProtection="1">
      <alignment horizontal="left"/>
      <protection locked="0"/>
    </xf>
    <xf numFmtId="0" fontId="6" fillId="25" borderId="16" xfId="306" applyFont="1" applyFill="1" applyBorder="1" applyAlignment="1" applyProtection="1">
      <alignment horizontal="left"/>
      <protection locked="0"/>
    </xf>
    <xf numFmtId="0" fontId="16" fillId="35" borderId="0" xfId="306" applyFont="1" applyFill="1" applyBorder="1" applyAlignment="1" applyProtection="1">
      <alignment horizontal="right" indent="1"/>
    </xf>
    <xf numFmtId="0" fontId="16" fillId="35" borderId="13" xfId="306" applyFont="1" applyFill="1" applyBorder="1" applyAlignment="1" applyProtection="1">
      <alignment horizontal="right" indent="1"/>
    </xf>
    <xf numFmtId="0" fontId="157" fillId="35" borderId="21" xfId="305" applyFont="1" applyFill="1" applyBorder="1" applyAlignment="1" applyProtection="1">
      <alignment horizontal="center"/>
      <protection locked="0"/>
    </xf>
    <xf numFmtId="0" fontId="157" fillId="35" borderId="22" xfId="305" applyFont="1" applyFill="1" applyBorder="1" applyAlignment="1" applyProtection="1">
      <alignment horizontal="center"/>
      <protection locked="0"/>
    </xf>
    <xf numFmtId="0" fontId="157" fillId="35" borderId="23" xfId="305" applyFont="1" applyFill="1" applyBorder="1" applyAlignment="1" applyProtection="1">
      <alignment horizontal="center"/>
      <protection locked="0"/>
    </xf>
    <xf numFmtId="0" fontId="9" fillId="25" borderId="36" xfId="306" applyFont="1" applyFill="1" applyBorder="1" applyAlignment="1" applyProtection="1">
      <alignment horizontal="left"/>
      <protection locked="0"/>
    </xf>
    <xf numFmtId="0" fontId="9" fillId="25" borderId="34" xfId="306" applyFont="1" applyFill="1" applyBorder="1" applyAlignment="1" applyProtection="1">
      <alignment horizontal="left"/>
      <protection locked="0"/>
    </xf>
    <xf numFmtId="0" fontId="6" fillId="25" borderId="36" xfId="306" applyFont="1" applyFill="1" applyBorder="1" applyAlignment="1" applyProtection="1">
      <alignment horizontal="left" vertical="top" wrapText="1"/>
      <protection locked="0"/>
    </xf>
    <xf numFmtId="0" fontId="6" fillId="25" borderId="35" xfId="306" applyFont="1" applyFill="1" applyBorder="1" applyAlignment="1" applyProtection="1">
      <alignment horizontal="left" vertical="top"/>
      <protection locked="0"/>
    </xf>
    <xf numFmtId="0" fontId="6" fillId="25" borderId="34" xfId="306" applyFont="1" applyFill="1" applyBorder="1" applyAlignment="1" applyProtection="1">
      <alignment horizontal="left" vertical="top"/>
      <protection locked="0"/>
    </xf>
    <xf numFmtId="0" fontId="6" fillId="14" borderId="0" xfId="306" applyFont="1" applyFill="1" applyBorder="1" applyAlignment="1" applyProtection="1">
      <alignment vertical="center" wrapText="1"/>
    </xf>
    <xf numFmtId="0" fontId="64" fillId="14" borderId="0" xfId="306" applyFont="1" applyFill="1" applyBorder="1" applyAlignment="1" applyProtection="1">
      <alignment vertical="center" wrapText="1"/>
    </xf>
    <xf numFmtId="0" fontId="157" fillId="35" borderId="21" xfId="306" applyFont="1" applyFill="1" applyBorder="1" applyAlignment="1" applyProtection="1">
      <alignment horizontal="center"/>
    </xf>
    <xf numFmtId="0" fontId="157" fillId="35" borderId="22" xfId="306" applyFont="1" applyFill="1" applyBorder="1" applyAlignment="1" applyProtection="1">
      <alignment horizontal="center"/>
    </xf>
    <xf numFmtId="0" fontId="157" fillId="35" borderId="23" xfId="306" applyFont="1" applyFill="1" applyBorder="1" applyAlignment="1" applyProtection="1">
      <alignment horizontal="center"/>
    </xf>
    <xf numFmtId="179" fontId="6" fillId="29" borderId="17" xfId="306" applyNumberFormat="1" applyFont="1" applyFill="1" applyBorder="1" applyAlignment="1" applyProtection="1">
      <alignment horizontal="left"/>
    </xf>
    <xf numFmtId="0" fontId="66" fillId="40" borderId="82" xfId="306" applyFont="1" applyFill="1" applyBorder="1" applyAlignment="1">
      <alignment horizontal="center" vertical="center" wrapText="1"/>
    </xf>
    <xf numFmtId="0" fontId="66" fillId="40" borderId="71" xfId="306" applyFont="1" applyFill="1" applyBorder="1" applyAlignment="1">
      <alignment horizontal="center" vertical="center" wrapText="1"/>
    </xf>
    <xf numFmtId="10" fontId="65" fillId="39" borderId="46" xfId="306" applyNumberFormat="1" applyFont="1" applyFill="1" applyBorder="1" applyAlignment="1">
      <alignment horizontal="center" vertical="center" wrapText="1"/>
    </xf>
    <xf numFmtId="10" fontId="65" fillId="39" borderId="60" xfId="306" applyNumberFormat="1" applyFont="1" applyFill="1" applyBorder="1" applyAlignment="1">
      <alignment horizontal="center" vertical="center" wrapText="1"/>
    </xf>
    <xf numFmtId="10" fontId="65" fillId="39" borderId="61" xfId="306" applyNumberFormat="1" applyFont="1" applyFill="1" applyBorder="1" applyAlignment="1">
      <alignment horizontal="center" vertical="center" wrapText="1"/>
    </xf>
    <xf numFmtId="0" fontId="8" fillId="29" borderId="0" xfId="306" applyFont="1" applyFill="1" applyBorder="1" applyAlignment="1">
      <alignment horizontal="left" vertical="top" wrapText="1"/>
    </xf>
    <xf numFmtId="0" fontId="41" fillId="33" borderId="49" xfId="306" applyFont="1" applyFill="1" applyBorder="1" applyAlignment="1">
      <alignment horizontal="left" vertical="center" wrapText="1"/>
    </xf>
    <xf numFmtId="0" fontId="52" fillId="33" borderId="50" xfId="306" applyFont="1" applyFill="1" applyBorder="1" applyAlignment="1">
      <alignment horizontal="left" vertical="center" wrapText="1"/>
    </xf>
    <xf numFmtId="0" fontId="65" fillId="39" borderId="206" xfId="306" applyFont="1" applyFill="1" applyBorder="1" applyAlignment="1">
      <alignment horizontal="center" vertical="center" wrapText="1"/>
    </xf>
    <xf numFmtId="0" fontId="65" fillId="39" borderId="82" xfId="306" applyFont="1" applyFill="1" applyBorder="1" applyAlignment="1">
      <alignment horizontal="center" vertical="center" wrapText="1"/>
    </xf>
    <xf numFmtId="0" fontId="6" fillId="18" borderId="36" xfId="306" applyFont="1" applyFill="1" applyBorder="1" applyAlignment="1" applyProtection="1">
      <alignment horizontal="left" vertical="center" wrapText="1"/>
      <protection locked="0"/>
    </xf>
    <xf numFmtId="0" fontId="6" fillId="18" borderId="35" xfId="306" applyFont="1" applyFill="1" applyBorder="1" applyAlignment="1" applyProtection="1">
      <alignment horizontal="left" vertical="center" wrapText="1"/>
      <protection locked="0"/>
    </xf>
    <xf numFmtId="0" fontId="6" fillId="18" borderId="34" xfId="306" applyFont="1" applyFill="1" applyBorder="1" applyAlignment="1" applyProtection="1">
      <alignment horizontal="left" vertical="center" wrapText="1"/>
      <protection locked="0"/>
    </xf>
    <xf numFmtId="0" fontId="65" fillId="39" borderId="46" xfId="306" applyFont="1" applyFill="1" applyBorder="1" applyAlignment="1">
      <alignment horizontal="center" vertical="center" wrapText="1"/>
    </xf>
    <xf numFmtId="0" fontId="65" fillId="39" borderId="60" xfId="306" applyFont="1" applyFill="1" applyBorder="1" applyAlignment="1">
      <alignment horizontal="center" vertical="center" wrapText="1"/>
    </xf>
    <xf numFmtId="168" fontId="66" fillId="40" borderId="60" xfId="306" applyNumberFormat="1" applyFont="1" applyFill="1" applyBorder="1" applyAlignment="1">
      <alignment horizontal="center" vertical="center" wrapText="1"/>
    </xf>
    <xf numFmtId="168" fontId="66" fillId="40" borderId="61" xfId="306" applyNumberFormat="1" applyFont="1" applyFill="1" applyBorder="1" applyAlignment="1">
      <alignment horizontal="center" vertical="center" wrapText="1"/>
    </xf>
    <xf numFmtId="168" fontId="9" fillId="40" borderId="206" xfId="306" applyNumberFormat="1" applyFont="1" applyFill="1" applyBorder="1" applyAlignment="1">
      <alignment horizontal="center" vertical="distributed" wrapText="1"/>
    </xf>
    <xf numFmtId="168" fontId="9" fillId="40" borderId="82" xfId="306" applyNumberFormat="1" applyFont="1" applyFill="1" applyBorder="1" applyAlignment="1">
      <alignment horizontal="center" vertical="distributed" wrapText="1"/>
    </xf>
    <xf numFmtId="168" fontId="9" fillId="40" borderId="85" xfId="306" applyNumberFormat="1" applyFont="1" applyFill="1" applyBorder="1" applyAlignment="1">
      <alignment horizontal="center" vertical="distributed" wrapText="1"/>
    </xf>
    <xf numFmtId="168" fontId="9" fillId="39" borderId="206" xfId="306" applyNumberFormat="1" applyFont="1" applyFill="1" applyBorder="1" applyAlignment="1">
      <alignment horizontal="center" vertical="center" wrapText="1"/>
    </xf>
    <xf numFmtId="168" fontId="9" fillId="39" borderId="82" xfId="306" applyNumberFormat="1" applyFont="1" applyFill="1" applyBorder="1" applyAlignment="1">
      <alignment horizontal="center" vertical="center" wrapText="1"/>
    </xf>
    <xf numFmtId="168" fontId="9" fillId="39" borderId="71" xfId="306" applyNumberFormat="1" applyFont="1" applyFill="1" applyBorder="1" applyAlignment="1">
      <alignment horizontal="center" vertical="center" wrapText="1"/>
    </xf>
    <xf numFmtId="10" fontId="65" fillId="40" borderId="46" xfId="306" applyNumberFormat="1" applyFont="1" applyFill="1" applyBorder="1" applyAlignment="1">
      <alignment horizontal="center" vertical="center" wrapText="1"/>
    </xf>
    <xf numFmtId="10" fontId="65" fillId="40" borderId="60" xfId="306" applyNumberFormat="1" applyFont="1" applyFill="1" applyBorder="1" applyAlignment="1">
      <alignment horizontal="center" vertical="center" wrapText="1"/>
    </xf>
    <xf numFmtId="10" fontId="65" fillId="40" borderId="86" xfId="306" applyNumberFormat="1" applyFont="1" applyFill="1" applyBorder="1" applyAlignment="1">
      <alignment horizontal="center" vertical="center" wrapText="1"/>
    </xf>
    <xf numFmtId="168" fontId="9" fillId="39" borderId="46" xfId="306" applyNumberFormat="1" applyFont="1" applyFill="1" applyBorder="1" applyAlignment="1">
      <alignment horizontal="center" vertical="center" wrapText="1"/>
    </xf>
    <xf numFmtId="168" fontId="9" fillId="39" borderId="60" xfId="306" applyNumberFormat="1" applyFont="1" applyFill="1" applyBorder="1" applyAlignment="1">
      <alignment horizontal="center" vertical="center" wrapText="1"/>
    </xf>
    <xf numFmtId="168" fontId="9" fillId="39" borderId="61" xfId="306" applyNumberFormat="1" applyFont="1" applyFill="1" applyBorder="1" applyAlignment="1">
      <alignment horizontal="center" vertical="center" wrapText="1"/>
    </xf>
    <xf numFmtId="0" fontId="9" fillId="39" borderId="60" xfId="306" applyFont="1" applyFill="1" applyBorder="1" applyAlignment="1">
      <alignment horizontal="center" vertical="center" wrapText="1"/>
    </xf>
    <xf numFmtId="168" fontId="9" fillId="40" borderId="60" xfId="306" applyNumberFormat="1" applyFont="1" applyFill="1" applyBorder="1" applyAlignment="1">
      <alignment horizontal="center" vertical="center" wrapText="1"/>
    </xf>
    <xf numFmtId="0" fontId="9" fillId="40" borderId="60" xfId="306" applyFont="1" applyFill="1" applyBorder="1" applyAlignment="1">
      <alignment horizontal="center" vertical="center" wrapText="1"/>
    </xf>
    <xf numFmtId="0" fontId="9" fillId="40" borderId="86" xfId="306" applyFont="1" applyFill="1" applyBorder="1" applyAlignment="1">
      <alignment horizontal="center" vertical="center" wrapText="1"/>
    </xf>
    <xf numFmtId="0" fontId="67" fillId="42" borderId="82" xfId="0" applyNumberFormat="1" applyFont="1" applyFill="1" applyBorder="1" applyAlignment="1" applyProtection="1">
      <alignment horizontal="center" vertical="center" wrapText="1"/>
    </xf>
    <xf numFmtId="0" fontId="14" fillId="36" borderId="82" xfId="0" applyFont="1" applyFill="1" applyBorder="1" applyAlignment="1">
      <alignment horizontal="center" vertical="center"/>
    </xf>
    <xf numFmtId="0" fontId="14" fillId="36" borderId="71" xfId="0" applyFont="1" applyFill="1" applyBorder="1" applyAlignment="1">
      <alignment horizontal="center" vertical="center"/>
    </xf>
    <xf numFmtId="0" fontId="14" fillId="36" borderId="46" xfId="0" applyFont="1" applyFill="1" applyBorder="1" applyAlignment="1">
      <alignment horizontal="center" vertical="center" wrapText="1"/>
    </xf>
    <xf numFmtId="0" fontId="14" fillId="36" borderId="60" xfId="0" applyFont="1" applyFill="1" applyBorder="1" applyAlignment="1">
      <alignment horizontal="center" vertical="center" wrapText="1"/>
    </xf>
    <xf numFmtId="0" fontId="14" fillId="41" borderId="60" xfId="0" applyFont="1" applyFill="1" applyBorder="1" applyAlignment="1">
      <alignment horizontal="center" vertical="center" wrapText="1"/>
    </xf>
    <xf numFmtId="0" fontId="14" fillId="41" borderId="61" xfId="0" applyFont="1" applyFill="1" applyBorder="1" applyAlignment="1">
      <alignment horizontal="center" vertical="center" wrapText="1"/>
    </xf>
    <xf numFmtId="0" fontId="41" fillId="33" borderId="21" xfId="0" applyFont="1" applyFill="1" applyBorder="1" applyAlignment="1">
      <alignment horizontal="center" vertical="center" wrapText="1"/>
    </xf>
    <xf numFmtId="0" fontId="52" fillId="33" borderId="19" xfId="0" applyFont="1" applyFill="1" applyBorder="1" applyAlignment="1">
      <alignment horizontal="center" vertical="center" wrapText="1"/>
    </xf>
    <xf numFmtId="0" fontId="52" fillId="33" borderId="25" xfId="0" applyFont="1" applyFill="1" applyBorder="1" applyAlignment="1">
      <alignment horizontal="center" vertical="center" wrapText="1"/>
    </xf>
    <xf numFmtId="0" fontId="67" fillId="36" borderId="44" xfId="0" applyNumberFormat="1" applyFont="1" applyFill="1" applyBorder="1" applyAlignment="1" applyProtection="1">
      <alignment horizontal="center" vertical="center" wrapText="1"/>
    </xf>
    <xf numFmtId="0" fontId="14" fillId="36" borderId="82" xfId="0" applyFont="1" applyFill="1" applyBorder="1" applyAlignment="1">
      <alignment horizontal="center" vertical="center" wrapText="1"/>
    </xf>
    <xf numFmtId="0" fontId="14" fillId="41" borderId="82" xfId="0" applyFont="1" applyFill="1" applyBorder="1" applyAlignment="1">
      <alignment horizontal="center" vertical="center" wrapText="1"/>
    </xf>
    <xf numFmtId="0" fontId="14" fillId="41" borderId="71" xfId="0" applyFont="1" applyFill="1" applyBorder="1" applyAlignment="1">
      <alignment horizontal="center" vertical="center" wrapText="1"/>
    </xf>
    <xf numFmtId="0" fontId="9" fillId="29" borderId="0" xfId="0" applyFont="1" applyFill="1" applyBorder="1" applyAlignment="1">
      <alignment vertical="top" wrapText="1"/>
    </xf>
    <xf numFmtId="0" fontId="14" fillId="36" borderId="61" xfId="0" applyFont="1" applyFill="1" applyBorder="1" applyAlignment="1">
      <alignment horizontal="center" vertical="center" wrapText="1"/>
    </xf>
    <xf numFmtId="0" fontId="14" fillId="41" borderId="60" xfId="0" applyNumberFormat="1" applyFont="1" applyFill="1" applyBorder="1" applyAlignment="1">
      <alignment horizontal="center" vertical="center" wrapText="1"/>
    </xf>
    <xf numFmtId="0" fontId="14" fillId="41" borderId="61" xfId="0" applyNumberFormat="1" applyFont="1" applyFill="1" applyBorder="1" applyAlignment="1">
      <alignment horizontal="center" vertical="center" wrapText="1"/>
    </xf>
    <xf numFmtId="0" fontId="14" fillId="36" borderId="46" xfId="0" applyNumberFormat="1" applyFont="1" applyFill="1" applyBorder="1" applyAlignment="1">
      <alignment horizontal="center" vertical="center" wrapText="1"/>
    </xf>
    <xf numFmtId="0" fontId="14" fillId="36" borderId="60" xfId="0" applyNumberFormat="1" applyFont="1" applyFill="1" applyBorder="1" applyAlignment="1">
      <alignment horizontal="center" vertical="center" wrapText="1"/>
    </xf>
    <xf numFmtId="0" fontId="6" fillId="25" borderId="35" xfId="0" applyFont="1" applyFill="1" applyBorder="1" applyAlignment="1" applyProtection="1">
      <alignment horizontal="center" vertical="center"/>
      <protection locked="0"/>
    </xf>
    <xf numFmtId="0" fontId="6" fillId="25" borderId="34" xfId="0" applyFont="1" applyFill="1" applyBorder="1" applyAlignment="1" applyProtection="1">
      <alignment horizontal="center" vertical="center"/>
      <protection locked="0"/>
    </xf>
    <xf numFmtId="0" fontId="6" fillId="25" borderId="36" xfId="0" applyFont="1" applyFill="1" applyBorder="1" applyAlignment="1" applyProtection="1">
      <alignment horizontal="center" vertical="center"/>
      <protection locked="0"/>
    </xf>
    <xf numFmtId="0" fontId="6" fillId="25" borderId="35" xfId="0" applyFont="1" applyFill="1" applyBorder="1" applyAlignment="1" applyProtection="1">
      <alignment horizontal="center" vertical="center" wrapText="1"/>
      <protection locked="0"/>
    </xf>
    <xf numFmtId="0" fontId="6" fillId="25" borderId="34" xfId="0" applyFont="1" applyFill="1" applyBorder="1" applyAlignment="1" applyProtection="1">
      <alignment horizontal="center" vertical="center" wrapText="1"/>
      <protection locked="0"/>
    </xf>
    <xf numFmtId="0" fontId="66" fillId="36" borderId="50" xfId="0" applyFont="1" applyFill="1" applyBorder="1" applyAlignment="1">
      <alignment horizontal="center" vertical="center" wrapText="1"/>
    </xf>
    <xf numFmtId="0" fontId="66" fillId="36" borderId="76" xfId="0" applyFont="1" applyFill="1" applyBorder="1" applyAlignment="1">
      <alignment horizontal="center" vertical="center" wrapText="1"/>
    </xf>
    <xf numFmtId="0" fontId="66" fillId="36" borderId="62" xfId="0" applyFont="1" applyFill="1" applyBorder="1" applyAlignment="1">
      <alignment horizontal="center" vertical="center" wrapText="1"/>
    </xf>
    <xf numFmtId="0" fontId="66" fillId="41" borderId="86" xfId="0" applyFont="1" applyFill="1" applyBorder="1" applyAlignment="1">
      <alignment horizontal="center" vertical="center" wrapText="1"/>
    </xf>
    <xf numFmtId="0" fontId="66" fillId="41" borderId="76" xfId="0" applyFont="1" applyFill="1" applyBorder="1" applyAlignment="1">
      <alignment horizontal="center" vertical="center" wrapText="1"/>
    </xf>
    <xf numFmtId="0" fontId="66" fillId="41" borderId="77" xfId="0" applyFont="1" applyFill="1" applyBorder="1" applyAlignment="1">
      <alignment horizontal="center" vertical="center" wrapText="1"/>
    </xf>
    <xf numFmtId="0" fontId="66" fillId="36" borderId="46" xfId="0" applyFont="1" applyFill="1" applyBorder="1" applyAlignment="1">
      <alignment horizontal="center" vertical="center" wrapText="1"/>
    </xf>
    <xf numFmtId="0" fontId="66" fillId="36" borderId="60" xfId="0" applyFont="1" applyFill="1" applyBorder="1" applyAlignment="1">
      <alignment horizontal="center" vertical="center" wrapText="1"/>
    </xf>
    <xf numFmtId="0" fontId="66" fillId="41" borderId="60" xfId="0" applyFont="1" applyFill="1" applyBorder="1" applyAlignment="1">
      <alignment horizontal="center" vertical="center" wrapText="1"/>
    </xf>
    <xf numFmtId="0" fontId="66" fillId="36" borderId="50" xfId="0" quotePrefix="1" applyFont="1" applyFill="1" applyBorder="1" applyAlignment="1">
      <alignment horizontal="center" vertical="center" wrapText="1"/>
    </xf>
    <xf numFmtId="0" fontId="66" fillId="36" borderId="76" xfId="0" quotePrefix="1" applyFont="1" applyFill="1" applyBorder="1" applyAlignment="1">
      <alignment horizontal="center" vertical="center" wrapText="1"/>
    </xf>
    <xf numFmtId="0" fontId="14" fillId="36" borderId="44" xfId="0" applyNumberFormat="1" applyFont="1" applyFill="1" applyBorder="1" applyAlignment="1" applyProtection="1">
      <alignment horizontal="center" vertical="center" wrapText="1"/>
    </xf>
    <xf numFmtId="0" fontId="17" fillId="36" borderId="82" xfId="0" applyFont="1" applyFill="1" applyBorder="1" applyAlignment="1">
      <alignment horizontal="center" vertical="center" wrapText="1"/>
    </xf>
    <xf numFmtId="0" fontId="14" fillId="41" borderId="82" xfId="0" applyNumberFormat="1" applyFont="1" applyFill="1" applyBorder="1" applyAlignment="1" applyProtection="1">
      <alignment horizontal="center" vertical="center" wrapText="1"/>
    </xf>
    <xf numFmtId="0" fontId="14" fillId="36" borderId="82" xfId="0" applyNumberFormat="1" applyFont="1" applyFill="1" applyBorder="1" applyAlignment="1" applyProtection="1">
      <alignment horizontal="center" vertical="center" wrapText="1"/>
    </xf>
    <xf numFmtId="0" fontId="17" fillId="36" borderId="90" xfId="0" applyFont="1" applyFill="1" applyBorder="1" applyAlignment="1">
      <alignment horizontal="center" vertical="center" wrapText="1"/>
    </xf>
    <xf numFmtId="0" fontId="14" fillId="36" borderId="206" xfId="0" applyNumberFormat="1" applyFont="1" applyFill="1" applyBorder="1" applyAlignment="1" applyProtection="1">
      <alignment horizontal="center" vertical="center" wrapText="1"/>
    </xf>
    <xf numFmtId="0" fontId="14" fillId="41" borderId="90" xfId="0" applyNumberFormat="1" applyFont="1" applyFill="1" applyBorder="1" applyAlignment="1" applyProtection="1">
      <alignment horizontal="center" vertical="center" wrapText="1"/>
    </xf>
    <xf numFmtId="0" fontId="67" fillId="36" borderId="206" xfId="0" applyNumberFormat="1" applyFont="1" applyFill="1" applyBorder="1" applyAlignment="1" applyProtection="1">
      <alignment horizontal="center" vertical="center" wrapText="1"/>
    </xf>
    <xf numFmtId="0" fontId="67" fillId="36" borderId="82" xfId="0" applyNumberFormat="1" applyFont="1" applyFill="1" applyBorder="1" applyAlignment="1" applyProtection="1">
      <alignment horizontal="center" vertical="center" wrapText="1"/>
    </xf>
    <xf numFmtId="0" fontId="67" fillId="41" borderId="82" xfId="0" applyNumberFormat="1" applyFont="1" applyFill="1" applyBorder="1" applyAlignment="1" applyProtection="1">
      <alignment horizontal="center" vertical="center" wrapText="1"/>
    </xf>
    <xf numFmtId="0" fontId="67" fillId="41" borderId="90" xfId="0" applyNumberFormat="1" applyFont="1" applyFill="1" applyBorder="1" applyAlignment="1" applyProtection="1">
      <alignment horizontal="center" vertical="center" wrapText="1"/>
    </xf>
    <xf numFmtId="0" fontId="66" fillId="36" borderId="62" xfId="0" quotePrefix="1" applyFont="1" applyFill="1" applyBorder="1" applyAlignment="1">
      <alignment horizontal="center" vertical="center" wrapText="1"/>
    </xf>
    <xf numFmtId="0" fontId="67" fillId="46" borderId="82" xfId="0" applyNumberFormat="1" applyFont="1" applyFill="1" applyBorder="1" applyAlignment="1" applyProtection="1">
      <alignment horizontal="center" vertical="center" wrapText="1"/>
    </xf>
    <xf numFmtId="0" fontId="67" fillId="46" borderId="90" xfId="0" applyNumberFormat="1" applyFont="1" applyFill="1" applyBorder="1" applyAlignment="1" applyProtection="1">
      <alignment horizontal="center" vertical="center" wrapText="1"/>
    </xf>
    <xf numFmtId="0" fontId="66" fillId="39" borderId="46" xfId="0" applyFont="1" applyFill="1" applyBorder="1" applyAlignment="1">
      <alignment horizontal="center" vertical="center" wrapText="1"/>
    </xf>
    <xf numFmtId="0" fontId="66" fillId="39" borderId="60" xfId="0" applyFont="1" applyFill="1" applyBorder="1" applyAlignment="1">
      <alignment horizontal="center" vertical="center" wrapText="1"/>
    </xf>
    <xf numFmtId="0" fontId="66" fillId="39" borderId="63" xfId="0" applyFont="1" applyFill="1" applyBorder="1" applyAlignment="1">
      <alignment horizontal="center" vertical="center" wrapText="1"/>
    </xf>
    <xf numFmtId="0" fontId="66" fillId="39" borderId="50" xfId="0" quotePrefix="1" applyFont="1" applyFill="1" applyBorder="1" applyAlignment="1">
      <alignment horizontal="center" vertical="center" wrapText="1"/>
    </xf>
    <xf numFmtId="0" fontId="66" fillId="39" borderId="76" xfId="0" quotePrefix="1" applyFont="1" applyFill="1" applyBorder="1" applyAlignment="1">
      <alignment horizontal="center" vertical="center" wrapText="1"/>
    </xf>
    <xf numFmtId="0" fontId="66" fillId="39" borderId="62" xfId="0" quotePrefix="1" applyFont="1" applyFill="1" applyBorder="1" applyAlignment="1">
      <alignment horizontal="center" vertical="center" wrapText="1"/>
    </xf>
    <xf numFmtId="0" fontId="66" fillId="40" borderId="86" xfId="0" applyFont="1" applyFill="1" applyBorder="1" applyAlignment="1">
      <alignment horizontal="center" vertical="center" wrapText="1"/>
    </xf>
    <xf numFmtId="0" fontId="66" fillId="40" borderId="76" xfId="0" applyFont="1" applyFill="1" applyBorder="1" applyAlignment="1">
      <alignment horizontal="center" vertical="center" wrapText="1"/>
    </xf>
    <xf numFmtId="0" fontId="66" fillId="40" borderId="77" xfId="0" applyFont="1" applyFill="1" applyBorder="1" applyAlignment="1">
      <alignment horizontal="center" vertical="center" wrapText="1"/>
    </xf>
    <xf numFmtId="0" fontId="67" fillId="44" borderId="206" xfId="0" applyNumberFormat="1" applyFont="1" applyFill="1" applyBorder="1" applyAlignment="1" applyProtection="1">
      <alignment horizontal="center" vertical="center" wrapText="1"/>
    </xf>
    <xf numFmtId="0" fontId="67" fillId="44" borderId="82" xfId="0" applyNumberFormat="1" applyFont="1" applyFill="1" applyBorder="1" applyAlignment="1" applyProtection="1">
      <alignment horizontal="center" vertical="center" wrapText="1"/>
    </xf>
    <xf numFmtId="0" fontId="66" fillId="44" borderId="50" xfId="0" applyFont="1" applyFill="1" applyBorder="1" applyAlignment="1">
      <alignment horizontal="center" vertical="center" wrapText="1"/>
    </xf>
    <xf numFmtId="0" fontId="66" fillId="44" borderId="76" xfId="0" applyFont="1" applyFill="1" applyBorder="1" applyAlignment="1">
      <alignment horizontal="center" vertical="center" wrapText="1"/>
    </xf>
    <xf numFmtId="0" fontId="66" fillId="44" borderId="77" xfId="0" applyFont="1" applyFill="1" applyBorder="1" applyAlignment="1">
      <alignment horizontal="center" vertical="center" wrapText="1"/>
    </xf>
    <xf numFmtId="0" fontId="6" fillId="14" borderId="0" xfId="0" applyFont="1" applyFill="1" applyAlignment="1">
      <alignment horizontal="left" vertical="top" wrapText="1"/>
    </xf>
    <xf numFmtId="0" fontId="67" fillId="39" borderId="44" xfId="0" applyNumberFormat="1" applyFont="1" applyFill="1" applyBorder="1" applyAlignment="1" applyProtection="1">
      <alignment horizontal="center" vertical="center" wrapText="1"/>
    </xf>
    <xf numFmtId="0" fontId="17" fillId="39" borderId="82" xfId="0" applyFont="1" applyFill="1" applyBorder="1" applyAlignment="1">
      <alignment horizontal="center" vertical="center" wrapText="1"/>
    </xf>
    <xf numFmtId="0" fontId="67" fillId="40" borderId="82" xfId="0" applyNumberFormat="1" applyFont="1" applyFill="1" applyBorder="1" applyAlignment="1" applyProtection="1">
      <alignment horizontal="center" vertical="center" wrapText="1"/>
    </xf>
    <xf numFmtId="0" fontId="67" fillId="39" borderId="82" xfId="0" applyNumberFormat="1" applyFont="1" applyFill="1" applyBorder="1" applyAlignment="1" applyProtection="1">
      <alignment horizontal="center" vertical="center" wrapText="1"/>
    </xf>
    <xf numFmtId="0" fontId="17" fillId="39" borderId="90" xfId="0" applyFont="1" applyFill="1" applyBorder="1" applyAlignment="1">
      <alignment horizontal="center" vertical="center" wrapText="1"/>
    </xf>
    <xf numFmtId="0" fontId="66" fillId="36" borderId="77" xfId="0" applyFont="1" applyFill="1" applyBorder="1" applyAlignment="1">
      <alignment horizontal="center" vertical="center" wrapText="1"/>
    </xf>
    <xf numFmtId="0" fontId="66" fillId="36" borderId="77" xfId="0" quotePrefix="1" applyFont="1" applyFill="1" applyBorder="1" applyAlignment="1">
      <alignment horizontal="center" vertical="center" wrapText="1"/>
    </xf>
    <xf numFmtId="0" fontId="67" fillId="41" borderId="85" xfId="0" applyNumberFormat="1" applyFont="1" applyFill="1" applyBorder="1" applyAlignment="1" applyProtection="1">
      <alignment horizontal="center" vertical="center" wrapText="1"/>
    </xf>
    <xf numFmtId="0" fontId="67" fillId="41" borderId="74" xfId="0" applyNumberFormat="1" applyFont="1" applyFill="1" applyBorder="1" applyAlignment="1" applyProtection="1">
      <alignment horizontal="center" vertical="center" wrapText="1"/>
    </xf>
    <xf numFmtId="0" fontId="67" fillId="41" borderId="75" xfId="0" applyNumberFormat="1" applyFont="1" applyFill="1" applyBorder="1" applyAlignment="1" applyProtection="1">
      <alignment horizontal="center" vertical="center" wrapText="1"/>
    </xf>
    <xf numFmtId="0" fontId="14" fillId="41" borderId="85" xfId="0" applyNumberFormat="1" applyFont="1" applyFill="1" applyBorder="1" applyAlignment="1" applyProtection="1">
      <alignment horizontal="center" vertical="center" wrapText="1"/>
    </xf>
    <xf numFmtId="0" fontId="14" fillId="41" borderId="74" xfId="0" applyNumberFormat="1" applyFont="1" applyFill="1" applyBorder="1" applyAlignment="1" applyProtection="1">
      <alignment horizontal="center" vertical="center" wrapText="1"/>
    </xf>
    <xf numFmtId="0" fontId="14" fillId="41" borderId="75" xfId="0" applyNumberFormat="1" applyFont="1" applyFill="1" applyBorder="1" applyAlignment="1" applyProtection="1">
      <alignment horizontal="center" vertical="center" wrapText="1"/>
    </xf>
    <xf numFmtId="0" fontId="17" fillId="36" borderId="71" xfId="0" applyFont="1" applyFill="1" applyBorder="1" applyAlignment="1">
      <alignment horizontal="center" vertical="center" wrapText="1"/>
    </xf>
    <xf numFmtId="0" fontId="50" fillId="35" borderId="429" xfId="0" applyFont="1" applyFill="1" applyBorder="1" applyAlignment="1">
      <alignment horizontal="center" vertical="center" wrapText="1"/>
    </xf>
    <xf numFmtId="0" fontId="50" fillId="35" borderId="96" xfId="0" applyFont="1" applyFill="1" applyBorder="1" applyAlignment="1">
      <alignment horizontal="center" vertical="center" wrapText="1"/>
    </xf>
    <xf numFmtId="0" fontId="66" fillId="41" borderId="61" xfId="0" applyFont="1" applyFill="1" applyBorder="1" applyAlignment="1">
      <alignment horizontal="center" vertical="center" wrapText="1"/>
    </xf>
    <xf numFmtId="0" fontId="9" fillId="47" borderId="430" xfId="0" applyFont="1" applyFill="1" applyBorder="1" applyAlignment="1">
      <alignment horizontal="center" vertical="center" wrapText="1"/>
    </xf>
    <xf numFmtId="0" fontId="9" fillId="47" borderId="185" xfId="0" applyFont="1" applyFill="1" applyBorder="1" applyAlignment="1">
      <alignment horizontal="center" vertical="center" wrapText="1"/>
    </xf>
    <xf numFmtId="0" fontId="9" fillId="47" borderId="431" xfId="0" applyFont="1" applyFill="1" applyBorder="1" applyAlignment="1">
      <alignment horizontal="center" vertical="center" wrapText="1"/>
    </xf>
    <xf numFmtId="0" fontId="6" fillId="38" borderId="18" xfId="0" applyFont="1" applyFill="1" applyBorder="1" applyAlignment="1">
      <alignment horizontal="center" vertical="center" wrapText="1"/>
    </xf>
    <xf numFmtId="0" fontId="6" fillId="38" borderId="12" xfId="0" applyFont="1" applyFill="1" applyBorder="1" applyAlignment="1"/>
    <xf numFmtId="0" fontId="67" fillId="42" borderId="49" xfId="0" applyNumberFormat="1" applyFont="1" applyFill="1" applyBorder="1" applyAlignment="1" applyProtection="1">
      <alignment horizontal="center" vertical="center" wrapText="1"/>
    </xf>
    <xf numFmtId="0" fontId="67" fillId="42" borderId="74" xfId="0" applyNumberFormat="1" applyFont="1" applyFill="1" applyBorder="1" applyAlignment="1" applyProtection="1">
      <alignment horizontal="center" vertical="center" wrapText="1"/>
    </xf>
    <xf numFmtId="0" fontId="67" fillId="42" borderId="89" xfId="0" applyNumberFormat="1" applyFont="1" applyFill="1" applyBorder="1" applyAlignment="1" applyProtection="1">
      <alignment horizontal="center" vertical="center" wrapText="1"/>
    </xf>
    <xf numFmtId="0" fontId="67" fillId="50" borderId="85" xfId="0" applyNumberFormat="1" applyFont="1" applyFill="1" applyBorder="1" applyAlignment="1" applyProtection="1">
      <alignment horizontal="center" vertical="center" wrapText="1"/>
    </xf>
    <xf numFmtId="0" fontId="67" fillId="50" borderId="74" xfId="0" applyNumberFormat="1" applyFont="1" applyFill="1" applyBorder="1" applyAlignment="1" applyProtection="1">
      <alignment horizontal="center" vertical="center" wrapText="1"/>
    </xf>
    <xf numFmtId="0" fontId="67" fillId="50" borderId="75" xfId="0" applyNumberFormat="1" applyFont="1" applyFill="1" applyBorder="1" applyAlignment="1" applyProtection="1">
      <alignment horizontal="center" vertical="center" wrapText="1"/>
    </xf>
    <xf numFmtId="168" fontId="17" fillId="25" borderId="72" xfId="30" applyNumberFormat="1" applyFont="1" applyFill="1" applyBorder="1" applyAlignment="1">
      <alignment vertical="center" wrapText="1"/>
    </xf>
    <xf numFmtId="168" fontId="17" fillId="25" borderId="73" xfId="30" applyNumberFormat="1" applyFont="1" applyFill="1" applyBorder="1" applyAlignment="1">
      <alignment vertical="center" wrapText="1"/>
    </xf>
    <xf numFmtId="168" fontId="17" fillId="25" borderId="91" xfId="30" applyNumberFormat="1" applyFont="1" applyFill="1" applyBorder="1" applyAlignment="1">
      <alignment vertical="center" wrapText="1"/>
    </xf>
    <xf numFmtId="0" fontId="9" fillId="38" borderId="72" xfId="0" applyFont="1" applyFill="1" applyBorder="1" applyAlignment="1">
      <alignment horizontal="left" vertical="center" wrapText="1"/>
    </xf>
    <xf numFmtId="0" fontId="9" fillId="38" borderId="73" xfId="0" applyFont="1" applyFill="1" applyBorder="1" applyAlignment="1">
      <alignment horizontal="left" vertical="center" wrapText="1"/>
    </xf>
    <xf numFmtId="0" fontId="9" fillId="38" borderId="91" xfId="0" applyFont="1" applyFill="1" applyBorder="1" applyAlignment="1">
      <alignment horizontal="left" vertical="center" wrapText="1"/>
    </xf>
    <xf numFmtId="0" fontId="6" fillId="33" borderId="36" xfId="0" applyFont="1" applyFill="1" applyBorder="1" applyAlignment="1" applyProtection="1">
      <alignment horizontal="right" vertical="center" wrapText="1"/>
      <protection locked="0"/>
    </xf>
    <xf numFmtId="0" fontId="6" fillId="33" borderId="34" xfId="0" applyFont="1" applyFill="1" applyBorder="1" applyAlignment="1" applyProtection="1">
      <alignment horizontal="right" vertical="center" wrapText="1"/>
      <protection locked="0"/>
    </xf>
    <xf numFmtId="0" fontId="40" fillId="33" borderId="21" xfId="0" applyFont="1" applyFill="1" applyBorder="1" applyAlignment="1">
      <alignment horizontal="left" vertical="center" wrapText="1"/>
    </xf>
    <xf numFmtId="0" fontId="40" fillId="33" borderId="23" xfId="0" applyFont="1" applyFill="1" applyBorder="1" applyAlignment="1">
      <alignment horizontal="left" vertical="center" wrapText="1"/>
    </xf>
    <xf numFmtId="0" fontId="40" fillId="33" borderId="19" xfId="0" applyFont="1" applyFill="1" applyBorder="1" applyAlignment="1">
      <alignment horizontal="left" vertical="center" wrapText="1"/>
    </xf>
    <xf numFmtId="0" fontId="40" fillId="33" borderId="24" xfId="0" applyFont="1" applyFill="1" applyBorder="1" applyAlignment="1">
      <alignment horizontal="left" vertical="center" wrapText="1"/>
    </xf>
    <xf numFmtId="0" fontId="40" fillId="33" borderId="25" xfId="0" applyFont="1" applyFill="1" applyBorder="1" applyAlignment="1">
      <alignment horizontal="left" vertical="center" wrapText="1"/>
    </xf>
    <xf numFmtId="0" fontId="40" fillId="33" borderId="202" xfId="0" applyFont="1" applyFill="1" applyBorder="1" applyAlignment="1">
      <alignment horizontal="left" vertical="center" wrapText="1"/>
    </xf>
    <xf numFmtId="0" fontId="0" fillId="33" borderId="21" xfId="0" applyFill="1" applyBorder="1" applyAlignment="1">
      <alignment horizontal="left"/>
    </xf>
    <xf numFmtId="0" fontId="0" fillId="33" borderId="23" xfId="0" applyFill="1" applyBorder="1" applyAlignment="1">
      <alignment horizontal="left"/>
    </xf>
    <xf numFmtId="0" fontId="0" fillId="33" borderId="19" xfId="0" applyFill="1" applyBorder="1" applyAlignment="1">
      <alignment horizontal="left"/>
    </xf>
    <xf numFmtId="0" fontId="0" fillId="33" borderId="24" xfId="0" applyFill="1" applyBorder="1" applyAlignment="1">
      <alignment horizontal="left"/>
    </xf>
    <xf numFmtId="0" fontId="0" fillId="33" borderId="25" xfId="0" applyFill="1" applyBorder="1" applyAlignment="1">
      <alignment horizontal="left"/>
    </xf>
    <xf numFmtId="0" fontId="0" fillId="33" borderId="202" xfId="0" applyFill="1" applyBorder="1" applyAlignment="1">
      <alignment horizontal="left"/>
    </xf>
    <xf numFmtId="0" fontId="67" fillId="42" borderId="206" xfId="0" applyNumberFormat="1" applyFont="1" applyFill="1" applyBorder="1" applyAlignment="1" applyProtection="1">
      <alignment horizontal="center" vertical="center" wrapText="1"/>
    </xf>
    <xf numFmtId="0" fontId="67" fillId="50" borderId="82" xfId="0" applyNumberFormat="1" applyFont="1" applyFill="1" applyBorder="1" applyAlignment="1" applyProtection="1">
      <alignment horizontal="center" vertical="center" wrapText="1"/>
    </xf>
    <xf numFmtId="0" fontId="17" fillId="41" borderId="82" xfId="0" applyFont="1" applyFill="1" applyBorder="1" applyAlignment="1">
      <alignment horizontal="center" vertical="center" wrapText="1"/>
    </xf>
    <xf numFmtId="0" fontId="66" fillId="41" borderId="62" xfId="0" applyFont="1" applyFill="1" applyBorder="1" applyAlignment="1">
      <alignment horizontal="center" vertical="center" wrapText="1"/>
    </xf>
    <xf numFmtId="0" fontId="6" fillId="14" borderId="0" xfId="0" applyFont="1" applyFill="1" applyBorder="1" applyAlignment="1">
      <alignment horizontal="left" vertical="top" wrapText="1"/>
    </xf>
    <xf numFmtId="0" fontId="0" fillId="0" borderId="0" xfId="0" applyAlignment="1">
      <alignment horizontal="left" vertical="top" wrapText="1"/>
    </xf>
    <xf numFmtId="168" fontId="17" fillId="18" borderId="73" xfId="30" applyNumberFormat="1" applyFont="1" applyFill="1" applyBorder="1" applyAlignment="1">
      <alignment horizontal="left" vertical="center" wrapText="1"/>
    </xf>
    <xf numFmtId="168" fontId="17" fillId="18" borderId="91" xfId="30" applyNumberFormat="1" applyFont="1" applyFill="1" applyBorder="1" applyAlignment="1">
      <alignment horizontal="left" vertical="center" wrapText="1"/>
    </xf>
    <xf numFmtId="168" fontId="17" fillId="18" borderId="72" xfId="30" applyNumberFormat="1" applyFont="1" applyFill="1" applyBorder="1" applyAlignment="1">
      <alignment horizontal="left" vertical="center" wrapText="1"/>
    </xf>
    <xf numFmtId="0" fontId="17" fillId="41" borderId="90" xfId="0" applyFont="1" applyFill="1" applyBorder="1" applyAlignment="1">
      <alignment horizontal="center" vertical="center" wrapText="1"/>
    </xf>
    <xf numFmtId="0" fontId="66" fillId="41" borderId="50" xfId="0" applyFont="1" applyFill="1" applyBorder="1" applyAlignment="1">
      <alignment horizontal="center" vertical="center" wrapText="1"/>
    </xf>
    <xf numFmtId="0" fontId="66" fillId="36" borderId="63" xfId="0" applyFont="1" applyFill="1" applyBorder="1" applyAlignment="1">
      <alignment horizontal="center" vertical="center" wrapText="1"/>
    </xf>
    <xf numFmtId="0" fontId="6" fillId="18" borderId="36" xfId="0" applyFont="1" applyFill="1" applyBorder="1" applyAlignment="1" applyProtection="1">
      <alignment horizontal="center" vertical="center" wrapText="1"/>
      <protection locked="0"/>
    </xf>
    <xf numFmtId="0" fontId="6" fillId="18" borderId="35" xfId="0" applyFont="1" applyFill="1" applyBorder="1" applyAlignment="1" applyProtection="1">
      <alignment horizontal="center" vertical="center" wrapText="1"/>
      <protection locked="0"/>
    </xf>
    <xf numFmtId="0" fontId="14" fillId="42" borderId="206" xfId="0" applyNumberFormat="1" applyFont="1" applyFill="1" applyBorder="1" applyAlignment="1" applyProtection="1">
      <alignment horizontal="center" vertical="center" wrapText="1"/>
    </xf>
    <xf numFmtId="0" fontId="14" fillId="50" borderId="82" xfId="0" applyNumberFormat="1" applyFont="1" applyFill="1" applyBorder="1" applyAlignment="1" applyProtection="1">
      <alignment horizontal="center" vertical="center" wrapText="1"/>
    </xf>
    <xf numFmtId="0" fontId="6" fillId="14" borderId="0" xfId="0" applyFont="1" applyFill="1" applyBorder="1" applyAlignment="1">
      <alignment horizontal="left" vertical="center" wrapText="1"/>
    </xf>
    <xf numFmtId="0" fontId="0" fillId="0" borderId="0" xfId="0" applyAlignment="1">
      <alignment horizontal="left" vertical="center" wrapText="1"/>
    </xf>
    <xf numFmtId="0" fontId="0" fillId="0" borderId="0" xfId="0" applyAlignment="1">
      <alignment vertical="center" wrapText="1"/>
    </xf>
    <xf numFmtId="0" fontId="59" fillId="33" borderId="44" xfId="0" applyFont="1" applyFill="1" applyBorder="1" applyAlignment="1">
      <alignment horizontal="center" vertical="center" wrapText="1"/>
    </xf>
    <xf numFmtId="0" fontId="53" fillId="33" borderId="85" xfId="0" applyFont="1" applyFill="1" applyBorder="1" applyAlignment="1">
      <alignment vertical="center" wrapText="1"/>
    </xf>
    <xf numFmtId="0" fontId="55" fillId="33" borderId="46" xfId="0" applyFont="1" applyFill="1" applyBorder="1" applyAlignment="1">
      <alignment horizontal="center" vertical="center" wrapText="1"/>
    </xf>
    <xf numFmtId="0" fontId="53" fillId="33" borderId="86" xfId="0" applyFont="1" applyFill="1" applyBorder="1" applyAlignment="1">
      <alignment vertical="center" wrapText="1"/>
    </xf>
    <xf numFmtId="0" fontId="55" fillId="33" borderId="78" xfId="0" applyFont="1" applyFill="1" applyBorder="1" applyAlignment="1">
      <alignment horizontal="center" vertical="center" wrapText="1"/>
    </xf>
    <xf numFmtId="0" fontId="53" fillId="33" borderId="87" xfId="0" applyFont="1" applyFill="1" applyBorder="1" applyAlignment="1">
      <alignment vertical="center" wrapText="1"/>
    </xf>
    <xf numFmtId="0" fontId="67" fillId="42" borderId="44" xfId="0" applyNumberFormat="1" applyFont="1" applyFill="1" applyBorder="1" applyAlignment="1" applyProtection="1">
      <alignment horizontal="center" vertical="center" wrapText="1"/>
    </xf>
    <xf numFmtId="0" fontId="67" fillId="42" borderId="90" xfId="0" applyNumberFormat="1" applyFont="1" applyFill="1" applyBorder="1" applyAlignment="1" applyProtection="1">
      <alignment horizontal="center" vertical="center" wrapText="1"/>
    </xf>
    <xf numFmtId="0" fontId="53" fillId="0" borderId="82" xfId="0" applyFont="1" applyBorder="1" applyAlignment="1">
      <alignment vertical="center"/>
    </xf>
    <xf numFmtId="0" fontId="53" fillId="0" borderId="90" xfId="0" applyFont="1" applyBorder="1" applyAlignment="1">
      <alignment vertical="center"/>
    </xf>
    <xf numFmtId="0" fontId="53" fillId="26" borderId="82" xfId="0" applyFont="1" applyFill="1" applyBorder="1" applyAlignment="1">
      <alignment horizontal="center" vertical="center" wrapText="1"/>
    </xf>
    <xf numFmtId="0" fontId="53" fillId="0" borderId="82" xfId="0" applyFont="1" applyBorder="1" applyAlignment="1">
      <alignment vertical="center" wrapText="1"/>
    </xf>
    <xf numFmtId="168" fontId="9" fillId="31" borderId="72" xfId="30" applyNumberFormat="1" applyFont="1" applyFill="1" applyBorder="1" applyAlignment="1">
      <alignment horizontal="left" vertical="center"/>
    </xf>
    <xf numFmtId="168" fontId="9" fillId="31" borderId="73" xfId="30" applyNumberFormat="1" applyFont="1" applyFill="1" applyBorder="1" applyAlignment="1">
      <alignment horizontal="left" vertical="center"/>
    </xf>
    <xf numFmtId="168" fontId="9" fillId="31" borderId="91" xfId="30" applyNumberFormat="1" applyFont="1" applyFill="1" applyBorder="1" applyAlignment="1">
      <alignment horizontal="left" vertical="center"/>
    </xf>
    <xf numFmtId="168" fontId="53" fillId="18" borderId="72" xfId="30" applyNumberFormat="1" applyFont="1" applyFill="1" applyBorder="1" applyAlignment="1">
      <alignment horizontal="left" vertical="center" wrapText="1"/>
    </xf>
    <xf numFmtId="168" fontId="53" fillId="18" borderId="73" xfId="30" applyNumberFormat="1" applyFont="1" applyFill="1" applyBorder="1" applyAlignment="1">
      <alignment horizontal="left" vertical="center" wrapText="1"/>
    </xf>
    <xf numFmtId="168" fontId="53" fillId="18" borderId="19" xfId="30" applyNumberFormat="1" applyFont="1" applyFill="1" applyBorder="1" applyAlignment="1">
      <alignment horizontal="left" vertical="center" wrapText="1"/>
    </xf>
    <xf numFmtId="168" fontId="53" fillId="18" borderId="21" xfId="30" applyNumberFormat="1" applyFont="1" applyFill="1" applyBorder="1" applyAlignment="1">
      <alignment horizontal="left" vertical="center" wrapText="1"/>
    </xf>
    <xf numFmtId="0" fontId="0" fillId="0" borderId="72" xfId="0" applyBorder="1" applyAlignment="1">
      <alignment horizontal="center"/>
    </xf>
    <xf numFmtId="0" fontId="0" fillId="0" borderId="73" xfId="0" applyBorder="1" applyAlignment="1">
      <alignment horizontal="center"/>
    </xf>
    <xf numFmtId="0" fontId="0" fillId="0" borderId="91" xfId="0" applyBorder="1" applyAlignment="1">
      <alignment horizontal="center"/>
    </xf>
    <xf numFmtId="0" fontId="59" fillId="43" borderId="44" xfId="0" applyFont="1" applyFill="1" applyBorder="1" applyAlignment="1">
      <alignment horizontal="center" vertical="center" wrapText="1"/>
    </xf>
    <xf numFmtId="0" fontId="53" fillId="0" borderId="85" xfId="0" applyFont="1" applyBorder="1" applyAlignment="1">
      <alignment vertical="center" wrapText="1"/>
    </xf>
    <xf numFmtId="0" fontId="55" fillId="23" borderId="46" xfId="0" applyFont="1" applyFill="1" applyBorder="1" applyAlignment="1">
      <alignment horizontal="center" vertical="center" wrapText="1"/>
    </xf>
    <xf numFmtId="0" fontId="53" fillId="0" borderId="86" xfId="0" applyFont="1" applyBorder="1" applyAlignment="1">
      <alignment vertical="center" wrapText="1"/>
    </xf>
    <xf numFmtId="0" fontId="55" fillId="23" borderId="78" xfId="0" applyFont="1" applyFill="1" applyBorder="1" applyAlignment="1">
      <alignment horizontal="center" vertical="center" wrapText="1"/>
    </xf>
    <xf numFmtId="0" fontId="53" fillId="0" borderId="87" xfId="0" applyFont="1" applyBorder="1" applyAlignment="1">
      <alignment vertical="center" wrapText="1"/>
    </xf>
    <xf numFmtId="0" fontId="14" fillId="42" borderId="44" xfId="0" applyNumberFormat="1" applyFont="1" applyFill="1" applyBorder="1" applyAlignment="1" applyProtection="1">
      <alignment horizontal="center" vertical="center" wrapText="1"/>
    </xf>
    <xf numFmtId="0" fontId="14" fillId="0" borderId="72" xfId="0" applyFont="1" applyBorder="1" applyAlignment="1">
      <alignment horizontal="left" vertical="center" indent="1"/>
    </xf>
    <xf numFmtId="0" fontId="14" fillId="0" borderId="73" xfId="0" applyFont="1" applyBorder="1" applyAlignment="1">
      <alignment horizontal="left" vertical="center" indent="1"/>
    </xf>
    <xf numFmtId="0" fontId="14" fillId="0" borderId="91" xfId="0" applyFont="1" applyBorder="1" applyAlignment="1">
      <alignment horizontal="left" vertical="center" indent="1"/>
    </xf>
    <xf numFmtId="168" fontId="53" fillId="18" borderId="428" xfId="30" applyNumberFormat="1" applyFont="1" applyFill="1" applyBorder="1" applyAlignment="1">
      <alignment horizontal="left" vertical="center" wrapText="1"/>
    </xf>
    <xf numFmtId="0" fontId="6" fillId="18" borderId="34" xfId="0" applyFont="1" applyFill="1" applyBorder="1" applyAlignment="1" applyProtection="1">
      <alignment horizontal="center" vertical="center" wrapText="1"/>
      <protection locked="0"/>
    </xf>
    <xf numFmtId="0" fontId="6" fillId="18" borderId="354" xfId="0" applyFont="1" applyFill="1" applyBorder="1" applyAlignment="1" applyProtection="1">
      <alignment horizontal="center" vertical="center" wrapText="1"/>
      <protection locked="0"/>
    </xf>
    <xf numFmtId="0" fontId="9" fillId="26" borderId="82" xfId="0" applyFont="1" applyFill="1" applyBorder="1" applyAlignment="1">
      <alignment horizontal="center" vertical="center" wrapText="1"/>
    </xf>
    <xf numFmtId="0" fontId="9" fillId="0" borderId="82" xfId="0" applyFont="1" applyBorder="1" applyAlignment="1">
      <alignment vertical="center" wrapText="1"/>
    </xf>
    <xf numFmtId="0" fontId="14" fillId="42" borderId="82" xfId="0" applyNumberFormat="1" applyFont="1" applyFill="1" applyBorder="1" applyAlignment="1" applyProtection="1">
      <alignment horizontal="center" vertical="center" wrapText="1"/>
    </xf>
    <xf numFmtId="0" fontId="14" fillId="42" borderId="90" xfId="0" applyNumberFormat="1" applyFont="1" applyFill="1" applyBorder="1" applyAlignment="1" applyProtection="1">
      <alignment horizontal="center" vertical="center" wrapText="1"/>
    </xf>
    <xf numFmtId="0" fontId="52" fillId="33" borderId="358" xfId="0" applyFont="1" applyFill="1" applyBorder="1" applyAlignment="1">
      <alignment horizontal="center" vertical="center" wrapText="1"/>
    </xf>
    <xf numFmtId="0" fontId="14" fillId="43" borderId="72" xfId="0" applyFont="1" applyFill="1" applyBorder="1" applyAlignment="1">
      <alignment horizontal="left" vertical="top" wrapText="1"/>
    </xf>
    <xf numFmtId="0" fontId="14" fillId="43" borderId="73" xfId="0" applyFont="1" applyFill="1" applyBorder="1" applyAlignment="1">
      <alignment horizontal="left" vertical="top" wrapText="1"/>
    </xf>
    <xf numFmtId="0" fontId="14" fillId="43" borderId="91" xfId="0" applyFont="1" applyFill="1" applyBorder="1" applyAlignment="1">
      <alignment horizontal="left" vertical="top" wrapText="1"/>
    </xf>
    <xf numFmtId="168" fontId="17" fillId="25" borderId="36" xfId="30" applyNumberFormat="1" applyFont="1" applyFill="1" applyBorder="1" applyAlignment="1">
      <alignment horizontal="left" vertical="center"/>
    </xf>
    <xf numFmtId="168" fontId="17" fillId="25" borderId="54" xfId="30" applyNumberFormat="1" applyFont="1" applyFill="1" applyBorder="1" applyAlignment="1">
      <alignment horizontal="left" vertical="center"/>
    </xf>
    <xf numFmtId="0" fontId="17" fillId="43" borderId="72" xfId="0" applyFont="1" applyFill="1" applyBorder="1" applyAlignment="1">
      <alignment horizontal="left" vertical="center"/>
    </xf>
    <xf numFmtId="0" fontId="17" fillId="43" borderId="73" xfId="0" applyFont="1" applyFill="1" applyBorder="1" applyAlignment="1">
      <alignment horizontal="left" vertical="center"/>
    </xf>
    <xf numFmtId="0" fontId="17" fillId="43" borderId="91" xfId="0" applyFont="1" applyFill="1" applyBorder="1" applyAlignment="1">
      <alignment horizontal="left" vertical="center"/>
    </xf>
    <xf numFmtId="168" fontId="51" fillId="25" borderId="72" xfId="30" applyNumberFormat="1" applyFont="1" applyFill="1" applyBorder="1"/>
    <xf numFmtId="168" fontId="51" fillId="25" borderId="73" xfId="30" applyNumberFormat="1" applyFont="1" applyFill="1" applyBorder="1"/>
    <xf numFmtId="168" fontId="51" fillId="25" borderId="91" xfId="30" applyNumberFormat="1" applyFont="1" applyFill="1" applyBorder="1"/>
    <xf numFmtId="168" fontId="51" fillId="25" borderId="421" xfId="30" applyNumberFormat="1" applyFont="1" applyFill="1" applyBorder="1"/>
    <xf numFmtId="168" fontId="9" fillId="38" borderId="41" xfId="0" applyNumberFormat="1" applyFont="1" applyFill="1" applyBorder="1" applyAlignment="1">
      <alignment horizontal="left" vertical="center" wrapText="1"/>
    </xf>
    <xf numFmtId="168" fontId="9" fillId="38" borderId="13" xfId="0" applyNumberFormat="1" applyFont="1" applyFill="1" applyBorder="1" applyAlignment="1">
      <alignment horizontal="left" vertical="center" wrapText="1"/>
    </xf>
    <xf numFmtId="0" fontId="6" fillId="38" borderId="23" xfId="0" applyFont="1" applyFill="1" applyBorder="1"/>
    <xf numFmtId="0" fontId="6" fillId="38" borderId="24" xfId="0" applyFont="1" applyFill="1" applyBorder="1"/>
    <xf numFmtId="0" fontId="6" fillId="38" borderId="421" xfId="0" applyFont="1" applyFill="1" applyBorder="1"/>
    <xf numFmtId="0" fontId="50" fillId="35" borderId="95" xfId="0" applyFont="1" applyFill="1" applyBorder="1" applyAlignment="1">
      <alignment horizontal="center" vertical="center" wrapText="1"/>
    </xf>
    <xf numFmtId="0" fontId="9" fillId="47" borderId="23" xfId="0" applyFont="1" applyFill="1" applyBorder="1" applyAlignment="1">
      <alignment horizontal="center" vertical="center" wrapText="1"/>
    </xf>
    <xf numFmtId="0" fontId="9" fillId="47" borderId="24" xfId="0" applyFont="1" applyFill="1" applyBorder="1" applyAlignment="1">
      <alignment horizontal="center" vertical="center" wrapText="1"/>
    </xf>
    <xf numFmtId="0" fontId="66" fillId="36" borderId="61" xfId="0" applyFont="1" applyFill="1" applyBorder="1" applyAlignment="1">
      <alignment horizontal="center" vertical="center" wrapText="1"/>
    </xf>
    <xf numFmtId="0" fontId="6" fillId="18" borderId="358" xfId="0" applyFont="1" applyFill="1" applyBorder="1" applyAlignment="1" applyProtection="1">
      <alignment horizontal="center" vertical="center" wrapText="1"/>
      <protection locked="0"/>
    </xf>
    <xf numFmtId="0" fontId="6" fillId="18" borderId="343" xfId="0" applyFont="1" applyFill="1" applyBorder="1" applyAlignment="1" applyProtection="1">
      <alignment horizontal="center" vertical="center" wrapText="1"/>
      <protection locked="0"/>
    </xf>
    <xf numFmtId="0" fontId="6" fillId="33" borderId="21" xfId="0" applyFont="1" applyFill="1" applyBorder="1" applyAlignment="1">
      <alignment horizontal="center"/>
    </xf>
    <xf numFmtId="0" fontId="6" fillId="33" borderId="23" xfId="0" applyFont="1" applyFill="1" applyBorder="1" applyAlignment="1">
      <alignment horizontal="center"/>
    </xf>
    <xf numFmtId="0" fontId="6" fillId="33" borderId="19" xfId="0" applyFont="1" applyFill="1" applyBorder="1" applyAlignment="1">
      <alignment horizontal="center"/>
    </xf>
    <xf numFmtId="0" fontId="6" fillId="33" borderId="24" xfId="0" applyFont="1" applyFill="1" applyBorder="1" applyAlignment="1">
      <alignment horizontal="center"/>
    </xf>
    <xf numFmtId="0" fontId="66" fillId="40" borderId="51" xfId="0" applyFont="1" applyFill="1" applyBorder="1" applyAlignment="1">
      <alignment horizontal="center" vertical="center" wrapText="1"/>
    </xf>
    <xf numFmtId="0" fontId="66" fillId="40" borderId="52" xfId="0" applyFont="1" applyFill="1" applyBorder="1" applyAlignment="1">
      <alignment horizontal="center" vertical="center" wrapText="1"/>
    </xf>
    <xf numFmtId="0" fontId="66" fillId="40" borderId="53" xfId="0" applyFont="1" applyFill="1" applyBorder="1" applyAlignment="1">
      <alignment horizontal="center" vertical="center" wrapText="1"/>
    </xf>
    <xf numFmtId="0" fontId="66" fillId="39" borderId="22" xfId="0" applyFont="1" applyFill="1" applyBorder="1" applyAlignment="1">
      <alignment horizontal="center" vertical="center" wrapText="1"/>
    </xf>
    <xf numFmtId="0" fontId="66" fillId="39" borderId="23" xfId="0" applyFont="1" applyFill="1" applyBorder="1" applyAlignment="1">
      <alignment horizontal="center" vertical="center" wrapText="1"/>
    </xf>
    <xf numFmtId="0" fontId="66" fillId="40" borderId="21" xfId="0" applyFont="1" applyFill="1" applyBorder="1" applyAlignment="1">
      <alignment horizontal="center" vertical="center" wrapText="1"/>
    </xf>
    <xf numFmtId="0" fontId="66" fillId="40" borderId="22" xfId="0" applyFont="1" applyFill="1" applyBorder="1" applyAlignment="1">
      <alignment horizontal="center" vertical="center" wrapText="1"/>
    </xf>
    <xf numFmtId="0" fontId="66" fillId="40" borderId="23" xfId="0" applyFont="1" applyFill="1" applyBorder="1" applyAlignment="1">
      <alignment horizontal="center" vertical="center" wrapText="1"/>
    </xf>
    <xf numFmtId="0" fontId="66" fillId="39" borderId="21" xfId="0" applyFont="1" applyFill="1" applyBorder="1" applyAlignment="1">
      <alignment horizontal="center" vertical="center" wrapText="1"/>
    </xf>
    <xf numFmtId="0" fontId="66" fillId="40" borderId="182" xfId="0" applyFont="1" applyFill="1" applyBorder="1" applyAlignment="1">
      <alignment horizontal="center" vertical="center" wrapText="1"/>
    </xf>
    <xf numFmtId="0" fontId="66" fillId="40" borderId="95" xfId="0" applyFont="1" applyFill="1" applyBorder="1" applyAlignment="1">
      <alignment horizontal="center" vertical="center" wrapText="1"/>
    </xf>
    <xf numFmtId="0" fontId="66" fillId="40" borderId="183" xfId="0" applyFont="1" applyFill="1" applyBorder="1" applyAlignment="1">
      <alignment horizontal="center" vertical="center" wrapText="1"/>
    </xf>
    <xf numFmtId="168" fontId="47" fillId="18" borderId="49" xfId="30" applyNumberFormat="1" applyFont="1" applyFill="1" applyBorder="1" applyAlignment="1">
      <alignment horizontal="left" indent="1"/>
    </xf>
    <xf numFmtId="168" fontId="47" fillId="18" borderId="75" xfId="30" applyNumberFormat="1" applyFont="1" applyFill="1" applyBorder="1" applyAlignment="1">
      <alignment horizontal="left" indent="1"/>
    </xf>
    <xf numFmtId="168" fontId="47" fillId="18" borderId="50" xfId="30" applyNumberFormat="1" applyFont="1" applyFill="1" applyBorder="1" applyAlignment="1">
      <alignment horizontal="left" indent="1"/>
    </xf>
    <xf numFmtId="168" fontId="47" fillId="18" borderId="77" xfId="30" applyNumberFormat="1" applyFont="1" applyFill="1" applyBorder="1" applyAlignment="1">
      <alignment horizontal="left" indent="1"/>
    </xf>
    <xf numFmtId="0" fontId="9" fillId="39" borderId="90" xfId="0" applyFont="1" applyFill="1" applyBorder="1" applyAlignment="1" applyProtection="1">
      <alignment horizontal="center" vertical="center" wrapText="1"/>
      <protection locked="0"/>
    </xf>
    <xf numFmtId="0" fontId="9" fillId="39" borderId="63" xfId="0" applyFont="1" applyFill="1" applyBorder="1" applyAlignment="1" applyProtection="1">
      <alignment horizontal="center" vertical="center" wrapText="1"/>
      <protection locked="0"/>
    </xf>
    <xf numFmtId="168" fontId="47" fillId="18" borderId="74" xfId="30" applyNumberFormat="1" applyFont="1" applyFill="1" applyBorder="1" applyAlignment="1">
      <alignment horizontal="left" indent="1"/>
    </xf>
    <xf numFmtId="168" fontId="47" fillId="18" borderId="76" xfId="30" applyNumberFormat="1" applyFont="1" applyFill="1" applyBorder="1" applyAlignment="1">
      <alignment horizontal="left" indent="1"/>
    </xf>
    <xf numFmtId="0" fontId="40" fillId="33" borderId="21" xfId="0" applyFont="1" applyFill="1" applyBorder="1" applyAlignment="1">
      <alignment horizontal="center" vertical="center" wrapText="1"/>
    </xf>
    <xf numFmtId="0" fontId="40" fillId="33" borderId="23" xfId="0" applyFont="1" applyFill="1" applyBorder="1" applyAlignment="1">
      <alignment horizontal="center" vertical="center" wrapText="1"/>
    </xf>
    <xf numFmtId="0" fontId="40" fillId="33" borderId="19" xfId="0" applyFont="1" applyFill="1" applyBorder="1" applyAlignment="1">
      <alignment horizontal="center" vertical="center" wrapText="1"/>
    </xf>
    <xf numFmtId="0" fontId="40" fillId="33" borderId="24" xfId="0" applyFont="1" applyFill="1" applyBorder="1" applyAlignment="1">
      <alignment horizontal="center" vertical="center" wrapText="1"/>
    </xf>
    <xf numFmtId="0" fontId="40" fillId="33" borderId="358" xfId="0" applyFont="1" applyFill="1" applyBorder="1" applyAlignment="1">
      <alignment horizontal="center" vertical="center" wrapText="1"/>
    </xf>
    <xf numFmtId="0" fontId="40" fillId="33" borderId="359" xfId="0" applyFont="1" applyFill="1" applyBorder="1" applyAlignment="1">
      <alignment horizontal="center" vertical="center" wrapText="1"/>
    </xf>
    <xf numFmtId="168" fontId="88" fillId="18" borderId="72" xfId="30" applyNumberFormat="1" applyFont="1" applyFill="1" applyBorder="1" applyAlignment="1">
      <alignment horizontal="left" vertical="center"/>
    </xf>
    <xf numFmtId="168" fontId="88" fillId="18" borderId="73" xfId="30" applyNumberFormat="1" applyFont="1" applyFill="1" applyBorder="1" applyAlignment="1">
      <alignment horizontal="left" vertical="center"/>
    </xf>
    <xf numFmtId="168" fontId="88" fillId="18" borderId="91" xfId="30" applyNumberFormat="1" applyFont="1" applyFill="1" applyBorder="1" applyAlignment="1">
      <alignment horizontal="left" vertical="center"/>
    </xf>
    <xf numFmtId="0" fontId="14" fillId="38" borderId="68" xfId="0" applyFont="1" applyFill="1" applyBorder="1" applyAlignment="1">
      <alignment horizontal="left" indent="2"/>
    </xf>
    <xf numFmtId="0" fontId="14" fillId="38" borderId="147" xfId="0" applyFont="1" applyFill="1" applyBorder="1" applyAlignment="1">
      <alignment horizontal="left" indent="2"/>
    </xf>
    <xf numFmtId="0" fontId="9" fillId="39" borderId="206" xfId="0" applyFont="1" applyFill="1" applyBorder="1" applyAlignment="1" applyProtection="1">
      <alignment horizontal="center" vertical="center" wrapText="1"/>
      <protection locked="0"/>
    </xf>
    <xf numFmtId="0" fontId="9" fillId="39" borderId="46" xfId="0" applyFont="1" applyFill="1" applyBorder="1" applyAlignment="1" applyProtection="1">
      <alignment horizontal="center" vertical="center" wrapText="1"/>
      <protection locked="0"/>
    </xf>
    <xf numFmtId="0" fontId="9" fillId="39" borderId="82" xfId="0" applyFont="1" applyFill="1" applyBorder="1" applyAlignment="1" applyProtection="1">
      <alignment horizontal="center" vertical="center" wrapText="1"/>
      <protection locked="0"/>
    </xf>
    <xf numFmtId="0" fontId="9" fillId="39" borderId="60" xfId="0" applyFont="1" applyFill="1" applyBorder="1" applyAlignment="1" applyProtection="1">
      <alignment horizontal="center" vertical="center" wrapText="1"/>
      <protection locked="0"/>
    </xf>
    <xf numFmtId="0" fontId="67" fillId="42" borderId="55" xfId="0" applyNumberFormat="1" applyFont="1" applyFill="1" applyBorder="1" applyAlignment="1" applyProtection="1">
      <alignment horizontal="center" vertical="center" wrapText="1"/>
    </xf>
    <xf numFmtId="0" fontId="17" fillId="36" borderId="56" xfId="0" applyFont="1" applyFill="1" applyBorder="1" applyAlignment="1">
      <alignment horizontal="center" vertical="center" wrapText="1"/>
    </xf>
    <xf numFmtId="0" fontId="67" fillId="50" borderId="56" xfId="0" applyNumberFormat="1" applyFont="1" applyFill="1" applyBorder="1" applyAlignment="1" applyProtection="1">
      <alignment horizontal="center" vertical="center" wrapText="1"/>
    </xf>
    <xf numFmtId="0" fontId="17" fillId="41" borderId="56" xfId="0" applyFont="1" applyFill="1" applyBorder="1" applyAlignment="1">
      <alignment horizontal="center" vertical="center" wrapText="1"/>
    </xf>
    <xf numFmtId="0" fontId="17" fillId="41" borderId="59" xfId="0" applyFont="1" applyFill="1" applyBorder="1" applyAlignment="1">
      <alignment horizontal="center" vertical="center" wrapText="1"/>
    </xf>
    <xf numFmtId="0" fontId="66" fillId="41" borderId="139" xfId="0" applyFont="1" applyFill="1" applyBorder="1" applyAlignment="1">
      <alignment horizontal="center" vertical="center" wrapText="1"/>
    </xf>
    <xf numFmtId="0" fontId="9" fillId="38" borderId="68" xfId="0" applyFont="1" applyFill="1" applyBorder="1" applyAlignment="1">
      <alignment horizontal="left" indent="2"/>
    </xf>
    <xf numFmtId="0" fontId="9" fillId="38" borderId="147" xfId="0" applyFont="1" applyFill="1" applyBorder="1" applyAlignment="1">
      <alignment horizontal="left" indent="2"/>
    </xf>
    <xf numFmtId="0" fontId="14" fillId="29" borderId="70" xfId="0" applyFont="1" applyFill="1" applyBorder="1" applyAlignment="1">
      <alignment horizontal="left" indent="2"/>
    </xf>
    <xf numFmtId="0" fontId="14" fillId="29" borderId="125" xfId="0" applyFont="1" applyFill="1" applyBorder="1" applyAlignment="1">
      <alignment horizontal="left" indent="2"/>
    </xf>
    <xf numFmtId="0" fontId="14" fillId="29" borderId="68" xfId="0" applyFont="1" applyFill="1" applyBorder="1" applyAlignment="1">
      <alignment horizontal="left" indent="2"/>
    </xf>
    <xf numFmtId="0" fontId="14" fillId="29" borderId="147" xfId="0" applyFont="1" applyFill="1" applyBorder="1" applyAlignment="1">
      <alignment horizontal="left" indent="2"/>
    </xf>
    <xf numFmtId="0" fontId="40" fillId="33" borderId="73" xfId="0" applyFont="1" applyFill="1" applyBorder="1" applyAlignment="1">
      <alignment horizontal="center" vertical="center" wrapText="1"/>
    </xf>
    <xf numFmtId="0" fontId="38" fillId="33" borderId="73" xfId="0" applyFont="1" applyFill="1" applyBorder="1" applyAlignment="1">
      <alignment horizontal="center" vertical="center" wrapText="1"/>
    </xf>
    <xf numFmtId="0" fontId="67" fillId="42" borderId="56" xfId="0" applyNumberFormat="1" applyFont="1" applyFill="1" applyBorder="1" applyAlignment="1" applyProtection="1">
      <alignment horizontal="center" vertical="center" wrapText="1"/>
    </xf>
    <xf numFmtId="0" fontId="67" fillId="42" borderId="59" xfId="0" applyNumberFormat="1" applyFont="1" applyFill="1" applyBorder="1" applyAlignment="1" applyProtection="1">
      <alignment horizontal="center" vertical="center" wrapText="1"/>
    </xf>
    <xf numFmtId="168" fontId="6" fillId="18" borderId="72" xfId="30" applyNumberFormat="1" applyFont="1" applyFill="1" applyBorder="1" applyAlignment="1">
      <alignment horizontal="left" vertical="center"/>
    </xf>
    <xf numFmtId="168" fontId="6" fillId="18" borderId="73" xfId="30" applyNumberFormat="1" applyFont="1" applyFill="1" applyBorder="1" applyAlignment="1">
      <alignment horizontal="left" vertical="center"/>
    </xf>
    <xf numFmtId="168" fontId="6" fillId="18" borderId="91" xfId="30" applyNumberFormat="1" applyFont="1" applyFill="1" applyBorder="1" applyAlignment="1">
      <alignment horizontal="left" vertical="center"/>
    </xf>
    <xf numFmtId="0" fontId="9" fillId="38" borderId="49" xfId="0" applyFont="1" applyFill="1" applyBorder="1" applyAlignment="1">
      <alignment horizontal="left" indent="2"/>
    </xf>
    <xf numFmtId="0" fontId="9" fillId="38" borderId="75" xfId="0" applyFont="1" applyFill="1" applyBorder="1" applyAlignment="1">
      <alignment horizontal="left" indent="2"/>
    </xf>
    <xf numFmtId="0" fontId="9" fillId="38" borderId="74" xfId="0" applyFont="1" applyFill="1" applyBorder="1" applyAlignment="1">
      <alignment horizontal="left" indent="2"/>
    </xf>
    <xf numFmtId="0" fontId="9" fillId="38" borderId="116" xfId="0" applyFont="1" applyFill="1" applyBorder="1" applyAlignment="1">
      <alignment horizontal="left" indent="2"/>
    </xf>
    <xf numFmtId="3" fontId="9" fillId="25" borderId="72" xfId="0" applyNumberFormat="1" applyFont="1" applyFill="1" applyBorder="1" applyAlignment="1">
      <alignment horizontal="left" vertical="center"/>
    </xf>
    <xf numFmtId="3" fontId="9" fillId="25" borderId="73" xfId="0" applyNumberFormat="1" applyFont="1" applyFill="1" applyBorder="1" applyAlignment="1">
      <alignment horizontal="left" vertical="center"/>
    </xf>
    <xf numFmtId="3" fontId="9" fillId="25" borderId="91" xfId="0" applyNumberFormat="1" applyFont="1" applyFill="1" applyBorder="1" applyAlignment="1">
      <alignment horizontal="left" vertical="center"/>
    </xf>
    <xf numFmtId="3" fontId="9" fillId="38" borderId="72" xfId="0" applyNumberFormat="1" applyFont="1" applyFill="1" applyBorder="1" applyAlignment="1">
      <alignment horizontal="left" vertical="center"/>
    </xf>
    <xf numFmtId="3" fontId="9" fillId="38" borderId="73" xfId="0" applyNumberFormat="1" applyFont="1" applyFill="1" applyBorder="1" applyAlignment="1">
      <alignment horizontal="left" vertical="center"/>
    </xf>
    <xf numFmtId="3" fontId="9" fillId="38" borderId="91" xfId="0" applyNumberFormat="1" applyFont="1" applyFill="1" applyBorder="1" applyAlignment="1">
      <alignment horizontal="left" vertical="center"/>
    </xf>
    <xf numFmtId="0" fontId="41" fillId="33" borderId="21" xfId="0" applyFont="1" applyFill="1" applyBorder="1" applyAlignment="1">
      <alignment horizontal="left" vertical="center" wrapText="1"/>
    </xf>
    <xf numFmtId="0" fontId="41" fillId="33" borderId="23" xfId="0" applyFont="1" applyFill="1" applyBorder="1" applyAlignment="1">
      <alignment horizontal="left" vertical="center" wrapText="1"/>
    </xf>
    <xf numFmtId="0" fontId="41" fillId="33" borderId="19" xfId="0" applyFont="1" applyFill="1" applyBorder="1" applyAlignment="1">
      <alignment horizontal="left" vertical="center" wrapText="1"/>
    </xf>
    <xf numFmtId="0" fontId="41" fillId="33" borderId="24" xfId="0" applyFont="1" applyFill="1" applyBorder="1" applyAlignment="1">
      <alignment horizontal="left" vertical="center" wrapText="1"/>
    </xf>
    <xf numFmtId="0" fontId="41" fillId="33" borderId="358" xfId="0" applyFont="1" applyFill="1" applyBorder="1" applyAlignment="1">
      <alignment horizontal="left" vertical="center" wrapText="1"/>
    </xf>
    <xf numFmtId="0" fontId="41" fillId="33" borderId="359" xfId="0" applyFont="1" applyFill="1" applyBorder="1" applyAlignment="1">
      <alignment horizontal="left" vertical="center" wrapText="1"/>
    </xf>
    <xf numFmtId="0" fontId="6" fillId="43" borderId="50" xfId="0" applyFont="1" applyFill="1" applyBorder="1" applyAlignment="1">
      <alignment horizontal="left" vertical="center" wrapText="1" indent="4"/>
    </xf>
    <xf numFmtId="0" fontId="6" fillId="43" borderId="77" xfId="0" applyFont="1" applyFill="1" applyBorder="1" applyAlignment="1">
      <alignment horizontal="left" vertical="center" wrapText="1" indent="4"/>
    </xf>
    <xf numFmtId="0" fontId="9" fillId="43" borderId="50" xfId="0" applyFont="1" applyFill="1" applyBorder="1" applyAlignment="1">
      <alignment horizontal="left" vertical="center" wrapText="1"/>
    </xf>
    <xf numFmtId="0" fontId="9" fillId="43" borderId="77" xfId="0" applyFont="1" applyFill="1" applyBorder="1" applyAlignment="1">
      <alignment horizontal="left" vertical="center" wrapText="1"/>
    </xf>
    <xf numFmtId="0" fontId="9" fillId="43" borderId="50" xfId="0" applyFont="1" applyFill="1" applyBorder="1"/>
    <xf numFmtId="0" fontId="9" fillId="43" borderId="77" xfId="0" applyFont="1" applyFill="1" applyBorder="1"/>
    <xf numFmtId="0" fontId="9" fillId="43" borderId="68" xfId="0" applyFont="1" applyFill="1" applyBorder="1"/>
    <xf numFmtId="0" fontId="9" fillId="43" borderId="147" xfId="0" applyFont="1" applyFill="1" applyBorder="1"/>
    <xf numFmtId="0" fontId="6" fillId="33" borderId="50" xfId="0" applyFont="1" applyFill="1" applyBorder="1" applyAlignment="1">
      <alignment horizontal="left" vertical="center" wrapText="1" indent="4"/>
    </xf>
    <xf numFmtId="0" fontId="6" fillId="33" borderId="77" xfId="0" applyFont="1" applyFill="1" applyBorder="1" applyAlignment="1">
      <alignment horizontal="left" vertical="center" wrapText="1" indent="4"/>
    </xf>
    <xf numFmtId="0" fontId="9" fillId="33" borderId="68" xfId="0" applyFont="1" applyFill="1" applyBorder="1"/>
    <xf numFmtId="0" fontId="9" fillId="33" borderId="147" xfId="0" applyFont="1" applyFill="1" applyBorder="1"/>
    <xf numFmtId="0" fontId="6" fillId="33" borderId="49" xfId="0" applyFont="1" applyFill="1" applyBorder="1" applyAlignment="1">
      <alignment horizontal="left" vertical="center" wrapText="1" indent="2"/>
    </xf>
    <xf numFmtId="0" fontId="6" fillId="33" borderId="75" xfId="0" applyFont="1" applyFill="1" applyBorder="1" applyAlignment="1">
      <alignment horizontal="left" vertical="center" wrapText="1" indent="2"/>
    </xf>
    <xf numFmtId="0" fontId="6" fillId="43" borderId="49" xfId="0" applyFont="1" applyFill="1" applyBorder="1" applyAlignment="1">
      <alignment horizontal="left" vertical="center" wrapText="1" indent="2"/>
    </xf>
    <xf numFmtId="0" fontId="6" fillId="43" borderId="75" xfId="0" applyFont="1" applyFill="1" applyBorder="1" applyAlignment="1">
      <alignment horizontal="left" vertical="center" wrapText="1" indent="2"/>
    </xf>
    <xf numFmtId="0" fontId="9" fillId="33" borderId="50" xfId="0" applyFont="1" applyFill="1" applyBorder="1" applyAlignment="1">
      <alignment horizontal="left" vertical="center" wrapText="1"/>
    </xf>
    <xf numFmtId="0" fontId="9" fillId="33" borderId="77" xfId="0" applyFont="1" applyFill="1" applyBorder="1" applyAlignment="1">
      <alignment horizontal="left" vertical="center" wrapText="1"/>
    </xf>
    <xf numFmtId="0" fontId="9" fillId="33" borderId="50" xfId="0" applyFont="1" applyFill="1" applyBorder="1"/>
    <xf numFmtId="0" fontId="9" fillId="33" borderId="77" xfId="0" applyFont="1" applyFill="1" applyBorder="1"/>
    <xf numFmtId="0" fontId="6" fillId="33" borderId="76" xfId="0" applyFont="1" applyFill="1" applyBorder="1" applyAlignment="1">
      <alignment horizontal="left" vertical="center" wrapText="1" indent="4"/>
    </xf>
    <xf numFmtId="0" fontId="9" fillId="33" borderId="76" xfId="0" applyFont="1" applyFill="1" applyBorder="1" applyAlignment="1">
      <alignment horizontal="left" vertical="center" wrapText="1"/>
    </xf>
    <xf numFmtId="0" fontId="9" fillId="33" borderId="116" xfId="0" applyFont="1" applyFill="1" applyBorder="1"/>
    <xf numFmtId="0" fontId="9" fillId="33" borderId="76" xfId="0" applyFont="1" applyFill="1" applyBorder="1"/>
    <xf numFmtId="0" fontId="6" fillId="25" borderId="49" xfId="0" applyFont="1" applyFill="1" applyBorder="1" applyAlignment="1">
      <alignment horizontal="left" vertical="center" wrapText="1" indent="4"/>
    </xf>
    <xf numFmtId="0" fontId="6" fillId="25" borderId="435" xfId="0" applyFont="1" applyFill="1" applyBorder="1" applyAlignment="1">
      <alignment horizontal="left" vertical="center" wrapText="1" indent="4"/>
    </xf>
    <xf numFmtId="168" fontId="6" fillId="25" borderId="206" xfId="30" applyNumberFormat="1" applyFont="1" applyFill="1" applyBorder="1" applyAlignment="1">
      <alignment horizontal="left" vertical="center"/>
    </xf>
    <xf numFmtId="168" fontId="6" fillId="25" borderId="46" xfId="30" applyNumberFormat="1" applyFont="1" applyFill="1" applyBorder="1" applyAlignment="1">
      <alignment horizontal="left" vertical="center"/>
    </xf>
    <xf numFmtId="0" fontId="9" fillId="38" borderId="36" xfId="0" applyFont="1" applyFill="1" applyBorder="1"/>
    <xf numFmtId="0" fontId="9" fillId="38" borderId="34" xfId="0" applyFont="1" applyFill="1" applyBorder="1"/>
    <xf numFmtId="0" fontId="88" fillId="14" borderId="0" xfId="0" applyFont="1" applyFill="1" applyBorder="1" applyAlignment="1">
      <alignment horizontal="left" vertical="top" wrapText="1"/>
    </xf>
    <xf numFmtId="0" fontId="67" fillId="39" borderId="206" xfId="0" applyNumberFormat="1" applyFont="1" applyFill="1" applyBorder="1" applyAlignment="1" applyProtection="1">
      <alignment horizontal="center" vertical="center" wrapText="1"/>
    </xf>
    <xf numFmtId="0" fontId="67" fillId="39" borderId="71" xfId="0" applyNumberFormat="1" applyFont="1" applyFill="1" applyBorder="1" applyAlignment="1" applyProtection="1">
      <alignment horizontal="center" vertical="center" wrapText="1"/>
    </xf>
    <xf numFmtId="0" fontId="17" fillId="40" borderId="82" xfId="0" applyFont="1" applyFill="1" applyBorder="1" applyAlignment="1">
      <alignment horizontal="center" vertical="center" wrapText="1"/>
    </xf>
    <xf numFmtId="0" fontId="66" fillId="40" borderId="139" xfId="0" applyFont="1" applyFill="1" applyBorder="1" applyAlignment="1">
      <alignment horizontal="center" vertical="center" wrapText="1"/>
    </xf>
    <xf numFmtId="0" fontId="66" fillId="39" borderId="50" xfId="0" applyFont="1" applyFill="1" applyBorder="1" applyAlignment="1">
      <alignment horizontal="center" vertical="center" wrapText="1"/>
    </xf>
    <xf numFmtId="0" fontId="66" fillId="39" borderId="76" xfId="0" applyFont="1" applyFill="1" applyBorder="1" applyAlignment="1">
      <alignment horizontal="center" vertical="center" wrapText="1"/>
    </xf>
    <xf numFmtId="0" fontId="66" fillId="39" borderId="62" xfId="0" applyFont="1" applyFill="1" applyBorder="1" applyAlignment="1">
      <alignment horizontal="center" vertical="center" wrapText="1"/>
    </xf>
    <xf numFmtId="0" fontId="66" fillId="39" borderId="139" xfId="0" applyFont="1" applyFill="1" applyBorder="1" applyAlignment="1">
      <alignment horizontal="center" vertical="center" wrapText="1"/>
    </xf>
    <xf numFmtId="168" fontId="6" fillId="18" borderId="35" xfId="0" applyNumberFormat="1" applyFont="1" applyFill="1" applyBorder="1" applyAlignment="1" applyProtection="1">
      <alignment horizontal="center" vertical="center" wrapText="1"/>
      <protection locked="0"/>
    </xf>
    <xf numFmtId="10" fontId="6" fillId="18" borderId="35" xfId="44" applyNumberFormat="1" applyFont="1" applyFill="1" applyBorder="1" applyAlignment="1" applyProtection="1">
      <alignment horizontal="center" vertical="center" wrapText="1"/>
      <protection locked="0"/>
    </xf>
    <xf numFmtId="0" fontId="6" fillId="25" borderId="343" xfId="0" applyFont="1" applyFill="1" applyBorder="1" applyAlignment="1" applyProtection="1">
      <alignment horizontal="center" vertical="center" wrapText="1"/>
      <protection locked="0"/>
    </xf>
    <xf numFmtId="0" fontId="6" fillId="25" borderId="421" xfId="0" applyFont="1" applyFill="1" applyBorder="1" applyAlignment="1" applyProtection="1">
      <alignment horizontal="center" vertical="center" wrapText="1"/>
      <protection locked="0"/>
    </xf>
    <xf numFmtId="168" fontId="6" fillId="25" borderId="143" xfId="30" applyNumberFormat="1" applyFont="1" applyFill="1" applyBorder="1" applyAlignment="1">
      <alignment horizontal="left" vertical="center"/>
    </xf>
    <xf numFmtId="168" fontId="6" fillId="25" borderId="142" xfId="30" applyNumberFormat="1" applyFont="1" applyFill="1" applyBorder="1" applyAlignment="1">
      <alignment horizontal="left" vertical="center"/>
    </xf>
    <xf numFmtId="168" fontId="6" fillId="25" borderId="355" xfId="30" applyNumberFormat="1" applyFont="1" applyFill="1" applyBorder="1" applyAlignment="1">
      <alignment horizontal="left" vertical="center"/>
    </xf>
    <xf numFmtId="0" fontId="17" fillId="38" borderId="72" xfId="0" applyFont="1" applyFill="1" applyBorder="1" applyAlignment="1">
      <alignment horizontal="left" vertical="center" wrapText="1"/>
    </xf>
    <xf numFmtId="0" fontId="17" fillId="38" borderId="73" xfId="0" applyFont="1" applyFill="1" applyBorder="1" applyAlignment="1">
      <alignment horizontal="left" vertical="center" wrapText="1"/>
    </xf>
    <xf numFmtId="0" fontId="17" fillId="38" borderId="91" xfId="0" applyFont="1" applyFill="1" applyBorder="1" applyAlignment="1">
      <alignment horizontal="left" vertical="center" wrapText="1"/>
    </xf>
    <xf numFmtId="168" fontId="17" fillId="25" borderId="72" xfId="30" applyNumberFormat="1" applyFont="1" applyFill="1" applyBorder="1" applyAlignment="1">
      <alignment horizontal="left" vertical="center" wrapText="1"/>
    </xf>
    <xf numFmtId="168" fontId="17" fillId="25" borderId="73" xfId="30" applyNumberFormat="1" applyFont="1" applyFill="1" applyBorder="1" applyAlignment="1">
      <alignment horizontal="left" vertical="center" wrapText="1"/>
    </xf>
    <xf numFmtId="168" fontId="17" fillId="25" borderId="91" xfId="30" applyNumberFormat="1" applyFont="1" applyFill="1" applyBorder="1" applyAlignment="1">
      <alignment horizontal="left" vertical="center" wrapText="1"/>
    </xf>
    <xf numFmtId="0" fontId="0" fillId="25" borderId="72" xfId="0" applyFill="1" applyBorder="1" applyAlignment="1">
      <alignment horizontal="left" wrapText="1"/>
    </xf>
    <xf numFmtId="0" fontId="0" fillId="25" borderId="73" xfId="0" applyFill="1" applyBorder="1" applyAlignment="1">
      <alignment horizontal="left" wrapText="1"/>
    </xf>
    <xf numFmtId="0" fontId="0" fillId="25" borderId="91" xfId="0" applyFill="1" applyBorder="1" applyAlignment="1">
      <alignment horizontal="left" wrapText="1"/>
    </xf>
    <xf numFmtId="0" fontId="6" fillId="14" borderId="0" xfId="0" applyFont="1" applyFill="1" applyAlignment="1">
      <alignment horizontal="left" vertical="center" wrapText="1"/>
    </xf>
    <xf numFmtId="0" fontId="9" fillId="47" borderId="139" xfId="0" applyFont="1" applyFill="1" applyBorder="1" applyAlignment="1">
      <alignment horizontal="center" vertical="center" wrapText="1"/>
    </xf>
    <xf numFmtId="0" fontId="9" fillId="47" borderId="136" xfId="0" applyFont="1" applyFill="1" applyBorder="1" applyAlignment="1">
      <alignment horizontal="center" vertical="center" wrapText="1"/>
    </xf>
    <xf numFmtId="0" fontId="67" fillId="42" borderId="71" xfId="0" applyNumberFormat="1" applyFont="1" applyFill="1" applyBorder="1" applyAlignment="1" applyProtection="1">
      <alignment horizontal="center" vertical="center" wrapText="1"/>
    </xf>
    <xf numFmtId="0" fontId="6" fillId="18" borderId="227" xfId="0" applyFont="1" applyFill="1" applyBorder="1" applyAlignment="1" applyProtection="1">
      <alignment horizontal="center" vertical="center" wrapText="1"/>
      <protection locked="0"/>
    </xf>
    <xf numFmtId="0" fontId="6" fillId="18" borderId="228" xfId="0" applyFont="1" applyFill="1" applyBorder="1" applyAlignment="1" applyProtection="1">
      <alignment horizontal="center" vertical="center" wrapText="1"/>
      <protection locked="0"/>
    </xf>
    <xf numFmtId="168" fontId="14" fillId="25" borderId="72" xfId="30" applyNumberFormat="1" applyFont="1" applyFill="1" applyBorder="1" applyAlignment="1">
      <alignment horizontal="left" vertical="center" wrapText="1"/>
    </xf>
    <xf numFmtId="168" fontId="14" fillId="25" borderId="73" xfId="30" applyNumberFormat="1" applyFont="1" applyFill="1" applyBorder="1" applyAlignment="1">
      <alignment horizontal="left" vertical="center" wrapText="1"/>
    </xf>
    <xf numFmtId="168" fontId="14" fillId="25" borderId="91" xfId="30" applyNumberFormat="1" applyFont="1" applyFill="1" applyBorder="1" applyAlignment="1">
      <alignment horizontal="left" vertical="center" wrapText="1"/>
    </xf>
    <xf numFmtId="168" fontId="9" fillId="38" borderId="417" xfId="0" applyNumberFormat="1" applyFont="1" applyFill="1" applyBorder="1" applyAlignment="1">
      <alignment horizontal="left" vertical="center" wrapText="1"/>
    </xf>
    <xf numFmtId="168" fontId="9" fillId="38" borderId="213" xfId="0" applyNumberFormat="1" applyFont="1" applyFill="1" applyBorder="1" applyAlignment="1">
      <alignment horizontal="left" vertical="center" wrapText="1"/>
    </xf>
    <xf numFmtId="168" fontId="9" fillId="38" borderId="420" xfId="0" applyNumberFormat="1" applyFont="1" applyFill="1" applyBorder="1" applyAlignment="1">
      <alignment horizontal="left" vertical="center" wrapText="1"/>
    </xf>
    <xf numFmtId="0" fontId="67" fillId="42" borderId="85" xfId="0" applyNumberFormat="1" applyFont="1" applyFill="1" applyBorder="1" applyAlignment="1" applyProtection="1">
      <alignment horizontal="center" vertical="center" wrapText="1"/>
    </xf>
    <xf numFmtId="0" fontId="67" fillId="50" borderId="89" xfId="0" applyNumberFormat="1" applyFont="1" applyFill="1" applyBorder="1" applyAlignment="1" applyProtection="1">
      <alignment horizontal="center" vertical="center" wrapText="1"/>
    </xf>
    <xf numFmtId="0" fontId="9" fillId="33" borderId="72" xfId="0" applyFont="1" applyFill="1" applyBorder="1" applyAlignment="1" applyProtection="1">
      <alignment horizontal="left" wrapText="1"/>
      <protection locked="0"/>
    </xf>
    <xf numFmtId="0" fontId="9" fillId="33" borderId="73" xfId="0" applyFont="1" applyFill="1" applyBorder="1" applyAlignment="1" applyProtection="1">
      <alignment horizontal="left" wrapText="1"/>
      <protection locked="0"/>
    </xf>
    <xf numFmtId="0" fontId="9" fillId="33" borderId="205" xfId="0" applyFont="1" applyFill="1" applyBorder="1" applyAlignment="1" applyProtection="1">
      <alignment horizontal="left" wrapText="1"/>
      <protection locked="0"/>
    </xf>
    <xf numFmtId="0" fontId="66" fillId="41" borderId="85" xfId="0" applyFont="1" applyFill="1" applyBorder="1" applyAlignment="1">
      <alignment horizontal="center" vertical="center" wrapText="1"/>
    </xf>
    <xf numFmtId="0" fontId="66" fillId="41" borderId="74" xfId="0" applyFont="1" applyFill="1" applyBorder="1" applyAlignment="1">
      <alignment horizontal="center" vertical="center" wrapText="1"/>
    </xf>
    <xf numFmtId="0" fontId="66" fillId="41" borderId="75" xfId="0" applyFont="1" applyFill="1" applyBorder="1" applyAlignment="1">
      <alignment horizontal="center" vertical="center" wrapText="1"/>
    </xf>
    <xf numFmtId="0" fontId="66" fillId="36" borderId="49" xfId="0" applyFont="1" applyFill="1" applyBorder="1" applyAlignment="1">
      <alignment horizontal="center" vertical="center" wrapText="1"/>
    </xf>
    <xf numFmtId="0" fontId="66" fillId="36" borderId="74" xfId="0" applyFont="1" applyFill="1" applyBorder="1" applyAlignment="1">
      <alignment horizontal="center" vertical="center" wrapText="1"/>
    </xf>
    <xf numFmtId="0" fontId="66" fillId="36" borderId="89" xfId="0" applyFont="1" applyFill="1" applyBorder="1" applyAlignment="1">
      <alignment horizontal="center" vertical="center" wrapText="1"/>
    </xf>
    <xf numFmtId="0" fontId="66" fillId="36" borderId="44" xfId="0" applyFont="1" applyFill="1" applyBorder="1" applyAlignment="1">
      <alignment horizontal="center" vertical="center" wrapText="1"/>
    </xf>
    <xf numFmtId="0" fontId="66" fillId="36" borderId="82" xfId="0" applyFont="1" applyFill="1" applyBorder="1" applyAlignment="1">
      <alignment horizontal="center" vertical="center" wrapText="1"/>
    </xf>
    <xf numFmtId="0" fontId="66" fillId="36" borderId="90" xfId="0" applyFont="1" applyFill="1" applyBorder="1" applyAlignment="1">
      <alignment horizontal="center" vertical="center" wrapText="1"/>
    </xf>
    <xf numFmtId="0" fontId="66" fillId="41" borderId="49" xfId="0" applyFont="1" applyFill="1" applyBorder="1" applyAlignment="1">
      <alignment horizontal="center" vertical="center" wrapText="1"/>
    </xf>
    <xf numFmtId="0" fontId="6" fillId="33" borderId="68" xfId="0" applyFont="1" applyFill="1" applyBorder="1" applyAlignment="1">
      <alignment horizontal="right" vertical="center" wrapText="1"/>
    </xf>
    <xf numFmtId="0" fontId="6" fillId="33" borderId="116" xfId="0" applyFont="1" applyFill="1" applyBorder="1" applyAlignment="1">
      <alignment horizontal="right" vertical="center" wrapText="1"/>
    </xf>
    <xf numFmtId="0" fontId="6" fillId="33" borderId="147" xfId="0" applyFont="1" applyFill="1" applyBorder="1" applyAlignment="1">
      <alignment horizontal="right" vertical="center" wrapText="1"/>
    </xf>
    <xf numFmtId="0" fontId="9" fillId="33" borderId="78" xfId="0" applyFont="1" applyFill="1" applyBorder="1" applyAlignment="1">
      <alignment horizontal="right" vertical="center" wrapText="1"/>
    </xf>
    <xf numFmtId="0" fontId="9" fillId="33" borderId="79" xfId="0" applyFont="1" applyFill="1" applyBorder="1" applyAlignment="1">
      <alignment horizontal="right" vertical="center" wrapText="1"/>
    </xf>
    <xf numFmtId="0" fontId="9" fillId="33" borderId="84" xfId="0" applyFont="1" applyFill="1" applyBorder="1" applyAlignment="1">
      <alignment horizontal="right" vertical="center" wrapText="1"/>
    </xf>
    <xf numFmtId="0" fontId="6" fillId="33" borderId="51" xfId="0" applyFont="1" applyFill="1" applyBorder="1" applyAlignment="1">
      <alignment horizontal="right" vertical="center" wrapText="1"/>
    </xf>
    <xf numFmtId="0" fontId="6" fillId="33" borderId="52" xfId="0" applyFont="1" applyFill="1" applyBorder="1" applyAlignment="1">
      <alignment horizontal="right" vertical="center" wrapText="1"/>
    </xf>
    <xf numFmtId="0" fontId="6" fillId="33" borderId="53" xfId="0" applyFont="1" applyFill="1" applyBorder="1" applyAlignment="1">
      <alignment horizontal="right" vertical="center" wrapText="1"/>
    </xf>
    <xf numFmtId="0" fontId="6" fillId="33" borderId="49" xfId="0" applyFont="1" applyFill="1" applyBorder="1" applyAlignment="1">
      <alignment horizontal="right" vertical="center" wrapText="1"/>
    </xf>
    <xf numFmtId="0" fontId="6" fillId="33" borderId="74" xfId="0" applyFont="1" applyFill="1" applyBorder="1" applyAlignment="1">
      <alignment horizontal="right" vertical="center" wrapText="1"/>
    </xf>
    <xf numFmtId="0" fontId="6" fillId="33" borderId="75" xfId="0" applyFont="1" applyFill="1" applyBorder="1" applyAlignment="1">
      <alignment horizontal="right" vertical="center" wrapText="1"/>
    </xf>
    <xf numFmtId="0" fontId="6" fillId="33" borderId="50" xfId="0" applyFont="1" applyFill="1" applyBorder="1" applyAlignment="1">
      <alignment horizontal="right" vertical="center" wrapText="1"/>
    </xf>
    <xf numFmtId="0" fontId="6" fillId="33" borderId="76" xfId="0" applyFont="1" applyFill="1" applyBorder="1" applyAlignment="1">
      <alignment horizontal="right" vertical="center" wrapText="1"/>
    </xf>
    <xf numFmtId="0" fontId="6" fillId="33" borderId="77" xfId="0" applyFont="1" applyFill="1" applyBorder="1" applyAlignment="1">
      <alignment horizontal="right" vertical="center" wrapText="1"/>
    </xf>
    <xf numFmtId="0" fontId="9" fillId="33" borderId="87" xfId="0" applyFont="1" applyFill="1" applyBorder="1" applyAlignment="1">
      <alignment horizontal="right" vertical="center" wrapText="1"/>
    </xf>
    <xf numFmtId="0" fontId="6" fillId="33" borderId="128" xfId="0" applyFont="1" applyFill="1" applyBorder="1" applyAlignment="1">
      <alignment horizontal="right" vertical="center" wrapText="1"/>
    </xf>
    <xf numFmtId="0" fontId="41" fillId="33" borderId="44" xfId="0" applyFont="1" applyFill="1" applyBorder="1" applyAlignment="1">
      <alignment horizontal="center" vertical="center" wrapText="1"/>
    </xf>
    <xf numFmtId="0" fontId="52" fillId="33" borderId="46" xfId="0" applyFont="1" applyFill="1" applyBorder="1" applyAlignment="1">
      <alignment horizontal="center" vertical="center" wrapText="1"/>
    </xf>
    <xf numFmtId="0" fontId="52" fillId="33" borderId="78" xfId="0" applyFont="1" applyFill="1" applyBorder="1" applyAlignment="1">
      <alignment horizontal="center" vertical="center" wrapText="1"/>
    </xf>
    <xf numFmtId="0" fontId="6" fillId="25" borderId="49" xfId="0" applyFont="1" applyFill="1" applyBorder="1" applyAlignment="1">
      <alignment horizontal="right" vertical="center" wrapText="1"/>
    </xf>
    <xf numFmtId="0" fontId="6" fillId="25" borderId="74" xfId="0" applyFont="1" applyFill="1" applyBorder="1" applyAlignment="1">
      <alignment horizontal="right" vertical="center" wrapText="1"/>
    </xf>
    <xf numFmtId="0" fontId="6" fillId="25" borderId="75" xfId="0" applyFont="1" applyFill="1" applyBorder="1" applyAlignment="1">
      <alignment horizontal="right" vertical="center" wrapText="1"/>
    </xf>
    <xf numFmtId="0" fontId="6" fillId="25" borderId="50" xfId="0" applyFont="1" applyFill="1" applyBorder="1" applyAlignment="1">
      <alignment horizontal="right" vertical="center" wrapText="1"/>
    </xf>
    <xf numFmtId="0" fontId="6" fillId="25" borderId="76" xfId="0" applyFont="1" applyFill="1" applyBorder="1" applyAlignment="1">
      <alignment horizontal="right" vertical="center" wrapText="1"/>
    </xf>
    <xf numFmtId="0" fontId="6" fillId="25" borderId="77" xfId="0" applyFont="1" applyFill="1" applyBorder="1" applyAlignment="1">
      <alignment horizontal="right" vertical="center" wrapText="1"/>
    </xf>
    <xf numFmtId="0" fontId="6" fillId="33" borderId="44" xfId="0" applyFont="1" applyFill="1" applyBorder="1" applyAlignment="1">
      <alignment horizontal="center" vertical="center" wrapText="1"/>
    </xf>
    <xf numFmtId="0" fontId="6" fillId="33" borderId="46" xfId="0" applyFont="1" applyFill="1" applyBorder="1" applyAlignment="1">
      <alignment horizontal="center" vertical="center" wrapText="1"/>
    </xf>
    <xf numFmtId="0" fontId="6" fillId="33" borderId="48" xfId="0" applyFont="1" applyFill="1" applyBorder="1" applyAlignment="1">
      <alignment horizontal="center" vertical="center" wrapText="1"/>
    </xf>
    <xf numFmtId="0" fontId="6" fillId="33" borderId="82" xfId="0" applyFont="1" applyFill="1" applyBorder="1" applyAlignment="1">
      <alignment horizontal="center" vertical="center" wrapText="1"/>
    </xf>
    <xf numFmtId="0" fontId="6" fillId="33" borderId="60" xfId="0" applyFont="1" applyFill="1" applyBorder="1" applyAlignment="1">
      <alignment horizontal="center" vertical="center" wrapText="1"/>
    </xf>
    <xf numFmtId="0" fontId="6" fillId="33" borderId="64" xfId="0" applyFont="1" applyFill="1" applyBorder="1" applyAlignment="1">
      <alignment horizontal="center" vertical="center" wrapText="1"/>
    </xf>
    <xf numFmtId="0" fontId="6" fillId="33" borderId="71" xfId="0" applyFont="1" applyFill="1" applyBorder="1" applyAlignment="1">
      <alignment horizontal="center" vertical="center" wrapText="1"/>
    </xf>
    <xf numFmtId="0" fontId="6" fillId="33" borderId="61" xfId="0" applyFont="1" applyFill="1" applyBorder="1" applyAlignment="1">
      <alignment horizontal="center" vertical="center" wrapText="1"/>
    </xf>
    <xf numFmtId="0" fontId="6" fillId="33" borderId="65" xfId="0" applyFont="1" applyFill="1" applyBorder="1" applyAlignment="1">
      <alignment horizontal="center" vertical="center" wrapText="1"/>
    </xf>
    <xf numFmtId="0" fontId="6" fillId="25" borderId="68" xfId="0" applyFont="1" applyFill="1" applyBorder="1" applyAlignment="1">
      <alignment horizontal="right" vertical="center" wrapText="1"/>
    </xf>
    <xf numFmtId="0" fontId="6" fillId="25" borderId="116" xfId="0" applyFont="1" applyFill="1" applyBorder="1" applyAlignment="1">
      <alignment horizontal="right" vertical="center" wrapText="1"/>
    </xf>
    <xf numFmtId="0" fontId="6" fillId="25" borderId="147" xfId="0" applyFont="1" applyFill="1" applyBorder="1" applyAlignment="1">
      <alignment horizontal="right" vertical="center" wrapText="1"/>
    </xf>
    <xf numFmtId="0" fontId="6" fillId="33" borderId="35" xfId="0" applyFont="1" applyFill="1" applyBorder="1" applyAlignment="1" applyProtection="1">
      <alignment horizontal="right" vertical="center" wrapText="1"/>
      <protection locked="0"/>
    </xf>
    <xf numFmtId="0" fontId="6" fillId="33" borderId="36" xfId="0" applyFont="1" applyFill="1" applyBorder="1" applyAlignment="1">
      <alignment horizontal="right" vertical="center" wrapText="1"/>
    </xf>
    <xf numFmtId="0" fontId="6" fillId="33" borderId="35" xfId="0" applyFont="1" applyFill="1" applyBorder="1" applyAlignment="1">
      <alignment horizontal="right" vertical="center" wrapText="1"/>
    </xf>
    <xf numFmtId="0" fontId="6" fillId="33" borderId="34" xfId="0" applyFont="1" applyFill="1" applyBorder="1" applyAlignment="1">
      <alignment horizontal="right" vertical="center" wrapText="1"/>
    </xf>
    <xf numFmtId="168" fontId="6" fillId="25" borderId="35" xfId="30" applyNumberFormat="1" applyFont="1" applyFill="1" applyBorder="1" applyAlignment="1" applyProtection="1">
      <alignment horizontal="center" vertical="center" wrapText="1"/>
      <protection locked="0"/>
    </xf>
    <xf numFmtId="168" fontId="6" fillId="25" borderId="34" xfId="30" applyNumberFormat="1" applyFont="1" applyFill="1" applyBorder="1" applyAlignment="1" applyProtection="1">
      <alignment horizontal="center" vertical="center" wrapText="1"/>
      <protection locked="0"/>
    </xf>
    <xf numFmtId="0" fontId="6" fillId="14" borderId="0" xfId="0" applyFont="1" applyFill="1" applyAlignment="1">
      <alignment vertical="top" wrapText="1"/>
    </xf>
    <xf numFmtId="44" fontId="60" fillId="33" borderId="49" xfId="31" applyFont="1" applyFill="1" applyBorder="1" applyAlignment="1">
      <alignment horizontal="center" vertical="center" wrapText="1"/>
    </xf>
    <xf numFmtId="44" fontId="69" fillId="33" borderId="50" xfId="31" applyFont="1" applyFill="1" applyBorder="1" applyAlignment="1">
      <alignment horizontal="center" vertical="center" wrapText="1"/>
    </xf>
    <xf numFmtId="44" fontId="69" fillId="33" borderId="83" xfId="31" applyFont="1" applyFill="1" applyBorder="1" applyAlignment="1">
      <alignment horizontal="center" vertical="center" wrapText="1"/>
    </xf>
    <xf numFmtId="0" fontId="40" fillId="33" borderId="92" xfId="0" applyFont="1" applyFill="1" applyBorder="1" applyAlignment="1">
      <alignment horizontal="center" vertical="center" wrapText="1"/>
    </xf>
    <xf numFmtId="0" fontId="38" fillId="33" borderId="93" xfId="0" applyFont="1" applyFill="1" applyBorder="1" applyAlignment="1">
      <alignment horizontal="center" vertical="center" wrapText="1"/>
    </xf>
    <xf numFmtId="0" fontId="38" fillId="33" borderId="94" xfId="0" applyFont="1" applyFill="1" applyBorder="1" applyAlignment="1">
      <alignment horizontal="center" vertical="center" wrapText="1"/>
    </xf>
    <xf numFmtId="0" fontId="40" fillId="33" borderId="72" xfId="0" applyFont="1" applyFill="1" applyBorder="1" applyAlignment="1">
      <alignment horizontal="center" vertical="center" wrapText="1"/>
    </xf>
    <xf numFmtId="0" fontId="38" fillId="33" borderId="91" xfId="0" applyFont="1" applyFill="1" applyBorder="1" applyAlignment="1">
      <alignment horizontal="center" vertical="center" wrapText="1"/>
    </xf>
    <xf numFmtId="0" fontId="9" fillId="36" borderId="206" xfId="0" applyFont="1" applyFill="1" applyBorder="1" applyAlignment="1">
      <alignment horizontal="center" vertical="center"/>
    </xf>
    <xf numFmtId="0" fontId="39" fillId="36" borderId="82" xfId="0" applyFont="1" applyFill="1" applyBorder="1" applyAlignment="1">
      <alignment horizontal="center" vertical="center"/>
    </xf>
    <xf numFmtId="0" fontId="39" fillId="36" borderId="90" xfId="0" applyFont="1" applyFill="1" applyBorder="1" applyAlignment="1">
      <alignment horizontal="center" vertical="center"/>
    </xf>
    <xf numFmtId="0" fontId="9" fillId="36" borderId="50" xfId="0" applyFont="1" applyFill="1" applyBorder="1" applyAlignment="1">
      <alignment horizontal="center" vertical="center" wrapText="1"/>
    </xf>
    <xf numFmtId="0" fontId="9" fillId="36" borderId="76" xfId="0" applyFont="1" applyFill="1" applyBorder="1" applyAlignment="1">
      <alignment horizontal="center" vertical="center" wrapText="1"/>
    </xf>
    <xf numFmtId="0" fontId="9" fillId="36" borderId="77" xfId="0" applyFont="1" applyFill="1" applyBorder="1" applyAlignment="1">
      <alignment horizontal="center" vertical="center" wrapText="1"/>
    </xf>
    <xf numFmtId="0" fontId="9" fillId="36" borderId="62" xfId="0" applyFont="1" applyFill="1" applyBorder="1" applyAlignment="1">
      <alignment horizontal="center" vertical="center" wrapText="1"/>
    </xf>
    <xf numFmtId="0" fontId="9" fillId="41" borderId="86" xfId="0" applyFont="1" applyFill="1" applyBorder="1" applyAlignment="1">
      <alignment horizontal="center" vertical="center" wrapText="1"/>
    </xf>
    <xf numFmtId="0" fontId="9" fillId="41" borderId="62" xfId="0" applyFont="1" applyFill="1" applyBorder="1" applyAlignment="1">
      <alignment horizontal="center" vertical="center" wrapText="1"/>
    </xf>
    <xf numFmtId="0" fontId="9" fillId="36" borderId="44" xfId="0" applyFont="1" applyFill="1" applyBorder="1" applyAlignment="1">
      <alignment horizontal="center" vertical="center"/>
    </xf>
    <xf numFmtId="0" fontId="9" fillId="41" borderId="139" xfId="0" applyFont="1" applyFill="1" applyBorder="1" applyAlignment="1">
      <alignment horizontal="center" vertical="center" wrapText="1"/>
    </xf>
    <xf numFmtId="0" fontId="6" fillId="14" borderId="0" xfId="0" applyFont="1" applyFill="1" applyAlignment="1">
      <alignment wrapText="1"/>
    </xf>
    <xf numFmtId="0" fontId="0" fillId="0" borderId="0" xfId="0" applyAlignment="1">
      <alignment wrapText="1"/>
    </xf>
    <xf numFmtId="0" fontId="66" fillId="41" borderId="36" xfId="0" applyFont="1" applyFill="1" applyBorder="1" applyAlignment="1">
      <alignment horizontal="center" vertical="center" wrapText="1"/>
    </xf>
    <xf numFmtId="0" fontId="66" fillId="41" borderId="35" xfId="0" applyFont="1" applyFill="1" applyBorder="1" applyAlignment="1">
      <alignment horizontal="center" vertical="center" wrapText="1"/>
    </xf>
    <xf numFmtId="0" fontId="66" fillId="41" borderId="34" xfId="0" applyFont="1" applyFill="1" applyBorder="1" applyAlignment="1">
      <alignment horizontal="center" vertical="center" wrapText="1"/>
    </xf>
    <xf numFmtId="0" fontId="9" fillId="29" borderId="22" xfId="0" applyFont="1" applyFill="1" applyBorder="1" applyAlignment="1" applyProtection="1">
      <alignment horizontal="center" vertical="center"/>
      <protection locked="0"/>
    </xf>
    <xf numFmtId="0" fontId="9" fillId="29" borderId="0" xfId="0" applyFont="1" applyFill="1" applyBorder="1" applyAlignment="1" applyProtection="1">
      <alignment horizontal="center" vertical="center"/>
      <protection locked="0"/>
    </xf>
    <xf numFmtId="0" fontId="9" fillId="29" borderId="23" xfId="0" applyFont="1" applyFill="1" applyBorder="1" applyAlignment="1" applyProtection="1">
      <alignment horizontal="center" vertical="center" wrapText="1"/>
      <protection locked="0"/>
    </xf>
    <xf numFmtId="0" fontId="9" fillId="29" borderId="24" xfId="0" applyFont="1" applyFill="1" applyBorder="1" applyAlignment="1" applyProtection="1">
      <alignment horizontal="center" vertical="center" wrapText="1"/>
      <protection locked="0"/>
    </xf>
    <xf numFmtId="0" fontId="6" fillId="14" borderId="0" xfId="0" applyFont="1" applyFill="1" applyBorder="1" applyAlignment="1">
      <alignment vertical="top" wrapText="1"/>
    </xf>
    <xf numFmtId="0" fontId="40" fillId="33" borderId="91" xfId="0" applyFont="1" applyFill="1" applyBorder="1" applyAlignment="1">
      <alignment horizontal="center" vertical="center" wrapText="1"/>
    </xf>
    <xf numFmtId="0" fontId="6" fillId="18" borderId="128" xfId="0" applyFont="1" applyFill="1" applyBorder="1" applyAlignment="1" applyProtection="1">
      <alignment horizontal="left" vertical="center" wrapText="1"/>
      <protection locked="0"/>
    </xf>
    <xf numFmtId="0" fontId="6" fillId="18" borderId="35" xfId="0" applyFont="1" applyFill="1" applyBorder="1" applyAlignment="1" applyProtection="1">
      <alignment horizontal="left" vertical="center" wrapText="1"/>
      <protection locked="0"/>
    </xf>
    <xf numFmtId="0" fontId="6" fillId="18" borderId="34" xfId="0" applyFont="1" applyFill="1" applyBorder="1" applyAlignment="1" applyProtection="1">
      <alignment horizontal="left" vertical="center" wrapText="1"/>
      <protection locked="0"/>
    </xf>
    <xf numFmtId="0" fontId="9" fillId="36" borderId="50" xfId="306" applyFont="1" applyFill="1" applyBorder="1" applyAlignment="1">
      <alignment horizontal="center" vertical="center" wrapText="1"/>
    </xf>
    <xf numFmtId="0" fontId="9" fillId="36" borderId="76" xfId="306" applyFont="1" applyFill="1" applyBorder="1" applyAlignment="1">
      <alignment horizontal="center" vertical="center" wrapText="1"/>
    </xf>
    <xf numFmtId="0" fontId="9" fillId="36" borderId="77" xfId="306" applyFont="1" applyFill="1" applyBorder="1" applyAlignment="1">
      <alignment horizontal="center" vertical="center" wrapText="1"/>
    </xf>
    <xf numFmtId="0" fontId="77" fillId="33" borderId="72" xfId="306" applyFont="1" applyFill="1" applyBorder="1" applyAlignment="1">
      <alignment horizontal="center" vertical="center" wrapText="1"/>
    </xf>
    <xf numFmtId="0" fontId="77" fillId="33" borderId="73" xfId="306" applyFont="1" applyFill="1" applyBorder="1" applyAlignment="1">
      <alignment horizontal="center" vertical="center" wrapText="1"/>
    </xf>
    <xf numFmtId="0" fontId="77" fillId="33" borderId="91" xfId="306" applyFont="1" applyFill="1" applyBorder="1" applyAlignment="1">
      <alignment horizontal="center" vertical="center" wrapText="1"/>
    </xf>
    <xf numFmtId="0" fontId="9" fillId="36" borderId="74" xfId="306" applyFont="1" applyFill="1" applyBorder="1" applyAlignment="1">
      <alignment horizontal="center" vertical="center"/>
    </xf>
    <xf numFmtId="0" fontId="9" fillId="36" borderId="75" xfId="306" applyFont="1" applyFill="1" applyBorder="1" applyAlignment="1">
      <alignment horizontal="center" vertical="center"/>
    </xf>
    <xf numFmtId="0" fontId="9" fillId="41" borderId="19" xfId="306" applyFont="1" applyFill="1" applyBorder="1" applyAlignment="1">
      <alignment horizontal="center" vertical="center" wrapText="1"/>
    </xf>
    <xf numFmtId="0" fontId="9" fillId="41" borderId="0" xfId="306" applyFont="1" applyFill="1" applyBorder="1" applyAlignment="1">
      <alignment horizontal="center" vertical="center" wrapText="1"/>
    </xf>
    <xf numFmtId="0" fontId="9" fillId="41" borderId="24" xfId="306" applyFont="1" applyFill="1" applyBorder="1" applyAlignment="1">
      <alignment horizontal="center" vertical="center" wrapText="1"/>
    </xf>
    <xf numFmtId="0" fontId="9" fillId="41" borderId="70" xfId="306" applyFont="1" applyFill="1" applyBorder="1" applyAlignment="1">
      <alignment horizontal="center" vertical="center" wrapText="1"/>
    </xf>
    <xf numFmtId="0" fontId="9" fillId="41" borderId="97" xfId="306" applyFont="1" applyFill="1" applyBorder="1" applyAlignment="1">
      <alignment horizontal="center" vertical="center" wrapText="1"/>
    </xf>
    <xf numFmtId="0" fontId="9" fillId="41" borderId="125" xfId="306" applyFont="1" applyFill="1" applyBorder="1" applyAlignment="1">
      <alignment horizontal="center" vertical="center" wrapText="1"/>
    </xf>
    <xf numFmtId="0" fontId="9" fillId="36" borderId="49" xfId="306" applyFont="1" applyFill="1" applyBorder="1" applyAlignment="1">
      <alignment horizontal="center" vertical="center"/>
    </xf>
    <xf numFmtId="0" fontId="9" fillId="41" borderId="21" xfId="306" applyFont="1" applyFill="1" applyBorder="1" applyAlignment="1">
      <alignment horizontal="center" vertical="center" wrapText="1"/>
    </xf>
    <xf numFmtId="0" fontId="9" fillId="41" borderId="22" xfId="306" applyFont="1" applyFill="1" applyBorder="1" applyAlignment="1">
      <alignment horizontal="center" vertical="center" wrapText="1"/>
    </xf>
    <xf numFmtId="0" fontId="6" fillId="25" borderId="354" xfId="306" applyFont="1" applyFill="1" applyBorder="1" applyAlignment="1" applyProtection="1">
      <alignment horizontal="center" vertical="center" wrapText="1"/>
      <protection locked="0"/>
    </xf>
    <xf numFmtId="0" fontId="6" fillId="25" borderId="35" xfId="306" applyFont="1" applyFill="1" applyBorder="1" applyAlignment="1" applyProtection="1">
      <alignment horizontal="center" vertical="center" wrapText="1"/>
      <protection locked="0"/>
    </xf>
    <xf numFmtId="0" fontId="6" fillId="25" borderId="34" xfId="306" applyFont="1" applyFill="1" applyBorder="1" applyAlignment="1" applyProtection="1">
      <alignment horizontal="center" vertical="center" wrapText="1"/>
      <protection locked="0"/>
    </xf>
    <xf numFmtId="0" fontId="62" fillId="29" borderId="168" xfId="144" applyFont="1" applyFill="1" applyBorder="1" applyAlignment="1" applyProtection="1">
      <alignment horizontal="center"/>
    </xf>
    <xf numFmtId="0" fontId="62" fillId="29" borderId="113" xfId="144" applyFont="1" applyFill="1" applyBorder="1" applyAlignment="1" applyProtection="1">
      <alignment horizontal="center"/>
    </xf>
    <xf numFmtId="0" fontId="62" fillId="36" borderId="206" xfId="144" applyFont="1" applyFill="1" applyBorder="1" applyAlignment="1" applyProtection="1">
      <alignment horizontal="center"/>
    </xf>
    <xf numFmtId="0" fontId="62" fillId="36" borderId="82" xfId="144" applyFont="1" applyFill="1" applyBorder="1" applyAlignment="1" applyProtection="1">
      <alignment horizontal="center"/>
    </xf>
    <xf numFmtId="0" fontId="62" fillId="36" borderId="90" xfId="144" applyFont="1" applyFill="1" applyBorder="1" applyAlignment="1" applyProtection="1">
      <alignment horizontal="center"/>
    </xf>
    <xf numFmtId="0" fontId="62" fillId="29" borderId="102" xfId="144" applyFont="1" applyFill="1" applyBorder="1" applyAlignment="1" applyProtection="1">
      <alignment horizontal="center"/>
    </xf>
    <xf numFmtId="0" fontId="62" fillId="29" borderId="156" xfId="144" applyFont="1" applyFill="1" applyBorder="1" applyAlignment="1" applyProtection="1">
      <alignment horizontal="center"/>
    </xf>
    <xf numFmtId="0" fontId="62" fillId="36" borderId="21" xfId="144" applyFont="1" applyFill="1" applyBorder="1" applyAlignment="1" applyProtection="1">
      <alignment horizontal="center"/>
    </xf>
    <xf numFmtId="0" fontId="62" fillId="36" borderId="22" xfId="144" applyFont="1" applyFill="1" applyBorder="1" applyAlignment="1" applyProtection="1">
      <alignment horizontal="center"/>
    </xf>
    <xf numFmtId="0" fontId="62" fillId="36" borderId="23" xfId="144" applyFont="1" applyFill="1" applyBorder="1" applyAlignment="1" applyProtection="1">
      <alignment horizontal="center"/>
    </xf>
    <xf numFmtId="0" fontId="6" fillId="14" borderId="0" xfId="144" applyFill="1" applyAlignment="1" applyProtection="1">
      <alignment horizontal="left" vertical="top" wrapText="1"/>
      <protection locked="0"/>
    </xf>
    <xf numFmtId="0" fontId="66" fillId="56" borderId="36" xfId="144" applyFont="1" applyFill="1" applyBorder="1" applyAlignment="1" applyProtection="1">
      <alignment horizontal="center" vertical="center"/>
      <protection locked="0"/>
    </xf>
    <xf numFmtId="0" fontId="66" fillId="56" borderId="35" xfId="144" applyFont="1" applyFill="1" applyBorder="1" applyAlignment="1" applyProtection="1">
      <alignment horizontal="center" vertical="center"/>
      <protection locked="0"/>
    </xf>
    <xf numFmtId="0" fontId="66" fillId="56" borderId="34" xfId="144" applyFont="1" applyFill="1" applyBorder="1" applyAlignment="1" applyProtection="1">
      <alignment horizontal="center" vertical="center"/>
      <protection locked="0"/>
    </xf>
    <xf numFmtId="0" fontId="66" fillId="56" borderId="36" xfId="144" applyFont="1" applyFill="1" applyBorder="1" applyAlignment="1" applyProtection="1">
      <alignment horizontal="center" vertical="center"/>
    </xf>
    <xf numFmtId="0" fontId="66" fillId="56" borderId="34" xfId="144" applyFont="1" applyFill="1" applyBorder="1" applyAlignment="1" applyProtection="1">
      <alignment horizontal="center" vertical="center"/>
    </xf>
    <xf numFmtId="0" fontId="66" fillId="56" borderId="149" xfId="144" applyFont="1" applyFill="1" applyBorder="1" applyAlignment="1" applyProtection="1">
      <alignment horizontal="center" vertical="center"/>
    </xf>
    <xf numFmtId="0" fontId="66" fillId="56" borderId="162" xfId="144" applyFont="1" applyFill="1" applyBorder="1" applyAlignment="1" applyProtection="1">
      <alignment horizontal="center" vertical="center"/>
    </xf>
    <xf numFmtId="0" fontId="62" fillId="57" borderId="206" xfId="144" applyFont="1" applyFill="1" applyBorder="1" applyAlignment="1" applyProtection="1">
      <alignment horizontal="center"/>
    </xf>
    <xf numFmtId="0" fontId="62" fillId="57" borderId="82" xfId="144" applyFont="1" applyFill="1" applyBorder="1" applyAlignment="1" applyProtection="1">
      <alignment horizontal="center"/>
    </xf>
    <xf numFmtId="0" fontId="62" fillId="57" borderId="90" xfId="144" applyFont="1" applyFill="1" applyBorder="1" applyAlignment="1" applyProtection="1">
      <alignment horizontal="center"/>
    </xf>
    <xf numFmtId="0" fontId="9" fillId="29" borderId="249" xfId="144" applyFont="1" applyFill="1" applyBorder="1" applyAlignment="1" applyProtection="1">
      <alignment horizontal="center" vertical="center"/>
    </xf>
    <xf numFmtId="0" fontId="9" fillId="29" borderId="203" xfId="144" applyFont="1" applyFill="1" applyBorder="1" applyAlignment="1" applyProtection="1">
      <alignment horizontal="center" vertical="center"/>
    </xf>
    <xf numFmtId="0" fontId="9" fillId="36" borderId="207" xfId="144" applyFont="1" applyFill="1" applyBorder="1" applyAlignment="1" applyProtection="1">
      <alignment horizontal="center" vertical="center"/>
    </xf>
    <xf numFmtId="0" fontId="9" fillId="36" borderId="64" xfId="144" applyFont="1" applyFill="1" applyBorder="1" applyAlignment="1" applyProtection="1">
      <alignment horizontal="center" vertical="center"/>
    </xf>
    <xf numFmtId="0" fontId="9" fillId="36" borderId="67" xfId="144" applyFont="1" applyFill="1" applyBorder="1" applyAlignment="1" applyProtection="1">
      <alignment horizontal="center" vertical="center"/>
    </xf>
    <xf numFmtId="0" fontId="9" fillId="29" borderId="181" xfId="144" applyFont="1" applyFill="1" applyBorder="1" applyAlignment="1" applyProtection="1">
      <alignment horizontal="center" vertical="center"/>
    </xf>
    <xf numFmtId="0" fontId="9" fillId="29" borderId="172" xfId="144" applyFont="1" applyFill="1" applyBorder="1" applyAlignment="1" applyProtection="1">
      <alignment horizontal="center" vertical="center"/>
    </xf>
    <xf numFmtId="0" fontId="9" fillId="57" borderId="171" xfId="144" applyFont="1" applyFill="1" applyBorder="1" applyAlignment="1" applyProtection="1">
      <alignment horizontal="center" vertical="center"/>
    </xf>
    <xf numFmtId="0" fontId="9" fillId="57" borderId="195" xfId="144" applyFont="1" applyFill="1" applyBorder="1" applyAlignment="1" applyProtection="1">
      <alignment horizontal="center" vertical="center"/>
    </xf>
    <xf numFmtId="0" fontId="9" fillId="57" borderId="260" xfId="144" applyFont="1" applyFill="1" applyBorder="1" applyAlignment="1" applyProtection="1">
      <alignment horizontal="center" vertical="center"/>
    </xf>
    <xf numFmtId="0" fontId="9" fillId="36" borderId="36" xfId="144" applyFont="1" applyFill="1" applyBorder="1" applyAlignment="1" applyProtection="1">
      <alignment horizontal="center" vertical="center"/>
    </xf>
    <xf numFmtId="0" fontId="9" fillId="36" borderId="35" xfId="144" applyFont="1" applyFill="1" applyBorder="1" applyAlignment="1" applyProtection="1">
      <alignment horizontal="center" vertical="center"/>
    </xf>
    <xf numFmtId="0" fontId="9" fillId="36" borderId="34" xfId="144" applyFont="1" applyFill="1" applyBorder="1" applyAlignment="1" applyProtection="1">
      <alignment horizontal="center" vertical="center"/>
    </xf>
    <xf numFmtId="0" fontId="6" fillId="33" borderId="206" xfId="144" applyFont="1" applyFill="1" applyBorder="1" applyAlignment="1" applyProtection="1">
      <alignment horizontal="right" indent="2"/>
    </xf>
    <xf numFmtId="0" fontId="6" fillId="33" borderId="85" xfId="144" applyFont="1" applyFill="1" applyBorder="1" applyAlignment="1" applyProtection="1">
      <alignment horizontal="right" indent="2"/>
    </xf>
    <xf numFmtId="0" fontId="6" fillId="33" borderId="46" xfId="144" applyFont="1" applyFill="1" applyBorder="1" applyAlignment="1" applyProtection="1">
      <alignment horizontal="right" indent="2"/>
    </xf>
    <xf numFmtId="0" fontId="6" fillId="33" borderId="86" xfId="144" applyFont="1" applyFill="1" applyBorder="1" applyAlignment="1" applyProtection="1">
      <alignment horizontal="right" indent="2"/>
    </xf>
    <xf numFmtId="0" fontId="91" fillId="57" borderId="193" xfId="144" applyFont="1" applyFill="1" applyBorder="1" applyAlignment="1" applyProtection="1">
      <alignment horizontal="center"/>
    </xf>
    <xf numFmtId="0" fontId="91" fillId="57" borderId="194" xfId="144" applyFont="1" applyFill="1" applyBorder="1" applyAlignment="1" applyProtection="1">
      <alignment horizontal="center"/>
    </xf>
    <xf numFmtId="0" fontId="91" fillId="57" borderId="259" xfId="144" applyFont="1" applyFill="1" applyBorder="1" applyAlignment="1" applyProtection="1">
      <alignment horizontal="center"/>
    </xf>
    <xf numFmtId="0" fontId="6" fillId="14" borderId="0" xfId="0" applyFont="1" applyFill="1" applyBorder="1" applyAlignment="1">
      <alignment vertical="center" wrapText="1"/>
    </xf>
    <xf numFmtId="0" fontId="66" fillId="33" borderId="143" xfId="0" applyFont="1" applyFill="1" applyBorder="1" applyAlignment="1">
      <alignment horizontal="left" vertical="center" wrapText="1"/>
    </xf>
    <xf numFmtId="0" fontId="66" fillId="33" borderId="142" xfId="0" applyFont="1" applyFill="1" applyBorder="1" applyAlignment="1">
      <alignment horizontal="left" vertical="center" wrapText="1"/>
    </xf>
    <xf numFmtId="0" fontId="66" fillId="33" borderId="55" xfId="0" applyFont="1" applyFill="1" applyBorder="1" applyAlignment="1">
      <alignment horizontal="left" vertical="center" wrapText="1"/>
    </xf>
    <xf numFmtId="0" fontId="41" fillId="33" borderId="72" xfId="0" applyFont="1" applyFill="1" applyBorder="1" applyAlignment="1">
      <alignment horizontal="center" vertical="center" wrapText="1"/>
    </xf>
    <xf numFmtId="0" fontId="52" fillId="33" borderId="73" xfId="0" applyFont="1" applyFill="1" applyBorder="1" applyAlignment="1">
      <alignment horizontal="center" vertical="center" wrapText="1"/>
    </xf>
    <xf numFmtId="0" fontId="52" fillId="33" borderId="91" xfId="0" applyFont="1" applyFill="1" applyBorder="1" applyAlignment="1">
      <alignment horizontal="center" vertical="center" wrapText="1"/>
    </xf>
    <xf numFmtId="0" fontId="62" fillId="42" borderId="44" xfId="0" applyNumberFormat="1" applyFont="1" applyFill="1" applyBorder="1" applyAlignment="1" applyProtection="1">
      <alignment horizontal="center" vertical="center" wrapText="1"/>
    </xf>
    <xf numFmtId="0" fontId="62" fillId="50" borderId="82" xfId="0" applyNumberFormat="1" applyFont="1" applyFill="1" applyBorder="1" applyAlignment="1" applyProtection="1">
      <alignment horizontal="center" vertical="center" wrapText="1"/>
    </xf>
    <xf numFmtId="0" fontId="66" fillId="41" borderId="82" xfId="0" applyFont="1" applyFill="1" applyBorder="1" applyAlignment="1">
      <alignment horizontal="center" vertical="center" wrapText="1"/>
    </xf>
    <xf numFmtId="0" fontId="62" fillId="42" borderId="82" xfId="0" applyNumberFormat="1" applyFont="1" applyFill="1" applyBorder="1" applyAlignment="1" applyProtection="1">
      <alignment horizontal="center" vertical="center" wrapText="1"/>
    </xf>
    <xf numFmtId="0" fontId="62" fillId="42" borderId="71" xfId="0" applyNumberFormat="1" applyFont="1" applyFill="1" applyBorder="1" applyAlignment="1" applyProtection="1">
      <alignment horizontal="center" vertical="center" wrapText="1"/>
    </xf>
    <xf numFmtId="0" fontId="62" fillId="42" borderId="50" xfId="0" applyNumberFormat="1" applyFont="1" applyFill="1" applyBorder="1" applyAlignment="1" applyProtection="1">
      <alignment horizontal="center" vertical="center" wrapText="1"/>
    </xf>
    <xf numFmtId="0" fontId="62" fillId="42" borderId="76" xfId="0" applyNumberFormat="1" applyFont="1" applyFill="1" applyBorder="1" applyAlignment="1" applyProtection="1">
      <alignment horizontal="center" vertical="center" wrapText="1"/>
    </xf>
    <xf numFmtId="0" fontId="62" fillId="42" borderId="139" xfId="0" applyNumberFormat="1" applyFont="1" applyFill="1" applyBorder="1" applyAlignment="1" applyProtection="1">
      <alignment horizontal="center" vertical="center" wrapText="1"/>
    </xf>
    <xf numFmtId="0" fontId="6" fillId="18" borderId="36" xfId="0" applyFont="1" applyFill="1" applyBorder="1" applyAlignment="1" applyProtection="1">
      <alignment horizontal="left" vertical="center" wrapText="1"/>
      <protection locked="0"/>
    </xf>
    <xf numFmtId="0" fontId="9" fillId="18" borderId="235" xfId="0" applyFont="1" applyFill="1" applyBorder="1" applyAlignment="1">
      <alignment horizontal="left" vertical="center" wrapText="1"/>
    </xf>
    <xf numFmtId="0" fontId="9" fillId="18" borderId="142" xfId="0" applyFont="1" applyFill="1" applyBorder="1" applyAlignment="1">
      <alignment horizontal="left" vertical="center" wrapText="1"/>
    </xf>
    <xf numFmtId="0" fontId="9" fillId="18" borderId="234" xfId="0" applyFont="1" applyFill="1" applyBorder="1" applyAlignment="1">
      <alignment horizontal="left" vertical="center" wrapText="1"/>
    </xf>
    <xf numFmtId="0" fontId="0" fillId="14" borderId="0" xfId="0" applyFill="1" applyAlignment="1">
      <alignment horizontal="left" vertical="center" wrapText="1"/>
    </xf>
    <xf numFmtId="0" fontId="40" fillId="33" borderId="152" xfId="0" applyFont="1" applyFill="1" applyBorder="1" applyAlignment="1">
      <alignment horizontal="left" wrapText="1"/>
    </xf>
    <xf numFmtId="0" fontId="40" fillId="33" borderId="241" xfId="0" applyFont="1" applyFill="1" applyBorder="1" applyAlignment="1">
      <alignment horizontal="left" wrapText="1"/>
    </xf>
    <xf numFmtId="0" fontId="40" fillId="33" borderId="19" xfId="0" applyFont="1" applyFill="1" applyBorder="1" applyAlignment="1">
      <alignment horizontal="left" wrapText="1"/>
    </xf>
    <xf numFmtId="0" fontId="40" fillId="33" borderId="24" xfId="0" applyFont="1" applyFill="1" applyBorder="1" applyAlignment="1">
      <alignment horizontal="left" wrapText="1"/>
    </xf>
    <xf numFmtId="0" fontId="40" fillId="33" borderId="25" xfId="0" applyFont="1" applyFill="1" applyBorder="1" applyAlignment="1">
      <alignment horizontal="left" wrapText="1"/>
    </xf>
    <xf numFmtId="0" fontId="40" fillId="33" borderId="202" xfId="0" applyFont="1" applyFill="1" applyBorder="1" applyAlignment="1">
      <alignment horizontal="left" wrapText="1"/>
    </xf>
    <xf numFmtId="0" fontId="9" fillId="29" borderId="44" xfId="0" applyFont="1" applyFill="1" applyBorder="1" applyAlignment="1">
      <alignment horizontal="center" vertical="center" wrapText="1"/>
    </xf>
    <xf numFmtId="0" fontId="9" fillId="29" borderId="46" xfId="0" applyFont="1" applyFill="1" applyBorder="1" applyAlignment="1">
      <alignment horizontal="center" vertical="center" wrapText="1"/>
    </xf>
    <xf numFmtId="0" fontId="9" fillId="29" borderId="48" xfId="0" applyFont="1" applyFill="1" applyBorder="1" applyAlignment="1">
      <alignment horizontal="center" vertical="center" wrapText="1"/>
    </xf>
    <xf numFmtId="0" fontId="9" fillId="29" borderId="85" xfId="0" applyFont="1" applyFill="1" applyBorder="1" applyAlignment="1">
      <alignment horizontal="center" vertical="center" wrapText="1"/>
    </xf>
    <xf numFmtId="0" fontId="9" fillId="29" borderId="60" xfId="0" applyFont="1" applyFill="1" applyBorder="1" applyAlignment="1">
      <alignment horizontal="center" vertical="center" wrapText="1"/>
    </xf>
    <xf numFmtId="0" fontId="9" fillId="29" borderId="86" xfId="0" applyFont="1" applyFill="1" applyBorder="1" applyAlignment="1">
      <alignment horizontal="center" vertical="center" wrapText="1"/>
    </xf>
    <xf numFmtId="0" fontId="9" fillId="29" borderId="88" xfId="0" applyFont="1" applyFill="1" applyBorder="1" applyAlignment="1">
      <alignment horizontal="center" vertical="center" wrapText="1"/>
    </xf>
    <xf numFmtId="0" fontId="9" fillId="29" borderId="184" xfId="0" applyFont="1" applyFill="1" applyBorder="1" applyAlignment="1">
      <alignment horizontal="center" vertical="center" wrapText="1"/>
    </xf>
    <xf numFmtId="0" fontId="9" fillId="29" borderId="185" xfId="0" applyFont="1" applyFill="1" applyBorder="1" applyAlignment="1">
      <alignment horizontal="center" vertical="center" wrapText="1"/>
    </xf>
    <xf numFmtId="0" fontId="9" fillId="29" borderId="204" xfId="0" applyFont="1" applyFill="1" applyBorder="1" applyAlignment="1">
      <alignment horizontal="center" vertical="center" wrapText="1"/>
    </xf>
    <xf numFmtId="0" fontId="9" fillId="18" borderId="143" xfId="0" applyFont="1" applyFill="1" applyBorder="1" applyAlignment="1">
      <alignment horizontal="left" vertical="center" wrapText="1"/>
    </xf>
    <xf numFmtId="0" fontId="9" fillId="18" borderId="153" xfId="0" applyFont="1" applyFill="1" applyBorder="1" applyAlignment="1">
      <alignment horizontal="left" vertical="center" wrapText="1"/>
    </xf>
    <xf numFmtId="0" fontId="9" fillId="41" borderId="206" xfId="0" applyFont="1" applyFill="1" applyBorder="1" applyAlignment="1">
      <alignment horizontal="center" vertical="center"/>
    </xf>
    <xf numFmtId="0" fontId="39" fillId="41" borderId="82" xfId="0" applyFont="1" applyFill="1" applyBorder="1" applyAlignment="1">
      <alignment horizontal="center" vertical="center"/>
    </xf>
    <xf numFmtId="0" fontId="39" fillId="41" borderId="71" xfId="0" applyFont="1" applyFill="1" applyBorder="1" applyAlignment="1">
      <alignment horizontal="center" vertical="center"/>
    </xf>
    <xf numFmtId="0" fontId="9" fillId="36" borderId="82" xfId="0" applyFont="1" applyFill="1" applyBorder="1" applyAlignment="1">
      <alignment horizontal="center" vertical="center"/>
    </xf>
    <xf numFmtId="0" fontId="39" fillId="36" borderId="71" xfId="0" applyFont="1" applyFill="1" applyBorder="1" applyAlignment="1">
      <alignment horizontal="center" vertical="center"/>
    </xf>
    <xf numFmtId="0" fontId="9" fillId="41" borderId="76" xfId="0" applyFont="1" applyFill="1" applyBorder="1" applyAlignment="1">
      <alignment horizontal="center" vertical="center" wrapText="1"/>
    </xf>
    <xf numFmtId="0" fontId="9" fillId="29" borderId="36" xfId="0" applyFont="1" applyFill="1" applyBorder="1" applyAlignment="1">
      <alignment horizontal="left" vertical="center" indent="1"/>
    </xf>
    <xf numFmtId="0" fontId="9" fillId="29" borderId="35" xfId="0" applyFont="1" applyFill="1" applyBorder="1" applyAlignment="1">
      <alignment horizontal="left" vertical="center" indent="1"/>
    </xf>
    <xf numFmtId="0" fontId="6" fillId="18" borderId="207" xfId="0" applyFont="1" applyFill="1" applyBorder="1" applyAlignment="1">
      <alignment horizontal="left" vertical="center" wrapText="1" indent="1"/>
    </xf>
    <xf numFmtId="0" fontId="6" fillId="18" borderId="88" xfId="0" applyFont="1" applyFill="1" applyBorder="1" applyAlignment="1">
      <alignment horizontal="left" vertical="center" wrapText="1" indent="1"/>
    </xf>
    <xf numFmtId="0" fontId="6" fillId="18" borderId="206" xfId="0" applyFont="1" applyFill="1" applyBorder="1" applyAlignment="1">
      <alignment horizontal="left" vertical="center" wrapText="1" indent="1"/>
    </xf>
    <xf numFmtId="0" fontId="6" fillId="18" borderId="85" xfId="0" applyFont="1" applyFill="1" applyBorder="1" applyAlignment="1">
      <alignment horizontal="left" vertical="center" wrapText="1" indent="1"/>
    </xf>
    <xf numFmtId="0" fontId="6" fillId="18" borderId="46" xfId="0" applyFont="1" applyFill="1" applyBorder="1" applyAlignment="1">
      <alignment horizontal="left" vertical="center" wrapText="1" indent="1"/>
    </xf>
    <xf numFmtId="0" fontId="6" fillId="18" borderId="86" xfId="0" applyFont="1" applyFill="1" applyBorder="1" applyAlignment="1">
      <alignment horizontal="left" vertical="center" wrapText="1" indent="1"/>
    </xf>
    <xf numFmtId="0" fontId="88" fillId="14" borderId="0" xfId="0" applyFont="1" applyFill="1" applyAlignment="1">
      <alignment horizontal="left" vertical="top" wrapText="1"/>
    </xf>
    <xf numFmtId="0" fontId="88" fillId="0" borderId="0" xfId="0" applyFont="1" applyAlignment="1">
      <alignment horizontal="left" vertical="top" wrapText="1"/>
    </xf>
    <xf numFmtId="0" fontId="37" fillId="33" borderId="21" xfId="0" applyFont="1" applyFill="1" applyBorder="1" applyAlignment="1">
      <alignment horizontal="center" vertical="center" wrapText="1"/>
    </xf>
    <xf numFmtId="0" fontId="37" fillId="33" borderId="23" xfId="0" applyFont="1" applyFill="1" applyBorder="1" applyAlignment="1">
      <alignment horizontal="center" vertical="center" wrapText="1"/>
    </xf>
    <xf numFmtId="0" fontId="37" fillId="33" borderId="19" xfId="0" applyFont="1" applyFill="1" applyBorder="1" applyAlignment="1">
      <alignment horizontal="center" vertical="center" wrapText="1"/>
    </xf>
    <xf numFmtId="0" fontId="37" fillId="33" borderId="24" xfId="0" applyFont="1" applyFill="1" applyBorder="1" applyAlignment="1">
      <alignment horizontal="center" vertical="center" wrapText="1"/>
    </xf>
    <xf numFmtId="0" fontId="37" fillId="33" borderId="245" xfId="0" applyFont="1" applyFill="1" applyBorder="1" applyAlignment="1">
      <alignment horizontal="center" vertical="center" wrapText="1"/>
    </xf>
    <xf numFmtId="0" fontId="37" fillId="33" borderId="202" xfId="0" applyFont="1" applyFill="1" applyBorder="1" applyAlignment="1">
      <alignment horizontal="center" vertical="center" wrapText="1"/>
    </xf>
    <xf numFmtId="0" fontId="53" fillId="39" borderId="44" xfId="0" applyNumberFormat="1" applyFont="1" applyFill="1" applyBorder="1" applyAlignment="1" applyProtection="1">
      <alignment horizontal="center" vertical="center" wrapText="1"/>
    </xf>
    <xf numFmtId="0" fontId="9" fillId="39" borderId="82" xfId="0" applyFont="1" applyFill="1" applyBorder="1" applyAlignment="1">
      <alignment horizontal="center" vertical="center" wrapText="1"/>
    </xf>
    <xf numFmtId="0" fontId="9" fillId="14" borderId="0" xfId="0" applyFont="1" applyFill="1" applyAlignment="1">
      <alignment horizontal="left" vertical="center"/>
    </xf>
    <xf numFmtId="0" fontId="88" fillId="14" borderId="0" xfId="0" applyFont="1" applyFill="1" applyAlignment="1">
      <alignment horizontal="left" wrapText="1"/>
    </xf>
    <xf numFmtId="0" fontId="9" fillId="25" borderId="72" xfId="0" applyFont="1" applyFill="1" applyBorder="1" applyAlignment="1">
      <alignment horizontal="left" vertical="center" wrapText="1"/>
    </xf>
    <xf numFmtId="0" fontId="9" fillId="25" borderId="73" xfId="0" applyFont="1" applyFill="1" applyBorder="1" applyAlignment="1">
      <alignment horizontal="left" vertical="center" wrapText="1"/>
    </xf>
    <xf numFmtId="0" fontId="9" fillId="25" borderId="205" xfId="0" applyFont="1" applyFill="1" applyBorder="1" applyAlignment="1">
      <alignment horizontal="left" vertical="center" wrapText="1"/>
    </xf>
    <xf numFmtId="0" fontId="53" fillId="40" borderId="82" xfId="0" applyNumberFormat="1" applyFont="1" applyFill="1" applyBorder="1" applyAlignment="1" applyProtection="1">
      <alignment horizontal="center" vertical="center" wrapText="1"/>
    </xf>
    <xf numFmtId="0" fontId="9" fillId="40" borderId="82" xfId="0" applyFont="1" applyFill="1" applyBorder="1" applyAlignment="1">
      <alignment horizontal="center" vertical="center" wrapText="1"/>
    </xf>
    <xf numFmtId="0" fontId="53" fillId="39" borderId="82" xfId="0" applyNumberFormat="1" applyFont="1" applyFill="1" applyBorder="1" applyAlignment="1" applyProtection="1">
      <alignment horizontal="center" vertical="center" wrapText="1"/>
    </xf>
    <xf numFmtId="0" fontId="53" fillId="39" borderId="71" xfId="0" applyNumberFormat="1" applyFont="1" applyFill="1" applyBorder="1" applyAlignment="1" applyProtection="1">
      <alignment horizontal="center" vertical="center" wrapText="1"/>
    </xf>
    <xf numFmtId="0" fontId="9" fillId="39" borderId="50" xfId="0" applyFont="1" applyFill="1" applyBorder="1" applyAlignment="1">
      <alignment horizontal="center" vertical="center" wrapText="1"/>
    </xf>
    <xf numFmtId="0" fontId="9" fillId="39" borderId="76" xfId="0" applyFont="1" applyFill="1" applyBorder="1" applyAlignment="1">
      <alignment horizontal="center" vertical="center" wrapText="1"/>
    </xf>
    <xf numFmtId="0" fontId="9" fillId="39" borderId="139" xfId="0" applyFont="1" applyFill="1" applyBorder="1" applyAlignment="1">
      <alignment horizontal="center" vertical="center" wrapText="1"/>
    </xf>
    <xf numFmtId="0" fontId="9" fillId="40" borderId="86" xfId="0" applyFont="1" applyFill="1" applyBorder="1" applyAlignment="1">
      <alignment horizontal="center" vertical="center" wrapText="1"/>
    </xf>
    <xf numFmtId="0" fontId="9" fillId="40" borderId="76" xfId="0" applyFont="1" applyFill="1" applyBorder="1" applyAlignment="1">
      <alignment horizontal="center" vertical="center" wrapText="1"/>
    </xf>
    <xf numFmtId="0" fontId="9" fillId="40" borderId="139" xfId="0" applyFont="1" applyFill="1" applyBorder="1" applyAlignment="1">
      <alignment horizontal="center" vertical="center" wrapText="1"/>
    </xf>
    <xf numFmtId="0" fontId="9" fillId="31" borderId="19" xfId="0" applyFont="1" applyFill="1" applyBorder="1" applyAlignment="1">
      <alignment horizontal="left" vertical="center" wrapText="1"/>
    </xf>
    <xf numFmtId="0" fontId="9" fillId="31" borderId="245" xfId="0" applyFont="1" applyFill="1" applyBorder="1" applyAlignment="1">
      <alignment horizontal="left" vertical="center" wrapText="1"/>
    </xf>
    <xf numFmtId="0" fontId="6" fillId="33" borderId="242" xfId="0" applyFont="1" applyFill="1" applyBorder="1" applyAlignment="1">
      <alignment horizontal="left" vertical="center" wrapText="1"/>
    </xf>
    <xf numFmtId="0" fontId="6" fillId="33" borderId="246" xfId="0" applyFont="1" applyFill="1" applyBorder="1" applyAlignment="1">
      <alignment horizontal="left" vertical="center" wrapText="1"/>
    </xf>
    <xf numFmtId="0" fontId="6" fillId="29" borderId="68" xfId="0" applyFont="1" applyFill="1" applyBorder="1" applyAlignment="1">
      <alignment horizontal="left" wrapText="1"/>
    </xf>
    <xf numFmtId="0" fontId="6" fillId="29" borderId="116" xfId="0" applyFont="1" applyFill="1" applyBorder="1" applyAlignment="1">
      <alignment horizontal="left" wrapText="1"/>
    </xf>
    <xf numFmtId="0" fontId="9" fillId="31" borderId="152" xfId="0" applyFont="1" applyFill="1" applyBorder="1" applyAlignment="1">
      <alignment horizontal="left" vertical="center" wrapText="1"/>
    </xf>
    <xf numFmtId="0" fontId="6" fillId="33" borderId="243" xfId="0" applyFont="1" applyFill="1" applyBorder="1" applyAlignment="1">
      <alignment horizontal="left" vertical="center" wrapText="1"/>
    </xf>
    <xf numFmtId="0" fontId="6" fillId="29" borderId="147" xfId="0" applyFont="1" applyFill="1" applyBorder="1" applyAlignment="1">
      <alignment horizontal="left" wrapText="1"/>
    </xf>
    <xf numFmtId="0" fontId="9" fillId="14" borderId="0" xfId="0" applyFont="1" applyFill="1" applyAlignment="1">
      <alignment horizontal="left" vertical="top" wrapText="1"/>
    </xf>
    <xf numFmtId="0" fontId="53" fillId="39" borderId="89" xfId="0" applyNumberFormat="1" applyFont="1" applyFill="1" applyBorder="1" applyAlignment="1" applyProtection="1">
      <alignment horizontal="center" vertical="center" wrapText="1"/>
    </xf>
    <xf numFmtId="0" fontId="9" fillId="31" borderId="71" xfId="0" applyFont="1" applyFill="1" applyBorder="1" applyAlignment="1">
      <alignment horizontal="center" vertical="center" wrapText="1"/>
    </xf>
    <xf numFmtId="0" fontId="9" fillId="31" borderId="61" xfId="0" applyFont="1" applyFill="1" applyBorder="1" applyAlignment="1">
      <alignment horizontal="center" vertical="center" wrapText="1"/>
    </xf>
    <xf numFmtId="0" fontId="9" fillId="31" borderId="65" xfId="0" applyFont="1" applyFill="1" applyBorder="1" applyAlignment="1">
      <alignment horizontal="center" vertical="center" wrapText="1"/>
    </xf>
    <xf numFmtId="0" fontId="60" fillId="33" borderId="21" xfId="0" applyFont="1" applyFill="1" applyBorder="1" applyAlignment="1">
      <alignment horizontal="center" vertical="center" wrapText="1"/>
    </xf>
    <xf numFmtId="0" fontId="60" fillId="33" borderId="19" xfId="0" applyFont="1" applyFill="1" applyBorder="1" applyAlignment="1">
      <alignment horizontal="center" vertical="center" wrapText="1"/>
    </xf>
    <xf numFmtId="0" fontId="60" fillId="33" borderId="25" xfId="0" applyFont="1" applyFill="1" applyBorder="1" applyAlignment="1">
      <alignment horizontal="center" vertical="center" wrapText="1"/>
    </xf>
    <xf numFmtId="0" fontId="9" fillId="39" borderId="62" xfId="0" applyFont="1" applyFill="1" applyBorder="1" applyAlignment="1">
      <alignment horizontal="center" vertical="center" wrapText="1"/>
    </xf>
    <xf numFmtId="0" fontId="9" fillId="31" borderId="206" xfId="0" applyFont="1" applyFill="1" applyBorder="1" applyAlignment="1">
      <alignment horizontal="center" vertical="center" wrapText="1"/>
    </xf>
    <xf numFmtId="0" fontId="9" fillId="31" borderId="46" xfId="0" applyFont="1" applyFill="1" applyBorder="1" applyAlignment="1">
      <alignment horizontal="center" vertical="center" wrapText="1"/>
    </xf>
    <xf numFmtId="0" fontId="9" fillId="31" borderId="207" xfId="0" applyFont="1" applyFill="1" applyBorder="1" applyAlignment="1">
      <alignment horizontal="center" vertical="center" wrapText="1"/>
    </xf>
    <xf numFmtId="0" fontId="9" fillId="14" borderId="0" xfId="306" applyFont="1" applyFill="1" applyAlignment="1">
      <alignment horizontal="left" vertical="top"/>
    </xf>
    <xf numFmtId="0" fontId="6" fillId="14" borderId="0" xfId="306" applyFill="1" applyAlignment="1">
      <alignment horizontal="left" vertical="top" wrapText="1"/>
    </xf>
    <xf numFmtId="0" fontId="87" fillId="14" borderId="0" xfId="306" applyFont="1" applyFill="1" applyAlignment="1">
      <alignment horizontal="left" vertical="top" wrapText="1"/>
    </xf>
    <xf numFmtId="0" fontId="9" fillId="14" borderId="0" xfId="306" applyFont="1" applyFill="1" applyAlignment="1">
      <alignment horizontal="left" vertical="top" wrapText="1"/>
    </xf>
    <xf numFmtId="0" fontId="60" fillId="33" borderId="72" xfId="306" applyFont="1" applyFill="1" applyBorder="1" applyAlignment="1">
      <alignment horizontal="center" wrapText="1"/>
    </xf>
    <xf numFmtId="0" fontId="60" fillId="33" borderId="73" xfId="306" applyFont="1" applyFill="1" applyBorder="1" applyAlignment="1">
      <alignment horizontal="center" wrapText="1"/>
    </xf>
    <xf numFmtId="0" fontId="53" fillId="36" borderId="206" xfId="306" applyNumberFormat="1" applyFont="1" applyFill="1" applyBorder="1" applyAlignment="1" applyProtection="1">
      <alignment horizontal="center" vertical="center" wrapText="1"/>
    </xf>
    <xf numFmtId="0" fontId="9" fillId="36" borderId="82" xfId="306" applyFont="1" applyFill="1" applyBorder="1" applyAlignment="1">
      <alignment horizontal="center" vertical="center" wrapText="1"/>
    </xf>
    <xf numFmtId="0" fontId="9" fillId="36" borderId="50" xfId="306" applyFont="1" applyFill="1" applyBorder="1" applyAlignment="1">
      <alignment horizontal="center"/>
    </xf>
    <xf numFmtId="0" fontId="9" fillId="36" borderId="76" xfId="306" applyFont="1" applyFill="1" applyBorder="1" applyAlignment="1">
      <alignment horizontal="center"/>
    </xf>
    <xf numFmtId="0" fontId="9" fillId="36" borderId="62" xfId="306" applyFont="1" applyFill="1" applyBorder="1" applyAlignment="1">
      <alignment horizontal="center"/>
    </xf>
    <xf numFmtId="0" fontId="9" fillId="41" borderId="86" xfId="306" applyFont="1" applyFill="1" applyBorder="1" applyAlignment="1">
      <alignment horizontal="center"/>
    </xf>
    <xf numFmtId="0" fontId="9" fillId="41" borderId="76" xfId="306" applyFont="1" applyFill="1" applyBorder="1" applyAlignment="1">
      <alignment horizontal="center"/>
    </xf>
    <xf numFmtId="0" fontId="9" fillId="41" borderId="139" xfId="306" applyFont="1" applyFill="1" applyBorder="1" applyAlignment="1">
      <alignment horizontal="center"/>
    </xf>
    <xf numFmtId="0" fontId="53" fillId="41" borderId="82" xfId="306" applyNumberFormat="1" applyFont="1" applyFill="1" applyBorder="1" applyAlignment="1" applyProtection="1">
      <alignment horizontal="center" vertical="center" wrapText="1"/>
    </xf>
    <xf numFmtId="0" fontId="9" fillId="36" borderId="82" xfId="306" applyNumberFormat="1" applyFont="1" applyFill="1" applyBorder="1" applyAlignment="1">
      <alignment horizontal="center" vertical="center" wrapText="1"/>
    </xf>
    <xf numFmtId="0" fontId="9" fillId="36" borderId="71" xfId="306" applyNumberFormat="1" applyFont="1" applyFill="1" applyBorder="1" applyAlignment="1">
      <alignment horizontal="center" vertical="center" wrapText="1"/>
    </xf>
    <xf numFmtId="0" fontId="53" fillId="36" borderId="49" xfId="306" applyNumberFormat="1" applyFont="1" applyFill="1" applyBorder="1" applyAlignment="1" applyProtection="1">
      <alignment horizontal="center" vertical="center" wrapText="1"/>
    </xf>
    <xf numFmtId="0" fontId="53" fillId="36" borderId="74" xfId="306" applyNumberFormat="1" applyFont="1" applyFill="1" applyBorder="1" applyAlignment="1" applyProtection="1">
      <alignment horizontal="center" vertical="center" wrapText="1"/>
    </xf>
    <xf numFmtId="0" fontId="53" fillId="36" borderId="75" xfId="306" applyNumberFormat="1" applyFont="1" applyFill="1" applyBorder="1" applyAlignment="1" applyProtection="1">
      <alignment horizontal="center" vertical="center" wrapText="1"/>
    </xf>
    <xf numFmtId="0" fontId="9" fillId="36" borderId="77" xfId="306" applyFont="1" applyFill="1" applyBorder="1" applyAlignment="1">
      <alignment horizontal="center"/>
    </xf>
    <xf numFmtId="0" fontId="60" fillId="33" borderId="91" xfId="306" applyFont="1" applyFill="1" applyBorder="1" applyAlignment="1">
      <alignment horizontal="center" wrapText="1"/>
    </xf>
    <xf numFmtId="0" fontId="6" fillId="33" borderId="127" xfId="306" applyFont="1" applyFill="1" applyBorder="1" applyAlignment="1">
      <alignment horizontal="left" vertical="center" wrapText="1" indent="2"/>
    </xf>
    <xf numFmtId="0" fontId="6" fillId="33" borderId="73" xfId="306" applyFont="1" applyFill="1" applyBorder="1" applyAlignment="1">
      <alignment horizontal="left" vertical="center" wrapText="1" indent="2"/>
    </xf>
    <xf numFmtId="0" fontId="6" fillId="33" borderId="91" xfId="306" applyFont="1" applyFill="1" applyBorder="1" applyAlignment="1">
      <alignment horizontal="left" vertical="center" wrapText="1" indent="2"/>
    </xf>
    <xf numFmtId="0" fontId="9" fillId="14" borderId="0" xfId="306" applyFont="1" applyFill="1" applyAlignment="1">
      <alignment horizontal="left" vertical="center"/>
    </xf>
    <xf numFmtId="0" fontId="6" fillId="14" borderId="0" xfId="306" applyFill="1" applyAlignment="1">
      <alignment horizontal="left" vertical="center" wrapText="1"/>
    </xf>
    <xf numFmtId="0" fontId="87" fillId="14" borderId="0" xfId="306" applyFont="1" applyFill="1" applyAlignment="1">
      <alignment horizontal="left" vertical="center" wrapText="1"/>
    </xf>
    <xf numFmtId="0" fontId="9" fillId="14" borderId="0" xfId="306" applyFont="1" applyFill="1" applyAlignment="1">
      <alignment horizontal="left" vertical="center" wrapText="1"/>
    </xf>
    <xf numFmtId="0" fontId="60" fillId="33" borderId="21" xfId="306" applyFont="1" applyFill="1" applyBorder="1" applyAlignment="1">
      <alignment horizontal="left" wrapText="1"/>
    </xf>
    <xf numFmtId="0" fontId="60" fillId="33" borderId="23" xfId="306" applyFont="1" applyFill="1" applyBorder="1" applyAlignment="1">
      <alignment horizontal="left" wrapText="1"/>
    </xf>
    <xf numFmtId="0" fontId="60" fillId="33" borderId="19" xfId="306" applyFont="1" applyFill="1" applyBorder="1" applyAlignment="1">
      <alignment horizontal="left" wrapText="1"/>
    </xf>
    <xf numFmtId="0" fontId="60" fillId="33" borderId="24" xfId="306" applyFont="1" applyFill="1" applyBorder="1" applyAlignment="1">
      <alignment horizontal="left" wrapText="1"/>
    </xf>
    <xf numFmtId="0" fontId="60" fillId="33" borderId="358" xfId="306" applyFont="1" applyFill="1" applyBorder="1" applyAlignment="1">
      <alignment horizontal="left" wrapText="1"/>
    </xf>
    <xf numFmtId="0" fontId="60" fillId="33" borderId="359" xfId="306" applyFont="1" applyFill="1" applyBorder="1" applyAlignment="1">
      <alignment horizontal="left" wrapText="1"/>
    </xf>
    <xf numFmtId="0" fontId="53" fillId="40" borderId="49" xfId="306" applyNumberFormat="1" applyFont="1" applyFill="1" applyBorder="1" applyAlignment="1" applyProtection="1">
      <alignment horizontal="center" vertical="center" wrapText="1"/>
    </xf>
    <xf numFmtId="0" fontId="9" fillId="40" borderId="74" xfId="306" applyFont="1" applyFill="1" applyBorder="1" applyAlignment="1">
      <alignment horizontal="center" vertical="center" wrapText="1"/>
    </xf>
    <xf numFmtId="0" fontId="53" fillId="39" borderId="82" xfId="306" applyNumberFormat="1" applyFont="1" applyFill="1" applyBorder="1" applyAlignment="1" applyProtection="1">
      <alignment horizontal="center" vertical="center" wrapText="1"/>
    </xf>
    <xf numFmtId="0" fontId="9" fillId="40" borderId="82" xfId="306" applyNumberFormat="1" applyFont="1" applyFill="1" applyBorder="1" applyAlignment="1">
      <alignment horizontal="center" vertical="center" wrapText="1"/>
    </xf>
    <xf numFmtId="0" fontId="9" fillId="40" borderId="71" xfId="306" applyNumberFormat="1" applyFont="1" applyFill="1" applyBorder="1" applyAlignment="1">
      <alignment horizontal="center" vertical="center" wrapText="1"/>
    </xf>
    <xf numFmtId="0" fontId="9" fillId="40" borderId="50" xfId="306" applyFont="1" applyFill="1" applyBorder="1" applyAlignment="1">
      <alignment horizontal="center"/>
    </xf>
    <xf numFmtId="0" fontId="9" fillId="40" borderId="76" xfId="306" applyFont="1" applyFill="1" applyBorder="1" applyAlignment="1">
      <alignment horizontal="center"/>
    </xf>
    <xf numFmtId="0" fontId="9" fillId="40" borderId="139" xfId="306" applyFont="1" applyFill="1" applyBorder="1" applyAlignment="1">
      <alignment horizontal="center"/>
    </xf>
    <xf numFmtId="0" fontId="9" fillId="40" borderId="62" xfId="306" applyFont="1" applyFill="1" applyBorder="1" applyAlignment="1">
      <alignment horizontal="center"/>
    </xf>
    <xf numFmtId="0" fontId="9" fillId="39" borderId="86" xfId="306" applyFont="1" applyFill="1" applyBorder="1" applyAlignment="1">
      <alignment horizontal="center"/>
    </xf>
    <xf numFmtId="0" fontId="9" fillId="39" borderId="76" xfId="306" applyFont="1" applyFill="1" applyBorder="1" applyAlignment="1">
      <alignment horizontal="center"/>
    </xf>
    <xf numFmtId="0" fontId="9" fillId="39" borderId="139" xfId="306" applyFont="1" applyFill="1" applyBorder="1" applyAlignment="1">
      <alignment horizontal="center"/>
    </xf>
    <xf numFmtId="0" fontId="6" fillId="33" borderId="50" xfId="306" applyFont="1" applyFill="1" applyBorder="1" applyAlignment="1">
      <alignment horizontal="left" vertical="center" wrapText="1" indent="2"/>
    </xf>
    <xf numFmtId="0" fontId="6" fillId="33" borderId="77" xfId="306" applyFont="1" applyFill="1" applyBorder="1" applyAlignment="1">
      <alignment horizontal="left" vertical="center" wrapText="1" indent="2"/>
    </xf>
    <xf numFmtId="0" fontId="6" fillId="33" borderId="68" xfId="306" applyFont="1" applyFill="1" applyBorder="1" applyAlignment="1">
      <alignment horizontal="left" vertical="center" wrapText="1" indent="2"/>
    </xf>
    <xf numFmtId="0" fontId="6" fillId="33" borderId="147" xfId="306" applyFont="1" applyFill="1" applyBorder="1" applyAlignment="1">
      <alignment horizontal="left" vertical="center" wrapText="1" indent="2"/>
    </xf>
    <xf numFmtId="0" fontId="9" fillId="31" borderId="72" xfId="306" applyFont="1" applyFill="1" applyBorder="1" applyAlignment="1">
      <alignment horizontal="left" vertical="center" wrapText="1" indent="2"/>
    </xf>
    <xf numFmtId="0" fontId="9" fillId="31" borderId="73" xfId="306" applyFont="1" applyFill="1" applyBorder="1" applyAlignment="1">
      <alignment horizontal="left" vertical="center" wrapText="1" indent="2"/>
    </xf>
    <xf numFmtId="0" fontId="9" fillId="31" borderId="91" xfId="306" applyFont="1" applyFill="1" applyBorder="1" applyAlignment="1">
      <alignment horizontal="left" vertical="center" wrapText="1" indent="2"/>
    </xf>
    <xf numFmtId="0" fontId="6" fillId="33" borderId="49" xfId="306" applyFont="1" applyFill="1" applyBorder="1" applyAlignment="1">
      <alignment horizontal="left" vertical="center" wrapText="1" indent="2"/>
    </xf>
    <xf numFmtId="0" fontId="6" fillId="33" borderId="75" xfId="306" applyFont="1" applyFill="1" applyBorder="1" applyAlignment="1">
      <alignment horizontal="left" vertical="center" wrapText="1" indent="2"/>
    </xf>
    <xf numFmtId="0" fontId="6" fillId="33" borderId="19" xfId="306" applyFont="1" applyFill="1" applyBorder="1" applyAlignment="1">
      <alignment horizontal="left" vertical="center" wrapText="1"/>
    </xf>
    <xf numFmtId="0" fontId="6" fillId="33" borderId="358" xfId="306" applyFont="1" applyFill="1" applyBorder="1" applyAlignment="1">
      <alignment horizontal="left" vertical="center" wrapText="1"/>
    </xf>
    <xf numFmtId="0" fontId="6" fillId="33" borderId="49" xfId="306" applyFont="1" applyFill="1" applyBorder="1" applyAlignment="1">
      <alignment horizontal="left" vertical="center" wrapText="1"/>
    </xf>
    <xf numFmtId="0" fontId="6" fillId="33" borderId="75" xfId="306" applyFont="1" applyFill="1" applyBorder="1" applyAlignment="1">
      <alignment horizontal="left" vertical="center" wrapText="1"/>
    </xf>
    <xf numFmtId="0" fontId="9" fillId="14" borderId="0" xfId="306" applyFont="1" applyFill="1" applyAlignment="1">
      <alignment horizontal="left"/>
    </xf>
    <xf numFmtId="0" fontId="6" fillId="14" borderId="0" xfId="306" applyFill="1" applyAlignment="1">
      <alignment horizontal="left" wrapText="1"/>
    </xf>
    <xf numFmtId="0" fontId="6" fillId="14" borderId="0" xfId="306" applyFont="1" applyFill="1" applyBorder="1" applyAlignment="1">
      <alignment horizontal="left" vertical="top" wrapText="1"/>
    </xf>
    <xf numFmtId="0" fontId="87" fillId="14" borderId="0" xfId="306" applyFont="1" applyFill="1" applyAlignment="1">
      <alignment horizontal="left" wrapText="1"/>
    </xf>
    <xf numFmtId="0" fontId="9" fillId="14" borderId="0" xfId="306" applyFont="1" applyFill="1" applyAlignment="1">
      <alignment horizontal="left" wrapText="1"/>
    </xf>
    <xf numFmtId="0" fontId="6" fillId="33" borderId="72" xfId="306" applyFill="1" applyBorder="1" applyAlignment="1">
      <alignment horizontal="center"/>
    </xf>
    <xf numFmtId="0" fontId="6" fillId="33" borderId="73" xfId="306" applyFill="1" applyBorder="1" applyAlignment="1">
      <alignment horizontal="center"/>
    </xf>
    <xf numFmtId="0" fontId="6" fillId="33" borderId="91" xfId="306" applyFill="1" applyBorder="1" applyAlignment="1">
      <alignment horizontal="center"/>
    </xf>
    <xf numFmtId="0" fontId="9" fillId="31" borderId="206" xfId="306" applyFont="1" applyFill="1" applyBorder="1" applyAlignment="1">
      <alignment horizontal="center" vertical="center" wrapText="1"/>
    </xf>
    <xf numFmtId="0" fontId="9" fillId="31" borderId="46" xfId="306" applyFont="1" applyFill="1" applyBorder="1" applyAlignment="1">
      <alignment horizontal="center" vertical="center" wrapText="1"/>
    </xf>
    <xf numFmtId="0" fontId="9" fillId="31" borderId="207" xfId="306" applyFont="1" applyFill="1" applyBorder="1" applyAlignment="1">
      <alignment horizontal="center" vertical="center" wrapText="1"/>
    </xf>
    <xf numFmtId="0" fontId="9" fillId="31" borderId="71" xfId="306" applyFont="1" applyFill="1" applyBorder="1" applyAlignment="1">
      <alignment horizontal="center" vertical="center" wrapText="1"/>
    </xf>
    <xf numFmtId="0" fontId="9" fillId="31" borderId="61" xfId="306" applyFont="1" applyFill="1" applyBorder="1" applyAlignment="1">
      <alignment horizontal="center" vertical="center" wrapText="1"/>
    </xf>
    <xf numFmtId="0" fontId="9" fillId="31" borderId="65" xfId="306" applyFont="1" applyFill="1" applyBorder="1" applyAlignment="1">
      <alignment horizontal="center" vertical="center" wrapText="1"/>
    </xf>
    <xf numFmtId="0" fontId="53" fillId="40" borderId="206" xfId="306" applyNumberFormat="1" applyFont="1" applyFill="1" applyBorder="1" applyAlignment="1" applyProtection="1">
      <alignment horizontal="center" vertical="center" wrapText="1"/>
    </xf>
    <xf numFmtId="0" fontId="9" fillId="40" borderId="82" xfId="306" applyFont="1" applyFill="1" applyBorder="1" applyAlignment="1">
      <alignment horizontal="center" vertical="center" wrapText="1"/>
    </xf>
    <xf numFmtId="0" fontId="9" fillId="29" borderId="49" xfId="306" applyFont="1" applyFill="1" applyBorder="1" applyAlignment="1">
      <alignment horizontal="left" wrapText="1"/>
    </xf>
    <xf numFmtId="0" fontId="9" fillId="29" borderId="74" xfId="306" applyFont="1" applyFill="1" applyBorder="1" applyAlignment="1">
      <alignment horizontal="left" wrapText="1"/>
    </xf>
    <xf numFmtId="0" fontId="9" fillId="29" borderId="75" xfId="306" applyFont="1" applyFill="1" applyBorder="1" applyAlignment="1">
      <alignment horizontal="left" wrapText="1"/>
    </xf>
    <xf numFmtId="0" fontId="9" fillId="29" borderId="68" xfId="306" applyFont="1" applyFill="1" applyBorder="1" applyAlignment="1">
      <alignment horizontal="left" wrapText="1"/>
    </xf>
    <xf numFmtId="0" fontId="9" fillId="29" borderId="116" xfId="306" applyFont="1" applyFill="1" applyBorder="1" applyAlignment="1">
      <alignment horizontal="left" wrapText="1"/>
    </xf>
    <xf numFmtId="0" fontId="9" fillId="29" borderId="147" xfId="306" applyFont="1" applyFill="1" applyBorder="1" applyAlignment="1">
      <alignment horizontal="left" wrapText="1"/>
    </xf>
    <xf numFmtId="0" fontId="6" fillId="33" borderId="36" xfId="306" applyFont="1" applyFill="1" applyBorder="1" applyAlignment="1" applyProtection="1">
      <alignment horizontal="right" vertical="center" wrapText="1"/>
      <protection locked="0"/>
    </xf>
    <xf numFmtId="0" fontId="6" fillId="33" borderId="35" xfId="306" applyFont="1" applyFill="1" applyBorder="1" applyAlignment="1" applyProtection="1">
      <alignment horizontal="right" vertical="center" wrapText="1"/>
      <protection locked="0"/>
    </xf>
    <xf numFmtId="0" fontId="6" fillId="33" borderId="149" xfId="306" applyFont="1" applyFill="1" applyBorder="1" applyAlignment="1" applyProtection="1">
      <alignment horizontal="right" vertical="center" wrapText="1"/>
      <protection locked="0"/>
    </xf>
    <xf numFmtId="0" fontId="6" fillId="33" borderId="73" xfId="306" applyFont="1" applyFill="1" applyBorder="1" applyAlignment="1">
      <alignment horizontal="left" vertical="center" wrapText="1"/>
    </xf>
    <xf numFmtId="0" fontId="6" fillId="33" borderId="91" xfId="306" applyFont="1" applyFill="1" applyBorder="1" applyAlignment="1">
      <alignment horizontal="left" vertical="center" wrapText="1"/>
    </xf>
    <xf numFmtId="0" fontId="9" fillId="29" borderId="36" xfId="306" applyFont="1" applyFill="1" applyBorder="1" applyAlignment="1">
      <alignment horizontal="left" wrapText="1"/>
    </xf>
    <xf numFmtId="0" fontId="9" fillId="29" borderId="35" xfId="306" applyFont="1" applyFill="1" applyBorder="1" applyAlignment="1">
      <alignment horizontal="left" wrapText="1"/>
    </xf>
    <xf numFmtId="0" fontId="9" fillId="29" borderId="149" xfId="306" applyFont="1" applyFill="1" applyBorder="1" applyAlignment="1">
      <alignment horizontal="left" wrapText="1"/>
    </xf>
    <xf numFmtId="0" fontId="6" fillId="43" borderId="72" xfId="306" applyFont="1" applyFill="1" applyBorder="1" applyAlignment="1">
      <alignment horizontal="center" vertical="center" wrapText="1"/>
    </xf>
    <xf numFmtId="0" fontId="6" fillId="43" borderId="73" xfId="306" applyFont="1" applyFill="1" applyBorder="1" applyAlignment="1">
      <alignment horizontal="center" vertical="center" wrapText="1"/>
    </xf>
    <xf numFmtId="0" fontId="6" fillId="43" borderId="91" xfId="306" applyFont="1" applyFill="1" applyBorder="1" applyAlignment="1">
      <alignment horizontal="center" vertical="center" wrapText="1"/>
    </xf>
    <xf numFmtId="0" fontId="53" fillId="41" borderId="82" xfId="0" applyNumberFormat="1" applyFont="1" applyFill="1" applyBorder="1" applyAlignment="1" applyProtection="1">
      <alignment horizontal="center" vertical="center" wrapText="1"/>
    </xf>
    <xf numFmtId="0" fontId="9" fillId="36" borderId="82" xfId="0" applyNumberFormat="1" applyFont="1" applyFill="1" applyBorder="1" applyAlignment="1">
      <alignment horizontal="center" vertical="center" wrapText="1"/>
    </xf>
    <xf numFmtId="0" fontId="9" fillId="36" borderId="71" xfId="0" applyNumberFormat="1" applyFont="1" applyFill="1" applyBorder="1" applyAlignment="1">
      <alignment horizontal="center" vertical="center" wrapText="1"/>
    </xf>
    <xf numFmtId="49" fontId="9" fillId="36" borderId="50" xfId="0" applyNumberFormat="1" applyFont="1" applyFill="1" applyBorder="1" applyAlignment="1">
      <alignment horizontal="center"/>
    </xf>
    <xf numFmtId="0" fontId="9" fillId="36" borderId="76" xfId="0" applyFont="1" applyFill="1" applyBorder="1" applyAlignment="1">
      <alignment horizontal="center"/>
    </xf>
    <xf numFmtId="0" fontId="9" fillId="36" borderId="139" xfId="0" applyFont="1" applyFill="1" applyBorder="1" applyAlignment="1">
      <alignment horizontal="center"/>
    </xf>
    <xf numFmtId="0" fontId="9" fillId="36" borderId="50" xfId="0" applyFont="1" applyFill="1" applyBorder="1" applyAlignment="1">
      <alignment horizontal="center"/>
    </xf>
    <xf numFmtId="0" fontId="9" fillId="36" borderId="62" xfId="0" applyFont="1" applyFill="1" applyBorder="1" applyAlignment="1">
      <alignment horizontal="center"/>
    </xf>
    <xf numFmtId="0" fontId="9" fillId="41" borderId="86" xfId="0" applyFont="1" applyFill="1" applyBorder="1" applyAlignment="1">
      <alignment horizontal="center"/>
    </xf>
    <xf numFmtId="0" fontId="9" fillId="41" borderId="76" xfId="0" applyFont="1" applyFill="1" applyBorder="1" applyAlignment="1">
      <alignment horizontal="center"/>
    </xf>
    <xf numFmtId="0" fontId="9" fillId="41" borderId="139" xfId="0" applyFont="1" applyFill="1" applyBorder="1" applyAlignment="1">
      <alignment horizontal="center"/>
    </xf>
    <xf numFmtId="0" fontId="0" fillId="14" borderId="0" xfId="0" applyFill="1" applyAlignment="1">
      <alignment vertical="center" wrapText="1"/>
    </xf>
    <xf numFmtId="0" fontId="0" fillId="33" borderId="72" xfId="0" applyFill="1" applyBorder="1" applyAlignment="1">
      <alignment horizontal="center"/>
    </xf>
    <xf numFmtId="0" fontId="0" fillId="33" borderId="73" xfId="0" applyFill="1" applyBorder="1" applyAlignment="1">
      <alignment horizontal="center"/>
    </xf>
    <xf numFmtId="0" fontId="0" fillId="33" borderId="91" xfId="0" applyFill="1" applyBorder="1" applyAlignment="1">
      <alignment horizontal="center"/>
    </xf>
    <xf numFmtId="0" fontId="66" fillId="38" borderId="184" xfId="0" applyFont="1" applyFill="1" applyBorder="1" applyAlignment="1">
      <alignment horizontal="center" vertical="center" wrapText="1"/>
    </xf>
    <xf numFmtId="0" fontId="66" fillId="38" borderId="185" xfId="0" applyFont="1" applyFill="1" applyBorder="1" applyAlignment="1">
      <alignment horizontal="center" vertical="center" wrapText="1"/>
    </xf>
    <xf numFmtId="0" fontId="66" fillId="38" borderId="204" xfId="0" applyFont="1" applyFill="1" applyBorder="1" applyAlignment="1">
      <alignment horizontal="center" vertical="center" wrapText="1"/>
    </xf>
    <xf numFmtId="0" fontId="53" fillId="36" borderId="44" xfId="0" applyNumberFormat="1" applyFont="1" applyFill="1" applyBorder="1" applyAlignment="1" applyProtection="1">
      <alignment horizontal="center" vertical="center" wrapText="1"/>
    </xf>
    <xf numFmtId="0" fontId="9" fillId="36" borderId="82" xfId="0" applyFont="1" applyFill="1" applyBorder="1" applyAlignment="1">
      <alignment horizontal="center" vertical="center" wrapText="1"/>
    </xf>
    <xf numFmtId="0" fontId="66" fillId="38" borderId="247" xfId="0" applyFont="1" applyFill="1" applyBorder="1" applyAlignment="1">
      <alignment horizontal="center" vertical="center" wrapText="1"/>
    </xf>
    <xf numFmtId="0" fontId="66" fillId="38" borderId="98" xfId="0" applyFont="1" applyFill="1" applyBorder="1" applyAlignment="1">
      <alignment horizontal="center" vertical="center" wrapText="1"/>
    </xf>
    <xf numFmtId="0" fontId="66" fillId="38" borderId="248" xfId="0" applyFont="1" applyFill="1" applyBorder="1" applyAlignment="1">
      <alignment horizontal="center" vertical="center" wrapText="1"/>
    </xf>
    <xf numFmtId="0" fontId="9" fillId="25" borderId="91" xfId="0" applyFont="1" applyFill="1" applyBorder="1" applyAlignment="1">
      <alignment horizontal="left" vertical="center" wrapText="1"/>
    </xf>
    <xf numFmtId="0" fontId="6" fillId="38" borderId="49" xfId="0" applyFont="1" applyFill="1" applyBorder="1" applyAlignment="1">
      <alignment horizontal="left" vertical="center" wrapText="1" indent="1"/>
    </xf>
    <xf numFmtId="0" fontId="6" fillId="38" borderId="75" xfId="0" applyFont="1" applyFill="1" applyBorder="1" applyAlignment="1">
      <alignment horizontal="left" vertical="center" wrapText="1" indent="1"/>
    </xf>
    <xf numFmtId="0" fontId="6" fillId="38" borderId="50" xfId="0" applyFont="1" applyFill="1" applyBorder="1" applyAlignment="1">
      <alignment horizontal="left" vertical="center" wrapText="1" indent="1"/>
    </xf>
    <xf numFmtId="0" fontId="6" fillId="38" borderId="77" xfId="0" applyFont="1" applyFill="1" applyBorder="1" applyAlignment="1">
      <alignment horizontal="left" vertical="center" wrapText="1" indent="1"/>
    </xf>
    <xf numFmtId="0" fontId="6" fillId="33" borderId="149" xfId="0" applyFont="1" applyFill="1" applyBorder="1" applyAlignment="1" applyProtection="1">
      <alignment horizontal="right" vertical="center" wrapText="1"/>
      <protection locked="0"/>
    </xf>
    <xf numFmtId="0" fontId="37" fillId="33" borderId="21" xfId="306" applyFont="1" applyFill="1" applyBorder="1" applyAlignment="1">
      <alignment horizontal="center" vertical="center" wrapText="1"/>
    </xf>
    <xf numFmtId="0" fontId="83" fillId="33" borderId="19" xfId="306" applyFont="1" applyFill="1" applyBorder="1" applyAlignment="1">
      <alignment horizontal="center" vertical="center" wrapText="1"/>
    </xf>
    <xf numFmtId="0" fontId="53" fillId="39" borderId="206" xfId="306" applyNumberFormat="1" applyFont="1" applyFill="1" applyBorder="1" applyAlignment="1" applyProtection="1">
      <alignment horizontal="center" vertical="center" wrapText="1"/>
    </xf>
    <xf numFmtId="0" fontId="9" fillId="39" borderId="82" xfId="306" applyFont="1" applyFill="1" applyBorder="1" applyAlignment="1">
      <alignment horizontal="center" vertical="center" wrapText="1"/>
    </xf>
    <xf numFmtId="0" fontId="53" fillId="40" borderId="82" xfId="306" applyNumberFormat="1" applyFont="1" applyFill="1" applyBorder="1" applyAlignment="1" applyProtection="1">
      <alignment horizontal="center" vertical="center" wrapText="1"/>
    </xf>
    <xf numFmtId="0" fontId="53" fillId="39" borderId="71" xfId="306" applyNumberFormat="1" applyFont="1" applyFill="1" applyBorder="1" applyAlignment="1" applyProtection="1">
      <alignment horizontal="center" vertical="center" wrapText="1"/>
    </xf>
    <xf numFmtId="0" fontId="9" fillId="39" borderId="46" xfId="306" applyFont="1" applyFill="1" applyBorder="1" applyAlignment="1">
      <alignment horizontal="center" vertical="center" wrapText="1"/>
    </xf>
    <xf numFmtId="0" fontId="9" fillId="39" borderId="61" xfId="306" applyFont="1" applyFill="1" applyBorder="1" applyAlignment="1">
      <alignment horizontal="center" vertical="center" wrapText="1"/>
    </xf>
    <xf numFmtId="0" fontId="9" fillId="39" borderId="50" xfId="306" applyFont="1" applyFill="1" applyBorder="1" applyAlignment="1">
      <alignment horizontal="center" vertical="center" wrapText="1"/>
    </xf>
    <xf numFmtId="0" fontId="9" fillId="39" borderId="76" xfId="306" applyFont="1" applyFill="1" applyBorder="1" applyAlignment="1">
      <alignment horizontal="center" vertical="center" wrapText="1"/>
    </xf>
    <xf numFmtId="0" fontId="9" fillId="39" borderId="62" xfId="306" applyFont="1" applyFill="1" applyBorder="1" applyAlignment="1">
      <alignment horizontal="center" vertical="center" wrapText="1"/>
    </xf>
    <xf numFmtId="0" fontId="9" fillId="40" borderId="76" xfId="306" applyFont="1" applyFill="1" applyBorder="1" applyAlignment="1">
      <alignment horizontal="center" vertical="center" wrapText="1"/>
    </xf>
    <xf numFmtId="0" fontId="9" fillId="40" borderId="139" xfId="306" applyFont="1" applyFill="1" applyBorder="1" applyAlignment="1">
      <alignment horizontal="center" vertical="center" wrapText="1"/>
    </xf>
    <xf numFmtId="0" fontId="6" fillId="14" borderId="0" xfId="306" applyFont="1" applyFill="1" applyAlignment="1">
      <alignment vertical="center" wrapText="1"/>
    </xf>
    <xf numFmtId="0" fontId="6" fillId="0" borderId="0" xfId="306" applyAlignment="1">
      <alignment vertical="center" wrapText="1"/>
    </xf>
    <xf numFmtId="0" fontId="37" fillId="33" borderId="72" xfId="306" applyFont="1" applyFill="1" applyBorder="1" applyAlignment="1">
      <alignment horizontal="center" vertical="center" wrapText="1"/>
    </xf>
    <xf numFmtId="0" fontId="83" fillId="33" borderId="73" xfId="306" applyFont="1" applyFill="1" applyBorder="1" applyAlignment="1">
      <alignment horizontal="center" vertical="center" wrapText="1"/>
    </xf>
    <xf numFmtId="0" fontId="9" fillId="39" borderId="139" xfId="306" applyFont="1" applyFill="1" applyBorder="1" applyAlignment="1">
      <alignment horizontal="center" vertical="center" wrapText="1"/>
    </xf>
    <xf numFmtId="0" fontId="9" fillId="14" borderId="0" xfId="306" applyFont="1" applyFill="1" applyAlignment="1">
      <alignment wrapText="1"/>
    </xf>
    <xf numFmtId="0" fontId="9" fillId="84" borderId="72" xfId="306" applyFont="1" applyFill="1" applyBorder="1" applyAlignment="1">
      <alignment horizontal="center" vertical="center" wrapText="1"/>
    </xf>
    <xf numFmtId="0" fontId="39" fillId="84" borderId="73" xfId="306" applyFont="1" applyFill="1" applyBorder="1" applyAlignment="1">
      <alignment horizontal="center" vertical="center" wrapText="1"/>
    </xf>
    <xf numFmtId="0" fontId="85" fillId="114" borderId="369" xfId="306" applyNumberFormat="1" applyFont="1" applyFill="1" applyBorder="1" applyAlignment="1" applyProtection="1">
      <alignment horizontal="center" vertical="center" wrapText="1"/>
    </xf>
    <xf numFmtId="0" fontId="9" fillId="114" borderId="370" xfId="306" applyFont="1" applyFill="1" applyBorder="1" applyAlignment="1">
      <alignment horizontal="center" vertical="center" wrapText="1"/>
    </xf>
    <xf numFmtId="0" fontId="85" fillId="115" borderId="370" xfId="306" applyNumberFormat="1" applyFont="1" applyFill="1" applyBorder="1" applyAlignment="1" applyProtection="1">
      <alignment horizontal="center" vertical="center" wrapText="1"/>
    </xf>
    <xf numFmtId="0" fontId="9" fillId="115" borderId="370" xfId="306" applyFont="1" applyFill="1" applyBorder="1" applyAlignment="1">
      <alignment horizontal="center" vertical="center" wrapText="1"/>
    </xf>
    <xf numFmtId="0" fontId="85" fillId="114" borderId="370" xfId="306" applyNumberFormat="1" applyFont="1" applyFill="1" applyBorder="1" applyAlignment="1" applyProtection="1">
      <alignment horizontal="center" vertical="center" wrapText="1"/>
    </xf>
    <xf numFmtId="0" fontId="85" fillId="114" borderId="371" xfId="306" applyNumberFormat="1" applyFont="1" applyFill="1" applyBorder="1" applyAlignment="1" applyProtection="1">
      <alignment horizontal="center" vertical="center" wrapText="1"/>
    </xf>
    <xf numFmtId="0" fontId="9" fillId="114" borderId="372" xfId="306" applyFont="1" applyFill="1" applyBorder="1" applyAlignment="1">
      <alignment horizontal="center" vertical="center" wrapText="1"/>
    </xf>
    <xf numFmtId="0" fontId="9" fillId="114" borderId="373" xfId="306" applyFont="1" applyFill="1" applyBorder="1" applyAlignment="1">
      <alignment horizontal="center" vertical="center" wrapText="1"/>
    </xf>
    <xf numFmtId="0" fontId="9" fillId="114" borderId="374" xfId="306" applyFont="1" applyFill="1" applyBorder="1" applyAlignment="1">
      <alignment horizontal="center" vertical="center" wrapText="1"/>
    </xf>
    <xf numFmtId="0" fontId="9" fillId="114" borderId="375" xfId="306" applyFont="1" applyFill="1" applyBorder="1" applyAlignment="1">
      <alignment horizontal="center" vertical="center" wrapText="1"/>
    </xf>
    <xf numFmtId="0" fontId="9" fillId="115" borderId="376" xfId="306" applyFont="1" applyFill="1" applyBorder="1" applyAlignment="1">
      <alignment horizontal="center" vertical="center" wrapText="1"/>
    </xf>
    <xf numFmtId="0" fontId="9" fillId="115" borderId="373" xfId="306" applyFont="1" applyFill="1" applyBorder="1" applyAlignment="1">
      <alignment horizontal="center" vertical="center" wrapText="1"/>
    </xf>
    <xf numFmtId="0" fontId="9" fillId="115" borderId="374" xfId="306" applyFont="1" applyFill="1" applyBorder="1" applyAlignment="1">
      <alignment horizontal="center" vertical="center" wrapText="1"/>
    </xf>
    <xf numFmtId="0" fontId="14" fillId="113" borderId="36" xfId="306" applyFont="1" applyFill="1" applyBorder="1" applyAlignment="1">
      <alignment vertical="center"/>
    </xf>
    <xf numFmtId="0" fontId="14" fillId="113" borderId="35" xfId="306" applyFont="1" applyFill="1" applyBorder="1" applyAlignment="1">
      <alignment vertical="center"/>
    </xf>
    <xf numFmtId="0" fontId="14" fillId="113" borderId="34" xfId="306" applyFont="1" applyFill="1" applyBorder="1" applyAlignment="1">
      <alignment vertical="center"/>
    </xf>
    <xf numFmtId="0" fontId="9" fillId="33" borderId="127" xfId="306" applyFont="1" applyFill="1" applyBorder="1" applyAlignment="1">
      <alignment horizontal="center" vertical="center" wrapText="1"/>
    </xf>
    <xf numFmtId="0" fontId="9" fillId="33" borderId="73" xfId="306" applyFont="1" applyFill="1" applyBorder="1" applyAlignment="1">
      <alignment horizontal="center" vertical="center" wrapText="1"/>
    </xf>
    <xf numFmtId="0" fontId="53" fillId="39" borderId="90" xfId="306" applyNumberFormat="1" applyFont="1" applyFill="1" applyBorder="1" applyAlignment="1" applyProtection="1">
      <alignment horizontal="center" vertical="center" wrapText="1"/>
    </xf>
    <xf numFmtId="0" fontId="9" fillId="39" borderId="77" xfId="306" applyFont="1" applyFill="1" applyBorder="1" applyAlignment="1">
      <alignment horizontal="center" vertical="center" wrapText="1"/>
    </xf>
    <xf numFmtId="0" fontId="9" fillId="84" borderId="73" xfId="306" applyFont="1" applyFill="1" applyBorder="1" applyAlignment="1">
      <alignment horizontal="center" vertical="center" wrapText="1"/>
    </xf>
    <xf numFmtId="0" fontId="9" fillId="84" borderId="91" xfId="306" applyFont="1" applyFill="1" applyBorder="1" applyAlignment="1">
      <alignment horizontal="center" vertical="center" wrapText="1"/>
    </xf>
    <xf numFmtId="0" fontId="85" fillId="114" borderId="380" xfId="306" applyNumberFormat="1" applyFont="1" applyFill="1" applyBorder="1" applyAlignment="1" applyProtection="1">
      <alignment horizontal="center" vertical="center" wrapText="1"/>
    </xf>
    <xf numFmtId="0" fontId="85" fillId="114" borderId="381" xfId="306" applyNumberFormat="1" applyFont="1" applyFill="1" applyBorder="1" applyAlignment="1" applyProtection="1">
      <alignment horizontal="center" vertical="center" wrapText="1"/>
    </xf>
    <xf numFmtId="0" fontId="85" fillId="114" borderId="390" xfId="306" applyNumberFormat="1" applyFont="1" applyFill="1" applyBorder="1" applyAlignment="1" applyProtection="1">
      <alignment horizontal="center" vertical="center" wrapText="1"/>
    </xf>
    <xf numFmtId="0" fontId="85" fillId="115" borderId="391" xfId="306" applyNumberFormat="1" applyFont="1" applyFill="1" applyBorder="1" applyAlignment="1" applyProtection="1">
      <alignment horizontal="center" vertical="center" wrapText="1"/>
    </xf>
    <xf numFmtId="0" fontId="85" fillId="115" borderId="381" xfId="306" applyNumberFormat="1" applyFont="1" applyFill="1" applyBorder="1" applyAlignment="1" applyProtection="1">
      <alignment horizontal="center" vertical="center" wrapText="1"/>
    </xf>
    <xf numFmtId="0" fontId="85" fillId="115" borderId="390" xfId="306" applyNumberFormat="1" applyFont="1" applyFill="1" applyBorder="1" applyAlignment="1" applyProtection="1">
      <alignment horizontal="center" vertical="center" wrapText="1"/>
    </xf>
    <xf numFmtId="0" fontId="85" fillId="114" borderId="391" xfId="306" applyNumberFormat="1" applyFont="1" applyFill="1" applyBorder="1" applyAlignment="1" applyProtection="1">
      <alignment horizontal="center" vertical="center" wrapText="1"/>
    </xf>
    <xf numFmtId="0" fontId="85" fillId="114" borderId="392" xfId="306" applyNumberFormat="1" applyFont="1" applyFill="1" applyBorder="1" applyAlignment="1" applyProtection="1">
      <alignment horizontal="center" vertical="center" wrapText="1"/>
    </xf>
    <xf numFmtId="0" fontId="14" fillId="30" borderId="36" xfId="306" applyFont="1" applyFill="1" applyBorder="1" applyAlignment="1">
      <alignment vertical="center"/>
    </xf>
    <xf numFmtId="0" fontId="6" fillId="0" borderId="35" xfId="306" applyBorder="1" applyAlignment="1">
      <alignment vertical="center"/>
    </xf>
    <xf numFmtId="0" fontId="9" fillId="33" borderId="72" xfId="306" applyFont="1" applyFill="1" applyBorder="1" applyAlignment="1">
      <alignment horizontal="center" vertical="center" wrapText="1"/>
    </xf>
    <xf numFmtId="0" fontId="39" fillId="33" borderId="73" xfId="306" applyFont="1" applyFill="1" applyBorder="1" applyAlignment="1">
      <alignment horizontal="center" vertical="center" wrapText="1"/>
    </xf>
    <xf numFmtId="0" fontId="6" fillId="0" borderId="76" xfId="306" applyBorder="1" applyAlignment="1">
      <alignment horizontal="center" vertical="center" wrapText="1"/>
    </xf>
    <xf numFmtId="0" fontId="6" fillId="0" borderId="77" xfId="306" applyBorder="1" applyAlignment="1">
      <alignment horizontal="center" vertical="center" wrapText="1"/>
    </xf>
    <xf numFmtId="0" fontId="49" fillId="52" borderId="20" xfId="0" applyFont="1" applyFill="1" applyBorder="1" applyAlignment="1">
      <alignment horizontal="center" vertical="center"/>
    </xf>
    <xf numFmtId="0" fontId="58" fillId="52" borderId="10" xfId="0" applyFont="1" applyFill="1" applyBorder="1" applyAlignment="1">
      <alignment horizontal="center" vertical="center"/>
    </xf>
    <xf numFmtId="0" fontId="9" fillId="55" borderId="49" xfId="0" applyFont="1" applyFill="1" applyBorder="1" applyAlignment="1">
      <alignment horizontal="center" vertical="center"/>
    </xf>
    <xf numFmtId="0" fontId="9" fillId="55" borderId="74" xfId="0" applyFont="1" applyFill="1" applyBorder="1" applyAlignment="1">
      <alignment horizontal="center" vertical="center"/>
    </xf>
    <xf numFmtId="0" fontId="9" fillId="55" borderId="89" xfId="0" applyFont="1" applyFill="1" applyBorder="1" applyAlignment="1">
      <alignment horizontal="center" vertical="center"/>
    </xf>
    <xf numFmtId="0" fontId="9" fillId="54" borderId="85" xfId="0" applyFont="1" applyFill="1" applyBorder="1" applyAlignment="1">
      <alignment horizontal="center" vertical="center"/>
    </xf>
    <xf numFmtId="0" fontId="9" fillId="54" borderId="74" xfId="0" applyFont="1" applyFill="1" applyBorder="1" applyAlignment="1">
      <alignment horizontal="center" vertical="center"/>
    </xf>
    <xf numFmtId="0" fontId="9" fillId="54" borderId="75" xfId="0" applyFont="1" applyFill="1" applyBorder="1" applyAlignment="1">
      <alignment horizontal="center" vertical="center"/>
    </xf>
    <xf numFmtId="0" fontId="9" fillId="54" borderId="86" xfId="0" applyFont="1" applyFill="1" applyBorder="1" applyAlignment="1">
      <alignment horizontal="center" vertical="center" wrapText="1"/>
    </xf>
    <xf numFmtId="0" fontId="9" fillId="54" borderId="77" xfId="0" applyFont="1" applyFill="1" applyBorder="1" applyAlignment="1">
      <alignment horizontal="center" vertical="center" wrapText="1"/>
    </xf>
    <xf numFmtId="0" fontId="9" fillId="55" borderId="50" xfId="0" applyFont="1" applyFill="1" applyBorder="1" applyAlignment="1">
      <alignment horizontal="center" vertical="center" wrapText="1"/>
    </xf>
    <xf numFmtId="0" fontId="9" fillId="55" borderId="76" xfId="0" applyFont="1" applyFill="1" applyBorder="1" applyAlignment="1">
      <alignment horizontal="center" vertical="center" wrapText="1"/>
    </xf>
    <xf numFmtId="0" fontId="9" fillId="55" borderId="62" xfId="0" applyFont="1" applyFill="1" applyBorder="1" applyAlignment="1">
      <alignment horizontal="center" vertical="center" wrapText="1"/>
    </xf>
    <xf numFmtId="0" fontId="6" fillId="14" borderId="0" xfId="0" applyFont="1" applyFill="1" applyAlignment="1">
      <alignment vertical="center" wrapText="1"/>
    </xf>
    <xf numFmtId="0" fontId="6" fillId="28" borderId="36" xfId="0" applyFont="1" applyFill="1" applyBorder="1" applyAlignment="1" applyProtection="1">
      <alignment horizontal="left" vertical="center" wrapText="1"/>
      <protection locked="0"/>
    </xf>
    <xf numFmtId="0" fontId="6" fillId="28" borderId="35" xfId="0" applyFont="1" applyFill="1" applyBorder="1" applyAlignment="1" applyProtection="1">
      <alignment horizontal="left" vertical="center" wrapText="1"/>
      <protection locked="0"/>
    </xf>
    <xf numFmtId="0" fontId="6" fillId="28" borderId="34" xfId="0" applyFont="1" applyFill="1" applyBorder="1" applyAlignment="1" applyProtection="1">
      <alignment horizontal="left" vertical="center" wrapText="1"/>
      <protection locked="0"/>
    </xf>
    <xf numFmtId="0" fontId="9" fillId="55" borderId="77" xfId="0" applyFont="1" applyFill="1" applyBorder="1" applyAlignment="1">
      <alignment horizontal="center" vertical="center" wrapText="1"/>
    </xf>
  </cellXfs>
  <cellStyles count="36725">
    <cellStyle name=" 1" xfId="1"/>
    <cellStyle name=" 1 2" xfId="48"/>
    <cellStyle name=" 1 2 2" xfId="53"/>
    <cellStyle name=" 1 2 3" xfId="311"/>
    <cellStyle name=" 1 3" xfId="54"/>
    <cellStyle name=" 1 3 2" xfId="55"/>
    <cellStyle name=" 1 4" xfId="56"/>
    <cellStyle name=" 1_29(d) - Gas extensions -tariffs" xfId="50"/>
    <cellStyle name="_3GIS model v2.77_Distribution Business_Retail Fin Perform " xfId="57"/>
    <cellStyle name="_3GIS model v2.77_Fleet Overhead Costs 2_Retail Fin Perform " xfId="58"/>
    <cellStyle name="_3GIS model v2.77_Fleet Overhead Costs_Retail Fin Perform " xfId="59"/>
    <cellStyle name="_3GIS model v2.77_Forecast 2_Retail Fin Perform " xfId="60"/>
    <cellStyle name="_3GIS model v2.77_Forecast_Retail Fin Perform " xfId="61"/>
    <cellStyle name="_3GIS model v2.77_Funding &amp; Cashflow_1_Retail Fin Perform " xfId="62"/>
    <cellStyle name="_3GIS model v2.77_Funding &amp; Cashflow_Retail Fin Perform " xfId="63"/>
    <cellStyle name="_3GIS model v2.77_Group P&amp;L_1_Retail Fin Perform " xfId="64"/>
    <cellStyle name="_3GIS model v2.77_Group P&amp;L_Retail Fin Perform " xfId="65"/>
    <cellStyle name="_3GIS model v2.77_Opening  Detailed BS_Retail Fin Perform " xfId="66"/>
    <cellStyle name="_3GIS model v2.77_OUTPUT DB_Retail Fin Perform " xfId="67"/>
    <cellStyle name="_3GIS model v2.77_OUTPUT EB_Retail Fin Perform " xfId="68"/>
    <cellStyle name="_3GIS model v2.77_Report_Retail Fin Perform " xfId="69"/>
    <cellStyle name="_3GIS model v2.77_Retail Fin Perform " xfId="70"/>
    <cellStyle name="_3GIS model v2.77_Sheet2 2_Retail Fin Perform " xfId="71"/>
    <cellStyle name="_3GIS model v2.77_Sheet2_Retail Fin Perform " xfId="72"/>
    <cellStyle name="_Capex" xfId="78"/>
    <cellStyle name="_Capex 2" xfId="197"/>
    <cellStyle name="_Capex_29(d) - Gas extensions -tariffs" xfId="290"/>
    <cellStyle name="_UED AMP 2009-14 Final 250309 Less PU" xfId="79"/>
    <cellStyle name="_UED AMP 2009-14 Final 250309 Less PU_1011 monthly" xfId="80"/>
    <cellStyle name="20% - Accent1" xfId="2" builtinId="30" customBuiltin="1"/>
    <cellStyle name="20% - Accent1 10" xfId="958"/>
    <cellStyle name="20% - Accent1 10 2" xfId="959"/>
    <cellStyle name="20% - Accent1 10 2 2" xfId="960"/>
    <cellStyle name="20% - Accent1 10 2 2 2" xfId="961"/>
    <cellStyle name="20% - Accent1 10 2 2 2 2" xfId="18955"/>
    <cellStyle name="20% - Accent1 10 2 2 3" xfId="18954"/>
    <cellStyle name="20% - Accent1 10 2 3" xfId="962"/>
    <cellStyle name="20% - Accent1 10 2 3 2" xfId="18956"/>
    <cellStyle name="20% - Accent1 10 2 4" xfId="18953"/>
    <cellStyle name="20% - Accent1 10 3" xfId="963"/>
    <cellStyle name="20% - Accent1 10 3 2" xfId="964"/>
    <cellStyle name="20% - Accent1 10 3 2 2" xfId="18958"/>
    <cellStyle name="20% - Accent1 10 3 3" xfId="18957"/>
    <cellStyle name="20% - Accent1 10 4" xfId="965"/>
    <cellStyle name="20% - Accent1 10 4 2" xfId="18959"/>
    <cellStyle name="20% - Accent1 10 5" xfId="18952"/>
    <cellStyle name="20% - Accent1 11" xfId="966"/>
    <cellStyle name="20% - Accent1 11 2" xfId="967"/>
    <cellStyle name="20% - Accent1 11 2 2" xfId="968"/>
    <cellStyle name="20% - Accent1 11 2 2 2" xfId="969"/>
    <cellStyle name="20% - Accent1 11 2 2 2 2" xfId="18963"/>
    <cellStyle name="20% - Accent1 11 2 2 3" xfId="18962"/>
    <cellStyle name="20% - Accent1 11 2 3" xfId="970"/>
    <cellStyle name="20% - Accent1 11 2 3 2" xfId="18964"/>
    <cellStyle name="20% - Accent1 11 2 4" xfId="18961"/>
    <cellStyle name="20% - Accent1 11 3" xfId="971"/>
    <cellStyle name="20% - Accent1 11 3 2" xfId="972"/>
    <cellStyle name="20% - Accent1 11 3 2 2" xfId="18966"/>
    <cellStyle name="20% - Accent1 11 3 3" xfId="18965"/>
    <cellStyle name="20% - Accent1 11 4" xfId="973"/>
    <cellStyle name="20% - Accent1 11 4 2" xfId="18967"/>
    <cellStyle name="20% - Accent1 11 5" xfId="18960"/>
    <cellStyle name="20% - Accent1 12" xfId="974"/>
    <cellStyle name="20% - Accent1 12 2" xfId="975"/>
    <cellStyle name="20% - Accent1 12 2 2" xfId="976"/>
    <cellStyle name="20% - Accent1 12 2 2 2" xfId="977"/>
    <cellStyle name="20% - Accent1 12 2 2 2 2" xfId="18971"/>
    <cellStyle name="20% - Accent1 12 2 2 3" xfId="18970"/>
    <cellStyle name="20% - Accent1 12 2 3" xfId="978"/>
    <cellStyle name="20% - Accent1 12 2 3 2" xfId="18972"/>
    <cellStyle name="20% - Accent1 12 2 4" xfId="18969"/>
    <cellStyle name="20% - Accent1 12 3" xfId="979"/>
    <cellStyle name="20% - Accent1 12 3 2" xfId="980"/>
    <cellStyle name="20% - Accent1 12 3 2 2" xfId="18974"/>
    <cellStyle name="20% - Accent1 12 3 3" xfId="18973"/>
    <cellStyle name="20% - Accent1 12 4" xfId="981"/>
    <cellStyle name="20% - Accent1 12 4 2" xfId="18975"/>
    <cellStyle name="20% - Accent1 12 5" xfId="18968"/>
    <cellStyle name="20% - Accent1 13" xfId="982"/>
    <cellStyle name="20% - Accent1 14" xfId="983"/>
    <cellStyle name="20% - Accent1 14 2" xfId="984"/>
    <cellStyle name="20% - Accent1 14 2 2" xfId="985"/>
    <cellStyle name="20% - Accent1 14 2 2 2" xfId="18978"/>
    <cellStyle name="20% - Accent1 14 2 3" xfId="18977"/>
    <cellStyle name="20% - Accent1 14 3" xfId="986"/>
    <cellStyle name="20% - Accent1 14 3 2" xfId="18979"/>
    <cellStyle name="20% - Accent1 14 4" xfId="18976"/>
    <cellStyle name="20% - Accent1 15" xfId="987"/>
    <cellStyle name="20% - Accent1 15 2" xfId="988"/>
    <cellStyle name="20% - Accent1 15 2 2" xfId="989"/>
    <cellStyle name="20% - Accent1 15 2 2 2" xfId="18982"/>
    <cellStyle name="20% - Accent1 15 2 3" xfId="18981"/>
    <cellStyle name="20% - Accent1 15 3" xfId="990"/>
    <cellStyle name="20% - Accent1 15 3 2" xfId="18983"/>
    <cellStyle name="20% - Accent1 15 4" xfId="18980"/>
    <cellStyle name="20% - Accent1 16" xfId="991"/>
    <cellStyle name="20% - Accent1 16 2" xfId="992"/>
    <cellStyle name="20% - Accent1 16 2 2" xfId="993"/>
    <cellStyle name="20% - Accent1 16 2 2 2" xfId="18986"/>
    <cellStyle name="20% - Accent1 16 2 3" xfId="18985"/>
    <cellStyle name="20% - Accent1 16 3" xfId="994"/>
    <cellStyle name="20% - Accent1 16 3 2" xfId="18987"/>
    <cellStyle name="20% - Accent1 16 4" xfId="18984"/>
    <cellStyle name="20% - Accent1 17" xfId="995"/>
    <cellStyle name="20% - Accent1 17 2" xfId="996"/>
    <cellStyle name="20% - Accent1 17 2 2" xfId="997"/>
    <cellStyle name="20% - Accent1 17 2 2 2" xfId="18990"/>
    <cellStyle name="20% - Accent1 17 2 3" xfId="18989"/>
    <cellStyle name="20% - Accent1 17 3" xfId="998"/>
    <cellStyle name="20% - Accent1 17 3 2" xfId="18991"/>
    <cellStyle name="20% - Accent1 17 4" xfId="18988"/>
    <cellStyle name="20% - Accent1 18" xfId="999"/>
    <cellStyle name="20% - Accent1 18 2" xfId="1000"/>
    <cellStyle name="20% - Accent1 18 2 2" xfId="1001"/>
    <cellStyle name="20% - Accent1 18 2 2 2" xfId="18994"/>
    <cellStyle name="20% - Accent1 18 2 3" xfId="18993"/>
    <cellStyle name="20% - Accent1 18 3" xfId="1002"/>
    <cellStyle name="20% - Accent1 18 3 2" xfId="18995"/>
    <cellStyle name="20% - Accent1 18 4" xfId="18992"/>
    <cellStyle name="20% - Accent1 19" xfId="1003"/>
    <cellStyle name="20% - Accent1 19 2" xfId="1004"/>
    <cellStyle name="20% - Accent1 19 2 2" xfId="1005"/>
    <cellStyle name="20% - Accent1 19 2 2 2" xfId="18998"/>
    <cellStyle name="20% - Accent1 19 2 3" xfId="18997"/>
    <cellStyle name="20% - Accent1 19 3" xfId="1006"/>
    <cellStyle name="20% - Accent1 19 3 2" xfId="18999"/>
    <cellStyle name="20% - Accent1 19 4" xfId="18996"/>
    <cellStyle name="20% - Accent1 2" xfId="236"/>
    <cellStyle name="20% - Accent1 2 2" xfId="1007"/>
    <cellStyle name="20% - Accent1 2 2 2" xfId="1008"/>
    <cellStyle name="20% - Accent1 2 3" xfId="1009"/>
    <cellStyle name="20% - Accent1 2 3 2" xfId="1010"/>
    <cellStyle name="20% - Accent1 2 3 3" xfId="1011"/>
    <cellStyle name="20% - Accent1 2 3 3 2" xfId="1012"/>
    <cellStyle name="20% - Accent1 2 3 3 2 2" xfId="1013"/>
    <cellStyle name="20% - Accent1 2 3 3 2 2 2" xfId="19002"/>
    <cellStyle name="20% - Accent1 2 3 3 2 3" xfId="19001"/>
    <cellStyle name="20% - Accent1 2 3 3 3" xfId="1014"/>
    <cellStyle name="20% - Accent1 2 3 3 3 2" xfId="19003"/>
    <cellStyle name="20% - Accent1 2 3 3 4" xfId="19000"/>
    <cellStyle name="20% - Accent1 2 4" xfId="1015"/>
    <cellStyle name="20% - Accent1 2 5" xfId="1016"/>
    <cellStyle name="20% - Accent1 20" xfId="1017"/>
    <cellStyle name="20% - Accent1 20 2" xfId="1018"/>
    <cellStyle name="20% - Accent1 20 2 2" xfId="1019"/>
    <cellStyle name="20% - Accent1 20 2 2 2" xfId="19006"/>
    <cellStyle name="20% - Accent1 20 2 3" xfId="19005"/>
    <cellStyle name="20% - Accent1 20 3" xfId="1020"/>
    <cellStyle name="20% - Accent1 20 3 2" xfId="19007"/>
    <cellStyle name="20% - Accent1 20 4" xfId="19004"/>
    <cellStyle name="20% - Accent1 21" xfId="1021"/>
    <cellStyle name="20% - Accent1 21 2" xfId="1022"/>
    <cellStyle name="20% - Accent1 21 2 2" xfId="1023"/>
    <cellStyle name="20% - Accent1 21 2 2 2" xfId="19010"/>
    <cellStyle name="20% - Accent1 21 2 3" xfId="19009"/>
    <cellStyle name="20% - Accent1 21 3" xfId="1024"/>
    <cellStyle name="20% - Accent1 21 3 2" xfId="19011"/>
    <cellStyle name="20% - Accent1 21 4" xfId="19008"/>
    <cellStyle name="20% - Accent1 22" xfId="1025"/>
    <cellStyle name="20% - Accent1 23" xfId="1026"/>
    <cellStyle name="20% - Accent1 23 2" xfId="1027"/>
    <cellStyle name="20% - Accent1 23 2 2" xfId="19013"/>
    <cellStyle name="20% - Accent1 23 3" xfId="19012"/>
    <cellStyle name="20% - Accent1 24" xfId="1028"/>
    <cellStyle name="20% - Accent1 25" xfId="1029"/>
    <cellStyle name="20% - Accent1 25 2" xfId="19014"/>
    <cellStyle name="20% - Accent1 26" xfId="1030"/>
    <cellStyle name="20% - Accent1 26 2" xfId="19015"/>
    <cellStyle name="20% - Accent1 27" xfId="1031"/>
    <cellStyle name="20% - Accent1 27 2" xfId="19016"/>
    <cellStyle name="20% - Accent1 28" xfId="1032"/>
    <cellStyle name="20% - Accent1 28 2" xfId="19017"/>
    <cellStyle name="20% - Accent1 29" xfId="1033"/>
    <cellStyle name="20% - Accent1 29 2" xfId="19018"/>
    <cellStyle name="20% - Accent1 3" xfId="312"/>
    <cellStyle name="20% - Accent1 3 10" xfId="1034"/>
    <cellStyle name="20% - Accent1 3 10 2" xfId="19020"/>
    <cellStyle name="20% - Accent1 3 11" xfId="19019"/>
    <cellStyle name="20% - Accent1 3 2" xfId="649"/>
    <cellStyle name="20% - Accent1 3 2 2" xfId="1035"/>
    <cellStyle name="20% - Accent1 3 2 2 2" xfId="1036"/>
    <cellStyle name="20% - Accent1 3 2 2 2 2" xfId="1037"/>
    <cellStyle name="20% - Accent1 3 2 2 2 2 2" xfId="1038"/>
    <cellStyle name="20% - Accent1 3 2 2 2 2 2 2" xfId="1039"/>
    <cellStyle name="20% - Accent1 3 2 2 2 2 2 2 2" xfId="1040"/>
    <cellStyle name="20% - Accent1 3 2 2 2 2 2 2 2 2" xfId="19027"/>
    <cellStyle name="20% - Accent1 3 2 2 2 2 2 2 3" xfId="19026"/>
    <cellStyle name="20% - Accent1 3 2 2 2 2 2 3" xfId="1041"/>
    <cellStyle name="20% - Accent1 3 2 2 2 2 2 3 2" xfId="19028"/>
    <cellStyle name="20% - Accent1 3 2 2 2 2 2 4" xfId="19025"/>
    <cellStyle name="20% - Accent1 3 2 2 2 2 3" xfId="1042"/>
    <cellStyle name="20% - Accent1 3 2 2 2 2 3 2" xfId="1043"/>
    <cellStyle name="20% - Accent1 3 2 2 2 2 3 2 2" xfId="19030"/>
    <cellStyle name="20% - Accent1 3 2 2 2 2 3 3" xfId="19029"/>
    <cellStyle name="20% - Accent1 3 2 2 2 2 4" xfId="1044"/>
    <cellStyle name="20% - Accent1 3 2 2 2 2 4 2" xfId="19031"/>
    <cellStyle name="20% - Accent1 3 2 2 2 2 5" xfId="19024"/>
    <cellStyle name="20% - Accent1 3 2 2 2 3" xfId="1045"/>
    <cellStyle name="20% - Accent1 3 2 2 2 3 2" xfId="1046"/>
    <cellStyle name="20% - Accent1 3 2 2 2 3 2 2" xfId="1047"/>
    <cellStyle name="20% - Accent1 3 2 2 2 3 2 2 2" xfId="1048"/>
    <cellStyle name="20% - Accent1 3 2 2 2 3 2 2 2 2" xfId="19035"/>
    <cellStyle name="20% - Accent1 3 2 2 2 3 2 2 3" xfId="19034"/>
    <cellStyle name="20% - Accent1 3 2 2 2 3 2 3" xfId="1049"/>
    <cellStyle name="20% - Accent1 3 2 2 2 3 2 3 2" xfId="19036"/>
    <cellStyle name="20% - Accent1 3 2 2 2 3 2 4" xfId="19033"/>
    <cellStyle name="20% - Accent1 3 2 2 2 3 3" xfId="1050"/>
    <cellStyle name="20% - Accent1 3 2 2 2 3 3 2" xfId="1051"/>
    <cellStyle name="20% - Accent1 3 2 2 2 3 3 2 2" xfId="19038"/>
    <cellStyle name="20% - Accent1 3 2 2 2 3 3 3" xfId="19037"/>
    <cellStyle name="20% - Accent1 3 2 2 2 3 4" xfId="1052"/>
    <cellStyle name="20% - Accent1 3 2 2 2 3 4 2" xfId="19039"/>
    <cellStyle name="20% - Accent1 3 2 2 2 3 5" xfId="19032"/>
    <cellStyle name="20% - Accent1 3 2 2 2 4" xfId="1053"/>
    <cellStyle name="20% - Accent1 3 2 2 2 4 2" xfId="1054"/>
    <cellStyle name="20% - Accent1 3 2 2 2 4 2 2" xfId="1055"/>
    <cellStyle name="20% - Accent1 3 2 2 2 4 2 2 2" xfId="19042"/>
    <cellStyle name="20% - Accent1 3 2 2 2 4 2 3" xfId="19041"/>
    <cellStyle name="20% - Accent1 3 2 2 2 4 3" xfId="1056"/>
    <cellStyle name="20% - Accent1 3 2 2 2 4 3 2" xfId="19043"/>
    <cellStyle name="20% - Accent1 3 2 2 2 4 4" xfId="19040"/>
    <cellStyle name="20% - Accent1 3 2 2 2 5" xfId="1057"/>
    <cellStyle name="20% - Accent1 3 2 2 2 5 2" xfId="1058"/>
    <cellStyle name="20% - Accent1 3 2 2 2 5 2 2" xfId="19045"/>
    <cellStyle name="20% - Accent1 3 2 2 2 5 3" xfId="19044"/>
    <cellStyle name="20% - Accent1 3 2 2 2 6" xfId="1059"/>
    <cellStyle name="20% - Accent1 3 2 2 2 6 2" xfId="19046"/>
    <cellStyle name="20% - Accent1 3 2 2 2 7" xfId="19023"/>
    <cellStyle name="20% - Accent1 3 2 2 3" xfId="1060"/>
    <cellStyle name="20% - Accent1 3 2 2 3 2" xfId="1061"/>
    <cellStyle name="20% - Accent1 3 2 2 3 2 2" xfId="1062"/>
    <cellStyle name="20% - Accent1 3 2 2 3 2 2 2" xfId="1063"/>
    <cellStyle name="20% - Accent1 3 2 2 3 2 2 2 2" xfId="19050"/>
    <cellStyle name="20% - Accent1 3 2 2 3 2 2 3" xfId="19049"/>
    <cellStyle name="20% - Accent1 3 2 2 3 2 3" xfId="1064"/>
    <cellStyle name="20% - Accent1 3 2 2 3 2 3 2" xfId="19051"/>
    <cellStyle name="20% - Accent1 3 2 2 3 2 4" xfId="19048"/>
    <cellStyle name="20% - Accent1 3 2 2 3 3" xfId="1065"/>
    <cellStyle name="20% - Accent1 3 2 2 3 3 2" xfId="1066"/>
    <cellStyle name="20% - Accent1 3 2 2 3 3 2 2" xfId="19053"/>
    <cellStyle name="20% - Accent1 3 2 2 3 3 3" xfId="19052"/>
    <cellStyle name="20% - Accent1 3 2 2 3 4" xfId="1067"/>
    <cellStyle name="20% - Accent1 3 2 2 3 4 2" xfId="19054"/>
    <cellStyle name="20% - Accent1 3 2 2 3 5" xfId="19047"/>
    <cellStyle name="20% - Accent1 3 2 2 4" xfId="1068"/>
    <cellStyle name="20% - Accent1 3 2 2 4 2" xfId="1069"/>
    <cellStyle name="20% - Accent1 3 2 2 4 2 2" xfId="1070"/>
    <cellStyle name="20% - Accent1 3 2 2 4 2 2 2" xfId="1071"/>
    <cellStyle name="20% - Accent1 3 2 2 4 2 2 2 2" xfId="19058"/>
    <cellStyle name="20% - Accent1 3 2 2 4 2 2 3" xfId="19057"/>
    <cellStyle name="20% - Accent1 3 2 2 4 2 3" xfId="1072"/>
    <cellStyle name="20% - Accent1 3 2 2 4 2 3 2" xfId="19059"/>
    <cellStyle name="20% - Accent1 3 2 2 4 2 4" xfId="19056"/>
    <cellStyle name="20% - Accent1 3 2 2 4 3" xfId="1073"/>
    <cellStyle name="20% - Accent1 3 2 2 4 3 2" xfId="1074"/>
    <cellStyle name="20% - Accent1 3 2 2 4 3 2 2" xfId="19061"/>
    <cellStyle name="20% - Accent1 3 2 2 4 3 3" xfId="19060"/>
    <cellStyle name="20% - Accent1 3 2 2 4 4" xfId="1075"/>
    <cellStyle name="20% - Accent1 3 2 2 4 4 2" xfId="19062"/>
    <cellStyle name="20% - Accent1 3 2 2 4 5" xfId="19055"/>
    <cellStyle name="20% - Accent1 3 2 2 5" xfId="1076"/>
    <cellStyle name="20% - Accent1 3 2 2 5 2" xfId="1077"/>
    <cellStyle name="20% - Accent1 3 2 2 5 2 2" xfId="1078"/>
    <cellStyle name="20% - Accent1 3 2 2 5 2 2 2" xfId="19065"/>
    <cellStyle name="20% - Accent1 3 2 2 5 2 3" xfId="19064"/>
    <cellStyle name="20% - Accent1 3 2 2 5 3" xfId="1079"/>
    <cellStyle name="20% - Accent1 3 2 2 5 3 2" xfId="19066"/>
    <cellStyle name="20% - Accent1 3 2 2 5 4" xfId="19063"/>
    <cellStyle name="20% - Accent1 3 2 2 6" xfId="1080"/>
    <cellStyle name="20% - Accent1 3 2 2 6 2" xfId="1081"/>
    <cellStyle name="20% - Accent1 3 2 2 6 2 2" xfId="19068"/>
    <cellStyle name="20% - Accent1 3 2 2 6 3" xfId="19067"/>
    <cellStyle name="20% - Accent1 3 2 2 7" xfId="1082"/>
    <cellStyle name="20% - Accent1 3 2 2 7 2" xfId="19069"/>
    <cellStyle name="20% - Accent1 3 2 2 8" xfId="19022"/>
    <cellStyle name="20% - Accent1 3 2 3" xfId="1083"/>
    <cellStyle name="20% - Accent1 3 2 3 2" xfId="1084"/>
    <cellStyle name="20% - Accent1 3 2 3 2 2" xfId="1085"/>
    <cellStyle name="20% - Accent1 3 2 3 2 2 2" xfId="1086"/>
    <cellStyle name="20% - Accent1 3 2 3 2 2 2 2" xfId="1087"/>
    <cellStyle name="20% - Accent1 3 2 3 2 2 2 2 2" xfId="19074"/>
    <cellStyle name="20% - Accent1 3 2 3 2 2 2 3" xfId="19073"/>
    <cellStyle name="20% - Accent1 3 2 3 2 2 3" xfId="1088"/>
    <cellStyle name="20% - Accent1 3 2 3 2 2 3 2" xfId="19075"/>
    <cellStyle name="20% - Accent1 3 2 3 2 2 4" xfId="19072"/>
    <cellStyle name="20% - Accent1 3 2 3 2 3" xfId="1089"/>
    <cellStyle name="20% - Accent1 3 2 3 2 3 2" xfId="1090"/>
    <cellStyle name="20% - Accent1 3 2 3 2 3 2 2" xfId="19077"/>
    <cellStyle name="20% - Accent1 3 2 3 2 3 3" xfId="19076"/>
    <cellStyle name="20% - Accent1 3 2 3 2 4" xfId="1091"/>
    <cellStyle name="20% - Accent1 3 2 3 2 4 2" xfId="19078"/>
    <cellStyle name="20% - Accent1 3 2 3 2 5" xfId="19071"/>
    <cellStyle name="20% - Accent1 3 2 3 3" xfId="1092"/>
    <cellStyle name="20% - Accent1 3 2 3 3 2" xfId="1093"/>
    <cellStyle name="20% - Accent1 3 2 3 3 2 2" xfId="1094"/>
    <cellStyle name="20% - Accent1 3 2 3 3 2 2 2" xfId="1095"/>
    <cellStyle name="20% - Accent1 3 2 3 3 2 2 2 2" xfId="19082"/>
    <cellStyle name="20% - Accent1 3 2 3 3 2 2 3" xfId="19081"/>
    <cellStyle name="20% - Accent1 3 2 3 3 2 3" xfId="1096"/>
    <cellStyle name="20% - Accent1 3 2 3 3 2 3 2" xfId="19083"/>
    <cellStyle name="20% - Accent1 3 2 3 3 2 4" xfId="19080"/>
    <cellStyle name="20% - Accent1 3 2 3 3 3" xfId="1097"/>
    <cellStyle name="20% - Accent1 3 2 3 3 3 2" xfId="1098"/>
    <cellStyle name="20% - Accent1 3 2 3 3 3 2 2" xfId="19085"/>
    <cellStyle name="20% - Accent1 3 2 3 3 3 3" xfId="19084"/>
    <cellStyle name="20% - Accent1 3 2 3 3 4" xfId="1099"/>
    <cellStyle name="20% - Accent1 3 2 3 3 4 2" xfId="19086"/>
    <cellStyle name="20% - Accent1 3 2 3 3 5" xfId="19079"/>
    <cellStyle name="20% - Accent1 3 2 3 4" xfId="1100"/>
    <cellStyle name="20% - Accent1 3 2 3 4 2" xfId="1101"/>
    <cellStyle name="20% - Accent1 3 2 3 4 2 2" xfId="1102"/>
    <cellStyle name="20% - Accent1 3 2 3 4 2 2 2" xfId="19089"/>
    <cellStyle name="20% - Accent1 3 2 3 4 2 3" xfId="19088"/>
    <cellStyle name="20% - Accent1 3 2 3 4 3" xfId="1103"/>
    <cellStyle name="20% - Accent1 3 2 3 4 3 2" xfId="19090"/>
    <cellStyle name="20% - Accent1 3 2 3 4 4" xfId="19087"/>
    <cellStyle name="20% - Accent1 3 2 3 5" xfId="1104"/>
    <cellStyle name="20% - Accent1 3 2 3 5 2" xfId="1105"/>
    <cellStyle name="20% - Accent1 3 2 3 5 2 2" xfId="19092"/>
    <cellStyle name="20% - Accent1 3 2 3 5 3" xfId="19091"/>
    <cellStyle name="20% - Accent1 3 2 3 6" xfId="1106"/>
    <cellStyle name="20% - Accent1 3 2 3 6 2" xfId="19093"/>
    <cellStyle name="20% - Accent1 3 2 3 7" xfId="19070"/>
    <cellStyle name="20% - Accent1 3 2 4" xfId="1107"/>
    <cellStyle name="20% - Accent1 3 2 4 2" xfId="1108"/>
    <cellStyle name="20% - Accent1 3 2 4 2 2" xfId="1109"/>
    <cellStyle name="20% - Accent1 3 2 4 2 2 2" xfId="1110"/>
    <cellStyle name="20% - Accent1 3 2 4 2 2 2 2" xfId="19097"/>
    <cellStyle name="20% - Accent1 3 2 4 2 2 3" xfId="19096"/>
    <cellStyle name="20% - Accent1 3 2 4 2 3" xfId="1111"/>
    <cellStyle name="20% - Accent1 3 2 4 2 3 2" xfId="19098"/>
    <cellStyle name="20% - Accent1 3 2 4 2 4" xfId="19095"/>
    <cellStyle name="20% - Accent1 3 2 4 3" xfId="1112"/>
    <cellStyle name="20% - Accent1 3 2 4 3 2" xfId="1113"/>
    <cellStyle name="20% - Accent1 3 2 4 3 2 2" xfId="19100"/>
    <cellStyle name="20% - Accent1 3 2 4 3 3" xfId="19099"/>
    <cellStyle name="20% - Accent1 3 2 4 4" xfId="1114"/>
    <cellStyle name="20% - Accent1 3 2 4 4 2" xfId="19101"/>
    <cellStyle name="20% - Accent1 3 2 4 5" xfId="19094"/>
    <cellStyle name="20% - Accent1 3 2 5" xfId="1115"/>
    <cellStyle name="20% - Accent1 3 2 5 2" xfId="1116"/>
    <cellStyle name="20% - Accent1 3 2 5 2 2" xfId="1117"/>
    <cellStyle name="20% - Accent1 3 2 5 2 2 2" xfId="1118"/>
    <cellStyle name="20% - Accent1 3 2 5 2 2 2 2" xfId="19105"/>
    <cellStyle name="20% - Accent1 3 2 5 2 2 3" xfId="19104"/>
    <cellStyle name="20% - Accent1 3 2 5 2 3" xfId="1119"/>
    <cellStyle name="20% - Accent1 3 2 5 2 3 2" xfId="19106"/>
    <cellStyle name="20% - Accent1 3 2 5 2 4" xfId="19103"/>
    <cellStyle name="20% - Accent1 3 2 5 3" xfId="1120"/>
    <cellStyle name="20% - Accent1 3 2 5 3 2" xfId="1121"/>
    <cellStyle name="20% - Accent1 3 2 5 3 2 2" xfId="19108"/>
    <cellStyle name="20% - Accent1 3 2 5 3 3" xfId="19107"/>
    <cellStyle name="20% - Accent1 3 2 5 4" xfId="1122"/>
    <cellStyle name="20% - Accent1 3 2 5 4 2" xfId="19109"/>
    <cellStyle name="20% - Accent1 3 2 5 5" xfId="19102"/>
    <cellStyle name="20% - Accent1 3 2 6" xfId="1123"/>
    <cellStyle name="20% - Accent1 3 2 6 2" xfId="1124"/>
    <cellStyle name="20% - Accent1 3 2 6 2 2" xfId="1125"/>
    <cellStyle name="20% - Accent1 3 2 6 2 2 2" xfId="19112"/>
    <cellStyle name="20% - Accent1 3 2 6 2 3" xfId="19111"/>
    <cellStyle name="20% - Accent1 3 2 6 3" xfId="1126"/>
    <cellStyle name="20% - Accent1 3 2 6 3 2" xfId="19113"/>
    <cellStyle name="20% - Accent1 3 2 6 4" xfId="19110"/>
    <cellStyle name="20% - Accent1 3 2 7" xfId="1127"/>
    <cellStyle name="20% - Accent1 3 2 7 2" xfId="1128"/>
    <cellStyle name="20% - Accent1 3 2 7 2 2" xfId="19115"/>
    <cellStyle name="20% - Accent1 3 2 7 3" xfId="19114"/>
    <cellStyle name="20% - Accent1 3 2 8" xfId="1129"/>
    <cellStyle name="20% - Accent1 3 2 8 2" xfId="19116"/>
    <cellStyle name="20% - Accent1 3 2 9" xfId="19021"/>
    <cellStyle name="20% - Accent1 3 3" xfId="1130"/>
    <cellStyle name="20% - Accent1 3 3 2" xfId="1131"/>
    <cellStyle name="20% - Accent1 3 3 2 2" xfId="1132"/>
    <cellStyle name="20% - Accent1 3 3 2 2 2" xfId="1133"/>
    <cellStyle name="20% - Accent1 3 3 2 2 2 2" xfId="1134"/>
    <cellStyle name="20% - Accent1 3 3 2 2 2 2 2" xfId="1135"/>
    <cellStyle name="20% - Accent1 3 3 2 2 2 2 2 2" xfId="19122"/>
    <cellStyle name="20% - Accent1 3 3 2 2 2 2 3" xfId="19121"/>
    <cellStyle name="20% - Accent1 3 3 2 2 2 3" xfId="1136"/>
    <cellStyle name="20% - Accent1 3 3 2 2 2 3 2" xfId="19123"/>
    <cellStyle name="20% - Accent1 3 3 2 2 2 4" xfId="19120"/>
    <cellStyle name="20% - Accent1 3 3 2 2 3" xfId="1137"/>
    <cellStyle name="20% - Accent1 3 3 2 2 3 2" xfId="1138"/>
    <cellStyle name="20% - Accent1 3 3 2 2 3 2 2" xfId="19125"/>
    <cellStyle name="20% - Accent1 3 3 2 2 3 3" xfId="19124"/>
    <cellStyle name="20% - Accent1 3 3 2 2 4" xfId="1139"/>
    <cellStyle name="20% - Accent1 3 3 2 2 4 2" xfId="19126"/>
    <cellStyle name="20% - Accent1 3 3 2 2 5" xfId="19119"/>
    <cellStyle name="20% - Accent1 3 3 2 3" xfId="1140"/>
    <cellStyle name="20% - Accent1 3 3 2 3 2" xfId="1141"/>
    <cellStyle name="20% - Accent1 3 3 2 3 2 2" xfId="1142"/>
    <cellStyle name="20% - Accent1 3 3 2 3 2 2 2" xfId="1143"/>
    <cellStyle name="20% - Accent1 3 3 2 3 2 2 2 2" xfId="19130"/>
    <cellStyle name="20% - Accent1 3 3 2 3 2 2 3" xfId="19129"/>
    <cellStyle name="20% - Accent1 3 3 2 3 2 3" xfId="1144"/>
    <cellStyle name="20% - Accent1 3 3 2 3 2 3 2" xfId="19131"/>
    <cellStyle name="20% - Accent1 3 3 2 3 2 4" xfId="19128"/>
    <cellStyle name="20% - Accent1 3 3 2 3 3" xfId="1145"/>
    <cellStyle name="20% - Accent1 3 3 2 3 3 2" xfId="1146"/>
    <cellStyle name="20% - Accent1 3 3 2 3 3 2 2" xfId="19133"/>
    <cellStyle name="20% - Accent1 3 3 2 3 3 3" xfId="19132"/>
    <cellStyle name="20% - Accent1 3 3 2 3 4" xfId="1147"/>
    <cellStyle name="20% - Accent1 3 3 2 3 4 2" xfId="19134"/>
    <cellStyle name="20% - Accent1 3 3 2 3 5" xfId="19127"/>
    <cellStyle name="20% - Accent1 3 3 2 4" xfId="1148"/>
    <cellStyle name="20% - Accent1 3 3 2 4 2" xfId="1149"/>
    <cellStyle name="20% - Accent1 3 3 2 4 2 2" xfId="1150"/>
    <cellStyle name="20% - Accent1 3 3 2 4 2 2 2" xfId="19137"/>
    <cellStyle name="20% - Accent1 3 3 2 4 2 3" xfId="19136"/>
    <cellStyle name="20% - Accent1 3 3 2 4 3" xfId="1151"/>
    <cellStyle name="20% - Accent1 3 3 2 4 3 2" xfId="19138"/>
    <cellStyle name="20% - Accent1 3 3 2 4 4" xfId="19135"/>
    <cellStyle name="20% - Accent1 3 3 2 5" xfId="1152"/>
    <cellStyle name="20% - Accent1 3 3 2 5 2" xfId="1153"/>
    <cellStyle name="20% - Accent1 3 3 2 5 2 2" xfId="19140"/>
    <cellStyle name="20% - Accent1 3 3 2 5 3" xfId="19139"/>
    <cellStyle name="20% - Accent1 3 3 2 6" xfId="1154"/>
    <cellStyle name="20% - Accent1 3 3 2 6 2" xfId="19141"/>
    <cellStyle name="20% - Accent1 3 3 2 7" xfId="19118"/>
    <cellStyle name="20% - Accent1 3 3 3" xfId="1155"/>
    <cellStyle name="20% - Accent1 3 3 3 2" xfId="1156"/>
    <cellStyle name="20% - Accent1 3 3 3 2 2" xfId="1157"/>
    <cellStyle name="20% - Accent1 3 3 3 2 2 2" xfId="1158"/>
    <cellStyle name="20% - Accent1 3 3 3 2 2 2 2" xfId="19145"/>
    <cellStyle name="20% - Accent1 3 3 3 2 2 3" xfId="19144"/>
    <cellStyle name="20% - Accent1 3 3 3 2 3" xfId="1159"/>
    <cellStyle name="20% - Accent1 3 3 3 2 3 2" xfId="19146"/>
    <cellStyle name="20% - Accent1 3 3 3 2 4" xfId="19143"/>
    <cellStyle name="20% - Accent1 3 3 3 3" xfId="1160"/>
    <cellStyle name="20% - Accent1 3 3 3 3 2" xfId="1161"/>
    <cellStyle name="20% - Accent1 3 3 3 3 2 2" xfId="19148"/>
    <cellStyle name="20% - Accent1 3 3 3 3 3" xfId="19147"/>
    <cellStyle name="20% - Accent1 3 3 3 4" xfId="1162"/>
    <cellStyle name="20% - Accent1 3 3 3 4 2" xfId="19149"/>
    <cellStyle name="20% - Accent1 3 3 3 5" xfId="19142"/>
    <cellStyle name="20% - Accent1 3 3 4" xfId="1163"/>
    <cellStyle name="20% - Accent1 3 3 4 2" xfId="1164"/>
    <cellStyle name="20% - Accent1 3 3 4 2 2" xfId="1165"/>
    <cellStyle name="20% - Accent1 3 3 4 2 2 2" xfId="1166"/>
    <cellStyle name="20% - Accent1 3 3 4 2 2 2 2" xfId="19153"/>
    <cellStyle name="20% - Accent1 3 3 4 2 2 3" xfId="19152"/>
    <cellStyle name="20% - Accent1 3 3 4 2 3" xfId="1167"/>
    <cellStyle name="20% - Accent1 3 3 4 2 3 2" xfId="19154"/>
    <cellStyle name="20% - Accent1 3 3 4 2 4" xfId="19151"/>
    <cellStyle name="20% - Accent1 3 3 4 3" xfId="1168"/>
    <cellStyle name="20% - Accent1 3 3 4 3 2" xfId="1169"/>
    <cellStyle name="20% - Accent1 3 3 4 3 2 2" xfId="19156"/>
    <cellStyle name="20% - Accent1 3 3 4 3 3" xfId="19155"/>
    <cellStyle name="20% - Accent1 3 3 4 4" xfId="1170"/>
    <cellStyle name="20% - Accent1 3 3 4 4 2" xfId="19157"/>
    <cellStyle name="20% - Accent1 3 3 4 5" xfId="19150"/>
    <cellStyle name="20% - Accent1 3 3 5" xfId="1171"/>
    <cellStyle name="20% - Accent1 3 3 5 2" xfId="1172"/>
    <cellStyle name="20% - Accent1 3 3 5 2 2" xfId="1173"/>
    <cellStyle name="20% - Accent1 3 3 5 2 2 2" xfId="19160"/>
    <cellStyle name="20% - Accent1 3 3 5 2 3" xfId="19159"/>
    <cellStyle name="20% - Accent1 3 3 5 3" xfId="1174"/>
    <cellStyle name="20% - Accent1 3 3 5 3 2" xfId="19161"/>
    <cellStyle name="20% - Accent1 3 3 5 4" xfId="19158"/>
    <cellStyle name="20% - Accent1 3 3 6" xfId="1175"/>
    <cellStyle name="20% - Accent1 3 3 6 2" xfId="1176"/>
    <cellStyle name="20% - Accent1 3 3 6 2 2" xfId="19163"/>
    <cellStyle name="20% - Accent1 3 3 6 3" xfId="19162"/>
    <cellStyle name="20% - Accent1 3 3 7" xfId="1177"/>
    <cellStyle name="20% - Accent1 3 3 7 2" xfId="19164"/>
    <cellStyle name="20% - Accent1 3 3 8" xfId="19117"/>
    <cellStyle name="20% - Accent1 3 4" xfId="1178"/>
    <cellStyle name="20% - Accent1 3 4 2" xfId="1179"/>
    <cellStyle name="20% - Accent1 3 4 2 2" xfId="1180"/>
    <cellStyle name="20% - Accent1 3 4 2 2 2" xfId="1181"/>
    <cellStyle name="20% - Accent1 3 4 2 2 2 2" xfId="1182"/>
    <cellStyle name="20% - Accent1 3 4 2 2 2 2 2" xfId="19169"/>
    <cellStyle name="20% - Accent1 3 4 2 2 2 3" xfId="19168"/>
    <cellStyle name="20% - Accent1 3 4 2 2 3" xfId="1183"/>
    <cellStyle name="20% - Accent1 3 4 2 2 3 2" xfId="19170"/>
    <cellStyle name="20% - Accent1 3 4 2 2 4" xfId="19167"/>
    <cellStyle name="20% - Accent1 3 4 2 3" xfId="1184"/>
    <cellStyle name="20% - Accent1 3 4 2 3 2" xfId="1185"/>
    <cellStyle name="20% - Accent1 3 4 2 3 2 2" xfId="19172"/>
    <cellStyle name="20% - Accent1 3 4 2 3 3" xfId="19171"/>
    <cellStyle name="20% - Accent1 3 4 2 4" xfId="1186"/>
    <cellStyle name="20% - Accent1 3 4 2 4 2" xfId="19173"/>
    <cellStyle name="20% - Accent1 3 4 2 5" xfId="19166"/>
    <cellStyle name="20% - Accent1 3 4 3" xfId="1187"/>
    <cellStyle name="20% - Accent1 3 4 3 2" xfId="1188"/>
    <cellStyle name="20% - Accent1 3 4 3 2 2" xfId="1189"/>
    <cellStyle name="20% - Accent1 3 4 3 2 2 2" xfId="1190"/>
    <cellStyle name="20% - Accent1 3 4 3 2 2 2 2" xfId="19177"/>
    <cellStyle name="20% - Accent1 3 4 3 2 2 3" xfId="19176"/>
    <cellStyle name="20% - Accent1 3 4 3 2 3" xfId="1191"/>
    <cellStyle name="20% - Accent1 3 4 3 2 3 2" xfId="19178"/>
    <cellStyle name="20% - Accent1 3 4 3 2 4" xfId="19175"/>
    <cellStyle name="20% - Accent1 3 4 3 3" xfId="1192"/>
    <cellStyle name="20% - Accent1 3 4 3 3 2" xfId="1193"/>
    <cellStyle name="20% - Accent1 3 4 3 3 2 2" xfId="19180"/>
    <cellStyle name="20% - Accent1 3 4 3 3 3" xfId="19179"/>
    <cellStyle name="20% - Accent1 3 4 3 4" xfId="1194"/>
    <cellStyle name="20% - Accent1 3 4 3 4 2" xfId="19181"/>
    <cellStyle name="20% - Accent1 3 4 3 5" xfId="19174"/>
    <cellStyle name="20% - Accent1 3 4 4" xfId="1195"/>
    <cellStyle name="20% - Accent1 3 4 4 2" xfId="1196"/>
    <cellStyle name="20% - Accent1 3 4 4 2 2" xfId="1197"/>
    <cellStyle name="20% - Accent1 3 4 4 2 2 2" xfId="19184"/>
    <cellStyle name="20% - Accent1 3 4 4 2 3" xfId="19183"/>
    <cellStyle name="20% - Accent1 3 4 4 3" xfId="1198"/>
    <cellStyle name="20% - Accent1 3 4 4 3 2" xfId="19185"/>
    <cellStyle name="20% - Accent1 3 4 4 4" xfId="19182"/>
    <cellStyle name="20% - Accent1 3 4 5" xfId="1199"/>
    <cellStyle name="20% - Accent1 3 4 5 2" xfId="1200"/>
    <cellStyle name="20% - Accent1 3 4 5 2 2" xfId="19187"/>
    <cellStyle name="20% - Accent1 3 4 5 3" xfId="19186"/>
    <cellStyle name="20% - Accent1 3 4 6" xfId="1201"/>
    <cellStyle name="20% - Accent1 3 4 6 2" xfId="19188"/>
    <cellStyle name="20% - Accent1 3 4 7" xfId="19165"/>
    <cellStyle name="20% - Accent1 3 5" xfId="1202"/>
    <cellStyle name="20% - Accent1 3 5 2" xfId="1203"/>
    <cellStyle name="20% - Accent1 3 5 2 2" xfId="1204"/>
    <cellStyle name="20% - Accent1 3 5 2 2 2" xfId="1205"/>
    <cellStyle name="20% - Accent1 3 5 2 2 2 2" xfId="19192"/>
    <cellStyle name="20% - Accent1 3 5 2 2 3" xfId="19191"/>
    <cellStyle name="20% - Accent1 3 5 2 3" xfId="1206"/>
    <cellStyle name="20% - Accent1 3 5 2 3 2" xfId="19193"/>
    <cellStyle name="20% - Accent1 3 5 2 4" xfId="19190"/>
    <cellStyle name="20% - Accent1 3 5 3" xfId="1207"/>
    <cellStyle name="20% - Accent1 3 5 3 2" xfId="1208"/>
    <cellStyle name="20% - Accent1 3 5 3 2 2" xfId="19195"/>
    <cellStyle name="20% - Accent1 3 5 3 3" xfId="19194"/>
    <cellStyle name="20% - Accent1 3 5 4" xfId="1209"/>
    <cellStyle name="20% - Accent1 3 5 4 2" xfId="19196"/>
    <cellStyle name="20% - Accent1 3 5 5" xfId="19189"/>
    <cellStyle name="20% - Accent1 3 6" xfId="1210"/>
    <cellStyle name="20% - Accent1 3 6 2" xfId="1211"/>
    <cellStyle name="20% - Accent1 3 6 2 2" xfId="1212"/>
    <cellStyle name="20% - Accent1 3 6 2 2 2" xfId="1213"/>
    <cellStyle name="20% - Accent1 3 6 2 2 2 2" xfId="19200"/>
    <cellStyle name="20% - Accent1 3 6 2 2 3" xfId="19199"/>
    <cellStyle name="20% - Accent1 3 6 2 3" xfId="1214"/>
    <cellStyle name="20% - Accent1 3 6 2 3 2" xfId="19201"/>
    <cellStyle name="20% - Accent1 3 6 2 4" xfId="19198"/>
    <cellStyle name="20% - Accent1 3 6 3" xfId="1215"/>
    <cellStyle name="20% - Accent1 3 6 3 2" xfId="1216"/>
    <cellStyle name="20% - Accent1 3 6 3 2 2" xfId="19203"/>
    <cellStyle name="20% - Accent1 3 6 3 3" xfId="19202"/>
    <cellStyle name="20% - Accent1 3 6 4" xfId="1217"/>
    <cellStyle name="20% - Accent1 3 6 4 2" xfId="19204"/>
    <cellStyle name="20% - Accent1 3 6 5" xfId="19197"/>
    <cellStyle name="20% - Accent1 3 7" xfId="1218"/>
    <cellStyle name="20% - Accent1 3 7 2" xfId="1219"/>
    <cellStyle name="20% - Accent1 3 7 2 2" xfId="1220"/>
    <cellStyle name="20% - Accent1 3 7 2 2 2" xfId="19207"/>
    <cellStyle name="20% - Accent1 3 7 2 3" xfId="19206"/>
    <cellStyle name="20% - Accent1 3 7 3" xfId="1221"/>
    <cellStyle name="20% - Accent1 3 7 3 2" xfId="19208"/>
    <cellStyle name="20% - Accent1 3 7 4" xfId="19205"/>
    <cellStyle name="20% - Accent1 3 8" xfId="1222"/>
    <cellStyle name="20% - Accent1 3 8 2" xfId="1223"/>
    <cellStyle name="20% - Accent1 3 8 2 2" xfId="19210"/>
    <cellStyle name="20% - Accent1 3 8 3" xfId="19209"/>
    <cellStyle name="20% - Accent1 3 9" xfId="1224"/>
    <cellStyle name="20% - Accent1 3 9 2" xfId="19211"/>
    <cellStyle name="20% - Accent1 30" xfId="1225"/>
    <cellStyle name="20% - Accent1 30 2" xfId="19212"/>
    <cellStyle name="20% - Accent1 31" xfId="1226"/>
    <cellStyle name="20% - Accent1 31 2" xfId="19213"/>
    <cellStyle name="20% - Accent1 32" xfId="1227"/>
    <cellStyle name="20% - Accent1 4" xfId="650"/>
    <cellStyle name="20% - Accent1 4 2" xfId="1228"/>
    <cellStyle name="20% - Accent1 4 2 2" xfId="1229"/>
    <cellStyle name="20% - Accent1 4 2 2 2" xfId="1230"/>
    <cellStyle name="20% - Accent1 4 2 2 2 2" xfId="1231"/>
    <cellStyle name="20% - Accent1 4 2 2 2 2 2" xfId="1232"/>
    <cellStyle name="20% - Accent1 4 2 2 2 2 2 2" xfId="1233"/>
    <cellStyle name="20% - Accent1 4 2 2 2 2 2 2 2" xfId="1234"/>
    <cellStyle name="20% - Accent1 4 2 2 2 2 2 2 2 2" xfId="19220"/>
    <cellStyle name="20% - Accent1 4 2 2 2 2 2 2 3" xfId="19219"/>
    <cellStyle name="20% - Accent1 4 2 2 2 2 2 3" xfId="1235"/>
    <cellStyle name="20% - Accent1 4 2 2 2 2 2 3 2" xfId="19221"/>
    <cellStyle name="20% - Accent1 4 2 2 2 2 2 4" xfId="19218"/>
    <cellStyle name="20% - Accent1 4 2 2 2 2 3" xfId="1236"/>
    <cellStyle name="20% - Accent1 4 2 2 2 2 3 2" xfId="1237"/>
    <cellStyle name="20% - Accent1 4 2 2 2 2 3 2 2" xfId="19223"/>
    <cellStyle name="20% - Accent1 4 2 2 2 2 3 3" xfId="19222"/>
    <cellStyle name="20% - Accent1 4 2 2 2 2 4" xfId="1238"/>
    <cellStyle name="20% - Accent1 4 2 2 2 2 4 2" xfId="19224"/>
    <cellStyle name="20% - Accent1 4 2 2 2 2 5" xfId="19217"/>
    <cellStyle name="20% - Accent1 4 2 2 2 3" xfId="1239"/>
    <cellStyle name="20% - Accent1 4 2 2 2 3 2" xfId="1240"/>
    <cellStyle name="20% - Accent1 4 2 2 2 3 2 2" xfId="1241"/>
    <cellStyle name="20% - Accent1 4 2 2 2 3 2 2 2" xfId="1242"/>
    <cellStyle name="20% - Accent1 4 2 2 2 3 2 2 2 2" xfId="19228"/>
    <cellStyle name="20% - Accent1 4 2 2 2 3 2 2 3" xfId="19227"/>
    <cellStyle name="20% - Accent1 4 2 2 2 3 2 3" xfId="1243"/>
    <cellStyle name="20% - Accent1 4 2 2 2 3 2 3 2" xfId="19229"/>
    <cellStyle name="20% - Accent1 4 2 2 2 3 2 4" xfId="19226"/>
    <cellStyle name="20% - Accent1 4 2 2 2 3 3" xfId="1244"/>
    <cellStyle name="20% - Accent1 4 2 2 2 3 3 2" xfId="1245"/>
    <cellStyle name="20% - Accent1 4 2 2 2 3 3 2 2" xfId="19231"/>
    <cellStyle name="20% - Accent1 4 2 2 2 3 3 3" xfId="19230"/>
    <cellStyle name="20% - Accent1 4 2 2 2 3 4" xfId="1246"/>
    <cellStyle name="20% - Accent1 4 2 2 2 3 4 2" xfId="19232"/>
    <cellStyle name="20% - Accent1 4 2 2 2 3 5" xfId="19225"/>
    <cellStyle name="20% - Accent1 4 2 2 2 4" xfId="1247"/>
    <cellStyle name="20% - Accent1 4 2 2 2 4 2" xfId="1248"/>
    <cellStyle name="20% - Accent1 4 2 2 2 4 2 2" xfId="1249"/>
    <cellStyle name="20% - Accent1 4 2 2 2 4 2 2 2" xfId="19235"/>
    <cellStyle name="20% - Accent1 4 2 2 2 4 2 3" xfId="19234"/>
    <cellStyle name="20% - Accent1 4 2 2 2 4 3" xfId="1250"/>
    <cellStyle name="20% - Accent1 4 2 2 2 4 3 2" xfId="19236"/>
    <cellStyle name="20% - Accent1 4 2 2 2 4 4" xfId="19233"/>
    <cellStyle name="20% - Accent1 4 2 2 2 5" xfId="1251"/>
    <cellStyle name="20% - Accent1 4 2 2 2 5 2" xfId="1252"/>
    <cellStyle name="20% - Accent1 4 2 2 2 5 2 2" xfId="19238"/>
    <cellStyle name="20% - Accent1 4 2 2 2 5 3" xfId="19237"/>
    <cellStyle name="20% - Accent1 4 2 2 2 6" xfId="1253"/>
    <cellStyle name="20% - Accent1 4 2 2 2 6 2" xfId="19239"/>
    <cellStyle name="20% - Accent1 4 2 2 2 7" xfId="19216"/>
    <cellStyle name="20% - Accent1 4 2 2 3" xfId="1254"/>
    <cellStyle name="20% - Accent1 4 2 2 3 2" xfId="1255"/>
    <cellStyle name="20% - Accent1 4 2 2 3 2 2" xfId="1256"/>
    <cellStyle name="20% - Accent1 4 2 2 3 2 2 2" xfId="1257"/>
    <cellStyle name="20% - Accent1 4 2 2 3 2 2 2 2" xfId="19243"/>
    <cellStyle name="20% - Accent1 4 2 2 3 2 2 3" xfId="19242"/>
    <cellStyle name="20% - Accent1 4 2 2 3 2 3" xfId="1258"/>
    <cellStyle name="20% - Accent1 4 2 2 3 2 3 2" xfId="19244"/>
    <cellStyle name="20% - Accent1 4 2 2 3 2 4" xfId="19241"/>
    <cellStyle name="20% - Accent1 4 2 2 3 3" xfId="1259"/>
    <cellStyle name="20% - Accent1 4 2 2 3 3 2" xfId="1260"/>
    <cellStyle name="20% - Accent1 4 2 2 3 3 2 2" xfId="19246"/>
    <cellStyle name="20% - Accent1 4 2 2 3 3 3" xfId="19245"/>
    <cellStyle name="20% - Accent1 4 2 2 3 4" xfId="1261"/>
    <cellStyle name="20% - Accent1 4 2 2 3 4 2" xfId="19247"/>
    <cellStyle name="20% - Accent1 4 2 2 3 5" xfId="19240"/>
    <cellStyle name="20% - Accent1 4 2 2 4" xfId="1262"/>
    <cellStyle name="20% - Accent1 4 2 2 4 2" xfId="1263"/>
    <cellStyle name="20% - Accent1 4 2 2 4 2 2" xfId="1264"/>
    <cellStyle name="20% - Accent1 4 2 2 4 2 2 2" xfId="1265"/>
    <cellStyle name="20% - Accent1 4 2 2 4 2 2 2 2" xfId="19251"/>
    <cellStyle name="20% - Accent1 4 2 2 4 2 2 3" xfId="19250"/>
    <cellStyle name="20% - Accent1 4 2 2 4 2 3" xfId="1266"/>
    <cellStyle name="20% - Accent1 4 2 2 4 2 3 2" xfId="19252"/>
    <cellStyle name="20% - Accent1 4 2 2 4 2 4" xfId="19249"/>
    <cellStyle name="20% - Accent1 4 2 2 4 3" xfId="1267"/>
    <cellStyle name="20% - Accent1 4 2 2 4 3 2" xfId="1268"/>
    <cellStyle name="20% - Accent1 4 2 2 4 3 2 2" xfId="19254"/>
    <cellStyle name="20% - Accent1 4 2 2 4 3 3" xfId="19253"/>
    <cellStyle name="20% - Accent1 4 2 2 4 4" xfId="1269"/>
    <cellStyle name="20% - Accent1 4 2 2 4 4 2" xfId="19255"/>
    <cellStyle name="20% - Accent1 4 2 2 4 5" xfId="19248"/>
    <cellStyle name="20% - Accent1 4 2 2 5" xfId="1270"/>
    <cellStyle name="20% - Accent1 4 2 2 5 2" xfId="1271"/>
    <cellStyle name="20% - Accent1 4 2 2 5 2 2" xfId="1272"/>
    <cellStyle name="20% - Accent1 4 2 2 5 2 2 2" xfId="19258"/>
    <cellStyle name="20% - Accent1 4 2 2 5 2 3" xfId="19257"/>
    <cellStyle name="20% - Accent1 4 2 2 5 3" xfId="1273"/>
    <cellStyle name="20% - Accent1 4 2 2 5 3 2" xfId="19259"/>
    <cellStyle name="20% - Accent1 4 2 2 5 4" xfId="19256"/>
    <cellStyle name="20% - Accent1 4 2 2 6" xfId="1274"/>
    <cellStyle name="20% - Accent1 4 2 2 6 2" xfId="1275"/>
    <cellStyle name="20% - Accent1 4 2 2 6 2 2" xfId="19261"/>
    <cellStyle name="20% - Accent1 4 2 2 6 3" xfId="19260"/>
    <cellStyle name="20% - Accent1 4 2 2 7" xfId="1276"/>
    <cellStyle name="20% - Accent1 4 2 2 7 2" xfId="19262"/>
    <cellStyle name="20% - Accent1 4 2 2 8" xfId="19215"/>
    <cellStyle name="20% - Accent1 4 2 3" xfId="1277"/>
    <cellStyle name="20% - Accent1 4 2 3 2" xfId="1278"/>
    <cellStyle name="20% - Accent1 4 2 3 2 2" xfId="1279"/>
    <cellStyle name="20% - Accent1 4 2 3 2 2 2" xfId="1280"/>
    <cellStyle name="20% - Accent1 4 2 3 2 2 2 2" xfId="1281"/>
    <cellStyle name="20% - Accent1 4 2 3 2 2 2 2 2" xfId="19267"/>
    <cellStyle name="20% - Accent1 4 2 3 2 2 2 3" xfId="19266"/>
    <cellStyle name="20% - Accent1 4 2 3 2 2 3" xfId="1282"/>
    <cellStyle name="20% - Accent1 4 2 3 2 2 3 2" xfId="19268"/>
    <cellStyle name="20% - Accent1 4 2 3 2 2 4" xfId="19265"/>
    <cellStyle name="20% - Accent1 4 2 3 2 3" xfId="1283"/>
    <cellStyle name="20% - Accent1 4 2 3 2 3 2" xfId="1284"/>
    <cellStyle name="20% - Accent1 4 2 3 2 3 2 2" xfId="19270"/>
    <cellStyle name="20% - Accent1 4 2 3 2 3 3" xfId="19269"/>
    <cellStyle name="20% - Accent1 4 2 3 2 4" xfId="1285"/>
    <cellStyle name="20% - Accent1 4 2 3 2 4 2" xfId="19271"/>
    <cellStyle name="20% - Accent1 4 2 3 2 5" xfId="19264"/>
    <cellStyle name="20% - Accent1 4 2 3 3" xfId="1286"/>
    <cellStyle name="20% - Accent1 4 2 3 3 2" xfId="1287"/>
    <cellStyle name="20% - Accent1 4 2 3 3 2 2" xfId="1288"/>
    <cellStyle name="20% - Accent1 4 2 3 3 2 2 2" xfId="1289"/>
    <cellStyle name="20% - Accent1 4 2 3 3 2 2 2 2" xfId="19275"/>
    <cellStyle name="20% - Accent1 4 2 3 3 2 2 3" xfId="19274"/>
    <cellStyle name="20% - Accent1 4 2 3 3 2 3" xfId="1290"/>
    <cellStyle name="20% - Accent1 4 2 3 3 2 3 2" xfId="19276"/>
    <cellStyle name="20% - Accent1 4 2 3 3 2 4" xfId="19273"/>
    <cellStyle name="20% - Accent1 4 2 3 3 3" xfId="1291"/>
    <cellStyle name="20% - Accent1 4 2 3 3 3 2" xfId="1292"/>
    <cellStyle name="20% - Accent1 4 2 3 3 3 2 2" xfId="19278"/>
    <cellStyle name="20% - Accent1 4 2 3 3 3 3" xfId="19277"/>
    <cellStyle name="20% - Accent1 4 2 3 3 4" xfId="1293"/>
    <cellStyle name="20% - Accent1 4 2 3 3 4 2" xfId="19279"/>
    <cellStyle name="20% - Accent1 4 2 3 3 5" xfId="19272"/>
    <cellStyle name="20% - Accent1 4 2 3 4" xfId="1294"/>
    <cellStyle name="20% - Accent1 4 2 3 4 2" xfId="1295"/>
    <cellStyle name="20% - Accent1 4 2 3 4 2 2" xfId="1296"/>
    <cellStyle name="20% - Accent1 4 2 3 4 2 2 2" xfId="19282"/>
    <cellStyle name="20% - Accent1 4 2 3 4 2 3" xfId="19281"/>
    <cellStyle name="20% - Accent1 4 2 3 4 3" xfId="1297"/>
    <cellStyle name="20% - Accent1 4 2 3 4 3 2" xfId="19283"/>
    <cellStyle name="20% - Accent1 4 2 3 4 4" xfId="19280"/>
    <cellStyle name="20% - Accent1 4 2 3 5" xfId="1298"/>
    <cellStyle name="20% - Accent1 4 2 3 5 2" xfId="1299"/>
    <cellStyle name="20% - Accent1 4 2 3 5 2 2" xfId="19285"/>
    <cellStyle name="20% - Accent1 4 2 3 5 3" xfId="19284"/>
    <cellStyle name="20% - Accent1 4 2 3 6" xfId="1300"/>
    <cellStyle name="20% - Accent1 4 2 3 6 2" xfId="19286"/>
    <cellStyle name="20% - Accent1 4 2 3 7" xfId="19263"/>
    <cellStyle name="20% - Accent1 4 2 4" xfId="1301"/>
    <cellStyle name="20% - Accent1 4 2 4 2" xfId="1302"/>
    <cellStyle name="20% - Accent1 4 2 4 2 2" xfId="1303"/>
    <cellStyle name="20% - Accent1 4 2 4 2 2 2" xfId="1304"/>
    <cellStyle name="20% - Accent1 4 2 4 2 2 2 2" xfId="19290"/>
    <cellStyle name="20% - Accent1 4 2 4 2 2 3" xfId="19289"/>
    <cellStyle name="20% - Accent1 4 2 4 2 3" xfId="1305"/>
    <cellStyle name="20% - Accent1 4 2 4 2 3 2" xfId="19291"/>
    <cellStyle name="20% - Accent1 4 2 4 2 4" xfId="19288"/>
    <cellStyle name="20% - Accent1 4 2 4 3" xfId="1306"/>
    <cellStyle name="20% - Accent1 4 2 4 3 2" xfId="1307"/>
    <cellStyle name="20% - Accent1 4 2 4 3 2 2" xfId="19293"/>
    <cellStyle name="20% - Accent1 4 2 4 3 3" xfId="19292"/>
    <cellStyle name="20% - Accent1 4 2 4 4" xfId="1308"/>
    <cellStyle name="20% - Accent1 4 2 4 4 2" xfId="19294"/>
    <cellStyle name="20% - Accent1 4 2 4 5" xfId="19287"/>
    <cellStyle name="20% - Accent1 4 2 5" xfId="1309"/>
    <cellStyle name="20% - Accent1 4 2 5 2" xfId="1310"/>
    <cellStyle name="20% - Accent1 4 2 5 2 2" xfId="1311"/>
    <cellStyle name="20% - Accent1 4 2 5 2 2 2" xfId="1312"/>
    <cellStyle name="20% - Accent1 4 2 5 2 2 2 2" xfId="19298"/>
    <cellStyle name="20% - Accent1 4 2 5 2 2 3" xfId="19297"/>
    <cellStyle name="20% - Accent1 4 2 5 2 3" xfId="1313"/>
    <cellStyle name="20% - Accent1 4 2 5 2 3 2" xfId="19299"/>
    <cellStyle name="20% - Accent1 4 2 5 2 4" xfId="19296"/>
    <cellStyle name="20% - Accent1 4 2 5 3" xfId="1314"/>
    <cellStyle name="20% - Accent1 4 2 5 3 2" xfId="1315"/>
    <cellStyle name="20% - Accent1 4 2 5 3 2 2" xfId="19301"/>
    <cellStyle name="20% - Accent1 4 2 5 3 3" xfId="19300"/>
    <cellStyle name="20% - Accent1 4 2 5 4" xfId="1316"/>
    <cellStyle name="20% - Accent1 4 2 5 4 2" xfId="19302"/>
    <cellStyle name="20% - Accent1 4 2 5 5" xfId="19295"/>
    <cellStyle name="20% - Accent1 4 2 6" xfId="1317"/>
    <cellStyle name="20% - Accent1 4 2 6 2" xfId="1318"/>
    <cellStyle name="20% - Accent1 4 2 6 2 2" xfId="1319"/>
    <cellStyle name="20% - Accent1 4 2 6 2 2 2" xfId="19305"/>
    <cellStyle name="20% - Accent1 4 2 6 2 3" xfId="19304"/>
    <cellStyle name="20% - Accent1 4 2 6 3" xfId="1320"/>
    <cellStyle name="20% - Accent1 4 2 6 3 2" xfId="19306"/>
    <cellStyle name="20% - Accent1 4 2 6 4" xfId="19303"/>
    <cellStyle name="20% - Accent1 4 2 7" xfId="1321"/>
    <cellStyle name="20% - Accent1 4 2 7 2" xfId="1322"/>
    <cellStyle name="20% - Accent1 4 2 7 2 2" xfId="19308"/>
    <cellStyle name="20% - Accent1 4 2 7 3" xfId="19307"/>
    <cellStyle name="20% - Accent1 4 2 8" xfId="1323"/>
    <cellStyle name="20% - Accent1 4 2 8 2" xfId="19309"/>
    <cellStyle name="20% - Accent1 4 2 9" xfId="19214"/>
    <cellStyle name="20% - Accent1 4 3" xfId="1324"/>
    <cellStyle name="20% - Accent1 4 3 2" xfId="1325"/>
    <cellStyle name="20% - Accent1 4 3 2 2" xfId="1326"/>
    <cellStyle name="20% - Accent1 4 3 2 2 2" xfId="1327"/>
    <cellStyle name="20% - Accent1 4 3 2 2 2 2" xfId="1328"/>
    <cellStyle name="20% - Accent1 4 3 2 2 2 2 2" xfId="1329"/>
    <cellStyle name="20% - Accent1 4 3 2 2 2 2 2 2" xfId="19315"/>
    <cellStyle name="20% - Accent1 4 3 2 2 2 2 3" xfId="19314"/>
    <cellStyle name="20% - Accent1 4 3 2 2 2 3" xfId="1330"/>
    <cellStyle name="20% - Accent1 4 3 2 2 2 3 2" xfId="19316"/>
    <cellStyle name="20% - Accent1 4 3 2 2 2 4" xfId="19313"/>
    <cellStyle name="20% - Accent1 4 3 2 2 3" xfId="1331"/>
    <cellStyle name="20% - Accent1 4 3 2 2 3 2" xfId="1332"/>
    <cellStyle name="20% - Accent1 4 3 2 2 3 2 2" xfId="19318"/>
    <cellStyle name="20% - Accent1 4 3 2 2 3 3" xfId="19317"/>
    <cellStyle name="20% - Accent1 4 3 2 2 4" xfId="1333"/>
    <cellStyle name="20% - Accent1 4 3 2 2 4 2" xfId="19319"/>
    <cellStyle name="20% - Accent1 4 3 2 2 5" xfId="19312"/>
    <cellStyle name="20% - Accent1 4 3 2 3" xfId="1334"/>
    <cellStyle name="20% - Accent1 4 3 2 3 2" xfId="1335"/>
    <cellStyle name="20% - Accent1 4 3 2 3 2 2" xfId="1336"/>
    <cellStyle name="20% - Accent1 4 3 2 3 2 2 2" xfId="1337"/>
    <cellStyle name="20% - Accent1 4 3 2 3 2 2 2 2" xfId="19323"/>
    <cellStyle name="20% - Accent1 4 3 2 3 2 2 3" xfId="19322"/>
    <cellStyle name="20% - Accent1 4 3 2 3 2 3" xfId="1338"/>
    <cellStyle name="20% - Accent1 4 3 2 3 2 3 2" xfId="19324"/>
    <cellStyle name="20% - Accent1 4 3 2 3 2 4" xfId="19321"/>
    <cellStyle name="20% - Accent1 4 3 2 3 3" xfId="1339"/>
    <cellStyle name="20% - Accent1 4 3 2 3 3 2" xfId="1340"/>
    <cellStyle name="20% - Accent1 4 3 2 3 3 2 2" xfId="19326"/>
    <cellStyle name="20% - Accent1 4 3 2 3 3 3" xfId="19325"/>
    <cellStyle name="20% - Accent1 4 3 2 3 4" xfId="1341"/>
    <cellStyle name="20% - Accent1 4 3 2 3 4 2" xfId="19327"/>
    <cellStyle name="20% - Accent1 4 3 2 3 5" xfId="19320"/>
    <cellStyle name="20% - Accent1 4 3 2 4" xfId="1342"/>
    <cellStyle name="20% - Accent1 4 3 2 4 2" xfId="1343"/>
    <cellStyle name="20% - Accent1 4 3 2 4 2 2" xfId="1344"/>
    <cellStyle name="20% - Accent1 4 3 2 4 2 2 2" xfId="19330"/>
    <cellStyle name="20% - Accent1 4 3 2 4 2 3" xfId="19329"/>
    <cellStyle name="20% - Accent1 4 3 2 4 3" xfId="1345"/>
    <cellStyle name="20% - Accent1 4 3 2 4 3 2" xfId="19331"/>
    <cellStyle name="20% - Accent1 4 3 2 4 4" xfId="19328"/>
    <cellStyle name="20% - Accent1 4 3 2 5" xfId="1346"/>
    <cellStyle name="20% - Accent1 4 3 2 5 2" xfId="1347"/>
    <cellStyle name="20% - Accent1 4 3 2 5 2 2" xfId="19333"/>
    <cellStyle name="20% - Accent1 4 3 2 5 3" xfId="19332"/>
    <cellStyle name="20% - Accent1 4 3 2 6" xfId="1348"/>
    <cellStyle name="20% - Accent1 4 3 2 6 2" xfId="19334"/>
    <cellStyle name="20% - Accent1 4 3 2 7" xfId="19311"/>
    <cellStyle name="20% - Accent1 4 3 3" xfId="1349"/>
    <cellStyle name="20% - Accent1 4 3 3 2" xfId="1350"/>
    <cellStyle name="20% - Accent1 4 3 3 2 2" xfId="1351"/>
    <cellStyle name="20% - Accent1 4 3 3 2 2 2" xfId="1352"/>
    <cellStyle name="20% - Accent1 4 3 3 2 2 2 2" xfId="19338"/>
    <cellStyle name="20% - Accent1 4 3 3 2 2 3" xfId="19337"/>
    <cellStyle name="20% - Accent1 4 3 3 2 3" xfId="1353"/>
    <cellStyle name="20% - Accent1 4 3 3 2 3 2" xfId="19339"/>
    <cellStyle name="20% - Accent1 4 3 3 2 4" xfId="19336"/>
    <cellStyle name="20% - Accent1 4 3 3 3" xfId="1354"/>
    <cellStyle name="20% - Accent1 4 3 3 3 2" xfId="1355"/>
    <cellStyle name="20% - Accent1 4 3 3 3 2 2" xfId="19341"/>
    <cellStyle name="20% - Accent1 4 3 3 3 3" xfId="19340"/>
    <cellStyle name="20% - Accent1 4 3 3 4" xfId="1356"/>
    <cellStyle name="20% - Accent1 4 3 3 4 2" xfId="19342"/>
    <cellStyle name="20% - Accent1 4 3 3 5" xfId="19335"/>
    <cellStyle name="20% - Accent1 4 3 4" xfId="1357"/>
    <cellStyle name="20% - Accent1 4 3 4 2" xfId="1358"/>
    <cellStyle name="20% - Accent1 4 3 4 2 2" xfId="1359"/>
    <cellStyle name="20% - Accent1 4 3 4 2 2 2" xfId="1360"/>
    <cellStyle name="20% - Accent1 4 3 4 2 2 2 2" xfId="19346"/>
    <cellStyle name="20% - Accent1 4 3 4 2 2 3" xfId="19345"/>
    <cellStyle name="20% - Accent1 4 3 4 2 3" xfId="1361"/>
    <cellStyle name="20% - Accent1 4 3 4 2 3 2" xfId="19347"/>
    <cellStyle name="20% - Accent1 4 3 4 2 4" xfId="19344"/>
    <cellStyle name="20% - Accent1 4 3 4 3" xfId="1362"/>
    <cellStyle name="20% - Accent1 4 3 4 3 2" xfId="1363"/>
    <cellStyle name="20% - Accent1 4 3 4 3 2 2" xfId="19349"/>
    <cellStyle name="20% - Accent1 4 3 4 3 3" xfId="19348"/>
    <cellStyle name="20% - Accent1 4 3 4 4" xfId="1364"/>
    <cellStyle name="20% - Accent1 4 3 4 4 2" xfId="19350"/>
    <cellStyle name="20% - Accent1 4 3 4 5" xfId="19343"/>
    <cellStyle name="20% - Accent1 4 3 5" xfId="1365"/>
    <cellStyle name="20% - Accent1 4 3 5 2" xfId="1366"/>
    <cellStyle name="20% - Accent1 4 3 5 2 2" xfId="1367"/>
    <cellStyle name="20% - Accent1 4 3 5 2 2 2" xfId="19353"/>
    <cellStyle name="20% - Accent1 4 3 5 2 3" xfId="19352"/>
    <cellStyle name="20% - Accent1 4 3 5 3" xfId="1368"/>
    <cellStyle name="20% - Accent1 4 3 5 3 2" xfId="19354"/>
    <cellStyle name="20% - Accent1 4 3 5 4" xfId="19351"/>
    <cellStyle name="20% - Accent1 4 3 6" xfId="1369"/>
    <cellStyle name="20% - Accent1 4 3 6 2" xfId="1370"/>
    <cellStyle name="20% - Accent1 4 3 6 2 2" xfId="19356"/>
    <cellStyle name="20% - Accent1 4 3 6 3" xfId="19355"/>
    <cellStyle name="20% - Accent1 4 3 7" xfId="1371"/>
    <cellStyle name="20% - Accent1 4 3 7 2" xfId="19357"/>
    <cellStyle name="20% - Accent1 4 3 8" xfId="19310"/>
    <cellStyle name="20% - Accent1 4 4" xfId="1372"/>
    <cellStyle name="20% - Accent1 4 4 2" xfId="1373"/>
    <cellStyle name="20% - Accent1 4 4 2 2" xfId="1374"/>
    <cellStyle name="20% - Accent1 4 4 2 2 2" xfId="1375"/>
    <cellStyle name="20% - Accent1 4 4 2 2 2 2" xfId="1376"/>
    <cellStyle name="20% - Accent1 4 4 2 2 2 2 2" xfId="19362"/>
    <cellStyle name="20% - Accent1 4 4 2 2 2 3" xfId="19361"/>
    <cellStyle name="20% - Accent1 4 4 2 2 3" xfId="1377"/>
    <cellStyle name="20% - Accent1 4 4 2 2 3 2" xfId="19363"/>
    <cellStyle name="20% - Accent1 4 4 2 2 4" xfId="19360"/>
    <cellStyle name="20% - Accent1 4 4 2 3" xfId="1378"/>
    <cellStyle name="20% - Accent1 4 4 2 3 2" xfId="1379"/>
    <cellStyle name="20% - Accent1 4 4 2 3 2 2" xfId="19365"/>
    <cellStyle name="20% - Accent1 4 4 2 3 3" xfId="19364"/>
    <cellStyle name="20% - Accent1 4 4 2 4" xfId="1380"/>
    <cellStyle name="20% - Accent1 4 4 2 4 2" xfId="19366"/>
    <cellStyle name="20% - Accent1 4 4 2 5" xfId="19359"/>
    <cellStyle name="20% - Accent1 4 4 3" xfId="1381"/>
    <cellStyle name="20% - Accent1 4 4 3 2" xfId="1382"/>
    <cellStyle name="20% - Accent1 4 4 3 2 2" xfId="1383"/>
    <cellStyle name="20% - Accent1 4 4 3 2 2 2" xfId="1384"/>
    <cellStyle name="20% - Accent1 4 4 3 2 2 2 2" xfId="19370"/>
    <cellStyle name="20% - Accent1 4 4 3 2 2 3" xfId="19369"/>
    <cellStyle name="20% - Accent1 4 4 3 2 3" xfId="1385"/>
    <cellStyle name="20% - Accent1 4 4 3 2 3 2" xfId="19371"/>
    <cellStyle name="20% - Accent1 4 4 3 2 4" xfId="19368"/>
    <cellStyle name="20% - Accent1 4 4 3 3" xfId="1386"/>
    <cellStyle name="20% - Accent1 4 4 3 3 2" xfId="1387"/>
    <cellStyle name="20% - Accent1 4 4 3 3 2 2" xfId="19373"/>
    <cellStyle name="20% - Accent1 4 4 3 3 3" xfId="19372"/>
    <cellStyle name="20% - Accent1 4 4 3 4" xfId="1388"/>
    <cellStyle name="20% - Accent1 4 4 3 4 2" xfId="19374"/>
    <cellStyle name="20% - Accent1 4 4 3 5" xfId="19367"/>
    <cellStyle name="20% - Accent1 4 4 4" xfId="1389"/>
    <cellStyle name="20% - Accent1 4 4 4 2" xfId="1390"/>
    <cellStyle name="20% - Accent1 4 4 4 2 2" xfId="1391"/>
    <cellStyle name="20% - Accent1 4 4 4 2 2 2" xfId="19377"/>
    <cellStyle name="20% - Accent1 4 4 4 2 3" xfId="19376"/>
    <cellStyle name="20% - Accent1 4 4 4 3" xfId="1392"/>
    <cellStyle name="20% - Accent1 4 4 4 3 2" xfId="19378"/>
    <cellStyle name="20% - Accent1 4 4 4 4" xfId="19375"/>
    <cellStyle name="20% - Accent1 4 4 5" xfId="1393"/>
    <cellStyle name="20% - Accent1 4 4 5 2" xfId="1394"/>
    <cellStyle name="20% - Accent1 4 4 5 2 2" xfId="19380"/>
    <cellStyle name="20% - Accent1 4 4 5 3" xfId="19379"/>
    <cellStyle name="20% - Accent1 4 4 6" xfId="1395"/>
    <cellStyle name="20% - Accent1 4 4 6 2" xfId="19381"/>
    <cellStyle name="20% - Accent1 4 4 7" xfId="19358"/>
    <cellStyle name="20% - Accent1 4 5" xfId="1396"/>
    <cellStyle name="20% - Accent1 4 5 2" xfId="1397"/>
    <cellStyle name="20% - Accent1 4 5 2 2" xfId="1398"/>
    <cellStyle name="20% - Accent1 4 5 2 2 2" xfId="1399"/>
    <cellStyle name="20% - Accent1 4 5 2 2 2 2" xfId="19385"/>
    <cellStyle name="20% - Accent1 4 5 2 2 3" xfId="19384"/>
    <cellStyle name="20% - Accent1 4 5 2 3" xfId="1400"/>
    <cellStyle name="20% - Accent1 4 5 2 3 2" xfId="19386"/>
    <cellStyle name="20% - Accent1 4 5 2 4" xfId="19383"/>
    <cellStyle name="20% - Accent1 4 5 3" xfId="1401"/>
    <cellStyle name="20% - Accent1 4 5 3 2" xfId="1402"/>
    <cellStyle name="20% - Accent1 4 5 3 2 2" xfId="19388"/>
    <cellStyle name="20% - Accent1 4 5 3 3" xfId="19387"/>
    <cellStyle name="20% - Accent1 4 5 4" xfId="1403"/>
    <cellStyle name="20% - Accent1 4 5 4 2" xfId="19389"/>
    <cellStyle name="20% - Accent1 4 5 5" xfId="19382"/>
    <cellStyle name="20% - Accent1 4 6" xfId="1404"/>
    <cellStyle name="20% - Accent1 4 6 2" xfId="1405"/>
    <cellStyle name="20% - Accent1 4 6 2 2" xfId="1406"/>
    <cellStyle name="20% - Accent1 4 6 2 2 2" xfId="1407"/>
    <cellStyle name="20% - Accent1 4 6 2 2 2 2" xfId="19393"/>
    <cellStyle name="20% - Accent1 4 6 2 2 3" xfId="19392"/>
    <cellStyle name="20% - Accent1 4 6 2 3" xfId="1408"/>
    <cellStyle name="20% - Accent1 4 6 2 3 2" xfId="19394"/>
    <cellStyle name="20% - Accent1 4 6 2 4" xfId="19391"/>
    <cellStyle name="20% - Accent1 4 6 3" xfId="1409"/>
    <cellStyle name="20% - Accent1 4 6 3 2" xfId="1410"/>
    <cellStyle name="20% - Accent1 4 6 3 2 2" xfId="19396"/>
    <cellStyle name="20% - Accent1 4 6 3 3" xfId="19395"/>
    <cellStyle name="20% - Accent1 4 6 4" xfId="1411"/>
    <cellStyle name="20% - Accent1 4 6 4 2" xfId="19397"/>
    <cellStyle name="20% - Accent1 4 6 5" xfId="19390"/>
    <cellStyle name="20% - Accent1 4 7" xfId="1412"/>
    <cellStyle name="20% - Accent1 4 7 2" xfId="1413"/>
    <cellStyle name="20% - Accent1 4 7 2 2" xfId="1414"/>
    <cellStyle name="20% - Accent1 4 7 2 2 2" xfId="19400"/>
    <cellStyle name="20% - Accent1 4 7 2 3" xfId="19399"/>
    <cellStyle name="20% - Accent1 4 7 3" xfId="1415"/>
    <cellStyle name="20% - Accent1 4 7 3 2" xfId="19401"/>
    <cellStyle name="20% - Accent1 4 7 4" xfId="19398"/>
    <cellStyle name="20% - Accent1 4 8" xfId="1416"/>
    <cellStyle name="20% - Accent1 4 8 2" xfId="1417"/>
    <cellStyle name="20% - Accent1 4 8 2 2" xfId="19403"/>
    <cellStyle name="20% - Accent1 4 8 3" xfId="19402"/>
    <cellStyle name="20% - Accent1 4 9" xfId="1418"/>
    <cellStyle name="20% - Accent1 4 9 2" xfId="19404"/>
    <cellStyle name="20% - Accent1 5" xfId="1419"/>
    <cellStyle name="20% - Accent1 5 10" xfId="19405"/>
    <cellStyle name="20% - Accent1 5 2" xfId="1420"/>
    <cellStyle name="20% - Accent1 5 2 2" xfId="1421"/>
    <cellStyle name="20% - Accent1 5 2 2 2" xfId="1422"/>
    <cellStyle name="20% - Accent1 5 2 2 2 2" xfId="1423"/>
    <cellStyle name="20% - Accent1 5 2 2 2 2 2" xfId="1424"/>
    <cellStyle name="20% - Accent1 5 2 2 2 2 2 2" xfId="1425"/>
    <cellStyle name="20% - Accent1 5 2 2 2 2 2 2 2" xfId="1426"/>
    <cellStyle name="20% - Accent1 5 2 2 2 2 2 2 2 2" xfId="19412"/>
    <cellStyle name="20% - Accent1 5 2 2 2 2 2 2 3" xfId="19411"/>
    <cellStyle name="20% - Accent1 5 2 2 2 2 2 3" xfId="1427"/>
    <cellStyle name="20% - Accent1 5 2 2 2 2 2 3 2" xfId="19413"/>
    <cellStyle name="20% - Accent1 5 2 2 2 2 2 4" xfId="19410"/>
    <cellStyle name="20% - Accent1 5 2 2 2 2 3" xfId="1428"/>
    <cellStyle name="20% - Accent1 5 2 2 2 2 3 2" xfId="1429"/>
    <cellStyle name="20% - Accent1 5 2 2 2 2 3 2 2" xfId="19415"/>
    <cellStyle name="20% - Accent1 5 2 2 2 2 3 3" xfId="19414"/>
    <cellStyle name="20% - Accent1 5 2 2 2 2 4" xfId="1430"/>
    <cellStyle name="20% - Accent1 5 2 2 2 2 4 2" xfId="19416"/>
    <cellStyle name="20% - Accent1 5 2 2 2 2 5" xfId="19409"/>
    <cellStyle name="20% - Accent1 5 2 2 2 3" xfId="1431"/>
    <cellStyle name="20% - Accent1 5 2 2 2 3 2" xfId="1432"/>
    <cellStyle name="20% - Accent1 5 2 2 2 3 2 2" xfId="1433"/>
    <cellStyle name="20% - Accent1 5 2 2 2 3 2 2 2" xfId="1434"/>
    <cellStyle name="20% - Accent1 5 2 2 2 3 2 2 2 2" xfId="19420"/>
    <cellStyle name="20% - Accent1 5 2 2 2 3 2 2 3" xfId="19419"/>
    <cellStyle name="20% - Accent1 5 2 2 2 3 2 3" xfId="1435"/>
    <cellStyle name="20% - Accent1 5 2 2 2 3 2 3 2" xfId="19421"/>
    <cellStyle name="20% - Accent1 5 2 2 2 3 2 4" xfId="19418"/>
    <cellStyle name="20% - Accent1 5 2 2 2 3 3" xfId="1436"/>
    <cellStyle name="20% - Accent1 5 2 2 2 3 3 2" xfId="1437"/>
    <cellStyle name="20% - Accent1 5 2 2 2 3 3 2 2" xfId="19423"/>
    <cellStyle name="20% - Accent1 5 2 2 2 3 3 3" xfId="19422"/>
    <cellStyle name="20% - Accent1 5 2 2 2 3 4" xfId="1438"/>
    <cellStyle name="20% - Accent1 5 2 2 2 3 4 2" xfId="19424"/>
    <cellStyle name="20% - Accent1 5 2 2 2 3 5" xfId="19417"/>
    <cellStyle name="20% - Accent1 5 2 2 2 4" xfId="1439"/>
    <cellStyle name="20% - Accent1 5 2 2 2 4 2" xfId="1440"/>
    <cellStyle name="20% - Accent1 5 2 2 2 4 2 2" xfId="1441"/>
    <cellStyle name="20% - Accent1 5 2 2 2 4 2 2 2" xfId="19427"/>
    <cellStyle name="20% - Accent1 5 2 2 2 4 2 3" xfId="19426"/>
    <cellStyle name="20% - Accent1 5 2 2 2 4 3" xfId="1442"/>
    <cellStyle name="20% - Accent1 5 2 2 2 4 3 2" xfId="19428"/>
    <cellStyle name="20% - Accent1 5 2 2 2 4 4" xfId="19425"/>
    <cellStyle name="20% - Accent1 5 2 2 2 5" xfId="1443"/>
    <cellStyle name="20% - Accent1 5 2 2 2 5 2" xfId="1444"/>
    <cellStyle name="20% - Accent1 5 2 2 2 5 2 2" xfId="19430"/>
    <cellStyle name="20% - Accent1 5 2 2 2 5 3" xfId="19429"/>
    <cellStyle name="20% - Accent1 5 2 2 2 6" xfId="1445"/>
    <cellStyle name="20% - Accent1 5 2 2 2 6 2" xfId="19431"/>
    <cellStyle name="20% - Accent1 5 2 2 2 7" xfId="19408"/>
    <cellStyle name="20% - Accent1 5 2 2 3" xfId="1446"/>
    <cellStyle name="20% - Accent1 5 2 2 3 2" xfId="1447"/>
    <cellStyle name="20% - Accent1 5 2 2 3 2 2" xfId="1448"/>
    <cellStyle name="20% - Accent1 5 2 2 3 2 2 2" xfId="1449"/>
    <cellStyle name="20% - Accent1 5 2 2 3 2 2 2 2" xfId="19435"/>
    <cellStyle name="20% - Accent1 5 2 2 3 2 2 3" xfId="19434"/>
    <cellStyle name="20% - Accent1 5 2 2 3 2 3" xfId="1450"/>
    <cellStyle name="20% - Accent1 5 2 2 3 2 3 2" xfId="19436"/>
    <cellStyle name="20% - Accent1 5 2 2 3 2 4" xfId="19433"/>
    <cellStyle name="20% - Accent1 5 2 2 3 3" xfId="1451"/>
    <cellStyle name="20% - Accent1 5 2 2 3 3 2" xfId="1452"/>
    <cellStyle name="20% - Accent1 5 2 2 3 3 2 2" xfId="19438"/>
    <cellStyle name="20% - Accent1 5 2 2 3 3 3" xfId="19437"/>
    <cellStyle name="20% - Accent1 5 2 2 3 4" xfId="1453"/>
    <cellStyle name="20% - Accent1 5 2 2 3 4 2" xfId="19439"/>
    <cellStyle name="20% - Accent1 5 2 2 3 5" xfId="19432"/>
    <cellStyle name="20% - Accent1 5 2 2 4" xfId="1454"/>
    <cellStyle name="20% - Accent1 5 2 2 4 2" xfId="1455"/>
    <cellStyle name="20% - Accent1 5 2 2 4 2 2" xfId="1456"/>
    <cellStyle name="20% - Accent1 5 2 2 4 2 2 2" xfId="1457"/>
    <cellStyle name="20% - Accent1 5 2 2 4 2 2 2 2" xfId="19443"/>
    <cellStyle name="20% - Accent1 5 2 2 4 2 2 3" xfId="19442"/>
    <cellStyle name="20% - Accent1 5 2 2 4 2 3" xfId="1458"/>
    <cellStyle name="20% - Accent1 5 2 2 4 2 3 2" xfId="19444"/>
    <cellStyle name="20% - Accent1 5 2 2 4 2 4" xfId="19441"/>
    <cellStyle name="20% - Accent1 5 2 2 4 3" xfId="1459"/>
    <cellStyle name="20% - Accent1 5 2 2 4 3 2" xfId="1460"/>
    <cellStyle name="20% - Accent1 5 2 2 4 3 2 2" xfId="19446"/>
    <cellStyle name="20% - Accent1 5 2 2 4 3 3" xfId="19445"/>
    <cellStyle name="20% - Accent1 5 2 2 4 4" xfId="1461"/>
    <cellStyle name="20% - Accent1 5 2 2 4 4 2" xfId="19447"/>
    <cellStyle name="20% - Accent1 5 2 2 4 5" xfId="19440"/>
    <cellStyle name="20% - Accent1 5 2 2 5" xfId="1462"/>
    <cellStyle name="20% - Accent1 5 2 2 5 2" xfId="1463"/>
    <cellStyle name="20% - Accent1 5 2 2 5 2 2" xfId="1464"/>
    <cellStyle name="20% - Accent1 5 2 2 5 2 2 2" xfId="19450"/>
    <cellStyle name="20% - Accent1 5 2 2 5 2 3" xfId="19449"/>
    <cellStyle name="20% - Accent1 5 2 2 5 3" xfId="1465"/>
    <cellStyle name="20% - Accent1 5 2 2 5 3 2" xfId="19451"/>
    <cellStyle name="20% - Accent1 5 2 2 5 4" xfId="19448"/>
    <cellStyle name="20% - Accent1 5 2 2 6" xfId="1466"/>
    <cellStyle name="20% - Accent1 5 2 2 6 2" xfId="1467"/>
    <cellStyle name="20% - Accent1 5 2 2 6 2 2" xfId="19453"/>
    <cellStyle name="20% - Accent1 5 2 2 6 3" xfId="19452"/>
    <cellStyle name="20% - Accent1 5 2 2 7" xfId="1468"/>
    <cellStyle name="20% - Accent1 5 2 2 7 2" xfId="19454"/>
    <cellStyle name="20% - Accent1 5 2 2 8" xfId="19407"/>
    <cellStyle name="20% - Accent1 5 2 3" xfId="1469"/>
    <cellStyle name="20% - Accent1 5 2 3 2" xfId="1470"/>
    <cellStyle name="20% - Accent1 5 2 3 2 2" xfId="1471"/>
    <cellStyle name="20% - Accent1 5 2 3 2 2 2" xfId="1472"/>
    <cellStyle name="20% - Accent1 5 2 3 2 2 2 2" xfId="1473"/>
    <cellStyle name="20% - Accent1 5 2 3 2 2 2 2 2" xfId="19459"/>
    <cellStyle name="20% - Accent1 5 2 3 2 2 2 3" xfId="19458"/>
    <cellStyle name="20% - Accent1 5 2 3 2 2 3" xfId="1474"/>
    <cellStyle name="20% - Accent1 5 2 3 2 2 3 2" xfId="19460"/>
    <cellStyle name="20% - Accent1 5 2 3 2 2 4" xfId="19457"/>
    <cellStyle name="20% - Accent1 5 2 3 2 3" xfId="1475"/>
    <cellStyle name="20% - Accent1 5 2 3 2 3 2" xfId="1476"/>
    <cellStyle name="20% - Accent1 5 2 3 2 3 2 2" xfId="19462"/>
    <cellStyle name="20% - Accent1 5 2 3 2 3 3" xfId="19461"/>
    <cellStyle name="20% - Accent1 5 2 3 2 4" xfId="1477"/>
    <cellStyle name="20% - Accent1 5 2 3 2 4 2" xfId="19463"/>
    <cellStyle name="20% - Accent1 5 2 3 2 5" xfId="19456"/>
    <cellStyle name="20% - Accent1 5 2 3 3" xfId="1478"/>
    <cellStyle name="20% - Accent1 5 2 3 3 2" xfId="1479"/>
    <cellStyle name="20% - Accent1 5 2 3 3 2 2" xfId="1480"/>
    <cellStyle name="20% - Accent1 5 2 3 3 2 2 2" xfId="1481"/>
    <cellStyle name="20% - Accent1 5 2 3 3 2 2 2 2" xfId="19467"/>
    <cellStyle name="20% - Accent1 5 2 3 3 2 2 3" xfId="19466"/>
    <cellStyle name="20% - Accent1 5 2 3 3 2 3" xfId="1482"/>
    <cellStyle name="20% - Accent1 5 2 3 3 2 3 2" xfId="19468"/>
    <cellStyle name="20% - Accent1 5 2 3 3 2 4" xfId="19465"/>
    <cellStyle name="20% - Accent1 5 2 3 3 3" xfId="1483"/>
    <cellStyle name="20% - Accent1 5 2 3 3 3 2" xfId="1484"/>
    <cellStyle name="20% - Accent1 5 2 3 3 3 2 2" xfId="19470"/>
    <cellStyle name="20% - Accent1 5 2 3 3 3 3" xfId="19469"/>
    <cellStyle name="20% - Accent1 5 2 3 3 4" xfId="1485"/>
    <cellStyle name="20% - Accent1 5 2 3 3 4 2" xfId="19471"/>
    <cellStyle name="20% - Accent1 5 2 3 3 5" xfId="19464"/>
    <cellStyle name="20% - Accent1 5 2 3 4" xfId="1486"/>
    <cellStyle name="20% - Accent1 5 2 3 4 2" xfId="1487"/>
    <cellStyle name="20% - Accent1 5 2 3 4 2 2" xfId="1488"/>
    <cellStyle name="20% - Accent1 5 2 3 4 2 2 2" xfId="19474"/>
    <cellStyle name="20% - Accent1 5 2 3 4 2 3" xfId="19473"/>
    <cellStyle name="20% - Accent1 5 2 3 4 3" xfId="1489"/>
    <cellStyle name="20% - Accent1 5 2 3 4 3 2" xfId="19475"/>
    <cellStyle name="20% - Accent1 5 2 3 4 4" xfId="19472"/>
    <cellStyle name="20% - Accent1 5 2 3 5" xfId="1490"/>
    <cellStyle name="20% - Accent1 5 2 3 5 2" xfId="1491"/>
    <cellStyle name="20% - Accent1 5 2 3 5 2 2" xfId="19477"/>
    <cellStyle name="20% - Accent1 5 2 3 5 3" xfId="19476"/>
    <cellStyle name="20% - Accent1 5 2 3 6" xfId="1492"/>
    <cellStyle name="20% - Accent1 5 2 3 6 2" xfId="19478"/>
    <cellStyle name="20% - Accent1 5 2 3 7" xfId="19455"/>
    <cellStyle name="20% - Accent1 5 2 4" xfId="1493"/>
    <cellStyle name="20% - Accent1 5 2 4 2" xfId="1494"/>
    <cellStyle name="20% - Accent1 5 2 4 2 2" xfId="1495"/>
    <cellStyle name="20% - Accent1 5 2 4 2 2 2" xfId="1496"/>
    <cellStyle name="20% - Accent1 5 2 4 2 2 2 2" xfId="19482"/>
    <cellStyle name="20% - Accent1 5 2 4 2 2 3" xfId="19481"/>
    <cellStyle name="20% - Accent1 5 2 4 2 3" xfId="1497"/>
    <cellStyle name="20% - Accent1 5 2 4 2 3 2" xfId="19483"/>
    <cellStyle name="20% - Accent1 5 2 4 2 4" xfId="19480"/>
    <cellStyle name="20% - Accent1 5 2 4 3" xfId="1498"/>
    <cellStyle name="20% - Accent1 5 2 4 3 2" xfId="1499"/>
    <cellStyle name="20% - Accent1 5 2 4 3 2 2" xfId="19485"/>
    <cellStyle name="20% - Accent1 5 2 4 3 3" xfId="19484"/>
    <cellStyle name="20% - Accent1 5 2 4 4" xfId="1500"/>
    <cellStyle name="20% - Accent1 5 2 4 4 2" xfId="19486"/>
    <cellStyle name="20% - Accent1 5 2 4 5" xfId="19479"/>
    <cellStyle name="20% - Accent1 5 2 5" xfId="1501"/>
    <cellStyle name="20% - Accent1 5 2 5 2" xfId="1502"/>
    <cellStyle name="20% - Accent1 5 2 5 2 2" xfId="1503"/>
    <cellStyle name="20% - Accent1 5 2 5 2 2 2" xfId="1504"/>
    <cellStyle name="20% - Accent1 5 2 5 2 2 2 2" xfId="19490"/>
    <cellStyle name="20% - Accent1 5 2 5 2 2 3" xfId="19489"/>
    <cellStyle name="20% - Accent1 5 2 5 2 3" xfId="1505"/>
    <cellStyle name="20% - Accent1 5 2 5 2 3 2" xfId="19491"/>
    <cellStyle name="20% - Accent1 5 2 5 2 4" xfId="19488"/>
    <cellStyle name="20% - Accent1 5 2 5 3" xfId="1506"/>
    <cellStyle name="20% - Accent1 5 2 5 3 2" xfId="1507"/>
    <cellStyle name="20% - Accent1 5 2 5 3 2 2" xfId="19493"/>
    <cellStyle name="20% - Accent1 5 2 5 3 3" xfId="19492"/>
    <cellStyle name="20% - Accent1 5 2 5 4" xfId="1508"/>
    <cellStyle name="20% - Accent1 5 2 5 4 2" xfId="19494"/>
    <cellStyle name="20% - Accent1 5 2 5 5" xfId="19487"/>
    <cellStyle name="20% - Accent1 5 2 6" xfId="1509"/>
    <cellStyle name="20% - Accent1 5 2 6 2" xfId="1510"/>
    <cellStyle name="20% - Accent1 5 2 6 2 2" xfId="1511"/>
    <cellStyle name="20% - Accent1 5 2 6 2 2 2" xfId="19497"/>
    <cellStyle name="20% - Accent1 5 2 6 2 3" xfId="19496"/>
    <cellStyle name="20% - Accent1 5 2 6 3" xfId="1512"/>
    <cellStyle name="20% - Accent1 5 2 6 3 2" xfId="19498"/>
    <cellStyle name="20% - Accent1 5 2 6 4" xfId="19495"/>
    <cellStyle name="20% - Accent1 5 2 7" xfId="1513"/>
    <cellStyle name="20% - Accent1 5 2 7 2" xfId="1514"/>
    <cellStyle name="20% - Accent1 5 2 7 2 2" xfId="19500"/>
    <cellStyle name="20% - Accent1 5 2 7 3" xfId="19499"/>
    <cellStyle name="20% - Accent1 5 2 8" xfId="1515"/>
    <cellStyle name="20% - Accent1 5 2 8 2" xfId="19501"/>
    <cellStyle name="20% - Accent1 5 2 9" xfId="19406"/>
    <cellStyle name="20% - Accent1 5 3" xfId="1516"/>
    <cellStyle name="20% - Accent1 5 3 2" xfId="1517"/>
    <cellStyle name="20% - Accent1 5 3 2 2" xfId="1518"/>
    <cellStyle name="20% - Accent1 5 3 2 2 2" xfId="1519"/>
    <cellStyle name="20% - Accent1 5 3 2 2 2 2" xfId="1520"/>
    <cellStyle name="20% - Accent1 5 3 2 2 2 2 2" xfId="1521"/>
    <cellStyle name="20% - Accent1 5 3 2 2 2 2 2 2" xfId="19507"/>
    <cellStyle name="20% - Accent1 5 3 2 2 2 2 3" xfId="19506"/>
    <cellStyle name="20% - Accent1 5 3 2 2 2 3" xfId="1522"/>
    <cellStyle name="20% - Accent1 5 3 2 2 2 3 2" xfId="19508"/>
    <cellStyle name="20% - Accent1 5 3 2 2 2 4" xfId="19505"/>
    <cellStyle name="20% - Accent1 5 3 2 2 3" xfId="1523"/>
    <cellStyle name="20% - Accent1 5 3 2 2 3 2" xfId="1524"/>
    <cellStyle name="20% - Accent1 5 3 2 2 3 2 2" xfId="19510"/>
    <cellStyle name="20% - Accent1 5 3 2 2 3 3" xfId="19509"/>
    <cellStyle name="20% - Accent1 5 3 2 2 4" xfId="1525"/>
    <cellStyle name="20% - Accent1 5 3 2 2 4 2" xfId="19511"/>
    <cellStyle name="20% - Accent1 5 3 2 2 5" xfId="19504"/>
    <cellStyle name="20% - Accent1 5 3 2 3" xfId="1526"/>
    <cellStyle name="20% - Accent1 5 3 2 3 2" xfId="1527"/>
    <cellStyle name="20% - Accent1 5 3 2 3 2 2" xfId="1528"/>
    <cellStyle name="20% - Accent1 5 3 2 3 2 2 2" xfId="1529"/>
    <cellStyle name="20% - Accent1 5 3 2 3 2 2 2 2" xfId="19515"/>
    <cellStyle name="20% - Accent1 5 3 2 3 2 2 3" xfId="19514"/>
    <cellStyle name="20% - Accent1 5 3 2 3 2 3" xfId="1530"/>
    <cellStyle name="20% - Accent1 5 3 2 3 2 3 2" xfId="19516"/>
    <cellStyle name="20% - Accent1 5 3 2 3 2 4" xfId="19513"/>
    <cellStyle name="20% - Accent1 5 3 2 3 3" xfId="1531"/>
    <cellStyle name="20% - Accent1 5 3 2 3 3 2" xfId="1532"/>
    <cellStyle name="20% - Accent1 5 3 2 3 3 2 2" xfId="19518"/>
    <cellStyle name="20% - Accent1 5 3 2 3 3 3" xfId="19517"/>
    <cellStyle name="20% - Accent1 5 3 2 3 4" xfId="1533"/>
    <cellStyle name="20% - Accent1 5 3 2 3 4 2" xfId="19519"/>
    <cellStyle name="20% - Accent1 5 3 2 3 5" xfId="19512"/>
    <cellStyle name="20% - Accent1 5 3 2 4" xfId="1534"/>
    <cellStyle name="20% - Accent1 5 3 2 4 2" xfId="1535"/>
    <cellStyle name="20% - Accent1 5 3 2 4 2 2" xfId="1536"/>
    <cellStyle name="20% - Accent1 5 3 2 4 2 2 2" xfId="19522"/>
    <cellStyle name="20% - Accent1 5 3 2 4 2 3" xfId="19521"/>
    <cellStyle name="20% - Accent1 5 3 2 4 3" xfId="1537"/>
    <cellStyle name="20% - Accent1 5 3 2 4 3 2" xfId="19523"/>
    <cellStyle name="20% - Accent1 5 3 2 4 4" xfId="19520"/>
    <cellStyle name="20% - Accent1 5 3 2 5" xfId="1538"/>
    <cellStyle name="20% - Accent1 5 3 2 5 2" xfId="1539"/>
    <cellStyle name="20% - Accent1 5 3 2 5 2 2" xfId="19525"/>
    <cellStyle name="20% - Accent1 5 3 2 5 3" xfId="19524"/>
    <cellStyle name="20% - Accent1 5 3 2 6" xfId="1540"/>
    <cellStyle name="20% - Accent1 5 3 2 6 2" xfId="19526"/>
    <cellStyle name="20% - Accent1 5 3 2 7" xfId="19503"/>
    <cellStyle name="20% - Accent1 5 3 3" xfId="1541"/>
    <cellStyle name="20% - Accent1 5 3 3 2" xfId="1542"/>
    <cellStyle name="20% - Accent1 5 3 3 2 2" xfId="1543"/>
    <cellStyle name="20% - Accent1 5 3 3 2 2 2" xfId="1544"/>
    <cellStyle name="20% - Accent1 5 3 3 2 2 2 2" xfId="19530"/>
    <cellStyle name="20% - Accent1 5 3 3 2 2 3" xfId="19529"/>
    <cellStyle name="20% - Accent1 5 3 3 2 3" xfId="1545"/>
    <cellStyle name="20% - Accent1 5 3 3 2 3 2" xfId="19531"/>
    <cellStyle name="20% - Accent1 5 3 3 2 4" xfId="19528"/>
    <cellStyle name="20% - Accent1 5 3 3 3" xfId="1546"/>
    <cellStyle name="20% - Accent1 5 3 3 3 2" xfId="1547"/>
    <cellStyle name="20% - Accent1 5 3 3 3 2 2" xfId="19533"/>
    <cellStyle name="20% - Accent1 5 3 3 3 3" xfId="19532"/>
    <cellStyle name="20% - Accent1 5 3 3 4" xfId="1548"/>
    <cellStyle name="20% - Accent1 5 3 3 4 2" xfId="19534"/>
    <cellStyle name="20% - Accent1 5 3 3 5" xfId="19527"/>
    <cellStyle name="20% - Accent1 5 3 4" xfId="1549"/>
    <cellStyle name="20% - Accent1 5 3 4 2" xfId="1550"/>
    <cellStyle name="20% - Accent1 5 3 4 2 2" xfId="1551"/>
    <cellStyle name="20% - Accent1 5 3 4 2 2 2" xfId="1552"/>
    <cellStyle name="20% - Accent1 5 3 4 2 2 2 2" xfId="19538"/>
    <cellStyle name="20% - Accent1 5 3 4 2 2 3" xfId="19537"/>
    <cellStyle name="20% - Accent1 5 3 4 2 3" xfId="1553"/>
    <cellStyle name="20% - Accent1 5 3 4 2 3 2" xfId="19539"/>
    <cellStyle name="20% - Accent1 5 3 4 2 4" xfId="19536"/>
    <cellStyle name="20% - Accent1 5 3 4 3" xfId="1554"/>
    <cellStyle name="20% - Accent1 5 3 4 3 2" xfId="1555"/>
    <cellStyle name="20% - Accent1 5 3 4 3 2 2" xfId="19541"/>
    <cellStyle name="20% - Accent1 5 3 4 3 3" xfId="19540"/>
    <cellStyle name="20% - Accent1 5 3 4 4" xfId="1556"/>
    <cellStyle name="20% - Accent1 5 3 4 4 2" xfId="19542"/>
    <cellStyle name="20% - Accent1 5 3 4 5" xfId="19535"/>
    <cellStyle name="20% - Accent1 5 3 5" xfId="1557"/>
    <cellStyle name="20% - Accent1 5 3 5 2" xfId="1558"/>
    <cellStyle name="20% - Accent1 5 3 5 2 2" xfId="1559"/>
    <cellStyle name="20% - Accent1 5 3 5 2 2 2" xfId="19545"/>
    <cellStyle name="20% - Accent1 5 3 5 2 3" xfId="19544"/>
    <cellStyle name="20% - Accent1 5 3 5 3" xfId="1560"/>
    <cellStyle name="20% - Accent1 5 3 5 3 2" xfId="19546"/>
    <cellStyle name="20% - Accent1 5 3 5 4" xfId="19543"/>
    <cellStyle name="20% - Accent1 5 3 6" xfId="1561"/>
    <cellStyle name="20% - Accent1 5 3 6 2" xfId="1562"/>
    <cellStyle name="20% - Accent1 5 3 6 2 2" xfId="19548"/>
    <cellStyle name="20% - Accent1 5 3 6 3" xfId="19547"/>
    <cellStyle name="20% - Accent1 5 3 7" xfId="1563"/>
    <cellStyle name="20% - Accent1 5 3 7 2" xfId="19549"/>
    <cellStyle name="20% - Accent1 5 3 8" xfId="19502"/>
    <cellStyle name="20% - Accent1 5 4" xfId="1564"/>
    <cellStyle name="20% - Accent1 5 4 2" xfId="1565"/>
    <cellStyle name="20% - Accent1 5 4 2 2" xfId="1566"/>
    <cellStyle name="20% - Accent1 5 4 2 2 2" xfId="1567"/>
    <cellStyle name="20% - Accent1 5 4 2 2 2 2" xfId="1568"/>
    <cellStyle name="20% - Accent1 5 4 2 2 2 2 2" xfId="19554"/>
    <cellStyle name="20% - Accent1 5 4 2 2 2 3" xfId="19553"/>
    <cellStyle name="20% - Accent1 5 4 2 2 3" xfId="1569"/>
    <cellStyle name="20% - Accent1 5 4 2 2 3 2" xfId="19555"/>
    <cellStyle name="20% - Accent1 5 4 2 2 4" xfId="19552"/>
    <cellStyle name="20% - Accent1 5 4 2 3" xfId="1570"/>
    <cellStyle name="20% - Accent1 5 4 2 3 2" xfId="1571"/>
    <cellStyle name="20% - Accent1 5 4 2 3 2 2" xfId="19557"/>
    <cellStyle name="20% - Accent1 5 4 2 3 3" xfId="19556"/>
    <cellStyle name="20% - Accent1 5 4 2 4" xfId="1572"/>
    <cellStyle name="20% - Accent1 5 4 2 4 2" xfId="19558"/>
    <cellStyle name="20% - Accent1 5 4 2 5" xfId="19551"/>
    <cellStyle name="20% - Accent1 5 4 3" xfId="1573"/>
    <cellStyle name="20% - Accent1 5 4 3 2" xfId="1574"/>
    <cellStyle name="20% - Accent1 5 4 3 2 2" xfId="1575"/>
    <cellStyle name="20% - Accent1 5 4 3 2 2 2" xfId="1576"/>
    <cellStyle name="20% - Accent1 5 4 3 2 2 2 2" xfId="19562"/>
    <cellStyle name="20% - Accent1 5 4 3 2 2 3" xfId="19561"/>
    <cellStyle name="20% - Accent1 5 4 3 2 3" xfId="1577"/>
    <cellStyle name="20% - Accent1 5 4 3 2 3 2" xfId="19563"/>
    <cellStyle name="20% - Accent1 5 4 3 2 4" xfId="19560"/>
    <cellStyle name="20% - Accent1 5 4 3 3" xfId="1578"/>
    <cellStyle name="20% - Accent1 5 4 3 3 2" xfId="1579"/>
    <cellStyle name="20% - Accent1 5 4 3 3 2 2" xfId="19565"/>
    <cellStyle name="20% - Accent1 5 4 3 3 3" xfId="19564"/>
    <cellStyle name="20% - Accent1 5 4 3 4" xfId="1580"/>
    <cellStyle name="20% - Accent1 5 4 3 4 2" xfId="19566"/>
    <cellStyle name="20% - Accent1 5 4 3 5" xfId="19559"/>
    <cellStyle name="20% - Accent1 5 4 4" xfId="1581"/>
    <cellStyle name="20% - Accent1 5 4 4 2" xfId="1582"/>
    <cellStyle name="20% - Accent1 5 4 4 2 2" xfId="1583"/>
    <cellStyle name="20% - Accent1 5 4 4 2 2 2" xfId="19569"/>
    <cellStyle name="20% - Accent1 5 4 4 2 3" xfId="19568"/>
    <cellStyle name="20% - Accent1 5 4 4 3" xfId="1584"/>
    <cellStyle name="20% - Accent1 5 4 4 3 2" xfId="19570"/>
    <cellStyle name="20% - Accent1 5 4 4 4" xfId="19567"/>
    <cellStyle name="20% - Accent1 5 4 5" xfId="1585"/>
    <cellStyle name="20% - Accent1 5 4 5 2" xfId="1586"/>
    <cellStyle name="20% - Accent1 5 4 5 2 2" xfId="19572"/>
    <cellStyle name="20% - Accent1 5 4 5 3" xfId="19571"/>
    <cellStyle name="20% - Accent1 5 4 6" xfId="1587"/>
    <cellStyle name="20% - Accent1 5 4 6 2" xfId="19573"/>
    <cellStyle name="20% - Accent1 5 4 7" xfId="19550"/>
    <cellStyle name="20% - Accent1 5 5" xfId="1588"/>
    <cellStyle name="20% - Accent1 5 5 2" xfId="1589"/>
    <cellStyle name="20% - Accent1 5 5 2 2" xfId="1590"/>
    <cellStyle name="20% - Accent1 5 5 2 2 2" xfId="1591"/>
    <cellStyle name="20% - Accent1 5 5 2 2 2 2" xfId="19577"/>
    <cellStyle name="20% - Accent1 5 5 2 2 3" xfId="19576"/>
    <cellStyle name="20% - Accent1 5 5 2 3" xfId="1592"/>
    <cellStyle name="20% - Accent1 5 5 2 3 2" xfId="19578"/>
    <cellStyle name="20% - Accent1 5 5 2 4" xfId="19575"/>
    <cellStyle name="20% - Accent1 5 5 3" xfId="1593"/>
    <cellStyle name="20% - Accent1 5 5 3 2" xfId="1594"/>
    <cellStyle name="20% - Accent1 5 5 3 2 2" xfId="19580"/>
    <cellStyle name="20% - Accent1 5 5 3 3" xfId="19579"/>
    <cellStyle name="20% - Accent1 5 5 4" xfId="1595"/>
    <cellStyle name="20% - Accent1 5 5 4 2" xfId="19581"/>
    <cellStyle name="20% - Accent1 5 5 5" xfId="19574"/>
    <cellStyle name="20% - Accent1 5 6" xfId="1596"/>
    <cellStyle name="20% - Accent1 5 6 2" xfId="1597"/>
    <cellStyle name="20% - Accent1 5 6 2 2" xfId="1598"/>
    <cellStyle name="20% - Accent1 5 6 2 2 2" xfId="1599"/>
    <cellStyle name="20% - Accent1 5 6 2 2 2 2" xfId="19585"/>
    <cellStyle name="20% - Accent1 5 6 2 2 3" xfId="19584"/>
    <cellStyle name="20% - Accent1 5 6 2 3" xfId="1600"/>
    <cellStyle name="20% - Accent1 5 6 2 3 2" xfId="19586"/>
    <cellStyle name="20% - Accent1 5 6 2 4" xfId="19583"/>
    <cellStyle name="20% - Accent1 5 6 3" xfId="1601"/>
    <cellStyle name="20% - Accent1 5 6 3 2" xfId="1602"/>
    <cellStyle name="20% - Accent1 5 6 3 2 2" xfId="19588"/>
    <cellStyle name="20% - Accent1 5 6 3 3" xfId="19587"/>
    <cellStyle name="20% - Accent1 5 6 4" xfId="1603"/>
    <cellStyle name="20% - Accent1 5 6 4 2" xfId="19589"/>
    <cellStyle name="20% - Accent1 5 6 5" xfId="19582"/>
    <cellStyle name="20% - Accent1 5 7" xfId="1604"/>
    <cellStyle name="20% - Accent1 5 7 2" xfId="1605"/>
    <cellStyle name="20% - Accent1 5 7 2 2" xfId="1606"/>
    <cellStyle name="20% - Accent1 5 7 2 2 2" xfId="19592"/>
    <cellStyle name="20% - Accent1 5 7 2 3" xfId="19591"/>
    <cellStyle name="20% - Accent1 5 7 3" xfId="1607"/>
    <cellStyle name="20% - Accent1 5 7 3 2" xfId="19593"/>
    <cellStyle name="20% - Accent1 5 7 4" xfId="19590"/>
    <cellStyle name="20% - Accent1 5 8" xfId="1608"/>
    <cellStyle name="20% - Accent1 5 8 2" xfId="1609"/>
    <cellStyle name="20% - Accent1 5 8 2 2" xfId="19595"/>
    <cellStyle name="20% - Accent1 5 8 3" xfId="19594"/>
    <cellStyle name="20% - Accent1 5 9" xfId="1610"/>
    <cellStyle name="20% - Accent1 5 9 2" xfId="19596"/>
    <cellStyle name="20% - Accent1 6" xfId="1611"/>
    <cellStyle name="20% - Accent1 6 10" xfId="19597"/>
    <cellStyle name="20% - Accent1 6 2" xfId="1612"/>
    <cellStyle name="20% - Accent1 6 2 2" xfId="1613"/>
    <cellStyle name="20% - Accent1 6 2 2 2" xfId="1614"/>
    <cellStyle name="20% - Accent1 6 2 2 2 2" xfId="1615"/>
    <cellStyle name="20% - Accent1 6 2 2 2 2 2" xfId="1616"/>
    <cellStyle name="20% - Accent1 6 2 2 2 2 2 2" xfId="1617"/>
    <cellStyle name="20% - Accent1 6 2 2 2 2 2 2 2" xfId="1618"/>
    <cellStyle name="20% - Accent1 6 2 2 2 2 2 2 2 2" xfId="19604"/>
    <cellStyle name="20% - Accent1 6 2 2 2 2 2 2 3" xfId="19603"/>
    <cellStyle name="20% - Accent1 6 2 2 2 2 2 3" xfId="1619"/>
    <cellStyle name="20% - Accent1 6 2 2 2 2 2 3 2" xfId="19605"/>
    <cellStyle name="20% - Accent1 6 2 2 2 2 2 4" xfId="19602"/>
    <cellStyle name="20% - Accent1 6 2 2 2 2 3" xfId="1620"/>
    <cellStyle name="20% - Accent1 6 2 2 2 2 3 2" xfId="1621"/>
    <cellStyle name="20% - Accent1 6 2 2 2 2 3 2 2" xfId="19607"/>
    <cellStyle name="20% - Accent1 6 2 2 2 2 3 3" xfId="19606"/>
    <cellStyle name="20% - Accent1 6 2 2 2 2 4" xfId="1622"/>
    <cellStyle name="20% - Accent1 6 2 2 2 2 4 2" xfId="19608"/>
    <cellStyle name="20% - Accent1 6 2 2 2 2 5" xfId="19601"/>
    <cellStyle name="20% - Accent1 6 2 2 2 3" xfId="1623"/>
    <cellStyle name="20% - Accent1 6 2 2 2 3 2" xfId="1624"/>
    <cellStyle name="20% - Accent1 6 2 2 2 3 2 2" xfId="1625"/>
    <cellStyle name="20% - Accent1 6 2 2 2 3 2 2 2" xfId="1626"/>
    <cellStyle name="20% - Accent1 6 2 2 2 3 2 2 2 2" xfId="19612"/>
    <cellStyle name="20% - Accent1 6 2 2 2 3 2 2 3" xfId="19611"/>
    <cellStyle name="20% - Accent1 6 2 2 2 3 2 3" xfId="1627"/>
    <cellStyle name="20% - Accent1 6 2 2 2 3 2 3 2" xfId="19613"/>
    <cellStyle name="20% - Accent1 6 2 2 2 3 2 4" xfId="19610"/>
    <cellStyle name="20% - Accent1 6 2 2 2 3 3" xfId="1628"/>
    <cellStyle name="20% - Accent1 6 2 2 2 3 3 2" xfId="1629"/>
    <cellStyle name="20% - Accent1 6 2 2 2 3 3 2 2" xfId="19615"/>
    <cellStyle name="20% - Accent1 6 2 2 2 3 3 3" xfId="19614"/>
    <cellStyle name="20% - Accent1 6 2 2 2 3 4" xfId="1630"/>
    <cellStyle name="20% - Accent1 6 2 2 2 3 4 2" xfId="19616"/>
    <cellStyle name="20% - Accent1 6 2 2 2 3 5" xfId="19609"/>
    <cellStyle name="20% - Accent1 6 2 2 2 4" xfId="1631"/>
    <cellStyle name="20% - Accent1 6 2 2 2 4 2" xfId="1632"/>
    <cellStyle name="20% - Accent1 6 2 2 2 4 2 2" xfId="1633"/>
    <cellStyle name="20% - Accent1 6 2 2 2 4 2 2 2" xfId="19619"/>
    <cellStyle name="20% - Accent1 6 2 2 2 4 2 3" xfId="19618"/>
    <cellStyle name="20% - Accent1 6 2 2 2 4 3" xfId="1634"/>
    <cellStyle name="20% - Accent1 6 2 2 2 4 3 2" xfId="19620"/>
    <cellStyle name="20% - Accent1 6 2 2 2 4 4" xfId="19617"/>
    <cellStyle name="20% - Accent1 6 2 2 2 5" xfId="1635"/>
    <cellStyle name="20% - Accent1 6 2 2 2 5 2" xfId="1636"/>
    <cellStyle name="20% - Accent1 6 2 2 2 5 2 2" xfId="19622"/>
    <cellStyle name="20% - Accent1 6 2 2 2 5 3" xfId="19621"/>
    <cellStyle name="20% - Accent1 6 2 2 2 6" xfId="1637"/>
    <cellStyle name="20% - Accent1 6 2 2 2 6 2" xfId="19623"/>
    <cellStyle name="20% - Accent1 6 2 2 2 7" xfId="19600"/>
    <cellStyle name="20% - Accent1 6 2 2 3" xfId="1638"/>
    <cellStyle name="20% - Accent1 6 2 2 3 2" xfId="1639"/>
    <cellStyle name="20% - Accent1 6 2 2 3 2 2" xfId="1640"/>
    <cellStyle name="20% - Accent1 6 2 2 3 2 2 2" xfId="1641"/>
    <cellStyle name="20% - Accent1 6 2 2 3 2 2 2 2" xfId="19627"/>
    <cellStyle name="20% - Accent1 6 2 2 3 2 2 3" xfId="19626"/>
    <cellStyle name="20% - Accent1 6 2 2 3 2 3" xfId="1642"/>
    <cellStyle name="20% - Accent1 6 2 2 3 2 3 2" xfId="19628"/>
    <cellStyle name="20% - Accent1 6 2 2 3 2 4" xfId="19625"/>
    <cellStyle name="20% - Accent1 6 2 2 3 3" xfId="1643"/>
    <cellStyle name="20% - Accent1 6 2 2 3 3 2" xfId="1644"/>
    <cellStyle name="20% - Accent1 6 2 2 3 3 2 2" xfId="19630"/>
    <cellStyle name="20% - Accent1 6 2 2 3 3 3" xfId="19629"/>
    <cellStyle name="20% - Accent1 6 2 2 3 4" xfId="1645"/>
    <cellStyle name="20% - Accent1 6 2 2 3 4 2" xfId="19631"/>
    <cellStyle name="20% - Accent1 6 2 2 3 5" xfId="19624"/>
    <cellStyle name="20% - Accent1 6 2 2 4" xfId="1646"/>
    <cellStyle name="20% - Accent1 6 2 2 4 2" xfId="1647"/>
    <cellStyle name="20% - Accent1 6 2 2 4 2 2" xfId="1648"/>
    <cellStyle name="20% - Accent1 6 2 2 4 2 2 2" xfId="1649"/>
    <cellStyle name="20% - Accent1 6 2 2 4 2 2 2 2" xfId="19635"/>
    <cellStyle name="20% - Accent1 6 2 2 4 2 2 3" xfId="19634"/>
    <cellStyle name="20% - Accent1 6 2 2 4 2 3" xfId="1650"/>
    <cellStyle name="20% - Accent1 6 2 2 4 2 3 2" xfId="19636"/>
    <cellStyle name="20% - Accent1 6 2 2 4 2 4" xfId="19633"/>
    <cellStyle name="20% - Accent1 6 2 2 4 3" xfId="1651"/>
    <cellStyle name="20% - Accent1 6 2 2 4 3 2" xfId="1652"/>
    <cellStyle name="20% - Accent1 6 2 2 4 3 2 2" xfId="19638"/>
    <cellStyle name="20% - Accent1 6 2 2 4 3 3" xfId="19637"/>
    <cellStyle name="20% - Accent1 6 2 2 4 4" xfId="1653"/>
    <cellStyle name="20% - Accent1 6 2 2 4 4 2" xfId="19639"/>
    <cellStyle name="20% - Accent1 6 2 2 4 5" xfId="19632"/>
    <cellStyle name="20% - Accent1 6 2 2 5" xfId="1654"/>
    <cellStyle name="20% - Accent1 6 2 2 5 2" xfId="1655"/>
    <cellStyle name="20% - Accent1 6 2 2 5 2 2" xfId="1656"/>
    <cellStyle name="20% - Accent1 6 2 2 5 2 2 2" xfId="19642"/>
    <cellStyle name="20% - Accent1 6 2 2 5 2 3" xfId="19641"/>
    <cellStyle name="20% - Accent1 6 2 2 5 3" xfId="1657"/>
    <cellStyle name="20% - Accent1 6 2 2 5 3 2" xfId="19643"/>
    <cellStyle name="20% - Accent1 6 2 2 5 4" xfId="19640"/>
    <cellStyle name="20% - Accent1 6 2 2 6" xfId="1658"/>
    <cellStyle name="20% - Accent1 6 2 2 6 2" xfId="1659"/>
    <cellStyle name="20% - Accent1 6 2 2 6 2 2" xfId="19645"/>
    <cellStyle name="20% - Accent1 6 2 2 6 3" xfId="19644"/>
    <cellStyle name="20% - Accent1 6 2 2 7" xfId="1660"/>
    <cellStyle name="20% - Accent1 6 2 2 7 2" xfId="19646"/>
    <cellStyle name="20% - Accent1 6 2 2 8" xfId="19599"/>
    <cellStyle name="20% - Accent1 6 2 3" xfId="1661"/>
    <cellStyle name="20% - Accent1 6 2 3 2" xfId="1662"/>
    <cellStyle name="20% - Accent1 6 2 3 2 2" xfId="1663"/>
    <cellStyle name="20% - Accent1 6 2 3 2 2 2" xfId="1664"/>
    <cellStyle name="20% - Accent1 6 2 3 2 2 2 2" xfId="1665"/>
    <cellStyle name="20% - Accent1 6 2 3 2 2 2 2 2" xfId="19651"/>
    <cellStyle name="20% - Accent1 6 2 3 2 2 2 3" xfId="19650"/>
    <cellStyle name="20% - Accent1 6 2 3 2 2 3" xfId="1666"/>
    <cellStyle name="20% - Accent1 6 2 3 2 2 3 2" xfId="19652"/>
    <cellStyle name="20% - Accent1 6 2 3 2 2 4" xfId="19649"/>
    <cellStyle name="20% - Accent1 6 2 3 2 3" xfId="1667"/>
    <cellStyle name="20% - Accent1 6 2 3 2 3 2" xfId="1668"/>
    <cellStyle name="20% - Accent1 6 2 3 2 3 2 2" xfId="19654"/>
    <cellStyle name="20% - Accent1 6 2 3 2 3 3" xfId="19653"/>
    <cellStyle name="20% - Accent1 6 2 3 2 4" xfId="1669"/>
    <cellStyle name="20% - Accent1 6 2 3 2 4 2" xfId="19655"/>
    <cellStyle name="20% - Accent1 6 2 3 2 5" xfId="19648"/>
    <cellStyle name="20% - Accent1 6 2 3 3" xfId="1670"/>
    <cellStyle name="20% - Accent1 6 2 3 3 2" xfId="1671"/>
    <cellStyle name="20% - Accent1 6 2 3 3 2 2" xfId="1672"/>
    <cellStyle name="20% - Accent1 6 2 3 3 2 2 2" xfId="1673"/>
    <cellStyle name="20% - Accent1 6 2 3 3 2 2 2 2" xfId="19659"/>
    <cellStyle name="20% - Accent1 6 2 3 3 2 2 3" xfId="19658"/>
    <cellStyle name="20% - Accent1 6 2 3 3 2 3" xfId="1674"/>
    <cellStyle name="20% - Accent1 6 2 3 3 2 3 2" xfId="19660"/>
    <cellStyle name="20% - Accent1 6 2 3 3 2 4" xfId="19657"/>
    <cellStyle name="20% - Accent1 6 2 3 3 3" xfId="1675"/>
    <cellStyle name="20% - Accent1 6 2 3 3 3 2" xfId="1676"/>
    <cellStyle name="20% - Accent1 6 2 3 3 3 2 2" xfId="19662"/>
    <cellStyle name="20% - Accent1 6 2 3 3 3 3" xfId="19661"/>
    <cellStyle name="20% - Accent1 6 2 3 3 4" xfId="1677"/>
    <cellStyle name="20% - Accent1 6 2 3 3 4 2" xfId="19663"/>
    <cellStyle name="20% - Accent1 6 2 3 3 5" xfId="19656"/>
    <cellStyle name="20% - Accent1 6 2 3 4" xfId="1678"/>
    <cellStyle name="20% - Accent1 6 2 3 4 2" xfId="1679"/>
    <cellStyle name="20% - Accent1 6 2 3 4 2 2" xfId="1680"/>
    <cellStyle name="20% - Accent1 6 2 3 4 2 2 2" xfId="19666"/>
    <cellStyle name="20% - Accent1 6 2 3 4 2 3" xfId="19665"/>
    <cellStyle name="20% - Accent1 6 2 3 4 3" xfId="1681"/>
    <cellStyle name="20% - Accent1 6 2 3 4 3 2" xfId="19667"/>
    <cellStyle name="20% - Accent1 6 2 3 4 4" xfId="19664"/>
    <cellStyle name="20% - Accent1 6 2 3 5" xfId="1682"/>
    <cellStyle name="20% - Accent1 6 2 3 5 2" xfId="1683"/>
    <cellStyle name="20% - Accent1 6 2 3 5 2 2" xfId="19669"/>
    <cellStyle name="20% - Accent1 6 2 3 5 3" xfId="19668"/>
    <cellStyle name="20% - Accent1 6 2 3 6" xfId="1684"/>
    <cellStyle name="20% - Accent1 6 2 3 6 2" xfId="19670"/>
    <cellStyle name="20% - Accent1 6 2 3 7" xfId="19647"/>
    <cellStyle name="20% - Accent1 6 2 4" xfId="1685"/>
    <cellStyle name="20% - Accent1 6 2 4 2" xfId="1686"/>
    <cellStyle name="20% - Accent1 6 2 4 2 2" xfId="1687"/>
    <cellStyle name="20% - Accent1 6 2 4 2 2 2" xfId="1688"/>
    <cellStyle name="20% - Accent1 6 2 4 2 2 2 2" xfId="19674"/>
    <cellStyle name="20% - Accent1 6 2 4 2 2 3" xfId="19673"/>
    <cellStyle name="20% - Accent1 6 2 4 2 3" xfId="1689"/>
    <cellStyle name="20% - Accent1 6 2 4 2 3 2" xfId="19675"/>
    <cellStyle name="20% - Accent1 6 2 4 2 4" xfId="19672"/>
    <cellStyle name="20% - Accent1 6 2 4 3" xfId="1690"/>
    <cellStyle name="20% - Accent1 6 2 4 3 2" xfId="1691"/>
    <cellStyle name="20% - Accent1 6 2 4 3 2 2" xfId="19677"/>
    <cellStyle name="20% - Accent1 6 2 4 3 3" xfId="19676"/>
    <cellStyle name="20% - Accent1 6 2 4 4" xfId="1692"/>
    <cellStyle name="20% - Accent1 6 2 4 4 2" xfId="19678"/>
    <cellStyle name="20% - Accent1 6 2 4 5" xfId="19671"/>
    <cellStyle name="20% - Accent1 6 2 5" xfId="1693"/>
    <cellStyle name="20% - Accent1 6 2 5 2" xfId="1694"/>
    <cellStyle name="20% - Accent1 6 2 5 2 2" xfId="1695"/>
    <cellStyle name="20% - Accent1 6 2 5 2 2 2" xfId="1696"/>
    <cellStyle name="20% - Accent1 6 2 5 2 2 2 2" xfId="19682"/>
    <cellStyle name="20% - Accent1 6 2 5 2 2 3" xfId="19681"/>
    <cellStyle name="20% - Accent1 6 2 5 2 3" xfId="1697"/>
    <cellStyle name="20% - Accent1 6 2 5 2 3 2" xfId="19683"/>
    <cellStyle name="20% - Accent1 6 2 5 2 4" xfId="19680"/>
    <cellStyle name="20% - Accent1 6 2 5 3" xfId="1698"/>
    <cellStyle name="20% - Accent1 6 2 5 3 2" xfId="1699"/>
    <cellStyle name="20% - Accent1 6 2 5 3 2 2" xfId="19685"/>
    <cellStyle name="20% - Accent1 6 2 5 3 3" xfId="19684"/>
    <cellStyle name="20% - Accent1 6 2 5 4" xfId="1700"/>
    <cellStyle name="20% - Accent1 6 2 5 4 2" xfId="19686"/>
    <cellStyle name="20% - Accent1 6 2 5 5" xfId="19679"/>
    <cellStyle name="20% - Accent1 6 2 6" xfId="1701"/>
    <cellStyle name="20% - Accent1 6 2 6 2" xfId="1702"/>
    <cellStyle name="20% - Accent1 6 2 6 2 2" xfId="1703"/>
    <cellStyle name="20% - Accent1 6 2 6 2 2 2" xfId="19689"/>
    <cellStyle name="20% - Accent1 6 2 6 2 3" xfId="19688"/>
    <cellStyle name="20% - Accent1 6 2 6 3" xfId="1704"/>
    <cellStyle name="20% - Accent1 6 2 6 3 2" xfId="19690"/>
    <cellStyle name="20% - Accent1 6 2 6 4" xfId="19687"/>
    <cellStyle name="20% - Accent1 6 2 7" xfId="1705"/>
    <cellStyle name="20% - Accent1 6 2 7 2" xfId="1706"/>
    <cellStyle name="20% - Accent1 6 2 7 2 2" xfId="19692"/>
    <cellStyle name="20% - Accent1 6 2 7 3" xfId="19691"/>
    <cellStyle name="20% - Accent1 6 2 8" xfId="1707"/>
    <cellStyle name="20% - Accent1 6 2 8 2" xfId="19693"/>
    <cellStyle name="20% - Accent1 6 2 9" xfId="19598"/>
    <cellStyle name="20% - Accent1 6 3" xfId="1708"/>
    <cellStyle name="20% - Accent1 6 3 2" xfId="1709"/>
    <cellStyle name="20% - Accent1 6 3 2 2" xfId="1710"/>
    <cellStyle name="20% - Accent1 6 3 2 2 2" xfId="1711"/>
    <cellStyle name="20% - Accent1 6 3 2 2 2 2" xfId="1712"/>
    <cellStyle name="20% - Accent1 6 3 2 2 2 2 2" xfId="1713"/>
    <cellStyle name="20% - Accent1 6 3 2 2 2 2 2 2" xfId="19699"/>
    <cellStyle name="20% - Accent1 6 3 2 2 2 2 3" xfId="19698"/>
    <cellStyle name="20% - Accent1 6 3 2 2 2 3" xfId="1714"/>
    <cellStyle name="20% - Accent1 6 3 2 2 2 3 2" xfId="19700"/>
    <cellStyle name="20% - Accent1 6 3 2 2 2 4" xfId="19697"/>
    <cellStyle name="20% - Accent1 6 3 2 2 3" xfId="1715"/>
    <cellStyle name="20% - Accent1 6 3 2 2 3 2" xfId="1716"/>
    <cellStyle name="20% - Accent1 6 3 2 2 3 2 2" xfId="19702"/>
    <cellStyle name="20% - Accent1 6 3 2 2 3 3" xfId="19701"/>
    <cellStyle name="20% - Accent1 6 3 2 2 4" xfId="1717"/>
    <cellStyle name="20% - Accent1 6 3 2 2 4 2" xfId="19703"/>
    <cellStyle name="20% - Accent1 6 3 2 2 5" xfId="19696"/>
    <cellStyle name="20% - Accent1 6 3 2 3" xfId="1718"/>
    <cellStyle name="20% - Accent1 6 3 2 3 2" xfId="1719"/>
    <cellStyle name="20% - Accent1 6 3 2 3 2 2" xfId="1720"/>
    <cellStyle name="20% - Accent1 6 3 2 3 2 2 2" xfId="1721"/>
    <cellStyle name="20% - Accent1 6 3 2 3 2 2 2 2" xfId="19707"/>
    <cellStyle name="20% - Accent1 6 3 2 3 2 2 3" xfId="19706"/>
    <cellStyle name="20% - Accent1 6 3 2 3 2 3" xfId="1722"/>
    <cellStyle name="20% - Accent1 6 3 2 3 2 3 2" xfId="19708"/>
    <cellStyle name="20% - Accent1 6 3 2 3 2 4" xfId="19705"/>
    <cellStyle name="20% - Accent1 6 3 2 3 3" xfId="1723"/>
    <cellStyle name="20% - Accent1 6 3 2 3 3 2" xfId="1724"/>
    <cellStyle name="20% - Accent1 6 3 2 3 3 2 2" xfId="19710"/>
    <cellStyle name="20% - Accent1 6 3 2 3 3 3" xfId="19709"/>
    <cellStyle name="20% - Accent1 6 3 2 3 4" xfId="1725"/>
    <cellStyle name="20% - Accent1 6 3 2 3 4 2" xfId="19711"/>
    <cellStyle name="20% - Accent1 6 3 2 3 5" xfId="19704"/>
    <cellStyle name="20% - Accent1 6 3 2 4" xfId="1726"/>
    <cellStyle name="20% - Accent1 6 3 2 4 2" xfId="1727"/>
    <cellStyle name="20% - Accent1 6 3 2 4 2 2" xfId="1728"/>
    <cellStyle name="20% - Accent1 6 3 2 4 2 2 2" xfId="19714"/>
    <cellStyle name="20% - Accent1 6 3 2 4 2 3" xfId="19713"/>
    <cellStyle name="20% - Accent1 6 3 2 4 3" xfId="1729"/>
    <cellStyle name="20% - Accent1 6 3 2 4 3 2" xfId="19715"/>
    <cellStyle name="20% - Accent1 6 3 2 4 4" xfId="19712"/>
    <cellStyle name="20% - Accent1 6 3 2 5" xfId="1730"/>
    <cellStyle name="20% - Accent1 6 3 2 5 2" xfId="1731"/>
    <cellStyle name="20% - Accent1 6 3 2 5 2 2" xfId="19717"/>
    <cellStyle name="20% - Accent1 6 3 2 5 3" xfId="19716"/>
    <cellStyle name="20% - Accent1 6 3 2 6" xfId="1732"/>
    <cellStyle name="20% - Accent1 6 3 2 6 2" xfId="19718"/>
    <cellStyle name="20% - Accent1 6 3 2 7" xfId="19695"/>
    <cellStyle name="20% - Accent1 6 3 3" xfId="1733"/>
    <cellStyle name="20% - Accent1 6 3 3 2" xfId="1734"/>
    <cellStyle name="20% - Accent1 6 3 3 2 2" xfId="1735"/>
    <cellStyle name="20% - Accent1 6 3 3 2 2 2" xfId="1736"/>
    <cellStyle name="20% - Accent1 6 3 3 2 2 2 2" xfId="19722"/>
    <cellStyle name="20% - Accent1 6 3 3 2 2 3" xfId="19721"/>
    <cellStyle name="20% - Accent1 6 3 3 2 3" xfId="1737"/>
    <cellStyle name="20% - Accent1 6 3 3 2 3 2" xfId="19723"/>
    <cellStyle name="20% - Accent1 6 3 3 2 4" xfId="19720"/>
    <cellStyle name="20% - Accent1 6 3 3 3" xfId="1738"/>
    <cellStyle name="20% - Accent1 6 3 3 3 2" xfId="1739"/>
    <cellStyle name="20% - Accent1 6 3 3 3 2 2" xfId="19725"/>
    <cellStyle name="20% - Accent1 6 3 3 3 3" xfId="19724"/>
    <cellStyle name="20% - Accent1 6 3 3 4" xfId="1740"/>
    <cellStyle name="20% - Accent1 6 3 3 4 2" xfId="19726"/>
    <cellStyle name="20% - Accent1 6 3 3 5" xfId="19719"/>
    <cellStyle name="20% - Accent1 6 3 4" xfId="1741"/>
    <cellStyle name="20% - Accent1 6 3 4 2" xfId="1742"/>
    <cellStyle name="20% - Accent1 6 3 4 2 2" xfId="1743"/>
    <cellStyle name="20% - Accent1 6 3 4 2 2 2" xfId="1744"/>
    <cellStyle name="20% - Accent1 6 3 4 2 2 2 2" xfId="19730"/>
    <cellStyle name="20% - Accent1 6 3 4 2 2 3" xfId="19729"/>
    <cellStyle name="20% - Accent1 6 3 4 2 3" xfId="1745"/>
    <cellStyle name="20% - Accent1 6 3 4 2 3 2" xfId="19731"/>
    <cellStyle name="20% - Accent1 6 3 4 2 4" xfId="19728"/>
    <cellStyle name="20% - Accent1 6 3 4 3" xfId="1746"/>
    <cellStyle name="20% - Accent1 6 3 4 3 2" xfId="1747"/>
    <cellStyle name="20% - Accent1 6 3 4 3 2 2" xfId="19733"/>
    <cellStyle name="20% - Accent1 6 3 4 3 3" xfId="19732"/>
    <cellStyle name="20% - Accent1 6 3 4 4" xfId="1748"/>
    <cellStyle name="20% - Accent1 6 3 4 4 2" xfId="19734"/>
    <cellStyle name="20% - Accent1 6 3 4 5" xfId="19727"/>
    <cellStyle name="20% - Accent1 6 3 5" xfId="1749"/>
    <cellStyle name="20% - Accent1 6 3 5 2" xfId="1750"/>
    <cellStyle name="20% - Accent1 6 3 5 2 2" xfId="1751"/>
    <cellStyle name="20% - Accent1 6 3 5 2 2 2" xfId="19737"/>
    <cellStyle name="20% - Accent1 6 3 5 2 3" xfId="19736"/>
    <cellStyle name="20% - Accent1 6 3 5 3" xfId="1752"/>
    <cellStyle name="20% - Accent1 6 3 5 3 2" xfId="19738"/>
    <cellStyle name="20% - Accent1 6 3 5 4" xfId="19735"/>
    <cellStyle name="20% - Accent1 6 3 6" xfId="1753"/>
    <cellStyle name="20% - Accent1 6 3 6 2" xfId="1754"/>
    <cellStyle name="20% - Accent1 6 3 6 2 2" xfId="19740"/>
    <cellStyle name="20% - Accent1 6 3 6 3" xfId="19739"/>
    <cellStyle name="20% - Accent1 6 3 7" xfId="1755"/>
    <cellStyle name="20% - Accent1 6 3 7 2" xfId="19741"/>
    <cellStyle name="20% - Accent1 6 3 8" xfId="19694"/>
    <cellStyle name="20% - Accent1 6 4" xfId="1756"/>
    <cellStyle name="20% - Accent1 6 4 2" xfId="1757"/>
    <cellStyle name="20% - Accent1 6 4 2 2" xfId="1758"/>
    <cellStyle name="20% - Accent1 6 4 2 2 2" xfId="1759"/>
    <cellStyle name="20% - Accent1 6 4 2 2 2 2" xfId="1760"/>
    <cellStyle name="20% - Accent1 6 4 2 2 2 2 2" xfId="19746"/>
    <cellStyle name="20% - Accent1 6 4 2 2 2 3" xfId="19745"/>
    <cellStyle name="20% - Accent1 6 4 2 2 3" xfId="1761"/>
    <cellStyle name="20% - Accent1 6 4 2 2 3 2" xfId="19747"/>
    <cellStyle name="20% - Accent1 6 4 2 2 4" xfId="19744"/>
    <cellStyle name="20% - Accent1 6 4 2 3" xfId="1762"/>
    <cellStyle name="20% - Accent1 6 4 2 3 2" xfId="1763"/>
    <cellStyle name="20% - Accent1 6 4 2 3 2 2" xfId="19749"/>
    <cellStyle name="20% - Accent1 6 4 2 3 3" xfId="19748"/>
    <cellStyle name="20% - Accent1 6 4 2 4" xfId="1764"/>
    <cellStyle name="20% - Accent1 6 4 2 4 2" xfId="19750"/>
    <cellStyle name="20% - Accent1 6 4 2 5" xfId="19743"/>
    <cellStyle name="20% - Accent1 6 4 3" xfId="1765"/>
    <cellStyle name="20% - Accent1 6 4 3 2" xfId="1766"/>
    <cellStyle name="20% - Accent1 6 4 3 2 2" xfId="1767"/>
    <cellStyle name="20% - Accent1 6 4 3 2 2 2" xfId="1768"/>
    <cellStyle name="20% - Accent1 6 4 3 2 2 2 2" xfId="19754"/>
    <cellStyle name="20% - Accent1 6 4 3 2 2 3" xfId="19753"/>
    <cellStyle name="20% - Accent1 6 4 3 2 3" xfId="1769"/>
    <cellStyle name="20% - Accent1 6 4 3 2 3 2" xfId="19755"/>
    <cellStyle name="20% - Accent1 6 4 3 2 4" xfId="19752"/>
    <cellStyle name="20% - Accent1 6 4 3 3" xfId="1770"/>
    <cellStyle name="20% - Accent1 6 4 3 3 2" xfId="1771"/>
    <cellStyle name="20% - Accent1 6 4 3 3 2 2" xfId="19757"/>
    <cellStyle name="20% - Accent1 6 4 3 3 3" xfId="19756"/>
    <cellStyle name="20% - Accent1 6 4 3 4" xfId="1772"/>
    <cellStyle name="20% - Accent1 6 4 3 4 2" xfId="19758"/>
    <cellStyle name="20% - Accent1 6 4 3 5" xfId="19751"/>
    <cellStyle name="20% - Accent1 6 4 4" xfId="1773"/>
    <cellStyle name="20% - Accent1 6 4 4 2" xfId="1774"/>
    <cellStyle name="20% - Accent1 6 4 4 2 2" xfId="1775"/>
    <cellStyle name="20% - Accent1 6 4 4 2 2 2" xfId="19761"/>
    <cellStyle name="20% - Accent1 6 4 4 2 3" xfId="19760"/>
    <cellStyle name="20% - Accent1 6 4 4 3" xfId="1776"/>
    <cellStyle name="20% - Accent1 6 4 4 3 2" xfId="19762"/>
    <cellStyle name="20% - Accent1 6 4 4 4" xfId="19759"/>
    <cellStyle name="20% - Accent1 6 4 5" xfId="1777"/>
    <cellStyle name="20% - Accent1 6 4 5 2" xfId="1778"/>
    <cellStyle name="20% - Accent1 6 4 5 2 2" xfId="19764"/>
    <cellStyle name="20% - Accent1 6 4 5 3" xfId="19763"/>
    <cellStyle name="20% - Accent1 6 4 6" xfId="1779"/>
    <cellStyle name="20% - Accent1 6 4 6 2" xfId="19765"/>
    <cellStyle name="20% - Accent1 6 4 7" xfId="19742"/>
    <cellStyle name="20% - Accent1 6 5" xfId="1780"/>
    <cellStyle name="20% - Accent1 6 5 2" xfId="1781"/>
    <cellStyle name="20% - Accent1 6 5 2 2" xfId="1782"/>
    <cellStyle name="20% - Accent1 6 5 2 2 2" xfId="1783"/>
    <cellStyle name="20% - Accent1 6 5 2 2 2 2" xfId="19769"/>
    <cellStyle name="20% - Accent1 6 5 2 2 3" xfId="19768"/>
    <cellStyle name="20% - Accent1 6 5 2 3" xfId="1784"/>
    <cellStyle name="20% - Accent1 6 5 2 3 2" xfId="19770"/>
    <cellStyle name="20% - Accent1 6 5 2 4" xfId="19767"/>
    <cellStyle name="20% - Accent1 6 5 3" xfId="1785"/>
    <cellStyle name="20% - Accent1 6 5 3 2" xfId="1786"/>
    <cellStyle name="20% - Accent1 6 5 3 2 2" xfId="19772"/>
    <cellStyle name="20% - Accent1 6 5 3 3" xfId="19771"/>
    <cellStyle name="20% - Accent1 6 5 4" xfId="1787"/>
    <cellStyle name="20% - Accent1 6 5 4 2" xfId="19773"/>
    <cellStyle name="20% - Accent1 6 5 5" xfId="19766"/>
    <cellStyle name="20% - Accent1 6 6" xfId="1788"/>
    <cellStyle name="20% - Accent1 6 6 2" xfId="1789"/>
    <cellStyle name="20% - Accent1 6 6 2 2" xfId="1790"/>
    <cellStyle name="20% - Accent1 6 6 2 2 2" xfId="1791"/>
    <cellStyle name="20% - Accent1 6 6 2 2 2 2" xfId="19777"/>
    <cellStyle name="20% - Accent1 6 6 2 2 3" xfId="19776"/>
    <cellStyle name="20% - Accent1 6 6 2 3" xfId="1792"/>
    <cellStyle name="20% - Accent1 6 6 2 3 2" xfId="19778"/>
    <cellStyle name="20% - Accent1 6 6 2 4" xfId="19775"/>
    <cellStyle name="20% - Accent1 6 6 3" xfId="1793"/>
    <cellStyle name="20% - Accent1 6 6 3 2" xfId="1794"/>
    <cellStyle name="20% - Accent1 6 6 3 2 2" xfId="19780"/>
    <cellStyle name="20% - Accent1 6 6 3 3" xfId="19779"/>
    <cellStyle name="20% - Accent1 6 6 4" xfId="1795"/>
    <cellStyle name="20% - Accent1 6 6 4 2" xfId="19781"/>
    <cellStyle name="20% - Accent1 6 6 5" xfId="19774"/>
    <cellStyle name="20% - Accent1 6 7" xfId="1796"/>
    <cellStyle name="20% - Accent1 6 7 2" xfId="1797"/>
    <cellStyle name="20% - Accent1 6 7 2 2" xfId="1798"/>
    <cellStyle name="20% - Accent1 6 7 2 2 2" xfId="19784"/>
    <cellStyle name="20% - Accent1 6 7 2 3" xfId="19783"/>
    <cellStyle name="20% - Accent1 6 7 3" xfId="1799"/>
    <cellStyle name="20% - Accent1 6 7 3 2" xfId="19785"/>
    <cellStyle name="20% - Accent1 6 7 4" xfId="19782"/>
    <cellStyle name="20% - Accent1 6 8" xfId="1800"/>
    <cellStyle name="20% - Accent1 6 8 2" xfId="1801"/>
    <cellStyle name="20% - Accent1 6 8 2 2" xfId="19787"/>
    <cellStyle name="20% - Accent1 6 8 3" xfId="19786"/>
    <cellStyle name="20% - Accent1 6 9" xfId="1802"/>
    <cellStyle name="20% - Accent1 6 9 2" xfId="19788"/>
    <cellStyle name="20% - Accent1 7" xfId="1803"/>
    <cellStyle name="20% - Accent1 7 10" xfId="19789"/>
    <cellStyle name="20% - Accent1 7 2" xfId="1804"/>
    <cellStyle name="20% - Accent1 7 2 2" xfId="1805"/>
    <cellStyle name="20% - Accent1 7 2 2 2" xfId="1806"/>
    <cellStyle name="20% - Accent1 7 2 2 2 2" xfId="1807"/>
    <cellStyle name="20% - Accent1 7 2 2 2 2 2" xfId="1808"/>
    <cellStyle name="20% - Accent1 7 2 2 2 2 2 2" xfId="1809"/>
    <cellStyle name="20% - Accent1 7 2 2 2 2 2 2 2" xfId="1810"/>
    <cellStyle name="20% - Accent1 7 2 2 2 2 2 2 2 2" xfId="19796"/>
    <cellStyle name="20% - Accent1 7 2 2 2 2 2 2 3" xfId="19795"/>
    <cellStyle name="20% - Accent1 7 2 2 2 2 2 3" xfId="1811"/>
    <cellStyle name="20% - Accent1 7 2 2 2 2 2 3 2" xfId="19797"/>
    <cellStyle name="20% - Accent1 7 2 2 2 2 2 4" xfId="19794"/>
    <cellStyle name="20% - Accent1 7 2 2 2 2 3" xfId="1812"/>
    <cellStyle name="20% - Accent1 7 2 2 2 2 3 2" xfId="1813"/>
    <cellStyle name="20% - Accent1 7 2 2 2 2 3 2 2" xfId="19799"/>
    <cellStyle name="20% - Accent1 7 2 2 2 2 3 3" xfId="19798"/>
    <cellStyle name="20% - Accent1 7 2 2 2 2 4" xfId="1814"/>
    <cellStyle name="20% - Accent1 7 2 2 2 2 4 2" xfId="19800"/>
    <cellStyle name="20% - Accent1 7 2 2 2 2 5" xfId="19793"/>
    <cellStyle name="20% - Accent1 7 2 2 2 3" xfId="1815"/>
    <cellStyle name="20% - Accent1 7 2 2 2 3 2" xfId="1816"/>
    <cellStyle name="20% - Accent1 7 2 2 2 3 2 2" xfId="1817"/>
    <cellStyle name="20% - Accent1 7 2 2 2 3 2 2 2" xfId="1818"/>
    <cellStyle name="20% - Accent1 7 2 2 2 3 2 2 2 2" xfId="19804"/>
    <cellStyle name="20% - Accent1 7 2 2 2 3 2 2 3" xfId="19803"/>
    <cellStyle name="20% - Accent1 7 2 2 2 3 2 3" xfId="1819"/>
    <cellStyle name="20% - Accent1 7 2 2 2 3 2 3 2" xfId="19805"/>
    <cellStyle name="20% - Accent1 7 2 2 2 3 2 4" xfId="19802"/>
    <cellStyle name="20% - Accent1 7 2 2 2 3 3" xfId="1820"/>
    <cellStyle name="20% - Accent1 7 2 2 2 3 3 2" xfId="1821"/>
    <cellStyle name="20% - Accent1 7 2 2 2 3 3 2 2" xfId="19807"/>
    <cellStyle name="20% - Accent1 7 2 2 2 3 3 3" xfId="19806"/>
    <cellStyle name="20% - Accent1 7 2 2 2 3 4" xfId="1822"/>
    <cellStyle name="20% - Accent1 7 2 2 2 3 4 2" xfId="19808"/>
    <cellStyle name="20% - Accent1 7 2 2 2 3 5" xfId="19801"/>
    <cellStyle name="20% - Accent1 7 2 2 2 4" xfId="1823"/>
    <cellStyle name="20% - Accent1 7 2 2 2 4 2" xfId="1824"/>
    <cellStyle name="20% - Accent1 7 2 2 2 4 2 2" xfId="1825"/>
    <cellStyle name="20% - Accent1 7 2 2 2 4 2 2 2" xfId="19811"/>
    <cellStyle name="20% - Accent1 7 2 2 2 4 2 3" xfId="19810"/>
    <cellStyle name="20% - Accent1 7 2 2 2 4 3" xfId="1826"/>
    <cellStyle name="20% - Accent1 7 2 2 2 4 3 2" xfId="19812"/>
    <cellStyle name="20% - Accent1 7 2 2 2 4 4" xfId="19809"/>
    <cellStyle name="20% - Accent1 7 2 2 2 5" xfId="1827"/>
    <cellStyle name="20% - Accent1 7 2 2 2 5 2" xfId="1828"/>
    <cellStyle name="20% - Accent1 7 2 2 2 5 2 2" xfId="19814"/>
    <cellStyle name="20% - Accent1 7 2 2 2 5 3" xfId="19813"/>
    <cellStyle name="20% - Accent1 7 2 2 2 6" xfId="1829"/>
    <cellStyle name="20% - Accent1 7 2 2 2 6 2" xfId="19815"/>
    <cellStyle name="20% - Accent1 7 2 2 2 7" xfId="19792"/>
    <cellStyle name="20% - Accent1 7 2 2 3" xfId="1830"/>
    <cellStyle name="20% - Accent1 7 2 2 3 2" xfId="1831"/>
    <cellStyle name="20% - Accent1 7 2 2 3 2 2" xfId="1832"/>
    <cellStyle name="20% - Accent1 7 2 2 3 2 2 2" xfId="1833"/>
    <cellStyle name="20% - Accent1 7 2 2 3 2 2 2 2" xfId="19819"/>
    <cellStyle name="20% - Accent1 7 2 2 3 2 2 3" xfId="19818"/>
    <cellStyle name="20% - Accent1 7 2 2 3 2 3" xfId="1834"/>
    <cellStyle name="20% - Accent1 7 2 2 3 2 3 2" xfId="19820"/>
    <cellStyle name="20% - Accent1 7 2 2 3 2 4" xfId="19817"/>
    <cellStyle name="20% - Accent1 7 2 2 3 3" xfId="1835"/>
    <cellStyle name="20% - Accent1 7 2 2 3 3 2" xfId="1836"/>
    <cellStyle name="20% - Accent1 7 2 2 3 3 2 2" xfId="19822"/>
    <cellStyle name="20% - Accent1 7 2 2 3 3 3" xfId="19821"/>
    <cellStyle name="20% - Accent1 7 2 2 3 4" xfId="1837"/>
    <cellStyle name="20% - Accent1 7 2 2 3 4 2" xfId="19823"/>
    <cellStyle name="20% - Accent1 7 2 2 3 5" xfId="19816"/>
    <cellStyle name="20% - Accent1 7 2 2 4" xfId="1838"/>
    <cellStyle name="20% - Accent1 7 2 2 4 2" xfId="1839"/>
    <cellStyle name="20% - Accent1 7 2 2 4 2 2" xfId="1840"/>
    <cellStyle name="20% - Accent1 7 2 2 4 2 2 2" xfId="1841"/>
    <cellStyle name="20% - Accent1 7 2 2 4 2 2 2 2" xfId="19827"/>
    <cellStyle name="20% - Accent1 7 2 2 4 2 2 3" xfId="19826"/>
    <cellStyle name="20% - Accent1 7 2 2 4 2 3" xfId="1842"/>
    <cellStyle name="20% - Accent1 7 2 2 4 2 3 2" xfId="19828"/>
    <cellStyle name="20% - Accent1 7 2 2 4 2 4" xfId="19825"/>
    <cellStyle name="20% - Accent1 7 2 2 4 3" xfId="1843"/>
    <cellStyle name="20% - Accent1 7 2 2 4 3 2" xfId="1844"/>
    <cellStyle name="20% - Accent1 7 2 2 4 3 2 2" xfId="19830"/>
    <cellStyle name="20% - Accent1 7 2 2 4 3 3" xfId="19829"/>
    <cellStyle name="20% - Accent1 7 2 2 4 4" xfId="1845"/>
    <cellStyle name="20% - Accent1 7 2 2 4 4 2" xfId="19831"/>
    <cellStyle name="20% - Accent1 7 2 2 4 5" xfId="19824"/>
    <cellStyle name="20% - Accent1 7 2 2 5" xfId="1846"/>
    <cellStyle name="20% - Accent1 7 2 2 5 2" xfId="1847"/>
    <cellStyle name="20% - Accent1 7 2 2 5 2 2" xfId="1848"/>
    <cellStyle name="20% - Accent1 7 2 2 5 2 2 2" xfId="19834"/>
    <cellStyle name="20% - Accent1 7 2 2 5 2 3" xfId="19833"/>
    <cellStyle name="20% - Accent1 7 2 2 5 3" xfId="1849"/>
    <cellStyle name="20% - Accent1 7 2 2 5 3 2" xfId="19835"/>
    <cellStyle name="20% - Accent1 7 2 2 5 4" xfId="19832"/>
    <cellStyle name="20% - Accent1 7 2 2 6" xfId="1850"/>
    <cellStyle name="20% - Accent1 7 2 2 6 2" xfId="1851"/>
    <cellStyle name="20% - Accent1 7 2 2 6 2 2" xfId="19837"/>
    <cellStyle name="20% - Accent1 7 2 2 6 3" xfId="19836"/>
    <cellStyle name="20% - Accent1 7 2 2 7" xfId="1852"/>
    <cellStyle name="20% - Accent1 7 2 2 7 2" xfId="19838"/>
    <cellStyle name="20% - Accent1 7 2 2 8" xfId="19791"/>
    <cellStyle name="20% - Accent1 7 2 3" xfId="1853"/>
    <cellStyle name="20% - Accent1 7 2 3 2" xfId="1854"/>
    <cellStyle name="20% - Accent1 7 2 3 2 2" xfId="1855"/>
    <cellStyle name="20% - Accent1 7 2 3 2 2 2" xfId="1856"/>
    <cellStyle name="20% - Accent1 7 2 3 2 2 2 2" xfId="1857"/>
    <cellStyle name="20% - Accent1 7 2 3 2 2 2 2 2" xfId="19843"/>
    <cellStyle name="20% - Accent1 7 2 3 2 2 2 3" xfId="19842"/>
    <cellStyle name="20% - Accent1 7 2 3 2 2 3" xfId="1858"/>
    <cellStyle name="20% - Accent1 7 2 3 2 2 3 2" xfId="19844"/>
    <cellStyle name="20% - Accent1 7 2 3 2 2 4" xfId="19841"/>
    <cellStyle name="20% - Accent1 7 2 3 2 3" xfId="1859"/>
    <cellStyle name="20% - Accent1 7 2 3 2 3 2" xfId="1860"/>
    <cellStyle name="20% - Accent1 7 2 3 2 3 2 2" xfId="19846"/>
    <cellStyle name="20% - Accent1 7 2 3 2 3 3" xfId="19845"/>
    <cellStyle name="20% - Accent1 7 2 3 2 4" xfId="1861"/>
    <cellStyle name="20% - Accent1 7 2 3 2 4 2" xfId="19847"/>
    <cellStyle name="20% - Accent1 7 2 3 2 5" xfId="19840"/>
    <cellStyle name="20% - Accent1 7 2 3 3" xfId="1862"/>
    <cellStyle name="20% - Accent1 7 2 3 3 2" xfId="1863"/>
    <cellStyle name="20% - Accent1 7 2 3 3 2 2" xfId="1864"/>
    <cellStyle name="20% - Accent1 7 2 3 3 2 2 2" xfId="1865"/>
    <cellStyle name="20% - Accent1 7 2 3 3 2 2 2 2" xfId="19851"/>
    <cellStyle name="20% - Accent1 7 2 3 3 2 2 3" xfId="19850"/>
    <cellStyle name="20% - Accent1 7 2 3 3 2 3" xfId="1866"/>
    <cellStyle name="20% - Accent1 7 2 3 3 2 3 2" xfId="19852"/>
    <cellStyle name="20% - Accent1 7 2 3 3 2 4" xfId="19849"/>
    <cellStyle name="20% - Accent1 7 2 3 3 3" xfId="1867"/>
    <cellStyle name="20% - Accent1 7 2 3 3 3 2" xfId="1868"/>
    <cellStyle name="20% - Accent1 7 2 3 3 3 2 2" xfId="19854"/>
    <cellStyle name="20% - Accent1 7 2 3 3 3 3" xfId="19853"/>
    <cellStyle name="20% - Accent1 7 2 3 3 4" xfId="1869"/>
    <cellStyle name="20% - Accent1 7 2 3 3 4 2" xfId="19855"/>
    <cellStyle name="20% - Accent1 7 2 3 3 5" xfId="19848"/>
    <cellStyle name="20% - Accent1 7 2 3 4" xfId="1870"/>
    <cellStyle name="20% - Accent1 7 2 3 4 2" xfId="1871"/>
    <cellStyle name="20% - Accent1 7 2 3 4 2 2" xfId="1872"/>
    <cellStyle name="20% - Accent1 7 2 3 4 2 2 2" xfId="19858"/>
    <cellStyle name="20% - Accent1 7 2 3 4 2 3" xfId="19857"/>
    <cellStyle name="20% - Accent1 7 2 3 4 3" xfId="1873"/>
    <cellStyle name="20% - Accent1 7 2 3 4 3 2" xfId="19859"/>
    <cellStyle name="20% - Accent1 7 2 3 4 4" xfId="19856"/>
    <cellStyle name="20% - Accent1 7 2 3 5" xfId="1874"/>
    <cellStyle name="20% - Accent1 7 2 3 5 2" xfId="1875"/>
    <cellStyle name="20% - Accent1 7 2 3 5 2 2" xfId="19861"/>
    <cellStyle name="20% - Accent1 7 2 3 5 3" xfId="19860"/>
    <cellStyle name="20% - Accent1 7 2 3 6" xfId="1876"/>
    <cellStyle name="20% - Accent1 7 2 3 6 2" xfId="19862"/>
    <cellStyle name="20% - Accent1 7 2 3 7" xfId="19839"/>
    <cellStyle name="20% - Accent1 7 2 4" xfId="1877"/>
    <cellStyle name="20% - Accent1 7 2 4 2" xfId="1878"/>
    <cellStyle name="20% - Accent1 7 2 4 2 2" xfId="1879"/>
    <cellStyle name="20% - Accent1 7 2 4 2 2 2" xfId="1880"/>
    <cellStyle name="20% - Accent1 7 2 4 2 2 2 2" xfId="19866"/>
    <cellStyle name="20% - Accent1 7 2 4 2 2 3" xfId="19865"/>
    <cellStyle name="20% - Accent1 7 2 4 2 3" xfId="1881"/>
    <cellStyle name="20% - Accent1 7 2 4 2 3 2" xfId="19867"/>
    <cellStyle name="20% - Accent1 7 2 4 2 4" xfId="19864"/>
    <cellStyle name="20% - Accent1 7 2 4 3" xfId="1882"/>
    <cellStyle name="20% - Accent1 7 2 4 3 2" xfId="1883"/>
    <cellStyle name="20% - Accent1 7 2 4 3 2 2" xfId="19869"/>
    <cellStyle name="20% - Accent1 7 2 4 3 3" xfId="19868"/>
    <cellStyle name="20% - Accent1 7 2 4 4" xfId="1884"/>
    <cellStyle name="20% - Accent1 7 2 4 4 2" xfId="19870"/>
    <cellStyle name="20% - Accent1 7 2 4 5" xfId="19863"/>
    <cellStyle name="20% - Accent1 7 2 5" xfId="1885"/>
    <cellStyle name="20% - Accent1 7 2 5 2" xfId="1886"/>
    <cellStyle name="20% - Accent1 7 2 5 2 2" xfId="1887"/>
    <cellStyle name="20% - Accent1 7 2 5 2 2 2" xfId="1888"/>
    <cellStyle name="20% - Accent1 7 2 5 2 2 2 2" xfId="19874"/>
    <cellStyle name="20% - Accent1 7 2 5 2 2 3" xfId="19873"/>
    <cellStyle name="20% - Accent1 7 2 5 2 3" xfId="1889"/>
    <cellStyle name="20% - Accent1 7 2 5 2 3 2" xfId="19875"/>
    <cellStyle name="20% - Accent1 7 2 5 2 4" xfId="19872"/>
    <cellStyle name="20% - Accent1 7 2 5 3" xfId="1890"/>
    <cellStyle name="20% - Accent1 7 2 5 3 2" xfId="1891"/>
    <cellStyle name="20% - Accent1 7 2 5 3 2 2" xfId="19877"/>
    <cellStyle name="20% - Accent1 7 2 5 3 3" xfId="19876"/>
    <cellStyle name="20% - Accent1 7 2 5 4" xfId="1892"/>
    <cellStyle name="20% - Accent1 7 2 5 4 2" xfId="19878"/>
    <cellStyle name="20% - Accent1 7 2 5 5" xfId="19871"/>
    <cellStyle name="20% - Accent1 7 2 6" xfId="1893"/>
    <cellStyle name="20% - Accent1 7 2 6 2" xfId="1894"/>
    <cellStyle name="20% - Accent1 7 2 6 2 2" xfId="1895"/>
    <cellStyle name="20% - Accent1 7 2 6 2 2 2" xfId="19881"/>
    <cellStyle name="20% - Accent1 7 2 6 2 3" xfId="19880"/>
    <cellStyle name="20% - Accent1 7 2 6 3" xfId="1896"/>
    <cellStyle name="20% - Accent1 7 2 6 3 2" xfId="19882"/>
    <cellStyle name="20% - Accent1 7 2 6 4" xfId="19879"/>
    <cellStyle name="20% - Accent1 7 2 7" xfId="1897"/>
    <cellStyle name="20% - Accent1 7 2 7 2" xfId="1898"/>
    <cellStyle name="20% - Accent1 7 2 7 2 2" xfId="19884"/>
    <cellStyle name="20% - Accent1 7 2 7 3" xfId="19883"/>
    <cellStyle name="20% - Accent1 7 2 8" xfId="1899"/>
    <cellStyle name="20% - Accent1 7 2 8 2" xfId="19885"/>
    <cellStyle name="20% - Accent1 7 2 9" xfId="19790"/>
    <cellStyle name="20% - Accent1 7 3" xfId="1900"/>
    <cellStyle name="20% - Accent1 7 3 2" xfId="1901"/>
    <cellStyle name="20% - Accent1 7 3 2 2" xfId="1902"/>
    <cellStyle name="20% - Accent1 7 3 2 2 2" xfId="1903"/>
    <cellStyle name="20% - Accent1 7 3 2 2 2 2" xfId="1904"/>
    <cellStyle name="20% - Accent1 7 3 2 2 2 2 2" xfId="1905"/>
    <cellStyle name="20% - Accent1 7 3 2 2 2 2 2 2" xfId="19891"/>
    <cellStyle name="20% - Accent1 7 3 2 2 2 2 3" xfId="19890"/>
    <cellStyle name="20% - Accent1 7 3 2 2 2 3" xfId="1906"/>
    <cellStyle name="20% - Accent1 7 3 2 2 2 3 2" xfId="19892"/>
    <cellStyle name="20% - Accent1 7 3 2 2 2 4" xfId="19889"/>
    <cellStyle name="20% - Accent1 7 3 2 2 3" xfId="1907"/>
    <cellStyle name="20% - Accent1 7 3 2 2 3 2" xfId="1908"/>
    <cellStyle name="20% - Accent1 7 3 2 2 3 2 2" xfId="19894"/>
    <cellStyle name="20% - Accent1 7 3 2 2 3 3" xfId="19893"/>
    <cellStyle name="20% - Accent1 7 3 2 2 4" xfId="1909"/>
    <cellStyle name="20% - Accent1 7 3 2 2 4 2" xfId="19895"/>
    <cellStyle name="20% - Accent1 7 3 2 2 5" xfId="19888"/>
    <cellStyle name="20% - Accent1 7 3 2 3" xfId="1910"/>
    <cellStyle name="20% - Accent1 7 3 2 3 2" xfId="1911"/>
    <cellStyle name="20% - Accent1 7 3 2 3 2 2" xfId="1912"/>
    <cellStyle name="20% - Accent1 7 3 2 3 2 2 2" xfId="1913"/>
    <cellStyle name="20% - Accent1 7 3 2 3 2 2 2 2" xfId="19899"/>
    <cellStyle name="20% - Accent1 7 3 2 3 2 2 3" xfId="19898"/>
    <cellStyle name="20% - Accent1 7 3 2 3 2 3" xfId="1914"/>
    <cellStyle name="20% - Accent1 7 3 2 3 2 3 2" xfId="19900"/>
    <cellStyle name="20% - Accent1 7 3 2 3 2 4" xfId="19897"/>
    <cellStyle name="20% - Accent1 7 3 2 3 3" xfId="1915"/>
    <cellStyle name="20% - Accent1 7 3 2 3 3 2" xfId="1916"/>
    <cellStyle name="20% - Accent1 7 3 2 3 3 2 2" xfId="19902"/>
    <cellStyle name="20% - Accent1 7 3 2 3 3 3" xfId="19901"/>
    <cellStyle name="20% - Accent1 7 3 2 3 4" xfId="1917"/>
    <cellStyle name="20% - Accent1 7 3 2 3 4 2" xfId="19903"/>
    <cellStyle name="20% - Accent1 7 3 2 3 5" xfId="19896"/>
    <cellStyle name="20% - Accent1 7 3 2 4" xfId="1918"/>
    <cellStyle name="20% - Accent1 7 3 2 4 2" xfId="1919"/>
    <cellStyle name="20% - Accent1 7 3 2 4 2 2" xfId="1920"/>
    <cellStyle name="20% - Accent1 7 3 2 4 2 2 2" xfId="19906"/>
    <cellStyle name="20% - Accent1 7 3 2 4 2 3" xfId="19905"/>
    <cellStyle name="20% - Accent1 7 3 2 4 3" xfId="1921"/>
    <cellStyle name="20% - Accent1 7 3 2 4 3 2" xfId="19907"/>
    <cellStyle name="20% - Accent1 7 3 2 4 4" xfId="19904"/>
    <cellStyle name="20% - Accent1 7 3 2 5" xfId="1922"/>
    <cellStyle name="20% - Accent1 7 3 2 5 2" xfId="1923"/>
    <cellStyle name="20% - Accent1 7 3 2 5 2 2" xfId="19909"/>
    <cellStyle name="20% - Accent1 7 3 2 5 3" xfId="19908"/>
    <cellStyle name="20% - Accent1 7 3 2 6" xfId="1924"/>
    <cellStyle name="20% - Accent1 7 3 2 6 2" xfId="19910"/>
    <cellStyle name="20% - Accent1 7 3 2 7" xfId="19887"/>
    <cellStyle name="20% - Accent1 7 3 3" xfId="1925"/>
    <cellStyle name="20% - Accent1 7 3 3 2" xfId="1926"/>
    <cellStyle name="20% - Accent1 7 3 3 2 2" xfId="1927"/>
    <cellStyle name="20% - Accent1 7 3 3 2 2 2" xfId="1928"/>
    <cellStyle name="20% - Accent1 7 3 3 2 2 2 2" xfId="19914"/>
    <cellStyle name="20% - Accent1 7 3 3 2 2 3" xfId="19913"/>
    <cellStyle name="20% - Accent1 7 3 3 2 3" xfId="1929"/>
    <cellStyle name="20% - Accent1 7 3 3 2 3 2" xfId="19915"/>
    <cellStyle name="20% - Accent1 7 3 3 2 4" xfId="19912"/>
    <cellStyle name="20% - Accent1 7 3 3 3" xfId="1930"/>
    <cellStyle name="20% - Accent1 7 3 3 3 2" xfId="1931"/>
    <cellStyle name="20% - Accent1 7 3 3 3 2 2" xfId="19917"/>
    <cellStyle name="20% - Accent1 7 3 3 3 3" xfId="19916"/>
    <cellStyle name="20% - Accent1 7 3 3 4" xfId="1932"/>
    <cellStyle name="20% - Accent1 7 3 3 4 2" xfId="19918"/>
    <cellStyle name="20% - Accent1 7 3 3 5" xfId="19911"/>
    <cellStyle name="20% - Accent1 7 3 4" xfId="1933"/>
    <cellStyle name="20% - Accent1 7 3 4 2" xfId="1934"/>
    <cellStyle name="20% - Accent1 7 3 4 2 2" xfId="1935"/>
    <cellStyle name="20% - Accent1 7 3 4 2 2 2" xfId="1936"/>
    <cellStyle name="20% - Accent1 7 3 4 2 2 2 2" xfId="19922"/>
    <cellStyle name="20% - Accent1 7 3 4 2 2 3" xfId="19921"/>
    <cellStyle name="20% - Accent1 7 3 4 2 3" xfId="1937"/>
    <cellStyle name="20% - Accent1 7 3 4 2 3 2" xfId="19923"/>
    <cellStyle name="20% - Accent1 7 3 4 2 4" xfId="19920"/>
    <cellStyle name="20% - Accent1 7 3 4 3" xfId="1938"/>
    <cellStyle name="20% - Accent1 7 3 4 3 2" xfId="1939"/>
    <cellStyle name="20% - Accent1 7 3 4 3 2 2" xfId="19925"/>
    <cellStyle name="20% - Accent1 7 3 4 3 3" xfId="19924"/>
    <cellStyle name="20% - Accent1 7 3 4 4" xfId="1940"/>
    <cellStyle name="20% - Accent1 7 3 4 4 2" xfId="19926"/>
    <cellStyle name="20% - Accent1 7 3 4 5" xfId="19919"/>
    <cellStyle name="20% - Accent1 7 3 5" xfId="1941"/>
    <cellStyle name="20% - Accent1 7 3 5 2" xfId="1942"/>
    <cellStyle name="20% - Accent1 7 3 5 2 2" xfId="1943"/>
    <cellStyle name="20% - Accent1 7 3 5 2 2 2" xfId="19929"/>
    <cellStyle name="20% - Accent1 7 3 5 2 3" xfId="19928"/>
    <cellStyle name="20% - Accent1 7 3 5 3" xfId="1944"/>
    <cellStyle name="20% - Accent1 7 3 5 3 2" xfId="19930"/>
    <cellStyle name="20% - Accent1 7 3 5 4" xfId="19927"/>
    <cellStyle name="20% - Accent1 7 3 6" xfId="1945"/>
    <cellStyle name="20% - Accent1 7 3 6 2" xfId="1946"/>
    <cellStyle name="20% - Accent1 7 3 6 2 2" xfId="19932"/>
    <cellStyle name="20% - Accent1 7 3 6 3" xfId="19931"/>
    <cellStyle name="20% - Accent1 7 3 7" xfId="1947"/>
    <cellStyle name="20% - Accent1 7 3 7 2" xfId="19933"/>
    <cellStyle name="20% - Accent1 7 3 8" xfId="19886"/>
    <cellStyle name="20% - Accent1 7 4" xfId="1948"/>
    <cellStyle name="20% - Accent1 7 4 2" xfId="1949"/>
    <cellStyle name="20% - Accent1 7 4 2 2" xfId="1950"/>
    <cellStyle name="20% - Accent1 7 4 2 2 2" xfId="1951"/>
    <cellStyle name="20% - Accent1 7 4 2 2 2 2" xfId="1952"/>
    <cellStyle name="20% - Accent1 7 4 2 2 2 2 2" xfId="19938"/>
    <cellStyle name="20% - Accent1 7 4 2 2 2 3" xfId="19937"/>
    <cellStyle name="20% - Accent1 7 4 2 2 3" xfId="1953"/>
    <cellStyle name="20% - Accent1 7 4 2 2 3 2" xfId="19939"/>
    <cellStyle name="20% - Accent1 7 4 2 2 4" xfId="19936"/>
    <cellStyle name="20% - Accent1 7 4 2 3" xfId="1954"/>
    <cellStyle name="20% - Accent1 7 4 2 3 2" xfId="1955"/>
    <cellStyle name="20% - Accent1 7 4 2 3 2 2" xfId="19941"/>
    <cellStyle name="20% - Accent1 7 4 2 3 3" xfId="19940"/>
    <cellStyle name="20% - Accent1 7 4 2 4" xfId="1956"/>
    <cellStyle name="20% - Accent1 7 4 2 4 2" xfId="19942"/>
    <cellStyle name="20% - Accent1 7 4 2 5" xfId="19935"/>
    <cellStyle name="20% - Accent1 7 4 3" xfId="1957"/>
    <cellStyle name="20% - Accent1 7 4 3 2" xfId="1958"/>
    <cellStyle name="20% - Accent1 7 4 3 2 2" xfId="1959"/>
    <cellStyle name="20% - Accent1 7 4 3 2 2 2" xfId="1960"/>
    <cellStyle name="20% - Accent1 7 4 3 2 2 2 2" xfId="19946"/>
    <cellStyle name="20% - Accent1 7 4 3 2 2 3" xfId="19945"/>
    <cellStyle name="20% - Accent1 7 4 3 2 3" xfId="1961"/>
    <cellStyle name="20% - Accent1 7 4 3 2 3 2" xfId="19947"/>
    <cellStyle name="20% - Accent1 7 4 3 2 4" xfId="19944"/>
    <cellStyle name="20% - Accent1 7 4 3 3" xfId="1962"/>
    <cellStyle name="20% - Accent1 7 4 3 3 2" xfId="1963"/>
    <cellStyle name="20% - Accent1 7 4 3 3 2 2" xfId="19949"/>
    <cellStyle name="20% - Accent1 7 4 3 3 3" xfId="19948"/>
    <cellStyle name="20% - Accent1 7 4 3 4" xfId="1964"/>
    <cellStyle name="20% - Accent1 7 4 3 4 2" xfId="19950"/>
    <cellStyle name="20% - Accent1 7 4 3 5" xfId="19943"/>
    <cellStyle name="20% - Accent1 7 4 4" xfId="1965"/>
    <cellStyle name="20% - Accent1 7 4 4 2" xfId="1966"/>
    <cellStyle name="20% - Accent1 7 4 4 2 2" xfId="1967"/>
    <cellStyle name="20% - Accent1 7 4 4 2 2 2" xfId="19953"/>
    <cellStyle name="20% - Accent1 7 4 4 2 3" xfId="19952"/>
    <cellStyle name="20% - Accent1 7 4 4 3" xfId="1968"/>
    <cellStyle name="20% - Accent1 7 4 4 3 2" xfId="19954"/>
    <cellStyle name="20% - Accent1 7 4 4 4" xfId="19951"/>
    <cellStyle name="20% - Accent1 7 4 5" xfId="1969"/>
    <cellStyle name="20% - Accent1 7 4 5 2" xfId="1970"/>
    <cellStyle name="20% - Accent1 7 4 5 2 2" xfId="19956"/>
    <cellStyle name="20% - Accent1 7 4 5 3" xfId="19955"/>
    <cellStyle name="20% - Accent1 7 4 6" xfId="1971"/>
    <cellStyle name="20% - Accent1 7 4 6 2" xfId="19957"/>
    <cellStyle name="20% - Accent1 7 4 7" xfId="19934"/>
    <cellStyle name="20% - Accent1 7 5" xfId="1972"/>
    <cellStyle name="20% - Accent1 7 5 2" xfId="1973"/>
    <cellStyle name="20% - Accent1 7 5 2 2" xfId="1974"/>
    <cellStyle name="20% - Accent1 7 5 2 2 2" xfId="1975"/>
    <cellStyle name="20% - Accent1 7 5 2 2 2 2" xfId="19961"/>
    <cellStyle name="20% - Accent1 7 5 2 2 3" xfId="19960"/>
    <cellStyle name="20% - Accent1 7 5 2 3" xfId="1976"/>
    <cellStyle name="20% - Accent1 7 5 2 3 2" xfId="19962"/>
    <cellStyle name="20% - Accent1 7 5 2 4" xfId="19959"/>
    <cellStyle name="20% - Accent1 7 5 3" xfId="1977"/>
    <cellStyle name="20% - Accent1 7 5 3 2" xfId="1978"/>
    <cellStyle name="20% - Accent1 7 5 3 2 2" xfId="19964"/>
    <cellStyle name="20% - Accent1 7 5 3 3" xfId="19963"/>
    <cellStyle name="20% - Accent1 7 5 4" xfId="1979"/>
    <cellStyle name="20% - Accent1 7 5 4 2" xfId="19965"/>
    <cellStyle name="20% - Accent1 7 5 5" xfId="19958"/>
    <cellStyle name="20% - Accent1 7 6" xfId="1980"/>
    <cellStyle name="20% - Accent1 7 6 2" xfId="1981"/>
    <cellStyle name="20% - Accent1 7 6 2 2" xfId="1982"/>
    <cellStyle name="20% - Accent1 7 6 2 2 2" xfId="1983"/>
    <cellStyle name="20% - Accent1 7 6 2 2 2 2" xfId="19969"/>
    <cellStyle name="20% - Accent1 7 6 2 2 3" xfId="19968"/>
    <cellStyle name="20% - Accent1 7 6 2 3" xfId="1984"/>
    <cellStyle name="20% - Accent1 7 6 2 3 2" xfId="19970"/>
    <cellStyle name="20% - Accent1 7 6 2 4" xfId="19967"/>
    <cellStyle name="20% - Accent1 7 6 3" xfId="1985"/>
    <cellStyle name="20% - Accent1 7 6 3 2" xfId="1986"/>
    <cellStyle name="20% - Accent1 7 6 3 2 2" xfId="19972"/>
    <cellStyle name="20% - Accent1 7 6 3 3" xfId="19971"/>
    <cellStyle name="20% - Accent1 7 6 4" xfId="1987"/>
    <cellStyle name="20% - Accent1 7 6 4 2" xfId="19973"/>
    <cellStyle name="20% - Accent1 7 6 5" xfId="19966"/>
    <cellStyle name="20% - Accent1 7 7" xfId="1988"/>
    <cellStyle name="20% - Accent1 7 7 2" xfId="1989"/>
    <cellStyle name="20% - Accent1 7 7 2 2" xfId="1990"/>
    <cellStyle name="20% - Accent1 7 7 2 2 2" xfId="19976"/>
    <cellStyle name="20% - Accent1 7 7 2 3" xfId="19975"/>
    <cellStyle name="20% - Accent1 7 7 3" xfId="1991"/>
    <cellStyle name="20% - Accent1 7 7 3 2" xfId="19977"/>
    <cellStyle name="20% - Accent1 7 7 4" xfId="19974"/>
    <cellStyle name="20% - Accent1 7 8" xfId="1992"/>
    <cellStyle name="20% - Accent1 7 8 2" xfId="1993"/>
    <cellStyle name="20% - Accent1 7 8 2 2" xfId="19979"/>
    <cellStyle name="20% - Accent1 7 8 3" xfId="19978"/>
    <cellStyle name="20% - Accent1 7 9" xfId="1994"/>
    <cellStyle name="20% - Accent1 7 9 2" xfId="19980"/>
    <cellStyle name="20% - Accent1 8" xfId="1995"/>
    <cellStyle name="20% - Accent1 8 10" xfId="19981"/>
    <cellStyle name="20% - Accent1 8 2" xfId="1996"/>
    <cellStyle name="20% - Accent1 8 2 2" xfId="1997"/>
    <cellStyle name="20% - Accent1 8 2 2 2" xfId="1998"/>
    <cellStyle name="20% - Accent1 8 2 2 2 2" xfId="1999"/>
    <cellStyle name="20% - Accent1 8 2 2 2 2 2" xfId="2000"/>
    <cellStyle name="20% - Accent1 8 2 2 2 2 2 2" xfId="2001"/>
    <cellStyle name="20% - Accent1 8 2 2 2 2 2 2 2" xfId="2002"/>
    <cellStyle name="20% - Accent1 8 2 2 2 2 2 2 2 2" xfId="19988"/>
    <cellStyle name="20% - Accent1 8 2 2 2 2 2 2 3" xfId="19987"/>
    <cellStyle name="20% - Accent1 8 2 2 2 2 2 3" xfId="2003"/>
    <cellStyle name="20% - Accent1 8 2 2 2 2 2 3 2" xfId="19989"/>
    <cellStyle name="20% - Accent1 8 2 2 2 2 2 4" xfId="19986"/>
    <cellStyle name="20% - Accent1 8 2 2 2 2 3" xfId="2004"/>
    <cellStyle name="20% - Accent1 8 2 2 2 2 3 2" xfId="2005"/>
    <cellStyle name="20% - Accent1 8 2 2 2 2 3 2 2" xfId="19991"/>
    <cellStyle name="20% - Accent1 8 2 2 2 2 3 3" xfId="19990"/>
    <cellStyle name="20% - Accent1 8 2 2 2 2 4" xfId="2006"/>
    <cellStyle name="20% - Accent1 8 2 2 2 2 4 2" xfId="19992"/>
    <cellStyle name="20% - Accent1 8 2 2 2 2 5" xfId="19985"/>
    <cellStyle name="20% - Accent1 8 2 2 2 3" xfId="2007"/>
    <cellStyle name="20% - Accent1 8 2 2 2 3 2" xfId="2008"/>
    <cellStyle name="20% - Accent1 8 2 2 2 3 2 2" xfId="2009"/>
    <cellStyle name="20% - Accent1 8 2 2 2 3 2 2 2" xfId="2010"/>
    <cellStyle name="20% - Accent1 8 2 2 2 3 2 2 2 2" xfId="19996"/>
    <cellStyle name="20% - Accent1 8 2 2 2 3 2 2 3" xfId="19995"/>
    <cellStyle name="20% - Accent1 8 2 2 2 3 2 3" xfId="2011"/>
    <cellStyle name="20% - Accent1 8 2 2 2 3 2 3 2" xfId="19997"/>
    <cellStyle name="20% - Accent1 8 2 2 2 3 2 4" xfId="19994"/>
    <cellStyle name="20% - Accent1 8 2 2 2 3 3" xfId="2012"/>
    <cellStyle name="20% - Accent1 8 2 2 2 3 3 2" xfId="2013"/>
    <cellStyle name="20% - Accent1 8 2 2 2 3 3 2 2" xfId="19999"/>
    <cellStyle name="20% - Accent1 8 2 2 2 3 3 3" xfId="19998"/>
    <cellStyle name="20% - Accent1 8 2 2 2 3 4" xfId="2014"/>
    <cellStyle name="20% - Accent1 8 2 2 2 3 4 2" xfId="20000"/>
    <cellStyle name="20% - Accent1 8 2 2 2 3 5" xfId="19993"/>
    <cellStyle name="20% - Accent1 8 2 2 2 4" xfId="2015"/>
    <cellStyle name="20% - Accent1 8 2 2 2 4 2" xfId="2016"/>
    <cellStyle name="20% - Accent1 8 2 2 2 4 2 2" xfId="2017"/>
    <cellStyle name="20% - Accent1 8 2 2 2 4 2 2 2" xfId="20003"/>
    <cellStyle name="20% - Accent1 8 2 2 2 4 2 3" xfId="20002"/>
    <cellStyle name="20% - Accent1 8 2 2 2 4 3" xfId="2018"/>
    <cellStyle name="20% - Accent1 8 2 2 2 4 3 2" xfId="20004"/>
    <cellStyle name="20% - Accent1 8 2 2 2 4 4" xfId="20001"/>
    <cellStyle name="20% - Accent1 8 2 2 2 5" xfId="2019"/>
    <cellStyle name="20% - Accent1 8 2 2 2 5 2" xfId="2020"/>
    <cellStyle name="20% - Accent1 8 2 2 2 5 2 2" xfId="20006"/>
    <cellStyle name="20% - Accent1 8 2 2 2 5 3" xfId="20005"/>
    <cellStyle name="20% - Accent1 8 2 2 2 6" xfId="2021"/>
    <cellStyle name="20% - Accent1 8 2 2 2 6 2" xfId="20007"/>
    <cellStyle name="20% - Accent1 8 2 2 2 7" xfId="19984"/>
    <cellStyle name="20% - Accent1 8 2 2 3" xfId="2022"/>
    <cellStyle name="20% - Accent1 8 2 2 3 2" xfId="2023"/>
    <cellStyle name="20% - Accent1 8 2 2 3 2 2" xfId="2024"/>
    <cellStyle name="20% - Accent1 8 2 2 3 2 2 2" xfId="2025"/>
    <cellStyle name="20% - Accent1 8 2 2 3 2 2 2 2" xfId="20011"/>
    <cellStyle name="20% - Accent1 8 2 2 3 2 2 3" xfId="20010"/>
    <cellStyle name="20% - Accent1 8 2 2 3 2 3" xfId="2026"/>
    <cellStyle name="20% - Accent1 8 2 2 3 2 3 2" xfId="20012"/>
    <cellStyle name="20% - Accent1 8 2 2 3 2 4" xfId="20009"/>
    <cellStyle name="20% - Accent1 8 2 2 3 3" xfId="2027"/>
    <cellStyle name="20% - Accent1 8 2 2 3 3 2" xfId="2028"/>
    <cellStyle name="20% - Accent1 8 2 2 3 3 2 2" xfId="20014"/>
    <cellStyle name="20% - Accent1 8 2 2 3 3 3" xfId="20013"/>
    <cellStyle name="20% - Accent1 8 2 2 3 4" xfId="2029"/>
    <cellStyle name="20% - Accent1 8 2 2 3 4 2" xfId="20015"/>
    <cellStyle name="20% - Accent1 8 2 2 3 5" xfId="20008"/>
    <cellStyle name="20% - Accent1 8 2 2 4" xfId="2030"/>
    <cellStyle name="20% - Accent1 8 2 2 4 2" xfId="2031"/>
    <cellStyle name="20% - Accent1 8 2 2 4 2 2" xfId="2032"/>
    <cellStyle name="20% - Accent1 8 2 2 4 2 2 2" xfId="2033"/>
    <cellStyle name="20% - Accent1 8 2 2 4 2 2 2 2" xfId="20019"/>
    <cellStyle name="20% - Accent1 8 2 2 4 2 2 3" xfId="20018"/>
    <cellStyle name="20% - Accent1 8 2 2 4 2 3" xfId="2034"/>
    <cellStyle name="20% - Accent1 8 2 2 4 2 3 2" xfId="20020"/>
    <cellStyle name="20% - Accent1 8 2 2 4 2 4" xfId="20017"/>
    <cellStyle name="20% - Accent1 8 2 2 4 3" xfId="2035"/>
    <cellStyle name="20% - Accent1 8 2 2 4 3 2" xfId="2036"/>
    <cellStyle name="20% - Accent1 8 2 2 4 3 2 2" xfId="20022"/>
    <cellStyle name="20% - Accent1 8 2 2 4 3 3" xfId="20021"/>
    <cellStyle name="20% - Accent1 8 2 2 4 4" xfId="2037"/>
    <cellStyle name="20% - Accent1 8 2 2 4 4 2" xfId="20023"/>
    <cellStyle name="20% - Accent1 8 2 2 4 5" xfId="20016"/>
    <cellStyle name="20% - Accent1 8 2 2 5" xfId="2038"/>
    <cellStyle name="20% - Accent1 8 2 2 5 2" xfId="2039"/>
    <cellStyle name="20% - Accent1 8 2 2 5 2 2" xfId="2040"/>
    <cellStyle name="20% - Accent1 8 2 2 5 2 2 2" xfId="20026"/>
    <cellStyle name="20% - Accent1 8 2 2 5 2 3" xfId="20025"/>
    <cellStyle name="20% - Accent1 8 2 2 5 3" xfId="2041"/>
    <cellStyle name="20% - Accent1 8 2 2 5 3 2" xfId="20027"/>
    <cellStyle name="20% - Accent1 8 2 2 5 4" xfId="20024"/>
    <cellStyle name="20% - Accent1 8 2 2 6" xfId="2042"/>
    <cellStyle name="20% - Accent1 8 2 2 6 2" xfId="2043"/>
    <cellStyle name="20% - Accent1 8 2 2 6 2 2" xfId="20029"/>
    <cellStyle name="20% - Accent1 8 2 2 6 3" xfId="20028"/>
    <cellStyle name="20% - Accent1 8 2 2 7" xfId="2044"/>
    <cellStyle name="20% - Accent1 8 2 2 7 2" xfId="20030"/>
    <cellStyle name="20% - Accent1 8 2 2 8" xfId="19983"/>
    <cellStyle name="20% - Accent1 8 2 3" xfId="2045"/>
    <cellStyle name="20% - Accent1 8 2 3 2" xfId="2046"/>
    <cellStyle name="20% - Accent1 8 2 3 2 2" xfId="2047"/>
    <cellStyle name="20% - Accent1 8 2 3 2 2 2" xfId="2048"/>
    <cellStyle name="20% - Accent1 8 2 3 2 2 2 2" xfId="2049"/>
    <cellStyle name="20% - Accent1 8 2 3 2 2 2 2 2" xfId="20035"/>
    <cellStyle name="20% - Accent1 8 2 3 2 2 2 3" xfId="20034"/>
    <cellStyle name="20% - Accent1 8 2 3 2 2 3" xfId="2050"/>
    <cellStyle name="20% - Accent1 8 2 3 2 2 3 2" xfId="20036"/>
    <cellStyle name="20% - Accent1 8 2 3 2 2 4" xfId="20033"/>
    <cellStyle name="20% - Accent1 8 2 3 2 3" xfId="2051"/>
    <cellStyle name="20% - Accent1 8 2 3 2 3 2" xfId="2052"/>
    <cellStyle name="20% - Accent1 8 2 3 2 3 2 2" xfId="20038"/>
    <cellStyle name="20% - Accent1 8 2 3 2 3 3" xfId="20037"/>
    <cellStyle name="20% - Accent1 8 2 3 2 4" xfId="2053"/>
    <cellStyle name="20% - Accent1 8 2 3 2 4 2" xfId="20039"/>
    <cellStyle name="20% - Accent1 8 2 3 2 5" xfId="20032"/>
    <cellStyle name="20% - Accent1 8 2 3 3" xfId="2054"/>
    <cellStyle name="20% - Accent1 8 2 3 3 2" xfId="2055"/>
    <cellStyle name="20% - Accent1 8 2 3 3 2 2" xfId="2056"/>
    <cellStyle name="20% - Accent1 8 2 3 3 2 2 2" xfId="2057"/>
    <cellStyle name="20% - Accent1 8 2 3 3 2 2 2 2" xfId="20043"/>
    <cellStyle name="20% - Accent1 8 2 3 3 2 2 3" xfId="20042"/>
    <cellStyle name="20% - Accent1 8 2 3 3 2 3" xfId="2058"/>
    <cellStyle name="20% - Accent1 8 2 3 3 2 3 2" xfId="20044"/>
    <cellStyle name="20% - Accent1 8 2 3 3 2 4" xfId="20041"/>
    <cellStyle name="20% - Accent1 8 2 3 3 3" xfId="2059"/>
    <cellStyle name="20% - Accent1 8 2 3 3 3 2" xfId="2060"/>
    <cellStyle name="20% - Accent1 8 2 3 3 3 2 2" xfId="20046"/>
    <cellStyle name="20% - Accent1 8 2 3 3 3 3" xfId="20045"/>
    <cellStyle name="20% - Accent1 8 2 3 3 4" xfId="2061"/>
    <cellStyle name="20% - Accent1 8 2 3 3 4 2" xfId="20047"/>
    <cellStyle name="20% - Accent1 8 2 3 3 5" xfId="20040"/>
    <cellStyle name="20% - Accent1 8 2 3 4" xfId="2062"/>
    <cellStyle name="20% - Accent1 8 2 3 4 2" xfId="2063"/>
    <cellStyle name="20% - Accent1 8 2 3 4 2 2" xfId="2064"/>
    <cellStyle name="20% - Accent1 8 2 3 4 2 2 2" xfId="20050"/>
    <cellStyle name="20% - Accent1 8 2 3 4 2 3" xfId="20049"/>
    <cellStyle name="20% - Accent1 8 2 3 4 3" xfId="2065"/>
    <cellStyle name="20% - Accent1 8 2 3 4 3 2" xfId="20051"/>
    <cellStyle name="20% - Accent1 8 2 3 4 4" xfId="20048"/>
    <cellStyle name="20% - Accent1 8 2 3 5" xfId="2066"/>
    <cellStyle name="20% - Accent1 8 2 3 5 2" xfId="2067"/>
    <cellStyle name="20% - Accent1 8 2 3 5 2 2" xfId="20053"/>
    <cellStyle name="20% - Accent1 8 2 3 5 3" xfId="20052"/>
    <cellStyle name="20% - Accent1 8 2 3 6" xfId="2068"/>
    <cellStyle name="20% - Accent1 8 2 3 6 2" xfId="20054"/>
    <cellStyle name="20% - Accent1 8 2 3 7" xfId="20031"/>
    <cellStyle name="20% - Accent1 8 2 4" xfId="2069"/>
    <cellStyle name="20% - Accent1 8 2 4 2" xfId="2070"/>
    <cellStyle name="20% - Accent1 8 2 4 2 2" xfId="2071"/>
    <cellStyle name="20% - Accent1 8 2 4 2 2 2" xfId="2072"/>
    <cellStyle name="20% - Accent1 8 2 4 2 2 2 2" xfId="20058"/>
    <cellStyle name="20% - Accent1 8 2 4 2 2 3" xfId="20057"/>
    <cellStyle name="20% - Accent1 8 2 4 2 3" xfId="2073"/>
    <cellStyle name="20% - Accent1 8 2 4 2 3 2" xfId="20059"/>
    <cellStyle name="20% - Accent1 8 2 4 2 4" xfId="20056"/>
    <cellStyle name="20% - Accent1 8 2 4 3" xfId="2074"/>
    <cellStyle name="20% - Accent1 8 2 4 3 2" xfId="2075"/>
    <cellStyle name="20% - Accent1 8 2 4 3 2 2" xfId="20061"/>
    <cellStyle name="20% - Accent1 8 2 4 3 3" xfId="20060"/>
    <cellStyle name="20% - Accent1 8 2 4 4" xfId="2076"/>
    <cellStyle name="20% - Accent1 8 2 4 4 2" xfId="20062"/>
    <cellStyle name="20% - Accent1 8 2 4 5" xfId="20055"/>
    <cellStyle name="20% - Accent1 8 2 5" xfId="2077"/>
    <cellStyle name="20% - Accent1 8 2 5 2" xfId="2078"/>
    <cellStyle name="20% - Accent1 8 2 5 2 2" xfId="2079"/>
    <cellStyle name="20% - Accent1 8 2 5 2 2 2" xfId="2080"/>
    <cellStyle name="20% - Accent1 8 2 5 2 2 2 2" xfId="20066"/>
    <cellStyle name="20% - Accent1 8 2 5 2 2 3" xfId="20065"/>
    <cellStyle name="20% - Accent1 8 2 5 2 3" xfId="2081"/>
    <cellStyle name="20% - Accent1 8 2 5 2 3 2" xfId="20067"/>
    <cellStyle name="20% - Accent1 8 2 5 2 4" xfId="20064"/>
    <cellStyle name="20% - Accent1 8 2 5 3" xfId="2082"/>
    <cellStyle name="20% - Accent1 8 2 5 3 2" xfId="2083"/>
    <cellStyle name="20% - Accent1 8 2 5 3 2 2" xfId="20069"/>
    <cellStyle name="20% - Accent1 8 2 5 3 3" xfId="20068"/>
    <cellStyle name="20% - Accent1 8 2 5 4" xfId="2084"/>
    <cellStyle name="20% - Accent1 8 2 5 4 2" xfId="20070"/>
    <cellStyle name="20% - Accent1 8 2 5 5" xfId="20063"/>
    <cellStyle name="20% - Accent1 8 2 6" xfId="2085"/>
    <cellStyle name="20% - Accent1 8 2 6 2" xfId="2086"/>
    <cellStyle name="20% - Accent1 8 2 6 2 2" xfId="2087"/>
    <cellStyle name="20% - Accent1 8 2 6 2 2 2" xfId="20073"/>
    <cellStyle name="20% - Accent1 8 2 6 2 3" xfId="20072"/>
    <cellStyle name="20% - Accent1 8 2 6 3" xfId="2088"/>
    <cellStyle name="20% - Accent1 8 2 6 3 2" xfId="20074"/>
    <cellStyle name="20% - Accent1 8 2 6 4" xfId="20071"/>
    <cellStyle name="20% - Accent1 8 2 7" xfId="2089"/>
    <cellStyle name="20% - Accent1 8 2 7 2" xfId="2090"/>
    <cellStyle name="20% - Accent1 8 2 7 2 2" xfId="20076"/>
    <cellStyle name="20% - Accent1 8 2 7 3" xfId="20075"/>
    <cellStyle name="20% - Accent1 8 2 8" xfId="2091"/>
    <cellStyle name="20% - Accent1 8 2 8 2" xfId="20077"/>
    <cellStyle name="20% - Accent1 8 2 9" xfId="19982"/>
    <cellStyle name="20% - Accent1 8 3" xfId="2092"/>
    <cellStyle name="20% - Accent1 8 3 2" xfId="2093"/>
    <cellStyle name="20% - Accent1 8 3 2 2" xfId="2094"/>
    <cellStyle name="20% - Accent1 8 3 2 2 2" xfId="2095"/>
    <cellStyle name="20% - Accent1 8 3 2 2 2 2" xfId="2096"/>
    <cellStyle name="20% - Accent1 8 3 2 2 2 2 2" xfId="2097"/>
    <cellStyle name="20% - Accent1 8 3 2 2 2 2 2 2" xfId="20083"/>
    <cellStyle name="20% - Accent1 8 3 2 2 2 2 3" xfId="20082"/>
    <cellStyle name="20% - Accent1 8 3 2 2 2 3" xfId="2098"/>
    <cellStyle name="20% - Accent1 8 3 2 2 2 3 2" xfId="20084"/>
    <cellStyle name="20% - Accent1 8 3 2 2 2 4" xfId="20081"/>
    <cellStyle name="20% - Accent1 8 3 2 2 3" xfId="2099"/>
    <cellStyle name="20% - Accent1 8 3 2 2 3 2" xfId="2100"/>
    <cellStyle name="20% - Accent1 8 3 2 2 3 2 2" xfId="20086"/>
    <cellStyle name="20% - Accent1 8 3 2 2 3 3" xfId="20085"/>
    <cellStyle name="20% - Accent1 8 3 2 2 4" xfId="2101"/>
    <cellStyle name="20% - Accent1 8 3 2 2 4 2" xfId="20087"/>
    <cellStyle name="20% - Accent1 8 3 2 2 5" xfId="20080"/>
    <cellStyle name="20% - Accent1 8 3 2 3" xfId="2102"/>
    <cellStyle name="20% - Accent1 8 3 2 3 2" xfId="2103"/>
    <cellStyle name="20% - Accent1 8 3 2 3 2 2" xfId="2104"/>
    <cellStyle name="20% - Accent1 8 3 2 3 2 2 2" xfId="2105"/>
    <cellStyle name="20% - Accent1 8 3 2 3 2 2 2 2" xfId="20091"/>
    <cellStyle name="20% - Accent1 8 3 2 3 2 2 3" xfId="20090"/>
    <cellStyle name="20% - Accent1 8 3 2 3 2 3" xfId="2106"/>
    <cellStyle name="20% - Accent1 8 3 2 3 2 3 2" xfId="20092"/>
    <cellStyle name="20% - Accent1 8 3 2 3 2 4" xfId="20089"/>
    <cellStyle name="20% - Accent1 8 3 2 3 3" xfId="2107"/>
    <cellStyle name="20% - Accent1 8 3 2 3 3 2" xfId="2108"/>
    <cellStyle name="20% - Accent1 8 3 2 3 3 2 2" xfId="20094"/>
    <cellStyle name="20% - Accent1 8 3 2 3 3 3" xfId="20093"/>
    <cellStyle name="20% - Accent1 8 3 2 3 4" xfId="2109"/>
    <cellStyle name="20% - Accent1 8 3 2 3 4 2" xfId="20095"/>
    <cellStyle name="20% - Accent1 8 3 2 3 5" xfId="20088"/>
    <cellStyle name="20% - Accent1 8 3 2 4" xfId="2110"/>
    <cellStyle name="20% - Accent1 8 3 2 4 2" xfId="2111"/>
    <cellStyle name="20% - Accent1 8 3 2 4 2 2" xfId="2112"/>
    <cellStyle name="20% - Accent1 8 3 2 4 2 2 2" xfId="20098"/>
    <cellStyle name="20% - Accent1 8 3 2 4 2 3" xfId="20097"/>
    <cellStyle name="20% - Accent1 8 3 2 4 3" xfId="2113"/>
    <cellStyle name="20% - Accent1 8 3 2 4 3 2" xfId="20099"/>
    <cellStyle name="20% - Accent1 8 3 2 4 4" xfId="20096"/>
    <cellStyle name="20% - Accent1 8 3 2 5" xfId="2114"/>
    <cellStyle name="20% - Accent1 8 3 2 5 2" xfId="2115"/>
    <cellStyle name="20% - Accent1 8 3 2 5 2 2" xfId="20101"/>
    <cellStyle name="20% - Accent1 8 3 2 5 3" xfId="20100"/>
    <cellStyle name="20% - Accent1 8 3 2 6" xfId="2116"/>
    <cellStyle name="20% - Accent1 8 3 2 6 2" xfId="20102"/>
    <cellStyle name="20% - Accent1 8 3 2 7" xfId="20079"/>
    <cellStyle name="20% - Accent1 8 3 3" xfId="2117"/>
    <cellStyle name="20% - Accent1 8 3 3 2" xfId="2118"/>
    <cellStyle name="20% - Accent1 8 3 3 2 2" xfId="2119"/>
    <cellStyle name="20% - Accent1 8 3 3 2 2 2" xfId="2120"/>
    <cellStyle name="20% - Accent1 8 3 3 2 2 2 2" xfId="20106"/>
    <cellStyle name="20% - Accent1 8 3 3 2 2 3" xfId="20105"/>
    <cellStyle name="20% - Accent1 8 3 3 2 3" xfId="2121"/>
    <cellStyle name="20% - Accent1 8 3 3 2 3 2" xfId="20107"/>
    <cellStyle name="20% - Accent1 8 3 3 2 4" xfId="20104"/>
    <cellStyle name="20% - Accent1 8 3 3 3" xfId="2122"/>
    <cellStyle name="20% - Accent1 8 3 3 3 2" xfId="2123"/>
    <cellStyle name="20% - Accent1 8 3 3 3 2 2" xfId="20109"/>
    <cellStyle name="20% - Accent1 8 3 3 3 3" xfId="20108"/>
    <cellStyle name="20% - Accent1 8 3 3 4" xfId="2124"/>
    <cellStyle name="20% - Accent1 8 3 3 4 2" xfId="20110"/>
    <cellStyle name="20% - Accent1 8 3 3 5" xfId="20103"/>
    <cellStyle name="20% - Accent1 8 3 4" xfId="2125"/>
    <cellStyle name="20% - Accent1 8 3 4 2" xfId="2126"/>
    <cellStyle name="20% - Accent1 8 3 4 2 2" xfId="2127"/>
    <cellStyle name="20% - Accent1 8 3 4 2 2 2" xfId="2128"/>
    <cellStyle name="20% - Accent1 8 3 4 2 2 2 2" xfId="20114"/>
    <cellStyle name="20% - Accent1 8 3 4 2 2 3" xfId="20113"/>
    <cellStyle name="20% - Accent1 8 3 4 2 3" xfId="2129"/>
    <cellStyle name="20% - Accent1 8 3 4 2 3 2" xfId="20115"/>
    <cellStyle name="20% - Accent1 8 3 4 2 4" xfId="20112"/>
    <cellStyle name="20% - Accent1 8 3 4 3" xfId="2130"/>
    <cellStyle name="20% - Accent1 8 3 4 3 2" xfId="2131"/>
    <cellStyle name="20% - Accent1 8 3 4 3 2 2" xfId="20117"/>
    <cellStyle name="20% - Accent1 8 3 4 3 3" xfId="20116"/>
    <cellStyle name="20% - Accent1 8 3 4 4" xfId="2132"/>
    <cellStyle name="20% - Accent1 8 3 4 4 2" xfId="20118"/>
    <cellStyle name="20% - Accent1 8 3 4 5" xfId="20111"/>
    <cellStyle name="20% - Accent1 8 3 5" xfId="2133"/>
    <cellStyle name="20% - Accent1 8 3 5 2" xfId="2134"/>
    <cellStyle name="20% - Accent1 8 3 5 2 2" xfId="2135"/>
    <cellStyle name="20% - Accent1 8 3 5 2 2 2" xfId="20121"/>
    <cellStyle name="20% - Accent1 8 3 5 2 3" xfId="20120"/>
    <cellStyle name="20% - Accent1 8 3 5 3" xfId="2136"/>
    <cellStyle name="20% - Accent1 8 3 5 3 2" xfId="20122"/>
    <cellStyle name="20% - Accent1 8 3 5 4" xfId="20119"/>
    <cellStyle name="20% - Accent1 8 3 6" xfId="2137"/>
    <cellStyle name="20% - Accent1 8 3 6 2" xfId="2138"/>
    <cellStyle name="20% - Accent1 8 3 6 2 2" xfId="20124"/>
    <cellStyle name="20% - Accent1 8 3 6 3" xfId="20123"/>
    <cellStyle name="20% - Accent1 8 3 7" xfId="2139"/>
    <cellStyle name="20% - Accent1 8 3 7 2" xfId="20125"/>
    <cellStyle name="20% - Accent1 8 3 8" xfId="20078"/>
    <cellStyle name="20% - Accent1 8 4" xfId="2140"/>
    <cellStyle name="20% - Accent1 8 4 2" xfId="2141"/>
    <cellStyle name="20% - Accent1 8 4 2 2" xfId="2142"/>
    <cellStyle name="20% - Accent1 8 4 2 2 2" xfId="2143"/>
    <cellStyle name="20% - Accent1 8 4 2 2 2 2" xfId="2144"/>
    <cellStyle name="20% - Accent1 8 4 2 2 2 2 2" xfId="20130"/>
    <cellStyle name="20% - Accent1 8 4 2 2 2 3" xfId="20129"/>
    <cellStyle name="20% - Accent1 8 4 2 2 3" xfId="2145"/>
    <cellStyle name="20% - Accent1 8 4 2 2 3 2" xfId="20131"/>
    <cellStyle name="20% - Accent1 8 4 2 2 4" xfId="20128"/>
    <cellStyle name="20% - Accent1 8 4 2 3" xfId="2146"/>
    <cellStyle name="20% - Accent1 8 4 2 3 2" xfId="2147"/>
    <cellStyle name="20% - Accent1 8 4 2 3 2 2" xfId="20133"/>
    <cellStyle name="20% - Accent1 8 4 2 3 3" xfId="20132"/>
    <cellStyle name="20% - Accent1 8 4 2 4" xfId="2148"/>
    <cellStyle name="20% - Accent1 8 4 2 4 2" xfId="20134"/>
    <cellStyle name="20% - Accent1 8 4 2 5" xfId="20127"/>
    <cellStyle name="20% - Accent1 8 4 3" xfId="2149"/>
    <cellStyle name="20% - Accent1 8 4 3 2" xfId="2150"/>
    <cellStyle name="20% - Accent1 8 4 3 2 2" xfId="2151"/>
    <cellStyle name="20% - Accent1 8 4 3 2 2 2" xfId="2152"/>
    <cellStyle name="20% - Accent1 8 4 3 2 2 2 2" xfId="20138"/>
    <cellStyle name="20% - Accent1 8 4 3 2 2 3" xfId="20137"/>
    <cellStyle name="20% - Accent1 8 4 3 2 3" xfId="2153"/>
    <cellStyle name="20% - Accent1 8 4 3 2 3 2" xfId="20139"/>
    <cellStyle name="20% - Accent1 8 4 3 2 4" xfId="20136"/>
    <cellStyle name="20% - Accent1 8 4 3 3" xfId="2154"/>
    <cellStyle name="20% - Accent1 8 4 3 3 2" xfId="2155"/>
    <cellStyle name="20% - Accent1 8 4 3 3 2 2" xfId="20141"/>
    <cellStyle name="20% - Accent1 8 4 3 3 3" xfId="20140"/>
    <cellStyle name="20% - Accent1 8 4 3 4" xfId="2156"/>
    <cellStyle name="20% - Accent1 8 4 3 4 2" xfId="20142"/>
    <cellStyle name="20% - Accent1 8 4 3 5" xfId="20135"/>
    <cellStyle name="20% - Accent1 8 4 4" xfId="2157"/>
    <cellStyle name="20% - Accent1 8 4 4 2" xfId="2158"/>
    <cellStyle name="20% - Accent1 8 4 4 2 2" xfId="2159"/>
    <cellStyle name="20% - Accent1 8 4 4 2 2 2" xfId="20145"/>
    <cellStyle name="20% - Accent1 8 4 4 2 3" xfId="20144"/>
    <cellStyle name="20% - Accent1 8 4 4 3" xfId="2160"/>
    <cellStyle name="20% - Accent1 8 4 4 3 2" xfId="20146"/>
    <cellStyle name="20% - Accent1 8 4 4 4" xfId="20143"/>
    <cellStyle name="20% - Accent1 8 4 5" xfId="2161"/>
    <cellStyle name="20% - Accent1 8 4 5 2" xfId="2162"/>
    <cellStyle name="20% - Accent1 8 4 5 2 2" xfId="20148"/>
    <cellStyle name="20% - Accent1 8 4 5 3" xfId="20147"/>
    <cellStyle name="20% - Accent1 8 4 6" xfId="2163"/>
    <cellStyle name="20% - Accent1 8 4 6 2" xfId="20149"/>
    <cellStyle name="20% - Accent1 8 4 7" xfId="20126"/>
    <cellStyle name="20% - Accent1 8 5" xfId="2164"/>
    <cellStyle name="20% - Accent1 8 5 2" xfId="2165"/>
    <cellStyle name="20% - Accent1 8 5 2 2" xfId="2166"/>
    <cellStyle name="20% - Accent1 8 5 2 2 2" xfId="2167"/>
    <cellStyle name="20% - Accent1 8 5 2 2 2 2" xfId="20153"/>
    <cellStyle name="20% - Accent1 8 5 2 2 3" xfId="20152"/>
    <cellStyle name="20% - Accent1 8 5 2 3" xfId="2168"/>
    <cellStyle name="20% - Accent1 8 5 2 3 2" xfId="20154"/>
    <cellStyle name="20% - Accent1 8 5 2 4" xfId="20151"/>
    <cellStyle name="20% - Accent1 8 5 3" xfId="2169"/>
    <cellStyle name="20% - Accent1 8 5 3 2" xfId="2170"/>
    <cellStyle name="20% - Accent1 8 5 3 2 2" xfId="20156"/>
    <cellStyle name="20% - Accent1 8 5 3 3" xfId="20155"/>
    <cellStyle name="20% - Accent1 8 5 4" xfId="2171"/>
    <cellStyle name="20% - Accent1 8 5 4 2" xfId="20157"/>
    <cellStyle name="20% - Accent1 8 5 5" xfId="20150"/>
    <cellStyle name="20% - Accent1 8 6" xfId="2172"/>
    <cellStyle name="20% - Accent1 8 6 2" xfId="2173"/>
    <cellStyle name="20% - Accent1 8 6 2 2" xfId="2174"/>
    <cellStyle name="20% - Accent1 8 6 2 2 2" xfId="2175"/>
    <cellStyle name="20% - Accent1 8 6 2 2 2 2" xfId="20161"/>
    <cellStyle name="20% - Accent1 8 6 2 2 3" xfId="20160"/>
    <cellStyle name="20% - Accent1 8 6 2 3" xfId="2176"/>
    <cellStyle name="20% - Accent1 8 6 2 3 2" xfId="20162"/>
    <cellStyle name="20% - Accent1 8 6 2 4" xfId="20159"/>
    <cellStyle name="20% - Accent1 8 6 3" xfId="2177"/>
    <cellStyle name="20% - Accent1 8 6 3 2" xfId="2178"/>
    <cellStyle name="20% - Accent1 8 6 3 2 2" xfId="20164"/>
    <cellStyle name="20% - Accent1 8 6 3 3" xfId="20163"/>
    <cellStyle name="20% - Accent1 8 6 4" xfId="2179"/>
    <cellStyle name="20% - Accent1 8 6 4 2" xfId="20165"/>
    <cellStyle name="20% - Accent1 8 6 5" xfId="20158"/>
    <cellStyle name="20% - Accent1 8 7" xfId="2180"/>
    <cellStyle name="20% - Accent1 8 7 2" xfId="2181"/>
    <cellStyle name="20% - Accent1 8 7 2 2" xfId="2182"/>
    <cellStyle name="20% - Accent1 8 7 2 2 2" xfId="20168"/>
    <cellStyle name="20% - Accent1 8 7 2 3" xfId="20167"/>
    <cellStyle name="20% - Accent1 8 7 3" xfId="2183"/>
    <cellStyle name="20% - Accent1 8 7 3 2" xfId="20169"/>
    <cellStyle name="20% - Accent1 8 7 4" xfId="20166"/>
    <cellStyle name="20% - Accent1 8 8" xfId="2184"/>
    <cellStyle name="20% - Accent1 8 8 2" xfId="2185"/>
    <cellStyle name="20% - Accent1 8 8 2 2" xfId="20171"/>
    <cellStyle name="20% - Accent1 8 8 3" xfId="20170"/>
    <cellStyle name="20% - Accent1 8 9" xfId="2186"/>
    <cellStyle name="20% - Accent1 8 9 2" xfId="20172"/>
    <cellStyle name="20% - Accent1 9" xfId="2187"/>
    <cellStyle name="20% - Accent1 9 2" xfId="2188"/>
    <cellStyle name="20% - Accent1 9 2 2" xfId="2189"/>
    <cellStyle name="20% - Accent1 9 2 2 2" xfId="2190"/>
    <cellStyle name="20% - Accent1 9 2 2 2 2" xfId="20176"/>
    <cellStyle name="20% - Accent1 9 2 2 3" xfId="20175"/>
    <cellStyle name="20% - Accent1 9 2 3" xfId="2191"/>
    <cellStyle name="20% - Accent1 9 2 3 2" xfId="20177"/>
    <cellStyle name="20% - Accent1 9 2 4" xfId="20174"/>
    <cellStyle name="20% - Accent1 9 3" xfId="2192"/>
    <cellStyle name="20% - Accent1 9 3 2" xfId="2193"/>
    <cellStyle name="20% - Accent1 9 3 2 2" xfId="20179"/>
    <cellStyle name="20% - Accent1 9 3 3" xfId="20178"/>
    <cellStyle name="20% - Accent1 9 4" xfId="2194"/>
    <cellStyle name="20% - Accent1 9 4 2" xfId="20180"/>
    <cellStyle name="20% - Accent1 9 5" xfId="20173"/>
    <cellStyle name="20% - Accent2" xfId="3" builtinId="34" customBuiltin="1"/>
    <cellStyle name="20% - Accent2 10" xfId="2195"/>
    <cellStyle name="20% - Accent2 10 2" xfId="2196"/>
    <cellStyle name="20% - Accent2 10 2 2" xfId="2197"/>
    <cellStyle name="20% - Accent2 10 2 2 2" xfId="2198"/>
    <cellStyle name="20% - Accent2 10 2 2 2 2" xfId="20184"/>
    <cellStyle name="20% - Accent2 10 2 2 3" xfId="20183"/>
    <cellStyle name="20% - Accent2 10 2 3" xfId="2199"/>
    <cellStyle name="20% - Accent2 10 2 3 2" xfId="20185"/>
    <cellStyle name="20% - Accent2 10 2 4" xfId="20182"/>
    <cellStyle name="20% - Accent2 10 3" xfId="2200"/>
    <cellStyle name="20% - Accent2 10 3 2" xfId="2201"/>
    <cellStyle name="20% - Accent2 10 3 2 2" xfId="20187"/>
    <cellStyle name="20% - Accent2 10 3 3" xfId="20186"/>
    <cellStyle name="20% - Accent2 10 4" xfId="2202"/>
    <cellStyle name="20% - Accent2 10 4 2" xfId="20188"/>
    <cellStyle name="20% - Accent2 10 5" xfId="20181"/>
    <cellStyle name="20% - Accent2 11" xfId="2203"/>
    <cellStyle name="20% - Accent2 11 2" xfId="2204"/>
    <cellStyle name="20% - Accent2 11 2 2" xfId="2205"/>
    <cellStyle name="20% - Accent2 11 2 2 2" xfId="2206"/>
    <cellStyle name="20% - Accent2 11 2 2 2 2" xfId="20192"/>
    <cellStyle name="20% - Accent2 11 2 2 3" xfId="20191"/>
    <cellStyle name="20% - Accent2 11 2 3" xfId="2207"/>
    <cellStyle name="20% - Accent2 11 2 3 2" xfId="20193"/>
    <cellStyle name="20% - Accent2 11 2 4" xfId="20190"/>
    <cellStyle name="20% - Accent2 11 3" xfId="2208"/>
    <cellStyle name="20% - Accent2 11 3 2" xfId="2209"/>
    <cellStyle name="20% - Accent2 11 3 2 2" xfId="20195"/>
    <cellStyle name="20% - Accent2 11 3 3" xfId="20194"/>
    <cellStyle name="20% - Accent2 11 4" xfId="2210"/>
    <cellStyle name="20% - Accent2 11 4 2" xfId="20196"/>
    <cellStyle name="20% - Accent2 11 5" xfId="20189"/>
    <cellStyle name="20% - Accent2 12" xfId="2211"/>
    <cellStyle name="20% - Accent2 12 2" xfId="2212"/>
    <cellStyle name="20% - Accent2 12 2 2" xfId="2213"/>
    <cellStyle name="20% - Accent2 12 2 2 2" xfId="2214"/>
    <cellStyle name="20% - Accent2 12 2 2 2 2" xfId="20200"/>
    <cellStyle name="20% - Accent2 12 2 2 3" xfId="20199"/>
    <cellStyle name="20% - Accent2 12 2 3" xfId="2215"/>
    <cellStyle name="20% - Accent2 12 2 3 2" xfId="20201"/>
    <cellStyle name="20% - Accent2 12 2 4" xfId="20198"/>
    <cellStyle name="20% - Accent2 12 3" xfId="2216"/>
    <cellStyle name="20% - Accent2 12 3 2" xfId="2217"/>
    <cellStyle name="20% - Accent2 12 3 2 2" xfId="20203"/>
    <cellStyle name="20% - Accent2 12 3 3" xfId="20202"/>
    <cellStyle name="20% - Accent2 12 4" xfId="2218"/>
    <cellStyle name="20% - Accent2 12 4 2" xfId="20204"/>
    <cellStyle name="20% - Accent2 12 5" xfId="20197"/>
    <cellStyle name="20% - Accent2 13" xfId="2219"/>
    <cellStyle name="20% - Accent2 14" xfId="2220"/>
    <cellStyle name="20% - Accent2 14 2" xfId="2221"/>
    <cellStyle name="20% - Accent2 14 2 2" xfId="2222"/>
    <cellStyle name="20% - Accent2 14 2 2 2" xfId="20207"/>
    <cellStyle name="20% - Accent2 14 2 3" xfId="20206"/>
    <cellStyle name="20% - Accent2 14 3" xfId="2223"/>
    <cellStyle name="20% - Accent2 14 3 2" xfId="20208"/>
    <cellStyle name="20% - Accent2 14 4" xfId="20205"/>
    <cellStyle name="20% - Accent2 15" xfId="2224"/>
    <cellStyle name="20% - Accent2 15 2" xfId="2225"/>
    <cellStyle name="20% - Accent2 15 2 2" xfId="2226"/>
    <cellStyle name="20% - Accent2 15 2 2 2" xfId="20211"/>
    <cellStyle name="20% - Accent2 15 2 3" xfId="20210"/>
    <cellStyle name="20% - Accent2 15 3" xfId="2227"/>
    <cellStyle name="20% - Accent2 15 3 2" xfId="20212"/>
    <cellStyle name="20% - Accent2 15 4" xfId="20209"/>
    <cellStyle name="20% - Accent2 16" xfId="2228"/>
    <cellStyle name="20% - Accent2 16 2" xfId="2229"/>
    <cellStyle name="20% - Accent2 16 2 2" xfId="2230"/>
    <cellStyle name="20% - Accent2 16 2 2 2" xfId="20215"/>
    <cellStyle name="20% - Accent2 16 2 3" xfId="20214"/>
    <cellStyle name="20% - Accent2 16 3" xfId="2231"/>
    <cellStyle name="20% - Accent2 16 3 2" xfId="20216"/>
    <cellStyle name="20% - Accent2 16 4" xfId="20213"/>
    <cellStyle name="20% - Accent2 17" xfId="2232"/>
    <cellStyle name="20% - Accent2 17 2" xfId="2233"/>
    <cellStyle name="20% - Accent2 17 2 2" xfId="2234"/>
    <cellStyle name="20% - Accent2 17 2 2 2" xfId="20219"/>
    <cellStyle name="20% - Accent2 17 2 3" xfId="20218"/>
    <cellStyle name="20% - Accent2 17 3" xfId="2235"/>
    <cellStyle name="20% - Accent2 17 3 2" xfId="20220"/>
    <cellStyle name="20% - Accent2 17 4" xfId="20217"/>
    <cellStyle name="20% - Accent2 18" xfId="2236"/>
    <cellStyle name="20% - Accent2 18 2" xfId="2237"/>
    <cellStyle name="20% - Accent2 18 2 2" xfId="2238"/>
    <cellStyle name="20% - Accent2 18 2 2 2" xfId="20223"/>
    <cellStyle name="20% - Accent2 18 2 3" xfId="20222"/>
    <cellStyle name="20% - Accent2 18 3" xfId="2239"/>
    <cellStyle name="20% - Accent2 18 3 2" xfId="20224"/>
    <cellStyle name="20% - Accent2 18 4" xfId="20221"/>
    <cellStyle name="20% - Accent2 19" xfId="2240"/>
    <cellStyle name="20% - Accent2 19 2" xfId="2241"/>
    <cellStyle name="20% - Accent2 19 2 2" xfId="2242"/>
    <cellStyle name="20% - Accent2 19 2 2 2" xfId="20227"/>
    <cellStyle name="20% - Accent2 19 2 3" xfId="20226"/>
    <cellStyle name="20% - Accent2 19 3" xfId="2243"/>
    <cellStyle name="20% - Accent2 19 3 2" xfId="20228"/>
    <cellStyle name="20% - Accent2 19 4" xfId="20225"/>
    <cellStyle name="20% - Accent2 2" xfId="237"/>
    <cellStyle name="20% - Accent2 2 2" xfId="2244"/>
    <cellStyle name="20% - Accent2 2 2 2" xfId="2245"/>
    <cellStyle name="20% - Accent2 2 3" xfId="2246"/>
    <cellStyle name="20% - Accent2 2 3 2" xfId="2247"/>
    <cellStyle name="20% - Accent2 2 3 3" xfId="2248"/>
    <cellStyle name="20% - Accent2 2 3 3 2" xfId="2249"/>
    <cellStyle name="20% - Accent2 2 3 3 2 2" xfId="2250"/>
    <cellStyle name="20% - Accent2 2 3 3 2 2 2" xfId="20231"/>
    <cellStyle name="20% - Accent2 2 3 3 2 3" xfId="20230"/>
    <cellStyle name="20% - Accent2 2 3 3 3" xfId="2251"/>
    <cellStyle name="20% - Accent2 2 3 3 3 2" xfId="20232"/>
    <cellStyle name="20% - Accent2 2 3 3 4" xfId="20229"/>
    <cellStyle name="20% - Accent2 2 4" xfId="2252"/>
    <cellStyle name="20% - Accent2 2 5" xfId="2253"/>
    <cellStyle name="20% - Accent2 20" xfId="2254"/>
    <cellStyle name="20% - Accent2 20 2" xfId="2255"/>
    <cellStyle name="20% - Accent2 20 2 2" xfId="2256"/>
    <cellStyle name="20% - Accent2 20 2 2 2" xfId="20235"/>
    <cellStyle name="20% - Accent2 20 2 3" xfId="20234"/>
    <cellStyle name="20% - Accent2 20 3" xfId="2257"/>
    <cellStyle name="20% - Accent2 20 3 2" xfId="20236"/>
    <cellStyle name="20% - Accent2 20 4" xfId="20233"/>
    <cellStyle name="20% - Accent2 21" xfId="2258"/>
    <cellStyle name="20% - Accent2 21 2" xfId="2259"/>
    <cellStyle name="20% - Accent2 21 2 2" xfId="2260"/>
    <cellStyle name="20% - Accent2 21 2 2 2" xfId="20239"/>
    <cellStyle name="20% - Accent2 21 2 3" xfId="20238"/>
    <cellStyle name="20% - Accent2 21 3" xfId="2261"/>
    <cellStyle name="20% - Accent2 21 3 2" xfId="20240"/>
    <cellStyle name="20% - Accent2 21 4" xfId="20237"/>
    <cellStyle name="20% - Accent2 22" xfId="2262"/>
    <cellStyle name="20% - Accent2 23" xfId="2263"/>
    <cellStyle name="20% - Accent2 23 2" xfId="2264"/>
    <cellStyle name="20% - Accent2 23 2 2" xfId="20242"/>
    <cellStyle name="20% - Accent2 23 3" xfId="20241"/>
    <cellStyle name="20% - Accent2 24" xfId="2265"/>
    <cellStyle name="20% - Accent2 25" xfId="2266"/>
    <cellStyle name="20% - Accent2 25 2" xfId="20243"/>
    <cellStyle name="20% - Accent2 26" xfId="2267"/>
    <cellStyle name="20% - Accent2 26 2" xfId="20244"/>
    <cellStyle name="20% - Accent2 27" xfId="2268"/>
    <cellStyle name="20% - Accent2 27 2" xfId="20245"/>
    <cellStyle name="20% - Accent2 28" xfId="2269"/>
    <cellStyle name="20% - Accent2 28 2" xfId="20246"/>
    <cellStyle name="20% - Accent2 29" xfId="2270"/>
    <cellStyle name="20% - Accent2 29 2" xfId="20247"/>
    <cellStyle name="20% - Accent2 3" xfId="651"/>
    <cellStyle name="20% - Accent2 3 2" xfId="2271"/>
    <cellStyle name="20% - Accent2 3 2 2" xfId="2272"/>
    <cellStyle name="20% - Accent2 3 2 2 2" xfId="2273"/>
    <cellStyle name="20% - Accent2 3 2 2 2 2" xfId="2274"/>
    <cellStyle name="20% - Accent2 3 2 2 2 2 2" xfId="2275"/>
    <cellStyle name="20% - Accent2 3 2 2 2 2 2 2" xfId="2276"/>
    <cellStyle name="20% - Accent2 3 2 2 2 2 2 2 2" xfId="2277"/>
    <cellStyle name="20% - Accent2 3 2 2 2 2 2 2 2 2" xfId="20254"/>
    <cellStyle name="20% - Accent2 3 2 2 2 2 2 2 3" xfId="20253"/>
    <cellStyle name="20% - Accent2 3 2 2 2 2 2 3" xfId="2278"/>
    <cellStyle name="20% - Accent2 3 2 2 2 2 2 3 2" xfId="20255"/>
    <cellStyle name="20% - Accent2 3 2 2 2 2 2 4" xfId="20252"/>
    <cellStyle name="20% - Accent2 3 2 2 2 2 3" xfId="2279"/>
    <cellStyle name="20% - Accent2 3 2 2 2 2 3 2" xfId="2280"/>
    <cellStyle name="20% - Accent2 3 2 2 2 2 3 2 2" xfId="20257"/>
    <cellStyle name="20% - Accent2 3 2 2 2 2 3 3" xfId="20256"/>
    <cellStyle name="20% - Accent2 3 2 2 2 2 4" xfId="2281"/>
    <cellStyle name="20% - Accent2 3 2 2 2 2 4 2" xfId="20258"/>
    <cellStyle name="20% - Accent2 3 2 2 2 2 5" xfId="20251"/>
    <cellStyle name="20% - Accent2 3 2 2 2 3" xfId="2282"/>
    <cellStyle name="20% - Accent2 3 2 2 2 3 2" xfId="2283"/>
    <cellStyle name="20% - Accent2 3 2 2 2 3 2 2" xfId="2284"/>
    <cellStyle name="20% - Accent2 3 2 2 2 3 2 2 2" xfId="2285"/>
    <cellStyle name="20% - Accent2 3 2 2 2 3 2 2 2 2" xfId="20262"/>
    <cellStyle name="20% - Accent2 3 2 2 2 3 2 2 3" xfId="20261"/>
    <cellStyle name="20% - Accent2 3 2 2 2 3 2 3" xfId="2286"/>
    <cellStyle name="20% - Accent2 3 2 2 2 3 2 3 2" xfId="20263"/>
    <cellStyle name="20% - Accent2 3 2 2 2 3 2 4" xfId="20260"/>
    <cellStyle name="20% - Accent2 3 2 2 2 3 3" xfId="2287"/>
    <cellStyle name="20% - Accent2 3 2 2 2 3 3 2" xfId="2288"/>
    <cellStyle name="20% - Accent2 3 2 2 2 3 3 2 2" xfId="20265"/>
    <cellStyle name="20% - Accent2 3 2 2 2 3 3 3" xfId="20264"/>
    <cellStyle name="20% - Accent2 3 2 2 2 3 4" xfId="2289"/>
    <cellStyle name="20% - Accent2 3 2 2 2 3 4 2" xfId="20266"/>
    <cellStyle name="20% - Accent2 3 2 2 2 3 5" xfId="20259"/>
    <cellStyle name="20% - Accent2 3 2 2 2 4" xfId="2290"/>
    <cellStyle name="20% - Accent2 3 2 2 2 4 2" xfId="2291"/>
    <cellStyle name="20% - Accent2 3 2 2 2 4 2 2" xfId="2292"/>
    <cellStyle name="20% - Accent2 3 2 2 2 4 2 2 2" xfId="20269"/>
    <cellStyle name="20% - Accent2 3 2 2 2 4 2 3" xfId="20268"/>
    <cellStyle name="20% - Accent2 3 2 2 2 4 3" xfId="2293"/>
    <cellStyle name="20% - Accent2 3 2 2 2 4 3 2" xfId="20270"/>
    <cellStyle name="20% - Accent2 3 2 2 2 4 4" xfId="20267"/>
    <cellStyle name="20% - Accent2 3 2 2 2 5" xfId="2294"/>
    <cellStyle name="20% - Accent2 3 2 2 2 5 2" xfId="2295"/>
    <cellStyle name="20% - Accent2 3 2 2 2 5 2 2" xfId="20272"/>
    <cellStyle name="20% - Accent2 3 2 2 2 5 3" xfId="20271"/>
    <cellStyle name="20% - Accent2 3 2 2 2 6" xfId="2296"/>
    <cellStyle name="20% - Accent2 3 2 2 2 6 2" xfId="20273"/>
    <cellStyle name="20% - Accent2 3 2 2 2 7" xfId="20250"/>
    <cellStyle name="20% - Accent2 3 2 2 3" xfId="2297"/>
    <cellStyle name="20% - Accent2 3 2 2 3 2" xfId="2298"/>
    <cellStyle name="20% - Accent2 3 2 2 3 2 2" xfId="2299"/>
    <cellStyle name="20% - Accent2 3 2 2 3 2 2 2" xfId="2300"/>
    <cellStyle name="20% - Accent2 3 2 2 3 2 2 2 2" xfId="20277"/>
    <cellStyle name="20% - Accent2 3 2 2 3 2 2 3" xfId="20276"/>
    <cellStyle name="20% - Accent2 3 2 2 3 2 3" xfId="2301"/>
    <cellStyle name="20% - Accent2 3 2 2 3 2 3 2" xfId="20278"/>
    <cellStyle name="20% - Accent2 3 2 2 3 2 4" xfId="20275"/>
    <cellStyle name="20% - Accent2 3 2 2 3 3" xfId="2302"/>
    <cellStyle name="20% - Accent2 3 2 2 3 3 2" xfId="2303"/>
    <cellStyle name="20% - Accent2 3 2 2 3 3 2 2" xfId="20280"/>
    <cellStyle name="20% - Accent2 3 2 2 3 3 3" xfId="20279"/>
    <cellStyle name="20% - Accent2 3 2 2 3 4" xfId="2304"/>
    <cellStyle name="20% - Accent2 3 2 2 3 4 2" xfId="20281"/>
    <cellStyle name="20% - Accent2 3 2 2 3 5" xfId="20274"/>
    <cellStyle name="20% - Accent2 3 2 2 4" xfId="2305"/>
    <cellStyle name="20% - Accent2 3 2 2 4 2" xfId="2306"/>
    <cellStyle name="20% - Accent2 3 2 2 4 2 2" xfId="2307"/>
    <cellStyle name="20% - Accent2 3 2 2 4 2 2 2" xfId="2308"/>
    <cellStyle name="20% - Accent2 3 2 2 4 2 2 2 2" xfId="20285"/>
    <cellStyle name="20% - Accent2 3 2 2 4 2 2 3" xfId="20284"/>
    <cellStyle name="20% - Accent2 3 2 2 4 2 3" xfId="2309"/>
    <cellStyle name="20% - Accent2 3 2 2 4 2 3 2" xfId="20286"/>
    <cellStyle name="20% - Accent2 3 2 2 4 2 4" xfId="20283"/>
    <cellStyle name="20% - Accent2 3 2 2 4 3" xfId="2310"/>
    <cellStyle name="20% - Accent2 3 2 2 4 3 2" xfId="2311"/>
    <cellStyle name="20% - Accent2 3 2 2 4 3 2 2" xfId="20288"/>
    <cellStyle name="20% - Accent2 3 2 2 4 3 3" xfId="20287"/>
    <cellStyle name="20% - Accent2 3 2 2 4 4" xfId="2312"/>
    <cellStyle name="20% - Accent2 3 2 2 4 4 2" xfId="20289"/>
    <cellStyle name="20% - Accent2 3 2 2 4 5" xfId="20282"/>
    <cellStyle name="20% - Accent2 3 2 2 5" xfId="2313"/>
    <cellStyle name="20% - Accent2 3 2 2 5 2" xfId="2314"/>
    <cellStyle name="20% - Accent2 3 2 2 5 2 2" xfId="2315"/>
    <cellStyle name="20% - Accent2 3 2 2 5 2 2 2" xfId="20292"/>
    <cellStyle name="20% - Accent2 3 2 2 5 2 3" xfId="20291"/>
    <cellStyle name="20% - Accent2 3 2 2 5 3" xfId="2316"/>
    <cellStyle name="20% - Accent2 3 2 2 5 3 2" xfId="20293"/>
    <cellStyle name="20% - Accent2 3 2 2 5 4" xfId="20290"/>
    <cellStyle name="20% - Accent2 3 2 2 6" xfId="2317"/>
    <cellStyle name="20% - Accent2 3 2 2 6 2" xfId="2318"/>
    <cellStyle name="20% - Accent2 3 2 2 6 2 2" xfId="20295"/>
    <cellStyle name="20% - Accent2 3 2 2 6 3" xfId="20294"/>
    <cellStyle name="20% - Accent2 3 2 2 7" xfId="2319"/>
    <cellStyle name="20% - Accent2 3 2 2 7 2" xfId="20296"/>
    <cellStyle name="20% - Accent2 3 2 2 8" xfId="20249"/>
    <cellStyle name="20% - Accent2 3 2 3" xfId="2320"/>
    <cellStyle name="20% - Accent2 3 2 3 2" xfId="2321"/>
    <cellStyle name="20% - Accent2 3 2 3 2 2" xfId="2322"/>
    <cellStyle name="20% - Accent2 3 2 3 2 2 2" xfId="2323"/>
    <cellStyle name="20% - Accent2 3 2 3 2 2 2 2" xfId="2324"/>
    <cellStyle name="20% - Accent2 3 2 3 2 2 2 2 2" xfId="20301"/>
    <cellStyle name="20% - Accent2 3 2 3 2 2 2 3" xfId="20300"/>
    <cellStyle name="20% - Accent2 3 2 3 2 2 3" xfId="2325"/>
    <cellStyle name="20% - Accent2 3 2 3 2 2 3 2" xfId="20302"/>
    <cellStyle name="20% - Accent2 3 2 3 2 2 4" xfId="20299"/>
    <cellStyle name="20% - Accent2 3 2 3 2 3" xfId="2326"/>
    <cellStyle name="20% - Accent2 3 2 3 2 3 2" xfId="2327"/>
    <cellStyle name="20% - Accent2 3 2 3 2 3 2 2" xfId="20304"/>
    <cellStyle name="20% - Accent2 3 2 3 2 3 3" xfId="20303"/>
    <cellStyle name="20% - Accent2 3 2 3 2 4" xfId="2328"/>
    <cellStyle name="20% - Accent2 3 2 3 2 4 2" xfId="20305"/>
    <cellStyle name="20% - Accent2 3 2 3 2 5" xfId="20298"/>
    <cellStyle name="20% - Accent2 3 2 3 3" xfId="2329"/>
    <cellStyle name="20% - Accent2 3 2 3 3 2" xfId="2330"/>
    <cellStyle name="20% - Accent2 3 2 3 3 2 2" xfId="2331"/>
    <cellStyle name="20% - Accent2 3 2 3 3 2 2 2" xfId="2332"/>
    <cellStyle name="20% - Accent2 3 2 3 3 2 2 2 2" xfId="20309"/>
    <cellStyle name="20% - Accent2 3 2 3 3 2 2 3" xfId="20308"/>
    <cellStyle name="20% - Accent2 3 2 3 3 2 3" xfId="2333"/>
    <cellStyle name="20% - Accent2 3 2 3 3 2 3 2" xfId="20310"/>
    <cellStyle name="20% - Accent2 3 2 3 3 2 4" xfId="20307"/>
    <cellStyle name="20% - Accent2 3 2 3 3 3" xfId="2334"/>
    <cellStyle name="20% - Accent2 3 2 3 3 3 2" xfId="2335"/>
    <cellStyle name="20% - Accent2 3 2 3 3 3 2 2" xfId="20312"/>
    <cellStyle name="20% - Accent2 3 2 3 3 3 3" xfId="20311"/>
    <cellStyle name="20% - Accent2 3 2 3 3 4" xfId="2336"/>
    <cellStyle name="20% - Accent2 3 2 3 3 4 2" xfId="20313"/>
    <cellStyle name="20% - Accent2 3 2 3 3 5" xfId="20306"/>
    <cellStyle name="20% - Accent2 3 2 3 4" xfId="2337"/>
    <cellStyle name="20% - Accent2 3 2 3 4 2" xfId="2338"/>
    <cellStyle name="20% - Accent2 3 2 3 4 2 2" xfId="2339"/>
    <cellStyle name="20% - Accent2 3 2 3 4 2 2 2" xfId="20316"/>
    <cellStyle name="20% - Accent2 3 2 3 4 2 3" xfId="20315"/>
    <cellStyle name="20% - Accent2 3 2 3 4 3" xfId="2340"/>
    <cellStyle name="20% - Accent2 3 2 3 4 3 2" xfId="20317"/>
    <cellStyle name="20% - Accent2 3 2 3 4 4" xfId="20314"/>
    <cellStyle name="20% - Accent2 3 2 3 5" xfId="2341"/>
    <cellStyle name="20% - Accent2 3 2 3 5 2" xfId="2342"/>
    <cellStyle name="20% - Accent2 3 2 3 5 2 2" xfId="20319"/>
    <cellStyle name="20% - Accent2 3 2 3 5 3" xfId="20318"/>
    <cellStyle name="20% - Accent2 3 2 3 6" xfId="2343"/>
    <cellStyle name="20% - Accent2 3 2 3 6 2" xfId="20320"/>
    <cellStyle name="20% - Accent2 3 2 3 7" xfId="20297"/>
    <cellStyle name="20% - Accent2 3 2 4" xfId="2344"/>
    <cellStyle name="20% - Accent2 3 2 4 2" xfId="2345"/>
    <cellStyle name="20% - Accent2 3 2 4 2 2" xfId="2346"/>
    <cellStyle name="20% - Accent2 3 2 4 2 2 2" xfId="2347"/>
    <cellStyle name="20% - Accent2 3 2 4 2 2 2 2" xfId="20324"/>
    <cellStyle name="20% - Accent2 3 2 4 2 2 3" xfId="20323"/>
    <cellStyle name="20% - Accent2 3 2 4 2 3" xfId="2348"/>
    <cellStyle name="20% - Accent2 3 2 4 2 3 2" xfId="20325"/>
    <cellStyle name="20% - Accent2 3 2 4 2 4" xfId="20322"/>
    <cellStyle name="20% - Accent2 3 2 4 3" xfId="2349"/>
    <cellStyle name="20% - Accent2 3 2 4 3 2" xfId="2350"/>
    <cellStyle name="20% - Accent2 3 2 4 3 2 2" xfId="20327"/>
    <cellStyle name="20% - Accent2 3 2 4 3 3" xfId="20326"/>
    <cellStyle name="20% - Accent2 3 2 4 4" xfId="2351"/>
    <cellStyle name="20% - Accent2 3 2 4 4 2" xfId="20328"/>
    <cellStyle name="20% - Accent2 3 2 4 5" xfId="20321"/>
    <cellStyle name="20% - Accent2 3 2 5" xfId="2352"/>
    <cellStyle name="20% - Accent2 3 2 5 2" xfId="2353"/>
    <cellStyle name="20% - Accent2 3 2 5 2 2" xfId="2354"/>
    <cellStyle name="20% - Accent2 3 2 5 2 2 2" xfId="2355"/>
    <cellStyle name="20% - Accent2 3 2 5 2 2 2 2" xfId="20332"/>
    <cellStyle name="20% - Accent2 3 2 5 2 2 3" xfId="20331"/>
    <cellStyle name="20% - Accent2 3 2 5 2 3" xfId="2356"/>
    <cellStyle name="20% - Accent2 3 2 5 2 3 2" xfId="20333"/>
    <cellStyle name="20% - Accent2 3 2 5 2 4" xfId="20330"/>
    <cellStyle name="20% - Accent2 3 2 5 3" xfId="2357"/>
    <cellStyle name="20% - Accent2 3 2 5 3 2" xfId="2358"/>
    <cellStyle name="20% - Accent2 3 2 5 3 2 2" xfId="20335"/>
    <cellStyle name="20% - Accent2 3 2 5 3 3" xfId="20334"/>
    <cellStyle name="20% - Accent2 3 2 5 4" xfId="2359"/>
    <cellStyle name="20% - Accent2 3 2 5 4 2" xfId="20336"/>
    <cellStyle name="20% - Accent2 3 2 5 5" xfId="20329"/>
    <cellStyle name="20% - Accent2 3 2 6" xfId="2360"/>
    <cellStyle name="20% - Accent2 3 2 6 2" xfId="2361"/>
    <cellStyle name="20% - Accent2 3 2 6 2 2" xfId="2362"/>
    <cellStyle name="20% - Accent2 3 2 6 2 2 2" xfId="20339"/>
    <cellStyle name="20% - Accent2 3 2 6 2 3" xfId="20338"/>
    <cellStyle name="20% - Accent2 3 2 6 3" xfId="2363"/>
    <cellStyle name="20% - Accent2 3 2 6 3 2" xfId="20340"/>
    <cellStyle name="20% - Accent2 3 2 6 4" xfId="20337"/>
    <cellStyle name="20% - Accent2 3 2 7" xfId="2364"/>
    <cellStyle name="20% - Accent2 3 2 7 2" xfId="2365"/>
    <cellStyle name="20% - Accent2 3 2 7 2 2" xfId="20342"/>
    <cellStyle name="20% - Accent2 3 2 7 3" xfId="20341"/>
    <cellStyle name="20% - Accent2 3 2 8" xfId="2366"/>
    <cellStyle name="20% - Accent2 3 2 8 2" xfId="20343"/>
    <cellStyle name="20% - Accent2 3 2 9" xfId="20248"/>
    <cellStyle name="20% - Accent2 3 3" xfId="2367"/>
    <cellStyle name="20% - Accent2 3 3 2" xfId="2368"/>
    <cellStyle name="20% - Accent2 3 3 2 2" xfId="2369"/>
    <cellStyle name="20% - Accent2 3 3 2 2 2" xfId="2370"/>
    <cellStyle name="20% - Accent2 3 3 2 2 2 2" xfId="2371"/>
    <cellStyle name="20% - Accent2 3 3 2 2 2 2 2" xfId="2372"/>
    <cellStyle name="20% - Accent2 3 3 2 2 2 2 2 2" xfId="20349"/>
    <cellStyle name="20% - Accent2 3 3 2 2 2 2 3" xfId="20348"/>
    <cellStyle name="20% - Accent2 3 3 2 2 2 3" xfId="2373"/>
    <cellStyle name="20% - Accent2 3 3 2 2 2 3 2" xfId="20350"/>
    <cellStyle name="20% - Accent2 3 3 2 2 2 4" xfId="20347"/>
    <cellStyle name="20% - Accent2 3 3 2 2 3" xfId="2374"/>
    <cellStyle name="20% - Accent2 3 3 2 2 3 2" xfId="2375"/>
    <cellStyle name="20% - Accent2 3 3 2 2 3 2 2" xfId="20352"/>
    <cellStyle name="20% - Accent2 3 3 2 2 3 3" xfId="20351"/>
    <cellStyle name="20% - Accent2 3 3 2 2 4" xfId="2376"/>
    <cellStyle name="20% - Accent2 3 3 2 2 4 2" xfId="20353"/>
    <cellStyle name="20% - Accent2 3 3 2 2 5" xfId="20346"/>
    <cellStyle name="20% - Accent2 3 3 2 3" xfId="2377"/>
    <cellStyle name="20% - Accent2 3 3 2 3 2" xfId="2378"/>
    <cellStyle name="20% - Accent2 3 3 2 3 2 2" xfId="2379"/>
    <cellStyle name="20% - Accent2 3 3 2 3 2 2 2" xfId="2380"/>
    <cellStyle name="20% - Accent2 3 3 2 3 2 2 2 2" xfId="20357"/>
    <cellStyle name="20% - Accent2 3 3 2 3 2 2 3" xfId="20356"/>
    <cellStyle name="20% - Accent2 3 3 2 3 2 3" xfId="2381"/>
    <cellStyle name="20% - Accent2 3 3 2 3 2 3 2" xfId="20358"/>
    <cellStyle name="20% - Accent2 3 3 2 3 2 4" xfId="20355"/>
    <cellStyle name="20% - Accent2 3 3 2 3 3" xfId="2382"/>
    <cellStyle name="20% - Accent2 3 3 2 3 3 2" xfId="2383"/>
    <cellStyle name="20% - Accent2 3 3 2 3 3 2 2" xfId="20360"/>
    <cellStyle name="20% - Accent2 3 3 2 3 3 3" xfId="20359"/>
    <cellStyle name="20% - Accent2 3 3 2 3 4" xfId="2384"/>
    <cellStyle name="20% - Accent2 3 3 2 3 4 2" xfId="20361"/>
    <cellStyle name="20% - Accent2 3 3 2 3 5" xfId="20354"/>
    <cellStyle name="20% - Accent2 3 3 2 4" xfId="2385"/>
    <cellStyle name="20% - Accent2 3 3 2 4 2" xfId="2386"/>
    <cellStyle name="20% - Accent2 3 3 2 4 2 2" xfId="2387"/>
    <cellStyle name="20% - Accent2 3 3 2 4 2 2 2" xfId="20364"/>
    <cellStyle name="20% - Accent2 3 3 2 4 2 3" xfId="20363"/>
    <cellStyle name="20% - Accent2 3 3 2 4 3" xfId="2388"/>
    <cellStyle name="20% - Accent2 3 3 2 4 3 2" xfId="20365"/>
    <cellStyle name="20% - Accent2 3 3 2 4 4" xfId="20362"/>
    <cellStyle name="20% - Accent2 3 3 2 5" xfId="2389"/>
    <cellStyle name="20% - Accent2 3 3 2 5 2" xfId="2390"/>
    <cellStyle name="20% - Accent2 3 3 2 5 2 2" xfId="20367"/>
    <cellStyle name="20% - Accent2 3 3 2 5 3" xfId="20366"/>
    <cellStyle name="20% - Accent2 3 3 2 6" xfId="2391"/>
    <cellStyle name="20% - Accent2 3 3 2 6 2" xfId="20368"/>
    <cellStyle name="20% - Accent2 3 3 2 7" xfId="20345"/>
    <cellStyle name="20% - Accent2 3 3 3" xfId="2392"/>
    <cellStyle name="20% - Accent2 3 3 3 2" xfId="2393"/>
    <cellStyle name="20% - Accent2 3 3 3 2 2" xfId="2394"/>
    <cellStyle name="20% - Accent2 3 3 3 2 2 2" xfId="2395"/>
    <cellStyle name="20% - Accent2 3 3 3 2 2 2 2" xfId="20372"/>
    <cellStyle name="20% - Accent2 3 3 3 2 2 3" xfId="20371"/>
    <cellStyle name="20% - Accent2 3 3 3 2 3" xfId="2396"/>
    <cellStyle name="20% - Accent2 3 3 3 2 3 2" xfId="20373"/>
    <cellStyle name="20% - Accent2 3 3 3 2 4" xfId="20370"/>
    <cellStyle name="20% - Accent2 3 3 3 3" xfId="2397"/>
    <cellStyle name="20% - Accent2 3 3 3 3 2" xfId="2398"/>
    <cellStyle name="20% - Accent2 3 3 3 3 2 2" xfId="20375"/>
    <cellStyle name="20% - Accent2 3 3 3 3 3" xfId="20374"/>
    <cellStyle name="20% - Accent2 3 3 3 4" xfId="2399"/>
    <cellStyle name="20% - Accent2 3 3 3 4 2" xfId="20376"/>
    <cellStyle name="20% - Accent2 3 3 3 5" xfId="20369"/>
    <cellStyle name="20% - Accent2 3 3 4" xfId="2400"/>
    <cellStyle name="20% - Accent2 3 3 4 2" xfId="2401"/>
    <cellStyle name="20% - Accent2 3 3 4 2 2" xfId="2402"/>
    <cellStyle name="20% - Accent2 3 3 4 2 2 2" xfId="2403"/>
    <cellStyle name="20% - Accent2 3 3 4 2 2 2 2" xfId="20380"/>
    <cellStyle name="20% - Accent2 3 3 4 2 2 3" xfId="20379"/>
    <cellStyle name="20% - Accent2 3 3 4 2 3" xfId="2404"/>
    <cellStyle name="20% - Accent2 3 3 4 2 3 2" xfId="20381"/>
    <cellStyle name="20% - Accent2 3 3 4 2 4" xfId="20378"/>
    <cellStyle name="20% - Accent2 3 3 4 3" xfId="2405"/>
    <cellStyle name="20% - Accent2 3 3 4 3 2" xfId="2406"/>
    <cellStyle name="20% - Accent2 3 3 4 3 2 2" xfId="20383"/>
    <cellStyle name="20% - Accent2 3 3 4 3 3" xfId="20382"/>
    <cellStyle name="20% - Accent2 3 3 4 4" xfId="2407"/>
    <cellStyle name="20% - Accent2 3 3 4 4 2" xfId="20384"/>
    <cellStyle name="20% - Accent2 3 3 4 5" xfId="20377"/>
    <cellStyle name="20% - Accent2 3 3 5" xfId="2408"/>
    <cellStyle name="20% - Accent2 3 3 5 2" xfId="2409"/>
    <cellStyle name="20% - Accent2 3 3 5 2 2" xfId="2410"/>
    <cellStyle name="20% - Accent2 3 3 5 2 2 2" xfId="20387"/>
    <cellStyle name="20% - Accent2 3 3 5 2 3" xfId="20386"/>
    <cellStyle name="20% - Accent2 3 3 5 3" xfId="2411"/>
    <cellStyle name="20% - Accent2 3 3 5 3 2" xfId="20388"/>
    <cellStyle name="20% - Accent2 3 3 5 4" xfId="20385"/>
    <cellStyle name="20% - Accent2 3 3 6" xfId="2412"/>
    <cellStyle name="20% - Accent2 3 3 6 2" xfId="2413"/>
    <cellStyle name="20% - Accent2 3 3 6 2 2" xfId="20390"/>
    <cellStyle name="20% - Accent2 3 3 6 3" xfId="20389"/>
    <cellStyle name="20% - Accent2 3 3 7" xfId="2414"/>
    <cellStyle name="20% - Accent2 3 3 7 2" xfId="20391"/>
    <cellStyle name="20% - Accent2 3 3 8" xfId="20344"/>
    <cellStyle name="20% - Accent2 3 4" xfId="2415"/>
    <cellStyle name="20% - Accent2 3 4 2" xfId="2416"/>
    <cellStyle name="20% - Accent2 3 4 2 2" xfId="2417"/>
    <cellStyle name="20% - Accent2 3 4 2 2 2" xfId="2418"/>
    <cellStyle name="20% - Accent2 3 4 2 2 2 2" xfId="2419"/>
    <cellStyle name="20% - Accent2 3 4 2 2 2 2 2" xfId="20396"/>
    <cellStyle name="20% - Accent2 3 4 2 2 2 3" xfId="20395"/>
    <cellStyle name="20% - Accent2 3 4 2 2 3" xfId="2420"/>
    <cellStyle name="20% - Accent2 3 4 2 2 3 2" xfId="20397"/>
    <cellStyle name="20% - Accent2 3 4 2 2 4" xfId="20394"/>
    <cellStyle name="20% - Accent2 3 4 2 3" xfId="2421"/>
    <cellStyle name="20% - Accent2 3 4 2 3 2" xfId="2422"/>
    <cellStyle name="20% - Accent2 3 4 2 3 2 2" xfId="20399"/>
    <cellStyle name="20% - Accent2 3 4 2 3 3" xfId="20398"/>
    <cellStyle name="20% - Accent2 3 4 2 4" xfId="2423"/>
    <cellStyle name="20% - Accent2 3 4 2 4 2" xfId="20400"/>
    <cellStyle name="20% - Accent2 3 4 2 5" xfId="20393"/>
    <cellStyle name="20% - Accent2 3 4 3" xfId="2424"/>
    <cellStyle name="20% - Accent2 3 4 3 2" xfId="2425"/>
    <cellStyle name="20% - Accent2 3 4 3 2 2" xfId="2426"/>
    <cellStyle name="20% - Accent2 3 4 3 2 2 2" xfId="2427"/>
    <cellStyle name="20% - Accent2 3 4 3 2 2 2 2" xfId="20404"/>
    <cellStyle name="20% - Accent2 3 4 3 2 2 3" xfId="20403"/>
    <cellStyle name="20% - Accent2 3 4 3 2 3" xfId="2428"/>
    <cellStyle name="20% - Accent2 3 4 3 2 3 2" xfId="20405"/>
    <cellStyle name="20% - Accent2 3 4 3 2 4" xfId="20402"/>
    <cellStyle name="20% - Accent2 3 4 3 3" xfId="2429"/>
    <cellStyle name="20% - Accent2 3 4 3 3 2" xfId="2430"/>
    <cellStyle name="20% - Accent2 3 4 3 3 2 2" xfId="20407"/>
    <cellStyle name="20% - Accent2 3 4 3 3 3" xfId="20406"/>
    <cellStyle name="20% - Accent2 3 4 3 4" xfId="2431"/>
    <cellStyle name="20% - Accent2 3 4 3 4 2" xfId="20408"/>
    <cellStyle name="20% - Accent2 3 4 3 5" xfId="20401"/>
    <cellStyle name="20% - Accent2 3 4 4" xfId="2432"/>
    <cellStyle name="20% - Accent2 3 4 4 2" xfId="2433"/>
    <cellStyle name="20% - Accent2 3 4 4 2 2" xfId="2434"/>
    <cellStyle name="20% - Accent2 3 4 4 2 2 2" xfId="20411"/>
    <cellStyle name="20% - Accent2 3 4 4 2 3" xfId="20410"/>
    <cellStyle name="20% - Accent2 3 4 4 3" xfId="2435"/>
    <cellStyle name="20% - Accent2 3 4 4 3 2" xfId="20412"/>
    <cellStyle name="20% - Accent2 3 4 4 4" xfId="20409"/>
    <cellStyle name="20% - Accent2 3 4 5" xfId="2436"/>
    <cellStyle name="20% - Accent2 3 4 5 2" xfId="2437"/>
    <cellStyle name="20% - Accent2 3 4 5 2 2" xfId="20414"/>
    <cellStyle name="20% - Accent2 3 4 5 3" xfId="20413"/>
    <cellStyle name="20% - Accent2 3 4 6" xfId="2438"/>
    <cellStyle name="20% - Accent2 3 4 6 2" xfId="20415"/>
    <cellStyle name="20% - Accent2 3 4 7" xfId="20392"/>
    <cellStyle name="20% - Accent2 3 5" xfId="2439"/>
    <cellStyle name="20% - Accent2 3 5 2" xfId="2440"/>
    <cellStyle name="20% - Accent2 3 5 2 2" xfId="2441"/>
    <cellStyle name="20% - Accent2 3 5 2 2 2" xfId="2442"/>
    <cellStyle name="20% - Accent2 3 5 2 2 2 2" xfId="20419"/>
    <cellStyle name="20% - Accent2 3 5 2 2 3" xfId="20418"/>
    <cellStyle name="20% - Accent2 3 5 2 3" xfId="2443"/>
    <cellStyle name="20% - Accent2 3 5 2 3 2" xfId="20420"/>
    <cellStyle name="20% - Accent2 3 5 2 4" xfId="20417"/>
    <cellStyle name="20% - Accent2 3 5 3" xfId="2444"/>
    <cellStyle name="20% - Accent2 3 5 3 2" xfId="2445"/>
    <cellStyle name="20% - Accent2 3 5 3 2 2" xfId="20422"/>
    <cellStyle name="20% - Accent2 3 5 3 3" xfId="20421"/>
    <cellStyle name="20% - Accent2 3 5 4" xfId="2446"/>
    <cellStyle name="20% - Accent2 3 5 4 2" xfId="20423"/>
    <cellStyle name="20% - Accent2 3 5 5" xfId="20416"/>
    <cellStyle name="20% - Accent2 3 6" xfId="2447"/>
    <cellStyle name="20% - Accent2 3 6 2" xfId="2448"/>
    <cellStyle name="20% - Accent2 3 6 2 2" xfId="2449"/>
    <cellStyle name="20% - Accent2 3 6 2 2 2" xfId="2450"/>
    <cellStyle name="20% - Accent2 3 6 2 2 2 2" xfId="20427"/>
    <cellStyle name="20% - Accent2 3 6 2 2 3" xfId="20426"/>
    <cellStyle name="20% - Accent2 3 6 2 3" xfId="2451"/>
    <cellStyle name="20% - Accent2 3 6 2 3 2" xfId="20428"/>
    <cellStyle name="20% - Accent2 3 6 2 4" xfId="20425"/>
    <cellStyle name="20% - Accent2 3 6 3" xfId="2452"/>
    <cellStyle name="20% - Accent2 3 6 3 2" xfId="2453"/>
    <cellStyle name="20% - Accent2 3 6 3 2 2" xfId="20430"/>
    <cellStyle name="20% - Accent2 3 6 3 3" xfId="20429"/>
    <cellStyle name="20% - Accent2 3 6 4" xfId="2454"/>
    <cellStyle name="20% - Accent2 3 6 4 2" xfId="20431"/>
    <cellStyle name="20% - Accent2 3 6 5" xfId="20424"/>
    <cellStyle name="20% - Accent2 3 7" xfId="2455"/>
    <cellStyle name="20% - Accent2 3 7 2" xfId="2456"/>
    <cellStyle name="20% - Accent2 3 7 2 2" xfId="2457"/>
    <cellStyle name="20% - Accent2 3 7 2 2 2" xfId="20434"/>
    <cellStyle name="20% - Accent2 3 7 2 3" xfId="20433"/>
    <cellStyle name="20% - Accent2 3 7 3" xfId="2458"/>
    <cellStyle name="20% - Accent2 3 7 3 2" xfId="20435"/>
    <cellStyle name="20% - Accent2 3 7 4" xfId="20432"/>
    <cellStyle name="20% - Accent2 3 8" xfId="2459"/>
    <cellStyle name="20% - Accent2 3 8 2" xfId="2460"/>
    <cellStyle name="20% - Accent2 3 8 2 2" xfId="20437"/>
    <cellStyle name="20% - Accent2 3 8 3" xfId="20436"/>
    <cellStyle name="20% - Accent2 3 9" xfId="2461"/>
    <cellStyle name="20% - Accent2 3 9 2" xfId="20438"/>
    <cellStyle name="20% - Accent2 30" xfId="2462"/>
    <cellStyle name="20% - Accent2 30 2" xfId="20439"/>
    <cellStyle name="20% - Accent2 31" xfId="2463"/>
    <cellStyle name="20% - Accent2 31 2" xfId="20440"/>
    <cellStyle name="20% - Accent2 32" xfId="2464"/>
    <cellStyle name="20% - Accent2 4" xfId="2465"/>
    <cellStyle name="20% - Accent2 4 10" xfId="20441"/>
    <cellStyle name="20% - Accent2 4 2" xfId="2466"/>
    <cellStyle name="20% - Accent2 4 2 2" xfId="2467"/>
    <cellStyle name="20% - Accent2 4 2 2 2" xfId="2468"/>
    <cellStyle name="20% - Accent2 4 2 2 2 2" xfId="2469"/>
    <cellStyle name="20% - Accent2 4 2 2 2 2 2" xfId="2470"/>
    <cellStyle name="20% - Accent2 4 2 2 2 2 2 2" xfId="2471"/>
    <cellStyle name="20% - Accent2 4 2 2 2 2 2 2 2" xfId="2472"/>
    <cellStyle name="20% - Accent2 4 2 2 2 2 2 2 2 2" xfId="20448"/>
    <cellStyle name="20% - Accent2 4 2 2 2 2 2 2 3" xfId="20447"/>
    <cellStyle name="20% - Accent2 4 2 2 2 2 2 3" xfId="2473"/>
    <cellStyle name="20% - Accent2 4 2 2 2 2 2 3 2" xfId="20449"/>
    <cellStyle name="20% - Accent2 4 2 2 2 2 2 4" xfId="20446"/>
    <cellStyle name="20% - Accent2 4 2 2 2 2 3" xfId="2474"/>
    <cellStyle name="20% - Accent2 4 2 2 2 2 3 2" xfId="2475"/>
    <cellStyle name="20% - Accent2 4 2 2 2 2 3 2 2" xfId="20451"/>
    <cellStyle name="20% - Accent2 4 2 2 2 2 3 3" xfId="20450"/>
    <cellStyle name="20% - Accent2 4 2 2 2 2 4" xfId="2476"/>
    <cellStyle name="20% - Accent2 4 2 2 2 2 4 2" xfId="20452"/>
    <cellStyle name="20% - Accent2 4 2 2 2 2 5" xfId="20445"/>
    <cellStyle name="20% - Accent2 4 2 2 2 3" xfId="2477"/>
    <cellStyle name="20% - Accent2 4 2 2 2 3 2" xfId="2478"/>
    <cellStyle name="20% - Accent2 4 2 2 2 3 2 2" xfId="2479"/>
    <cellStyle name="20% - Accent2 4 2 2 2 3 2 2 2" xfId="2480"/>
    <cellStyle name="20% - Accent2 4 2 2 2 3 2 2 2 2" xfId="20456"/>
    <cellStyle name="20% - Accent2 4 2 2 2 3 2 2 3" xfId="20455"/>
    <cellStyle name="20% - Accent2 4 2 2 2 3 2 3" xfId="2481"/>
    <cellStyle name="20% - Accent2 4 2 2 2 3 2 3 2" xfId="20457"/>
    <cellStyle name="20% - Accent2 4 2 2 2 3 2 4" xfId="20454"/>
    <cellStyle name="20% - Accent2 4 2 2 2 3 3" xfId="2482"/>
    <cellStyle name="20% - Accent2 4 2 2 2 3 3 2" xfId="2483"/>
    <cellStyle name="20% - Accent2 4 2 2 2 3 3 2 2" xfId="20459"/>
    <cellStyle name="20% - Accent2 4 2 2 2 3 3 3" xfId="20458"/>
    <cellStyle name="20% - Accent2 4 2 2 2 3 4" xfId="2484"/>
    <cellStyle name="20% - Accent2 4 2 2 2 3 4 2" xfId="20460"/>
    <cellStyle name="20% - Accent2 4 2 2 2 3 5" xfId="20453"/>
    <cellStyle name="20% - Accent2 4 2 2 2 4" xfId="2485"/>
    <cellStyle name="20% - Accent2 4 2 2 2 4 2" xfId="2486"/>
    <cellStyle name="20% - Accent2 4 2 2 2 4 2 2" xfId="2487"/>
    <cellStyle name="20% - Accent2 4 2 2 2 4 2 2 2" xfId="20463"/>
    <cellStyle name="20% - Accent2 4 2 2 2 4 2 3" xfId="20462"/>
    <cellStyle name="20% - Accent2 4 2 2 2 4 3" xfId="2488"/>
    <cellStyle name="20% - Accent2 4 2 2 2 4 3 2" xfId="20464"/>
    <cellStyle name="20% - Accent2 4 2 2 2 4 4" xfId="20461"/>
    <cellStyle name="20% - Accent2 4 2 2 2 5" xfId="2489"/>
    <cellStyle name="20% - Accent2 4 2 2 2 5 2" xfId="2490"/>
    <cellStyle name="20% - Accent2 4 2 2 2 5 2 2" xfId="20466"/>
    <cellStyle name="20% - Accent2 4 2 2 2 5 3" xfId="20465"/>
    <cellStyle name="20% - Accent2 4 2 2 2 6" xfId="2491"/>
    <cellStyle name="20% - Accent2 4 2 2 2 6 2" xfId="20467"/>
    <cellStyle name="20% - Accent2 4 2 2 2 7" xfId="20444"/>
    <cellStyle name="20% - Accent2 4 2 2 3" xfId="2492"/>
    <cellStyle name="20% - Accent2 4 2 2 3 2" xfId="2493"/>
    <cellStyle name="20% - Accent2 4 2 2 3 2 2" xfId="2494"/>
    <cellStyle name="20% - Accent2 4 2 2 3 2 2 2" xfId="2495"/>
    <cellStyle name="20% - Accent2 4 2 2 3 2 2 2 2" xfId="20471"/>
    <cellStyle name="20% - Accent2 4 2 2 3 2 2 3" xfId="20470"/>
    <cellStyle name="20% - Accent2 4 2 2 3 2 3" xfId="2496"/>
    <cellStyle name="20% - Accent2 4 2 2 3 2 3 2" xfId="20472"/>
    <cellStyle name="20% - Accent2 4 2 2 3 2 4" xfId="20469"/>
    <cellStyle name="20% - Accent2 4 2 2 3 3" xfId="2497"/>
    <cellStyle name="20% - Accent2 4 2 2 3 3 2" xfId="2498"/>
    <cellStyle name="20% - Accent2 4 2 2 3 3 2 2" xfId="20474"/>
    <cellStyle name="20% - Accent2 4 2 2 3 3 3" xfId="20473"/>
    <cellStyle name="20% - Accent2 4 2 2 3 4" xfId="2499"/>
    <cellStyle name="20% - Accent2 4 2 2 3 4 2" xfId="20475"/>
    <cellStyle name="20% - Accent2 4 2 2 3 5" xfId="20468"/>
    <cellStyle name="20% - Accent2 4 2 2 4" xfId="2500"/>
    <cellStyle name="20% - Accent2 4 2 2 4 2" xfId="2501"/>
    <cellStyle name="20% - Accent2 4 2 2 4 2 2" xfId="2502"/>
    <cellStyle name="20% - Accent2 4 2 2 4 2 2 2" xfId="2503"/>
    <cellStyle name="20% - Accent2 4 2 2 4 2 2 2 2" xfId="20479"/>
    <cellStyle name="20% - Accent2 4 2 2 4 2 2 3" xfId="20478"/>
    <cellStyle name="20% - Accent2 4 2 2 4 2 3" xfId="2504"/>
    <cellStyle name="20% - Accent2 4 2 2 4 2 3 2" xfId="20480"/>
    <cellStyle name="20% - Accent2 4 2 2 4 2 4" xfId="20477"/>
    <cellStyle name="20% - Accent2 4 2 2 4 3" xfId="2505"/>
    <cellStyle name="20% - Accent2 4 2 2 4 3 2" xfId="2506"/>
    <cellStyle name="20% - Accent2 4 2 2 4 3 2 2" xfId="20482"/>
    <cellStyle name="20% - Accent2 4 2 2 4 3 3" xfId="20481"/>
    <cellStyle name="20% - Accent2 4 2 2 4 4" xfId="2507"/>
    <cellStyle name="20% - Accent2 4 2 2 4 4 2" xfId="20483"/>
    <cellStyle name="20% - Accent2 4 2 2 4 5" xfId="20476"/>
    <cellStyle name="20% - Accent2 4 2 2 5" xfId="2508"/>
    <cellStyle name="20% - Accent2 4 2 2 5 2" xfId="2509"/>
    <cellStyle name="20% - Accent2 4 2 2 5 2 2" xfId="2510"/>
    <cellStyle name="20% - Accent2 4 2 2 5 2 2 2" xfId="20486"/>
    <cellStyle name="20% - Accent2 4 2 2 5 2 3" xfId="20485"/>
    <cellStyle name="20% - Accent2 4 2 2 5 3" xfId="2511"/>
    <cellStyle name="20% - Accent2 4 2 2 5 3 2" xfId="20487"/>
    <cellStyle name="20% - Accent2 4 2 2 5 4" xfId="20484"/>
    <cellStyle name="20% - Accent2 4 2 2 6" xfId="2512"/>
    <cellStyle name="20% - Accent2 4 2 2 6 2" xfId="2513"/>
    <cellStyle name="20% - Accent2 4 2 2 6 2 2" xfId="20489"/>
    <cellStyle name="20% - Accent2 4 2 2 6 3" xfId="20488"/>
    <cellStyle name="20% - Accent2 4 2 2 7" xfId="2514"/>
    <cellStyle name="20% - Accent2 4 2 2 7 2" xfId="20490"/>
    <cellStyle name="20% - Accent2 4 2 2 8" xfId="20443"/>
    <cellStyle name="20% - Accent2 4 2 3" xfId="2515"/>
    <cellStyle name="20% - Accent2 4 2 3 2" xfId="2516"/>
    <cellStyle name="20% - Accent2 4 2 3 2 2" xfId="2517"/>
    <cellStyle name="20% - Accent2 4 2 3 2 2 2" xfId="2518"/>
    <cellStyle name="20% - Accent2 4 2 3 2 2 2 2" xfId="2519"/>
    <cellStyle name="20% - Accent2 4 2 3 2 2 2 2 2" xfId="20495"/>
    <cellStyle name="20% - Accent2 4 2 3 2 2 2 3" xfId="20494"/>
    <cellStyle name="20% - Accent2 4 2 3 2 2 3" xfId="2520"/>
    <cellStyle name="20% - Accent2 4 2 3 2 2 3 2" xfId="20496"/>
    <cellStyle name="20% - Accent2 4 2 3 2 2 4" xfId="20493"/>
    <cellStyle name="20% - Accent2 4 2 3 2 3" xfId="2521"/>
    <cellStyle name="20% - Accent2 4 2 3 2 3 2" xfId="2522"/>
    <cellStyle name="20% - Accent2 4 2 3 2 3 2 2" xfId="20498"/>
    <cellStyle name="20% - Accent2 4 2 3 2 3 3" xfId="20497"/>
    <cellStyle name="20% - Accent2 4 2 3 2 4" xfId="2523"/>
    <cellStyle name="20% - Accent2 4 2 3 2 4 2" xfId="20499"/>
    <cellStyle name="20% - Accent2 4 2 3 2 5" xfId="20492"/>
    <cellStyle name="20% - Accent2 4 2 3 3" xfId="2524"/>
    <cellStyle name="20% - Accent2 4 2 3 3 2" xfId="2525"/>
    <cellStyle name="20% - Accent2 4 2 3 3 2 2" xfId="2526"/>
    <cellStyle name="20% - Accent2 4 2 3 3 2 2 2" xfId="2527"/>
    <cellStyle name="20% - Accent2 4 2 3 3 2 2 2 2" xfId="20503"/>
    <cellStyle name="20% - Accent2 4 2 3 3 2 2 3" xfId="20502"/>
    <cellStyle name="20% - Accent2 4 2 3 3 2 3" xfId="2528"/>
    <cellStyle name="20% - Accent2 4 2 3 3 2 3 2" xfId="20504"/>
    <cellStyle name="20% - Accent2 4 2 3 3 2 4" xfId="20501"/>
    <cellStyle name="20% - Accent2 4 2 3 3 3" xfId="2529"/>
    <cellStyle name="20% - Accent2 4 2 3 3 3 2" xfId="2530"/>
    <cellStyle name="20% - Accent2 4 2 3 3 3 2 2" xfId="20506"/>
    <cellStyle name="20% - Accent2 4 2 3 3 3 3" xfId="20505"/>
    <cellStyle name="20% - Accent2 4 2 3 3 4" xfId="2531"/>
    <cellStyle name="20% - Accent2 4 2 3 3 4 2" xfId="20507"/>
    <cellStyle name="20% - Accent2 4 2 3 3 5" xfId="20500"/>
    <cellStyle name="20% - Accent2 4 2 3 4" xfId="2532"/>
    <cellStyle name="20% - Accent2 4 2 3 4 2" xfId="2533"/>
    <cellStyle name="20% - Accent2 4 2 3 4 2 2" xfId="2534"/>
    <cellStyle name="20% - Accent2 4 2 3 4 2 2 2" xfId="20510"/>
    <cellStyle name="20% - Accent2 4 2 3 4 2 3" xfId="20509"/>
    <cellStyle name="20% - Accent2 4 2 3 4 3" xfId="2535"/>
    <cellStyle name="20% - Accent2 4 2 3 4 3 2" xfId="20511"/>
    <cellStyle name="20% - Accent2 4 2 3 4 4" xfId="20508"/>
    <cellStyle name="20% - Accent2 4 2 3 5" xfId="2536"/>
    <cellStyle name="20% - Accent2 4 2 3 5 2" xfId="2537"/>
    <cellStyle name="20% - Accent2 4 2 3 5 2 2" xfId="20513"/>
    <cellStyle name="20% - Accent2 4 2 3 5 3" xfId="20512"/>
    <cellStyle name="20% - Accent2 4 2 3 6" xfId="2538"/>
    <cellStyle name="20% - Accent2 4 2 3 6 2" xfId="20514"/>
    <cellStyle name="20% - Accent2 4 2 3 7" xfId="20491"/>
    <cellStyle name="20% - Accent2 4 2 4" xfId="2539"/>
    <cellStyle name="20% - Accent2 4 2 4 2" xfId="2540"/>
    <cellStyle name="20% - Accent2 4 2 4 2 2" xfId="2541"/>
    <cellStyle name="20% - Accent2 4 2 4 2 2 2" xfId="2542"/>
    <cellStyle name="20% - Accent2 4 2 4 2 2 2 2" xfId="20518"/>
    <cellStyle name="20% - Accent2 4 2 4 2 2 3" xfId="20517"/>
    <cellStyle name="20% - Accent2 4 2 4 2 3" xfId="2543"/>
    <cellStyle name="20% - Accent2 4 2 4 2 3 2" xfId="20519"/>
    <cellStyle name="20% - Accent2 4 2 4 2 4" xfId="20516"/>
    <cellStyle name="20% - Accent2 4 2 4 3" xfId="2544"/>
    <cellStyle name="20% - Accent2 4 2 4 3 2" xfId="2545"/>
    <cellStyle name="20% - Accent2 4 2 4 3 2 2" xfId="20521"/>
    <cellStyle name="20% - Accent2 4 2 4 3 3" xfId="20520"/>
    <cellStyle name="20% - Accent2 4 2 4 4" xfId="2546"/>
    <cellStyle name="20% - Accent2 4 2 4 4 2" xfId="20522"/>
    <cellStyle name="20% - Accent2 4 2 4 5" xfId="20515"/>
    <cellStyle name="20% - Accent2 4 2 5" xfId="2547"/>
    <cellStyle name="20% - Accent2 4 2 5 2" xfId="2548"/>
    <cellStyle name="20% - Accent2 4 2 5 2 2" xfId="2549"/>
    <cellStyle name="20% - Accent2 4 2 5 2 2 2" xfId="2550"/>
    <cellStyle name="20% - Accent2 4 2 5 2 2 2 2" xfId="20526"/>
    <cellStyle name="20% - Accent2 4 2 5 2 2 3" xfId="20525"/>
    <cellStyle name="20% - Accent2 4 2 5 2 3" xfId="2551"/>
    <cellStyle name="20% - Accent2 4 2 5 2 3 2" xfId="20527"/>
    <cellStyle name="20% - Accent2 4 2 5 2 4" xfId="20524"/>
    <cellStyle name="20% - Accent2 4 2 5 3" xfId="2552"/>
    <cellStyle name="20% - Accent2 4 2 5 3 2" xfId="2553"/>
    <cellStyle name="20% - Accent2 4 2 5 3 2 2" xfId="20529"/>
    <cellStyle name="20% - Accent2 4 2 5 3 3" xfId="20528"/>
    <cellStyle name="20% - Accent2 4 2 5 4" xfId="2554"/>
    <cellStyle name="20% - Accent2 4 2 5 4 2" xfId="20530"/>
    <cellStyle name="20% - Accent2 4 2 5 5" xfId="20523"/>
    <cellStyle name="20% - Accent2 4 2 6" xfId="2555"/>
    <cellStyle name="20% - Accent2 4 2 6 2" xfId="2556"/>
    <cellStyle name="20% - Accent2 4 2 6 2 2" xfId="2557"/>
    <cellStyle name="20% - Accent2 4 2 6 2 2 2" xfId="20533"/>
    <cellStyle name="20% - Accent2 4 2 6 2 3" xfId="20532"/>
    <cellStyle name="20% - Accent2 4 2 6 3" xfId="2558"/>
    <cellStyle name="20% - Accent2 4 2 6 3 2" xfId="20534"/>
    <cellStyle name="20% - Accent2 4 2 6 4" xfId="20531"/>
    <cellStyle name="20% - Accent2 4 2 7" xfId="2559"/>
    <cellStyle name="20% - Accent2 4 2 7 2" xfId="2560"/>
    <cellStyle name="20% - Accent2 4 2 7 2 2" xfId="20536"/>
    <cellStyle name="20% - Accent2 4 2 7 3" xfId="20535"/>
    <cellStyle name="20% - Accent2 4 2 8" xfId="2561"/>
    <cellStyle name="20% - Accent2 4 2 8 2" xfId="20537"/>
    <cellStyle name="20% - Accent2 4 2 9" xfId="20442"/>
    <cellStyle name="20% - Accent2 4 3" xfId="2562"/>
    <cellStyle name="20% - Accent2 4 3 2" xfId="2563"/>
    <cellStyle name="20% - Accent2 4 3 2 2" xfId="2564"/>
    <cellStyle name="20% - Accent2 4 3 2 2 2" xfId="2565"/>
    <cellStyle name="20% - Accent2 4 3 2 2 2 2" xfId="2566"/>
    <cellStyle name="20% - Accent2 4 3 2 2 2 2 2" xfId="2567"/>
    <cellStyle name="20% - Accent2 4 3 2 2 2 2 2 2" xfId="20543"/>
    <cellStyle name="20% - Accent2 4 3 2 2 2 2 3" xfId="20542"/>
    <cellStyle name="20% - Accent2 4 3 2 2 2 3" xfId="2568"/>
    <cellStyle name="20% - Accent2 4 3 2 2 2 3 2" xfId="20544"/>
    <cellStyle name="20% - Accent2 4 3 2 2 2 4" xfId="20541"/>
    <cellStyle name="20% - Accent2 4 3 2 2 3" xfId="2569"/>
    <cellStyle name="20% - Accent2 4 3 2 2 3 2" xfId="2570"/>
    <cellStyle name="20% - Accent2 4 3 2 2 3 2 2" xfId="20546"/>
    <cellStyle name="20% - Accent2 4 3 2 2 3 3" xfId="20545"/>
    <cellStyle name="20% - Accent2 4 3 2 2 4" xfId="2571"/>
    <cellStyle name="20% - Accent2 4 3 2 2 4 2" xfId="20547"/>
    <cellStyle name="20% - Accent2 4 3 2 2 5" xfId="20540"/>
    <cellStyle name="20% - Accent2 4 3 2 3" xfId="2572"/>
    <cellStyle name="20% - Accent2 4 3 2 3 2" xfId="2573"/>
    <cellStyle name="20% - Accent2 4 3 2 3 2 2" xfId="2574"/>
    <cellStyle name="20% - Accent2 4 3 2 3 2 2 2" xfId="2575"/>
    <cellStyle name="20% - Accent2 4 3 2 3 2 2 2 2" xfId="20551"/>
    <cellStyle name="20% - Accent2 4 3 2 3 2 2 3" xfId="20550"/>
    <cellStyle name="20% - Accent2 4 3 2 3 2 3" xfId="2576"/>
    <cellStyle name="20% - Accent2 4 3 2 3 2 3 2" xfId="20552"/>
    <cellStyle name="20% - Accent2 4 3 2 3 2 4" xfId="20549"/>
    <cellStyle name="20% - Accent2 4 3 2 3 3" xfId="2577"/>
    <cellStyle name="20% - Accent2 4 3 2 3 3 2" xfId="2578"/>
    <cellStyle name="20% - Accent2 4 3 2 3 3 2 2" xfId="20554"/>
    <cellStyle name="20% - Accent2 4 3 2 3 3 3" xfId="20553"/>
    <cellStyle name="20% - Accent2 4 3 2 3 4" xfId="2579"/>
    <cellStyle name="20% - Accent2 4 3 2 3 4 2" xfId="20555"/>
    <cellStyle name="20% - Accent2 4 3 2 3 5" xfId="20548"/>
    <cellStyle name="20% - Accent2 4 3 2 4" xfId="2580"/>
    <cellStyle name="20% - Accent2 4 3 2 4 2" xfId="2581"/>
    <cellStyle name="20% - Accent2 4 3 2 4 2 2" xfId="2582"/>
    <cellStyle name="20% - Accent2 4 3 2 4 2 2 2" xfId="20558"/>
    <cellStyle name="20% - Accent2 4 3 2 4 2 3" xfId="20557"/>
    <cellStyle name="20% - Accent2 4 3 2 4 3" xfId="2583"/>
    <cellStyle name="20% - Accent2 4 3 2 4 3 2" xfId="20559"/>
    <cellStyle name="20% - Accent2 4 3 2 4 4" xfId="20556"/>
    <cellStyle name="20% - Accent2 4 3 2 5" xfId="2584"/>
    <cellStyle name="20% - Accent2 4 3 2 5 2" xfId="2585"/>
    <cellStyle name="20% - Accent2 4 3 2 5 2 2" xfId="20561"/>
    <cellStyle name="20% - Accent2 4 3 2 5 3" xfId="20560"/>
    <cellStyle name="20% - Accent2 4 3 2 6" xfId="2586"/>
    <cellStyle name="20% - Accent2 4 3 2 6 2" xfId="20562"/>
    <cellStyle name="20% - Accent2 4 3 2 7" xfId="20539"/>
    <cellStyle name="20% - Accent2 4 3 3" xfId="2587"/>
    <cellStyle name="20% - Accent2 4 3 3 2" xfId="2588"/>
    <cellStyle name="20% - Accent2 4 3 3 2 2" xfId="2589"/>
    <cellStyle name="20% - Accent2 4 3 3 2 2 2" xfId="2590"/>
    <cellStyle name="20% - Accent2 4 3 3 2 2 2 2" xfId="20566"/>
    <cellStyle name="20% - Accent2 4 3 3 2 2 3" xfId="20565"/>
    <cellStyle name="20% - Accent2 4 3 3 2 3" xfId="2591"/>
    <cellStyle name="20% - Accent2 4 3 3 2 3 2" xfId="20567"/>
    <cellStyle name="20% - Accent2 4 3 3 2 4" xfId="20564"/>
    <cellStyle name="20% - Accent2 4 3 3 3" xfId="2592"/>
    <cellStyle name="20% - Accent2 4 3 3 3 2" xfId="2593"/>
    <cellStyle name="20% - Accent2 4 3 3 3 2 2" xfId="20569"/>
    <cellStyle name="20% - Accent2 4 3 3 3 3" xfId="20568"/>
    <cellStyle name="20% - Accent2 4 3 3 4" xfId="2594"/>
    <cellStyle name="20% - Accent2 4 3 3 4 2" xfId="20570"/>
    <cellStyle name="20% - Accent2 4 3 3 5" xfId="20563"/>
    <cellStyle name="20% - Accent2 4 3 4" xfId="2595"/>
    <cellStyle name="20% - Accent2 4 3 4 2" xfId="2596"/>
    <cellStyle name="20% - Accent2 4 3 4 2 2" xfId="2597"/>
    <cellStyle name="20% - Accent2 4 3 4 2 2 2" xfId="2598"/>
    <cellStyle name="20% - Accent2 4 3 4 2 2 2 2" xfId="20574"/>
    <cellStyle name="20% - Accent2 4 3 4 2 2 3" xfId="20573"/>
    <cellStyle name="20% - Accent2 4 3 4 2 3" xfId="2599"/>
    <cellStyle name="20% - Accent2 4 3 4 2 3 2" xfId="20575"/>
    <cellStyle name="20% - Accent2 4 3 4 2 4" xfId="20572"/>
    <cellStyle name="20% - Accent2 4 3 4 3" xfId="2600"/>
    <cellStyle name="20% - Accent2 4 3 4 3 2" xfId="2601"/>
    <cellStyle name="20% - Accent2 4 3 4 3 2 2" xfId="20577"/>
    <cellStyle name="20% - Accent2 4 3 4 3 3" xfId="20576"/>
    <cellStyle name="20% - Accent2 4 3 4 4" xfId="2602"/>
    <cellStyle name="20% - Accent2 4 3 4 4 2" xfId="20578"/>
    <cellStyle name="20% - Accent2 4 3 4 5" xfId="20571"/>
    <cellStyle name="20% - Accent2 4 3 5" xfId="2603"/>
    <cellStyle name="20% - Accent2 4 3 5 2" xfId="2604"/>
    <cellStyle name="20% - Accent2 4 3 5 2 2" xfId="2605"/>
    <cellStyle name="20% - Accent2 4 3 5 2 2 2" xfId="20581"/>
    <cellStyle name="20% - Accent2 4 3 5 2 3" xfId="20580"/>
    <cellStyle name="20% - Accent2 4 3 5 3" xfId="2606"/>
    <cellStyle name="20% - Accent2 4 3 5 3 2" xfId="20582"/>
    <cellStyle name="20% - Accent2 4 3 5 4" xfId="20579"/>
    <cellStyle name="20% - Accent2 4 3 6" xfId="2607"/>
    <cellStyle name="20% - Accent2 4 3 6 2" xfId="2608"/>
    <cellStyle name="20% - Accent2 4 3 6 2 2" xfId="20584"/>
    <cellStyle name="20% - Accent2 4 3 6 3" xfId="20583"/>
    <cellStyle name="20% - Accent2 4 3 7" xfId="2609"/>
    <cellStyle name="20% - Accent2 4 3 7 2" xfId="20585"/>
    <cellStyle name="20% - Accent2 4 3 8" xfId="20538"/>
    <cellStyle name="20% - Accent2 4 4" xfId="2610"/>
    <cellStyle name="20% - Accent2 4 4 2" xfId="2611"/>
    <cellStyle name="20% - Accent2 4 4 2 2" xfId="2612"/>
    <cellStyle name="20% - Accent2 4 4 2 2 2" xfId="2613"/>
    <cellStyle name="20% - Accent2 4 4 2 2 2 2" xfId="2614"/>
    <cellStyle name="20% - Accent2 4 4 2 2 2 2 2" xfId="20590"/>
    <cellStyle name="20% - Accent2 4 4 2 2 2 3" xfId="20589"/>
    <cellStyle name="20% - Accent2 4 4 2 2 3" xfId="2615"/>
    <cellStyle name="20% - Accent2 4 4 2 2 3 2" xfId="20591"/>
    <cellStyle name="20% - Accent2 4 4 2 2 4" xfId="20588"/>
    <cellStyle name="20% - Accent2 4 4 2 3" xfId="2616"/>
    <cellStyle name="20% - Accent2 4 4 2 3 2" xfId="2617"/>
    <cellStyle name="20% - Accent2 4 4 2 3 2 2" xfId="20593"/>
    <cellStyle name="20% - Accent2 4 4 2 3 3" xfId="20592"/>
    <cellStyle name="20% - Accent2 4 4 2 4" xfId="2618"/>
    <cellStyle name="20% - Accent2 4 4 2 4 2" xfId="20594"/>
    <cellStyle name="20% - Accent2 4 4 2 5" xfId="20587"/>
    <cellStyle name="20% - Accent2 4 4 3" xfId="2619"/>
    <cellStyle name="20% - Accent2 4 4 3 2" xfId="2620"/>
    <cellStyle name="20% - Accent2 4 4 3 2 2" xfId="2621"/>
    <cellStyle name="20% - Accent2 4 4 3 2 2 2" xfId="2622"/>
    <cellStyle name="20% - Accent2 4 4 3 2 2 2 2" xfId="20598"/>
    <cellStyle name="20% - Accent2 4 4 3 2 2 3" xfId="20597"/>
    <cellStyle name="20% - Accent2 4 4 3 2 3" xfId="2623"/>
    <cellStyle name="20% - Accent2 4 4 3 2 3 2" xfId="20599"/>
    <cellStyle name="20% - Accent2 4 4 3 2 4" xfId="20596"/>
    <cellStyle name="20% - Accent2 4 4 3 3" xfId="2624"/>
    <cellStyle name="20% - Accent2 4 4 3 3 2" xfId="2625"/>
    <cellStyle name="20% - Accent2 4 4 3 3 2 2" xfId="20601"/>
    <cellStyle name="20% - Accent2 4 4 3 3 3" xfId="20600"/>
    <cellStyle name="20% - Accent2 4 4 3 4" xfId="2626"/>
    <cellStyle name="20% - Accent2 4 4 3 4 2" xfId="20602"/>
    <cellStyle name="20% - Accent2 4 4 3 5" xfId="20595"/>
    <cellStyle name="20% - Accent2 4 4 4" xfId="2627"/>
    <cellStyle name="20% - Accent2 4 4 4 2" xfId="2628"/>
    <cellStyle name="20% - Accent2 4 4 4 2 2" xfId="2629"/>
    <cellStyle name="20% - Accent2 4 4 4 2 2 2" xfId="20605"/>
    <cellStyle name="20% - Accent2 4 4 4 2 3" xfId="20604"/>
    <cellStyle name="20% - Accent2 4 4 4 3" xfId="2630"/>
    <cellStyle name="20% - Accent2 4 4 4 3 2" xfId="20606"/>
    <cellStyle name="20% - Accent2 4 4 4 4" xfId="20603"/>
    <cellStyle name="20% - Accent2 4 4 5" xfId="2631"/>
    <cellStyle name="20% - Accent2 4 4 5 2" xfId="2632"/>
    <cellStyle name="20% - Accent2 4 4 5 2 2" xfId="20608"/>
    <cellStyle name="20% - Accent2 4 4 5 3" xfId="20607"/>
    <cellStyle name="20% - Accent2 4 4 6" xfId="2633"/>
    <cellStyle name="20% - Accent2 4 4 6 2" xfId="20609"/>
    <cellStyle name="20% - Accent2 4 4 7" xfId="20586"/>
    <cellStyle name="20% - Accent2 4 5" xfId="2634"/>
    <cellStyle name="20% - Accent2 4 5 2" xfId="2635"/>
    <cellStyle name="20% - Accent2 4 5 2 2" xfId="2636"/>
    <cellStyle name="20% - Accent2 4 5 2 2 2" xfId="2637"/>
    <cellStyle name="20% - Accent2 4 5 2 2 2 2" xfId="20613"/>
    <cellStyle name="20% - Accent2 4 5 2 2 3" xfId="20612"/>
    <cellStyle name="20% - Accent2 4 5 2 3" xfId="2638"/>
    <cellStyle name="20% - Accent2 4 5 2 3 2" xfId="20614"/>
    <cellStyle name="20% - Accent2 4 5 2 4" xfId="20611"/>
    <cellStyle name="20% - Accent2 4 5 3" xfId="2639"/>
    <cellStyle name="20% - Accent2 4 5 3 2" xfId="2640"/>
    <cellStyle name="20% - Accent2 4 5 3 2 2" xfId="20616"/>
    <cellStyle name="20% - Accent2 4 5 3 3" xfId="20615"/>
    <cellStyle name="20% - Accent2 4 5 4" xfId="2641"/>
    <cellStyle name="20% - Accent2 4 5 4 2" xfId="20617"/>
    <cellStyle name="20% - Accent2 4 5 5" xfId="20610"/>
    <cellStyle name="20% - Accent2 4 6" xfId="2642"/>
    <cellStyle name="20% - Accent2 4 6 2" xfId="2643"/>
    <cellStyle name="20% - Accent2 4 6 2 2" xfId="2644"/>
    <cellStyle name="20% - Accent2 4 6 2 2 2" xfId="2645"/>
    <cellStyle name="20% - Accent2 4 6 2 2 2 2" xfId="20621"/>
    <cellStyle name="20% - Accent2 4 6 2 2 3" xfId="20620"/>
    <cellStyle name="20% - Accent2 4 6 2 3" xfId="2646"/>
    <cellStyle name="20% - Accent2 4 6 2 3 2" xfId="20622"/>
    <cellStyle name="20% - Accent2 4 6 2 4" xfId="20619"/>
    <cellStyle name="20% - Accent2 4 6 3" xfId="2647"/>
    <cellStyle name="20% - Accent2 4 6 3 2" xfId="2648"/>
    <cellStyle name="20% - Accent2 4 6 3 2 2" xfId="20624"/>
    <cellStyle name="20% - Accent2 4 6 3 3" xfId="20623"/>
    <cellStyle name="20% - Accent2 4 6 4" xfId="2649"/>
    <cellStyle name="20% - Accent2 4 6 4 2" xfId="20625"/>
    <cellStyle name="20% - Accent2 4 6 5" xfId="20618"/>
    <cellStyle name="20% - Accent2 4 7" xfId="2650"/>
    <cellStyle name="20% - Accent2 4 7 2" xfId="2651"/>
    <cellStyle name="20% - Accent2 4 7 2 2" xfId="2652"/>
    <cellStyle name="20% - Accent2 4 7 2 2 2" xfId="20628"/>
    <cellStyle name="20% - Accent2 4 7 2 3" xfId="20627"/>
    <cellStyle name="20% - Accent2 4 7 3" xfId="2653"/>
    <cellStyle name="20% - Accent2 4 7 3 2" xfId="20629"/>
    <cellStyle name="20% - Accent2 4 7 4" xfId="20626"/>
    <cellStyle name="20% - Accent2 4 8" xfId="2654"/>
    <cellStyle name="20% - Accent2 4 8 2" xfId="2655"/>
    <cellStyle name="20% - Accent2 4 8 2 2" xfId="20631"/>
    <cellStyle name="20% - Accent2 4 8 3" xfId="20630"/>
    <cellStyle name="20% - Accent2 4 9" xfId="2656"/>
    <cellStyle name="20% - Accent2 4 9 2" xfId="20632"/>
    <cellStyle name="20% - Accent2 5" xfId="2657"/>
    <cellStyle name="20% - Accent2 5 10" xfId="20633"/>
    <cellStyle name="20% - Accent2 5 2" xfId="2658"/>
    <cellStyle name="20% - Accent2 5 2 2" xfId="2659"/>
    <cellStyle name="20% - Accent2 5 2 2 2" xfId="2660"/>
    <cellStyle name="20% - Accent2 5 2 2 2 2" xfId="2661"/>
    <cellStyle name="20% - Accent2 5 2 2 2 2 2" xfId="2662"/>
    <cellStyle name="20% - Accent2 5 2 2 2 2 2 2" xfId="2663"/>
    <cellStyle name="20% - Accent2 5 2 2 2 2 2 2 2" xfId="2664"/>
    <cellStyle name="20% - Accent2 5 2 2 2 2 2 2 2 2" xfId="20640"/>
    <cellStyle name="20% - Accent2 5 2 2 2 2 2 2 3" xfId="20639"/>
    <cellStyle name="20% - Accent2 5 2 2 2 2 2 3" xfId="2665"/>
    <cellStyle name="20% - Accent2 5 2 2 2 2 2 3 2" xfId="20641"/>
    <cellStyle name="20% - Accent2 5 2 2 2 2 2 4" xfId="20638"/>
    <cellStyle name="20% - Accent2 5 2 2 2 2 3" xfId="2666"/>
    <cellStyle name="20% - Accent2 5 2 2 2 2 3 2" xfId="2667"/>
    <cellStyle name="20% - Accent2 5 2 2 2 2 3 2 2" xfId="20643"/>
    <cellStyle name="20% - Accent2 5 2 2 2 2 3 3" xfId="20642"/>
    <cellStyle name="20% - Accent2 5 2 2 2 2 4" xfId="2668"/>
    <cellStyle name="20% - Accent2 5 2 2 2 2 4 2" xfId="20644"/>
    <cellStyle name="20% - Accent2 5 2 2 2 2 5" xfId="20637"/>
    <cellStyle name="20% - Accent2 5 2 2 2 3" xfId="2669"/>
    <cellStyle name="20% - Accent2 5 2 2 2 3 2" xfId="2670"/>
    <cellStyle name="20% - Accent2 5 2 2 2 3 2 2" xfId="2671"/>
    <cellStyle name="20% - Accent2 5 2 2 2 3 2 2 2" xfId="2672"/>
    <cellStyle name="20% - Accent2 5 2 2 2 3 2 2 2 2" xfId="20648"/>
    <cellStyle name="20% - Accent2 5 2 2 2 3 2 2 3" xfId="20647"/>
    <cellStyle name="20% - Accent2 5 2 2 2 3 2 3" xfId="2673"/>
    <cellStyle name="20% - Accent2 5 2 2 2 3 2 3 2" xfId="20649"/>
    <cellStyle name="20% - Accent2 5 2 2 2 3 2 4" xfId="20646"/>
    <cellStyle name="20% - Accent2 5 2 2 2 3 3" xfId="2674"/>
    <cellStyle name="20% - Accent2 5 2 2 2 3 3 2" xfId="2675"/>
    <cellStyle name="20% - Accent2 5 2 2 2 3 3 2 2" xfId="20651"/>
    <cellStyle name="20% - Accent2 5 2 2 2 3 3 3" xfId="20650"/>
    <cellStyle name="20% - Accent2 5 2 2 2 3 4" xfId="2676"/>
    <cellStyle name="20% - Accent2 5 2 2 2 3 4 2" xfId="20652"/>
    <cellStyle name="20% - Accent2 5 2 2 2 3 5" xfId="20645"/>
    <cellStyle name="20% - Accent2 5 2 2 2 4" xfId="2677"/>
    <cellStyle name="20% - Accent2 5 2 2 2 4 2" xfId="2678"/>
    <cellStyle name="20% - Accent2 5 2 2 2 4 2 2" xfId="2679"/>
    <cellStyle name="20% - Accent2 5 2 2 2 4 2 2 2" xfId="20655"/>
    <cellStyle name="20% - Accent2 5 2 2 2 4 2 3" xfId="20654"/>
    <cellStyle name="20% - Accent2 5 2 2 2 4 3" xfId="2680"/>
    <cellStyle name="20% - Accent2 5 2 2 2 4 3 2" xfId="20656"/>
    <cellStyle name="20% - Accent2 5 2 2 2 4 4" xfId="20653"/>
    <cellStyle name="20% - Accent2 5 2 2 2 5" xfId="2681"/>
    <cellStyle name="20% - Accent2 5 2 2 2 5 2" xfId="2682"/>
    <cellStyle name="20% - Accent2 5 2 2 2 5 2 2" xfId="20658"/>
    <cellStyle name="20% - Accent2 5 2 2 2 5 3" xfId="20657"/>
    <cellStyle name="20% - Accent2 5 2 2 2 6" xfId="2683"/>
    <cellStyle name="20% - Accent2 5 2 2 2 6 2" xfId="20659"/>
    <cellStyle name="20% - Accent2 5 2 2 2 7" xfId="20636"/>
    <cellStyle name="20% - Accent2 5 2 2 3" xfId="2684"/>
    <cellStyle name="20% - Accent2 5 2 2 3 2" xfId="2685"/>
    <cellStyle name="20% - Accent2 5 2 2 3 2 2" xfId="2686"/>
    <cellStyle name="20% - Accent2 5 2 2 3 2 2 2" xfId="2687"/>
    <cellStyle name="20% - Accent2 5 2 2 3 2 2 2 2" xfId="20663"/>
    <cellStyle name="20% - Accent2 5 2 2 3 2 2 3" xfId="20662"/>
    <cellStyle name="20% - Accent2 5 2 2 3 2 3" xfId="2688"/>
    <cellStyle name="20% - Accent2 5 2 2 3 2 3 2" xfId="20664"/>
    <cellStyle name="20% - Accent2 5 2 2 3 2 4" xfId="20661"/>
    <cellStyle name="20% - Accent2 5 2 2 3 3" xfId="2689"/>
    <cellStyle name="20% - Accent2 5 2 2 3 3 2" xfId="2690"/>
    <cellStyle name="20% - Accent2 5 2 2 3 3 2 2" xfId="20666"/>
    <cellStyle name="20% - Accent2 5 2 2 3 3 3" xfId="20665"/>
    <cellStyle name="20% - Accent2 5 2 2 3 4" xfId="2691"/>
    <cellStyle name="20% - Accent2 5 2 2 3 4 2" xfId="20667"/>
    <cellStyle name="20% - Accent2 5 2 2 3 5" xfId="20660"/>
    <cellStyle name="20% - Accent2 5 2 2 4" xfId="2692"/>
    <cellStyle name="20% - Accent2 5 2 2 4 2" xfId="2693"/>
    <cellStyle name="20% - Accent2 5 2 2 4 2 2" xfId="2694"/>
    <cellStyle name="20% - Accent2 5 2 2 4 2 2 2" xfId="2695"/>
    <cellStyle name="20% - Accent2 5 2 2 4 2 2 2 2" xfId="20671"/>
    <cellStyle name="20% - Accent2 5 2 2 4 2 2 3" xfId="20670"/>
    <cellStyle name="20% - Accent2 5 2 2 4 2 3" xfId="2696"/>
    <cellStyle name="20% - Accent2 5 2 2 4 2 3 2" xfId="20672"/>
    <cellStyle name="20% - Accent2 5 2 2 4 2 4" xfId="20669"/>
    <cellStyle name="20% - Accent2 5 2 2 4 3" xfId="2697"/>
    <cellStyle name="20% - Accent2 5 2 2 4 3 2" xfId="2698"/>
    <cellStyle name="20% - Accent2 5 2 2 4 3 2 2" xfId="20674"/>
    <cellStyle name="20% - Accent2 5 2 2 4 3 3" xfId="20673"/>
    <cellStyle name="20% - Accent2 5 2 2 4 4" xfId="2699"/>
    <cellStyle name="20% - Accent2 5 2 2 4 4 2" xfId="20675"/>
    <cellStyle name="20% - Accent2 5 2 2 4 5" xfId="20668"/>
    <cellStyle name="20% - Accent2 5 2 2 5" xfId="2700"/>
    <cellStyle name="20% - Accent2 5 2 2 5 2" xfId="2701"/>
    <cellStyle name="20% - Accent2 5 2 2 5 2 2" xfId="2702"/>
    <cellStyle name="20% - Accent2 5 2 2 5 2 2 2" xfId="20678"/>
    <cellStyle name="20% - Accent2 5 2 2 5 2 3" xfId="20677"/>
    <cellStyle name="20% - Accent2 5 2 2 5 3" xfId="2703"/>
    <cellStyle name="20% - Accent2 5 2 2 5 3 2" xfId="20679"/>
    <cellStyle name="20% - Accent2 5 2 2 5 4" xfId="20676"/>
    <cellStyle name="20% - Accent2 5 2 2 6" xfId="2704"/>
    <cellStyle name="20% - Accent2 5 2 2 6 2" xfId="2705"/>
    <cellStyle name="20% - Accent2 5 2 2 6 2 2" xfId="20681"/>
    <cellStyle name="20% - Accent2 5 2 2 6 3" xfId="20680"/>
    <cellStyle name="20% - Accent2 5 2 2 7" xfId="2706"/>
    <cellStyle name="20% - Accent2 5 2 2 7 2" xfId="20682"/>
    <cellStyle name="20% - Accent2 5 2 2 8" xfId="20635"/>
    <cellStyle name="20% - Accent2 5 2 3" xfId="2707"/>
    <cellStyle name="20% - Accent2 5 2 3 2" xfId="2708"/>
    <cellStyle name="20% - Accent2 5 2 3 2 2" xfId="2709"/>
    <cellStyle name="20% - Accent2 5 2 3 2 2 2" xfId="2710"/>
    <cellStyle name="20% - Accent2 5 2 3 2 2 2 2" xfId="2711"/>
    <cellStyle name="20% - Accent2 5 2 3 2 2 2 2 2" xfId="20687"/>
    <cellStyle name="20% - Accent2 5 2 3 2 2 2 3" xfId="20686"/>
    <cellStyle name="20% - Accent2 5 2 3 2 2 3" xfId="2712"/>
    <cellStyle name="20% - Accent2 5 2 3 2 2 3 2" xfId="20688"/>
    <cellStyle name="20% - Accent2 5 2 3 2 2 4" xfId="20685"/>
    <cellStyle name="20% - Accent2 5 2 3 2 3" xfId="2713"/>
    <cellStyle name="20% - Accent2 5 2 3 2 3 2" xfId="2714"/>
    <cellStyle name="20% - Accent2 5 2 3 2 3 2 2" xfId="20690"/>
    <cellStyle name="20% - Accent2 5 2 3 2 3 3" xfId="20689"/>
    <cellStyle name="20% - Accent2 5 2 3 2 4" xfId="2715"/>
    <cellStyle name="20% - Accent2 5 2 3 2 4 2" xfId="20691"/>
    <cellStyle name="20% - Accent2 5 2 3 2 5" xfId="20684"/>
    <cellStyle name="20% - Accent2 5 2 3 3" xfId="2716"/>
    <cellStyle name="20% - Accent2 5 2 3 3 2" xfId="2717"/>
    <cellStyle name="20% - Accent2 5 2 3 3 2 2" xfId="2718"/>
    <cellStyle name="20% - Accent2 5 2 3 3 2 2 2" xfId="2719"/>
    <cellStyle name="20% - Accent2 5 2 3 3 2 2 2 2" xfId="20695"/>
    <cellStyle name="20% - Accent2 5 2 3 3 2 2 3" xfId="20694"/>
    <cellStyle name="20% - Accent2 5 2 3 3 2 3" xfId="2720"/>
    <cellStyle name="20% - Accent2 5 2 3 3 2 3 2" xfId="20696"/>
    <cellStyle name="20% - Accent2 5 2 3 3 2 4" xfId="20693"/>
    <cellStyle name="20% - Accent2 5 2 3 3 3" xfId="2721"/>
    <cellStyle name="20% - Accent2 5 2 3 3 3 2" xfId="2722"/>
    <cellStyle name="20% - Accent2 5 2 3 3 3 2 2" xfId="20698"/>
    <cellStyle name="20% - Accent2 5 2 3 3 3 3" xfId="20697"/>
    <cellStyle name="20% - Accent2 5 2 3 3 4" xfId="2723"/>
    <cellStyle name="20% - Accent2 5 2 3 3 4 2" xfId="20699"/>
    <cellStyle name="20% - Accent2 5 2 3 3 5" xfId="20692"/>
    <cellStyle name="20% - Accent2 5 2 3 4" xfId="2724"/>
    <cellStyle name="20% - Accent2 5 2 3 4 2" xfId="2725"/>
    <cellStyle name="20% - Accent2 5 2 3 4 2 2" xfId="2726"/>
    <cellStyle name="20% - Accent2 5 2 3 4 2 2 2" xfId="20702"/>
    <cellStyle name="20% - Accent2 5 2 3 4 2 3" xfId="20701"/>
    <cellStyle name="20% - Accent2 5 2 3 4 3" xfId="2727"/>
    <cellStyle name="20% - Accent2 5 2 3 4 3 2" xfId="20703"/>
    <cellStyle name="20% - Accent2 5 2 3 4 4" xfId="20700"/>
    <cellStyle name="20% - Accent2 5 2 3 5" xfId="2728"/>
    <cellStyle name="20% - Accent2 5 2 3 5 2" xfId="2729"/>
    <cellStyle name="20% - Accent2 5 2 3 5 2 2" xfId="20705"/>
    <cellStyle name="20% - Accent2 5 2 3 5 3" xfId="20704"/>
    <cellStyle name="20% - Accent2 5 2 3 6" xfId="2730"/>
    <cellStyle name="20% - Accent2 5 2 3 6 2" xfId="20706"/>
    <cellStyle name="20% - Accent2 5 2 3 7" xfId="20683"/>
    <cellStyle name="20% - Accent2 5 2 4" xfId="2731"/>
    <cellStyle name="20% - Accent2 5 2 4 2" xfId="2732"/>
    <cellStyle name="20% - Accent2 5 2 4 2 2" xfId="2733"/>
    <cellStyle name="20% - Accent2 5 2 4 2 2 2" xfId="2734"/>
    <cellStyle name="20% - Accent2 5 2 4 2 2 2 2" xfId="20710"/>
    <cellStyle name="20% - Accent2 5 2 4 2 2 3" xfId="20709"/>
    <cellStyle name="20% - Accent2 5 2 4 2 3" xfId="2735"/>
    <cellStyle name="20% - Accent2 5 2 4 2 3 2" xfId="20711"/>
    <cellStyle name="20% - Accent2 5 2 4 2 4" xfId="20708"/>
    <cellStyle name="20% - Accent2 5 2 4 3" xfId="2736"/>
    <cellStyle name="20% - Accent2 5 2 4 3 2" xfId="2737"/>
    <cellStyle name="20% - Accent2 5 2 4 3 2 2" xfId="20713"/>
    <cellStyle name="20% - Accent2 5 2 4 3 3" xfId="20712"/>
    <cellStyle name="20% - Accent2 5 2 4 4" xfId="2738"/>
    <cellStyle name="20% - Accent2 5 2 4 4 2" xfId="20714"/>
    <cellStyle name="20% - Accent2 5 2 4 5" xfId="20707"/>
    <cellStyle name="20% - Accent2 5 2 5" xfId="2739"/>
    <cellStyle name="20% - Accent2 5 2 5 2" xfId="2740"/>
    <cellStyle name="20% - Accent2 5 2 5 2 2" xfId="2741"/>
    <cellStyle name="20% - Accent2 5 2 5 2 2 2" xfId="2742"/>
    <cellStyle name="20% - Accent2 5 2 5 2 2 2 2" xfId="20718"/>
    <cellStyle name="20% - Accent2 5 2 5 2 2 3" xfId="20717"/>
    <cellStyle name="20% - Accent2 5 2 5 2 3" xfId="2743"/>
    <cellStyle name="20% - Accent2 5 2 5 2 3 2" xfId="20719"/>
    <cellStyle name="20% - Accent2 5 2 5 2 4" xfId="20716"/>
    <cellStyle name="20% - Accent2 5 2 5 3" xfId="2744"/>
    <cellStyle name="20% - Accent2 5 2 5 3 2" xfId="2745"/>
    <cellStyle name="20% - Accent2 5 2 5 3 2 2" xfId="20721"/>
    <cellStyle name="20% - Accent2 5 2 5 3 3" xfId="20720"/>
    <cellStyle name="20% - Accent2 5 2 5 4" xfId="2746"/>
    <cellStyle name="20% - Accent2 5 2 5 4 2" xfId="20722"/>
    <cellStyle name="20% - Accent2 5 2 5 5" xfId="20715"/>
    <cellStyle name="20% - Accent2 5 2 6" xfId="2747"/>
    <cellStyle name="20% - Accent2 5 2 6 2" xfId="2748"/>
    <cellStyle name="20% - Accent2 5 2 6 2 2" xfId="2749"/>
    <cellStyle name="20% - Accent2 5 2 6 2 2 2" xfId="20725"/>
    <cellStyle name="20% - Accent2 5 2 6 2 3" xfId="20724"/>
    <cellStyle name="20% - Accent2 5 2 6 3" xfId="2750"/>
    <cellStyle name="20% - Accent2 5 2 6 3 2" xfId="20726"/>
    <cellStyle name="20% - Accent2 5 2 6 4" xfId="20723"/>
    <cellStyle name="20% - Accent2 5 2 7" xfId="2751"/>
    <cellStyle name="20% - Accent2 5 2 7 2" xfId="2752"/>
    <cellStyle name="20% - Accent2 5 2 7 2 2" xfId="20728"/>
    <cellStyle name="20% - Accent2 5 2 7 3" xfId="20727"/>
    <cellStyle name="20% - Accent2 5 2 8" xfId="2753"/>
    <cellStyle name="20% - Accent2 5 2 8 2" xfId="20729"/>
    <cellStyle name="20% - Accent2 5 2 9" xfId="20634"/>
    <cellStyle name="20% - Accent2 5 3" xfId="2754"/>
    <cellStyle name="20% - Accent2 5 3 2" xfId="2755"/>
    <cellStyle name="20% - Accent2 5 3 2 2" xfId="2756"/>
    <cellStyle name="20% - Accent2 5 3 2 2 2" xfId="2757"/>
    <cellStyle name="20% - Accent2 5 3 2 2 2 2" xfId="2758"/>
    <cellStyle name="20% - Accent2 5 3 2 2 2 2 2" xfId="2759"/>
    <cellStyle name="20% - Accent2 5 3 2 2 2 2 2 2" xfId="20735"/>
    <cellStyle name="20% - Accent2 5 3 2 2 2 2 3" xfId="20734"/>
    <cellStyle name="20% - Accent2 5 3 2 2 2 3" xfId="2760"/>
    <cellStyle name="20% - Accent2 5 3 2 2 2 3 2" xfId="20736"/>
    <cellStyle name="20% - Accent2 5 3 2 2 2 4" xfId="20733"/>
    <cellStyle name="20% - Accent2 5 3 2 2 3" xfId="2761"/>
    <cellStyle name="20% - Accent2 5 3 2 2 3 2" xfId="2762"/>
    <cellStyle name="20% - Accent2 5 3 2 2 3 2 2" xfId="20738"/>
    <cellStyle name="20% - Accent2 5 3 2 2 3 3" xfId="20737"/>
    <cellStyle name="20% - Accent2 5 3 2 2 4" xfId="2763"/>
    <cellStyle name="20% - Accent2 5 3 2 2 4 2" xfId="20739"/>
    <cellStyle name="20% - Accent2 5 3 2 2 5" xfId="20732"/>
    <cellStyle name="20% - Accent2 5 3 2 3" xfId="2764"/>
    <cellStyle name="20% - Accent2 5 3 2 3 2" xfId="2765"/>
    <cellStyle name="20% - Accent2 5 3 2 3 2 2" xfId="2766"/>
    <cellStyle name="20% - Accent2 5 3 2 3 2 2 2" xfId="2767"/>
    <cellStyle name="20% - Accent2 5 3 2 3 2 2 2 2" xfId="20743"/>
    <cellStyle name="20% - Accent2 5 3 2 3 2 2 3" xfId="20742"/>
    <cellStyle name="20% - Accent2 5 3 2 3 2 3" xfId="2768"/>
    <cellStyle name="20% - Accent2 5 3 2 3 2 3 2" xfId="20744"/>
    <cellStyle name="20% - Accent2 5 3 2 3 2 4" xfId="20741"/>
    <cellStyle name="20% - Accent2 5 3 2 3 3" xfId="2769"/>
    <cellStyle name="20% - Accent2 5 3 2 3 3 2" xfId="2770"/>
    <cellStyle name="20% - Accent2 5 3 2 3 3 2 2" xfId="20746"/>
    <cellStyle name="20% - Accent2 5 3 2 3 3 3" xfId="20745"/>
    <cellStyle name="20% - Accent2 5 3 2 3 4" xfId="2771"/>
    <cellStyle name="20% - Accent2 5 3 2 3 4 2" xfId="20747"/>
    <cellStyle name="20% - Accent2 5 3 2 3 5" xfId="20740"/>
    <cellStyle name="20% - Accent2 5 3 2 4" xfId="2772"/>
    <cellStyle name="20% - Accent2 5 3 2 4 2" xfId="2773"/>
    <cellStyle name="20% - Accent2 5 3 2 4 2 2" xfId="2774"/>
    <cellStyle name="20% - Accent2 5 3 2 4 2 2 2" xfId="20750"/>
    <cellStyle name="20% - Accent2 5 3 2 4 2 3" xfId="20749"/>
    <cellStyle name="20% - Accent2 5 3 2 4 3" xfId="2775"/>
    <cellStyle name="20% - Accent2 5 3 2 4 3 2" xfId="20751"/>
    <cellStyle name="20% - Accent2 5 3 2 4 4" xfId="20748"/>
    <cellStyle name="20% - Accent2 5 3 2 5" xfId="2776"/>
    <cellStyle name="20% - Accent2 5 3 2 5 2" xfId="2777"/>
    <cellStyle name="20% - Accent2 5 3 2 5 2 2" xfId="20753"/>
    <cellStyle name="20% - Accent2 5 3 2 5 3" xfId="20752"/>
    <cellStyle name="20% - Accent2 5 3 2 6" xfId="2778"/>
    <cellStyle name="20% - Accent2 5 3 2 6 2" xfId="20754"/>
    <cellStyle name="20% - Accent2 5 3 2 7" xfId="20731"/>
    <cellStyle name="20% - Accent2 5 3 3" xfId="2779"/>
    <cellStyle name="20% - Accent2 5 3 3 2" xfId="2780"/>
    <cellStyle name="20% - Accent2 5 3 3 2 2" xfId="2781"/>
    <cellStyle name="20% - Accent2 5 3 3 2 2 2" xfId="2782"/>
    <cellStyle name="20% - Accent2 5 3 3 2 2 2 2" xfId="20758"/>
    <cellStyle name="20% - Accent2 5 3 3 2 2 3" xfId="20757"/>
    <cellStyle name="20% - Accent2 5 3 3 2 3" xfId="2783"/>
    <cellStyle name="20% - Accent2 5 3 3 2 3 2" xfId="20759"/>
    <cellStyle name="20% - Accent2 5 3 3 2 4" xfId="20756"/>
    <cellStyle name="20% - Accent2 5 3 3 3" xfId="2784"/>
    <cellStyle name="20% - Accent2 5 3 3 3 2" xfId="2785"/>
    <cellStyle name="20% - Accent2 5 3 3 3 2 2" xfId="20761"/>
    <cellStyle name="20% - Accent2 5 3 3 3 3" xfId="20760"/>
    <cellStyle name="20% - Accent2 5 3 3 4" xfId="2786"/>
    <cellStyle name="20% - Accent2 5 3 3 4 2" xfId="20762"/>
    <cellStyle name="20% - Accent2 5 3 3 5" xfId="20755"/>
    <cellStyle name="20% - Accent2 5 3 4" xfId="2787"/>
    <cellStyle name="20% - Accent2 5 3 4 2" xfId="2788"/>
    <cellStyle name="20% - Accent2 5 3 4 2 2" xfId="2789"/>
    <cellStyle name="20% - Accent2 5 3 4 2 2 2" xfId="2790"/>
    <cellStyle name="20% - Accent2 5 3 4 2 2 2 2" xfId="20766"/>
    <cellStyle name="20% - Accent2 5 3 4 2 2 3" xfId="20765"/>
    <cellStyle name="20% - Accent2 5 3 4 2 3" xfId="2791"/>
    <cellStyle name="20% - Accent2 5 3 4 2 3 2" xfId="20767"/>
    <cellStyle name="20% - Accent2 5 3 4 2 4" xfId="20764"/>
    <cellStyle name="20% - Accent2 5 3 4 3" xfId="2792"/>
    <cellStyle name="20% - Accent2 5 3 4 3 2" xfId="2793"/>
    <cellStyle name="20% - Accent2 5 3 4 3 2 2" xfId="20769"/>
    <cellStyle name="20% - Accent2 5 3 4 3 3" xfId="20768"/>
    <cellStyle name="20% - Accent2 5 3 4 4" xfId="2794"/>
    <cellStyle name="20% - Accent2 5 3 4 4 2" xfId="20770"/>
    <cellStyle name="20% - Accent2 5 3 4 5" xfId="20763"/>
    <cellStyle name="20% - Accent2 5 3 5" xfId="2795"/>
    <cellStyle name="20% - Accent2 5 3 5 2" xfId="2796"/>
    <cellStyle name="20% - Accent2 5 3 5 2 2" xfId="2797"/>
    <cellStyle name="20% - Accent2 5 3 5 2 2 2" xfId="20773"/>
    <cellStyle name="20% - Accent2 5 3 5 2 3" xfId="20772"/>
    <cellStyle name="20% - Accent2 5 3 5 3" xfId="2798"/>
    <cellStyle name="20% - Accent2 5 3 5 3 2" xfId="20774"/>
    <cellStyle name="20% - Accent2 5 3 5 4" xfId="20771"/>
    <cellStyle name="20% - Accent2 5 3 6" xfId="2799"/>
    <cellStyle name="20% - Accent2 5 3 6 2" xfId="2800"/>
    <cellStyle name="20% - Accent2 5 3 6 2 2" xfId="20776"/>
    <cellStyle name="20% - Accent2 5 3 6 3" xfId="20775"/>
    <cellStyle name="20% - Accent2 5 3 7" xfId="2801"/>
    <cellStyle name="20% - Accent2 5 3 7 2" xfId="20777"/>
    <cellStyle name="20% - Accent2 5 3 8" xfId="20730"/>
    <cellStyle name="20% - Accent2 5 4" xfId="2802"/>
    <cellStyle name="20% - Accent2 5 4 2" xfId="2803"/>
    <cellStyle name="20% - Accent2 5 4 2 2" xfId="2804"/>
    <cellStyle name="20% - Accent2 5 4 2 2 2" xfId="2805"/>
    <cellStyle name="20% - Accent2 5 4 2 2 2 2" xfId="2806"/>
    <cellStyle name="20% - Accent2 5 4 2 2 2 2 2" xfId="20782"/>
    <cellStyle name="20% - Accent2 5 4 2 2 2 3" xfId="20781"/>
    <cellStyle name="20% - Accent2 5 4 2 2 3" xfId="2807"/>
    <cellStyle name="20% - Accent2 5 4 2 2 3 2" xfId="20783"/>
    <cellStyle name="20% - Accent2 5 4 2 2 4" xfId="20780"/>
    <cellStyle name="20% - Accent2 5 4 2 3" xfId="2808"/>
    <cellStyle name="20% - Accent2 5 4 2 3 2" xfId="2809"/>
    <cellStyle name="20% - Accent2 5 4 2 3 2 2" xfId="20785"/>
    <cellStyle name="20% - Accent2 5 4 2 3 3" xfId="20784"/>
    <cellStyle name="20% - Accent2 5 4 2 4" xfId="2810"/>
    <cellStyle name="20% - Accent2 5 4 2 4 2" xfId="20786"/>
    <cellStyle name="20% - Accent2 5 4 2 5" xfId="20779"/>
    <cellStyle name="20% - Accent2 5 4 3" xfId="2811"/>
    <cellStyle name="20% - Accent2 5 4 3 2" xfId="2812"/>
    <cellStyle name="20% - Accent2 5 4 3 2 2" xfId="2813"/>
    <cellStyle name="20% - Accent2 5 4 3 2 2 2" xfId="2814"/>
    <cellStyle name="20% - Accent2 5 4 3 2 2 2 2" xfId="20790"/>
    <cellStyle name="20% - Accent2 5 4 3 2 2 3" xfId="20789"/>
    <cellStyle name="20% - Accent2 5 4 3 2 3" xfId="2815"/>
    <cellStyle name="20% - Accent2 5 4 3 2 3 2" xfId="20791"/>
    <cellStyle name="20% - Accent2 5 4 3 2 4" xfId="20788"/>
    <cellStyle name="20% - Accent2 5 4 3 3" xfId="2816"/>
    <cellStyle name="20% - Accent2 5 4 3 3 2" xfId="2817"/>
    <cellStyle name="20% - Accent2 5 4 3 3 2 2" xfId="20793"/>
    <cellStyle name="20% - Accent2 5 4 3 3 3" xfId="20792"/>
    <cellStyle name="20% - Accent2 5 4 3 4" xfId="2818"/>
    <cellStyle name="20% - Accent2 5 4 3 4 2" xfId="20794"/>
    <cellStyle name="20% - Accent2 5 4 3 5" xfId="20787"/>
    <cellStyle name="20% - Accent2 5 4 4" xfId="2819"/>
    <cellStyle name="20% - Accent2 5 4 4 2" xfId="2820"/>
    <cellStyle name="20% - Accent2 5 4 4 2 2" xfId="2821"/>
    <cellStyle name="20% - Accent2 5 4 4 2 2 2" xfId="20797"/>
    <cellStyle name="20% - Accent2 5 4 4 2 3" xfId="20796"/>
    <cellStyle name="20% - Accent2 5 4 4 3" xfId="2822"/>
    <cellStyle name="20% - Accent2 5 4 4 3 2" xfId="20798"/>
    <cellStyle name="20% - Accent2 5 4 4 4" xfId="20795"/>
    <cellStyle name="20% - Accent2 5 4 5" xfId="2823"/>
    <cellStyle name="20% - Accent2 5 4 5 2" xfId="2824"/>
    <cellStyle name="20% - Accent2 5 4 5 2 2" xfId="20800"/>
    <cellStyle name="20% - Accent2 5 4 5 3" xfId="20799"/>
    <cellStyle name="20% - Accent2 5 4 6" xfId="2825"/>
    <cellStyle name="20% - Accent2 5 4 6 2" xfId="20801"/>
    <cellStyle name="20% - Accent2 5 4 7" xfId="20778"/>
    <cellStyle name="20% - Accent2 5 5" xfId="2826"/>
    <cellStyle name="20% - Accent2 5 5 2" xfId="2827"/>
    <cellStyle name="20% - Accent2 5 5 2 2" xfId="2828"/>
    <cellStyle name="20% - Accent2 5 5 2 2 2" xfId="2829"/>
    <cellStyle name="20% - Accent2 5 5 2 2 2 2" xfId="20805"/>
    <cellStyle name="20% - Accent2 5 5 2 2 3" xfId="20804"/>
    <cellStyle name="20% - Accent2 5 5 2 3" xfId="2830"/>
    <cellStyle name="20% - Accent2 5 5 2 3 2" xfId="20806"/>
    <cellStyle name="20% - Accent2 5 5 2 4" xfId="20803"/>
    <cellStyle name="20% - Accent2 5 5 3" xfId="2831"/>
    <cellStyle name="20% - Accent2 5 5 3 2" xfId="2832"/>
    <cellStyle name="20% - Accent2 5 5 3 2 2" xfId="20808"/>
    <cellStyle name="20% - Accent2 5 5 3 3" xfId="20807"/>
    <cellStyle name="20% - Accent2 5 5 4" xfId="2833"/>
    <cellStyle name="20% - Accent2 5 5 4 2" xfId="20809"/>
    <cellStyle name="20% - Accent2 5 5 5" xfId="20802"/>
    <cellStyle name="20% - Accent2 5 6" xfId="2834"/>
    <cellStyle name="20% - Accent2 5 6 2" xfId="2835"/>
    <cellStyle name="20% - Accent2 5 6 2 2" xfId="2836"/>
    <cellStyle name="20% - Accent2 5 6 2 2 2" xfId="2837"/>
    <cellStyle name="20% - Accent2 5 6 2 2 2 2" xfId="20813"/>
    <cellStyle name="20% - Accent2 5 6 2 2 3" xfId="20812"/>
    <cellStyle name="20% - Accent2 5 6 2 3" xfId="2838"/>
    <cellStyle name="20% - Accent2 5 6 2 3 2" xfId="20814"/>
    <cellStyle name="20% - Accent2 5 6 2 4" xfId="20811"/>
    <cellStyle name="20% - Accent2 5 6 3" xfId="2839"/>
    <cellStyle name="20% - Accent2 5 6 3 2" xfId="2840"/>
    <cellStyle name="20% - Accent2 5 6 3 2 2" xfId="20816"/>
    <cellStyle name="20% - Accent2 5 6 3 3" xfId="20815"/>
    <cellStyle name="20% - Accent2 5 6 4" xfId="2841"/>
    <cellStyle name="20% - Accent2 5 6 4 2" xfId="20817"/>
    <cellStyle name="20% - Accent2 5 6 5" xfId="20810"/>
    <cellStyle name="20% - Accent2 5 7" xfId="2842"/>
    <cellStyle name="20% - Accent2 5 7 2" xfId="2843"/>
    <cellStyle name="20% - Accent2 5 7 2 2" xfId="2844"/>
    <cellStyle name="20% - Accent2 5 7 2 2 2" xfId="20820"/>
    <cellStyle name="20% - Accent2 5 7 2 3" xfId="20819"/>
    <cellStyle name="20% - Accent2 5 7 3" xfId="2845"/>
    <cellStyle name="20% - Accent2 5 7 3 2" xfId="20821"/>
    <cellStyle name="20% - Accent2 5 7 4" xfId="20818"/>
    <cellStyle name="20% - Accent2 5 8" xfId="2846"/>
    <cellStyle name="20% - Accent2 5 8 2" xfId="2847"/>
    <cellStyle name="20% - Accent2 5 8 2 2" xfId="20823"/>
    <cellStyle name="20% - Accent2 5 8 3" xfId="20822"/>
    <cellStyle name="20% - Accent2 5 9" xfId="2848"/>
    <cellStyle name="20% - Accent2 5 9 2" xfId="20824"/>
    <cellStyle name="20% - Accent2 6" xfId="2849"/>
    <cellStyle name="20% - Accent2 6 10" xfId="20825"/>
    <cellStyle name="20% - Accent2 6 2" xfId="2850"/>
    <cellStyle name="20% - Accent2 6 2 2" xfId="2851"/>
    <cellStyle name="20% - Accent2 6 2 2 2" xfId="2852"/>
    <cellStyle name="20% - Accent2 6 2 2 2 2" xfId="2853"/>
    <cellStyle name="20% - Accent2 6 2 2 2 2 2" xfId="2854"/>
    <cellStyle name="20% - Accent2 6 2 2 2 2 2 2" xfId="2855"/>
    <cellStyle name="20% - Accent2 6 2 2 2 2 2 2 2" xfId="2856"/>
    <cellStyle name="20% - Accent2 6 2 2 2 2 2 2 2 2" xfId="20832"/>
    <cellStyle name="20% - Accent2 6 2 2 2 2 2 2 3" xfId="20831"/>
    <cellStyle name="20% - Accent2 6 2 2 2 2 2 3" xfId="2857"/>
    <cellStyle name="20% - Accent2 6 2 2 2 2 2 3 2" xfId="20833"/>
    <cellStyle name="20% - Accent2 6 2 2 2 2 2 4" xfId="20830"/>
    <cellStyle name="20% - Accent2 6 2 2 2 2 3" xfId="2858"/>
    <cellStyle name="20% - Accent2 6 2 2 2 2 3 2" xfId="2859"/>
    <cellStyle name="20% - Accent2 6 2 2 2 2 3 2 2" xfId="20835"/>
    <cellStyle name="20% - Accent2 6 2 2 2 2 3 3" xfId="20834"/>
    <cellStyle name="20% - Accent2 6 2 2 2 2 4" xfId="2860"/>
    <cellStyle name="20% - Accent2 6 2 2 2 2 4 2" xfId="20836"/>
    <cellStyle name="20% - Accent2 6 2 2 2 2 5" xfId="20829"/>
    <cellStyle name="20% - Accent2 6 2 2 2 3" xfId="2861"/>
    <cellStyle name="20% - Accent2 6 2 2 2 3 2" xfId="2862"/>
    <cellStyle name="20% - Accent2 6 2 2 2 3 2 2" xfId="2863"/>
    <cellStyle name="20% - Accent2 6 2 2 2 3 2 2 2" xfId="2864"/>
    <cellStyle name="20% - Accent2 6 2 2 2 3 2 2 2 2" xfId="20840"/>
    <cellStyle name="20% - Accent2 6 2 2 2 3 2 2 3" xfId="20839"/>
    <cellStyle name="20% - Accent2 6 2 2 2 3 2 3" xfId="2865"/>
    <cellStyle name="20% - Accent2 6 2 2 2 3 2 3 2" xfId="20841"/>
    <cellStyle name="20% - Accent2 6 2 2 2 3 2 4" xfId="20838"/>
    <cellStyle name="20% - Accent2 6 2 2 2 3 3" xfId="2866"/>
    <cellStyle name="20% - Accent2 6 2 2 2 3 3 2" xfId="2867"/>
    <cellStyle name="20% - Accent2 6 2 2 2 3 3 2 2" xfId="20843"/>
    <cellStyle name="20% - Accent2 6 2 2 2 3 3 3" xfId="20842"/>
    <cellStyle name="20% - Accent2 6 2 2 2 3 4" xfId="2868"/>
    <cellStyle name="20% - Accent2 6 2 2 2 3 4 2" xfId="20844"/>
    <cellStyle name="20% - Accent2 6 2 2 2 3 5" xfId="20837"/>
    <cellStyle name="20% - Accent2 6 2 2 2 4" xfId="2869"/>
    <cellStyle name="20% - Accent2 6 2 2 2 4 2" xfId="2870"/>
    <cellStyle name="20% - Accent2 6 2 2 2 4 2 2" xfId="2871"/>
    <cellStyle name="20% - Accent2 6 2 2 2 4 2 2 2" xfId="20847"/>
    <cellStyle name="20% - Accent2 6 2 2 2 4 2 3" xfId="20846"/>
    <cellStyle name="20% - Accent2 6 2 2 2 4 3" xfId="2872"/>
    <cellStyle name="20% - Accent2 6 2 2 2 4 3 2" xfId="20848"/>
    <cellStyle name="20% - Accent2 6 2 2 2 4 4" xfId="20845"/>
    <cellStyle name="20% - Accent2 6 2 2 2 5" xfId="2873"/>
    <cellStyle name="20% - Accent2 6 2 2 2 5 2" xfId="2874"/>
    <cellStyle name="20% - Accent2 6 2 2 2 5 2 2" xfId="20850"/>
    <cellStyle name="20% - Accent2 6 2 2 2 5 3" xfId="20849"/>
    <cellStyle name="20% - Accent2 6 2 2 2 6" xfId="2875"/>
    <cellStyle name="20% - Accent2 6 2 2 2 6 2" xfId="20851"/>
    <cellStyle name="20% - Accent2 6 2 2 2 7" xfId="20828"/>
    <cellStyle name="20% - Accent2 6 2 2 3" xfId="2876"/>
    <cellStyle name="20% - Accent2 6 2 2 3 2" xfId="2877"/>
    <cellStyle name="20% - Accent2 6 2 2 3 2 2" xfId="2878"/>
    <cellStyle name="20% - Accent2 6 2 2 3 2 2 2" xfId="2879"/>
    <cellStyle name="20% - Accent2 6 2 2 3 2 2 2 2" xfId="20855"/>
    <cellStyle name="20% - Accent2 6 2 2 3 2 2 3" xfId="20854"/>
    <cellStyle name="20% - Accent2 6 2 2 3 2 3" xfId="2880"/>
    <cellStyle name="20% - Accent2 6 2 2 3 2 3 2" xfId="20856"/>
    <cellStyle name="20% - Accent2 6 2 2 3 2 4" xfId="20853"/>
    <cellStyle name="20% - Accent2 6 2 2 3 3" xfId="2881"/>
    <cellStyle name="20% - Accent2 6 2 2 3 3 2" xfId="2882"/>
    <cellStyle name="20% - Accent2 6 2 2 3 3 2 2" xfId="20858"/>
    <cellStyle name="20% - Accent2 6 2 2 3 3 3" xfId="20857"/>
    <cellStyle name="20% - Accent2 6 2 2 3 4" xfId="2883"/>
    <cellStyle name="20% - Accent2 6 2 2 3 4 2" xfId="20859"/>
    <cellStyle name="20% - Accent2 6 2 2 3 5" xfId="20852"/>
    <cellStyle name="20% - Accent2 6 2 2 4" xfId="2884"/>
    <cellStyle name="20% - Accent2 6 2 2 4 2" xfId="2885"/>
    <cellStyle name="20% - Accent2 6 2 2 4 2 2" xfId="2886"/>
    <cellStyle name="20% - Accent2 6 2 2 4 2 2 2" xfId="2887"/>
    <cellStyle name="20% - Accent2 6 2 2 4 2 2 2 2" xfId="20863"/>
    <cellStyle name="20% - Accent2 6 2 2 4 2 2 3" xfId="20862"/>
    <cellStyle name="20% - Accent2 6 2 2 4 2 3" xfId="2888"/>
    <cellStyle name="20% - Accent2 6 2 2 4 2 3 2" xfId="20864"/>
    <cellStyle name="20% - Accent2 6 2 2 4 2 4" xfId="20861"/>
    <cellStyle name="20% - Accent2 6 2 2 4 3" xfId="2889"/>
    <cellStyle name="20% - Accent2 6 2 2 4 3 2" xfId="2890"/>
    <cellStyle name="20% - Accent2 6 2 2 4 3 2 2" xfId="20866"/>
    <cellStyle name="20% - Accent2 6 2 2 4 3 3" xfId="20865"/>
    <cellStyle name="20% - Accent2 6 2 2 4 4" xfId="2891"/>
    <cellStyle name="20% - Accent2 6 2 2 4 4 2" xfId="20867"/>
    <cellStyle name="20% - Accent2 6 2 2 4 5" xfId="20860"/>
    <cellStyle name="20% - Accent2 6 2 2 5" xfId="2892"/>
    <cellStyle name="20% - Accent2 6 2 2 5 2" xfId="2893"/>
    <cellStyle name="20% - Accent2 6 2 2 5 2 2" xfId="2894"/>
    <cellStyle name="20% - Accent2 6 2 2 5 2 2 2" xfId="20870"/>
    <cellStyle name="20% - Accent2 6 2 2 5 2 3" xfId="20869"/>
    <cellStyle name="20% - Accent2 6 2 2 5 3" xfId="2895"/>
    <cellStyle name="20% - Accent2 6 2 2 5 3 2" xfId="20871"/>
    <cellStyle name="20% - Accent2 6 2 2 5 4" xfId="20868"/>
    <cellStyle name="20% - Accent2 6 2 2 6" xfId="2896"/>
    <cellStyle name="20% - Accent2 6 2 2 6 2" xfId="2897"/>
    <cellStyle name="20% - Accent2 6 2 2 6 2 2" xfId="20873"/>
    <cellStyle name="20% - Accent2 6 2 2 6 3" xfId="20872"/>
    <cellStyle name="20% - Accent2 6 2 2 7" xfId="2898"/>
    <cellStyle name="20% - Accent2 6 2 2 7 2" xfId="20874"/>
    <cellStyle name="20% - Accent2 6 2 2 8" xfId="20827"/>
    <cellStyle name="20% - Accent2 6 2 3" xfId="2899"/>
    <cellStyle name="20% - Accent2 6 2 3 2" xfId="2900"/>
    <cellStyle name="20% - Accent2 6 2 3 2 2" xfId="2901"/>
    <cellStyle name="20% - Accent2 6 2 3 2 2 2" xfId="2902"/>
    <cellStyle name="20% - Accent2 6 2 3 2 2 2 2" xfId="2903"/>
    <cellStyle name="20% - Accent2 6 2 3 2 2 2 2 2" xfId="20879"/>
    <cellStyle name="20% - Accent2 6 2 3 2 2 2 3" xfId="20878"/>
    <cellStyle name="20% - Accent2 6 2 3 2 2 3" xfId="2904"/>
    <cellStyle name="20% - Accent2 6 2 3 2 2 3 2" xfId="20880"/>
    <cellStyle name="20% - Accent2 6 2 3 2 2 4" xfId="20877"/>
    <cellStyle name="20% - Accent2 6 2 3 2 3" xfId="2905"/>
    <cellStyle name="20% - Accent2 6 2 3 2 3 2" xfId="2906"/>
    <cellStyle name="20% - Accent2 6 2 3 2 3 2 2" xfId="20882"/>
    <cellStyle name="20% - Accent2 6 2 3 2 3 3" xfId="20881"/>
    <cellStyle name="20% - Accent2 6 2 3 2 4" xfId="2907"/>
    <cellStyle name="20% - Accent2 6 2 3 2 4 2" xfId="20883"/>
    <cellStyle name="20% - Accent2 6 2 3 2 5" xfId="20876"/>
    <cellStyle name="20% - Accent2 6 2 3 3" xfId="2908"/>
    <cellStyle name="20% - Accent2 6 2 3 3 2" xfId="2909"/>
    <cellStyle name="20% - Accent2 6 2 3 3 2 2" xfId="2910"/>
    <cellStyle name="20% - Accent2 6 2 3 3 2 2 2" xfId="2911"/>
    <cellStyle name="20% - Accent2 6 2 3 3 2 2 2 2" xfId="20887"/>
    <cellStyle name="20% - Accent2 6 2 3 3 2 2 3" xfId="20886"/>
    <cellStyle name="20% - Accent2 6 2 3 3 2 3" xfId="2912"/>
    <cellStyle name="20% - Accent2 6 2 3 3 2 3 2" xfId="20888"/>
    <cellStyle name="20% - Accent2 6 2 3 3 2 4" xfId="20885"/>
    <cellStyle name="20% - Accent2 6 2 3 3 3" xfId="2913"/>
    <cellStyle name="20% - Accent2 6 2 3 3 3 2" xfId="2914"/>
    <cellStyle name="20% - Accent2 6 2 3 3 3 2 2" xfId="20890"/>
    <cellStyle name="20% - Accent2 6 2 3 3 3 3" xfId="20889"/>
    <cellStyle name="20% - Accent2 6 2 3 3 4" xfId="2915"/>
    <cellStyle name="20% - Accent2 6 2 3 3 4 2" xfId="20891"/>
    <cellStyle name="20% - Accent2 6 2 3 3 5" xfId="20884"/>
    <cellStyle name="20% - Accent2 6 2 3 4" xfId="2916"/>
    <cellStyle name="20% - Accent2 6 2 3 4 2" xfId="2917"/>
    <cellStyle name="20% - Accent2 6 2 3 4 2 2" xfId="2918"/>
    <cellStyle name="20% - Accent2 6 2 3 4 2 2 2" xfId="20894"/>
    <cellStyle name="20% - Accent2 6 2 3 4 2 3" xfId="20893"/>
    <cellStyle name="20% - Accent2 6 2 3 4 3" xfId="2919"/>
    <cellStyle name="20% - Accent2 6 2 3 4 3 2" xfId="20895"/>
    <cellStyle name="20% - Accent2 6 2 3 4 4" xfId="20892"/>
    <cellStyle name="20% - Accent2 6 2 3 5" xfId="2920"/>
    <cellStyle name="20% - Accent2 6 2 3 5 2" xfId="2921"/>
    <cellStyle name="20% - Accent2 6 2 3 5 2 2" xfId="20897"/>
    <cellStyle name="20% - Accent2 6 2 3 5 3" xfId="20896"/>
    <cellStyle name="20% - Accent2 6 2 3 6" xfId="2922"/>
    <cellStyle name="20% - Accent2 6 2 3 6 2" xfId="20898"/>
    <cellStyle name="20% - Accent2 6 2 3 7" xfId="20875"/>
    <cellStyle name="20% - Accent2 6 2 4" xfId="2923"/>
    <cellStyle name="20% - Accent2 6 2 4 2" xfId="2924"/>
    <cellStyle name="20% - Accent2 6 2 4 2 2" xfId="2925"/>
    <cellStyle name="20% - Accent2 6 2 4 2 2 2" xfId="2926"/>
    <cellStyle name="20% - Accent2 6 2 4 2 2 2 2" xfId="20902"/>
    <cellStyle name="20% - Accent2 6 2 4 2 2 3" xfId="20901"/>
    <cellStyle name="20% - Accent2 6 2 4 2 3" xfId="2927"/>
    <cellStyle name="20% - Accent2 6 2 4 2 3 2" xfId="20903"/>
    <cellStyle name="20% - Accent2 6 2 4 2 4" xfId="20900"/>
    <cellStyle name="20% - Accent2 6 2 4 3" xfId="2928"/>
    <cellStyle name="20% - Accent2 6 2 4 3 2" xfId="2929"/>
    <cellStyle name="20% - Accent2 6 2 4 3 2 2" xfId="20905"/>
    <cellStyle name="20% - Accent2 6 2 4 3 3" xfId="20904"/>
    <cellStyle name="20% - Accent2 6 2 4 4" xfId="2930"/>
    <cellStyle name="20% - Accent2 6 2 4 4 2" xfId="20906"/>
    <cellStyle name="20% - Accent2 6 2 4 5" xfId="20899"/>
    <cellStyle name="20% - Accent2 6 2 5" xfId="2931"/>
    <cellStyle name="20% - Accent2 6 2 5 2" xfId="2932"/>
    <cellStyle name="20% - Accent2 6 2 5 2 2" xfId="2933"/>
    <cellStyle name="20% - Accent2 6 2 5 2 2 2" xfId="2934"/>
    <cellStyle name="20% - Accent2 6 2 5 2 2 2 2" xfId="20910"/>
    <cellStyle name="20% - Accent2 6 2 5 2 2 3" xfId="20909"/>
    <cellStyle name="20% - Accent2 6 2 5 2 3" xfId="2935"/>
    <cellStyle name="20% - Accent2 6 2 5 2 3 2" xfId="20911"/>
    <cellStyle name="20% - Accent2 6 2 5 2 4" xfId="20908"/>
    <cellStyle name="20% - Accent2 6 2 5 3" xfId="2936"/>
    <cellStyle name="20% - Accent2 6 2 5 3 2" xfId="2937"/>
    <cellStyle name="20% - Accent2 6 2 5 3 2 2" xfId="20913"/>
    <cellStyle name="20% - Accent2 6 2 5 3 3" xfId="20912"/>
    <cellStyle name="20% - Accent2 6 2 5 4" xfId="2938"/>
    <cellStyle name="20% - Accent2 6 2 5 4 2" xfId="20914"/>
    <cellStyle name="20% - Accent2 6 2 5 5" xfId="20907"/>
    <cellStyle name="20% - Accent2 6 2 6" xfId="2939"/>
    <cellStyle name="20% - Accent2 6 2 6 2" xfId="2940"/>
    <cellStyle name="20% - Accent2 6 2 6 2 2" xfId="2941"/>
    <cellStyle name="20% - Accent2 6 2 6 2 2 2" xfId="20917"/>
    <cellStyle name="20% - Accent2 6 2 6 2 3" xfId="20916"/>
    <cellStyle name="20% - Accent2 6 2 6 3" xfId="2942"/>
    <cellStyle name="20% - Accent2 6 2 6 3 2" xfId="20918"/>
    <cellStyle name="20% - Accent2 6 2 6 4" xfId="20915"/>
    <cellStyle name="20% - Accent2 6 2 7" xfId="2943"/>
    <cellStyle name="20% - Accent2 6 2 7 2" xfId="2944"/>
    <cellStyle name="20% - Accent2 6 2 7 2 2" xfId="20920"/>
    <cellStyle name="20% - Accent2 6 2 7 3" xfId="20919"/>
    <cellStyle name="20% - Accent2 6 2 8" xfId="2945"/>
    <cellStyle name="20% - Accent2 6 2 8 2" xfId="20921"/>
    <cellStyle name="20% - Accent2 6 2 9" xfId="20826"/>
    <cellStyle name="20% - Accent2 6 3" xfId="2946"/>
    <cellStyle name="20% - Accent2 6 3 2" xfId="2947"/>
    <cellStyle name="20% - Accent2 6 3 2 2" xfId="2948"/>
    <cellStyle name="20% - Accent2 6 3 2 2 2" xfId="2949"/>
    <cellStyle name="20% - Accent2 6 3 2 2 2 2" xfId="2950"/>
    <cellStyle name="20% - Accent2 6 3 2 2 2 2 2" xfId="2951"/>
    <cellStyle name="20% - Accent2 6 3 2 2 2 2 2 2" xfId="20927"/>
    <cellStyle name="20% - Accent2 6 3 2 2 2 2 3" xfId="20926"/>
    <cellStyle name="20% - Accent2 6 3 2 2 2 3" xfId="2952"/>
    <cellStyle name="20% - Accent2 6 3 2 2 2 3 2" xfId="20928"/>
    <cellStyle name="20% - Accent2 6 3 2 2 2 4" xfId="20925"/>
    <cellStyle name="20% - Accent2 6 3 2 2 3" xfId="2953"/>
    <cellStyle name="20% - Accent2 6 3 2 2 3 2" xfId="2954"/>
    <cellStyle name="20% - Accent2 6 3 2 2 3 2 2" xfId="20930"/>
    <cellStyle name="20% - Accent2 6 3 2 2 3 3" xfId="20929"/>
    <cellStyle name="20% - Accent2 6 3 2 2 4" xfId="2955"/>
    <cellStyle name="20% - Accent2 6 3 2 2 4 2" xfId="20931"/>
    <cellStyle name="20% - Accent2 6 3 2 2 5" xfId="20924"/>
    <cellStyle name="20% - Accent2 6 3 2 3" xfId="2956"/>
    <cellStyle name="20% - Accent2 6 3 2 3 2" xfId="2957"/>
    <cellStyle name="20% - Accent2 6 3 2 3 2 2" xfId="2958"/>
    <cellStyle name="20% - Accent2 6 3 2 3 2 2 2" xfId="2959"/>
    <cellStyle name="20% - Accent2 6 3 2 3 2 2 2 2" xfId="20935"/>
    <cellStyle name="20% - Accent2 6 3 2 3 2 2 3" xfId="20934"/>
    <cellStyle name="20% - Accent2 6 3 2 3 2 3" xfId="2960"/>
    <cellStyle name="20% - Accent2 6 3 2 3 2 3 2" xfId="20936"/>
    <cellStyle name="20% - Accent2 6 3 2 3 2 4" xfId="20933"/>
    <cellStyle name="20% - Accent2 6 3 2 3 3" xfId="2961"/>
    <cellStyle name="20% - Accent2 6 3 2 3 3 2" xfId="2962"/>
    <cellStyle name="20% - Accent2 6 3 2 3 3 2 2" xfId="20938"/>
    <cellStyle name="20% - Accent2 6 3 2 3 3 3" xfId="20937"/>
    <cellStyle name="20% - Accent2 6 3 2 3 4" xfId="2963"/>
    <cellStyle name="20% - Accent2 6 3 2 3 4 2" xfId="20939"/>
    <cellStyle name="20% - Accent2 6 3 2 3 5" xfId="20932"/>
    <cellStyle name="20% - Accent2 6 3 2 4" xfId="2964"/>
    <cellStyle name="20% - Accent2 6 3 2 4 2" xfId="2965"/>
    <cellStyle name="20% - Accent2 6 3 2 4 2 2" xfId="2966"/>
    <cellStyle name="20% - Accent2 6 3 2 4 2 2 2" xfId="20942"/>
    <cellStyle name="20% - Accent2 6 3 2 4 2 3" xfId="20941"/>
    <cellStyle name="20% - Accent2 6 3 2 4 3" xfId="2967"/>
    <cellStyle name="20% - Accent2 6 3 2 4 3 2" xfId="20943"/>
    <cellStyle name="20% - Accent2 6 3 2 4 4" xfId="20940"/>
    <cellStyle name="20% - Accent2 6 3 2 5" xfId="2968"/>
    <cellStyle name="20% - Accent2 6 3 2 5 2" xfId="2969"/>
    <cellStyle name="20% - Accent2 6 3 2 5 2 2" xfId="20945"/>
    <cellStyle name="20% - Accent2 6 3 2 5 3" xfId="20944"/>
    <cellStyle name="20% - Accent2 6 3 2 6" xfId="2970"/>
    <cellStyle name="20% - Accent2 6 3 2 6 2" xfId="20946"/>
    <cellStyle name="20% - Accent2 6 3 2 7" xfId="20923"/>
    <cellStyle name="20% - Accent2 6 3 3" xfId="2971"/>
    <cellStyle name="20% - Accent2 6 3 3 2" xfId="2972"/>
    <cellStyle name="20% - Accent2 6 3 3 2 2" xfId="2973"/>
    <cellStyle name="20% - Accent2 6 3 3 2 2 2" xfId="2974"/>
    <cellStyle name="20% - Accent2 6 3 3 2 2 2 2" xfId="20950"/>
    <cellStyle name="20% - Accent2 6 3 3 2 2 3" xfId="20949"/>
    <cellStyle name="20% - Accent2 6 3 3 2 3" xfId="2975"/>
    <cellStyle name="20% - Accent2 6 3 3 2 3 2" xfId="20951"/>
    <cellStyle name="20% - Accent2 6 3 3 2 4" xfId="20948"/>
    <cellStyle name="20% - Accent2 6 3 3 3" xfId="2976"/>
    <cellStyle name="20% - Accent2 6 3 3 3 2" xfId="2977"/>
    <cellStyle name="20% - Accent2 6 3 3 3 2 2" xfId="20953"/>
    <cellStyle name="20% - Accent2 6 3 3 3 3" xfId="20952"/>
    <cellStyle name="20% - Accent2 6 3 3 4" xfId="2978"/>
    <cellStyle name="20% - Accent2 6 3 3 4 2" xfId="20954"/>
    <cellStyle name="20% - Accent2 6 3 3 5" xfId="20947"/>
    <cellStyle name="20% - Accent2 6 3 4" xfId="2979"/>
    <cellStyle name="20% - Accent2 6 3 4 2" xfId="2980"/>
    <cellStyle name="20% - Accent2 6 3 4 2 2" xfId="2981"/>
    <cellStyle name="20% - Accent2 6 3 4 2 2 2" xfId="2982"/>
    <cellStyle name="20% - Accent2 6 3 4 2 2 2 2" xfId="20958"/>
    <cellStyle name="20% - Accent2 6 3 4 2 2 3" xfId="20957"/>
    <cellStyle name="20% - Accent2 6 3 4 2 3" xfId="2983"/>
    <cellStyle name="20% - Accent2 6 3 4 2 3 2" xfId="20959"/>
    <cellStyle name="20% - Accent2 6 3 4 2 4" xfId="20956"/>
    <cellStyle name="20% - Accent2 6 3 4 3" xfId="2984"/>
    <cellStyle name="20% - Accent2 6 3 4 3 2" xfId="2985"/>
    <cellStyle name="20% - Accent2 6 3 4 3 2 2" xfId="20961"/>
    <cellStyle name="20% - Accent2 6 3 4 3 3" xfId="20960"/>
    <cellStyle name="20% - Accent2 6 3 4 4" xfId="2986"/>
    <cellStyle name="20% - Accent2 6 3 4 4 2" xfId="20962"/>
    <cellStyle name="20% - Accent2 6 3 4 5" xfId="20955"/>
    <cellStyle name="20% - Accent2 6 3 5" xfId="2987"/>
    <cellStyle name="20% - Accent2 6 3 5 2" xfId="2988"/>
    <cellStyle name="20% - Accent2 6 3 5 2 2" xfId="2989"/>
    <cellStyle name="20% - Accent2 6 3 5 2 2 2" xfId="20965"/>
    <cellStyle name="20% - Accent2 6 3 5 2 3" xfId="20964"/>
    <cellStyle name="20% - Accent2 6 3 5 3" xfId="2990"/>
    <cellStyle name="20% - Accent2 6 3 5 3 2" xfId="20966"/>
    <cellStyle name="20% - Accent2 6 3 5 4" xfId="20963"/>
    <cellStyle name="20% - Accent2 6 3 6" xfId="2991"/>
    <cellStyle name="20% - Accent2 6 3 6 2" xfId="2992"/>
    <cellStyle name="20% - Accent2 6 3 6 2 2" xfId="20968"/>
    <cellStyle name="20% - Accent2 6 3 6 3" xfId="20967"/>
    <cellStyle name="20% - Accent2 6 3 7" xfId="2993"/>
    <cellStyle name="20% - Accent2 6 3 7 2" xfId="20969"/>
    <cellStyle name="20% - Accent2 6 3 8" xfId="20922"/>
    <cellStyle name="20% - Accent2 6 4" xfId="2994"/>
    <cellStyle name="20% - Accent2 6 4 2" xfId="2995"/>
    <cellStyle name="20% - Accent2 6 4 2 2" xfId="2996"/>
    <cellStyle name="20% - Accent2 6 4 2 2 2" xfId="2997"/>
    <cellStyle name="20% - Accent2 6 4 2 2 2 2" xfId="2998"/>
    <cellStyle name="20% - Accent2 6 4 2 2 2 2 2" xfId="20974"/>
    <cellStyle name="20% - Accent2 6 4 2 2 2 3" xfId="20973"/>
    <cellStyle name="20% - Accent2 6 4 2 2 3" xfId="2999"/>
    <cellStyle name="20% - Accent2 6 4 2 2 3 2" xfId="20975"/>
    <cellStyle name="20% - Accent2 6 4 2 2 4" xfId="20972"/>
    <cellStyle name="20% - Accent2 6 4 2 3" xfId="3000"/>
    <cellStyle name="20% - Accent2 6 4 2 3 2" xfId="3001"/>
    <cellStyle name="20% - Accent2 6 4 2 3 2 2" xfId="20977"/>
    <cellStyle name="20% - Accent2 6 4 2 3 3" xfId="20976"/>
    <cellStyle name="20% - Accent2 6 4 2 4" xfId="3002"/>
    <cellStyle name="20% - Accent2 6 4 2 4 2" xfId="20978"/>
    <cellStyle name="20% - Accent2 6 4 2 5" xfId="20971"/>
    <cellStyle name="20% - Accent2 6 4 3" xfId="3003"/>
    <cellStyle name="20% - Accent2 6 4 3 2" xfId="3004"/>
    <cellStyle name="20% - Accent2 6 4 3 2 2" xfId="3005"/>
    <cellStyle name="20% - Accent2 6 4 3 2 2 2" xfId="3006"/>
    <cellStyle name="20% - Accent2 6 4 3 2 2 2 2" xfId="20982"/>
    <cellStyle name="20% - Accent2 6 4 3 2 2 3" xfId="20981"/>
    <cellStyle name="20% - Accent2 6 4 3 2 3" xfId="3007"/>
    <cellStyle name="20% - Accent2 6 4 3 2 3 2" xfId="20983"/>
    <cellStyle name="20% - Accent2 6 4 3 2 4" xfId="20980"/>
    <cellStyle name="20% - Accent2 6 4 3 3" xfId="3008"/>
    <cellStyle name="20% - Accent2 6 4 3 3 2" xfId="3009"/>
    <cellStyle name="20% - Accent2 6 4 3 3 2 2" xfId="20985"/>
    <cellStyle name="20% - Accent2 6 4 3 3 3" xfId="20984"/>
    <cellStyle name="20% - Accent2 6 4 3 4" xfId="3010"/>
    <cellStyle name="20% - Accent2 6 4 3 4 2" xfId="20986"/>
    <cellStyle name="20% - Accent2 6 4 3 5" xfId="20979"/>
    <cellStyle name="20% - Accent2 6 4 4" xfId="3011"/>
    <cellStyle name="20% - Accent2 6 4 4 2" xfId="3012"/>
    <cellStyle name="20% - Accent2 6 4 4 2 2" xfId="3013"/>
    <cellStyle name="20% - Accent2 6 4 4 2 2 2" xfId="20989"/>
    <cellStyle name="20% - Accent2 6 4 4 2 3" xfId="20988"/>
    <cellStyle name="20% - Accent2 6 4 4 3" xfId="3014"/>
    <cellStyle name="20% - Accent2 6 4 4 3 2" xfId="20990"/>
    <cellStyle name="20% - Accent2 6 4 4 4" xfId="20987"/>
    <cellStyle name="20% - Accent2 6 4 5" xfId="3015"/>
    <cellStyle name="20% - Accent2 6 4 5 2" xfId="3016"/>
    <cellStyle name="20% - Accent2 6 4 5 2 2" xfId="20992"/>
    <cellStyle name="20% - Accent2 6 4 5 3" xfId="20991"/>
    <cellStyle name="20% - Accent2 6 4 6" xfId="3017"/>
    <cellStyle name="20% - Accent2 6 4 6 2" xfId="20993"/>
    <cellStyle name="20% - Accent2 6 4 7" xfId="20970"/>
    <cellStyle name="20% - Accent2 6 5" xfId="3018"/>
    <cellStyle name="20% - Accent2 6 5 2" xfId="3019"/>
    <cellStyle name="20% - Accent2 6 5 2 2" xfId="3020"/>
    <cellStyle name="20% - Accent2 6 5 2 2 2" xfId="3021"/>
    <cellStyle name="20% - Accent2 6 5 2 2 2 2" xfId="20997"/>
    <cellStyle name="20% - Accent2 6 5 2 2 3" xfId="20996"/>
    <cellStyle name="20% - Accent2 6 5 2 3" xfId="3022"/>
    <cellStyle name="20% - Accent2 6 5 2 3 2" xfId="20998"/>
    <cellStyle name="20% - Accent2 6 5 2 4" xfId="20995"/>
    <cellStyle name="20% - Accent2 6 5 3" xfId="3023"/>
    <cellStyle name="20% - Accent2 6 5 3 2" xfId="3024"/>
    <cellStyle name="20% - Accent2 6 5 3 2 2" xfId="21000"/>
    <cellStyle name="20% - Accent2 6 5 3 3" xfId="20999"/>
    <cellStyle name="20% - Accent2 6 5 4" xfId="3025"/>
    <cellStyle name="20% - Accent2 6 5 4 2" xfId="21001"/>
    <cellStyle name="20% - Accent2 6 5 5" xfId="20994"/>
    <cellStyle name="20% - Accent2 6 6" xfId="3026"/>
    <cellStyle name="20% - Accent2 6 6 2" xfId="3027"/>
    <cellStyle name="20% - Accent2 6 6 2 2" xfId="3028"/>
    <cellStyle name="20% - Accent2 6 6 2 2 2" xfId="3029"/>
    <cellStyle name="20% - Accent2 6 6 2 2 2 2" xfId="21005"/>
    <cellStyle name="20% - Accent2 6 6 2 2 3" xfId="21004"/>
    <cellStyle name="20% - Accent2 6 6 2 3" xfId="3030"/>
    <cellStyle name="20% - Accent2 6 6 2 3 2" xfId="21006"/>
    <cellStyle name="20% - Accent2 6 6 2 4" xfId="21003"/>
    <cellStyle name="20% - Accent2 6 6 3" xfId="3031"/>
    <cellStyle name="20% - Accent2 6 6 3 2" xfId="3032"/>
    <cellStyle name="20% - Accent2 6 6 3 2 2" xfId="21008"/>
    <cellStyle name="20% - Accent2 6 6 3 3" xfId="21007"/>
    <cellStyle name="20% - Accent2 6 6 4" xfId="3033"/>
    <cellStyle name="20% - Accent2 6 6 4 2" xfId="21009"/>
    <cellStyle name="20% - Accent2 6 6 5" xfId="21002"/>
    <cellStyle name="20% - Accent2 6 7" xfId="3034"/>
    <cellStyle name="20% - Accent2 6 7 2" xfId="3035"/>
    <cellStyle name="20% - Accent2 6 7 2 2" xfId="3036"/>
    <cellStyle name="20% - Accent2 6 7 2 2 2" xfId="21012"/>
    <cellStyle name="20% - Accent2 6 7 2 3" xfId="21011"/>
    <cellStyle name="20% - Accent2 6 7 3" xfId="3037"/>
    <cellStyle name="20% - Accent2 6 7 3 2" xfId="21013"/>
    <cellStyle name="20% - Accent2 6 7 4" xfId="21010"/>
    <cellStyle name="20% - Accent2 6 8" xfId="3038"/>
    <cellStyle name="20% - Accent2 6 8 2" xfId="3039"/>
    <cellStyle name="20% - Accent2 6 8 2 2" xfId="21015"/>
    <cellStyle name="20% - Accent2 6 8 3" xfId="21014"/>
    <cellStyle name="20% - Accent2 6 9" xfId="3040"/>
    <cellStyle name="20% - Accent2 6 9 2" xfId="21016"/>
    <cellStyle name="20% - Accent2 7" xfId="3041"/>
    <cellStyle name="20% - Accent2 7 10" xfId="21017"/>
    <cellStyle name="20% - Accent2 7 2" xfId="3042"/>
    <cellStyle name="20% - Accent2 7 2 2" xfId="3043"/>
    <cellStyle name="20% - Accent2 7 2 2 2" xfId="3044"/>
    <cellStyle name="20% - Accent2 7 2 2 2 2" xfId="3045"/>
    <cellStyle name="20% - Accent2 7 2 2 2 2 2" xfId="3046"/>
    <cellStyle name="20% - Accent2 7 2 2 2 2 2 2" xfId="3047"/>
    <cellStyle name="20% - Accent2 7 2 2 2 2 2 2 2" xfId="3048"/>
    <cellStyle name="20% - Accent2 7 2 2 2 2 2 2 2 2" xfId="21024"/>
    <cellStyle name="20% - Accent2 7 2 2 2 2 2 2 3" xfId="21023"/>
    <cellStyle name="20% - Accent2 7 2 2 2 2 2 3" xfId="3049"/>
    <cellStyle name="20% - Accent2 7 2 2 2 2 2 3 2" xfId="21025"/>
    <cellStyle name="20% - Accent2 7 2 2 2 2 2 4" xfId="21022"/>
    <cellStyle name="20% - Accent2 7 2 2 2 2 3" xfId="3050"/>
    <cellStyle name="20% - Accent2 7 2 2 2 2 3 2" xfId="3051"/>
    <cellStyle name="20% - Accent2 7 2 2 2 2 3 2 2" xfId="21027"/>
    <cellStyle name="20% - Accent2 7 2 2 2 2 3 3" xfId="21026"/>
    <cellStyle name="20% - Accent2 7 2 2 2 2 4" xfId="3052"/>
    <cellStyle name="20% - Accent2 7 2 2 2 2 4 2" xfId="21028"/>
    <cellStyle name="20% - Accent2 7 2 2 2 2 5" xfId="21021"/>
    <cellStyle name="20% - Accent2 7 2 2 2 3" xfId="3053"/>
    <cellStyle name="20% - Accent2 7 2 2 2 3 2" xfId="3054"/>
    <cellStyle name="20% - Accent2 7 2 2 2 3 2 2" xfId="3055"/>
    <cellStyle name="20% - Accent2 7 2 2 2 3 2 2 2" xfId="3056"/>
    <cellStyle name="20% - Accent2 7 2 2 2 3 2 2 2 2" xfId="21032"/>
    <cellStyle name="20% - Accent2 7 2 2 2 3 2 2 3" xfId="21031"/>
    <cellStyle name="20% - Accent2 7 2 2 2 3 2 3" xfId="3057"/>
    <cellStyle name="20% - Accent2 7 2 2 2 3 2 3 2" xfId="21033"/>
    <cellStyle name="20% - Accent2 7 2 2 2 3 2 4" xfId="21030"/>
    <cellStyle name="20% - Accent2 7 2 2 2 3 3" xfId="3058"/>
    <cellStyle name="20% - Accent2 7 2 2 2 3 3 2" xfId="3059"/>
    <cellStyle name="20% - Accent2 7 2 2 2 3 3 2 2" xfId="21035"/>
    <cellStyle name="20% - Accent2 7 2 2 2 3 3 3" xfId="21034"/>
    <cellStyle name="20% - Accent2 7 2 2 2 3 4" xfId="3060"/>
    <cellStyle name="20% - Accent2 7 2 2 2 3 4 2" xfId="21036"/>
    <cellStyle name="20% - Accent2 7 2 2 2 3 5" xfId="21029"/>
    <cellStyle name="20% - Accent2 7 2 2 2 4" xfId="3061"/>
    <cellStyle name="20% - Accent2 7 2 2 2 4 2" xfId="3062"/>
    <cellStyle name="20% - Accent2 7 2 2 2 4 2 2" xfId="3063"/>
    <cellStyle name="20% - Accent2 7 2 2 2 4 2 2 2" xfId="21039"/>
    <cellStyle name="20% - Accent2 7 2 2 2 4 2 3" xfId="21038"/>
    <cellStyle name="20% - Accent2 7 2 2 2 4 3" xfId="3064"/>
    <cellStyle name="20% - Accent2 7 2 2 2 4 3 2" xfId="21040"/>
    <cellStyle name="20% - Accent2 7 2 2 2 4 4" xfId="21037"/>
    <cellStyle name="20% - Accent2 7 2 2 2 5" xfId="3065"/>
    <cellStyle name="20% - Accent2 7 2 2 2 5 2" xfId="3066"/>
    <cellStyle name="20% - Accent2 7 2 2 2 5 2 2" xfId="21042"/>
    <cellStyle name="20% - Accent2 7 2 2 2 5 3" xfId="21041"/>
    <cellStyle name="20% - Accent2 7 2 2 2 6" xfId="3067"/>
    <cellStyle name="20% - Accent2 7 2 2 2 6 2" xfId="21043"/>
    <cellStyle name="20% - Accent2 7 2 2 2 7" xfId="21020"/>
    <cellStyle name="20% - Accent2 7 2 2 3" xfId="3068"/>
    <cellStyle name="20% - Accent2 7 2 2 3 2" xfId="3069"/>
    <cellStyle name="20% - Accent2 7 2 2 3 2 2" xfId="3070"/>
    <cellStyle name="20% - Accent2 7 2 2 3 2 2 2" xfId="3071"/>
    <cellStyle name="20% - Accent2 7 2 2 3 2 2 2 2" xfId="21047"/>
    <cellStyle name="20% - Accent2 7 2 2 3 2 2 3" xfId="21046"/>
    <cellStyle name="20% - Accent2 7 2 2 3 2 3" xfId="3072"/>
    <cellStyle name="20% - Accent2 7 2 2 3 2 3 2" xfId="21048"/>
    <cellStyle name="20% - Accent2 7 2 2 3 2 4" xfId="21045"/>
    <cellStyle name="20% - Accent2 7 2 2 3 3" xfId="3073"/>
    <cellStyle name="20% - Accent2 7 2 2 3 3 2" xfId="3074"/>
    <cellStyle name="20% - Accent2 7 2 2 3 3 2 2" xfId="21050"/>
    <cellStyle name="20% - Accent2 7 2 2 3 3 3" xfId="21049"/>
    <cellStyle name="20% - Accent2 7 2 2 3 4" xfId="3075"/>
    <cellStyle name="20% - Accent2 7 2 2 3 4 2" xfId="21051"/>
    <cellStyle name="20% - Accent2 7 2 2 3 5" xfId="21044"/>
    <cellStyle name="20% - Accent2 7 2 2 4" xfId="3076"/>
    <cellStyle name="20% - Accent2 7 2 2 4 2" xfId="3077"/>
    <cellStyle name="20% - Accent2 7 2 2 4 2 2" xfId="3078"/>
    <cellStyle name="20% - Accent2 7 2 2 4 2 2 2" xfId="3079"/>
    <cellStyle name="20% - Accent2 7 2 2 4 2 2 2 2" xfId="21055"/>
    <cellStyle name="20% - Accent2 7 2 2 4 2 2 3" xfId="21054"/>
    <cellStyle name="20% - Accent2 7 2 2 4 2 3" xfId="3080"/>
    <cellStyle name="20% - Accent2 7 2 2 4 2 3 2" xfId="21056"/>
    <cellStyle name="20% - Accent2 7 2 2 4 2 4" xfId="21053"/>
    <cellStyle name="20% - Accent2 7 2 2 4 3" xfId="3081"/>
    <cellStyle name="20% - Accent2 7 2 2 4 3 2" xfId="3082"/>
    <cellStyle name="20% - Accent2 7 2 2 4 3 2 2" xfId="21058"/>
    <cellStyle name="20% - Accent2 7 2 2 4 3 3" xfId="21057"/>
    <cellStyle name="20% - Accent2 7 2 2 4 4" xfId="3083"/>
    <cellStyle name="20% - Accent2 7 2 2 4 4 2" xfId="21059"/>
    <cellStyle name="20% - Accent2 7 2 2 4 5" xfId="21052"/>
    <cellStyle name="20% - Accent2 7 2 2 5" xfId="3084"/>
    <cellStyle name="20% - Accent2 7 2 2 5 2" xfId="3085"/>
    <cellStyle name="20% - Accent2 7 2 2 5 2 2" xfId="3086"/>
    <cellStyle name="20% - Accent2 7 2 2 5 2 2 2" xfId="21062"/>
    <cellStyle name="20% - Accent2 7 2 2 5 2 3" xfId="21061"/>
    <cellStyle name="20% - Accent2 7 2 2 5 3" xfId="3087"/>
    <cellStyle name="20% - Accent2 7 2 2 5 3 2" xfId="21063"/>
    <cellStyle name="20% - Accent2 7 2 2 5 4" xfId="21060"/>
    <cellStyle name="20% - Accent2 7 2 2 6" xfId="3088"/>
    <cellStyle name="20% - Accent2 7 2 2 6 2" xfId="3089"/>
    <cellStyle name="20% - Accent2 7 2 2 6 2 2" xfId="21065"/>
    <cellStyle name="20% - Accent2 7 2 2 6 3" xfId="21064"/>
    <cellStyle name="20% - Accent2 7 2 2 7" xfId="3090"/>
    <cellStyle name="20% - Accent2 7 2 2 7 2" xfId="21066"/>
    <cellStyle name="20% - Accent2 7 2 2 8" xfId="21019"/>
    <cellStyle name="20% - Accent2 7 2 3" xfId="3091"/>
    <cellStyle name="20% - Accent2 7 2 3 2" xfId="3092"/>
    <cellStyle name="20% - Accent2 7 2 3 2 2" xfId="3093"/>
    <cellStyle name="20% - Accent2 7 2 3 2 2 2" xfId="3094"/>
    <cellStyle name="20% - Accent2 7 2 3 2 2 2 2" xfId="3095"/>
    <cellStyle name="20% - Accent2 7 2 3 2 2 2 2 2" xfId="21071"/>
    <cellStyle name="20% - Accent2 7 2 3 2 2 2 3" xfId="21070"/>
    <cellStyle name="20% - Accent2 7 2 3 2 2 3" xfId="3096"/>
    <cellStyle name="20% - Accent2 7 2 3 2 2 3 2" xfId="21072"/>
    <cellStyle name="20% - Accent2 7 2 3 2 2 4" xfId="21069"/>
    <cellStyle name="20% - Accent2 7 2 3 2 3" xfId="3097"/>
    <cellStyle name="20% - Accent2 7 2 3 2 3 2" xfId="3098"/>
    <cellStyle name="20% - Accent2 7 2 3 2 3 2 2" xfId="21074"/>
    <cellStyle name="20% - Accent2 7 2 3 2 3 3" xfId="21073"/>
    <cellStyle name="20% - Accent2 7 2 3 2 4" xfId="3099"/>
    <cellStyle name="20% - Accent2 7 2 3 2 4 2" xfId="21075"/>
    <cellStyle name="20% - Accent2 7 2 3 2 5" xfId="21068"/>
    <cellStyle name="20% - Accent2 7 2 3 3" xfId="3100"/>
    <cellStyle name="20% - Accent2 7 2 3 3 2" xfId="3101"/>
    <cellStyle name="20% - Accent2 7 2 3 3 2 2" xfId="3102"/>
    <cellStyle name="20% - Accent2 7 2 3 3 2 2 2" xfId="3103"/>
    <cellStyle name="20% - Accent2 7 2 3 3 2 2 2 2" xfId="21079"/>
    <cellStyle name="20% - Accent2 7 2 3 3 2 2 3" xfId="21078"/>
    <cellStyle name="20% - Accent2 7 2 3 3 2 3" xfId="3104"/>
    <cellStyle name="20% - Accent2 7 2 3 3 2 3 2" xfId="21080"/>
    <cellStyle name="20% - Accent2 7 2 3 3 2 4" xfId="21077"/>
    <cellStyle name="20% - Accent2 7 2 3 3 3" xfId="3105"/>
    <cellStyle name="20% - Accent2 7 2 3 3 3 2" xfId="3106"/>
    <cellStyle name="20% - Accent2 7 2 3 3 3 2 2" xfId="21082"/>
    <cellStyle name="20% - Accent2 7 2 3 3 3 3" xfId="21081"/>
    <cellStyle name="20% - Accent2 7 2 3 3 4" xfId="3107"/>
    <cellStyle name="20% - Accent2 7 2 3 3 4 2" xfId="21083"/>
    <cellStyle name="20% - Accent2 7 2 3 3 5" xfId="21076"/>
    <cellStyle name="20% - Accent2 7 2 3 4" xfId="3108"/>
    <cellStyle name="20% - Accent2 7 2 3 4 2" xfId="3109"/>
    <cellStyle name="20% - Accent2 7 2 3 4 2 2" xfId="3110"/>
    <cellStyle name="20% - Accent2 7 2 3 4 2 2 2" xfId="21086"/>
    <cellStyle name="20% - Accent2 7 2 3 4 2 3" xfId="21085"/>
    <cellStyle name="20% - Accent2 7 2 3 4 3" xfId="3111"/>
    <cellStyle name="20% - Accent2 7 2 3 4 3 2" xfId="21087"/>
    <cellStyle name="20% - Accent2 7 2 3 4 4" xfId="21084"/>
    <cellStyle name="20% - Accent2 7 2 3 5" xfId="3112"/>
    <cellStyle name="20% - Accent2 7 2 3 5 2" xfId="3113"/>
    <cellStyle name="20% - Accent2 7 2 3 5 2 2" xfId="21089"/>
    <cellStyle name="20% - Accent2 7 2 3 5 3" xfId="21088"/>
    <cellStyle name="20% - Accent2 7 2 3 6" xfId="3114"/>
    <cellStyle name="20% - Accent2 7 2 3 6 2" xfId="21090"/>
    <cellStyle name="20% - Accent2 7 2 3 7" xfId="21067"/>
    <cellStyle name="20% - Accent2 7 2 4" xfId="3115"/>
    <cellStyle name="20% - Accent2 7 2 4 2" xfId="3116"/>
    <cellStyle name="20% - Accent2 7 2 4 2 2" xfId="3117"/>
    <cellStyle name="20% - Accent2 7 2 4 2 2 2" xfId="3118"/>
    <cellStyle name="20% - Accent2 7 2 4 2 2 2 2" xfId="21094"/>
    <cellStyle name="20% - Accent2 7 2 4 2 2 3" xfId="21093"/>
    <cellStyle name="20% - Accent2 7 2 4 2 3" xfId="3119"/>
    <cellStyle name="20% - Accent2 7 2 4 2 3 2" xfId="21095"/>
    <cellStyle name="20% - Accent2 7 2 4 2 4" xfId="21092"/>
    <cellStyle name="20% - Accent2 7 2 4 3" xfId="3120"/>
    <cellStyle name="20% - Accent2 7 2 4 3 2" xfId="3121"/>
    <cellStyle name="20% - Accent2 7 2 4 3 2 2" xfId="21097"/>
    <cellStyle name="20% - Accent2 7 2 4 3 3" xfId="21096"/>
    <cellStyle name="20% - Accent2 7 2 4 4" xfId="3122"/>
    <cellStyle name="20% - Accent2 7 2 4 4 2" xfId="21098"/>
    <cellStyle name="20% - Accent2 7 2 4 5" xfId="21091"/>
    <cellStyle name="20% - Accent2 7 2 5" xfId="3123"/>
    <cellStyle name="20% - Accent2 7 2 5 2" xfId="3124"/>
    <cellStyle name="20% - Accent2 7 2 5 2 2" xfId="3125"/>
    <cellStyle name="20% - Accent2 7 2 5 2 2 2" xfId="3126"/>
    <cellStyle name="20% - Accent2 7 2 5 2 2 2 2" xfId="21102"/>
    <cellStyle name="20% - Accent2 7 2 5 2 2 3" xfId="21101"/>
    <cellStyle name="20% - Accent2 7 2 5 2 3" xfId="3127"/>
    <cellStyle name="20% - Accent2 7 2 5 2 3 2" xfId="21103"/>
    <cellStyle name="20% - Accent2 7 2 5 2 4" xfId="21100"/>
    <cellStyle name="20% - Accent2 7 2 5 3" xfId="3128"/>
    <cellStyle name="20% - Accent2 7 2 5 3 2" xfId="3129"/>
    <cellStyle name="20% - Accent2 7 2 5 3 2 2" xfId="21105"/>
    <cellStyle name="20% - Accent2 7 2 5 3 3" xfId="21104"/>
    <cellStyle name="20% - Accent2 7 2 5 4" xfId="3130"/>
    <cellStyle name="20% - Accent2 7 2 5 4 2" xfId="21106"/>
    <cellStyle name="20% - Accent2 7 2 5 5" xfId="21099"/>
    <cellStyle name="20% - Accent2 7 2 6" xfId="3131"/>
    <cellStyle name="20% - Accent2 7 2 6 2" xfId="3132"/>
    <cellStyle name="20% - Accent2 7 2 6 2 2" xfId="3133"/>
    <cellStyle name="20% - Accent2 7 2 6 2 2 2" xfId="21109"/>
    <cellStyle name="20% - Accent2 7 2 6 2 3" xfId="21108"/>
    <cellStyle name="20% - Accent2 7 2 6 3" xfId="3134"/>
    <cellStyle name="20% - Accent2 7 2 6 3 2" xfId="21110"/>
    <cellStyle name="20% - Accent2 7 2 6 4" xfId="21107"/>
    <cellStyle name="20% - Accent2 7 2 7" xfId="3135"/>
    <cellStyle name="20% - Accent2 7 2 7 2" xfId="3136"/>
    <cellStyle name="20% - Accent2 7 2 7 2 2" xfId="21112"/>
    <cellStyle name="20% - Accent2 7 2 7 3" xfId="21111"/>
    <cellStyle name="20% - Accent2 7 2 8" xfId="3137"/>
    <cellStyle name="20% - Accent2 7 2 8 2" xfId="21113"/>
    <cellStyle name="20% - Accent2 7 2 9" xfId="21018"/>
    <cellStyle name="20% - Accent2 7 3" xfId="3138"/>
    <cellStyle name="20% - Accent2 7 3 2" xfId="3139"/>
    <cellStyle name="20% - Accent2 7 3 2 2" xfId="3140"/>
    <cellStyle name="20% - Accent2 7 3 2 2 2" xfId="3141"/>
    <cellStyle name="20% - Accent2 7 3 2 2 2 2" xfId="3142"/>
    <cellStyle name="20% - Accent2 7 3 2 2 2 2 2" xfId="3143"/>
    <cellStyle name="20% - Accent2 7 3 2 2 2 2 2 2" xfId="21119"/>
    <cellStyle name="20% - Accent2 7 3 2 2 2 2 3" xfId="21118"/>
    <cellStyle name="20% - Accent2 7 3 2 2 2 3" xfId="3144"/>
    <cellStyle name="20% - Accent2 7 3 2 2 2 3 2" xfId="21120"/>
    <cellStyle name="20% - Accent2 7 3 2 2 2 4" xfId="21117"/>
    <cellStyle name="20% - Accent2 7 3 2 2 3" xfId="3145"/>
    <cellStyle name="20% - Accent2 7 3 2 2 3 2" xfId="3146"/>
    <cellStyle name="20% - Accent2 7 3 2 2 3 2 2" xfId="21122"/>
    <cellStyle name="20% - Accent2 7 3 2 2 3 3" xfId="21121"/>
    <cellStyle name="20% - Accent2 7 3 2 2 4" xfId="3147"/>
    <cellStyle name="20% - Accent2 7 3 2 2 4 2" xfId="21123"/>
    <cellStyle name="20% - Accent2 7 3 2 2 5" xfId="21116"/>
    <cellStyle name="20% - Accent2 7 3 2 3" xfId="3148"/>
    <cellStyle name="20% - Accent2 7 3 2 3 2" xfId="3149"/>
    <cellStyle name="20% - Accent2 7 3 2 3 2 2" xfId="3150"/>
    <cellStyle name="20% - Accent2 7 3 2 3 2 2 2" xfId="3151"/>
    <cellStyle name="20% - Accent2 7 3 2 3 2 2 2 2" xfId="21127"/>
    <cellStyle name="20% - Accent2 7 3 2 3 2 2 3" xfId="21126"/>
    <cellStyle name="20% - Accent2 7 3 2 3 2 3" xfId="3152"/>
    <cellStyle name="20% - Accent2 7 3 2 3 2 3 2" xfId="21128"/>
    <cellStyle name="20% - Accent2 7 3 2 3 2 4" xfId="21125"/>
    <cellStyle name="20% - Accent2 7 3 2 3 3" xfId="3153"/>
    <cellStyle name="20% - Accent2 7 3 2 3 3 2" xfId="3154"/>
    <cellStyle name="20% - Accent2 7 3 2 3 3 2 2" xfId="21130"/>
    <cellStyle name="20% - Accent2 7 3 2 3 3 3" xfId="21129"/>
    <cellStyle name="20% - Accent2 7 3 2 3 4" xfId="3155"/>
    <cellStyle name="20% - Accent2 7 3 2 3 4 2" xfId="21131"/>
    <cellStyle name="20% - Accent2 7 3 2 3 5" xfId="21124"/>
    <cellStyle name="20% - Accent2 7 3 2 4" xfId="3156"/>
    <cellStyle name="20% - Accent2 7 3 2 4 2" xfId="3157"/>
    <cellStyle name="20% - Accent2 7 3 2 4 2 2" xfId="3158"/>
    <cellStyle name="20% - Accent2 7 3 2 4 2 2 2" xfId="21134"/>
    <cellStyle name="20% - Accent2 7 3 2 4 2 3" xfId="21133"/>
    <cellStyle name="20% - Accent2 7 3 2 4 3" xfId="3159"/>
    <cellStyle name="20% - Accent2 7 3 2 4 3 2" xfId="21135"/>
    <cellStyle name="20% - Accent2 7 3 2 4 4" xfId="21132"/>
    <cellStyle name="20% - Accent2 7 3 2 5" xfId="3160"/>
    <cellStyle name="20% - Accent2 7 3 2 5 2" xfId="3161"/>
    <cellStyle name="20% - Accent2 7 3 2 5 2 2" xfId="21137"/>
    <cellStyle name="20% - Accent2 7 3 2 5 3" xfId="21136"/>
    <cellStyle name="20% - Accent2 7 3 2 6" xfId="3162"/>
    <cellStyle name="20% - Accent2 7 3 2 6 2" xfId="21138"/>
    <cellStyle name="20% - Accent2 7 3 2 7" xfId="21115"/>
    <cellStyle name="20% - Accent2 7 3 3" xfId="3163"/>
    <cellStyle name="20% - Accent2 7 3 3 2" xfId="3164"/>
    <cellStyle name="20% - Accent2 7 3 3 2 2" xfId="3165"/>
    <cellStyle name="20% - Accent2 7 3 3 2 2 2" xfId="3166"/>
    <cellStyle name="20% - Accent2 7 3 3 2 2 2 2" xfId="21142"/>
    <cellStyle name="20% - Accent2 7 3 3 2 2 3" xfId="21141"/>
    <cellStyle name="20% - Accent2 7 3 3 2 3" xfId="3167"/>
    <cellStyle name="20% - Accent2 7 3 3 2 3 2" xfId="21143"/>
    <cellStyle name="20% - Accent2 7 3 3 2 4" xfId="21140"/>
    <cellStyle name="20% - Accent2 7 3 3 3" xfId="3168"/>
    <cellStyle name="20% - Accent2 7 3 3 3 2" xfId="3169"/>
    <cellStyle name="20% - Accent2 7 3 3 3 2 2" xfId="21145"/>
    <cellStyle name="20% - Accent2 7 3 3 3 3" xfId="21144"/>
    <cellStyle name="20% - Accent2 7 3 3 4" xfId="3170"/>
    <cellStyle name="20% - Accent2 7 3 3 4 2" xfId="21146"/>
    <cellStyle name="20% - Accent2 7 3 3 5" xfId="21139"/>
    <cellStyle name="20% - Accent2 7 3 4" xfId="3171"/>
    <cellStyle name="20% - Accent2 7 3 4 2" xfId="3172"/>
    <cellStyle name="20% - Accent2 7 3 4 2 2" xfId="3173"/>
    <cellStyle name="20% - Accent2 7 3 4 2 2 2" xfId="3174"/>
    <cellStyle name="20% - Accent2 7 3 4 2 2 2 2" xfId="21150"/>
    <cellStyle name="20% - Accent2 7 3 4 2 2 3" xfId="21149"/>
    <cellStyle name="20% - Accent2 7 3 4 2 3" xfId="3175"/>
    <cellStyle name="20% - Accent2 7 3 4 2 3 2" xfId="21151"/>
    <cellStyle name="20% - Accent2 7 3 4 2 4" xfId="21148"/>
    <cellStyle name="20% - Accent2 7 3 4 3" xfId="3176"/>
    <cellStyle name="20% - Accent2 7 3 4 3 2" xfId="3177"/>
    <cellStyle name="20% - Accent2 7 3 4 3 2 2" xfId="21153"/>
    <cellStyle name="20% - Accent2 7 3 4 3 3" xfId="21152"/>
    <cellStyle name="20% - Accent2 7 3 4 4" xfId="3178"/>
    <cellStyle name="20% - Accent2 7 3 4 4 2" xfId="21154"/>
    <cellStyle name="20% - Accent2 7 3 4 5" xfId="21147"/>
    <cellStyle name="20% - Accent2 7 3 5" xfId="3179"/>
    <cellStyle name="20% - Accent2 7 3 5 2" xfId="3180"/>
    <cellStyle name="20% - Accent2 7 3 5 2 2" xfId="3181"/>
    <cellStyle name="20% - Accent2 7 3 5 2 2 2" xfId="21157"/>
    <cellStyle name="20% - Accent2 7 3 5 2 3" xfId="21156"/>
    <cellStyle name="20% - Accent2 7 3 5 3" xfId="3182"/>
    <cellStyle name="20% - Accent2 7 3 5 3 2" xfId="21158"/>
    <cellStyle name="20% - Accent2 7 3 5 4" xfId="21155"/>
    <cellStyle name="20% - Accent2 7 3 6" xfId="3183"/>
    <cellStyle name="20% - Accent2 7 3 6 2" xfId="3184"/>
    <cellStyle name="20% - Accent2 7 3 6 2 2" xfId="21160"/>
    <cellStyle name="20% - Accent2 7 3 6 3" xfId="21159"/>
    <cellStyle name="20% - Accent2 7 3 7" xfId="3185"/>
    <cellStyle name="20% - Accent2 7 3 7 2" xfId="21161"/>
    <cellStyle name="20% - Accent2 7 3 8" xfId="21114"/>
    <cellStyle name="20% - Accent2 7 4" xfId="3186"/>
    <cellStyle name="20% - Accent2 7 4 2" xfId="3187"/>
    <cellStyle name="20% - Accent2 7 4 2 2" xfId="3188"/>
    <cellStyle name="20% - Accent2 7 4 2 2 2" xfId="3189"/>
    <cellStyle name="20% - Accent2 7 4 2 2 2 2" xfId="3190"/>
    <cellStyle name="20% - Accent2 7 4 2 2 2 2 2" xfId="21166"/>
    <cellStyle name="20% - Accent2 7 4 2 2 2 3" xfId="21165"/>
    <cellStyle name="20% - Accent2 7 4 2 2 3" xfId="3191"/>
    <cellStyle name="20% - Accent2 7 4 2 2 3 2" xfId="21167"/>
    <cellStyle name="20% - Accent2 7 4 2 2 4" xfId="21164"/>
    <cellStyle name="20% - Accent2 7 4 2 3" xfId="3192"/>
    <cellStyle name="20% - Accent2 7 4 2 3 2" xfId="3193"/>
    <cellStyle name="20% - Accent2 7 4 2 3 2 2" xfId="21169"/>
    <cellStyle name="20% - Accent2 7 4 2 3 3" xfId="21168"/>
    <cellStyle name="20% - Accent2 7 4 2 4" xfId="3194"/>
    <cellStyle name="20% - Accent2 7 4 2 4 2" xfId="21170"/>
    <cellStyle name="20% - Accent2 7 4 2 5" xfId="21163"/>
    <cellStyle name="20% - Accent2 7 4 3" xfId="3195"/>
    <cellStyle name="20% - Accent2 7 4 3 2" xfId="3196"/>
    <cellStyle name="20% - Accent2 7 4 3 2 2" xfId="3197"/>
    <cellStyle name="20% - Accent2 7 4 3 2 2 2" xfId="3198"/>
    <cellStyle name="20% - Accent2 7 4 3 2 2 2 2" xfId="21174"/>
    <cellStyle name="20% - Accent2 7 4 3 2 2 3" xfId="21173"/>
    <cellStyle name="20% - Accent2 7 4 3 2 3" xfId="3199"/>
    <cellStyle name="20% - Accent2 7 4 3 2 3 2" xfId="21175"/>
    <cellStyle name="20% - Accent2 7 4 3 2 4" xfId="21172"/>
    <cellStyle name="20% - Accent2 7 4 3 3" xfId="3200"/>
    <cellStyle name="20% - Accent2 7 4 3 3 2" xfId="3201"/>
    <cellStyle name="20% - Accent2 7 4 3 3 2 2" xfId="21177"/>
    <cellStyle name="20% - Accent2 7 4 3 3 3" xfId="21176"/>
    <cellStyle name="20% - Accent2 7 4 3 4" xfId="3202"/>
    <cellStyle name="20% - Accent2 7 4 3 4 2" xfId="21178"/>
    <cellStyle name="20% - Accent2 7 4 3 5" xfId="21171"/>
    <cellStyle name="20% - Accent2 7 4 4" xfId="3203"/>
    <cellStyle name="20% - Accent2 7 4 4 2" xfId="3204"/>
    <cellStyle name="20% - Accent2 7 4 4 2 2" xfId="3205"/>
    <cellStyle name="20% - Accent2 7 4 4 2 2 2" xfId="21181"/>
    <cellStyle name="20% - Accent2 7 4 4 2 3" xfId="21180"/>
    <cellStyle name="20% - Accent2 7 4 4 3" xfId="3206"/>
    <cellStyle name="20% - Accent2 7 4 4 3 2" xfId="21182"/>
    <cellStyle name="20% - Accent2 7 4 4 4" xfId="21179"/>
    <cellStyle name="20% - Accent2 7 4 5" xfId="3207"/>
    <cellStyle name="20% - Accent2 7 4 5 2" xfId="3208"/>
    <cellStyle name="20% - Accent2 7 4 5 2 2" xfId="21184"/>
    <cellStyle name="20% - Accent2 7 4 5 3" xfId="21183"/>
    <cellStyle name="20% - Accent2 7 4 6" xfId="3209"/>
    <cellStyle name="20% - Accent2 7 4 6 2" xfId="21185"/>
    <cellStyle name="20% - Accent2 7 4 7" xfId="21162"/>
    <cellStyle name="20% - Accent2 7 5" xfId="3210"/>
    <cellStyle name="20% - Accent2 7 5 2" xfId="3211"/>
    <cellStyle name="20% - Accent2 7 5 2 2" xfId="3212"/>
    <cellStyle name="20% - Accent2 7 5 2 2 2" xfId="3213"/>
    <cellStyle name="20% - Accent2 7 5 2 2 2 2" xfId="21189"/>
    <cellStyle name="20% - Accent2 7 5 2 2 3" xfId="21188"/>
    <cellStyle name="20% - Accent2 7 5 2 3" xfId="3214"/>
    <cellStyle name="20% - Accent2 7 5 2 3 2" xfId="21190"/>
    <cellStyle name="20% - Accent2 7 5 2 4" xfId="21187"/>
    <cellStyle name="20% - Accent2 7 5 3" xfId="3215"/>
    <cellStyle name="20% - Accent2 7 5 3 2" xfId="3216"/>
    <cellStyle name="20% - Accent2 7 5 3 2 2" xfId="21192"/>
    <cellStyle name="20% - Accent2 7 5 3 3" xfId="21191"/>
    <cellStyle name="20% - Accent2 7 5 4" xfId="3217"/>
    <cellStyle name="20% - Accent2 7 5 4 2" xfId="21193"/>
    <cellStyle name="20% - Accent2 7 5 5" xfId="21186"/>
    <cellStyle name="20% - Accent2 7 6" xfId="3218"/>
    <cellStyle name="20% - Accent2 7 6 2" xfId="3219"/>
    <cellStyle name="20% - Accent2 7 6 2 2" xfId="3220"/>
    <cellStyle name="20% - Accent2 7 6 2 2 2" xfId="3221"/>
    <cellStyle name="20% - Accent2 7 6 2 2 2 2" xfId="21197"/>
    <cellStyle name="20% - Accent2 7 6 2 2 3" xfId="21196"/>
    <cellStyle name="20% - Accent2 7 6 2 3" xfId="3222"/>
    <cellStyle name="20% - Accent2 7 6 2 3 2" xfId="21198"/>
    <cellStyle name="20% - Accent2 7 6 2 4" xfId="21195"/>
    <cellStyle name="20% - Accent2 7 6 3" xfId="3223"/>
    <cellStyle name="20% - Accent2 7 6 3 2" xfId="3224"/>
    <cellStyle name="20% - Accent2 7 6 3 2 2" xfId="21200"/>
    <cellStyle name="20% - Accent2 7 6 3 3" xfId="21199"/>
    <cellStyle name="20% - Accent2 7 6 4" xfId="3225"/>
    <cellStyle name="20% - Accent2 7 6 4 2" xfId="21201"/>
    <cellStyle name="20% - Accent2 7 6 5" xfId="21194"/>
    <cellStyle name="20% - Accent2 7 7" xfId="3226"/>
    <cellStyle name="20% - Accent2 7 7 2" xfId="3227"/>
    <cellStyle name="20% - Accent2 7 7 2 2" xfId="3228"/>
    <cellStyle name="20% - Accent2 7 7 2 2 2" xfId="21204"/>
    <cellStyle name="20% - Accent2 7 7 2 3" xfId="21203"/>
    <cellStyle name="20% - Accent2 7 7 3" xfId="3229"/>
    <cellStyle name="20% - Accent2 7 7 3 2" xfId="21205"/>
    <cellStyle name="20% - Accent2 7 7 4" xfId="21202"/>
    <cellStyle name="20% - Accent2 7 8" xfId="3230"/>
    <cellStyle name="20% - Accent2 7 8 2" xfId="3231"/>
    <cellStyle name="20% - Accent2 7 8 2 2" xfId="21207"/>
    <cellStyle name="20% - Accent2 7 8 3" xfId="21206"/>
    <cellStyle name="20% - Accent2 7 9" xfId="3232"/>
    <cellStyle name="20% - Accent2 7 9 2" xfId="21208"/>
    <cellStyle name="20% - Accent2 8" xfId="3233"/>
    <cellStyle name="20% - Accent2 8 10" xfId="21209"/>
    <cellStyle name="20% - Accent2 8 2" xfId="3234"/>
    <cellStyle name="20% - Accent2 8 2 2" xfId="3235"/>
    <cellStyle name="20% - Accent2 8 2 2 2" xfId="3236"/>
    <cellStyle name="20% - Accent2 8 2 2 2 2" xfId="3237"/>
    <cellStyle name="20% - Accent2 8 2 2 2 2 2" xfId="3238"/>
    <cellStyle name="20% - Accent2 8 2 2 2 2 2 2" xfId="3239"/>
    <cellStyle name="20% - Accent2 8 2 2 2 2 2 2 2" xfId="3240"/>
    <cellStyle name="20% - Accent2 8 2 2 2 2 2 2 2 2" xfId="21216"/>
    <cellStyle name="20% - Accent2 8 2 2 2 2 2 2 3" xfId="21215"/>
    <cellStyle name="20% - Accent2 8 2 2 2 2 2 3" xfId="3241"/>
    <cellStyle name="20% - Accent2 8 2 2 2 2 2 3 2" xfId="21217"/>
    <cellStyle name="20% - Accent2 8 2 2 2 2 2 4" xfId="21214"/>
    <cellStyle name="20% - Accent2 8 2 2 2 2 3" xfId="3242"/>
    <cellStyle name="20% - Accent2 8 2 2 2 2 3 2" xfId="3243"/>
    <cellStyle name="20% - Accent2 8 2 2 2 2 3 2 2" xfId="21219"/>
    <cellStyle name="20% - Accent2 8 2 2 2 2 3 3" xfId="21218"/>
    <cellStyle name="20% - Accent2 8 2 2 2 2 4" xfId="3244"/>
    <cellStyle name="20% - Accent2 8 2 2 2 2 4 2" xfId="21220"/>
    <cellStyle name="20% - Accent2 8 2 2 2 2 5" xfId="21213"/>
    <cellStyle name="20% - Accent2 8 2 2 2 3" xfId="3245"/>
    <cellStyle name="20% - Accent2 8 2 2 2 3 2" xfId="3246"/>
    <cellStyle name="20% - Accent2 8 2 2 2 3 2 2" xfId="3247"/>
    <cellStyle name="20% - Accent2 8 2 2 2 3 2 2 2" xfId="3248"/>
    <cellStyle name="20% - Accent2 8 2 2 2 3 2 2 2 2" xfId="21224"/>
    <cellStyle name="20% - Accent2 8 2 2 2 3 2 2 3" xfId="21223"/>
    <cellStyle name="20% - Accent2 8 2 2 2 3 2 3" xfId="3249"/>
    <cellStyle name="20% - Accent2 8 2 2 2 3 2 3 2" xfId="21225"/>
    <cellStyle name="20% - Accent2 8 2 2 2 3 2 4" xfId="21222"/>
    <cellStyle name="20% - Accent2 8 2 2 2 3 3" xfId="3250"/>
    <cellStyle name="20% - Accent2 8 2 2 2 3 3 2" xfId="3251"/>
    <cellStyle name="20% - Accent2 8 2 2 2 3 3 2 2" xfId="21227"/>
    <cellStyle name="20% - Accent2 8 2 2 2 3 3 3" xfId="21226"/>
    <cellStyle name="20% - Accent2 8 2 2 2 3 4" xfId="3252"/>
    <cellStyle name="20% - Accent2 8 2 2 2 3 4 2" xfId="21228"/>
    <cellStyle name="20% - Accent2 8 2 2 2 3 5" xfId="21221"/>
    <cellStyle name="20% - Accent2 8 2 2 2 4" xfId="3253"/>
    <cellStyle name="20% - Accent2 8 2 2 2 4 2" xfId="3254"/>
    <cellStyle name="20% - Accent2 8 2 2 2 4 2 2" xfId="3255"/>
    <cellStyle name="20% - Accent2 8 2 2 2 4 2 2 2" xfId="21231"/>
    <cellStyle name="20% - Accent2 8 2 2 2 4 2 3" xfId="21230"/>
    <cellStyle name="20% - Accent2 8 2 2 2 4 3" xfId="3256"/>
    <cellStyle name="20% - Accent2 8 2 2 2 4 3 2" xfId="21232"/>
    <cellStyle name="20% - Accent2 8 2 2 2 4 4" xfId="21229"/>
    <cellStyle name="20% - Accent2 8 2 2 2 5" xfId="3257"/>
    <cellStyle name="20% - Accent2 8 2 2 2 5 2" xfId="3258"/>
    <cellStyle name="20% - Accent2 8 2 2 2 5 2 2" xfId="21234"/>
    <cellStyle name="20% - Accent2 8 2 2 2 5 3" xfId="21233"/>
    <cellStyle name="20% - Accent2 8 2 2 2 6" xfId="3259"/>
    <cellStyle name="20% - Accent2 8 2 2 2 6 2" xfId="21235"/>
    <cellStyle name="20% - Accent2 8 2 2 2 7" xfId="21212"/>
    <cellStyle name="20% - Accent2 8 2 2 3" xfId="3260"/>
    <cellStyle name="20% - Accent2 8 2 2 3 2" xfId="3261"/>
    <cellStyle name="20% - Accent2 8 2 2 3 2 2" xfId="3262"/>
    <cellStyle name="20% - Accent2 8 2 2 3 2 2 2" xfId="3263"/>
    <cellStyle name="20% - Accent2 8 2 2 3 2 2 2 2" xfId="21239"/>
    <cellStyle name="20% - Accent2 8 2 2 3 2 2 3" xfId="21238"/>
    <cellStyle name="20% - Accent2 8 2 2 3 2 3" xfId="3264"/>
    <cellStyle name="20% - Accent2 8 2 2 3 2 3 2" xfId="21240"/>
    <cellStyle name="20% - Accent2 8 2 2 3 2 4" xfId="21237"/>
    <cellStyle name="20% - Accent2 8 2 2 3 3" xfId="3265"/>
    <cellStyle name="20% - Accent2 8 2 2 3 3 2" xfId="3266"/>
    <cellStyle name="20% - Accent2 8 2 2 3 3 2 2" xfId="21242"/>
    <cellStyle name="20% - Accent2 8 2 2 3 3 3" xfId="21241"/>
    <cellStyle name="20% - Accent2 8 2 2 3 4" xfId="3267"/>
    <cellStyle name="20% - Accent2 8 2 2 3 4 2" xfId="21243"/>
    <cellStyle name="20% - Accent2 8 2 2 3 5" xfId="21236"/>
    <cellStyle name="20% - Accent2 8 2 2 4" xfId="3268"/>
    <cellStyle name="20% - Accent2 8 2 2 4 2" xfId="3269"/>
    <cellStyle name="20% - Accent2 8 2 2 4 2 2" xfId="3270"/>
    <cellStyle name="20% - Accent2 8 2 2 4 2 2 2" xfId="3271"/>
    <cellStyle name="20% - Accent2 8 2 2 4 2 2 2 2" xfId="21247"/>
    <cellStyle name="20% - Accent2 8 2 2 4 2 2 3" xfId="21246"/>
    <cellStyle name="20% - Accent2 8 2 2 4 2 3" xfId="3272"/>
    <cellStyle name="20% - Accent2 8 2 2 4 2 3 2" xfId="21248"/>
    <cellStyle name="20% - Accent2 8 2 2 4 2 4" xfId="21245"/>
    <cellStyle name="20% - Accent2 8 2 2 4 3" xfId="3273"/>
    <cellStyle name="20% - Accent2 8 2 2 4 3 2" xfId="3274"/>
    <cellStyle name="20% - Accent2 8 2 2 4 3 2 2" xfId="21250"/>
    <cellStyle name="20% - Accent2 8 2 2 4 3 3" xfId="21249"/>
    <cellStyle name="20% - Accent2 8 2 2 4 4" xfId="3275"/>
    <cellStyle name="20% - Accent2 8 2 2 4 4 2" xfId="21251"/>
    <cellStyle name="20% - Accent2 8 2 2 4 5" xfId="21244"/>
    <cellStyle name="20% - Accent2 8 2 2 5" xfId="3276"/>
    <cellStyle name="20% - Accent2 8 2 2 5 2" xfId="3277"/>
    <cellStyle name="20% - Accent2 8 2 2 5 2 2" xfId="3278"/>
    <cellStyle name="20% - Accent2 8 2 2 5 2 2 2" xfId="21254"/>
    <cellStyle name="20% - Accent2 8 2 2 5 2 3" xfId="21253"/>
    <cellStyle name="20% - Accent2 8 2 2 5 3" xfId="3279"/>
    <cellStyle name="20% - Accent2 8 2 2 5 3 2" xfId="21255"/>
    <cellStyle name="20% - Accent2 8 2 2 5 4" xfId="21252"/>
    <cellStyle name="20% - Accent2 8 2 2 6" xfId="3280"/>
    <cellStyle name="20% - Accent2 8 2 2 6 2" xfId="3281"/>
    <cellStyle name="20% - Accent2 8 2 2 6 2 2" xfId="21257"/>
    <cellStyle name="20% - Accent2 8 2 2 6 3" xfId="21256"/>
    <cellStyle name="20% - Accent2 8 2 2 7" xfId="3282"/>
    <cellStyle name="20% - Accent2 8 2 2 7 2" xfId="21258"/>
    <cellStyle name="20% - Accent2 8 2 2 8" xfId="21211"/>
    <cellStyle name="20% - Accent2 8 2 3" xfId="3283"/>
    <cellStyle name="20% - Accent2 8 2 3 2" xfId="3284"/>
    <cellStyle name="20% - Accent2 8 2 3 2 2" xfId="3285"/>
    <cellStyle name="20% - Accent2 8 2 3 2 2 2" xfId="3286"/>
    <cellStyle name="20% - Accent2 8 2 3 2 2 2 2" xfId="3287"/>
    <cellStyle name="20% - Accent2 8 2 3 2 2 2 2 2" xfId="21263"/>
    <cellStyle name="20% - Accent2 8 2 3 2 2 2 3" xfId="21262"/>
    <cellStyle name="20% - Accent2 8 2 3 2 2 3" xfId="3288"/>
    <cellStyle name="20% - Accent2 8 2 3 2 2 3 2" xfId="21264"/>
    <cellStyle name="20% - Accent2 8 2 3 2 2 4" xfId="21261"/>
    <cellStyle name="20% - Accent2 8 2 3 2 3" xfId="3289"/>
    <cellStyle name="20% - Accent2 8 2 3 2 3 2" xfId="3290"/>
    <cellStyle name="20% - Accent2 8 2 3 2 3 2 2" xfId="21266"/>
    <cellStyle name="20% - Accent2 8 2 3 2 3 3" xfId="21265"/>
    <cellStyle name="20% - Accent2 8 2 3 2 4" xfId="3291"/>
    <cellStyle name="20% - Accent2 8 2 3 2 4 2" xfId="21267"/>
    <cellStyle name="20% - Accent2 8 2 3 2 5" xfId="21260"/>
    <cellStyle name="20% - Accent2 8 2 3 3" xfId="3292"/>
    <cellStyle name="20% - Accent2 8 2 3 3 2" xfId="3293"/>
    <cellStyle name="20% - Accent2 8 2 3 3 2 2" xfId="3294"/>
    <cellStyle name="20% - Accent2 8 2 3 3 2 2 2" xfId="3295"/>
    <cellStyle name="20% - Accent2 8 2 3 3 2 2 2 2" xfId="21271"/>
    <cellStyle name="20% - Accent2 8 2 3 3 2 2 3" xfId="21270"/>
    <cellStyle name="20% - Accent2 8 2 3 3 2 3" xfId="3296"/>
    <cellStyle name="20% - Accent2 8 2 3 3 2 3 2" xfId="21272"/>
    <cellStyle name="20% - Accent2 8 2 3 3 2 4" xfId="21269"/>
    <cellStyle name="20% - Accent2 8 2 3 3 3" xfId="3297"/>
    <cellStyle name="20% - Accent2 8 2 3 3 3 2" xfId="3298"/>
    <cellStyle name="20% - Accent2 8 2 3 3 3 2 2" xfId="21274"/>
    <cellStyle name="20% - Accent2 8 2 3 3 3 3" xfId="21273"/>
    <cellStyle name="20% - Accent2 8 2 3 3 4" xfId="3299"/>
    <cellStyle name="20% - Accent2 8 2 3 3 4 2" xfId="21275"/>
    <cellStyle name="20% - Accent2 8 2 3 3 5" xfId="21268"/>
    <cellStyle name="20% - Accent2 8 2 3 4" xfId="3300"/>
    <cellStyle name="20% - Accent2 8 2 3 4 2" xfId="3301"/>
    <cellStyle name="20% - Accent2 8 2 3 4 2 2" xfId="3302"/>
    <cellStyle name="20% - Accent2 8 2 3 4 2 2 2" xfId="21278"/>
    <cellStyle name="20% - Accent2 8 2 3 4 2 3" xfId="21277"/>
    <cellStyle name="20% - Accent2 8 2 3 4 3" xfId="3303"/>
    <cellStyle name="20% - Accent2 8 2 3 4 3 2" xfId="21279"/>
    <cellStyle name="20% - Accent2 8 2 3 4 4" xfId="21276"/>
    <cellStyle name="20% - Accent2 8 2 3 5" xfId="3304"/>
    <cellStyle name="20% - Accent2 8 2 3 5 2" xfId="3305"/>
    <cellStyle name="20% - Accent2 8 2 3 5 2 2" xfId="21281"/>
    <cellStyle name="20% - Accent2 8 2 3 5 3" xfId="21280"/>
    <cellStyle name="20% - Accent2 8 2 3 6" xfId="3306"/>
    <cellStyle name="20% - Accent2 8 2 3 6 2" xfId="21282"/>
    <cellStyle name="20% - Accent2 8 2 3 7" xfId="21259"/>
    <cellStyle name="20% - Accent2 8 2 4" xfId="3307"/>
    <cellStyle name="20% - Accent2 8 2 4 2" xfId="3308"/>
    <cellStyle name="20% - Accent2 8 2 4 2 2" xfId="3309"/>
    <cellStyle name="20% - Accent2 8 2 4 2 2 2" xfId="3310"/>
    <cellStyle name="20% - Accent2 8 2 4 2 2 2 2" xfId="21286"/>
    <cellStyle name="20% - Accent2 8 2 4 2 2 3" xfId="21285"/>
    <cellStyle name="20% - Accent2 8 2 4 2 3" xfId="3311"/>
    <cellStyle name="20% - Accent2 8 2 4 2 3 2" xfId="21287"/>
    <cellStyle name="20% - Accent2 8 2 4 2 4" xfId="21284"/>
    <cellStyle name="20% - Accent2 8 2 4 3" xfId="3312"/>
    <cellStyle name="20% - Accent2 8 2 4 3 2" xfId="3313"/>
    <cellStyle name="20% - Accent2 8 2 4 3 2 2" xfId="21289"/>
    <cellStyle name="20% - Accent2 8 2 4 3 3" xfId="21288"/>
    <cellStyle name="20% - Accent2 8 2 4 4" xfId="3314"/>
    <cellStyle name="20% - Accent2 8 2 4 4 2" xfId="21290"/>
    <cellStyle name="20% - Accent2 8 2 4 5" xfId="21283"/>
    <cellStyle name="20% - Accent2 8 2 5" xfId="3315"/>
    <cellStyle name="20% - Accent2 8 2 5 2" xfId="3316"/>
    <cellStyle name="20% - Accent2 8 2 5 2 2" xfId="3317"/>
    <cellStyle name="20% - Accent2 8 2 5 2 2 2" xfId="3318"/>
    <cellStyle name="20% - Accent2 8 2 5 2 2 2 2" xfId="21294"/>
    <cellStyle name="20% - Accent2 8 2 5 2 2 3" xfId="21293"/>
    <cellStyle name="20% - Accent2 8 2 5 2 3" xfId="3319"/>
    <cellStyle name="20% - Accent2 8 2 5 2 3 2" xfId="21295"/>
    <cellStyle name="20% - Accent2 8 2 5 2 4" xfId="21292"/>
    <cellStyle name="20% - Accent2 8 2 5 3" xfId="3320"/>
    <cellStyle name="20% - Accent2 8 2 5 3 2" xfId="3321"/>
    <cellStyle name="20% - Accent2 8 2 5 3 2 2" xfId="21297"/>
    <cellStyle name="20% - Accent2 8 2 5 3 3" xfId="21296"/>
    <cellStyle name="20% - Accent2 8 2 5 4" xfId="3322"/>
    <cellStyle name="20% - Accent2 8 2 5 4 2" xfId="21298"/>
    <cellStyle name="20% - Accent2 8 2 5 5" xfId="21291"/>
    <cellStyle name="20% - Accent2 8 2 6" xfId="3323"/>
    <cellStyle name="20% - Accent2 8 2 6 2" xfId="3324"/>
    <cellStyle name="20% - Accent2 8 2 6 2 2" xfId="3325"/>
    <cellStyle name="20% - Accent2 8 2 6 2 2 2" xfId="21301"/>
    <cellStyle name="20% - Accent2 8 2 6 2 3" xfId="21300"/>
    <cellStyle name="20% - Accent2 8 2 6 3" xfId="3326"/>
    <cellStyle name="20% - Accent2 8 2 6 3 2" xfId="21302"/>
    <cellStyle name="20% - Accent2 8 2 6 4" xfId="21299"/>
    <cellStyle name="20% - Accent2 8 2 7" xfId="3327"/>
    <cellStyle name="20% - Accent2 8 2 7 2" xfId="3328"/>
    <cellStyle name="20% - Accent2 8 2 7 2 2" xfId="21304"/>
    <cellStyle name="20% - Accent2 8 2 7 3" xfId="21303"/>
    <cellStyle name="20% - Accent2 8 2 8" xfId="3329"/>
    <cellStyle name="20% - Accent2 8 2 8 2" xfId="21305"/>
    <cellStyle name="20% - Accent2 8 2 9" xfId="21210"/>
    <cellStyle name="20% - Accent2 8 3" xfId="3330"/>
    <cellStyle name="20% - Accent2 8 3 2" xfId="3331"/>
    <cellStyle name="20% - Accent2 8 3 2 2" xfId="3332"/>
    <cellStyle name="20% - Accent2 8 3 2 2 2" xfId="3333"/>
    <cellStyle name="20% - Accent2 8 3 2 2 2 2" xfId="3334"/>
    <cellStyle name="20% - Accent2 8 3 2 2 2 2 2" xfId="3335"/>
    <cellStyle name="20% - Accent2 8 3 2 2 2 2 2 2" xfId="21311"/>
    <cellStyle name="20% - Accent2 8 3 2 2 2 2 3" xfId="21310"/>
    <cellStyle name="20% - Accent2 8 3 2 2 2 3" xfId="3336"/>
    <cellStyle name="20% - Accent2 8 3 2 2 2 3 2" xfId="21312"/>
    <cellStyle name="20% - Accent2 8 3 2 2 2 4" xfId="21309"/>
    <cellStyle name="20% - Accent2 8 3 2 2 3" xfId="3337"/>
    <cellStyle name="20% - Accent2 8 3 2 2 3 2" xfId="3338"/>
    <cellStyle name="20% - Accent2 8 3 2 2 3 2 2" xfId="21314"/>
    <cellStyle name="20% - Accent2 8 3 2 2 3 3" xfId="21313"/>
    <cellStyle name="20% - Accent2 8 3 2 2 4" xfId="3339"/>
    <cellStyle name="20% - Accent2 8 3 2 2 4 2" xfId="21315"/>
    <cellStyle name="20% - Accent2 8 3 2 2 5" xfId="21308"/>
    <cellStyle name="20% - Accent2 8 3 2 3" xfId="3340"/>
    <cellStyle name="20% - Accent2 8 3 2 3 2" xfId="3341"/>
    <cellStyle name="20% - Accent2 8 3 2 3 2 2" xfId="3342"/>
    <cellStyle name="20% - Accent2 8 3 2 3 2 2 2" xfId="3343"/>
    <cellStyle name="20% - Accent2 8 3 2 3 2 2 2 2" xfId="21319"/>
    <cellStyle name="20% - Accent2 8 3 2 3 2 2 3" xfId="21318"/>
    <cellStyle name="20% - Accent2 8 3 2 3 2 3" xfId="3344"/>
    <cellStyle name="20% - Accent2 8 3 2 3 2 3 2" xfId="21320"/>
    <cellStyle name="20% - Accent2 8 3 2 3 2 4" xfId="21317"/>
    <cellStyle name="20% - Accent2 8 3 2 3 3" xfId="3345"/>
    <cellStyle name="20% - Accent2 8 3 2 3 3 2" xfId="3346"/>
    <cellStyle name="20% - Accent2 8 3 2 3 3 2 2" xfId="21322"/>
    <cellStyle name="20% - Accent2 8 3 2 3 3 3" xfId="21321"/>
    <cellStyle name="20% - Accent2 8 3 2 3 4" xfId="3347"/>
    <cellStyle name="20% - Accent2 8 3 2 3 4 2" xfId="21323"/>
    <cellStyle name="20% - Accent2 8 3 2 3 5" xfId="21316"/>
    <cellStyle name="20% - Accent2 8 3 2 4" xfId="3348"/>
    <cellStyle name="20% - Accent2 8 3 2 4 2" xfId="3349"/>
    <cellStyle name="20% - Accent2 8 3 2 4 2 2" xfId="3350"/>
    <cellStyle name="20% - Accent2 8 3 2 4 2 2 2" xfId="21326"/>
    <cellStyle name="20% - Accent2 8 3 2 4 2 3" xfId="21325"/>
    <cellStyle name="20% - Accent2 8 3 2 4 3" xfId="3351"/>
    <cellStyle name="20% - Accent2 8 3 2 4 3 2" xfId="21327"/>
    <cellStyle name="20% - Accent2 8 3 2 4 4" xfId="21324"/>
    <cellStyle name="20% - Accent2 8 3 2 5" xfId="3352"/>
    <cellStyle name="20% - Accent2 8 3 2 5 2" xfId="3353"/>
    <cellStyle name="20% - Accent2 8 3 2 5 2 2" xfId="21329"/>
    <cellStyle name="20% - Accent2 8 3 2 5 3" xfId="21328"/>
    <cellStyle name="20% - Accent2 8 3 2 6" xfId="3354"/>
    <cellStyle name="20% - Accent2 8 3 2 6 2" xfId="21330"/>
    <cellStyle name="20% - Accent2 8 3 2 7" xfId="21307"/>
    <cellStyle name="20% - Accent2 8 3 3" xfId="3355"/>
    <cellStyle name="20% - Accent2 8 3 3 2" xfId="3356"/>
    <cellStyle name="20% - Accent2 8 3 3 2 2" xfId="3357"/>
    <cellStyle name="20% - Accent2 8 3 3 2 2 2" xfId="3358"/>
    <cellStyle name="20% - Accent2 8 3 3 2 2 2 2" xfId="21334"/>
    <cellStyle name="20% - Accent2 8 3 3 2 2 3" xfId="21333"/>
    <cellStyle name="20% - Accent2 8 3 3 2 3" xfId="3359"/>
    <cellStyle name="20% - Accent2 8 3 3 2 3 2" xfId="21335"/>
    <cellStyle name="20% - Accent2 8 3 3 2 4" xfId="21332"/>
    <cellStyle name="20% - Accent2 8 3 3 3" xfId="3360"/>
    <cellStyle name="20% - Accent2 8 3 3 3 2" xfId="3361"/>
    <cellStyle name="20% - Accent2 8 3 3 3 2 2" xfId="21337"/>
    <cellStyle name="20% - Accent2 8 3 3 3 3" xfId="21336"/>
    <cellStyle name="20% - Accent2 8 3 3 4" xfId="3362"/>
    <cellStyle name="20% - Accent2 8 3 3 4 2" xfId="21338"/>
    <cellStyle name="20% - Accent2 8 3 3 5" xfId="21331"/>
    <cellStyle name="20% - Accent2 8 3 4" xfId="3363"/>
    <cellStyle name="20% - Accent2 8 3 4 2" xfId="3364"/>
    <cellStyle name="20% - Accent2 8 3 4 2 2" xfId="3365"/>
    <cellStyle name="20% - Accent2 8 3 4 2 2 2" xfId="3366"/>
    <cellStyle name="20% - Accent2 8 3 4 2 2 2 2" xfId="21342"/>
    <cellStyle name="20% - Accent2 8 3 4 2 2 3" xfId="21341"/>
    <cellStyle name="20% - Accent2 8 3 4 2 3" xfId="3367"/>
    <cellStyle name="20% - Accent2 8 3 4 2 3 2" xfId="21343"/>
    <cellStyle name="20% - Accent2 8 3 4 2 4" xfId="21340"/>
    <cellStyle name="20% - Accent2 8 3 4 3" xfId="3368"/>
    <cellStyle name="20% - Accent2 8 3 4 3 2" xfId="3369"/>
    <cellStyle name="20% - Accent2 8 3 4 3 2 2" xfId="21345"/>
    <cellStyle name="20% - Accent2 8 3 4 3 3" xfId="21344"/>
    <cellStyle name="20% - Accent2 8 3 4 4" xfId="3370"/>
    <cellStyle name="20% - Accent2 8 3 4 4 2" xfId="21346"/>
    <cellStyle name="20% - Accent2 8 3 4 5" xfId="21339"/>
    <cellStyle name="20% - Accent2 8 3 5" xfId="3371"/>
    <cellStyle name="20% - Accent2 8 3 5 2" xfId="3372"/>
    <cellStyle name="20% - Accent2 8 3 5 2 2" xfId="3373"/>
    <cellStyle name="20% - Accent2 8 3 5 2 2 2" xfId="21349"/>
    <cellStyle name="20% - Accent2 8 3 5 2 3" xfId="21348"/>
    <cellStyle name="20% - Accent2 8 3 5 3" xfId="3374"/>
    <cellStyle name="20% - Accent2 8 3 5 3 2" xfId="21350"/>
    <cellStyle name="20% - Accent2 8 3 5 4" xfId="21347"/>
    <cellStyle name="20% - Accent2 8 3 6" xfId="3375"/>
    <cellStyle name="20% - Accent2 8 3 6 2" xfId="3376"/>
    <cellStyle name="20% - Accent2 8 3 6 2 2" xfId="21352"/>
    <cellStyle name="20% - Accent2 8 3 6 3" xfId="21351"/>
    <cellStyle name="20% - Accent2 8 3 7" xfId="3377"/>
    <cellStyle name="20% - Accent2 8 3 7 2" xfId="21353"/>
    <cellStyle name="20% - Accent2 8 3 8" xfId="21306"/>
    <cellStyle name="20% - Accent2 8 4" xfId="3378"/>
    <cellStyle name="20% - Accent2 8 4 2" xfId="3379"/>
    <cellStyle name="20% - Accent2 8 4 2 2" xfId="3380"/>
    <cellStyle name="20% - Accent2 8 4 2 2 2" xfId="3381"/>
    <cellStyle name="20% - Accent2 8 4 2 2 2 2" xfId="3382"/>
    <cellStyle name="20% - Accent2 8 4 2 2 2 2 2" xfId="21358"/>
    <cellStyle name="20% - Accent2 8 4 2 2 2 3" xfId="21357"/>
    <cellStyle name="20% - Accent2 8 4 2 2 3" xfId="3383"/>
    <cellStyle name="20% - Accent2 8 4 2 2 3 2" xfId="21359"/>
    <cellStyle name="20% - Accent2 8 4 2 2 4" xfId="21356"/>
    <cellStyle name="20% - Accent2 8 4 2 3" xfId="3384"/>
    <cellStyle name="20% - Accent2 8 4 2 3 2" xfId="3385"/>
    <cellStyle name="20% - Accent2 8 4 2 3 2 2" xfId="21361"/>
    <cellStyle name="20% - Accent2 8 4 2 3 3" xfId="21360"/>
    <cellStyle name="20% - Accent2 8 4 2 4" xfId="3386"/>
    <cellStyle name="20% - Accent2 8 4 2 4 2" xfId="21362"/>
    <cellStyle name="20% - Accent2 8 4 2 5" xfId="21355"/>
    <cellStyle name="20% - Accent2 8 4 3" xfId="3387"/>
    <cellStyle name="20% - Accent2 8 4 3 2" xfId="3388"/>
    <cellStyle name="20% - Accent2 8 4 3 2 2" xfId="3389"/>
    <cellStyle name="20% - Accent2 8 4 3 2 2 2" xfId="3390"/>
    <cellStyle name="20% - Accent2 8 4 3 2 2 2 2" xfId="21366"/>
    <cellStyle name="20% - Accent2 8 4 3 2 2 3" xfId="21365"/>
    <cellStyle name="20% - Accent2 8 4 3 2 3" xfId="3391"/>
    <cellStyle name="20% - Accent2 8 4 3 2 3 2" xfId="21367"/>
    <cellStyle name="20% - Accent2 8 4 3 2 4" xfId="21364"/>
    <cellStyle name="20% - Accent2 8 4 3 3" xfId="3392"/>
    <cellStyle name="20% - Accent2 8 4 3 3 2" xfId="3393"/>
    <cellStyle name="20% - Accent2 8 4 3 3 2 2" xfId="21369"/>
    <cellStyle name="20% - Accent2 8 4 3 3 3" xfId="21368"/>
    <cellStyle name="20% - Accent2 8 4 3 4" xfId="3394"/>
    <cellStyle name="20% - Accent2 8 4 3 4 2" xfId="21370"/>
    <cellStyle name="20% - Accent2 8 4 3 5" xfId="21363"/>
    <cellStyle name="20% - Accent2 8 4 4" xfId="3395"/>
    <cellStyle name="20% - Accent2 8 4 4 2" xfId="3396"/>
    <cellStyle name="20% - Accent2 8 4 4 2 2" xfId="3397"/>
    <cellStyle name="20% - Accent2 8 4 4 2 2 2" xfId="21373"/>
    <cellStyle name="20% - Accent2 8 4 4 2 3" xfId="21372"/>
    <cellStyle name="20% - Accent2 8 4 4 3" xfId="3398"/>
    <cellStyle name="20% - Accent2 8 4 4 3 2" xfId="21374"/>
    <cellStyle name="20% - Accent2 8 4 4 4" xfId="21371"/>
    <cellStyle name="20% - Accent2 8 4 5" xfId="3399"/>
    <cellStyle name="20% - Accent2 8 4 5 2" xfId="3400"/>
    <cellStyle name="20% - Accent2 8 4 5 2 2" xfId="21376"/>
    <cellStyle name="20% - Accent2 8 4 5 3" xfId="21375"/>
    <cellStyle name="20% - Accent2 8 4 6" xfId="3401"/>
    <cellStyle name="20% - Accent2 8 4 6 2" xfId="21377"/>
    <cellStyle name="20% - Accent2 8 4 7" xfId="21354"/>
    <cellStyle name="20% - Accent2 8 5" xfId="3402"/>
    <cellStyle name="20% - Accent2 8 5 2" xfId="3403"/>
    <cellStyle name="20% - Accent2 8 5 2 2" xfId="3404"/>
    <cellStyle name="20% - Accent2 8 5 2 2 2" xfId="3405"/>
    <cellStyle name="20% - Accent2 8 5 2 2 2 2" xfId="21381"/>
    <cellStyle name="20% - Accent2 8 5 2 2 3" xfId="21380"/>
    <cellStyle name="20% - Accent2 8 5 2 3" xfId="3406"/>
    <cellStyle name="20% - Accent2 8 5 2 3 2" xfId="21382"/>
    <cellStyle name="20% - Accent2 8 5 2 4" xfId="21379"/>
    <cellStyle name="20% - Accent2 8 5 3" xfId="3407"/>
    <cellStyle name="20% - Accent2 8 5 3 2" xfId="3408"/>
    <cellStyle name="20% - Accent2 8 5 3 2 2" xfId="21384"/>
    <cellStyle name="20% - Accent2 8 5 3 3" xfId="21383"/>
    <cellStyle name="20% - Accent2 8 5 4" xfId="3409"/>
    <cellStyle name="20% - Accent2 8 5 4 2" xfId="21385"/>
    <cellStyle name="20% - Accent2 8 5 5" xfId="21378"/>
    <cellStyle name="20% - Accent2 8 6" xfId="3410"/>
    <cellStyle name="20% - Accent2 8 6 2" xfId="3411"/>
    <cellStyle name="20% - Accent2 8 6 2 2" xfId="3412"/>
    <cellStyle name="20% - Accent2 8 6 2 2 2" xfId="3413"/>
    <cellStyle name="20% - Accent2 8 6 2 2 2 2" xfId="21389"/>
    <cellStyle name="20% - Accent2 8 6 2 2 3" xfId="21388"/>
    <cellStyle name="20% - Accent2 8 6 2 3" xfId="3414"/>
    <cellStyle name="20% - Accent2 8 6 2 3 2" xfId="21390"/>
    <cellStyle name="20% - Accent2 8 6 2 4" xfId="21387"/>
    <cellStyle name="20% - Accent2 8 6 3" xfId="3415"/>
    <cellStyle name="20% - Accent2 8 6 3 2" xfId="3416"/>
    <cellStyle name="20% - Accent2 8 6 3 2 2" xfId="21392"/>
    <cellStyle name="20% - Accent2 8 6 3 3" xfId="21391"/>
    <cellStyle name="20% - Accent2 8 6 4" xfId="3417"/>
    <cellStyle name="20% - Accent2 8 6 4 2" xfId="21393"/>
    <cellStyle name="20% - Accent2 8 6 5" xfId="21386"/>
    <cellStyle name="20% - Accent2 8 7" xfId="3418"/>
    <cellStyle name="20% - Accent2 8 7 2" xfId="3419"/>
    <cellStyle name="20% - Accent2 8 7 2 2" xfId="3420"/>
    <cellStyle name="20% - Accent2 8 7 2 2 2" xfId="21396"/>
    <cellStyle name="20% - Accent2 8 7 2 3" xfId="21395"/>
    <cellStyle name="20% - Accent2 8 7 3" xfId="3421"/>
    <cellStyle name="20% - Accent2 8 7 3 2" xfId="21397"/>
    <cellStyle name="20% - Accent2 8 7 4" xfId="21394"/>
    <cellStyle name="20% - Accent2 8 8" xfId="3422"/>
    <cellStyle name="20% - Accent2 8 8 2" xfId="3423"/>
    <cellStyle name="20% - Accent2 8 8 2 2" xfId="21399"/>
    <cellStyle name="20% - Accent2 8 8 3" xfId="21398"/>
    <cellStyle name="20% - Accent2 8 9" xfId="3424"/>
    <cellStyle name="20% - Accent2 8 9 2" xfId="21400"/>
    <cellStyle name="20% - Accent2 9" xfId="3425"/>
    <cellStyle name="20% - Accent2 9 2" xfId="3426"/>
    <cellStyle name="20% - Accent2 9 2 2" xfId="3427"/>
    <cellStyle name="20% - Accent2 9 2 2 2" xfId="3428"/>
    <cellStyle name="20% - Accent2 9 2 2 2 2" xfId="21404"/>
    <cellStyle name="20% - Accent2 9 2 2 3" xfId="21403"/>
    <cellStyle name="20% - Accent2 9 2 3" xfId="3429"/>
    <cellStyle name="20% - Accent2 9 2 3 2" xfId="21405"/>
    <cellStyle name="20% - Accent2 9 2 4" xfId="21402"/>
    <cellStyle name="20% - Accent2 9 3" xfId="3430"/>
    <cellStyle name="20% - Accent2 9 3 2" xfId="3431"/>
    <cellStyle name="20% - Accent2 9 3 2 2" xfId="21407"/>
    <cellStyle name="20% - Accent2 9 3 3" xfId="21406"/>
    <cellStyle name="20% - Accent2 9 4" xfId="3432"/>
    <cellStyle name="20% - Accent2 9 4 2" xfId="21408"/>
    <cellStyle name="20% - Accent2 9 5" xfId="21401"/>
    <cellStyle name="20% - Accent3" xfId="4" builtinId="38" customBuiltin="1"/>
    <cellStyle name="20% - Accent3 10" xfId="3433"/>
    <cellStyle name="20% - Accent3 10 2" xfId="3434"/>
    <cellStyle name="20% - Accent3 10 2 2" xfId="3435"/>
    <cellStyle name="20% - Accent3 10 2 2 2" xfId="3436"/>
    <cellStyle name="20% - Accent3 10 2 2 2 2" xfId="21412"/>
    <cellStyle name="20% - Accent3 10 2 2 3" xfId="21411"/>
    <cellStyle name="20% - Accent3 10 2 3" xfId="3437"/>
    <cellStyle name="20% - Accent3 10 2 3 2" xfId="21413"/>
    <cellStyle name="20% - Accent3 10 2 4" xfId="21410"/>
    <cellStyle name="20% - Accent3 10 3" xfId="3438"/>
    <cellStyle name="20% - Accent3 10 3 2" xfId="3439"/>
    <cellStyle name="20% - Accent3 10 3 2 2" xfId="21415"/>
    <cellStyle name="20% - Accent3 10 3 3" xfId="21414"/>
    <cellStyle name="20% - Accent3 10 4" xfId="3440"/>
    <cellStyle name="20% - Accent3 10 4 2" xfId="21416"/>
    <cellStyle name="20% - Accent3 10 5" xfId="21409"/>
    <cellStyle name="20% - Accent3 11" xfId="3441"/>
    <cellStyle name="20% - Accent3 11 2" xfId="3442"/>
    <cellStyle name="20% - Accent3 11 2 2" xfId="3443"/>
    <cellStyle name="20% - Accent3 11 2 2 2" xfId="3444"/>
    <cellStyle name="20% - Accent3 11 2 2 2 2" xfId="21420"/>
    <cellStyle name="20% - Accent3 11 2 2 3" xfId="21419"/>
    <cellStyle name="20% - Accent3 11 2 3" xfId="3445"/>
    <cellStyle name="20% - Accent3 11 2 3 2" xfId="21421"/>
    <cellStyle name="20% - Accent3 11 2 4" xfId="21418"/>
    <cellStyle name="20% - Accent3 11 3" xfId="3446"/>
    <cellStyle name="20% - Accent3 11 3 2" xfId="3447"/>
    <cellStyle name="20% - Accent3 11 3 2 2" xfId="21423"/>
    <cellStyle name="20% - Accent3 11 3 3" xfId="21422"/>
    <cellStyle name="20% - Accent3 11 4" xfId="3448"/>
    <cellStyle name="20% - Accent3 11 4 2" xfId="21424"/>
    <cellStyle name="20% - Accent3 11 5" xfId="21417"/>
    <cellStyle name="20% - Accent3 12" xfId="3449"/>
    <cellStyle name="20% - Accent3 12 2" xfId="3450"/>
    <cellStyle name="20% - Accent3 12 2 2" xfId="3451"/>
    <cellStyle name="20% - Accent3 12 2 2 2" xfId="3452"/>
    <cellStyle name="20% - Accent3 12 2 2 2 2" xfId="21428"/>
    <cellStyle name="20% - Accent3 12 2 2 3" xfId="21427"/>
    <cellStyle name="20% - Accent3 12 2 3" xfId="3453"/>
    <cellStyle name="20% - Accent3 12 2 3 2" xfId="21429"/>
    <cellStyle name="20% - Accent3 12 2 4" xfId="21426"/>
    <cellStyle name="20% - Accent3 12 3" xfId="3454"/>
    <cellStyle name="20% - Accent3 12 3 2" xfId="3455"/>
    <cellStyle name="20% - Accent3 12 3 2 2" xfId="21431"/>
    <cellStyle name="20% - Accent3 12 3 3" xfId="21430"/>
    <cellStyle name="20% - Accent3 12 4" xfId="3456"/>
    <cellStyle name="20% - Accent3 12 4 2" xfId="21432"/>
    <cellStyle name="20% - Accent3 12 5" xfId="21425"/>
    <cellStyle name="20% - Accent3 13" xfId="3457"/>
    <cellStyle name="20% - Accent3 14" xfId="3458"/>
    <cellStyle name="20% - Accent3 14 2" xfId="3459"/>
    <cellStyle name="20% - Accent3 14 2 2" xfId="3460"/>
    <cellStyle name="20% - Accent3 14 2 2 2" xfId="21435"/>
    <cellStyle name="20% - Accent3 14 2 3" xfId="21434"/>
    <cellStyle name="20% - Accent3 14 3" xfId="3461"/>
    <cellStyle name="20% - Accent3 14 3 2" xfId="21436"/>
    <cellStyle name="20% - Accent3 14 4" xfId="21433"/>
    <cellStyle name="20% - Accent3 15" xfId="3462"/>
    <cellStyle name="20% - Accent3 15 2" xfId="3463"/>
    <cellStyle name="20% - Accent3 15 2 2" xfId="3464"/>
    <cellStyle name="20% - Accent3 15 2 2 2" xfId="21439"/>
    <cellStyle name="20% - Accent3 15 2 3" xfId="21438"/>
    <cellStyle name="20% - Accent3 15 3" xfId="3465"/>
    <cellStyle name="20% - Accent3 15 3 2" xfId="21440"/>
    <cellStyle name="20% - Accent3 15 4" xfId="21437"/>
    <cellStyle name="20% - Accent3 16" xfId="3466"/>
    <cellStyle name="20% - Accent3 16 2" xfId="3467"/>
    <cellStyle name="20% - Accent3 16 2 2" xfId="3468"/>
    <cellStyle name="20% - Accent3 16 2 2 2" xfId="21443"/>
    <cellStyle name="20% - Accent3 16 2 3" xfId="21442"/>
    <cellStyle name="20% - Accent3 16 3" xfId="3469"/>
    <cellStyle name="20% - Accent3 16 3 2" xfId="21444"/>
    <cellStyle name="20% - Accent3 16 4" xfId="21441"/>
    <cellStyle name="20% - Accent3 17" xfId="3470"/>
    <cellStyle name="20% - Accent3 17 2" xfId="3471"/>
    <cellStyle name="20% - Accent3 17 2 2" xfId="3472"/>
    <cellStyle name="20% - Accent3 17 2 2 2" xfId="21447"/>
    <cellStyle name="20% - Accent3 17 2 3" xfId="21446"/>
    <cellStyle name="20% - Accent3 17 3" xfId="3473"/>
    <cellStyle name="20% - Accent3 17 3 2" xfId="21448"/>
    <cellStyle name="20% - Accent3 17 4" xfId="21445"/>
    <cellStyle name="20% - Accent3 18" xfId="3474"/>
    <cellStyle name="20% - Accent3 18 2" xfId="3475"/>
    <cellStyle name="20% - Accent3 18 2 2" xfId="3476"/>
    <cellStyle name="20% - Accent3 18 2 2 2" xfId="21451"/>
    <cellStyle name="20% - Accent3 18 2 3" xfId="21450"/>
    <cellStyle name="20% - Accent3 18 3" xfId="3477"/>
    <cellStyle name="20% - Accent3 18 3 2" xfId="21452"/>
    <cellStyle name="20% - Accent3 18 4" xfId="21449"/>
    <cellStyle name="20% - Accent3 19" xfId="3478"/>
    <cellStyle name="20% - Accent3 19 2" xfId="3479"/>
    <cellStyle name="20% - Accent3 19 2 2" xfId="3480"/>
    <cellStyle name="20% - Accent3 19 2 2 2" xfId="21455"/>
    <cellStyle name="20% - Accent3 19 2 3" xfId="21454"/>
    <cellStyle name="20% - Accent3 19 3" xfId="3481"/>
    <cellStyle name="20% - Accent3 19 3 2" xfId="21456"/>
    <cellStyle name="20% - Accent3 19 4" xfId="21453"/>
    <cellStyle name="20% - Accent3 2" xfId="238"/>
    <cellStyle name="20% - Accent3 2 2" xfId="3482"/>
    <cellStyle name="20% - Accent3 2 2 2" xfId="3483"/>
    <cellStyle name="20% - Accent3 2 3" xfId="3484"/>
    <cellStyle name="20% - Accent3 2 3 2" xfId="3485"/>
    <cellStyle name="20% - Accent3 2 3 3" xfId="3486"/>
    <cellStyle name="20% - Accent3 2 3 3 2" xfId="3487"/>
    <cellStyle name="20% - Accent3 2 3 3 2 2" xfId="3488"/>
    <cellStyle name="20% - Accent3 2 3 3 2 2 2" xfId="21459"/>
    <cellStyle name="20% - Accent3 2 3 3 2 3" xfId="21458"/>
    <cellStyle name="20% - Accent3 2 3 3 3" xfId="3489"/>
    <cellStyle name="20% - Accent3 2 3 3 3 2" xfId="21460"/>
    <cellStyle name="20% - Accent3 2 3 3 4" xfId="21457"/>
    <cellStyle name="20% - Accent3 2 4" xfId="3490"/>
    <cellStyle name="20% - Accent3 2 5" xfId="3491"/>
    <cellStyle name="20% - Accent3 20" xfId="3492"/>
    <cellStyle name="20% - Accent3 20 2" xfId="3493"/>
    <cellStyle name="20% - Accent3 20 2 2" xfId="3494"/>
    <cellStyle name="20% - Accent3 20 2 2 2" xfId="21463"/>
    <cellStyle name="20% - Accent3 20 2 3" xfId="21462"/>
    <cellStyle name="20% - Accent3 20 3" xfId="3495"/>
    <cellStyle name="20% - Accent3 20 3 2" xfId="21464"/>
    <cellStyle name="20% - Accent3 20 4" xfId="21461"/>
    <cellStyle name="20% - Accent3 21" xfId="3496"/>
    <cellStyle name="20% - Accent3 21 2" xfId="3497"/>
    <cellStyle name="20% - Accent3 21 2 2" xfId="3498"/>
    <cellStyle name="20% - Accent3 21 2 2 2" xfId="21467"/>
    <cellStyle name="20% - Accent3 21 2 3" xfId="21466"/>
    <cellStyle name="20% - Accent3 21 3" xfId="3499"/>
    <cellStyle name="20% - Accent3 21 3 2" xfId="21468"/>
    <cellStyle name="20% - Accent3 21 4" xfId="21465"/>
    <cellStyle name="20% - Accent3 22" xfId="3500"/>
    <cellStyle name="20% - Accent3 23" xfId="3501"/>
    <cellStyle name="20% - Accent3 23 2" xfId="3502"/>
    <cellStyle name="20% - Accent3 23 2 2" xfId="21470"/>
    <cellStyle name="20% - Accent3 23 3" xfId="21469"/>
    <cellStyle name="20% - Accent3 24" xfId="3503"/>
    <cellStyle name="20% - Accent3 25" xfId="3504"/>
    <cellStyle name="20% - Accent3 25 2" xfId="21471"/>
    <cellStyle name="20% - Accent3 26" xfId="3505"/>
    <cellStyle name="20% - Accent3 26 2" xfId="21472"/>
    <cellStyle name="20% - Accent3 27" xfId="3506"/>
    <cellStyle name="20% - Accent3 27 2" xfId="21473"/>
    <cellStyle name="20% - Accent3 28" xfId="3507"/>
    <cellStyle name="20% - Accent3 28 2" xfId="21474"/>
    <cellStyle name="20% - Accent3 29" xfId="3508"/>
    <cellStyle name="20% - Accent3 29 2" xfId="21475"/>
    <cellStyle name="20% - Accent3 3" xfId="652"/>
    <cellStyle name="20% - Accent3 3 2" xfId="3509"/>
    <cellStyle name="20% - Accent3 3 2 2" xfId="3510"/>
    <cellStyle name="20% - Accent3 3 2 2 2" xfId="3511"/>
    <cellStyle name="20% - Accent3 3 2 2 2 2" xfId="3512"/>
    <cellStyle name="20% - Accent3 3 2 2 2 2 2" xfId="3513"/>
    <cellStyle name="20% - Accent3 3 2 2 2 2 2 2" xfId="3514"/>
    <cellStyle name="20% - Accent3 3 2 2 2 2 2 2 2" xfId="3515"/>
    <cellStyle name="20% - Accent3 3 2 2 2 2 2 2 2 2" xfId="21482"/>
    <cellStyle name="20% - Accent3 3 2 2 2 2 2 2 3" xfId="21481"/>
    <cellStyle name="20% - Accent3 3 2 2 2 2 2 3" xfId="3516"/>
    <cellStyle name="20% - Accent3 3 2 2 2 2 2 3 2" xfId="21483"/>
    <cellStyle name="20% - Accent3 3 2 2 2 2 2 4" xfId="21480"/>
    <cellStyle name="20% - Accent3 3 2 2 2 2 3" xfId="3517"/>
    <cellStyle name="20% - Accent3 3 2 2 2 2 3 2" xfId="3518"/>
    <cellStyle name="20% - Accent3 3 2 2 2 2 3 2 2" xfId="21485"/>
    <cellStyle name="20% - Accent3 3 2 2 2 2 3 3" xfId="21484"/>
    <cellStyle name="20% - Accent3 3 2 2 2 2 4" xfId="3519"/>
    <cellStyle name="20% - Accent3 3 2 2 2 2 4 2" xfId="21486"/>
    <cellStyle name="20% - Accent3 3 2 2 2 2 5" xfId="21479"/>
    <cellStyle name="20% - Accent3 3 2 2 2 3" xfId="3520"/>
    <cellStyle name="20% - Accent3 3 2 2 2 3 2" xfId="3521"/>
    <cellStyle name="20% - Accent3 3 2 2 2 3 2 2" xfId="3522"/>
    <cellStyle name="20% - Accent3 3 2 2 2 3 2 2 2" xfId="3523"/>
    <cellStyle name="20% - Accent3 3 2 2 2 3 2 2 2 2" xfId="21490"/>
    <cellStyle name="20% - Accent3 3 2 2 2 3 2 2 3" xfId="21489"/>
    <cellStyle name="20% - Accent3 3 2 2 2 3 2 3" xfId="3524"/>
    <cellStyle name="20% - Accent3 3 2 2 2 3 2 3 2" xfId="21491"/>
    <cellStyle name="20% - Accent3 3 2 2 2 3 2 4" xfId="21488"/>
    <cellStyle name="20% - Accent3 3 2 2 2 3 3" xfId="3525"/>
    <cellStyle name="20% - Accent3 3 2 2 2 3 3 2" xfId="3526"/>
    <cellStyle name="20% - Accent3 3 2 2 2 3 3 2 2" xfId="21493"/>
    <cellStyle name="20% - Accent3 3 2 2 2 3 3 3" xfId="21492"/>
    <cellStyle name="20% - Accent3 3 2 2 2 3 4" xfId="3527"/>
    <cellStyle name="20% - Accent3 3 2 2 2 3 4 2" xfId="21494"/>
    <cellStyle name="20% - Accent3 3 2 2 2 3 5" xfId="21487"/>
    <cellStyle name="20% - Accent3 3 2 2 2 4" xfId="3528"/>
    <cellStyle name="20% - Accent3 3 2 2 2 4 2" xfId="3529"/>
    <cellStyle name="20% - Accent3 3 2 2 2 4 2 2" xfId="3530"/>
    <cellStyle name="20% - Accent3 3 2 2 2 4 2 2 2" xfId="21497"/>
    <cellStyle name="20% - Accent3 3 2 2 2 4 2 3" xfId="21496"/>
    <cellStyle name="20% - Accent3 3 2 2 2 4 3" xfId="3531"/>
    <cellStyle name="20% - Accent3 3 2 2 2 4 3 2" xfId="21498"/>
    <cellStyle name="20% - Accent3 3 2 2 2 4 4" xfId="21495"/>
    <cellStyle name="20% - Accent3 3 2 2 2 5" xfId="3532"/>
    <cellStyle name="20% - Accent3 3 2 2 2 5 2" xfId="3533"/>
    <cellStyle name="20% - Accent3 3 2 2 2 5 2 2" xfId="21500"/>
    <cellStyle name="20% - Accent3 3 2 2 2 5 3" xfId="21499"/>
    <cellStyle name="20% - Accent3 3 2 2 2 6" xfId="3534"/>
    <cellStyle name="20% - Accent3 3 2 2 2 6 2" xfId="21501"/>
    <cellStyle name="20% - Accent3 3 2 2 2 7" xfId="21478"/>
    <cellStyle name="20% - Accent3 3 2 2 3" xfId="3535"/>
    <cellStyle name="20% - Accent3 3 2 2 3 2" xfId="3536"/>
    <cellStyle name="20% - Accent3 3 2 2 3 2 2" xfId="3537"/>
    <cellStyle name="20% - Accent3 3 2 2 3 2 2 2" xfId="3538"/>
    <cellStyle name="20% - Accent3 3 2 2 3 2 2 2 2" xfId="21505"/>
    <cellStyle name="20% - Accent3 3 2 2 3 2 2 3" xfId="21504"/>
    <cellStyle name="20% - Accent3 3 2 2 3 2 3" xfId="3539"/>
    <cellStyle name="20% - Accent3 3 2 2 3 2 3 2" xfId="21506"/>
    <cellStyle name="20% - Accent3 3 2 2 3 2 4" xfId="21503"/>
    <cellStyle name="20% - Accent3 3 2 2 3 3" xfId="3540"/>
    <cellStyle name="20% - Accent3 3 2 2 3 3 2" xfId="3541"/>
    <cellStyle name="20% - Accent3 3 2 2 3 3 2 2" xfId="21508"/>
    <cellStyle name="20% - Accent3 3 2 2 3 3 3" xfId="21507"/>
    <cellStyle name="20% - Accent3 3 2 2 3 4" xfId="3542"/>
    <cellStyle name="20% - Accent3 3 2 2 3 4 2" xfId="21509"/>
    <cellStyle name="20% - Accent3 3 2 2 3 5" xfId="21502"/>
    <cellStyle name="20% - Accent3 3 2 2 4" xfId="3543"/>
    <cellStyle name="20% - Accent3 3 2 2 4 2" xfId="3544"/>
    <cellStyle name="20% - Accent3 3 2 2 4 2 2" xfId="3545"/>
    <cellStyle name="20% - Accent3 3 2 2 4 2 2 2" xfId="3546"/>
    <cellStyle name="20% - Accent3 3 2 2 4 2 2 2 2" xfId="21513"/>
    <cellStyle name="20% - Accent3 3 2 2 4 2 2 3" xfId="21512"/>
    <cellStyle name="20% - Accent3 3 2 2 4 2 3" xfId="3547"/>
    <cellStyle name="20% - Accent3 3 2 2 4 2 3 2" xfId="21514"/>
    <cellStyle name="20% - Accent3 3 2 2 4 2 4" xfId="21511"/>
    <cellStyle name="20% - Accent3 3 2 2 4 3" xfId="3548"/>
    <cellStyle name="20% - Accent3 3 2 2 4 3 2" xfId="3549"/>
    <cellStyle name="20% - Accent3 3 2 2 4 3 2 2" xfId="21516"/>
    <cellStyle name="20% - Accent3 3 2 2 4 3 3" xfId="21515"/>
    <cellStyle name="20% - Accent3 3 2 2 4 4" xfId="3550"/>
    <cellStyle name="20% - Accent3 3 2 2 4 4 2" xfId="21517"/>
    <cellStyle name="20% - Accent3 3 2 2 4 5" xfId="21510"/>
    <cellStyle name="20% - Accent3 3 2 2 5" xfId="3551"/>
    <cellStyle name="20% - Accent3 3 2 2 5 2" xfId="3552"/>
    <cellStyle name="20% - Accent3 3 2 2 5 2 2" xfId="3553"/>
    <cellStyle name="20% - Accent3 3 2 2 5 2 2 2" xfId="21520"/>
    <cellStyle name="20% - Accent3 3 2 2 5 2 3" xfId="21519"/>
    <cellStyle name="20% - Accent3 3 2 2 5 3" xfId="3554"/>
    <cellStyle name="20% - Accent3 3 2 2 5 3 2" xfId="21521"/>
    <cellStyle name="20% - Accent3 3 2 2 5 4" xfId="21518"/>
    <cellStyle name="20% - Accent3 3 2 2 6" xfId="3555"/>
    <cellStyle name="20% - Accent3 3 2 2 6 2" xfId="3556"/>
    <cellStyle name="20% - Accent3 3 2 2 6 2 2" xfId="21523"/>
    <cellStyle name="20% - Accent3 3 2 2 6 3" xfId="21522"/>
    <cellStyle name="20% - Accent3 3 2 2 7" xfId="3557"/>
    <cellStyle name="20% - Accent3 3 2 2 7 2" xfId="21524"/>
    <cellStyle name="20% - Accent3 3 2 2 8" xfId="21477"/>
    <cellStyle name="20% - Accent3 3 2 3" xfId="3558"/>
    <cellStyle name="20% - Accent3 3 2 3 2" xfId="3559"/>
    <cellStyle name="20% - Accent3 3 2 3 2 2" xfId="3560"/>
    <cellStyle name="20% - Accent3 3 2 3 2 2 2" xfId="3561"/>
    <cellStyle name="20% - Accent3 3 2 3 2 2 2 2" xfId="3562"/>
    <cellStyle name="20% - Accent3 3 2 3 2 2 2 2 2" xfId="21529"/>
    <cellStyle name="20% - Accent3 3 2 3 2 2 2 3" xfId="21528"/>
    <cellStyle name="20% - Accent3 3 2 3 2 2 3" xfId="3563"/>
    <cellStyle name="20% - Accent3 3 2 3 2 2 3 2" xfId="21530"/>
    <cellStyle name="20% - Accent3 3 2 3 2 2 4" xfId="21527"/>
    <cellStyle name="20% - Accent3 3 2 3 2 3" xfId="3564"/>
    <cellStyle name="20% - Accent3 3 2 3 2 3 2" xfId="3565"/>
    <cellStyle name="20% - Accent3 3 2 3 2 3 2 2" xfId="21532"/>
    <cellStyle name="20% - Accent3 3 2 3 2 3 3" xfId="21531"/>
    <cellStyle name="20% - Accent3 3 2 3 2 4" xfId="3566"/>
    <cellStyle name="20% - Accent3 3 2 3 2 4 2" xfId="21533"/>
    <cellStyle name="20% - Accent3 3 2 3 2 5" xfId="21526"/>
    <cellStyle name="20% - Accent3 3 2 3 3" xfId="3567"/>
    <cellStyle name="20% - Accent3 3 2 3 3 2" xfId="3568"/>
    <cellStyle name="20% - Accent3 3 2 3 3 2 2" xfId="3569"/>
    <cellStyle name="20% - Accent3 3 2 3 3 2 2 2" xfId="3570"/>
    <cellStyle name="20% - Accent3 3 2 3 3 2 2 2 2" xfId="21537"/>
    <cellStyle name="20% - Accent3 3 2 3 3 2 2 3" xfId="21536"/>
    <cellStyle name="20% - Accent3 3 2 3 3 2 3" xfId="3571"/>
    <cellStyle name="20% - Accent3 3 2 3 3 2 3 2" xfId="21538"/>
    <cellStyle name="20% - Accent3 3 2 3 3 2 4" xfId="21535"/>
    <cellStyle name="20% - Accent3 3 2 3 3 3" xfId="3572"/>
    <cellStyle name="20% - Accent3 3 2 3 3 3 2" xfId="3573"/>
    <cellStyle name="20% - Accent3 3 2 3 3 3 2 2" xfId="21540"/>
    <cellStyle name="20% - Accent3 3 2 3 3 3 3" xfId="21539"/>
    <cellStyle name="20% - Accent3 3 2 3 3 4" xfId="3574"/>
    <cellStyle name="20% - Accent3 3 2 3 3 4 2" xfId="21541"/>
    <cellStyle name="20% - Accent3 3 2 3 3 5" xfId="21534"/>
    <cellStyle name="20% - Accent3 3 2 3 4" xfId="3575"/>
    <cellStyle name="20% - Accent3 3 2 3 4 2" xfId="3576"/>
    <cellStyle name="20% - Accent3 3 2 3 4 2 2" xfId="3577"/>
    <cellStyle name="20% - Accent3 3 2 3 4 2 2 2" xfId="21544"/>
    <cellStyle name="20% - Accent3 3 2 3 4 2 3" xfId="21543"/>
    <cellStyle name="20% - Accent3 3 2 3 4 3" xfId="3578"/>
    <cellStyle name="20% - Accent3 3 2 3 4 3 2" xfId="21545"/>
    <cellStyle name="20% - Accent3 3 2 3 4 4" xfId="21542"/>
    <cellStyle name="20% - Accent3 3 2 3 5" xfId="3579"/>
    <cellStyle name="20% - Accent3 3 2 3 5 2" xfId="3580"/>
    <cellStyle name="20% - Accent3 3 2 3 5 2 2" xfId="21547"/>
    <cellStyle name="20% - Accent3 3 2 3 5 3" xfId="21546"/>
    <cellStyle name="20% - Accent3 3 2 3 6" xfId="3581"/>
    <cellStyle name="20% - Accent3 3 2 3 6 2" xfId="21548"/>
    <cellStyle name="20% - Accent3 3 2 3 7" xfId="21525"/>
    <cellStyle name="20% - Accent3 3 2 4" xfId="3582"/>
    <cellStyle name="20% - Accent3 3 2 4 2" xfId="3583"/>
    <cellStyle name="20% - Accent3 3 2 4 2 2" xfId="3584"/>
    <cellStyle name="20% - Accent3 3 2 4 2 2 2" xfId="3585"/>
    <cellStyle name="20% - Accent3 3 2 4 2 2 2 2" xfId="21552"/>
    <cellStyle name="20% - Accent3 3 2 4 2 2 3" xfId="21551"/>
    <cellStyle name="20% - Accent3 3 2 4 2 3" xfId="3586"/>
    <cellStyle name="20% - Accent3 3 2 4 2 3 2" xfId="21553"/>
    <cellStyle name="20% - Accent3 3 2 4 2 4" xfId="21550"/>
    <cellStyle name="20% - Accent3 3 2 4 3" xfId="3587"/>
    <cellStyle name="20% - Accent3 3 2 4 3 2" xfId="3588"/>
    <cellStyle name="20% - Accent3 3 2 4 3 2 2" xfId="21555"/>
    <cellStyle name="20% - Accent3 3 2 4 3 3" xfId="21554"/>
    <cellStyle name="20% - Accent3 3 2 4 4" xfId="3589"/>
    <cellStyle name="20% - Accent3 3 2 4 4 2" xfId="21556"/>
    <cellStyle name="20% - Accent3 3 2 4 5" xfId="21549"/>
    <cellStyle name="20% - Accent3 3 2 5" xfId="3590"/>
    <cellStyle name="20% - Accent3 3 2 5 2" xfId="3591"/>
    <cellStyle name="20% - Accent3 3 2 5 2 2" xfId="3592"/>
    <cellStyle name="20% - Accent3 3 2 5 2 2 2" xfId="3593"/>
    <cellStyle name="20% - Accent3 3 2 5 2 2 2 2" xfId="21560"/>
    <cellStyle name="20% - Accent3 3 2 5 2 2 3" xfId="21559"/>
    <cellStyle name="20% - Accent3 3 2 5 2 3" xfId="3594"/>
    <cellStyle name="20% - Accent3 3 2 5 2 3 2" xfId="21561"/>
    <cellStyle name="20% - Accent3 3 2 5 2 4" xfId="21558"/>
    <cellStyle name="20% - Accent3 3 2 5 3" xfId="3595"/>
    <cellStyle name="20% - Accent3 3 2 5 3 2" xfId="3596"/>
    <cellStyle name="20% - Accent3 3 2 5 3 2 2" xfId="21563"/>
    <cellStyle name="20% - Accent3 3 2 5 3 3" xfId="21562"/>
    <cellStyle name="20% - Accent3 3 2 5 4" xfId="3597"/>
    <cellStyle name="20% - Accent3 3 2 5 4 2" xfId="21564"/>
    <cellStyle name="20% - Accent3 3 2 5 5" xfId="21557"/>
    <cellStyle name="20% - Accent3 3 2 6" xfId="3598"/>
    <cellStyle name="20% - Accent3 3 2 6 2" xfId="3599"/>
    <cellStyle name="20% - Accent3 3 2 6 2 2" xfId="3600"/>
    <cellStyle name="20% - Accent3 3 2 6 2 2 2" xfId="21567"/>
    <cellStyle name="20% - Accent3 3 2 6 2 3" xfId="21566"/>
    <cellStyle name="20% - Accent3 3 2 6 3" xfId="3601"/>
    <cellStyle name="20% - Accent3 3 2 6 3 2" xfId="21568"/>
    <cellStyle name="20% - Accent3 3 2 6 4" xfId="21565"/>
    <cellStyle name="20% - Accent3 3 2 7" xfId="3602"/>
    <cellStyle name="20% - Accent3 3 2 7 2" xfId="3603"/>
    <cellStyle name="20% - Accent3 3 2 7 2 2" xfId="21570"/>
    <cellStyle name="20% - Accent3 3 2 7 3" xfId="21569"/>
    <cellStyle name="20% - Accent3 3 2 8" xfId="3604"/>
    <cellStyle name="20% - Accent3 3 2 8 2" xfId="21571"/>
    <cellStyle name="20% - Accent3 3 2 9" xfId="21476"/>
    <cellStyle name="20% - Accent3 3 3" xfId="3605"/>
    <cellStyle name="20% - Accent3 3 3 2" xfId="3606"/>
    <cellStyle name="20% - Accent3 3 3 2 2" xfId="3607"/>
    <cellStyle name="20% - Accent3 3 3 2 2 2" xfId="3608"/>
    <cellStyle name="20% - Accent3 3 3 2 2 2 2" xfId="3609"/>
    <cellStyle name="20% - Accent3 3 3 2 2 2 2 2" xfId="3610"/>
    <cellStyle name="20% - Accent3 3 3 2 2 2 2 2 2" xfId="21577"/>
    <cellStyle name="20% - Accent3 3 3 2 2 2 2 3" xfId="21576"/>
    <cellStyle name="20% - Accent3 3 3 2 2 2 3" xfId="3611"/>
    <cellStyle name="20% - Accent3 3 3 2 2 2 3 2" xfId="21578"/>
    <cellStyle name="20% - Accent3 3 3 2 2 2 4" xfId="21575"/>
    <cellStyle name="20% - Accent3 3 3 2 2 3" xfId="3612"/>
    <cellStyle name="20% - Accent3 3 3 2 2 3 2" xfId="3613"/>
    <cellStyle name="20% - Accent3 3 3 2 2 3 2 2" xfId="21580"/>
    <cellStyle name="20% - Accent3 3 3 2 2 3 3" xfId="21579"/>
    <cellStyle name="20% - Accent3 3 3 2 2 4" xfId="3614"/>
    <cellStyle name="20% - Accent3 3 3 2 2 4 2" xfId="21581"/>
    <cellStyle name="20% - Accent3 3 3 2 2 5" xfId="21574"/>
    <cellStyle name="20% - Accent3 3 3 2 3" xfId="3615"/>
    <cellStyle name="20% - Accent3 3 3 2 3 2" xfId="3616"/>
    <cellStyle name="20% - Accent3 3 3 2 3 2 2" xfId="3617"/>
    <cellStyle name="20% - Accent3 3 3 2 3 2 2 2" xfId="3618"/>
    <cellStyle name="20% - Accent3 3 3 2 3 2 2 2 2" xfId="21585"/>
    <cellStyle name="20% - Accent3 3 3 2 3 2 2 3" xfId="21584"/>
    <cellStyle name="20% - Accent3 3 3 2 3 2 3" xfId="3619"/>
    <cellStyle name="20% - Accent3 3 3 2 3 2 3 2" xfId="21586"/>
    <cellStyle name="20% - Accent3 3 3 2 3 2 4" xfId="21583"/>
    <cellStyle name="20% - Accent3 3 3 2 3 3" xfId="3620"/>
    <cellStyle name="20% - Accent3 3 3 2 3 3 2" xfId="3621"/>
    <cellStyle name="20% - Accent3 3 3 2 3 3 2 2" xfId="21588"/>
    <cellStyle name="20% - Accent3 3 3 2 3 3 3" xfId="21587"/>
    <cellStyle name="20% - Accent3 3 3 2 3 4" xfId="3622"/>
    <cellStyle name="20% - Accent3 3 3 2 3 4 2" xfId="21589"/>
    <cellStyle name="20% - Accent3 3 3 2 3 5" xfId="21582"/>
    <cellStyle name="20% - Accent3 3 3 2 4" xfId="3623"/>
    <cellStyle name="20% - Accent3 3 3 2 4 2" xfId="3624"/>
    <cellStyle name="20% - Accent3 3 3 2 4 2 2" xfId="3625"/>
    <cellStyle name="20% - Accent3 3 3 2 4 2 2 2" xfId="21592"/>
    <cellStyle name="20% - Accent3 3 3 2 4 2 3" xfId="21591"/>
    <cellStyle name="20% - Accent3 3 3 2 4 3" xfId="3626"/>
    <cellStyle name="20% - Accent3 3 3 2 4 3 2" xfId="21593"/>
    <cellStyle name="20% - Accent3 3 3 2 4 4" xfId="21590"/>
    <cellStyle name="20% - Accent3 3 3 2 5" xfId="3627"/>
    <cellStyle name="20% - Accent3 3 3 2 5 2" xfId="3628"/>
    <cellStyle name="20% - Accent3 3 3 2 5 2 2" xfId="21595"/>
    <cellStyle name="20% - Accent3 3 3 2 5 3" xfId="21594"/>
    <cellStyle name="20% - Accent3 3 3 2 6" xfId="3629"/>
    <cellStyle name="20% - Accent3 3 3 2 6 2" xfId="21596"/>
    <cellStyle name="20% - Accent3 3 3 2 7" xfId="21573"/>
    <cellStyle name="20% - Accent3 3 3 3" xfId="3630"/>
    <cellStyle name="20% - Accent3 3 3 3 2" xfId="3631"/>
    <cellStyle name="20% - Accent3 3 3 3 2 2" xfId="3632"/>
    <cellStyle name="20% - Accent3 3 3 3 2 2 2" xfId="3633"/>
    <cellStyle name="20% - Accent3 3 3 3 2 2 2 2" xfId="21600"/>
    <cellStyle name="20% - Accent3 3 3 3 2 2 3" xfId="21599"/>
    <cellStyle name="20% - Accent3 3 3 3 2 3" xfId="3634"/>
    <cellStyle name="20% - Accent3 3 3 3 2 3 2" xfId="21601"/>
    <cellStyle name="20% - Accent3 3 3 3 2 4" xfId="21598"/>
    <cellStyle name="20% - Accent3 3 3 3 3" xfId="3635"/>
    <cellStyle name="20% - Accent3 3 3 3 3 2" xfId="3636"/>
    <cellStyle name="20% - Accent3 3 3 3 3 2 2" xfId="21603"/>
    <cellStyle name="20% - Accent3 3 3 3 3 3" xfId="21602"/>
    <cellStyle name="20% - Accent3 3 3 3 4" xfId="3637"/>
    <cellStyle name="20% - Accent3 3 3 3 4 2" xfId="21604"/>
    <cellStyle name="20% - Accent3 3 3 3 5" xfId="21597"/>
    <cellStyle name="20% - Accent3 3 3 4" xfId="3638"/>
    <cellStyle name="20% - Accent3 3 3 4 2" xfId="3639"/>
    <cellStyle name="20% - Accent3 3 3 4 2 2" xfId="3640"/>
    <cellStyle name="20% - Accent3 3 3 4 2 2 2" xfId="3641"/>
    <cellStyle name="20% - Accent3 3 3 4 2 2 2 2" xfId="21608"/>
    <cellStyle name="20% - Accent3 3 3 4 2 2 3" xfId="21607"/>
    <cellStyle name="20% - Accent3 3 3 4 2 3" xfId="3642"/>
    <cellStyle name="20% - Accent3 3 3 4 2 3 2" xfId="21609"/>
    <cellStyle name="20% - Accent3 3 3 4 2 4" xfId="21606"/>
    <cellStyle name="20% - Accent3 3 3 4 3" xfId="3643"/>
    <cellStyle name="20% - Accent3 3 3 4 3 2" xfId="3644"/>
    <cellStyle name="20% - Accent3 3 3 4 3 2 2" xfId="21611"/>
    <cellStyle name="20% - Accent3 3 3 4 3 3" xfId="21610"/>
    <cellStyle name="20% - Accent3 3 3 4 4" xfId="3645"/>
    <cellStyle name="20% - Accent3 3 3 4 4 2" xfId="21612"/>
    <cellStyle name="20% - Accent3 3 3 4 5" xfId="21605"/>
    <cellStyle name="20% - Accent3 3 3 5" xfId="3646"/>
    <cellStyle name="20% - Accent3 3 3 5 2" xfId="3647"/>
    <cellStyle name="20% - Accent3 3 3 5 2 2" xfId="3648"/>
    <cellStyle name="20% - Accent3 3 3 5 2 2 2" xfId="21615"/>
    <cellStyle name="20% - Accent3 3 3 5 2 3" xfId="21614"/>
    <cellStyle name="20% - Accent3 3 3 5 3" xfId="3649"/>
    <cellStyle name="20% - Accent3 3 3 5 3 2" xfId="21616"/>
    <cellStyle name="20% - Accent3 3 3 5 4" xfId="21613"/>
    <cellStyle name="20% - Accent3 3 3 6" xfId="3650"/>
    <cellStyle name="20% - Accent3 3 3 6 2" xfId="3651"/>
    <cellStyle name="20% - Accent3 3 3 6 2 2" xfId="21618"/>
    <cellStyle name="20% - Accent3 3 3 6 3" xfId="21617"/>
    <cellStyle name="20% - Accent3 3 3 7" xfId="3652"/>
    <cellStyle name="20% - Accent3 3 3 7 2" xfId="21619"/>
    <cellStyle name="20% - Accent3 3 3 8" xfId="21572"/>
    <cellStyle name="20% - Accent3 3 4" xfId="3653"/>
    <cellStyle name="20% - Accent3 3 4 2" xfId="3654"/>
    <cellStyle name="20% - Accent3 3 4 2 2" xfId="3655"/>
    <cellStyle name="20% - Accent3 3 4 2 2 2" xfId="3656"/>
    <cellStyle name="20% - Accent3 3 4 2 2 2 2" xfId="3657"/>
    <cellStyle name="20% - Accent3 3 4 2 2 2 2 2" xfId="21624"/>
    <cellStyle name="20% - Accent3 3 4 2 2 2 3" xfId="21623"/>
    <cellStyle name="20% - Accent3 3 4 2 2 3" xfId="3658"/>
    <cellStyle name="20% - Accent3 3 4 2 2 3 2" xfId="21625"/>
    <cellStyle name="20% - Accent3 3 4 2 2 4" xfId="21622"/>
    <cellStyle name="20% - Accent3 3 4 2 3" xfId="3659"/>
    <cellStyle name="20% - Accent3 3 4 2 3 2" xfId="3660"/>
    <cellStyle name="20% - Accent3 3 4 2 3 2 2" xfId="21627"/>
    <cellStyle name="20% - Accent3 3 4 2 3 3" xfId="21626"/>
    <cellStyle name="20% - Accent3 3 4 2 4" xfId="3661"/>
    <cellStyle name="20% - Accent3 3 4 2 4 2" xfId="21628"/>
    <cellStyle name="20% - Accent3 3 4 2 5" xfId="21621"/>
    <cellStyle name="20% - Accent3 3 4 3" xfId="3662"/>
    <cellStyle name="20% - Accent3 3 4 3 2" xfId="3663"/>
    <cellStyle name="20% - Accent3 3 4 3 2 2" xfId="3664"/>
    <cellStyle name="20% - Accent3 3 4 3 2 2 2" xfId="3665"/>
    <cellStyle name="20% - Accent3 3 4 3 2 2 2 2" xfId="21632"/>
    <cellStyle name="20% - Accent3 3 4 3 2 2 3" xfId="21631"/>
    <cellStyle name="20% - Accent3 3 4 3 2 3" xfId="3666"/>
    <cellStyle name="20% - Accent3 3 4 3 2 3 2" xfId="21633"/>
    <cellStyle name="20% - Accent3 3 4 3 2 4" xfId="21630"/>
    <cellStyle name="20% - Accent3 3 4 3 3" xfId="3667"/>
    <cellStyle name="20% - Accent3 3 4 3 3 2" xfId="3668"/>
    <cellStyle name="20% - Accent3 3 4 3 3 2 2" xfId="21635"/>
    <cellStyle name="20% - Accent3 3 4 3 3 3" xfId="21634"/>
    <cellStyle name="20% - Accent3 3 4 3 4" xfId="3669"/>
    <cellStyle name="20% - Accent3 3 4 3 4 2" xfId="21636"/>
    <cellStyle name="20% - Accent3 3 4 3 5" xfId="21629"/>
    <cellStyle name="20% - Accent3 3 4 4" xfId="3670"/>
    <cellStyle name="20% - Accent3 3 4 4 2" xfId="3671"/>
    <cellStyle name="20% - Accent3 3 4 4 2 2" xfId="3672"/>
    <cellStyle name="20% - Accent3 3 4 4 2 2 2" xfId="21639"/>
    <cellStyle name="20% - Accent3 3 4 4 2 3" xfId="21638"/>
    <cellStyle name="20% - Accent3 3 4 4 3" xfId="3673"/>
    <cellStyle name="20% - Accent3 3 4 4 3 2" xfId="21640"/>
    <cellStyle name="20% - Accent3 3 4 4 4" xfId="21637"/>
    <cellStyle name="20% - Accent3 3 4 5" xfId="3674"/>
    <cellStyle name="20% - Accent3 3 4 5 2" xfId="3675"/>
    <cellStyle name="20% - Accent3 3 4 5 2 2" xfId="21642"/>
    <cellStyle name="20% - Accent3 3 4 5 3" xfId="21641"/>
    <cellStyle name="20% - Accent3 3 4 6" xfId="3676"/>
    <cellStyle name="20% - Accent3 3 4 6 2" xfId="21643"/>
    <cellStyle name="20% - Accent3 3 4 7" xfId="21620"/>
    <cellStyle name="20% - Accent3 3 5" xfId="3677"/>
    <cellStyle name="20% - Accent3 3 5 2" xfId="3678"/>
    <cellStyle name="20% - Accent3 3 5 2 2" xfId="3679"/>
    <cellStyle name="20% - Accent3 3 5 2 2 2" xfId="3680"/>
    <cellStyle name="20% - Accent3 3 5 2 2 2 2" xfId="21647"/>
    <cellStyle name="20% - Accent3 3 5 2 2 3" xfId="21646"/>
    <cellStyle name="20% - Accent3 3 5 2 3" xfId="3681"/>
    <cellStyle name="20% - Accent3 3 5 2 3 2" xfId="21648"/>
    <cellStyle name="20% - Accent3 3 5 2 4" xfId="21645"/>
    <cellStyle name="20% - Accent3 3 5 3" xfId="3682"/>
    <cellStyle name="20% - Accent3 3 5 3 2" xfId="3683"/>
    <cellStyle name="20% - Accent3 3 5 3 2 2" xfId="21650"/>
    <cellStyle name="20% - Accent3 3 5 3 3" xfId="21649"/>
    <cellStyle name="20% - Accent3 3 5 4" xfId="3684"/>
    <cellStyle name="20% - Accent3 3 5 4 2" xfId="21651"/>
    <cellStyle name="20% - Accent3 3 5 5" xfId="21644"/>
    <cellStyle name="20% - Accent3 3 6" xfId="3685"/>
    <cellStyle name="20% - Accent3 3 6 2" xfId="3686"/>
    <cellStyle name="20% - Accent3 3 6 2 2" xfId="3687"/>
    <cellStyle name="20% - Accent3 3 6 2 2 2" xfId="3688"/>
    <cellStyle name="20% - Accent3 3 6 2 2 2 2" xfId="21655"/>
    <cellStyle name="20% - Accent3 3 6 2 2 3" xfId="21654"/>
    <cellStyle name="20% - Accent3 3 6 2 3" xfId="3689"/>
    <cellStyle name="20% - Accent3 3 6 2 3 2" xfId="21656"/>
    <cellStyle name="20% - Accent3 3 6 2 4" xfId="21653"/>
    <cellStyle name="20% - Accent3 3 6 3" xfId="3690"/>
    <cellStyle name="20% - Accent3 3 6 3 2" xfId="3691"/>
    <cellStyle name="20% - Accent3 3 6 3 2 2" xfId="21658"/>
    <cellStyle name="20% - Accent3 3 6 3 3" xfId="21657"/>
    <cellStyle name="20% - Accent3 3 6 4" xfId="3692"/>
    <cellStyle name="20% - Accent3 3 6 4 2" xfId="21659"/>
    <cellStyle name="20% - Accent3 3 6 5" xfId="21652"/>
    <cellStyle name="20% - Accent3 3 7" xfId="3693"/>
    <cellStyle name="20% - Accent3 3 7 2" xfId="3694"/>
    <cellStyle name="20% - Accent3 3 7 2 2" xfId="3695"/>
    <cellStyle name="20% - Accent3 3 7 2 2 2" xfId="21662"/>
    <cellStyle name="20% - Accent3 3 7 2 3" xfId="21661"/>
    <cellStyle name="20% - Accent3 3 7 3" xfId="3696"/>
    <cellStyle name="20% - Accent3 3 7 3 2" xfId="21663"/>
    <cellStyle name="20% - Accent3 3 7 4" xfId="21660"/>
    <cellStyle name="20% - Accent3 3 8" xfId="3697"/>
    <cellStyle name="20% - Accent3 3 8 2" xfId="3698"/>
    <cellStyle name="20% - Accent3 3 8 2 2" xfId="21665"/>
    <cellStyle name="20% - Accent3 3 8 3" xfId="21664"/>
    <cellStyle name="20% - Accent3 3 9" xfId="3699"/>
    <cellStyle name="20% - Accent3 3 9 2" xfId="21666"/>
    <cellStyle name="20% - Accent3 30" xfId="3700"/>
    <cellStyle name="20% - Accent3 30 2" xfId="21667"/>
    <cellStyle name="20% - Accent3 31" xfId="3701"/>
    <cellStyle name="20% - Accent3 31 2" xfId="21668"/>
    <cellStyle name="20% - Accent3 32" xfId="3702"/>
    <cellStyle name="20% - Accent3 4" xfId="3703"/>
    <cellStyle name="20% - Accent3 4 10" xfId="21669"/>
    <cellStyle name="20% - Accent3 4 2" xfId="3704"/>
    <cellStyle name="20% - Accent3 4 2 2" xfId="3705"/>
    <cellStyle name="20% - Accent3 4 2 2 2" xfId="3706"/>
    <cellStyle name="20% - Accent3 4 2 2 2 2" xfId="3707"/>
    <cellStyle name="20% - Accent3 4 2 2 2 2 2" xfId="3708"/>
    <cellStyle name="20% - Accent3 4 2 2 2 2 2 2" xfId="3709"/>
    <cellStyle name="20% - Accent3 4 2 2 2 2 2 2 2" xfId="3710"/>
    <cellStyle name="20% - Accent3 4 2 2 2 2 2 2 2 2" xfId="21676"/>
    <cellStyle name="20% - Accent3 4 2 2 2 2 2 2 3" xfId="21675"/>
    <cellStyle name="20% - Accent3 4 2 2 2 2 2 3" xfId="3711"/>
    <cellStyle name="20% - Accent3 4 2 2 2 2 2 3 2" xfId="21677"/>
    <cellStyle name="20% - Accent3 4 2 2 2 2 2 4" xfId="21674"/>
    <cellStyle name="20% - Accent3 4 2 2 2 2 3" xfId="3712"/>
    <cellStyle name="20% - Accent3 4 2 2 2 2 3 2" xfId="3713"/>
    <cellStyle name="20% - Accent3 4 2 2 2 2 3 2 2" xfId="21679"/>
    <cellStyle name="20% - Accent3 4 2 2 2 2 3 3" xfId="21678"/>
    <cellStyle name="20% - Accent3 4 2 2 2 2 4" xfId="3714"/>
    <cellStyle name="20% - Accent3 4 2 2 2 2 4 2" xfId="21680"/>
    <cellStyle name="20% - Accent3 4 2 2 2 2 5" xfId="21673"/>
    <cellStyle name="20% - Accent3 4 2 2 2 3" xfId="3715"/>
    <cellStyle name="20% - Accent3 4 2 2 2 3 2" xfId="3716"/>
    <cellStyle name="20% - Accent3 4 2 2 2 3 2 2" xfId="3717"/>
    <cellStyle name="20% - Accent3 4 2 2 2 3 2 2 2" xfId="3718"/>
    <cellStyle name="20% - Accent3 4 2 2 2 3 2 2 2 2" xfId="21684"/>
    <cellStyle name="20% - Accent3 4 2 2 2 3 2 2 3" xfId="21683"/>
    <cellStyle name="20% - Accent3 4 2 2 2 3 2 3" xfId="3719"/>
    <cellStyle name="20% - Accent3 4 2 2 2 3 2 3 2" xfId="21685"/>
    <cellStyle name="20% - Accent3 4 2 2 2 3 2 4" xfId="21682"/>
    <cellStyle name="20% - Accent3 4 2 2 2 3 3" xfId="3720"/>
    <cellStyle name="20% - Accent3 4 2 2 2 3 3 2" xfId="3721"/>
    <cellStyle name="20% - Accent3 4 2 2 2 3 3 2 2" xfId="21687"/>
    <cellStyle name="20% - Accent3 4 2 2 2 3 3 3" xfId="21686"/>
    <cellStyle name="20% - Accent3 4 2 2 2 3 4" xfId="3722"/>
    <cellStyle name="20% - Accent3 4 2 2 2 3 4 2" xfId="21688"/>
    <cellStyle name="20% - Accent3 4 2 2 2 3 5" xfId="21681"/>
    <cellStyle name="20% - Accent3 4 2 2 2 4" xfId="3723"/>
    <cellStyle name="20% - Accent3 4 2 2 2 4 2" xfId="3724"/>
    <cellStyle name="20% - Accent3 4 2 2 2 4 2 2" xfId="3725"/>
    <cellStyle name="20% - Accent3 4 2 2 2 4 2 2 2" xfId="21691"/>
    <cellStyle name="20% - Accent3 4 2 2 2 4 2 3" xfId="21690"/>
    <cellStyle name="20% - Accent3 4 2 2 2 4 3" xfId="3726"/>
    <cellStyle name="20% - Accent3 4 2 2 2 4 3 2" xfId="21692"/>
    <cellStyle name="20% - Accent3 4 2 2 2 4 4" xfId="21689"/>
    <cellStyle name="20% - Accent3 4 2 2 2 5" xfId="3727"/>
    <cellStyle name="20% - Accent3 4 2 2 2 5 2" xfId="3728"/>
    <cellStyle name="20% - Accent3 4 2 2 2 5 2 2" xfId="21694"/>
    <cellStyle name="20% - Accent3 4 2 2 2 5 3" xfId="21693"/>
    <cellStyle name="20% - Accent3 4 2 2 2 6" xfId="3729"/>
    <cellStyle name="20% - Accent3 4 2 2 2 6 2" xfId="21695"/>
    <cellStyle name="20% - Accent3 4 2 2 2 7" xfId="21672"/>
    <cellStyle name="20% - Accent3 4 2 2 3" xfId="3730"/>
    <cellStyle name="20% - Accent3 4 2 2 3 2" xfId="3731"/>
    <cellStyle name="20% - Accent3 4 2 2 3 2 2" xfId="3732"/>
    <cellStyle name="20% - Accent3 4 2 2 3 2 2 2" xfId="3733"/>
    <cellStyle name="20% - Accent3 4 2 2 3 2 2 2 2" xfId="21699"/>
    <cellStyle name="20% - Accent3 4 2 2 3 2 2 3" xfId="21698"/>
    <cellStyle name="20% - Accent3 4 2 2 3 2 3" xfId="3734"/>
    <cellStyle name="20% - Accent3 4 2 2 3 2 3 2" xfId="21700"/>
    <cellStyle name="20% - Accent3 4 2 2 3 2 4" xfId="21697"/>
    <cellStyle name="20% - Accent3 4 2 2 3 3" xfId="3735"/>
    <cellStyle name="20% - Accent3 4 2 2 3 3 2" xfId="3736"/>
    <cellStyle name="20% - Accent3 4 2 2 3 3 2 2" xfId="21702"/>
    <cellStyle name="20% - Accent3 4 2 2 3 3 3" xfId="21701"/>
    <cellStyle name="20% - Accent3 4 2 2 3 4" xfId="3737"/>
    <cellStyle name="20% - Accent3 4 2 2 3 4 2" xfId="21703"/>
    <cellStyle name="20% - Accent3 4 2 2 3 5" xfId="21696"/>
    <cellStyle name="20% - Accent3 4 2 2 4" xfId="3738"/>
    <cellStyle name="20% - Accent3 4 2 2 4 2" xfId="3739"/>
    <cellStyle name="20% - Accent3 4 2 2 4 2 2" xfId="3740"/>
    <cellStyle name="20% - Accent3 4 2 2 4 2 2 2" xfId="3741"/>
    <cellStyle name="20% - Accent3 4 2 2 4 2 2 2 2" xfId="21707"/>
    <cellStyle name="20% - Accent3 4 2 2 4 2 2 3" xfId="21706"/>
    <cellStyle name="20% - Accent3 4 2 2 4 2 3" xfId="3742"/>
    <cellStyle name="20% - Accent3 4 2 2 4 2 3 2" xfId="21708"/>
    <cellStyle name="20% - Accent3 4 2 2 4 2 4" xfId="21705"/>
    <cellStyle name="20% - Accent3 4 2 2 4 3" xfId="3743"/>
    <cellStyle name="20% - Accent3 4 2 2 4 3 2" xfId="3744"/>
    <cellStyle name="20% - Accent3 4 2 2 4 3 2 2" xfId="21710"/>
    <cellStyle name="20% - Accent3 4 2 2 4 3 3" xfId="21709"/>
    <cellStyle name="20% - Accent3 4 2 2 4 4" xfId="3745"/>
    <cellStyle name="20% - Accent3 4 2 2 4 4 2" xfId="21711"/>
    <cellStyle name="20% - Accent3 4 2 2 4 5" xfId="21704"/>
    <cellStyle name="20% - Accent3 4 2 2 5" xfId="3746"/>
    <cellStyle name="20% - Accent3 4 2 2 5 2" xfId="3747"/>
    <cellStyle name="20% - Accent3 4 2 2 5 2 2" xfId="3748"/>
    <cellStyle name="20% - Accent3 4 2 2 5 2 2 2" xfId="21714"/>
    <cellStyle name="20% - Accent3 4 2 2 5 2 3" xfId="21713"/>
    <cellStyle name="20% - Accent3 4 2 2 5 3" xfId="3749"/>
    <cellStyle name="20% - Accent3 4 2 2 5 3 2" xfId="21715"/>
    <cellStyle name="20% - Accent3 4 2 2 5 4" xfId="21712"/>
    <cellStyle name="20% - Accent3 4 2 2 6" xfId="3750"/>
    <cellStyle name="20% - Accent3 4 2 2 6 2" xfId="3751"/>
    <cellStyle name="20% - Accent3 4 2 2 6 2 2" xfId="21717"/>
    <cellStyle name="20% - Accent3 4 2 2 6 3" xfId="21716"/>
    <cellStyle name="20% - Accent3 4 2 2 7" xfId="3752"/>
    <cellStyle name="20% - Accent3 4 2 2 7 2" xfId="21718"/>
    <cellStyle name="20% - Accent3 4 2 2 8" xfId="21671"/>
    <cellStyle name="20% - Accent3 4 2 3" xfId="3753"/>
    <cellStyle name="20% - Accent3 4 2 3 2" xfId="3754"/>
    <cellStyle name="20% - Accent3 4 2 3 2 2" xfId="3755"/>
    <cellStyle name="20% - Accent3 4 2 3 2 2 2" xfId="3756"/>
    <cellStyle name="20% - Accent3 4 2 3 2 2 2 2" xfId="3757"/>
    <cellStyle name="20% - Accent3 4 2 3 2 2 2 2 2" xfId="21723"/>
    <cellStyle name="20% - Accent3 4 2 3 2 2 2 3" xfId="21722"/>
    <cellStyle name="20% - Accent3 4 2 3 2 2 3" xfId="3758"/>
    <cellStyle name="20% - Accent3 4 2 3 2 2 3 2" xfId="21724"/>
    <cellStyle name="20% - Accent3 4 2 3 2 2 4" xfId="21721"/>
    <cellStyle name="20% - Accent3 4 2 3 2 3" xfId="3759"/>
    <cellStyle name="20% - Accent3 4 2 3 2 3 2" xfId="3760"/>
    <cellStyle name="20% - Accent3 4 2 3 2 3 2 2" xfId="21726"/>
    <cellStyle name="20% - Accent3 4 2 3 2 3 3" xfId="21725"/>
    <cellStyle name="20% - Accent3 4 2 3 2 4" xfId="3761"/>
    <cellStyle name="20% - Accent3 4 2 3 2 4 2" xfId="21727"/>
    <cellStyle name="20% - Accent3 4 2 3 2 5" xfId="21720"/>
    <cellStyle name="20% - Accent3 4 2 3 3" xfId="3762"/>
    <cellStyle name="20% - Accent3 4 2 3 3 2" xfId="3763"/>
    <cellStyle name="20% - Accent3 4 2 3 3 2 2" xfId="3764"/>
    <cellStyle name="20% - Accent3 4 2 3 3 2 2 2" xfId="3765"/>
    <cellStyle name="20% - Accent3 4 2 3 3 2 2 2 2" xfId="21731"/>
    <cellStyle name="20% - Accent3 4 2 3 3 2 2 3" xfId="21730"/>
    <cellStyle name="20% - Accent3 4 2 3 3 2 3" xfId="3766"/>
    <cellStyle name="20% - Accent3 4 2 3 3 2 3 2" xfId="21732"/>
    <cellStyle name="20% - Accent3 4 2 3 3 2 4" xfId="21729"/>
    <cellStyle name="20% - Accent3 4 2 3 3 3" xfId="3767"/>
    <cellStyle name="20% - Accent3 4 2 3 3 3 2" xfId="3768"/>
    <cellStyle name="20% - Accent3 4 2 3 3 3 2 2" xfId="21734"/>
    <cellStyle name="20% - Accent3 4 2 3 3 3 3" xfId="21733"/>
    <cellStyle name="20% - Accent3 4 2 3 3 4" xfId="3769"/>
    <cellStyle name="20% - Accent3 4 2 3 3 4 2" xfId="21735"/>
    <cellStyle name="20% - Accent3 4 2 3 3 5" xfId="21728"/>
    <cellStyle name="20% - Accent3 4 2 3 4" xfId="3770"/>
    <cellStyle name="20% - Accent3 4 2 3 4 2" xfId="3771"/>
    <cellStyle name="20% - Accent3 4 2 3 4 2 2" xfId="3772"/>
    <cellStyle name="20% - Accent3 4 2 3 4 2 2 2" xfId="21738"/>
    <cellStyle name="20% - Accent3 4 2 3 4 2 3" xfId="21737"/>
    <cellStyle name="20% - Accent3 4 2 3 4 3" xfId="3773"/>
    <cellStyle name="20% - Accent3 4 2 3 4 3 2" xfId="21739"/>
    <cellStyle name="20% - Accent3 4 2 3 4 4" xfId="21736"/>
    <cellStyle name="20% - Accent3 4 2 3 5" xfId="3774"/>
    <cellStyle name="20% - Accent3 4 2 3 5 2" xfId="3775"/>
    <cellStyle name="20% - Accent3 4 2 3 5 2 2" xfId="21741"/>
    <cellStyle name="20% - Accent3 4 2 3 5 3" xfId="21740"/>
    <cellStyle name="20% - Accent3 4 2 3 6" xfId="3776"/>
    <cellStyle name="20% - Accent3 4 2 3 6 2" xfId="21742"/>
    <cellStyle name="20% - Accent3 4 2 3 7" xfId="21719"/>
    <cellStyle name="20% - Accent3 4 2 4" xfId="3777"/>
    <cellStyle name="20% - Accent3 4 2 4 2" xfId="3778"/>
    <cellStyle name="20% - Accent3 4 2 4 2 2" xfId="3779"/>
    <cellStyle name="20% - Accent3 4 2 4 2 2 2" xfId="3780"/>
    <cellStyle name="20% - Accent3 4 2 4 2 2 2 2" xfId="21746"/>
    <cellStyle name="20% - Accent3 4 2 4 2 2 3" xfId="21745"/>
    <cellStyle name="20% - Accent3 4 2 4 2 3" xfId="3781"/>
    <cellStyle name="20% - Accent3 4 2 4 2 3 2" xfId="21747"/>
    <cellStyle name="20% - Accent3 4 2 4 2 4" xfId="21744"/>
    <cellStyle name="20% - Accent3 4 2 4 3" xfId="3782"/>
    <cellStyle name="20% - Accent3 4 2 4 3 2" xfId="3783"/>
    <cellStyle name="20% - Accent3 4 2 4 3 2 2" xfId="21749"/>
    <cellStyle name="20% - Accent3 4 2 4 3 3" xfId="21748"/>
    <cellStyle name="20% - Accent3 4 2 4 4" xfId="3784"/>
    <cellStyle name="20% - Accent3 4 2 4 4 2" xfId="21750"/>
    <cellStyle name="20% - Accent3 4 2 4 5" xfId="21743"/>
    <cellStyle name="20% - Accent3 4 2 5" xfId="3785"/>
    <cellStyle name="20% - Accent3 4 2 5 2" xfId="3786"/>
    <cellStyle name="20% - Accent3 4 2 5 2 2" xfId="3787"/>
    <cellStyle name="20% - Accent3 4 2 5 2 2 2" xfId="3788"/>
    <cellStyle name="20% - Accent3 4 2 5 2 2 2 2" xfId="21754"/>
    <cellStyle name="20% - Accent3 4 2 5 2 2 3" xfId="21753"/>
    <cellStyle name="20% - Accent3 4 2 5 2 3" xfId="3789"/>
    <cellStyle name="20% - Accent3 4 2 5 2 3 2" xfId="21755"/>
    <cellStyle name="20% - Accent3 4 2 5 2 4" xfId="21752"/>
    <cellStyle name="20% - Accent3 4 2 5 3" xfId="3790"/>
    <cellStyle name="20% - Accent3 4 2 5 3 2" xfId="3791"/>
    <cellStyle name="20% - Accent3 4 2 5 3 2 2" xfId="21757"/>
    <cellStyle name="20% - Accent3 4 2 5 3 3" xfId="21756"/>
    <cellStyle name="20% - Accent3 4 2 5 4" xfId="3792"/>
    <cellStyle name="20% - Accent3 4 2 5 4 2" xfId="21758"/>
    <cellStyle name="20% - Accent3 4 2 5 5" xfId="21751"/>
    <cellStyle name="20% - Accent3 4 2 6" xfId="3793"/>
    <cellStyle name="20% - Accent3 4 2 6 2" xfId="3794"/>
    <cellStyle name="20% - Accent3 4 2 6 2 2" xfId="3795"/>
    <cellStyle name="20% - Accent3 4 2 6 2 2 2" xfId="21761"/>
    <cellStyle name="20% - Accent3 4 2 6 2 3" xfId="21760"/>
    <cellStyle name="20% - Accent3 4 2 6 3" xfId="3796"/>
    <cellStyle name="20% - Accent3 4 2 6 3 2" xfId="21762"/>
    <cellStyle name="20% - Accent3 4 2 6 4" xfId="21759"/>
    <cellStyle name="20% - Accent3 4 2 7" xfId="3797"/>
    <cellStyle name="20% - Accent3 4 2 7 2" xfId="3798"/>
    <cellStyle name="20% - Accent3 4 2 7 2 2" xfId="21764"/>
    <cellStyle name="20% - Accent3 4 2 7 3" xfId="21763"/>
    <cellStyle name="20% - Accent3 4 2 8" xfId="3799"/>
    <cellStyle name="20% - Accent3 4 2 8 2" xfId="21765"/>
    <cellStyle name="20% - Accent3 4 2 9" xfId="21670"/>
    <cellStyle name="20% - Accent3 4 3" xfId="3800"/>
    <cellStyle name="20% - Accent3 4 3 2" xfId="3801"/>
    <cellStyle name="20% - Accent3 4 3 2 2" xfId="3802"/>
    <cellStyle name="20% - Accent3 4 3 2 2 2" xfId="3803"/>
    <cellStyle name="20% - Accent3 4 3 2 2 2 2" xfId="3804"/>
    <cellStyle name="20% - Accent3 4 3 2 2 2 2 2" xfId="3805"/>
    <cellStyle name="20% - Accent3 4 3 2 2 2 2 2 2" xfId="21771"/>
    <cellStyle name="20% - Accent3 4 3 2 2 2 2 3" xfId="21770"/>
    <cellStyle name="20% - Accent3 4 3 2 2 2 3" xfId="3806"/>
    <cellStyle name="20% - Accent3 4 3 2 2 2 3 2" xfId="21772"/>
    <cellStyle name="20% - Accent3 4 3 2 2 2 4" xfId="21769"/>
    <cellStyle name="20% - Accent3 4 3 2 2 3" xfId="3807"/>
    <cellStyle name="20% - Accent3 4 3 2 2 3 2" xfId="3808"/>
    <cellStyle name="20% - Accent3 4 3 2 2 3 2 2" xfId="21774"/>
    <cellStyle name="20% - Accent3 4 3 2 2 3 3" xfId="21773"/>
    <cellStyle name="20% - Accent3 4 3 2 2 4" xfId="3809"/>
    <cellStyle name="20% - Accent3 4 3 2 2 4 2" xfId="21775"/>
    <cellStyle name="20% - Accent3 4 3 2 2 5" xfId="21768"/>
    <cellStyle name="20% - Accent3 4 3 2 3" xfId="3810"/>
    <cellStyle name="20% - Accent3 4 3 2 3 2" xfId="3811"/>
    <cellStyle name="20% - Accent3 4 3 2 3 2 2" xfId="3812"/>
    <cellStyle name="20% - Accent3 4 3 2 3 2 2 2" xfId="3813"/>
    <cellStyle name="20% - Accent3 4 3 2 3 2 2 2 2" xfId="21779"/>
    <cellStyle name="20% - Accent3 4 3 2 3 2 2 3" xfId="21778"/>
    <cellStyle name="20% - Accent3 4 3 2 3 2 3" xfId="3814"/>
    <cellStyle name="20% - Accent3 4 3 2 3 2 3 2" xfId="21780"/>
    <cellStyle name="20% - Accent3 4 3 2 3 2 4" xfId="21777"/>
    <cellStyle name="20% - Accent3 4 3 2 3 3" xfId="3815"/>
    <cellStyle name="20% - Accent3 4 3 2 3 3 2" xfId="3816"/>
    <cellStyle name="20% - Accent3 4 3 2 3 3 2 2" xfId="21782"/>
    <cellStyle name="20% - Accent3 4 3 2 3 3 3" xfId="21781"/>
    <cellStyle name="20% - Accent3 4 3 2 3 4" xfId="3817"/>
    <cellStyle name="20% - Accent3 4 3 2 3 4 2" xfId="21783"/>
    <cellStyle name="20% - Accent3 4 3 2 3 5" xfId="21776"/>
    <cellStyle name="20% - Accent3 4 3 2 4" xfId="3818"/>
    <cellStyle name="20% - Accent3 4 3 2 4 2" xfId="3819"/>
    <cellStyle name="20% - Accent3 4 3 2 4 2 2" xfId="3820"/>
    <cellStyle name="20% - Accent3 4 3 2 4 2 2 2" xfId="21786"/>
    <cellStyle name="20% - Accent3 4 3 2 4 2 3" xfId="21785"/>
    <cellStyle name="20% - Accent3 4 3 2 4 3" xfId="3821"/>
    <cellStyle name="20% - Accent3 4 3 2 4 3 2" xfId="21787"/>
    <cellStyle name="20% - Accent3 4 3 2 4 4" xfId="21784"/>
    <cellStyle name="20% - Accent3 4 3 2 5" xfId="3822"/>
    <cellStyle name="20% - Accent3 4 3 2 5 2" xfId="3823"/>
    <cellStyle name="20% - Accent3 4 3 2 5 2 2" xfId="21789"/>
    <cellStyle name="20% - Accent3 4 3 2 5 3" xfId="21788"/>
    <cellStyle name="20% - Accent3 4 3 2 6" xfId="3824"/>
    <cellStyle name="20% - Accent3 4 3 2 6 2" xfId="21790"/>
    <cellStyle name="20% - Accent3 4 3 2 7" xfId="21767"/>
    <cellStyle name="20% - Accent3 4 3 3" xfId="3825"/>
    <cellStyle name="20% - Accent3 4 3 3 2" xfId="3826"/>
    <cellStyle name="20% - Accent3 4 3 3 2 2" xfId="3827"/>
    <cellStyle name="20% - Accent3 4 3 3 2 2 2" xfId="3828"/>
    <cellStyle name="20% - Accent3 4 3 3 2 2 2 2" xfId="21794"/>
    <cellStyle name="20% - Accent3 4 3 3 2 2 3" xfId="21793"/>
    <cellStyle name="20% - Accent3 4 3 3 2 3" xfId="3829"/>
    <cellStyle name="20% - Accent3 4 3 3 2 3 2" xfId="21795"/>
    <cellStyle name="20% - Accent3 4 3 3 2 4" xfId="21792"/>
    <cellStyle name="20% - Accent3 4 3 3 3" xfId="3830"/>
    <cellStyle name="20% - Accent3 4 3 3 3 2" xfId="3831"/>
    <cellStyle name="20% - Accent3 4 3 3 3 2 2" xfId="21797"/>
    <cellStyle name="20% - Accent3 4 3 3 3 3" xfId="21796"/>
    <cellStyle name="20% - Accent3 4 3 3 4" xfId="3832"/>
    <cellStyle name="20% - Accent3 4 3 3 4 2" xfId="21798"/>
    <cellStyle name="20% - Accent3 4 3 3 5" xfId="21791"/>
    <cellStyle name="20% - Accent3 4 3 4" xfId="3833"/>
    <cellStyle name="20% - Accent3 4 3 4 2" xfId="3834"/>
    <cellStyle name="20% - Accent3 4 3 4 2 2" xfId="3835"/>
    <cellStyle name="20% - Accent3 4 3 4 2 2 2" xfId="3836"/>
    <cellStyle name="20% - Accent3 4 3 4 2 2 2 2" xfId="21802"/>
    <cellStyle name="20% - Accent3 4 3 4 2 2 3" xfId="21801"/>
    <cellStyle name="20% - Accent3 4 3 4 2 3" xfId="3837"/>
    <cellStyle name="20% - Accent3 4 3 4 2 3 2" xfId="21803"/>
    <cellStyle name="20% - Accent3 4 3 4 2 4" xfId="21800"/>
    <cellStyle name="20% - Accent3 4 3 4 3" xfId="3838"/>
    <cellStyle name="20% - Accent3 4 3 4 3 2" xfId="3839"/>
    <cellStyle name="20% - Accent3 4 3 4 3 2 2" xfId="21805"/>
    <cellStyle name="20% - Accent3 4 3 4 3 3" xfId="21804"/>
    <cellStyle name="20% - Accent3 4 3 4 4" xfId="3840"/>
    <cellStyle name="20% - Accent3 4 3 4 4 2" xfId="21806"/>
    <cellStyle name="20% - Accent3 4 3 4 5" xfId="21799"/>
    <cellStyle name="20% - Accent3 4 3 5" xfId="3841"/>
    <cellStyle name="20% - Accent3 4 3 5 2" xfId="3842"/>
    <cellStyle name="20% - Accent3 4 3 5 2 2" xfId="3843"/>
    <cellStyle name="20% - Accent3 4 3 5 2 2 2" xfId="21809"/>
    <cellStyle name="20% - Accent3 4 3 5 2 3" xfId="21808"/>
    <cellStyle name="20% - Accent3 4 3 5 3" xfId="3844"/>
    <cellStyle name="20% - Accent3 4 3 5 3 2" xfId="21810"/>
    <cellStyle name="20% - Accent3 4 3 5 4" xfId="21807"/>
    <cellStyle name="20% - Accent3 4 3 6" xfId="3845"/>
    <cellStyle name="20% - Accent3 4 3 6 2" xfId="3846"/>
    <cellStyle name="20% - Accent3 4 3 6 2 2" xfId="21812"/>
    <cellStyle name="20% - Accent3 4 3 6 3" xfId="21811"/>
    <cellStyle name="20% - Accent3 4 3 7" xfId="3847"/>
    <cellStyle name="20% - Accent3 4 3 7 2" xfId="21813"/>
    <cellStyle name="20% - Accent3 4 3 8" xfId="21766"/>
    <cellStyle name="20% - Accent3 4 4" xfId="3848"/>
    <cellStyle name="20% - Accent3 4 4 2" xfId="3849"/>
    <cellStyle name="20% - Accent3 4 4 2 2" xfId="3850"/>
    <cellStyle name="20% - Accent3 4 4 2 2 2" xfId="3851"/>
    <cellStyle name="20% - Accent3 4 4 2 2 2 2" xfId="3852"/>
    <cellStyle name="20% - Accent3 4 4 2 2 2 2 2" xfId="21818"/>
    <cellStyle name="20% - Accent3 4 4 2 2 2 3" xfId="21817"/>
    <cellStyle name="20% - Accent3 4 4 2 2 3" xfId="3853"/>
    <cellStyle name="20% - Accent3 4 4 2 2 3 2" xfId="21819"/>
    <cellStyle name="20% - Accent3 4 4 2 2 4" xfId="21816"/>
    <cellStyle name="20% - Accent3 4 4 2 3" xfId="3854"/>
    <cellStyle name="20% - Accent3 4 4 2 3 2" xfId="3855"/>
    <cellStyle name="20% - Accent3 4 4 2 3 2 2" xfId="21821"/>
    <cellStyle name="20% - Accent3 4 4 2 3 3" xfId="21820"/>
    <cellStyle name="20% - Accent3 4 4 2 4" xfId="3856"/>
    <cellStyle name="20% - Accent3 4 4 2 4 2" xfId="21822"/>
    <cellStyle name="20% - Accent3 4 4 2 5" xfId="21815"/>
    <cellStyle name="20% - Accent3 4 4 3" xfId="3857"/>
    <cellStyle name="20% - Accent3 4 4 3 2" xfId="3858"/>
    <cellStyle name="20% - Accent3 4 4 3 2 2" xfId="3859"/>
    <cellStyle name="20% - Accent3 4 4 3 2 2 2" xfId="3860"/>
    <cellStyle name="20% - Accent3 4 4 3 2 2 2 2" xfId="21826"/>
    <cellStyle name="20% - Accent3 4 4 3 2 2 3" xfId="21825"/>
    <cellStyle name="20% - Accent3 4 4 3 2 3" xfId="3861"/>
    <cellStyle name="20% - Accent3 4 4 3 2 3 2" xfId="21827"/>
    <cellStyle name="20% - Accent3 4 4 3 2 4" xfId="21824"/>
    <cellStyle name="20% - Accent3 4 4 3 3" xfId="3862"/>
    <cellStyle name="20% - Accent3 4 4 3 3 2" xfId="3863"/>
    <cellStyle name="20% - Accent3 4 4 3 3 2 2" xfId="21829"/>
    <cellStyle name="20% - Accent3 4 4 3 3 3" xfId="21828"/>
    <cellStyle name="20% - Accent3 4 4 3 4" xfId="3864"/>
    <cellStyle name="20% - Accent3 4 4 3 4 2" xfId="21830"/>
    <cellStyle name="20% - Accent3 4 4 3 5" xfId="21823"/>
    <cellStyle name="20% - Accent3 4 4 4" xfId="3865"/>
    <cellStyle name="20% - Accent3 4 4 4 2" xfId="3866"/>
    <cellStyle name="20% - Accent3 4 4 4 2 2" xfId="3867"/>
    <cellStyle name="20% - Accent3 4 4 4 2 2 2" xfId="21833"/>
    <cellStyle name="20% - Accent3 4 4 4 2 3" xfId="21832"/>
    <cellStyle name="20% - Accent3 4 4 4 3" xfId="3868"/>
    <cellStyle name="20% - Accent3 4 4 4 3 2" xfId="21834"/>
    <cellStyle name="20% - Accent3 4 4 4 4" xfId="21831"/>
    <cellStyle name="20% - Accent3 4 4 5" xfId="3869"/>
    <cellStyle name="20% - Accent3 4 4 5 2" xfId="3870"/>
    <cellStyle name="20% - Accent3 4 4 5 2 2" xfId="21836"/>
    <cellStyle name="20% - Accent3 4 4 5 3" xfId="21835"/>
    <cellStyle name="20% - Accent3 4 4 6" xfId="3871"/>
    <cellStyle name="20% - Accent3 4 4 6 2" xfId="21837"/>
    <cellStyle name="20% - Accent3 4 4 7" xfId="21814"/>
    <cellStyle name="20% - Accent3 4 5" xfId="3872"/>
    <cellStyle name="20% - Accent3 4 5 2" xfId="3873"/>
    <cellStyle name="20% - Accent3 4 5 2 2" xfId="3874"/>
    <cellStyle name="20% - Accent3 4 5 2 2 2" xfId="3875"/>
    <cellStyle name="20% - Accent3 4 5 2 2 2 2" xfId="21841"/>
    <cellStyle name="20% - Accent3 4 5 2 2 3" xfId="21840"/>
    <cellStyle name="20% - Accent3 4 5 2 3" xfId="3876"/>
    <cellStyle name="20% - Accent3 4 5 2 3 2" xfId="21842"/>
    <cellStyle name="20% - Accent3 4 5 2 4" xfId="21839"/>
    <cellStyle name="20% - Accent3 4 5 3" xfId="3877"/>
    <cellStyle name="20% - Accent3 4 5 3 2" xfId="3878"/>
    <cellStyle name="20% - Accent3 4 5 3 2 2" xfId="21844"/>
    <cellStyle name="20% - Accent3 4 5 3 3" xfId="21843"/>
    <cellStyle name="20% - Accent3 4 5 4" xfId="3879"/>
    <cellStyle name="20% - Accent3 4 5 4 2" xfId="21845"/>
    <cellStyle name="20% - Accent3 4 5 5" xfId="21838"/>
    <cellStyle name="20% - Accent3 4 6" xfId="3880"/>
    <cellStyle name="20% - Accent3 4 6 2" xfId="3881"/>
    <cellStyle name="20% - Accent3 4 6 2 2" xfId="3882"/>
    <cellStyle name="20% - Accent3 4 6 2 2 2" xfId="3883"/>
    <cellStyle name="20% - Accent3 4 6 2 2 2 2" xfId="21849"/>
    <cellStyle name="20% - Accent3 4 6 2 2 3" xfId="21848"/>
    <cellStyle name="20% - Accent3 4 6 2 3" xfId="3884"/>
    <cellStyle name="20% - Accent3 4 6 2 3 2" xfId="21850"/>
    <cellStyle name="20% - Accent3 4 6 2 4" xfId="21847"/>
    <cellStyle name="20% - Accent3 4 6 3" xfId="3885"/>
    <cellStyle name="20% - Accent3 4 6 3 2" xfId="3886"/>
    <cellStyle name="20% - Accent3 4 6 3 2 2" xfId="21852"/>
    <cellStyle name="20% - Accent3 4 6 3 3" xfId="21851"/>
    <cellStyle name="20% - Accent3 4 6 4" xfId="3887"/>
    <cellStyle name="20% - Accent3 4 6 4 2" xfId="21853"/>
    <cellStyle name="20% - Accent3 4 6 5" xfId="21846"/>
    <cellStyle name="20% - Accent3 4 7" xfId="3888"/>
    <cellStyle name="20% - Accent3 4 7 2" xfId="3889"/>
    <cellStyle name="20% - Accent3 4 7 2 2" xfId="3890"/>
    <cellStyle name="20% - Accent3 4 7 2 2 2" xfId="21856"/>
    <cellStyle name="20% - Accent3 4 7 2 3" xfId="21855"/>
    <cellStyle name="20% - Accent3 4 7 3" xfId="3891"/>
    <cellStyle name="20% - Accent3 4 7 3 2" xfId="21857"/>
    <cellStyle name="20% - Accent3 4 7 4" xfId="21854"/>
    <cellStyle name="20% - Accent3 4 8" xfId="3892"/>
    <cellStyle name="20% - Accent3 4 8 2" xfId="3893"/>
    <cellStyle name="20% - Accent3 4 8 2 2" xfId="21859"/>
    <cellStyle name="20% - Accent3 4 8 3" xfId="21858"/>
    <cellStyle name="20% - Accent3 4 9" xfId="3894"/>
    <cellStyle name="20% - Accent3 4 9 2" xfId="21860"/>
    <cellStyle name="20% - Accent3 5" xfId="3895"/>
    <cellStyle name="20% - Accent3 5 10" xfId="21861"/>
    <cellStyle name="20% - Accent3 5 2" xfId="3896"/>
    <cellStyle name="20% - Accent3 5 2 2" xfId="3897"/>
    <cellStyle name="20% - Accent3 5 2 2 2" xfId="3898"/>
    <cellStyle name="20% - Accent3 5 2 2 2 2" xfId="3899"/>
    <cellStyle name="20% - Accent3 5 2 2 2 2 2" xfId="3900"/>
    <cellStyle name="20% - Accent3 5 2 2 2 2 2 2" xfId="3901"/>
    <cellStyle name="20% - Accent3 5 2 2 2 2 2 2 2" xfId="3902"/>
    <cellStyle name="20% - Accent3 5 2 2 2 2 2 2 2 2" xfId="21868"/>
    <cellStyle name="20% - Accent3 5 2 2 2 2 2 2 3" xfId="21867"/>
    <cellStyle name="20% - Accent3 5 2 2 2 2 2 3" xfId="3903"/>
    <cellStyle name="20% - Accent3 5 2 2 2 2 2 3 2" xfId="21869"/>
    <cellStyle name="20% - Accent3 5 2 2 2 2 2 4" xfId="21866"/>
    <cellStyle name="20% - Accent3 5 2 2 2 2 3" xfId="3904"/>
    <cellStyle name="20% - Accent3 5 2 2 2 2 3 2" xfId="3905"/>
    <cellStyle name="20% - Accent3 5 2 2 2 2 3 2 2" xfId="21871"/>
    <cellStyle name="20% - Accent3 5 2 2 2 2 3 3" xfId="21870"/>
    <cellStyle name="20% - Accent3 5 2 2 2 2 4" xfId="3906"/>
    <cellStyle name="20% - Accent3 5 2 2 2 2 4 2" xfId="21872"/>
    <cellStyle name="20% - Accent3 5 2 2 2 2 5" xfId="21865"/>
    <cellStyle name="20% - Accent3 5 2 2 2 3" xfId="3907"/>
    <cellStyle name="20% - Accent3 5 2 2 2 3 2" xfId="3908"/>
    <cellStyle name="20% - Accent3 5 2 2 2 3 2 2" xfId="3909"/>
    <cellStyle name="20% - Accent3 5 2 2 2 3 2 2 2" xfId="3910"/>
    <cellStyle name="20% - Accent3 5 2 2 2 3 2 2 2 2" xfId="21876"/>
    <cellStyle name="20% - Accent3 5 2 2 2 3 2 2 3" xfId="21875"/>
    <cellStyle name="20% - Accent3 5 2 2 2 3 2 3" xfId="3911"/>
    <cellStyle name="20% - Accent3 5 2 2 2 3 2 3 2" xfId="21877"/>
    <cellStyle name="20% - Accent3 5 2 2 2 3 2 4" xfId="21874"/>
    <cellStyle name="20% - Accent3 5 2 2 2 3 3" xfId="3912"/>
    <cellStyle name="20% - Accent3 5 2 2 2 3 3 2" xfId="3913"/>
    <cellStyle name="20% - Accent3 5 2 2 2 3 3 2 2" xfId="21879"/>
    <cellStyle name="20% - Accent3 5 2 2 2 3 3 3" xfId="21878"/>
    <cellStyle name="20% - Accent3 5 2 2 2 3 4" xfId="3914"/>
    <cellStyle name="20% - Accent3 5 2 2 2 3 4 2" xfId="21880"/>
    <cellStyle name="20% - Accent3 5 2 2 2 3 5" xfId="21873"/>
    <cellStyle name="20% - Accent3 5 2 2 2 4" xfId="3915"/>
    <cellStyle name="20% - Accent3 5 2 2 2 4 2" xfId="3916"/>
    <cellStyle name="20% - Accent3 5 2 2 2 4 2 2" xfId="3917"/>
    <cellStyle name="20% - Accent3 5 2 2 2 4 2 2 2" xfId="21883"/>
    <cellStyle name="20% - Accent3 5 2 2 2 4 2 3" xfId="21882"/>
    <cellStyle name="20% - Accent3 5 2 2 2 4 3" xfId="3918"/>
    <cellStyle name="20% - Accent3 5 2 2 2 4 3 2" xfId="21884"/>
    <cellStyle name="20% - Accent3 5 2 2 2 4 4" xfId="21881"/>
    <cellStyle name="20% - Accent3 5 2 2 2 5" xfId="3919"/>
    <cellStyle name="20% - Accent3 5 2 2 2 5 2" xfId="3920"/>
    <cellStyle name="20% - Accent3 5 2 2 2 5 2 2" xfId="21886"/>
    <cellStyle name="20% - Accent3 5 2 2 2 5 3" xfId="21885"/>
    <cellStyle name="20% - Accent3 5 2 2 2 6" xfId="3921"/>
    <cellStyle name="20% - Accent3 5 2 2 2 6 2" xfId="21887"/>
    <cellStyle name="20% - Accent3 5 2 2 2 7" xfId="21864"/>
    <cellStyle name="20% - Accent3 5 2 2 3" xfId="3922"/>
    <cellStyle name="20% - Accent3 5 2 2 3 2" xfId="3923"/>
    <cellStyle name="20% - Accent3 5 2 2 3 2 2" xfId="3924"/>
    <cellStyle name="20% - Accent3 5 2 2 3 2 2 2" xfId="3925"/>
    <cellStyle name="20% - Accent3 5 2 2 3 2 2 2 2" xfId="21891"/>
    <cellStyle name="20% - Accent3 5 2 2 3 2 2 3" xfId="21890"/>
    <cellStyle name="20% - Accent3 5 2 2 3 2 3" xfId="3926"/>
    <cellStyle name="20% - Accent3 5 2 2 3 2 3 2" xfId="21892"/>
    <cellStyle name="20% - Accent3 5 2 2 3 2 4" xfId="21889"/>
    <cellStyle name="20% - Accent3 5 2 2 3 3" xfId="3927"/>
    <cellStyle name="20% - Accent3 5 2 2 3 3 2" xfId="3928"/>
    <cellStyle name="20% - Accent3 5 2 2 3 3 2 2" xfId="21894"/>
    <cellStyle name="20% - Accent3 5 2 2 3 3 3" xfId="21893"/>
    <cellStyle name="20% - Accent3 5 2 2 3 4" xfId="3929"/>
    <cellStyle name="20% - Accent3 5 2 2 3 4 2" xfId="21895"/>
    <cellStyle name="20% - Accent3 5 2 2 3 5" xfId="21888"/>
    <cellStyle name="20% - Accent3 5 2 2 4" xfId="3930"/>
    <cellStyle name="20% - Accent3 5 2 2 4 2" xfId="3931"/>
    <cellStyle name="20% - Accent3 5 2 2 4 2 2" xfId="3932"/>
    <cellStyle name="20% - Accent3 5 2 2 4 2 2 2" xfId="3933"/>
    <cellStyle name="20% - Accent3 5 2 2 4 2 2 2 2" xfId="21899"/>
    <cellStyle name="20% - Accent3 5 2 2 4 2 2 3" xfId="21898"/>
    <cellStyle name="20% - Accent3 5 2 2 4 2 3" xfId="3934"/>
    <cellStyle name="20% - Accent3 5 2 2 4 2 3 2" xfId="21900"/>
    <cellStyle name="20% - Accent3 5 2 2 4 2 4" xfId="21897"/>
    <cellStyle name="20% - Accent3 5 2 2 4 3" xfId="3935"/>
    <cellStyle name="20% - Accent3 5 2 2 4 3 2" xfId="3936"/>
    <cellStyle name="20% - Accent3 5 2 2 4 3 2 2" xfId="21902"/>
    <cellStyle name="20% - Accent3 5 2 2 4 3 3" xfId="21901"/>
    <cellStyle name="20% - Accent3 5 2 2 4 4" xfId="3937"/>
    <cellStyle name="20% - Accent3 5 2 2 4 4 2" xfId="21903"/>
    <cellStyle name="20% - Accent3 5 2 2 4 5" xfId="21896"/>
    <cellStyle name="20% - Accent3 5 2 2 5" xfId="3938"/>
    <cellStyle name="20% - Accent3 5 2 2 5 2" xfId="3939"/>
    <cellStyle name="20% - Accent3 5 2 2 5 2 2" xfId="3940"/>
    <cellStyle name="20% - Accent3 5 2 2 5 2 2 2" xfId="21906"/>
    <cellStyle name="20% - Accent3 5 2 2 5 2 3" xfId="21905"/>
    <cellStyle name="20% - Accent3 5 2 2 5 3" xfId="3941"/>
    <cellStyle name="20% - Accent3 5 2 2 5 3 2" xfId="21907"/>
    <cellStyle name="20% - Accent3 5 2 2 5 4" xfId="21904"/>
    <cellStyle name="20% - Accent3 5 2 2 6" xfId="3942"/>
    <cellStyle name="20% - Accent3 5 2 2 6 2" xfId="3943"/>
    <cellStyle name="20% - Accent3 5 2 2 6 2 2" xfId="21909"/>
    <cellStyle name="20% - Accent3 5 2 2 6 3" xfId="21908"/>
    <cellStyle name="20% - Accent3 5 2 2 7" xfId="3944"/>
    <cellStyle name="20% - Accent3 5 2 2 7 2" xfId="21910"/>
    <cellStyle name="20% - Accent3 5 2 2 8" xfId="21863"/>
    <cellStyle name="20% - Accent3 5 2 3" xfId="3945"/>
    <cellStyle name="20% - Accent3 5 2 3 2" xfId="3946"/>
    <cellStyle name="20% - Accent3 5 2 3 2 2" xfId="3947"/>
    <cellStyle name="20% - Accent3 5 2 3 2 2 2" xfId="3948"/>
    <cellStyle name="20% - Accent3 5 2 3 2 2 2 2" xfId="3949"/>
    <cellStyle name="20% - Accent3 5 2 3 2 2 2 2 2" xfId="21915"/>
    <cellStyle name="20% - Accent3 5 2 3 2 2 2 3" xfId="21914"/>
    <cellStyle name="20% - Accent3 5 2 3 2 2 3" xfId="3950"/>
    <cellStyle name="20% - Accent3 5 2 3 2 2 3 2" xfId="21916"/>
    <cellStyle name="20% - Accent3 5 2 3 2 2 4" xfId="21913"/>
    <cellStyle name="20% - Accent3 5 2 3 2 3" xfId="3951"/>
    <cellStyle name="20% - Accent3 5 2 3 2 3 2" xfId="3952"/>
    <cellStyle name="20% - Accent3 5 2 3 2 3 2 2" xfId="21918"/>
    <cellStyle name="20% - Accent3 5 2 3 2 3 3" xfId="21917"/>
    <cellStyle name="20% - Accent3 5 2 3 2 4" xfId="3953"/>
    <cellStyle name="20% - Accent3 5 2 3 2 4 2" xfId="21919"/>
    <cellStyle name="20% - Accent3 5 2 3 2 5" xfId="21912"/>
    <cellStyle name="20% - Accent3 5 2 3 3" xfId="3954"/>
    <cellStyle name="20% - Accent3 5 2 3 3 2" xfId="3955"/>
    <cellStyle name="20% - Accent3 5 2 3 3 2 2" xfId="3956"/>
    <cellStyle name="20% - Accent3 5 2 3 3 2 2 2" xfId="3957"/>
    <cellStyle name="20% - Accent3 5 2 3 3 2 2 2 2" xfId="21923"/>
    <cellStyle name="20% - Accent3 5 2 3 3 2 2 3" xfId="21922"/>
    <cellStyle name="20% - Accent3 5 2 3 3 2 3" xfId="3958"/>
    <cellStyle name="20% - Accent3 5 2 3 3 2 3 2" xfId="21924"/>
    <cellStyle name="20% - Accent3 5 2 3 3 2 4" xfId="21921"/>
    <cellStyle name="20% - Accent3 5 2 3 3 3" xfId="3959"/>
    <cellStyle name="20% - Accent3 5 2 3 3 3 2" xfId="3960"/>
    <cellStyle name="20% - Accent3 5 2 3 3 3 2 2" xfId="21926"/>
    <cellStyle name="20% - Accent3 5 2 3 3 3 3" xfId="21925"/>
    <cellStyle name="20% - Accent3 5 2 3 3 4" xfId="3961"/>
    <cellStyle name="20% - Accent3 5 2 3 3 4 2" xfId="21927"/>
    <cellStyle name="20% - Accent3 5 2 3 3 5" xfId="21920"/>
    <cellStyle name="20% - Accent3 5 2 3 4" xfId="3962"/>
    <cellStyle name="20% - Accent3 5 2 3 4 2" xfId="3963"/>
    <cellStyle name="20% - Accent3 5 2 3 4 2 2" xfId="3964"/>
    <cellStyle name="20% - Accent3 5 2 3 4 2 2 2" xfId="21930"/>
    <cellStyle name="20% - Accent3 5 2 3 4 2 3" xfId="21929"/>
    <cellStyle name="20% - Accent3 5 2 3 4 3" xfId="3965"/>
    <cellStyle name="20% - Accent3 5 2 3 4 3 2" xfId="21931"/>
    <cellStyle name="20% - Accent3 5 2 3 4 4" xfId="21928"/>
    <cellStyle name="20% - Accent3 5 2 3 5" xfId="3966"/>
    <cellStyle name="20% - Accent3 5 2 3 5 2" xfId="3967"/>
    <cellStyle name="20% - Accent3 5 2 3 5 2 2" xfId="21933"/>
    <cellStyle name="20% - Accent3 5 2 3 5 3" xfId="21932"/>
    <cellStyle name="20% - Accent3 5 2 3 6" xfId="3968"/>
    <cellStyle name="20% - Accent3 5 2 3 6 2" xfId="21934"/>
    <cellStyle name="20% - Accent3 5 2 3 7" xfId="21911"/>
    <cellStyle name="20% - Accent3 5 2 4" xfId="3969"/>
    <cellStyle name="20% - Accent3 5 2 4 2" xfId="3970"/>
    <cellStyle name="20% - Accent3 5 2 4 2 2" xfId="3971"/>
    <cellStyle name="20% - Accent3 5 2 4 2 2 2" xfId="3972"/>
    <cellStyle name="20% - Accent3 5 2 4 2 2 2 2" xfId="21938"/>
    <cellStyle name="20% - Accent3 5 2 4 2 2 3" xfId="21937"/>
    <cellStyle name="20% - Accent3 5 2 4 2 3" xfId="3973"/>
    <cellStyle name="20% - Accent3 5 2 4 2 3 2" xfId="21939"/>
    <cellStyle name="20% - Accent3 5 2 4 2 4" xfId="21936"/>
    <cellStyle name="20% - Accent3 5 2 4 3" xfId="3974"/>
    <cellStyle name="20% - Accent3 5 2 4 3 2" xfId="3975"/>
    <cellStyle name="20% - Accent3 5 2 4 3 2 2" xfId="21941"/>
    <cellStyle name="20% - Accent3 5 2 4 3 3" xfId="21940"/>
    <cellStyle name="20% - Accent3 5 2 4 4" xfId="3976"/>
    <cellStyle name="20% - Accent3 5 2 4 4 2" xfId="21942"/>
    <cellStyle name="20% - Accent3 5 2 4 5" xfId="21935"/>
    <cellStyle name="20% - Accent3 5 2 5" xfId="3977"/>
    <cellStyle name="20% - Accent3 5 2 5 2" xfId="3978"/>
    <cellStyle name="20% - Accent3 5 2 5 2 2" xfId="3979"/>
    <cellStyle name="20% - Accent3 5 2 5 2 2 2" xfId="3980"/>
    <cellStyle name="20% - Accent3 5 2 5 2 2 2 2" xfId="21946"/>
    <cellStyle name="20% - Accent3 5 2 5 2 2 3" xfId="21945"/>
    <cellStyle name="20% - Accent3 5 2 5 2 3" xfId="3981"/>
    <cellStyle name="20% - Accent3 5 2 5 2 3 2" xfId="21947"/>
    <cellStyle name="20% - Accent3 5 2 5 2 4" xfId="21944"/>
    <cellStyle name="20% - Accent3 5 2 5 3" xfId="3982"/>
    <cellStyle name="20% - Accent3 5 2 5 3 2" xfId="3983"/>
    <cellStyle name="20% - Accent3 5 2 5 3 2 2" xfId="21949"/>
    <cellStyle name="20% - Accent3 5 2 5 3 3" xfId="21948"/>
    <cellStyle name="20% - Accent3 5 2 5 4" xfId="3984"/>
    <cellStyle name="20% - Accent3 5 2 5 4 2" xfId="21950"/>
    <cellStyle name="20% - Accent3 5 2 5 5" xfId="21943"/>
    <cellStyle name="20% - Accent3 5 2 6" xfId="3985"/>
    <cellStyle name="20% - Accent3 5 2 6 2" xfId="3986"/>
    <cellStyle name="20% - Accent3 5 2 6 2 2" xfId="3987"/>
    <cellStyle name="20% - Accent3 5 2 6 2 2 2" xfId="21953"/>
    <cellStyle name="20% - Accent3 5 2 6 2 3" xfId="21952"/>
    <cellStyle name="20% - Accent3 5 2 6 3" xfId="3988"/>
    <cellStyle name="20% - Accent3 5 2 6 3 2" xfId="21954"/>
    <cellStyle name="20% - Accent3 5 2 6 4" xfId="21951"/>
    <cellStyle name="20% - Accent3 5 2 7" xfId="3989"/>
    <cellStyle name="20% - Accent3 5 2 7 2" xfId="3990"/>
    <cellStyle name="20% - Accent3 5 2 7 2 2" xfId="21956"/>
    <cellStyle name="20% - Accent3 5 2 7 3" xfId="21955"/>
    <cellStyle name="20% - Accent3 5 2 8" xfId="3991"/>
    <cellStyle name="20% - Accent3 5 2 8 2" xfId="21957"/>
    <cellStyle name="20% - Accent3 5 2 9" xfId="21862"/>
    <cellStyle name="20% - Accent3 5 3" xfId="3992"/>
    <cellStyle name="20% - Accent3 5 3 2" xfId="3993"/>
    <cellStyle name="20% - Accent3 5 3 2 2" xfId="3994"/>
    <cellStyle name="20% - Accent3 5 3 2 2 2" xfId="3995"/>
    <cellStyle name="20% - Accent3 5 3 2 2 2 2" xfId="3996"/>
    <cellStyle name="20% - Accent3 5 3 2 2 2 2 2" xfId="3997"/>
    <cellStyle name="20% - Accent3 5 3 2 2 2 2 2 2" xfId="21963"/>
    <cellStyle name="20% - Accent3 5 3 2 2 2 2 3" xfId="21962"/>
    <cellStyle name="20% - Accent3 5 3 2 2 2 3" xfId="3998"/>
    <cellStyle name="20% - Accent3 5 3 2 2 2 3 2" xfId="21964"/>
    <cellStyle name="20% - Accent3 5 3 2 2 2 4" xfId="21961"/>
    <cellStyle name="20% - Accent3 5 3 2 2 3" xfId="3999"/>
    <cellStyle name="20% - Accent3 5 3 2 2 3 2" xfId="4000"/>
    <cellStyle name="20% - Accent3 5 3 2 2 3 2 2" xfId="21966"/>
    <cellStyle name="20% - Accent3 5 3 2 2 3 3" xfId="21965"/>
    <cellStyle name="20% - Accent3 5 3 2 2 4" xfId="4001"/>
    <cellStyle name="20% - Accent3 5 3 2 2 4 2" xfId="21967"/>
    <cellStyle name="20% - Accent3 5 3 2 2 5" xfId="21960"/>
    <cellStyle name="20% - Accent3 5 3 2 3" xfId="4002"/>
    <cellStyle name="20% - Accent3 5 3 2 3 2" xfId="4003"/>
    <cellStyle name="20% - Accent3 5 3 2 3 2 2" xfId="4004"/>
    <cellStyle name="20% - Accent3 5 3 2 3 2 2 2" xfId="4005"/>
    <cellStyle name="20% - Accent3 5 3 2 3 2 2 2 2" xfId="21971"/>
    <cellStyle name="20% - Accent3 5 3 2 3 2 2 3" xfId="21970"/>
    <cellStyle name="20% - Accent3 5 3 2 3 2 3" xfId="4006"/>
    <cellStyle name="20% - Accent3 5 3 2 3 2 3 2" xfId="21972"/>
    <cellStyle name="20% - Accent3 5 3 2 3 2 4" xfId="21969"/>
    <cellStyle name="20% - Accent3 5 3 2 3 3" xfId="4007"/>
    <cellStyle name="20% - Accent3 5 3 2 3 3 2" xfId="4008"/>
    <cellStyle name="20% - Accent3 5 3 2 3 3 2 2" xfId="21974"/>
    <cellStyle name="20% - Accent3 5 3 2 3 3 3" xfId="21973"/>
    <cellStyle name="20% - Accent3 5 3 2 3 4" xfId="4009"/>
    <cellStyle name="20% - Accent3 5 3 2 3 4 2" xfId="21975"/>
    <cellStyle name="20% - Accent3 5 3 2 3 5" xfId="21968"/>
    <cellStyle name="20% - Accent3 5 3 2 4" xfId="4010"/>
    <cellStyle name="20% - Accent3 5 3 2 4 2" xfId="4011"/>
    <cellStyle name="20% - Accent3 5 3 2 4 2 2" xfId="4012"/>
    <cellStyle name="20% - Accent3 5 3 2 4 2 2 2" xfId="21978"/>
    <cellStyle name="20% - Accent3 5 3 2 4 2 3" xfId="21977"/>
    <cellStyle name="20% - Accent3 5 3 2 4 3" xfId="4013"/>
    <cellStyle name="20% - Accent3 5 3 2 4 3 2" xfId="21979"/>
    <cellStyle name="20% - Accent3 5 3 2 4 4" xfId="21976"/>
    <cellStyle name="20% - Accent3 5 3 2 5" xfId="4014"/>
    <cellStyle name="20% - Accent3 5 3 2 5 2" xfId="4015"/>
    <cellStyle name="20% - Accent3 5 3 2 5 2 2" xfId="21981"/>
    <cellStyle name="20% - Accent3 5 3 2 5 3" xfId="21980"/>
    <cellStyle name="20% - Accent3 5 3 2 6" xfId="4016"/>
    <cellStyle name="20% - Accent3 5 3 2 6 2" xfId="21982"/>
    <cellStyle name="20% - Accent3 5 3 2 7" xfId="21959"/>
    <cellStyle name="20% - Accent3 5 3 3" xfId="4017"/>
    <cellStyle name="20% - Accent3 5 3 3 2" xfId="4018"/>
    <cellStyle name="20% - Accent3 5 3 3 2 2" xfId="4019"/>
    <cellStyle name="20% - Accent3 5 3 3 2 2 2" xfId="4020"/>
    <cellStyle name="20% - Accent3 5 3 3 2 2 2 2" xfId="21986"/>
    <cellStyle name="20% - Accent3 5 3 3 2 2 3" xfId="21985"/>
    <cellStyle name="20% - Accent3 5 3 3 2 3" xfId="4021"/>
    <cellStyle name="20% - Accent3 5 3 3 2 3 2" xfId="21987"/>
    <cellStyle name="20% - Accent3 5 3 3 2 4" xfId="21984"/>
    <cellStyle name="20% - Accent3 5 3 3 3" xfId="4022"/>
    <cellStyle name="20% - Accent3 5 3 3 3 2" xfId="4023"/>
    <cellStyle name="20% - Accent3 5 3 3 3 2 2" xfId="21989"/>
    <cellStyle name="20% - Accent3 5 3 3 3 3" xfId="21988"/>
    <cellStyle name="20% - Accent3 5 3 3 4" xfId="4024"/>
    <cellStyle name="20% - Accent3 5 3 3 4 2" xfId="21990"/>
    <cellStyle name="20% - Accent3 5 3 3 5" xfId="21983"/>
    <cellStyle name="20% - Accent3 5 3 4" xfId="4025"/>
    <cellStyle name="20% - Accent3 5 3 4 2" xfId="4026"/>
    <cellStyle name="20% - Accent3 5 3 4 2 2" xfId="4027"/>
    <cellStyle name="20% - Accent3 5 3 4 2 2 2" xfId="4028"/>
    <cellStyle name="20% - Accent3 5 3 4 2 2 2 2" xfId="21994"/>
    <cellStyle name="20% - Accent3 5 3 4 2 2 3" xfId="21993"/>
    <cellStyle name="20% - Accent3 5 3 4 2 3" xfId="4029"/>
    <cellStyle name="20% - Accent3 5 3 4 2 3 2" xfId="21995"/>
    <cellStyle name="20% - Accent3 5 3 4 2 4" xfId="21992"/>
    <cellStyle name="20% - Accent3 5 3 4 3" xfId="4030"/>
    <cellStyle name="20% - Accent3 5 3 4 3 2" xfId="4031"/>
    <cellStyle name="20% - Accent3 5 3 4 3 2 2" xfId="21997"/>
    <cellStyle name="20% - Accent3 5 3 4 3 3" xfId="21996"/>
    <cellStyle name="20% - Accent3 5 3 4 4" xfId="4032"/>
    <cellStyle name="20% - Accent3 5 3 4 4 2" xfId="21998"/>
    <cellStyle name="20% - Accent3 5 3 4 5" xfId="21991"/>
    <cellStyle name="20% - Accent3 5 3 5" xfId="4033"/>
    <cellStyle name="20% - Accent3 5 3 5 2" xfId="4034"/>
    <cellStyle name="20% - Accent3 5 3 5 2 2" xfId="4035"/>
    <cellStyle name="20% - Accent3 5 3 5 2 2 2" xfId="22001"/>
    <cellStyle name="20% - Accent3 5 3 5 2 3" xfId="22000"/>
    <cellStyle name="20% - Accent3 5 3 5 3" xfId="4036"/>
    <cellStyle name="20% - Accent3 5 3 5 3 2" xfId="22002"/>
    <cellStyle name="20% - Accent3 5 3 5 4" xfId="21999"/>
    <cellStyle name="20% - Accent3 5 3 6" xfId="4037"/>
    <cellStyle name="20% - Accent3 5 3 6 2" xfId="4038"/>
    <cellStyle name="20% - Accent3 5 3 6 2 2" xfId="22004"/>
    <cellStyle name="20% - Accent3 5 3 6 3" xfId="22003"/>
    <cellStyle name="20% - Accent3 5 3 7" xfId="4039"/>
    <cellStyle name="20% - Accent3 5 3 7 2" xfId="22005"/>
    <cellStyle name="20% - Accent3 5 3 8" xfId="21958"/>
    <cellStyle name="20% - Accent3 5 4" xfId="4040"/>
    <cellStyle name="20% - Accent3 5 4 2" xfId="4041"/>
    <cellStyle name="20% - Accent3 5 4 2 2" xfId="4042"/>
    <cellStyle name="20% - Accent3 5 4 2 2 2" xfId="4043"/>
    <cellStyle name="20% - Accent3 5 4 2 2 2 2" xfId="4044"/>
    <cellStyle name="20% - Accent3 5 4 2 2 2 2 2" xfId="22010"/>
    <cellStyle name="20% - Accent3 5 4 2 2 2 3" xfId="22009"/>
    <cellStyle name="20% - Accent3 5 4 2 2 3" xfId="4045"/>
    <cellStyle name="20% - Accent3 5 4 2 2 3 2" xfId="22011"/>
    <cellStyle name="20% - Accent3 5 4 2 2 4" xfId="22008"/>
    <cellStyle name="20% - Accent3 5 4 2 3" xfId="4046"/>
    <cellStyle name="20% - Accent3 5 4 2 3 2" xfId="4047"/>
    <cellStyle name="20% - Accent3 5 4 2 3 2 2" xfId="22013"/>
    <cellStyle name="20% - Accent3 5 4 2 3 3" xfId="22012"/>
    <cellStyle name="20% - Accent3 5 4 2 4" xfId="4048"/>
    <cellStyle name="20% - Accent3 5 4 2 4 2" xfId="22014"/>
    <cellStyle name="20% - Accent3 5 4 2 5" xfId="22007"/>
    <cellStyle name="20% - Accent3 5 4 3" xfId="4049"/>
    <cellStyle name="20% - Accent3 5 4 3 2" xfId="4050"/>
    <cellStyle name="20% - Accent3 5 4 3 2 2" xfId="4051"/>
    <cellStyle name="20% - Accent3 5 4 3 2 2 2" xfId="4052"/>
    <cellStyle name="20% - Accent3 5 4 3 2 2 2 2" xfId="22018"/>
    <cellStyle name="20% - Accent3 5 4 3 2 2 3" xfId="22017"/>
    <cellStyle name="20% - Accent3 5 4 3 2 3" xfId="4053"/>
    <cellStyle name="20% - Accent3 5 4 3 2 3 2" xfId="22019"/>
    <cellStyle name="20% - Accent3 5 4 3 2 4" xfId="22016"/>
    <cellStyle name="20% - Accent3 5 4 3 3" xfId="4054"/>
    <cellStyle name="20% - Accent3 5 4 3 3 2" xfId="4055"/>
    <cellStyle name="20% - Accent3 5 4 3 3 2 2" xfId="22021"/>
    <cellStyle name="20% - Accent3 5 4 3 3 3" xfId="22020"/>
    <cellStyle name="20% - Accent3 5 4 3 4" xfId="4056"/>
    <cellStyle name="20% - Accent3 5 4 3 4 2" xfId="22022"/>
    <cellStyle name="20% - Accent3 5 4 3 5" xfId="22015"/>
    <cellStyle name="20% - Accent3 5 4 4" xfId="4057"/>
    <cellStyle name="20% - Accent3 5 4 4 2" xfId="4058"/>
    <cellStyle name="20% - Accent3 5 4 4 2 2" xfId="4059"/>
    <cellStyle name="20% - Accent3 5 4 4 2 2 2" xfId="22025"/>
    <cellStyle name="20% - Accent3 5 4 4 2 3" xfId="22024"/>
    <cellStyle name="20% - Accent3 5 4 4 3" xfId="4060"/>
    <cellStyle name="20% - Accent3 5 4 4 3 2" xfId="22026"/>
    <cellStyle name="20% - Accent3 5 4 4 4" xfId="22023"/>
    <cellStyle name="20% - Accent3 5 4 5" xfId="4061"/>
    <cellStyle name="20% - Accent3 5 4 5 2" xfId="4062"/>
    <cellStyle name="20% - Accent3 5 4 5 2 2" xfId="22028"/>
    <cellStyle name="20% - Accent3 5 4 5 3" xfId="22027"/>
    <cellStyle name="20% - Accent3 5 4 6" xfId="4063"/>
    <cellStyle name="20% - Accent3 5 4 6 2" xfId="22029"/>
    <cellStyle name="20% - Accent3 5 4 7" xfId="22006"/>
    <cellStyle name="20% - Accent3 5 5" xfId="4064"/>
    <cellStyle name="20% - Accent3 5 5 2" xfId="4065"/>
    <cellStyle name="20% - Accent3 5 5 2 2" xfId="4066"/>
    <cellStyle name="20% - Accent3 5 5 2 2 2" xfId="4067"/>
    <cellStyle name="20% - Accent3 5 5 2 2 2 2" xfId="22033"/>
    <cellStyle name="20% - Accent3 5 5 2 2 3" xfId="22032"/>
    <cellStyle name="20% - Accent3 5 5 2 3" xfId="4068"/>
    <cellStyle name="20% - Accent3 5 5 2 3 2" xfId="22034"/>
    <cellStyle name="20% - Accent3 5 5 2 4" xfId="22031"/>
    <cellStyle name="20% - Accent3 5 5 3" xfId="4069"/>
    <cellStyle name="20% - Accent3 5 5 3 2" xfId="4070"/>
    <cellStyle name="20% - Accent3 5 5 3 2 2" xfId="22036"/>
    <cellStyle name="20% - Accent3 5 5 3 3" xfId="22035"/>
    <cellStyle name="20% - Accent3 5 5 4" xfId="4071"/>
    <cellStyle name="20% - Accent3 5 5 4 2" xfId="22037"/>
    <cellStyle name="20% - Accent3 5 5 5" xfId="22030"/>
    <cellStyle name="20% - Accent3 5 6" xfId="4072"/>
    <cellStyle name="20% - Accent3 5 6 2" xfId="4073"/>
    <cellStyle name="20% - Accent3 5 6 2 2" xfId="4074"/>
    <cellStyle name="20% - Accent3 5 6 2 2 2" xfId="4075"/>
    <cellStyle name="20% - Accent3 5 6 2 2 2 2" xfId="22041"/>
    <cellStyle name="20% - Accent3 5 6 2 2 3" xfId="22040"/>
    <cellStyle name="20% - Accent3 5 6 2 3" xfId="4076"/>
    <cellStyle name="20% - Accent3 5 6 2 3 2" xfId="22042"/>
    <cellStyle name="20% - Accent3 5 6 2 4" xfId="22039"/>
    <cellStyle name="20% - Accent3 5 6 3" xfId="4077"/>
    <cellStyle name="20% - Accent3 5 6 3 2" xfId="4078"/>
    <cellStyle name="20% - Accent3 5 6 3 2 2" xfId="22044"/>
    <cellStyle name="20% - Accent3 5 6 3 3" xfId="22043"/>
    <cellStyle name="20% - Accent3 5 6 4" xfId="4079"/>
    <cellStyle name="20% - Accent3 5 6 4 2" xfId="22045"/>
    <cellStyle name="20% - Accent3 5 6 5" xfId="22038"/>
    <cellStyle name="20% - Accent3 5 7" xfId="4080"/>
    <cellStyle name="20% - Accent3 5 7 2" xfId="4081"/>
    <cellStyle name="20% - Accent3 5 7 2 2" xfId="4082"/>
    <cellStyle name="20% - Accent3 5 7 2 2 2" xfId="22048"/>
    <cellStyle name="20% - Accent3 5 7 2 3" xfId="22047"/>
    <cellStyle name="20% - Accent3 5 7 3" xfId="4083"/>
    <cellStyle name="20% - Accent3 5 7 3 2" xfId="22049"/>
    <cellStyle name="20% - Accent3 5 7 4" xfId="22046"/>
    <cellStyle name="20% - Accent3 5 8" xfId="4084"/>
    <cellStyle name="20% - Accent3 5 8 2" xfId="4085"/>
    <cellStyle name="20% - Accent3 5 8 2 2" xfId="22051"/>
    <cellStyle name="20% - Accent3 5 8 3" xfId="22050"/>
    <cellStyle name="20% - Accent3 5 9" xfId="4086"/>
    <cellStyle name="20% - Accent3 5 9 2" xfId="22052"/>
    <cellStyle name="20% - Accent3 6" xfId="4087"/>
    <cellStyle name="20% - Accent3 6 10" xfId="22053"/>
    <cellStyle name="20% - Accent3 6 2" xfId="4088"/>
    <cellStyle name="20% - Accent3 6 2 2" xfId="4089"/>
    <cellStyle name="20% - Accent3 6 2 2 2" xfId="4090"/>
    <cellStyle name="20% - Accent3 6 2 2 2 2" xfId="4091"/>
    <cellStyle name="20% - Accent3 6 2 2 2 2 2" xfId="4092"/>
    <cellStyle name="20% - Accent3 6 2 2 2 2 2 2" xfId="4093"/>
    <cellStyle name="20% - Accent3 6 2 2 2 2 2 2 2" xfId="4094"/>
    <cellStyle name="20% - Accent3 6 2 2 2 2 2 2 2 2" xfId="22060"/>
    <cellStyle name="20% - Accent3 6 2 2 2 2 2 2 3" xfId="22059"/>
    <cellStyle name="20% - Accent3 6 2 2 2 2 2 3" xfId="4095"/>
    <cellStyle name="20% - Accent3 6 2 2 2 2 2 3 2" xfId="22061"/>
    <cellStyle name="20% - Accent3 6 2 2 2 2 2 4" xfId="22058"/>
    <cellStyle name="20% - Accent3 6 2 2 2 2 3" xfId="4096"/>
    <cellStyle name="20% - Accent3 6 2 2 2 2 3 2" xfId="4097"/>
    <cellStyle name="20% - Accent3 6 2 2 2 2 3 2 2" xfId="22063"/>
    <cellStyle name="20% - Accent3 6 2 2 2 2 3 3" xfId="22062"/>
    <cellStyle name="20% - Accent3 6 2 2 2 2 4" xfId="4098"/>
    <cellStyle name="20% - Accent3 6 2 2 2 2 4 2" xfId="22064"/>
    <cellStyle name="20% - Accent3 6 2 2 2 2 5" xfId="22057"/>
    <cellStyle name="20% - Accent3 6 2 2 2 3" xfId="4099"/>
    <cellStyle name="20% - Accent3 6 2 2 2 3 2" xfId="4100"/>
    <cellStyle name="20% - Accent3 6 2 2 2 3 2 2" xfId="4101"/>
    <cellStyle name="20% - Accent3 6 2 2 2 3 2 2 2" xfId="4102"/>
    <cellStyle name="20% - Accent3 6 2 2 2 3 2 2 2 2" xfId="22068"/>
    <cellStyle name="20% - Accent3 6 2 2 2 3 2 2 3" xfId="22067"/>
    <cellStyle name="20% - Accent3 6 2 2 2 3 2 3" xfId="4103"/>
    <cellStyle name="20% - Accent3 6 2 2 2 3 2 3 2" xfId="22069"/>
    <cellStyle name="20% - Accent3 6 2 2 2 3 2 4" xfId="22066"/>
    <cellStyle name="20% - Accent3 6 2 2 2 3 3" xfId="4104"/>
    <cellStyle name="20% - Accent3 6 2 2 2 3 3 2" xfId="4105"/>
    <cellStyle name="20% - Accent3 6 2 2 2 3 3 2 2" xfId="22071"/>
    <cellStyle name="20% - Accent3 6 2 2 2 3 3 3" xfId="22070"/>
    <cellStyle name="20% - Accent3 6 2 2 2 3 4" xfId="4106"/>
    <cellStyle name="20% - Accent3 6 2 2 2 3 4 2" xfId="22072"/>
    <cellStyle name="20% - Accent3 6 2 2 2 3 5" xfId="22065"/>
    <cellStyle name="20% - Accent3 6 2 2 2 4" xfId="4107"/>
    <cellStyle name="20% - Accent3 6 2 2 2 4 2" xfId="4108"/>
    <cellStyle name="20% - Accent3 6 2 2 2 4 2 2" xfId="4109"/>
    <cellStyle name="20% - Accent3 6 2 2 2 4 2 2 2" xfId="22075"/>
    <cellStyle name="20% - Accent3 6 2 2 2 4 2 3" xfId="22074"/>
    <cellStyle name="20% - Accent3 6 2 2 2 4 3" xfId="4110"/>
    <cellStyle name="20% - Accent3 6 2 2 2 4 3 2" xfId="22076"/>
    <cellStyle name="20% - Accent3 6 2 2 2 4 4" xfId="22073"/>
    <cellStyle name="20% - Accent3 6 2 2 2 5" xfId="4111"/>
    <cellStyle name="20% - Accent3 6 2 2 2 5 2" xfId="4112"/>
    <cellStyle name="20% - Accent3 6 2 2 2 5 2 2" xfId="22078"/>
    <cellStyle name="20% - Accent3 6 2 2 2 5 3" xfId="22077"/>
    <cellStyle name="20% - Accent3 6 2 2 2 6" xfId="4113"/>
    <cellStyle name="20% - Accent3 6 2 2 2 6 2" xfId="22079"/>
    <cellStyle name="20% - Accent3 6 2 2 2 7" xfId="22056"/>
    <cellStyle name="20% - Accent3 6 2 2 3" xfId="4114"/>
    <cellStyle name="20% - Accent3 6 2 2 3 2" xfId="4115"/>
    <cellStyle name="20% - Accent3 6 2 2 3 2 2" xfId="4116"/>
    <cellStyle name="20% - Accent3 6 2 2 3 2 2 2" xfId="4117"/>
    <cellStyle name="20% - Accent3 6 2 2 3 2 2 2 2" xfId="22083"/>
    <cellStyle name="20% - Accent3 6 2 2 3 2 2 3" xfId="22082"/>
    <cellStyle name="20% - Accent3 6 2 2 3 2 3" xfId="4118"/>
    <cellStyle name="20% - Accent3 6 2 2 3 2 3 2" xfId="22084"/>
    <cellStyle name="20% - Accent3 6 2 2 3 2 4" xfId="22081"/>
    <cellStyle name="20% - Accent3 6 2 2 3 3" xfId="4119"/>
    <cellStyle name="20% - Accent3 6 2 2 3 3 2" xfId="4120"/>
    <cellStyle name="20% - Accent3 6 2 2 3 3 2 2" xfId="22086"/>
    <cellStyle name="20% - Accent3 6 2 2 3 3 3" xfId="22085"/>
    <cellStyle name="20% - Accent3 6 2 2 3 4" xfId="4121"/>
    <cellStyle name="20% - Accent3 6 2 2 3 4 2" xfId="22087"/>
    <cellStyle name="20% - Accent3 6 2 2 3 5" xfId="22080"/>
    <cellStyle name="20% - Accent3 6 2 2 4" xfId="4122"/>
    <cellStyle name="20% - Accent3 6 2 2 4 2" xfId="4123"/>
    <cellStyle name="20% - Accent3 6 2 2 4 2 2" xfId="4124"/>
    <cellStyle name="20% - Accent3 6 2 2 4 2 2 2" xfId="4125"/>
    <cellStyle name="20% - Accent3 6 2 2 4 2 2 2 2" xfId="22091"/>
    <cellStyle name="20% - Accent3 6 2 2 4 2 2 3" xfId="22090"/>
    <cellStyle name="20% - Accent3 6 2 2 4 2 3" xfId="4126"/>
    <cellStyle name="20% - Accent3 6 2 2 4 2 3 2" xfId="22092"/>
    <cellStyle name="20% - Accent3 6 2 2 4 2 4" xfId="22089"/>
    <cellStyle name="20% - Accent3 6 2 2 4 3" xfId="4127"/>
    <cellStyle name="20% - Accent3 6 2 2 4 3 2" xfId="4128"/>
    <cellStyle name="20% - Accent3 6 2 2 4 3 2 2" xfId="22094"/>
    <cellStyle name="20% - Accent3 6 2 2 4 3 3" xfId="22093"/>
    <cellStyle name="20% - Accent3 6 2 2 4 4" xfId="4129"/>
    <cellStyle name="20% - Accent3 6 2 2 4 4 2" xfId="22095"/>
    <cellStyle name="20% - Accent3 6 2 2 4 5" xfId="22088"/>
    <cellStyle name="20% - Accent3 6 2 2 5" xfId="4130"/>
    <cellStyle name="20% - Accent3 6 2 2 5 2" xfId="4131"/>
    <cellStyle name="20% - Accent3 6 2 2 5 2 2" xfId="4132"/>
    <cellStyle name="20% - Accent3 6 2 2 5 2 2 2" xfId="22098"/>
    <cellStyle name="20% - Accent3 6 2 2 5 2 3" xfId="22097"/>
    <cellStyle name="20% - Accent3 6 2 2 5 3" xfId="4133"/>
    <cellStyle name="20% - Accent3 6 2 2 5 3 2" xfId="22099"/>
    <cellStyle name="20% - Accent3 6 2 2 5 4" xfId="22096"/>
    <cellStyle name="20% - Accent3 6 2 2 6" xfId="4134"/>
    <cellStyle name="20% - Accent3 6 2 2 6 2" xfId="4135"/>
    <cellStyle name="20% - Accent3 6 2 2 6 2 2" xfId="22101"/>
    <cellStyle name="20% - Accent3 6 2 2 6 3" xfId="22100"/>
    <cellStyle name="20% - Accent3 6 2 2 7" xfId="4136"/>
    <cellStyle name="20% - Accent3 6 2 2 7 2" xfId="22102"/>
    <cellStyle name="20% - Accent3 6 2 2 8" xfId="22055"/>
    <cellStyle name="20% - Accent3 6 2 3" xfId="4137"/>
    <cellStyle name="20% - Accent3 6 2 3 2" xfId="4138"/>
    <cellStyle name="20% - Accent3 6 2 3 2 2" xfId="4139"/>
    <cellStyle name="20% - Accent3 6 2 3 2 2 2" xfId="4140"/>
    <cellStyle name="20% - Accent3 6 2 3 2 2 2 2" xfId="4141"/>
    <cellStyle name="20% - Accent3 6 2 3 2 2 2 2 2" xfId="22107"/>
    <cellStyle name="20% - Accent3 6 2 3 2 2 2 3" xfId="22106"/>
    <cellStyle name="20% - Accent3 6 2 3 2 2 3" xfId="4142"/>
    <cellStyle name="20% - Accent3 6 2 3 2 2 3 2" xfId="22108"/>
    <cellStyle name="20% - Accent3 6 2 3 2 2 4" xfId="22105"/>
    <cellStyle name="20% - Accent3 6 2 3 2 3" xfId="4143"/>
    <cellStyle name="20% - Accent3 6 2 3 2 3 2" xfId="4144"/>
    <cellStyle name="20% - Accent3 6 2 3 2 3 2 2" xfId="22110"/>
    <cellStyle name="20% - Accent3 6 2 3 2 3 3" xfId="22109"/>
    <cellStyle name="20% - Accent3 6 2 3 2 4" xfId="4145"/>
    <cellStyle name="20% - Accent3 6 2 3 2 4 2" xfId="22111"/>
    <cellStyle name="20% - Accent3 6 2 3 2 5" xfId="22104"/>
    <cellStyle name="20% - Accent3 6 2 3 3" xfId="4146"/>
    <cellStyle name="20% - Accent3 6 2 3 3 2" xfId="4147"/>
    <cellStyle name="20% - Accent3 6 2 3 3 2 2" xfId="4148"/>
    <cellStyle name="20% - Accent3 6 2 3 3 2 2 2" xfId="4149"/>
    <cellStyle name="20% - Accent3 6 2 3 3 2 2 2 2" xfId="22115"/>
    <cellStyle name="20% - Accent3 6 2 3 3 2 2 3" xfId="22114"/>
    <cellStyle name="20% - Accent3 6 2 3 3 2 3" xfId="4150"/>
    <cellStyle name="20% - Accent3 6 2 3 3 2 3 2" xfId="22116"/>
    <cellStyle name="20% - Accent3 6 2 3 3 2 4" xfId="22113"/>
    <cellStyle name="20% - Accent3 6 2 3 3 3" xfId="4151"/>
    <cellStyle name="20% - Accent3 6 2 3 3 3 2" xfId="4152"/>
    <cellStyle name="20% - Accent3 6 2 3 3 3 2 2" xfId="22118"/>
    <cellStyle name="20% - Accent3 6 2 3 3 3 3" xfId="22117"/>
    <cellStyle name="20% - Accent3 6 2 3 3 4" xfId="4153"/>
    <cellStyle name="20% - Accent3 6 2 3 3 4 2" xfId="22119"/>
    <cellStyle name="20% - Accent3 6 2 3 3 5" xfId="22112"/>
    <cellStyle name="20% - Accent3 6 2 3 4" xfId="4154"/>
    <cellStyle name="20% - Accent3 6 2 3 4 2" xfId="4155"/>
    <cellStyle name="20% - Accent3 6 2 3 4 2 2" xfId="4156"/>
    <cellStyle name="20% - Accent3 6 2 3 4 2 2 2" xfId="22122"/>
    <cellStyle name="20% - Accent3 6 2 3 4 2 3" xfId="22121"/>
    <cellStyle name="20% - Accent3 6 2 3 4 3" xfId="4157"/>
    <cellStyle name="20% - Accent3 6 2 3 4 3 2" xfId="22123"/>
    <cellStyle name="20% - Accent3 6 2 3 4 4" xfId="22120"/>
    <cellStyle name="20% - Accent3 6 2 3 5" xfId="4158"/>
    <cellStyle name="20% - Accent3 6 2 3 5 2" xfId="4159"/>
    <cellStyle name="20% - Accent3 6 2 3 5 2 2" xfId="22125"/>
    <cellStyle name="20% - Accent3 6 2 3 5 3" xfId="22124"/>
    <cellStyle name="20% - Accent3 6 2 3 6" xfId="4160"/>
    <cellStyle name="20% - Accent3 6 2 3 6 2" xfId="22126"/>
    <cellStyle name="20% - Accent3 6 2 3 7" xfId="22103"/>
    <cellStyle name="20% - Accent3 6 2 4" xfId="4161"/>
    <cellStyle name="20% - Accent3 6 2 4 2" xfId="4162"/>
    <cellStyle name="20% - Accent3 6 2 4 2 2" xfId="4163"/>
    <cellStyle name="20% - Accent3 6 2 4 2 2 2" xfId="4164"/>
    <cellStyle name="20% - Accent3 6 2 4 2 2 2 2" xfId="22130"/>
    <cellStyle name="20% - Accent3 6 2 4 2 2 3" xfId="22129"/>
    <cellStyle name="20% - Accent3 6 2 4 2 3" xfId="4165"/>
    <cellStyle name="20% - Accent3 6 2 4 2 3 2" xfId="22131"/>
    <cellStyle name="20% - Accent3 6 2 4 2 4" xfId="22128"/>
    <cellStyle name="20% - Accent3 6 2 4 3" xfId="4166"/>
    <cellStyle name="20% - Accent3 6 2 4 3 2" xfId="4167"/>
    <cellStyle name="20% - Accent3 6 2 4 3 2 2" xfId="22133"/>
    <cellStyle name="20% - Accent3 6 2 4 3 3" xfId="22132"/>
    <cellStyle name="20% - Accent3 6 2 4 4" xfId="4168"/>
    <cellStyle name="20% - Accent3 6 2 4 4 2" xfId="22134"/>
    <cellStyle name="20% - Accent3 6 2 4 5" xfId="22127"/>
    <cellStyle name="20% - Accent3 6 2 5" xfId="4169"/>
    <cellStyle name="20% - Accent3 6 2 5 2" xfId="4170"/>
    <cellStyle name="20% - Accent3 6 2 5 2 2" xfId="4171"/>
    <cellStyle name="20% - Accent3 6 2 5 2 2 2" xfId="4172"/>
    <cellStyle name="20% - Accent3 6 2 5 2 2 2 2" xfId="22138"/>
    <cellStyle name="20% - Accent3 6 2 5 2 2 3" xfId="22137"/>
    <cellStyle name="20% - Accent3 6 2 5 2 3" xfId="4173"/>
    <cellStyle name="20% - Accent3 6 2 5 2 3 2" xfId="22139"/>
    <cellStyle name="20% - Accent3 6 2 5 2 4" xfId="22136"/>
    <cellStyle name="20% - Accent3 6 2 5 3" xfId="4174"/>
    <cellStyle name="20% - Accent3 6 2 5 3 2" xfId="4175"/>
    <cellStyle name="20% - Accent3 6 2 5 3 2 2" xfId="22141"/>
    <cellStyle name="20% - Accent3 6 2 5 3 3" xfId="22140"/>
    <cellStyle name="20% - Accent3 6 2 5 4" xfId="4176"/>
    <cellStyle name="20% - Accent3 6 2 5 4 2" xfId="22142"/>
    <cellStyle name="20% - Accent3 6 2 5 5" xfId="22135"/>
    <cellStyle name="20% - Accent3 6 2 6" xfId="4177"/>
    <cellStyle name="20% - Accent3 6 2 6 2" xfId="4178"/>
    <cellStyle name="20% - Accent3 6 2 6 2 2" xfId="4179"/>
    <cellStyle name="20% - Accent3 6 2 6 2 2 2" xfId="22145"/>
    <cellStyle name="20% - Accent3 6 2 6 2 3" xfId="22144"/>
    <cellStyle name="20% - Accent3 6 2 6 3" xfId="4180"/>
    <cellStyle name="20% - Accent3 6 2 6 3 2" xfId="22146"/>
    <cellStyle name="20% - Accent3 6 2 6 4" xfId="22143"/>
    <cellStyle name="20% - Accent3 6 2 7" xfId="4181"/>
    <cellStyle name="20% - Accent3 6 2 7 2" xfId="4182"/>
    <cellStyle name="20% - Accent3 6 2 7 2 2" xfId="22148"/>
    <cellStyle name="20% - Accent3 6 2 7 3" xfId="22147"/>
    <cellStyle name="20% - Accent3 6 2 8" xfId="4183"/>
    <cellStyle name="20% - Accent3 6 2 8 2" xfId="22149"/>
    <cellStyle name="20% - Accent3 6 2 9" xfId="22054"/>
    <cellStyle name="20% - Accent3 6 3" xfId="4184"/>
    <cellStyle name="20% - Accent3 6 3 2" xfId="4185"/>
    <cellStyle name="20% - Accent3 6 3 2 2" xfId="4186"/>
    <cellStyle name="20% - Accent3 6 3 2 2 2" xfId="4187"/>
    <cellStyle name="20% - Accent3 6 3 2 2 2 2" xfId="4188"/>
    <cellStyle name="20% - Accent3 6 3 2 2 2 2 2" xfId="4189"/>
    <cellStyle name="20% - Accent3 6 3 2 2 2 2 2 2" xfId="22155"/>
    <cellStyle name="20% - Accent3 6 3 2 2 2 2 3" xfId="22154"/>
    <cellStyle name="20% - Accent3 6 3 2 2 2 3" xfId="4190"/>
    <cellStyle name="20% - Accent3 6 3 2 2 2 3 2" xfId="22156"/>
    <cellStyle name="20% - Accent3 6 3 2 2 2 4" xfId="22153"/>
    <cellStyle name="20% - Accent3 6 3 2 2 3" xfId="4191"/>
    <cellStyle name="20% - Accent3 6 3 2 2 3 2" xfId="4192"/>
    <cellStyle name="20% - Accent3 6 3 2 2 3 2 2" xfId="22158"/>
    <cellStyle name="20% - Accent3 6 3 2 2 3 3" xfId="22157"/>
    <cellStyle name="20% - Accent3 6 3 2 2 4" xfId="4193"/>
    <cellStyle name="20% - Accent3 6 3 2 2 4 2" xfId="22159"/>
    <cellStyle name="20% - Accent3 6 3 2 2 5" xfId="22152"/>
    <cellStyle name="20% - Accent3 6 3 2 3" xfId="4194"/>
    <cellStyle name="20% - Accent3 6 3 2 3 2" xfId="4195"/>
    <cellStyle name="20% - Accent3 6 3 2 3 2 2" xfId="4196"/>
    <cellStyle name="20% - Accent3 6 3 2 3 2 2 2" xfId="4197"/>
    <cellStyle name="20% - Accent3 6 3 2 3 2 2 2 2" xfId="22163"/>
    <cellStyle name="20% - Accent3 6 3 2 3 2 2 3" xfId="22162"/>
    <cellStyle name="20% - Accent3 6 3 2 3 2 3" xfId="4198"/>
    <cellStyle name="20% - Accent3 6 3 2 3 2 3 2" xfId="22164"/>
    <cellStyle name="20% - Accent3 6 3 2 3 2 4" xfId="22161"/>
    <cellStyle name="20% - Accent3 6 3 2 3 3" xfId="4199"/>
    <cellStyle name="20% - Accent3 6 3 2 3 3 2" xfId="4200"/>
    <cellStyle name="20% - Accent3 6 3 2 3 3 2 2" xfId="22166"/>
    <cellStyle name="20% - Accent3 6 3 2 3 3 3" xfId="22165"/>
    <cellStyle name="20% - Accent3 6 3 2 3 4" xfId="4201"/>
    <cellStyle name="20% - Accent3 6 3 2 3 4 2" xfId="22167"/>
    <cellStyle name="20% - Accent3 6 3 2 3 5" xfId="22160"/>
    <cellStyle name="20% - Accent3 6 3 2 4" xfId="4202"/>
    <cellStyle name="20% - Accent3 6 3 2 4 2" xfId="4203"/>
    <cellStyle name="20% - Accent3 6 3 2 4 2 2" xfId="4204"/>
    <cellStyle name="20% - Accent3 6 3 2 4 2 2 2" xfId="22170"/>
    <cellStyle name="20% - Accent3 6 3 2 4 2 3" xfId="22169"/>
    <cellStyle name="20% - Accent3 6 3 2 4 3" xfId="4205"/>
    <cellStyle name="20% - Accent3 6 3 2 4 3 2" xfId="22171"/>
    <cellStyle name="20% - Accent3 6 3 2 4 4" xfId="22168"/>
    <cellStyle name="20% - Accent3 6 3 2 5" xfId="4206"/>
    <cellStyle name="20% - Accent3 6 3 2 5 2" xfId="4207"/>
    <cellStyle name="20% - Accent3 6 3 2 5 2 2" xfId="22173"/>
    <cellStyle name="20% - Accent3 6 3 2 5 3" xfId="22172"/>
    <cellStyle name="20% - Accent3 6 3 2 6" xfId="4208"/>
    <cellStyle name="20% - Accent3 6 3 2 6 2" xfId="22174"/>
    <cellStyle name="20% - Accent3 6 3 2 7" xfId="22151"/>
    <cellStyle name="20% - Accent3 6 3 3" xfId="4209"/>
    <cellStyle name="20% - Accent3 6 3 3 2" xfId="4210"/>
    <cellStyle name="20% - Accent3 6 3 3 2 2" xfId="4211"/>
    <cellStyle name="20% - Accent3 6 3 3 2 2 2" xfId="4212"/>
    <cellStyle name="20% - Accent3 6 3 3 2 2 2 2" xfId="22178"/>
    <cellStyle name="20% - Accent3 6 3 3 2 2 3" xfId="22177"/>
    <cellStyle name="20% - Accent3 6 3 3 2 3" xfId="4213"/>
    <cellStyle name="20% - Accent3 6 3 3 2 3 2" xfId="22179"/>
    <cellStyle name="20% - Accent3 6 3 3 2 4" xfId="22176"/>
    <cellStyle name="20% - Accent3 6 3 3 3" xfId="4214"/>
    <cellStyle name="20% - Accent3 6 3 3 3 2" xfId="4215"/>
    <cellStyle name="20% - Accent3 6 3 3 3 2 2" xfId="22181"/>
    <cellStyle name="20% - Accent3 6 3 3 3 3" xfId="22180"/>
    <cellStyle name="20% - Accent3 6 3 3 4" xfId="4216"/>
    <cellStyle name="20% - Accent3 6 3 3 4 2" xfId="22182"/>
    <cellStyle name="20% - Accent3 6 3 3 5" xfId="22175"/>
    <cellStyle name="20% - Accent3 6 3 4" xfId="4217"/>
    <cellStyle name="20% - Accent3 6 3 4 2" xfId="4218"/>
    <cellStyle name="20% - Accent3 6 3 4 2 2" xfId="4219"/>
    <cellStyle name="20% - Accent3 6 3 4 2 2 2" xfId="4220"/>
    <cellStyle name="20% - Accent3 6 3 4 2 2 2 2" xfId="22186"/>
    <cellStyle name="20% - Accent3 6 3 4 2 2 3" xfId="22185"/>
    <cellStyle name="20% - Accent3 6 3 4 2 3" xfId="4221"/>
    <cellStyle name="20% - Accent3 6 3 4 2 3 2" xfId="22187"/>
    <cellStyle name="20% - Accent3 6 3 4 2 4" xfId="22184"/>
    <cellStyle name="20% - Accent3 6 3 4 3" xfId="4222"/>
    <cellStyle name="20% - Accent3 6 3 4 3 2" xfId="4223"/>
    <cellStyle name="20% - Accent3 6 3 4 3 2 2" xfId="22189"/>
    <cellStyle name="20% - Accent3 6 3 4 3 3" xfId="22188"/>
    <cellStyle name="20% - Accent3 6 3 4 4" xfId="4224"/>
    <cellStyle name="20% - Accent3 6 3 4 4 2" xfId="22190"/>
    <cellStyle name="20% - Accent3 6 3 4 5" xfId="22183"/>
    <cellStyle name="20% - Accent3 6 3 5" xfId="4225"/>
    <cellStyle name="20% - Accent3 6 3 5 2" xfId="4226"/>
    <cellStyle name="20% - Accent3 6 3 5 2 2" xfId="4227"/>
    <cellStyle name="20% - Accent3 6 3 5 2 2 2" xfId="22193"/>
    <cellStyle name="20% - Accent3 6 3 5 2 3" xfId="22192"/>
    <cellStyle name="20% - Accent3 6 3 5 3" xfId="4228"/>
    <cellStyle name="20% - Accent3 6 3 5 3 2" xfId="22194"/>
    <cellStyle name="20% - Accent3 6 3 5 4" xfId="22191"/>
    <cellStyle name="20% - Accent3 6 3 6" xfId="4229"/>
    <cellStyle name="20% - Accent3 6 3 6 2" xfId="4230"/>
    <cellStyle name="20% - Accent3 6 3 6 2 2" xfId="22196"/>
    <cellStyle name="20% - Accent3 6 3 6 3" xfId="22195"/>
    <cellStyle name="20% - Accent3 6 3 7" xfId="4231"/>
    <cellStyle name="20% - Accent3 6 3 7 2" xfId="22197"/>
    <cellStyle name="20% - Accent3 6 3 8" xfId="22150"/>
    <cellStyle name="20% - Accent3 6 4" xfId="4232"/>
    <cellStyle name="20% - Accent3 6 4 2" xfId="4233"/>
    <cellStyle name="20% - Accent3 6 4 2 2" xfId="4234"/>
    <cellStyle name="20% - Accent3 6 4 2 2 2" xfId="4235"/>
    <cellStyle name="20% - Accent3 6 4 2 2 2 2" xfId="4236"/>
    <cellStyle name="20% - Accent3 6 4 2 2 2 2 2" xfId="22202"/>
    <cellStyle name="20% - Accent3 6 4 2 2 2 3" xfId="22201"/>
    <cellStyle name="20% - Accent3 6 4 2 2 3" xfId="4237"/>
    <cellStyle name="20% - Accent3 6 4 2 2 3 2" xfId="22203"/>
    <cellStyle name="20% - Accent3 6 4 2 2 4" xfId="22200"/>
    <cellStyle name="20% - Accent3 6 4 2 3" xfId="4238"/>
    <cellStyle name="20% - Accent3 6 4 2 3 2" xfId="4239"/>
    <cellStyle name="20% - Accent3 6 4 2 3 2 2" xfId="22205"/>
    <cellStyle name="20% - Accent3 6 4 2 3 3" xfId="22204"/>
    <cellStyle name="20% - Accent3 6 4 2 4" xfId="4240"/>
    <cellStyle name="20% - Accent3 6 4 2 4 2" xfId="22206"/>
    <cellStyle name="20% - Accent3 6 4 2 5" xfId="22199"/>
    <cellStyle name="20% - Accent3 6 4 3" xfId="4241"/>
    <cellStyle name="20% - Accent3 6 4 3 2" xfId="4242"/>
    <cellStyle name="20% - Accent3 6 4 3 2 2" xfId="4243"/>
    <cellStyle name="20% - Accent3 6 4 3 2 2 2" xfId="4244"/>
    <cellStyle name="20% - Accent3 6 4 3 2 2 2 2" xfId="22210"/>
    <cellStyle name="20% - Accent3 6 4 3 2 2 3" xfId="22209"/>
    <cellStyle name="20% - Accent3 6 4 3 2 3" xfId="4245"/>
    <cellStyle name="20% - Accent3 6 4 3 2 3 2" xfId="22211"/>
    <cellStyle name="20% - Accent3 6 4 3 2 4" xfId="22208"/>
    <cellStyle name="20% - Accent3 6 4 3 3" xfId="4246"/>
    <cellStyle name="20% - Accent3 6 4 3 3 2" xfId="4247"/>
    <cellStyle name="20% - Accent3 6 4 3 3 2 2" xfId="22213"/>
    <cellStyle name="20% - Accent3 6 4 3 3 3" xfId="22212"/>
    <cellStyle name="20% - Accent3 6 4 3 4" xfId="4248"/>
    <cellStyle name="20% - Accent3 6 4 3 4 2" xfId="22214"/>
    <cellStyle name="20% - Accent3 6 4 3 5" xfId="22207"/>
    <cellStyle name="20% - Accent3 6 4 4" xfId="4249"/>
    <cellStyle name="20% - Accent3 6 4 4 2" xfId="4250"/>
    <cellStyle name="20% - Accent3 6 4 4 2 2" xfId="4251"/>
    <cellStyle name="20% - Accent3 6 4 4 2 2 2" xfId="22217"/>
    <cellStyle name="20% - Accent3 6 4 4 2 3" xfId="22216"/>
    <cellStyle name="20% - Accent3 6 4 4 3" xfId="4252"/>
    <cellStyle name="20% - Accent3 6 4 4 3 2" xfId="22218"/>
    <cellStyle name="20% - Accent3 6 4 4 4" xfId="22215"/>
    <cellStyle name="20% - Accent3 6 4 5" xfId="4253"/>
    <cellStyle name="20% - Accent3 6 4 5 2" xfId="4254"/>
    <cellStyle name="20% - Accent3 6 4 5 2 2" xfId="22220"/>
    <cellStyle name="20% - Accent3 6 4 5 3" xfId="22219"/>
    <cellStyle name="20% - Accent3 6 4 6" xfId="4255"/>
    <cellStyle name="20% - Accent3 6 4 6 2" xfId="22221"/>
    <cellStyle name="20% - Accent3 6 4 7" xfId="22198"/>
    <cellStyle name="20% - Accent3 6 5" xfId="4256"/>
    <cellStyle name="20% - Accent3 6 5 2" xfId="4257"/>
    <cellStyle name="20% - Accent3 6 5 2 2" xfId="4258"/>
    <cellStyle name="20% - Accent3 6 5 2 2 2" xfId="4259"/>
    <cellStyle name="20% - Accent3 6 5 2 2 2 2" xfId="22225"/>
    <cellStyle name="20% - Accent3 6 5 2 2 3" xfId="22224"/>
    <cellStyle name="20% - Accent3 6 5 2 3" xfId="4260"/>
    <cellStyle name="20% - Accent3 6 5 2 3 2" xfId="22226"/>
    <cellStyle name="20% - Accent3 6 5 2 4" xfId="22223"/>
    <cellStyle name="20% - Accent3 6 5 3" xfId="4261"/>
    <cellStyle name="20% - Accent3 6 5 3 2" xfId="4262"/>
    <cellStyle name="20% - Accent3 6 5 3 2 2" xfId="22228"/>
    <cellStyle name="20% - Accent3 6 5 3 3" xfId="22227"/>
    <cellStyle name="20% - Accent3 6 5 4" xfId="4263"/>
    <cellStyle name="20% - Accent3 6 5 4 2" xfId="22229"/>
    <cellStyle name="20% - Accent3 6 5 5" xfId="22222"/>
    <cellStyle name="20% - Accent3 6 6" xfId="4264"/>
    <cellStyle name="20% - Accent3 6 6 2" xfId="4265"/>
    <cellStyle name="20% - Accent3 6 6 2 2" xfId="4266"/>
    <cellStyle name="20% - Accent3 6 6 2 2 2" xfId="4267"/>
    <cellStyle name="20% - Accent3 6 6 2 2 2 2" xfId="22233"/>
    <cellStyle name="20% - Accent3 6 6 2 2 3" xfId="22232"/>
    <cellStyle name="20% - Accent3 6 6 2 3" xfId="4268"/>
    <cellStyle name="20% - Accent3 6 6 2 3 2" xfId="22234"/>
    <cellStyle name="20% - Accent3 6 6 2 4" xfId="22231"/>
    <cellStyle name="20% - Accent3 6 6 3" xfId="4269"/>
    <cellStyle name="20% - Accent3 6 6 3 2" xfId="4270"/>
    <cellStyle name="20% - Accent3 6 6 3 2 2" xfId="22236"/>
    <cellStyle name="20% - Accent3 6 6 3 3" xfId="22235"/>
    <cellStyle name="20% - Accent3 6 6 4" xfId="4271"/>
    <cellStyle name="20% - Accent3 6 6 4 2" xfId="22237"/>
    <cellStyle name="20% - Accent3 6 6 5" xfId="22230"/>
    <cellStyle name="20% - Accent3 6 7" xfId="4272"/>
    <cellStyle name="20% - Accent3 6 7 2" xfId="4273"/>
    <cellStyle name="20% - Accent3 6 7 2 2" xfId="4274"/>
    <cellStyle name="20% - Accent3 6 7 2 2 2" xfId="22240"/>
    <cellStyle name="20% - Accent3 6 7 2 3" xfId="22239"/>
    <cellStyle name="20% - Accent3 6 7 3" xfId="4275"/>
    <cellStyle name="20% - Accent3 6 7 3 2" xfId="22241"/>
    <cellStyle name="20% - Accent3 6 7 4" xfId="22238"/>
    <cellStyle name="20% - Accent3 6 8" xfId="4276"/>
    <cellStyle name="20% - Accent3 6 8 2" xfId="4277"/>
    <cellStyle name="20% - Accent3 6 8 2 2" xfId="22243"/>
    <cellStyle name="20% - Accent3 6 8 3" xfId="22242"/>
    <cellStyle name="20% - Accent3 6 9" xfId="4278"/>
    <cellStyle name="20% - Accent3 6 9 2" xfId="22244"/>
    <cellStyle name="20% - Accent3 7" xfId="4279"/>
    <cellStyle name="20% - Accent3 7 10" xfId="22245"/>
    <cellStyle name="20% - Accent3 7 2" xfId="4280"/>
    <cellStyle name="20% - Accent3 7 2 2" xfId="4281"/>
    <cellStyle name="20% - Accent3 7 2 2 2" xfId="4282"/>
    <cellStyle name="20% - Accent3 7 2 2 2 2" xfId="4283"/>
    <cellStyle name="20% - Accent3 7 2 2 2 2 2" xfId="4284"/>
    <cellStyle name="20% - Accent3 7 2 2 2 2 2 2" xfId="4285"/>
    <cellStyle name="20% - Accent3 7 2 2 2 2 2 2 2" xfId="4286"/>
    <cellStyle name="20% - Accent3 7 2 2 2 2 2 2 2 2" xfId="22252"/>
    <cellStyle name="20% - Accent3 7 2 2 2 2 2 2 3" xfId="22251"/>
    <cellStyle name="20% - Accent3 7 2 2 2 2 2 3" xfId="4287"/>
    <cellStyle name="20% - Accent3 7 2 2 2 2 2 3 2" xfId="22253"/>
    <cellStyle name="20% - Accent3 7 2 2 2 2 2 4" xfId="22250"/>
    <cellStyle name="20% - Accent3 7 2 2 2 2 3" xfId="4288"/>
    <cellStyle name="20% - Accent3 7 2 2 2 2 3 2" xfId="4289"/>
    <cellStyle name="20% - Accent3 7 2 2 2 2 3 2 2" xfId="22255"/>
    <cellStyle name="20% - Accent3 7 2 2 2 2 3 3" xfId="22254"/>
    <cellStyle name="20% - Accent3 7 2 2 2 2 4" xfId="4290"/>
    <cellStyle name="20% - Accent3 7 2 2 2 2 4 2" xfId="22256"/>
    <cellStyle name="20% - Accent3 7 2 2 2 2 5" xfId="22249"/>
    <cellStyle name="20% - Accent3 7 2 2 2 3" xfId="4291"/>
    <cellStyle name="20% - Accent3 7 2 2 2 3 2" xfId="4292"/>
    <cellStyle name="20% - Accent3 7 2 2 2 3 2 2" xfId="4293"/>
    <cellStyle name="20% - Accent3 7 2 2 2 3 2 2 2" xfId="4294"/>
    <cellStyle name="20% - Accent3 7 2 2 2 3 2 2 2 2" xfId="22260"/>
    <cellStyle name="20% - Accent3 7 2 2 2 3 2 2 3" xfId="22259"/>
    <cellStyle name="20% - Accent3 7 2 2 2 3 2 3" xfId="4295"/>
    <cellStyle name="20% - Accent3 7 2 2 2 3 2 3 2" xfId="22261"/>
    <cellStyle name="20% - Accent3 7 2 2 2 3 2 4" xfId="22258"/>
    <cellStyle name="20% - Accent3 7 2 2 2 3 3" xfId="4296"/>
    <cellStyle name="20% - Accent3 7 2 2 2 3 3 2" xfId="4297"/>
    <cellStyle name="20% - Accent3 7 2 2 2 3 3 2 2" xfId="22263"/>
    <cellStyle name="20% - Accent3 7 2 2 2 3 3 3" xfId="22262"/>
    <cellStyle name="20% - Accent3 7 2 2 2 3 4" xfId="4298"/>
    <cellStyle name="20% - Accent3 7 2 2 2 3 4 2" xfId="22264"/>
    <cellStyle name="20% - Accent3 7 2 2 2 3 5" xfId="22257"/>
    <cellStyle name="20% - Accent3 7 2 2 2 4" xfId="4299"/>
    <cellStyle name="20% - Accent3 7 2 2 2 4 2" xfId="4300"/>
    <cellStyle name="20% - Accent3 7 2 2 2 4 2 2" xfId="4301"/>
    <cellStyle name="20% - Accent3 7 2 2 2 4 2 2 2" xfId="22267"/>
    <cellStyle name="20% - Accent3 7 2 2 2 4 2 3" xfId="22266"/>
    <cellStyle name="20% - Accent3 7 2 2 2 4 3" xfId="4302"/>
    <cellStyle name="20% - Accent3 7 2 2 2 4 3 2" xfId="22268"/>
    <cellStyle name="20% - Accent3 7 2 2 2 4 4" xfId="22265"/>
    <cellStyle name="20% - Accent3 7 2 2 2 5" xfId="4303"/>
    <cellStyle name="20% - Accent3 7 2 2 2 5 2" xfId="4304"/>
    <cellStyle name="20% - Accent3 7 2 2 2 5 2 2" xfId="22270"/>
    <cellStyle name="20% - Accent3 7 2 2 2 5 3" xfId="22269"/>
    <cellStyle name="20% - Accent3 7 2 2 2 6" xfId="4305"/>
    <cellStyle name="20% - Accent3 7 2 2 2 6 2" xfId="22271"/>
    <cellStyle name="20% - Accent3 7 2 2 2 7" xfId="22248"/>
    <cellStyle name="20% - Accent3 7 2 2 3" xfId="4306"/>
    <cellStyle name="20% - Accent3 7 2 2 3 2" xfId="4307"/>
    <cellStyle name="20% - Accent3 7 2 2 3 2 2" xfId="4308"/>
    <cellStyle name="20% - Accent3 7 2 2 3 2 2 2" xfId="4309"/>
    <cellStyle name="20% - Accent3 7 2 2 3 2 2 2 2" xfId="22275"/>
    <cellStyle name="20% - Accent3 7 2 2 3 2 2 3" xfId="22274"/>
    <cellStyle name="20% - Accent3 7 2 2 3 2 3" xfId="4310"/>
    <cellStyle name="20% - Accent3 7 2 2 3 2 3 2" xfId="22276"/>
    <cellStyle name="20% - Accent3 7 2 2 3 2 4" xfId="22273"/>
    <cellStyle name="20% - Accent3 7 2 2 3 3" xfId="4311"/>
    <cellStyle name="20% - Accent3 7 2 2 3 3 2" xfId="4312"/>
    <cellStyle name="20% - Accent3 7 2 2 3 3 2 2" xfId="22278"/>
    <cellStyle name="20% - Accent3 7 2 2 3 3 3" xfId="22277"/>
    <cellStyle name="20% - Accent3 7 2 2 3 4" xfId="4313"/>
    <cellStyle name="20% - Accent3 7 2 2 3 4 2" xfId="22279"/>
    <cellStyle name="20% - Accent3 7 2 2 3 5" xfId="22272"/>
    <cellStyle name="20% - Accent3 7 2 2 4" xfId="4314"/>
    <cellStyle name="20% - Accent3 7 2 2 4 2" xfId="4315"/>
    <cellStyle name="20% - Accent3 7 2 2 4 2 2" xfId="4316"/>
    <cellStyle name="20% - Accent3 7 2 2 4 2 2 2" xfId="4317"/>
    <cellStyle name="20% - Accent3 7 2 2 4 2 2 2 2" xfId="22283"/>
    <cellStyle name="20% - Accent3 7 2 2 4 2 2 3" xfId="22282"/>
    <cellStyle name="20% - Accent3 7 2 2 4 2 3" xfId="4318"/>
    <cellStyle name="20% - Accent3 7 2 2 4 2 3 2" xfId="22284"/>
    <cellStyle name="20% - Accent3 7 2 2 4 2 4" xfId="22281"/>
    <cellStyle name="20% - Accent3 7 2 2 4 3" xfId="4319"/>
    <cellStyle name="20% - Accent3 7 2 2 4 3 2" xfId="4320"/>
    <cellStyle name="20% - Accent3 7 2 2 4 3 2 2" xfId="22286"/>
    <cellStyle name="20% - Accent3 7 2 2 4 3 3" xfId="22285"/>
    <cellStyle name="20% - Accent3 7 2 2 4 4" xfId="4321"/>
    <cellStyle name="20% - Accent3 7 2 2 4 4 2" xfId="22287"/>
    <cellStyle name="20% - Accent3 7 2 2 4 5" xfId="22280"/>
    <cellStyle name="20% - Accent3 7 2 2 5" xfId="4322"/>
    <cellStyle name="20% - Accent3 7 2 2 5 2" xfId="4323"/>
    <cellStyle name="20% - Accent3 7 2 2 5 2 2" xfId="4324"/>
    <cellStyle name="20% - Accent3 7 2 2 5 2 2 2" xfId="22290"/>
    <cellStyle name="20% - Accent3 7 2 2 5 2 3" xfId="22289"/>
    <cellStyle name="20% - Accent3 7 2 2 5 3" xfId="4325"/>
    <cellStyle name="20% - Accent3 7 2 2 5 3 2" xfId="22291"/>
    <cellStyle name="20% - Accent3 7 2 2 5 4" xfId="22288"/>
    <cellStyle name="20% - Accent3 7 2 2 6" xfId="4326"/>
    <cellStyle name="20% - Accent3 7 2 2 6 2" xfId="4327"/>
    <cellStyle name="20% - Accent3 7 2 2 6 2 2" xfId="22293"/>
    <cellStyle name="20% - Accent3 7 2 2 6 3" xfId="22292"/>
    <cellStyle name="20% - Accent3 7 2 2 7" xfId="4328"/>
    <cellStyle name="20% - Accent3 7 2 2 7 2" xfId="22294"/>
    <cellStyle name="20% - Accent3 7 2 2 8" xfId="22247"/>
    <cellStyle name="20% - Accent3 7 2 3" xfId="4329"/>
    <cellStyle name="20% - Accent3 7 2 3 2" xfId="4330"/>
    <cellStyle name="20% - Accent3 7 2 3 2 2" xfId="4331"/>
    <cellStyle name="20% - Accent3 7 2 3 2 2 2" xfId="4332"/>
    <cellStyle name="20% - Accent3 7 2 3 2 2 2 2" xfId="4333"/>
    <cellStyle name="20% - Accent3 7 2 3 2 2 2 2 2" xfId="22299"/>
    <cellStyle name="20% - Accent3 7 2 3 2 2 2 3" xfId="22298"/>
    <cellStyle name="20% - Accent3 7 2 3 2 2 3" xfId="4334"/>
    <cellStyle name="20% - Accent3 7 2 3 2 2 3 2" xfId="22300"/>
    <cellStyle name="20% - Accent3 7 2 3 2 2 4" xfId="22297"/>
    <cellStyle name="20% - Accent3 7 2 3 2 3" xfId="4335"/>
    <cellStyle name="20% - Accent3 7 2 3 2 3 2" xfId="4336"/>
    <cellStyle name="20% - Accent3 7 2 3 2 3 2 2" xfId="22302"/>
    <cellStyle name="20% - Accent3 7 2 3 2 3 3" xfId="22301"/>
    <cellStyle name="20% - Accent3 7 2 3 2 4" xfId="4337"/>
    <cellStyle name="20% - Accent3 7 2 3 2 4 2" xfId="22303"/>
    <cellStyle name="20% - Accent3 7 2 3 2 5" xfId="22296"/>
    <cellStyle name="20% - Accent3 7 2 3 3" xfId="4338"/>
    <cellStyle name="20% - Accent3 7 2 3 3 2" xfId="4339"/>
    <cellStyle name="20% - Accent3 7 2 3 3 2 2" xfId="4340"/>
    <cellStyle name="20% - Accent3 7 2 3 3 2 2 2" xfId="4341"/>
    <cellStyle name="20% - Accent3 7 2 3 3 2 2 2 2" xfId="22307"/>
    <cellStyle name="20% - Accent3 7 2 3 3 2 2 3" xfId="22306"/>
    <cellStyle name="20% - Accent3 7 2 3 3 2 3" xfId="4342"/>
    <cellStyle name="20% - Accent3 7 2 3 3 2 3 2" xfId="22308"/>
    <cellStyle name="20% - Accent3 7 2 3 3 2 4" xfId="22305"/>
    <cellStyle name="20% - Accent3 7 2 3 3 3" xfId="4343"/>
    <cellStyle name="20% - Accent3 7 2 3 3 3 2" xfId="4344"/>
    <cellStyle name="20% - Accent3 7 2 3 3 3 2 2" xfId="22310"/>
    <cellStyle name="20% - Accent3 7 2 3 3 3 3" xfId="22309"/>
    <cellStyle name="20% - Accent3 7 2 3 3 4" xfId="4345"/>
    <cellStyle name="20% - Accent3 7 2 3 3 4 2" xfId="22311"/>
    <cellStyle name="20% - Accent3 7 2 3 3 5" xfId="22304"/>
    <cellStyle name="20% - Accent3 7 2 3 4" xfId="4346"/>
    <cellStyle name="20% - Accent3 7 2 3 4 2" xfId="4347"/>
    <cellStyle name="20% - Accent3 7 2 3 4 2 2" xfId="4348"/>
    <cellStyle name="20% - Accent3 7 2 3 4 2 2 2" xfId="22314"/>
    <cellStyle name="20% - Accent3 7 2 3 4 2 3" xfId="22313"/>
    <cellStyle name="20% - Accent3 7 2 3 4 3" xfId="4349"/>
    <cellStyle name="20% - Accent3 7 2 3 4 3 2" xfId="22315"/>
    <cellStyle name="20% - Accent3 7 2 3 4 4" xfId="22312"/>
    <cellStyle name="20% - Accent3 7 2 3 5" xfId="4350"/>
    <cellStyle name="20% - Accent3 7 2 3 5 2" xfId="4351"/>
    <cellStyle name="20% - Accent3 7 2 3 5 2 2" xfId="22317"/>
    <cellStyle name="20% - Accent3 7 2 3 5 3" xfId="22316"/>
    <cellStyle name="20% - Accent3 7 2 3 6" xfId="4352"/>
    <cellStyle name="20% - Accent3 7 2 3 6 2" xfId="22318"/>
    <cellStyle name="20% - Accent3 7 2 3 7" xfId="22295"/>
    <cellStyle name="20% - Accent3 7 2 4" xfId="4353"/>
    <cellStyle name="20% - Accent3 7 2 4 2" xfId="4354"/>
    <cellStyle name="20% - Accent3 7 2 4 2 2" xfId="4355"/>
    <cellStyle name="20% - Accent3 7 2 4 2 2 2" xfId="4356"/>
    <cellStyle name="20% - Accent3 7 2 4 2 2 2 2" xfId="22322"/>
    <cellStyle name="20% - Accent3 7 2 4 2 2 3" xfId="22321"/>
    <cellStyle name="20% - Accent3 7 2 4 2 3" xfId="4357"/>
    <cellStyle name="20% - Accent3 7 2 4 2 3 2" xfId="22323"/>
    <cellStyle name="20% - Accent3 7 2 4 2 4" xfId="22320"/>
    <cellStyle name="20% - Accent3 7 2 4 3" xfId="4358"/>
    <cellStyle name="20% - Accent3 7 2 4 3 2" xfId="4359"/>
    <cellStyle name="20% - Accent3 7 2 4 3 2 2" xfId="22325"/>
    <cellStyle name="20% - Accent3 7 2 4 3 3" xfId="22324"/>
    <cellStyle name="20% - Accent3 7 2 4 4" xfId="4360"/>
    <cellStyle name="20% - Accent3 7 2 4 4 2" xfId="22326"/>
    <cellStyle name="20% - Accent3 7 2 4 5" xfId="22319"/>
    <cellStyle name="20% - Accent3 7 2 5" xfId="4361"/>
    <cellStyle name="20% - Accent3 7 2 5 2" xfId="4362"/>
    <cellStyle name="20% - Accent3 7 2 5 2 2" xfId="4363"/>
    <cellStyle name="20% - Accent3 7 2 5 2 2 2" xfId="4364"/>
    <cellStyle name="20% - Accent3 7 2 5 2 2 2 2" xfId="22330"/>
    <cellStyle name="20% - Accent3 7 2 5 2 2 3" xfId="22329"/>
    <cellStyle name="20% - Accent3 7 2 5 2 3" xfId="4365"/>
    <cellStyle name="20% - Accent3 7 2 5 2 3 2" xfId="22331"/>
    <cellStyle name="20% - Accent3 7 2 5 2 4" xfId="22328"/>
    <cellStyle name="20% - Accent3 7 2 5 3" xfId="4366"/>
    <cellStyle name="20% - Accent3 7 2 5 3 2" xfId="4367"/>
    <cellStyle name="20% - Accent3 7 2 5 3 2 2" xfId="22333"/>
    <cellStyle name="20% - Accent3 7 2 5 3 3" xfId="22332"/>
    <cellStyle name="20% - Accent3 7 2 5 4" xfId="4368"/>
    <cellStyle name="20% - Accent3 7 2 5 4 2" xfId="22334"/>
    <cellStyle name="20% - Accent3 7 2 5 5" xfId="22327"/>
    <cellStyle name="20% - Accent3 7 2 6" xfId="4369"/>
    <cellStyle name="20% - Accent3 7 2 6 2" xfId="4370"/>
    <cellStyle name="20% - Accent3 7 2 6 2 2" xfId="4371"/>
    <cellStyle name="20% - Accent3 7 2 6 2 2 2" xfId="22337"/>
    <cellStyle name="20% - Accent3 7 2 6 2 3" xfId="22336"/>
    <cellStyle name="20% - Accent3 7 2 6 3" xfId="4372"/>
    <cellStyle name="20% - Accent3 7 2 6 3 2" xfId="22338"/>
    <cellStyle name="20% - Accent3 7 2 6 4" xfId="22335"/>
    <cellStyle name="20% - Accent3 7 2 7" xfId="4373"/>
    <cellStyle name="20% - Accent3 7 2 7 2" xfId="4374"/>
    <cellStyle name="20% - Accent3 7 2 7 2 2" xfId="22340"/>
    <cellStyle name="20% - Accent3 7 2 7 3" xfId="22339"/>
    <cellStyle name="20% - Accent3 7 2 8" xfId="4375"/>
    <cellStyle name="20% - Accent3 7 2 8 2" xfId="22341"/>
    <cellStyle name="20% - Accent3 7 2 9" xfId="22246"/>
    <cellStyle name="20% - Accent3 7 3" xfId="4376"/>
    <cellStyle name="20% - Accent3 7 3 2" xfId="4377"/>
    <cellStyle name="20% - Accent3 7 3 2 2" xfId="4378"/>
    <cellStyle name="20% - Accent3 7 3 2 2 2" xfId="4379"/>
    <cellStyle name="20% - Accent3 7 3 2 2 2 2" xfId="4380"/>
    <cellStyle name="20% - Accent3 7 3 2 2 2 2 2" xfId="4381"/>
    <cellStyle name="20% - Accent3 7 3 2 2 2 2 2 2" xfId="22347"/>
    <cellStyle name="20% - Accent3 7 3 2 2 2 2 3" xfId="22346"/>
    <cellStyle name="20% - Accent3 7 3 2 2 2 3" xfId="4382"/>
    <cellStyle name="20% - Accent3 7 3 2 2 2 3 2" xfId="22348"/>
    <cellStyle name="20% - Accent3 7 3 2 2 2 4" xfId="22345"/>
    <cellStyle name="20% - Accent3 7 3 2 2 3" xfId="4383"/>
    <cellStyle name="20% - Accent3 7 3 2 2 3 2" xfId="4384"/>
    <cellStyle name="20% - Accent3 7 3 2 2 3 2 2" xfId="22350"/>
    <cellStyle name="20% - Accent3 7 3 2 2 3 3" xfId="22349"/>
    <cellStyle name="20% - Accent3 7 3 2 2 4" xfId="4385"/>
    <cellStyle name="20% - Accent3 7 3 2 2 4 2" xfId="22351"/>
    <cellStyle name="20% - Accent3 7 3 2 2 5" xfId="22344"/>
    <cellStyle name="20% - Accent3 7 3 2 3" xfId="4386"/>
    <cellStyle name="20% - Accent3 7 3 2 3 2" xfId="4387"/>
    <cellStyle name="20% - Accent3 7 3 2 3 2 2" xfId="4388"/>
    <cellStyle name="20% - Accent3 7 3 2 3 2 2 2" xfId="4389"/>
    <cellStyle name="20% - Accent3 7 3 2 3 2 2 2 2" xfId="22355"/>
    <cellStyle name="20% - Accent3 7 3 2 3 2 2 3" xfId="22354"/>
    <cellStyle name="20% - Accent3 7 3 2 3 2 3" xfId="4390"/>
    <cellStyle name="20% - Accent3 7 3 2 3 2 3 2" xfId="22356"/>
    <cellStyle name="20% - Accent3 7 3 2 3 2 4" xfId="22353"/>
    <cellStyle name="20% - Accent3 7 3 2 3 3" xfId="4391"/>
    <cellStyle name="20% - Accent3 7 3 2 3 3 2" xfId="4392"/>
    <cellStyle name="20% - Accent3 7 3 2 3 3 2 2" xfId="22358"/>
    <cellStyle name="20% - Accent3 7 3 2 3 3 3" xfId="22357"/>
    <cellStyle name="20% - Accent3 7 3 2 3 4" xfId="4393"/>
    <cellStyle name="20% - Accent3 7 3 2 3 4 2" xfId="22359"/>
    <cellStyle name="20% - Accent3 7 3 2 3 5" xfId="22352"/>
    <cellStyle name="20% - Accent3 7 3 2 4" xfId="4394"/>
    <cellStyle name="20% - Accent3 7 3 2 4 2" xfId="4395"/>
    <cellStyle name="20% - Accent3 7 3 2 4 2 2" xfId="4396"/>
    <cellStyle name="20% - Accent3 7 3 2 4 2 2 2" xfId="22362"/>
    <cellStyle name="20% - Accent3 7 3 2 4 2 3" xfId="22361"/>
    <cellStyle name="20% - Accent3 7 3 2 4 3" xfId="4397"/>
    <cellStyle name="20% - Accent3 7 3 2 4 3 2" xfId="22363"/>
    <cellStyle name="20% - Accent3 7 3 2 4 4" xfId="22360"/>
    <cellStyle name="20% - Accent3 7 3 2 5" xfId="4398"/>
    <cellStyle name="20% - Accent3 7 3 2 5 2" xfId="4399"/>
    <cellStyle name="20% - Accent3 7 3 2 5 2 2" xfId="22365"/>
    <cellStyle name="20% - Accent3 7 3 2 5 3" xfId="22364"/>
    <cellStyle name="20% - Accent3 7 3 2 6" xfId="4400"/>
    <cellStyle name="20% - Accent3 7 3 2 6 2" xfId="22366"/>
    <cellStyle name="20% - Accent3 7 3 2 7" xfId="22343"/>
    <cellStyle name="20% - Accent3 7 3 3" xfId="4401"/>
    <cellStyle name="20% - Accent3 7 3 3 2" xfId="4402"/>
    <cellStyle name="20% - Accent3 7 3 3 2 2" xfId="4403"/>
    <cellStyle name="20% - Accent3 7 3 3 2 2 2" xfId="4404"/>
    <cellStyle name="20% - Accent3 7 3 3 2 2 2 2" xfId="22370"/>
    <cellStyle name="20% - Accent3 7 3 3 2 2 3" xfId="22369"/>
    <cellStyle name="20% - Accent3 7 3 3 2 3" xfId="4405"/>
    <cellStyle name="20% - Accent3 7 3 3 2 3 2" xfId="22371"/>
    <cellStyle name="20% - Accent3 7 3 3 2 4" xfId="22368"/>
    <cellStyle name="20% - Accent3 7 3 3 3" xfId="4406"/>
    <cellStyle name="20% - Accent3 7 3 3 3 2" xfId="4407"/>
    <cellStyle name="20% - Accent3 7 3 3 3 2 2" xfId="22373"/>
    <cellStyle name="20% - Accent3 7 3 3 3 3" xfId="22372"/>
    <cellStyle name="20% - Accent3 7 3 3 4" xfId="4408"/>
    <cellStyle name="20% - Accent3 7 3 3 4 2" xfId="22374"/>
    <cellStyle name="20% - Accent3 7 3 3 5" xfId="22367"/>
    <cellStyle name="20% - Accent3 7 3 4" xfId="4409"/>
    <cellStyle name="20% - Accent3 7 3 4 2" xfId="4410"/>
    <cellStyle name="20% - Accent3 7 3 4 2 2" xfId="4411"/>
    <cellStyle name="20% - Accent3 7 3 4 2 2 2" xfId="4412"/>
    <cellStyle name="20% - Accent3 7 3 4 2 2 2 2" xfId="22378"/>
    <cellStyle name="20% - Accent3 7 3 4 2 2 3" xfId="22377"/>
    <cellStyle name="20% - Accent3 7 3 4 2 3" xfId="4413"/>
    <cellStyle name="20% - Accent3 7 3 4 2 3 2" xfId="22379"/>
    <cellStyle name="20% - Accent3 7 3 4 2 4" xfId="22376"/>
    <cellStyle name="20% - Accent3 7 3 4 3" xfId="4414"/>
    <cellStyle name="20% - Accent3 7 3 4 3 2" xfId="4415"/>
    <cellStyle name="20% - Accent3 7 3 4 3 2 2" xfId="22381"/>
    <cellStyle name="20% - Accent3 7 3 4 3 3" xfId="22380"/>
    <cellStyle name="20% - Accent3 7 3 4 4" xfId="4416"/>
    <cellStyle name="20% - Accent3 7 3 4 4 2" xfId="22382"/>
    <cellStyle name="20% - Accent3 7 3 4 5" xfId="22375"/>
    <cellStyle name="20% - Accent3 7 3 5" xfId="4417"/>
    <cellStyle name="20% - Accent3 7 3 5 2" xfId="4418"/>
    <cellStyle name="20% - Accent3 7 3 5 2 2" xfId="4419"/>
    <cellStyle name="20% - Accent3 7 3 5 2 2 2" xfId="22385"/>
    <cellStyle name="20% - Accent3 7 3 5 2 3" xfId="22384"/>
    <cellStyle name="20% - Accent3 7 3 5 3" xfId="4420"/>
    <cellStyle name="20% - Accent3 7 3 5 3 2" xfId="22386"/>
    <cellStyle name="20% - Accent3 7 3 5 4" xfId="22383"/>
    <cellStyle name="20% - Accent3 7 3 6" xfId="4421"/>
    <cellStyle name="20% - Accent3 7 3 6 2" xfId="4422"/>
    <cellStyle name="20% - Accent3 7 3 6 2 2" xfId="22388"/>
    <cellStyle name="20% - Accent3 7 3 6 3" xfId="22387"/>
    <cellStyle name="20% - Accent3 7 3 7" xfId="4423"/>
    <cellStyle name="20% - Accent3 7 3 7 2" xfId="22389"/>
    <cellStyle name="20% - Accent3 7 3 8" xfId="22342"/>
    <cellStyle name="20% - Accent3 7 4" xfId="4424"/>
    <cellStyle name="20% - Accent3 7 4 2" xfId="4425"/>
    <cellStyle name="20% - Accent3 7 4 2 2" xfId="4426"/>
    <cellStyle name="20% - Accent3 7 4 2 2 2" xfId="4427"/>
    <cellStyle name="20% - Accent3 7 4 2 2 2 2" xfId="4428"/>
    <cellStyle name="20% - Accent3 7 4 2 2 2 2 2" xfId="22394"/>
    <cellStyle name="20% - Accent3 7 4 2 2 2 3" xfId="22393"/>
    <cellStyle name="20% - Accent3 7 4 2 2 3" xfId="4429"/>
    <cellStyle name="20% - Accent3 7 4 2 2 3 2" xfId="22395"/>
    <cellStyle name="20% - Accent3 7 4 2 2 4" xfId="22392"/>
    <cellStyle name="20% - Accent3 7 4 2 3" xfId="4430"/>
    <cellStyle name="20% - Accent3 7 4 2 3 2" xfId="4431"/>
    <cellStyle name="20% - Accent3 7 4 2 3 2 2" xfId="22397"/>
    <cellStyle name="20% - Accent3 7 4 2 3 3" xfId="22396"/>
    <cellStyle name="20% - Accent3 7 4 2 4" xfId="4432"/>
    <cellStyle name="20% - Accent3 7 4 2 4 2" xfId="22398"/>
    <cellStyle name="20% - Accent3 7 4 2 5" xfId="22391"/>
    <cellStyle name="20% - Accent3 7 4 3" xfId="4433"/>
    <cellStyle name="20% - Accent3 7 4 3 2" xfId="4434"/>
    <cellStyle name="20% - Accent3 7 4 3 2 2" xfId="4435"/>
    <cellStyle name="20% - Accent3 7 4 3 2 2 2" xfId="4436"/>
    <cellStyle name="20% - Accent3 7 4 3 2 2 2 2" xfId="22402"/>
    <cellStyle name="20% - Accent3 7 4 3 2 2 3" xfId="22401"/>
    <cellStyle name="20% - Accent3 7 4 3 2 3" xfId="4437"/>
    <cellStyle name="20% - Accent3 7 4 3 2 3 2" xfId="22403"/>
    <cellStyle name="20% - Accent3 7 4 3 2 4" xfId="22400"/>
    <cellStyle name="20% - Accent3 7 4 3 3" xfId="4438"/>
    <cellStyle name="20% - Accent3 7 4 3 3 2" xfId="4439"/>
    <cellStyle name="20% - Accent3 7 4 3 3 2 2" xfId="22405"/>
    <cellStyle name="20% - Accent3 7 4 3 3 3" xfId="22404"/>
    <cellStyle name="20% - Accent3 7 4 3 4" xfId="4440"/>
    <cellStyle name="20% - Accent3 7 4 3 4 2" xfId="22406"/>
    <cellStyle name="20% - Accent3 7 4 3 5" xfId="22399"/>
    <cellStyle name="20% - Accent3 7 4 4" xfId="4441"/>
    <cellStyle name="20% - Accent3 7 4 4 2" xfId="4442"/>
    <cellStyle name="20% - Accent3 7 4 4 2 2" xfId="4443"/>
    <cellStyle name="20% - Accent3 7 4 4 2 2 2" xfId="22409"/>
    <cellStyle name="20% - Accent3 7 4 4 2 3" xfId="22408"/>
    <cellStyle name="20% - Accent3 7 4 4 3" xfId="4444"/>
    <cellStyle name="20% - Accent3 7 4 4 3 2" xfId="22410"/>
    <cellStyle name="20% - Accent3 7 4 4 4" xfId="22407"/>
    <cellStyle name="20% - Accent3 7 4 5" xfId="4445"/>
    <cellStyle name="20% - Accent3 7 4 5 2" xfId="4446"/>
    <cellStyle name="20% - Accent3 7 4 5 2 2" xfId="22412"/>
    <cellStyle name="20% - Accent3 7 4 5 3" xfId="22411"/>
    <cellStyle name="20% - Accent3 7 4 6" xfId="4447"/>
    <cellStyle name="20% - Accent3 7 4 6 2" xfId="22413"/>
    <cellStyle name="20% - Accent3 7 4 7" xfId="22390"/>
    <cellStyle name="20% - Accent3 7 5" xfId="4448"/>
    <cellStyle name="20% - Accent3 7 5 2" xfId="4449"/>
    <cellStyle name="20% - Accent3 7 5 2 2" xfId="4450"/>
    <cellStyle name="20% - Accent3 7 5 2 2 2" xfId="4451"/>
    <cellStyle name="20% - Accent3 7 5 2 2 2 2" xfId="22417"/>
    <cellStyle name="20% - Accent3 7 5 2 2 3" xfId="22416"/>
    <cellStyle name="20% - Accent3 7 5 2 3" xfId="4452"/>
    <cellStyle name="20% - Accent3 7 5 2 3 2" xfId="22418"/>
    <cellStyle name="20% - Accent3 7 5 2 4" xfId="22415"/>
    <cellStyle name="20% - Accent3 7 5 3" xfId="4453"/>
    <cellStyle name="20% - Accent3 7 5 3 2" xfId="4454"/>
    <cellStyle name="20% - Accent3 7 5 3 2 2" xfId="22420"/>
    <cellStyle name="20% - Accent3 7 5 3 3" xfId="22419"/>
    <cellStyle name="20% - Accent3 7 5 4" xfId="4455"/>
    <cellStyle name="20% - Accent3 7 5 4 2" xfId="22421"/>
    <cellStyle name="20% - Accent3 7 5 5" xfId="22414"/>
    <cellStyle name="20% - Accent3 7 6" xfId="4456"/>
    <cellStyle name="20% - Accent3 7 6 2" xfId="4457"/>
    <cellStyle name="20% - Accent3 7 6 2 2" xfId="4458"/>
    <cellStyle name="20% - Accent3 7 6 2 2 2" xfId="4459"/>
    <cellStyle name="20% - Accent3 7 6 2 2 2 2" xfId="22425"/>
    <cellStyle name="20% - Accent3 7 6 2 2 3" xfId="22424"/>
    <cellStyle name="20% - Accent3 7 6 2 3" xfId="4460"/>
    <cellStyle name="20% - Accent3 7 6 2 3 2" xfId="22426"/>
    <cellStyle name="20% - Accent3 7 6 2 4" xfId="22423"/>
    <cellStyle name="20% - Accent3 7 6 3" xfId="4461"/>
    <cellStyle name="20% - Accent3 7 6 3 2" xfId="4462"/>
    <cellStyle name="20% - Accent3 7 6 3 2 2" xfId="22428"/>
    <cellStyle name="20% - Accent3 7 6 3 3" xfId="22427"/>
    <cellStyle name="20% - Accent3 7 6 4" xfId="4463"/>
    <cellStyle name="20% - Accent3 7 6 4 2" xfId="22429"/>
    <cellStyle name="20% - Accent3 7 6 5" xfId="22422"/>
    <cellStyle name="20% - Accent3 7 7" xfId="4464"/>
    <cellStyle name="20% - Accent3 7 7 2" xfId="4465"/>
    <cellStyle name="20% - Accent3 7 7 2 2" xfId="4466"/>
    <cellStyle name="20% - Accent3 7 7 2 2 2" xfId="22432"/>
    <cellStyle name="20% - Accent3 7 7 2 3" xfId="22431"/>
    <cellStyle name="20% - Accent3 7 7 3" xfId="4467"/>
    <cellStyle name="20% - Accent3 7 7 3 2" xfId="22433"/>
    <cellStyle name="20% - Accent3 7 7 4" xfId="22430"/>
    <cellStyle name="20% - Accent3 7 8" xfId="4468"/>
    <cellStyle name="20% - Accent3 7 8 2" xfId="4469"/>
    <cellStyle name="20% - Accent3 7 8 2 2" xfId="22435"/>
    <cellStyle name="20% - Accent3 7 8 3" xfId="22434"/>
    <cellStyle name="20% - Accent3 7 9" xfId="4470"/>
    <cellStyle name="20% - Accent3 7 9 2" xfId="22436"/>
    <cellStyle name="20% - Accent3 8" xfId="4471"/>
    <cellStyle name="20% - Accent3 8 10" xfId="22437"/>
    <cellStyle name="20% - Accent3 8 2" xfId="4472"/>
    <cellStyle name="20% - Accent3 8 2 2" xfId="4473"/>
    <cellStyle name="20% - Accent3 8 2 2 2" xfId="4474"/>
    <cellStyle name="20% - Accent3 8 2 2 2 2" xfId="4475"/>
    <cellStyle name="20% - Accent3 8 2 2 2 2 2" xfId="4476"/>
    <cellStyle name="20% - Accent3 8 2 2 2 2 2 2" xfId="4477"/>
    <cellStyle name="20% - Accent3 8 2 2 2 2 2 2 2" xfId="4478"/>
    <cellStyle name="20% - Accent3 8 2 2 2 2 2 2 2 2" xfId="22444"/>
    <cellStyle name="20% - Accent3 8 2 2 2 2 2 2 3" xfId="22443"/>
    <cellStyle name="20% - Accent3 8 2 2 2 2 2 3" xfId="4479"/>
    <cellStyle name="20% - Accent3 8 2 2 2 2 2 3 2" xfId="22445"/>
    <cellStyle name="20% - Accent3 8 2 2 2 2 2 4" xfId="22442"/>
    <cellStyle name="20% - Accent3 8 2 2 2 2 3" xfId="4480"/>
    <cellStyle name="20% - Accent3 8 2 2 2 2 3 2" xfId="4481"/>
    <cellStyle name="20% - Accent3 8 2 2 2 2 3 2 2" xfId="22447"/>
    <cellStyle name="20% - Accent3 8 2 2 2 2 3 3" xfId="22446"/>
    <cellStyle name="20% - Accent3 8 2 2 2 2 4" xfId="4482"/>
    <cellStyle name="20% - Accent3 8 2 2 2 2 4 2" xfId="22448"/>
    <cellStyle name="20% - Accent3 8 2 2 2 2 5" xfId="22441"/>
    <cellStyle name="20% - Accent3 8 2 2 2 3" xfId="4483"/>
    <cellStyle name="20% - Accent3 8 2 2 2 3 2" xfId="4484"/>
    <cellStyle name="20% - Accent3 8 2 2 2 3 2 2" xfId="4485"/>
    <cellStyle name="20% - Accent3 8 2 2 2 3 2 2 2" xfId="4486"/>
    <cellStyle name="20% - Accent3 8 2 2 2 3 2 2 2 2" xfId="22452"/>
    <cellStyle name="20% - Accent3 8 2 2 2 3 2 2 3" xfId="22451"/>
    <cellStyle name="20% - Accent3 8 2 2 2 3 2 3" xfId="4487"/>
    <cellStyle name="20% - Accent3 8 2 2 2 3 2 3 2" xfId="22453"/>
    <cellStyle name="20% - Accent3 8 2 2 2 3 2 4" xfId="22450"/>
    <cellStyle name="20% - Accent3 8 2 2 2 3 3" xfId="4488"/>
    <cellStyle name="20% - Accent3 8 2 2 2 3 3 2" xfId="4489"/>
    <cellStyle name="20% - Accent3 8 2 2 2 3 3 2 2" xfId="22455"/>
    <cellStyle name="20% - Accent3 8 2 2 2 3 3 3" xfId="22454"/>
    <cellStyle name="20% - Accent3 8 2 2 2 3 4" xfId="4490"/>
    <cellStyle name="20% - Accent3 8 2 2 2 3 4 2" xfId="22456"/>
    <cellStyle name="20% - Accent3 8 2 2 2 3 5" xfId="22449"/>
    <cellStyle name="20% - Accent3 8 2 2 2 4" xfId="4491"/>
    <cellStyle name="20% - Accent3 8 2 2 2 4 2" xfId="4492"/>
    <cellStyle name="20% - Accent3 8 2 2 2 4 2 2" xfId="4493"/>
    <cellStyle name="20% - Accent3 8 2 2 2 4 2 2 2" xfId="22459"/>
    <cellStyle name="20% - Accent3 8 2 2 2 4 2 3" xfId="22458"/>
    <cellStyle name="20% - Accent3 8 2 2 2 4 3" xfId="4494"/>
    <cellStyle name="20% - Accent3 8 2 2 2 4 3 2" xfId="22460"/>
    <cellStyle name="20% - Accent3 8 2 2 2 4 4" xfId="22457"/>
    <cellStyle name="20% - Accent3 8 2 2 2 5" xfId="4495"/>
    <cellStyle name="20% - Accent3 8 2 2 2 5 2" xfId="4496"/>
    <cellStyle name="20% - Accent3 8 2 2 2 5 2 2" xfId="22462"/>
    <cellStyle name="20% - Accent3 8 2 2 2 5 3" xfId="22461"/>
    <cellStyle name="20% - Accent3 8 2 2 2 6" xfId="4497"/>
    <cellStyle name="20% - Accent3 8 2 2 2 6 2" xfId="22463"/>
    <cellStyle name="20% - Accent3 8 2 2 2 7" xfId="22440"/>
    <cellStyle name="20% - Accent3 8 2 2 3" xfId="4498"/>
    <cellStyle name="20% - Accent3 8 2 2 3 2" xfId="4499"/>
    <cellStyle name="20% - Accent3 8 2 2 3 2 2" xfId="4500"/>
    <cellStyle name="20% - Accent3 8 2 2 3 2 2 2" xfId="4501"/>
    <cellStyle name="20% - Accent3 8 2 2 3 2 2 2 2" xfId="22467"/>
    <cellStyle name="20% - Accent3 8 2 2 3 2 2 3" xfId="22466"/>
    <cellStyle name="20% - Accent3 8 2 2 3 2 3" xfId="4502"/>
    <cellStyle name="20% - Accent3 8 2 2 3 2 3 2" xfId="22468"/>
    <cellStyle name="20% - Accent3 8 2 2 3 2 4" xfId="22465"/>
    <cellStyle name="20% - Accent3 8 2 2 3 3" xfId="4503"/>
    <cellStyle name="20% - Accent3 8 2 2 3 3 2" xfId="4504"/>
    <cellStyle name="20% - Accent3 8 2 2 3 3 2 2" xfId="22470"/>
    <cellStyle name="20% - Accent3 8 2 2 3 3 3" xfId="22469"/>
    <cellStyle name="20% - Accent3 8 2 2 3 4" xfId="4505"/>
    <cellStyle name="20% - Accent3 8 2 2 3 4 2" xfId="22471"/>
    <cellStyle name="20% - Accent3 8 2 2 3 5" xfId="22464"/>
    <cellStyle name="20% - Accent3 8 2 2 4" xfId="4506"/>
    <cellStyle name="20% - Accent3 8 2 2 4 2" xfId="4507"/>
    <cellStyle name="20% - Accent3 8 2 2 4 2 2" xfId="4508"/>
    <cellStyle name="20% - Accent3 8 2 2 4 2 2 2" xfId="4509"/>
    <cellStyle name="20% - Accent3 8 2 2 4 2 2 2 2" xfId="22475"/>
    <cellStyle name="20% - Accent3 8 2 2 4 2 2 3" xfId="22474"/>
    <cellStyle name="20% - Accent3 8 2 2 4 2 3" xfId="4510"/>
    <cellStyle name="20% - Accent3 8 2 2 4 2 3 2" xfId="22476"/>
    <cellStyle name="20% - Accent3 8 2 2 4 2 4" xfId="22473"/>
    <cellStyle name="20% - Accent3 8 2 2 4 3" xfId="4511"/>
    <cellStyle name="20% - Accent3 8 2 2 4 3 2" xfId="4512"/>
    <cellStyle name="20% - Accent3 8 2 2 4 3 2 2" xfId="22478"/>
    <cellStyle name="20% - Accent3 8 2 2 4 3 3" xfId="22477"/>
    <cellStyle name="20% - Accent3 8 2 2 4 4" xfId="4513"/>
    <cellStyle name="20% - Accent3 8 2 2 4 4 2" xfId="22479"/>
    <cellStyle name="20% - Accent3 8 2 2 4 5" xfId="22472"/>
    <cellStyle name="20% - Accent3 8 2 2 5" xfId="4514"/>
    <cellStyle name="20% - Accent3 8 2 2 5 2" xfId="4515"/>
    <cellStyle name="20% - Accent3 8 2 2 5 2 2" xfId="4516"/>
    <cellStyle name="20% - Accent3 8 2 2 5 2 2 2" xfId="22482"/>
    <cellStyle name="20% - Accent3 8 2 2 5 2 3" xfId="22481"/>
    <cellStyle name="20% - Accent3 8 2 2 5 3" xfId="4517"/>
    <cellStyle name="20% - Accent3 8 2 2 5 3 2" xfId="22483"/>
    <cellStyle name="20% - Accent3 8 2 2 5 4" xfId="22480"/>
    <cellStyle name="20% - Accent3 8 2 2 6" xfId="4518"/>
    <cellStyle name="20% - Accent3 8 2 2 6 2" xfId="4519"/>
    <cellStyle name="20% - Accent3 8 2 2 6 2 2" xfId="22485"/>
    <cellStyle name="20% - Accent3 8 2 2 6 3" xfId="22484"/>
    <cellStyle name="20% - Accent3 8 2 2 7" xfId="4520"/>
    <cellStyle name="20% - Accent3 8 2 2 7 2" xfId="22486"/>
    <cellStyle name="20% - Accent3 8 2 2 8" xfId="22439"/>
    <cellStyle name="20% - Accent3 8 2 3" xfId="4521"/>
    <cellStyle name="20% - Accent3 8 2 3 2" xfId="4522"/>
    <cellStyle name="20% - Accent3 8 2 3 2 2" xfId="4523"/>
    <cellStyle name="20% - Accent3 8 2 3 2 2 2" xfId="4524"/>
    <cellStyle name="20% - Accent3 8 2 3 2 2 2 2" xfId="4525"/>
    <cellStyle name="20% - Accent3 8 2 3 2 2 2 2 2" xfId="22491"/>
    <cellStyle name="20% - Accent3 8 2 3 2 2 2 3" xfId="22490"/>
    <cellStyle name="20% - Accent3 8 2 3 2 2 3" xfId="4526"/>
    <cellStyle name="20% - Accent3 8 2 3 2 2 3 2" xfId="22492"/>
    <cellStyle name="20% - Accent3 8 2 3 2 2 4" xfId="22489"/>
    <cellStyle name="20% - Accent3 8 2 3 2 3" xfId="4527"/>
    <cellStyle name="20% - Accent3 8 2 3 2 3 2" xfId="4528"/>
    <cellStyle name="20% - Accent3 8 2 3 2 3 2 2" xfId="22494"/>
    <cellStyle name="20% - Accent3 8 2 3 2 3 3" xfId="22493"/>
    <cellStyle name="20% - Accent3 8 2 3 2 4" xfId="4529"/>
    <cellStyle name="20% - Accent3 8 2 3 2 4 2" xfId="22495"/>
    <cellStyle name="20% - Accent3 8 2 3 2 5" xfId="22488"/>
    <cellStyle name="20% - Accent3 8 2 3 3" xfId="4530"/>
    <cellStyle name="20% - Accent3 8 2 3 3 2" xfId="4531"/>
    <cellStyle name="20% - Accent3 8 2 3 3 2 2" xfId="4532"/>
    <cellStyle name="20% - Accent3 8 2 3 3 2 2 2" xfId="4533"/>
    <cellStyle name="20% - Accent3 8 2 3 3 2 2 2 2" xfId="22499"/>
    <cellStyle name="20% - Accent3 8 2 3 3 2 2 3" xfId="22498"/>
    <cellStyle name="20% - Accent3 8 2 3 3 2 3" xfId="4534"/>
    <cellStyle name="20% - Accent3 8 2 3 3 2 3 2" xfId="22500"/>
    <cellStyle name="20% - Accent3 8 2 3 3 2 4" xfId="22497"/>
    <cellStyle name="20% - Accent3 8 2 3 3 3" xfId="4535"/>
    <cellStyle name="20% - Accent3 8 2 3 3 3 2" xfId="4536"/>
    <cellStyle name="20% - Accent3 8 2 3 3 3 2 2" xfId="22502"/>
    <cellStyle name="20% - Accent3 8 2 3 3 3 3" xfId="22501"/>
    <cellStyle name="20% - Accent3 8 2 3 3 4" xfId="4537"/>
    <cellStyle name="20% - Accent3 8 2 3 3 4 2" xfId="22503"/>
    <cellStyle name="20% - Accent3 8 2 3 3 5" xfId="22496"/>
    <cellStyle name="20% - Accent3 8 2 3 4" xfId="4538"/>
    <cellStyle name="20% - Accent3 8 2 3 4 2" xfId="4539"/>
    <cellStyle name="20% - Accent3 8 2 3 4 2 2" xfId="4540"/>
    <cellStyle name="20% - Accent3 8 2 3 4 2 2 2" xfId="22506"/>
    <cellStyle name="20% - Accent3 8 2 3 4 2 3" xfId="22505"/>
    <cellStyle name="20% - Accent3 8 2 3 4 3" xfId="4541"/>
    <cellStyle name="20% - Accent3 8 2 3 4 3 2" xfId="22507"/>
    <cellStyle name="20% - Accent3 8 2 3 4 4" xfId="22504"/>
    <cellStyle name="20% - Accent3 8 2 3 5" xfId="4542"/>
    <cellStyle name="20% - Accent3 8 2 3 5 2" xfId="4543"/>
    <cellStyle name="20% - Accent3 8 2 3 5 2 2" xfId="22509"/>
    <cellStyle name="20% - Accent3 8 2 3 5 3" xfId="22508"/>
    <cellStyle name="20% - Accent3 8 2 3 6" xfId="4544"/>
    <cellStyle name="20% - Accent3 8 2 3 6 2" xfId="22510"/>
    <cellStyle name="20% - Accent3 8 2 3 7" xfId="22487"/>
    <cellStyle name="20% - Accent3 8 2 4" xfId="4545"/>
    <cellStyle name="20% - Accent3 8 2 4 2" xfId="4546"/>
    <cellStyle name="20% - Accent3 8 2 4 2 2" xfId="4547"/>
    <cellStyle name="20% - Accent3 8 2 4 2 2 2" xfId="4548"/>
    <cellStyle name="20% - Accent3 8 2 4 2 2 2 2" xfId="22514"/>
    <cellStyle name="20% - Accent3 8 2 4 2 2 3" xfId="22513"/>
    <cellStyle name="20% - Accent3 8 2 4 2 3" xfId="4549"/>
    <cellStyle name="20% - Accent3 8 2 4 2 3 2" xfId="22515"/>
    <cellStyle name="20% - Accent3 8 2 4 2 4" xfId="22512"/>
    <cellStyle name="20% - Accent3 8 2 4 3" xfId="4550"/>
    <cellStyle name="20% - Accent3 8 2 4 3 2" xfId="4551"/>
    <cellStyle name="20% - Accent3 8 2 4 3 2 2" xfId="22517"/>
    <cellStyle name="20% - Accent3 8 2 4 3 3" xfId="22516"/>
    <cellStyle name="20% - Accent3 8 2 4 4" xfId="4552"/>
    <cellStyle name="20% - Accent3 8 2 4 4 2" xfId="22518"/>
    <cellStyle name="20% - Accent3 8 2 4 5" xfId="22511"/>
    <cellStyle name="20% - Accent3 8 2 5" xfId="4553"/>
    <cellStyle name="20% - Accent3 8 2 5 2" xfId="4554"/>
    <cellStyle name="20% - Accent3 8 2 5 2 2" xfId="4555"/>
    <cellStyle name="20% - Accent3 8 2 5 2 2 2" xfId="4556"/>
    <cellStyle name="20% - Accent3 8 2 5 2 2 2 2" xfId="22522"/>
    <cellStyle name="20% - Accent3 8 2 5 2 2 3" xfId="22521"/>
    <cellStyle name="20% - Accent3 8 2 5 2 3" xfId="4557"/>
    <cellStyle name="20% - Accent3 8 2 5 2 3 2" xfId="22523"/>
    <cellStyle name="20% - Accent3 8 2 5 2 4" xfId="22520"/>
    <cellStyle name="20% - Accent3 8 2 5 3" xfId="4558"/>
    <cellStyle name="20% - Accent3 8 2 5 3 2" xfId="4559"/>
    <cellStyle name="20% - Accent3 8 2 5 3 2 2" xfId="22525"/>
    <cellStyle name="20% - Accent3 8 2 5 3 3" xfId="22524"/>
    <cellStyle name="20% - Accent3 8 2 5 4" xfId="4560"/>
    <cellStyle name="20% - Accent3 8 2 5 4 2" xfId="22526"/>
    <cellStyle name="20% - Accent3 8 2 5 5" xfId="22519"/>
    <cellStyle name="20% - Accent3 8 2 6" xfId="4561"/>
    <cellStyle name="20% - Accent3 8 2 6 2" xfId="4562"/>
    <cellStyle name="20% - Accent3 8 2 6 2 2" xfId="4563"/>
    <cellStyle name="20% - Accent3 8 2 6 2 2 2" xfId="22529"/>
    <cellStyle name="20% - Accent3 8 2 6 2 3" xfId="22528"/>
    <cellStyle name="20% - Accent3 8 2 6 3" xfId="4564"/>
    <cellStyle name="20% - Accent3 8 2 6 3 2" xfId="22530"/>
    <cellStyle name="20% - Accent3 8 2 6 4" xfId="22527"/>
    <cellStyle name="20% - Accent3 8 2 7" xfId="4565"/>
    <cellStyle name="20% - Accent3 8 2 7 2" xfId="4566"/>
    <cellStyle name="20% - Accent3 8 2 7 2 2" xfId="22532"/>
    <cellStyle name="20% - Accent3 8 2 7 3" xfId="22531"/>
    <cellStyle name="20% - Accent3 8 2 8" xfId="4567"/>
    <cellStyle name="20% - Accent3 8 2 8 2" xfId="22533"/>
    <cellStyle name="20% - Accent3 8 2 9" xfId="22438"/>
    <cellStyle name="20% - Accent3 8 3" xfId="4568"/>
    <cellStyle name="20% - Accent3 8 3 2" xfId="4569"/>
    <cellStyle name="20% - Accent3 8 3 2 2" xfId="4570"/>
    <cellStyle name="20% - Accent3 8 3 2 2 2" xfId="4571"/>
    <cellStyle name="20% - Accent3 8 3 2 2 2 2" xfId="4572"/>
    <cellStyle name="20% - Accent3 8 3 2 2 2 2 2" xfId="4573"/>
    <cellStyle name="20% - Accent3 8 3 2 2 2 2 2 2" xfId="22539"/>
    <cellStyle name="20% - Accent3 8 3 2 2 2 2 3" xfId="22538"/>
    <cellStyle name="20% - Accent3 8 3 2 2 2 3" xfId="4574"/>
    <cellStyle name="20% - Accent3 8 3 2 2 2 3 2" xfId="22540"/>
    <cellStyle name="20% - Accent3 8 3 2 2 2 4" xfId="22537"/>
    <cellStyle name="20% - Accent3 8 3 2 2 3" xfId="4575"/>
    <cellStyle name="20% - Accent3 8 3 2 2 3 2" xfId="4576"/>
    <cellStyle name="20% - Accent3 8 3 2 2 3 2 2" xfId="22542"/>
    <cellStyle name="20% - Accent3 8 3 2 2 3 3" xfId="22541"/>
    <cellStyle name="20% - Accent3 8 3 2 2 4" xfId="4577"/>
    <cellStyle name="20% - Accent3 8 3 2 2 4 2" xfId="22543"/>
    <cellStyle name="20% - Accent3 8 3 2 2 5" xfId="22536"/>
    <cellStyle name="20% - Accent3 8 3 2 3" xfId="4578"/>
    <cellStyle name="20% - Accent3 8 3 2 3 2" xfId="4579"/>
    <cellStyle name="20% - Accent3 8 3 2 3 2 2" xfId="4580"/>
    <cellStyle name="20% - Accent3 8 3 2 3 2 2 2" xfId="4581"/>
    <cellStyle name="20% - Accent3 8 3 2 3 2 2 2 2" xfId="22547"/>
    <cellStyle name="20% - Accent3 8 3 2 3 2 2 3" xfId="22546"/>
    <cellStyle name="20% - Accent3 8 3 2 3 2 3" xfId="4582"/>
    <cellStyle name="20% - Accent3 8 3 2 3 2 3 2" xfId="22548"/>
    <cellStyle name="20% - Accent3 8 3 2 3 2 4" xfId="22545"/>
    <cellStyle name="20% - Accent3 8 3 2 3 3" xfId="4583"/>
    <cellStyle name="20% - Accent3 8 3 2 3 3 2" xfId="4584"/>
    <cellStyle name="20% - Accent3 8 3 2 3 3 2 2" xfId="22550"/>
    <cellStyle name="20% - Accent3 8 3 2 3 3 3" xfId="22549"/>
    <cellStyle name="20% - Accent3 8 3 2 3 4" xfId="4585"/>
    <cellStyle name="20% - Accent3 8 3 2 3 4 2" xfId="22551"/>
    <cellStyle name="20% - Accent3 8 3 2 3 5" xfId="22544"/>
    <cellStyle name="20% - Accent3 8 3 2 4" xfId="4586"/>
    <cellStyle name="20% - Accent3 8 3 2 4 2" xfId="4587"/>
    <cellStyle name="20% - Accent3 8 3 2 4 2 2" xfId="4588"/>
    <cellStyle name="20% - Accent3 8 3 2 4 2 2 2" xfId="22554"/>
    <cellStyle name="20% - Accent3 8 3 2 4 2 3" xfId="22553"/>
    <cellStyle name="20% - Accent3 8 3 2 4 3" xfId="4589"/>
    <cellStyle name="20% - Accent3 8 3 2 4 3 2" xfId="22555"/>
    <cellStyle name="20% - Accent3 8 3 2 4 4" xfId="22552"/>
    <cellStyle name="20% - Accent3 8 3 2 5" xfId="4590"/>
    <cellStyle name="20% - Accent3 8 3 2 5 2" xfId="4591"/>
    <cellStyle name="20% - Accent3 8 3 2 5 2 2" xfId="22557"/>
    <cellStyle name="20% - Accent3 8 3 2 5 3" xfId="22556"/>
    <cellStyle name="20% - Accent3 8 3 2 6" xfId="4592"/>
    <cellStyle name="20% - Accent3 8 3 2 6 2" xfId="22558"/>
    <cellStyle name="20% - Accent3 8 3 2 7" xfId="22535"/>
    <cellStyle name="20% - Accent3 8 3 3" xfId="4593"/>
    <cellStyle name="20% - Accent3 8 3 3 2" xfId="4594"/>
    <cellStyle name="20% - Accent3 8 3 3 2 2" xfId="4595"/>
    <cellStyle name="20% - Accent3 8 3 3 2 2 2" xfId="4596"/>
    <cellStyle name="20% - Accent3 8 3 3 2 2 2 2" xfId="22562"/>
    <cellStyle name="20% - Accent3 8 3 3 2 2 3" xfId="22561"/>
    <cellStyle name="20% - Accent3 8 3 3 2 3" xfId="4597"/>
    <cellStyle name="20% - Accent3 8 3 3 2 3 2" xfId="22563"/>
    <cellStyle name="20% - Accent3 8 3 3 2 4" xfId="22560"/>
    <cellStyle name="20% - Accent3 8 3 3 3" xfId="4598"/>
    <cellStyle name="20% - Accent3 8 3 3 3 2" xfId="4599"/>
    <cellStyle name="20% - Accent3 8 3 3 3 2 2" xfId="22565"/>
    <cellStyle name="20% - Accent3 8 3 3 3 3" xfId="22564"/>
    <cellStyle name="20% - Accent3 8 3 3 4" xfId="4600"/>
    <cellStyle name="20% - Accent3 8 3 3 4 2" xfId="22566"/>
    <cellStyle name="20% - Accent3 8 3 3 5" xfId="22559"/>
    <cellStyle name="20% - Accent3 8 3 4" xfId="4601"/>
    <cellStyle name="20% - Accent3 8 3 4 2" xfId="4602"/>
    <cellStyle name="20% - Accent3 8 3 4 2 2" xfId="4603"/>
    <cellStyle name="20% - Accent3 8 3 4 2 2 2" xfId="4604"/>
    <cellStyle name="20% - Accent3 8 3 4 2 2 2 2" xfId="22570"/>
    <cellStyle name="20% - Accent3 8 3 4 2 2 3" xfId="22569"/>
    <cellStyle name="20% - Accent3 8 3 4 2 3" xfId="4605"/>
    <cellStyle name="20% - Accent3 8 3 4 2 3 2" xfId="22571"/>
    <cellStyle name="20% - Accent3 8 3 4 2 4" xfId="22568"/>
    <cellStyle name="20% - Accent3 8 3 4 3" xfId="4606"/>
    <cellStyle name="20% - Accent3 8 3 4 3 2" xfId="4607"/>
    <cellStyle name="20% - Accent3 8 3 4 3 2 2" xfId="22573"/>
    <cellStyle name="20% - Accent3 8 3 4 3 3" xfId="22572"/>
    <cellStyle name="20% - Accent3 8 3 4 4" xfId="4608"/>
    <cellStyle name="20% - Accent3 8 3 4 4 2" xfId="22574"/>
    <cellStyle name="20% - Accent3 8 3 4 5" xfId="22567"/>
    <cellStyle name="20% - Accent3 8 3 5" xfId="4609"/>
    <cellStyle name="20% - Accent3 8 3 5 2" xfId="4610"/>
    <cellStyle name="20% - Accent3 8 3 5 2 2" xfId="4611"/>
    <cellStyle name="20% - Accent3 8 3 5 2 2 2" xfId="22577"/>
    <cellStyle name="20% - Accent3 8 3 5 2 3" xfId="22576"/>
    <cellStyle name="20% - Accent3 8 3 5 3" xfId="4612"/>
    <cellStyle name="20% - Accent3 8 3 5 3 2" xfId="22578"/>
    <cellStyle name="20% - Accent3 8 3 5 4" xfId="22575"/>
    <cellStyle name="20% - Accent3 8 3 6" xfId="4613"/>
    <cellStyle name="20% - Accent3 8 3 6 2" xfId="4614"/>
    <cellStyle name="20% - Accent3 8 3 6 2 2" xfId="22580"/>
    <cellStyle name="20% - Accent3 8 3 6 3" xfId="22579"/>
    <cellStyle name="20% - Accent3 8 3 7" xfId="4615"/>
    <cellStyle name="20% - Accent3 8 3 7 2" xfId="22581"/>
    <cellStyle name="20% - Accent3 8 3 8" xfId="22534"/>
    <cellStyle name="20% - Accent3 8 4" xfId="4616"/>
    <cellStyle name="20% - Accent3 8 4 2" xfId="4617"/>
    <cellStyle name="20% - Accent3 8 4 2 2" xfId="4618"/>
    <cellStyle name="20% - Accent3 8 4 2 2 2" xfId="4619"/>
    <cellStyle name="20% - Accent3 8 4 2 2 2 2" xfId="4620"/>
    <cellStyle name="20% - Accent3 8 4 2 2 2 2 2" xfId="22586"/>
    <cellStyle name="20% - Accent3 8 4 2 2 2 3" xfId="22585"/>
    <cellStyle name="20% - Accent3 8 4 2 2 3" xfId="4621"/>
    <cellStyle name="20% - Accent3 8 4 2 2 3 2" xfId="22587"/>
    <cellStyle name="20% - Accent3 8 4 2 2 4" xfId="22584"/>
    <cellStyle name="20% - Accent3 8 4 2 3" xfId="4622"/>
    <cellStyle name="20% - Accent3 8 4 2 3 2" xfId="4623"/>
    <cellStyle name="20% - Accent3 8 4 2 3 2 2" xfId="22589"/>
    <cellStyle name="20% - Accent3 8 4 2 3 3" xfId="22588"/>
    <cellStyle name="20% - Accent3 8 4 2 4" xfId="4624"/>
    <cellStyle name="20% - Accent3 8 4 2 4 2" xfId="22590"/>
    <cellStyle name="20% - Accent3 8 4 2 5" xfId="22583"/>
    <cellStyle name="20% - Accent3 8 4 3" xfId="4625"/>
    <cellStyle name="20% - Accent3 8 4 3 2" xfId="4626"/>
    <cellStyle name="20% - Accent3 8 4 3 2 2" xfId="4627"/>
    <cellStyle name="20% - Accent3 8 4 3 2 2 2" xfId="4628"/>
    <cellStyle name="20% - Accent3 8 4 3 2 2 2 2" xfId="22594"/>
    <cellStyle name="20% - Accent3 8 4 3 2 2 3" xfId="22593"/>
    <cellStyle name="20% - Accent3 8 4 3 2 3" xfId="4629"/>
    <cellStyle name="20% - Accent3 8 4 3 2 3 2" xfId="22595"/>
    <cellStyle name="20% - Accent3 8 4 3 2 4" xfId="22592"/>
    <cellStyle name="20% - Accent3 8 4 3 3" xfId="4630"/>
    <cellStyle name="20% - Accent3 8 4 3 3 2" xfId="4631"/>
    <cellStyle name="20% - Accent3 8 4 3 3 2 2" xfId="22597"/>
    <cellStyle name="20% - Accent3 8 4 3 3 3" xfId="22596"/>
    <cellStyle name="20% - Accent3 8 4 3 4" xfId="4632"/>
    <cellStyle name="20% - Accent3 8 4 3 4 2" xfId="22598"/>
    <cellStyle name="20% - Accent3 8 4 3 5" xfId="22591"/>
    <cellStyle name="20% - Accent3 8 4 4" xfId="4633"/>
    <cellStyle name="20% - Accent3 8 4 4 2" xfId="4634"/>
    <cellStyle name="20% - Accent3 8 4 4 2 2" xfId="4635"/>
    <cellStyle name="20% - Accent3 8 4 4 2 2 2" xfId="22601"/>
    <cellStyle name="20% - Accent3 8 4 4 2 3" xfId="22600"/>
    <cellStyle name="20% - Accent3 8 4 4 3" xfId="4636"/>
    <cellStyle name="20% - Accent3 8 4 4 3 2" xfId="22602"/>
    <cellStyle name="20% - Accent3 8 4 4 4" xfId="22599"/>
    <cellStyle name="20% - Accent3 8 4 5" xfId="4637"/>
    <cellStyle name="20% - Accent3 8 4 5 2" xfId="4638"/>
    <cellStyle name="20% - Accent3 8 4 5 2 2" xfId="22604"/>
    <cellStyle name="20% - Accent3 8 4 5 3" xfId="22603"/>
    <cellStyle name="20% - Accent3 8 4 6" xfId="4639"/>
    <cellStyle name="20% - Accent3 8 4 6 2" xfId="22605"/>
    <cellStyle name="20% - Accent3 8 4 7" xfId="22582"/>
    <cellStyle name="20% - Accent3 8 5" xfId="4640"/>
    <cellStyle name="20% - Accent3 8 5 2" xfId="4641"/>
    <cellStyle name="20% - Accent3 8 5 2 2" xfId="4642"/>
    <cellStyle name="20% - Accent3 8 5 2 2 2" xfId="4643"/>
    <cellStyle name="20% - Accent3 8 5 2 2 2 2" xfId="22609"/>
    <cellStyle name="20% - Accent3 8 5 2 2 3" xfId="22608"/>
    <cellStyle name="20% - Accent3 8 5 2 3" xfId="4644"/>
    <cellStyle name="20% - Accent3 8 5 2 3 2" xfId="22610"/>
    <cellStyle name="20% - Accent3 8 5 2 4" xfId="22607"/>
    <cellStyle name="20% - Accent3 8 5 3" xfId="4645"/>
    <cellStyle name="20% - Accent3 8 5 3 2" xfId="4646"/>
    <cellStyle name="20% - Accent3 8 5 3 2 2" xfId="22612"/>
    <cellStyle name="20% - Accent3 8 5 3 3" xfId="22611"/>
    <cellStyle name="20% - Accent3 8 5 4" xfId="4647"/>
    <cellStyle name="20% - Accent3 8 5 4 2" xfId="22613"/>
    <cellStyle name="20% - Accent3 8 5 5" xfId="22606"/>
    <cellStyle name="20% - Accent3 8 6" xfId="4648"/>
    <cellStyle name="20% - Accent3 8 6 2" xfId="4649"/>
    <cellStyle name="20% - Accent3 8 6 2 2" xfId="4650"/>
    <cellStyle name="20% - Accent3 8 6 2 2 2" xfId="4651"/>
    <cellStyle name="20% - Accent3 8 6 2 2 2 2" xfId="22617"/>
    <cellStyle name="20% - Accent3 8 6 2 2 3" xfId="22616"/>
    <cellStyle name="20% - Accent3 8 6 2 3" xfId="4652"/>
    <cellStyle name="20% - Accent3 8 6 2 3 2" xfId="22618"/>
    <cellStyle name="20% - Accent3 8 6 2 4" xfId="22615"/>
    <cellStyle name="20% - Accent3 8 6 3" xfId="4653"/>
    <cellStyle name="20% - Accent3 8 6 3 2" xfId="4654"/>
    <cellStyle name="20% - Accent3 8 6 3 2 2" xfId="22620"/>
    <cellStyle name="20% - Accent3 8 6 3 3" xfId="22619"/>
    <cellStyle name="20% - Accent3 8 6 4" xfId="4655"/>
    <cellStyle name="20% - Accent3 8 6 4 2" xfId="22621"/>
    <cellStyle name="20% - Accent3 8 6 5" xfId="22614"/>
    <cellStyle name="20% - Accent3 8 7" xfId="4656"/>
    <cellStyle name="20% - Accent3 8 7 2" xfId="4657"/>
    <cellStyle name="20% - Accent3 8 7 2 2" xfId="4658"/>
    <cellStyle name="20% - Accent3 8 7 2 2 2" xfId="22624"/>
    <cellStyle name="20% - Accent3 8 7 2 3" xfId="22623"/>
    <cellStyle name="20% - Accent3 8 7 3" xfId="4659"/>
    <cellStyle name="20% - Accent3 8 7 3 2" xfId="22625"/>
    <cellStyle name="20% - Accent3 8 7 4" xfId="22622"/>
    <cellStyle name="20% - Accent3 8 8" xfId="4660"/>
    <cellStyle name="20% - Accent3 8 8 2" xfId="4661"/>
    <cellStyle name="20% - Accent3 8 8 2 2" xfId="22627"/>
    <cellStyle name="20% - Accent3 8 8 3" xfId="22626"/>
    <cellStyle name="20% - Accent3 8 9" xfId="4662"/>
    <cellStyle name="20% - Accent3 8 9 2" xfId="22628"/>
    <cellStyle name="20% - Accent3 9" xfId="4663"/>
    <cellStyle name="20% - Accent3 9 2" xfId="4664"/>
    <cellStyle name="20% - Accent3 9 2 2" xfId="4665"/>
    <cellStyle name="20% - Accent3 9 2 2 2" xfId="4666"/>
    <cellStyle name="20% - Accent3 9 2 2 2 2" xfId="22632"/>
    <cellStyle name="20% - Accent3 9 2 2 3" xfId="22631"/>
    <cellStyle name="20% - Accent3 9 2 3" xfId="4667"/>
    <cellStyle name="20% - Accent3 9 2 3 2" xfId="22633"/>
    <cellStyle name="20% - Accent3 9 2 4" xfId="22630"/>
    <cellStyle name="20% - Accent3 9 3" xfId="4668"/>
    <cellStyle name="20% - Accent3 9 3 2" xfId="4669"/>
    <cellStyle name="20% - Accent3 9 3 2 2" xfId="22635"/>
    <cellStyle name="20% - Accent3 9 3 3" xfId="22634"/>
    <cellStyle name="20% - Accent3 9 4" xfId="4670"/>
    <cellStyle name="20% - Accent3 9 4 2" xfId="22636"/>
    <cellStyle name="20% - Accent3 9 5" xfId="22629"/>
    <cellStyle name="20% - Accent4" xfId="5" builtinId="42" customBuiltin="1"/>
    <cellStyle name="20% - Accent4 10" xfId="4671"/>
    <cellStyle name="20% - Accent4 10 2" xfId="4672"/>
    <cellStyle name="20% - Accent4 10 2 2" xfId="4673"/>
    <cellStyle name="20% - Accent4 10 2 2 2" xfId="4674"/>
    <cellStyle name="20% - Accent4 10 2 2 2 2" xfId="22640"/>
    <cellStyle name="20% - Accent4 10 2 2 3" xfId="22639"/>
    <cellStyle name="20% - Accent4 10 2 3" xfId="4675"/>
    <cellStyle name="20% - Accent4 10 2 3 2" xfId="22641"/>
    <cellStyle name="20% - Accent4 10 2 4" xfId="22638"/>
    <cellStyle name="20% - Accent4 10 3" xfId="4676"/>
    <cellStyle name="20% - Accent4 10 3 2" xfId="4677"/>
    <cellStyle name="20% - Accent4 10 3 2 2" xfId="22643"/>
    <cellStyle name="20% - Accent4 10 3 3" xfId="22642"/>
    <cellStyle name="20% - Accent4 10 4" xfId="4678"/>
    <cellStyle name="20% - Accent4 10 4 2" xfId="22644"/>
    <cellStyle name="20% - Accent4 10 5" xfId="22637"/>
    <cellStyle name="20% - Accent4 11" xfId="4679"/>
    <cellStyle name="20% - Accent4 11 2" xfId="4680"/>
    <cellStyle name="20% - Accent4 11 2 2" xfId="4681"/>
    <cellStyle name="20% - Accent4 11 2 2 2" xfId="4682"/>
    <cellStyle name="20% - Accent4 11 2 2 2 2" xfId="22648"/>
    <cellStyle name="20% - Accent4 11 2 2 3" xfId="22647"/>
    <cellStyle name="20% - Accent4 11 2 3" xfId="4683"/>
    <cellStyle name="20% - Accent4 11 2 3 2" xfId="22649"/>
    <cellStyle name="20% - Accent4 11 2 4" xfId="22646"/>
    <cellStyle name="20% - Accent4 11 3" xfId="4684"/>
    <cellStyle name="20% - Accent4 11 3 2" xfId="4685"/>
    <cellStyle name="20% - Accent4 11 3 2 2" xfId="22651"/>
    <cellStyle name="20% - Accent4 11 3 3" xfId="22650"/>
    <cellStyle name="20% - Accent4 11 4" xfId="4686"/>
    <cellStyle name="20% - Accent4 11 4 2" xfId="22652"/>
    <cellStyle name="20% - Accent4 11 5" xfId="22645"/>
    <cellStyle name="20% - Accent4 12" xfId="4687"/>
    <cellStyle name="20% - Accent4 12 2" xfId="4688"/>
    <cellStyle name="20% - Accent4 12 2 2" xfId="4689"/>
    <cellStyle name="20% - Accent4 12 2 2 2" xfId="4690"/>
    <cellStyle name="20% - Accent4 12 2 2 2 2" xfId="22656"/>
    <cellStyle name="20% - Accent4 12 2 2 3" xfId="22655"/>
    <cellStyle name="20% - Accent4 12 2 3" xfId="4691"/>
    <cellStyle name="20% - Accent4 12 2 3 2" xfId="22657"/>
    <cellStyle name="20% - Accent4 12 2 4" xfId="22654"/>
    <cellStyle name="20% - Accent4 12 3" xfId="4692"/>
    <cellStyle name="20% - Accent4 12 3 2" xfId="4693"/>
    <cellStyle name="20% - Accent4 12 3 2 2" xfId="22659"/>
    <cellStyle name="20% - Accent4 12 3 3" xfId="22658"/>
    <cellStyle name="20% - Accent4 12 4" xfId="4694"/>
    <cellStyle name="20% - Accent4 12 4 2" xfId="22660"/>
    <cellStyle name="20% - Accent4 12 5" xfId="22653"/>
    <cellStyle name="20% - Accent4 13" xfId="4695"/>
    <cellStyle name="20% - Accent4 14" xfId="4696"/>
    <cellStyle name="20% - Accent4 14 2" xfId="4697"/>
    <cellStyle name="20% - Accent4 14 2 2" xfId="4698"/>
    <cellStyle name="20% - Accent4 14 2 2 2" xfId="22663"/>
    <cellStyle name="20% - Accent4 14 2 3" xfId="22662"/>
    <cellStyle name="20% - Accent4 14 3" xfId="4699"/>
    <cellStyle name="20% - Accent4 14 3 2" xfId="22664"/>
    <cellStyle name="20% - Accent4 14 4" xfId="22661"/>
    <cellStyle name="20% - Accent4 15" xfId="4700"/>
    <cellStyle name="20% - Accent4 15 2" xfId="4701"/>
    <cellStyle name="20% - Accent4 15 2 2" xfId="4702"/>
    <cellStyle name="20% - Accent4 15 2 2 2" xfId="22667"/>
    <cellStyle name="20% - Accent4 15 2 3" xfId="22666"/>
    <cellStyle name="20% - Accent4 15 3" xfId="4703"/>
    <cellStyle name="20% - Accent4 15 3 2" xfId="22668"/>
    <cellStyle name="20% - Accent4 15 4" xfId="22665"/>
    <cellStyle name="20% - Accent4 16" xfId="4704"/>
    <cellStyle name="20% - Accent4 16 2" xfId="4705"/>
    <cellStyle name="20% - Accent4 16 2 2" xfId="4706"/>
    <cellStyle name="20% - Accent4 16 2 2 2" xfId="22671"/>
    <cellStyle name="20% - Accent4 16 2 3" xfId="22670"/>
    <cellStyle name="20% - Accent4 16 3" xfId="4707"/>
    <cellStyle name="20% - Accent4 16 3 2" xfId="22672"/>
    <cellStyle name="20% - Accent4 16 4" xfId="22669"/>
    <cellStyle name="20% - Accent4 17" xfId="4708"/>
    <cellStyle name="20% - Accent4 17 2" xfId="4709"/>
    <cellStyle name="20% - Accent4 17 2 2" xfId="4710"/>
    <cellStyle name="20% - Accent4 17 2 2 2" xfId="22675"/>
    <cellStyle name="20% - Accent4 17 2 3" xfId="22674"/>
    <cellStyle name="20% - Accent4 17 3" xfId="4711"/>
    <cellStyle name="20% - Accent4 17 3 2" xfId="22676"/>
    <cellStyle name="20% - Accent4 17 4" xfId="22673"/>
    <cellStyle name="20% - Accent4 18" xfId="4712"/>
    <cellStyle name="20% - Accent4 18 2" xfId="4713"/>
    <cellStyle name="20% - Accent4 18 2 2" xfId="4714"/>
    <cellStyle name="20% - Accent4 18 2 2 2" xfId="22679"/>
    <cellStyle name="20% - Accent4 18 2 3" xfId="22678"/>
    <cellStyle name="20% - Accent4 18 3" xfId="4715"/>
    <cellStyle name="20% - Accent4 18 3 2" xfId="22680"/>
    <cellStyle name="20% - Accent4 18 4" xfId="22677"/>
    <cellStyle name="20% - Accent4 19" xfId="4716"/>
    <cellStyle name="20% - Accent4 19 2" xfId="4717"/>
    <cellStyle name="20% - Accent4 19 2 2" xfId="4718"/>
    <cellStyle name="20% - Accent4 19 2 2 2" xfId="22683"/>
    <cellStyle name="20% - Accent4 19 2 3" xfId="22682"/>
    <cellStyle name="20% - Accent4 19 3" xfId="4719"/>
    <cellStyle name="20% - Accent4 19 3 2" xfId="22684"/>
    <cellStyle name="20% - Accent4 19 4" xfId="22681"/>
    <cellStyle name="20% - Accent4 2" xfId="239"/>
    <cellStyle name="20% - Accent4 2 2" xfId="4720"/>
    <cellStyle name="20% - Accent4 2 2 2" xfId="4721"/>
    <cellStyle name="20% - Accent4 2 3" xfId="4722"/>
    <cellStyle name="20% - Accent4 2 3 2" xfId="4723"/>
    <cellStyle name="20% - Accent4 2 3 3" xfId="4724"/>
    <cellStyle name="20% - Accent4 2 3 3 2" xfId="4725"/>
    <cellStyle name="20% - Accent4 2 3 3 2 2" xfId="4726"/>
    <cellStyle name="20% - Accent4 2 3 3 2 2 2" xfId="22687"/>
    <cellStyle name="20% - Accent4 2 3 3 2 3" xfId="22686"/>
    <cellStyle name="20% - Accent4 2 3 3 3" xfId="4727"/>
    <cellStyle name="20% - Accent4 2 3 3 3 2" xfId="22688"/>
    <cellStyle name="20% - Accent4 2 3 3 4" xfId="22685"/>
    <cellStyle name="20% - Accent4 2 4" xfId="4728"/>
    <cellStyle name="20% - Accent4 2 5" xfId="4729"/>
    <cellStyle name="20% - Accent4 20" xfId="4730"/>
    <cellStyle name="20% - Accent4 20 2" xfId="4731"/>
    <cellStyle name="20% - Accent4 20 2 2" xfId="4732"/>
    <cellStyle name="20% - Accent4 20 2 2 2" xfId="22691"/>
    <cellStyle name="20% - Accent4 20 2 3" xfId="22690"/>
    <cellStyle name="20% - Accent4 20 3" xfId="4733"/>
    <cellStyle name="20% - Accent4 20 3 2" xfId="22692"/>
    <cellStyle name="20% - Accent4 20 4" xfId="22689"/>
    <cellStyle name="20% - Accent4 21" xfId="4734"/>
    <cellStyle name="20% - Accent4 21 2" xfId="4735"/>
    <cellStyle name="20% - Accent4 21 2 2" xfId="4736"/>
    <cellStyle name="20% - Accent4 21 2 2 2" xfId="22695"/>
    <cellStyle name="20% - Accent4 21 2 3" xfId="22694"/>
    <cellStyle name="20% - Accent4 21 3" xfId="4737"/>
    <cellStyle name="20% - Accent4 21 3 2" xfId="22696"/>
    <cellStyle name="20% - Accent4 21 4" xfId="22693"/>
    <cellStyle name="20% - Accent4 22" xfId="4738"/>
    <cellStyle name="20% - Accent4 23" xfId="4739"/>
    <cellStyle name="20% - Accent4 23 2" xfId="4740"/>
    <cellStyle name="20% - Accent4 23 2 2" xfId="22698"/>
    <cellStyle name="20% - Accent4 23 3" xfId="22697"/>
    <cellStyle name="20% - Accent4 24" xfId="4741"/>
    <cellStyle name="20% - Accent4 25" xfId="4742"/>
    <cellStyle name="20% - Accent4 25 2" xfId="22699"/>
    <cellStyle name="20% - Accent4 26" xfId="4743"/>
    <cellStyle name="20% - Accent4 26 2" xfId="22700"/>
    <cellStyle name="20% - Accent4 27" xfId="4744"/>
    <cellStyle name="20% - Accent4 27 2" xfId="22701"/>
    <cellStyle name="20% - Accent4 28" xfId="4745"/>
    <cellStyle name="20% - Accent4 28 2" xfId="22702"/>
    <cellStyle name="20% - Accent4 29" xfId="4746"/>
    <cellStyle name="20% - Accent4 29 2" xfId="22703"/>
    <cellStyle name="20% - Accent4 3" xfId="653"/>
    <cellStyle name="20% - Accent4 3 2" xfId="4747"/>
    <cellStyle name="20% - Accent4 3 2 2" xfId="4748"/>
    <cellStyle name="20% - Accent4 3 2 2 2" xfId="4749"/>
    <cellStyle name="20% - Accent4 3 2 2 2 2" xfId="4750"/>
    <cellStyle name="20% - Accent4 3 2 2 2 2 2" xfId="4751"/>
    <cellStyle name="20% - Accent4 3 2 2 2 2 2 2" xfId="4752"/>
    <cellStyle name="20% - Accent4 3 2 2 2 2 2 2 2" xfId="4753"/>
    <cellStyle name="20% - Accent4 3 2 2 2 2 2 2 2 2" xfId="22710"/>
    <cellStyle name="20% - Accent4 3 2 2 2 2 2 2 3" xfId="22709"/>
    <cellStyle name="20% - Accent4 3 2 2 2 2 2 3" xfId="4754"/>
    <cellStyle name="20% - Accent4 3 2 2 2 2 2 3 2" xfId="22711"/>
    <cellStyle name="20% - Accent4 3 2 2 2 2 2 4" xfId="22708"/>
    <cellStyle name="20% - Accent4 3 2 2 2 2 3" xfId="4755"/>
    <cellStyle name="20% - Accent4 3 2 2 2 2 3 2" xfId="4756"/>
    <cellStyle name="20% - Accent4 3 2 2 2 2 3 2 2" xfId="22713"/>
    <cellStyle name="20% - Accent4 3 2 2 2 2 3 3" xfId="22712"/>
    <cellStyle name="20% - Accent4 3 2 2 2 2 4" xfId="4757"/>
    <cellStyle name="20% - Accent4 3 2 2 2 2 4 2" xfId="22714"/>
    <cellStyle name="20% - Accent4 3 2 2 2 2 5" xfId="22707"/>
    <cellStyle name="20% - Accent4 3 2 2 2 3" xfId="4758"/>
    <cellStyle name="20% - Accent4 3 2 2 2 3 2" xfId="4759"/>
    <cellStyle name="20% - Accent4 3 2 2 2 3 2 2" xfId="4760"/>
    <cellStyle name="20% - Accent4 3 2 2 2 3 2 2 2" xfId="4761"/>
    <cellStyle name="20% - Accent4 3 2 2 2 3 2 2 2 2" xfId="22718"/>
    <cellStyle name="20% - Accent4 3 2 2 2 3 2 2 3" xfId="22717"/>
    <cellStyle name="20% - Accent4 3 2 2 2 3 2 3" xfId="4762"/>
    <cellStyle name="20% - Accent4 3 2 2 2 3 2 3 2" xfId="22719"/>
    <cellStyle name="20% - Accent4 3 2 2 2 3 2 4" xfId="22716"/>
    <cellStyle name="20% - Accent4 3 2 2 2 3 3" xfId="4763"/>
    <cellStyle name="20% - Accent4 3 2 2 2 3 3 2" xfId="4764"/>
    <cellStyle name="20% - Accent4 3 2 2 2 3 3 2 2" xfId="22721"/>
    <cellStyle name="20% - Accent4 3 2 2 2 3 3 3" xfId="22720"/>
    <cellStyle name="20% - Accent4 3 2 2 2 3 4" xfId="4765"/>
    <cellStyle name="20% - Accent4 3 2 2 2 3 4 2" xfId="22722"/>
    <cellStyle name="20% - Accent4 3 2 2 2 3 5" xfId="22715"/>
    <cellStyle name="20% - Accent4 3 2 2 2 4" xfId="4766"/>
    <cellStyle name="20% - Accent4 3 2 2 2 4 2" xfId="4767"/>
    <cellStyle name="20% - Accent4 3 2 2 2 4 2 2" xfId="4768"/>
    <cellStyle name="20% - Accent4 3 2 2 2 4 2 2 2" xfId="22725"/>
    <cellStyle name="20% - Accent4 3 2 2 2 4 2 3" xfId="22724"/>
    <cellStyle name="20% - Accent4 3 2 2 2 4 3" xfId="4769"/>
    <cellStyle name="20% - Accent4 3 2 2 2 4 3 2" xfId="22726"/>
    <cellStyle name="20% - Accent4 3 2 2 2 4 4" xfId="22723"/>
    <cellStyle name="20% - Accent4 3 2 2 2 5" xfId="4770"/>
    <cellStyle name="20% - Accent4 3 2 2 2 5 2" xfId="4771"/>
    <cellStyle name="20% - Accent4 3 2 2 2 5 2 2" xfId="22728"/>
    <cellStyle name="20% - Accent4 3 2 2 2 5 3" xfId="22727"/>
    <cellStyle name="20% - Accent4 3 2 2 2 6" xfId="4772"/>
    <cellStyle name="20% - Accent4 3 2 2 2 6 2" xfId="22729"/>
    <cellStyle name="20% - Accent4 3 2 2 2 7" xfId="22706"/>
    <cellStyle name="20% - Accent4 3 2 2 3" xfId="4773"/>
    <cellStyle name="20% - Accent4 3 2 2 3 2" xfId="4774"/>
    <cellStyle name="20% - Accent4 3 2 2 3 2 2" xfId="4775"/>
    <cellStyle name="20% - Accent4 3 2 2 3 2 2 2" xfId="4776"/>
    <cellStyle name="20% - Accent4 3 2 2 3 2 2 2 2" xfId="22733"/>
    <cellStyle name="20% - Accent4 3 2 2 3 2 2 3" xfId="22732"/>
    <cellStyle name="20% - Accent4 3 2 2 3 2 3" xfId="4777"/>
    <cellStyle name="20% - Accent4 3 2 2 3 2 3 2" xfId="22734"/>
    <cellStyle name="20% - Accent4 3 2 2 3 2 4" xfId="22731"/>
    <cellStyle name="20% - Accent4 3 2 2 3 3" xfId="4778"/>
    <cellStyle name="20% - Accent4 3 2 2 3 3 2" xfId="4779"/>
    <cellStyle name="20% - Accent4 3 2 2 3 3 2 2" xfId="22736"/>
    <cellStyle name="20% - Accent4 3 2 2 3 3 3" xfId="22735"/>
    <cellStyle name="20% - Accent4 3 2 2 3 4" xfId="4780"/>
    <cellStyle name="20% - Accent4 3 2 2 3 4 2" xfId="22737"/>
    <cellStyle name="20% - Accent4 3 2 2 3 5" xfId="22730"/>
    <cellStyle name="20% - Accent4 3 2 2 4" xfId="4781"/>
    <cellStyle name="20% - Accent4 3 2 2 4 2" xfId="4782"/>
    <cellStyle name="20% - Accent4 3 2 2 4 2 2" xfId="4783"/>
    <cellStyle name="20% - Accent4 3 2 2 4 2 2 2" xfId="4784"/>
    <cellStyle name="20% - Accent4 3 2 2 4 2 2 2 2" xfId="22741"/>
    <cellStyle name="20% - Accent4 3 2 2 4 2 2 3" xfId="22740"/>
    <cellStyle name="20% - Accent4 3 2 2 4 2 3" xfId="4785"/>
    <cellStyle name="20% - Accent4 3 2 2 4 2 3 2" xfId="22742"/>
    <cellStyle name="20% - Accent4 3 2 2 4 2 4" xfId="22739"/>
    <cellStyle name="20% - Accent4 3 2 2 4 3" xfId="4786"/>
    <cellStyle name="20% - Accent4 3 2 2 4 3 2" xfId="4787"/>
    <cellStyle name="20% - Accent4 3 2 2 4 3 2 2" xfId="22744"/>
    <cellStyle name="20% - Accent4 3 2 2 4 3 3" xfId="22743"/>
    <cellStyle name="20% - Accent4 3 2 2 4 4" xfId="4788"/>
    <cellStyle name="20% - Accent4 3 2 2 4 4 2" xfId="22745"/>
    <cellStyle name="20% - Accent4 3 2 2 4 5" xfId="22738"/>
    <cellStyle name="20% - Accent4 3 2 2 5" xfId="4789"/>
    <cellStyle name="20% - Accent4 3 2 2 5 2" xfId="4790"/>
    <cellStyle name="20% - Accent4 3 2 2 5 2 2" xfId="4791"/>
    <cellStyle name="20% - Accent4 3 2 2 5 2 2 2" xfId="22748"/>
    <cellStyle name="20% - Accent4 3 2 2 5 2 3" xfId="22747"/>
    <cellStyle name="20% - Accent4 3 2 2 5 3" xfId="4792"/>
    <cellStyle name="20% - Accent4 3 2 2 5 3 2" xfId="22749"/>
    <cellStyle name="20% - Accent4 3 2 2 5 4" xfId="22746"/>
    <cellStyle name="20% - Accent4 3 2 2 6" xfId="4793"/>
    <cellStyle name="20% - Accent4 3 2 2 6 2" xfId="4794"/>
    <cellStyle name="20% - Accent4 3 2 2 6 2 2" xfId="22751"/>
    <cellStyle name="20% - Accent4 3 2 2 6 3" xfId="22750"/>
    <cellStyle name="20% - Accent4 3 2 2 7" xfId="4795"/>
    <cellStyle name="20% - Accent4 3 2 2 7 2" xfId="22752"/>
    <cellStyle name="20% - Accent4 3 2 2 8" xfId="22705"/>
    <cellStyle name="20% - Accent4 3 2 3" xfId="4796"/>
    <cellStyle name="20% - Accent4 3 2 3 2" xfId="4797"/>
    <cellStyle name="20% - Accent4 3 2 3 2 2" xfId="4798"/>
    <cellStyle name="20% - Accent4 3 2 3 2 2 2" xfId="4799"/>
    <cellStyle name="20% - Accent4 3 2 3 2 2 2 2" xfId="4800"/>
    <cellStyle name="20% - Accent4 3 2 3 2 2 2 2 2" xfId="22757"/>
    <cellStyle name="20% - Accent4 3 2 3 2 2 2 3" xfId="22756"/>
    <cellStyle name="20% - Accent4 3 2 3 2 2 3" xfId="4801"/>
    <cellStyle name="20% - Accent4 3 2 3 2 2 3 2" xfId="22758"/>
    <cellStyle name="20% - Accent4 3 2 3 2 2 4" xfId="22755"/>
    <cellStyle name="20% - Accent4 3 2 3 2 3" xfId="4802"/>
    <cellStyle name="20% - Accent4 3 2 3 2 3 2" xfId="4803"/>
    <cellStyle name="20% - Accent4 3 2 3 2 3 2 2" xfId="22760"/>
    <cellStyle name="20% - Accent4 3 2 3 2 3 3" xfId="22759"/>
    <cellStyle name="20% - Accent4 3 2 3 2 4" xfId="4804"/>
    <cellStyle name="20% - Accent4 3 2 3 2 4 2" xfId="22761"/>
    <cellStyle name="20% - Accent4 3 2 3 2 5" xfId="22754"/>
    <cellStyle name="20% - Accent4 3 2 3 3" xfId="4805"/>
    <cellStyle name="20% - Accent4 3 2 3 3 2" xfId="4806"/>
    <cellStyle name="20% - Accent4 3 2 3 3 2 2" xfId="4807"/>
    <cellStyle name="20% - Accent4 3 2 3 3 2 2 2" xfId="4808"/>
    <cellStyle name="20% - Accent4 3 2 3 3 2 2 2 2" xfId="22765"/>
    <cellStyle name="20% - Accent4 3 2 3 3 2 2 3" xfId="22764"/>
    <cellStyle name="20% - Accent4 3 2 3 3 2 3" xfId="4809"/>
    <cellStyle name="20% - Accent4 3 2 3 3 2 3 2" xfId="22766"/>
    <cellStyle name="20% - Accent4 3 2 3 3 2 4" xfId="22763"/>
    <cellStyle name="20% - Accent4 3 2 3 3 3" xfId="4810"/>
    <cellStyle name="20% - Accent4 3 2 3 3 3 2" xfId="4811"/>
    <cellStyle name="20% - Accent4 3 2 3 3 3 2 2" xfId="22768"/>
    <cellStyle name="20% - Accent4 3 2 3 3 3 3" xfId="22767"/>
    <cellStyle name="20% - Accent4 3 2 3 3 4" xfId="4812"/>
    <cellStyle name="20% - Accent4 3 2 3 3 4 2" xfId="22769"/>
    <cellStyle name="20% - Accent4 3 2 3 3 5" xfId="22762"/>
    <cellStyle name="20% - Accent4 3 2 3 4" xfId="4813"/>
    <cellStyle name="20% - Accent4 3 2 3 4 2" xfId="4814"/>
    <cellStyle name="20% - Accent4 3 2 3 4 2 2" xfId="4815"/>
    <cellStyle name="20% - Accent4 3 2 3 4 2 2 2" xfId="22772"/>
    <cellStyle name="20% - Accent4 3 2 3 4 2 3" xfId="22771"/>
    <cellStyle name="20% - Accent4 3 2 3 4 3" xfId="4816"/>
    <cellStyle name="20% - Accent4 3 2 3 4 3 2" xfId="22773"/>
    <cellStyle name="20% - Accent4 3 2 3 4 4" xfId="22770"/>
    <cellStyle name="20% - Accent4 3 2 3 5" xfId="4817"/>
    <cellStyle name="20% - Accent4 3 2 3 5 2" xfId="4818"/>
    <cellStyle name="20% - Accent4 3 2 3 5 2 2" xfId="22775"/>
    <cellStyle name="20% - Accent4 3 2 3 5 3" xfId="22774"/>
    <cellStyle name="20% - Accent4 3 2 3 6" xfId="4819"/>
    <cellStyle name="20% - Accent4 3 2 3 6 2" xfId="22776"/>
    <cellStyle name="20% - Accent4 3 2 3 7" xfId="22753"/>
    <cellStyle name="20% - Accent4 3 2 4" xfId="4820"/>
    <cellStyle name="20% - Accent4 3 2 4 2" xfId="4821"/>
    <cellStyle name="20% - Accent4 3 2 4 2 2" xfId="4822"/>
    <cellStyle name="20% - Accent4 3 2 4 2 2 2" xfId="4823"/>
    <cellStyle name="20% - Accent4 3 2 4 2 2 2 2" xfId="22780"/>
    <cellStyle name="20% - Accent4 3 2 4 2 2 3" xfId="22779"/>
    <cellStyle name="20% - Accent4 3 2 4 2 3" xfId="4824"/>
    <cellStyle name="20% - Accent4 3 2 4 2 3 2" xfId="22781"/>
    <cellStyle name="20% - Accent4 3 2 4 2 4" xfId="22778"/>
    <cellStyle name="20% - Accent4 3 2 4 3" xfId="4825"/>
    <cellStyle name="20% - Accent4 3 2 4 3 2" xfId="4826"/>
    <cellStyle name="20% - Accent4 3 2 4 3 2 2" xfId="22783"/>
    <cellStyle name="20% - Accent4 3 2 4 3 3" xfId="22782"/>
    <cellStyle name="20% - Accent4 3 2 4 4" xfId="4827"/>
    <cellStyle name="20% - Accent4 3 2 4 4 2" xfId="22784"/>
    <cellStyle name="20% - Accent4 3 2 4 5" xfId="22777"/>
    <cellStyle name="20% - Accent4 3 2 5" xfId="4828"/>
    <cellStyle name="20% - Accent4 3 2 5 2" xfId="4829"/>
    <cellStyle name="20% - Accent4 3 2 5 2 2" xfId="4830"/>
    <cellStyle name="20% - Accent4 3 2 5 2 2 2" xfId="4831"/>
    <cellStyle name="20% - Accent4 3 2 5 2 2 2 2" xfId="22788"/>
    <cellStyle name="20% - Accent4 3 2 5 2 2 3" xfId="22787"/>
    <cellStyle name="20% - Accent4 3 2 5 2 3" xfId="4832"/>
    <cellStyle name="20% - Accent4 3 2 5 2 3 2" xfId="22789"/>
    <cellStyle name="20% - Accent4 3 2 5 2 4" xfId="22786"/>
    <cellStyle name="20% - Accent4 3 2 5 3" xfId="4833"/>
    <cellStyle name="20% - Accent4 3 2 5 3 2" xfId="4834"/>
    <cellStyle name="20% - Accent4 3 2 5 3 2 2" xfId="22791"/>
    <cellStyle name="20% - Accent4 3 2 5 3 3" xfId="22790"/>
    <cellStyle name="20% - Accent4 3 2 5 4" xfId="4835"/>
    <cellStyle name="20% - Accent4 3 2 5 4 2" xfId="22792"/>
    <cellStyle name="20% - Accent4 3 2 5 5" xfId="22785"/>
    <cellStyle name="20% - Accent4 3 2 6" xfId="4836"/>
    <cellStyle name="20% - Accent4 3 2 6 2" xfId="4837"/>
    <cellStyle name="20% - Accent4 3 2 6 2 2" xfId="4838"/>
    <cellStyle name="20% - Accent4 3 2 6 2 2 2" xfId="22795"/>
    <cellStyle name="20% - Accent4 3 2 6 2 3" xfId="22794"/>
    <cellStyle name="20% - Accent4 3 2 6 3" xfId="4839"/>
    <cellStyle name="20% - Accent4 3 2 6 3 2" xfId="22796"/>
    <cellStyle name="20% - Accent4 3 2 6 4" xfId="22793"/>
    <cellStyle name="20% - Accent4 3 2 7" xfId="4840"/>
    <cellStyle name="20% - Accent4 3 2 7 2" xfId="4841"/>
    <cellStyle name="20% - Accent4 3 2 7 2 2" xfId="22798"/>
    <cellStyle name="20% - Accent4 3 2 7 3" xfId="22797"/>
    <cellStyle name="20% - Accent4 3 2 8" xfId="4842"/>
    <cellStyle name="20% - Accent4 3 2 8 2" xfId="22799"/>
    <cellStyle name="20% - Accent4 3 2 9" xfId="22704"/>
    <cellStyle name="20% - Accent4 3 3" xfId="4843"/>
    <cellStyle name="20% - Accent4 3 3 2" xfId="4844"/>
    <cellStyle name="20% - Accent4 3 3 2 2" xfId="4845"/>
    <cellStyle name="20% - Accent4 3 3 2 2 2" xfId="4846"/>
    <cellStyle name="20% - Accent4 3 3 2 2 2 2" xfId="4847"/>
    <cellStyle name="20% - Accent4 3 3 2 2 2 2 2" xfId="4848"/>
    <cellStyle name="20% - Accent4 3 3 2 2 2 2 2 2" xfId="22805"/>
    <cellStyle name="20% - Accent4 3 3 2 2 2 2 3" xfId="22804"/>
    <cellStyle name="20% - Accent4 3 3 2 2 2 3" xfId="4849"/>
    <cellStyle name="20% - Accent4 3 3 2 2 2 3 2" xfId="22806"/>
    <cellStyle name="20% - Accent4 3 3 2 2 2 4" xfId="22803"/>
    <cellStyle name="20% - Accent4 3 3 2 2 3" xfId="4850"/>
    <cellStyle name="20% - Accent4 3 3 2 2 3 2" xfId="4851"/>
    <cellStyle name="20% - Accent4 3 3 2 2 3 2 2" xfId="22808"/>
    <cellStyle name="20% - Accent4 3 3 2 2 3 3" xfId="22807"/>
    <cellStyle name="20% - Accent4 3 3 2 2 4" xfId="4852"/>
    <cellStyle name="20% - Accent4 3 3 2 2 4 2" xfId="22809"/>
    <cellStyle name="20% - Accent4 3 3 2 2 5" xfId="22802"/>
    <cellStyle name="20% - Accent4 3 3 2 3" xfId="4853"/>
    <cellStyle name="20% - Accent4 3 3 2 3 2" xfId="4854"/>
    <cellStyle name="20% - Accent4 3 3 2 3 2 2" xfId="4855"/>
    <cellStyle name="20% - Accent4 3 3 2 3 2 2 2" xfId="4856"/>
    <cellStyle name="20% - Accent4 3 3 2 3 2 2 2 2" xfId="22813"/>
    <cellStyle name="20% - Accent4 3 3 2 3 2 2 3" xfId="22812"/>
    <cellStyle name="20% - Accent4 3 3 2 3 2 3" xfId="4857"/>
    <cellStyle name="20% - Accent4 3 3 2 3 2 3 2" xfId="22814"/>
    <cellStyle name="20% - Accent4 3 3 2 3 2 4" xfId="22811"/>
    <cellStyle name="20% - Accent4 3 3 2 3 3" xfId="4858"/>
    <cellStyle name="20% - Accent4 3 3 2 3 3 2" xfId="4859"/>
    <cellStyle name="20% - Accent4 3 3 2 3 3 2 2" xfId="22816"/>
    <cellStyle name="20% - Accent4 3 3 2 3 3 3" xfId="22815"/>
    <cellStyle name="20% - Accent4 3 3 2 3 4" xfId="4860"/>
    <cellStyle name="20% - Accent4 3 3 2 3 4 2" xfId="22817"/>
    <cellStyle name="20% - Accent4 3 3 2 3 5" xfId="22810"/>
    <cellStyle name="20% - Accent4 3 3 2 4" xfId="4861"/>
    <cellStyle name="20% - Accent4 3 3 2 4 2" xfId="4862"/>
    <cellStyle name="20% - Accent4 3 3 2 4 2 2" xfId="4863"/>
    <cellStyle name="20% - Accent4 3 3 2 4 2 2 2" xfId="22820"/>
    <cellStyle name="20% - Accent4 3 3 2 4 2 3" xfId="22819"/>
    <cellStyle name="20% - Accent4 3 3 2 4 3" xfId="4864"/>
    <cellStyle name="20% - Accent4 3 3 2 4 3 2" xfId="22821"/>
    <cellStyle name="20% - Accent4 3 3 2 4 4" xfId="22818"/>
    <cellStyle name="20% - Accent4 3 3 2 5" xfId="4865"/>
    <cellStyle name="20% - Accent4 3 3 2 5 2" xfId="4866"/>
    <cellStyle name="20% - Accent4 3 3 2 5 2 2" xfId="22823"/>
    <cellStyle name="20% - Accent4 3 3 2 5 3" xfId="22822"/>
    <cellStyle name="20% - Accent4 3 3 2 6" xfId="4867"/>
    <cellStyle name="20% - Accent4 3 3 2 6 2" xfId="22824"/>
    <cellStyle name="20% - Accent4 3 3 2 7" xfId="22801"/>
    <cellStyle name="20% - Accent4 3 3 3" xfId="4868"/>
    <cellStyle name="20% - Accent4 3 3 3 2" xfId="4869"/>
    <cellStyle name="20% - Accent4 3 3 3 2 2" xfId="4870"/>
    <cellStyle name="20% - Accent4 3 3 3 2 2 2" xfId="4871"/>
    <cellStyle name="20% - Accent4 3 3 3 2 2 2 2" xfId="22828"/>
    <cellStyle name="20% - Accent4 3 3 3 2 2 3" xfId="22827"/>
    <cellStyle name="20% - Accent4 3 3 3 2 3" xfId="4872"/>
    <cellStyle name="20% - Accent4 3 3 3 2 3 2" xfId="22829"/>
    <cellStyle name="20% - Accent4 3 3 3 2 4" xfId="22826"/>
    <cellStyle name="20% - Accent4 3 3 3 3" xfId="4873"/>
    <cellStyle name="20% - Accent4 3 3 3 3 2" xfId="4874"/>
    <cellStyle name="20% - Accent4 3 3 3 3 2 2" xfId="22831"/>
    <cellStyle name="20% - Accent4 3 3 3 3 3" xfId="22830"/>
    <cellStyle name="20% - Accent4 3 3 3 4" xfId="4875"/>
    <cellStyle name="20% - Accent4 3 3 3 4 2" xfId="22832"/>
    <cellStyle name="20% - Accent4 3 3 3 5" xfId="22825"/>
    <cellStyle name="20% - Accent4 3 3 4" xfId="4876"/>
    <cellStyle name="20% - Accent4 3 3 4 2" xfId="4877"/>
    <cellStyle name="20% - Accent4 3 3 4 2 2" xfId="4878"/>
    <cellStyle name="20% - Accent4 3 3 4 2 2 2" xfId="4879"/>
    <cellStyle name="20% - Accent4 3 3 4 2 2 2 2" xfId="22836"/>
    <cellStyle name="20% - Accent4 3 3 4 2 2 3" xfId="22835"/>
    <cellStyle name="20% - Accent4 3 3 4 2 3" xfId="4880"/>
    <cellStyle name="20% - Accent4 3 3 4 2 3 2" xfId="22837"/>
    <cellStyle name="20% - Accent4 3 3 4 2 4" xfId="22834"/>
    <cellStyle name="20% - Accent4 3 3 4 3" xfId="4881"/>
    <cellStyle name="20% - Accent4 3 3 4 3 2" xfId="4882"/>
    <cellStyle name="20% - Accent4 3 3 4 3 2 2" xfId="22839"/>
    <cellStyle name="20% - Accent4 3 3 4 3 3" xfId="22838"/>
    <cellStyle name="20% - Accent4 3 3 4 4" xfId="4883"/>
    <cellStyle name="20% - Accent4 3 3 4 4 2" xfId="22840"/>
    <cellStyle name="20% - Accent4 3 3 4 5" xfId="22833"/>
    <cellStyle name="20% - Accent4 3 3 5" xfId="4884"/>
    <cellStyle name="20% - Accent4 3 3 5 2" xfId="4885"/>
    <cellStyle name="20% - Accent4 3 3 5 2 2" xfId="4886"/>
    <cellStyle name="20% - Accent4 3 3 5 2 2 2" xfId="22843"/>
    <cellStyle name="20% - Accent4 3 3 5 2 3" xfId="22842"/>
    <cellStyle name="20% - Accent4 3 3 5 3" xfId="4887"/>
    <cellStyle name="20% - Accent4 3 3 5 3 2" xfId="22844"/>
    <cellStyle name="20% - Accent4 3 3 5 4" xfId="22841"/>
    <cellStyle name="20% - Accent4 3 3 6" xfId="4888"/>
    <cellStyle name="20% - Accent4 3 3 6 2" xfId="4889"/>
    <cellStyle name="20% - Accent4 3 3 6 2 2" xfId="22846"/>
    <cellStyle name="20% - Accent4 3 3 6 3" xfId="22845"/>
    <cellStyle name="20% - Accent4 3 3 7" xfId="4890"/>
    <cellStyle name="20% - Accent4 3 3 7 2" xfId="22847"/>
    <cellStyle name="20% - Accent4 3 3 8" xfId="22800"/>
    <cellStyle name="20% - Accent4 3 4" xfId="4891"/>
    <cellStyle name="20% - Accent4 3 4 2" xfId="4892"/>
    <cellStyle name="20% - Accent4 3 4 2 2" xfId="4893"/>
    <cellStyle name="20% - Accent4 3 4 2 2 2" xfId="4894"/>
    <cellStyle name="20% - Accent4 3 4 2 2 2 2" xfId="4895"/>
    <cellStyle name="20% - Accent4 3 4 2 2 2 2 2" xfId="22852"/>
    <cellStyle name="20% - Accent4 3 4 2 2 2 3" xfId="22851"/>
    <cellStyle name="20% - Accent4 3 4 2 2 3" xfId="4896"/>
    <cellStyle name="20% - Accent4 3 4 2 2 3 2" xfId="22853"/>
    <cellStyle name="20% - Accent4 3 4 2 2 4" xfId="22850"/>
    <cellStyle name="20% - Accent4 3 4 2 3" xfId="4897"/>
    <cellStyle name="20% - Accent4 3 4 2 3 2" xfId="4898"/>
    <cellStyle name="20% - Accent4 3 4 2 3 2 2" xfId="22855"/>
    <cellStyle name="20% - Accent4 3 4 2 3 3" xfId="22854"/>
    <cellStyle name="20% - Accent4 3 4 2 4" xfId="4899"/>
    <cellStyle name="20% - Accent4 3 4 2 4 2" xfId="22856"/>
    <cellStyle name="20% - Accent4 3 4 2 5" xfId="22849"/>
    <cellStyle name="20% - Accent4 3 4 3" xfId="4900"/>
    <cellStyle name="20% - Accent4 3 4 3 2" xfId="4901"/>
    <cellStyle name="20% - Accent4 3 4 3 2 2" xfId="4902"/>
    <cellStyle name="20% - Accent4 3 4 3 2 2 2" xfId="4903"/>
    <cellStyle name="20% - Accent4 3 4 3 2 2 2 2" xfId="22860"/>
    <cellStyle name="20% - Accent4 3 4 3 2 2 3" xfId="22859"/>
    <cellStyle name="20% - Accent4 3 4 3 2 3" xfId="4904"/>
    <cellStyle name="20% - Accent4 3 4 3 2 3 2" xfId="22861"/>
    <cellStyle name="20% - Accent4 3 4 3 2 4" xfId="22858"/>
    <cellStyle name="20% - Accent4 3 4 3 3" xfId="4905"/>
    <cellStyle name="20% - Accent4 3 4 3 3 2" xfId="4906"/>
    <cellStyle name="20% - Accent4 3 4 3 3 2 2" xfId="22863"/>
    <cellStyle name="20% - Accent4 3 4 3 3 3" xfId="22862"/>
    <cellStyle name="20% - Accent4 3 4 3 4" xfId="4907"/>
    <cellStyle name="20% - Accent4 3 4 3 4 2" xfId="22864"/>
    <cellStyle name="20% - Accent4 3 4 3 5" xfId="22857"/>
    <cellStyle name="20% - Accent4 3 4 4" xfId="4908"/>
    <cellStyle name="20% - Accent4 3 4 4 2" xfId="4909"/>
    <cellStyle name="20% - Accent4 3 4 4 2 2" xfId="4910"/>
    <cellStyle name="20% - Accent4 3 4 4 2 2 2" xfId="22867"/>
    <cellStyle name="20% - Accent4 3 4 4 2 3" xfId="22866"/>
    <cellStyle name="20% - Accent4 3 4 4 3" xfId="4911"/>
    <cellStyle name="20% - Accent4 3 4 4 3 2" xfId="22868"/>
    <cellStyle name="20% - Accent4 3 4 4 4" xfId="22865"/>
    <cellStyle name="20% - Accent4 3 4 5" xfId="4912"/>
    <cellStyle name="20% - Accent4 3 4 5 2" xfId="4913"/>
    <cellStyle name="20% - Accent4 3 4 5 2 2" xfId="22870"/>
    <cellStyle name="20% - Accent4 3 4 5 3" xfId="22869"/>
    <cellStyle name="20% - Accent4 3 4 6" xfId="4914"/>
    <cellStyle name="20% - Accent4 3 4 6 2" xfId="22871"/>
    <cellStyle name="20% - Accent4 3 4 7" xfId="22848"/>
    <cellStyle name="20% - Accent4 3 5" xfId="4915"/>
    <cellStyle name="20% - Accent4 3 5 2" xfId="4916"/>
    <cellStyle name="20% - Accent4 3 5 2 2" xfId="4917"/>
    <cellStyle name="20% - Accent4 3 5 2 2 2" xfId="4918"/>
    <cellStyle name="20% - Accent4 3 5 2 2 2 2" xfId="22875"/>
    <cellStyle name="20% - Accent4 3 5 2 2 3" xfId="22874"/>
    <cellStyle name="20% - Accent4 3 5 2 3" xfId="4919"/>
    <cellStyle name="20% - Accent4 3 5 2 3 2" xfId="22876"/>
    <cellStyle name="20% - Accent4 3 5 2 4" xfId="22873"/>
    <cellStyle name="20% - Accent4 3 5 3" xfId="4920"/>
    <cellStyle name="20% - Accent4 3 5 3 2" xfId="4921"/>
    <cellStyle name="20% - Accent4 3 5 3 2 2" xfId="22878"/>
    <cellStyle name="20% - Accent4 3 5 3 3" xfId="22877"/>
    <cellStyle name="20% - Accent4 3 5 4" xfId="4922"/>
    <cellStyle name="20% - Accent4 3 5 4 2" xfId="22879"/>
    <cellStyle name="20% - Accent4 3 5 5" xfId="22872"/>
    <cellStyle name="20% - Accent4 3 6" xfId="4923"/>
    <cellStyle name="20% - Accent4 3 6 2" xfId="4924"/>
    <cellStyle name="20% - Accent4 3 6 2 2" xfId="4925"/>
    <cellStyle name="20% - Accent4 3 6 2 2 2" xfId="4926"/>
    <cellStyle name="20% - Accent4 3 6 2 2 2 2" xfId="22883"/>
    <cellStyle name="20% - Accent4 3 6 2 2 3" xfId="22882"/>
    <cellStyle name="20% - Accent4 3 6 2 3" xfId="4927"/>
    <cellStyle name="20% - Accent4 3 6 2 3 2" xfId="22884"/>
    <cellStyle name="20% - Accent4 3 6 2 4" xfId="22881"/>
    <cellStyle name="20% - Accent4 3 6 3" xfId="4928"/>
    <cellStyle name="20% - Accent4 3 6 3 2" xfId="4929"/>
    <cellStyle name="20% - Accent4 3 6 3 2 2" xfId="22886"/>
    <cellStyle name="20% - Accent4 3 6 3 3" xfId="22885"/>
    <cellStyle name="20% - Accent4 3 6 4" xfId="4930"/>
    <cellStyle name="20% - Accent4 3 6 4 2" xfId="22887"/>
    <cellStyle name="20% - Accent4 3 6 5" xfId="22880"/>
    <cellStyle name="20% - Accent4 3 7" xfId="4931"/>
    <cellStyle name="20% - Accent4 3 7 2" xfId="4932"/>
    <cellStyle name="20% - Accent4 3 7 2 2" xfId="4933"/>
    <cellStyle name="20% - Accent4 3 7 2 2 2" xfId="22890"/>
    <cellStyle name="20% - Accent4 3 7 2 3" xfId="22889"/>
    <cellStyle name="20% - Accent4 3 7 3" xfId="4934"/>
    <cellStyle name="20% - Accent4 3 7 3 2" xfId="22891"/>
    <cellStyle name="20% - Accent4 3 7 4" xfId="22888"/>
    <cellStyle name="20% - Accent4 3 8" xfId="4935"/>
    <cellStyle name="20% - Accent4 3 8 2" xfId="4936"/>
    <cellStyle name="20% - Accent4 3 8 2 2" xfId="22893"/>
    <cellStyle name="20% - Accent4 3 8 3" xfId="22892"/>
    <cellStyle name="20% - Accent4 3 9" xfId="4937"/>
    <cellStyle name="20% - Accent4 3 9 2" xfId="22894"/>
    <cellStyle name="20% - Accent4 30" xfId="4938"/>
    <cellStyle name="20% - Accent4 30 2" xfId="22895"/>
    <cellStyle name="20% - Accent4 31" xfId="4939"/>
    <cellStyle name="20% - Accent4 31 2" xfId="22896"/>
    <cellStyle name="20% - Accent4 32" xfId="4940"/>
    <cellStyle name="20% - Accent4 4" xfId="4941"/>
    <cellStyle name="20% - Accent4 4 10" xfId="22897"/>
    <cellStyle name="20% - Accent4 4 2" xfId="4942"/>
    <cellStyle name="20% - Accent4 4 2 2" xfId="4943"/>
    <cellStyle name="20% - Accent4 4 2 2 2" xfId="4944"/>
    <cellStyle name="20% - Accent4 4 2 2 2 2" xfId="4945"/>
    <cellStyle name="20% - Accent4 4 2 2 2 2 2" xfId="4946"/>
    <cellStyle name="20% - Accent4 4 2 2 2 2 2 2" xfId="4947"/>
    <cellStyle name="20% - Accent4 4 2 2 2 2 2 2 2" xfId="4948"/>
    <cellStyle name="20% - Accent4 4 2 2 2 2 2 2 2 2" xfId="22904"/>
    <cellStyle name="20% - Accent4 4 2 2 2 2 2 2 3" xfId="22903"/>
    <cellStyle name="20% - Accent4 4 2 2 2 2 2 3" xfId="4949"/>
    <cellStyle name="20% - Accent4 4 2 2 2 2 2 3 2" xfId="22905"/>
    <cellStyle name="20% - Accent4 4 2 2 2 2 2 4" xfId="22902"/>
    <cellStyle name="20% - Accent4 4 2 2 2 2 3" xfId="4950"/>
    <cellStyle name="20% - Accent4 4 2 2 2 2 3 2" xfId="4951"/>
    <cellStyle name="20% - Accent4 4 2 2 2 2 3 2 2" xfId="22907"/>
    <cellStyle name="20% - Accent4 4 2 2 2 2 3 3" xfId="22906"/>
    <cellStyle name="20% - Accent4 4 2 2 2 2 4" xfId="4952"/>
    <cellStyle name="20% - Accent4 4 2 2 2 2 4 2" xfId="22908"/>
    <cellStyle name="20% - Accent4 4 2 2 2 2 5" xfId="22901"/>
    <cellStyle name="20% - Accent4 4 2 2 2 3" xfId="4953"/>
    <cellStyle name="20% - Accent4 4 2 2 2 3 2" xfId="4954"/>
    <cellStyle name="20% - Accent4 4 2 2 2 3 2 2" xfId="4955"/>
    <cellStyle name="20% - Accent4 4 2 2 2 3 2 2 2" xfId="4956"/>
    <cellStyle name="20% - Accent4 4 2 2 2 3 2 2 2 2" xfId="22912"/>
    <cellStyle name="20% - Accent4 4 2 2 2 3 2 2 3" xfId="22911"/>
    <cellStyle name="20% - Accent4 4 2 2 2 3 2 3" xfId="4957"/>
    <cellStyle name="20% - Accent4 4 2 2 2 3 2 3 2" xfId="22913"/>
    <cellStyle name="20% - Accent4 4 2 2 2 3 2 4" xfId="22910"/>
    <cellStyle name="20% - Accent4 4 2 2 2 3 3" xfId="4958"/>
    <cellStyle name="20% - Accent4 4 2 2 2 3 3 2" xfId="4959"/>
    <cellStyle name="20% - Accent4 4 2 2 2 3 3 2 2" xfId="22915"/>
    <cellStyle name="20% - Accent4 4 2 2 2 3 3 3" xfId="22914"/>
    <cellStyle name="20% - Accent4 4 2 2 2 3 4" xfId="4960"/>
    <cellStyle name="20% - Accent4 4 2 2 2 3 4 2" xfId="22916"/>
    <cellStyle name="20% - Accent4 4 2 2 2 3 5" xfId="22909"/>
    <cellStyle name="20% - Accent4 4 2 2 2 4" xfId="4961"/>
    <cellStyle name="20% - Accent4 4 2 2 2 4 2" xfId="4962"/>
    <cellStyle name="20% - Accent4 4 2 2 2 4 2 2" xfId="4963"/>
    <cellStyle name="20% - Accent4 4 2 2 2 4 2 2 2" xfId="22919"/>
    <cellStyle name="20% - Accent4 4 2 2 2 4 2 3" xfId="22918"/>
    <cellStyle name="20% - Accent4 4 2 2 2 4 3" xfId="4964"/>
    <cellStyle name="20% - Accent4 4 2 2 2 4 3 2" xfId="22920"/>
    <cellStyle name="20% - Accent4 4 2 2 2 4 4" xfId="22917"/>
    <cellStyle name="20% - Accent4 4 2 2 2 5" xfId="4965"/>
    <cellStyle name="20% - Accent4 4 2 2 2 5 2" xfId="4966"/>
    <cellStyle name="20% - Accent4 4 2 2 2 5 2 2" xfId="22922"/>
    <cellStyle name="20% - Accent4 4 2 2 2 5 3" xfId="22921"/>
    <cellStyle name="20% - Accent4 4 2 2 2 6" xfId="4967"/>
    <cellStyle name="20% - Accent4 4 2 2 2 6 2" xfId="22923"/>
    <cellStyle name="20% - Accent4 4 2 2 2 7" xfId="22900"/>
    <cellStyle name="20% - Accent4 4 2 2 3" xfId="4968"/>
    <cellStyle name="20% - Accent4 4 2 2 3 2" xfId="4969"/>
    <cellStyle name="20% - Accent4 4 2 2 3 2 2" xfId="4970"/>
    <cellStyle name="20% - Accent4 4 2 2 3 2 2 2" xfId="4971"/>
    <cellStyle name="20% - Accent4 4 2 2 3 2 2 2 2" xfId="22927"/>
    <cellStyle name="20% - Accent4 4 2 2 3 2 2 3" xfId="22926"/>
    <cellStyle name="20% - Accent4 4 2 2 3 2 3" xfId="4972"/>
    <cellStyle name="20% - Accent4 4 2 2 3 2 3 2" xfId="22928"/>
    <cellStyle name="20% - Accent4 4 2 2 3 2 4" xfId="22925"/>
    <cellStyle name="20% - Accent4 4 2 2 3 3" xfId="4973"/>
    <cellStyle name="20% - Accent4 4 2 2 3 3 2" xfId="4974"/>
    <cellStyle name="20% - Accent4 4 2 2 3 3 2 2" xfId="22930"/>
    <cellStyle name="20% - Accent4 4 2 2 3 3 3" xfId="22929"/>
    <cellStyle name="20% - Accent4 4 2 2 3 4" xfId="4975"/>
    <cellStyle name="20% - Accent4 4 2 2 3 4 2" xfId="22931"/>
    <cellStyle name="20% - Accent4 4 2 2 3 5" xfId="22924"/>
    <cellStyle name="20% - Accent4 4 2 2 4" xfId="4976"/>
    <cellStyle name="20% - Accent4 4 2 2 4 2" xfId="4977"/>
    <cellStyle name="20% - Accent4 4 2 2 4 2 2" xfId="4978"/>
    <cellStyle name="20% - Accent4 4 2 2 4 2 2 2" xfId="4979"/>
    <cellStyle name="20% - Accent4 4 2 2 4 2 2 2 2" xfId="22935"/>
    <cellStyle name="20% - Accent4 4 2 2 4 2 2 3" xfId="22934"/>
    <cellStyle name="20% - Accent4 4 2 2 4 2 3" xfId="4980"/>
    <cellStyle name="20% - Accent4 4 2 2 4 2 3 2" xfId="22936"/>
    <cellStyle name="20% - Accent4 4 2 2 4 2 4" xfId="22933"/>
    <cellStyle name="20% - Accent4 4 2 2 4 3" xfId="4981"/>
    <cellStyle name="20% - Accent4 4 2 2 4 3 2" xfId="4982"/>
    <cellStyle name="20% - Accent4 4 2 2 4 3 2 2" xfId="22938"/>
    <cellStyle name="20% - Accent4 4 2 2 4 3 3" xfId="22937"/>
    <cellStyle name="20% - Accent4 4 2 2 4 4" xfId="4983"/>
    <cellStyle name="20% - Accent4 4 2 2 4 4 2" xfId="22939"/>
    <cellStyle name="20% - Accent4 4 2 2 4 5" xfId="22932"/>
    <cellStyle name="20% - Accent4 4 2 2 5" xfId="4984"/>
    <cellStyle name="20% - Accent4 4 2 2 5 2" xfId="4985"/>
    <cellStyle name="20% - Accent4 4 2 2 5 2 2" xfId="4986"/>
    <cellStyle name="20% - Accent4 4 2 2 5 2 2 2" xfId="22942"/>
    <cellStyle name="20% - Accent4 4 2 2 5 2 3" xfId="22941"/>
    <cellStyle name="20% - Accent4 4 2 2 5 3" xfId="4987"/>
    <cellStyle name="20% - Accent4 4 2 2 5 3 2" xfId="22943"/>
    <cellStyle name="20% - Accent4 4 2 2 5 4" xfId="22940"/>
    <cellStyle name="20% - Accent4 4 2 2 6" xfId="4988"/>
    <cellStyle name="20% - Accent4 4 2 2 6 2" xfId="4989"/>
    <cellStyle name="20% - Accent4 4 2 2 6 2 2" xfId="22945"/>
    <cellStyle name="20% - Accent4 4 2 2 6 3" xfId="22944"/>
    <cellStyle name="20% - Accent4 4 2 2 7" xfId="4990"/>
    <cellStyle name="20% - Accent4 4 2 2 7 2" xfId="22946"/>
    <cellStyle name="20% - Accent4 4 2 2 8" xfId="22899"/>
    <cellStyle name="20% - Accent4 4 2 3" xfId="4991"/>
    <cellStyle name="20% - Accent4 4 2 3 2" xfId="4992"/>
    <cellStyle name="20% - Accent4 4 2 3 2 2" xfId="4993"/>
    <cellStyle name="20% - Accent4 4 2 3 2 2 2" xfId="4994"/>
    <cellStyle name="20% - Accent4 4 2 3 2 2 2 2" xfId="4995"/>
    <cellStyle name="20% - Accent4 4 2 3 2 2 2 2 2" xfId="22951"/>
    <cellStyle name="20% - Accent4 4 2 3 2 2 2 3" xfId="22950"/>
    <cellStyle name="20% - Accent4 4 2 3 2 2 3" xfId="4996"/>
    <cellStyle name="20% - Accent4 4 2 3 2 2 3 2" xfId="22952"/>
    <cellStyle name="20% - Accent4 4 2 3 2 2 4" xfId="22949"/>
    <cellStyle name="20% - Accent4 4 2 3 2 3" xfId="4997"/>
    <cellStyle name="20% - Accent4 4 2 3 2 3 2" xfId="4998"/>
    <cellStyle name="20% - Accent4 4 2 3 2 3 2 2" xfId="22954"/>
    <cellStyle name="20% - Accent4 4 2 3 2 3 3" xfId="22953"/>
    <cellStyle name="20% - Accent4 4 2 3 2 4" xfId="4999"/>
    <cellStyle name="20% - Accent4 4 2 3 2 4 2" xfId="22955"/>
    <cellStyle name="20% - Accent4 4 2 3 2 5" xfId="22948"/>
    <cellStyle name="20% - Accent4 4 2 3 3" xfId="5000"/>
    <cellStyle name="20% - Accent4 4 2 3 3 2" xfId="5001"/>
    <cellStyle name="20% - Accent4 4 2 3 3 2 2" xfId="5002"/>
    <cellStyle name="20% - Accent4 4 2 3 3 2 2 2" xfId="5003"/>
    <cellStyle name="20% - Accent4 4 2 3 3 2 2 2 2" xfId="22959"/>
    <cellStyle name="20% - Accent4 4 2 3 3 2 2 3" xfId="22958"/>
    <cellStyle name="20% - Accent4 4 2 3 3 2 3" xfId="5004"/>
    <cellStyle name="20% - Accent4 4 2 3 3 2 3 2" xfId="22960"/>
    <cellStyle name="20% - Accent4 4 2 3 3 2 4" xfId="22957"/>
    <cellStyle name="20% - Accent4 4 2 3 3 3" xfId="5005"/>
    <cellStyle name="20% - Accent4 4 2 3 3 3 2" xfId="5006"/>
    <cellStyle name="20% - Accent4 4 2 3 3 3 2 2" xfId="22962"/>
    <cellStyle name="20% - Accent4 4 2 3 3 3 3" xfId="22961"/>
    <cellStyle name="20% - Accent4 4 2 3 3 4" xfId="5007"/>
    <cellStyle name="20% - Accent4 4 2 3 3 4 2" xfId="22963"/>
    <cellStyle name="20% - Accent4 4 2 3 3 5" xfId="22956"/>
    <cellStyle name="20% - Accent4 4 2 3 4" xfId="5008"/>
    <cellStyle name="20% - Accent4 4 2 3 4 2" xfId="5009"/>
    <cellStyle name="20% - Accent4 4 2 3 4 2 2" xfId="5010"/>
    <cellStyle name="20% - Accent4 4 2 3 4 2 2 2" xfId="22966"/>
    <cellStyle name="20% - Accent4 4 2 3 4 2 3" xfId="22965"/>
    <cellStyle name="20% - Accent4 4 2 3 4 3" xfId="5011"/>
    <cellStyle name="20% - Accent4 4 2 3 4 3 2" xfId="22967"/>
    <cellStyle name="20% - Accent4 4 2 3 4 4" xfId="22964"/>
    <cellStyle name="20% - Accent4 4 2 3 5" xfId="5012"/>
    <cellStyle name="20% - Accent4 4 2 3 5 2" xfId="5013"/>
    <cellStyle name="20% - Accent4 4 2 3 5 2 2" xfId="22969"/>
    <cellStyle name="20% - Accent4 4 2 3 5 3" xfId="22968"/>
    <cellStyle name="20% - Accent4 4 2 3 6" xfId="5014"/>
    <cellStyle name="20% - Accent4 4 2 3 6 2" xfId="22970"/>
    <cellStyle name="20% - Accent4 4 2 3 7" xfId="22947"/>
    <cellStyle name="20% - Accent4 4 2 4" xfId="5015"/>
    <cellStyle name="20% - Accent4 4 2 4 2" xfId="5016"/>
    <cellStyle name="20% - Accent4 4 2 4 2 2" xfId="5017"/>
    <cellStyle name="20% - Accent4 4 2 4 2 2 2" xfId="5018"/>
    <cellStyle name="20% - Accent4 4 2 4 2 2 2 2" xfId="22974"/>
    <cellStyle name="20% - Accent4 4 2 4 2 2 3" xfId="22973"/>
    <cellStyle name="20% - Accent4 4 2 4 2 3" xfId="5019"/>
    <cellStyle name="20% - Accent4 4 2 4 2 3 2" xfId="22975"/>
    <cellStyle name="20% - Accent4 4 2 4 2 4" xfId="22972"/>
    <cellStyle name="20% - Accent4 4 2 4 3" xfId="5020"/>
    <cellStyle name="20% - Accent4 4 2 4 3 2" xfId="5021"/>
    <cellStyle name="20% - Accent4 4 2 4 3 2 2" xfId="22977"/>
    <cellStyle name="20% - Accent4 4 2 4 3 3" xfId="22976"/>
    <cellStyle name="20% - Accent4 4 2 4 4" xfId="5022"/>
    <cellStyle name="20% - Accent4 4 2 4 4 2" xfId="22978"/>
    <cellStyle name="20% - Accent4 4 2 4 5" xfId="22971"/>
    <cellStyle name="20% - Accent4 4 2 5" xfId="5023"/>
    <cellStyle name="20% - Accent4 4 2 5 2" xfId="5024"/>
    <cellStyle name="20% - Accent4 4 2 5 2 2" xfId="5025"/>
    <cellStyle name="20% - Accent4 4 2 5 2 2 2" xfId="5026"/>
    <cellStyle name="20% - Accent4 4 2 5 2 2 2 2" xfId="22982"/>
    <cellStyle name="20% - Accent4 4 2 5 2 2 3" xfId="22981"/>
    <cellStyle name="20% - Accent4 4 2 5 2 3" xfId="5027"/>
    <cellStyle name="20% - Accent4 4 2 5 2 3 2" xfId="22983"/>
    <cellStyle name="20% - Accent4 4 2 5 2 4" xfId="22980"/>
    <cellStyle name="20% - Accent4 4 2 5 3" xfId="5028"/>
    <cellStyle name="20% - Accent4 4 2 5 3 2" xfId="5029"/>
    <cellStyle name="20% - Accent4 4 2 5 3 2 2" xfId="22985"/>
    <cellStyle name="20% - Accent4 4 2 5 3 3" xfId="22984"/>
    <cellStyle name="20% - Accent4 4 2 5 4" xfId="5030"/>
    <cellStyle name="20% - Accent4 4 2 5 4 2" xfId="22986"/>
    <cellStyle name="20% - Accent4 4 2 5 5" xfId="22979"/>
    <cellStyle name="20% - Accent4 4 2 6" xfId="5031"/>
    <cellStyle name="20% - Accent4 4 2 6 2" xfId="5032"/>
    <cellStyle name="20% - Accent4 4 2 6 2 2" xfId="5033"/>
    <cellStyle name="20% - Accent4 4 2 6 2 2 2" xfId="22989"/>
    <cellStyle name="20% - Accent4 4 2 6 2 3" xfId="22988"/>
    <cellStyle name="20% - Accent4 4 2 6 3" xfId="5034"/>
    <cellStyle name="20% - Accent4 4 2 6 3 2" xfId="22990"/>
    <cellStyle name="20% - Accent4 4 2 6 4" xfId="22987"/>
    <cellStyle name="20% - Accent4 4 2 7" xfId="5035"/>
    <cellStyle name="20% - Accent4 4 2 7 2" xfId="5036"/>
    <cellStyle name="20% - Accent4 4 2 7 2 2" xfId="22992"/>
    <cellStyle name="20% - Accent4 4 2 7 3" xfId="22991"/>
    <cellStyle name="20% - Accent4 4 2 8" xfId="5037"/>
    <cellStyle name="20% - Accent4 4 2 8 2" xfId="22993"/>
    <cellStyle name="20% - Accent4 4 2 9" xfId="22898"/>
    <cellStyle name="20% - Accent4 4 3" xfId="5038"/>
    <cellStyle name="20% - Accent4 4 3 2" xfId="5039"/>
    <cellStyle name="20% - Accent4 4 3 2 2" xfId="5040"/>
    <cellStyle name="20% - Accent4 4 3 2 2 2" xfId="5041"/>
    <cellStyle name="20% - Accent4 4 3 2 2 2 2" xfId="5042"/>
    <cellStyle name="20% - Accent4 4 3 2 2 2 2 2" xfId="5043"/>
    <cellStyle name="20% - Accent4 4 3 2 2 2 2 2 2" xfId="22999"/>
    <cellStyle name="20% - Accent4 4 3 2 2 2 2 3" xfId="22998"/>
    <cellStyle name="20% - Accent4 4 3 2 2 2 3" xfId="5044"/>
    <cellStyle name="20% - Accent4 4 3 2 2 2 3 2" xfId="23000"/>
    <cellStyle name="20% - Accent4 4 3 2 2 2 4" xfId="22997"/>
    <cellStyle name="20% - Accent4 4 3 2 2 3" xfId="5045"/>
    <cellStyle name="20% - Accent4 4 3 2 2 3 2" xfId="5046"/>
    <cellStyle name="20% - Accent4 4 3 2 2 3 2 2" xfId="23002"/>
    <cellStyle name="20% - Accent4 4 3 2 2 3 3" xfId="23001"/>
    <cellStyle name="20% - Accent4 4 3 2 2 4" xfId="5047"/>
    <cellStyle name="20% - Accent4 4 3 2 2 4 2" xfId="23003"/>
    <cellStyle name="20% - Accent4 4 3 2 2 5" xfId="22996"/>
    <cellStyle name="20% - Accent4 4 3 2 3" xfId="5048"/>
    <cellStyle name="20% - Accent4 4 3 2 3 2" xfId="5049"/>
    <cellStyle name="20% - Accent4 4 3 2 3 2 2" xfId="5050"/>
    <cellStyle name="20% - Accent4 4 3 2 3 2 2 2" xfId="5051"/>
    <cellStyle name="20% - Accent4 4 3 2 3 2 2 2 2" xfId="23007"/>
    <cellStyle name="20% - Accent4 4 3 2 3 2 2 3" xfId="23006"/>
    <cellStyle name="20% - Accent4 4 3 2 3 2 3" xfId="5052"/>
    <cellStyle name="20% - Accent4 4 3 2 3 2 3 2" xfId="23008"/>
    <cellStyle name="20% - Accent4 4 3 2 3 2 4" xfId="23005"/>
    <cellStyle name="20% - Accent4 4 3 2 3 3" xfId="5053"/>
    <cellStyle name="20% - Accent4 4 3 2 3 3 2" xfId="5054"/>
    <cellStyle name="20% - Accent4 4 3 2 3 3 2 2" xfId="23010"/>
    <cellStyle name="20% - Accent4 4 3 2 3 3 3" xfId="23009"/>
    <cellStyle name="20% - Accent4 4 3 2 3 4" xfId="5055"/>
    <cellStyle name="20% - Accent4 4 3 2 3 4 2" xfId="23011"/>
    <cellStyle name="20% - Accent4 4 3 2 3 5" xfId="23004"/>
    <cellStyle name="20% - Accent4 4 3 2 4" xfId="5056"/>
    <cellStyle name="20% - Accent4 4 3 2 4 2" xfId="5057"/>
    <cellStyle name="20% - Accent4 4 3 2 4 2 2" xfId="5058"/>
    <cellStyle name="20% - Accent4 4 3 2 4 2 2 2" xfId="23014"/>
    <cellStyle name="20% - Accent4 4 3 2 4 2 3" xfId="23013"/>
    <cellStyle name="20% - Accent4 4 3 2 4 3" xfId="5059"/>
    <cellStyle name="20% - Accent4 4 3 2 4 3 2" xfId="23015"/>
    <cellStyle name="20% - Accent4 4 3 2 4 4" xfId="23012"/>
    <cellStyle name="20% - Accent4 4 3 2 5" xfId="5060"/>
    <cellStyle name="20% - Accent4 4 3 2 5 2" xfId="5061"/>
    <cellStyle name="20% - Accent4 4 3 2 5 2 2" xfId="23017"/>
    <cellStyle name="20% - Accent4 4 3 2 5 3" xfId="23016"/>
    <cellStyle name="20% - Accent4 4 3 2 6" xfId="5062"/>
    <cellStyle name="20% - Accent4 4 3 2 6 2" xfId="23018"/>
    <cellStyle name="20% - Accent4 4 3 2 7" xfId="22995"/>
    <cellStyle name="20% - Accent4 4 3 3" xfId="5063"/>
    <cellStyle name="20% - Accent4 4 3 3 2" xfId="5064"/>
    <cellStyle name="20% - Accent4 4 3 3 2 2" xfId="5065"/>
    <cellStyle name="20% - Accent4 4 3 3 2 2 2" xfId="5066"/>
    <cellStyle name="20% - Accent4 4 3 3 2 2 2 2" xfId="23022"/>
    <cellStyle name="20% - Accent4 4 3 3 2 2 3" xfId="23021"/>
    <cellStyle name="20% - Accent4 4 3 3 2 3" xfId="5067"/>
    <cellStyle name="20% - Accent4 4 3 3 2 3 2" xfId="23023"/>
    <cellStyle name="20% - Accent4 4 3 3 2 4" xfId="23020"/>
    <cellStyle name="20% - Accent4 4 3 3 3" xfId="5068"/>
    <cellStyle name="20% - Accent4 4 3 3 3 2" xfId="5069"/>
    <cellStyle name="20% - Accent4 4 3 3 3 2 2" xfId="23025"/>
    <cellStyle name="20% - Accent4 4 3 3 3 3" xfId="23024"/>
    <cellStyle name="20% - Accent4 4 3 3 4" xfId="5070"/>
    <cellStyle name="20% - Accent4 4 3 3 4 2" xfId="23026"/>
    <cellStyle name="20% - Accent4 4 3 3 5" xfId="23019"/>
    <cellStyle name="20% - Accent4 4 3 4" xfId="5071"/>
    <cellStyle name="20% - Accent4 4 3 4 2" xfId="5072"/>
    <cellStyle name="20% - Accent4 4 3 4 2 2" xfId="5073"/>
    <cellStyle name="20% - Accent4 4 3 4 2 2 2" xfId="5074"/>
    <cellStyle name="20% - Accent4 4 3 4 2 2 2 2" xfId="23030"/>
    <cellStyle name="20% - Accent4 4 3 4 2 2 3" xfId="23029"/>
    <cellStyle name="20% - Accent4 4 3 4 2 3" xfId="5075"/>
    <cellStyle name="20% - Accent4 4 3 4 2 3 2" xfId="23031"/>
    <cellStyle name="20% - Accent4 4 3 4 2 4" xfId="23028"/>
    <cellStyle name="20% - Accent4 4 3 4 3" xfId="5076"/>
    <cellStyle name="20% - Accent4 4 3 4 3 2" xfId="5077"/>
    <cellStyle name="20% - Accent4 4 3 4 3 2 2" xfId="23033"/>
    <cellStyle name="20% - Accent4 4 3 4 3 3" xfId="23032"/>
    <cellStyle name="20% - Accent4 4 3 4 4" xfId="5078"/>
    <cellStyle name="20% - Accent4 4 3 4 4 2" xfId="23034"/>
    <cellStyle name="20% - Accent4 4 3 4 5" xfId="23027"/>
    <cellStyle name="20% - Accent4 4 3 5" xfId="5079"/>
    <cellStyle name="20% - Accent4 4 3 5 2" xfId="5080"/>
    <cellStyle name="20% - Accent4 4 3 5 2 2" xfId="5081"/>
    <cellStyle name="20% - Accent4 4 3 5 2 2 2" xfId="23037"/>
    <cellStyle name="20% - Accent4 4 3 5 2 3" xfId="23036"/>
    <cellStyle name="20% - Accent4 4 3 5 3" xfId="5082"/>
    <cellStyle name="20% - Accent4 4 3 5 3 2" xfId="23038"/>
    <cellStyle name="20% - Accent4 4 3 5 4" xfId="23035"/>
    <cellStyle name="20% - Accent4 4 3 6" xfId="5083"/>
    <cellStyle name="20% - Accent4 4 3 6 2" xfId="5084"/>
    <cellStyle name="20% - Accent4 4 3 6 2 2" xfId="23040"/>
    <cellStyle name="20% - Accent4 4 3 6 3" xfId="23039"/>
    <cellStyle name="20% - Accent4 4 3 7" xfId="5085"/>
    <cellStyle name="20% - Accent4 4 3 7 2" xfId="23041"/>
    <cellStyle name="20% - Accent4 4 3 8" xfId="22994"/>
    <cellStyle name="20% - Accent4 4 4" xfId="5086"/>
    <cellStyle name="20% - Accent4 4 4 2" xfId="5087"/>
    <cellStyle name="20% - Accent4 4 4 2 2" xfId="5088"/>
    <cellStyle name="20% - Accent4 4 4 2 2 2" xfId="5089"/>
    <cellStyle name="20% - Accent4 4 4 2 2 2 2" xfId="5090"/>
    <cellStyle name="20% - Accent4 4 4 2 2 2 2 2" xfId="23046"/>
    <cellStyle name="20% - Accent4 4 4 2 2 2 3" xfId="23045"/>
    <cellStyle name="20% - Accent4 4 4 2 2 3" xfId="5091"/>
    <cellStyle name="20% - Accent4 4 4 2 2 3 2" xfId="23047"/>
    <cellStyle name="20% - Accent4 4 4 2 2 4" xfId="23044"/>
    <cellStyle name="20% - Accent4 4 4 2 3" xfId="5092"/>
    <cellStyle name="20% - Accent4 4 4 2 3 2" xfId="5093"/>
    <cellStyle name="20% - Accent4 4 4 2 3 2 2" xfId="23049"/>
    <cellStyle name="20% - Accent4 4 4 2 3 3" xfId="23048"/>
    <cellStyle name="20% - Accent4 4 4 2 4" xfId="5094"/>
    <cellStyle name="20% - Accent4 4 4 2 4 2" xfId="23050"/>
    <cellStyle name="20% - Accent4 4 4 2 5" xfId="23043"/>
    <cellStyle name="20% - Accent4 4 4 3" xfId="5095"/>
    <cellStyle name="20% - Accent4 4 4 3 2" xfId="5096"/>
    <cellStyle name="20% - Accent4 4 4 3 2 2" xfId="5097"/>
    <cellStyle name="20% - Accent4 4 4 3 2 2 2" xfId="5098"/>
    <cellStyle name="20% - Accent4 4 4 3 2 2 2 2" xfId="23054"/>
    <cellStyle name="20% - Accent4 4 4 3 2 2 3" xfId="23053"/>
    <cellStyle name="20% - Accent4 4 4 3 2 3" xfId="5099"/>
    <cellStyle name="20% - Accent4 4 4 3 2 3 2" xfId="23055"/>
    <cellStyle name="20% - Accent4 4 4 3 2 4" xfId="23052"/>
    <cellStyle name="20% - Accent4 4 4 3 3" xfId="5100"/>
    <cellStyle name="20% - Accent4 4 4 3 3 2" xfId="5101"/>
    <cellStyle name="20% - Accent4 4 4 3 3 2 2" xfId="23057"/>
    <cellStyle name="20% - Accent4 4 4 3 3 3" xfId="23056"/>
    <cellStyle name="20% - Accent4 4 4 3 4" xfId="5102"/>
    <cellStyle name="20% - Accent4 4 4 3 4 2" xfId="23058"/>
    <cellStyle name="20% - Accent4 4 4 3 5" xfId="23051"/>
    <cellStyle name="20% - Accent4 4 4 4" xfId="5103"/>
    <cellStyle name="20% - Accent4 4 4 4 2" xfId="5104"/>
    <cellStyle name="20% - Accent4 4 4 4 2 2" xfId="5105"/>
    <cellStyle name="20% - Accent4 4 4 4 2 2 2" xfId="23061"/>
    <cellStyle name="20% - Accent4 4 4 4 2 3" xfId="23060"/>
    <cellStyle name="20% - Accent4 4 4 4 3" xfId="5106"/>
    <cellStyle name="20% - Accent4 4 4 4 3 2" xfId="23062"/>
    <cellStyle name="20% - Accent4 4 4 4 4" xfId="23059"/>
    <cellStyle name="20% - Accent4 4 4 5" xfId="5107"/>
    <cellStyle name="20% - Accent4 4 4 5 2" xfId="5108"/>
    <cellStyle name="20% - Accent4 4 4 5 2 2" xfId="23064"/>
    <cellStyle name="20% - Accent4 4 4 5 3" xfId="23063"/>
    <cellStyle name="20% - Accent4 4 4 6" xfId="5109"/>
    <cellStyle name="20% - Accent4 4 4 6 2" xfId="23065"/>
    <cellStyle name="20% - Accent4 4 4 7" xfId="23042"/>
    <cellStyle name="20% - Accent4 4 5" xfId="5110"/>
    <cellStyle name="20% - Accent4 4 5 2" xfId="5111"/>
    <cellStyle name="20% - Accent4 4 5 2 2" xfId="5112"/>
    <cellStyle name="20% - Accent4 4 5 2 2 2" xfId="5113"/>
    <cellStyle name="20% - Accent4 4 5 2 2 2 2" xfId="23069"/>
    <cellStyle name="20% - Accent4 4 5 2 2 3" xfId="23068"/>
    <cellStyle name="20% - Accent4 4 5 2 3" xfId="5114"/>
    <cellStyle name="20% - Accent4 4 5 2 3 2" xfId="23070"/>
    <cellStyle name="20% - Accent4 4 5 2 4" xfId="23067"/>
    <cellStyle name="20% - Accent4 4 5 3" xfId="5115"/>
    <cellStyle name="20% - Accent4 4 5 3 2" xfId="5116"/>
    <cellStyle name="20% - Accent4 4 5 3 2 2" xfId="23072"/>
    <cellStyle name="20% - Accent4 4 5 3 3" xfId="23071"/>
    <cellStyle name="20% - Accent4 4 5 4" xfId="5117"/>
    <cellStyle name="20% - Accent4 4 5 4 2" xfId="23073"/>
    <cellStyle name="20% - Accent4 4 5 5" xfId="23066"/>
    <cellStyle name="20% - Accent4 4 6" xfId="5118"/>
    <cellStyle name="20% - Accent4 4 6 2" xfId="5119"/>
    <cellStyle name="20% - Accent4 4 6 2 2" xfId="5120"/>
    <cellStyle name="20% - Accent4 4 6 2 2 2" xfId="5121"/>
    <cellStyle name="20% - Accent4 4 6 2 2 2 2" xfId="23077"/>
    <cellStyle name="20% - Accent4 4 6 2 2 3" xfId="23076"/>
    <cellStyle name="20% - Accent4 4 6 2 3" xfId="5122"/>
    <cellStyle name="20% - Accent4 4 6 2 3 2" xfId="23078"/>
    <cellStyle name="20% - Accent4 4 6 2 4" xfId="23075"/>
    <cellStyle name="20% - Accent4 4 6 3" xfId="5123"/>
    <cellStyle name="20% - Accent4 4 6 3 2" xfId="5124"/>
    <cellStyle name="20% - Accent4 4 6 3 2 2" xfId="23080"/>
    <cellStyle name="20% - Accent4 4 6 3 3" xfId="23079"/>
    <cellStyle name="20% - Accent4 4 6 4" xfId="5125"/>
    <cellStyle name="20% - Accent4 4 6 4 2" xfId="23081"/>
    <cellStyle name="20% - Accent4 4 6 5" xfId="23074"/>
    <cellStyle name="20% - Accent4 4 7" xfId="5126"/>
    <cellStyle name="20% - Accent4 4 7 2" xfId="5127"/>
    <cellStyle name="20% - Accent4 4 7 2 2" xfId="5128"/>
    <cellStyle name="20% - Accent4 4 7 2 2 2" xfId="23084"/>
    <cellStyle name="20% - Accent4 4 7 2 3" xfId="23083"/>
    <cellStyle name="20% - Accent4 4 7 3" xfId="5129"/>
    <cellStyle name="20% - Accent4 4 7 3 2" xfId="23085"/>
    <cellStyle name="20% - Accent4 4 7 4" xfId="23082"/>
    <cellStyle name="20% - Accent4 4 8" xfId="5130"/>
    <cellStyle name="20% - Accent4 4 8 2" xfId="5131"/>
    <cellStyle name="20% - Accent4 4 8 2 2" xfId="23087"/>
    <cellStyle name="20% - Accent4 4 8 3" xfId="23086"/>
    <cellStyle name="20% - Accent4 4 9" xfId="5132"/>
    <cellStyle name="20% - Accent4 4 9 2" xfId="23088"/>
    <cellStyle name="20% - Accent4 5" xfId="5133"/>
    <cellStyle name="20% - Accent4 5 10" xfId="23089"/>
    <cellStyle name="20% - Accent4 5 2" xfId="5134"/>
    <cellStyle name="20% - Accent4 5 2 2" xfId="5135"/>
    <cellStyle name="20% - Accent4 5 2 2 2" xfId="5136"/>
    <cellStyle name="20% - Accent4 5 2 2 2 2" xfId="5137"/>
    <cellStyle name="20% - Accent4 5 2 2 2 2 2" xfId="5138"/>
    <cellStyle name="20% - Accent4 5 2 2 2 2 2 2" xfId="5139"/>
    <cellStyle name="20% - Accent4 5 2 2 2 2 2 2 2" xfId="5140"/>
    <cellStyle name="20% - Accent4 5 2 2 2 2 2 2 2 2" xfId="23096"/>
    <cellStyle name="20% - Accent4 5 2 2 2 2 2 2 3" xfId="23095"/>
    <cellStyle name="20% - Accent4 5 2 2 2 2 2 3" xfId="5141"/>
    <cellStyle name="20% - Accent4 5 2 2 2 2 2 3 2" xfId="23097"/>
    <cellStyle name="20% - Accent4 5 2 2 2 2 2 4" xfId="23094"/>
    <cellStyle name="20% - Accent4 5 2 2 2 2 3" xfId="5142"/>
    <cellStyle name="20% - Accent4 5 2 2 2 2 3 2" xfId="5143"/>
    <cellStyle name="20% - Accent4 5 2 2 2 2 3 2 2" xfId="23099"/>
    <cellStyle name="20% - Accent4 5 2 2 2 2 3 3" xfId="23098"/>
    <cellStyle name="20% - Accent4 5 2 2 2 2 4" xfId="5144"/>
    <cellStyle name="20% - Accent4 5 2 2 2 2 4 2" xfId="23100"/>
    <cellStyle name="20% - Accent4 5 2 2 2 2 5" xfId="23093"/>
    <cellStyle name="20% - Accent4 5 2 2 2 3" xfId="5145"/>
    <cellStyle name="20% - Accent4 5 2 2 2 3 2" xfId="5146"/>
    <cellStyle name="20% - Accent4 5 2 2 2 3 2 2" xfId="5147"/>
    <cellStyle name="20% - Accent4 5 2 2 2 3 2 2 2" xfId="5148"/>
    <cellStyle name="20% - Accent4 5 2 2 2 3 2 2 2 2" xfId="23104"/>
    <cellStyle name="20% - Accent4 5 2 2 2 3 2 2 3" xfId="23103"/>
    <cellStyle name="20% - Accent4 5 2 2 2 3 2 3" xfId="5149"/>
    <cellStyle name="20% - Accent4 5 2 2 2 3 2 3 2" xfId="23105"/>
    <cellStyle name="20% - Accent4 5 2 2 2 3 2 4" xfId="23102"/>
    <cellStyle name="20% - Accent4 5 2 2 2 3 3" xfId="5150"/>
    <cellStyle name="20% - Accent4 5 2 2 2 3 3 2" xfId="5151"/>
    <cellStyle name="20% - Accent4 5 2 2 2 3 3 2 2" xfId="23107"/>
    <cellStyle name="20% - Accent4 5 2 2 2 3 3 3" xfId="23106"/>
    <cellStyle name="20% - Accent4 5 2 2 2 3 4" xfId="5152"/>
    <cellStyle name="20% - Accent4 5 2 2 2 3 4 2" xfId="23108"/>
    <cellStyle name="20% - Accent4 5 2 2 2 3 5" xfId="23101"/>
    <cellStyle name="20% - Accent4 5 2 2 2 4" xfId="5153"/>
    <cellStyle name="20% - Accent4 5 2 2 2 4 2" xfId="5154"/>
    <cellStyle name="20% - Accent4 5 2 2 2 4 2 2" xfId="5155"/>
    <cellStyle name="20% - Accent4 5 2 2 2 4 2 2 2" xfId="23111"/>
    <cellStyle name="20% - Accent4 5 2 2 2 4 2 3" xfId="23110"/>
    <cellStyle name="20% - Accent4 5 2 2 2 4 3" xfId="5156"/>
    <cellStyle name="20% - Accent4 5 2 2 2 4 3 2" xfId="23112"/>
    <cellStyle name="20% - Accent4 5 2 2 2 4 4" xfId="23109"/>
    <cellStyle name="20% - Accent4 5 2 2 2 5" xfId="5157"/>
    <cellStyle name="20% - Accent4 5 2 2 2 5 2" xfId="5158"/>
    <cellStyle name="20% - Accent4 5 2 2 2 5 2 2" xfId="23114"/>
    <cellStyle name="20% - Accent4 5 2 2 2 5 3" xfId="23113"/>
    <cellStyle name="20% - Accent4 5 2 2 2 6" xfId="5159"/>
    <cellStyle name="20% - Accent4 5 2 2 2 6 2" xfId="23115"/>
    <cellStyle name="20% - Accent4 5 2 2 2 7" xfId="23092"/>
    <cellStyle name="20% - Accent4 5 2 2 3" xfId="5160"/>
    <cellStyle name="20% - Accent4 5 2 2 3 2" xfId="5161"/>
    <cellStyle name="20% - Accent4 5 2 2 3 2 2" xfId="5162"/>
    <cellStyle name="20% - Accent4 5 2 2 3 2 2 2" xfId="5163"/>
    <cellStyle name="20% - Accent4 5 2 2 3 2 2 2 2" xfId="23119"/>
    <cellStyle name="20% - Accent4 5 2 2 3 2 2 3" xfId="23118"/>
    <cellStyle name="20% - Accent4 5 2 2 3 2 3" xfId="5164"/>
    <cellStyle name="20% - Accent4 5 2 2 3 2 3 2" xfId="23120"/>
    <cellStyle name="20% - Accent4 5 2 2 3 2 4" xfId="23117"/>
    <cellStyle name="20% - Accent4 5 2 2 3 3" xfId="5165"/>
    <cellStyle name="20% - Accent4 5 2 2 3 3 2" xfId="5166"/>
    <cellStyle name="20% - Accent4 5 2 2 3 3 2 2" xfId="23122"/>
    <cellStyle name="20% - Accent4 5 2 2 3 3 3" xfId="23121"/>
    <cellStyle name="20% - Accent4 5 2 2 3 4" xfId="5167"/>
    <cellStyle name="20% - Accent4 5 2 2 3 4 2" xfId="23123"/>
    <cellStyle name="20% - Accent4 5 2 2 3 5" xfId="23116"/>
    <cellStyle name="20% - Accent4 5 2 2 4" xfId="5168"/>
    <cellStyle name="20% - Accent4 5 2 2 4 2" xfId="5169"/>
    <cellStyle name="20% - Accent4 5 2 2 4 2 2" xfId="5170"/>
    <cellStyle name="20% - Accent4 5 2 2 4 2 2 2" xfId="5171"/>
    <cellStyle name="20% - Accent4 5 2 2 4 2 2 2 2" xfId="23127"/>
    <cellStyle name="20% - Accent4 5 2 2 4 2 2 3" xfId="23126"/>
    <cellStyle name="20% - Accent4 5 2 2 4 2 3" xfId="5172"/>
    <cellStyle name="20% - Accent4 5 2 2 4 2 3 2" xfId="23128"/>
    <cellStyle name="20% - Accent4 5 2 2 4 2 4" xfId="23125"/>
    <cellStyle name="20% - Accent4 5 2 2 4 3" xfId="5173"/>
    <cellStyle name="20% - Accent4 5 2 2 4 3 2" xfId="5174"/>
    <cellStyle name="20% - Accent4 5 2 2 4 3 2 2" xfId="23130"/>
    <cellStyle name="20% - Accent4 5 2 2 4 3 3" xfId="23129"/>
    <cellStyle name="20% - Accent4 5 2 2 4 4" xfId="5175"/>
    <cellStyle name="20% - Accent4 5 2 2 4 4 2" xfId="23131"/>
    <cellStyle name="20% - Accent4 5 2 2 4 5" xfId="23124"/>
    <cellStyle name="20% - Accent4 5 2 2 5" xfId="5176"/>
    <cellStyle name="20% - Accent4 5 2 2 5 2" xfId="5177"/>
    <cellStyle name="20% - Accent4 5 2 2 5 2 2" xfId="5178"/>
    <cellStyle name="20% - Accent4 5 2 2 5 2 2 2" xfId="23134"/>
    <cellStyle name="20% - Accent4 5 2 2 5 2 3" xfId="23133"/>
    <cellStyle name="20% - Accent4 5 2 2 5 3" xfId="5179"/>
    <cellStyle name="20% - Accent4 5 2 2 5 3 2" xfId="23135"/>
    <cellStyle name="20% - Accent4 5 2 2 5 4" xfId="23132"/>
    <cellStyle name="20% - Accent4 5 2 2 6" xfId="5180"/>
    <cellStyle name="20% - Accent4 5 2 2 6 2" xfId="5181"/>
    <cellStyle name="20% - Accent4 5 2 2 6 2 2" xfId="23137"/>
    <cellStyle name="20% - Accent4 5 2 2 6 3" xfId="23136"/>
    <cellStyle name="20% - Accent4 5 2 2 7" xfId="5182"/>
    <cellStyle name="20% - Accent4 5 2 2 7 2" xfId="23138"/>
    <cellStyle name="20% - Accent4 5 2 2 8" xfId="23091"/>
    <cellStyle name="20% - Accent4 5 2 3" xfId="5183"/>
    <cellStyle name="20% - Accent4 5 2 3 2" xfId="5184"/>
    <cellStyle name="20% - Accent4 5 2 3 2 2" xfId="5185"/>
    <cellStyle name="20% - Accent4 5 2 3 2 2 2" xfId="5186"/>
    <cellStyle name="20% - Accent4 5 2 3 2 2 2 2" xfId="5187"/>
    <cellStyle name="20% - Accent4 5 2 3 2 2 2 2 2" xfId="23143"/>
    <cellStyle name="20% - Accent4 5 2 3 2 2 2 3" xfId="23142"/>
    <cellStyle name="20% - Accent4 5 2 3 2 2 3" xfId="5188"/>
    <cellStyle name="20% - Accent4 5 2 3 2 2 3 2" xfId="23144"/>
    <cellStyle name="20% - Accent4 5 2 3 2 2 4" xfId="23141"/>
    <cellStyle name="20% - Accent4 5 2 3 2 3" xfId="5189"/>
    <cellStyle name="20% - Accent4 5 2 3 2 3 2" xfId="5190"/>
    <cellStyle name="20% - Accent4 5 2 3 2 3 2 2" xfId="23146"/>
    <cellStyle name="20% - Accent4 5 2 3 2 3 3" xfId="23145"/>
    <cellStyle name="20% - Accent4 5 2 3 2 4" xfId="5191"/>
    <cellStyle name="20% - Accent4 5 2 3 2 4 2" xfId="23147"/>
    <cellStyle name="20% - Accent4 5 2 3 2 5" xfId="23140"/>
    <cellStyle name="20% - Accent4 5 2 3 3" xfId="5192"/>
    <cellStyle name="20% - Accent4 5 2 3 3 2" xfId="5193"/>
    <cellStyle name="20% - Accent4 5 2 3 3 2 2" xfId="5194"/>
    <cellStyle name="20% - Accent4 5 2 3 3 2 2 2" xfId="5195"/>
    <cellStyle name="20% - Accent4 5 2 3 3 2 2 2 2" xfId="23151"/>
    <cellStyle name="20% - Accent4 5 2 3 3 2 2 3" xfId="23150"/>
    <cellStyle name="20% - Accent4 5 2 3 3 2 3" xfId="5196"/>
    <cellStyle name="20% - Accent4 5 2 3 3 2 3 2" xfId="23152"/>
    <cellStyle name="20% - Accent4 5 2 3 3 2 4" xfId="23149"/>
    <cellStyle name="20% - Accent4 5 2 3 3 3" xfId="5197"/>
    <cellStyle name="20% - Accent4 5 2 3 3 3 2" xfId="5198"/>
    <cellStyle name="20% - Accent4 5 2 3 3 3 2 2" xfId="23154"/>
    <cellStyle name="20% - Accent4 5 2 3 3 3 3" xfId="23153"/>
    <cellStyle name="20% - Accent4 5 2 3 3 4" xfId="5199"/>
    <cellStyle name="20% - Accent4 5 2 3 3 4 2" xfId="23155"/>
    <cellStyle name="20% - Accent4 5 2 3 3 5" xfId="23148"/>
    <cellStyle name="20% - Accent4 5 2 3 4" xfId="5200"/>
    <cellStyle name="20% - Accent4 5 2 3 4 2" xfId="5201"/>
    <cellStyle name="20% - Accent4 5 2 3 4 2 2" xfId="5202"/>
    <cellStyle name="20% - Accent4 5 2 3 4 2 2 2" xfId="23158"/>
    <cellStyle name="20% - Accent4 5 2 3 4 2 3" xfId="23157"/>
    <cellStyle name="20% - Accent4 5 2 3 4 3" xfId="5203"/>
    <cellStyle name="20% - Accent4 5 2 3 4 3 2" xfId="23159"/>
    <cellStyle name="20% - Accent4 5 2 3 4 4" xfId="23156"/>
    <cellStyle name="20% - Accent4 5 2 3 5" xfId="5204"/>
    <cellStyle name="20% - Accent4 5 2 3 5 2" xfId="5205"/>
    <cellStyle name="20% - Accent4 5 2 3 5 2 2" xfId="23161"/>
    <cellStyle name="20% - Accent4 5 2 3 5 3" xfId="23160"/>
    <cellStyle name="20% - Accent4 5 2 3 6" xfId="5206"/>
    <cellStyle name="20% - Accent4 5 2 3 6 2" xfId="23162"/>
    <cellStyle name="20% - Accent4 5 2 3 7" xfId="23139"/>
    <cellStyle name="20% - Accent4 5 2 4" xfId="5207"/>
    <cellStyle name="20% - Accent4 5 2 4 2" xfId="5208"/>
    <cellStyle name="20% - Accent4 5 2 4 2 2" xfId="5209"/>
    <cellStyle name="20% - Accent4 5 2 4 2 2 2" xfId="5210"/>
    <cellStyle name="20% - Accent4 5 2 4 2 2 2 2" xfId="23166"/>
    <cellStyle name="20% - Accent4 5 2 4 2 2 3" xfId="23165"/>
    <cellStyle name="20% - Accent4 5 2 4 2 3" xfId="5211"/>
    <cellStyle name="20% - Accent4 5 2 4 2 3 2" xfId="23167"/>
    <cellStyle name="20% - Accent4 5 2 4 2 4" xfId="23164"/>
    <cellStyle name="20% - Accent4 5 2 4 3" xfId="5212"/>
    <cellStyle name="20% - Accent4 5 2 4 3 2" xfId="5213"/>
    <cellStyle name="20% - Accent4 5 2 4 3 2 2" xfId="23169"/>
    <cellStyle name="20% - Accent4 5 2 4 3 3" xfId="23168"/>
    <cellStyle name="20% - Accent4 5 2 4 4" xfId="5214"/>
    <cellStyle name="20% - Accent4 5 2 4 4 2" xfId="23170"/>
    <cellStyle name="20% - Accent4 5 2 4 5" xfId="23163"/>
    <cellStyle name="20% - Accent4 5 2 5" xfId="5215"/>
    <cellStyle name="20% - Accent4 5 2 5 2" xfId="5216"/>
    <cellStyle name="20% - Accent4 5 2 5 2 2" xfId="5217"/>
    <cellStyle name="20% - Accent4 5 2 5 2 2 2" xfId="5218"/>
    <cellStyle name="20% - Accent4 5 2 5 2 2 2 2" xfId="23174"/>
    <cellStyle name="20% - Accent4 5 2 5 2 2 3" xfId="23173"/>
    <cellStyle name="20% - Accent4 5 2 5 2 3" xfId="5219"/>
    <cellStyle name="20% - Accent4 5 2 5 2 3 2" xfId="23175"/>
    <cellStyle name="20% - Accent4 5 2 5 2 4" xfId="23172"/>
    <cellStyle name="20% - Accent4 5 2 5 3" xfId="5220"/>
    <cellStyle name="20% - Accent4 5 2 5 3 2" xfId="5221"/>
    <cellStyle name="20% - Accent4 5 2 5 3 2 2" xfId="23177"/>
    <cellStyle name="20% - Accent4 5 2 5 3 3" xfId="23176"/>
    <cellStyle name="20% - Accent4 5 2 5 4" xfId="5222"/>
    <cellStyle name="20% - Accent4 5 2 5 4 2" xfId="23178"/>
    <cellStyle name="20% - Accent4 5 2 5 5" xfId="23171"/>
    <cellStyle name="20% - Accent4 5 2 6" xfId="5223"/>
    <cellStyle name="20% - Accent4 5 2 6 2" xfId="5224"/>
    <cellStyle name="20% - Accent4 5 2 6 2 2" xfId="5225"/>
    <cellStyle name="20% - Accent4 5 2 6 2 2 2" xfId="23181"/>
    <cellStyle name="20% - Accent4 5 2 6 2 3" xfId="23180"/>
    <cellStyle name="20% - Accent4 5 2 6 3" xfId="5226"/>
    <cellStyle name="20% - Accent4 5 2 6 3 2" xfId="23182"/>
    <cellStyle name="20% - Accent4 5 2 6 4" xfId="23179"/>
    <cellStyle name="20% - Accent4 5 2 7" xfId="5227"/>
    <cellStyle name="20% - Accent4 5 2 7 2" xfId="5228"/>
    <cellStyle name="20% - Accent4 5 2 7 2 2" xfId="23184"/>
    <cellStyle name="20% - Accent4 5 2 7 3" xfId="23183"/>
    <cellStyle name="20% - Accent4 5 2 8" xfId="5229"/>
    <cellStyle name="20% - Accent4 5 2 8 2" xfId="23185"/>
    <cellStyle name="20% - Accent4 5 2 9" xfId="23090"/>
    <cellStyle name="20% - Accent4 5 3" xfId="5230"/>
    <cellStyle name="20% - Accent4 5 3 2" xfId="5231"/>
    <cellStyle name="20% - Accent4 5 3 2 2" xfId="5232"/>
    <cellStyle name="20% - Accent4 5 3 2 2 2" xfId="5233"/>
    <cellStyle name="20% - Accent4 5 3 2 2 2 2" xfId="5234"/>
    <cellStyle name="20% - Accent4 5 3 2 2 2 2 2" xfId="5235"/>
    <cellStyle name="20% - Accent4 5 3 2 2 2 2 2 2" xfId="23191"/>
    <cellStyle name="20% - Accent4 5 3 2 2 2 2 3" xfId="23190"/>
    <cellStyle name="20% - Accent4 5 3 2 2 2 3" xfId="5236"/>
    <cellStyle name="20% - Accent4 5 3 2 2 2 3 2" xfId="23192"/>
    <cellStyle name="20% - Accent4 5 3 2 2 2 4" xfId="23189"/>
    <cellStyle name="20% - Accent4 5 3 2 2 3" xfId="5237"/>
    <cellStyle name="20% - Accent4 5 3 2 2 3 2" xfId="5238"/>
    <cellStyle name="20% - Accent4 5 3 2 2 3 2 2" xfId="23194"/>
    <cellStyle name="20% - Accent4 5 3 2 2 3 3" xfId="23193"/>
    <cellStyle name="20% - Accent4 5 3 2 2 4" xfId="5239"/>
    <cellStyle name="20% - Accent4 5 3 2 2 4 2" xfId="23195"/>
    <cellStyle name="20% - Accent4 5 3 2 2 5" xfId="23188"/>
    <cellStyle name="20% - Accent4 5 3 2 3" xfId="5240"/>
    <cellStyle name="20% - Accent4 5 3 2 3 2" xfId="5241"/>
    <cellStyle name="20% - Accent4 5 3 2 3 2 2" xfId="5242"/>
    <cellStyle name="20% - Accent4 5 3 2 3 2 2 2" xfId="5243"/>
    <cellStyle name="20% - Accent4 5 3 2 3 2 2 2 2" xfId="23199"/>
    <cellStyle name="20% - Accent4 5 3 2 3 2 2 3" xfId="23198"/>
    <cellStyle name="20% - Accent4 5 3 2 3 2 3" xfId="5244"/>
    <cellStyle name="20% - Accent4 5 3 2 3 2 3 2" xfId="23200"/>
    <cellStyle name="20% - Accent4 5 3 2 3 2 4" xfId="23197"/>
    <cellStyle name="20% - Accent4 5 3 2 3 3" xfId="5245"/>
    <cellStyle name="20% - Accent4 5 3 2 3 3 2" xfId="5246"/>
    <cellStyle name="20% - Accent4 5 3 2 3 3 2 2" xfId="23202"/>
    <cellStyle name="20% - Accent4 5 3 2 3 3 3" xfId="23201"/>
    <cellStyle name="20% - Accent4 5 3 2 3 4" xfId="5247"/>
    <cellStyle name="20% - Accent4 5 3 2 3 4 2" xfId="23203"/>
    <cellStyle name="20% - Accent4 5 3 2 3 5" xfId="23196"/>
    <cellStyle name="20% - Accent4 5 3 2 4" xfId="5248"/>
    <cellStyle name="20% - Accent4 5 3 2 4 2" xfId="5249"/>
    <cellStyle name="20% - Accent4 5 3 2 4 2 2" xfId="5250"/>
    <cellStyle name="20% - Accent4 5 3 2 4 2 2 2" xfId="23206"/>
    <cellStyle name="20% - Accent4 5 3 2 4 2 3" xfId="23205"/>
    <cellStyle name="20% - Accent4 5 3 2 4 3" xfId="5251"/>
    <cellStyle name="20% - Accent4 5 3 2 4 3 2" xfId="23207"/>
    <cellStyle name="20% - Accent4 5 3 2 4 4" xfId="23204"/>
    <cellStyle name="20% - Accent4 5 3 2 5" xfId="5252"/>
    <cellStyle name="20% - Accent4 5 3 2 5 2" xfId="5253"/>
    <cellStyle name="20% - Accent4 5 3 2 5 2 2" xfId="23209"/>
    <cellStyle name="20% - Accent4 5 3 2 5 3" xfId="23208"/>
    <cellStyle name="20% - Accent4 5 3 2 6" xfId="5254"/>
    <cellStyle name="20% - Accent4 5 3 2 6 2" xfId="23210"/>
    <cellStyle name="20% - Accent4 5 3 2 7" xfId="23187"/>
    <cellStyle name="20% - Accent4 5 3 3" xfId="5255"/>
    <cellStyle name="20% - Accent4 5 3 3 2" xfId="5256"/>
    <cellStyle name="20% - Accent4 5 3 3 2 2" xfId="5257"/>
    <cellStyle name="20% - Accent4 5 3 3 2 2 2" xfId="5258"/>
    <cellStyle name="20% - Accent4 5 3 3 2 2 2 2" xfId="23214"/>
    <cellStyle name="20% - Accent4 5 3 3 2 2 3" xfId="23213"/>
    <cellStyle name="20% - Accent4 5 3 3 2 3" xfId="5259"/>
    <cellStyle name="20% - Accent4 5 3 3 2 3 2" xfId="23215"/>
    <cellStyle name="20% - Accent4 5 3 3 2 4" xfId="23212"/>
    <cellStyle name="20% - Accent4 5 3 3 3" xfId="5260"/>
    <cellStyle name="20% - Accent4 5 3 3 3 2" xfId="5261"/>
    <cellStyle name="20% - Accent4 5 3 3 3 2 2" xfId="23217"/>
    <cellStyle name="20% - Accent4 5 3 3 3 3" xfId="23216"/>
    <cellStyle name="20% - Accent4 5 3 3 4" xfId="5262"/>
    <cellStyle name="20% - Accent4 5 3 3 4 2" xfId="23218"/>
    <cellStyle name="20% - Accent4 5 3 3 5" xfId="23211"/>
    <cellStyle name="20% - Accent4 5 3 4" xfId="5263"/>
    <cellStyle name="20% - Accent4 5 3 4 2" xfId="5264"/>
    <cellStyle name="20% - Accent4 5 3 4 2 2" xfId="5265"/>
    <cellStyle name="20% - Accent4 5 3 4 2 2 2" xfId="5266"/>
    <cellStyle name="20% - Accent4 5 3 4 2 2 2 2" xfId="23222"/>
    <cellStyle name="20% - Accent4 5 3 4 2 2 3" xfId="23221"/>
    <cellStyle name="20% - Accent4 5 3 4 2 3" xfId="5267"/>
    <cellStyle name="20% - Accent4 5 3 4 2 3 2" xfId="23223"/>
    <cellStyle name="20% - Accent4 5 3 4 2 4" xfId="23220"/>
    <cellStyle name="20% - Accent4 5 3 4 3" xfId="5268"/>
    <cellStyle name="20% - Accent4 5 3 4 3 2" xfId="5269"/>
    <cellStyle name="20% - Accent4 5 3 4 3 2 2" xfId="23225"/>
    <cellStyle name="20% - Accent4 5 3 4 3 3" xfId="23224"/>
    <cellStyle name="20% - Accent4 5 3 4 4" xfId="5270"/>
    <cellStyle name="20% - Accent4 5 3 4 4 2" xfId="23226"/>
    <cellStyle name="20% - Accent4 5 3 4 5" xfId="23219"/>
    <cellStyle name="20% - Accent4 5 3 5" xfId="5271"/>
    <cellStyle name="20% - Accent4 5 3 5 2" xfId="5272"/>
    <cellStyle name="20% - Accent4 5 3 5 2 2" xfId="5273"/>
    <cellStyle name="20% - Accent4 5 3 5 2 2 2" xfId="23229"/>
    <cellStyle name="20% - Accent4 5 3 5 2 3" xfId="23228"/>
    <cellStyle name="20% - Accent4 5 3 5 3" xfId="5274"/>
    <cellStyle name="20% - Accent4 5 3 5 3 2" xfId="23230"/>
    <cellStyle name="20% - Accent4 5 3 5 4" xfId="23227"/>
    <cellStyle name="20% - Accent4 5 3 6" xfId="5275"/>
    <cellStyle name="20% - Accent4 5 3 6 2" xfId="5276"/>
    <cellStyle name="20% - Accent4 5 3 6 2 2" xfId="23232"/>
    <cellStyle name="20% - Accent4 5 3 6 3" xfId="23231"/>
    <cellStyle name="20% - Accent4 5 3 7" xfId="5277"/>
    <cellStyle name="20% - Accent4 5 3 7 2" xfId="23233"/>
    <cellStyle name="20% - Accent4 5 3 8" xfId="23186"/>
    <cellStyle name="20% - Accent4 5 4" xfId="5278"/>
    <cellStyle name="20% - Accent4 5 4 2" xfId="5279"/>
    <cellStyle name="20% - Accent4 5 4 2 2" xfId="5280"/>
    <cellStyle name="20% - Accent4 5 4 2 2 2" xfId="5281"/>
    <cellStyle name="20% - Accent4 5 4 2 2 2 2" xfId="5282"/>
    <cellStyle name="20% - Accent4 5 4 2 2 2 2 2" xfId="23238"/>
    <cellStyle name="20% - Accent4 5 4 2 2 2 3" xfId="23237"/>
    <cellStyle name="20% - Accent4 5 4 2 2 3" xfId="5283"/>
    <cellStyle name="20% - Accent4 5 4 2 2 3 2" xfId="23239"/>
    <cellStyle name="20% - Accent4 5 4 2 2 4" xfId="23236"/>
    <cellStyle name="20% - Accent4 5 4 2 3" xfId="5284"/>
    <cellStyle name="20% - Accent4 5 4 2 3 2" xfId="5285"/>
    <cellStyle name="20% - Accent4 5 4 2 3 2 2" xfId="23241"/>
    <cellStyle name="20% - Accent4 5 4 2 3 3" xfId="23240"/>
    <cellStyle name="20% - Accent4 5 4 2 4" xfId="5286"/>
    <cellStyle name="20% - Accent4 5 4 2 4 2" xfId="23242"/>
    <cellStyle name="20% - Accent4 5 4 2 5" xfId="23235"/>
    <cellStyle name="20% - Accent4 5 4 3" xfId="5287"/>
    <cellStyle name="20% - Accent4 5 4 3 2" xfId="5288"/>
    <cellStyle name="20% - Accent4 5 4 3 2 2" xfId="5289"/>
    <cellStyle name="20% - Accent4 5 4 3 2 2 2" xfId="5290"/>
    <cellStyle name="20% - Accent4 5 4 3 2 2 2 2" xfId="23246"/>
    <cellStyle name="20% - Accent4 5 4 3 2 2 3" xfId="23245"/>
    <cellStyle name="20% - Accent4 5 4 3 2 3" xfId="5291"/>
    <cellStyle name="20% - Accent4 5 4 3 2 3 2" xfId="23247"/>
    <cellStyle name="20% - Accent4 5 4 3 2 4" xfId="23244"/>
    <cellStyle name="20% - Accent4 5 4 3 3" xfId="5292"/>
    <cellStyle name="20% - Accent4 5 4 3 3 2" xfId="5293"/>
    <cellStyle name="20% - Accent4 5 4 3 3 2 2" xfId="23249"/>
    <cellStyle name="20% - Accent4 5 4 3 3 3" xfId="23248"/>
    <cellStyle name="20% - Accent4 5 4 3 4" xfId="5294"/>
    <cellStyle name="20% - Accent4 5 4 3 4 2" xfId="23250"/>
    <cellStyle name="20% - Accent4 5 4 3 5" xfId="23243"/>
    <cellStyle name="20% - Accent4 5 4 4" xfId="5295"/>
    <cellStyle name="20% - Accent4 5 4 4 2" xfId="5296"/>
    <cellStyle name="20% - Accent4 5 4 4 2 2" xfId="5297"/>
    <cellStyle name="20% - Accent4 5 4 4 2 2 2" xfId="23253"/>
    <cellStyle name="20% - Accent4 5 4 4 2 3" xfId="23252"/>
    <cellStyle name="20% - Accent4 5 4 4 3" xfId="5298"/>
    <cellStyle name="20% - Accent4 5 4 4 3 2" xfId="23254"/>
    <cellStyle name="20% - Accent4 5 4 4 4" xfId="23251"/>
    <cellStyle name="20% - Accent4 5 4 5" xfId="5299"/>
    <cellStyle name="20% - Accent4 5 4 5 2" xfId="5300"/>
    <cellStyle name="20% - Accent4 5 4 5 2 2" xfId="23256"/>
    <cellStyle name="20% - Accent4 5 4 5 3" xfId="23255"/>
    <cellStyle name="20% - Accent4 5 4 6" xfId="5301"/>
    <cellStyle name="20% - Accent4 5 4 6 2" xfId="23257"/>
    <cellStyle name="20% - Accent4 5 4 7" xfId="23234"/>
    <cellStyle name="20% - Accent4 5 5" xfId="5302"/>
    <cellStyle name="20% - Accent4 5 5 2" xfId="5303"/>
    <cellStyle name="20% - Accent4 5 5 2 2" xfId="5304"/>
    <cellStyle name="20% - Accent4 5 5 2 2 2" xfId="5305"/>
    <cellStyle name="20% - Accent4 5 5 2 2 2 2" xfId="23261"/>
    <cellStyle name="20% - Accent4 5 5 2 2 3" xfId="23260"/>
    <cellStyle name="20% - Accent4 5 5 2 3" xfId="5306"/>
    <cellStyle name="20% - Accent4 5 5 2 3 2" xfId="23262"/>
    <cellStyle name="20% - Accent4 5 5 2 4" xfId="23259"/>
    <cellStyle name="20% - Accent4 5 5 3" xfId="5307"/>
    <cellStyle name="20% - Accent4 5 5 3 2" xfId="5308"/>
    <cellStyle name="20% - Accent4 5 5 3 2 2" xfId="23264"/>
    <cellStyle name="20% - Accent4 5 5 3 3" xfId="23263"/>
    <cellStyle name="20% - Accent4 5 5 4" xfId="5309"/>
    <cellStyle name="20% - Accent4 5 5 4 2" xfId="23265"/>
    <cellStyle name="20% - Accent4 5 5 5" xfId="23258"/>
    <cellStyle name="20% - Accent4 5 6" xfId="5310"/>
    <cellStyle name="20% - Accent4 5 6 2" xfId="5311"/>
    <cellStyle name="20% - Accent4 5 6 2 2" xfId="5312"/>
    <cellStyle name="20% - Accent4 5 6 2 2 2" xfId="5313"/>
    <cellStyle name="20% - Accent4 5 6 2 2 2 2" xfId="23269"/>
    <cellStyle name="20% - Accent4 5 6 2 2 3" xfId="23268"/>
    <cellStyle name="20% - Accent4 5 6 2 3" xfId="5314"/>
    <cellStyle name="20% - Accent4 5 6 2 3 2" xfId="23270"/>
    <cellStyle name="20% - Accent4 5 6 2 4" xfId="23267"/>
    <cellStyle name="20% - Accent4 5 6 3" xfId="5315"/>
    <cellStyle name="20% - Accent4 5 6 3 2" xfId="5316"/>
    <cellStyle name="20% - Accent4 5 6 3 2 2" xfId="23272"/>
    <cellStyle name="20% - Accent4 5 6 3 3" xfId="23271"/>
    <cellStyle name="20% - Accent4 5 6 4" xfId="5317"/>
    <cellStyle name="20% - Accent4 5 6 4 2" xfId="23273"/>
    <cellStyle name="20% - Accent4 5 6 5" xfId="23266"/>
    <cellStyle name="20% - Accent4 5 7" xfId="5318"/>
    <cellStyle name="20% - Accent4 5 7 2" xfId="5319"/>
    <cellStyle name="20% - Accent4 5 7 2 2" xfId="5320"/>
    <cellStyle name="20% - Accent4 5 7 2 2 2" xfId="23276"/>
    <cellStyle name="20% - Accent4 5 7 2 3" xfId="23275"/>
    <cellStyle name="20% - Accent4 5 7 3" xfId="5321"/>
    <cellStyle name="20% - Accent4 5 7 3 2" xfId="23277"/>
    <cellStyle name="20% - Accent4 5 7 4" xfId="23274"/>
    <cellStyle name="20% - Accent4 5 8" xfId="5322"/>
    <cellStyle name="20% - Accent4 5 8 2" xfId="5323"/>
    <cellStyle name="20% - Accent4 5 8 2 2" xfId="23279"/>
    <cellStyle name="20% - Accent4 5 8 3" xfId="23278"/>
    <cellStyle name="20% - Accent4 5 9" xfId="5324"/>
    <cellStyle name="20% - Accent4 5 9 2" xfId="23280"/>
    <cellStyle name="20% - Accent4 6" xfId="5325"/>
    <cellStyle name="20% - Accent4 6 10" xfId="23281"/>
    <cellStyle name="20% - Accent4 6 2" xfId="5326"/>
    <cellStyle name="20% - Accent4 6 2 2" xfId="5327"/>
    <cellStyle name="20% - Accent4 6 2 2 2" xfId="5328"/>
    <cellStyle name="20% - Accent4 6 2 2 2 2" xfId="5329"/>
    <cellStyle name="20% - Accent4 6 2 2 2 2 2" xfId="5330"/>
    <cellStyle name="20% - Accent4 6 2 2 2 2 2 2" xfId="5331"/>
    <cellStyle name="20% - Accent4 6 2 2 2 2 2 2 2" xfId="5332"/>
    <cellStyle name="20% - Accent4 6 2 2 2 2 2 2 2 2" xfId="23288"/>
    <cellStyle name="20% - Accent4 6 2 2 2 2 2 2 3" xfId="23287"/>
    <cellStyle name="20% - Accent4 6 2 2 2 2 2 3" xfId="5333"/>
    <cellStyle name="20% - Accent4 6 2 2 2 2 2 3 2" xfId="23289"/>
    <cellStyle name="20% - Accent4 6 2 2 2 2 2 4" xfId="23286"/>
    <cellStyle name="20% - Accent4 6 2 2 2 2 3" xfId="5334"/>
    <cellStyle name="20% - Accent4 6 2 2 2 2 3 2" xfId="5335"/>
    <cellStyle name="20% - Accent4 6 2 2 2 2 3 2 2" xfId="23291"/>
    <cellStyle name="20% - Accent4 6 2 2 2 2 3 3" xfId="23290"/>
    <cellStyle name="20% - Accent4 6 2 2 2 2 4" xfId="5336"/>
    <cellStyle name="20% - Accent4 6 2 2 2 2 4 2" xfId="23292"/>
    <cellStyle name="20% - Accent4 6 2 2 2 2 5" xfId="23285"/>
    <cellStyle name="20% - Accent4 6 2 2 2 3" xfId="5337"/>
    <cellStyle name="20% - Accent4 6 2 2 2 3 2" xfId="5338"/>
    <cellStyle name="20% - Accent4 6 2 2 2 3 2 2" xfId="5339"/>
    <cellStyle name="20% - Accent4 6 2 2 2 3 2 2 2" xfId="5340"/>
    <cellStyle name="20% - Accent4 6 2 2 2 3 2 2 2 2" xfId="23296"/>
    <cellStyle name="20% - Accent4 6 2 2 2 3 2 2 3" xfId="23295"/>
    <cellStyle name="20% - Accent4 6 2 2 2 3 2 3" xfId="5341"/>
    <cellStyle name="20% - Accent4 6 2 2 2 3 2 3 2" xfId="23297"/>
    <cellStyle name="20% - Accent4 6 2 2 2 3 2 4" xfId="23294"/>
    <cellStyle name="20% - Accent4 6 2 2 2 3 3" xfId="5342"/>
    <cellStyle name="20% - Accent4 6 2 2 2 3 3 2" xfId="5343"/>
    <cellStyle name="20% - Accent4 6 2 2 2 3 3 2 2" xfId="23299"/>
    <cellStyle name="20% - Accent4 6 2 2 2 3 3 3" xfId="23298"/>
    <cellStyle name="20% - Accent4 6 2 2 2 3 4" xfId="5344"/>
    <cellStyle name="20% - Accent4 6 2 2 2 3 4 2" xfId="23300"/>
    <cellStyle name="20% - Accent4 6 2 2 2 3 5" xfId="23293"/>
    <cellStyle name="20% - Accent4 6 2 2 2 4" xfId="5345"/>
    <cellStyle name="20% - Accent4 6 2 2 2 4 2" xfId="5346"/>
    <cellStyle name="20% - Accent4 6 2 2 2 4 2 2" xfId="5347"/>
    <cellStyle name="20% - Accent4 6 2 2 2 4 2 2 2" xfId="23303"/>
    <cellStyle name="20% - Accent4 6 2 2 2 4 2 3" xfId="23302"/>
    <cellStyle name="20% - Accent4 6 2 2 2 4 3" xfId="5348"/>
    <cellStyle name="20% - Accent4 6 2 2 2 4 3 2" xfId="23304"/>
    <cellStyle name="20% - Accent4 6 2 2 2 4 4" xfId="23301"/>
    <cellStyle name="20% - Accent4 6 2 2 2 5" xfId="5349"/>
    <cellStyle name="20% - Accent4 6 2 2 2 5 2" xfId="5350"/>
    <cellStyle name="20% - Accent4 6 2 2 2 5 2 2" xfId="23306"/>
    <cellStyle name="20% - Accent4 6 2 2 2 5 3" xfId="23305"/>
    <cellStyle name="20% - Accent4 6 2 2 2 6" xfId="5351"/>
    <cellStyle name="20% - Accent4 6 2 2 2 6 2" xfId="23307"/>
    <cellStyle name="20% - Accent4 6 2 2 2 7" xfId="23284"/>
    <cellStyle name="20% - Accent4 6 2 2 3" xfId="5352"/>
    <cellStyle name="20% - Accent4 6 2 2 3 2" xfId="5353"/>
    <cellStyle name="20% - Accent4 6 2 2 3 2 2" xfId="5354"/>
    <cellStyle name="20% - Accent4 6 2 2 3 2 2 2" xfId="5355"/>
    <cellStyle name="20% - Accent4 6 2 2 3 2 2 2 2" xfId="23311"/>
    <cellStyle name="20% - Accent4 6 2 2 3 2 2 3" xfId="23310"/>
    <cellStyle name="20% - Accent4 6 2 2 3 2 3" xfId="5356"/>
    <cellStyle name="20% - Accent4 6 2 2 3 2 3 2" xfId="23312"/>
    <cellStyle name="20% - Accent4 6 2 2 3 2 4" xfId="23309"/>
    <cellStyle name="20% - Accent4 6 2 2 3 3" xfId="5357"/>
    <cellStyle name="20% - Accent4 6 2 2 3 3 2" xfId="5358"/>
    <cellStyle name="20% - Accent4 6 2 2 3 3 2 2" xfId="23314"/>
    <cellStyle name="20% - Accent4 6 2 2 3 3 3" xfId="23313"/>
    <cellStyle name="20% - Accent4 6 2 2 3 4" xfId="5359"/>
    <cellStyle name="20% - Accent4 6 2 2 3 4 2" xfId="23315"/>
    <cellStyle name="20% - Accent4 6 2 2 3 5" xfId="23308"/>
    <cellStyle name="20% - Accent4 6 2 2 4" xfId="5360"/>
    <cellStyle name="20% - Accent4 6 2 2 4 2" xfId="5361"/>
    <cellStyle name="20% - Accent4 6 2 2 4 2 2" xfId="5362"/>
    <cellStyle name="20% - Accent4 6 2 2 4 2 2 2" xfId="5363"/>
    <cellStyle name="20% - Accent4 6 2 2 4 2 2 2 2" xfId="23319"/>
    <cellStyle name="20% - Accent4 6 2 2 4 2 2 3" xfId="23318"/>
    <cellStyle name="20% - Accent4 6 2 2 4 2 3" xfId="5364"/>
    <cellStyle name="20% - Accent4 6 2 2 4 2 3 2" xfId="23320"/>
    <cellStyle name="20% - Accent4 6 2 2 4 2 4" xfId="23317"/>
    <cellStyle name="20% - Accent4 6 2 2 4 3" xfId="5365"/>
    <cellStyle name="20% - Accent4 6 2 2 4 3 2" xfId="5366"/>
    <cellStyle name="20% - Accent4 6 2 2 4 3 2 2" xfId="23322"/>
    <cellStyle name="20% - Accent4 6 2 2 4 3 3" xfId="23321"/>
    <cellStyle name="20% - Accent4 6 2 2 4 4" xfId="5367"/>
    <cellStyle name="20% - Accent4 6 2 2 4 4 2" xfId="23323"/>
    <cellStyle name="20% - Accent4 6 2 2 4 5" xfId="23316"/>
    <cellStyle name="20% - Accent4 6 2 2 5" xfId="5368"/>
    <cellStyle name="20% - Accent4 6 2 2 5 2" xfId="5369"/>
    <cellStyle name="20% - Accent4 6 2 2 5 2 2" xfId="5370"/>
    <cellStyle name="20% - Accent4 6 2 2 5 2 2 2" xfId="23326"/>
    <cellStyle name="20% - Accent4 6 2 2 5 2 3" xfId="23325"/>
    <cellStyle name="20% - Accent4 6 2 2 5 3" xfId="5371"/>
    <cellStyle name="20% - Accent4 6 2 2 5 3 2" xfId="23327"/>
    <cellStyle name="20% - Accent4 6 2 2 5 4" xfId="23324"/>
    <cellStyle name="20% - Accent4 6 2 2 6" xfId="5372"/>
    <cellStyle name="20% - Accent4 6 2 2 6 2" xfId="5373"/>
    <cellStyle name="20% - Accent4 6 2 2 6 2 2" xfId="23329"/>
    <cellStyle name="20% - Accent4 6 2 2 6 3" xfId="23328"/>
    <cellStyle name="20% - Accent4 6 2 2 7" xfId="5374"/>
    <cellStyle name="20% - Accent4 6 2 2 7 2" xfId="23330"/>
    <cellStyle name="20% - Accent4 6 2 2 8" xfId="23283"/>
    <cellStyle name="20% - Accent4 6 2 3" xfId="5375"/>
    <cellStyle name="20% - Accent4 6 2 3 2" xfId="5376"/>
    <cellStyle name="20% - Accent4 6 2 3 2 2" xfId="5377"/>
    <cellStyle name="20% - Accent4 6 2 3 2 2 2" xfId="5378"/>
    <cellStyle name="20% - Accent4 6 2 3 2 2 2 2" xfId="5379"/>
    <cellStyle name="20% - Accent4 6 2 3 2 2 2 2 2" xfId="23335"/>
    <cellStyle name="20% - Accent4 6 2 3 2 2 2 3" xfId="23334"/>
    <cellStyle name="20% - Accent4 6 2 3 2 2 3" xfId="5380"/>
    <cellStyle name="20% - Accent4 6 2 3 2 2 3 2" xfId="23336"/>
    <cellStyle name="20% - Accent4 6 2 3 2 2 4" xfId="23333"/>
    <cellStyle name="20% - Accent4 6 2 3 2 3" xfId="5381"/>
    <cellStyle name="20% - Accent4 6 2 3 2 3 2" xfId="5382"/>
    <cellStyle name="20% - Accent4 6 2 3 2 3 2 2" xfId="23338"/>
    <cellStyle name="20% - Accent4 6 2 3 2 3 3" xfId="23337"/>
    <cellStyle name="20% - Accent4 6 2 3 2 4" xfId="5383"/>
    <cellStyle name="20% - Accent4 6 2 3 2 4 2" xfId="23339"/>
    <cellStyle name="20% - Accent4 6 2 3 2 5" xfId="23332"/>
    <cellStyle name="20% - Accent4 6 2 3 3" xfId="5384"/>
    <cellStyle name="20% - Accent4 6 2 3 3 2" xfId="5385"/>
    <cellStyle name="20% - Accent4 6 2 3 3 2 2" xfId="5386"/>
    <cellStyle name="20% - Accent4 6 2 3 3 2 2 2" xfId="5387"/>
    <cellStyle name="20% - Accent4 6 2 3 3 2 2 2 2" xfId="23343"/>
    <cellStyle name="20% - Accent4 6 2 3 3 2 2 3" xfId="23342"/>
    <cellStyle name="20% - Accent4 6 2 3 3 2 3" xfId="5388"/>
    <cellStyle name="20% - Accent4 6 2 3 3 2 3 2" xfId="23344"/>
    <cellStyle name="20% - Accent4 6 2 3 3 2 4" xfId="23341"/>
    <cellStyle name="20% - Accent4 6 2 3 3 3" xfId="5389"/>
    <cellStyle name="20% - Accent4 6 2 3 3 3 2" xfId="5390"/>
    <cellStyle name="20% - Accent4 6 2 3 3 3 2 2" xfId="23346"/>
    <cellStyle name="20% - Accent4 6 2 3 3 3 3" xfId="23345"/>
    <cellStyle name="20% - Accent4 6 2 3 3 4" xfId="5391"/>
    <cellStyle name="20% - Accent4 6 2 3 3 4 2" xfId="23347"/>
    <cellStyle name="20% - Accent4 6 2 3 3 5" xfId="23340"/>
    <cellStyle name="20% - Accent4 6 2 3 4" xfId="5392"/>
    <cellStyle name="20% - Accent4 6 2 3 4 2" xfId="5393"/>
    <cellStyle name="20% - Accent4 6 2 3 4 2 2" xfId="5394"/>
    <cellStyle name="20% - Accent4 6 2 3 4 2 2 2" xfId="23350"/>
    <cellStyle name="20% - Accent4 6 2 3 4 2 3" xfId="23349"/>
    <cellStyle name="20% - Accent4 6 2 3 4 3" xfId="5395"/>
    <cellStyle name="20% - Accent4 6 2 3 4 3 2" xfId="23351"/>
    <cellStyle name="20% - Accent4 6 2 3 4 4" xfId="23348"/>
    <cellStyle name="20% - Accent4 6 2 3 5" xfId="5396"/>
    <cellStyle name="20% - Accent4 6 2 3 5 2" xfId="5397"/>
    <cellStyle name="20% - Accent4 6 2 3 5 2 2" xfId="23353"/>
    <cellStyle name="20% - Accent4 6 2 3 5 3" xfId="23352"/>
    <cellStyle name="20% - Accent4 6 2 3 6" xfId="5398"/>
    <cellStyle name="20% - Accent4 6 2 3 6 2" xfId="23354"/>
    <cellStyle name="20% - Accent4 6 2 3 7" xfId="23331"/>
    <cellStyle name="20% - Accent4 6 2 4" xfId="5399"/>
    <cellStyle name="20% - Accent4 6 2 4 2" xfId="5400"/>
    <cellStyle name="20% - Accent4 6 2 4 2 2" xfId="5401"/>
    <cellStyle name="20% - Accent4 6 2 4 2 2 2" xfId="5402"/>
    <cellStyle name="20% - Accent4 6 2 4 2 2 2 2" xfId="23358"/>
    <cellStyle name="20% - Accent4 6 2 4 2 2 3" xfId="23357"/>
    <cellStyle name="20% - Accent4 6 2 4 2 3" xfId="5403"/>
    <cellStyle name="20% - Accent4 6 2 4 2 3 2" xfId="23359"/>
    <cellStyle name="20% - Accent4 6 2 4 2 4" xfId="23356"/>
    <cellStyle name="20% - Accent4 6 2 4 3" xfId="5404"/>
    <cellStyle name="20% - Accent4 6 2 4 3 2" xfId="5405"/>
    <cellStyle name="20% - Accent4 6 2 4 3 2 2" xfId="23361"/>
    <cellStyle name="20% - Accent4 6 2 4 3 3" xfId="23360"/>
    <cellStyle name="20% - Accent4 6 2 4 4" xfId="5406"/>
    <cellStyle name="20% - Accent4 6 2 4 4 2" xfId="23362"/>
    <cellStyle name="20% - Accent4 6 2 4 5" xfId="23355"/>
    <cellStyle name="20% - Accent4 6 2 5" xfId="5407"/>
    <cellStyle name="20% - Accent4 6 2 5 2" xfId="5408"/>
    <cellStyle name="20% - Accent4 6 2 5 2 2" xfId="5409"/>
    <cellStyle name="20% - Accent4 6 2 5 2 2 2" xfId="5410"/>
    <cellStyle name="20% - Accent4 6 2 5 2 2 2 2" xfId="23366"/>
    <cellStyle name="20% - Accent4 6 2 5 2 2 3" xfId="23365"/>
    <cellStyle name="20% - Accent4 6 2 5 2 3" xfId="5411"/>
    <cellStyle name="20% - Accent4 6 2 5 2 3 2" xfId="23367"/>
    <cellStyle name="20% - Accent4 6 2 5 2 4" xfId="23364"/>
    <cellStyle name="20% - Accent4 6 2 5 3" xfId="5412"/>
    <cellStyle name="20% - Accent4 6 2 5 3 2" xfId="5413"/>
    <cellStyle name="20% - Accent4 6 2 5 3 2 2" xfId="23369"/>
    <cellStyle name="20% - Accent4 6 2 5 3 3" xfId="23368"/>
    <cellStyle name="20% - Accent4 6 2 5 4" xfId="5414"/>
    <cellStyle name="20% - Accent4 6 2 5 4 2" xfId="23370"/>
    <cellStyle name="20% - Accent4 6 2 5 5" xfId="23363"/>
    <cellStyle name="20% - Accent4 6 2 6" xfId="5415"/>
    <cellStyle name="20% - Accent4 6 2 6 2" xfId="5416"/>
    <cellStyle name="20% - Accent4 6 2 6 2 2" xfId="5417"/>
    <cellStyle name="20% - Accent4 6 2 6 2 2 2" xfId="23373"/>
    <cellStyle name="20% - Accent4 6 2 6 2 3" xfId="23372"/>
    <cellStyle name="20% - Accent4 6 2 6 3" xfId="5418"/>
    <cellStyle name="20% - Accent4 6 2 6 3 2" xfId="23374"/>
    <cellStyle name="20% - Accent4 6 2 6 4" xfId="23371"/>
    <cellStyle name="20% - Accent4 6 2 7" xfId="5419"/>
    <cellStyle name="20% - Accent4 6 2 7 2" xfId="5420"/>
    <cellStyle name="20% - Accent4 6 2 7 2 2" xfId="23376"/>
    <cellStyle name="20% - Accent4 6 2 7 3" xfId="23375"/>
    <cellStyle name="20% - Accent4 6 2 8" xfId="5421"/>
    <cellStyle name="20% - Accent4 6 2 8 2" xfId="23377"/>
    <cellStyle name="20% - Accent4 6 2 9" xfId="23282"/>
    <cellStyle name="20% - Accent4 6 3" xfId="5422"/>
    <cellStyle name="20% - Accent4 6 3 2" xfId="5423"/>
    <cellStyle name="20% - Accent4 6 3 2 2" xfId="5424"/>
    <cellStyle name="20% - Accent4 6 3 2 2 2" xfId="5425"/>
    <cellStyle name="20% - Accent4 6 3 2 2 2 2" xfId="5426"/>
    <cellStyle name="20% - Accent4 6 3 2 2 2 2 2" xfId="5427"/>
    <cellStyle name="20% - Accent4 6 3 2 2 2 2 2 2" xfId="23383"/>
    <cellStyle name="20% - Accent4 6 3 2 2 2 2 3" xfId="23382"/>
    <cellStyle name="20% - Accent4 6 3 2 2 2 3" xfId="5428"/>
    <cellStyle name="20% - Accent4 6 3 2 2 2 3 2" xfId="23384"/>
    <cellStyle name="20% - Accent4 6 3 2 2 2 4" xfId="23381"/>
    <cellStyle name="20% - Accent4 6 3 2 2 3" xfId="5429"/>
    <cellStyle name="20% - Accent4 6 3 2 2 3 2" xfId="5430"/>
    <cellStyle name="20% - Accent4 6 3 2 2 3 2 2" xfId="23386"/>
    <cellStyle name="20% - Accent4 6 3 2 2 3 3" xfId="23385"/>
    <cellStyle name="20% - Accent4 6 3 2 2 4" xfId="5431"/>
    <cellStyle name="20% - Accent4 6 3 2 2 4 2" xfId="23387"/>
    <cellStyle name="20% - Accent4 6 3 2 2 5" xfId="23380"/>
    <cellStyle name="20% - Accent4 6 3 2 3" xfId="5432"/>
    <cellStyle name="20% - Accent4 6 3 2 3 2" xfId="5433"/>
    <cellStyle name="20% - Accent4 6 3 2 3 2 2" xfId="5434"/>
    <cellStyle name="20% - Accent4 6 3 2 3 2 2 2" xfId="5435"/>
    <cellStyle name="20% - Accent4 6 3 2 3 2 2 2 2" xfId="23391"/>
    <cellStyle name="20% - Accent4 6 3 2 3 2 2 3" xfId="23390"/>
    <cellStyle name="20% - Accent4 6 3 2 3 2 3" xfId="5436"/>
    <cellStyle name="20% - Accent4 6 3 2 3 2 3 2" xfId="23392"/>
    <cellStyle name="20% - Accent4 6 3 2 3 2 4" xfId="23389"/>
    <cellStyle name="20% - Accent4 6 3 2 3 3" xfId="5437"/>
    <cellStyle name="20% - Accent4 6 3 2 3 3 2" xfId="5438"/>
    <cellStyle name="20% - Accent4 6 3 2 3 3 2 2" xfId="23394"/>
    <cellStyle name="20% - Accent4 6 3 2 3 3 3" xfId="23393"/>
    <cellStyle name="20% - Accent4 6 3 2 3 4" xfId="5439"/>
    <cellStyle name="20% - Accent4 6 3 2 3 4 2" xfId="23395"/>
    <cellStyle name="20% - Accent4 6 3 2 3 5" xfId="23388"/>
    <cellStyle name="20% - Accent4 6 3 2 4" xfId="5440"/>
    <cellStyle name="20% - Accent4 6 3 2 4 2" xfId="5441"/>
    <cellStyle name="20% - Accent4 6 3 2 4 2 2" xfId="5442"/>
    <cellStyle name="20% - Accent4 6 3 2 4 2 2 2" xfId="23398"/>
    <cellStyle name="20% - Accent4 6 3 2 4 2 3" xfId="23397"/>
    <cellStyle name="20% - Accent4 6 3 2 4 3" xfId="5443"/>
    <cellStyle name="20% - Accent4 6 3 2 4 3 2" xfId="23399"/>
    <cellStyle name="20% - Accent4 6 3 2 4 4" xfId="23396"/>
    <cellStyle name="20% - Accent4 6 3 2 5" xfId="5444"/>
    <cellStyle name="20% - Accent4 6 3 2 5 2" xfId="5445"/>
    <cellStyle name="20% - Accent4 6 3 2 5 2 2" xfId="23401"/>
    <cellStyle name="20% - Accent4 6 3 2 5 3" xfId="23400"/>
    <cellStyle name="20% - Accent4 6 3 2 6" xfId="5446"/>
    <cellStyle name="20% - Accent4 6 3 2 6 2" xfId="23402"/>
    <cellStyle name="20% - Accent4 6 3 2 7" xfId="23379"/>
    <cellStyle name="20% - Accent4 6 3 3" xfId="5447"/>
    <cellStyle name="20% - Accent4 6 3 3 2" xfId="5448"/>
    <cellStyle name="20% - Accent4 6 3 3 2 2" xfId="5449"/>
    <cellStyle name="20% - Accent4 6 3 3 2 2 2" xfId="5450"/>
    <cellStyle name="20% - Accent4 6 3 3 2 2 2 2" xfId="23406"/>
    <cellStyle name="20% - Accent4 6 3 3 2 2 3" xfId="23405"/>
    <cellStyle name="20% - Accent4 6 3 3 2 3" xfId="5451"/>
    <cellStyle name="20% - Accent4 6 3 3 2 3 2" xfId="23407"/>
    <cellStyle name="20% - Accent4 6 3 3 2 4" xfId="23404"/>
    <cellStyle name="20% - Accent4 6 3 3 3" xfId="5452"/>
    <cellStyle name="20% - Accent4 6 3 3 3 2" xfId="5453"/>
    <cellStyle name="20% - Accent4 6 3 3 3 2 2" xfId="23409"/>
    <cellStyle name="20% - Accent4 6 3 3 3 3" xfId="23408"/>
    <cellStyle name="20% - Accent4 6 3 3 4" xfId="5454"/>
    <cellStyle name="20% - Accent4 6 3 3 4 2" xfId="23410"/>
    <cellStyle name="20% - Accent4 6 3 3 5" xfId="23403"/>
    <cellStyle name="20% - Accent4 6 3 4" xfId="5455"/>
    <cellStyle name="20% - Accent4 6 3 4 2" xfId="5456"/>
    <cellStyle name="20% - Accent4 6 3 4 2 2" xfId="5457"/>
    <cellStyle name="20% - Accent4 6 3 4 2 2 2" xfId="5458"/>
    <cellStyle name="20% - Accent4 6 3 4 2 2 2 2" xfId="23414"/>
    <cellStyle name="20% - Accent4 6 3 4 2 2 3" xfId="23413"/>
    <cellStyle name="20% - Accent4 6 3 4 2 3" xfId="5459"/>
    <cellStyle name="20% - Accent4 6 3 4 2 3 2" xfId="23415"/>
    <cellStyle name="20% - Accent4 6 3 4 2 4" xfId="23412"/>
    <cellStyle name="20% - Accent4 6 3 4 3" xfId="5460"/>
    <cellStyle name="20% - Accent4 6 3 4 3 2" xfId="5461"/>
    <cellStyle name="20% - Accent4 6 3 4 3 2 2" xfId="23417"/>
    <cellStyle name="20% - Accent4 6 3 4 3 3" xfId="23416"/>
    <cellStyle name="20% - Accent4 6 3 4 4" xfId="5462"/>
    <cellStyle name="20% - Accent4 6 3 4 4 2" xfId="23418"/>
    <cellStyle name="20% - Accent4 6 3 4 5" xfId="23411"/>
    <cellStyle name="20% - Accent4 6 3 5" xfId="5463"/>
    <cellStyle name="20% - Accent4 6 3 5 2" xfId="5464"/>
    <cellStyle name="20% - Accent4 6 3 5 2 2" xfId="5465"/>
    <cellStyle name="20% - Accent4 6 3 5 2 2 2" xfId="23421"/>
    <cellStyle name="20% - Accent4 6 3 5 2 3" xfId="23420"/>
    <cellStyle name="20% - Accent4 6 3 5 3" xfId="5466"/>
    <cellStyle name="20% - Accent4 6 3 5 3 2" xfId="23422"/>
    <cellStyle name="20% - Accent4 6 3 5 4" xfId="23419"/>
    <cellStyle name="20% - Accent4 6 3 6" xfId="5467"/>
    <cellStyle name="20% - Accent4 6 3 6 2" xfId="5468"/>
    <cellStyle name="20% - Accent4 6 3 6 2 2" xfId="23424"/>
    <cellStyle name="20% - Accent4 6 3 6 3" xfId="23423"/>
    <cellStyle name="20% - Accent4 6 3 7" xfId="5469"/>
    <cellStyle name="20% - Accent4 6 3 7 2" xfId="23425"/>
    <cellStyle name="20% - Accent4 6 3 8" xfId="23378"/>
    <cellStyle name="20% - Accent4 6 4" xfId="5470"/>
    <cellStyle name="20% - Accent4 6 4 2" xfId="5471"/>
    <cellStyle name="20% - Accent4 6 4 2 2" xfId="5472"/>
    <cellStyle name="20% - Accent4 6 4 2 2 2" xfId="5473"/>
    <cellStyle name="20% - Accent4 6 4 2 2 2 2" xfId="5474"/>
    <cellStyle name="20% - Accent4 6 4 2 2 2 2 2" xfId="23430"/>
    <cellStyle name="20% - Accent4 6 4 2 2 2 3" xfId="23429"/>
    <cellStyle name="20% - Accent4 6 4 2 2 3" xfId="5475"/>
    <cellStyle name="20% - Accent4 6 4 2 2 3 2" xfId="23431"/>
    <cellStyle name="20% - Accent4 6 4 2 2 4" xfId="23428"/>
    <cellStyle name="20% - Accent4 6 4 2 3" xfId="5476"/>
    <cellStyle name="20% - Accent4 6 4 2 3 2" xfId="5477"/>
    <cellStyle name="20% - Accent4 6 4 2 3 2 2" xfId="23433"/>
    <cellStyle name="20% - Accent4 6 4 2 3 3" xfId="23432"/>
    <cellStyle name="20% - Accent4 6 4 2 4" xfId="5478"/>
    <cellStyle name="20% - Accent4 6 4 2 4 2" xfId="23434"/>
    <cellStyle name="20% - Accent4 6 4 2 5" xfId="23427"/>
    <cellStyle name="20% - Accent4 6 4 3" xfId="5479"/>
    <cellStyle name="20% - Accent4 6 4 3 2" xfId="5480"/>
    <cellStyle name="20% - Accent4 6 4 3 2 2" xfId="5481"/>
    <cellStyle name="20% - Accent4 6 4 3 2 2 2" xfId="5482"/>
    <cellStyle name="20% - Accent4 6 4 3 2 2 2 2" xfId="23438"/>
    <cellStyle name="20% - Accent4 6 4 3 2 2 3" xfId="23437"/>
    <cellStyle name="20% - Accent4 6 4 3 2 3" xfId="5483"/>
    <cellStyle name="20% - Accent4 6 4 3 2 3 2" xfId="23439"/>
    <cellStyle name="20% - Accent4 6 4 3 2 4" xfId="23436"/>
    <cellStyle name="20% - Accent4 6 4 3 3" xfId="5484"/>
    <cellStyle name="20% - Accent4 6 4 3 3 2" xfId="5485"/>
    <cellStyle name="20% - Accent4 6 4 3 3 2 2" xfId="23441"/>
    <cellStyle name="20% - Accent4 6 4 3 3 3" xfId="23440"/>
    <cellStyle name="20% - Accent4 6 4 3 4" xfId="5486"/>
    <cellStyle name="20% - Accent4 6 4 3 4 2" xfId="23442"/>
    <cellStyle name="20% - Accent4 6 4 3 5" xfId="23435"/>
    <cellStyle name="20% - Accent4 6 4 4" xfId="5487"/>
    <cellStyle name="20% - Accent4 6 4 4 2" xfId="5488"/>
    <cellStyle name="20% - Accent4 6 4 4 2 2" xfId="5489"/>
    <cellStyle name="20% - Accent4 6 4 4 2 2 2" xfId="23445"/>
    <cellStyle name="20% - Accent4 6 4 4 2 3" xfId="23444"/>
    <cellStyle name="20% - Accent4 6 4 4 3" xfId="5490"/>
    <cellStyle name="20% - Accent4 6 4 4 3 2" xfId="23446"/>
    <cellStyle name="20% - Accent4 6 4 4 4" xfId="23443"/>
    <cellStyle name="20% - Accent4 6 4 5" xfId="5491"/>
    <cellStyle name="20% - Accent4 6 4 5 2" xfId="5492"/>
    <cellStyle name="20% - Accent4 6 4 5 2 2" xfId="23448"/>
    <cellStyle name="20% - Accent4 6 4 5 3" xfId="23447"/>
    <cellStyle name="20% - Accent4 6 4 6" xfId="5493"/>
    <cellStyle name="20% - Accent4 6 4 6 2" xfId="23449"/>
    <cellStyle name="20% - Accent4 6 4 7" xfId="23426"/>
    <cellStyle name="20% - Accent4 6 5" xfId="5494"/>
    <cellStyle name="20% - Accent4 6 5 2" xfId="5495"/>
    <cellStyle name="20% - Accent4 6 5 2 2" xfId="5496"/>
    <cellStyle name="20% - Accent4 6 5 2 2 2" xfId="5497"/>
    <cellStyle name="20% - Accent4 6 5 2 2 2 2" xfId="23453"/>
    <cellStyle name="20% - Accent4 6 5 2 2 3" xfId="23452"/>
    <cellStyle name="20% - Accent4 6 5 2 3" xfId="5498"/>
    <cellStyle name="20% - Accent4 6 5 2 3 2" xfId="23454"/>
    <cellStyle name="20% - Accent4 6 5 2 4" xfId="23451"/>
    <cellStyle name="20% - Accent4 6 5 3" xfId="5499"/>
    <cellStyle name="20% - Accent4 6 5 3 2" xfId="5500"/>
    <cellStyle name="20% - Accent4 6 5 3 2 2" xfId="23456"/>
    <cellStyle name="20% - Accent4 6 5 3 3" xfId="23455"/>
    <cellStyle name="20% - Accent4 6 5 4" xfId="5501"/>
    <cellStyle name="20% - Accent4 6 5 4 2" xfId="23457"/>
    <cellStyle name="20% - Accent4 6 5 5" xfId="23450"/>
    <cellStyle name="20% - Accent4 6 6" xfId="5502"/>
    <cellStyle name="20% - Accent4 6 6 2" xfId="5503"/>
    <cellStyle name="20% - Accent4 6 6 2 2" xfId="5504"/>
    <cellStyle name="20% - Accent4 6 6 2 2 2" xfId="5505"/>
    <cellStyle name="20% - Accent4 6 6 2 2 2 2" xfId="23461"/>
    <cellStyle name="20% - Accent4 6 6 2 2 3" xfId="23460"/>
    <cellStyle name="20% - Accent4 6 6 2 3" xfId="5506"/>
    <cellStyle name="20% - Accent4 6 6 2 3 2" xfId="23462"/>
    <cellStyle name="20% - Accent4 6 6 2 4" xfId="23459"/>
    <cellStyle name="20% - Accent4 6 6 3" xfId="5507"/>
    <cellStyle name="20% - Accent4 6 6 3 2" xfId="5508"/>
    <cellStyle name="20% - Accent4 6 6 3 2 2" xfId="23464"/>
    <cellStyle name="20% - Accent4 6 6 3 3" xfId="23463"/>
    <cellStyle name="20% - Accent4 6 6 4" xfId="5509"/>
    <cellStyle name="20% - Accent4 6 6 4 2" xfId="23465"/>
    <cellStyle name="20% - Accent4 6 6 5" xfId="23458"/>
    <cellStyle name="20% - Accent4 6 7" xfId="5510"/>
    <cellStyle name="20% - Accent4 6 7 2" xfId="5511"/>
    <cellStyle name="20% - Accent4 6 7 2 2" xfId="5512"/>
    <cellStyle name="20% - Accent4 6 7 2 2 2" xfId="23468"/>
    <cellStyle name="20% - Accent4 6 7 2 3" xfId="23467"/>
    <cellStyle name="20% - Accent4 6 7 3" xfId="5513"/>
    <cellStyle name="20% - Accent4 6 7 3 2" xfId="23469"/>
    <cellStyle name="20% - Accent4 6 7 4" xfId="23466"/>
    <cellStyle name="20% - Accent4 6 8" xfId="5514"/>
    <cellStyle name="20% - Accent4 6 8 2" xfId="5515"/>
    <cellStyle name="20% - Accent4 6 8 2 2" xfId="23471"/>
    <cellStyle name="20% - Accent4 6 8 3" xfId="23470"/>
    <cellStyle name="20% - Accent4 6 9" xfId="5516"/>
    <cellStyle name="20% - Accent4 6 9 2" xfId="23472"/>
    <cellStyle name="20% - Accent4 7" xfId="5517"/>
    <cellStyle name="20% - Accent4 7 10" xfId="23473"/>
    <cellStyle name="20% - Accent4 7 2" xfId="5518"/>
    <cellStyle name="20% - Accent4 7 2 2" xfId="5519"/>
    <cellStyle name="20% - Accent4 7 2 2 2" xfId="5520"/>
    <cellStyle name="20% - Accent4 7 2 2 2 2" xfId="5521"/>
    <cellStyle name="20% - Accent4 7 2 2 2 2 2" xfId="5522"/>
    <cellStyle name="20% - Accent4 7 2 2 2 2 2 2" xfId="5523"/>
    <cellStyle name="20% - Accent4 7 2 2 2 2 2 2 2" xfId="5524"/>
    <cellStyle name="20% - Accent4 7 2 2 2 2 2 2 2 2" xfId="23480"/>
    <cellStyle name="20% - Accent4 7 2 2 2 2 2 2 3" xfId="23479"/>
    <cellStyle name="20% - Accent4 7 2 2 2 2 2 3" xfId="5525"/>
    <cellStyle name="20% - Accent4 7 2 2 2 2 2 3 2" xfId="23481"/>
    <cellStyle name="20% - Accent4 7 2 2 2 2 2 4" xfId="23478"/>
    <cellStyle name="20% - Accent4 7 2 2 2 2 3" xfId="5526"/>
    <cellStyle name="20% - Accent4 7 2 2 2 2 3 2" xfId="5527"/>
    <cellStyle name="20% - Accent4 7 2 2 2 2 3 2 2" xfId="23483"/>
    <cellStyle name="20% - Accent4 7 2 2 2 2 3 3" xfId="23482"/>
    <cellStyle name="20% - Accent4 7 2 2 2 2 4" xfId="5528"/>
    <cellStyle name="20% - Accent4 7 2 2 2 2 4 2" xfId="23484"/>
    <cellStyle name="20% - Accent4 7 2 2 2 2 5" xfId="23477"/>
    <cellStyle name="20% - Accent4 7 2 2 2 3" xfId="5529"/>
    <cellStyle name="20% - Accent4 7 2 2 2 3 2" xfId="5530"/>
    <cellStyle name="20% - Accent4 7 2 2 2 3 2 2" xfId="5531"/>
    <cellStyle name="20% - Accent4 7 2 2 2 3 2 2 2" xfId="5532"/>
    <cellStyle name="20% - Accent4 7 2 2 2 3 2 2 2 2" xfId="23488"/>
    <cellStyle name="20% - Accent4 7 2 2 2 3 2 2 3" xfId="23487"/>
    <cellStyle name="20% - Accent4 7 2 2 2 3 2 3" xfId="5533"/>
    <cellStyle name="20% - Accent4 7 2 2 2 3 2 3 2" xfId="23489"/>
    <cellStyle name="20% - Accent4 7 2 2 2 3 2 4" xfId="23486"/>
    <cellStyle name="20% - Accent4 7 2 2 2 3 3" xfId="5534"/>
    <cellStyle name="20% - Accent4 7 2 2 2 3 3 2" xfId="5535"/>
    <cellStyle name="20% - Accent4 7 2 2 2 3 3 2 2" xfId="23491"/>
    <cellStyle name="20% - Accent4 7 2 2 2 3 3 3" xfId="23490"/>
    <cellStyle name="20% - Accent4 7 2 2 2 3 4" xfId="5536"/>
    <cellStyle name="20% - Accent4 7 2 2 2 3 4 2" xfId="23492"/>
    <cellStyle name="20% - Accent4 7 2 2 2 3 5" xfId="23485"/>
    <cellStyle name="20% - Accent4 7 2 2 2 4" xfId="5537"/>
    <cellStyle name="20% - Accent4 7 2 2 2 4 2" xfId="5538"/>
    <cellStyle name="20% - Accent4 7 2 2 2 4 2 2" xfId="5539"/>
    <cellStyle name="20% - Accent4 7 2 2 2 4 2 2 2" xfId="23495"/>
    <cellStyle name="20% - Accent4 7 2 2 2 4 2 3" xfId="23494"/>
    <cellStyle name="20% - Accent4 7 2 2 2 4 3" xfId="5540"/>
    <cellStyle name="20% - Accent4 7 2 2 2 4 3 2" xfId="23496"/>
    <cellStyle name="20% - Accent4 7 2 2 2 4 4" xfId="23493"/>
    <cellStyle name="20% - Accent4 7 2 2 2 5" xfId="5541"/>
    <cellStyle name="20% - Accent4 7 2 2 2 5 2" xfId="5542"/>
    <cellStyle name="20% - Accent4 7 2 2 2 5 2 2" xfId="23498"/>
    <cellStyle name="20% - Accent4 7 2 2 2 5 3" xfId="23497"/>
    <cellStyle name="20% - Accent4 7 2 2 2 6" xfId="5543"/>
    <cellStyle name="20% - Accent4 7 2 2 2 6 2" xfId="23499"/>
    <cellStyle name="20% - Accent4 7 2 2 2 7" xfId="23476"/>
    <cellStyle name="20% - Accent4 7 2 2 3" xfId="5544"/>
    <cellStyle name="20% - Accent4 7 2 2 3 2" xfId="5545"/>
    <cellStyle name="20% - Accent4 7 2 2 3 2 2" xfId="5546"/>
    <cellStyle name="20% - Accent4 7 2 2 3 2 2 2" xfId="5547"/>
    <cellStyle name="20% - Accent4 7 2 2 3 2 2 2 2" xfId="23503"/>
    <cellStyle name="20% - Accent4 7 2 2 3 2 2 3" xfId="23502"/>
    <cellStyle name="20% - Accent4 7 2 2 3 2 3" xfId="5548"/>
    <cellStyle name="20% - Accent4 7 2 2 3 2 3 2" xfId="23504"/>
    <cellStyle name="20% - Accent4 7 2 2 3 2 4" xfId="23501"/>
    <cellStyle name="20% - Accent4 7 2 2 3 3" xfId="5549"/>
    <cellStyle name="20% - Accent4 7 2 2 3 3 2" xfId="5550"/>
    <cellStyle name="20% - Accent4 7 2 2 3 3 2 2" xfId="23506"/>
    <cellStyle name="20% - Accent4 7 2 2 3 3 3" xfId="23505"/>
    <cellStyle name="20% - Accent4 7 2 2 3 4" xfId="5551"/>
    <cellStyle name="20% - Accent4 7 2 2 3 4 2" xfId="23507"/>
    <cellStyle name="20% - Accent4 7 2 2 3 5" xfId="23500"/>
    <cellStyle name="20% - Accent4 7 2 2 4" xfId="5552"/>
    <cellStyle name="20% - Accent4 7 2 2 4 2" xfId="5553"/>
    <cellStyle name="20% - Accent4 7 2 2 4 2 2" xfId="5554"/>
    <cellStyle name="20% - Accent4 7 2 2 4 2 2 2" xfId="5555"/>
    <cellStyle name="20% - Accent4 7 2 2 4 2 2 2 2" xfId="23511"/>
    <cellStyle name="20% - Accent4 7 2 2 4 2 2 3" xfId="23510"/>
    <cellStyle name="20% - Accent4 7 2 2 4 2 3" xfId="5556"/>
    <cellStyle name="20% - Accent4 7 2 2 4 2 3 2" xfId="23512"/>
    <cellStyle name="20% - Accent4 7 2 2 4 2 4" xfId="23509"/>
    <cellStyle name="20% - Accent4 7 2 2 4 3" xfId="5557"/>
    <cellStyle name="20% - Accent4 7 2 2 4 3 2" xfId="5558"/>
    <cellStyle name="20% - Accent4 7 2 2 4 3 2 2" xfId="23514"/>
    <cellStyle name="20% - Accent4 7 2 2 4 3 3" xfId="23513"/>
    <cellStyle name="20% - Accent4 7 2 2 4 4" xfId="5559"/>
    <cellStyle name="20% - Accent4 7 2 2 4 4 2" xfId="23515"/>
    <cellStyle name="20% - Accent4 7 2 2 4 5" xfId="23508"/>
    <cellStyle name="20% - Accent4 7 2 2 5" xfId="5560"/>
    <cellStyle name="20% - Accent4 7 2 2 5 2" xfId="5561"/>
    <cellStyle name="20% - Accent4 7 2 2 5 2 2" xfId="5562"/>
    <cellStyle name="20% - Accent4 7 2 2 5 2 2 2" xfId="23518"/>
    <cellStyle name="20% - Accent4 7 2 2 5 2 3" xfId="23517"/>
    <cellStyle name="20% - Accent4 7 2 2 5 3" xfId="5563"/>
    <cellStyle name="20% - Accent4 7 2 2 5 3 2" xfId="23519"/>
    <cellStyle name="20% - Accent4 7 2 2 5 4" xfId="23516"/>
    <cellStyle name="20% - Accent4 7 2 2 6" xfId="5564"/>
    <cellStyle name="20% - Accent4 7 2 2 6 2" xfId="5565"/>
    <cellStyle name="20% - Accent4 7 2 2 6 2 2" xfId="23521"/>
    <cellStyle name="20% - Accent4 7 2 2 6 3" xfId="23520"/>
    <cellStyle name="20% - Accent4 7 2 2 7" xfId="5566"/>
    <cellStyle name="20% - Accent4 7 2 2 7 2" xfId="23522"/>
    <cellStyle name="20% - Accent4 7 2 2 8" xfId="23475"/>
    <cellStyle name="20% - Accent4 7 2 3" xfId="5567"/>
    <cellStyle name="20% - Accent4 7 2 3 2" xfId="5568"/>
    <cellStyle name="20% - Accent4 7 2 3 2 2" xfId="5569"/>
    <cellStyle name="20% - Accent4 7 2 3 2 2 2" xfId="5570"/>
    <cellStyle name="20% - Accent4 7 2 3 2 2 2 2" xfId="5571"/>
    <cellStyle name="20% - Accent4 7 2 3 2 2 2 2 2" xfId="23527"/>
    <cellStyle name="20% - Accent4 7 2 3 2 2 2 3" xfId="23526"/>
    <cellStyle name="20% - Accent4 7 2 3 2 2 3" xfId="5572"/>
    <cellStyle name="20% - Accent4 7 2 3 2 2 3 2" xfId="23528"/>
    <cellStyle name="20% - Accent4 7 2 3 2 2 4" xfId="23525"/>
    <cellStyle name="20% - Accent4 7 2 3 2 3" xfId="5573"/>
    <cellStyle name="20% - Accent4 7 2 3 2 3 2" xfId="5574"/>
    <cellStyle name="20% - Accent4 7 2 3 2 3 2 2" xfId="23530"/>
    <cellStyle name="20% - Accent4 7 2 3 2 3 3" xfId="23529"/>
    <cellStyle name="20% - Accent4 7 2 3 2 4" xfId="5575"/>
    <cellStyle name="20% - Accent4 7 2 3 2 4 2" xfId="23531"/>
    <cellStyle name="20% - Accent4 7 2 3 2 5" xfId="23524"/>
    <cellStyle name="20% - Accent4 7 2 3 3" xfId="5576"/>
    <cellStyle name="20% - Accent4 7 2 3 3 2" xfId="5577"/>
    <cellStyle name="20% - Accent4 7 2 3 3 2 2" xfId="5578"/>
    <cellStyle name="20% - Accent4 7 2 3 3 2 2 2" xfId="5579"/>
    <cellStyle name="20% - Accent4 7 2 3 3 2 2 2 2" xfId="23535"/>
    <cellStyle name="20% - Accent4 7 2 3 3 2 2 3" xfId="23534"/>
    <cellStyle name="20% - Accent4 7 2 3 3 2 3" xfId="5580"/>
    <cellStyle name="20% - Accent4 7 2 3 3 2 3 2" xfId="23536"/>
    <cellStyle name="20% - Accent4 7 2 3 3 2 4" xfId="23533"/>
    <cellStyle name="20% - Accent4 7 2 3 3 3" xfId="5581"/>
    <cellStyle name="20% - Accent4 7 2 3 3 3 2" xfId="5582"/>
    <cellStyle name="20% - Accent4 7 2 3 3 3 2 2" xfId="23538"/>
    <cellStyle name="20% - Accent4 7 2 3 3 3 3" xfId="23537"/>
    <cellStyle name="20% - Accent4 7 2 3 3 4" xfId="5583"/>
    <cellStyle name="20% - Accent4 7 2 3 3 4 2" xfId="23539"/>
    <cellStyle name="20% - Accent4 7 2 3 3 5" xfId="23532"/>
    <cellStyle name="20% - Accent4 7 2 3 4" xfId="5584"/>
    <cellStyle name="20% - Accent4 7 2 3 4 2" xfId="5585"/>
    <cellStyle name="20% - Accent4 7 2 3 4 2 2" xfId="5586"/>
    <cellStyle name="20% - Accent4 7 2 3 4 2 2 2" xfId="23542"/>
    <cellStyle name="20% - Accent4 7 2 3 4 2 3" xfId="23541"/>
    <cellStyle name="20% - Accent4 7 2 3 4 3" xfId="5587"/>
    <cellStyle name="20% - Accent4 7 2 3 4 3 2" xfId="23543"/>
    <cellStyle name="20% - Accent4 7 2 3 4 4" xfId="23540"/>
    <cellStyle name="20% - Accent4 7 2 3 5" xfId="5588"/>
    <cellStyle name="20% - Accent4 7 2 3 5 2" xfId="5589"/>
    <cellStyle name="20% - Accent4 7 2 3 5 2 2" xfId="23545"/>
    <cellStyle name="20% - Accent4 7 2 3 5 3" xfId="23544"/>
    <cellStyle name="20% - Accent4 7 2 3 6" xfId="5590"/>
    <cellStyle name="20% - Accent4 7 2 3 6 2" xfId="23546"/>
    <cellStyle name="20% - Accent4 7 2 3 7" xfId="23523"/>
    <cellStyle name="20% - Accent4 7 2 4" xfId="5591"/>
    <cellStyle name="20% - Accent4 7 2 4 2" xfId="5592"/>
    <cellStyle name="20% - Accent4 7 2 4 2 2" xfId="5593"/>
    <cellStyle name="20% - Accent4 7 2 4 2 2 2" xfId="5594"/>
    <cellStyle name="20% - Accent4 7 2 4 2 2 2 2" xfId="23550"/>
    <cellStyle name="20% - Accent4 7 2 4 2 2 3" xfId="23549"/>
    <cellStyle name="20% - Accent4 7 2 4 2 3" xfId="5595"/>
    <cellStyle name="20% - Accent4 7 2 4 2 3 2" xfId="23551"/>
    <cellStyle name="20% - Accent4 7 2 4 2 4" xfId="23548"/>
    <cellStyle name="20% - Accent4 7 2 4 3" xfId="5596"/>
    <cellStyle name="20% - Accent4 7 2 4 3 2" xfId="5597"/>
    <cellStyle name="20% - Accent4 7 2 4 3 2 2" xfId="23553"/>
    <cellStyle name="20% - Accent4 7 2 4 3 3" xfId="23552"/>
    <cellStyle name="20% - Accent4 7 2 4 4" xfId="5598"/>
    <cellStyle name="20% - Accent4 7 2 4 4 2" xfId="23554"/>
    <cellStyle name="20% - Accent4 7 2 4 5" xfId="23547"/>
    <cellStyle name="20% - Accent4 7 2 5" xfId="5599"/>
    <cellStyle name="20% - Accent4 7 2 5 2" xfId="5600"/>
    <cellStyle name="20% - Accent4 7 2 5 2 2" xfId="5601"/>
    <cellStyle name="20% - Accent4 7 2 5 2 2 2" xfId="5602"/>
    <cellStyle name="20% - Accent4 7 2 5 2 2 2 2" xfId="23558"/>
    <cellStyle name="20% - Accent4 7 2 5 2 2 3" xfId="23557"/>
    <cellStyle name="20% - Accent4 7 2 5 2 3" xfId="5603"/>
    <cellStyle name="20% - Accent4 7 2 5 2 3 2" xfId="23559"/>
    <cellStyle name="20% - Accent4 7 2 5 2 4" xfId="23556"/>
    <cellStyle name="20% - Accent4 7 2 5 3" xfId="5604"/>
    <cellStyle name="20% - Accent4 7 2 5 3 2" xfId="5605"/>
    <cellStyle name="20% - Accent4 7 2 5 3 2 2" xfId="23561"/>
    <cellStyle name="20% - Accent4 7 2 5 3 3" xfId="23560"/>
    <cellStyle name="20% - Accent4 7 2 5 4" xfId="5606"/>
    <cellStyle name="20% - Accent4 7 2 5 4 2" xfId="23562"/>
    <cellStyle name="20% - Accent4 7 2 5 5" xfId="23555"/>
    <cellStyle name="20% - Accent4 7 2 6" xfId="5607"/>
    <cellStyle name="20% - Accent4 7 2 6 2" xfId="5608"/>
    <cellStyle name="20% - Accent4 7 2 6 2 2" xfId="5609"/>
    <cellStyle name="20% - Accent4 7 2 6 2 2 2" xfId="23565"/>
    <cellStyle name="20% - Accent4 7 2 6 2 3" xfId="23564"/>
    <cellStyle name="20% - Accent4 7 2 6 3" xfId="5610"/>
    <cellStyle name="20% - Accent4 7 2 6 3 2" xfId="23566"/>
    <cellStyle name="20% - Accent4 7 2 6 4" xfId="23563"/>
    <cellStyle name="20% - Accent4 7 2 7" xfId="5611"/>
    <cellStyle name="20% - Accent4 7 2 7 2" xfId="5612"/>
    <cellStyle name="20% - Accent4 7 2 7 2 2" xfId="23568"/>
    <cellStyle name="20% - Accent4 7 2 7 3" xfId="23567"/>
    <cellStyle name="20% - Accent4 7 2 8" xfId="5613"/>
    <cellStyle name="20% - Accent4 7 2 8 2" xfId="23569"/>
    <cellStyle name="20% - Accent4 7 2 9" xfId="23474"/>
    <cellStyle name="20% - Accent4 7 3" xfId="5614"/>
    <cellStyle name="20% - Accent4 7 3 2" xfId="5615"/>
    <cellStyle name="20% - Accent4 7 3 2 2" xfId="5616"/>
    <cellStyle name="20% - Accent4 7 3 2 2 2" xfId="5617"/>
    <cellStyle name="20% - Accent4 7 3 2 2 2 2" xfId="5618"/>
    <cellStyle name="20% - Accent4 7 3 2 2 2 2 2" xfId="5619"/>
    <cellStyle name="20% - Accent4 7 3 2 2 2 2 2 2" xfId="23575"/>
    <cellStyle name="20% - Accent4 7 3 2 2 2 2 3" xfId="23574"/>
    <cellStyle name="20% - Accent4 7 3 2 2 2 3" xfId="5620"/>
    <cellStyle name="20% - Accent4 7 3 2 2 2 3 2" xfId="23576"/>
    <cellStyle name="20% - Accent4 7 3 2 2 2 4" xfId="23573"/>
    <cellStyle name="20% - Accent4 7 3 2 2 3" xfId="5621"/>
    <cellStyle name="20% - Accent4 7 3 2 2 3 2" xfId="5622"/>
    <cellStyle name="20% - Accent4 7 3 2 2 3 2 2" xfId="23578"/>
    <cellStyle name="20% - Accent4 7 3 2 2 3 3" xfId="23577"/>
    <cellStyle name="20% - Accent4 7 3 2 2 4" xfId="5623"/>
    <cellStyle name="20% - Accent4 7 3 2 2 4 2" xfId="23579"/>
    <cellStyle name="20% - Accent4 7 3 2 2 5" xfId="23572"/>
    <cellStyle name="20% - Accent4 7 3 2 3" xfId="5624"/>
    <cellStyle name="20% - Accent4 7 3 2 3 2" xfId="5625"/>
    <cellStyle name="20% - Accent4 7 3 2 3 2 2" xfId="5626"/>
    <cellStyle name="20% - Accent4 7 3 2 3 2 2 2" xfId="5627"/>
    <cellStyle name="20% - Accent4 7 3 2 3 2 2 2 2" xfId="23583"/>
    <cellStyle name="20% - Accent4 7 3 2 3 2 2 3" xfId="23582"/>
    <cellStyle name="20% - Accent4 7 3 2 3 2 3" xfId="5628"/>
    <cellStyle name="20% - Accent4 7 3 2 3 2 3 2" xfId="23584"/>
    <cellStyle name="20% - Accent4 7 3 2 3 2 4" xfId="23581"/>
    <cellStyle name="20% - Accent4 7 3 2 3 3" xfId="5629"/>
    <cellStyle name="20% - Accent4 7 3 2 3 3 2" xfId="5630"/>
    <cellStyle name="20% - Accent4 7 3 2 3 3 2 2" xfId="23586"/>
    <cellStyle name="20% - Accent4 7 3 2 3 3 3" xfId="23585"/>
    <cellStyle name="20% - Accent4 7 3 2 3 4" xfId="5631"/>
    <cellStyle name="20% - Accent4 7 3 2 3 4 2" xfId="23587"/>
    <cellStyle name="20% - Accent4 7 3 2 3 5" xfId="23580"/>
    <cellStyle name="20% - Accent4 7 3 2 4" xfId="5632"/>
    <cellStyle name="20% - Accent4 7 3 2 4 2" xfId="5633"/>
    <cellStyle name="20% - Accent4 7 3 2 4 2 2" xfId="5634"/>
    <cellStyle name="20% - Accent4 7 3 2 4 2 2 2" xfId="23590"/>
    <cellStyle name="20% - Accent4 7 3 2 4 2 3" xfId="23589"/>
    <cellStyle name="20% - Accent4 7 3 2 4 3" xfId="5635"/>
    <cellStyle name="20% - Accent4 7 3 2 4 3 2" xfId="23591"/>
    <cellStyle name="20% - Accent4 7 3 2 4 4" xfId="23588"/>
    <cellStyle name="20% - Accent4 7 3 2 5" xfId="5636"/>
    <cellStyle name="20% - Accent4 7 3 2 5 2" xfId="5637"/>
    <cellStyle name="20% - Accent4 7 3 2 5 2 2" xfId="23593"/>
    <cellStyle name="20% - Accent4 7 3 2 5 3" xfId="23592"/>
    <cellStyle name="20% - Accent4 7 3 2 6" xfId="5638"/>
    <cellStyle name="20% - Accent4 7 3 2 6 2" xfId="23594"/>
    <cellStyle name="20% - Accent4 7 3 2 7" xfId="23571"/>
    <cellStyle name="20% - Accent4 7 3 3" xfId="5639"/>
    <cellStyle name="20% - Accent4 7 3 3 2" xfId="5640"/>
    <cellStyle name="20% - Accent4 7 3 3 2 2" xfId="5641"/>
    <cellStyle name="20% - Accent4 7 3 3 2 2 2" xfId="5642"/>
    <cellStyle name="20% - Accent4 7 3 3 2 2 2 2" xfId="23598"/>
    <cellStyle name="20% - Accent4 7 3 3 2 2 3" xfId="23597"/>
    <cellStyle name="20% - Accent4 7 3 3 2 3" xfId="5643"/>
    <cellStyle name="20% - Accent4 7 3 3 2 3 2" xfId="23599"/>
    <cellStyle name="20% - Accent4 7 3 3 2 4" xfId="23596"/>
    <cellStyle name="20% - Accent4 7 3 3 3" xfId="5644"/>
    <cellStyle name="20% - Accent4 7 3 3 3 2" xfId="5645"/>
    <cellStyle name="20% - Accent4 7 3 3 3 2 2" xfId="23601"/>
    <cellStyle name="20% - Accent4 7 3 3 3 3" xfId="23600"/>
    <cellStyle name="20% - Accent4 7 3 3 4" xfId="5646"/>
    <cellStyle name="20% - Accent4 7 3 3 4 2" xfId="23602"/>
    <cellStyle name="20% - Accent4 7 3 3 5" xfId="23595"/>
    <cellStyle name="20% - Accent4 7 3 4" xfId="5647"/>
    <cellStyle name="20% - Accent4 7 3 4 2" xfId="5648"/>
    <cellStyle name="20% - Accent4 7 3 4 2 2" xfId="5649"/>
    <cellStyle name="20% - Accent4 7 3 4 2 2 2" xfId="5650"/>
    <cellStyle name="20% - Accent4 7 3 4 2 2 2 2" xfId="23606"/>
    <cellStyle name="20% - Accent4 7 3 4 2 2 3" xfId="23605"/>
    <cellStyle name="20% - Accent4 7 3 4 2 3" xfId="5651"/>
    <cellStyle name="20% - Accent4 7 3 4 2 3 2" xfId="23607"/>
    <cellStyle name="20% - Accent4 7 3 4 2 4" xfId="23604"/>
    <cellStyle name="20% - Accent4 7 3 4 3" xfId="5652"/>
    <cellStyle name="20% - Accent4 7 3 4 3 2" xfId="5653"/>
    <cellStyle name="20% - Accent4 7 3 4 3 2 2" xfId="23609"/>
    <cellStyle name="20% - Accent4 7 3 4 3 3" xfId="23608"/>
    <cellStyle name="20% - Accent4 7 3 4 4" xfId="5654"/>
    <cellStyle name="20% - Accent4 7 3 4 4 2" xfId="23610"/>
    <cellStyle name="20% - Accent4 7 3 4 5" xfId="23603"/>
    <cellStyle name="20% - Accent4 7 3 5" xfId="5655"/>
    <cellStyle name="20% - Accent4 7 3 5 2" xfId="5656"/>
    <cellStyle name="20% - Accent4 7 3 5 2 2" xfId="5657"/>
    <cellStyle name="20% - Accent4 7 3 5 2 2 2" xfId="23613"/>
    <cellStyle name="20% - Accent4 7 3 5 2 3" xfId="23612"/>
    <cellStyle name="20% - Accent4 7 3 5 3" xfId="5658"/>
    <cellStyle name="20% - Accent4 7 3 5 3 2" xfId="23614"/>
    <cellStyle name="20% - Accent4 7 3 5 4" xfId="23611"/>
    <cellStyle name="20% - Accent4 7 3 6" xfId="5659"/>
    <cellStyle name="20% - Accent4 7 3 6 2" xfId="5660"/>
    <cellStyle name="20% - Accent4 7 3 6 2 2" xfId="23616"/>
    <cellStyle name="20% - Accent4 7 3 6 3" xfId="23615"/>
    <cellStyle name="20% - Accent4 7 3 7" xfId="5661"/>
    <cellStyle name="20% - Accent4 7 3 7 2" xfId="23617"/>
    <cellStyle name="20% - Accent4 7 3 8" xfId="23570"/>
    <cellStyle name="20% - Accent4 7 4" xfId="5662"/>
    <cellStyle name="20% - Accent4 7 4 2" xfId="5663"/>
    <cellStyle name="20% - Accent4 7 4 2 2" xfId="5664"/>
    <cellStyle name="20% - Accent4 7 4 2 2 2" xfId="5665"/>
    <cellStyle name="20% - Accent4 7 4 2 2 2 2" xfId="5666"/>
    <cellStyle name="20% - Accent4 7 4 2 2 2 2 2" xfId="23622"/>
    <cellStyle name="20% - Accent4 7 4 2 2 2 3" xfId="23621"/>
    <cellStyle name="20% - Accent4 7 4 2 2 3" xfId="5667"/>
    <cellStyle name="20% - Accent4 7 4 2 2 3 2" xfId="23623"/>
    <cellStyle name="20% - Accent4 7 4 2 2 4" xfId="23620"/>
    <cellStyle name="20% - Accent4 7 4 2 3" xfId="5668"/>
    <cellStyle name="20% - Accent4 7 4 2 3 2" xfId="5669"/>
    <cellStyle name="20% - Accent4 7 4 2 3 2 2" xfId="23625"/>
    <cellStyle name="20% - Accent4 7 4 2 3 3" xfId="23624"/>
    <cellStyle name="20% - Accent4 7 4 2 4" xfId="5670"/>
    <cellStyle name="20% - Accent4 7 4 2 4 2" xfId="23626"/>
    <cellStyle name="20% - Accent4 7 4 2 5" xfId="23619"/>
    <cellStyle name="20% - Accent4 7 4 3" xfId="5671"/>
    <cellStyle name="20% - Accent4 7 4 3 2" xfId="5672"/>
    <cellStyle name="20% - Accent4 7 4 3 2 2" xfId="5673"/>
    <cellStyle name="20% - Accent4 7 4 3 2 2 2" xfId="5674"/>
    <cellStyle name="20% - Accent4 7 4 3 2 2 2 2" xfId="23630"/>
    <cellStyle name="20% - Accent4 7 4 3 2 2 3" xfId="23629"/>
    <cellStyle name="20% - Accent4 7 4 3 2 3" xfId="5675"/>
    <cellStyle name="20% - Accent4 7 4 3 2 3 2" xfId="23631"/>
    <cellStyle name="20% - Accent4 7 4 3 2 4" xfId="23628"/>
    <cellStyle name="20% - Accent4 7 4 3 3" xfId="5676"/>
    <cellStyle name="20% - Accent4 7 4 3 3 2" xfId="5677"/>
    <cellStyle name="20% - Accent4 7 4 3 3 2 2" xfId="23633"/>
    <cellStyle name="20% - Accent4 7 4 3 3 3" xfId="23632"/>
    <cellStyle name="20% - Accent4 7 4 3 4" xfId="5678"/>
    <cellStyle name="20% - Accent4 7 4 3 4 2" xfId="23634"/>
    <cellStyle name="20% - Accent4 7 4 3 5" xfId="23627"/>
    <cellStyle name="20% - Accent4 7 4 4" xfId="5679"/>
    <cellStyle name="20% - Accent4 7 4 4 2" xfId="5680"/>
    <cellStyle name="20% - Accent4 7 4 4 2 2" xfId="5681"/>
    <cellStyle name="20% - Accent4 7 4 4 2 2 2" xfId="23637"/>
    <cellStyle name="20% - Accent4 7 4 4 2 3" xfId="23636"/>
    <cellStyle name="20% - Accent4 7 4 4 3" xfId="5682"/>
    <cellStyle name="20% - Accent4 7 4 4 3 2" xfId="23638"/>
    <cellStyle name="20% - Accent4 7 4 4 4" xfId="23635"/>
    <cellStyle name="20% - Accent4 7 4 5" xfId="5683"/>
    <cellStyle name="20% - Accent4 7 4 5 2" xfId="5684"/>
    <cellStyle name="20% - Accent4 7 4 5 2 2" xfId="23640"/>
    <cellStyle name="20% - Accent4 7 4 5 3" xfId="23639"/>
    <cellStyle name="20% - Accent4 7 4 6" xfId="5685"/>
    <cellStyle name="20% - Accent4 7 4 6 2" xfId="23641"/>
    <cellStyle name="20% - Accent4 7 4 7" xfId="23618"/>
    <cellStyle name="20% - Accent4 7 5" xfId="5686"/>
    <cellStyle name="20% - Accent4 7 5 2" xfId="5687"/>
    <cellStyle name="20% - Accent4 7 5 2 2" xfId="5688"/>
    <cellStyle name="20% - Accent4 7 5 2 2 2" xfId="5689"/>
    <cellStyle name="20% - Accent4 7 5 2 2 2 2" xfId="23645"/>
    <cellStyle name="20% - Accent4 7 5 2 2 3" xfId="23644"/>
    <cellStyle name="20% - Accent4 7 5 2 3" xfId="5690"/>
    <cellStyle name="20% - Accent4 7 5 2 3 2" xfId="23646"/>
    <cellStyle name="20% - Accent4 7 5 2 4" xfId="23643"/>
    <cellStyle name="20% - Accent4 7 5 3" xfId="5691"/>
    <cellStyle name="20% - Accent4 7 5 3 2" xfId="5692"/>
    <cellStyle name="20% - Accent4 7 5 3 2 2" xfId="23648"/>
    <cellStyle name="20% - Accent4 7 5 3 3" xfId="23647"/>
    <cellStyle name="20% - Accent4 7 5 4" xfId="5693"/>
    <cellStyle name="20% - Accent4 7 5 4 2" xfId="23649"/>
    <cellStyle name="20% - Accent4 7 5 5" xfId="23642"/>
    <cellStyle name="20% - Accent4 7 6" xfId="5694"/>
    <cellStyle name="20% - Accent4 7 6 2" xfId="5695"/>
    <cellStyle name="20% - Accent4 7 6 2 2" xfId="5696"/>
    <cellStyle name="20% - Accent4 7 6 2 2 2" xfId="5697"/>
    <cellStyle name="20% - Accent4 7 6 2 2 2 2" xfId="23653"/>
    <cellStyle name="20% - Accent4 7 6 2 2 3" xfId="23652"/>
    <cellStyle name="20% - Accent4 7 6 2 3" xfId="5698"/>
    <cellStyle name="20% - Accent4 7 6 2 3 2" xfId="23654"/>
    <cellStyle name="20% - Accent4 7 6 2 4" xfId="23651"/>
    <cellStyle name="20% - Accent4 7 6 3" xfId="5699"/>
    <cellStyle name="20% - Accent4 7 6 3 2" xfId="5700"/>
    <cellStyle name="20% - Accent4 7 6 3 2 2" xfId="23656"/>
    <cellStyle name="20% - Accent4 7 6 3 3" xfId="23655"/>
    <cellStyle name="20% - Accent4 7 6 4" xfId="5701"/>
    <cellStyle name="20% - Accent4 7 6 4 2" xfId="23657"/>
    <cellStyle name="20% - Accent4 7 6 5" xfId="23650"/>
    <cellStyle name="20% - Accent4 7 7" xfId="5702"/>
    <cellStyle name="20% - Accent4 7 7 2" xfId="5703"/>
    <cellStyle name="20% - Accent4 7 7 2 2" xfId="5704"/>
    <cellStyle name="20% - Accent4 7 7 2 2 2" xfId="23660"/>
    <cellStyle name="20% - Accent4 7 7 2 3" xfId="23659"/>
    <cellStyle name="20% - Accent4 7 7 3" xfId="5705"/>
    <cellStyle name="20% - Accent4 7 7 3 2" xfId="23661"/>
    <cellStyle name="20% - Accent4 7 7 4" xfId="23658"/>
    <cellStyle name="20% - Accent4 7 8" xfId="5706"/>
    <cellStyle name="20% - Accent4 7 8 2" xfId="5707"/>
    <cellStyle name="20% - Accent4 7 8 2 2" xfId="23663"/>
    <cellStyle name="20% - Accent4 7 8 3" xfId="23662"/>
    <cellStyle name="20% - Accent4 7 9" xfId="5708"/>
    <cellStyle name="20% - Accent4 7 9 2" xfId="23664"/>
    <cellStyle name="20% - Accent4 8" xfId="5709"/>
    <cellStyle name="20% - Accent4 8 10" xfId="23665"/>
    <cellStyle name="20% - Accent4 8 2" xfId="5710"/>
    <cellStyle name="20% - Accent4 8 2 2" xfId="5711"/>
    <cellStyle name="20% - Accent4 8 2 2 2" xfId="5712"/>
    <cellStyle name="20% - Accent4 8 2 2 2 2" xfId="5713"/>
    <cellStyle name="20% - Accent4 8 2 2 2 2 2" xfId="5714"/>
    <cellStyle name="20% - Accent4 8 2 2 2 2 2 2" xfId="5715"/>
    <cellStyle name="20% - Accent4 8 2 2 2 2 2 2 2" xfId="5716"/>
    <cellStyle name="20% - Accent4 8 2 2 2 2 2 2 2 2" xfId="23672"/>
    <cellStyle name="20% - Accent4 8 2 2 2 2 2 2 3" xfId="23671"/>
    <cellStyle name="20% - Accent4 8 2 2 2 2 2 3" xfId="5717"/>
    <cellStyle name="20% - Accent4 8 2 2 2 2 2 3 2" xfId="23673"/>
    <cellStyle name="20% - Accent4 8 2 2 2 2 2 4" xfId="23670"/>
    <cellStyle name="20% - Accent4 8 2 2 2 2 3" xfId="5718"/>
    <cellStyle name="20% - Accent4 8 2 2 2 2 3 2" xfId="5719"/>
    <cellStyle name="20% - Accent4 8 2 2 2 2 3 2 2" xfId="23675"/>
    <cellStyle name="20% - Accent4 8 2 2 2 2 3 3" xfId="23674"/>
    <cellStyle name="20% - Accent4 8 2 2 2 2 4" xfId="5720"/>
    <cellStyle name="20% - Accent4 8 2 2 2 2 4 2" xfId="23676"/>
    <cellStyle name="20% - Accent4 8 2 2 2 2 5" xfId="23669"/>
    <cellStyle name="20% - Accent4 8 2 2 2 3" xfId="5721"/>
    <cellStyle name="20% - Accent4 8 2 2 2 3 2" xfId="5722"/>
    <cellStyle name="20% - Accent4 8 2 2 2 3 2 2" xfId="5723"/>
    <cellStyle name="20% - Accent4 8 2 2 2 3 2 2 2" xfId="5724"/>
    <cellStyle name="20% - Accent4 8 2 2 2 3 2 2 2 2" xfId="23680"/>
    <cellStyle name="20% - Accent4 8 2 2 2 3 2 2 3" xfId="23679"/>
    <cellStyle name="20% - Accent4 8 2 2 2 3 2 3" xfId="5725"/>
    <cellStyle name="20% - Accent4 8 2 2 2 3 2 3 2" xfId="23681"/>
    <cellStyle name="20% - Accent4 8 2 2 2 3 2 4" xfId="23678"/>
    <cellStyle name="20% - Accent4 8 2 2 2 3 3" xfId="5726"/>
    <cellStyle name="20% - Accent4 8 2 2 2 3 3 2" xfId="5727"/>
    <cellStyle name="20% - Accent4 8 2 2 2 3 3 2 2" xfId="23683"/>
    <cellStyle name="20% - Accent4 8 2 2 2 3 3 3" xfId="23682"/>
    <cellStyle name="20% - Accent4 8 2 2 2 3 4" xfId="5728"/>
    <cellStyle name="20% - Accent4 8 2 2 2 3 4 2" xfId="23684"/>
    <cellStyle name="20% - Accent4 8 2 2 2 3 5" xfId="23677"/>
    <cellStyle name="20% - Accent4 8 2 2 2 4" xfId="5729"/>
    <cellStyle name="20% - Accent4 8 2 2 2 4 2" xfId="5730"/>
    <cellStyle name="20% - Accent4 8 2 2 2 4 2 2" xfId="5731"/>
    <cellStyle name="20% - Accent4 8 2 2 2 4 2 2 2" xfId="23687"/>
    <cellStyle name="20% - Accent4 8 2 2 2 4 2 3" xfId="23686"/>
    <cellStyle name="20% - Accent4 8 2 2 2 4 3" xfId="5732"/>
    <cellStyle name="20% - Accent4 8 2 2 2 4 3 2" xfId="23688"/>
    <cellStyle name="20% - Accent4 8 2 2 2 4 4" xfId="23685"/>
    <cellStyle name="20% - Accent4 8 2 2 2 5" xfId="5733"/>
    <cellStyle name="20% - Accent4 8 2 2 2 5 2" xfId="5734"/>
    <cellStyle name="20% - Accent4 8 2 2 2 5 2 2" xfId="23690"/>
    <cellStyle name="20% - Accent4 8 2 2 2 5 3" xfId="23689"/>
    <cellStyle name="20% - Accent4 8 2 2 2 6" xfId="5735"/>
    <cellStyle name="20% - Accent4 8 2 2 2 6 2" xfId="23691"/>
    <cellStyle name="20% - Accent4 8 2 2 2 7" xfId="23668"/>
    <cellStyle name="20% - Accent4 8 2 2 3" xfId="5736"/>
    <cellStyle name="20% - Accent4 8 2 2 3 2" xfId="5737"/>
    <cellStyle name="20% - Accent4 8 2 2 3 2 2" xfId="5738"/>
    <cellStyle name="20% - Accent4 8 2 2 3 2 2 2" xfId="5739"/>
    <cellStyle name="20% - Accent4 8 2 2 3 2 2 2 2" xfId="23695"/>
    <cellStyle name="20% - Accent4 8 2 2 3 2 2 3" xfId="23694"/>
    <cellStyle name="20% - Accent4 8 2 2 3 2 3" xfId="5740"/>
    <cellStyle name="20% - Accent4 8 2 2 3 2 3 2" xfId="23696"/>
    <cellStyle name="20% - Accent4 8 2 2 3 2 4" xfId="23693"/>
    <cellStyle name="20% - Accent4 8 2 2 3 3" xfId="5741"/>
    <cellStyle name="20% - Accent4 8 2 2 3 3 2" xfId="5742"/>
    <cellStyle name="20% - Accent4 8 2 2 3 3 2 2" xfId="23698"/>
    <cellStyle name="20% - Accent4 8 2 2 3 3 3" xfId="23697"/>
    <cellStyle name="20% - Accent4 8 2 2 3 4" xfId="5743"/>
    <cellStyle name="20% - Accent4 8 2 2 3 4 2" xfId="23699"/>
    <cellStyle name="20% - Accent4 8 2 2 3 5" xfId="23692"/>
    <cellStyle name="20% - Accent4 8 2 2 4" xfId="5744"/>
    <cellStyle name="20% - Accent4 8 2 2 4 2" xfId="5745"/>
    <cellStyle name="20% - Accent4 8 2 2 4 2 2" xfId="5746"/>
    <cellStyle name="20% - Accent4 8 2 2 4 2 2 2" xfId="5747"/>
    <cellStyle name="20% - Accent4 8 2 2 4 2 2 2 2" xfId="23703"/>
    <cellStyle name="20% - Accent4 8 2 2 4 2 2 3" xfId="23702"/>
    <cellStyle name="20% - Accent4 8 2 2 4 2 3" xfId="5748"/>
    <cellStyle name="20% - Accent4 8 2 2 4 2 3 2" xfId="23704"/>
    <cellStyle name="20% - Accent4 8 2 2 4 2 4" xfId="23701"/>
    <cellStyle name="20% - Accent4 8 2 2 4 3" xfId="5749"/>
    <cellStyle name="20% - Accent4 8 2 2 4 3 2" xfId="5750"/>
    <cellStyle name="20% - Accent4 8 2 2 4 3 2 2" xfId="23706"/>
    <cellStyle name="20% - Accent4 8 2 2 4 3 3" xfId="23705"/>
    <cellStyle name="20% - Accent4 8 2 2 4 4" xfId="5751"/>
    <cellStyle name="20% - Accent4 8 2 2 4 4 2" xfId="23707"/>
    <cellStyle name="20% - Accent4 8 2 2 4 5" xfId="23700"/>
    <cellStyle name="20% - Accent4 8 2 2 5" xfId="5752"/>
    <cellStyle name="20% - Accent4 8 2 2 5 2" xfId="5753"/>
    <cellStyle name="20% - Accent4 8 2 2 5 2 2" xfId="5754"/>
    <cellStyle name="20% - Accent4 8 2 2 5 2 2 2" xfId="23710"/>
    <cellStyle name="20% - Accent4 8 2 2 5 2 3" xfId="23709"/>
    <cellStyle name="20% - Accent4 8 2 2 5 3" xfId="5755"/>
    <cellStyle name="20% - Accent4 8 2 2 5 3 2" xfId="23711"/>
    <cellStyle name="20% - Accent4 8 2 2 5 4" xfId="23708"/>
    <cellStyle name="20% - Accent4 8 2 2 6" xfId="5756"/>
    <cellStyle name="20% - Accent4 8 2 2 6 2" xfId="5757"/>
    <cellStyle name="20% - Accent4 8 2 2 6 2 2" xfId="23713"/>
    <cellStyle name="20% - Accent4 8 2 2 6 3" xfId="23712"/>
    <cellStyle name="20% - Accent4 8 2 2 7" xfId="5758"/>
    <cellStyle name="20% - Accent4 8 2 2 7 2" xfId="23714"/>
    <cellStyle name="20% - Accent4 8 2 2 8" xfId="23667"/>
    <cellStyle name="20% - Accent4 8 2 3" xfId="5759"/>
    <cellStyle name="20% - Accent4 8 2 3 2" xfId="5760"/>
    <cellStyle name="20% - Accent4 8 2 3 2 2" xfId="5761"/>
    <cellStyle name="20% - Accent4 8 2 3 2 2 2" xfId="5762"/>
    <cellStyle name="20% - Accent4 8 2 3 2 2 2 2" xfId="5763"/>
    <cellStyle name="20% - Accent4 8 2 3 2 2 2 2 2" xfId="23719"/>
    <cellStyle name="20% - Accent4 8 2 3 2 2 2 3" xfId="23718"/>
    <cellStyle name="20% - Accent4 8 2 3 2 2 3" xfId="5764"/>
    <cellStyle name="20% - Accent4 8 2 3 2 2 3 2" xfId="23720"/>
    <cellStyle name="20% - Accent4 8 2 3 2 2 4" xfId="23717"/>
    <cellStyle name="20% - Accent4 8 2 3 2 3" xfId="5765"/>
    <cellStyle name="20% - Accent4 8 2 3 2 3 2" xfId="5766"/>
    <cellStyle name="20% - Accent4 8 2 3 2 3 2 2" xfId="23722"/>
    <cellStyle name="20% - Accent4 8 2 3 2 3 3" xfId="23721"/>
    <cellStyle name="20% - Accent4 8 2 3 2 4" xfId="5767"/>
    <cellStyle name="20% - Accent4 8 2 3 2 4 2" xfId="23723"/>
    <cellStyle name="20% - Accent4 8 2 3 2 5" xfId="23716"/>
    <cellStyle name="20% - Accent4 8 2 3 3" xfId="5768"/>
    <cellStyle name="20% - Accent4 8 2 3 3 2" xfId="5769"/>
    <cellStyle name="20% - Accent4 8 2 3 3 2 2" xfId="5770"/>
    <cellStyle name="20% - Accent4 8 2 3 3 2 2 2" xfId="5771"/>
    <cellStyle name="20% - Accent4 8 2 3 3 2 2 2 2" xfId="23727"/>
    <cellStyle name="20% - Accent4 8 2 3 3 2 2 3" xfId="23726"/>
    <cellStyle name="20% - Accent4 8 2 3 3 2 3" xfId="5772"/>
    <cellStyle name="20% - Accent4 8 2 3 3 2 3 2" xfId="23728"/>
    <cellStyle name="20% - Accent4 8 2 3 3 2 4" xfId="23725"/>
    <cellStyle name="20% - Accent4 8 2 3 3 3" xfId="5773"/>
    <cellStyle name="20% - Accent4 8 2 3 3 3 2" xfId="5774"/>
    <cellStyle name="20% - Accent4 8 2 3 3 3 2 2" xfId="23730"/>
    <cellStyle name="20% - Accent4 8 2 3 3 3 3" xfId="23729"/>
    <cellStyle name="20% - Accent4 8 2 3 3 4" xfId="5775"/>
    <cellStyle name="20% - Accent4 8 2 3 3 4 2" xfId="23731"/>
    <cellStyle name="20% - Accent4 8 2 3 3 5" xfId="23724"/>
    <cellStyle name="20% - Accent4 8 2 3 4" xfId="5776"/>
    <cellStyle name="20% - Accent4 8 2 3 4 2" xfId="5777"/>
    <cellStyle name="20% - Accent4 8 2 3 4 2 2" xfId="5778"/>
    <cellStyle name="20% - Accent4 8 2 3 4 2 2 2" xfId="23734"/>
    <cellStyle name="20% - Accent4 8 2 3 4 2 3" xfId="23733"/>
    <cellStyle name="20% - Accent4 8 2 3 4 3" xfId="5779"/>
    <cellStyle name="20% - Accent4 8 2 3 4 3 2" xfId="23735"/>
    <cellStyle name="20% - Accent4 8 2 3 4 4" xfId="23732"/>
    <cellStyle name="20% - Accent4 8 2 3 5" xfId="5780"/>
    <cellStyle name="20% - Accent4 8 2 3 5 2" xfId="5781"/>
    <cellStyle name="20% - Accent4 8 2 3 5 2 2" xfId="23737"/>
    <cellStyle name="20% - Accent4 8 2 3 5 3" xfId="23736"/>
    <cellStyle name="20% - Accent4 8 2 3 6" xfId="5782"/>
    <cellStyle name="20% - Accent4 8 2 3 6 2" xfId="23738"/>
    <cellStyle name="20% - Accent4 8 2 3 7" xfId="23715"/>
    <cellStyle name="20% - Accent4 8 2 4" xfId="5783"/>
    <cellStyle name="20% - Accent4 8 2 4 2" xfId="5784"/>
    <cellStyle name="20% - Accent4 8 2 4 2 2" xfId="5785"/>
    <cellStyle name="20% - Accent4 8 2 4 2 2 2" xfId="5786"/>
    <cellStyle name="20% - Accent4 8 2 4 2 2 2 2" xfId="23742"/>
    <cellStyle name="20% - Accent4 8 2 4 2 2 3" xfId="23741"/>
    <cellStyle name="20% - Accent4 8 2 4 2 3" xfId="5787"/>
    <cellStyle name="20% - Accent4 8 2 4 2 3 2" xfId="23743"/>
    <cellStyle name="20% - Accent4 8 2 4 2 4" xfId="23740"/>
    <cellStyle name="20% - Accent4 8 2 4 3" xfId="5788"/>
    <cellStyle name="20% - Accent4 8 2 4 3 2" xfId="5789"/>
    <cellStyle name="20% - Accent4 8 2 4 3 2 2" xfId="23745"/>
    <cellStyle name="20% - Accent4 8 2 4 3 3" xfId="23744"/>
    <cellStyle name="20% - Accent4 8 2 4 4" xfId="5790"/>
    <cellStyle name="20% - Accent4 8 2 4 4 2" xfId="23746"/>
    <cellStyle name="20% - Accent4 8 2 4 5" xfId="23739"/>
    <cellStyle name="20% - Accent4 8 2 5" xfId="5791"/>
    <cellStyle name="20% - Accent4 8 2 5 2" xfId="5792"/>
    <cellStyle name="20% - Accent4 8 2 5 2 2" xfId="5793"/>
    <cellStyle name="20% - Accent4 8 2 5 2 2 2" xfId="5794"/>
    <cellStyle name="20% - Accent4 8 2 5 2 2 2 2" xfId="23750"/>
    <cellStyle name="20% - Accent4 8 2 5 2 2 3" xfId="23749"/>
    <cellStyle name="20% - Accent4 8 2 5 2 3" xfId="5795"/>
    <cellStyle name="20% - Accent4 8 2 5 2 3 2" xfId="23751"/>
    <cellStyle name="20% - Accent4 8 2 5 2 4" xfId="23748"/>
    <cellStyle name="20% - Accent4 8 2 5 3" xfId="5796"/>
    <cellStyle name="20% - Accent4 8 2 5 3 2" xfId="5797"/>
    <cellStyle name="20% - Accent4 8 2 5 3 2 2" xfId="23753"/>
    <cellStyle name="20% - Accent4 8 2 5 3 3" xfId="23752"/>
    <cellStyle name="20% - Accent4 8 2 5 4" xfId="5798"/>
    <cellStyle name="20% - Accent4 8 2 5 4 2" xfId="23754"/>
    <cellStyle name="20% - Accent4 8 2 5 5" xfId="23747"/>
    <cellStyle name="20% - Accent4 8 2 6" xfId="5799"/>
    <cellStyle name="20% - Accent4 8 2 6 2" xfId="5800"/>
    <cellStyle name="20% - Accent4 8 2 6 2 2" xfId="5801"/>
    <cellStyle name="20% - Accent4 8 2 6 2 2 2" xfId="23757"/>
    <cellStyle name="20% - Accent4 8 2 6 2 3" xfId="23756"/>
    <cellStyle name="20% - Accent4 8 2 6 3" xfId="5802"/>
    <cellStyle name="20% - Accent4 8 2 6 3 2" xfId="23758"/>
    <cellStyle name="20% - Accent4 8 2 6 4" xfId="23755"/>
    <cellStyle name="20% - Accent4 8 2 7" xfId="5803"/>
    <cellStyle name="20% - Accent4 8 2 7 2" xfId="5804"/>
    <cellStyle name="20% - Accent4 8 2 7 2 2" xfId="23760"/>
    <cellStyle name="20% - Accent4 8 2 7 3" xfId="23759"/>
    <cellStyle name="20% - Accent4 8 2 8" xfId="5805"/>
    <cellStyle name="20% - Accent4 8 2 8 2" xfId="23761"/>
    <cellStyle name="20% - Accent4 8 2 9" xfId="23666"/>
    <cellStyle name="20% - Accent4 8 3" xfId="5806"/>
    <cellStyle name="20% - Accent4 8 3 2" xfId="5807"/>
    <cellStyle name="20% - Accent4 8 3 2 2" xfId="5808"/>
    <cellStyle name="20% - Accent4 8 3 2 2 2" xfId="5809"/>
    <cellStyle name="20% - Accent4 8 3 2 2 2 2" xfId="5810"/>
    <cellStyle name="20% - Accent4 8 3 2 2 2 2 2" xfId="5811"/>
    <cellStyle name="20% - Accent4 8 3 2 2 2 2 2 2" xfId="23767"/>
    <cellStyle name="20% - Accent4 8 3 2 2 2 2 3" xfId="23766"/>
    <cellStyle name="20% - Accent4 8 3 2 2 2 3" xfId="5812"/>
    <cellStyle name="20% - Accent4 8 3 2 2 2 3 2" xfId="23768"/>
    <cellStyle name="20% - Accent4 8 3 2 2 2 4" xfId="23765"/>
    <cellStyle name="20% - Accent4 8 3 2 2 3" xfId="5813"/>
    <cellStyle name="20% - Accent4 8 3 2 2 3 2" xfId="5814"/>
    <cellStyle name="20% - Accent4 8 3 2 2 3 2 2" xfId="23770"/>
    <cellStyle name="20% - Accent4 8 3 2 2 3 3" xfId="23769"/>
    <cellStyle name="20% - Accent4 8 3 2 2 4" xfId="5815"/>
    <cellStyle name="20% - Accent4 8 3 2 2 4 2" xfId="23771"/>
    <cellStyle name="20% - Accent4 8 3 2 2 5" xfId="23764"/>
    <cellStyle name="20% - Accent4 8 3 2 3" xfId="5816"/>
    <cellStyle name="20% - Accent4 8 3 2 3 2" xfId="5817"/>
    <cellStyle name="20% - Accent4 8 3 2 3 2 2" xfId="5818"/>
    <cellStyle name="20% - Accent4 8 3 2 3 2 2 2" xfId="5819"/>
    <cellStyle name="20% - Accent4 8 3 2 3 2 2 2 2" xfId="23775"/>
    <cellStyle name="20% - Accent4 8 3 2 3 2 2 3" xfId="23774"/>
    <cellStyle name="20% - Accent4 8 3 2 3 2 3" xfId="5820"/>
    <cellStyle name="20% - Accent4 8 3 2 3 2 3 2" xfId="23776"/>
    <cellStyle name="20% - Accent4 8 3 2 3 2 4" xfId="23773"/>
    <cellStyle name="20% - Accent4 8 3 2 3 3" xfId="5821"/>
    <cellStyle name="20% - Accent4 8 3 2 3 3 2" xfId="5822"/>
    <cellStyle name="20% - Accent4 8 3 2 3 3 2 2" xfId="23778"/>
    <cellStyle name="20% - Accent4 8 3 2 3 3 3" xfId="23777"/>
    <cellStyle name="20% - Accent4 8 3 2 3 4" xfId="5823"/>
    <cellStyle name="20% - Accent4 8 3 2 3 4 2" xfId="23779"/>
    <cellStyle name="20% - Accent4 8 3 2 3 5" xfId="23772"/>
    <cellStyle name="20% - Accent4 8 3 2 4" xfId="5824"/>
    <cellStyle name="20% - Accent4 8 3 2 4 2" xfId="5825"/>
    <cellStyle name="20% - Accent4 8 3 2 4 2 2" xfId="5826"/>
    <cellStyle name="20% - Accent4 8 3 2 4 2 2 2" xfId="23782"/>
    <cellStyle name="20% - Accent4 8 3 2 4 2 3" xfId="23781"/>
    <cellStyle name="20% - Accent4 8 3 2 4 3" xfId="5827"/>
    <cellStyle name="20% - Accent4 8 3 2 4 3 2" xfId="23783"/>
    <cellStyle name="20% - Accent4 8 3 2 4 4" xfId="23780"/>
    <cellStyle name="20% - Accent4 8 3 2 5" xfId="5828"/>
    <cellStyle name="20% - Accent4 8 3 2 5 2" xfId="5829"/>
    <cellStyle name="20% - Accent4 8 3 2 5 2 2" xfId="23785"/>
    <cellStyle name="20% - Accent4 8 3 2 5 3" xfId="23784"/>
    <cellStyle name="20% - Accent4 8 3 2 6" xfId="5830"/>
    <cellStyle name="20% - Accent4 8 3 2 6 2" xfId="23786"/>
    <cellStyle name="20% - Accent4 8 3 2 7" xfId="23763"/>
    <cellStyle name="20% - Accent4 8 3 3" xfId="5831"/>
    <cellStyle name="20% - Accent4 8 3 3 2" xfId="5832"/>
    <cellStyle name="20% - Accent4 8 3 3 2 2" xfId="5833"/>
    <cellStyle name="20% - Accent4 8 3 3 2 2 2" xfId="5834"/>
    <cellStyle name="20% - Accent4 8 3 3 2 2 2 2" xfId="23790"/>
    <cellStyle name="20% - Accent4 8 3 3 2 2 3" xfId="23789"/>
    <cellStyle name="20% - Accent4 8 3 3 2 3" xfId="5835"/>
    <cellStyle name="20% - Accent4 8 3 3 2 3 2" xfId="23791"/>
    <cellStyle name="20% - Accent4 8 3 3 2 4" xfId="23788"/>
    <cellStyle name="20% - Accent4 8 3 3 3" xfId="5836"/>
    <cellStyle name="20% - Accent4 8 3 3 3 2" xfId="5837"/>
    <cellStyle name="20% - Accent4 8 3 3 3 2 2" xfId="23793"/>
    <cellStyle name="20% - Accent4 8 3 3 3 3" xfId="23792"/>
    <cellStyle name="20% - Accent4 8 3 3 4" xfId="5838"/>
    <cellStyle name="20% - Accent4 8 3 3 4 2" xfId="23794"/>
    <cellStyle name="20% - Accent4 8 3 3 5" xfId="23787"/>
    <cellStyle name="20% - Accent4 8 3 4" xfId="5839"/>
    <cellStyle name="20% - Accent4 8 3 4 2" xfId="5840"/>
    <cellStyle name="20% - Accent4 8 3 4 2 2" xfId="5841"/>
    <cellStyle name="20% - Accent4 8 3 4 2 2 2" xfId="5842"/>
    <cellStyle name="20% - Accent4 8 3 4 2 2 2 2" xfId="23798"/>
    <cellStyle name="20% - Accent4 8 3 4 2 2 3" xfId="23797"/>
    <cellStyle name="20% - Accent4 8 3 4 2 3" xfId="5843"/>
    <cellStyle name="20% - Accent4 8 3 4 2 3 2" xfId="23799"/>
    <cellStyle name="20% - Accent4 8 3 4 2 4" xfId="23796"/>
    <cellStyle name="20% - Accent4 8 3 4 3" xfId="5844"/>
    <cellStyle name="20% - Accent4 8 3 4 3 2" xfId="5845"/>
    <cellStyle name="20% - Accent4 8 3 4 3 2 2" xfId="23801"/>
    <cellStyle name="20% - Accent4 8 3 4 3 3" xfId="23800"/>
    <cellStyle name="20% - Accent4 8 3 4 4" xfId="5846"/>
    <cellStyle name="20% - Accent4 8 3 4 4 2" xfId="23802"/>
    <cellStyle name="20% - Accent4 8 3 4 5" xfId="23795"/>
    <cellStyle name="20% - Accent4 8 3 5" xfId="5847"/>
    <cellStyle name="20% - Accent4 8 3 5 2" xfId="5848"/>
    <cellStyle name="20% - Accent4 8 3 5 2 2" xfId="5849"/>
    <cellStyle name="20% - Accent4 8 3 5 2 2 2" xfId="23805"/>
    <cellStyle name="20% - Accent4 8 3 5 2 3" xfId="23804"/>
    <cellStyle name="20% - Accent4 8 3 5 3" xfId="5850"/>
    <cellStyle name="20% - Accent4 8 3 5 3 2" xfId="23806"/>
    <cellStyle name="20% - Accent4 8 3 5 4" xfId="23803"/>
    <cellStyle name="20% - Accent4 8 3 6" xfId="5851"/>
    <cellStyle name="20% - Accent4 8 3 6 2" xfId="5852"/>
    <cellStyle name="20% - Accent4 8 3 6 2 2" xfId="23808"/>
    <cellStyle name="20% - Accent4 8 3 6 3" xfId="23807"/>
    <cellStyle name="20% - Accent4 8 3 7" xfId="5853"/>
    <cellStyle name="20% - Accent4 8 3 7 2" xfId="23809"/>
    <cellStyle name="20% - Accent4 8 3 8" xfId="23762"/>
    <cellStyle name="20% - Accent4 8 4" xfId="5854"/>
    <cellStyle name="20% - Accent4 8 4 2" xfId="5855"/>
    <cellStyle name="20% - Accent4 8 4 2 2" xfId="5856"/>
    <cellStyle name="20% - Accent4 8 4 2 2 2" xfId="5857"/>
    <cellStyle name="20% - Accent4 8 4 2 2 2 2" xfId="5858"/>
    <cellStyle name="20% - Accent4 8 4 2 2 2 2 2" xfId="23814"/>
    <cellStyle name="20% - Accent4 8 4 2 2 2 3" xfId="23813"/>
    <cellStyle name="20% - Accent4 8 4 2 2 3" xfId="5859"/>
    <cellStyle name="20% - Accent4 8 4 2 2 3 2" xfId="23815"/>
    <cellStyle name="20% - Accent4 8 4 2 2 4" xfId="23812"/>
    <cellStyle name="20% - Accent4 8 4 2 3" xfId="5860"/>
    <cellStyle name="20% - Accent4 8 4 2 3 2" xfId="5861"/>
    <cellStyle name="20% - Accent4 8 4 2 3 2 2" xfId="23817"/>
    <cellStyle name="20% - Accent4 8 4 2 3 3" xfId="23816"/>
    <cellStyle name="20% - Accent4 8 4 2 4" xfId="5862"/>
    <cellStyle name="20% - Accent4 8 4 2 4 2" xfId="23818"/>
    <cellStyle name="20% - Accent4 8 4 2 5" xfId="23811"/>
    <cellStyle name="20% - Accent4 8 4 3" xfId="5863"/>
    <cellStyle name="20% - Accent4 8 4 3 2" xfId="5864"/>
    <cellStyle name="20% - Accent4 8 4 3 2 2" xfId="5865"/>
    <cellStyle name="20% - Accent4 8 4 3 2 2 2" xfId="5866"/>
    <cellStyle name="20% - Accent4 8 4 3 2 2 2 2" xfId="23822"/>
    <cellStyle name="20% - Accent4 8 4 3 2 2 3" xfId="23821"/>
    <cellStyle name="20% - Accent4 8 4 3 2 3" xfId="5867"/>
    <cellStyle name="20% - Accent4 8 4 3 2 3 2" xfId="23823"/>
    <cellStyle name="20% - Accent4 8 4 3 2 4" xfId="23820"/>
    <cellStyle name="20% - Accent4 8 4 3 3" xfId="5868"/>
    <cellStyle name="20% - Accent4 8 4 3 3 2" xfId="5869"/>
    <cellStyle name="20% - Accent4 8 4 3 3 2 2" xfId="23825"/>
    <cellStyle name="20% - Accent4 8 4 3 3 3" xfId="23824"/>
    <cellStyle name="20% - Accent4 8 4 3 4" xfId="5870"/>
    <cellStyle name="20% - Accent4 8 4 3 4 2" xfId="23826"/>
    <cellStyle name="20% - Accent4 8 4 3 5" xfId="23819"/>
    <cellStyle name="20% - Accent4 8 4 4" xfId="5871"/>
    <cellStyle name="20% - Accent4 8 4 4 2" xfId="5872"/>
    <cellStyle name="20% - Accent4 8 4 4 2 2" xfId="5873"/>
    <cellStyle name="20% - Accent4 8 4 4 2 2 2" xfId="23829"/>
    <cellStyle name="20% - Accent4 8 4 4 2 3" xfId="23828"/>
    <cellStyle name="20% - Accent4 8 4 4 3" xfId="5874"/>
    <cellStyle name="20% - Accent4 8 4 4 3 2" xfId="23830"/>
    <cellStyle name="20% - Accent4 8 4 4 4" xfId="23827"/>
    <cellStyle name="20% - Accent4 8 4 5" xfId="5875"/>
    <cellStyle name="20% - Accent4 8 4 5 2" xfId="5876"/>
    <cellStyle name="20% - Accent4 8 4 5 2 2" xfId="23832"/>
    <cellStyle name="20% - Accent4 8 4 5 3" xfId="23831"/>
    <cellStyle name="20% - Accent4 8 4 6" xfId="5877"/>
    <cellStyle name="20% - Accent4 8 4 6 2" xfId="23833"/>
    <cellStyle name="20% - Accent4 8 4 7" xfId="23810"/>
    <cellStyle name="20% - Accent4 8 5" xfId="5878"/>
    <cellStyle name="20% - Accent4 8 5 2" xfId="5879"/>
    <cellStyle name="20% - Accent4 8 5 2 2" xfId="5880"/>
    <cellStyle name="20% - Accent4 8 5 2 2 2" xfId="5881"/>
    <cellStyle name="20% - Accent4 8 5 2 2 2 2" xfId="23837"/>
    <cellStyle name="20% - Accent4 8 5 2 2 3" xfId="23836"/>
    <cellStyle name="20% - Accent4 8 5 2 3" xfId="5882"/>
    <cellStyle name="20% - Accent4 8 5 2 3 2" xfId="23838"/>
    <cellStyle name="20% - Accent4 8 5 2 4" xfId="23835"/>
    <cellStyle name="20% - Accent4 8 5 3" xfId="5883"/>
    <cellStyle name="20% - Accent4 8 5 3 2" xfId="5884"/>
    <cellStyle name="20% - Accent4 8 5 3 2 2" xfId="23840"/>
    <cellStyle name="20% - Accent4 8 5 3 3" xfId="23839"/>
    <cellStyle name="20% - Accent4 8 5 4" xfId="5885"/>
    <cellStyle name="20% - Accent4 8 5 4 2" xfId="23841"/>
    <cellStyle name="20% - Accent4 8 5 5" xfId="23834"/>
    <cellStyle name="20% - Accent4 8 6" xfId="5886"/>
    <cellStyle name="20% - Accent4 8 6 2" xfId="5887"/>
    <cellStyle name="20% - Accent4 8 6 2 2" xfId="5888"/>
    <cellStyle name="20% - Accent4 8 6 2 2 2" xfId="5889"/>
    <cellStyle name="20% - Accent4 8 6 2 2 2 2" xfId="23845"/>
    <cellStyle name="20% - Accent4 8 6 2 2 3" xfId="23844"/>
    <cellStyle name="20% - Accent4 8 6 2 3" xfId="5890"/>
    <cellStyle name="20% - Accent4 8 6 2 3 2" xfId="23846"/>
    <cellStyle name="20% - Accent4 8 6 2 4" xfId="23843"/>
    <cellStyle name="20% - Accent4 8 6 3" xfId="5891"/>
    <cellStyle name="20% - Accent4 8 6 3 2" xfId="5892"/>
    <cellStyle name="20% - Accent4 8 6 3 2 2" xfId="23848"/>
    <cellStyle name="20% - Accent4 8 6 3 3" xfId="23847"/>
    <cellStyle name="20% - Accent4 8 6 4" xfId="5893"/>
    <cellStyle name="20% - Accent4 8 6 4 2" xfId="23849"/>
    <cellStyle name="20% - Accent4 8 6 5" xfId="23842"/>
    <cellStyle name="20% - Accent4 8 7" xfId="5894"/>
    <cellStyle name="20% - Accent4 8 7 2" xfId="5895"/>
    <cellStyle name="20% - Accent4 8 7 2 2" xfId="5896"/>
    <cellStyle name="20% - Accent4 8 7 2 2 2" xfId="23852"/>
    <cellStyle name="20% - Accent4 8 7 2 3" xfId="23851"/>
    <cellStyle name="20% - Accent4 8 7 3" xfId="5897"/>
    <cellStyle name="20% - Accent4 8 7 3 2" xfId="23853"/>
    <cellStyle name="20% - Accent4 8 7 4" xfId="23850"/>
    <cellStyle name="20% - Accent4 8 8" xfId="5898"/>
    <cellStyle name="20% - Accent4 8 8 2" xfId="5899"/>
    <cellStyle name="20% - Accent4 8 8 2 2" xfId="23855"/>
    <cellStyle name="20% - Accent4 8 8 3" xfId="23854"/>
    <cellStyle name="20% - Accent4 8 9" xfId="5900"/>
    <cellStyle name="20% - Accent4 8 9 2" xfId="23856"/>
    <cellStyle name="20% - Accent4 9" xfId="5901"/>
    <cellStyle name="20% - Accent4 9 2" xfId="5902"/>
    <cellStyle name="20% - Accent4 9 2 2" xfId="5903"/>
    <cellStyle name="20% - Accent4 9 2 2 2" xfId="5904"/>
    <cellStyle name="20% - Accent4 9 2 2 2 2" xfId="23860"/>
    <cellStyle name="20% - Accent4 9 2 2 3" xfId="23859"/>
    <cellStyle name="20% - Accent4 9 2 3" xfId="5905"/>
    <cellStyle name="20% - Accent4 9 2 3 2" xfId="23861"/>
    <cellStyle name="20% - Accent4 9 2 4" xfId="23858"/>
    <cellStyle name="20% - Accent4 9 3" xfId="5906"/>
    <cellStyle name="20% - Accent4 9 3 2" xfId="5907"/>
    <cellStyle name="20% - Accent4 9 3 2 2" xfId="23863"/>
    <cellStyle name="20% - Accent4 9 3 3" xfId="23862"/>
    <cellStyle name="20% - Accent4 9 4" xfId="5908"/>
    <cellStyle name="20% - Accent4 9 4 2" xfId="23864"/>
    <cellStyle name="20% - Accent4 9 5" xfId="23857"/>
    <cellStyle name="20% - Accent5" xfId="6" builtinId="46" customBuiltin="1"/>
    <cellStyle name="20% - Accent5 10" xfId="5909"/>
    <cellStyle name="20% - Accent5 10 2" xfId="5910"/>
    <cellStyle name="20% - Accent5 10 2 2" xfId="5911"/>
    <cellStyle name="20% - Accent5 10 2 2 2" xfId="5912"/>
    <cellStyle name="20% - Accent5 10 2 2 2 2" xfId="23868"/>
    <cellStyle name="20% - Accent5 10 2 2 3" xfId="23867"/>
    <cellStyle name="20% - Accent5 10 2 3" xfId="5913"/>
    <cellStyle name="20% - Accent5 10 2 3 2" xfId="23869"/>
    <cellStyle name="20% - Accent5 10 2 4" xfId="23866"/>
    <cellStyle name="20% - Accent5 10 3" xfId="5914"/>
    <cellStyle name="20% - Accent5 10 3 2" xfId="5915"/>
    <cellStyle name="20% - Accent5 10 3 2 2" xfId="23871"/>
    <cellStyle name="20% - Accent5 10 3 3" xfId="23870"/>
    <cellStyle name="20% - Accent5 10 4" xfId="5916"/>
    <cellStyle name="20% - Accent5 10 4 2" xfId="23872"/>
    <cellStyle name="20% - Accent5 10 5" xfId="23865"/>
    <cellStyle name="20% - Accent5 11" xfId="5917"/>
    <cellStyle name="20% - Accent5 11 2" xfId="5918"/>
    <cellStyle name="20% - Accent5 11 2 2" xfId="5919"/>
    <cellStyle name="20% - Accent5 11 2 2 2" xfId="5920"/>
    <cellStyle name="20% - Accent5 11 2 2 2 2" xfId="23876"/>
    <cellStyle name="20% - Accent5 11 2 2 3" xfId="23875"/>
    <cellStyle name="20% - Accent5 11 2 3" xfId="5921"/>
    <cellStyle name="20% - Accent5 11 2 3 2" xfId="23877"/>
    <cellStyle name="20% - Accent5 11 2 4" xfId="23874"/>
    <cellStyle name="20% - Accent5 11 3" xfId="5922"/>
    <cellStyle name="20% - Accent5 11 3 2" xfId="5923"/>
    <cellStyle name="20% - Accent5 11 3 2 2" xfId="23879"/>
    <cellStyle name="20% - Accent5 11 3 3" xfId="23878"/>
    <cellStyle name="20% - Accent5 11 4" xfId="5924"/>
    <cellStyle name="20% - Accent5 11 4 2" xfId="23880"/>
    <cellStyle name="20% - Accent5 11 5" xfId="23873"/>
    <cellStyle name="20% - Accent5 12" xfId="5925"/>
    <cellStyle name="20% - Accent5 12 2" xfId="5926"/>
    <cellStyle name="20% - Accent5 12 2 2" xfId="5927"/>
    <cellStyle name="20% - Accent5 12 2 2 2" xfId="5928"/>
    <cellStyle name="20% - Accent5 12 2 2 2 2" xfId="23884"/>
    <cellStyle name="20% - Accent5 12 2 2 3" xfId="23883"/>
    <cellStyle name="20% - Accent5 12 2 3" xfId="5929"/>
    <cellStyle name="20% - Accent5 12 2 3 2" xfId="23885"/>
    <cellStyle name="20% - Accent5 12 2 4" xfId="23882"/>
    <cellStyle name="20% - Accent5 12 3" xfId="5930"/>
    <cellStyle name="20% - Accent5 12 3 2" xfId="5931"/>
    <cellStyle name="20% - Accent5 12 3 2 2" xfId="23887"/>
    <cellStyle name="20% - Accent5 12 3 3" xfId="23886"/>
    <cellStyle name="20% - Accent5 12 4" xfId="5932"/>
    <cellStyle name="20% - Accent5 12 4 2" xfId="23888"/>
    <cellStyle name="20% - Accent5 12 5" xfId="23881"/>
    <cellStyle name="20% - Accent5 13" xfId="5933"/>
    <cellStyle name="20% - Accent5 14" xfId="5934"/>
    <cellStyle name="20% - Accent5 14 2" xfId="5935"/>
    <cellStyle name="20% - Accent5 14 2 2" xfId="5936"/>
    <cellStyle name="20% - Accent5 14 2 2 2" xfId="23891"/>
    <cellStyle name="20% - Accent5 14 2 3" xfId="23890"/>
    <cellStyle name="20% - Accent5 14 3" xfId="5937"/>
    <cellStyle name="20% - Accent5 14 3 2" xfId="23892"/>
    <cellStyle name="20% - Accent5 14 4" xfId="23889"/>
    <cellStyle name="20% - Accent5 15" xfId="5938"/>
    <cellStyle name="20% - Accent5 15 2" xfId="5939"/>
    <cellStyle name="20% - Accent5 15 2 2" xfId="5940"/>
    <cellStyle name="20% - Accent5 15 2 2 2" xfId="23895"/>
    <cellStyle name="20% - Accent5 15 2 3" xfId="23894"/>
    <cellStyle name="20% - Accent5 15 3" xfId="5941"/>
    <cellStyle name="20% - Accent5 15 3 2" xfId="23896"/>
    <cellStyle name="20% - Accent5 15 4" xfId="23893"/>
    <cellStyle name="20% - Accent5 16" xfId="5942"/>
    <cellStyle name="20% - Accent5 16 2" xfId="5943"/>
    <cellStyle name="20% - Accent5 16 2 2" xfId="5944"/>
    <cellStyle name="20% - Accent5 16 2 2 2" xfId="23899"/>
    <cellStyle name="20% - Accent5 16 2 3" xfId="23898"/>
    <cellStyle name="20% - Accent5 16 3" xfId="5945"/>
    <cellStyle name="20% - Accent5 16 3 2" xfId="23900"/>
    <cellStyle name="20% - Accent5 16 4" xfId="23897"/>
    <cellStyle name="20% - Accent5 17" xfId="5946"/>
    <cellStyle name="20% - Accent5 17 2" xfId="5947"/>
    <cellStyle name="20% - Accent5 17 2 2" xfId="5948"/>
    <cellStyle name="20% - Accent5 17 2 2 2" xfId="23903"/>
    <cellStyle name="20% - Accent5 17 2 3" xfId="23902"/>
    <cellStyle name="20% - Accent5 17 3" xfId="5949"/>
    <cellStyle name="20% - Accent5 17 3 2" xfId="23904"/>
    <cellStyle name="20% - Accent5 17 4" xfId="23901"/>
    <cellStyle name="20% - Accent5 18" xfId="5950"/>
    <cellStyle name="20% - Accent5 18 2" xfId="5951"/>
    <cellStyle name="20% - Accent5 18 2 2" xfId="5952"/>
    <cellStyle name="20% - Accent5 18 2 2 2" xfId="23907"/>
    <cellStyle name="20% - Accent5 18 2 3" xfId="23906"/>
    <cellStyle name="20% - Accent5 18 3" xfId="5953"/>
    <cellStyle name="20% - Accent5 18 3 2" xfId="23908"/>
    <cellStyle name="20% - Accent5 18 4" xfId="23905"/>
    <cellStyle name="20% - Accent5 19" xfId="5954"/>
    <cellStyle name="20% - Accent5 19 2" xfId="5955"/>
    <cellStyle name="20% - Accent5 19 2 2" xfId="5956"/>
    <cellStyle name="20% - Accent5 19 2 2 2" xfId="23911"/>
    <cellStyle name="20% - Accent5 19 2 3" xfId="23910"/>
    <cellStyle name="20% - Accent5 19 3" xfId="5957"/>
    <cellStyle name="20% - Accent5 19 3 2" xfId="23912"/>
    <cellStyle name="20% - Accent5 19 4" xfId="23909"/>
    <cellStyle name="20% - Accent5 2" xfId="240"/>
    <cellStyle name="20% - Accent5 2 2" xfId="5958"/>
    <cellStyle name="20% - Accent5 2 2 2" xfId="5959"/>
    <cellStyle name="20% - Accent5 2 3" xfId="5960"/>
    <cellStyle name="20% - Accent5 2 3 2" xfId="5961"/>
    <cellStyle name="20% - Accent5 2 3 3" xfId="5962"/>
    <cellStyle name="20% - Accent5 2 3 3 2" xfId="5963"/>
    <cellStyle name="20% - Accent5 2 3 3 2 2" xfId="5964"/>
    <cellStyle name="20% - Accent5 2 3 3 2 2 2" xfId="23915"/>
    <cellStyle name="20% - Accent5 2 3 3 2 3" xfId="23914"/>
    <cellStyle name="20% - Accent5 2 3 3 3" xfId="5965"/>
    <cellStyle name="20% - Accent5 2 3 3 3 2" xfId="23916"/>
    <cellStyle name="20% - Accent5 2 3 3 4" xfId="23913"/>
    <cellStyle name="20% - Accent5 2 4" xfId="5966"/>
    <cellStyle name="20% - Accent5 20" xfId="5967"/>
    <cellStyle name="20% - Accent5 20 2" xfId="5968"/>
    <cellStyle name="20% - Accent5 20 2 2" xfId="5969"/>
    <cellStyle name="20% - Accent5 20 2 2 2" xfId="23919"/>
    <cellStyle name="20% - Accent5 20 2 3" xfId="23918"/>
    <cellStyle name="20% - Accent5 20 3" xfId="5970"/>
    <cellStyle name="20% - Accent5 20 3 2" xfId="23920"/>
    <cellStyle name="20% - Accent5 20 4" xfId="23917"/>
    <cellStyle name="20% - Accent5 21" xfId="5971"/>
    <cellStyle name="20% - Accent5 21 2" xfId="5972"/>
    <cellStyle name="20% - Accent5 21 2 2" xfId="5973"/>
    <cellStyle name="20% - Accent5 21 2 2 2" xfId="23923"/>
    <cellStyle name="20% - Accent5 21 2 3" xfId="23922"/>
    <cellStyle name="20% - Accent5 21 3" xfId="5974"/>
    <cellStyle name="20% - Accent5 21 3 2" xfId="23924"/>
    <cellStyle name="20% - Accent5 21 4" xfId="23921"/>
    <cellStyle name="20% - Accent5 22" xfId="5975"/>
    <cellStyle name="20% - Accent5 23" xfId="5976"/>
    <cellStyle name="20% - Accent5 23 2" xfId="5977"/>
    <cellStyle name="20% - Accent5 23 2 2" xfId="23926"/>
    <cellStyle name="20% - Accent5 23 3" xfId="23925"/>
    <cellStyle name="20% - Accent5 24" xfId="5978"/>
    <cellStyle name="20% - Accent5 25" xfId="5979"/>
    <cellStyle name="20% - Accent5 25 2" xfId="23927"/>
    <cellStyle name="20% - Accent5 26" xfId="5980"/>
    <cellStyle name="20% - Accent5 26 2" xfId="23928"/>
    <cellStyle name="20% - Accent5 27" xfId="5981"/>
    <cellStyle name="20% - Accent5 27 2" xfId="23929"/>
    <cellStyle name="20% - Accent5 28" xfId="5982"/>
    <cellStyle name="20% - Accent5 28 2" xfId="23930"/>
    <cellStyle name="20% - Accent5 29" xfId="5983"/>
    <cellStyle name="20% - Accent5 29 2" xfId="23931"/>
    <cellStyle name="20% - Accent5 3" xfId="654"/>
    <cellStyle name="20% - Accent5 3 2" xfId="5984"/>
    <cellStyle name="20% - Accent5 3 2 2" xfId="5985"/>
    <cellStyle name="20% - Accent5 3 2 2 2" xfId="5986"/>
    <cellStyle name="20% - Accent5 3 2 2 2 2" xfId="5987"/>
    <cellStyle name="20% - Accent5 3 2 2 2 2 2" xfId="5988"/>
    <cellStyle name="20% - Accent5 3 2 2 2 2 2 2" xfId="5989"/>
    <cellStyle name="20% - Accent5 3 2 2 2 2 2 2 2" xfId="5990"/>
    <cellStyle name="20% - Accent5 3 2 2 2 2 2 2 2 2" xfId="23938"/>
    <cellStyle name="20% - Accent5 3 2 2 2 2 2 2 3" xfId="23937"/>
    <cellStyle name="20% - Accent5 3 2 2 2 2 2 3" xfId="5991"/>
    <cellStyle name="20% - Accent5 3 2 2 2 2 2 3 2" xfId="23939"/>
    <cellStyle name="20% - Accent5 3 2 2 2 2 2 4" xfId="23936"/>
    <cellStyle name="20% - Accent5 3 2 2 2 2 3" xfId="5992"/>
    <cellStyle name="20% - Accent5 3 2 2 2 2 3 2" xfId="5993"/>
    <cellStyle name="20% - Accent5 3 2 2 2 2 3 2 2" xfId="23941"/>
    <cellStyle name="20% - Accent5 3 2 2 2 2 3 3" xfId="23940"/>
    <cellStyle name="20% - Accent5 3 2 2 2 2 4" xfId="5994"/>
    <cellStyle name="20% - Accent5 3 2 2 2 2 4 2" xfId="23942"/>
    <cellStyle name="20% - Accent5 3 2 2 2 2 5" xfId="23935"/>
    <cellStyle name="20% - Accent5 3 2 2 2 3" xfId="5995"/>
    <cellStyle name="20% - Accent5 3 2 2 2 3 2" xfId="5996"/>
    <cellStyle name="20% - Accent5 3 2 2 2 3 2 2" xfId="5997"/>
    <cellStyle name="20% - Accent5 3 2 2 2 3 2 2 2" xfId="5998"/>
    <cellStyle name="20% - Accent5 3 2 2 2 3 2 2 2 2" xfId="23946"/>
    <cellStyle name="20% - Accent5 3 2 2 2 3 2 2 3" xfId="23945"/>
    <cellStyle name="20% - Accent5 3 2 2 2 3 2 3" xfId="5999"/>
    <cellStyle name="20% - Accent5 3 2 2 2 3 2 3 2" xfId="23947"/>
    <cellStyle name="20% - Accent5 3 2 2 2 3 2 4" xfId="23944"/>
    <cellStyle name="20% - Accent5 3 2 2 2 3 3" xfId="6000"/>
    <cellStyle name="20% - Accent5 3 2 2 2 3 3 2" xfId="6001"/>
    <cellStyle name="20% - Accent5 3 2 2 2 3 3 2 2" xfId="23949"/>
    <cellStyle name="20% - Accent5 3 2 2 2 3 3 3" xfId="23948"/>
    <cellStyle name="20% - Accent5 3 2 2 2 3 4" xfId="6002"/>
    <cellStyle name="20% - Accent5 3 2 2 2 3 4 2" xfId="23950"/>
    <cellStyle name="20% - Accent5 3 2 2 2 3 5" xfId="23943"/>
    <cellStyle name="20% - Accent5 3 2 2 2 4" xfId="6003"/>
    <cellStyle name="20% - Accent5 3 2 2 2 4 2" xfId="6004"/>
    <cellStyle name="20% - Accent5 3 2 2 2 4 2 2" xfId="6005"/>
    <cellStyle name="20% - Accent5 3 2 2 2 4 2 2 2" xfId="23953"/>
    <cellStyle name="20% - Accent5 3 2 2 2 4 2 3" xfId="23952"/>
    <cellStyle name="20% - Accent5 3 2 2 2 4 3" xfId="6006"/>
    <cellStyle name="20% - Accent5 3 2 2 2 4 3 2" xfId="23954"/>
    <cellStyle name="20% - Accent5 3 2 2 2 4 4" xfId="23951"/>
    <cellStyle name="20% - Accent5 3 2 2 2 5" xfId="6007"/>
    <cellStyle name="20% - Accent5 3 2 2 2 5 2" xfId="6008"/>
    <cellStyle name="20% - Accent5 3 2 2 2 5 2 2" xfId="23956"/>
    <cellStyle name="20% - Accent5 3 2 2 2 5 3" xfId="23955"/>
    <cellStyle name="20% - Accent5 3 2 2 2 6" xfId="6009"/>
    <cellStyle name="20% - Accent5 3 2 2 2 6 2" xfId="23957"/>
    <cellStyle name="20% - Accent5 3 2 2 2 7" xfId="23934"/>
    <cellStyle name="20% - Accent5 3 2 2 3" xfId="6010"/>
    <cellStyle name="20% - Accent5 3 2 2 3 2" xfId="6011"/>
    <cellStyle name="20% - Accent5 3 2 2 3 2 2" xfId="6012"/>
    <cellStyle name="20% - Accent5 3 2 2 3 2 2 2" xfId="6013"/>
    <cellStyle name="20% - Accent5 3 2 2 3 2 2 2 2" xfId="23961"/>
    <cellStyle name="20% - Accent5 3 2 2 3 2 2 3" xfId="23960"/>
    <cellStyle name="20% - Accent5 3 2 2 3 2 3" xfId="6014"/>
    <cellStyle name="20% - Accent5 3 2 2 3 2 3 2" xfId="23962"/>
    <cellStyle name="20% - Accent5 3 2 2 3 2 4" xfId="23959"/>
    <cellStyle name="20% - Accent5 3 2 2 3 3" xfId="6015"/>
    <cellStyle name="20% - Accent5 3 2 2 3 3 2" xfId="6016"/>
    <cellStyle name="20% - Accent5 3 2 2 3 3 2 2" xfId="23964"/>
    <cellStyle name="20% - Accent5 3 2 2 3 3 3" xfId="23963"/>
    <cellStyle name="20% - Accent5 3 2 2 3 4" xfId="6017"/>
    <cellStyle name="20% - Accent5 3 2 2 3 4 2" xfId="23965"/>
    <cellStyle name="20% - Accent5 3 2 2 3 5" xfId="23958"/>
    <cellStyle name="20% - Accent5 3 2 2 4" xfId="6018"/>
    <cellStyle name="20% - Accent5 3 2 2 4 2" xfId="6019"/>
    <cellStyle name="20% - Accent5 3 2 2 4 2 2" xfId="6020"/>
    <cellStyle name="20% - Accent5 3 2 2 4 2 2 2" xfId="6021"/>
    <cellStyle name="20% - Accent5 3 2 2 4 2 2 2 2" xfId="23969"/>
    <cellStyle name="20% - Accent5 3 2 2 4 2 2 3" xfId="23968"/>
    <cellStyle name="20% - Accent5 3 2 2 4 2 3" xfId="6022"/>
    <cellStyle name="20% - Accent5 3 2 2 4 2 3 2" xfId="23970"/>
    <cellStyle name="20% - Accent5 3 2 2 4 2 4" xfId="23967"/>
    <cellStyle name="20% - Accent5 3 2 2 4 3" xfId="6023"/>
    <cellStyle name="20% - Accent5 3 2 2 4 3 2" xfId="6024"/>
    <cellStyle name="20% - Accent5 3 2 2 4 3 2 2" xfId="23972"/>
    <cellStyle name="20% - Accent5 3 2 2 4 3 3" xfId="23971"/>
    <cellStyle name="20% - Accent5 3 2 2 4 4" xfId="6025"/>
    <cellStyle name="20% - Accent5 3 2 2 4 4 2" xfId="23973"/>
    <cellStyle name="20% - Accent5 3 2 2 4 5" xfId="23966"/>
    <cellStyle name="20% - Accent5 3 2 2 5" xfId="6026"/>
    <cellStyle name="20% - Accent5 3 2 2 5 2" xfId="6027"/>
    <cellStyle name="20% - Accent5 3 2 2 5 2 2" xfId="6028"/>
    <cellStyle name="20% - Accent5 3 2 2 5 2 2 2" xfId="23976"/>
    <cellStyle name="20% - Accent5 3 2 2 5 2 3" xfId="23975"/>
    <cellStyle name="20% - Accent5 3 2 2 5 3" xfId="6029"/>
    <cellStyle name="20% - Accent5 3 2 2 5 3 2" xfId="23977"/>
    <cellStyle name="20% - Accent5 3 2 2 5 4" xfId="23974"/>
    <cellStyle name="20% - Accent5 3 2 2 6" xfId="6030"/>
    <cellStyle name="20% - Accent5 3 2 2 6 2" xfId="6031"/>
    <cellStyle name="20% - Accent5 3 2 2 6 2 2" xfId="23979"/>
    <cellStyle name="20% - Accent5 3 2 2 6 3" xfId="23978"/>
    <cellStyle name="20% - Accent5 3 2 2 7" xfId="6032"/>
    <cellStyle name="20% - Accent5 3 2 2 7 2" xfId="23980"/>
    <cellStyle name="20% - Accent5 3 2 2 8" xfId="23933"/>
    <cellStyle name="20% - Accent5 3 2 3" xfId="6033"/>
    <cellStyle name="20% - Accent5 3 2 3 2" xfId="6034"/>
    <cellStyle name="20% - Accent5 3 2 3 2 2" xfId="6035"/>
    <cellStyle name="20% - Accent5 3 2 3 2 2 2" xfId="6036"/>
    <cellStyle name="20% - Accent5 3 2 3 2 2 2 2" xfId="6037"/>
    <cellStyle name="20% - Accent5 3 2 3 2 2 2 2 2" xfId="23985"/>
    <cellStyle name="20% - Accent5 3 2 3 2 2 2 3" xfId="23984"/>
    <cellStyle name="20% - Accent5 3 2 3 2 2 3" xfId="6038"/>
    <cellStyle name="20% - Accent5 3 2 3 2 2 3 2" xfId="23986"/>
    <cellStyle name="20% - Accent5 3 2 3 2 2 4" xfId="23983"/>
    <cellStyle name="20% - Accent5 3 2 3 2 3" xfId="6039"/>
    <cellStyle name="20% - Accent5 3 2 3 2 3 2" xfId="6040"/>
    <cellStyle name="20% - Accent5 3 2 3 2 3 2 2" xfId="23988"/>
    <cellStyle name="20% - Accent5 3 2 3 2 3 3" xfId="23987"/>
    <cellStyle name="20% - Accent5 3 2 3 2 4" xfId="6041"/>
    <cellStyle name="20% - Accent5 3 2 3 2 4 2" xfId="23989"/>
    <cellStyle name="20% - Accent5 3 2 3 2 5" xfId="23982"/>
    <cellStyle name="20% - Accent5 3 2 3 3" xfId="6042"/>
    <cellStyle name="20% - Accent5 3 2 3 3 2" xfId="6043"/>
    <cellStyle name="20% - Accent5 3 2 3 3 2 2" xfId="6044"/>
    <cellStyle name="20% - Accent5 3 2 3 3 2 2 2" xfId="6045"/>
    <cellStyle name="20% - Accent5 3 2 3 3 2 2 2 2" xfId="23993"/>
    <cellStyle name="20% - Accent5 3 2 3 3 2 2 3" xfId="23992"/>
    <cellStyle name="20% - Accent5 3 2 3 3 2 3" xfId="6046"/>
    <cellStyle name="20% - Accent5 3 2 3 3 2 3 2" xfId="23994"/>
    <cellStyle name="20% - Accent5 3 2 3 3 2 4" xfId="23991"/>
    <cellStyle name="20% - Accent5 3 2 3 3 3" xfId="6047"/>
    <cellStyle name="20% - Accent5 3 2 3 3 3 2" xfId="6048"/>
    <cellStyle name="20% - Accent5 3 2 3 3 3 2 2" xfId="23996"/>
    <cellStyle name="20% - Accent5 3 2 3 3 3 3" xfId="23995"/>
    <cellStyle name="20% - Accent5 3 2 3 3 4" xfId="6049"/>
    <cellStyle name="20% - Accent5 3 2 3 3 4 2" xfId="23997"/>
    <cellStyle name="20% - Accent5 3 2 3 3 5" xfId="23990"/>
    <cellStyle name="20% - Accent5 3 2 3 4" xfId="6050"/>
    <cellStyle name="20% - Accent5 3 2 3 4 2" xfId="6051"/>
    <cellStyle name="20% - Accent5 3 2 3 4 2 2" xfId="6052"/>
    <cellStyle name="20% - Accent5 3 2 3 4 2 2 2" xfId="24000"/>
    <cellStyle name="20% - Accent5 3 2 3 4 2 3" xfId="23999"/>
    <cellStyle name="20% - Accent5 3 2 3 4 3" xfId="6053"/>
    <cellStyle name="20% - Accent5 3 2 3 4 3 2" xfId="24001"/>
    <cellStyle name="20% - Accent5 3 2 3 4 4" xfId="23998"/>
    <cellStyle name="20% - Accent5 3 2 3 5" xfId="6054"/>
    <cellStyle name="20% - Accent5 3 2 3 5 2" xfId="6055"/>
    <cellStyle name="20% - Accent5 3 2 3 5 2 2" xfId="24003"/>
    <cellStyle name="20% - Accent5 3 2 3 5 3" xfId="24002"/>
    <cellStyle name="20% - Accent5 3 2 3 6" xfId="6056"/>
    <cellStyle name="20% - Accent5 3 2 3 6 2" xfId="24004"/>
    <cellStyle name="20% - Accent5 3 2 3 7" xfId="23981"/>
    <cellStyle name="20% - Accent5 3 2 4" xfId="6057"/>
    <cellStyle name="20% - Accent5 3 2 4 2" xfId="6058"/>
    <cellStyle name="20% - Accent5 3 2 4 2 2" xfId="6059"/>
    <cellStyle name="20% - Accent5 3 2 4 2 2 2" xfId="6060"/>
    <cellStyle name="20% - Accent5 3 2 4 2 2 2 2" xfId="24008"/>
    <cellStyle name="20% - Accent5 3 2 4 2 2 3" xfId="24007"/>
    <cellStyle name="20% - Accent5 3 2 4 2 3" xfId="6061"/>
    <cellStyle name="20% - Accent5 3 2 4 2 3 2" xfId="24009"/>
    <cellStyle name="20% - Accent5 3 2 4 2 4" xfId="24006"/>
    <cellStyle name="20% - Accent5 3 2 4 3" xfId="6062"/>
    <cellStyle name="20% - Accent5 3 2 4 3 2" xfId="6063"/>
    <cellStyle name="20% - Accent5 3 2 4 3 2 2" xfId="24011"/>
    <cellStyle name="20% - Accent5 3 2 4 3 3" xfId="24010"/>
    <cellStyle name="20% - Accent5 3 2 4 4" xfId="6064"/>
    <cellStyle name="20% - Accent5 3 2 4 4 2" xfId="24012"/>
    <cellStyle name="20% - Accent5 3 2 4 5" xfId="24005"/>
    <cellStyle name="20% - Accent5 3 2 5" xfId="6065"/>
    <cellStyle name="20% - Accent5 3 2 5 2" xfId="6066"/>
    <cellStyle name="20% - Accent5 3 2 5 2 2" xfId="6067"/>
    <cellStyle name="20% - Accent5 3 2 5 2 2 2" xfId="6068"/>
    <cellStyle name="20% - Accent5 3 2 5 2 2 2 2" xfId="24016"/>
    <cellStyle name="20% - Accent5 3 2 5 2 2 3" xfId="24015"/>
    <cellStyle name="20% - Accent5 3 2 5 2 3" xfId="6069"/>
    <cellStyle name="20% - Accent5 3 2 5 2 3 2" xfId="24017"/>
    <cellStyle name="20% - Accent5 3 2 5 2 4" xfId="24014"/>
    <cellStyle name="20% - Accent5 3 2 5 3" xfId="6070"/>
    <cellStyle name="20% - Accent5 3 2 5 3 2" xfId="6071"/>
    <cellStyle name="20% - Accent5 3 2 5 3 2 2" xfId="24019"/>
    <cellStyle name="20% - Accent5 3 2 5 3 3" xfId="24018"/>
    <cellStyle name="20% - Accent5 3 2 5 4" xfId="6072"/>
    <cellStyle name="20% - Accent5 3 2 5 4 2" xfId="24020"/>
    <cellStyle name="20% - Accent5 3 2 5 5" xfId="24013"/>
    <cellStyle name="20% - Accent5 3 2 6" xfId="6073"/>
    <cellStyle name="20% - Accent5 3 2 6 2" xfId="6074"/>
    <cellStyle name="20% - Accent5 3 2 6 2 2" xfId="6075"/>
    <cellStyle name="20% - Accent5 3 2 6 2 2 2" xfId="24023"/>
    <cellStyle name="20% - Accent5 3 2 6 2 3" xfId="24022"/>
    <cellStyle name="20% - Accent5 3 2 6 3" xfId="6076"/>
    <cellStyle name="20% - Accent5 3 2 6 3 2" xfId="24024"/>
    <cellStyle name="20% - Accent5 3 2 6 4" xfId="24021"/>
    <cellStyle name="20% - Accent5 3 2 7" xfId="6077"/>
    <cellStyle name="20% - Accent5 3 2 7 2" xfId="6078"/>
    <cellStyle name="20% - Accent5 3 2 7 2 2" xfId="24026"/>
    <cellStyle name="20% - Accent5 3 2 7 3" xfId="24025"/>
    <cellStyle name="20% - Accent5 3 2 8" xfId="6079"/>
    <cellStyle name="20% - Accent5 3 2 8 2" xfId="24027"/>
    <cellStyle name="20% - Accent5 3 2 9" xfId="23932"/>
    <cellStyle name="20% - Accent5 3 3" xfId="6080"/>
    <cellStyle name="20% - Accent5 3 3 2" xfId="6081"/>
    <cellStyle name="20% - Accent5 3 3 2 2" xfId="6082"/>
    <cellStyle name="20% - Accent5 3 3 2 2 2" xfId="6083"/>
    <cellStyle name="20% - Accent5 3 3 2 2 2 2" xfId="6084"/>
    <cellStyle name="20% - Accent5 3 3 2 2 2 2 2" xfId="6085"/>
    <cellStyle name="20% - Accent5 3 3 2 2 2 2 2 2" xfId="24033"/>
    <cellStyle name="20% - Accent5 3 3 2 2 2 2 3" xfId="24032"/>
    <cellStyle name="20% - Accent5 3 3 2 2 2 3" xfId="6086"/>
    <cellStyle name="20% - Accent5 3 3 2 2 2 3 2" xfId="24034"/>
    <cellStyle name="20% - Accent5 3 3 2 2 2 4" xfId="24031"/>
    <cellStyle name="20% - Accent5 3 3 2 2 3" xfId="6087"/>
    <cellStyle name="20% - Accent5 3 3 2 2 3 2" xfId="6088"/>
    <cellStyle name="20% - Accent5 3 3 2 2 3 2 2" xfId="24036"/>
    <cellStyle name="20% - Accent5 3 3 2 2 3 3" xfId="24035"/>
    <cellStyle name="20% - Accent5 3 3 2 2 4" xfId="6089"/>
    <cellStyle name="20% - Accent5 3 3 2 2 4 2" xfId="24037"/>
    <cellStyle name="20% - Accent5 3 3 2 2 5" xfId="24030"/>
    <cellStyle name="20% - Accent5 3 3 2 3" xfId="6090"/>
    <cellStyle name="20% - Accent5 3 3 2 3 2" xfId="6091"/>
    <cellStyle name="20% - Accent5 3 3 2 3 2 2" xfId="6092"/>
    <cellStyle name="20% - Accent5 3 3 2 3 2 2 2" xfId="6093"/>
    <cellStyle name="20% - Accent5 3 3 2 3 2 2 2 2" xfId="24041"/>
    <cellStyle name="20% - Accent5 3 3 2 3 2 2 3" xfId="24040"/>
    <cellStyle name="20% - Accent5 3 3 2 3 2 3" xfId="6094"/>
    <cellStyle name="20% - Accent5 3 3 2 3 2 3 2" xfId="24042"/>
    <cellStyle name="20% - Accent5 3 3 2 3 2 4" xfId="24039"/>
    <cellStyle name="20% - Accent5 3 3 2 3 3" xfId="6095"/>
    <cellStyle name="20% - Accent5 3 3 2 3 3 2" xfId="6096"/>
    <cellStyle name="20% - Accent5 3 3 2 3 3 2 2" xfId="24044"/>
    <cellStyle name="20% - Accent5 3 3 2 3 3 3" xfId="24043"/>
    <cellStyle name="20% - Accent5 3 3 2 3 4" xfId="6097"/>
    <cellStyle name="20% - Accent5 3 3 2 3 4 2" xfId="24045"/>
    <cellStyle name="20% - Accent5 3 3 2 3 5" xfId="24038"/>
    <cellStyle name="20% - Accent5 3 3 2 4" xfId="6098"/>
    <cellStyle name="20% - Accent5 3 3 2 4 2" xfId="6099"/>
    <cellStyle name="20% - Accent5 3 3 2 4 2 2" xfId="6100"/>
    <cellStyle name="20% - Accent5 3 3 2 4 2 2 2" xfId="24048"/>
    <cellStyle name="20% - Accent5 3 3 2 4 2 3" xfId="24047"/>
    <cellStyle name="20% - Accent5 3 3 2 4 3" xfId="6101"/>
    <cellStyle name="20% - Accent5 3 3 2 4 3 2" xfId="24049"/>
    <cellStyle name="20% - Accent5 3 3 2 4 4" xfId="24046"/>
    <cellStyle name="20% - Accent5 3 3 2 5" xfId="6102"/>
    <cellStyle name="20% - Accent5 3 3 2 5 2" xfId="6103"/>
    <cellStyle name="20% - Accent5 3 3 2 5 2 2" xfId="24051"/>
    <cellStyle name="20% - Accent5 3 3 2 5 3" xfId="24050"/>
    <cellStyle name="20% - Accent5 3 3 2 6" xfId="6104"/>
    <cellStyle name="20% - Accent5 3 3 2 6 2" xfId="24052"/>
    <cellStyle name="20% - Accent5 3 3 2 7" xfId="24029"/>
    <cellStyle name="20% - Accent5 3 3 3" xfId="6105"/>
    <cellStyle name="20% - Accent5 3 3 3 2" xfId="6106"/>
    <cellStyle name="20% - Accent5 3 3 3 2 2" xfId="6107"/>
    <cellStyle name="20% - Accent5 3 3 3 2 2 2" xfId="6108"/>
    <cellStyle name="20% - Accent5 3 3 3 2 2 2 2" xfId="24056"/>
    <cellStyle name="20% - Accent5 3 3 3 2 2 3" xfId="24055"/>
    <cellStyle name="20% - Accent5 3 3 3 2 3" xfId="6109"/>
    <cellStyle name="20% - Accent5 3 3 3 2 3 2" xfId="24057"/>
    <cellStyle name="20% - Accent5 3 3 3 2 4" xfId="24054"/>
    <cellStyle name="20% - Accent5 3 3 3 3" xfId="6110"/>
    <cellStyle name="20% - Accent5 3 3 3 3 2" xfId="6111"/>
    <cellStyle name="20% - Accent5 3 3 3 3 2 2" xfId="24059"/>
    <cellStyle name="20% - Accent5 3 3 3 3 3" xfId="24058"/>
    <cellStyle name="20% - Accent5 3 3 3 4" xfId="6112"/>
    <cellStyle name="20% - Accent5 3 3 3 4 2" xfId="24060"/>
    <cellStyle name="20% - Accent5 3 3 3 5" xfId="24053"/>
    <cellStyle name="20% - Accent5 3 3 4" xfId="6113"/>
    <cellStyle name="20% - Accent5 3 3 4 2" xfId="6114"/>
    <cellStyle name="20% - Accent5 3 3 4 2 2" xfId="6115"/>
    <cellStyle name="20% - Accent5 3 3 4 2 2 2" xfId="6116"/>
    <cellStyle name="20% - Accent5 3 3 4 2 2 2 2" xfId="24064"/>
    <cellStyle name="20% - Accent5 3 3 4 2 2 3" xfId="24063"/>
    <cellStyle name="20% - Accent5 3 3 4 2 3" xfId="6117"/>
    <cellStyle name="20% - Accent5 3 3 4 2 3 2" xfId="24065"/>
    <cellStyle name="20% - Accent5 3 3 4 2 4" xfId="24062"/>
    <cellStyle name="20% - Accent5 3 3 4 3" xfId="6118"/>
    <cellStyle name="20% - Accent5 3 3 4 3 2" xfId="6119"/>
    <cellStyle name="20% - Accent5 3 3 4 3 2 2" xfId="24067"/>
    <cellStyle name="20% - Accent5 3 3 4 3 3" xfId="24066"/>
    <cellStyle name="20% - Accent5 3 3 4 4" xfId="6120"/>
    <cellStyle name="20% - Accent5 3 3 4 4 2" xfId="24068"/>
    <cellStyle name="20% - Accent5 3 3 4 5" xfId="24061"/>
    <cellStyle name="20% - Accent5 3 3 5" xfId="6121"/>
    <cellStyle name="20% - Accent5 3 3 5 2" xfId="6122"/>
    <cellStyle name="20% - Accent5 3 3 5 2 2" xfId="6123"/>
    <cellStyle name="20% - Accent5 3 3 5 2 2 2" xfId="24071"/>
    <cellStyle name="20% - Accent5 3 3 5 2 3" xfId="24070"/>
    <cellStyle name="20% - Accent5 3 3 5 3" xfId="6124"/>
    <cellStyle name="20% - Accent5 3 3 5 3 2" xfId="24072"/>
    <cellStyle name="20% - Accent5 3 3 5 4" xfId="24069"/>
    <cellStyle name="20% - Accent5 3 3 6" xfId="6125"/>
    <cellStyle name="20% - Accent5 3 3 6 2" xfId="6126"/>
    <cellStyle name="20% - Accent5 3 3 6 2 2" xfId="24074"/>
    <cellStyle name="20% - Accent5 3 3 6 3" xfId="24073"/>
    <cellStyle name="20% - Accent5 3 3 7" xfId="6127"/>
    <cellStyle name="20% - Accent5 3 3 7 2" xfId="24075"/>
    <cellStyle name="20% - Accent5 3 3 8" xfId="24028"/>
    <cellStyle name="20% - Accent5 3 4" xfId="6128"/>
    <cellStyle name="20% - Accent5 3 4 2" xfId="6129"/>
    <cellStyle name="20% - Accent5 3 4 2 2" xfId="6130"/>
    <cellStyle name="20% - Accent5 3 4 2 2 2" xfId="6131"/>
    <cellStyle name="20% - Accent5 3 4 2 2 2 2" xfId="6132"/>
    <cellStyle name="20% - Accent5 3 4 2 2 2 2 2" xfId="24080"/>
    <cellStyle name="20% - Accent5 3 4 2 2 2 3" xfId="24079"/>
    <cellStyle name="20% - Accent5 3 4 2 2 3" xfId="6133"/>
    <cellStyle name="20% - Accent5 3 4 2 2 3 2" xfId="24081"/>
    <cellStyle name="20% - Accent5 3 4 2 2 4" xfId="24078"/>
    <cellStyle name="20% - Accent5 3 4 2 3" xfId="6134"/>
    <cellStyle name="20% - Accent5 3 4 2 3 2" xfId="6135"/>
    <cellStyle name="20% - Accent5 3 4 2 3 2 2" xfId="24083"/>
    <cellStyle name="20% - Accent5 3 4 2 3 3" xfId="24082"/>
    <cellStyle name="20% - Accent5 3 4 2 4" xfId="6136"/>
    <cellStyle name="20% - Accent5 3 4 2 4 2" xfId="24084"/>
    <cellStyle name="20% - Accent5 3 4 2 5" xfId="24077"/>
    <cellStyle name="20% - Accent5 3 4 3" xfId="6137"/>
    <cellStyle name="20% - Accent5 3 4 3 2" xfId="6138"/>
    <cellStyle name="20% - Accent5 3 4 3 2 2" xfId="6139"/>
    <cellStyle name="20% - Accent5 3 4 3 2 2 2" xfId="6140"/>
    <cellStyle name="20% - Accent5 3 4 3 2 2 2 2" xfId="24088"/>
    <cellStyle name="20% - Accent5 3 4 3 2 2 3" xfId="24087"/>
    <cellStyle name="20% - Accent5 3 4 3 2 3" xfId="6141"/>
    <cellStyle name="20% - Accent5 3 4 3 2 3 2" xfId="24089"/>
    <cellStyle name="20% - Accent5 3 4 3 2 4" xfId="24086"/>
    <cellStyle name="20% - Accent5 3 4 3 3" xfId="6142"/>
    <cellStyle name="20% - Accent5 3 4 3 3 2" xfId="6143"/>
    <cellStyle name="20% - Accent5 3 4 3 3 2 2" xfId="24091"/>
    <cellStyle name="20% - Accent5 3 4 3 3 3" xfId="24090"/>
    <cellStyle name="20% - Accent5 3 4 3 4" xfId="6144"/>
    <cellStyle name="20% - Accent5 3 4 3 4 2" xfId="24092"/>
    <cellStyle name="20% - Accent5 3 4 3 5" xfId="24085"/>
    <cellStyle name="20% - Accent5 3 4 4" xfId="6145"/>
    <cellStyle name="20% - Accent5 3 4 4 2" xfId="6146"/>
    <cellStyle name="20% - Accent5 3 4 4 2 2" xfId="6147"/>
    <cellStyle name="20% - Accent5 3 4 4 2 2 2" xfId="24095"/>
    <cellStyle name="20% - Accent5 3 4 4 2 3" xfId="24094"/>
    <cellStyle name="20% - Accent5 3 4 4 3" xfId="6148"/>
    <cellStyle name="20% - Accent5 3 4 4 3 2" xfId="24096"/>
    <cellStyle name="20% - Accent5 3 4 4 4" xfId="24093"/>
    <cellStyle name="20% - Accent5 3 4 5" xfId="6149"/>
    <cellStyle name="20% - Accent5 3 4 5 2" xfId="6150"/>
    <cellStyle name="20% - Accent5 3 4 5 2 2" xfId="24098"/>
    <cellStyle name="20% - Accent5 3 4 5 3" xfId="24097"/>
    <cellStyle name="20% - Accent5 3 4 6" xfId="6151"/>
    <cellStyle name="20% - Accent5 3 4 6 2" xfId="24099"/>
    <cellStyle name="20% - Accent5 3 4 7" xfId="24076"/>
    <cellStyle name="20% - Accent5 3 5" xfId="6152"/>
    <cellStyle name="20% - Accent5 3 5 2" xfId="6153"/>
    <cellStyle name="20% - Accent5 3 5 2 2" xfId="6154"/>
    <cellStyle name="20% - Accent5 3 5 2 2 2" xfId="6155"/>
    <cellStyle name="20% - Accent5 3 5 2 2 2 2" xfId="24103"/>
    <cellStyle name="20% - Accent5 3 5 2 2 3" xfId="24102"/>
    <cellStyle name="20% - Accent5 3 5 2 3" xfId="6156"/>
    <cellStyle name="20% - Accent5 3 5 2 3 2" xfId="24104"/>
    <cellStyle name="20% - Accent5 3 5 2 4" xfId="24101"/>
    <cellStyle name="20% - Accent5 3 5 3" xfId="6157"/>
    <cellStyle name="20% - Accent5 3 5 3 2" xfId="6158"/>
    <cellStyle name="20% - Accent5 3 5 3 2 2" xfId="24106"/>
    <cellStyle name="20% - Accent5 3 5 3 3" xfId="24105"/>
    <cellStyle name="20% - Accent5 3 5 4" xfId="6159"/>
    <cellStyle name="20% - Accent5 3 5 4 2" xfId="24107"/>
    <cellStyle name="20% - Accent5 3 5 5" xfId="24100"/>
    <cellStyle name="20% - Accent5 3 6" xfId="6160"/>
    <cellStyle name="20% - Accent5 3 6 2" xfId="6161"/>
    <cellStyle name="20% - Accent5 3 6 2 2" xfId="6162"/>
    <cellStyle name="20% - Accent5 3 6 2 2 2" xfId="6163"/>
    <cellStyle name="20% - Accent5 3 6 2 2 2 2" xfId="24111"/>
    <cellStyle name="20% - Accent5 3 6 2 2 3" xfId="24110"/>
    <cellStyle name="20% - Accent5 3 6 2 3" xfId="6164"/>
    <cellStyle name="20% - Accent5 3 6 2 3 2" xfId="24112"/>
    <cellStyle name="20% - Accent5 3 6 2 4" xfId="24109"/>
    <cellStyle name="20% - Accent5 3 6 3" xfId="6165"/>
    <cellStyle name="20% - Accent5 3 6 3 2" xfId="6166"/>
    <cellStyle name="20% - Accent5 3 6 3 2 2" xfId="24114"/>
    <cellStyle name="20% - Accent5 3 6 3 3" xfId="24113"/>
    <cellStyle name="20% - Accent5 3 6 4" xfId="6167"/>
    <cellStyle name="20% - Accent5 3 6 4 2" xfId="24115"/>
    <cellStyle name="20% - Accent5 3 6 5" xfId="24108"/>
    <cellStyle name="20% - Accent5 3 7" xfId="6168"/>
    <cellStyle name="20% - Accent5 3 7 2" xfId="6169"/>
    <cellStyle name="20% - Accent5 3 7 2 2" xfId="6170"/>
    <cellStyle name="20% - Accent5 3 7 2 2 2" xfId="24118"/>
    <cellStyle name="20% - Accent5 3 7 2 3" xfId="24117"/>
    <cellStyle name="20% - Accent5 3 7 3" xfId="6171"/>
    <cellStyle name="20% - Accent5 3 7 3 2" xfId="24119"/>
    <cellStyle name="20% - Accent5 3 7 4" xfId="24116"/>
    <cellStyle name="20% - Accent5 3 8" xfId="6172"/>
    <cellStyle name="20% - Accent5 3 8 2" xfId="6173"/>
    <cellStyle name="20% - Accent5 3 8 2 2" xfId="24121"/>
    <cellStyle name="20% - Accent5 3 8 3" xfId="24120"/>
    <cellStyle name="20% - Accent5 3 9" xfId="6174"/>
    <cellStyle name="20% - Accent5 3 9 2" xfId="24122"/>
    <cellStyle name="20% - Accent5 30" xfId="6175"/>
    <cellStyle name="20% - Accent5 30 2" xfId="24123"/>
    <cellStyle name="20% - Accent5 31" xfId="6176"/>
    <cellStyle name="20% - Accent5 31 2" xfId="24124"/>
    <cellStyle name="20% - Accent5 32" xfId="6177"/>
    <cellStyle name="20% - Accent5 4" xfId="6178"/>
    <cellStyle name="20% - Accent5 4 10" xfId="24125"/>
    <cellStyle name="20% - Accent5 4 2" xfId="6179"/>
    <cellStyle name="20% - Accent5 4 2 2" xfId="6180"/>
    <cellStyle name="20% - Accent5 4 2 2 2" xfId="6181"/>
    <cellStyle name="20% - Accent5 4 2 2 2 2" xfId="6182"/>
    <cellStyle name="20% - Accent5 4 2 2 2 2 2" xfId="6183"/>
    <cellStyle name="20% - Accent5 4 2 2 2 2 2 2" xfId="6184"/>
    <cellStyle name="20% - Accent5 4 2 2 2 2 2 2 2" xfId="6185"/>
    <cellStyle name="20% - Accent5 4 2 2 2 2 2 2 2 2" xfId="24132"/>
    <cellStyle name="20% - Accent5 4 2 2 2 2 2 2 3" xfId="24131"/>
    <cellStyle name="20% - Accent5 4 2 2 2 2 2 3" xfId="6186"/>
    <cellStyle name="20% - Accent5 4 2 2 2 2 2 3 2" xfId="24133"/>
    <cellStyle name="20% - Accent5 4 2 2 2 2 2 4" xfId="24130"/>
    <cellStyle name="20% - Accent5 4 2 2 2 2 3" xfId="6187"/>
    <cellStyle name="20% - Accent5 4 2 2 2 2 3 2" xfId="6188"/>
    <cellStyle name="20% - Accent5 4 2 2 2 2 3 2 2" xfId="24135"/>
    <cellStyle name="20% - Accent5 4 2 2 2 2 3 3" xfId="24134"/>
    <cellStyle name="20% - Accent5 4 2 2 2 2 4" xfId="6189"/>
    <cellStyle name="20% - Accent5 4 2 2 2 2 4 2" xfId="24136"/>
    <cellStyle name="20% - Accent5 4 2 2 2 2 5" xfId="24129"/>
    <cellStyle name="20% - Accent5 4 2 2 2 3" xfId="6190"/>
    <cellStyle name="20% - Accent5 4 2 2 2 3 2" xfId="6191"/>
    <cellStyle name="20% - Accent5 4 2 2 2 3 2 2" xfId="6192"/>
    <cellStyle name="20% - Accent5 4 2 2 2 3 2 2 2" xfId="6193"/>
    <cellStyle name="20% - Accent5 4 2 2 2 3 2 2 2 2" xfId="24140"/>
    <cellStyle name="20% - Accent5 4 2 2 2 3 2 2 3" xfId="24139"/>
    <cellStyle name="20% - Accent5 4 2 2 2 3 2 3" xfId="6194"/>
    <cellStyle name="20% - Accent5 4 2 2 2 3 2 3 2" xfId="24141"/>
    <cellStyle name="20% - Accent5 4 2 2 2 3 2 4" xfId="24138"/>
    <cellStyle name="20% - Accent5 4 2 2 2 3 3" xfId="6195"/>
    <cellStyle name="20% - Accent5 4 2 2 2 3 3 2" xfId="6196"/>
    <cellStyle name="20% - Accent5 4 2 2 2 3 3 2 2" xfId="24143"/>
    <cellStyle name="20% - Accent5 4 2 2 2 3 3 3" xfId="24142"/>
    <cellStyle name="20% - Accent5 4 2 2 2 3 4" xfId="6197"/>
    <cellStyle name="20% - Accent5 4 2 2 2 3 4 2" xfId="24144"/>
    <cellStyle name="20% - Accent5 4 2 2 2 3 5" xfId="24137"/>
    <cellStyle name="20% - Accent5 4 2 2 2 4" xfId="6198"/>
    <cellStyle name="20% - Accent5 4 2 2 2 4 2" xfId="6199"/>
    <cellStyle name="20% - Accent5 4 2 2 2 4 2 2" xfId="6200"/>
    <cellStyle name="20% - Accent5 4 2 2 2 4 2 2 2" xfId="24147"/>
    <cellStyle name="20% - Accent5 4 2 2 2 4 2 3" xfId="24146"/>
    <cellStyle name="20% - Accent5 4 2 2 2 4 3" xfId="6201"/>
    <cellStyle name="20% - Accent5 4 2 2 2 4 3 2" xfId="24148"/>
    <cellStyle name="20% - Accent5 4 2 2 2 4 4" xfId="24145"/>
    <cellStyle name="20% - Accent5 4 2 2 2 5" xfId="6202"/>
    <cellStyle name="20% - Accent5 4 2 2 2 5 2" xfId="6203"/>
    <cellStyle name="20% - Accent5 4 2 2 2 5 2 2" xfId="24150"/>
    <cellStyle name="20% - Accent5 4 2 2 2 5 3" xfId="24149"/>
    <cellStyle name="20% - Accent5 4 2 2 2 6" xfId="6204"/>
    <cellStyle name="20% - Accent5 4 2 2 2 6 2" xfId="24151"/>
    <cellStyle name="20% - Accent5 4 2 2 2 7" xfId="24128"/>
    <cellStyle name="20% - Accent5 4 2 2 3" xfId="6205"/>
    <cellStyle name="20% - Accent5 4 2 2 3 2" xfId="6206"/>
    <cellStyle name="20% - Accent5 4 2 2 3 2 2" xfId="6207"/>
    <cellStyle name="20% - Accent5 4 2 2 3 2 2 2" xfId="6208"/>
    <cellStyle name="20% - Accent5 4 2 2 3 2 2 2 2" xfId="24155"/>
    <cellStyle name="20% - Accent5 4 2 2 3 2 2 3" xfId="24154"/>
    <cellStyle name="20% - Accent5 4 2 2 3 2 3" xfId="6209"/>
    <cellStyle name="20% - Accent5 4 2 2 3 2 3 2" xfId="24156"/>
    <cellStyle name="20% - Accent5 4 2 2 3 2 4" xfId="24153"/>
    <cellStyle name="20% - Accent5 4 2 2 3 3" xfId="6210"/>
    <cellStyle name="20% - Accent5 4 2 2 3 3 2" xfId="6211"/>
    <cellStyle name="20% - Accent5 4 2 2 3 3 2 2" xfId="24158"/>
    <cellStyle name="20% - Accent5 4 2 2 3 3 3" xfId="24157"/>
    <cellStyle name="20% - Accent5 4 2 2 3 4" xfId="6212"/>
    <cellStyle name="20% - Accent5 4 2 2 3 4 2" xfId="24159"/>
    <cellStyle name="20% - Accent5 4 2 2 3 5" xfId="24152"/>
    <cellStyle name="20% - Accent5 4 2 2 4" xfId="6213"/>
    <cellStyle name="20% - Accent5 4 2 2 4 2" xfId="6214"/>
    <cellStyle name="20% - Accent5 4 2 2 4 2 2" xfId="6215"/>
    <cellStyle name="20% - Accent5 4 2 2 4 2 2 2" xfId="6216"/>
    <cellStyle name="20% - Accent5 4 2 2 4 2 2 2 2" xfId="24163"/>
    <cellStyle name="20% - Accent5 4 2 2 4 2 2 3" xfId="24162"/>
    <cellStyle name="20% - Accent5 4 2 2 4 2 3" xfId="6217"/>
    <cellStyle name="20% - Accent5 4 2 2 4 2 3 2" xfId="24164"/>
    <cellStyle name="20% - Accent5 4 2 2 4 2 4" xfId="24161"/>
    <cellStyle name="20% - Accent5 4 2 2 4 3" xfId="6218"/>
    <cellStyle name="20% - Accent5 4 2 2 4 3 2" xfId="6219"/>
    <cellStyle name="20% - Accent5 4 2 2 4 3 2 2" xfId="24166"/>
    <cellStyle name="20% - Accent5 4 2 2 4 3 3" xfId="24165"/>
    <cellStyle name="20% - Accent5 4 2 2 4 4" xfId="6220"/>
    <cellStyle name="20% - Accent5 4 2 2 4 4 2" xfId="24167"/>
    <cellStyle name="20% - Accent5 4 2 2 4 5" xfId="24160"/>
    <cellStyle name="20% - Accent5 4 2 2 5" xfId="6221"/>
    <cellStyle name="20% - Accent5 4 2 2 5 2" xfId="6222"/>
    <cellStyle name="20% - Accent5 4 2 2 5 2 2" xfId="6223"/>
    <cellStyle name="20% - Accent5 4 2 2 5 2 2 2" xfId="24170"/>
    <cellStyle name="20% - Accent5 4 2 2 5 2 3" xfId="24169"/>
    <cellStyle name="20% - Accent5 4 2 2 5 3" xfId="6224"/>
    <cellStyle name="20% - Accent5 4 2 2 5 3 2" xfId="24171"/>
    <cellStyle name="20% - Accent5 4 2 2 5 4" xfId="24168"/>
    <cellStyle name="20% - Accent5 4 2 2 6" xfId="6225"/>
    <cellStyle name="20% - Accent5 4 2 2 6 2" xfId="6226"/>
    <cellStyle name="20% - Accent5 4 2 2 6 2 2" xfId="24173"/>
    <cellStyle name="20% - Accent5 4 2 2 6 3" xfId="24172"/>
    <cellStyle name="20% - Accent5 4 2 2 7" xfId="6227"/>
    <cellStyle name="20% - Accent5 4 2 2 7 2" xfId="24174"/>
    <cellStyle name="20% - Accent5 4 2 2 8" xfId="24127"/>
    <cellStyle name="20% - Accent5 4 2 3" xfId="6228"/>
    <cellStyle name="20% - Accent5 4 2 3 2" xfId="6229"/>
    <cellStyle name="20% - Accent5 4 2 3 2 2" xfId="6230"/>
    <cellStyle name="20% - Accent5 4 2 3 2 2 2" xfId="6231"/>
    <cellStyle name="20% - Accent5 4 2 3 2 2 2 2" xfId="6232"/>
    <cellStyle name="20% - Accent5 4 2 3 2 2 2 2 2" xfId="24179"/>
    <cellStyle name="20% - Accent5 4 2 3 2 2 2 3" xfId="24178"/>
    <cellStyle name="20% - Accent5 4 2 3 2 2 3" xfId="6233"/>
    <cellStyle name="20% - Accent5 4 2 3 2 2 3 2" xfId="24180"/>
    <cellStyle name="20% - Accent5 4 2 3 2 2 4" xfId="24177"/>
    <cellStyle name="20% - Accent5 4 2 3 2 3" xfId="6234"/>
    <cellStyle name="20% - Accent5 4 2 3 2 3 2" xfId="6235"/>
    <cellStyle name="20% - Accent5 4 2 3 2 3 2 2" xfId="24182"/>
    <cellStyle name="20% - Accent5 4 2 3 2 3 3" xfId="24181"/>
    <cellStyle name="20% - Accent5 4 2 3 2 4" xfId="6236"/>
    <cellStyle name="20% - Accent5 4 2 3 2 4 2" xfId="24183"/>
    <cellStyle name="20% - Accent5 4 2 3 2 5" xfId="24176"/>
    <cellStyle name="20% - Accent5 4 2 3 3" xfId="6237"/>
    <cellStyle name="20% - Accent5 4 2 3 3 2" xfId="6238"/>
    <cellStyle name="20% - Accent5 4 2 3 3 2 2" xfId="6239"/>
    <cellStyle name="20% - Accent5 4 2 3 3 2 2 2" xfId="6240"/>
    <cellStyle name="20% - Accent5 4 2 3 3 2 2 2 2" xfId="24187"/>
    <cellStyle name="20% - Accent5 4 2 3 3 2 2 3" xfId="24186"/>
    <cellStyle name="20% - Accent5 4 2 3 3 2 3" xfId="6241"/>
    <cellStyle name="20% - Accent5 4 2 3 3 2 3 2" xfId="24188"/>
    <cellStyle name="20% - Accent5 4 2 3 3 2 4" xfId="24185"/>
    <cellStyle name="20% - Accent5 4 2 3 3 3" xfId="6242"/>
    <cellStyle name="20% - Accent5 4 2 3 3 3 2" xfId="6243"/>
    <cellStyle name="20% - Accent5 4 2 3 3 3 2 2" xfId="24190"/>
    <cellStyle name="20% - Accent5 4 2 3 3 3 3" xfId="24189"/>
    <cellStyle name="20% - Accent5 4 2 3 3 4" xfId="6244"/>
    <cellStyle name="20% - Accent5 4 2 3 3 4 2" xfId="24191"/>
    <cellStyle name="20% - Accent5 4 2 3 3 5" xfId="24184"/>
    <cellStyle name="20% - Accent5 4 2 3 4" xfId="6245"/>
    <cellStyle name="20% - Accent5 4 2 3 4 2" xfId="6246"/>
    <cellStyle name="20% - Accent5 4 2 3 4 2 2" xfId="6247"/>
    <cellStyle name="20% - Accent5 4 2 3 4 2 2 2" xfId="24194"/>
    <cellStyle name="20% - Accent5 4 2 3 4 2 3" xfId="24193"/>
    <cellStyle name="20% - Accent5 4 2 3 4 3" xfId="6248"/>
    <cellStyle name="20% - Accent5 4 2 3 4 3 2" xfId="24195"/>
    <cellStyle name="20% - Accent5 4 2 3 4 4" xfId="24192"/>
    <cellStyle name="20% - Accent5 4 2 3 5" xfId="6249"/>
    <cellStyle name="20% - Accent5 4 2 3 5 2" xfId="6250"/>
    <cellStyle name="20% - Accent5 4 2 3 5 2 2" xfId="24197"/>
    <cellStyle name="20% - Accent5 4 2 3 5 3" xfId="24196"/>
    <cellStyle name="20% - Accent5 4 2 3 6" xfId="6251"/>
    <cellStyle name="20% - Accent5 4 2 3 6 2" xfId="24198"/>
    <cellStyle name="20% - Accent5 4 2 3 7" xfId="24175"/>
    <cellStyle name="20% - Accent5 4 2 4" xfId="6252"/>
    <cellStyle name="20% - Accent5 4 2 4 2" xfId="6253"/>
    <cellStyle name="20% - Accent5 4 2 4 2 2" xfId="6254"/>
    <cellStyle name="20% - Accent5 4 2 4 2 2 2" xfId="6255"/>
    <cellStyle name="20% - Accent5 4 2 4 2 2 2 2" xfId="24202"/>
    <cellStyle name="20% - Accent5 4 2 4 2 2 3" xfId="24201"/>
    <cellStyle name="20% - Accent5 4 2 4 2 3" xfId="6256"/>
    <cellStyle name="20% - Accent5 4 2 4 2 3 2" xfId="24203"/>
    <cellStyle name="20% - Accent5 4 2 4 2 4" xfId="24200"/>
    <cellStyle name="20% - Accent5 4 2 4 3" xfId="6257"/>
    <cellStyle name="20% - Accent5 4 2 4 3 2" xfId="6258"/>
    <cellStyle name="20% - Accent5 4 2 4 3 2 2" xfId="24205"/>
    <cellStyle name="20% - Accent5 4 2 4 3 3" xfId="24204"/>
    <cellStyle name="20% - Accent5 4 2 4 4" xfId="6259"/>
    <cellStyle name="20% - Accent5 4 2 4 4 2" xfId="24206"/>
    <cellStyle name="20% - Accent5 4 2 4 5" xfId="24199"/>
    <cellStyle name="20% - Accent5 4 2 5" xfId="6260"/>
    <cellStyle name="20% - Accent5 4 2 5 2" xfId="6261"/>
    <cellStyle name="20% - Accent5 4 2 5 2 2" xfId="6262"/>
    <cellStyle name="20% - Accent5 4 2 5 2 2 2" xfId="6263"/>
    <cellStyle name="20% - Accent5 4 2 5 2 2 2 2" xfId="24210"/>
    <cellStyle name="20% - Accent5 4 2 5 2 2 3" xfId="24209"/>
    <cellStyle name="20% - Accent5 4 2 5 2 3" xfId="6264"/>
    <cellStyle name="20% - Accent5 4 2 5 2 3 2" xfId="24211"/>
    <cellStyle name="20% - Accent5 4 2 5 2 4" xfId="24208"/>
    <cellStyle name="20% - Accent5 4 2 5 3" xfId="6265"/>
    <cellStyle name="20% - Accent5 4 2 5 3 2" xfId="6266"/>
    <cellStyle name="20% - Accent5 4 2 5 3 2 2" xfId="24213"/>
    <cellStyle name="20% - Accent5 4 2 5 3 3" xfId="24212"/>
    <cellStyle name="20% - Accent5 4 2 5 4" xfId="6267"/>
    <cellStyle name="20% - Accent5 4 2 5 4 2" xfId="24214"/>
    <cellStyle name="20% - Accent5 4 2 5 5" xfId="24207"/>
    <cellStyle name="20% - Accent5 4 2 6" xfId="6268"/>
    <cellStyle name="20% - Accent5 4 2 6 2" xfId="6269"/>
    <cellStyle name="20% - Accent5 4 2 6 2 2" xfId="6270"/>
    <cellStyle name="20% - Accent5 4 2 6 2 2 2" xfId="24217"/>
    <cellStyle name="20% - Accent5 4 2 6 2 3" xfId="24216"/>
    <cellStyle name="20% - Accent5 4 2 6 3" xfId="6271"/>
    <cellStyle name="20% - Accent5 4 2 6 3 2" xfId="24218"/>
    <cellStyle name="20% - Accent5 4 2 6 4" xfId="24215"/>
    <cellStyle name="20% - Accent5 4 2 7" xfId="6272"/>
    <cellStyle name="20% - Accent5 4 2 7 2" xfId="6273"/>
    <cellStyle name="20% - Accent5 4 2 7 2 2" xfId="24220"/>
    <cellStyle name="20% - Accent5 4 2 7 3" xfId="24219"/>
    <cellStyle name="20% - Accent5 4 2 8" xfId="6274"/>
    <cellStyle name="20% - Accent5 4 2 8 2" xfId="24221"/>
    <cellStyle name="20% - Accent5 4 2 9" xfId="24126"/>
    <cellStyle name="20% - Accent5 4 3" xfId="6275"/>
    <cellStyle name="20% - Accent5 4 3 2" xfId="6276"/>
    <cellStyle name="20% - Accent5 4 3 2 2" xfId="6277"/>
    <cellStyle name="20% - Accent5 4 3 2 2 2" xfId="6278"/>
    <cellStyle name="20% - Accent5 4 3 2 2 2 2" xfId="6279"/>
    <cellStyle name="20% - Accent5 4 3 2 2 2 2 2" xfId="6280"/>
    <cellStyle name="20% - Accent5 4 3 2 2 2 2 2 2" xfId="24227"/>
    <cellStyle name="20% - Accent5 4 3 2 2 2 2 3" xfId="24226"/>
    <cellStyle name="20% - Accent5 4 3 2 2 2 3" xfId="6281"/>
    <cellStyle name="20% - Accent5 4 3 2 2 2 3 2" xfId="24228"/>
    <cellStyle name="20% - Accent5 4 3 2 2 2 4" xfId="24225"/>
    <cellStyle name="20% - Accent5 4 3 2 2 3" xfId="6282"/>
    <cellStyle name="20% - Accent5 4 3 2 2 3 2" xfId="6283"/>
    <cellStyle name="20% - Accent5 4 3 2 2 3 2 2" xfId="24230"/>
    <cellStyle name="20% - Accent5 4 3 2 2 3 3" xfId="24229"/>
    <cellStyle name="20% - Accent5 4 3 2 2 4" xfId="6284"/>
    <cellStyle name="20% - Accent5 4 3 2 2 4 2" xfId="24231"/>
    <cellStyle name="20% - Accent5 4 3 2 2 5" xfId="24224"/>
    <cellStyle name="20% - Accent5 4 3 2 3" xfId="6285"/>
    <cellStyle name="20% - Accent5 4 3 2 3 2" xfId="6286"/>
    <cellStyle name="20% - Accent5 4 3 2 3 2 2" xfId="6287"/>
    <cellStyle name="20% - Accent5 4 3 2 3 2 2 2" xfId="6288"/>
    <cellStyle name="20% - Accent5 4 3 2 3 2 2 2 2" xfId="24235"/>
    <cellStyle name="20% - Accent5 4 3 2 3 2 2 3" xfId="24234"/>
    <cellStyle name="20% - Accent5 4 3 2 3 2 3" xfId="6289"/>
    <cellStyle name="20% - Accent5 4 3 2 3 2 3 2" xfId="24236"/>
    <cellStyle name="20% - Accent5 4 3 2 3 2 4" xfId="24233"/>
    <cellStyle name="20% - Accent5 4 3 2 3 3" xfId="6290"/>
    <cellStyle name="20% - Accent5 4 3 2 3 3 2" xfId="6291"/>
    <cellStyle name="20% - Accent5 4 3 2 3 3 2 2" xfId="24238"/>
    <cellStyle name="20% - Accent5 4 3 2 3 3 3" xfId="24237"/>
    <cellStyle name="20% - Accent5 4 3 2 3 4" xfId="6292"/>
    <cellStyle name="20% - Accent5 4 3 2 3 4 2" xfId="24239"/>
    <cellStyle name="20% - Accent5 4 3 2 3 5" xfId="24232"/>
    <cellStyle name="20% - Accent5 4 3 2 4" xfId="6293"/>
    <cellStyle name="20% - Accent5 4 3 2 4 2" xfId="6294"/>
    <cellStyle name="20% - Accent5 4 3 2 4 2 2" xfId="6295"/>
    <cellStyle name="20% - Accent5 4 3 2 4 2 2 2" xfId="24242"/>
    <cellStyle name="20% - Accent5 4 3 2 4 2 3" xfId="24241"/>
    <cellStyle name="20% - Accent5 4 3 2 4 3" xfId="6296"/>
    <cellStyle name="20% - Accent5 4 3 2 4 3 2" xfId="24243"/>
    <cellStyle name="20% - Accent5 4 3 2 4 4" xfId="24240"/>
    <cellStyle name="20% - Accent5 4 3 2 5" xfId="6297"/>
    <cellStyle name="20% - Accent5 4 3 2 5 2" xfId="6298"/>
    <cellStyle name="20% - Accent5 4 3 2 5 2 2" xfId="24245"/>
    <cellStyle name="20% - Accent5 4 3 2 5 3" xfId="24244"/>
    <cellStyle name="20% - Accent5 4 3 2 6" xfId="6299"/>
    <cellStyle name="20% - Accent5 4 3 2 6 2" xfId="24246"/>
    <cellStyle name="20% - Accent5 4 3 2 7" xfId="24223"/>
    <cellStyle name="20% - Accent5 4 3 3" xfId="6300"/>
    <cellStyle name="20% - Accent5 4 3 3 2" xfId="6301"/>
    <cellStyle name="20% - Accent5 4 3 3 2 2" xfId="6302"/>
    <cellStyle name="20% - Accent5 4 3 3 2 2 2" xfId="6303"/>
    <cellStyle name="20% - Accent5 4 3 3 2 2 2 2" xfId="24250"/>
    <cellStyle name="20% - Accent5 4 3 3 2 2 3" xfId="24249"/>
    <cellStyle name="20% - Accent5 4 3 3 2 3" xfId="6304"/>
    <cellStyle name="20% - Accent5 4 3 3 2 3 2" xfId="24251"/>
    <cellStyle name="20% - Accent5 4 3 3 2 4" xfId="24248"/>
    <cellStyle name="20% - Accent5 4 3 3 3" xfId="6305"/>
    <cellStyle name="20% - Accent5 4 3 3 3 2" xfId="6306"/>
    <cellStyle name="20% - Accent5 4 3 3 3 2 2" xfId="24253"/>
    <cellStyle name="20% - Accent5 4 3 3 3 3" xfId="24252"/>
    <cellStyle name="20% - Accent5 4 3 3 4" xfId="6307"/>
    <cellStyle name="20% - Accent5 4 3 3 4 2" xfId="24254"/>
    <cellStyle name="20% - Accent5 4 3 3 5" xfId="24247"/>
    <cellStyle name="20% - Accent5 4 3 4" xfId="6308"/>
    <cellStyle name="20% - Accent5 4 3 4 2" xfId="6309"/>
    <cellStyle name="20% - Accent5 4 3 4 2 2" xfId="6310"/>
    <cellStyle name="20% - Accent5 4 3 4 2 2 2" xfId="6311"/>
    <cellStyle name="20% - Accent5 4 3 4 2 2 2 2" xfId="24258"/>
    <cellStyle name="20% - Accent5 4 3 4 2 2 3" xfId="24257"/>
    <cellStyle name="20% - Accent5 4 3 4 2 3" xfId="6312"/>
    <cellStyle name="20% - Accent5 4 3 4 2 3 2" xfId="24259"/>
    <cellStyle name="20% - Accent5 4 3 4 2 4" xfId="24256"/>
    <cellStyle name="20% - Accent5 4 3 4 3" xfId="6313"/>
    <cellStyle name="20% - Accent5 4 3 4 3 2" xfId="6314"/>
    <cellStyle name="20% - Accent5 4 3 4 3 2 2" xfId="24261"/>
    <cellStyle name="20% - Accent5 4 3 4 3 3" xfId="24260"/>
    <cellStyle name="20% - Accent5 4 3 4 4" xfId="6315"/>
    <cellStyle name="20% - Accent5 4 3 4 4 2" xfId="24262"/>
    <cellStyle name="20% - Accent5 4 3 4 5" xfId="24255"/>
    <cellStyle name="20% - Accent5 4 3 5" xfId="6316"/>
    <cellStyle name="20% - Accent5 4 3 5 2" xfId="6317"/>
    <cellStyle name="20% - Accent5 4 3 5 2 2" xfId="6318"/>
    <cellStyle name="20% - Accent5 4 3 5 2 2 2" xfId="24265"/>
    <cellStyle name="20% - Accent5 4 3 5 2 3" xfId="24264"/>
    <cellStyle name="20% - Accent5 4 3 5 3" xfId="6319"/>
    <cellStyle name="20% - Accent5 4 3 5 3 2" xfId="24266"/>
    <cellStyle name="20% - Accent5 4 3 5 4" xfId="24263"/>
    <cellStyle name="20% - Accent5 4 3 6" xfId="6320"/>
    <cellStyle name="20% - Accent5 4 3 6 2" xfId="6321"/>
    <cellStyle name="20% - Accent5 4 3 6 2 2" xfId="24268"/>
    <cellStyle name="20% - Accent5 4 3 6 3" xfId="24267"/>
    <cellStyle name="20% - Accent5 4 3 7" xfId="6322"/>
    <cellStyle name="20% - Accent5 4 3 7 2" xfId="24269"/>
    <cellStyle name="20% - Accent5 4 3 8" xfId="24222"/>
    <cellStyle name="20% - Accent5 4 4" xfId="6323"/>
    <cellStyle name="20% - Accent5 4 4 2" xfId="6324"/>
    <cellStyle name="20% - Accent5 4 4 2 2" xfId="6325"/>
    <cellStyle name="20% - Accent5 4 4 2 2 2" xfId="6326"/>
    <cellStyle name="20% - Accent5 4 4 2 2 2 2" xfId="6327"/>
    <cellStyle name="20% - Accent5 4 4 2 2 2 2 2" xfId="24274"/>
    <cellStyle name="20% - Accent5 4 4 2 2 2 3" xfId="24273"/>
    <cellStyle name="20% - Accent5 4 4 2 2 3" xfId="6328"/>
    <cellStyle name="20% - Accent5 4 4 2 2 3 2" xfId="24275"/>
    <cellStyle name="20% - Accent5 4 4 2 2 4" xfId="24272"/>
    <cellStyle name="20% - Accent5 4 4 2 3" xfId="6329"/>
    <cellStyle name="20% - Accent5 4 4 2 3 2" xfId="6330"/>
    <cellStyle name="20% - Accent5 4 4 2 3 2 2" xfId="24277"/>
    <cellStyle name="20% - Accent5 4 4 2 3 3" xfId="24276"/>
    <cellStyle name="20% - Accent5 4 4 2 4" xfId="6331"/>
    <cellStyle name="20% - Accent5 4 4 2 4 2" xfId="24278"/>
    <cellStyle name="20% - Accent5 4 4 2 5" xfId="24271"/>
    <cellStyle name="20% - Accent5 4 4 3" xfId="6332"/>
    <cellStyle name="20% - Accent5 4 4 3 2" xfId="6333"/>
    <cellStyle name="20% - Accent5 4 4 3 2 2" xfId="6334"/>
    <cellStyle name="20% - Accent5 4 4 3 2 2 2" xfId="6335"/>
    <cellStyle name="20% - Accent5 4 4 3 2 2 2 2" xfId="24282"/>
    <cellStyle name="20% - Accent5 4 4 3 2 2 3" xfId="24281"/>
    <cellStyle name="20% - Accent5 4 4 3 2 3" xfId="6336"/>
    <cellStyle name="20% - Accent5 4 4 3 2 3 2" xfId="24283"/>
    <cellStyle name="20% - Accent5 4 4 3 2 4" xfId="24280"/>
    <cellStyle name="20% - Accent5 4 4 3 3" xfId="6337"/>
    <cellStyle name="20% - Accent5 4 4 3 3 2" xfId="6338"/>
    <cellStyle name="20% - Accent5 4 4 3 3 2 2" xfId="24285"/>
    <cellStyle name="20% - Accent5 4 4 3 3 3" xfId="24284"/>
    <cellStyle name="20% - Accent5 4 4 3 4" xfId="6339"/>
    <cellStyle name="20% - Accent5 4 4 3 4 2" xfId="24286"/>
    <cellStyle name="20% - Accent5 4 4 3 5" xfId="24279"/>
    <cellStyle name="20% - Accent5 4 4 4" xfId="6340"/>
    <cellStyle name="20% - Accent5 4 4 4 2" xfId="6341"/>
    <cellStyle name="20% - Accent5 4 4 4 2 2" xfId="6342"/>
    <cellStyle name="20% - Accent5 4 4 4 2 2 2" xfId="24289"/>
    <cellStyle name="20% - Accent5 4 4 4 2 3" xfId="24288"/>
    <cellStyle name="20% - Accent5 4 4 4 3" xfId="6343"/>
    <cellStyle name="20% - Accent5 4 4 4 3 2" xfId="24290"/>
    <cellStyle name="20% - Accent5 4 4 4 4" xfId="24287"/>
    <cellStyle name="20% - Accent5 4 4 5" xfId="6344"/>
    <cellStyle name="20% - Accent5 4 4 5 2" xfId="6345"/>
    <cellStyle name="20% - Accent5 4 4 5 2 2" xfId="24292"/>
    <cellStyle name="20% - Accent5 4 4 5 3" xfId="24291"/>
    <cellStyle name="20% - Accent5 4 4 6" xfId="6346"/>
    <cellStyle name="20% - Accent5 4 4 6 2" xfId="24293"/>
    <cellStyle name="20% - Accent5 4 4 7" xfId="24270"/>
    <cellStyle name="20% - Accent5 4 5" xfId="6347"/>
    <cellStyle name="20% - Accent5 4 5 2" xfId="6348"/>
    <cellStyle name="20% - Accent5 4 5 2 2" xfId="6349"/>
    <cellStyle name="20% - Accent5 4 5 2 2 2" xfId="6350"/>
    <cellStyle name="20% - Accent5 4 5 2 2 2 2" xfId="24297"/>
    <cellStyle name="20% - Accent5 4 5 2 2 3" xfId="24296"/>
    <cellStyle name="20% - Accent5 4 5 2 3" xfId="6351"/>
    <cellStyle name="20% - Accent5 4 5 2 3 2" xfId="24298"/>
    <cellStyle name="20% - Accent5 4 5 2 4" xfId="24295"/>
    <cellStyle name="20% - Accent5 4 5 3" xfId="6352"/>
    <cellStyle name="20% - Accent5 4 5 3 2" xfId="6353"/>
    <cellStyle name="20% - Accent5 4 5 3 2 2" xfId="24300"/>
    <cellStyle name="20% - Accent5 4 5 3 3" xfId="24299"/>
    <cellStyle name="20% - Accent5 4 5 4" xfId="6354"/>
    <cellStyle name="20% - Accent5 4 5 4 2" xfId="24301"/>
    <cellStyle name="20% - Accent5 4 5 5" xfId="24294"/>
    <cellStyle name="20% - Accent5 4 6" xfId="6355"/>
    <cellStyle name="20% - Accent5 4 6 2" xfId="6356"/>
    <cellStyle name="20% - Accent5 4 6 2 2" xfId="6357"/>
    <cellStyle name="20% - Accent5 4 6 2 2 2" xfId="6358"/>
    <cellStyle name="20% - Accent5 4 6 2 2 2 2" xfId="24305"/>
    <cellStyle name="20% - Accent5 4 6 2 2 3" xfId="24304"/>
    <cellStyle name="20% - Accent5 4 6 2 3" xfId="6359"/>
    <cellStyle name="20% - Accent5 4 6 2 3 2" xfId="24306"/>
    <cellStyle name="20% - Accent5 4 6 2 4" xfId="24303"/>
    <cellStyle name="20% - Accent5 4 6 3" xfId="6360"/>
    <cellStyle name="20% - Accent5 4 6 3 2" xfId="6361"/>
    <cellStyle name="20% - Accent5 4 6 3 2 2" xfId="24308"/>
    <cellStyle name="20% - Accent5 4 6 3 3" xfId="24307"/>
    <cellStyle name="20% - Accent5 4 6 4" xfId="6362"/>
    <cellStyle name="20% - Accent5 4 6 4 2" xfId="24309"/>
    <cellStyle name="20% - Accent5 4 6 5" xfId="24302"/>
    <cellStyle name="20% - Accent5 4 7" xfId="6363"/>
    <cellStyle name="20% - Accent5 4 7 2" xfId="6364"/>
    <cellStyle name="20% - Accent5 4 7 2 2" xfId="6365"/>
    <cellStyle name="20% - Accent5 4 7 2 2 2" xfId="24312"/>
    <cellStyle name="20% - Accent5 4 7 2 3" xfId="24311"/>
    <cellStyle name="20% - Accent5 4 7 3" xfId="6366"/>
    <cellStyle name="20% - Accent5 4 7 3 2" xfId="24313"/>
    <cellStyle name="20% - Accent5 4 7 4" xfId="24310"/>
    <cellStyle name="20% - Accent5 4 8" xfId="6367"/>
    <cellStyle name="20% - Accent5 4 8 2" xfId="6368"/>
    <cellStyle name="20% - Accent5 4 8 2 2" xfId="24315"/>
    <cellStyle name="20% - Accent5 4 8 3" xfId="24314"/>
    <cellStyle name="20% - Accent5 4 9" xfId="6369"/>
    <cellStyle name="20% - Accent5 4 9 2" xfId="24316"/>
    <cellStyle name="20% - Accent5 5" xfId="6370"/>
    <cellStyle name="20% - Accent5 5 10" xfId="24317"/>
    <cellStyle name="20% - Accent5 5 2" xfId="6371"/>
    <cellStyle name="20% - Accent5 5 2 2" xfId="6372"/>
    <cellStyle name="20% - Accent5 5 2 2 2" xfId="6373"/>
    <cellStyle name="20% - Accent5 5 2 2 2 2" xfId="6374"/>
    <cellStyle name="20% - Accent5 5 2 2 2 2 2" xfId="6375"/>
    <cellStyle name="20% - Accent5 5 2 2 2 2 2 2" xfId="6376"/>
    <cellStyle name="20% - Accent5 5 2 2 2 2 2 2 2" xfId="6377"/>
    <cellStyle name="20% - Accent5 5 2 2 2 2 2 2 2 2" xfId="24324"/>
    <cellStyle name="20% - Accent5 5 2 2 2 2 2 2 3" xfId="24323"/>
    <cellStyle name="20% - Accent5 5 2 2 2 2 2 3" xfId="6378"/>
    <cellStyle name="20% - Accent5 5 2 2 2 2 2 3 2" xfId="24325"/>
    <cellStyle name="20% - Accent5 5 2 2 2 2 2 4" xfId="24322"/>
    <cellStyle name="20% - Accent5 5 2 2 2 2 3" xfId="6379"/>
    <cellStyle name="20% - Accent5 5 2 2 2 2 3 2" xfId="6380"/>
    <cellStyle name="20% - Accent5 5 2 2 2 2 3 2 2" xfId="24327"/>
    <cellStyle name="20% - Accent5 5 2 2 2 2 3 3" xfId="24326"/>
    <cellStyle name="20% - Accent5 5 2 2 2 2 4" xfId="6381"/>
    <cellStyle name="20% - Accent5 5 2 2 2 2 4 2" xfId="24328"/>
    <cellStyle name="20% - Accent5 5 2 2 2 2 5" xfId="24321"/>
    <cellStyle name="20% - Accent5 5 2 2 2 3" xfId="6382"/>
    <cellStyle name="20% - Accent5 5 2 2 2 3 2" xfId="6383"/>
    <cellStyle name="20% - Accent5 5 2 2 2 3 2 2" xfId="6384"/>
    <cellStyle name="20% - Accent5 5 2 2 2 3 2 2 2" xfId="6385"/>
    <cellStyle name="20% - Accent5 5 2 2 2 3 2 2 2 2" xfId="24332"/>
    <cellStyle name="20% - Accent5 5 2 2 2 3 2 2 3" xfId="24331"/>
    <cellStyle name="20% - Accent5 5 2 2 2 3 2 3" xfId="6386"/>
    <cellStyle name="20% - Accent5 5 2 2 2 3 2 3 2" xfId="24333"/>
    <cellStyle name="20% - Accent5 5 2 2 2 3 2 4" xfId="24330"/>
    <cellStyle name="20% - Accent5 5 2 2 2 3 3" xfId="6387"/>
    <cellStyle name="20% - Accent5 5 2 2 2 3 3 2" xfId="6388"/>
    <cellStyle name="20% - Accent5 5 2 2 2 3 3 2 2" xfId="24335"/>
    <cellStyle name="20% - Accent5 5 2 2 2 3 3 3" xfId="24334"/>
    <cellStyle name="20% - Accent5 5 2 2 2 3 4" xfId="6389"/>
    <cellStyle name="20% - Accent5 5 2 2 2 3 4 2" xfId="24336"/>
    <cellStyle name="20% - Accent5 5 2 2 2 3 5" xfId="24329"/>
    <cellStyle name="20% - Accent5 5 2 2 2 4" xfId="6390"/>
    <cellStyle name="20% - Accent5 5 2 2 2 4 2" xfId="6391"/>
    <cellStyle name="20% - Accent5 5 2 2 2 4 2 2" xfId="6392"/>
    <cellStyle name="20% - Accent5 5 2 2 2 4 2 2 2" xfId="24339"/>
    <cellStyle name="20% - Accent5 5 2 2 2 4 2 3" xfId="24338"/>
    <cellStyle name="20% - Accent5 5 2 2 2 4 3" xfId="6393"/>
    <cellStyle name="20% - Accent5 5 2 2 2 4 3 2" xfId="24340"/>
    <cellStyle name="20% - Accent5 5 2 2 2 4 4" xfId="24337"/>
    <cellStyle name="20% - Accent5 5 2 2 2 5" xfId="6394"/>
    <cellStyle name="20% - Accent5 5 2 2 2 5 2" xfId="6395"/>
    <cellStyle name="20% - Accent5 5 2 2 2 5 2 2" xfId="24342"/>
    <cellStyle name="20% - Accent5 5 2 2 2 5 3" xfId="24341"/>
    <cellStyle name="20% - Accent5 5 2 2 2 6" xfId="6396"/>
    <cellStyle name="20% - Accent5 5 2 2 2 6 2" xfId="24343"/>
    <cellStyle name="20% - Accent5 5 2 2 2 7" xfId="24320"/>
    <cellStyle name="20% - Accent5 5 2 2 3" xfId="6397"/>
    <cellStyle name="20% - Accent5 5 2 2 3 2" xfId="6398"/>
    <cellStyle name="20% - Accent5 5 2 2 3 2 2" xfId="6399"/>
    <cellStyle name="20% - Accent5 5 2 2 3 2 2 2" xfId="6400"/>
    <cellStyle name="20% - Accent5 5 2 2 3 2 2 2 2" xfId="24347"/>
    <cellStyle name="20% - Accent5 5 2 2 3 2 2 3" xfId="24346"/>
    <cellStyle name="20% - Accent5 5 2 2 3 2 3" xfId="6401"/>
    <cellStyle name="20% - Accent5 5 2 2 3 2 3 2" xfId="24348"/>
    <cellStyle name="20% - Accent5 5 2 2 3 2 4" xfId="24345"/>
    <cellStyle name="20% - Accent5 5 2 2 3 3" xfId="6402"/>
    <cellStyle name="20% - Accent5 5 2 2 3 3 2" xfId="6403"/>
    <cellStyle name="20% - Accent5 5 2 2 3 3 2 2" xfId="24350"/>
    <cellStyle name="20% - Accent5 5 2 2 3 3 3" xfId="24349"/>
    <cellStyle name="20% - Accent5 5 2 2 3 4" xfId="6404"/>
    <cellStyle name="20% - Accent5 5 2 2 3 4 2" xfId="24351"/>
    <cellStyle name="20% - Accent5 5 2 2 3 5" xfId="24344"/>
    <cellStyle name="20% - Accent5 5 2 2 4" xfId="6405"/>
    <cellStyle name="20% - Accent5 5 2 2 4 2" xfId="6406"/>
    <cellStyle name="20% - Accent5 5 2 2 4 2 2" xfId="6407"/>
    <cellStyle name="20% - Accent5 5 2 2 4 2 2 2" xfId="6408"/>
    <cellStyle name="20% - Accent5 5 2 2 4 2 2 2 2" xfId="24355"/>
    <cellStyle name="20% - Accent5 5 2 2 4 2 2 3" xfId="24354"/>
    <cellStyle name="20% - Accent5 5 2 2 4 2 3" xfId="6409"/>
    <cellStyle name="20% - Accent5 5 2 2 4 2 3 2" xfId="24356"/>
    <cellStyle name="20% - Accent5 5 2 2 4 2 4" xfId="24353"/>
    <cellStyle name="20% - Accent5 5 2 2 4 3" xfId="6410"/>
    <cellStyle name="20% - Accent5 5 2 2 4 3 2" xfId="6411"/>
    <cellStyle name="20% - Accent5 5 2 2 4 3 2 2" xfId="24358"/>
    <cellStyle name="20% - Accent5 5 2 2 4 3 3" xfId="24357"/>
    <cellStyle name="20% - Accent5 5 2 2 4 4" xfId="6412"/>
    <cellStyle name="20% - Accent5 5 2 2 4 4 2" xfId="24359"/>
    <cellStyle name="20% - Accent5 5 2 2 4 5" xfId="24352"/>
    <cellStyle name="20% - Accent5 5 2 2 5" xfId="6413"/>
    <cellStyle name="20% - Accent5 5 2 2 5 2" xfId="6414"/>
    <cellStyle name="20% - Accent5 5 2 2 5 2 2" xfId="6415"/>
    <cellStyle name="20% - Accent5 5 2 2 5 2 2 2" xfId="24362"/>
    <cellStyle name="20% - Accent5 5 2 2 5 2 3" xfId="24361"/>
    <cellStyle name="20% - Accent5 5 2 2 5 3" xfId="6416"/>
    <cellStyle name="20% - Accent5 5 2 2 5 3 2" xfId="24363"/>
    <cellStyle name="20% - Accent5 5 2 2 5 4" xfId="24360"/>
    <cellStyle name="20% - Accent5 5 2 2 6" xfId="6417"/>
    <cellStyle name="20% - Accent5 5 2 2 6 2" xfId="6418"/>
    <cellStyle name="20% - Accent5 5 2 2 6 2 2" xfId="24365"/>
    <cellStyle name="20% - Accent5 5 2 2 6 3" xfId="24364"/>
    <cellStyle name="20% - Accent5 5 2 2 7" xfId="6419"/>
    <cellStyle name="20% - Accent5 5 2 2 7 2" xfId="24366"/>
    <cellStyle name="20% - Accent5 5 2 2 8" xfId="24319"/>
    <cellStyle name="20% - Accent5 5 2 3" xfId="6420"/>
    <cellStyle name="20% - Accent5 5 2 3 2" xfId="6421"/>
    <cellStyle name="20% - Accent5 5 2 3 2 2" xfId="6422"/>
    <cellStyle name="20% - Accent5 5 2 3 2 2 2" xfId="6423"/>
    <cellStyle name="20% - Accent5 5 2 3 2 2 2 2" xfId="6424"/>
    <cellStyle name="20% - Accent5 5 2 3 2 2 2 2 2" xfId="24371"/>
    <cellStyle name="20% - Accent5 5 2 3 2 2 2 3" xfId="24370"/>
    <cellStyle name="20% - Accent5 5 2 3 2 2 3" xfId="6425"/>
    <cellStyle name="20% - Accent5 5 2 3 2 2 3 2" xfId="24372"/>
    <cellStyle name="20% - Accent5 5 2 3 2 2 4" xfId="24369"/>
    <cellStyle name="20% - Accent5 5 2 3 2 3" xfId="6426"/>
    <cellStyle name="20% - Accent5 5 2 3 2 3 2" xfId="6427"/>
    <cellStyle name="20% - Accent5 5 2 3 2 3 2 2" xfId="24374"/>
    <cellStyle name="20% - Accent5 5 2 3 2 3 3" xfId="24373"/>
    <cellStyle name="20% - Accent5 5 2 3 2 4" xfId="6428"/>
    <cellStyle name="20% - Accent5 5 2 3 2 4 2" xfId="24375"/>
    <cellStyle name="20% - Accent5 5 2 3 2 5" xfId="24368"/>
    <cellStyle name="20% - Accent5 5 2 3 3" xfId="6429"/>
    <cellStyle name="20% - Accent5 5 2 3 3 2" xfId="6430"/>
    <cellStyle name="20% - Accent5 5 2 3 3 2 2" xfId="6431"/>
    <cellStyle name="20% - Accent5 5 2 3 3 2 2 2" xfId="6432"/>
    <cellStyle name="20% - Accent5 5 2 3 3 2 2 2 2" xfId="24379"/>
    <cellStyle name="20% - Accent5 5 2 3 3 2 2 3" xfId="24378"/>
    <cellStyle name="20% - Accent5 5 2 3 3 2 3" xfId="6433"/>
    <cellStyle name="20% - Accent5 5 2 3 3 2 3 2" xfId="24380"/>
    <cellStyle name="20% - Accent5 5 2 3 3 2 4" xfId="24377"/>
    <cellStyle name="20% - Accent5 5 2 3 3 3" xfId="6434"/>
    <cellStyle name="20% - Accent5 5 2 3 3 3 2" xfId="6435"/>
    <cellStyle name="20% - Accent5 5 2 3 3 3 2 2" xfId="24382"/>
    <cellStyle name="20% - Accent5 5 2 3 3 3 3" xfId="24381"/>
    <cellStyle name="20% - Accent5 5 2 3 3 4" xfId="6436"/>
    <cellStyle name="20% - Accent5 5 2 3 3 4 2" xfId="24383"/>
    <cellStyle name="20% - Accent5 5 2 3 3 5" xfId="24376"/>
    <cellStyle name="20% - Accent5 5 2 3 4" xfId="6437"/>
    <cellStyle name="20% - Accent5 5 2 3 4 2" xfId="6438"/>
    <cellStyle name="20% - Accent5 5 2 3 4 2 2" xfId="6439"/>
    <cellStyle name="20% - Accent5 5 2 3 4 2 2 2" xfId="24386"/>
    <cellStyle name="20% - Accent5 5 2 3 4 2 3" xfId="24385"/>
    <cellStyle name="20% - Accent5 5 2 3 4 3" xfId="6440"/>
    <cellStyle name="20% - Accent5 5 2 3 4 3 2" xfId="24387"/>
    <cellStyle name="20% - Accent5 5 2 3 4 4" xfId="24384"/>
    <cellStyle name="20% - Accent5 5 2 3 5" xfId="6441"/>
    <cellStyle name="20% - Accent5 5 2 3 5 2" xfId="6442"/>
    <cellStyle name="20% - Accent5 5 2 3 5 2 2" xfId="24389"/>
    <cellStyle name="20% - Accent5 5 2 3 5 3" xfId="24388"/>
    <cellStyle name="20% - Accent5 5 2 3 6" xfId="6443"/>
    <cellStyle name="20% - Accent5 5 2 3 6 2" xfId="24390"/>
    <cellStyle name="20% - Accent5 5 2 3 7" xfId="24367"/>
    <cellStyle name="20% - Accent5 5 2 4" xfId="6444"/>
    <cellStyle name="20% - Accent5 5 2 4 2" xfId="6445"/>
    <cellStyle name="20% - Accent5 5 2 4 2 2" xfId="6446"/>
    <cellStyle name="20% - Accent5 5 2 4 2 2 2" xfId="6447"/>
    <cellStyle name="20% - Accent5 5 2 4 2 2 2 2" xfId="24394"/>
    <cellStyle name="20% - Accent5 5 2 4 2 2 3" xfId="24393"/>
    <cellStyle name="20% - Accent5 5 2 4 2 3" xfId="6448"/>
    <cellStyle name="20% - Accent5 5 2 4 2 3 2" xfId="24395"/>
    <cellStyle name="20% - Accent5 5 2 4 2 4" xfId="24392"/>
    <cellStyle name="20% - Accent5 5 2 4 3" xfId="6449"/>
    <cellStyle name="20% - Accent5 5 2 4 3 2" xfId="6450"/>
    <cellStyle name="20% - Accent5 5 2 4 3 2 2" xfId="24397"/>
    <cellStyle name="20% - Accent5 5 2 4 3 3" xfId="24396"/>
    <cellStyle name="20% - Accent5 5 2 4 4" xfId="6451"/>
    <cellStyle name="20% - Accent5 5 2 4 4 2" xfId="24398"/>
    <cellStyle name="20% - Accent5 5 2 4 5" xfId="24391"/>
    <cellStyle name="20% - Accent5 5 2 5" xfId="6452"/>
    <cellStyle name="20% - Accent5 5 2 5 2" xfId="6453"/>
    <cellStyle name="20% - Accent5 5 2 5 2 2" xfId="6454"/>
    <cellStyle name="20% - Accent5 5 2 5 2 2 2" xfId="6455"/>
    <cellStyle name="20% - Accent5 5 2 5 2 2 2 2" xfId="24402"/>
    <cellStyle name="20% - Accent5 5 2 5 2 2 3" xfId="24401"/>
    <cellStyle name="20% - Accent5 5 2 5 2 3" xfId="6456"/>
    <cellStyle name="20% - Accent5 5 2 5 2 3 2" xfId="24403"/>
    <cellStyle name="20% - Accent5 5 2 5 2 4" xfId="24400"/>
    <cellStyle name="20% - Accent5 5 2 5 3" xfId="6457"/>
    <cellStyle name="20% - Accent5 5 2 5 3 2" xfId="6458"/>
    <cellStyle name="20% - Accent5 5 2 5 3 2 2" xfId="24405"/>
    <cellStyle name="20% - Accent5 5 2 5 3 3" xfId="24404"/>
    <cellStyle name="20% - Accent5 5 2 5 4" xfId="6459"/>
    <cellStyle name="20% - Accent5 5 2 5 4 2" xfId="24406"/>
    <cellStyle name="20% - Accent5 5 2 5 5" xfId="24399"/>
    <cellStyle name="20% - Accent5 5 2 6" xfId="6460"/>
    <cellStyle name="20% - Accent5 5 2 6 2" xfId="6461"/>
    <cellStyle name="20% - Accent5 5 2 6 2 2" xfId="6462"/>
    <cellStyle name="20% - Accent5 5 2 6 2 2 2" xfId="24409"/>
    <cellStyle name="20% - Accent5 5 2 6 2 3" xfId="24408"/>
    <cellStyle name="20% - Accent5 5 2 6 3" xfId="6463"/>
    <cellStyle name="20% - Accent5 5 2 6 3 2" xfId="24410"/>
    <cellStyle name="20% - Accent5 5 2 6 4" xfId="24407"/>
    <cellStyle name="20% - Accent5 5 2 7" xfId="6464"/>
    <cellStyle name="20% - Accent5 5 2 7 2" xfId="6465"/>
    <cellStyle name="20% - Accent5 5 2 7 2 2" xfId="24412"/>
    <cellStyle name="20% - Accent5 5 2 7 3" xfId="24411"/>
    <cellStyle name="20% - Accent5 5 2 8" xfId="6466"/>
    <cellStyle name="20% - Accent5 5 2 8 2" xfId="24413"/>
    <cellStyle name="20% - Accent5 5 2 9" xfId="24318"/>
    <cellStyle name="20% - Accent5 5 3" xfId="6467"/>
    <cellStyle name="20% - Accent5 5 3 2" xfId="6468"/>
    <cellStyle name="20% - Accent5 5 3 2 2" xfId="6469"/>
    <cellStyle name="20% - Accent5 5 3 2 2 2" xfId="6470"/>
    <cellStyle name="20% - Accent5 5 3 2 2 2 2" xfId="6471"/>
    <cellStyle name="20% - Accent5 5 3 2 2 2 2 2" xfId="6472"/>
    <cellStyle name="20% - Accent5 5 3 2 2 2 2 2 2" xfId="24419"/>
    <cellStyle name="20% - Accent5 5 3 2 2 2 2 3" xfId="24418"/>
    <cellStyle name="20% - Accent5 5 3 2 2 2 3" xfId="6473"/>
    <cellStyle name="20% - Accent5 5 3 2 2 2 3 2" xfId="24420"/>
    <cellStyle name="20% - Accent5 5 3 2 2 2 4" xfId="24417"/>
    <cellStyle name="20% - Accent5 5 3 2 2 3" xfId="6474"/>
    <cellStyle name="20% - Accent5 5 3 2 2 3 2" xfId="6475"/>
    <cellStyle name="20% - Accent5 5 3 2 2 3 2 2" xfId="24422"/>
    <cellStyle name="20% - Accent5 5 3 2 2 3 3" xfId="24421"/>
    <cellStyle name="20% - Accent5 5 3 2 2 4" xfId="6476"/>
    <cellStyle name="20% - Accent5 5 3 2 2 4 2" xfId="24423"/>
    <cellStyle name="20% - Accent5 5 3 2 2 5" xfId="24416"/>
    <cellStyle name="20% - Accent5 5 3 2 3" xfId="6477"/>
    <cellStyle name="20% - Accent5 5 3 2 3 2" xfId="6478"/>
    <cellStyle name="20% - Accent5 5 3 2 3 2 2" xfId="6479"/>
    <cellStyle name="20% - Accent5 5 3 2 3 2 2 2" xfId="6480"/>
    <cellStyle name="20% - Accent5 5 3 2 3 2 2 2 2" xfId="24427"/>
    <cellStyle name="20% - Accent5 5 3 2 3 2 2 3" xfId="24426"/>
    <cellStyle name="20% - Accent5 5 3 2 3 2 3" xfId="6481"/>
    <cellStyle name="20% - Accent5 5 3 2 3 2 3 2" xfId="24428"/>
    <cellStyle name="20% - Accent5 5 3 2 3 2 4" xfId="24425"/>
    <cellStyle name="20% - Accent5 5 3 2 3 3" xfId="6482"/>
    <cellStyle name="20% - Accent5 5 3 2 3 3 2" xfId="6483"/>
    <cellStyle name="20% - Accent5 5 3 2 3 3 2 2" xfId="24430"/>
    <cellStyle name="20% - Accent5 5 3 2 3 3 3" xfId="24429"/>
    <cellStyle name="20% - Accent5 5 3 2 3 4" xfId="6484"/>
    <cellStyle name="20% - Accent5 5 3 2 3 4 2" xfId="24431"/>
    <cellStyle name="20% - Accent5 5 3 2 3 5" xfId="24424"/>
    <cellStyle name="20% - Accent5 5 3 2 4" xfId="6485"/>
    <cellStyle name="20% - Accent5 5 3 2 4 2" xfId="6486"/>
    <cellStyle name="20% - Accent5 5 3 2 4 2 2" xfId="6487"/>
    <cellStyle name="20% - Accent5 5 3 2 4 2 2 2" xfId="24434"/>
    <cellStyle name="20% - Accent5 5 3 2 4 2 3" xfId="24433"/>
    <cellStyle name="20% - Accent5 5 3 2 4 3" xfId="6488"/>
    <cellStyle name="20% - Accent5 5 3 2 4 3 2" xfId="24435"/>
    <cellStyle name="20% - Accent5 5 3 2 4 4" xfId="24432"/>
    <cellStyle name="20% - Accent5 5 3 2 5" xfId="6489"/>
    <cellStyle name="20% - Accent5 5 3 2 5 2" xfId="6490"/>
    <cellStyle name="20% - Accent5 5 3 2 5 2 2" xfId="24437"/>
    <cellStyle name="20% - Accent5 5 3 2 5 3" xfId="24436"/>
    <cellStyle name="20% - Accent5 5 3 2 6" xfId="6491"/>
    <cellStyle name="20% - Accent5 5 3 2 6 2" xfId="24438"/>
    <cellStyle name="20% - Accent5 5 3 2 7" xfId="24415"/>
    <cellStyle name="20% - Accent5 5 3 3" xfId="6492"/>
    <cellStyle name="20% - Accent5 5 3 3 2" xfId="6493"/>
    <cellStyle name="20% - Accent5 5 3 3 2 2" xfId="6494"/>
    <cellStyle name="20% - Accent5 5 3 3 2 2 2" xfId="6495"/>
    <cellStyle name="20% - Accent5 5 3 3 2 2 2 2" xfId="24442"/>
    <cellStyle name="20% - Accent5 5 3 3 2 2 3" xfId="24441"/>
    <cellStyle name="20% - Accent5 5 3 3 2 3" xfId="6496"/>
    <cellStyle name="20% - Accent5 5 3 3 2 3 2" xfId="24443"/>
    <cellStyle name="20% - Accent5 5 3 3 2 4" xfId="24440"/>
    <cellStyle name="20% - Accent5 5 3 3 3" xfId="6497"/>
    <cellStyle name="20% - Accent5 5 3 3 3 2" xfId="6498"/>
    <cellStyle name="20% - Accent5 5 3 3 3 2 2" xfId="24445"/>
    <cellStyle name="20% - Accent5 5 3 3 3 3" xfId="24444"/>
    <cellStyle name="20% - Accent5 5 3 3 4" xfId="6499"/>
    <cellStyle name="20% - Accent5 5 3 3 4 2" xfId="24446"/>
    <cellStyle name="20% - Accent5 5 3 3 5" xfId="24439"/>
    <cellStyle name="20% - Accent5 5 3 4" xfId="6500"/>
    <cellStyle name="20% - Accent5 5 3 4 2" xfId="6501"/>
    <cellStyle name="20% - Accent5 5 3 4 2 2" xfId="6502"/>
    <cellStyle name="20% - Accent5 5 3 4 2 2 2" xfId="6503"/>
    <cellStyle name="20% - Accent5 5 3 4 2 2 2 2" xfId="24450"/>
    <cellStyle name="20% - Accent5 5 3 4 2 2 3" xfId="24449"/>
    <cellStyle name="20% - Accent5 5 3 4 2 3" xfId="6504"/>
    <cellStyle name="20% - Accent5 5 3 4 2 3 2" xfId="24451"/>
    <cellStyle name="20% - Accent5 5 3 4 2 4" xfId="24448"/>
    <cellStyle name="20% - Accent5 5 3 4 3" xfId="6505"/>
    <cellStyle name="20% - Accent5 5 3 4 3 2" xfId="6506"/>
    <cellStyle name="20% - Accent5 5 3 4 3 2 2" xfId="24453"/>
    <cellStyle name="20% - Accent5 5 3 4 3 3" xfId="24452"/>
    <cellStyle name="20% - Accent5 5 3 4 4" xfId="6507"/>
    <cellStyle name="20% - Accent5 5 3 4 4 2" xfId="24454"/>
    <cellStyle name="20% - Accent5 5 3 4 5" xfId="24447"/>
    <cellStyle name="20% - Accent5 5 3 5" xfId="6508"/>
    <cellStyle name="20% - Accent5 5 3 5 2" xfId="6509"/>
    <cellStyle name="20% - Accent5 5 3 5 2 2" xfId="6510"/>
    <cellStyle name="20% - Accent5 5 3 5 2 2 2" xfId="24457"/>
    <cellStyle name="20% - Accent5 5 3 5 2 3" xfId="24456"/>
    <cellStyle name="20% - Accent5 5 3 5 3" xfId="6511"/>
    <cellStyle name="20% - Accent5 5 3 5 3 2" xfId="24458"/>
    <cellStyle name="20% - Accent5 5 3 5 4" xfId="24455"/>
    <cellStyle name="20% - Accent5 5 3 6" xfId="6512"/>
    <cellStyle name="20% - Accent5 5 3 6 2" xfId="6513"/>
    <cellStyle name="20% - Accent5 5 3 6 2 2" xfId="24460"/>
    <cellStyle name="20% - Accent5 5 3 6 3" xfId="24459"/>
    <cellStyle name="20% - Accent5 5 3 7" xfId="6514"/>
    <cellStyle name="20% - Accent5 5 3 7 2" xfId="24461"/>
    <cellStyle name="20% - Accent5 5 3 8" xfId="24414"/>
    <cellStyle name="20% - Accent5 5 4" xfId="6515"/>
    <cellStyle name="20% - Accent5 5 4 2" xfId="6516"/>
    <cellStyle name="20% - Accent5 5 4 2 2" xfId="6517"/>
    <cellStyle name="20% - Accent5 5 4 2 2 2" xfId="6518"/>
    <cellStyle name="20% - Accent5 5 4 2 2 2 2" xfId="6519"/>
    <cellStyle name="20% - Accent5 5 4 2 2 2 2 2" xfId="24466"/>
    <cellStyle name="20% - Accent5 5 4 2 2 2 3" xfId="24465"/>
    <cellStyle name="20% - Accent5 5 4 2 2 3" xfId="6520"/>
    <cellStyle name="20% - Accent5 5 4 2 2 3 2" xfId="24467"/>
    <cellStyle name="20% - Accent5 5 4 2 2 4" xfId="24464"/>
    <cellStyle name="20% - Accent5 5 4 2 3" xfId="6521"/>
    <cellStyle name="20% - Accent5 5 4 2 3 2" xfId="6522"/>
    <cellStyle name="20% - Accent5 5 4 2 3 2 2" xfId="24469"/>
    <cellStyle name="20% - Accent5 5 4 2 3 3" xfId="24468"/>
    <cellStyle name="20% - Accent5 5 4 2 4" xfId="6523"/>
    <cellStyle name="20% - Accent5 5 4 2 4 2" xfId="24470"/>
    <cellStyle name="20% - Accent5 5 4 2 5" xfId="24463"/>
    <cellStyle name="20% - Accent5 5 4 3" xfId="6524"/>
    <cellStyle name="20% - Accent5 5 4 3 2" xfId="6525"/>
    <cellStyle name="20% - Accent5 5 4 3 2 2" xfId="6526"/>
    <cellStyle name="20% - Accent5 5 4 3 2 2 2" xfId="6527"/>
    <cellStyle name="20% - Accent5 5 4 3 2 2 2 2" xfId="24474"/>
    <cellStyle name="20% - Accent5 5 4 3 2 2 3" xfId="24473"/>
    <cellStyle name="20% - Accent5 5 4 3 2 3" xfId="6528"/>
    <cellStyle name="20% - Accent5 5 4 3 2 3 2" xfId="24475"/>
    <cellStyle name="20% - Accent5 5 4 3 2 4" xfId="24472"/>
    <cellStyle name="20% - Accent5 5 4 3 3" xfId="6529"/>
    <cellStyle name="20% - Accent5 5 4 3 3 2" xfId="6530"/>
    <cellStyle name="20% - Accent5 5 4 3 3 2 2" xfId="24477"/>
    <cellStyle name="20% - Accent5 5 4 3 3 3" xfId="24476"/>
    <cellStyle name="20% - Accent5 5 4 3 4" xfId="6531"/>
    <cellStyle name="20% - Accent5 5 4 3 4 2" xfId="24478"/>
    <cellStyle name="20% - Accent5 5 4 3 5" xfId="24471"/>
    <cellStyle name="20% - Accent5 5 4 4" xfId="6532"/>
    <cellStyle name="20% - Accent5 5 4 4 2" xfId="6533"/>
    <cellStyle name="20% - Accent5 5 4 4 2 2" xfId="6534"/>
    <cellStyle name="20% - Accent5 5 4 4 2 2 2" xfId="24481"/>
    <cellStyle name="20% - Accent5 5 4 4 2 3" xfId="24480"/>
    <cellStyle name="20% - Accent5 5 4 4 3" xfId="6535"/>
    <cellStyle name="20% - Accent5 5 4 4 3 2" xfId="24482"/>
    <cellStyle name="20% - Accent5 5 4 4 4" xfId="24479"/>
    <cellStyle name="20% - Accent5 5 4 5" xfId="6536"/>
    <cellStyle name="20% - Accent5 5 4 5 2" xfId="6537"/>
    <cellStyle name="20% - Accent5 5 4 5 2 2" xfId="24484"/>
    <cellStyle name="20% - Accent5 5 4 5 3" xfId="24483"/>
    <cellStyle name="20% - Accent5 5 4 6" xfId="6538"/>
    <cellStyle name="20% - Accent5 5 4 6 2" xfId="24485"/>
    <cellStyle name="20% - Accent5 5 4 7" xfId="24462"/>
    <cellStyle name="20% - Accent5 5 5" xfId="6539"/>
    <cellStyle name="20% - Accent5 5 5 2" xfId="6540"/>
    <cellStyle name="20% - Accent5 5 5 2 2" xfId="6541"/>
    <cellStyle name="20% - Accent5 5 5 2 2 2" xfId="6542"/>
    <cellStyle name="20% - Accent5 5 5 2 2 2 2" xfId="24489"/>
    <cellStyle name="20% - Accent5 5 5 2 2 3" xfId="24488"/>
    <cellStyle name="20% - Accent5 5 5 2 3" xfId="6543"/>
    <cellStyle name="20% - Accent5 5 5 2 3 2" xfId="24490"/>
    <cellStyle name="20% - Accent5 5 5 2 4" xfId="24487"/>
    <cellStyle name="20% - Accent5 5 5 3" xfId="6544"/>
    <cellStyle name="20% - Accent5 5 5 3 2" xfId="6545"/>
    <cellStyle name="20% - Accent5 5 5 3 2 2" xfId="24492"/>
    <cellStyle name="20% - Accent5 5 5 3 3" xfId="24491"/>
    <cellStyle name="20% - Accent5 5 5 4" xfId="6546"/>
    <cellStyle name="20% - Accent5 5 5 4 2" xfId="24493"/>
    <cellStyle name="20% - Accent5 5 5 5" xfId="24486"/>
    <cellStyle name="20% - Accent5 5 6" xfId="6547"/>
    <cellStyle name="20% - Accent5 5 6 2" xfId="6548"/>
    <cellStyle name="20% - Accent5 5 6 2 2" xfId="6549"/>
    <cellStyle name="20% - Accent5 5 6 2 2 2" xfId="6550"/>
    <cellStyle name="20% - Accent5 5 6 2 2 2 2" xfId="24497"/>
    <cellStyle name="20% - Accent5 5 6 2 2 3" xfId="24496"/>
    <cellStyle name="20% - Accent5 5 6 2 3" xfId="6551"/>
    <cellStyle name="20% - Accent5 5 6 2 3 2" xfId="24498"/>
    <cellStyle name="20% - Accent5 5 6 2 4" xfId="24495"/>
    <cellStyle name="20% - Accent5 5 6 3" xfId="6552"/>
    <cellStyle name="20% - Accent5 5 6 3 2" xfId="6553"/>
    <cellStyle name="20% - Accent5 5 6 3 2 2" xfId="24500"/>
    <cellStyle name="20% - Accent5 5 6 3 3" xfId="24499"/>
    <cellStyle name="20% - Accent5 5 6 4" xfId="6554"/>
    <cellStyle name="20% - Accent5 5 6 4 2" xfId="24501"/>
    <cellStyle name="20% - Accent5 5 6 5" xfId="24494"/>
    <cellStyle name="20% - Accent5 5 7" xfId="6555"/>
    <cellStyle name="20% - Accent5 5 7 2" xfId="6556"/>
    <cellStyle name="20% - Accent5 5 7 2 2" xfId="6557"/>
    <cellStyle name="20% - Accent5 5 7 2 2 2" xfId="24504"/>
    <cellStyle name="20% - Accent5 5 7 2 3" xfId="24503"/>
    <cellStyle name="20% - Accent5 5 7 3" xfId="6558"/>
    <cellStyle name="20% - Accent5 5 7 3 2" xfId="24505"/>
    <cellStyle name="20% - Accent5 5 7 4" xfId="24502"/>
    <cellStyle name="20% - Accent5 5 8" xfId="6559"/>
    <cellStyle name="20% - Accent5 5 8 2" xfId="6560"/>
    <cellStyle name="20% - Accent5 5 8 2 2" xfId="24507"/>
    <cellStyle name="20% - Accent5 5 8 3" xfId="24506"/>
    <cellStyle name="20% - Accent5 5 9" xfId="6561"/>
    <cellStyle name="20% - Accent5 5 9 2" xfId="24508"/>
    <cellStyle name="20% - Accent5 6" xfId="6562"/>
    <cellStyle name="20% - Accent5 6 10" xfId="24509"/>
    <cellStyle name="20% - Accent5 6 2" xfId="6563"/>
    <cellStyle name="20% - Accent5 6 2 2" xfId="6564"/>
    <cellStyle name="20% - Accent5 6 2 2 2" xfId="6565"/>
    <cellStyle name="20% - Accent5 6 2 2 2 2" xfId="6566"/>
    <cellStyle name="20% - Accent5 6 2 2 2 2 2" xfId="6567"/>
    <cellStyle name="20% - Accent5 6 2 2 2 2 2 2" xfId="6568"/>
    <cellStyle name="20% - Accent5 6 2 2 2 2 2 2 2" xfId="6569"/>
    <cellStyle name="20% - Accent5 6 2 2 2 2 2 2 2 2" xfId="24516"/>
    <cellStyle name="20% - Accent5 6 2 2 2 2 2 2 3" xfId="24515"/>
    <cellStyle name="20% - Accent5 6 2 2 2 2 2 3" xfId="6570"/>
    <cellStyle name="20% - Accent5 6 2 2 2 2 2 3 2" xfId="24517"/>
    <cellStyle name="20% - Accent5 6 2 2 2 2 2 4" xfId="24514"/>
    <cellStyle name="20% - Accent5 6 2 2 2 2 3" xfId="6571"/>
    <cellStyle name="20% - Accent5 6 2 2 2 2 3 2" xfId="6572"/>
    <cellStyle name="20% - Accent5 6 2 2 2 2 3 2 2" xfId="24519"/>
    <cellStyle name="20% - Accent5 6 2 2 2 2 3 3" xfId="24518"/>
    <cellStyle name="20% - Accent5 6 2 2 2 2 4" xfId="6573"/>
    <cellStyle name="20% - Accent5 6 2 2 2 2 4 2" xfId="24520"/>
    <cellStyle name="20% - Accent5 6 2 2 2 2 5" xfId="24513"/>
    <cellStyle name="20% - Accent5 6 2 2 2 3" xfId="6574"/>
    <cellStyle name="20% - Accent5 6 2 2 2 3 2" xfId="6575"/>
    <cellStyle name="20% - Accent5 6 2 2 2 3 2 2" xfId="6576"/>
    <cellStyle name="20% - Accent5 6 2 2 2 3 2 2 2" xfId="6577"/>
    <cellStyle name="20% - Accent5 6 2 2 2 3 2 2 2 2" xfId="24524"/>
    <cellStyle name="20% - Accent5 6 2 2 2 3 2 2 3" xfId="24523"/>
    <cellStyle name="20% - Accent5 6 2 2 2 3 2 3" xfId="6578"/>
    <cellStyle name="20% - Accent5 6 2 2 2 3 2 3 2" xfId="24525"/>
    <cellStyle name="20% - Accent5 6 2 2 2 3 2 4" xfId="24522"/>
    <cellStyle name="20% - Accent5 6 2 2 2 3 3" xfId="6579"/>
    <cellStyle name="20% - Accent5 6 2 2 2 3 3 2" xfId="6580"/>
    <cellStyle name="20% - Accent5 6 2 2 2 3 3 2 2" xfId="24527"/>
    <cellStyle name="20% - Accent5 6 2 2 2 3 3 3" xfId="24526"/>
    <cellStyle name="20% - Accent5 6 2 2 2 3 4" xfId="6581"/>
    <cellStyle name="20% - Accent5 6 2 2 2 3 4 2" xfId="24528"/>
    <cellStyle name="20% - Accent5 6 2 2 2 3 5" xfId="24521"/>
    <cellStyle name="20% - Accent5 6 2 2 2 4" xfId="6582"/>
    <cellStyle name="20% - Accent5 6 2 2 2 4 2" xfId="6583"/>
    <cellStyle name="20% - Accent5 6 2 2 2 4 2 2" xfId="6584"/>
    <cellStyle name="20% - Accent5 6 2 2 2 4 2 2 2" xfId="24531"/>
    <cellStyle name="20% - Accent5 6 2 2 2 4 2 3" xfId="24530"/>
    <cellStyle name="20% - Accent5 6 2 2 2 4 3" xfId="6585"/>
    <cellStyle name="20% - Accent5 6 2 2 2 4 3 2" xfId="24532"/>
    <cellStyle name="20% - Accent5 6 2 2 2 4 4" xfId="24529"/>
    <cellStyle name="20% - Accent5 6 2 2 2 5" xfId="6586"/>
    <cellStyle name="20% - Accent5 6 2 2 2 5 2" xfId="6587"/>
    <cellStyle name="20% - Accent5 6 2 2 2 5 2 2" xfId="24534"/>
    <cellStyle name="20% - Accent5 6 2 2 2 5 3" xfId="24533"/>
    <cellStyle name="20% - Accent5 6 2 2 2 6" xfId="6588"/>
    <cellStyle name="20% - Accent5 6 2 2 2 6 2" xfId="24535"/>
    <cellStyle name="20% - Accent5 6 2 2 2 7" xfId="24512"/>
    <cellStyle name="20% - Accent5 6 2 2 3" xfId="6589"/>
    <cellStyle name="20% - Accent5 6 2 2 3 2" xfId="6590"/>
    <cellStyle name="20% - Accent5 6 2 2 3 2 2" xfId="6591"/>
    <cellStyle name="20% - Accent5 6 2 2 3 2 2 2" xfId="6592"/>
    <cellStyle name="20% - Accent5 6 2 2 3 2 2 2 2" xfId="24539"/>
    <cellStyle name="20% - Accent5 6 2 2 3 2 2 3" xfId="24538"/>
    <cellStyle name="20% - Accent5 6 2 2 3 2 3" xfId="6593"/>
    <cellStyle name="20% - Accent5 6 2 2 3 2 3 2" xfId="24540"/>
    <cellStyle name="20% - Accent5 6 2 2 3 2 4" xfId="24537"/>
    <cellStyle name="20% - Accent5 6 2 2 3 3" xfId="6594"/>
    <cellStyle name="20% - Accent5 6 2 2 3 3 2" xfId="6595"/>
    <cellStyle name="20% - Accent5 6 2 2 3 3 2 2" xfId="24542"/>
    <cellStyle name="20% - Accent5 6 2 2 3 3 3" xfId="24541"/>
    <cellStyle name="20% - Accent5 6 2 2 3 4" xfId="6596"/>
    <cellStyle name="20% - Accent5 6 2 2 3 4 2" xfId="24543"/>
    <cellStyle name="20% - Accent5 6 2 2 3 5" xfId="24536"/>
    <cellStyle name="20% - Accent5 6 2 2 4" xfId="6597"/>
    <cellStyle name="20% - Accent5 6 2 2 4 2" xfId="6598"/>
    <cellStyle name="20% - Accent5 6 2 2 4 2 2" xfId="6599"/>
    <cellStyle name="20% - Accent5 6 2 2 4 2 2 2" xfId="6600"/>
    <cellStyle name="20% - Accent5 6 2 2 4 2 2 2 2" xfId="24547"/>
    <cellStyle name="20% - Accent5 6 2 2 4 2 2 3" xfId="24546"/>
    <cellStyle name="20% - Accent5 6 2 2 4 2 3" xfId="6601"/>
    <cellStyle name="20% - Accent5 6 2 2 4 2 3 2" xfId="24548"/>
    <cellStyle name="20% - Accent5 6 2 2 4 2 4" xfId="24545"/>
    <cellStyle name="20% - Accent5 6 2 2 4 3" xfId="6602"/>
    <cellStyle name="20% - Accent5 6 2 2 4 3 2" xfId="6603"/>
    <cellStyle name="20% - Accent5 6 2 2 4 3 2 2" xfId="24550"/>
    <cellStyle name="20% - Accent5 6 2 2 4 3 3" xfId="24549"/>
    <cellStyle name="20% - Accent5 6 2 2 4 4" xfId="6604"/>
    <cellStyle name="20% - Accent5 6 2 2 4 4 2" xfId="24551"/>
    <cellStyle name="20% - Accent5 6 2 2 4 5" xfId="24544"/>
    <cellStyle name="20% - Accent5 6 2 2 5" xfId="6605"/>
    <cellStyle name="20% - Accent5 6 2 2 5 2" xfId="6606"/>
    <cellStyle name="20% - Accent5 6 2 2 5 2 2" xfId="6607"/>
    <cellStyle name="20% - Accent5 6 2 2 5 2 2 2" xfId="24554"/>
    <cellStyle name="20% - Accent5 6 2 2 5 2 3" xfId="24553"/>
    <cellStyle name="20% - Accent5 6 2 2 5 3" xfId="6608"/>
    <cellStyle name="20% - Accent5 6 2 2 5 3 2" xfId="24555"/>
    <cellStyle name="20% - Accent5 6 2 2 5 4" xfId="24552"/>
    <cellStyle name="20% - Accent5 6 2 2 6" xfId="6609"/>
    <cellStyle name="20% - Accent5 6 2 2 6 2" xfId="6610"/>
    <cellStyle name="20% - Accent5 6 2 2 6 2 2" xfId="24557"/>
    <cellStyle name="20% - Accent5 6 2 2 6 3" xfId="24556"/>
    <cellStyle name="20% - Accent5 6 2 2 7" xfId="6611"/>
    <cellStyle name="20% - Accent5 6 2 2 7 2" xfId="24558"/>
    <cellStyle name="20% - Accent5 6 2 2 8" xfId="24511"/>
    <cellStyle name="20% - Accent5 6 2 3" xfId="6612"/>
    <cellStyle name="20% - Accent5 6 2 3 2" xfId="6613"/>
    <cellStyle name="20% - Accent5 6 2 3 2 2" xfId="6614"/>
    <cellStyle name="20% - Accent5 6 2 3 2 2 2" xfId="6615"/>
    <cellStyle name="20% - Accent5 6 2 3 2 2 2 2" xfId="6616"/>
    <cellStyle name="20% - Accent5 6 2 3 2 2 2 2 2" xfId="24563"/>
    <cellStyle name="20% - Accent5 6 2 3 2 2 2 3" xfId="24562"/>
    <cellStyle name="20% - Accent5 6 2 3 2 2 3" xfId="6617"/>
    <cellStyle name="20% - Accent5 6 2 3 2 2 3 2" xfId="24564"/>
    <cellStyle name="20% - Accent5 6 2 3 2 2 4" xfId="24561"/>
    <cellStyle name="20% - Accent5 6 2 3 2 3" xfId="6618"/>
    <cellStyle name="20% - Accent5 6 2 3 2 3 2" xfId="6619"/>
    <cellStyle name="20% - Accent5 6 2 3 2 3 2 2" xfId="24566"/>
    <cellStyle name="20% - Accent5 6 2 3 2 3 3" xfId="24565"/>
    <cellStyle name="20% - Accent5 6 2 3 2 4" xfId="6620"/>
    <cellStyle name="20% - Accent5 6 2 3 2 4 2" xfId="24567"/>
    <cellStyle name="20% - Accent5 6 2 3 2 5" xfId="24560"/>
    <cellStyle name="20% - Accent5 6 2 3 3" xfId="6621"/>
    <cellStyle name="20% - Accent5 6 2 3 3 2" xfId="6622"/>
    <cellStyle name="20% - Accent5 6 2 3 3 2 2" xfId="6623"/>
    <cellStyle name="20% - Accent5 6 2 3 3 2 2 2" xfId="6624"/>
    <cellStyle name="20% - Accent5 6 2 3 3 2 2 2 2" xfId="24571"/>
    <cellStyle name="20% - Accent5 6 2 3 3 2 2 3" xfId="24570"/>
    <cellStyle name="20% - Accent5 6 2 3 3 2 3" xfId="6625"/>
    <cellStyle name="20% - Accent5 6 2 3 3 2 3 2" xfId="24572"/>
    <cellStyle name="20% - Accent5 6 2 3 3 2 4" xfId="24569"/>
    <cellStyle name="20% - Accent5 6 2 3 3 3" xfId="6626"/>
    <cellStyle name="20% - Accent5 6 2 3 3 3 2" xfId="6627"/>
    <cellStyle name="20% - Accent5 6 2 3 3 3 2 2" xfId="24574"/>
    <cellStyle name="20% - Accent5 6 2 3 3 3 3" xfId="24573"/>
    <cellStyle name="20% - Accent5 6 2 3 3 4" xfId="6628"/>
    <cellStyle name="20% - Accent5 6 2 3 3 4 2" xfId="24575"/>
    <cellStyle name="20% - Accent5 6 2 3 3 5" xfId="24568"/>
    <cellStyle name="20% - Accent5 6 2 3 4" xfId="6629"/>
    <cellStyle name="20% - Accent5 6 2 3 4 2" xfId="6630"/>
    <cellStyle name="20% - Accent5 6 2 3 4 2 2" xfId="6631"/>
    <cellStyle name="20% - Accent5 6 2 3 4 2 2 2" xfId="24578"/>
    <cellStyle name="20% - Accent5 6 2 3 4 2 3" xfId="24577"/>
    <cellStyle name="20% - Accent5 6 2 3 4 3" xfId="6632"/>
    <cellStyle name="20% - Accent5 6 2 3 4 3 2" xfId="24579"/>
    <cellStyle name="20% - Accent5 6 2 3 4 4" xfId="24576"/>
    <cellStyle name="20% - Accent5 6 2 3 5" xfId="6633"/>
    <cellStyle name="20% - Accent5 6 2 3 5 2" xfId="6634"/>
    <cellStyle name="20% - Accent5 6 2 3 5 2 2" xfId="24581"/>
    <cellStyle name="20% - Accent5 6 2 3 5 3" xfId="24580"/>
    <cellStyle name="20% - Accent5 6 2 3 6" xfId="6635"/>
    <cellStyle name="20% - Accent5 6 2 3 6 2" xfId="24582"/>
    <cellStyle name="20% - Accent5 6 2 3 7" xfId="24559"/>
    <cellStyle name="20% - Accent5 6 2 4" xfId="6636"/>
    <cellStyle name="20% - Accent5 6 2 4 2" xfId="6637"/>
    <cellStyle name="20% - Accent5 6 2 4 2 2" xfId="6638"/>
    <cellStyle name="20% - Accent5 6 2 4 2 2 2" xfId="6639"/>
    <cellStyle name="20% - Accent5 6 2 4 2 2 2 2" xfId="24586"/>
    <cellStyle name="20% - Accent5 6 2 4 2 2 3" xfId="24585"/>
    <cellStyle name="20% - Accent5 6 2 4 2 3" xfId="6640"/>
    <cellStyle name="20% - Accent5 6 2 4 2 3 2" xfId="24587"/>
    <cellStyle name="20% - Accent5 6 2 4 2 4" xfId="24584"/>
    <cellStyle name="20% - Accent5 6 2 4 3" xfId="6641"/>
    <cellStyle name="20% - Accent5 6 2 4 3 2" xfId="6642"/>
    <cellStyle name="20% - Accent5 6 2 4 3 2 2" xfId="24589"/>
    <cellStyle name="20% - Accent5 6 2 4 3 3" xfId="24588"/>
    <cellStyle name="20% - Accent5 6 2 4 4" xfId="6643"/>
    <cellStyle name="20% - Accent5 6 2 4 4 2" xfId="24590"/>
    <cellStyle name="20% - Accent5 6 2 4 5" xfId="24583"/>
    <cellStyle name="20% - Accent5 6 2 5" xfId="6644"/>
    <cellStyle name="20% - Accent5 6 2 5 2" xfId="6645"/>
    <cellStyle name="20% - Accent5 6 2 5 2 2" xfId="6646"/>
    <cellStyle name="20% - Accent5 6 2 5 2 2 2" xfId="6647"/>
    <cellStyle name="20% - Accent5 6 2 5 2 2 2 2" xfId="24594"/>
    <cellStyle name="20% - Accent5 6 2 5 2 2 3" xfId="24593"/>
    <cellStyle name="20% - Accent5 6 2 5 2 3" xfId="6648"/>
    <cellStyle name="20% - Accent5 6 2 5 2 3 2" xfId="24595"/>
    <cellStyle name="20% - Accent5 6 2 5 2 4" xfId="24592"/>
    <cellStyle name="20% - Accent5 6 2 5 3" xfId="6649"/>
    <cellStyle name="20% - Accent5 6 2 5 3 2" xfId="6650"/>
    <cellStyle name="20% - Accent5 6 2 5 3 2 2" xfId="24597"/>
    <cellStyle name="20% - Accent5 6 2 5 3 3" xfId="24596"/>
    <cellStyle name="20% - Accent5 6 2 5 4" xfId="6651"/>
    <cellStyle name="20% - Accent5 6 2 5 4 2" xfId="24598"/>
    <cellStyle name="20% - Accent5 6 2 5 5" xfId="24591"/>
    <cellStyle name="20% - Accent5 6 2 6" xfId="6652"/>
    <cellStyle name="20% - Accent5 6 2 6 2" xfId="6653"/>
    <cellStyle name="20% - Accent5 6 2 6 2 2" xfId="6654"/>
    <cellStyle name="20% - Accent5 6 2 6 2 2 2" xfId="24601"/>
    <cellStyle name="20% - Accent5 6 2 6 2 3" xfId="24600"/>
    <cellStyle name="20% - Accent5 6 2 6 3" xfId="6655"/>
    <cellStyle name="20% - Accent5 6 2 6 3 2" xfId="24602"/>
    <cellStyle name="20% - Accent5 6 2 6 4" xfId="24599"/>
    <cellStyle name="20% - Accent5 6 2 7" xfId="6656"/>
    <cellStyle name="20% - Accent5 6 2 7 2" xfId="6657"/>
    <cellStyle name="20% - Accent5 6 2 7 2 2" xfId="24604"/>
    <cellStyle name="20% - Accent5 6 2 7 3" xfId="24603"/>
    <cellStyle name="20% - Accent5 6 2 8" xfId="6658"/>
    <cellStyle name="20% - Accent5 6 2 8 2" xfId="24605"/>
    <cellStyle name="20% - Accent5 6 2 9" xfId="24510"/>
    <cellStyle name="20% - Accent5 6 3" xfId="6659"/>
    <cellStyle name="20% - Accent5 6 3 2" xfId="6660"/>
    <cellStyle name="20% - Accent5 6 3 2 2" xfId="6661"/>
    <cellStyle name="20% - Accent5 6 3 2 2 2" xfId="6662"/>
    <cellStyle name="20% - Accent5 6 3 2 2 2 2" xfId="6663"/>
    <cellStyle name="20% - Accent5 6 3 2 2 2 2 2" xfId="6664"/>
    <cellStyle name="20% - Accent5 6 3 2 2 2 2 2 2" xfId="24611"/>
    <cellStyle name="20% - Accent5 6 3 2 2 2 2 3" xfId="24610"/>
    <cellStyle name="20% - Accent5 6 3 2 2 2 3" xfId="6665"/>
    <cellStyle name="20% - Accent5 6 3 2 2 2 3 2" xfId="24612"/>
    <cellStyle name="20% - Accent5 6 3 2 2 2 4" xfId="24609"/>
    <cellStyle name="20% - Accent5 6 3 2 2 3" xfId="6666"/>
    <cellStyle name="20% - Accent5 6 3 2 2 3 2" xfId="6667"/>
    <cellStyle name="20% - Accent5 6 3 2 2 3 2 2" xfId="24614"/>
    <cellStyle name="20% - Accent5 6 3 2 2 3 3" xfId="24613"/>
    <cellStyle name="20% - Accent5 6 3 2 2 4" xfId="6668"/>
    <cellStyle name="20% - Accent5 6 3 2 2 4 2" xfId="24615"/>
    <cellStyle name="20% - Accent5 6 3 2 2 5" xfId="24608"/>
    <cellStyle name="20% - Accent5 6 3 2 3" xfId="6669"/>
    <cellStyle name="20% - Accent5 6 3 2 3 2" xfId="6670"/>
    <cellStyle name="20% - Accent5 6 3 2 3 2 2" xfId="6671"/>
    <cellStyle name="20% - Accent5 6 3 2 3 2 2 2" xfId="6672"/>
    <cellStyle name="20% - Accent5 6 3 2 3 2 2 2 2" xfId="24619"/>
    <cellStyle name="20% - Accent5 6 3 2 3 2 2 3" xfId="24618"/>
    <cellStyle name="20% - Accent5 6 3 2 3 2 3" xfId="6673"/>
    <cellStyle name="20% - Accent5 6 3 2 3 2 3 2" xfId="24620"/>
    <cellStyle name="20% - Accent5 6 3 2 3 2 4" xfId="24617"/>
    <cellStyle name="20% - Accent5 6 3 2 3 3" xfId="6674"/>
    <cellStyle name="20% - Accent5 6 3 2 3 3 2" xfId="6675"/>
    <cellStyle name="20% - Accent5 6 3 2 3 3 2 2" xfId="24622"/>
    <cellStyle name="20% - Accent5 6 3 2 3 3 3" xfId="24621"/>
    <cellStyle name="20% - Accent5 6 3 2 3 4" xfId="6676"/>
    <cellStyle name="20% - Accent5 6 3 2 3 4 2" xfId="24623"/>
    <cellStyle name="20% - Accent5 6 3 2 3 5" xfId="24616"/>
    <cellStyle name="20% - Accent5 6 3 2 4" xfId="6677"/>
    <cellStyle name="20% - Accent5 6 3 2 4 2" xfId="6678"/>
    <cellStyle name="20% - Accent5 6 3 2 4 2 2" xfId="6679"/>
    <cellStyle name="20% - Accent5 6 3 2 4 2 2 2" xfId="24626"/>
    <cellStyle name="20% - Accent5 6 3 2 4 2 3" xfId="24625"/>
    <cellStyle name="20% - Accent5 6 3 2 4 3" xfId="6680"/>
    <cellStyle name="20% - Accent5 6 3 2 4 3 2" xfId="24627"/>
    <cellStyle name="20% - Accent5 6 3 2 4 4" xfId="24624"/>
    <cellStyle name="20% - Accent5 6 3 2 5" xfId="6681"/>
    <cellStyle name="20% - Accent5 6 3 2 5 2" xfId="6682"/>
    <cellStyle name="20% - Accent5 6 3 2 5 2 2" xfId="24629"/>
    <cellStyle name="20% - Accent5 6 3 2 5 3" xfId="24628"/>
    <cellStyle name="20% - Accent5 6 3 2 6" xfId="6683"/>
    <cellStyle name="20% - Accent5 6 3 2 6 2" xfId="24630"/>
    <cellStyle name="20% - Accent5 6 3 2 7" xfId="24607"/>
    <cellStyle name="20% - Accent5 6 3 3" xfId="6684"/>
    <cellStyle name="20% - Accent5 6 3 3 2" xfId="6685"/>
    <cellStyle name="20% - Accent5 6 3 3 2 2" xfId="6686"/>
    <cellStyle name="20% - Accent5 6 3 3 2 2 2" xfId="6687"/>
    <cellStyle name="20% - Accent5 6 3 3 2 2 2 2" xfId="24634"/>
    <cellStyle name="20% - Accent5 6 3 3 2 2 3" xfId="24633"/>
    <cellStyle name="20% - Accent5 6 3 3 2 3" xfId="6688"/>
    <cellStyle name="20% - Accent5 6 3 3 2 3 2" xfId="24635"/>
    <cellStyle name="20% - Accent5 6 3 3 2 4" xfId="24632"/>
    <cellStyle name="20% - Accent5 6 3 3 3" xfId="6689"/>
    <cellStyle name="20% - Accent5 6 3 3 3 2" xfId="6690"/>
    <cellStyle name="20% - Accent5 6 3 3 3 2 2" xfId="24637"/>
    <cellStyle name="20% - Accent5 6 3 3 3 3" xfId="24636"/>
    <cellStyle name="20% - Accent5 6 3 3 4" xfId="6691"/>
    <cellStyle name="20% - Accent5 6 3 3 4 2" xfId="24638"/>
    <cellStyle name="20% - Accent5 6 3 3 5" xfId="24631"/>
    <cellStyle name="20% - Accent5 6 3 4" xfId="6692"/>
    <cellStyle name="20% - Accent5 6 3 4 2" xfId="6693"/>
    <cellStyle name="20% - Accent5 6 3 4 2 2" xfId="6694"/>
    <cellStyle name="20% - Accent5 6 3 4 2 2 2" xfId="6695"/>
    <cellStyle name="20% - Accent5 6 3 4 2 2 2 2" xfId="24642"/>
    <cellStyle name="20% - Accent5 6 3 4 2 2 3" xfId="24641"/>
    <cellStyle name="20% - Accent5 6 3 4 2 3" xfId="6696"/>
    <cellStyle name="20% - Accent5 6 3 4 2 3 2" xfId="24643"/>
    <cellStyle name="20% - Accent5 6 3 4 2 4" xfId="24640"/>
    <cellStyle name="20% - Accent5 6 3 4 3" xfId="6697"/>
    <cellStyle name="20% - Accent5 6 3 4 3 2" xfId="6698"/>
    <cellStyle name="20% - Accent5 6 3 4 3 2 2" xfId="24645"/>
    <cellStyle name="20% - Accent5 6 3 4 3 3" xfId="24644"/>
    <cellStyle name="20% - Accent5 6 3 4 4" xfId="6699"/>
    <cellStyle name="20% - Accent5 6 3 4 4 2" xfId="24646"/>
    <cellStyle name="20% - Accent5 6 3 4 5" xfId="24639"/>
    <cellStyle name="20% - Accent5 6 3 5" xfId="6700"/>
    <cellStyle name="20% - Accent5 6 3 5 2" xfId="6701"/>
    <cellStyle name="20% - Accent5 6 3 5 2 2" xfId="6702"/>
    <cellStyle name="20% - Accent5 6 3 5 2 2 2" xfId="24649"/>
    <cellStyle name="20% - Accent5 6 3 5 2 3" xfId="24648"/>
    <cellStyle name="20% - Accent5 6 3 5 3" xfId="6703"/>
    <cellStyle name="20% - Accent5 6 3 5 3 2" xfId="24650"/>
    <cellStyle name="20% - Accent5 6 3 5 4" xfId="24647"/>
    <cellStyle name="20% - Accent5 6 3 6" xfId="6704"/>
    <cellStyle name="20% - Accent5 6 3 6 2" xfId="6705"/>
    <cellStyle name="20% - Accent5 6 3 6 2 2" xfId="24652"/>
    <cellStyle name="20% - Accent5 6 3 6 3" xfId="24651"/>
    <cellStyle name="20% - Accent5 6 3 7" xfId="6706"/>
    <cellStyle name="20% - Accent5 6 3 7 2" xfId="24653"/>
    <cellStyle name="20% - Accent5 6 3 8" xfId="24606"/>
    <cellStyle name="20% - Accent5 6 4" xfId="6707"/>
    <cellStyle name="20% - Accent5 6 4 2" xfId="6708"/>
    <cellStyle name="20% - Accent5 6 4 2 2" xfId="6709"/>
    <cellStyle name="20% - Accent5 6 4 2 2 2" xfId="6710"/>
    <cellStyle name="20% - Accent5 6 4 2 2 2 2" xfId="6711"/>
    <cellStyle name="20% - Accent5 6 4 2 2 2 2 2" xfId="24658"/>
    <cellStyle name="20% - Accent5 6 4 2 2 2 3" xfId="24657"/>
    <cellStyle name="20% - Accent5 6 4 2 2 3" xfId="6712"/>
    <cellStyle name="20% - Accent5 6 4 2 2 3 2" xfId="24659"/>
    <cellStyle name="20% - Accent5 6 4 2 2 4" xfId="24656"/>
    <cellStyle name="20% - Accent5 6 4 2 3" xfId="6713"/>
    <cellStyle name="20% - Accent5 6 4 2 3 2" xfId="6714"/>
    <cellStyle name="20% - Accent5 6 4 2 3 2 2" xfId="24661"/>
    <cellStyle name="20% - Accent5 6 4 2 3 3" xfId="24660"/>
    <cellStyle name="20% - Accent5 6 4 2 4" xfId="6715"/>
    <cellStyle name="20% - Accent5 6 4 2 4 2" xfId="24662"/>
    <cellStyle name="20% - Accent5 6 4 2 5" xfId="24655"/>
    <cellStyle name="20% - Accent5 6 4 3" xfId="6716"/>
    <cellStyle name="20% - Accent5 6 4 3 2" xfId="6717"/>
    <cellStyle name="20% - Accent5 6 4 3 2 2" xfId="6718"/>
    <cellStyle name="20% - Accent5 6 4 3 2 2 2" xfId="6719"/>
    <cellStyle name="20% - Accent5 6 4 3 2 2 2 2" xfId="24666"/>
    <cellStyle name="20% - Accent5 6 4 3 2 2 3" xfId="24665"/>
    <cellStyle name="20% - Accent5 6 4 3 2 3" xfId="6720"/>
    <cellStyle name="20% - Accent5 6 4 3 2 3 2" xfId="24667"/>
    <cellStyle name="20% - Accent5 6 4 3 2 4" xfId="24664"/>
    <cellStyle name="20% - Accent5 6 4 3 3" xfId="6721"/>
    <cellStyle name="20% - Accent5 6 4 3 3 2" xfId="6722"/>
    <cellStyle name="20% - Accent5 6 4 3 3 2 2" xfId="24669"/>
    <cellStyle name="20% - Accent5 6 4 3 3 3" xfId="24668"/>
    <cellStyle name="20% - Accent5 6 4 3 4" xfId="6723"/>
    <cellStyle name="20% - Accent5 6 4 3 4 2" xfId="24670"/>
    <cellStyle name="20% - Accent5 6 4 3 5" xfId="24663"/>
    <cellStyle name="20% - Accent5 6 4 4" xfId="6724"/>
    <cellStyle name="20% - Accent5 6 4 4 2" xfId="6725"/>
    <cellStyle name="20% - Accent5 6 4 4 2 2" xfId="6726"/>
    <cellStyle name="20% - Accent5 6 4 4 2 2 2" xfId="24673"/>
    <cellStyle name="20% - Accent5 6 4 4 2 3" xfId="24672"/>
    <cellStyle name="20% - Accent5 6 4 4 3" xfId="6727"/>
    <cellStyle name="20% - Accent5 6 4 4 3 2" xfId="24674"/>
    <cellStyle name="20% - Accent5 6 4 4 4" xfId="24671"/>
    <cellStyle name="20% - Accent5 6 4 5" xfId="6728"/>
    <cellStyle name="20% - Accent5 6 4 5 2" xfId="6729"/>
    <cellStyle name="20% - Accent5 6 4 5 2 2" xfId="24676"/>
    <cellStyle name="20% - Accent5 6 4 5 3" xfId="24675"/>
    <cellStyle name="20% - Accent5 6 4 6" xfId="6730"/>
    <cellStyle name="20% - Accent5 6 4 6 2" xfId="24677"/>
    <cellStyle name="20% - Accent5 6 4 7" xfId="24654"/>
    <cellStyle name="20% - Accent5 6 5" xfId="6731"/>
    <cellStyle name="20% - Accent5 6 5 2" xfId="6732"/>
    <cellStyle name="20% - Accent5 6 5 2 2" xfId="6733"/>
    <cellStyle name="20% - Accent5 6 5 2 2 2" xfId="6734"/>
    <cellStyle name="20% - Accent5 6 5 2 2 2 2" xfId="24681"/>
    <cellStyle name="20% - Accent5 6 5 2 2 3" xfId="24680"/>
    <cellStyle name="20% - Accent5 6 5 2 3" xfId="6735"/>
    <cellStyle name="20% - Accent5 6 5 2 3 2" xfId="24682"/>
    <cellStyle name="20% - Accent5 6 5 2 4" xfId="24679"/>
    <cellStyle name="20% - Accent5 6 5 3" xfId="6736"/>
    <cellStyle name="20% - Accent5 6 5 3 2" xfId="6737"/>
    <cellStyle name="20% - Accent5 6 5 3 2 2" xfId="24684"/>
    <cellStyle name="20% - Accent5 6 5 3 3" xfId="24683"/>
    <cellStyle name="20% - Accent5 6 5 4" xfId="6738"/>
    <cellStyle name="20% - Accent5 6 5 4 2" xfId="24685"/>
    <cellStyle name="20% - Accent5 6 5 5" xfId="24678"/>
    <cellStyle name="20% - Accent5 6 6" xfId="6739"/>
    <cellStyle name="20% - Accent5 6 6 2" xfId="6740"/>
    <cellStyle name="20% - Accent5 6 6 2 2" xfId="6741"/>
    <cellStyle name="20% - Accent5 6 6 2 2 2" xfId="6742"/>
    <cellStyle name="20% - Accent5 6 6 2 2 2 2" xfId="24689"/>
    <cellStyle name="20% - Accent5 6 6 2 2 3" xfId="24688"/>
    <cellStyle name="20% - Accent5 6 6 2 3" xfId="6743"/>
    <cellStyle name="20% - Accent5 6 6 2 3 2" xfId="24690"/>
    <cellStyle name="20% - Accent5 6 6 2 4" xfId="24687"/>
    <cellStyle name="20% - Accent5 6 6 3" xfId="6744"/>
    <cellStyle name="20% - Accent5 6 6 3 2" xfId="6745"/>
    <cellStyle name="20% - Accent5 6 6 3 2 2" xfId="24692"/>
    <cellStyle name="20% - Accent5 6 6 3 3" xfId="24691"/>
    <cellStyle name="20% - Accent5 6 6 4" xfId="6746"/>
    <cellStyle name="20% - Accent5 6 6 4 2" xfId="24693"/>
    <cellStyle name="20% - Accent5 6 6 5" xfId="24686"/>
    <cellStyle name="20% - Accent5 6 7" xfId="6747"/>
    <cellStyle name="20% - Accent5 6 7 2" xfId="6748"/>
    <cellStyle name="20% - Accent5 6 7 2 2" xfId="6749"/>
    <cellStyle name="20% - Accent5 6 7 2 2 2" xfId="24696"/>
    <cellStyle name="20% - Accent5 6 7 2 3" xfId="24695"/>
    <cellStyle name="20% - Accent5 6 7 3" xfId="6750"/>
    <cellStyle name="20% - Accent5 6 7 3 2" xfId="24697"/>
    <cellStyle name="20% - Accent5 6 7 4" xfId="24694"/>
    <cellStyle name="20% - Accent5 6 8" xfId="6751"/>
    <cellStyle name="20% - Accent5 6 8 2" xfId="6752"/>
    <cellStyle name="20% - Accent5 6 8 2 2" xfId="24699"/>
    <cellStyle name="20% - Accent5 6 8 3" xfId="24698"/>
    <cellStyle name="20% - Accent5 6 9" xfId="6753"/>
    <cellStyle name="20% - Accent5 6 9 2" xfId="24700"/>
    <cellStyle name="20% - Accent5 7" xfId="6754"/>
    <cellStyle name="20% - Accent5 7 10" xfId="24701"/>
    <cellStyle name="20% - Accent5 7 2" xfId="6755"/>
    <cellStyle name="20% - Accent5 7 2 2" xfId="6756"/>
    <cellStyle name="20% - Accent5 7 2 2 2" xfId="6757"/>
    <cellStyle name="20% - Accent5 7 2 2 2 2" xfId="6758"/>
    <cellStyle name="20% - Accent5 7 2 2 2 2 2" xfId="6759"/>
    <cellStyle name="20% - Accent5 7 2 2 2 2 2 2" xfId="6760"/>
    <cellStyle name="20% - Accent5 7 2 2 2 2 2 2 2" xfId="6761"/>
    <cellStyle name="20% - Accent5 7 2 2 2 2 2 2 2 2" xfId="24708"/>
    <cellStyle name="20% - Accent5 7 2 2 2 2 2 2 3" xfId="24707"/>
    <cellStyle name="20% - Accent5 7 2 2 2 2 2 3" xfId="6762"/>
    <cellStyle name="20% - Accent5 7 2 2 2 2 2 3 2" xfId="24709"/>
    <cellStyle name="20% - Accent5 7 2 2 2 2 2 4" xfId="24706"/>
    <cellStyle name="20% - Accent5 7 2 2 2 2 3" xfId="6763"/>
    <cellStyle name="20% - Accent5 7 2 2 2 2 3 2" xfId="6764"/>
    <cellStyle name="20% - Accent5 7 2 2 2 2 3 2 2" xfId="24711"/>
    <cellStyle name="20% - Accent5 7 2 2 2 2 3 3" xfId="24710"/>
    <cellStyle name="20% - Accent5 7 2 2 2 2 4" xfId="6765"/>
    <cellStyle name="20% - Accent5 7 2 2 2 2 4 2" xfId="24712"/>
    <cellStyle name="20% - Accent5 7 2 2 2 2 5" xfId="24705"/>
    <cellStyle name="20% - Accent5 7 2 2 2 3" xfId="6766"/>
    <cellStyle name="20% - Accent5 7 2 2 2 3 2" xfId="6767"/>
    <cellStyle name="20% - Accent5 7 2 2 2 3 2 2" xfId="6768"/>
    <cellStyle name="20% - Accent5 7 2 2 2 3 2 2 2" xfId="6769"/>
    <cellStyle name="20% - Accent5 7 2 2 2 3 2 2 2 2" xfId="24716"/>
    <cellStyle name="20% - Accent5 7 2 2 2 3 2 2 3" xfId="24715"/>
    <cellStyle name="20% - Accent5 7 2 2 2 3 2 3" xfId="6770"/>
    <cellStyle name="20% - Accent5 7 2 2 2 3 2 3 2" xfId="24717"/>
    <cellStyle name="20% - Accent5 7 2 2 2 3 2 4" xfId="24714"/>
    <cellStyle name="20% - Accent5 7 2 2 2 3 3" xfId="6771"/>
    <cellStyle name="20% - Accent5 7 2 2 2 3 3 2" xfId="6772"/>
    <cellStyle name="20% - Accent5 7 2 2 2 3 3 2 2" xfId="24719"/>
    <cellStyle name="20% - Accent5 7 2 2 2 3 3 3" xfId="24718"/>
    <cellStyle name="20% - Accent5 7 2 2 2 3 4" xfId="6773"/>
    <cellStyle name="20% - Accent5 7 2 2 2 3 4 2" xfId="24720"/>
    <cellStyle name="20% - Accent5 7 2 2 2 3 5" xfId="24713"/>
    <cellStyle name="20% - Accent5 7 2 2 2 4" xfId="6774"/>
    <cellStyle name="20% - Accent5 7 2 2 2 4 2" xfId="6775"/>
    <cellStyle name="20% - Accent5 7 2 2 2 4 2 2" xfId="6776"/>
    <cellStyle name="20% - Accent5 7 2 2 2 4 2 2 2" xfId="24723"/>
    <cellStyle name="20% - Accent5 7 2 2 2 4 2 3" xfId="24722"/>
    <cellStyle name="20% - Accent5 7 2 2 2 4 3" xfId="6777"/>
    <cellStyle name="20% - Accent5 7 2 2 2 4 3 2" xfId="24724"/>
    <cellStyle name="20% - Accent5 7 2 2 2 4 4" xfId="24721"/>
    <cellStyle name="20% - Accent5 7 2 2 2 5" xfId="6778"/>
    <cellStyle name="20% - Accent5 7 2 2 2 5 2" xfId="6779"/>
    <cellStyle name="20% - Accent5 7 2 2 2 5 2 2" xfId="24726"/>
    <cellStyle name="20% - Accent5 7 2 2 2 5 3" xfId="24725"/>
    <cellStyle name="20% - Accent5 7 2 2 2 6" xfId="6780"/>
    <cellStyle name="20% - Accent5 7 2 2 2 6 2" xfId="24727"/>
    <cellStyle name="20% - Accent5 7 2 2 2 7" xfId="24704"/>
    <cellStyle name="20% - Accent5 7 2 2 3" xfId="6781"/>
    <cellStyle name="20% - Accent5 7 2 2 3 2" xfId="6782"/>
    <cellStyle name="20% - Accent5 7 2 2 3 2 2" xfId="6783"/>
    <cellStyle name="20% - Accent5 7 2 2 3 2 2 2" xfId="6784"/>
    <cellStyle name="20% - Accent5 7 2 2 3 2 2 2 2" xfId="24731"/>
    <cellStyle name="20% - Accent5 7 2 2 3 2 2 3" xfId="24730"/>
    <cellStyle name="20% - Accent5 7 2 2 3 2 3" xfId="6785"/>
    <cellStyle name="20% - Accent5 7 2 2 3 2 3 2" xfId="24732"/>
    <cellStyle name="20% - Accent5 7 2 2 3 2 4" xfId="24729"/>
    <cellStyle name="20% - Accent5 7 2 2 3 3" xfId="6786"/>
    <cellStyle name="20% - Accent5 7 2 2 3 3 2" xfId="6787"/>
    <cellStyle name="20% - Accent5 7 2 2 3 3 2 2" xfId="24734"/>
    <cellStyle name="20% - Accent5 7 2 2 3 3 3" xfId="24733"/>
    <cellStyle name="20% - Accent5 7 2 2 3 4" xfId="6788"/>
    <cellStyle name="20% - Accent5 7 2 2 3 4 2" xfId="24735"/>
    <cellStyle name="20% - Accent5 7 2 2 3 5" xfId="24728"/>
    <cellStyle name="20% - Accent5 7 2 2 4" xfId="6789"/>
    <cellStyle name="20% - Accent5 7 2 2 4 2" xfId="6790"/>
    <cellStyle name="20% - Accent5 7 2 2 4 2 2" xfId="6791"/>
    <cellStyle name="20% - Accent5 7 2 2 4 2 2 2" xfId="6792"/>
    <cellStyle name="20% - Accent5 7 2 2 4 2 2 2 2" xfId="24739"/>
    <cellStyle name="20% - Accent5 7 2 2 4 2 2 3" xfId="24738"/>
    <cellStyle name="20% - Accent5 7 2 2 4 2 3" xfId="6793"/>
    <cellStyle name="20% - Accent5 7 2 2 4 2 3 2" xfId="24740"/>
    <cellStyle name="20% - Accent5 7 2 2 4 2 4" xfId="24737"/>
    <cellStyle name="20% - Accent5 7 2 2 4 3" xfId="6794"/>
    <cellStyle name="20% - Accent5 7 2 2 4 3 2" xfId="6795"/>
    <cellStyle name="20% - Accent5 7 2 2 4 3 2 2" xfId="24742"/>
    <cellStyle name="20% - Accent5 7 2 2 4 3 3" xfId="24741"/>
    <cellStyle name="20% - Accent5 7 2 2 4 4" xfId="6796"/>
    <cellStyle name="20% - Accent5 7 2 2 4 4 2" xfId="24743"/>
    <cellStyle name="20% - Accent5 7 2 2 4 5" xfId="24736"/>
    <cellStyle name="20% - Accent5 7 2 2 5" xfId="6797"/>
    <cellStyle name="20% - Accent5 7 2 2 5 2" xfId="6798"/>
    <cellStyle name="20% - Accent5 7 2 2 5 2 2" xfId="6799"/>
    <cellStyle name="20% - Accent5 7 2 2 5 2 2 2" xfId="24746"/>
    <cellStyle name="20% - Accent5 7 2 2 5 2 3" xfId="24745"/>
    <cellStyle name="20% - Accent5 7 2 2 5 3" xfId="6800"/>
    <cellStyle name="20% - Accent5 7 2 2 5 3 2" xfId="24747"/>
    <cellStyle name="20% - Accent5 7 2 2 5 4" xfId="24744"/>
    <cellStyle name="20% - Accent5 7 2 2 6" xfId="6801"/>
    <cellStyle name="20% - Accent5 7 2 2 6 2" xfId="6802"/>
    <cellStyle name="20% - Accent5 7 2 2 6 2 2" xfId="24749"/>
    <cellStyle name="20% - Accent5 7 2 2 6 3" xfId="24748"/>
    <cellStyle name="20% - Accent5 7 2 2 7" xfId="6803"/>
    <cellStyle name="20% - Accent5 7 2 2 7 2" xfId="24750"/>
    <cellStyle name="20% - Accent5 7 2 2 8" xfId="24703"/>
    <cellStyle name="20% - Accent5 7 2 3" xfId="6804"/>
    <cellStyle name="20% - Accent5 7 2 3 2" xfId="6805"/>
    <cellStyle name="20% - Accent5 7 2 3 2 2" xfId="6806"/>
    <cellStyle name="20% - Accent5 7 2 3 2 2 2" xfId="6807"/>
    <cellStyle name="20% - Accent5 7 2 3 2 2 2 2" xfId="6808"/>
    <cellStyle name="20% - Accent5 7 2 3 2 2 2 2 2" xfId="24755"/>
    <cellStyle name="20% - Accent5 7 2 3 2 2 2 3" xfId="24754"/>
    <cellStyle name="20% - Accent5 7 2 3 2 2 3" xfId="6809"/>
    <cellStyle name="20% - Accent5 7 2 3 2 2 3 2" xfId="24756"/>
    <cellStyle name="20% - Accent5 7 2 3 2 2 4" xfId="24753"/>
    <cellStyle name="20% - Accent5 7 2 3 2 3" xfId="6810"/>
    <cellStyle name="20% - Accent5 7 2 3 2 3 2" xfId="6811"/>
    <cellStyle name="20% - Accent5 7 2 3 2 3 2 2" xfId="24758"/>
    <cellStyle name="20% - Accent5 7 2 3 2 3 3" xfId="24757"/>
    <cellStyle name="20% - Accent5 7 2 3 2 4" xfId="6812"/>
    <cellStyle name="20% - Accent5 7 2 3 2 4 2" xfId="24759"/>
    <cellStyle name="20% - Accent5 7 2 3 2 5" xfId="24752"/>
    <cellStyle name="20% - Accent5 7 2 3 3" xfId="6813"/>
    <cellStyle name="20% - Accent5 7 2 3 3 2" xfId="6814"/>
    <cellStyle name="20% - Accent5 7 2 3 3 2 2" xfId="6815"/>
    <cellStyle name="20% - Accent5 7 2 3 3 2 2 2" xfId="6816"/>
    <cellStyle name="20% - Accent5 7 2 3 3 2 2 2 2" xfId="24763"/>
    <cellStyle name="20% - Accent5 7 2 3 3 2 2 3" xfId="24762"/>
    <cellStyle name="20% - Accent5 7 2 3 3 2 3" xfId="6817"/>
    <cellStyle name="20% - Accent5 7 2 3 3 2 3 2" xfId="24764"/>
    <cellStyle name="20% - Accent5 7 2 3 3 2 4" xfId="24761"/>
    <cellStyle name="20% - Accent5 7 2 3 3 3" xfId="6818"/>
    <cellStyle name="20% - Accent5 7 2 3 3 3 2" xfId="6819"/>
    <cellStyle name="20% - Accent5 7 2 3 3 3 2 2" xfId="24766"/>
    <cellStyle name="20% - Accent5 7 2 3 3 3 3" xfId="24765"/>
    <cellStyle name="20% - Accent5 7 2 3 3 4" xfId="6820"/>
    <cellStyle name="20% - Accent5 7 2 3 3 4 2" xfId="24767"/>
    <cellStyle name="20% - Accent5 7 2 3 3 5" xfId="24760"/>
    <cellStyle name="20% - Accent5 7 2 3 4" xfId="6821"/>
    <cellStyle name="20% - Accent5 7 2 3 4 2" xfId="6822"/>
    <cellStyle name="20% - Accent5 7 2 3 4 2 2" xfId="6823"/>
    <cellStyle name="20% - Accent5 7 2 3 4 2 2 2" xfId="24770"/>
    <cellStyle name="20% - Accent5 7 2 3 4 2 3" xfId="24769"/>
    <cellStyle name="20% - Accent5 7 2 3 4 3" xfId="6824"/>
    <cellStyle name="20% - Accent5 7 2 3 4 3 2" xfId="24771"/>
    <cellStyle name="20% - Accent5 7 2 3 4 4" xfId="24768"/>
    <cellStyle name="20% - Accent5 7 2 3 5" xfId="6825"/>
    <cellStyle name="20% - Accent5 7 2 3 5 2" xfId="6826"/>
    <cellStyle name="20% - Accent5 7 2 3 5 2 2" xfId="24773"/>
    <cellStyle name="20% - Accent5 7 2 3 5 3" xfId="24772"/>
    <cellStyle name="20% - Accent5 7 2 3 6" xfId="6827"/>
    <cellStyle name="20% - Accent5 7 2 3 6 2" xfId="24774"/>
    <cellStyle name="20% - Accent5 7 2 3 7" xfId="24751"/>
    <cellStyle name="20% - Accent5 7 2 4" xfId="6828"/>
    <cellStyle name="20% - Accent5 7 2 4 2" xfId="6829"/>
    <cellStyle name="20% - Accent5 7 2 4 2 2" xfId="6830"/>
    <cellStyle name="20% - Accent5 7 2 4 2 2 2" xfId="6831"/>
    <cellStyle name="20% - Accent5 7 2 4 2 2 2 2" xfId="24778"/>
    <cellStyle name="20% - Accent5 7 2 4 2 2 3" xfId="24777"/>
    <cellStyle name="20% - Accent5 7 2 4 2 3" xfId="6832"/>
    <cellStyle name="20% - Accent5 7 2 4 2 3 2" xfId="24779"/>
    <cellStyle name="20% - Accent5 7 2 4 2 4" xfId="24776"/>
    <cellStyle name="20% - Accent5 7 2 4 3" xfId="6833"/>
    <cellStyle name="20% - Accent5 7 2 4 3 2" xfId="6834"/>
    <cellStyle name="20% - Accent5 7 2 4 3 2 2" xfId="24781"/>
    <cellStyle name="20% - Accent5 7 2 4 3 3" xfId="24780"/>
    <cellStyle name="20% - Accent5 7 2 4 4" xfId="6835"/>
    <cellStyle name="20% - Accent5 7 2 4 4 2" xfId="24782"/>
    <cellStyle name="20% - Accent5 7 2 4 5" xfId="24775"/>
    <cellStyle name="20% - Accent5 7 2 5" xfId="6836"/>
    <cellStyle name="20% - Accent5 7 2 5 2" xfId="6837"/>
    <cellStyle name="20% - Accent5 7 2 5 2 2" xfId="6838"/>
    <cellStyle name="20% - Accent5 7 2 5 2 2 2" xfId="6839"/>
    <cellStyle name="20% - Accent5 7 2 5 2 2 2 2" xfId="24786"/>
    <cellStyle name="20% - Accent5 7 2 5 2 2 3" xfId="24785"/>
    <cellStyle name="20% - Accent5 7 2 5 2 3" xfId="6840"/>
    <cellStyle name="20% - Accent5 7 2 5 2 3 2" xfId="24787"/>
    <cellStyle name="20% - Accent5 7 2 5 2 4" xfId="24784"/>
    <cellStyle name="20% - Accent5 7 2 5 3" xfId="6841"/>
    <cellStyle name="20% - Accent5 7 2 5 3 2" xfId="6842"/>
    <cellStyle name="20% - Accent5 7 2 5 3 2 2" xfId="24789"/>
    <cellStyle name="20% - Accent5 7 2 5 3 3" xfId="24788"/>
    <cellStyle name="20% - Accent5 7 2 5 4" xfId="6843"/>
    <cellStyle name="20% - Accent5 7 2 5 4 2" xfId="24790"/>
    <cellStyle name="20% - Accent5 7 2 5 5" xfId="24783"/>
    <cellStyle name="20% - Accent5 7 2 6" xfId="6844"/>
    <cellStyle name="20% - Accent5 7 2 6 2" xfId="6845"/>
    <cellStyle name="20% - Accent5 7 2 6 2 2" xfId="6846"/>
    <cellStyle name="20% - Accent5 7 2 6 2 2 2" xfId="24793"/>
    <cellStyle name="20% - Accent5 7 2 6 2 3" xfId="24792"/>
    <cellStyle name="20% - Accent5 7 2 6 3" xfId="6847"/>
    <cellStyle name="20% - Accent5 7 2 6 3 2" xfId="24794"/>
    <cellStyle name="20% - Accent5 7 2 6 4" xfId="24791"/>
    <cellStyle name="20% - Accent5 7 2 7" xfId="6848"/>
    <cellStyle name="20% - Accent5 7 2 7 2" xfId="6849"/>
    <cellStyle name="20% - Accent5 7 2 7 2 2" xfId="24796"/>
    <cellStyle name="20% - Accent5 7 2 7 3" xfId="24795"/>
    <cellStyle name="20% - Accent5 7 2 8" xfId="6850"/>
    <cellStyle name="20% - Accent5 7 2 8 2" xfId="24797"/>
    <cellStyle name="20% - Accent5 7 2 9" xfId="24702"/>
    <cellStyle name="20% - Accent5 7 3" xfId="6851"/>
    <cellStyle name="20% - Accent5 7 3 2" xfId="6852"/>
    <cellStyle name="20% - Accent5 7 3 2 2" xfId="6853"/>
    <cellStyle name="20% - Accent5 7 3 2 2 2" xfId="6854"/>
    <cellStyle name="20% - Accent5 7 3 2 2 2 2" xfId="6855"/>
    <cellStyle name="20% - Accent5 7 3 2 2 2 2 2" xfId="6856"/>
    <cellStyle name="20% - Accent5 7 3 2 2 2 2 2 2" xfId="24803"/>
    <cellStyle name="20% - Accent5 7 3 2 2 2 2 3" xfId="24802"/>
    <cellStyle name="20% - Accent5 7 3 2 2 2 3" xfId="6857"/>
    <cellStyle name="20% - Accent5 7 3 2 2 2 3 2" xfId="24804"/>
    <cellStyle name="20% - Accent5 7 3 2 2 2 4" xfId="24801"/>
    <cellStyle name="20% - Accent5 7 3 2 2 3" xfId="6858"/>
    <cellStyle name="20% - Accent5 7 3 2 2 3 2" xfId="6859"/>
    <cellStyle name="20% - Accent5 7 3 2 2 3 2 2" xfId="24806"/>
    <cellStyle name="20% - Accent5 7 3 2 2 3 3" xfId="24805"/>
    <cellStyle name="20% - Accent5 7 3 2 2 4" xfId="6860"/>
    <cellStyle name="20% - Accent5 7 3 2 2 4 2" xfId="24807"/>
    <cellStyle name="20% - Accent5 7 3 2 2 5" xfId="24800"/>
    <cellStyle name="20% - Accent5 7 3 2 3" xfId="6861"/>
    <cellStyle name="20% - Accent5 7 3 2 3 2" xfId="6862"/>
    <cellStyle name="20% - Accent5 7 3 2 3 2 2" xfId="6863"/>
    <cellStyle name="20% - Accent5 7 3 2 3 2 2 2" xfId="6864"/>
    <cellStyle name="20% - Accent5 7 3 2 3 2 2 2 2" xfId="24811"/>
    <cellStyle name="20% - Accent5 7 3 2 3 2 2 3" xfId="24810"/>
    <cellStyle name="20% - Accent5 7 3 2 3 2 3" xfId="6865"/>
    <cellStyle name="20% - Accent5 7 3 2 3 2 3 2" xfId="24812"/>
    <cellStyle name="20% - Accent5 7 3 2 3 2 4" xfId="24809"/>
    <cellStyle name="20% - Accent5 7 3 2 3 3" xfId="6866"/>
    <cellStyle name="20% - Accent5 7 3 2 3 3 2" xfId="6867"/>
    <cellStyle name="20% - Accent5 7 3 2 3 3 2 2" xfId="24814"/>
    <cellStyle name="20% - Accent5 7 3 2 3 3 3" xfId="24813"/>
    <cellStyle name="20% - Accent5 7 3 2 3 4" xfId="6868"/>
    <cellStyle name="20% - Accent5 7 3 2 3 4 2" xfId="24815"/>
    <cellStyle name="20% - Accent5 7 3 2 3 5" xfId="24808"/>
    <cellStyle name="20% - Accent5 7 3 2 4" xfId="6869"/>
    <cellStyle name="20% - Accent5 7 3 2 4 2" xfId="6870"/>
    <cellStyle name="20% - Accent5 7 3 2 4 2 2" xfId="6871"/>
    <cellStyle name="20% - Accent5 7 3 2 4 2 2 2" xfId="24818"/>
    <cellStyle name="20% - Accent5 7 3 2 4 2 3" xfId="24817"/>
    <cellStyle name="20% - Accent5 7 3 2 4 3" xfId="6872"/>
    <cellStyle name="20% - Accent5 7 3 2 4 3 2" xfId="24819"/>
    <cellStyle name="20% - Accent5 7 3 2 4 4" xfId="24816"/>
    <cellStyle name="20% - Accent5 7 3 2 5" xfId="6873"/>
    <cellStyle name="20% - Accent5 7 3 2 5 2" xfId="6874"/>
    <cellStyle name="20% - Accent5 7 3 2 5 2 2" xfId="24821"/>
    <cellStyle name="20% - Accent5 7 3 2 5 3" xfId="24820"/>
    <cellStyle name="20% - Accent5 7 3 2 6" xfId="6875"/>
    <cellStyle name="20% - Accent5 7 3 2 6 2" xfId="24822"/>
    <cellStyle name="20% - Accent5 7 3 2 7" xfId="24799"/>
    <cellStyle name="20% - Accent5 7 3 3" xfId="6876"/>
    <cellStyle name="20% - Accent5 7 3 3 2" xfId="6877"/>
    <cellStyle name="20% - Accent5 7 3 3 2 2" xfId="6878"/>
    <cellStyle name="20% - Accent5 7 3 3 2 2 2" xfId="6879"/>
    <cellStyle name="20% - Accent5 7 3 3 2 2 2 2" xfId="24826"/>
    <cellStyle name="20% - Accent5 7 3 3 2 2 3" xfId="24825"/>
    <cellStyle name="20% - Accent5 7 3 3 2 3" xfId="6880"/>
    <cellStyle name="20% - Accent5 7 3 3 2 3 2" xfId="24827"/>
    <cellStyle name="20% - Accent5 7 3 3 2 4" xfId="24824"/>
    <cellStyle name="20% - Accent5 7 3 3 3" xfId="6881"/>
    <cellStyle name="20% - Accent5 7 3 3 3 2" xfId="6882"/>
    <cellStyle name="20% - Accent5 7 3 3 3 2 2" xfId="24829"/>
    <cellStyle name="20% - Accent5 7 3 3 3 3" xfId="24828"/>
    <cellStyle name="20% - Accent5 7 3 3 4" xfId="6883"/>
    <cellStyle name="20% - Accent5 7 3 3 4 2" xfId="24830"/>
    <cellStyle name="20% - Accent5 7 3 3 5" xfId="24823"/>
    <cellStyle name="20% - Accent5 7 3 4" xfId="6884"/>
    <cellStyle name="20% - Accent5 7 3 4 2" xfId="6885"/>
    <cellStyle name="20% - Accent5 7 3 4 2 2" xfId="6886"/>
    <cellStyle name="20% - Accent5 7 3 4 2 2 2" xfId="6887"/>
    <cellStyle name="20% - Accent5 7 3 4 2 2 2 2" xfId="24834"/>
    <cellStyle name="20% - Accent5 7 3 4 2 2 3" xfId="24833"/>
    <cellStyle name="20% - Accent5 7 3 4 2 3" xfId="6888"/>
    <cellStyle name="20% - Accent5 7 3 4 2 3 2" xfId="24835"/>
    <cellStyle name="20% - Accent5 7 3 4 2 4" xfId="24832"/>
    <cellStyle name="20% - Accent5 7 3 4 3" xfId="6889"/>
    <cellStyle name="20% - Accent5 7 3 4 3 2" xfId="6890"/>
    <cellStyle name="20% - Accent5 7 3 4 3 2 2" xfId="24837"/>
    <cellStyle name="20% - Accent5 7 3 4 3 3" xfId="24836"/>
    <cellStyle name="20% - Accent5 7 3 4 4" xfId="6891"/>
    <cellStyle name="20% - Accent5 7 3 4 4 2" xfId="24838"/>
    <cellStyle name="20% - Accent5 7 3 4 5" xfId="24831"/>
    <cellStyle name="20% - Accent5 7 3 5" xfId="6892"/>
    <cellStyle name="20% - Accent5 7 3 5 2" xfId="6893"/>
    <cellStyle name="20% - Accent5 7 3 5 2 2" xfId="6894"/>
    <cellStyle name="20% - Accent5 7 3 5 2 2 2" xfId="24841"/>
    <cellStyle name="20% - Accent5 7 3 5 2 3" xfId="24840"/>
    <cellStyle name="20% - Accent5 7 3 5 3" xfId="6895"/>
    <cellStyle name="20% - Accent5 7 3 5 3 2" xfId="24842"/>
    <cellStyle name="20% - Accent5 7 3 5 4" xfId="24839"/>
    <cellStyle name="20% - Accent5 7 3 6" xfId="6896"/>
    <cellStyle name="20% - Accent5 7 3 6 2" xfId="6897"/>
    <cellStyle name="20% - Accent5 7 3 6 2 2" xfId="24844"/>
    <cellStyle name="20% - Accent5 7 3 6 3" xfId="24843"/>
    <cellStyle name="20% - Accent5 7 3 7" xfId="6898"/>
    <cellStyle name="20% - Accent5 7 3 7 2" xfId="24845"/>
    <cellStyle name="20% - Accent5 7 3 8" xfId="24798"/>
    <cellStyle name="20% - Accent5 7 4" xfId="6899"/>
    <cellStyle name="20% - Accent5 7 4 2" xfId="6900"/>
    <cellStyle name="20% - Accent5 7 4 2 2" xfId="6901"/>
    <cellStyle name="20% - Accent5 7 4 2 2 2" xfId="6902"/>
    <cellStyle name="20% - Accent5 7 4 2 2 2 2" xfId="6903"/>
    <cellStyle name="20% - Accent5 7 4 2 2 2 2 2" xfId="24850"/>
    <cellStyle name="20% - Accent5 7 4 2 2 2 3" xfId="24849"/>
    <cellStyle name="20% - Accent5 7 4 2 2 3" xfId="6904"/>
    <cellStyle name="20% - Accent5 7 4 2 2 3 2" xfId="24851"/>
    <cellStyle name="20% - Accent5 7 4 2 2 4" xfId="24848"/>
    <cellStyle name="20% - Accent5 7 4 2 3" xfId="6905"/>
    <cellStyle name="20% - Accent5 7 4 2 3 2" xfId="6906"/>
    <cellStyle name="20% - Accent5 7 4 2 3 2 2" xfId="24853"/>
    <cellStyle name="20% - Accent5 7 4 2 3 3" xfId="24852"/>
    <cellStyle name="20% - Accent5 7 4 2 4" xfId="6907"/>
    <cellStyle name="20% - Accent5 7 4 2 4 2" xfId="24854"/>
    <cellStyle name="20% - Accent5 7 4 2 5" xfId="24847"/>
    <cellStyle name="20% - Accent5 7 4 3" xfId="6908"/>
    <cellStyle name="20% - Accent5 7 4 3 2" xfId="6909"/>
    <cellStyle name="20% - Accent5 7 4 3 2 2" xfId="6910"/>
    <cellStyle name="20% - Accent5 7 4 3 2 2 2" xfId="6911"/>
    <cellStyle name="20% - Accent5 7 4 3 2 2 2 2" xfId="24858"/>
    <cellStyle name="20% - Accent5 7 4 3 2 2 3" xfId="24857"/>
    <cellStyle name="20% - Accent5 7 4 3 2 3" xfId="6912"/>
    <cellStyle name="20% - Accent5 7 4 3 2 3 2" xfId="24859"/>
    <cellStyle name="20% - Accent5 7 4 3 2 4" xfId="24856"/>
    <cellStyle name="20% - Accent5 7 4 3 3" xfId="6913"/>
    <cellStyle name="20% - Accent5 7 4 3 3 2" xfId="6914"/>
    <cellStyle name="20% - Accent5 7 4 3 3 2 2" xfId="24861"/>
    <cellStyle name="20% - Accent5 7 4 3 3 3" xfId="24860"/>
    <cellStyle name="20% - Accent5 7 4 3 4" xfId="6915"/>
    <cellStyle name="20% - Accent5 7 4 3 4 2" xfId="24862"/>
    <cellStyle name="20% - Accent5 7 4 3 5" xfId="24855"/>
    <cellStyle name="20% - Accent5 7 4 4" xfId="6916"/>
    <cellStyle name="20% - Accent5 7 4 4 2" xfId="6917"/>
    <cellStyle name="20% - Accent5 7 4 4 2 2" xfId="6918"/>
    <cellStyle name="20% - Accent5 7 4 4 2 2 2" xfId="24865"/>
    <cellStyle name="20% - Accent5 7 4 4 2 3" xfId="24864"/>
    <cellStyle name="20% - Accent5 7 4 4 3" xfId="6919"/>
    <cellStyle name="20% - Accent5 7 4 4 3 2" xfId="24866"/>
    <cellStyle name="20% - Accent5 7 4 4 4" xfId="24863"/>
    <cellStyle name="20% - Accent5 7 4 5" xfId="6920"/>
    <cellStyle name="20% - Accent5 7 4 5 2" xfId="6921"/>
    <cellStyle name="20% - Accent5 7 4 5 2 2" xfId="24868"/>
    <cellStyle name="20% - Accent5 7 4 5 3" xfId="24867"/>
    <cellStyle name="20% - Accent5 7 4 6" xfId="6922"/>
    <cellStyle name="20% - Accent5 7 4 6 2" xfId="24869"/>
    <cellStyle name="20% - Accent5 7 4 7" xfId="24846"/>
    <cellStyle name="20% - Accent5 7 5" xfId="6923"/>
    <cellStyle name="20% - Accent5 7 5 2" xfId="6924"/>
    <cellStyle name="20% - Accent5 7 5 2 2" xfId="6925"/>
    <cellStyle name="20% - Accent5 7 5 2 2 2" xfId="6926"/>
    <cellStyle name="20% - Accent5 7 5 2 2 2 2" xfId="24873"/>
    <cellStyle name="20% - Accent5 7 5 2 2 3" xfId="24872"/>
    <cellStyle name="20% - Accent5 7 5 2 3" xfId="6927"/>
    <cellStyle name="20% - Accent5 7 5 2 3 2" xfId="24874"/>
    <cellStyle name="20% - Accent5 7 5 2 4" xfId="24871"/>
    <cellStyle name="20% - Accent5 7 5 3" xfId="6928"/>
    <cellStyle name="20% - Accent5 7 5 3 2" xfId="6929"/>
    <cellStyle name="20% - Accent5 7 5 3 2 2" xfId="24876"/>
    <cellStyle name="20% - Accent5 7 5 3 3" xfId="24875"/>
    <cellStyle name="20% - Accent5 7 5 4" xfId="6930"/>
    <cellStyle name="20% - Accent5 7 5 4 2" xfId="24877"/>
    <cellStyle name="20% - Accent5 7 5 5" xfId="24870"/>
    <cellStyle name="20% - Accent5 7 6" xfId="6931"/>
    <cellStyle name="20% - Accent5 7 6 2" xfId="6932"/>
    <cellStyle name="20% - Accent5 7 6 2 2" xfId="6933"/>
    <cellStyle name="20% - Accent5 7 6 2 2 2" xfId="6934"/>
    <cellStyle name="20% - Accent5 7 6 2 2 2 2" xfId="24881"/>
    <cellStyle name="20% - Accent5 7 6 2 2 3" xfId="24880"/>
    <cellStyle name="20% - Accent5 7 6 2 3" xfId="6935"/>
    <cellStyle name="20% - Accent5 7 6 2 3 2" xfId="24882"/>
    <cellStyle name="20% - Accent5 7 6 2 4" xfId="24879"/>
    <cellStyle name="20% - Accent5 7 6 3" xfId="6936"/>
    <cellStyle name="20% - Accent5 7 6 3 2" xfId="6937"/>
    <cellStyle name="20% - Accent5 7 6 3 2 2" xfId="24884"/>
    <cellStyle name="20% - Accent5 7 6 3 3" xfId="24883"/>
    <cellStyle name="20% - Accent5 7 6 4" xfId="6938"/>
    <cellStyle name="20% - Accent5 7 6 4 2" xfId="24885"/>
    <cellStyle name="20% - Accent5 7 6 5" xfId="24878"/>
    <cellStyle name="20% - Accent5 7 7" xfId="6939"/>
    <cellStyle name="20% - Accent5 7 7 2" xfId="6940"/>
    <cellStyle name="20% - Accent5 7 7 2 2" xfId="6941"/>
    <cellStyle name="20% - Accent5 7 7 2 2 2" xfId="24888"/>
    <cellStyle name="20% - Accent5 7 7 2 3" xfId="24887"/>
    <cellStyle name="20% - Accent5 7 7 3" xfId="6942"/>
    <cellStyle name="20% - Accent5 7 7 3 2" xfId="24889"/>
    <cellStyle name="20% - Accent5 7 7 4" xfId="24886"/>
    <cellStyle name="20% - Accent5 7 8" xfId="6943"/>
    <cellStyle name="20% - Accent5 7 8 2" xfId="6944"/>
    <cellStyle name="20% - Accent5 7 8 2 2" xfId="24891"/>
    <cellStyle name="20% - Accent5 7 8 3" xfId="24890"/>
    <cellStyle name="20% - Accent5 7 9" xfId="6945"/>
    <cellStyle name="20% - Accent5 7 9 2" xfId="24892"/>
    <cellStyle name="20% - Accent5 8" xfId="6946"/>
    <cellStyle name="20% - Accent5 8 10" xfId="24893"/>
    <cellStyle name="20% - Accent5 8 2" xfId="6947"/>
    <cellStyle name="20% - Accent5 8 2 2" xfId="6948"/>
    <cellStyle name="20% - Accent5 8 2 2 2" xfId="6949"/>
    <cellStyle name="20% - Accent5 8 2 2 2 2" xfId="6950"/>
    <cellStyle name="20% - Accent5 8 2 2 2 2 2" xfId="6951"/>
    <cellStyle name="20% - Accent5 8 2 2 2 2 2 2" xfId="6952"/>
    <cellStyle name="20% - Accent5 8 2 2 2 2 2 2 2" xfId="6953"/>
    <cellStyle name="20% - Accent5 8 2 2 2 2 2 2 2 2" xfId="24900"/>
    <cellStyle name="20% - Accent5 8 2 2 2 2 2 2 3" xfId="24899"/>
    <cellStyle name="20% - Accent5 8 2 2 2 2 2 3" xfId="6954"/>
    <cellStyle name="20% - Accent5 8 2 2 2 2 2 3 2" xfId="24901"/>
    <cellStyle name="20% - Accent5 8 2 2 2 2 2 4" xfId="24898"/>
    <cellStyle name="20% - Accent5 8 2 2 2 2 3" xfId="6955"/>
    <cellStyle name="20% - Accent5 8 2 2 2 2 3 2" xfId="6956"/>
    <cellStyle name="20% - Accent5 8 2 2 2 2 3 2 2" xfId="24903"/>
    <cellStyle name="20% - Accent5 8 2 2 2 2 3 3" xfId="24902"/>
    <cellStyle name="20% - Accent5 8 2 2 2 2 4" xfId="6957"/>
    <cellStyle name="20% - Accent5 8 2 2 2 2 4 2" xfId="24904"/>
    <cellStyle name="20% - Accent5 8 2 2 2 2 5" xfId="24897"/>
    <cellStyle name="20% - Accent5 8 2 2 2 3" xfId="6958"/>
    <cellStyle name="20% - Accent5 8 2 2 2 3 2" xfId="6959"/>
    <cellStyle name="20% - Accent5 8 2 2 2 3 2 2" xfId="6960"/>
    <cellStyle name="20% - Accent5 8 2 2 2 3 2 2 2" xfId="6961"/>
    <cellStyle name="20% - Accent5 8 2 2 2 3 2 2 2 2" xfId="24908"/>
    <cellStyle name="20% - Accent5 8 2 2 2 3 2 2 3" xfId="24907"/>
    <cellStyle name="20% - Accent5 8 2 2 2 3 2 3" xfId="6962"/>
    <cellStyle name="20% - Accent5 8 2 2 2 3 2 3 2" xfId="24909"/>
    <cellStyle name="20% - Accent5 8 2 2 2 3 2 4" xfId="24906"/>
    <cellStyle name="20% - Accent5 8 2 2 2 3 3" xfId="6963"/>
    <cellStyle name="20% - Accent5 8 2 2 2 3 3 2" xfId="6964"/>
    <cellStyle name="20% - Accent5 8 2 2 2 3 3 2 2" xfId="24911"/>
    <cellStyle name="20% - Accent5 8 2 2 2 3 3 3" xfId="24910"/>
    <cellStyle name="20% - Accent5 8 2 2 2 3 4" xfId="6965"/>
    <cellStyle name="20% - Accent5 8 2 2 2 3 4 2" xfId="24912"/>
    <cellStyle name="20% - Accent5 8 2 2 2 3 5" xfId="24905"/>
    <cellStyle name="20% - Accent5 8 2 2 2 4" xfId="6966"/>
    <cellStyle name="20% - Accent5 8 2 2 2 4 2" xfId="6967"/>
    <cellStyle name="20% - Accent5 8 2 2 2 4 2 2" xfId="6968"/>
    <cellStyle name="20% - Accent5 8 2 2 2 4 2 2 2" xfId="24915"/>
    <cellStyle name="20% - Accent5 8 2 2 2 4 2 3" xfId="24914"/>
    <cellStyle name="20% - Accent5 8 2 2 2 4 3" xfId="6969"/>
    <cellStyle name="20% - Accent5 8 2 2 2 4 3 2" xfId="24916"/>
    <cellStyle name="20% - Accent5 8 2 2 2 4 4" xfId="24913"/>
    <cellStyle name="20% - Accent5 8 2 2 2 5" xfId="6970"/>
    <cellStyle name="20% - Accent5 8 2 2 2 5 2" xfId="6971"/>
    <cellStyle name="20% - Accent5 8 2 2 2 5 2 2" xfId="24918"/>
    <cellStyle name="20% - Accent5 8 2 2 2 5 3" xfId="24917"/>
    <cellStyle name="20% - Accent5 8 2 2 2 6" xfId="6972"/>
    <cellStyle name="20% - Accent5 8 2 2 2 6 2" xfId="24919"/>
    <cellStyle name="20% - Accent5 8 2 2 2 7" xfId="24896"/>
    <cellStyle name="20% - Accent5 8 2 2 3" xfId="6973"/>
    <cellStyle name="20% - Accent5 8 2 2 3 2" xfId="6974"/>
    <cellStyle name="20% - Accent5 8 2 2 3 2 2" xfId="6975"/>
    <cellStyle name="20% - Accent5 8 2 2 3 2 2 2" xfId="6976"/>
    <cellStyle name="20% - Accent5 8 2 2 3 2 2 2 2" xfId="24923"/>
    <cellStyle name="20% - Accent5 8 2 2 3 2 2 3" xfId="24922"/>
    <cellStyle name="20% - Accent5 8 2 2 3 2 3" xfId="6977"/>
    <cellStyle name="20% - Accent5 8 2 2 3 2 3 2" xfId="24924"/>
    <cellStyle name="20% - Accent5 8 2 2 3 2 4" xfId="24921"/>
    <cellStyle name="20% - Accent5 8 2 2 3 3" xfId="6978"/>
    <cellStyle name="20% - Accent5 8 2 2 3 3 2" xfId="6979"/>
    <cellStyle name="20% - Accent5 8 2 2 3 3 2 2" xfId="24926"/>
    <cellStyle name="20% - Accent5 8 2 2 3 3 3" xfId="24925"/>
    <cellStyle name="20% - Accent5 8 2 2 3 4" xfId="6980"/>
    <cellStyle name="20% - Accent5 8 2 2 3 4 2" xfId="24927"/>
    <cellStyle name="20% - Accent5 8 2 2 3 5" xfId="24920"/>
    <cellStyle name="20% - Accent5 8 2 2 4" xfId="6981"/>
    <cellStyle name="20% - Accent5 8 2 2 4 2" xfId="6982"/>
    <cellStyle name="20% - Accent5 8 2 2 4 2 2" xfId="6983"/>
    <cellStyle name="20% - Accent5 8 2 2 4 2 2 2" xfId="6984"/>
    <cellStyle name="20% - Accent5 8 2 2 4 2 2 2 2" xfId="24931"/>
    <cellStyle name="20% - Accent5 8 2 2 4 2 2 3" xfId="24930"/>
    <cellStyle name="20% - Accent5 8 2 2 4 2 3" xfId="6985"/>
    <cellStyle name="20% - Accent5 8 2 2 4 2 3 2" xfId="24932"/>
    <cellStyle name="20% - Accent5 8 2 2 4 2 4" xfId="24929"/>
    <cellStyle name="20% - Accent5 8 2 2 4 3" xfId="6986"/>
    <cellStyle name="20% - Accent5 8 2 2 4 3 2" xfId="6987"/>
    <cellStyle name="20% - Accent5 8 2 2 4 3 2 2" xfId="24934"/>
    <cellStyle name="20% - Accent5 8 2 2 4 3 3" xfId="24933"/>
    <cellStyle name="20% - Accent5 8 2 2 4 4" xfId="6988"/>
    <cellStyle name="20% - Accent5 8 2 2 4 4 2" xfId="24935"/>
    <cellStyle name="20% - Accent5 8 2 2 4 5" xfId="24928"/>
    <cellStyle name="20% - Accent5 8 2 2 5" xfId="6989"/>
    <cellStyle name="20% - Accent5 8 2 2 5 2" xfId="6990"/>
    <cellStyle name="20% - Accent5 8 2 2 5 2 2" xfId="6991"/>
    <cellStyle name="20% - Accent5 8 2 2 5 2 2 2" xfId="24938"/>
    <cellStyle name="20% - Accent5 8 2 2 5 2 3" xfId="24937"/>
    <cellStyle name="20% - Accent5 8 2 2 5 3" xfId="6992"/>
    <cellStyle name="20% - Accent5 8 2 2 5 3 2" xfId="24939"/>
    <cellStyle name="20% - Accent5 8 2 2 5 4" xfId="24936"/>
    <cellStyle name="20% - Accent5 8 2 2 6" xfId="6993"/>
    <cellStyle name="20% - Accent5 8 2 2 6 2" xfId="6994"/>
    <cellStyle name="20% - Accent5 8 2 2 6 2 2" xfId="24941"/>
    <cellStyle name="20% - Accent5 8 2 2 6 3" xfId="24940"/>
    <cellStyle name="20% - Accent5 8 2 2 7" xfId="6995"/>
    <cellStyle name="20% - Accent5 8 2 2 7 2" xfId="24942"/>
    <cellStyle name="20% - Accent5 8 2 2 8" xfId="24895"/>
    <cellStyle name="20% - Accent5 8 2 3" xfId="6996"/>
    <cellStyle name="20% - Accent5 8 2 3 2" xfId="6997"/>
    <cellStyle name="20% - Accent5 8 2 3 2 2" xfId="6998"/>
    <cellStyle name="20% - Accent5 8 2 3 2 2 2" xfId="6999"/>
    <cellStyle name="20% - Accent5 8 2 3 2 2 2 2" xfId="7000"/>
    <cellStyle name="20% - Accent5 8 2 3 2 2 2 2 2" xfId="24947"/>
    <cellStyle name="20% - Accent5 8 2 3 2 2 2 3" xfId="24946"/>
    <cellStyle name="20% - Accent5 8 2 3 2 2 3" xfId="7001"/>
    <cellStyle name="20% - Accent5 8 2 3 2 2 3 2" xfId="24948"/>
    <cellStyle name="20% - Accent5 8 2 3 2 2 4" xfId="24945"/>
    <cellStyle name="20% - Accent5 8 2 3 2 3" xfId="7002"/>
    <cellStyle name="20% - Accent5 8 2 3 2 3 2" xfId="7003"/>
    <cellStyle name="20% - Accent5 8 2 3 2 3 2 2" xfId="24950"/>
    <cellStyle name="20% - Accent5 8 2 3 2 3 3" xfId="24949"/>
    <cellStyle name="20% - Accent5 8 2 3 2 4" xfId="7004"/>
    <cellStyle name="20% - Accent5 8 2 3 2 4 2" xfId="24951"/>
    <cellStyle name="20% - Accent5 8 2 3 2 5" xfId="24944"/>
    <cellStyle name="20% - Accent5 8 2 3 3" xfId="7005"/>
    <cellStyle name="20% - Accent5 8 2 3 3 2" xfId="7006"/>
    <cellStyle name="20% - Accent5 8 2 3 3 2 2" xfId="7007"/>
    <cellStyle name="20% - Accent5 8 2 3 3 2 2 2" xfId="7008"/>
    <cellStyle name="20% - Accent5 8 2 3 3 2 2 2 2" xfId="24955"/>
    <cellStyle name="20% - Accent5 8 2 3 3 2 2 3" xfId="24954"/>
    <cellStyle name="20% - Accent5 8 2 3 3 2 3" xfId="7009"/>
    <cellStyle name="20% - Accent5 8 2 3 3 2 3 2" xfId="24956"/>
    <cellStyle name="20% - Accent5 8 2 3 3 2 4" xfId="24953"/>
    <cellStyle name="20% - Accent5 8 2 3 3 3" xfId="7010"/>
    <cellStyle name="20% - Accent5 8 2 3 3 3 2" xfId="7011"/>
    <cellStyle name="20% - Accent5 8 2 3 3 3 2 2" xfId="24958"/>
    <cellStyle name="20% - Accent5 8 2 3 3 3 3" xfId="24957"/>
    <cellStyle name="20% - Accent5 8 2 3 3 4" xfId="7012"/>
    <cellStyle name="20% - Accent5 8 2 3 3 4 2" xfId="24959"/>
    <cellStyle name="20% - Accent5 8 2 3 3 5" xfId="24952"/>
    <cellStyle name="20% - Accent5 8 2 3 4" xfId="7013"/>
    <cellStyle name="20% - Accent5 8 2 3 4 2" xfId="7014"/>
    <cellStyle name="20% - Accent5 8 2 3 4 2 2" xfId="7015"/>
    <cellStyle name="20% - Accent5 8 2 3 4 2 2 2" xfId="24962"/>
    <cellStyle name="20% - Accent5 8 2 3 4 2 3" xfId="24961"/>
    <cellStyle name="20% - Accent5 8 2 3 4 3" xfId="7016"/>
    <cellStyle name="20% - Accent5 8 2 3 4 3 2" xfId="24963"/>
    <cellStyle name="20% - Accent5 8 2 3 4 4" xfId="24960"/>
    <cellStyle name="20% - Accent5 8 2 3 5" xfId="7017"/>
    <cellStyle name="20% - Accent5 8 2 3 5 2" xfId="7018"/>
    <cellStyle name="20% - Accent5 8 2 3 5 2 2" xfId="24965"/>
    <cellStyle name="20% - Accent5 8 2 3 5 3" xfId="24964"/>
    <cellStyle name="20% - Accent5 8 2 3 6" xfId="7019"/>
    <cellStyle name="20% - Accent5 8 2 3 6 2" xfId="24966"/>
    <cellStyle name="20% - Accent5 8 2 3 7" xfId="24943"/>
    <cellStyle name="20% - Accent5 8 2 4" xfId="7020"/>
    <cellStyle name="20% - Accent5 8 2 4 2" xfId="7021"/>
    <cellStyle name="20% - Accent5 8 2 4 2 2" xfId="7022"/>
    <cellStyle name="20% - Accent5 8 2 4 2 2 2" xfId="7023"/>
    <cellStyle name="20% - Accent5 8 2 4 2 2 2 2" xfId="24970"/>
    <cellStyle name="20% - Accent5 8 2 4 2 2 3" xfId="24969"/>
    <cellStyle name="20% - Accent5 8 2 4 2 3" xfId="7024"/>
    <cellStyle name="20% - Accent5 8 2 4 2 3 2" xfId="24971"/>
    <cellStyle name="20% - Accent5 8 2 4 2 4" xfId="24968"/>
    <cellStyle name="20% - Accent5 8 2 4 3" xfId="7025"/>
    <cellStyle name="20% - Accent5 8 2 4 3 2" xfId="7026"/>
    <cellStyle name="20% - Accent5 8 2 4 3 2 2" xfId="24973"/>
    <cellStyle name="20% - Accent5 8 2 4 3 3" xfId="24972"/>
    <cellStyle name="20% - Accent5 8 2 4 4" xfId="7027"/>
    <cellStyle name="20% - Accent5 8 2 4 4 2" xfId="24974"/>
    <cellStyle name="20% - Accent5 8 2 4 5" xfId="24967"/>
    <cellStyle name="20% - Accent5 8 2 5" xfId="7028"/>
    <cellStyle name="20% - Accent5 8 2 5 2" xfId="7029"/>
    <cellStyle name="20% - Accent5 8 2 5 2 2" xfId="7030"/>
    <cellStyle name="20% - Accent5 8 2 5 2 2 2" xfId="7031"/>
    <cellStyle name="20% - Accent5 8 2 5 2 2 2 2" xfId="24978"/>
    <cellStyle name="20% - Accent5 8 2 5 2 2 3" xfId="24977"/>
    <cellStyle name="20% - Accent5 8 2 5 2 3" xfId="7032"/>
    <cellStyle name="20% - Accent5 8 2 5 2 3 2" xfId="24979"/>
    <cellStyle name="20% - Accent5 8 2 5 2 4" xfId="24976"/>
    <cellStyle name="20% - Accent5 8 2 5 3" xfId="7033"/>
    <cellStyle name="20% - Accent5 8 2 5 3 2" xfId="7034"/>
    <cellStyle name="20% - Accent5 8 2 5 3 2 2" xfId="24981"/>
    <cellStyle name="20% - Accent5 8 2 5 3 3" xfId="24980"/>
    <cellStyle name="20% - Accent5 8 2 5 4" xfId="7035"/>
    <cellStyle name="20% - Accent5 8 2 5 4 2" xfId="24982"/>
    <cellStyle name="20% - Accent5 8 2 5 5" xfId="24975"/>
    <cellStyle name="20% - Accent5 8 2 6" xfId="7036"/>
    <cellStyle name="20% - Accent5 8 2 6 2" xfId="7037"/>
    <cellStyle name="20% - Accent5 8 2 6 2 2" xfId="7038"/>
    <cellStyle name="20% - Accent5 8 2 6 2 2 2" xfId="24985"/>
    <cellStyle name="20% - Accent5 8 2 6 2 3" xfId="24984"/>
    <cellStyle name="20% - Accent5 8 2 6 3" xfId="7039"/>
    <cellStyle name="20% - Accent5 8 2 6 3 2" xfId="24986"/>
    <cellStyle name="20% - Accent5 8 2 6 4" xfId="24983"/>
    <cellStyle name="20% - Accent5 8 2 7" xfId="7040"/>
    <cellStyle name="20% - Accent5 8 2 7 2" xfId="7041"/>
    <cellStyle name="20% - Accent5 8 2 7 2 2" xfId="24988"/>
    <cellStyle name="20% - Accent5 8 2 7 3" xfId="24987"/>
    <cellStyle name="20% - Accent5 8 2 8" xfId="7042"/>
    <cellStyle name="20% - Accent5 8 2 8 2" xfId="24989"/>
    <cellStyle name="20% - Accent5 8 2 9" xfId="24894"/>
    <cellStyle name="20% - Accent5 8 3" xfId="7043"/>
    <cellStyle name="20% - Accent5 8 3 2" xfId="7044"/>
    <cellStyle name="20% - Accent5 8 3 2 2" xfId="7045"/>
    <cellStyle name="20% - Accent5 8 3 2 2 2" xfId="7046"/>
    <cellStyle name="20% - Accent5 8 3 2 2 2 2" xfId="7047"/>
    <cellStyle name="20% - Accent5 8 3 2 2 2 2 2" xfId="7048"/>
    <cellStyle name="20% - Accent5 8 3 2 2 2 2 2 2" xfId="24995"/>
    <cellStyle name="20% - Accent5 8 3 2 2 2 2 3" xfId="24994"/>
    <cellStyle name="20% - Accent5 8 3 2 2 2 3" xfId="7049"/>
    <cellStyle name="20% - Accent5 8 3 2 2 2 3 2" xfId="24996"/>
    <cellStyle name="20% - Accent5 8 3 2 2 2 4" xfId="24993"/>
    <cellStyle name="20% - Accent5 8 3 2 2 3" xfId="7050"/>
    <cellStyle name="20% - Accent5 8 3 2 2 3 2" xfId="7051"/>
    <cellStyle name="20% - Accent5 8 3 2 2 3 2 2" xfId="24998"/>
    <cellStyle name="20% - Accent5 8 3 2 2 3 3" xfId="24997"/>
    <cellStyle name="20% - Accent5 8 3 2 2 4" xfId="7052"/>
    <cellStyle name="20% - Accent5 8 3 2 2 4 2" xfId="24999"/>
    <cellStyle name="20% - Accent5 8 3 2 2 5" xfId="24992"/>
    <cellStyle name="20% - Accent5 8 3 2 3" xfId="7053"/>
    <cellStyle name="20% - Accent5 8 3 2 3 2" xfId="7054"/>
    <cellStyle name="20% - Accent5 8 3 2 3 2 2" xfId="7055"/>
    <cellStyle name="20% - Accent5 8 3 2 3 2 2 2" xfId="7056"/>
    <cellStyle name="20% - Accent5 8 3 2 3 2 2 2 2" xfId="25003"/>
    <cellStyle name="20% - Accent5 8 3 2 3 2 2 3" xfId="25002"/>
    <cellStyle name="20% - Accent5 8 3 2 3 2 3" xfId="7057"/>
    <cellStyle name="20% - Accent5 8 3 2 3 2 3 2" xfId="25004"/>
    <cellStyle name="20% - Accent5 8 3 2 3 2 4" xfId="25001"/>
    <cellStyle name="20% - Accent5 8 3 2 3 3" xfId="7058"/>
    <cellStyle name="20% - Accent5 8 3 2 3 3 2" xfId="7059"/>
    <cellStyle name="20% - Accent5 8 3 2 3 3 2 2" xfId="25006"/>
    <cellStyle name="20% - Accent5 8 3 2 3 3 3" xfId="25005"/>
    <cellStyle name="20% - Accent5 8 3 2 3 4" xfId="7060"/>
    <cellStyle name="20% - Accent5 8 3 2 3 4 2" xfId="25007"/>
    <cellStyle name="20% - Accent5 8 3 2 3 5" xfId="25000"/>
    <cellStyle name="20% - Accent5 8 3 2 4" xfId="7061"/>
    <cellStyle name="20% - Accent5 8 3 2 4 2" xfId="7062"/>
    <cellStyle name="20% - Accent5 8 3 2 4 2 2" xfId="7063"/>
    <cellStyle name="20% - Accent5 8 3 2 4 2 2 2" xfId="25010"/>
    <cellStyle name="20% - Accent5 8 3 2 4 2 3" xfId="25009"/>
    <cellStyle name="20% - Accent5 8 3 2 4 3" xfId="7064"/>
    <cellStyle name="20% - Accent5 8 3 2 4 3 2" xfId="25011"/>
    <cellStyle name="20% - Accent5 8 3 2 4 4" xfId="25008"/>
    <cellStyle name="20% - Accent5 8 3 2 5" xfId="7065"/>
    <cellStyle name="20% - Accent5 8 3 2 5 2" xfId="7066"/>
    <cellStyle name="20% - Accent5 8 3 2 5 2 2" xfId="25013"/>
    <cellStyle name="20% - Accent5 8 3 2 5 3" xfId="25012"/>
    <cellStyle name="20% - Accent5 8 3 2 6" xfId="7067"/>
    <cellStyle name="20% - Accent5 8 3 2 6 2" xfId="25014"/>
    <cellStyle name="20% - Accent5 8 3 2 7" xfId="24991"/>
    <cellStyle name="20% - Accent5 8 3 3" xfId="7068"/>
    <cellStyle name="20% - Accent5 8 3 3 2" xfId="7069"/>
    <cellStyle name="20% - Accent5 8 3 3 2 2" xfId="7070"/>
    <cellStyle name="20% - Accent5 8 3 3 2 2 2" xfId="7071"/>
    <cellStyle name="20% - Accent5 8 3 3 2 2 2 2" xfId="25018"/>
    <cellStyle name="20% - Accent5 8 3 3 2 2 3" xfId="25017"/>
    <cellStyle name="20% - Accent5 8 3 3 2 3" xfId="7072"/>
    <cellStyle name="20% - Accent5 8 3 3 2 3 2" xfId="25019"/>
    <cellStyle name="20% - Accent5 8 3 3 2 4" xfId="25016"/>
    <cellStyle name="20% - Accent5 8 3 3 3" xfId="7073"/>
    <cellStyle name="20% - Accent5 8 3 3 3 2" xfId="7074"/>
    <cellStyle name="20% - Accent5 8 3 3 3 2 2" xfId="25021"/>
    <cellStyle name="20% - Accent5 8 3 3 3 3" xfId="25020"/>
    <cellStyle name="20% - Accent5 8 3 3 4" xfId="7075"/>
    <cellStyle name="20% - Accent5 8 3 3 4 2" xfId="25022"/>
    <cellStyle name="20% - Accent5 8 3 3 5" xfId="25015"/>
    <cellStyle name="20% - Accent5 8 3 4" xfId="7076"/>
    <cellStyle name="20% - Accent5 8 3 4 2" xfId="7077"/>
    <cellStyle name="20% - Accent5 8 3 4 2 2" xfId="7078"/>
    <cellStyle name="20% - Accent5 8 3 4 2 2 2" xfId="7079"/>
    <cellStyle name="20% - Accent5 8 3 4 2 2 2 2" xfId="25026"/>
    <cellStyle name="20% - Accent5 8 3 4 2 2 3" xfId="25025"/>
    <cellStyle name="20% - Accent5 8 3 4 2 3" xfId="7080"/>
    <cellStyle name="20% - Accent5 8 3 4 2 3 2" xfId="25027"/>
    <cellStyle name="20% - Accent5 8 3 4 2 4" xfId="25024"/>
    <cellStyle name="20% - Accent5 8 3 4 3" xfId="7081"/>
    <cellStyle name="20% - Accent5 8 3 4 3 2" xfId="7082"/>
    <cellStyle name="20% - Accent5 8 3 4 3 2 2" xfId="25029"/>
    <cellStyle name="20% - Accent5 8 3 4 3 3" xfId="25028"/>
    <cellStyle name="20% - Accent5 8 3 4 4" xfId="7083"/>
    <cellStyle name="20% - Accent5 8 3 4 4 2" xfId="25030"/>
    <cellStyle name="20% - Accent5 8 3 4 5" xfId="25023"/>
    <cellStyle name="20% - Accent5 8 3 5" xfId="7084"/>
    <cellStyle name="20% - Accent5 8 3 5 2" xfId="7085"/>
    <cellStyle name="20% - Accent5 8 3 5 2 2" xfId="7086"/>
    <cellStyle name="20% - Accent5 8 3 5 2 2 2" xfId="25033"/>
    <cellStyle name="20% - Accent5 8 3 5 2 3" xfId="25032"/>
    <cellStyle name="20% - Accent5 8 3 5 3" xfId="7087"/>
    <cellStyle name="20% - Accent5 8 3 5 3 2" xfId="25034"/>
    <cellStyle name="20% - Accent5 8 3 5 4" xfId="25031"/>
    <cellStyle name="20% - Accent5 8 3 6" xfId="7088"/>
    <cellStyle name="20% - Accent5 8 3 6 2" xfId="7089"/>
    <cellStyle name="20% - Accent5 8 3 6 2 2" xfId="25036"/>
    <cellStyle name="20% - Accent5 8 3 6 3" xfId="25035"/>
    <cellStyle name="20% - Accent5 8 3 7" xfId="7090"/>
    <cellStyle name="20% - Accent5 8 3 7 2" xfId="25037"/>
    <cellStyle name="20% - Accent5 8 3 8" xfId="24990"/>
    <cellStyle name="20% - Accent5 8 4" xfId="7091"/>
    <cellStyle name="20% - Accent5 8 4 2" xfId="7092"/>
    <cellStyle name="20% - Accent5 8 4 2 2" xfId="7093"/>
    <cellStyle name="20% - Accent5 8 4 2 2 2" xfId="7094"/>
    <cellStyle name="20% - Accent5 8 4 2 2 2 2" xfId="7095"/>
    <cellStyle name="20% - Accent5 8 4 2 2 2 2 2" xfId="25042"/>
    <cellStyle name="20% - Accent5 8 4 2 2 2 3" xfId="25041"/>
    <cellStyle name="20% - Accent5 8 4 2 2 3" xfId="7096"/>
    <cellStyle name="20% - Accent5 8 4 2 2 3 2" xfId="25043"/>
    <cellStyle name="20% - Accent5 8 4 2 2 4" xfId="25040"/>
    <cellStyle name="20% - Accent5 8 4 2 3" xfId="7097"/>
    <cellStyle name="20% - Accent5 8 4 2 3 2" xfId="7098"/>
    <cellStyle name="20% - Accent5 8 4 2 3 2 2" xfId="25045"/>
    <cellStyle name="20% - Accent5 8 4 2 3 3" xfId="25044"/>
    <cellStyle name="20% - Accent5 8 4 2 4" xfId="7099"/>
    <cellStyle name="20% - Accent5 8 4 2 4 2" xfId="25046"/>
    <cellStyle name="20% - Accent5 8 4 2 5" xfId="25039"/>
    <cellStyle name="20% - Accent5 8 4 3" xfId="7100"/>
    <cellStyle name="20% - Accent5 8 4 3 2" xfId="7101"/>
    <cellStyle name="20% - Accent5 8 4 3 2 2" xfId="7102"/>
    <cellStyle name="20% - Accent5 8 4 3 2 2 2" xfId="7103"/>
    <cellStyle name="20% - Accent5 8 4 3 2 2 2 2" xfId="25050"/>
    <cellStyle name="20% - Accent5 8 4 3 2 2 3" xfId="25049"/>
    <cellStyle name="20% - Accent5 8 4 3 2 3" xfId="7104"/>
    <cellStyle name="20% - Accent5 8 4 3 2 3 2" xfId="25051"/>
    <cellStyle name="20% - Accent5 8 4 3 2 4" xfId="25048"/>
    <cellStyle name="20% - Accent5 8 4 3 3" xfId="7105"/>
    <cellStyle name="20% - Accent5 8 4 3 3 2" xfId="7106"/>
    <cellStyle name="20% - Accent5 8 4 3 3 2 2" xfId="25053"/>
    <cellStyle name="20% - Accent5 8 4 3 3 3" xfId="25052"/>
    <cellStyle name="20% - Accent5 8 4 3 4" xfId="7107"/>
    <cellStyle name="20% - Accent5 8 4 3 4 2" xfId="25054"/>
    <cellStyle name="20% - Accent5 8 4 3 5" xfId="25047"/>
    <cellStyle name="20% - Accent5 8 4 4" xfId="7108"/>
    <cellStyle name="20% - Accent5 8 4 4 2" xfId="7109"/>
    <cellStyle name="20% - Accent5 8 4 4 2 2" xfId="7110"/>
    <cellStyle name="20% - Accent5 8 4 4 2 2 2" xfId="25057"/>
    <cellStyle name="20% - Accent5 8 4 4 2 3" xfId="25056"/>
    <cellStyle name="20% - Accent5 8 4 4 3" xfId="7111"/>
    <cellStyle name="20% - Accent5 8 4 4 3 2" xfId="25058"/>
    <cellStyle name="20% - Accent5 8 4 4 4" xfId="25055"/>
    <cellStyle name="20% - Accent5 8 4 5" xfId="7112"/>
    <cellStyle name="20% - Accent5 8 4 5 2" xfId="7113"/>
    <cellStyle name="20% - Accent5 8 4 5 2 2" xfId="25060"/>
    <cellStyle name="20% - Accent5 8 4 5 3" xfId="25059"/>
    <cellStyle name="20% - Accent5 8 4 6" xfId="7114"/>
    <cellStyle name="20% - Accent5 8 4 6 2" xfId="25061"/>
    <cellStyle name="20% - Accent5 8 4 7" xfId="25038"/>
    <cellStyle name="20% - Accent5 8 5" xfId="7115"/>
    <cellStyle name="20% - Accent5 8 5 2" xfId="7116"/>
    <cellStyle name="20% - Accent5 8 5 2 2" xfId="7117"/>
    <cellStyle name="20% - Accent5 8 5 2 2 2" xfId="7118"/>
    <cellStyle name="20% - Accent5 8 5 2 2 2 2" xfId="25065"/>
    <cellStyle name="20% - Accent5 8 5 2 2 3" xfId="25064"/>
    <cellStyle name="20% - Accent5 8 5 2 3" xfId="7119"/>
    <cellStyle name="20% - Accent5 8 5 2 3 2" xfId="25066"/>
    <cellStyle name="20% - Accent5 8 5 2 4" xfId="25063"/>
    <cellStyle name="20% - Accent5 8 5 3" xfId="7120"/>
    <cellStyle name="20% - Accent5 8 5 3 2" xfId="7121"/>
    <cellStyle name="20% - Accent5 8 5 3 2 2" xfId="25068"/>
    <cellStyle name="20% - Accent5 8 5 3 3" xfId="25067"/>
    <cellStyle name="20% - Accent5 8 5 4" xfId="7122"/>
    <cellStyle name="20% - Accent5 8 5 4 2" xfId="25069"/>
    <cellStyle name="20% - Accent5 8 5 5" xfId="25062"/>
    <cellStyle name="20% - Accent5 8 6" xfId="7123"/>
    <cellStyle name="20% - Accent5 8 6 2" xfId="7124"/>
    <cellStyle name="20% - Accent5 8 6 2 2" xfId="7125"/>
    <cellStyle name="20% - Accent5 8 6 2 2 2" xfId="7126"/>
    <cellStyle name="20% - Accent5 8 6 2 2 2 2" xfId="25073"/>
    <cellStyle name="20% - Accent5 8 6 2 2 3" xfId="25072"/>
    <cellStyle name="20% - Accent5 8 6 2 3" xfId="7127"/>
    <cellStyle name="20% - Accent5 8 6 2 3 2" xfId="25074"/>
    <cellStyle name="20% - Accent5 8 6 2 4" xfId="25071"/>
    <cellStyle name="20% - Accent5 8 6 3" xfId="7128"/>
    <cellStyle name="20% - Accent5 8 6 3 2" xfId="7129"/>
    <cellStyle name="20% - Accent5 8 6 3 2 2" xfId="25076"/>
    <cellStyle name="20% - Accent5 8 6 3 3" xfId="25075"/>
    <cellStyle name="20% - Accent5 8 6 4" xfId="7130"/>
    <cellStyle name="20% - Accent5 8 6 4 2" xfId="25077"/>
    <cellStyle name="20% - Accent5 8 6 5" xfId="25070"/>
    <cellStyle name="20% - Accent5 8 7" xfId="7131"/>
    <cellStyle name="20% - Accent5 8 7 2" xfId="7132"/>
    <cellStyle name="20% - Accent5 8 7 2 2" xfId="7133"/>
    <cellStyle name="20% - Accent5 8 7 2 2 2" xfId="25080"/>
    <cellStyle name="20% - Accent5 8 7 2 3" xfId="25079"/>
    <cellStyle name="20% - Accent5 8 7 3" xfId="7134"/>
    <cellStyle name="20% - Accent5 8 7 3 2" xfId="25081"/>
    <cellStyle name="20% - Accent5 8 7 4" xfId="25078"/>
    <cellStyle name="20% - Accent5 8 8" xfId="7135"/>
    <cellStyle name="20% - Accent5 8 8 2" xfId="7136"/>
    <cellStyle name="20% - Accent5 8 8 2 2" xfId="25083"/>
    <cellStyle name="20% - Accent5 8 8 3" xfId="25082"/>
    <cellStyle name="20% - Accent5 8 9" xfId="7137"/>
    <cellStyle name="20% - Accent5 8 9 2" xfId="25084"/>
    <cellStyle name="20% - Accent5 9" xfId="7138"/>
    <cellStyle name="20% - Accent5 9 2" xfId="7139"/>
    <cellStyle name="20% - Accent5 9 2 2" xfId="7140"/>
    <cellStyle name="20% - Accent5 9 2 2 2" xfId="7141"/>
    <cellStyle name="20% - Accent5 9 2 2 2 2" xfId="25088"/>
    <cellStyle name="20% - Accent5 9 2 2 3" xfId="25087"/>
    <cellStyle name="20% - Accent5 9 2 3" xfId="7142"/>
    <cellStyle name="20% - Accent5 9 2 3 2" xfId="25089"/>
    <cellStyle name="20% - Accent5 9 2 4" xfId="25086"/>
    <cellStyle name="20% - Accent5 9 3" xfId="7143"/>
    <cellStyle name="20% - Accent5 9 3 2" xfId="7144"/>
    <cellStyle name="20% - Accent5 9 3 2 2" xfId="25091"/>
    <cellStyle name="20% - Accent5 9 3 3" xfId="25090"/>
    <cellStyle name="20% - Accent5 9 4" xfId="7145"/>
    <cellStyle name="20% - Accent5 9 4 2" xfId="25092"/>
    <cellStyle name="20% - Accent5 9 5" xfId="25085"/>
    <cellStyle name="20% - Accent6" xfId="7" builtinId="50" customBuiltin="1"/>
    <cellStyle name="20% - Accent6 10" xfId="7146"/>
    <cellStyle name="20% - Accent6 10 2" xfId="7147"/>
    <cellStyle name="20% - Accent6 10 2 2" xfId="7148"/>
    <cellStyle name="20% - Accent6 10 2 2 2" xfId="7149"/>
    <cellStyle name="20% - Accent6 10 2 2 2 2" xfId="25096"/>
    <cellStyle name="20% - Accent6 10 2 2 3" xfId="25095"/>
    <cellStyle name="20% - Accent6 10 2 3" xfId="7150"/>
    <cellStyle name="20% - Accent6 10 2 3 2" xfId="25097"/>
    <cellStyle name="20% - Accent6 10 2 4" xfId="25094"/>
    <cellStyle name="20% - Accent6 10 3" xfId="7151"/>
    <cellStyle name="20% - Accent6 10 3 2" xfId="7152"/>
    <cellStyle name="20% - Accent6 10 3 2 2" xfId="25099"/>
    <cellStyle name="20% - Accent6 10 3 3" xfId="25098"/>
    <cellStyle name="20% - Accent6 10 4" xfId="7153"/>
    <cellStyle name="20% - Accent6 10 4 2" xfId="25100"/>
    <cellStyle name="20% - Accent6 10 5" xfId="25093"/>
    <cellStyle name="20% - Accent6 11" xfId="7154"/>
    <cellStyle name="20% - Accent6 11 2" xfId="7155"/>
    <cellStyle name="20% - Accent6 11 2 2" xfId="7156"/>
    <cellStyle name="20% - Accent6 11 2 2 2" xfId="7157"/>
    <cellStyle name="20% - Accent6 11 2 2 2 2" xfId="25104"/>
    <cellStyle name="20% - Accent6 11 2 2 3" xfId="25103"/>
    <cellStyle name="20% - Accent6 11 2 3" xfId="7158"/>
    <cellStyle name="20% - Accent6 11 2 3 2" xfId="25105"/>
    <cellStyle name="20% - Accent6 11 2 4" xfId="25102"/>
    <cellStyle name="20% - Accent6 11 3" xfId="7159"/>
    <cellStyle name="20% - Accent6 11 3 2" xfId="7160"/>
    <cellStyle name="20% - Accent6 11 3 2 2" xfId="25107"/>
    <cellStyle name="20% - Accent6 11 3 3" xfId="25106"/>
    <cellStyle name="20% - Accent6 11 4" xfId="7161"/>
    <cellStyle name="20% - Accent6 11 4 2" xfId="25108"/>
    <cellStyle name="20% - Accent6 11 5" xfId="25101"/>
    <cellStyle name="20% - Accent6 12" xfId="7162"/>
    <cellStyle name="20% - Accent6 12 2" xfId="7163"/>
    <cellStyle name="20% - Accent6 12 2 2" xfId="7164"/>
    <cellStyle name="20% - Accent6 12 2 2 2" xfId="7165"/>
    <cellStyle name="20% - Accent6 12 2 2 2 2" xfId="25112"/>
    <cellStyle name="20% - Accent6 12 2 2 3" xfId="25111"/>
    <cellStyle name="20% - Accent6 12 2 3" xfId="7166"/>
    <cellStyle name="20% - Accent6 12 2 3 2" xfId="25113"/>
    <cellStyle name="20% - Accent6 12 2 4" xfId="25110"/>
    <cellStyle name="20% - Accent6 12 3" xfId="7167"/>
    <cellStyle name="20% - Accent6 12 3 2" xfId="7168"/>
    <cellStyle name="20% - Accent6 12 3 2 2" xfId="25115"/>
    <cellStyle name="20% - Accent6 12 3 3" xfId="25114"/>
    <cellStyle name="20% - Accent6 12 4" xfId="7169"/>
    <cellStyle name="20% - Accent6 12 4 2" xfId="25116"/>
    <cellStyle name="20% - Accent6 12 5" xfId="25109"/>
    <cellStyle name="20% - Accent6 13" xfId="7170"/>
    <cellStyle name="20% - Accent6 14" xfId="7171"/>
    <cellStyle name="20% - Accent6 14 2" xfId="7172"/>
    <cellStyle name="20% - Accent6 14 2 2" xfId="7173"/>
    <cellStyle name="20% - Accent6 14 2 2 2" xfId="25119"/>
    <cellStyle name="20% - Accent6 14 2 3" xfId="25118"/>
    <cellStyle name="20% - Accent6 14 3" xfId="7174"/>
    <cellStyle name="20% - Accent6 14 3 2" xfId="25120"/>
    <cellStyle name="20% - Accent6 14 4" xfId="25117"/>
    <cellStyle name="20% - Accent6 15" xfId="7175"/>
    <cellStyle name="20% - Accent6 15 2" xfId="7176"/>
    <cellStyle name="20% - Accent6 15 2 2" xfId="7177"/>
    <cellStyle name="20% - Accent6 15 2 2 2" xfId="25123"/>
    <cellStyle name="20% - Accent6 15 2 3" xfId="25122"/>
    <cellStyle name="20% - Accent6 15 3" xfId="7178"/>
    <cellStyle name="20% - Accent6 15 3 2" xfId="25124"/>
    <cellStyle name="20% - Accent6 15 4" xfId="25121"/>
    <cellStyle name="20% - Accent6 16" xfId="7179"/>
    <cellStyle name="20% - Accent6 16 2" xfId="7180"/>
    <cellStyle name="20% - Accent6 16 2 2" xfId="7181"/>
    <cellStyle name="20% - Accent6 16 2 2 2" xfId="25127"/>
    <cellStyle name="20% - Accent6 16 2 3" xfId="25126"/>
    <cellStyle name="20% - Accent6 16 3" xfId="7182"/>
    <cellStyle name="20% - Accent6 16 3 2" xfId="25128"/>
    <cellStyle name="20% - Accent6 16 4" xfId="25125"/>
    <cellStyle name="20% - Accent6 17" xfId="7183"/>
    <cellStyle name="20% - Accent6 17 2" xfId="7184"/>
    <cellStyle name="20% - Accent6 17 2 2" xfId="7185"/>
    <cellStyle name="20% - Accent6 17 2 2 2" xfId="25131"/>
    <cellStyle name="20% - Accent6 17 2 3" xfId="25130"/>
    <cellStyle name="20% - Accent6 17 3" xfId="7186"/>
    <cellStyle name="20% - Accent6 17 3 2" xfId="25132"/>
    <cellStyle name="20% - Accent6 17 4" xfId="25129"/>
    <cellStyle name="20% - Accent6 18" xfId="7187"/>
    <cellStyle name="20% - Accent6 18 2" xfId="7188"/>
    <cellStyle name="20% - Accent6 18 2 2" xfId="7189"/>
    <cellStyle name="20% - Accent6 18 2 2 2" xfId="25135"/>
    <cellStyle name="20% - Accent6 18 2 3" xfId="25134"/>
    <cellStyle name="20% - Accent6 18 3" xfId="7190"/>
    <cellStyle name="20% - Accent6 18 3 2" xfId="25136"/>
    <cellStyle name="20% - Accent6 18 4" xfId="25133"/>
    <cellStyle name="20% - Accent6 19" xfId="7191"/>
    <cellStyle name="20% - Accent6 19 2" xfId="7192"/>
    <cellStyle name="20% - Accent6 19 2 2" xfId="7193"/>
    <cellStyle name="20% - Accent6 19 2 2 2" xfId="25139"/>
    <cellStyle name="20% - Accent6 19 2 3" xfId="25138"/>
    <cellStyle name="20% - Accent6 19 3" xfId="7194"/>
    <cellStyle name="20% - Accent6 19 3 2" xfId="25140"/>
    <cellStyle name="20% - Accent6 19 4" xfId="25137"/>
    <cellStyle name="20% - Accent6 2" xfId="241"/>
    <cellStyle name="20% - Accent6 2 2" xfId="7195"/>
    <cellStyle name="20% - Accent6 2 2 2" xfId="7196"/>
    <cellStyle name="20% - Accent6 2 3" xfId="7197"/>
    <cellStyle name="20% - Accent6 2 3 2" xfId="7198"/>
    <cellStyle name="20% - Accent6 2 3 3" xfId="7199"/>
    <cellStyle name="20% - Accent6 2 3 3 2" xfId="7200"/>
    <cellStyle name="20% - Accent6 2 3 3 2 2" xfId="7201"/>
    <cellStyle name="20% - Accent6 2 3 3 2 2 2" xfId="25143"/>
    <cellStyle name="20% - Accent6 2 3 3 2 3" xfId="25142"/>
    <cellStyle name="20% - Accent6 2 3 3 3" xfId="7202"/>
    <cellStyle name="20% - Accent6 2 3 3 3 2" xfId="25144"/>
    <cellStyle name="20% - Accent6 2 3 3 4" xfId="25141"/>
    <cellStyle name="20% - Accent6 2 4" xfId="7203"/>
    <cellStyle name="20% - Accent6 20" xfId="7204"/>
    <cellStyle name="20% - Accent6 20 2" xfId="7205"/>
    <cellStyle name="20% - Accent6 20 2 2" xfId="7206"/>
    <cellStyle name="20% - Accent6 20 2 2 2" xfId="25147"/>
    <cellStyle name="20% - Accent6 20 2 3" xfId="25146"/>
    <cellStyle name="20% - Accent6 20 3" xfId="7207"/>
    <cellStyle name="20% - Accent6 20 3 2" xfId="25148"/>
    <cellStyle name="20% - Accent6 20 4" xfId="25145"/>
    <cellStyle name="20% - Accent6 21" xfId="7208"/>
    <cellStyle name="20% - Accent6 21 2" xfId="7209"/>
    <cellStyle name="20% - Accent6 21 2 2" xfId="7210"/>
    <cellStyle name="20% - Accent6 21 2 2 2" xfId="25151"/>
    <cellStyle name="20% - Accent6 21 2 3" xfId="25150"/>
    <cellStyle name="20% - Accent6 21 3" xfId="7211"/>
    <cellStyle name="20% - Accent6 21 3 2" xfId="25152"/>
    <cellStyle name="20% - Accent6 21 4" xfId="25149"/>
    <cellStyle name="20% - Accent6 22" xfId="7212"/>
    <cellStyle name="20% - Accent6 23" xfId="7213"/>
    <cellStyle name="20% - Accent6 23 2" xfId="7214"/>
    <cellStyle name="20% - Accent6 23 2 2" xfId="25154"/>
    <cellStyle name="20% - Accent6 23 3" xfId="25153"/>
    <cellStyle name="20% - Accent6 24" xfId="7215"/>
    <cellStyle name="20% - Accent6 25" xfId="7216"/>
    <cellStyle name="20% - Accent6 25 2" xfId="25155"/>
    <cellStyle name="20% - Accent6 26" xfId="7217"/>
    <cellStyle name="20% - Accent6 26 2" xfId="25156"/>
    <cellStyle name="20% - Accent6 27" xfId="7218"/>
    <cellStyle name="20% - Accent6 27 2" xfId="25157"/>
    <cellStyle name="20% - Accent6 28" xfId="7219"/>
    <cellStyle name="20% - Accent6 28 2" xfId="25158"/>
    <cellStyle name="20% - Accent6 29" xfId="7220"/>
    <cellStyle name="20% - Accent6 29 2" xfId="25159"/>
    <cellStyle name="20% - Accent6 3" xfId="655"/>
    <cellStyle name="20% - Accent6 3 2" xfId="7221"/>
    <cellStyle name="20% - Accent6 3 2 2" xfId="7222"/>
    <cellStyle name="20% - Accent6 3 2 2 2" xfId="7223"/>
    <cellStyle name="20% - Accent6 3 2 2 2 2" xfId="7224"/>
    <cellStyle name="20% - Accent6 3 2 2 2 2 2" xfId="7225"/>
    <cellStyle name="20% - Accent6 3 2 2 2 2 2 2" xfId="7226"/>
    <cellStyle name="20% - Accent6 3 2 2 2 2 2 2 2" xfId="7227"/>
    <cellStyle name="20% - Accent6 3 2 2 2 2 2 2 2 2" xfId="25166"/>
    <cellStyle name="20% - Accent6 3 2 2 2 2 2 2 3" xfId="25165"/>
    <cellStyle name="20% - Accent6 3 2 2 2 2 2 3" xfId="7228"/>
    <cellStyle name="20% - Accent6 3 2 2 2 2 2 3 2" xfId="25167"/>
    <cellStyle name="20% - Accent6 3 2 2 2 2 2 4" xfId="25164"/>
    <cellStyle name="20% - Accent6 3 2 2 2 2 3" xfId="7229"/>
    <cellStyle name="20% - Accent6 3 2 2 2 2 3 2" xfId="7230"/>
    <cellStyle name="20% - Accent6 3 2 2 2 2 3 2 2" xfId="25169"/>
    <cellStyle name="20% - Accent6 3 2 2 2 2 3 3" xfId="25168"/>
    <cellStyle name="20% - Accent6 3 2 2 2 2 4" xfId="7231"/>
    <cellStyle name="20% - Accent6 3 2 2 2 2 4 2" xfId="25170"/>
    <cellStyle name="20% - Accent6 3 2 2 2 2 5" xfId="25163"/>
    <cellStyle name="20% - Accent6 3 2 2 2 3" xfId="7232"/>
    <cellStyle name="20% - Accent6 3 2 2 2 3 2" xfId="7233"/>
    <cellStyle name="20% - Accent6 3 2 2 2 3 2 2" xfId="7234"/>
    <cellStyle name="20% - Accent6 3 2 2 2 3 2 2 2" xfId="7235"/>
    <cellStyle name="20% - Accent6 3 2 2 2 3 2 2 2 2" xfId="25174"/>
    <cellStyle name="20% - Accent6 3 2 2 2 3 2 2 3" xfId="25173"/>
    <cellStyle name="20% - Accent6 3 2 2 2 3 2 3" xfId="7236"/>
    <cellStyle name="20% - Accent6 3 2 2 2 3 2 3 2" xfId="25175"/>
    <cellStyle name="20% - Accent6 3 2 2 2 3 2 4" xfId="25172"/>
    <cellStyle name="20% - Accent6 3 2 2 2 3 3" xfId="7237"/>
    <cellStyle name="20% - Accent6 3 2 2 2 3 3 2" xfId="7238"/>
    <cellStyle name="20% - Accent6 3 2 2 2 3 3 2 2" xfId="25177"/>
    <cellStyle name="20% - Accent6 3 2 2 2 3 3 3" xfId="25176"/>
    <cellStyle name="20% - Accent6 3 2 2 2 3 4" xfId="7239"/>
    <cellStyle name="20% - Accent6 3 2 2 2 3 4 2" xfId="25178"/>
    <cellStyle name="20% - Accent6 3 2 2 2 3 5" xfId="25171"/>
    <cellStyle name="20% - Accent6 3 2 2 2 4" xfId="7240"/>
    <cellStyle name="20% - Accent6 3 2 2 2 4 2" xfId="7241"/>
    <cellStyle name="20% - Accent6 3 2 2 2 4 2 2" xfId="7242"/>
    <cellStyle name="20% - Accent6 3 2 2 2 4 2 2 2" xfId="25181"/>
    <cellStyle name="20% - Accent6 3 2 2 2 4 2 3" xfId="25180"/>
    <cellStyle name="20% - Accent6 3 2 2 2 4 3" xfId="7243"/>
    <cellStyle name="20% - Accent6 3 2 2 2 4 3 2" xfId="25182"/>
    <cellStyle name="20% - Accent6 3 2 2 2 4 4" xfId="25179"/>
    <cellStyle name="20% - Accent6 3 2 2 2 5" xfId="7244"/>
    <cellStyle name="20% - Accent6 3 2 2 2 5 2" xfId="7245"/>
    <cellStyle name="20% - Accent6 3 2 2 2 5 2 2" xfId="25184"/>
    <cellStyle name="20% - Accent6 3 2 2 2 5 3" xfId="25183"/>
    <cellStyle name="20% - Accent6 3 2 2 2 6" xfId="7246"/>
    <cellStyle name="20% - Accent6 3 2 2 2 6 2" xfId="25185"/>
    <cellStyle name="20% - Accent6 3 2 2 2 7" xfId="25162"/>
    <cellStyle name="20% - Accent6 3 2 2 3" xfId="7247"/>
    <cellStyle name="20% - Accent6 3 2 2 3 2" xfId="7248"/>
    <cellStyle name="20% - Accent6 3 2 2 3 2 2" xfId="7249"/>
    <cellStyle name="20% - Accent6 3 2 2 3 2 2 2" xfId="7250"/>
    <cellStyle name="20% - Accent6 3 2 2 3 2 2 2 2" xfId="25189"/>
    <cellStyle name="20% - Accent6 3 2 2 3 2 2 3" xfId="25188"/>
    <cellStyle name="20% - Accent6 3 2 2 3 2 3" xfId="7251"/>
    <cellStyle name="20% - Accent6 3 2 2 3 2 3 2" xfId="25190"/>
    <cellStyle name="20% - Accent6 3 2 2 3 2 4" xfId="25187"/>
    <cellStyle name="20% - Accent6 3 2 2 3 3" xfId="7252"/>
    <cellStyle name="20% - Accent6 3 2 2 3 3 2" xfId="7253"/>
    <cellStyle name="20% - Accent6 3 2 2 3 3 2 2" xfId="25192"/>
    <cellStyle name="20% - Accent6 3 2 2 3 3 3" xfId="25191"/>
    <cellStyle name="20% - Accent6 3 2 2 3 4" xfId="7254"/>
    <cellStyle name="20% - Accent6 3 2 2 3 4 2" xfId="25193"/>
    <cellStyle name="20% - Accent6 3 2 2 3 5" xfId="25186"/>
    <cellStyle name="20% - Accent6 3 2 2 4" xfId="7255"/>
    <cellStyle name="20% - Accent6 3 2 2 4 2" xfId="7256"/>
    <cellStyle name="20% - Accent6 3 2 2 4 2 2" xfId="7257"/>
    <cellStyle name="20% - Accent6 3 2 2 4 2 2 2" xfId="7258"/>
    <cellStyle name="20% - Accent6 3 2 2 4 2 2 2 2" xfId="25197"/>
    <cellStyle name="20% - Accent6 3 2 2 4 2 2 3" xfId="25196"/>
    <cellStyle name="20% - Accent6 3 2 2 4 2 3" xfId="7259"/>
    <cellStyle name="20% - Accent6 3 2 2 4 2 3 2" xfId="25198"/>
    <cellStyle name="20% - Accent6 3 2 2 4 2 4" xfId="25195"/>
    <cellStyle name="20% - Accent6 3 2 2 4 3" xfId="7260"/>
    <cellStyle name="20% - Accent6 3 2 2 4 3 2" xfId="7261"/>
    <cellStyle name="20% - Accent6 3 2 2 4 3 2 2" xfId="25200"/>
    <cellStyle name="20% - Accent6 3 2 2 4 3 3" xfId="25199"/>
    <cellStyle name="20% - Accent6 3 2 2 4 4" xfId="7262"/>
    <cellStyle name="20% - Accent6 3 2 2 4 4 2" xfId="25201"/>
    <cellStyle name="20% - Accent6 3 2 2 4 5" xfId="25194"/>
    <cellStyle name="20% - Accent6 3 2 2 5" xfId="7263"/>
    <cellStyle name="20% - Accent6 3 2 2 5 2" xfId="7264"/>
    <cellStyle name="20% - Accent6 3 2 2 5 2 2" xfId="7265"/>
    <cellStyle name="20% - Accent6 3 2 2 5 2 2 2" xfId="25204"/>
    <cellStyle name="20% - Accent6 3 2 2 5 2 3" xfId="25203"/>
    <cellStyle name="20% - Accent6 3 2 2 5 3" xfId="7266"/>
    <cellStyle name="20% - Accent6 3 2 2 5 3 2" xfId="25205"/>
    <cellStyle name="20% - Accent6 3 2 2 5 4" xfId="25202"/>
    <cellStyle name="20% - Accent6 3 2 2 6" xfId="7267"/>
    <cellStyle name="20% - Accent6 3 2 2 6 2" xfId="7268"/>
    <cellStyle name="20% - Accent6 3 2 2 6 2 2" xfId="25207"/>
    <cellStyle name="20% - Accent6 3 2 2 6 3" xfId="25206"/>
    <cellStyle name="20% - Accent6 3 2 2 7" xfId="7269"/>
    <cellStyle name="20% - Accent6 3 2 2 7 2" xfId="25208"/>
    <cellStyle name="20% - Accent6 3 2 2 8" xfId="25161"/>
    <cellStyle name="20% - Accent6 3 2 3" xfId="7270"/>
    <cellStyle name="20% - Accent6 3 2 3 2" xfId="7271"/>
    <cellStyle name="20% - Accent6 3 2 3 2 2" xfId="7272"/>
    <cellStyle name="20% - Accent6 3 2 3 2 2 2" xfId="7273"/>
    <cellStyle name="20% - Accent6 3 2 3 2 2 2 2" xfId="7274"/>
    <cellStyle name="20% - Accent6 3 2 3 2 2 2 2 2" xfId="25213"/>
    <cellStyle name="20% - Accent6 3 2 3 2 2 2 3" xfId="25212"/>
    <cellStyle name="20% - Accent6 3 2 3 2 2 3" xfId="7275"/>
    <cellStyle name="20% - Accent6 3 2 3 2 2 3 2" xfId="25214"/>
    <cellStyle name="20% - Accent6 3 2 3 2 2 4" xfId="25211"/>
    <cellStyle name="20% - Accent6 3 2 3 2 3" xfId="7276"/>
    <cellStyle name="20% - Accent6 3 2 3 2 3 2" xfId="7277"/>
    <cellStyle name="20% - Accent6 3 2 3 2 3 2 2" xfId="25216"/>
    <cellStyle name="20% - Accent6 3 2 3 2 3 3" xfId="25215"/>
    <cellStyle name="20% - Accent6 3 2 3 2 4" xfId="7278"/>
    <cellStyle name="20% - Accent6 3 2 3 2 4 2" xfId="25217"/>
    <cellStyle name="20% - Accent6 3 2 3 2 5" xfId="25210"/>
    <cellStyle name="20% - Accent6 3 2 3 3" xfId="7279"/>
    <cellStyle name="20% - Accent6 3 2 3 3 2" xfId="7280"/>
    <cellStyle name="20% - Accent6 3 2 3 3 2 2" xfId="7281"/>
    <cellStyle name="20% - Accent6 3 2 3 3 2 2 2" xfId="7282"/>
    <cellStyle name="20% - Accent6 3 2 3 3 2 2 2 2" xfId="25221"/>
    <cellStyle name="20% - Accent6 3 2 3 3 2 2 3" xfId="25220"/>
    <cellStyle name="20% - Accent6 3 2 3 3 2 3" xfId="7283"/>
    <cellStyle name="20% - Accent6 3 2 3 3 2 3 2" xfId="25222"/>
    <cellStyle name="20% - Accent6 3 2 3 3 2 4" xfId="25219"/>
    <cellStyle name="20% - Accent6 3 2 3 3 3" xfId="7284"/>
    <cellStyle name="20% - Accent6 3 2 3 3 3 2" xfId="7285"/>
    <cellStyle name="20% - Accent6 3 2 3 3 3 2 2" xfId="25224"/>
    <cellStyle name="20% - Accent6 3 2 3 3 3 3" xfId="25223"/>
    <cellStyle name="20% - Accent6 3 2 3 3 4" xfId="7286"/>
    <cellStyle name="20% - Accent6 3 2 3 3 4 2" xfId="25225"/>
    <cellStyle name="20% - Accent6 3 2 3 3 5" xfId="25218"/>
    <cellStyle name="20% - Accent6 3 2 3 4" xfId="7287"/>
    <cellStyle name="20% - Accent6 3 2 3 4 2" xfId="7288"/>
    <cellStyle name="20% - Accent6 3 2 3 4 2 2" xfId="7289"/>
    <cellStyle name="20% - Accent6 3 2 3 4 2 2 2" xfId="25228"/>
    <cellStyle name="20% - Accent6 3 2 3 4 2 3" xfId="25227"/>
    <cellStyle name="20% - Accent6 3 2 3 4 3" xfId="7290"/>
    <cellStyle name="20% - Accent6 3 2 3 4 3 2" xfId="25229"/>
    <cellStyle name="20% - Accent6 3 2 3 4 4" xfId="25226"/>
    <cellStyle name="20% - Accent6 3 2 3 5" xfId="7291"/>
    <cellStyle name="20% - Accent6 3 2 3 5 2" xfId="7292"/>
    <cellStyle name="20% - Accent6 3 2 3 5 2 2" xfId="25231"/>
    <cellStyle name="20% - Accent6 3 2 3 5 3" xfId="25230"/>
    <cellStyle name="20% - Accent6 3 2 3 6" xfId="7293"/>
    <cellStyle name="20% - Accent6 3 2 3 6 2" xfId="25232"/>
    <cellStyle name="20% - Accent6 3 2 3 7" xfId="25209"/>
    <cellStyle name="20% - Accent6 3 2 4" xfId="7294"/>
    <cellStyle name="20% - Accent6 3 2 4 2" xfId="7295"/>
    <cellStyle name="20% - Accent6 3 2 4 2 2" xfId="7296"/>
    <cellStyle name="20% - Accent6 3 2 4 2 2 2" xfId="7297"/>
    <cellStyle name="20% - Accent6 3 2 4 2 2 2 2" xfId="25236"/>
    <cellStyle name="20% - Accent6 3 2 4 2 2 3" xfId="25235"/>
    <cellStyle name="20% - Accent6 3 2 4 2 3" xfId="7298"/>
    <cellStyle name="20% - Accent6 3 2 4 2 3 2" xfId="25237"/>
    <cellStyle name="20% - Accent6 3 2 4 2 4" xfId="25234"/>
    <cellStyle name="20% - Accent6 3 2 4 3" xfId="7299"/>
    <cellStyle name="20% - Accent6 3 2 4 3 2" xfId="7300"/>
    <cellStyle name="20% - Accent6 3 2 4 3 2 2" xfId="25239"/>
    <cellStyle name="20% - Accent6 3 2 4 3 3" xfId="25238"/>
    <cellStyle name="20% - Accent6 3 2 4 4" xfId="7301"/>
    <cellStyle name="20% - Accent6 3 2 4 4 2" xfId="25240"/>
    <cellStyle name="20% - Accent6 3 2 4 5" xfId="25233"/>
    <cellStyle name="20% - Accent6 3 2 5" xfId="7302"/>
    <cellStyle name="20% - Accent6 3 2 5 2" xfId="7303"/>
    <cellStyle name="20% - Accent6 3 2 5 2 2" xfId="7304"/>
    <cellStyle name="20% - Accent6 3 2 5 2 2 2" xfId="7305"/>
    <cellStyle name="20% - Accent6 3 2 5 2 2 2 2" xfId="25244"/>
    <cellStyle name="20% - Accent6 3 2 5 2 2 3" xfId="25243"/>
    <cellStyle name="20% - Accent6 3 2 5 2 3" xfId="7306"/>
    <cellStyle name="20% - Accent6 3 2 5 2 3 2" xfId="25245"/>
    <cellStyle name="20% - Accent6 3 2 5 2 4" xfId="25242"/>
    <cellStyle name="20% - Accent6 3 2 5 3" xfId="7307"/>
    <cellStyle name="20% - Accent6 3 2 5 3 2" xfId="7308"/>
    <cellStyle name="20% - Accent6 3 2 5 3 2 2" xfId="25247"/>
    <cellStyle name="20% - Accent6 3 2 5 3 3" xfId="25246"/>
    <cellStyle name="20% - Accent6 3 2 5 4" xfId="7309"/>
    <cellStyle name="20% - Accent6 3 2 5 4 2" xfId="25248"/>
    <cellStyle name="20% - Accent6 3 2 5 5" xfId="25241"/>
    <cellStyle name="20% - Accent6 3 2 6" xfId="7310"/>
    <cellStyle name="20% - Accent6 3 2 6 2" xfId="7311"/>
    <cellStyle name="20% - Accent6 3 2 6 2 2" xfId="7312"/>
    <cellStyle name="20% - Accent6 3 2 6 2 2 2" xfId="25251"/>
    <cellStyle name="20% - Accent6 3 2 6 2 3" xfId="25250"/>
    <cellStyle name="20% - Accent6 3 2 6 3" xfId="7313"/>
    <cellStyle name="20% - Accent6 3 2 6 3 2" xfId="25252"/>
    <cellStyle name="20% - Accent6 3 2 6 4" xfId="25249"/>
    <cellStyle name="20% - Accent6 3 2 7" xfId="7314"/>
    <cellStyle name="20% - Accent6 3 2 7 2" xfId="7315"/>
    <cellStyle name="20% - Accent6 3 2 7 2 2" xfId="25254"/>
    <cellStyle name="20% - Accent6 3 2 7 3" xfId="25253"/>
    <cellStyle name="20% - Accent6 3 2 8" xfId="7316"/>
    <cellStyle name="20% - Accent6 3 2 8 2" xfId="25255"/>
    <cellStyle name="20% - Accent6 3 2 9" xfId="25160"/>
    <cellStyle name="20% - Accent6 3 3" xfId="7317"/>
    <cellStyle name="20% - Accent6 3 3 2" xfId="7318"/>
    <cellStyle name="20% - Accent6 3 3 2 2" xfId="7319"/>
    <cellStyle name="20% - Accent6 3 3 2 2 2" xfId="7320"/>
    <cellStyle name="20% - Accent6 3 3 2 2 2 2" xfId="7321"/>
    <cellStyle name="20% - Accent6 3 3 2 2 2 2 2" xfId="7322"/>
    <cellStyle name="20% - Accent6 3 3 2 2 2 2 2 2" xfId="25261"/>
    <cellStyle name="20% - Accent6 3 3 2 2 2 2 3" xfId="25260"/>
    <cellStyle name="20% - Accent6 3 3 2 2 2 3" xfId="7323"/>
    <cellStyle name="20% - Accent6 3 3 2 2 2 3 2" xfId="25262"/>
    <cellStyle name="20% - Accent6 3 3 2 2 2 4" xfId="25259"/>
    <cellStyle name="20% - Accent6 3 3 2 2 3" xfId="7324"/>
    <cellStyle name="20% - Accent6 3 3 2 2 3 2" xfId="7325"/>
    <cellStyle name="20% - Accent6 3 3 2 2 3 2 2" xfId="25264"/>
    <cellStyle name="20% - Accent6 3 3 2 2 3 3" xfId="25263"/>
    <cellStyle name="20% - Accent6 3 3 2 2 4" xfId="7326"/>
    <cellStyle name="20% - Accent6 3 3 2 2 4 2" xfId="25265"/>
    <cellStyle name="20% - Accent6 3 3 2 2 5" xfId="25258"/>
    <cellStyle name="20% - Accent6 3 3 2 3" xfId="7327"/>
    <cellStyle name="20% - Accent6 3 3 2 3 2" xfId="7328"/>
    <cellStyle name="20% - Accent6 3 3 2 3 2 2" xfId="7329"/>
    <cellStyle name="20% - Accent6 3 3 2 3 2 2 2" xfId="7330"/>
    <cellStyle name="20% - Accent6 3 3 2 3 2 2 2 2" xfId="25269"/>
    <cellStyle name="20% - Accent6 3 3 2 3 2 2 3" xfId="25268"/>
    <cellStyle name="20% - Accent6 3 3 2 3 2 3" xfId="7331"/>
    <cellStyle name="20% - Accent6 3 3 2 3 2 3 2" xfId="25270"/>
    <cellStyle name="20% - Accent6 3 3 2 3 2 4" xfId="25267"/>
    <cellStyle name="20% - Accent6 3 3 2 3 3" xfId="7332"/>
    <cellStyle name="20% - Accent6 3 3 2 3 3 2" xfId="7333"/>
    <cellStyle name="20% - Accent6 3 3 2 3 3 2 2" xfId="25272"/>
    <cellStyle name="20% - Accent6 3 3 2 3 3 3" xfId="25271"/>
    <cellStyle name="20% - Accent6 3 3 2 3 4" xfId="7334"/>
    <cellStyle name="20% - Accent6 3 3 2 3 4 2" xfId="25273"/>
    <cellStyle name="20% - Accent6 3 3 2 3 5" xfId="25266"/>
    <cellStyle name="20% - Accent6 3 3 2 4" xfId="7335"/>
    <cellStyle name="20% - Accent6 3 3 2 4 2" xfId="7336"/>
    <cellStyle name="20% - Accent6 3 3 2 4 2 2" xfId="7337"/>
    <cellStyle name="20% - Accent6 3 3 2 4 2 2 2" xfId="25276"/>
    <cellStyle name="20% - Accent6 3 3 2 4 2 3" xfId="25275"/>
    <cellStyle name="20% - Accent6 3 3 2 4 3" xfId="7338"/>
    <cellStyle name="20% - Accent6 3 3 2 4 3 2" xfId="25277"/>
    <cellStyle name="20% - Accent6 3 3 2 4 4" xfId="25274"/>
    <cellStyle name="20% - Accent6 3 3 2 5" xfId="7339"/>
    <cellStyle name="20% - Accent6 3 3 2 5 2" xfId="7340"/>
    <cellStyle name="20% - Accent6 3 3 2 5 2 2" xfId="25279"/>
    <cellStyle name="20% - Accent6 3 3 2 5 3" xfId="25278"/>
    <cellStyle name="20% - Accent6 3 3 2 6" xfId="7341"/>
    <cellStyle name="20% - Accent6 3 3 2 6 2" xfId="25280"/>
    <cellStyle name="20% - Accent6 3 3 2 7" xfId="25257"/>
    <cellStyle name="20% - Accent6 3 3 3" xfId="7342"/>
    <cellStyle name="20% - Accent6 3 3 3 2" xfId="7343"/>
    <cellStyle name="20% - Accent6 3 3 3 2 2" xfId="7344"/>
    <cellStyle name="20% - Accent6 3 3 3 2 2 2" xfId="7345"/>
    <cellStyle name="20% - Accent6 3 3 3 2 2 2 2" xfId="25284"/>
    <cellStyle name="20% - Accent6 3 3 3 2 2 3" xfId="25283"/>
    <cellStyle name="20% - Accent6 3 3 3 2 3" xfId="7346"/>
    <cellStyle name="20% - Accent6 3 3 3 2 3 2" xfId="25285"/>
    <cellStyle name="20% - Accent6 3 3 3 2 4" xfId="25282"/>
    <cellStyle name="20% - Accent6 3 3 3 3" xfId="7347"/>
    <cellStyle name="20% - Accent6 3 3 3 3 2" xfId="7348"/>
    <cellStyle name="20% - Accent6 3 3 3 3 2 2" xfId="25287"/>
    <cellStyle name="20% - Accent6 3 3 3 3 3" xfId="25286"/>
    <cellStyle name="20% - Accent6 3 3 3 4" xfId="7349"/>
    <cellStyle name="20% - Accent6 3 3 3 4 2" xfId="25288"/>
    <cellStyle name="20% - Accent6 3 3 3 5" xfId="25281"/>
    <cellStyle name="20% - Accent6 3 3 4" xfId="7350"/>
    <cellStyle name="20% - Accent6 3 3 4 2" xfId="7351"/>
    <cellStyle name="20% - Accent6 3 3 4 2 2" xfId="7352"/>
    <cellStyle name="20% - Accent6 3 3 4 2 2 2" xfId="7353"/>
    <cellStyle name="20% - Accent6 3 3 4 2 2 2 2" xfId="25292"/>
    <cellStyle name="20% - Accent6 3 3 4 2 2 3" xfId="25291"/>
    <cellStyle name="20% - Accent6 3 3 4 2 3" xfId="7354"/>
    <cellStyle name="20% - Accent6 3 3 4 2 3 2" xfId="25293"/>
    <cellStyle name="20% - Accent6 3 3 4 2 4" xfId="25290"/>
    <cellStyle name="20% - Accent6 3 3 4 3" xfId="7355"/>
    <cellStyle name="20% - Accent6 3 3 4 3 2" xfId="7356"/>
    <cellStyle name="20% - Accent6 3 3 4 3 2 2" xfId="25295"/>
    <cellStyle name="20% - Accent6 3 3 4 3 3" xfId="25294"/>
    <cellStyle name="20% - Accent6 3 3 4 4" xfId="7357"/>
    <cellStyle name="20% - Accent6 3 3 4 4 2" xfId="25296"/>
    <cellStyle name="20% - Accent6 3 3 4 5" xfId="25289"/>
    <cellStyle name="20% - Accent6 3 3 5" xfId="7358"/>
    <cellStyle name="20% - Accent6 3 3 5 2" xfId="7359"/>
    <cellStyle name="20% - Accent6 3 3 5 2 2" xfId="7360"/>
    <cellStyle name="20% - Accent6 3 3 5 2 2 2" xfId="25299"/>
    <cellStyle name="20% - Accent6 3 3 5 2 3" xfId="25298"/>
    <cellStyle name="20% - Accent6 3 3 5 3" xfId="7361"/>
    <cellStyle name="20% - Accent6 3 3 5 3 2" xfId="25300"/>
    <cellStyle name="20% - Accent6 3 3 5 4" xfId="25297"/>
    <cellStyle name="20% - Accent6 3 3 6" xfId="7362"/>
    <cellStyle name="20% - Accent6 3 3 6 2" xfId="7363"/>
    <cellStyle name="20% - Accent6 3 3 6 2 2" xfId="25302"/>
    <cellStyle name="20% - Accent6 3 3 6 3" xfId="25301"/>
    <cellStyle name="20% - Accent6 3 3 7" xfId="7364"/>
    <cellStyle name="20% - Accent6 3 3 7 2" xfId="25303"/>
    <cellStyle name="20% - Accent6 3 3 8" xfId="25256"/>
    <cellStyle name="20% - Accent6 3 4" xfId="7365"/>
    <cellStyle name="20% - Accent6 3 4 2" xfId="7366"/>
    <cellStyle name="20% - Accent6 3 4 2 2" xfId="7367"/>
    <cellStyle name="20% - Accent6 3 4 2 2 2" xfId="7368"/>
    <cellStyle name="20% - Accent6 3 4 2 2 2 2" xfId="7369"/>
    <cellStyle name="20% - Accent6 3 4 2 2 2 2 2" xfId="25308"/>
    <cellStyle name="20% - Accent6 3 4 2 2 2 3" xfId="25307"/>
    <cellStyle name="20% - Accent6 3 4 2 2 3" xfId="7370"/>
    <cellStyle name="20% - Accent6 3 4 2 2 3 2" xfId="25309"/>
    <cellStyle name="20% - Accent6 3 4 2 2 4" xfId="25306"/>
    <cellStyle name="20% - Accent6 3 4 2 3" xfId="7371"/>
    <cellStyle name="20% - Accent6 3 4 2 3 2" xfId="7372"/>
    <cellStyle name="20% - Accent6 3 4 2 3 2 2" xfId="25311"/>
    <cellStyle name="20% - Accent6 3 4 2 3 3" xfId="25310"/>
    <cellStyle name="20% - Accent6 3 4 2 4" xfId="7373"/>
    <cellStyle name="20% - Accent6 3 4 2 4 2" xfId="25312"/>
    <cellStyle name="20% - Accent6 3 4 2 5" xfId="25305"/>
    <cellStyle name="20% - Accent6 3 4 3" xfId="7374"/>
    <cellStyle name="20% - Accent6 3 4 3 2" xfId="7375"/>
    <cellStyle name="20% - Accent6 3 4 3 2 2" xfId="7376"/>
    <cellStyle name="20% - Accent6 3 4 3 2 2 2" xfId="7377"/>
    <cellStyle name="20% - Accent6 3 4 3 2 2 2 2" xfId="25316"/>
    <cellStyle name="20% - Accent6 3 4 3 2 2 3" xfId="25315"/>
    <cellStyle name="20% - Accent6 3 4 3 2 3" xfId="7378"/>
    <cellStyle name="20% - Accent6 3 4 3 2 3 2" xfId="25317"/>
    <cellStyle name="20% - Accent6 3 4 3 2 4" xfId="25314"/>
    <cellStyle name="20% - Accent6 3 4 3 3" xfId="7379"/>
    <cellStyle name="20% - Accent6 3 4 3 3 2" xfId="7380"/>
    <cellStyle name="20% - Accent6 3 4 3 3 2 2" xfId="25319"/>
    <cellStyle name="20% - Accent6 3 4 3 3 3" xfId="25318"/>
    <cellStyle name="20% - Accent6 3 4 3 4" xfId="7381"/>
    <cellStyle name="20% - Accent6 3 4 3 4 2" xfId="25320"/>
    <cellStyle name="20% - Accent6 3 4 3 5" xfId="25313"/>
    <cellStyle name="20% - Accent6 3 4 4" xfId="7382"/>
    <cellStyle name="20% - Accent6 3 4 4 2" xfId="7383"/>
    <cellStyle name="20% - Accent6 3 4 4 2 2" xfId="7384"/>
    <cellStyle name="20% - Accent6 3 4 4 2 2 2" xfId="25323"/>
    <cellStyle name="20% - Accent6 3 4 4 2 3" xfId="25322"/>
    <cellStyle name="20% - Accent6 3 4 4 3" xfId="7385"/>
    <cellStyle name="20% - Accent6 3 4 4 3 2" xfId="25324"/>
    <cellStyle name="20% - Accent6 3 4 4 4" xfId="25321"/>
    <cellStyle name="20% - Accent6 3 4 5" xfId="7386"/>
    <cellStyle name="20% - Accent6 3 4 5 2" xfId="7387"/>
    <cellStyle name="20% - Accent6 3 4 5 2 2" xfId="25326"/>
    <cellStyle name="20% - Accent6 3 4 5 3" xfId="25325"/>
    <cellStyle name="20% - Accent6 3 4 6" xfId="7388"/>
    <cellStyle name="20% - Accent6 3 4 6 2" xfId="25327"/>
    <cellStyle name="20% - Accent6 3 4 7" xfId="25304"/>
    <cellStyle name="20% - Accent6 3 5" xfId="7389"/>
    <cellStyle name="20% - Accent6 3 5 2" xfId="7390"/>
    <cellStyle name="20% - Accent6 3 5 2 2" xfId="7391"/>
    <cellStyle name="20% - Accent6 3 5 2 2 2" xfId="7392"/>
    <cellStyle name="20% - Accent6 3 5 2 2 2 2" xfId="25331"/>
    <cellStyle name="20% - Accent6 3 5 2 2 3" xfId="25330"/>
    <cellStyle name="20% - Accent6 3 5 2 3" xfId="7393"/>
    <cellStyle name="20% - Accent6 3 5 2 3 2" xfId="25332"/>
    <cellStyle name="20% - Accent6 3 5 2 4" xfId="25329"/>
    <cellStyle name="20% - Accent6 3 5 3" xfId="7394"/>
    <cellStyle name="20% - Accent6 3 5 3 2" xfId="7395"/>
    <cellStyle name="20% - Accent6 3 5 3 2 2" xfId="25334"/>
    <cellStyle name="20% - Accent6 3 5 3 3" xfId="25333"/>
    <cellStyle name="20% - Accent6 3 5 4" xfId="7396"/>
    <cellStyle name="20% - Accent6 3 5 4 2" xfId="25335"/>
    <cellStyle name="20% - Accent6 3 5 5" xfId="25328"/>
    <cellStyle name="20% - Accent6 3 6" xfId="7397"/>
    <cellStyle name="20% - Accent6 3 6 2" xfId="7398"/>
    <cellStyle name="20% - Accent6 3 6 2 2" xfId="7399"/>
    <cellStyle name="20% - Accent6 3 6 2 2 2" xfId="7400"/>
    <cellStyle name="20% - Accent6 3 6 2 2 2 2" xfId="25339"/>
    <cellStyle name="20% - Accent6 3 6 2 2 3" xfId="25338"/>
    <cellStyle name="20% - Accent6 3 6 2 3" xfId="7401"/>
    <cellStyle name="20% - Accent6 3 6 2 3 2" xfId="25340"/>
    <cellStyle name="20% - Accent6 3 6 2 4" xfId="25337"/>
    <cellStyle name="20% - Accent6 3 6 3" xfId="7402"/>
    <cellStyle name="20% - Accent6 3 6 3 2" xfId="7403"/>
    <cellStyle name="20% - Accent6 3 6 3 2 2" xfId="25342"/>
    <cellStyle name="20% - Accent6 3 6 3 3" xfId="25341"/>
    <cellStyle name="20% - Accent6 3 6 4" xfId="7404"/>
    <cellStyle name="20% - Accent6 3 6 4 2" xfId="25343"/>
    <cellStyle name="20% - Accent6 3 6 5" xfId="25336"/>
    <cellStyle name="20% - Accent6 3 7" xfId="7405"/>
    <cellStyle name="20% - Accent6 3 7 2" xfId="7406"/>
    <cellStyle name="20% - Accent6 3 7 2 2" xfId="7407"/>
    <cellStyle name="20% - Accent6 3 7 2 2 2" xfId="25346"/>
    <cellStyle name="20% - Accent6 3 7 2 3" xfId="25345"/>
    <cellStyle name="20% - Accent6 3 7 3" xfId="7408"/>
    <cellStyle name="20% - Accent6 3 7 3 2" xfId="25347"/>
    <cellStyle name="20% - Accent6 3 7 4" xfId="25344"/>
    <cellStyle name="20% - Accent6 3 8" xfId="7409"/>
    <cellStyle name="20% - Accent6 3 8 2" xfId="7410"/>
    <cellStyle name="20% - Accent6 3 8 2 2" xfId="25349"/>
    <cellStyle name="20% - Accent6 3 8 3" xfId="25348"/>
    <cellStyle name="20% - Accent6 3 9" xfId="7411"/>
    <cellStyle name="20% - Accent6 3 9 2" xfId="25350"/>
    <cellStyle name="20% - Accent6 30" xfId="7412"/>
    <cellStyle name="20% - Accent6 30 2" xfId="25351"/>
    <cellStyle name="20% - Accent6 31" xfId="7413"/>
    <cellStyle name="20% - Accent6 31 2" xfId="25352"/>
    <cellStyle name="20% - Accent6 4" xfId="7414"/>
    <cellStyle name="20% - Accent6 4 10" xfId="25353"/>
    <cellStyle name="20% - Accent6 4 2" xfId="7415"/>
    <cellStyle name="20% - Accent6 4 2 2" xfId="7416"/>
    <cellStyle name="20% - Accent6 4 2 2 2" xfId="7417"/>
    <cellStyle name="20% - Accent6 4 2 2 2 2" xfId="7418"/>
    <cellStyle name="20% - Accent6 4 2 2 2 2 2" xfId="7419"/>
    <cellStyle name="20% - Accent6 4 2 2 2 2 2 2" xfId="7420"/>
    <cellStyle name="20% - Accent6 4 2 2 2 2 2 2 2" xfId="7421"/>
    <cellStyle name="20% - Accent6 4 2 2 2 2 2 2 2 2" xfId="25360"/>
    <cellStyle name="20% - Accent6 4 2 2 2 2 2 2 3" xfId="25359"/>
    <cellStyle name="20% - Accent6 4 2 2 2 2 2 3" xfId="7422"/>
    <cellStyle name="20% - Accent6 4 2 2 2 2 2 3 2" xfId="25361"/>
    <cellStyle name="20% - Accent6 4 2 2 2 2 2 4" xfId="25358"/>
    <cellStyle name="20% - Accent6 4 2 2 2 2 3" xfId="7423"/>
    <cellStyle name="20% - Accent6 4 2 2 2 2 3 2" xfId="7424"/>
    <cellStyle name="20% - Accent6 4 2 2 2 2 3 2 2" xfId="25363"/>
    <cellStyle name="20% - Accent6 4 2 2 2 2 3 3" xfId="25362"/>
    <cellStyle name="20% - Accent6 4 2 2 2 2 4" xfId="7425"/>
    <cellStyle name="20% - Accent6 4 2 2 2 2 4 2" xfId="25364"/>
    <cellStyle name="20% - Accent6 4 2 2 2 2 5" xfId="25357"/>
    <cellStyle name="20% - Accent6 4 2 2 2 3" xfId="7426"/>
    <cellStyle name="20% - Accent6 4 2 2 2 3 2" xfId="7427"/>
    <cellStyle name="20% - Accent6 4 2 2 2 3 2 2" xfId="7428"/>
    <cellStyle name="20% - Accent6 4 2 2 2 3 2 2 2" xfId="7429"/>
    <cellStyle name="20% - Accent6 4 2 2 2 3 2 2 2 2" xfId="25368"/>
    <cellStyle name="20% - Accent6 4 2 2 2 3 2 2 3" xfId="25367"/>
    <cellStyle name="20% - Accent6 4 2 2 2 3 2 3" xfId="7430"/>
    <cellStyle name="20% - Accent6 4 2 2 2 3 2 3 2" xfId="25369"/>
    <cellStyle name="20% - Accent6 4 2 2 2 3 2 4" xfId="25366"/>
    <cellStyle name="20% - Accent6 4 2 2 2 3 3" xfId="7431"/>
    <cellStyle name="20% - Accent6 4 2 2 2 3 3 2" xfId="7432"/>
    <cellStyle name="20% - Accent6 4 2 2 2 3 3 2 2" xfId="25371"/>
    <cellStyle name="20% - Accent6 4 2 2 2 3 3 3" xfId="25370"/>
    <cellStyle name="20% - Accent6 4 2 2 2 3 4" xfId="7433"/>
    <cellStyle name="20% - Accent6 4 2 2 2 3 4 2" xfId="25372"/>
    <cellStyle name="20% - Accent6 4 2 2 2 3 5" xfId="25365"/>
    <cellStyle name="20% - Accent6 4 2 2 2 4" xfId="7434"/>
    <cellStyle name="20% - Accent6 4 2 2 2 4 2" xfId="7435"/>
    <cellStyle name="20% - Accent6 4 2 2 2 4 2 2" xfId="7436"/>
    <cellStyle name="20% - Accent6 4 2 2 2 4 2 2 2" xfId="25375"/>
    <cellStyle name="20% - Accent6 4 2 2 2 4 2 3" xfId="25374"/>
    <cellStyle name="20% - Accent6 4 2 2 2 4 3" xfId="7437"/>
    <cellStyle name="20% - Accent6 4 2 2 2 4 3 2" xfId="25376"/>
    <cellStyle name="20% - Accent6 4 2 2 2 4 4" xfId="25373"/>
    <cellStyle name="20% - Accent6 4 2 2 2 5" xfId="7438"/>
    <cellStyle name="20% - Accent6 4 2 2 2 5 2" xfId="7439"/>
    <cellStyle name="20% - Accent6 4 2 2 2 5 2 2" xfId="25378"/>
    <cellStyle name="20% - Accent6 4 2 2 2 5 3" xfId="25377"/>
    <cellStyle name="20% - Accent6 4 2 2 2 6" xfId="7440"/>
    <cellStyle name="20% - Accent6 4 2 2 2 6 2" xfId="25379"/>
    <cellStyle name="20% - Accent6 4 2 2 2 7" xfId="25356"/>
    <cellStyle name="20% - Accent6 4 2 2 3" xfId="7441"/>
    <cellStyle name="20% - Accent6 4 2 2 3 2" xfId="7442"/>
    <cellStyle name="20% - Accent6 4 2 2 3 2 2" xfId="7443"/>
    <cellStyle name="20% - Accent6 4 2 2 3 2 2 2" xfId="7444"/>
    <cellStyle name="20% - Accent6 4 2 2 3 2 2 2 2" xfId="25383"/>
    <cellStyle name="20% - Accent6 4 2 2 3 2 2 3" xfId="25382"/>
    <cellStyle name="20% - Accent6 4 2 2 3 2 3" xfId="7445"/>
    <cellStyle name="20% - Accent6 4 2 2 3 2 3 2" xfId="25384"/>
    <cellStyle name="20% - Accent6 4 2 2 3 2 4" xfId="25381"/>
    <cellStyle name="20% - Accent6 4 2 2 3 3" xfId="7446"/>
    <cellStyle name="20% - Accent6 4 2 2 3 3 2" xfId="7447"/>
    <cellStyle name="20% - Accent6 4 2 2 3 3 2 2" xfId="25386"/>
    <cellStyle name="20% - Accent6 4 2 2 3 3 3" xfId="25385"/>
    <cellStyle name="20% - Accent6 4 2 2 3 4" xfId="7448"/>
    <cellStyle name="20% - Accent6 4 2 2 3 4 2" xfId="25387"/>
    <cellStyle name="20% - Accent6 4 2 2 3 5" xfId="25380"/>
    <cellStyle name="20% - Accent6 4 2 2 4" xfId="7449"/>
    <cellStyle name="20% - Accent6 4 2 2 4 2" xfId="7450"/>
    <cellStyle name="20% - Accent6 4 2 2 4 2 2" xfId="7451"/>
    <cellStyle name="20% - Accent6 4 2 2 4 2 2 2" xfId="7452"/>
    <cellStyle name="20% - Accent6 4 2 2 4 2 2 2 2" xfId="25391"/>
    <cellStyle name="20% - Accent6 4 2 2 4 2 2 3" xfId="25390"/>
    <cellStyle name="20% - Accent6 4 2 2 4 2 3" xfId="7453"/>
    <cellStyle name="20% - Accent6 4 2 2 4 2 3 2" xfId="25392"/>
    <cellStyle name="20% - Accent6 4 2 2 4 2 4" xfId="25389"/>
    <cellStyle name="20% - Accent6 4 2 2 4 3" xfId="7454"/>
    <cellStyle name="20% - Accent6 4 2 2 4 3 2" xfId="7455"/>
    <cellStyle name="20% - Accent6 4 2 2 4 3 2 2" xfId="25394"/>
    <cellStyle name="20% - Accent6 4 2 2 4 3 3" xfId="25393"/>
    <cellStyle name="20% - Accent6 4 2 2 4 4" xfId="7456"/>
    <cellStyle name="20% - Accent6 4 2 2 4 4 2" xfId="25395"/>
    <cellStyle name="20% - Accent6 4 2 2 4 5" xfId="25388"/>
    <cellStyle name="20% - Accent6 4 2 2 5" xfId="7457"/>
    <cellStyle name="20% - Accent6 4 2 2 5 2" xfId="7458"/>
    <cellStyle name="20% - Accent6 4 2 2 5 2 2" xfId="7459"/>
    <cellStyle name="20% - Accent6 4 2 2 5 2 2 2" xfId="25398"/>
    <cellStyle name="20% - Accent6 4 2 2 5 2 3" xfId="25397"/>
    <cellStyle name="20% - Accent6 4 2 2 5 3" xfId="7460"/>
    <cellStyle name="20% - Accent6 4 2 2 5 3 2" xfId="25399"/>
    <cellStyle name="20% - Accent6 4 2 2 5 4" xfId="25396"/>
    <cellStyle name="20% - Accent6 4 2 2 6" xfId="7461"/>
    <cellStyle name="20% - Accent6 4 2 2 6 2" xfId="7462"/>
    <cellStyle name="20% - Accent6 4 2 2 6 2 2" xfId="25401"/>
    <cellStyle name="20% - Accent6 4 2 2 6 3" xfId="25400"/>
    <cellStyle name="20% - Accent6 4 2 2 7" xfId="7463"/>
    <cellStyle name="20% - Accent6 4 2 2 7 2" xfId="25402"/>
    <cellStyle name="20% - Accent6 4 2 2 8" xfId="25355"/>
    <cellStyle name="20% - Accent6 4 2 3" xfId="7464"/>
    <cellStyle name="20% - Accent6 4 2 3 2" xfId="7465"/>
    <cellStyle name="20% - Accent6 4 2 3 2 2" xfId="7466"/>
    <cellStyle name="20% - Accent6 4 2 3 2 2 2" xfId="7467"/>
    <cellStyle name="20% - Accent6 4 2 3 2 2 2 2" xfId="7468"/>
    <cellStyle name="20% - Accent6 4 2 3 2 2 2 2 2" xfId="25407"/>
    <cellStyle name="20% - Accent6 4 2 3 2 2 2 3" xfId="25406"/>
    <cellStyle name="20% - Accent6 4 2 3 2 2 3" xfId="7469"/>
    <cellStyle name="20% - Accent6 4 2 3 2 2 3 2" xfId="25408"/>
    <cellStyle name="20% - Accent6 4 2 3 2 2 4" xfId="25405"/>
    <cellStyle name="20% - Accent6 4 2 3 2 3" xfId="7470"/>
    <cellStyle name="20% - Accent6 4 2 3 2 3 2" xfId="7471"/>
    <cellStyle name="20% - Accent6 4 2 3 2 3 2 2" xfId="25410"/>
    <cellStyle name="20% - Accent6 4 2 3 2 3 3" xfId="25409"/>
    <cellStyle name="20% - Accent6 4 2 3 2 4" xfId="7472"/>
    <cellStyle name="20% - Accent6 4 2 3 2 4 2" xfId="25411"/>
    <cellStyle name="20% - Accent6 4 2 3 2 5" xfId="25404"/>
    <cellStyle name="20% - Accent6 4 2 3 3" xfId="7473"/>
    <cellStyle name="20% - Accent6 4 2 3 3 2" xfId="7474"/>
    <cellStyle name="20% - Accent6 4 2 3 3 2 2" xfId="7475"/>
    <cellStyle name="20% - Accent6 4 2 3 3 2 2 2" xfId="7476"/>
    <cellStyle name="20% - Accent6 4 2 3 3 2 2 2 2" xfId="25415"/>
    <cellStyle name="20% - Accent6 4 2 3 3 2 2 3" xfId="25414"/>
    <cellStyle name="20% - Accent6 4 2 3 3 2 3" xfId="7477"/>
    <cellStyle name="20% - Accent6 4 2 3 3 2 3 2" xfId="25416"/>
    <cellStyle name="20% - Accent6 4 2 3 3 2 4" xfId="25413"/>
    <cellStyle name="20% - Accent6 4 2 3 3 3" xfId="7478"/>
    <cellStyle name="20% - Accent6 4 2 3 3 3 2" xfId="7479"/>
    <cellStyle name="20% - Accent6 4 2 3 3 3 2 2" xfId="25418"/>
    <cellStyle name="20% - Accent6 4 2 3 3 3 3" xfId="25417"/>
    <cellStyle name="20% - Accent6 4 2 3 3 4" xfId="7480"/>
    <cellStyle name="20% - Accent6 4 2 3 3 4 2" xfId="25419"/>
    <cellStyle name="20% - Accent6 4 2 3 3 5" xfId="25412"/>
    <cellStyle name="20% - Accent6 4 2 3 4" xfId="7481"/>
    <cellStyle name="20% - Accent6 4 2 3 4 2" xfId="7482"/>
    <cellStyle name="20% - Accent6 4 2 3 4 2 2" xfId="7483"/>
    <cellStyle name="20% - Accent6 4 2 3 4 2 2 2" xfId="25422"/>
    <cellStyle name="20% - Accent6 4 2 3 4 2 3" xfId="25421"/>
    <cellStyle name="20% - Accent6 4 2 3 4 3" xfId="7484"/>
    <cellStyle name="20% - Accent6 4 2 3 4 3 2" xfId="25423"/>
    <cellStyle name="20% - Accent6 4 2 3 4 4" xfId="25420"/>
    <cellStyle name="20% - Accent6 4 2 3 5" xfId="7485"/>
    <cellStyle name="20% - Accent6 4 2 3 5 2" xfId="7486"/>
    <cellStyle name="20% - Accent6 4 2 3 5 2 2" xfId="25425"/>
    <cellStyle name="20% - Accent6 4 2 3 5 3" xfId="25424"/>
    <cellStyle name="20% - Accent6 4 2 3 6" xfId="7487"/>
    <cellStyle name="20% - Accent6 4 2 3 6 2" xfId="25426"/>
    <cellStyle name="20% - Accent6 4 2 3 7" xfId="25403"/>
    <cellStyle name="20% - Accent6 4 2 4" xfId="7488"/>
    <cellStyle name="20% - Accent6 4 2 4 2" xfId="7489"/>
    <cellStyle name="20% - Accent6 4 2 4 2 2" xfId="7490"/>
    <cellStyle name="20% - Accent6 4 2 4 2 2 2" xfId="7491"/>
    <cellStyle name="20% - Accent6 4 2 4 2 2 2 2" xfId="25430"/>
    <cellStyle name="20% - Accent6 4 2 4 2 2 3" xfId="25429"/>
    <cellStyle name="20% - Accent6 4 2 4 2 3" xfId="7492"/>
    <cellStyle name="20% - Accent6 4 2 4 2 3 2" xfId="25431"/>
    <cellStyle name="20% - Accent6 4 2 4 2 4" xfId="25428"/>
    <cellStyle name="20% - Accent6 4 2 4 3" xfId="7493"/>
    <cellStyle name="20% - Accent6 4 2 4 3 2" xfId="7494"/>
    <cellStyle name="20% - Accent6 4 2 4 3 2 2" xfId="25433"/>
    <cellStyle name="20% - Accent6 4 2 4 3 3" xfId="25432"/>
    <cellStyle name="20% - Accent6 4 2 4 4" xfId="7495"/>
    <cellStyle name="20% - Accent6 4 2 4 4 2" xfId="25434"/>
    <cellStyle name="20% - Accent6 4 2 4 5" xfId="25427"/>
    <cellStyle name="20% - Accent6 4 2 5" xfId="7496"/>
    <cellStyle name="20% - Accent6 4 2 5 2" xfId="7497"/>
    <cellStyle name="20% - Accent6 4 2 5 2 2" xfId="7498"/>
    <cellStyle name="20% - Accent6 4 2 5 2 2 2" xfId="7499"/>
    <cellStyle name="20% - Accent6 4 2 5 2 2 2 2" xfId="25438"/>
    <cellStyle name="20% - Accent6 4 2 5 2 2 3" xfId="25437"/>
    <cellStyle name="20% - Accent6 4 2 5 2 3" xfId="7500"/>
    <cellStyle name="20% - Accent6 4 2 5 2 3 2" xfId="25439"/>
    <cellStyle name="20% - Accent6 4 2 5 2 4" xfId="25436"/>
    <cellStyle name="20% - Accent6 4 2 5 3" xfId="7501"/>
    <cellStyle name="20% - Accent6 4 2 5 3 2" xfId="7502"/>
    <cellStyle name="20% - Accent6 4 2 5 3 2 2" xfId="25441"/>
    <cellStyle name="20% - Accent6 4 2 5 3 3" xfId="25440"/>
    <cellStyle name="20% - Accent6 4 2 5 4" xfId="7503"/>
    <cellStyle name="20% - Accent6 4 2 5 4 2" xfId="25442"/>
    <cellStyle name="20% - Accent6 4 2 5 5" xfId="25435"/>
    <cellStyle name="20% - Accent6 4 2 6" xfId="7504"/>
    <cellStyle name="20% - Accent6 4 2 6 2" xfId="7505"/>
    <cellStyle name="20% - Accent6 4 2 6 2 2" xfId="7506"/>
    <cellStyle name="20% - Accent6 4 2 6 2 2 2" xfId="25445"/>
    <cellStyle name="20% - Accent6 4 2 6 2 3" xfId="25444"/>
    <cellStyle name="20% - Accent6 4 2 6 3" xfId="7507"/>
    <cellStyle name="20% - Accent6 4 2 6 3 2" xfId="25446"/>
    <cellStyle name="20% - Accent6 4 2 6 4" xfId="25443"/>
    <cellStyle name="20% - Accent6 4 2 7" xfId="7508"/>
    <cellStyle name="20% - Accent6 4 2 7 2" xfId="7509"/>
    <cellStyle name="20% - Accent6 4 2 7 2 2" xfId="25448"/>
    <cellStyle name="20% - Accent6 4 2 7 3" xfId="25447"/>
    <cellStyle name="20% - Accent6 4 2 8" xfId="7510"/>
    <cellStyle name="20% - Accent6 4 2 8 2" xfId="25449"/>
    <cellStyle name="20% - Accent6 4 2 9" xfId="25354"/>
    <cellStyle name="20% - Accent6 4 3" xfId="7511"/>
    <cellStyle name="20% - Accent6 4 3 2" xfId="7512"/>
    <cellStyle name="20% - Accent6 4 3 2 2" xfId="7513"/>
    <cellStyle name="20% - Accent6 4 3 2 2 2" xfId="7514"/>
    <cellStyle name="20% - Accent6 4 3 2 2 2 2" xfId="7515"/>
    <cellStyle name="20% - Accent6 4 3 2 2 2 2 2" xfId="7516"/>
    <cellStyle name="20% - Accent6 4 3 2 2 2 2 2 2" xfId="25455"/>
    <cellStyle name="20% - Accent6 4 3 2 2 2 2 3" xfId="25454"/>
    <cellStyle name="20% - Accent6 4 3 2 2 2 3" xfId="7517"/>
    <cellStyle name="20% - Accent6 4 3 2 2 2 3 2" xfId="25456"/>
    <cellStyle name="20% - Accent6 4 3 2 2 2 4" xfId="25453"/>
    <cellStyle name="20% - Accent6 4 3 2 2 3" xfId="7518"/>
    <cellStyle name="20% - Accent6 4 3 2 2 3 2" xfId="7519"/>
    <cellStyle name="20% - Accent6 4 3 2 2 3 2 2" xfId="25458"/>
    <cellStyle name="20% - Accent6 4 3 2 2 3 3" xfId="25457"/>
    <cellStyle name="20% - Accent6 4 3 2 2 4" xfId="7520"/>
    <cellStyle name="20% - Accent6 4 3 2 2 4 2" xfId="25459"/>
    <cellStyle name="20% - Accent6 4 3 2 2 5" xfId="25452"/>
    <cellStyle name="20% - Accent6 4 3 2 3" xfId="7521"/>
    <cellStyle name="20% - Accent6 4 3 2 3 2" xfId="7522"/>
    <cellStyle name="20% - Accent6 4 3 2 3 2 2" xfId="7523"/>
    <cellStyle name="20% - Accent6 4 3 2 3 2 2 2" xfId="7524"/>
    <cellStyle name="20% - Accent6 4 3 2 3 2 2 2 2" xfId="25463"/>
    <cellStyle name="20% - Accent6 4 3 2 3 2 2 3" xfId="25462"/>
    <cellStyle name="20% - Accent6 4 3 2 3 2 3" xfId="7525"/>
    <cellStyle name="20% - Accent6 4 3 2 3 2 3 2" xfId="25464"/>
    <cellStyle name="20% - Accent6 4 3 2 3 2 4" xfId="25461"/>
    <cellStyle name="20% - Accent6 4 3 2 3 3" xfId="7526"/>
    <cellStyle name="20% - Accent6 4 3 2 3 3 2" xfId="7527"/>
    <cellStyle name="20% - Accent6 4 3 2 3 3 2 2" xfId="25466"/>
    <cellStyle name="20% - Accent6 4 3 2 3 3 3" xfId="25465"/>
    <cellStyle name="20% - Accent6 4 3 2 3 4" xfId="7528"/>
    <cellStyle name="20% - Accent6 4 3 2 3 4 2" xfId="25467"/>
    <cellStyle name="20% - Accent6 4 3 2 3 5" xfId="25460"/>
    <cellStyle name="20% - Accent6 4 3 2 4" xfId="7529"/>
    <cellStyle name="20% - Accent6 4 3 2 4 2" xfId="7530"/>
    <cellStyle name="20% - Accent6 4 3 2 4 2 2" xfId="7531"/>
    <cellStyle name="20% - Accent6 4 3 2 4 2 2 2" xfId="25470"/>
    <cellStyle name="20% - Accent6 4 3 2 4 2 3" xfId="25469"/>
    <cellStyle name="20% - Accent6 4 3 2 4 3" xfId="7532"/>
    <cellStyle name="20% - Accent6 4 3 2 4 3 2" xfId="25471"/>
    <cellStyle name="20% - Accent6 4 3 2 4 4" xfId="25468"/>
    <cellStyle name="20% - Accent6 4 3 2 5" xfId="7533"/>
    <cellStyle name="20% - Accent6 4 3 2 5 2" xfId="7534"/>
    <cellStyle name="20% - Accent6 4 3 2 5 2 2" xfId="25473"/>
    <cellStyle name="20% - Accent6 4 3 2 5 3" xfId="25472"/>
    <cellStyle name="20% - Accent6 4 3 2 6" xfId="7535"/>
    <cellStyle name="20% - Accent6 4 3 2 6 2" xfId="25474"/>
    <cellStyle name="20% - Accent6 4 3 2 7" xfId="25451"/>
    <cellStyle name="20% - Accent6 4 3 3" xfId="7536"/>
    <cellStyle name="20% - Accent6 4 3 3 2" xfId="7537"/>
    <cellStyle name="20% - Accent6 4 3 3 2 2" xfId="7538"/>
    <cellStyle name="20% - Accent6 4 3 3 2 2 2" xfId="7539"/>
    <cellStyle name="20% - Accent6 4 3 3 2 2 2 2" xfId="25478"/>
    <cellStyle name="20% - Accent6 4 3 3 2 2 3" xfId="25477"/>
    <cellStyle name="20% - Accent6 4 3 3 2 3" xfId="7540"/>
    <cellStyle name="20% - Accent6 4 3 3 2 3 2" xfId="25479"/>
    <cellStyle name="20% - Accent6 4 3 3 2 4" xfId="25476"/>
    <cellStyle name="20% - Accent6 4 3 3 3" xfId="7541"/>
    <cellStyle name="20% - Accent6 4 3 3 3 2" xfId="7542"/>
    <cellStyle name="20% - Accent6 4 3 3 3 2 2" xfId="25481"/>
    <cellStyle name="20% - Accent6 4 3 3 3 3" xfId="25480"/>
    <cellStyle name="20% - Accent6 4 3 3 4" xfId="7543"/>
    <cellStyle name="20% - Accent6 4 3 3 4 2" xfId="25482"/>
    <cellStyle name="20% - Accent6 4 3 3 5" xfId="25475"/>
    <cellStyle name="20% - Accent6 4 3 4" xfId="7544"/>
    <cellStyle name="20% - Accent6 4 3 4 2" xfId="7545"/>
    <cellStyle name="20% - Accent6 4 3 4 2 2" xfId="7546"/>
    <cellStyle name="20% - Accent6 4 3 4 2 2 2" xfId="7547"/>
    <cellStyle name="20% - Accent6 4 3 4 2 2 2 2" xfId="25486"/>
    <cellStyle name="20% - Accent6 4 3 4 2 2 3" xfId="25485"/>
    <cellStyle name="20% - Accent6 4 3 4 2 3" xfId="7548"/>
    <cellStyle name="20% - Accent6 4 3 4 2 3 2" xfId="25487"/>
    <cellStyle name="20% - Accent6 4 3 4 2 4" xfId="25484"/>
    <cellStyle name="20% - Accent6 4 3 4 3" xfId="7549"/>
    <cellStyle name="20% - Accent6 4 3 4 3 2" xfId="7550"/>
    <cellStyle name="20% - Accent6 4 3 4 3 2 2" xfId="25489"/>
    <cellStyle name="20% - Accent6 4 3 4 3 3" xfId="25488"/>
    <cellStyle name="20% - Accent6 4 3 4 4" xfId="7551"/>
    <cellStyle name="20% - Accent6 4 3 4 4 2" xfId="25490"/>
    <cellStyle name="20% - Accent6 4 3 4 5" xfId="25483"/>
    <cellStyle name="20% - Accent6 4 3 5" xfId="7552"/>
    <cellStyle name="20% - Accent6 4 3 5 2" xfId="7553"/>
    <cellStyle name="20% - Accent6 4 3 5 2 2" xfId="7554"/>
    <cellStyle name="20% - Accent6 4 3 5 2 2 2" xfId="25493"/>
    <cellStyle name="20% - Accent6 4 3 5 2 3" xfId="25492"/>
    <cellStyle name="20% - Accent6 4 3 5 3" xfId="7555"/>
    <cellStyle name="20% - Accent6 4 3 5 3 2" xfId="25494"/>
    <cellStyle name="20% - Accent6 4 3 5 4" xfId="25491"/>
    <cellStyle name="20% - Accent6 4 3 6" xfId="7556"/>
    <cellStyle name="20% - Accent6 4 3 6 2" xfId="7557"/>
    <cellStyle name="20% - Accent6 4 3 6 2 2" xfId="25496"/>
    <cellStyle name="20% - Accent6 4 3 6 3" xfId="25495"/>
    <cellStyle name="20% - Accent6 4 3 7" xfId="7558"/>
    <cellStyle name="20% - Accent6 4 3 7 2" xfId="25497"/>
    <cellStyle name="20% - Accent6 4 3 8" xfId="25450"/>
    <cellStyle name="20% - Accent6 4 4" xfId="7559"/>
    <cellStyle name="20% - Accent6 4 4 2" xfId="7560"/>
    <cellStyle name="20% - Accent6 4 4 2 2" xfId="7561"/>
    <cellStyle name="20% - Accent6 4 4 2 2 2" xfId="7562"/>
    <cellStyle name="20% - Accent6 4 4 2 2 2 2" xfId="7563"/>
    <cellStyle name="20% - Accent6 4 4 2 2 2 2 2" xfId="25502"/>
    <cellStyle name="20% - Accent6 4 4 2 2 2 3" xfId="25501"/>
    <cellStyle name="20% - Accent6 4 4 2 2 3" xfId="7564"/>
    <cellStyle name="20% - Accent6 4 4 2 2 3 2" xfId="25503"/>
    <cellStyle name="20% - Accent6 4 4 2 2 4" xfId="25500"/>
    <cellStyle name="20% - Accent6 4 4 2 3" xfId="7565"/>
    <cellStyle name="20% - Accent6 4 4 2 3 2" xfId="7566"/>
    <cellStyle name="20% - Accent6 4 4 2 3 2 2" xfId="25505"/>
    <cellStyle name="20% - Accent6 4 4 2 3 3" xfId="25504"/>
    <cellStyle name="20% - Accent6 4 4 2 4" xfId="7567"/>
    <cellStyle name="20% - Accent6 4 4 2 4 2" xfId="25506"/>
    <cellStyle name="20% - Accent6 4 4 2 5" xfId="25499"/>
    <cellStyle name="20% - Accent6 4 4 3" xfId="7568"/>
    <cellStyle name="20% - Accent6 4 4 3 2" xfId="7569"/>
    <cellStyle name="20% - Accent6 4 4 3 2 2" xfId="7570"/>
    <cellStyle name="20% - Accent6 4 4 3 2 2 2" xfId="7571"/>
    <cellStyle name="20% - Accent6 4 4 3 2 2 2 2" xfId="25510"/>
    <cellStyle name="20% - Accent6 4 4 3 2 2 3" xfId="25509"/>
    <cellStyle name="20% - Accent6 4 4 3 2 3" xfId="7572"/>
    <cellStyle name="20% - Accent6 4 4 3 2 3 2" xfId="25511"/>
    <cellStyle name="20% - Accent6 4 4 3 2 4" xfId="25508"/>
    <cellStyle name="20% - Accent6 4 4 3 3" xfId="7573"/>
    <cellStyle name="20% - Accent6 4 4 3 3 2" xfId="7574"/>
    <cellStyle name="20% - Accent6 4 4 3 3 2 2" xfId="25513"/>
    <cellStyle name="20% - Accent6 4 4 3 3 3" xfId="25512"/>
    <cellStyle name="20% - Accent6 4 4 3 4" xfId="7575"/>
    <cellStyle name="20% - Accent6 4 4 3 4 2" xfId="25514"/>
    <cellStyle name="20% - Accent6 4 4 3 5" xfId="25507"/>
    <cellStyle name="20% - Accent6 4 4 4" xfId="7576"/>
    <cellStyle name="20% - Accent6 4 4 4 2" xfId="7577"/>
    <cellStyle name="20% - Accent6 4 4 4 2 2" xfId="7578"/>
    <cellStyle name="20% - Accent6 4 4 4 2 2 2" xfId="25517"/>
    <cellStyle name="20% - Accent6 4 4 4 2 3" xfId="25516"/>
    <cellStyle name="20% - Accent6 4 4 4 3" xfId="7579"/>
    <cellStyle name="20% - Accent6 4 4 4 3 2" xfId="25518"/>
    <cellStyle name="20% - Accent6 4 4 4 4" xfId="25515"/>
    <cellStyle name="20% - Accent6 4 4 5" xfId="7580"/>
    <cellStyle name="20% - Accent6 4 4 5 2" xfId="7581"/>
    <cellStyle name="20% - Accent6 4 4 5 2 2" xfId="25520"/>
    <cellStyle name="20% - Accent6 4 4 5 3" xfId="25519"/>
    <cellStyle name="20% - Accent6 4 4 6" xfId="7582"/>
    <cellStyle name="20% - Accent6 4 4 6 2" xfId="25521"/>
    <cellStyle name="20% - Accent6 4 4 7" xfId="25498"/>
    <cellStyle name="20% - Accent6 4 5" xfId="7583"/>
    <cellStyle name="20% - Accent6 4 5 2" xfId="7584"/>
    <cellStyle name="20% - Accent6 4 5 2 2" xfId="7585"/>
    <cellStyle name="20% - Accent6 4 5 2 2 2" xfId="7586"/>
    <cellStyle name="20% - Accent6 4 5 2 2 2 2" xfId="25525"/>
    <cellStyle name="20% - Accent6 4 5 2 2 3" xfId="25524"/>
    <cellStyle name="20% - Accent6 4 5 2 3" xfId="7587"/>
    <cellStyle name="20% - Accent6 4 5 2 3 2" xfId="25526"/>
    <cellStyle name="20% - Accent6 4 5 2 4" xfId="25523"/>
    <cellStyle name="20% - Accent6 4 5 3" xfId="7588"/>
    <cellStyle name="20% - Accent6 4 5 3 2" xfId="7589"/>
    <cellStyle name="20% - Accent6 4 5 3 2 2" xfId="25528"/>
    <cellStyle name="20% - Accent6 4 5 3 3" xfId="25527"/>
    <cellStyle name="20% - Accent6 4 5 4" xfId="7590"/>
    <cellStyle name="20% - Accent6 4 5 4 2" xfId="25529"/>
    <cellStyle name="20% - Accent6 4 5 5" xfId="25522"/>
    <cellStyle name="20% - Accent6 4 6" xfId="7591"/>
    <cellStyle name="20% - Accent6 4 6 2" xfId="7592"/>
    <cellStyle name="20% - Accent6 4 6 2 2" xfId="7593"/>
    <cellStyle name="20% - Accent6 4 6 2 2 2" xfId="7594"/>
    <cellStyle name="20% - Accent6 4 6 2 2 2 2" xfId="25533"/>
    <cellStyle name="20% - Accent6 4 6 2 2 3" xfId="25532"/>
    <cellStyle name="20% - Accent6 4 6 2 3" xfId="7595"/>
    <cellStyle name="20% - Accent6 4 6 2 3 2" xfId="25534"/>
    <cellStyle name="20% - Accent6 4 6 2 4" xfId="25531"/>
    <cellStyle name="20% - Accent6 4 6 3" xfId="7596"/>
    <cellStyle name="20% - Accent6 4 6 3 2" xfId="7597"/>
    <cellStyle name="20% - Accent6 4 6 3 2 2" xfId="25536"/>
    <cellStyle name="20% - Accent6 4 6 3 3" xfId="25535"/>
    <cellStyle name="20% - Accent6 4 6 4" xfId="7598"/>
    <cellStyle name="20% - Accent6 4 6 4 2" xfId="25537"/>
    <cellStyle name="20% - Accent6 4 6 5" xfId="25530"/>
    <cellStyle name="20% - Accent6 4 7" xfId="7599"/>
    <cellStyle name="20% - Accent6 4 7 2" xfId="7600"/>
    <cellStyle name="20% - Accent6 4 7 2 2" xfId="7601"/>
    <cellStyle name="20% - Accent6 4 7 2 2 2" xfId="25540"/>
    <cellStyle name="20% - Accent6 4 7 2 3" xfId="25539"/>
    <cellStyle name="20% - Accent6 4 7 3" xfId="7602"/>
    <cellStyle name="20% - Accent6 4 7 3 2" xfId="25541"/>
    <cellStyle name="20% - Accent6 4 7 4" xfId="25538"/>
    <cellStyle name="20% - Accent6 4 8" xfId="7603"/>
    <cellStyle name="20% - Accent6 4 8 2" xfId="7604"/>
    <cellStyle name="20% - Accent6 4 8 2 2" xfId="25543"/>
    <cellStyle name="20% - Accent6 4 8 3" xfId="25542"/>
    <cellStyle name="20% - Accent6 4 9" xfId="7605"/>
    <cellStyle name="20% - Accent6 4 9 2" xfId="25544"/>
    <cellStyle name="20% - Accent6 5" xfId="7606"/>
    <cellStyle name="20% - Accent6 5 10" xfId="25545"/>
    <cellStyle name="20% - Accent6 5 2" xfId="7607"/>
    <cellStyle name="20% - Accent6 5 2 2" xfId="7608"/>
    <cellStyle name="20% - Accent6 5 2 2 2" xfId="7609"/>
    <cellStyle name="20% - Accent6 5 2 2 2 2" xfId="7610"/>
    <cellStyle name="20% - Accent6 5 2 2 2 2 2" xfId="7611"/>
    <cellStyle name="20% - Accent6 5 2 2 2 2 2 2" xfId="7612"/>
    <cellStyle name="20% - Accent6 5 2 2 2 2 2 2 2" xfId="7613"/>
    <cellStyle name="20% - Accent6 5 2 2 2 2 2 2 2 2" xfId="25552"/>
    <cellStyle name="20% - Accent6 5 2 2 2 2 2 2 3" xfId="25551"/>
    <cellStyle name="20% - Accent6 5 2 2 2 2 2 3" xfId="7614"/>
    <cellStyle name="20% - Accent6 5 2 2 2 2 2 3 2" xfId="25553"/>
    <cellStyle name="20% - Accent6 5 2 2 2 2 2 4" xfId="25550"/>
    <cellStyle name="20% - Accent6 5 2 2 2 2 3" xfId="7615"/>
    <cellStyle name="20% - Accent6 5 2 2 2 2 3 2" xfId="7616"/>
    <cellStyle name="20% - Accent6 5 2 2 2 2 3 2 2" xfId="25555"/>
    <cellStyle name="20% - Accent6 5 2 2 2 2 3 3" xfId="25554"/>
    <cellStyle name="20% - Accent6 5 2 2 2 2 4" xfId="7617"/>
    <cellStyle name="20% - Accent6 5 2 2 2 2 4 2" xfId="25556"/>
    <cellStyle name="20% - Accent6 5 2 2 2 2 5" xfId="25549"/>
    <cellStyle name="20% - Accent6 5 2 2 2 3" xfId="7618"/>
    <cellStyle name="20% - Accent6 5 2 2 2 3 2" xfId="7619"/>
    <cellStyle name="20% - Accent6 5 2 2 2 3 2 2" xfId="7620"/>
    <cellStyle name="20% - Accent6 5 2 2 2 3 2 2 2" xfId="7621"/>
    <cellStyle name="20% - Accent6 5 2 2 2 3 2 2 2 2" xfId="25560"/>
    <cellStyle name="20% - Accent6 5 2 2 2 3 2 2 3" xfId="25559"/>
    <cellStyle name="20% - Accent6 5 2 2 2 3 2 3" xfId="7622"/>
    <cellStyle name="20% - Accent6 5 2 2 2 3 2 3 2" xfId="25561"/>
    <cellStyle name="20% - Accent6 5 2 2 2 3 2 4" xfId="25558"/>
    <cellStyle name="20% - Accent6 5 2 2 2 3 3" xfId="7623"/>
    <cellStyle name="20% - Accent6 5 2 2 2 3 3 2" xfId="7624"/>
    <cellStyle name="20% - Accent6 5 2 2 2 3 3 2 2" xfId="25563"/>
    <cellStyle name="20% - Accent6 5 2 2 2 3 3 3" xfId="25562"/>
    <cellStyle name="20% - Accent6 5 2 2 2 3 4" xfId="7625"/>
    <cellStyle name="20% - Accent6 5 2 2 2 3 4 2" xfId="25564"/>
    <cellStyle name="20% - Accent6 5 2 2 2 3 5" xfId="25557"/>
    <cellStyle name="20% - Accent6 5 2 2 2 4" xfId="7626"/>
    <cellStyle name="20% - Accent6 5 2 2 2 4 2" xfId="7627"/>
    <cellStyle name="20% - Accent6 5 2 2 2 4 2 2" xfId="7628"/>
    <cellStyle name="20% - Accent6 5 2 2 2 4 2 2 2" xfId="25567"/>
    <cellStyle name="20% - Accent6 5 2 2 2 4 2 3" xfId="25566"/>
    <cellStyle name="20% - Accent6 5 2 2 2 4 3" xfId="7629"/>
    <cellStyle name="20% - Accent6 5 2 2 2 4 3 2" xfId="25568"/>
    <cellStyle name="20% - Accent6 5 2 2 2 4 4" xfId="25565"/>
    <cellStyle name="20% - Accent6 5 2 2 2 5" xfId="7630"/>
    <cellStyle name="20% - Accent6 5 2 2 2 5 2" xfId="7631"/>
    <cellStyle name="20% - Accent6 5 2 2 2 5 2 2" xfId="25570"/>
    <cellStyle name="20% - Accent6 5 2 2 2 5 3" xfId="25569"/>
    <cellStyle name="20% - Accent6 5 2 2 2 6" xfId="7632"/>
    <cellStyle name="20% - Accent6 5 2 2 2 6 2" xfId="25571"/>
    <cellStyle name="20% - Accent6 5 2 2 2 7" xfId="25548"/>
    <cellStyle name="20% - Accent6 5 2 2 3" xfId="7633"/>
    <cellStyle name="20% - Accent6 5 2 2 3 2" xfId="7634"/>
    <cellStyle name="20% - Accent6 5 2 2 3 2 2" xfId="7635"/>
    <cellStyle name="20% - Accent6 5 2 2 3 2 2 2" xfId="7636"/>
    <cellStyle name="20% - Accent6 5 2 2 3 2 2 2 2" xfId="25575"/>
    <cellStyle name="20% - Accent6 5 2 2 3 2 2 3" xfId="25574"/>
    <cellStyle name="20% - Accent6 5 2 2 3 2 3" xfId="7637"/>
    <cellStyle name="20% - Accent6 5 2 2 3 2 3 2" xfId="25576"/>
    <cellStyle name="20% - Accent6 5 2 2 3 2 4" xfId="25573"/>
    <cellStyle name="20% - Accent6 5 2 2 3 3" xfId="7638"/>
    <cellStyle name="20% - Accent6 5 2 2 3 3 2" xfId="7639"/>
    <cellStyle name="20% - Accent6 5 2 2 3 3 2 2" xfId="25578"/>
    <cellStyle name="20% - Accent6 5 2 2 3 3 3" xfId="25577"/>
    <cellStyle name="20% - Accent6 5 2 2 3 4" xfId="7640"/>
    <cellStyle name="20% - Accent6 5 2 2 3 4 2" xfId="25579"/>
    <cellStyle name="20% - Accent6 5 2 2 3 5" xfId="25572"/>
    <cellStyle name="20% - Accent6 5 2 2 4" xfId="7641"/>
    <cellStyle name="20% - Accent6 5 2 2 4 2" xfId="7642"/>
    <cellStyle name="20% - Accent6 5 2 2 4 2 2" xfId="7643"/>
    <cellStyle name="20% - Accent6 5 2 2 4 2 2 2" xfId="7644"/>
    <cellStyle name="20% - Accent6 5 2 2 4 2 2 2 2" xfId="25583"/>
    <cellStyle name="20% - Accent6 5 2 2 4 2 2 3" xfId="25582"/>
    <cellStyle name="20% - Accent6 5 2 2 4 2 3" xfId="7645"/>
    <cellStyle name="20% - Accent6 5 2 2 4 2 3 2" xfId="25584"/>
    <cellStyle name="20% - Accent6 5 2 2 4 2 4" xfId="25581"/>
    <cellStyle name="20% - Accent6 5 2 2 4 3" xfId="7646"/>
    <cellStyle name="20% - Accent6 5 2 2 4 3 2" xfId="7647"/>
    <cellStyle name="20% - Accent6 5 2 2 4 3 2 2" xfId="25586"/>
    <cellStyle name="20% - Accent6 5 2 2 4 3 3" xfId="25585"/>
    <cellStyle name="20% - Accent6 5 2 2 4 4" xfId="7648"/>
    <cellStyle name="20% - Accent6 5 2 2 4 4 2" xfId="25587"/>
    <cellStyle name="20% - Accent6 5 2 2 4 5" xfId="25580"/>
    <cellStyle name="20% - Accent6 5 2 2 5" xfId="7649"/>
    <cellStyle name="20% - Accent6 5 2 2 5 2" xfId="7650"/>
    <cellStyle name="20% - Accent6 5 2 2 5 2 2" xfId="7651"/>
    <cellStyle name="20% - Accent6 5 2 2 5 2 2 2" xfId="25590"/>
    <cellStyle name="20% - Accent6 5 2 2 5 2 3" xfId="25589"/>
    <cellStyle name="20% - Accent6 5 2 2 5 3" xfId="7652"/>
    <cellStyle name="20% - Accent6 5 2 2 5 3 2" xfId="25591"/>
    <cellStyle name="20% - Accent6 5 2 2 5 4" xfId="25588"/>
    <cellStyle name="20% - Accent6 5 2 2 6" xfId="7653"/>
    <cellStyle name="20% - Accent6 5 2 2 6 2" xfId="7654"/>
    <cellStyle name="20% - Accent6 5 2 2 6 2 2" xfId="25593"/>
    <cellStyle name="20% - Accent6 5 2 2 6 3" xfId="25592"/>
    <cellStyle name="20% - Accent6 5 2 2 7" xfId="7655"/>
    <cellStyle name="20% - Accent6 5 2 2 7 2" xfId="25594"/>
    <cellStyle name="20% - Accent6 5 2 2 8" xfId="25547"/>
    <cellStyle name="20% - Accent6 5 2 3" xfId="7656"/>
    <cellStyle name="20% - Accent6 5 2 3 2" xfId="7657"/>
    <cellStyle name="20% - Accent6 5 2 3 2 2" xfId="7658"/>
    <cellStyle name="20% - Accent6 5 2 3 2 2 2" xfId="7659"/>
    <cellStyle name="20% - Accent6 5 2 3 2 2 2 2" xfId="7660"/>
    <cellStyle name="20% - Accent6 5 2 3 2 2 2 2 2" xfId="25599"/>
    <cellStyle name="20% - Accent6 5 2 3 2 2 2 3" xfId="25598"/>
    <cellStyle name="20% - Accent6 5 2 3 2 2 3" xfId="7661"/>
    <cellStyle name="20% - Accent6 5 2 3 2 2 3 2" xfId="25600"/>
    <cellStyle name="20% - Accent6 5 2 3 2 2 4" xfId="25597"/>
    <cellStyle name="20% - Accent6 5 2 3 2 3" xfId="7662"/>
    <cellStyle name="20% - Accent6 5 2 3 2 3 2" xfId="7663"/>
    <cellStyle name="20% - Accent6 5 2 3 2 3 2 2" xfId="25602"/>
    <cellStyle name="20% - Accent6 5 2 3 2 3 3" xfId="25601"/>
    <cellStyle name="20% - Accent6 5 2 3 2 4" xfId="7664"/>
    <cellStyle name="20% - Accent6 5 2 3 2 4 2" xfId="25603"/>
    <cellStyle name="20% - Accent6 5 2 3 2 5" xfId="25596"/>
    <cellStyle name="20% - Accent6 5 2 3 3" xfId="7665"/>
    <cellStyle name="20% - Accent6 5 2 3 3 2" xfId="7666"/>
    <cellStyle name="20% - Accent6 5 2 3 3 2 2" xfId="7667"/>
    <cellStyle name="20% - Accent6 5 2 3 3 2 2 2" xfId="7668"/>
    <cellStyle name="20% - Accent6 5 2 3 3 2 2 2 2" xfId="25607"/>
    <cellStyle name="20% - Accent6 5 2 3 3 2 2 3" xfId="25606"/>
    <cellStyle name="20% - Accent6 5 2 3 3 2 3" xfId="7669"/>
    <cellStyle name="20% - Accent6 5 2 3 3 2 3 2" xfId="25608"/>
    <cellStyle name="20% - Accent6 5 2 3 3 2 4" xfId="25605"/>
    <cellStyle name="20% - Accent6 5 2 3 3 3" xfId="7670"/>
    <cellStyle name="20% - Accent6 5 2 3 3 3 2" xfId="7671"/>
    <cellStyle name="20% - Accent6 5 2 3 3 3 2 2" xfId="25610"/>
    <cellStyle name="20% - Accent6 5 2 3 3 3 3" xfId="25609"/>
    <cellStyle name="20% - Accent6 5 2 3 3 4" xfId="7672"/>
    <cellStyle name="20% - Accent6 5 2 3 3 4 2" xfId="25611"/>
    <cellStyle name="20% - Accent6 5 2 3 3 5" xfId="25604"/>
    <cellStyle name="20% - Accent6 5 2 3 4" xfId="7673"/>
    <cellStyle name="20% - Accent6 5 2 3 4 2" xfId="7674"/>
    <cellStyle name="20% - Accent6 5 2 3 4 2 2" xfId="7675"/>
    <cellStyle name="20% - Accent6 5 2 3 4 2 2 2" xfId="25614"/>
    <cellStyle name="20% - Accent6 5 2 3 4 2 3" xfId="25613"/>
    <cellStyle name="20% - Accent6 5 2 3 4 3" xfId="7676"/>
    <cellStyle name="20% - Accent6 5 2 3 4 3 2" xfId="25615"/>
    <cellStyle name="20% - Accent6 5 2 3 4 4" xfId="25612"/>
    <cellStyle name="20% - Accent6 5 2 3 5" xfId="7677"/>
    <cellStyle name="20% - Accent6 5 2 3 5 2" xfId="7678"/>
    <cellStyle name="20% - Accent6 5 2 3 5 2 2" xfId="25617"/>
    <cellStyle name="20% - Accent6 5 2 3 5 3" xfId="25616"/>
    <cellStyle name="20% - Accent6 5 2 3 6" xfId="7679"/>
    <cellStyle name="20% - Accent6 5 2 3 6 2" xfId="25618"/>
    <cellStyle name="20% - Accent6 5 2 3 7" xfId="25595"/>
    <cellStyle name="20% - Accent6 5 2 4" xfId="7680"/>
    <cellStyle name="20% - Accent6 5 2 4 2" xfId="7681"/>
    <cellStyle name="20% - Accent6 5 2 4 2 2" xfId="7682"/>
    <cellStyle name="20% - Accent6 5 2 4 2 2 2" xfId="7683"/>
    <cellStyle name="20% - Accent6 5 2 4 2 2 2 2" xfId="25622"/>
    <cellStyle name="20% - Accent6 5 2 4 2 2 3" xfId="25621"/>
    <cellStyle name="20% - Accent6 5 2 4 2 3" xfId="7684"/>
    <cellStyle name="20% - Accent6 5 2 4 2 3 2" xfId="25623"/>
    <cellStyle name="20% - Accent6 5 2 4 2 4" xfId="25620"/>
    <cellStyle name="20% - Accent6 5 2 4 3" xfId="7685"/>
    <cellStyle name="20% - Accent6 5 2 4 3 2" xfId="7686"/>
    <cellStyle name="20% - Accent6 5 2 4 3 2 2" xfId="25625"/>
    <cellStyle name="20% - Accent6 5 2 4 3 3" xfId="25624"/>
    <cellStyle name="20% - Accent6 5 2 4 4" xfId="7687"/>
    <cellStyle name="20% - Accent6 5 2 4 4 2" xfId="25626"/>
    <cellStyle name="20% - Accent6 5 2 4 5" xfId="25619"/>
    <cellStyle name="20% - Accent6 5 2 5" xfId="7688"/>
    <cellStyle name="20% - Accent6 5 2 5 2" xfId="7689"/>
    <cellStyle name="20% - Accent6 5 2 5 2 2" xfId="7690"/>
    <cellStyle name="20% - Accent6 5 2 5 2 2 2" xfId="7691"/>
    <cellStyle name="20% - Accent6 5 2 5 2 2 2 2" xfId="25630"/>
    <cellStyle name="20% - Accent6 5 2 5 2 2 3" xfId="25629"/>
    <cellStyle name="20% - Accent6 5 2 5 2 3" xfId="7692"/>
    <cellStyle name="20% - Accent6 5 2 5 2 3 2" xfId="25631"/>
    <cellStyle name="20% - Accent6 5 2 5 2 4" xfId="25628"/>
    <cellStyle name="20% - Accent6 5 2 5 3" xfId="7693"/>
    <cellStyle name="20% - Accent6 5 2 5 3 2" xfId="7694"/>
    <cellStyle name="20% - Accent6 5 2 5 3 2 2" xfId="25633"/>
    <cellStyle name="20% - Accent6 5 2 5 3 3" xfId="25632"/>
    <cellStyle name="20% - Accent6 5 2 5 4" xfId="7695"/>
    <cellStyle name="20% - Accent6 5 2 5 4 2" xfId="25634"/>
    <cellStyle name="20% - Accent6 5 2 5 5" xfId="25627"/>
    <cellStyle name="20% - Accent6 5 2 6" xfId="7696"/>
    <cellStyle name="20% - Accent6 5 2 6 2" xfId="7697"/>
    <cellStyle name="20% - Accent6 5 2 6 2 2" xfId="7698"/>
    <cellStyle name="20% - Accent6 5 2 6 2 2 2" xfId="25637"/>
    <cellStyle name="20% - Accent6 5 2 6 2 3" xfId="25636"/>
    <cellStyle name="20% - Accent6 5 2 6 3" xfId="7699"/>
    <cellStyle name="20% - Accent6 5 2 6 3 2" xfId="25638"/>
    <cellStyle name="20% - Accent6 5 2 6 4" xfId="25635"/>
    <cellStyle name="20% - Accent6 5 2 7" xfId="7700"/>
    <cellStyle name="20% - Accent6 5 2 7 2" xfId="7701"/>
    <cellStyle name="20% - Accent6 5 2 7 2 2" xfId="25640"/>
    <cellStyle name="20% - Accent6 5 2 7 3" xfId="25639"/>
    <cellStyle name="20% - Accent6 5 2 8" xfId="7702"/>
    <cellStyle name="20% - Accent6 5 2 8 2" xfId="25641"/>
    <cellStyle name="20% - Accent6 5 2 9" xfId="25546"/>
    <cellStyle name="20% - Accent6 5 3" xfId="7703"/>
    <cellStyle name="20% - Accent6 5 3 2" xfId="7704"/>
    <cellStyle name="20% - Accent6 5 3 2 2" xfId="7705"/>
    <cellStyle name="20% - Accent6 5 3 2 2 2" xfId="7706"/>
    <cellStyle name="20% - Accent6 5 3 2 2 2 2" xfId="7707"/>
    <cellStyle name="20% - Accent6 5 3 2 2 2 2 2" xfId="7708"/>
    <cellStyle name="20% - Accent6 5 3 2 2 2 2 2 2" xfId="25647"/>
    <cellStyle name="20% - Accent6 5 3 2 2 2 2 3" xfId="25646"/>
    <cellStyle name="20% - Accent6 5 3 2 2 2 3" xfId="7709"/>
    <cellStyle name="20% - Accent6 5 3 2 2 2 3 2" xfId="25648"/>
    <cellStyle name="20% - Accent6 5 3 2 2 2 4" xfId="25645"/>
    <cellStyle name="20% - Accent6 5 3 2 2 3" xfId="7710"/>
    <cellStyle name="20% - Accent6 5 3 2 2 3 2" xfId="7711"/>
    <cellStyle name="20% - Accent6 5 3 2 2 3 2 2" xfId="25650"/>
    <cellStyle name="20% - Accent6 5 3 2 2 3 3" xfId="25649"/>
    <cellStyle name="20% - Accent6 5 3 2 2 4" xfId="7712"/>
    <cellStyle name="20% - Accent6 5 3 2 2 4 2" xfId="25651"/>
    <cellStyle name="20% - Accent6 5 3 2 2 5" xfId="25644"/>
    <cellStyle name="20% - Accent6 5 3 2 3" xfId="7713"/>
    <cellStyle name="20% - Accent6 5 3 2 3 2" xfId="7714"/>
    <cellStyle name="20% - Accent6 5 3 2 3 2 2" xfId="7715"/>
    <cellStyle name="20% - Accent6 5 3 2 3 2 2 2" xfId="7716"/>
    <cellStyle name="20% - Accent6 5 3 2 3 2 2 2 2" xfId="25655"/>
    <cellStyle name="20% - Accent6 5 3 2 3 2 2 3" xfId="25654"/>
    <cellStyle name="20% - Accent6 5 3 2 3 2 3" xfId="7717"/>
    <cellStyle name="20% - Accent6 5 3 2 3 2 3 2" xfId="25656"/>
    <cellStyle name="20% - Accent6 5 3 2 3 2 4" xfId="25653"/>
    <cellStyle name="20% - Accent6 5 3 2 3 3" xfId="7718"/>
    <cellStyle name="20% - Accent6 5 3 2 3 3 2" xfId="7719"/>
    <cellStyle name="20% - Accent6 5 3 2 3 3 2 2" xfId="25658"/>
    <cellStyle name="20% - Accent6 5 3 2 3 3 3" xfId="25657"/>
    <cellStyle name="20% - Accent6 5 3 2 3 4" xfId="7720"/>
    <cellStyle name="20% - Accent6 5 3 2 3 4 2" xfId="25659"/>
    <cellStyle name="20% - Accent6 5 3 2 3 5" xfId="25652"/>
    <cellStyle name="20% - Accent6 5 3 2 4" xfId="7721"/>
    <cellStyle name="20% - Accent6 5 3 2 4 2" xfId="7722"/>
    <cellStyle name="20% - Accent6 5 3 2 4 2 2" xfId="7723"/>
    <cellStyle name="20% - Accent6 5 3 2 4 2 2 2" xfId="25662"/>
    <cellStyle name="20% - Accent6 5 3 2 4 2 3" xfId="25661"/>
    <cellStyle name="20% - Accent6 5 3 2 4 3" xfId="7724"/>
    <cellStyle name="20% - Accent6 5 3 2 4 3 2" xfId="25663"/>
    <cellStyle name="20% - Accent6 5 3 2 4 4" xfId="25660"/>
    <cellStyle name="20% - Accent6 5 3 2 5" xfId="7725"/>
    <cellStyle name="20% - Accent6 5 3 2 5 2" xfId="7726"/>
    <cellStyle name="20% - Accent6 5 3 2 5 2 2" xfId="25665"/>
    <cellStyle name="20% - Accent6 5 3 2 5 3" xfId="25664"/>
    <cellStyle name="20% - Accent6 5 3 2 6" xfId="7727"/>
    <cellStyle name="20% - Accent6 5 3 2 6 2" xfId="25666"/>
    <cellStyle name="20% - Accent6 5 3 2 7" xfId="25643"/>
    <cellStyle name="20% - Accent6 5 3 3" xfId="7728"/>
    <cellStyle name="20% - Accent6 5 3 3 2" xfId="7729"/>
    <cellStyle name="20% - Accent6 5 3 3 2 2" xfId="7730"/>
    <cellStyle name="20% - Accent6 5 3 3 2 2 2" xfId="7731"/>
    <cellStyle name="20% - Accent6 5 3 3 2 2 2 2" xfId="25670"/>
    <cellStyle name="20% - Accent6 5 3 3 2 2 3" xfId="25669"/>
    <cellStyle name="20% - Accent6 5 3 3 2 3" xfId="7732"/>
    <cellStyle name="20% - Accent6 5 3 3 2 3 2" xfId="25671"/>
    <cellStyle name="20% - Accent6 5 3 3 2 4" xfId="25668"/>
    <cellStyle name="20% - Accent6 5 3 3 3" xfId="7733"/>
    <cellStyle name="20% - Accent6 5 3 3 3 2" xfId="7734"/>
    <cellStyle name="20% - Accent6 5 3 3 3 2 2" xfId="25673"/>
    <cellStyle name="20% - Accent6 5 3 3 3 3" xfId="25672"/>
    <cellStyle name="20% - Accent6 5 3 3 4" xfId="7735"/>
    <cellStyle name="20% - Accent6 5 3 3 4 2" xfId="25674"/>
    <cellStyle name="20% - Accent6 5 3 3 5" xfId="25667"/>
    <cellStyle name="20% - Accent6 5 3 4" xfId="7736"/>
    <cellStyle name="20% - Accent6 5 3 4 2" xfId="7737"/>
    <cellStyle name="20% - Accent6 5 3 4 2 2" xfId="7738"/>
    <cellStyle name="20% - Accent6 5 3 4 2 2 2" xfId="7739"/>
    <cellStyle name="20% - Accent6 5 3 4 2 2 2 2" xfId="25678"/>
    <cellStyle name="20% - Accent6 5 3 4 2 2 3" xfId="25677"/>
    <cellStyle name="20% - Accent6 5 3 4 2 3" xfId="7740"/>
    <cellStyle name="20% - Accent6 5 3 4 2 3 2" xfId="25679"/>
    <cellStyle name="20% - Accent6 5 3 4 2 4" xfId="25676"/>
    <cellStyle name="20% - Accent6 5 3 4 3" xfId="7741"/>
    <cellStyle name="20% - Accent6 5 3 4 3 2" xfId="7742"/>
    <cellStyle name="20% - Accent6 5 3 4 3 2 2" xfId="25681"/>
    <cellStyle name="20% - Accent6 5 3 4 3 3" xfId="25680"/>
    <cellStyle name="20% - Accent6 5 3 4 4" xfId="7743"/>
    <cellStyle name="20% - Accent6 5 3 4 4 2" xfId="25682"/>
    <cellStyle name="20% - Accent6 5 3 4 5" xfId="25675"/>
    <cellStyle name="20% - Accent6 5 3 5" xfId="7744"/>
    <cellStyle name="20% - Accent6 5 3 5 2" xfId="7745"/>
    <cellStyle name="20% - Accent6 5 3 5 2 2" xfId="7746"/>
    <cellStyle name="20% - Accent6 5 3 5 2 2 2" xfId="25685"/>
    <cellStyle name="20% - Accent6 5 3 5 2 3" xfId="25684"/>
    <cellStyle name="20% - Accent6 5 3 5 3" xfId="7747"/>
    <cellStyle name="20% - Accent6 5 3 5 3 2" xfId="25686"/>
    <cellStyle name="20% - Accent6 5 3 5 4" xfId="25683"/>
    <cellStyle name="20% - Accent6 5 3 6" xfId="7748"/>
    <cellStyle name="20% - Accent6 5 3 6 2" xfId="7749"/>
    <cellStyle name="20% - Accent6 5 3 6 2 2" xfId="25688"/>
    <cellStyle name="20% - Accent6 5 3 6 3" xfId="25687"/>
    <cellStyle name="20% - Accent6 5 3 7" xfId="7750"/>
    <cellStyle name="20% - Accent6 5 3 7 2" xfId="25689"/>
    <cellStyle name="20% - Accent6 5 3 8" xfId="25642"/>
    <cellStyle name="20% - Accent6 5 4" xfId="7751"/>
    <cellStyle name="20% - Accent6 5 4 2" xfId="7752"/>
    <cellStyle name="20% - Accent6 5 4 2 2" xfId="7753"/>
    <cellStyle name="20% - Accent6 5 4 2 2 2" xfId="7754"/>
    <cellStyle name="20% - Accent6 5 4 2 2 2 2" xfId="7755"/>
    <cellStyle name="20% - Accent6 5 4 2 2 2 2 2" xfId="25694"/>
    <cellStyle name="20% - Accent6 5 4 2 2 2 3" xfId="25693"/>
    <cellStyle name="20% - Accent6 5 4 2 2 3" xfId="7756"/>
    <cellStyle name="20% - Accent6 5 4 2 2 3 2" xfId="25695"/>
    <cellStyle name="20% - Accent6 5 4 2 2 4" xfId="25692"/>
    <cellStyle name="20% - Accent6 5 4 2 3" xfId="7757"/>
    <cellStyle name="20% - Accent6 5 4 2 3 2" xfId="7758"/>
    <cellStyle name="20% - Accent6 5 4 2 3 2 2" xfId="25697"/>
    <cellStyle name="20% - Accent6 5 4 2 3 3" xfId="25696"/>
    <cellStyle name="20% - Accent6 5 4 2 4" xfId="7759"/>
    <cellStyle name="20% - Accent6 5 4 2 4 2" xfId="25698"/>
    <cellStyle name="20% - Accent6 5 4 2 5" xfId="25691"/>
    <cellStyle name="20% - Accent6 5 4 3" xfId="7760"/>
    <cellStyle name="20% - Accent6 5 4 3 2" xfId="7761"/>
    <cellStyle name="20% - Accent6 5 4 3 2 2" xfId="7762"/>
    <cellStyle name="20% - Accent6 5 4 3 2 2 2" xfId="7763"/>
    <cellStyle name="20% - Accent6 5 4 3 2 2 2 2" xfId="25702"/>
    <cellStyle name="20% - Accent6 5 4 3 2 2 3" xfId="25701"/>
    <cellStyle name="20% - Accent6 5 4 3 2 3" xfId="7764"/>
    <cellStyle name="20% - Accent6 5 4 3 2 3 2" xfId="25703"/>
    <cellStyle name="20% - Accent6 5 4 3 2 4" xfId="25700"/>
    <cellStyle name="20% - Accent6 5 4 3 3" xfId="7765"/>
    <cellStyle name="20% - Accent6 5 4 3 3 2" xfId="7766"/>
    <cellStyle name="20% - Accent6 5 4 3 3 2 2" xfId="25705"/>
    <cellStyle name="20% - Accent6 5 4 3 3 3" xfId="25704"/>
    <cellStyle name="20% - Accent6 5 4 3 4" xfId="7767"/>
    <cellStyle name="20% - Accent6 5 4 3 4 2" xfId="25706"/>
    <cellStyle name="20% - Accent6 5 4 3 5" xfId="25699"/>
    <cellStyle name="20% - Accent6 5 4 4" xfId="7768"/>
    <cellStyle name="20% - Accent6 5 4 4 2" xfId="7769"/>
    <cellStyle name="20% - Accent6 5 4 4 2 2" xfId="7770"/>
    <cellStyle name="20% - Accent6 5 4 4 2 2 2" xfId="25709"/>
    <cellStyle name="20% - Accent6 5 4 4 2 3" xfId="25708"/>
    <cellStyle name="20% - Accent6 5 4 4 3" xfId="7771"/>
    <cellStyle name="20% - Accent6 5 4 4 3 2" xfId="25710"/>
    <cellStyle name="20% - Accent6 5 4 4 4" xfId="25707"/>
    <cellStyle name="20% - Accent6 5 4 5" xfId="7772"/>
    <cellStyle name="20% - Accent6 5 4 5 2" xfId="7773"/>
    <cellStyle name="20% - Accent6 5 4 5 2 2" xfId="25712"/>
    <cellStyle name="20% - Accent6 5 4 5 3" xfId="25711"/>
    <cellStyle name="20% - Accent6 5 4 6" xfId="7774"/>
    <cellStyle name="20% - Accent6 5 4 6 2" xfId="25713"/>
    <cellStyle name="20% - Accent6 5 4 7" xfId="25690"/>
    <cellStyle name="20% - Accent6 5 5" xfId="7775"/>
    <cellStyle name="20% - Accent6 5 5 2" xfId="7776"/>
    <cellStyle name="20% - Accent6 5 5 2 2" xfId="7777"/>
    <cellStyle name="20% - Accent6 5 5 2 2 2" xfId="7778"/>
    <cellStyle name="20% - Accent6 5 5 2 2 2 2" xfId="25717"/>
    <cellStyle name="20% - Accent6 5 5 2 2 3" xfId="25716"/>
    <cellStyle name="20% - Accent6 5 5 2 3" xfId="7779"/>
    <cellStyle name="20% - Accent6 5 5 2 3 2" xfId="25718"/>
    <cellStyle name="20% - Accent6 5 5 2 4" xfId="25715"/>
    <cellStyle name="20% - Accent6 5 5 3" xfId="7780"/>
    <cellStyle name="20% - Accent6 5 5 3 2" xfId="7781"/>
    <cellStyle name="20% - Accent6 5 5 3 2 2" xfId="25720"/>
    <cellStyle name="20% - Accent6 5 5 3 3" xfId="25719"/>
    <cellStyle name="20% - Accent6 5 5 4" xfId="7782"/>
    <cellStyle name="20% - Accent6 5 5 4 2" xfId="25721"/>
    <cellStyle name="20% - Accent6 5 5 5" xfId="25714"/>
    <cellStyle name="20% - Accent6 5 6" xfId="7783"/>
    <cellStyle name="20% - Accent6 5 6 2" xfId="7784"/>
    <cellStyle name="20% - Accent6 5 6 2 2" xfId="7785"/>
    <cellStyle name="20% - Accent6 5 6 2 2 2" xfId="7786"/>
    <cellStyle name="20% - Accent6 5 6 2 2 2 2" xfId="25725"/>
    <cellStyle name="20% - Accent6 5 6 2 2 3" xfId="25724"/>
    <cellStyle name="20% - Accent6 5 6 2 3" xfId="7787"/>
    <cellStyle name="20% - Accent6 5 6 2 3 2" xfId="25726"/>
    <cellStyle name="20% - Accent6 5 6 2 4" xfId="25723"/>
    <cellStyle name="20% - Accent6 5 6 3" xfId="7788"/>
    <cellStyle name="20% - Accent6 5 6 3 2" xfId="7789"/>
    <cellStyle name="20% - Accent6 5 6 3 2 2" xfId="25728"/>
    <cellStyle name="20% - Accent6 5 6 3 3" xfId="25727"/>
    <cellStyle name="20% - Accent6 5 6 4" xfId="7790"/>
    <cellStyle name="20% - Accent6 5 6 4 2" xfId="25729"/>
    <cellStyle name="20% - Accent6 5 6 5" xfId="25722"/>
    <cellStyle name="20% - Accent6 5 7" xfId="7791"/>
    <cellStyle name="20% - Accent6 5 7 2" xfId="7792"/>
    <cellStyle name="20% - Accent6 5 7 2 2" xfId="7793"/>
    <cellStyle name="20% - Accent6 5 7 2 2 2" xfId="25732"/>
    <cellStyle name="20% - Accent6 5 7 2 3" xfId="25731"/>
    <cellStyle name="20% - Accent6 5 7 3" xfId="7794"/>
    <cellStyle name="20% - Accent6 5 7 3 2" xfId="25733"/>
    <cellStyle name="20% - Accent6 5 7 4" xfId="25730"/>
    <cellStyle name="20% - Accent6 5 8" xfId="7795"/>
    <cellStyle name="20% - Accent6 5 8 2" xfId="7796"/>
    <cellStyle name="20% - Accent6 5 8 2 2" xfId="25735"/>
    <cellStyle name="20% - Accent6 5 8 3" xfId="25734"/>
    <cellStyle name="20% - Accent6 5 9" xfId="7797"/>
    <cellStyle name="20% - Accent6 5 9 2" xfId="25736"/>
    <cellStyle name="20% - Accent6 6" xfId="7798"/>
    <cellStyle name="20% - Accent6 6 10" xfId="25737"/>
    <cellStyle name="20% - Accent6 6 2" xfId="7799"/>
    <cellStyle name="20% - Accent6 6 2 2" xfId="7800"/>
    <cellStyle name="20% - Accent6 6 2 2 2" xfId="7801"/>
    <cellStyle name="20% - Accent6 6 2 2 2 2" xfId="7802"/>
    <cellStyle name="20% - Accent6 6 2 2 2 2 2" xfId="7803"/>
    <cellStyle name="20% - Accent6 6 2 2 2 2 2 2" xfId="7804"/>
    <cellStyle name="20% - Accent6 6 2 2 2 2 2 2 2" xfId="7805"/>
    <cellStyle name="20% - Accent6 6 2 2 2 2 2 2 2 2" xfId="25744"/>
    <cellStyle name="20% - Accent6 6 2 2 2 2 2 2 3" xfId="25743"/>
    <cellStyle name="20% - Accent6 6 2 2 2 2 2 3" xfId="7806"/>
    <cellStyle name="20% - Accent6 6 2 2 2 2 2 3 2" xfId="25745"/>
    <cellStyle name="20% - Accent6 6 2 2 2 2 2 4" xfId="25742"/>
    <cellStyle name="20% - Accent6 6 2 2 2 2 3" xfId="7807"/>
    <cellStyle name="20% - Accent6 6 2 2 2 2 3 2" xfId="7808"/>
    <cellStyle name="20% - Accent6 6 2 2 2 2 3 2 2" xfId="25747"/>
    <cellStyle name="20% - Accent6 6 2 2 2 2 3 3" xfId="25746"/>
    <cellStyle name="20% - Accent6 6 2 2 2 2 4" xfId="7809"/>
    <cellStyle name="20% - Accent6 6 2 2 2 2 4 2" xfId="25748"/>
    <cellStyle name="20% - Accent6 6 2 2 2 2 5" xfId="25741"/>
    <cellStyle name="20% - Accent6 6 2 2 2 3" xfId="7810"/>
    <cellStyle name="20% - Accent6 6 2 2 2 3 2" xfId="7811"/>
    <cellStyle name="20% - Accent6 6 2 2 2 3 2 2" xfId="7812"/>
    <cellStyle name="20% - Accent6 6 2 2 2 3 2 2 2" xfId="7813"/>
    <cellStyle name="20% - Accent6 6 2 2 2 3 2 2 2 2" xfId="25752"/>
    <cellStyle name="20% - Accent6 6 2 2 2 3 2 2 3" xfId="25751"/>
    <cellStyle name="20% - Accent6 6 2 2 2 3 2 3" xfId="7814"/>
    <cellStyle name="20% - Accent6 6 2 2 2 3 2 3 2" xfId="25753"/>
    <cellStyle name="20% - Accent6 6 2 2 2 3 2 4" xfId="25750"/>
    <cellStyle name="20% - Accent6 6 2 2 2 3 3" xfId="7815"/>
    <cellStyle name="20% - Accent6 6 2 2 2 3 3 2" xfId="7816"/>
    <cellStyle name="20% - Accent6 6 2 2 2 3 3 2 2" xfId="25755"/>
    <cellStyle name="20% - Accent6 6 2 2 2 3 3 3" xfId="25754"/>
    <cellStyle name="20% - Accent6 6 2 2 2 3 4" xfId="7817"/>
    <cellStyle name="20% - Accent6 6 2 2 2 3 4 2" xfId="25756"/>
    <cellStyle name="20% - Accent6 6 2 2 2 3 5" xfId="25749"/>
    <cellStyle name="20% - Accent6 6 2 2 2 4" xfId="7818"/>
    <cellStyle name="20% - Accent6 6 2 2 2 4 2" xfId="7819"/>
    <cellStyle name="20% - Accent6 6 2 2 2 4 2 2" xfId="7820"/>
    <cellStyle name="20% - Accent6 6 2 2 2 4 2 2 2" xfId="25759"/>
    <cellStyle name="20% - Accent6 6 2 2 2 4 2 3" xfId="25758"/>
    <cellStyle name="20% - Accent6 6 2 2 2 4 3" xfId="7821"/>
    <cellStyle name="20% - Accent6 6 2 2 2 4 3 2" xfId="25760"/>
    <cellStyle name="20% - Accent6 6 2 2 2 4 4" xfId="25757"/>
    <cellStyle name="20% - Accent6 6 2 2 2 5" xfId="7822"/>
    <cellStyle name="20% - Accent6 6 2 2 2 5 2" xfId="7823"/>
    <cellStyle name="20% - Accent6 6 2 2 2 5 2 2" xfId="25762"/>
    <cellStyle name="20% - Accent6 6 2 2 2 5 3" xfId="25761"/>
    <cellStyle name="20% - Accent6 6 2 2 2 6" xfId="7824"/>
    <cellStyle name="20% - Accent6 6 2 2 2 6 2" xfId="25763"/>
    <cellStyle name="20% - Accent6 6 2 2 2 7" xfId="25740"/>
    <cellStyle name="20% - Accent6 6 2 2 3" xfId="7825"/>
    <cellStyle name="20% - Accent6 6 2 2 3 2" xfId="7826"/>
    <cellStyle name="20% - Accent6 6 2 2 3 2 2" xfId="7827"/>
    <cellStyle name="20% - Accent6 6 2 2 3 2 2 2" xfId="7828"/>
    <cellStyle name="20% - Accent6 6 2 2 3 2 2 2 2" xfId="25767"/>
    <cellStyle name="20% - Accent6 6 2 2 3 2 2 3" xfId="25766"/>
    <cellStyle name="20% - Accent6 6 2 2 3 2 3" xfId="7829"/>
    <cellStyle name="20% - Accent6 6 2 2 3 2 3 2" xfId="25768"/>
    <cellStyle name="20% - Accent6 6 2 2 3 2 4" xfId="25765"/>
    <cellStyle name="20% - Accent6 6 2 2 3 3" xfId="7830"/>
    <cellStyle name="20% - Accent6 6 2 2 3 3 2" xfId="7831"/>
    <cellStyle name="20% - Accent6 6 2 2 3 3 2 2" xfId="25770"/>
    <cellStyle name="20% - Accent6 6 2 2 3 3 3" xfId="25769"/>
    <cellStyle name="20% - Accent6 6 2 2 3 4" xfId="7832"/>
    <cellStyle name="20% - Accent6 6 2 2 3 4 2" xfId="25771"/>
    <cellStyle name="20% - Accent6 6 2 2 3 5" xfId="25764"/>
    <cellStyle name="20% - Accent6 6 2 2 4" xfId="7833"/>
    <cellStyle name="20% - Accent6 6 2 2 4 2" xfId="7834"/>
    <cellStyle name="20% - Accent6 6 2 2 4 2 2" xfId="7835"/>
    <cellStyle name="20% - Accent6 6 2 2 4 2 2 2" xfId="7836"/>
    <cellStyle name="20% - Accent6 6 2 2 4 2 2 2 2" xfId="25775"/>
    <cellStyle name="20% - Accent6 6 2 2 4 2 2 3" xfId="25774"/>
    <cellStyle name="20% - Accent6 6 2 2 4 2 3" xfId="7837"/>
    <cellStyle name="20% - Accent6 6 2 2 4 2 3 2" xfId="25776"/>
    <cellStyle name="20% - Accent6 6 2 2 4 2 4" xfId="25773"/>
    <cellStyle name="20% - Accent6 6 2 2 4 3" xfId="7838"/>
    <cellStyle name="20% - Accent6 6 2 2 4 3 2" xfId="7839"/>
    <cellStyle name="20% - Accent6 6 2 2 4 3 2 2" xfId="25778"/>
    <cellStyle name="20% - Accent6 6 2 2 4 3 3" xfId="25777"/>
    <cellStyle name="20% - Accent6 6 2 2 4 4" xfId="7840"/>
    <cellStyle name="20% - Accent6 6 2 2 4 4 2" xfId="25779"/>
    <cellStyle name="20% - Accent6 6 2 2 4 5" xfId="25772"/>
    <cellStyle name="20% - Accent6 6 2 2 5" xfId="7841"/>
    <cellStyle name="20% - Accent6 6 2 2 5 2" xfId="7842"/>
    <cellStyle name="20% - Accent6 6 2 2 5 2 2" xfId="7843"/>
    <cellStyle name="20% - Accent6 6 2 2 5 2 2 2" xfId="25782"/>
    <cellStyle name="20% - Accent6 6 2 2 5 2 3" xfId="25781"/>
    <cellStyle name="20% - Accent6 6 2 2 5 3" xfId="7844"/>
    <cellStyle name="20% - Accent6 6 2 2 5 3 2" xfId="25783"/>
    <cellStyle name="20% - Accent6 6 2 2 5 4" xfId="25780"/>
    <cellStyle name="20% - Accent6 6 2 2 6" xfId="7845"/>
    <cellStyle name="20% - Accent6 6 2 2 6 2" xfId="7846"/>
    <cellStyle name="20% - Accent6 6 2 2 6 2 2" xfId="25785"/>
    <cellStyle name="20% - Accent6 6 2 2 6 3" xfId="25784"/>
    <cellStyle name="20% - Accent6 6 2 2 7" xfId="7847"/>
    <cellStyle name="20% - Accent6 6 2 2 7 2" xfId="25786"/>
    <cellStyle name="20% - Accent6 6 2 2 8" xfId="25739"/>
    <cellStyle name="20% - Accent6 6 2 3" xfId="7848"/>
    <cellStyle name="20% - Accent6 6 2 3 2" xfId="7849"/>
    <cellStyle name="20% - Accent6 6 2 3 2 2" xfId="7850"/>
    <cellStyle name="20% - Accent6 6 2 3 2 2 2" xfId="7851"/>
    <cellStyle name="20% - Accent6 6 2 3 2 2 2 2" xfId="7852"/>
    <cellStyle name="20% - Accent6 6 2 3 2 2 2 2 2" xfId="25791"/>
    <cellStyle name="20% - Accent6 6 2 3 2 2 2 3" xfId="25790"/>
    <cellStyle name="20% - Accent6 6 2 3 2 2 3" xfId="7853"/>
    <cellStyle name="20% - Accent6 6 2 3 2 2 3 2" xfId="25792"/>
    <cellStyle name="20% - Accent6 6 2 3 2 2 4" xfId="25789"/>
    <cellStyle name="20% - Accent6 6 2 3 2 3" xfId="7854"/>
    <cellStyle name="20% - Accent6 6 2 3 2 3 2" xfId="7855"/>
    <cellStyle name="20% - Accent6 6 2 3 2 3 2 2" xfId="25794"/>
    <cellStyle name="20% - Accent6 6 2 3 2 3 3" xfId="25793"/>
    <cellStyle name="20% - Accent6 6 2 3 2 4" xfId="7856"/>
    <cellStyle name="20% - Accent6 6 2 3 2 4 2" xfId="25795"/>
    <cellStyle name="20% - Accent6 6 2 3 2 5" xfId="25788"/>
    <cellStyle name="20% - Accent6 6 2 3 3" xfId="7857"/>
    <cellStyle name="20% - Accent6 6 2 3 3 2" xfId="7858"/>
    <cellStyle name="20% - Accent6 6 2 3 3 2 2" xfId="7859"/>
    <cellStyle name="20% - Accent6 6 2 3 3 2 2 2" xfId="7860"/>
    <cellStyle name="20% - Accent6 6 2 3 3 2 2 2 2" xfId="25799"/>
    <cellStyle name="20% - Accent6 6 2 3 3 2 2 3" xfId="25798"/>
    <cellStyle name="20% - Accent6 6 2 3 3 2 3" xfId="7861"/>
    <cellStyle name="20% - Accent6 6 2 3 3 2 3 2" xfId="25800"/>
    <cellStyle name="20% - Accent6 6 2 3 3 2 4" xfId="25797"/>
    <cellStyle name="20% - Accent6 6 2 3 3 3" xfId="7862"/>
    <cellStyle name="20% - Accent6 6 2 3 3 3 2" xfId="7863"/>
    <cellStyle name="20% - Accent6 6 2 3 3 3 2 2" xfId="25802"/>
    <cellStyle name="20% - Accent6 6 2 3 3 3 3" xfId="25801"/>
    <cellStyle name="20% - Accent6 6 2 3 3 4" xfId="7864"/>
    <cellStyle name="20% - Accent6 6 2 3 3 4 2" xfId="25803"/>
    <cellStyle name="20% - Accent6 6 2 3 3 5" xfId="25796"/>
    <cellStyle name="20% - Accent6 6 2 3 4" xfId="7865"/>
    <cellStyle name="20% - Accent6 6 2 3 4 2" xfId="7866"/>
    <cellStyle name="20% - Accent6 6 2 3 4 2 2" xfId="7867"/>
    <cellStyle name="20% - Accent6 6 2 3 4 2 2 2" xfId="25806"/>
    <cellStyle name="20% - Accent6 6 2 3 4 2 3" xfId="25805"/>
    <cellStyle name="20% - Accent6 6 2 3 4 3" xfId="7868"/>
    <cellStyle name="20% - Accent6 6 2 3 4 3 2" xfId="25807"/>
    <cellStyle name="20% - Accent6 6 2 3 4 4" xfId="25804"/>
    <cellStyle name="20% - Accent6 6 2 3 5" xfId="7869"/>
    <cellStyle name="20% - Accent6 6 2 3 5 2" xfId="7870"/>
    <cellStyle name="20% - Accent6 6 2 3 5 2 2" xfId="25809"/>
    <cellStyle name="20% - Accent6 6 2 3 5 3" xfId="25808"/>
    <cellStyle name="20% - Accent6 6 2 3 6" xfId="7871"/>
    <cellStyle name="20% - Accent6 6 2 3 6 2" xfId="25810"/>
    <cellStyle name="20% - Accent6 6 2 3 7" xfId="25787"/>
    <cellStyle name="20% - Accent6 6 2 4" xfId="7872"/>
    <cellStyle name="20% - Accent6 6 2 4 2" xfId="7873"/>
    <cellStyle name="20% - Accent6 6 2 4 2 2" xfId="7874"/>
    <cellStyle name="20% - Accent6 6 2 4 2 2 2" xfId="7875"/>
    <cellStyle name="20% - Accent6 6 2 4 2 2 2 2" xfId="25814"/>
    <cellStyle name="20% - Accent6 6 2 4 2 2 3" xfId="25813"/>
    <cellStyle name="20% - Accent6 6 2 4 2 3" xfId="7876"/>
    <cellStyle name="20% - Accent6 6 2 4 2 3 2" xfId="25815"/>
    <cellStyle name="20% - Accent6 6 2 4 2 4" xfId="25812"/>
    <cellStyle name="20% - Accent6 6 2 4 3" xfId="7877"/>
    <cellStyle name="20% - Accent6 6 2 4 3 2" xfId="7878"/>
    <cellStyle name="20% - Accent6 6 2 4 3 2 2" xfId="25817"/>
    <cellStyle name="20% - Accent6 6 2 4 3 3" xfId="25816"/>
    <cellStyle name="20% - Accent6 6 2 4 4" xfId="7879"/>
    <cellStyle name="20% - Accent6 6 2 4 4 2" xfId="25818"/>
    <cellStyle name="20% - Accent6 6 2 4 5" xfId="25811"/>
    <cellStyle name="20% - Accent6 6 2 5" xfId="7880"/>
    <cellStyle name="20% - Accent6 6 2 5 2" xfId="7881"/>
    <cellStyle name="20% - Accent6 6 2 5 2 2" xfId="7882"/>
    <cellStyle name="20% - Accent6 6 2 5 2 2 2" xfId="7883"/>
    <cellStyle name="20% - Accent6 6 2 5 2 2 2 2" xfId="25822"/>
    <cellStyle name="20% - Accent6 6 2 5 2 2 3" xfId="25821"/>
    <cellStyle name="20% - Accent6 6 2 5 2 3" xfId="7884"/>
    <cellStyle name="20% - Accent6 6 2 5 2 3 2" xfId="25823"/>
    <cellStyle name="20% - Accent6 6 2 5 2 4" xfId="25820"/>
    <cellStyle name="20% - Accent6 6 2 5 3" xfId="7885"/>
    <cellStyle name="20% - Accent6 6 2 5 3 2" xfId="7886"/>
    <cellStyle name="20% - Accent6 6 2 5 3 2 2" xfId="25825"/>
    <cellStyle name="20% - Accent6 6 2 5 3 3" xfId="25824"/>
    <cellStyle name="20% - Accent6 6 2 5 4" xfId="7887"/>
    <cellStyle name="20% - Accent6 6 2 5 4 2" xfId="25826"/>
    <cellStyle name="20% - Accent6 6 2 5 5" xfId="25819"/>
    <cellStyle name="20% - Accent6 6 2 6" xfId="7888"/>
    <cellStyle name="20% - Accent6 6 2 6 2" xfId="7889"/>
    <cellStyle name="20% - Accent6 6 2 6 2 2" xfId="7890"/>
    <cellStyle name="20% - Accent6 6 2 6 2 2 2" xfId="25829"/>
    <cellStyle name="20% - Accent6 6 2 6 2 3" xfId="25828"/>
    <cellStyle name="20% - Accent6 6 2 6 3" xfId="7891"/>
    <cellStyle name="20% - Accent6 6 2 6 3 2" xfId="25830"/>
    <cellStyle name="20% - Accent6 6 2 6 4" xfId="25827"/>
    <cellStyle name="20% - Accent6 6 2 7" xfId="7892"/>
    <cellStyle name="20% - Accent6 6 2 7 2" xfId="7893"/>
    <cellStyle name="20% - Accent6 6 2 7 2 2" xfId="25832"/>
    <cellStyle name="20% - Accent6 6 2 7 3" xfId="25831"/>
    <cellStyle name="20% - Accent6 6 2 8" xfId="7894"/>
    <cellStyle name="20% - Accent6 6 2 8 2" xfId="25833"/>
    <cellStyle name="20% - Accent6 6 2 9" xfId="25738"/>
    <cellStyle name="20% - Accent6 6 3" xfId="7895"/>
    <cellStyle name="20% - Accent6 6 3 2" xfId="7896"/>
    <cellStyle name="20% - Accent6 6 3 2 2" xfId="7897"/>
    <cellStyle name="20% - Accent6 6 3 2 2 2" xfId="7898"/>
    <cellStyle name="20% - Accent6 6 3 2 2 2 2" xfId="7899"/>
    <cellStyle name="20% - Accent6 6 3 2 2 2 2 2" xfId="7900"/>
    <cellStyle name="20% - Accent6 6 3 2 2 2 2 2 2" xfId="25839"/>
    <cellStyle name="20% - Accent6 6 3 2 2 2 2 3" xfId="25838"/>
    <cellStyle name="20% - Accent6 6 3 2 2 2 3" xfId="7901"/>
    <cellStyle name="20% - Accent6 6 3 2 2 2 3 2" xfId="25840"/>
    <cellStyle name="20% - Accent6 6 3 2 2 2 4" xfId="25837"/>
    <cellStyle name="20% - Accent6 6 3 2 2 3" xfId="7902"/>
    <cellStyle name="20% - Accent6 6 3 2 2 3 2" xfId="7903"/>
    <cellStyle name="20% - Accent6 6 3 2 2 3 2 2" xfId="25842"/>
    <cellStyle name="20% - Accent6 6 3 2 2 3 3" xfId="25841"/>
    <cellStyle name="20% - Accent6 6 3 2 2 4" xfId="7904"/>
    <cellStyle name="20% - Accent6 6 3 2 2 4 2" xfId="25843"/>
    <cellStyle name="20% - Accent6 6 3 2 2 5" xfId="25836"/>
    <cellStyle name="20% - Accent6 6 3 2 3" xfId="7905"/>
    <cellStyle name="20% - Accent6 6 3 2 3 2" xfId="7906"/>
    <cellStyle name="20% - Accent6 6 3 2 3 2 2" xfId="7907"/>
    <cellStyle name="20% - Accent6 6 3 2 3 2 2 2" xfId="7908"/>
    <cellStyle name="20% - Accent6 6 3 2 3 2 2 2 2" xfId="25847"/>
    <cellStyle name="20% - Accent6 6 3 2 3 2 2 3" xfId="25846"/>
    <cellStyle name="20% - Accent6 6 3 2 3 2 3" xfId="7909"/>
    <cellStyle name="20% - Accent6 6 3 2 3 2 3 2" xfId="25848"/>
    <cellStyle name="20% - Accent6 6 3 2 3 2 4" xfId="25845"/>
    <cellStyle name="20% - Accent6 6 3 2 3 3" xfId="7910"/>
    <cellStyle name="20% - Accent6 6 3 2 3 3 2" xfId="7911"/>
    <cellStyle name="20% - Accent6 6 3 2 3 3 2 2" xfId="25850"/>
    <cellStyle name="20% - Accent6 6 3 2 3 3 3" xfId="25849"/>
    <cellStyle name="20% - Accent6 6 3 2 3 4" xfId="7912"/>
    <cellStyle name="20% - Accent6 6 3 2 3 4 2" xfId="25851"/>
    <cellStyle name="20% - Accent6 6 3 2 3 5" xfId="25844"/>
    <cellStyle name="20% - Accent6 6 3 2 4" xfId="7913"/>
    <cellStyle name="20% - Accent6 6 3 2 4 2" xfId="7914"/>
    <cellStyle name="20% - Accent6 6 3 2 4 2 2" xfId="7915"/>
    <cellStyle name="20% - Accent6 6 3 2 4 2 2 2" xfId="25854"/>
    <cellStyle name="20% - Accent6 6 3 2 4 2 3" xfId="25853"/>
    <cellStyle name="20% - Accent6 6 3 2 4 3" xfId="7916"/>
    <cellStyle name="20% - Accent6 6 3 2 4 3 2" xfId="25855"/>
    <cellStyle name="20% - Accent6 6 3 2 4 4" xfId="25852"/>
    <cellStyle name="20% - Accent6 6 3 2 5" xfId="7917"/>
    <cellStyle name="20% - Accent6 6 3 2 5 2" xfId="7918"/>
    <cellStyle name="20% - Accent6 6 3 2 5 2 2" xfId="25857"/>
    <cellStyle name="20% - Accent6 6 3 2 5 3" xfId="25856"/>
    <cellStyle name="20% - Accent6 6 3 2 6" xfId="7919"/>
    <cellStyle name="20% - Accent6 6 3 2 6 2" xfId="25858"/>
    <cellStyle name="20% - Accent6 6 3 2 7" xfId="25835"/>
    <cellStyle name="20% - Accent6 6 3 3" xfId="7920"/>
    <cellStyle name="20% - Accent6 6 3 3 2" xfId="7921"/>
    <cellStyle name="20% - Accent6 6 3 3 2 2" xfId="7922"/>
    <cellStyle name="20% - Accent6 6 3 3 2 2 2" xfId="7923"/>
    <cellStyle name="20% - Accent6 6 3 3 2 2 2 2" xfId="25862"/>
    <cellStyle name="20% - Accent6 6 3 3 2 2 3" xfId="25861"/>
    <cellStyle name="20% - Accent6 6 3 3 2 3" xfId="7924"/>
    <cellStyle name="20% - Accent6 6 3 3 2 3 2" xfId="25863"/>
    <cellStyle name="20% - Accent6 6 3 3 2 4" xfId="25860"/>
    <cellStyle name="20% - Accent6 6 3 3 3" xfId="7925"/>
    <cellStyle name="20% - Accent6 6 3 3 3 2" xfId="7926"/>
    <cellStyle name="20% - Accent6 6 3 3 3 2 2" xfId="25865"/>
    <cellStyle name="20% - Accent6 6 3 3 3 3" xfId="25864"/>
    <cellStyle name="20% - Accent6 6 3 3 4" xfId="7927"/>
    <cellStyle name="20% - Accent6 6 3 3 4 2" xfId="25866"/>
    <cellStyle name="20% - Accent6 6 3 3 5" xfId="25859"/>
    <cellStyle name="20% - Accent6 6 3 4" xfId="7928"/>
    <cellStyle name="20% - Accent6 6 3 4 2" xfId="7929"/>
    <cellStyle name="20% - Accent6 6 3 4 2 2" xfId="7930"/>
    <cellStyle name="20% - Accent6 6 3 4 2 2 2" xfId="7931"/>
    <cellStyle name="20% - Accent6 6 3 4 2 2 2 2" xfId="25870"/>
    <cellStyle name="20% - Accent6 6 3 4 2 2 3" xfId="25869"/>
    <cellStyle name="20% - Accent6 6 3 4 2 3" xfId="7932"/>
    <cellStyle name="20% - Accent6 6 3 4 2 3 2" xfId="25871"/>
    <cellStyle name="20% - Accent6 6 3 4 2 4" xfId="25868"/>
    <cellStyle name="20% - Accent6 6 3 4 3" xfId="7933"/>
    <cellStyle name="20% - Accent6 6 3 4 3 2" xfId="7934"/>
    <cellStyle name="20% - Accent6 6 3 4 3 2 2" xfId="25873"/>
    <cellStyle name="20% - Accent6 6 3 4 3 3" xfId="25872"/>
    <cellStyle name="20% - Accent6 6 3 4 4" xfId="7935"/>
    <cellStyle name="20% - Accent6 6 3 4 4 2" xfId="25874"/>
    <cellStyle name="20% - Accent6 6 3 4 5" xfId="25867"/>
    <cellStyle name="20% - Accent6 6 3 5" xfId="7936"/>
    <cellStyle name="20% - Accent6 6 3 5 2" xfId="7937"/>
    <cellStyle name="20% - Accent6 6 3 5 2 2" xfId="7938"/>
    <cellStyle name="20% - Accent6 6 3 5 2 2 2" xfId="25877"/>
    <cellStyle name="20% - Accent6 6 3 5 2 3" xfId="25876"/>
    <cellStyle name="20% - Accent6 6 3 5 3" xfId="7939"/>
    <cellStyle name="20% - Accent6 6 3 5 3 2" xfId="25878"/>
    <cellStyle name="20% - Accent6 6 3 5 4" xfId="25875"/>
    <cellStyle name="20% - Accent6 6 3 6" xfId="7940"/>
    <cellStyle name="20% - Accent6 6 3 6 2" xfId="7941"/>
    <cellStyle name="20% - Accent6 6 3 6 2 2" xfId="25880"/>
    <cellStyle name="20% - Accent6 6 3 6 3" xfId="25879"/>
    <cellStyle name="20% - Accent6 6 3 7" xfId="7942"/>
    <cellStyle name="20% - Accent6 6 3 7 2" xfId="25881"/>
    <cellStyle name="20% - Accent6 6 3 8" xfId="25834"/>
    <cellStyle name="20% - Accent6 6 4" xfId="7943"/>
    <cellStyle name="20% - Accent6 6 4 2" xfId="7944"/>
    <cellStyle name="20% - Accent6 6 4 2 2" xfId="7945"/>
    <cellStyle name="20% - Accent6 6 4 2 2 2" xfId="7946"/>
    <cellStyle name="20% - Accent6 6 4 2 2 2 2" xfId="7947"/>
    <cellStyle name="20% - Accent6 6 4 2 2 2 2 2" xfId="25886"/>
    <cellStyle name="20% - Accent6 6 4 2 2 2 3" xfId="25885"/>
    <cellStyle name="20% - Accent6 6 4 2 2 3" xfId="7948"/>
    <cellStyle name="20% - Accent6 6 4 2 2 3 2" xfId="25887"/>
    <cellStyle name="20% - Accent6 6 4 2 2 4" xfId="25884"/>
    <cellStyle name="20% - Accent6 6 4 2 3" xfId="7949"/>
    <cellStyle name="20% - Accent6 6 4 2 3 2" xfId="7950"/>
    <cellStyle name="20% - Accent6 6 4 2 3 2 2" xfId="25889"/>
    <cellStyle name="20% - Accent6 6 4 2 3 3" xfId="25888"/>
    <cellStyle name="20% - Accent6 6 4 2 4" xfId="7951"/>
    <cellStyle name="20% - Accent6 6 4 2 4 2" xfId="25890"/>
    <cellStyle name="20% - Accent6 6 4 2 5" xfId="25883"/>
    <cellStyle name="20% - Accent6 6 4 3" xfId="7952"/>
    <cellStyle name="20% - Accent6 6 4 3 2" xfId="7953"/>
    <cellStyle name="20% - Accent6 6 4 3 2 2" xfId="7954"/>
    <cellStyle name="20% - Accent6 6 4 3 2 2 2" xfId="7955"/>
    <cellStyle name="20% - Accent6 6 4 3 2 2 2 2" xfId="25894"/>
    <cellStyle name="20% - Accent6 6 4 3 2 2 3" xfId="25893"/>
    <cellStyle name="20% - Accent6 6 4 3 2 3" xfId="7956"/>
    <cellStyle name="20% - Accent6 6 4 3 2 3 2" xfId="25895"/>
    <cellStyle name="20% - Accent6 6 4 3 2 4" xfId="25892"/>
    <cellStyle name="20% - Accent6 6 4 3 3" xfId="7957"/>
    <cellStyle name="20% - Accent6 6 4 3 3 2" xfId="7958"/>
    <cellStyle name="20% - Accent6 6 4 3 3 2 2" xfId="25897"/>
    <cellStyle name="20% - Accent6 6 4 3 3 3" xfId="25896"/>
    <cellStyle name="20% - Accent6 6 4 3 4" xfId="7959"/>
    <cellStyle name="20% - Accent6 6 4 3 4 2" xfId="25898"/>
    <cellStyle name="20% - Accent6 6 4 3 5" xfId="25891"/>
    <cellStyle name="20% - Accent6 6 4 4" xfId="7960"/>
    <cellStyle name="20% - Accent6 6 4 4 2" xfId="7961"/>
    <cellStyle name="20% - Accent6 6 4 4 2 2" xfId="7962"/>
    <cellStyle name="20% - Accent6 6 4 4 2 2 2" xfId="25901"/>
    <cellStyle name="20% - Accent6 6 4 4 2 3" xfId="25900"/>
    <cellStyle name="20% - Accent6 6 4 4 3" xfId="7963"/>
    <cellStyle name="20% - Accent6 6 4 4 3 2" xfId="25902"/>
    <cellStyle name="20% - Accent6 6 4 4 4" xfId="25899"/>
    <cellStyle name="20% - Accent6 6 4 5" xfId="7964"/>
    <cellStyle name="20% - Accent6 6 4 5 2" xfId="7965"/>
    <cellStyle name="20% - Accent6 6 4 5 2 2" xfId="25904"/>
    <cellStyle name="20% - Accent6 6 4 5 3" xfId="25903"/>
    <cellStyle name="20% - Accent6 6 4 6" xfId="7966"/>
    <cellStyle name="20% - Accent6 6 4 6 2" xfId="25905"/>
    <cellStyle name="20% - Accent6 6 4 7" xfId="25882"/>
    <cellStyle name="20% - Accent6 6 5" xfId="7967"/>
    <cellStyle name="20% - Accent6 6 5 2" xfId="7968"/>
    <cellStyle name="20% - Accent6 6 5 2 2" xfId="7969"/>
    <cellStyle name="20% - Accent6 6 5 2 2 2" xfId="7970"/>
    <cellStyle name="20% - Accent6 6 5 2 2 2 2" xfId="25909"/>
    <cellStyle name="20% - Accent6 6 5 2 2 3" xfId="25908"/>
    <cellStyle name="20% - Accent6 6 5 2 3" xfId="7971"/>
    <cellStyle name="20% - Accent6 6 5 2 3 2" xfId="25910"/>
    <cellStyle name="20% - Accent6 6 5 2 4" xfId="25907"/>
    <cellStyle name="20% - Accent6 6 5 3" xfId="7972"/>
    <cellStyle name="20% - Accent6 6 5 3 2" xfId="7973"/>
    <cellStyle name="20% - Accent6 6 5 3 2 2" xfId="25912"/>
    <cellStyle name="20% - Accent6 6 5 3 3" xfId="25911"/>
    <cellStyle name="20% - Accent6 6 5 4" xfId="7974"/>
    <cellStyle name="20% - Accent6 6 5 4 2" xfId="25913"/>
    <cellStyle name="20% - Accent6 6 5 5" xfId="25906"/>
    <cellStyle name="20% - Accent6 6 6" xfId="7975"/>
    <cellStyle name="20% - Accent6 6 6 2" xfId="7976"/>
    <cellStyle name="20% - Accent6 6 6 2 2" xfId="7977"/>
    <cellStyle name="20% - Accent6 6 6 2 2 2" xfId="7978"/>
    <cellStyle name="20% - Accent6 6 6 2 2 2 2" xfId="25917"/>
    <cellStyle name="20% - Accent6 6 6 2 2 3" xfId="25916"/>
    <cellStyle name="20% - Accent6 6 6 2 3" xfId="7979"/>
    <cellStyle name="20% - Accent6 6 6 2 3 2" xfId="25918"/>
    <cellStyle name="20% - Accent6 6 6 2 4" xfId="25915"/>
    <cellStyle name="20% - Accent6 6 6 3" xfId="7980"/>
    <cellStyle name="20% - Accent6 6 6 3 2" xfId="7981"/>
    <cellStyle name="20% - Accent6 6 6 3 2 2" xfId="25920"/>
    <cellStyle name="20% - Accent6 6 6 3 3" xfId="25919"/>
    <cellStyle name="20% - Accent6 6 6 4" xfId="7982"/>
    <cellStyle name="20% - Accent6 6 6 4 2" xfId="25921"/>
    <cellStyle name="20% - Accent6 6 6 5" xfId="25914"/>
    <cellStyle name="20% - Accent6 6 7" xfId="7983"/>
    <cellStyle name="20% - Accent6 6 7 2" xfId="7984"/>
    <cellStyle name="20% - Accent6 6 7 2 2" xfId="7985"/>
    <cellStyle name="20% - Accent6 6 7 2 2 2" xfId="25924"/>
    <cellStyle name="20% - Accent6 6 7 2 3" xfId="25923"/>
    <cellStyle name="20% - Accent6 6 7 3" xfId="7986"/>
    <cellStyle name="20% - Accent6 6 7 3 2" xfId="25925"/>
    <cellStyle name="20% - Accent6 6 7 4" xfId="25922"/>
    <cellStyle name="20% - Accent6 6 8" xfId="7987"/>
    <cellStyle name="20% - Accent6 6 8 2" xfId="7988"/>
    <cellStyle name="20% - Accent6 6 8 2 2" xfId="25927"/>
    <cellStyle name="20% - Accent6 6 8 3" xfId="25926"/>
    <cellStyle name="20% - Accent6 6 9" xfId="7989"/>
    <cellStyle name="20% - Accent6 6 9 2" xfId="25928"/>
    <cellStyle name="20% - Accent6 7" xfId="7990"/>
    <cellStyle name="20% - Accent6 7 10" xfId="25929"/>
    <cellStyle name="20% - Accent6 7 2" xfId="7991"/>
    <cellStyle name="20% - Accent6 7 2 2" xfId="7992"/>
    <cellStyle name="20% - Accent6 7 2 2 2" xfId="7993"/>
    <cellStyle name="20% - Accent6 7 2 2 2 2" xfId="7994"/>
    <cellStyle name="20% - Accent6 7 2 2 2 2 2" xfId="7995"/>
    <cellStyle name="20% - Accent6 7 2 2 2 2 2 2" xfId="7996"/>
    <cellStyle name="20% - Accent6 7 2 2 2 2 2 2 2" xfId="7997"/>
    <cellStyle name="20% - Accent6 7 2 2 2 2 2 2 2 2" xfId="25936"/>
    <cellStyle name="20% - Accent6 7 2 2 2 2 2 2 3" xfId="25935"/>
    <cellStyle name="20% - Accent6 7 2 2 2 2 2 3" xfId="7998"/>
    <cellStyle name="20% - Accent6 7 2 2 2 2 2 3 2" xfId="25937"/>
    <cellStyle name="20% - Accent6 7 2 2 2 2 2 4" xfId="25934"/>
    <cellStyle name="20% - Accent6 7 2 2 2 2 3" xfId="7999"/>
    <cellStyle name="20% - Accent6 7 2 2 2 2 3 2" xfId="8000"/>
    <cellStyle name="20% - Accent6 7 2 2 2 2 3 2 2" xfId="25939"/>
    <cellStyle name="20% - Accent6 7 2 2 2 2 3 3" xfId="25938"/>
    <cellStyle name="20% - Accent6 7 2 2 2 2 4" xfId="8001"/>
    <cellStyle name="20% - Accent6 7 2 2 2 2 4 2" xfId="25940"/>
    <cellStyle name="20% - Accent6 7 2 2 2 2 5" xfId="25933"/>
    <cellStyle name="20% - Accent6 7 2 2 2 3" xfId="8002"/>
    <cellStyle name="20% - Accent6 7 2 2 2 3 2" xfId="8003"/>
    <cellStyle name="20% - Accent6 7 2 2 2 3 2 2" xfId="8004"/>
    <cellStyle name="20% - Accent6 7 2 2 2 3 2 2 2" xfId="8005"/>
    <cellStyle name="20% - Accent6 7 2 2 2 3 2 2 2 2" xfId="25944"/>
    <cellStyle name="20% - Accent6 7 2 2 2 3 2 2 3" xfId="25943"/>
    <cellStyle name="20% - Accent6 7 2 2 2 3 2 3" xfId="8006"/>
    <cellStyle name="20% - Accent6 7 2 2 2 3 2 3 2" xfId="25945"/>
    <cellStyle name="20% - Accent6 7 2 2 2 3 2 4" xfId="25942"/>
    <cellStyle name="20% - Accent6 7 2 2 2 3 3" xfId="8007"/>
    <cellStyle name="20% - Accent6 7 2 2 2 3 3 2" xfId="8008"/>
    <cellStyle name="20% - Accent6 7 2 2 2 3 3 2 2" xfId="25947"/>
    <cellStyle name="20% - Accent6 7 2 2 2 3 3 3" xfId="25946"/>
    <cellStyle name="20% - Accent6 7 2 2 2 3 4" xfId="8009"/>
    <cellStyle name="20% - Accent6 7 2 2 2 3 4 2" xfId="25948"/>
    <cellStyle name="20% - Accent6 7 2 2 2 3 5" xfId="25941"/>
    <cellStyle name="20% - Accent6 7 2 2 2 4" xfId="8010"/>
    <cellStyle name="20% - Accent6 7 2 2 2 4 2" xfId="8011"/>
    <cellStyle name="20% - Accent6 7 2 2 2 4 2 2" xfId="8012"/>
    <cellStyle name="20% - Accent6 7 2 2 2 4 2 2 2" xfId="25951"/>
    <cellStyle name="20% - Accent6 7 2 2 2 4 2 3" xfId="25950"/>
    <cellStyle name="20% - Accent6 7 2 2 2 4 3" xfId="8013"/>
    <cellStyle name="20% - Accent6 7 2 2 2 4 3 2" xfId="25952"/>
    <cellStyle name="20% - Accent6 7 2 2 2 4 4" xfId="25949"/>
    <cellStyle name="20% - Accent6 7 2 2 2 5" xfId="8014"/>
    <cellStyle name="20% - Accent6 7 2 2 2 5 2" xfId="8015"/>
    <cellStyle name="20% - Accent6 7 2 2 2 5 2 2" xfId="25954"/>
    <cellStyle name="20% - Accent6 7 2 2 2 5 3" xfId="25953"/>
    <cellStyle name="20% - Accent6 7 2 2 2 6" xfId="8016"/>
    <cellStyle name="20% - Accent6 7 2 2 2 6 2" xfId="25955"/>
    <cellStyle name="20% - Accent6 7 2 2 2 7" xfId="25932"/>
    <cellStyle name="20% - Accent6 7 2 2 3" xfId="8017"/>
    <cellStyle name="20% - Accent6 7 2 2 3 2" xfId="8018"/>
    <cellStyle name="20% - Accent6 7 2 2 3 2 2" xfId="8019"/>
    <cellStyle name="20% - Accent6 7 2 2 3 2 2 2" xfId="8020"/>
    <cellStyle name="20% - Accent6 7 2 2 3 2 2 2 2" xfId="25959"/>
    <cellStyle name="20% - Accent6 7 2 2 3 2 2 3" xfId="25958"/>
    <cellStyle name="20% - Accent6 7 2 2 3 2 3" xfId="8021"/>
    <cellStyle name="20% - Accent6 7 2 2 3 2 3 2" xfId="25960"/>
    <cellStyle name="20% - Accent6 7 2 2 3 2 4" xfId="25957"/>
    <cellStyle name="20% - Accent6 7 2 2 3 3" xfId="8022"/>
    <cellStyle name="20% - Accent6 7 2 2 3 3 2" xfId="8023"/>
    <cellStyle name="20% - Accent6 7 2 2 3 3 2 2" xfId="25962"/>
    <cellStyle name="20% - Accent6 7 2 2 3 3 3" xfId="25961"/>
    <cellStyle name="20% - Accent6 7 2 2 3 4" xfId="8024"/>
    <cellStyle name="20% - Accent6 7 2 2 3 4 2" xfId="25963"/>
    <cellStyle name="20% - Accent6 7 2 2 3 5" xfId="25956"/>
    <cellStyle name="20% - Accent6 7 2 2 4" xfId="8025"/>
    <cellStyle name="20% - Accent6 7 2 2 4 2" xfId="8026"/>
    <cellStyle name="20% - Accent6 7 2 2 4 2 2" xfId="8027"/>
    <cellStyle name="20% - Accent6 7 2 2 4 2 2 2" xfId="8028"/>
    <cellStyle name="20% - Accent6 7 2 2 4 2 2 2 2" xfId="25967"/>
    <cellStyle name="20% - Accent6 7 2 2 4 2 2 3" xfId="25966"/>
    <cellStyle name="20% - Accent6 7 2 2 4 2 3" xfId="8029"/>
    <cellStyle name="20% - Accent6 7 2 2 4 2 3 2" xfId="25968"/>
    <cellStyle name="20% - Accent6 7 2 2 4 2 4" xfId="25965"/>
    <cellStyle name="20% - Accent6 7 2 2 4 3" xfId="8030"/>
    <cellStyle name="20% - Accent6 7 2 2 4 3 2" xfId="8031"/>
    <cellStyle name="20% - Accent6 7 2 2 4 3 2 2" xfId="25970"/>
    <cellStyle name="20% - Accent6 7 2 2 4 3 3" xfId="25969"/>
    <cellStyle name="20% - Accent6 7 2 2 4 4" xfId="8032"/>
    <cellStyle name="20% - Accent6 7 2 2 4 4 2" xfId="25971"/>
    <cellStyle name="20% - Accent6 7 2 2 4 5" xfId="25964"/>
    <cellStyle name="20% - Accent6 7 2 2 5" xfId="8033"/>
    <cellStyle name="20% - Accent6 7 2 2 5 2" xfId="8034"/>
    <cellStyle name="20% - Accent6 7 2 2 5 2 2" xfId="8035"/>
    <cellStyle name="20% - Accent6 7 2 2 5 2 2 2" xfId="25974"/>
    <cellStyle name="20% - Accent6 7 2 2 5 2 3" xfId="25973"/>
    <cellStyle name="20% - Accent6 7 2 2 5 3" xfId="8036"/>
    <cellStyle name="20% - Accent6 7 2 2 5 3 2" xfId="25975"/>
    <cellStyle name="20% - Accent6 7 2 2 5 4" xfId="25972"/>
    <cellStyle name="20% - Accent6 7 2 2 6" xfId="8037"/>
    <cellStyle name="20% - Accent6 7 2 2 6 2" xfId="8038"/>
    <cellStyle name="20% - Accent6 7 2 2 6 2 2" xfId="25977"/>
    <cellStyle name="20% - Accent6 7 2 2 6 3" xfId="25976"/>
    <cellStyle name="20% - Accent6 7 2 2 7" xfId="8039"/>
    <cellStyle name="20% - Accent6 7 2 2 7 2" xfId="25978"/>
    <cellStyle name="20% - Accent6 7 2 2 8" xfId="25931"/>
    <cellStyle name="20% - Accent6 7 2 3" xfId="8040"/>
    <cellStyle name="20% - Accent6 7 2 3 2" xfId="8041"/>
    <cellStyle name="20% - Accent6 7 2 3 2 2" xfId="8042"/>
    <cellStyle name="20% - Accent6 7 2 3 2 2 2" xfId="8043"/>
    <cellStyle name="20% - Accent6 7 2 3 2 2 2 2" xfId="8044"/>
    <cellStyle name="20% - Accent6 7 2 3 2 2 2 2 2" xfId="25983"/>
    <cellStyle name="20% - Accent6 7 2 3 2 2 2 3" xfId="25982"/>
    <cellStyle name="20% - Accent6 7 2 3 2 2 3" xfId="8045"/>
    <cellStyle name="20% - Accent6 7 2 3 2 2 3 2" xfId="25984"/>
    <cellStyle name="20% - Accent6 7 2 3 2 2 4" xfId="25981"/>
    <cellStyle name="20% - Accent6 7 2 3 2 3" xfId="8046"/>
    <cellStyle name="20% - Accent6 7 2 3 2 3 2" xfId="8047"/>
    <cellStyle name="20% - Accent6 7 2 3 2 3 2 2" xfId="25986"/>
    <cellStyle name="20% - Accent6 7 2 3 2 3 3" xfId="25985"/>
    <cellStyle name="20% - Accent6 7 2 3 2 4" xfId="8048"/>
    <cellStyle name="20% - Accent6 7 2 3 2 4 2" xfId="25987"/>
    <cellStyle name="20% - Accent6 7 2 3 2 5" xfId="25980"/>
    <cellStyle name="20% - Accent6 7 2 3 3" xfId="8049"/>
    <cellStyle name="20% - Accent6 7 2 3 3 2" xfId="8050"/>
    <cellStyle name="20% - Accent6 7 2 3 3 2 2" xfId="8051"/>
    <cellStyle name="20% - Accent6 7 2 3 3 2 2 2" xfId="8052"/>
    <cellStyle name="20% - Accent6 7 2 3 3 2 2 2 2" xfId="25991"/>
    <cellStyle name="20% - Accent6 7 2 3 3 2 2 3" xfId="25990"/>
    <cellStyle name="20% - Accent6 7 2 3 3 2 3" xfId="8053"/>
    <cellStyle name="20% - Accent6 7 2 3 3 2 3 2" xfId="25992"/>
    <cellStyle name="20% - Accent6 7 2 3 3 2 4" xfId="25989"/>
    <cellStyle name="20% - Accent6 7 2 3 3 3" xfId="8054"/>
    <cellStyle name="20% - Accent6 7 2 3 3 3 2" xfId="8055"/>
    <cellStyle name="20% - Accent6 7 2 3 3 3 2 2" xfId="25994"/>
    <cellStyle name="20% - Accent6 7 2 3 3 3 3" xfId="25993"/>
    <cellStyle name="20% - Accent6 7 2 3 3 4" xfId="8056"/>
    <cellStyle name="20% - Accent6 7 2 3 3 4 2" xfId="25995"/>
    <cellStyle name="20% - Accent6 7 2 3 3 5" xfId="25988"/>
    <cellStyle name="20% - Accent6 7 2 3 4" xfId="8057"/>
    <cellStyle name="20% - Accent6 7 2 3 4 2" xfId="8058"/>
    <cellStyle name="20% - Accent6 7 2 3 4 2 2" xfId="8059"/>
    <cellStyle name="20% - Accent6 7 2 3 4 2 2 2" xfId="25998"/>
    <cellStyle name="20% - Accent6 7 2 3 4 2 3" xfId="25997"/>
    <cellStyle name="20% - Accent6 7 2 3 4 3" xfId="8060"/>
    <cellStyle name="20% - Accent6 7 2 3 4 3 2" xfId="25999"/>
    <cellStyle name="20% - Accent6 7 2 3 4 4" xfId="25996"/>
    <cellStyle name="20% - Accent6 7 2 3 5" xfId="8061"/>
    <cellStyle name="20% - Accent6 7 2 3 5 2" xfId="8062"/>
    <cellStyle name="20% - Accent6 7 2 3 5 2 2" xfId="26001"/>
    <cellStyle name="20% - Accent6 7 2 3 5 3" xfId="26000"/>
    <cellStyle name="20% - Accent6 7 2 3 6" xfId="8063"/>
    <cellStyle name="20% - Accent6 7 2 3 6 2" xfId="26002"/>
    <cellStyle name="20% - Accent6 7 2 3 7" xfId="25979"/>
    <cellStyle name="20% - Accent6 7 2 4" xfId="8064"/>
    <cellStyle name="20% - Accent6 7 2 4 2" xfId="8065"/>
    <cellStyle name="20% - Accent6 7 2 4 2 2" xfId="8066"/>
    <cellStyle name="20% - Accent6 7 2 4 2 2 2" xfId="8067"/>
    <cellStyle name="20% - Accent6 7 2 4 2 2 2 2" xfId="26006"/>
    <cellStyle name="20% - Accent6 7 2 4 2 2 3" xfId="26005"/>
    <cellStyle name="20% - Accent6 7 2 4 2 3" xfId="8068"/>
    <cellStyle name="20% - Accent6 7 2 4 2 3 2" xfId="26007"/>
    <cellStyle name="20% - Accent6 7 2 4 2 4" xfId="26004"/>
    <cellStyle name="20% - Accent6 7 2 4 3" xfId="8069"/>
    <cellStyle name="20% - Accent6 7 2 4 3 2" xfId="8070"/>
    <cellStyle name="20% - Accent6 7 2 4 3 2 2" xfId="26009"/>
    <cellStyle name="20% - Accent6 7 2 4 3 3" xfId="26008"/>
    <cellStyle name="20% - Accent6 7 2 4 4" xfId="8071"/>
    <cellStyle name="20% - Accent6 7 2 4 4 2" xfId="26010"/>
    <cellStyle name="20% - Accent6 7 2 4 5" xfId="26003"/>
    <cellStyle name="20% - Accent6 7 2 5" xfId="8072"/>
    <cellStyle name="20% - Accent6 7 2 5 2" xfId="8073"/>
    <cellStyle name="20% - Accent6 7 2 5 2 2" xfId="8074"/>
    <cellStyle name="20% - Accent6 7 2 5 2 2 2" xfId="8075"/>
    <cellStyle name="20% - Accent6 7 2 5 2 2 2 2" xfId="26014"/>
    <cellStyle name="20% - Accent6 7 2 5 2 2 3" xfId="26013"/>
    <cellStyle name="20% - Accent6 7 2 5 2 3" xfId="8076"/>
    <cellStyle name="20% - Accent6 7 2 5 2 3 2" xfId="26015"/>
    <cellStyle name="20% - Accent6 7 2 5 2 4" xfId="26012"/>
    <cellStyle name="20% - Accent6 7 2 5 3" xfId="8077"/>
    <cellStyle name="20% - Accent6 7 2 5 3 2" xfId="8078"/>
    <cellStyle name="20% - Accent6 7 2 5 3 2 2" xfId="26017"/>
    <cellStyle name="20% - Accent6 7 2 5 3 3" xfId="26016"/>
    <cellStyle name="20% - Accent6 7 2 5 4" xfId="8079"/>
    <cellStyle name="20% - Accent6 7 2 5 4 2" xfId="26018"/>
    <cellStyle name="20% - Accent6 7 2 5 5" xfId="26011"/>
    <cellStyle name="20% - Accent6 7 2 6" xfId="8080"/>
    <cellStyle name="20% - Accent6 7 2 6 2" xfId="8081"/>
    <cellStyle name="20% - Accent6 7 2 6 2 2" xfId="8082"/>
    <cellStyle name="20% - Accent6 7 2 6 2 2 2" xfId="26021"/>
    <cellStyle name="20% - Accent6 7 2 6 2 3" xfId="26020"/>
    <cellStyle name="20% - Accent6 7 2 6 3" xfId="8083"/>
    <cellStyle name="20% - Accent6 7 2 6 3 2" xfId="26022"/>
    <cellStyle name="20% - Accent6 7 2 6 4" xfId="26019"/>
    <cellStyle name="20% - Accent6 7 2 7" xfId="8084"/>
    <cellStyle name="20% - Accent6 7 2 7 2" xfId="8085"/>
    <cellStyle name="20% - Accent6 7 2 7 2 2" xfId="26024"/>
    <cellStyle name="20% - Accent6 7 2 7 3" xfId="26023"/>
    <cellStyle name="20% - Accent6 7 2 8" xfId="8086"/>
    <cellStyle name="20% - Accent6 7 2 8 2" xfId="26025"/>
    <cellStyle name="20% - Accent6 7 2 9" xfId="25930"/>
    <cellStyle name="20% - Accent6 7 3" xfId="8087"/>
    <cellStyle name="20% - Accent6 7 3 2" xfId="8088"/>
    <cellStyle name="20% - Accent6 7 3 2 2" xfId="8089"/>
    <cellStyle name="20% - Accent6 7 3 2 2 2" xfId="8090"/>
    <cellStyle name="20% - Accent6 7 3 2 2 2 2" xfId="8091"/>
    <cellStyle name="20% - Accent6 7 3 2 2 2 2 2" xfId="8092"/>
    <cellStyle name="20% - Accent6 7 3 2 2 2 2 2 2" xfId="26031"/>
    <cellStyle name="20% - Accent6 7 3 2 2 2 2 3" xfId="26030"/>
    <cellStyle name="20% - Accent6 7 3 2 2 2 3" xfId="8093"/>
    <cellStyle name="20% - Accent6 7 3 2 2 2 3 2" xfId="26032"/>
    <cellStyle name="20% - Accent6 7 3 2 2 2 4" xfId="26029"/>
    <cellStyle name="20% - Accent6 7 3 2 2 3" xfId="8094"/>
    <cellStyle name="20% - Accent6 7 3 2 2 3 2" xfId="8095"/>
    <cellStyle name="20% - Accent6 7 3 2 2 3 2 2" xfId="26034"/>
    <cellStyle name="20% - Accent6 7 3 2 2 3 3" xfId="26033"/>
    <cellStyle name="20% - Accent6 7 3 2 2 4" xfId="8096"/>
    <cellStyle name="20% - Accent6 7 3 2 2 4 2" xfId="26035"/>
    <cellStyle name="20% - Accent6 7 3 2 2 5" xfId="26028"/>
    <cellStyle name="20% - Accent6 7 3 2 3" xfId="8097"/>
    <cellStyle name="20% - Accent6 7 3 2 3 2" xfId="8098"/>
    <cellStyle name="20% - Accent6 7 3 2 3 2 2" xfId="8099"/>
    <cellStyle name="20% - Accent6 7 3 2 3 2 2 2" xfId="8100"/>
    <cellStyle name="20% - Accent6 7 3 2 3 2 2 2 2" xfId="26039"/>
    <cellStyle name="20% - Accent6 7 3 2 3 2 2 3" xfId="26038"/>
    <cellStyle name="20% - Accent6 7 3 2 3 2 3" xfId="8101"/>
    <cellStyle name="20% - Accent6 7 3 2 3 2 3 2" xfId="26040"/>
    <cellStyle name="20% - Accent6 7 3 2 3 2 4" xfId="26037"/>
    <cellStyle name="20% - Accent6 7 3 2 3 3" xfId="8102"/>
    <cellStyle name="20% - Accent6 7 3 2 3 3 2" xfId="8103"/>
    <cellStyle name="20% - Accent6 7 3 2 3 3 2 2" xfId="26042"/>
    <cellStyle name="20% - Accent6 7 3 2 3 3 3" xfId="26041"/>
    <cellStyle name="20% - Accent6 7 3 2 3 4" xfId="8104"/>
    <cellStyle name="20% - Accent6 7 3 2 3 4 2" xfId="26043"/>
    <cellStyle name="20% - Accent6 7 3 2 3 5" xfId="26036"/>
    <cellStyle name="20% - Accent6 7 3 2 4" xfId="8105"/>
    <cellStyle name="20% - Accent6 7 3 2 4 2" xfId="8106"/>
    <cellStyle name="20% - Accent6 7 3 2 4 2 2" xfId="8107"/>
    <cellStyle name="20% - Accent6 7 3 2 4 2 2 2" xfId="26046"/>
    <cellStyle name="20% - Accent6 7 3 2 4 2 3" xfId="26045"/>
    <cellStyle name="20% - Accent6 7 3 2 4 3" xfId="8108"/>
    <cellStyle name="20% - Accent6 7 3 2 4 3 2" xfId="26047"/>
    <cellStyle name="20% - Accent6 7 3 2 4 4" xfId="26044"/>
    <cellStyle name="20% - Accent6 7 3 2 5" xfId="8109"/>
    <cellStyle name="20% - Accent6 7 3 2 5 2" xfId="8110"/>
    <cellStyle name="20% - Accent6 7 3 2 5 2 2" xfId="26049"/>
    <cellStyle name="20% - Accent6 7 3 2 5 3" xfId="26048"/>
    <cellStyle name="20% - Accent6 7 3 2 6" xfId="8111"/>
    <cellStyle name="20% - Accent6 7 3 2 6 2" xfId="26050"/>
    <cellStyle name="20% - Accent6 7 3 2 7" xfId="26027"/>
    <cellStyle name="20% - Accent6 7 3 3" xfId="8112"/>
    <cellStyle name="20% - Accent6 7 3 3 2" xfId="8113"/>
    <cellStyle name="20% - Accent6 7 3 3 2 2" xfId="8114"/>
    <cellStyle name="20% - Accent6 7 3 3 2 2 2" xfId="8115"/>
    <cellStyle name="20% - Accent6 7 3 3 2 2 2 2" xfId="26054"/>
    <cellStyle name="20% - Accent6 7 3 3 2 2 3" xfId="26053"/>
    <cellStyle name="20% - Accent6 7 3 3 2 3" xfId="8116"/>
    <cellStyle name="20% - Accent6 7 3 3 2 3 2" xfId="26055"/>
    <cellStyle name="20% - Accent6 7 3 3 2 4" xfId="26052"/>
    <cellStyle name="20% - Accent6 7 3 3 3" xfId="8117"/>
    <cellStyle name="20% - Accent6 7 3 3 3 2" xfId="8118"/>
    <cellStyle name="20% - Accent6 7 3 3 3 2 2" xfId="26057"/>
    <cellStyle name="20% - Accent6 7 3 3 3 3" xfId="26056"/>
    <cellStyle name="20% - Accent6 7 3 3 4" xfId="8119"/>
    <cellStyle name="20% - Accent6 7 3 3 4 2" xfId="26058"/>
    <cellStyle name="20% - Accent6 7 3 3 5" xfId="26051"/>
    <cellStyle name="20% - Accent6 7 3 4" xfId="8120"/>
    <cellStyle name="20% - Accent6 7 3 4 2" xfId="8121"/>
    <cellStyle name="20% - Accent6 7 3 4 2 2" xfId="8122"/>
    <cellStyle name="20% - Accent6 7 3 4 2 2 2" xfId="8123"/>
    <cellStyle name="20% - Accent6 7 3 4 2 2 2 2" xfId="26062"/>
    <cellStyle name="20% - Accent6 7 3 4 2 2 3" xfId="26061"/>
    <cellStyle name="20% - Accent6 7 3 4 2 3" xfId="8124"/>
    <cellStyle name="20% - Accent6 7 3 4 2 3 2" xfId="26063"/>
    <cellStyle name="20% - Accent6 7 3 4 2 4" xfId="26060"/>
    <cellStyle name="20% - Accent6 7 3 4 3" xfId="8125"/>
    <cellStyle name="20% - Accent6 7 3 4 3 2" xfId="8126"/>
    <cellStyle name="20% - Accent6 7 3 4 3 2 2" xfId="26065"/>
    <cellStyle name="20% - Accent6 7 3 4 3 3" xfId="26064"/>
    <cellStyle name="20% - Accent6 7 3 4 4" xfId="8127"/>
    <cellStyle name="20% - Accent6 7 3 4 4 2" xfId="26066"/>
    <cellStyle name="20% - Accent6 7 3 4 5" xfId="26059"/>
    <cellStyle name="20% - Accent6 7 3 5" xfId="8128"/>
    <cellStyle name="20% - Accent6 7 3 5 2" xfId="8129"/>
    <cellStyle name="20% - Accent6 7 3 5 2 2" xfId="8130"/>
    <cellStyle name="20% - Accent6 7 3 5 2 2 2" xfId="26069"/>
    <cellStyle name="20% - Accent6 7 3 5 2 3" xfId="26068"/>
    <cellStyle name="20% - Accent6 7 3 5 3" xfId="8131"/>
    <cellStyle name="20% - Accent6 7 3 5 3 2" xfId="26070"/>
    <cellStyle name="20% - Accent6 7 3 5 4" xfId="26067"/>
    <cellStyle name="20% - Accent6 7 3 6" xfId="8132"/>
    <cellStyle name="20% - Accent6 7 3 6 2" xfId="8133"/>
    <cellStyle name="20% - Accent6 7 3 6 2 2" xfId="26072"/>
    <cellStyle name="20% - Accent6 7 3 6 3" xfId="26071"/>
    <cellStyle name="20% - Accent6 7 3 7" xfId="8134"/>
    <cellStyle name="20% - Accent6 7 3 7 2" xfId="26073"/>
    <cellStyle name="20% - Accent6 7 3 8" xfId="26026"/>
    <cellStyle name="20% - Accent6 7 4" xfId="8135"/>
    <cellStyle name="20% - Accent6 7 4 2" xfId="8136"/>
    <cellStyle name="20% - Accent6 7 4 2 2" xfId="8137"/>
    <cellStyle name="20% - Accent6 7 4 2 2 2" xfId="8138"/>
    <cellStyle name="20% - Accent6 7 4 2 2 2 2" xfId="8139"/>
    <cellStyle name="20% - Accent6 7 4 2 2 2 2 2" xfId="26078"/>
    <cellStyle name="20% - Accent6 7 4 2 2 2 3" xfId="26077"/>
    <cellStyle name="20% - Accent6 7 4 2 2 3" xfId="8140"/>
    <cellStyle name="20% - Accent6 7 4 2 2 3 2" xfId="26079"/>
    <cellStyle name="20% - Accent6 7 4 2 2 4" xfId="26076"/>
    <cellStyle name="20% - Accent6 7 4 2 3" xfId="8141"/>
    <cellStyle name="20% - Accent6 7 4 2 3 2" xfId="8142"/>
    <cellStyle name="20% - Accent6 7 4 2 3 2 2" xfId="26081"/>
    <cellStyle name="20% - Accent6 7 4 2 3 3" xfId="26080"/>
    <cellStyle name="20% - Accent6 7 4 2 4" xfId="8143"/>
    <cellStyle name="20% - Accent6 7 4 2 4 2" xfId="26082"/>
    <cellStyle name="20% - Accent6 7 4 2 5" xfId="26075"/>
    <cellStyle name="20% - Accent6 7 4 3" xfId="8144"/>
    <cellStyle name="20% - Accent6 7 4 3 2" xfId="8145"/>
    <cellStyle name="20% - Accent6 7 4 3 2 2" xfId="8146"/>
    <cellStyle name="20% - Accent6 7 4 3 2 2 2" xfId="8147"/>
    <cellStyle name="20% - Accent6 7 4 3 2 2 2 2" xfId="26086"/>
    <cellStyle name="20% - Accent6 7 4 3 2 2 3" xfId="26085"/>
    <cellStyle name="20% - Accent6 7 4 3 2 3" xfId="8148"/>
    <cellStyle name="20% - Accent6 7 4 3 2 3 2" xfId="26087"/>
    <cellStyle name="20% - Accent6 7 4 3 2 4" xfId="26084"/>
    <cellStyle name="20% - Accent6 7 4 3 3" xfId="8149"/>
    <cellStyle name="20% - Accent6 7 4 3 3 2" xfId="8150"/>
    <cellStyle name="20% - Accent6 7 4 3 3 2 2" xfId="26089"/>
    <cellStyle name="20% - Accent6 7 4 3 3 3" xfId="26088"/>
    <cellStyle name="20% - Accent6 7 4 3 4" xfId="8151"/>
    <cellStyle name="20% - Accent6 7 4 3 4 2" xfId="26090"/>
    <cellStyle name="20% - Accent6 7 4 3 5" xfId="26083"/>
    <cellStyle name="20% - Accent6 7 4 4" xfId="8152"/>
    <cellStyle name="20% - Accent6 7 4 4 2" xfId="8153"/>
    <cellStyle name="20% - Accent6 7 4 4 2 2" xfId="8154"/>
    <cellStyle name="20% - Accent6 7 4 4 2 2 2" xfId="26093"/>
    <cellStyle name="20% - Accent6 7 4 4 2 3" xfId="26092"/>
    <cellStyle name="20% - Accent6 7 4 4 3" xfId="8155"/>
    <cellStyle name="20% - Accent6 7 4 4 3 2" xfId="26094"/>
    <cellStyle name="20% - Accent6 7 4 4 4" xfId="26091"/>
    <cellStyle name="20% - Accent6 7 4 5" xfId="8156"/>
    <cellStyle name="20% - Accent6 7 4 5 2" xfId="8157"/>
    <cellStyle name="20% - Accent6 7 4 5 2 2" xfId="26096"/>
    <cellStyle name="20% - Accent6 7 4 5 3" xfId="26095"/>
    <cellStyle name="20% - Accent6 7 4 6" xfId="8158"/>
    <cellStyle name="20% - Accent6 7 4 6 2" xfId="26097"/>
    <cellStyle name="20% - Accent6 7 4 7" xfId="26074"/>
    <cellStyle name="20% - Accent6 7 5" xfId="8159"/>
    <cellStyle name="20% - Accent6 7 5 2" xfId="8160"/>
    <cellStyle name="20% - Accent6 7 5 2 2" xfId="8161"/>
    <cellStyle name="20% - Accent6 7 5 2 2 2" xfId="8162"/>
    <cellStyle name="20% - Accent6 7 5 2 2 2 2" xfId="26101"/>
    <cellStyle name="20% - Accent6 7 5 2 2 3" xfId="26100"/>
    <cellStyle name="20% - Accent6 7 5 2 3" xfId="8163"/>
    <cellStyle name="20% - Accent6 7 5 2 3 2" xfId="26102"/>
    <cellStyle name="20% - Accent6 7 5 2 4" xfId="26099"/>
    <cellStyle name="20% - Accent6 7 5 3" xfId="8164"/>
    <cellStyle name="20% - Accent6 7 5 3 2" xfId="8165"/>
    <cellStyle name="20% - Accent6 7 5 3 2 2" xfId="26104"/>
    <cellStyle name="20% - Accent6 7 5 3 3" xfId="26103"/>
    <cellStyle name="20% - Accent6 7 5 4" xfId="8166"/>
    <cellStyle name="20% - Accent6 7 5 4 2" xfId="26105"/>
    <cellStyle name="20% - Accent6 7 5 5" xfId="26098"/>
    <cellStyle name="20% - Accent6 7 6" xfId="8167"/>
    <cellStyle name="20% - Accent6 7 6 2" xfId="8168"/>
    <cellStyle name="20% - Accent6 7 6 2 2" xfId="8169"/>
    <cellStyle name="20% - Accent6 7 6 2 2 2" xfId="8170"/>
    <cellStyle name="20% - Accent6 7 6 2 2 2 2" xfId="26109"/>
    <cellStyle name="20% - Accent6 7 6 2 2 3" xfId="26108"/>
    <cellStyle name="20% - Accent6 7 6 2 3" xfId="8171"/>
    <cellStyle name="20% - Accent6 7 6 2 3 2" xfId="26110"/>
    <cellStyle name="20% - Accent6 7 6 2 4" xfId="26107"/>
    <cellStyle name="20% - Accent6 7 6 3" xfId="8172"/>
    <cellStyle name="20% - Accent6 7 6 3 2" xfId="8173"/>
    <cellStyle name="20% - Accent6 7 6 3 2 2" xfId="26112"/>
    <cellStyle name="20% - Accent6 7 6 3 3" xfId="26111"/>
    <cellStyle name="20% - Accent6 7 6 4" xfId="8174"/>
    <cellStyle name="20% - Accent6 7 6 4 2" xfId="26113"/>
    <cellStyle name="20% - Accent6 7 6 5" xfId="26106"/>
    <cellStyle name="20% - Accent6 7 7" xfId="8175"/>
    <cellStyle name="20% - Accent6 7 7 2" xfId="8176"/>
    <cellStyle name="20% - Accent6 7 7 2 2" xfId="8177"/>
    <cellStyle name="20% - Accent6 7 7 2 2 2" xfId="26116"/>
    <cellStyle name="20% - Accent6 7 7 2 3" xfId="26115"/>
    <cellStyle name="20% - Accent6 7 7 3" xfId="8178"/>
    <cellStyle name="20% - Accent6 7 7 3 2" xfId="26117"/>
    <cellStyle name="20% - Accent6 7 7 4" xfId="26114"/>
    <cellStyle name="20% - Accent6 7 8" xfId="8179"/>
    <cellStyle name="20% - Accent6 7 8 2" xfId="8180"/>
    <cellStyle name="20% - Accent6 7 8 2 2" xfId="26119"/>
    <cellStyle name="20% - Accent6 7 8 3" xfId="26118"/>
    <cellStyle name="20% - Accent6 7 9" xfId="8181"/>
    <cellStyle name="20% - Accent6 7 9 2" xfId="26120"/>
    <cellStyle name="20% - Accent6 8" xfId="8182"/>
    <cellStyle name="20% - Accent6 8 10" xfId="26121"/>
    <cellStyle name="20% - Accent6 8 2" xfId="8183"/>
    <cellStyle name="20% - Accent6 8 2 2" xfId="8184"/>
    <cellStyle name="20% - Accent6 8 2 2 2" xfId="8185"/>
    <cellStyle name="20% - Accent6 8 2 2 2 2" xfId="8186"/>
    <cellStyle name="20% - Accent6 8 2 2 2 2 2" xfId="8187"/>
    <cellStyle name="20% - Accent6 8 2 2 2 2 2 2" xfId="8188"/>
    <cellStyle name="20% - Accent6 8 2 2 2 2 2 2 2" xfId="8189"/>
    <cellStyle name="20% - Accent6 8 2 2 2 2 2 2 2 2" xfId="26128"/>
    <cellStyle name="20% - Accent6 8 2 2 2 2 2 2 3" xfId="26127"/>
    <cellStyle name="20% - Accent6 8 2 2 2 2 2 3" xfId="8190"/>
    <cellStyle name="20% - Accent6 8 2 2 2 2 2 3 2" xfId="26129"/>
    <cellStyle name="20% - Accent6 8 2 2 2 2 2 4" xfId="26126"/>
    <cellStyle name="20% - Accent6 8 2 2 2 2 3" xfId="8191"/>
    <cellStyle name="20% - Accent6 8 2 2 2 2 3 2" xfId="8192"/>
    <cellStyle name="20% - Accent6 8 2 2 2 2 3 2 2" xfId="26131"/>
    <cellStyle name="20% - Accent6 8 2 2 2 2 3 3" xfId="26130"/>
    <cellStyle name="20% - Accent6 8 2 2 2 2 4" xfId="8193"/>
    <cellStyle name="20% - Accent6 8 2 2 2 2 4 2" xfId="26132"/>
    <cellStyle name="20% - Accent6 8 2 2 2 2 5" xfId="26125"/>
    <cellStyle name="20% - Accent6 8 2 2 2 3" xfId="8194"/>
    <cellStyle name="20% - Accent6 8 2 2 2 3 2" xfId="8195"/>
    <cellStyle name="20% - Accent6 8 2 2 2 3 2 2" xfId="8196"/>
    <cellStyle name="20% - Accent6 8 2 2 2 3 2 2 2" xfId="8197"/>
    <cellStyle name="20% - Accent6 8 2 2 2 3 2 2 2 2" xfId="26136"/>
    <cellStyle name="20% - Accent6 8 2 2 2 3 2 2 3" xfId="26135"/>
    <cellStyle name="20% - Accent6 8 2 2 2 3 2 3" xfId="8198"/>
    <cellStyle name="20% - Accent6 8 2 2 2 3 2 3 2" xfId="26137"/>
    <cellStyle name="20% - Accent6 8 2 2 2 3 2 4" xfId="26134"/>
    <cellStyle name="20% - Accent6 8 2 2 2 3 3" xfId="8199"/>
    <cellStyle name="20% - Accent6 8 2 2 2 3 3 2" xfId="8200"/>
    <cellStyle name="20% - Accent6 8 2 2 2 3 3 2 2" xfId="26139"/>
    <cellStyle name="20% - Accent6 8 2 2 2 3 3 3" xfId="26138"/>
    <cellStyle name="20% - Accent6 8 2 2 2 3 4" xfId="8201"/>
    <cellStyle name="20% - Accent6 8 2 2 2 3 4 2" xfId="26140"/>
    <cellStyle name="20% - Accent6 8 2 2 2 3 5" xfId="26133"/>
    <cellStyle name="20% - Accent6 8 2 2 2 4" xfId="8202"/>
    <cellStyle name="20% - Accent6 8 2 2 2 4 2" xfId="8203"/>
    <cellStyle name="20% - Accent6 8 2 2 2 4 2 2" xfId="8204"/>
    <cellStyle name="20% - Accent6 8 2 2 2 4 2 2 2" xfId="26143"/>
    <cellStyle name="20% - Accent6 8 2 2 2 4 2 3" xfId="26142"/>
    <cellStyle name="20% - Accent6 8 2 2 2 4 3" xfId="8205"/>
    <cellStyle name="20% - Accent6 8 2 2 2 4 3 2" xfId="26144"/>
    <cellStyle name="20% - Accent6 8 2 2 2 4 4" xfId="26141"/>
    <cellStyle name="20% - Accent6 8 2 2 2 5" xfId="8206"/>
    <cellStyle name="20% - Accent6 8 2 2 2 5 2" xfId="8207"/>
    <cellStyle name="20% - Accent6 8 2 2 2 5 2 2" xfId="26146"/>
    <cellStyle name="20% - Accent6 8 2 2 2 5 3" xfId="26145"/>
    <cellStyle name="20% - Accent6 8 2 2 2 6" xfId="8208"/>
    <cellStyle name="20% - Accent6 8 2 2 2 6 2" xfId="26147"/>
    <cellStyle name="20% - Accent6 8 2 2 2 7" xfId="26124"/>
    <cellStyle name="20% - Accent6 8 2 2 3" xfId="8209"/>
    <cellStyle name="20% - Accent6 8 2 2 3 2" xfId="8210"/>
    <cellStyle name="20% - Accent6 8 2 2 3 2 2" xfId="8211"/>
    <cellStyle name="20% - Accent6 8 2 2 3 2 2 2" xfId="8212"/>
    <cellStyle name="20% - Accent6 8 2 2 3 2 2 2 2" xfId="26151"/>
    <cellStyle name="20% - Accent6 8 2 2 3 2 2 3" xfId="26150"/>
    <cellStyle name="20% - Accent6 8 2 2 3 2 3" xfId="8213"/>
    <cellStyle name="20% - Accent6 8 2 2 3 2 3 2" xfId="26152"/>
    <cellStyle name="20% - Accent6 8 2 2 3 2 4" xfId="26149"/>
    <cellStyle name="20% - Accent6 8 2 2 3 3" xfId="8214"/>
    <cellStyle name="20% - Accent6 8 2 2 3 3 2" xfId="8215"/>
    <cellStyle name="20% - Accent6 8 2 2 3 3 2 2" xfId="26154"/>
    <cellStyle name="20% - Accent6 8 2 2 3 3 3" xfId="26153"/>
    <cellStyle name="20% - Accent6 8 2 2 3 4" xfId="8216"/>
    <cellStyle name="20% - Accent6 8 2 2 3 4 2" xfId="26155"/>
    <cellStyle name="20% - Accent6 8 2 2 3 5" xfId="26148"/>
    <cellStyle name="20% - Accent6 8 2 2 4" xfId="8217"/>
    <cellStyle name="20% - Accent6 8 2 2 4 2" xfId="8218"/>
    <cellStyle name="20% - Accent6 8 2 2 4 2 2" xfId="8219"/>
    <cellStyle name="20% - Accent6 8 2 2 4 2 2 2" xfId="8220"/>
    <cellStyle name="20% - Accent6 8 2 2 4 2 2 2 2" xfId="26159"/>
    <cellStyle name="20% - Accent6 8 2 2 4 2 2 3" xfId="26158"/>
    <cellStyle name="20% - Accent6 8 2 2 4 2 3" xfId="8221"/>
    <cellStyle name="20% - Accent6 8 2 2 4 2 3 2" xfId="26160"/>
    <cellStyle name="20% - Accent6 8 2 2 4 2 4" xfId="26157"/>
    <cellStyle name="20% - Accent6 8 2 2 4 3" xfId="8222"/>
    <cellStyle name="20% - Accent6 8 2 2 4 3 2" xfId="8223"/>
    <cellStyle name="20% - Accent6 8 2 2 4 3 2 2" xfId="26162"/>
    <cellStyle name="20% - Accent6 8 2 2 4 3 3" xfId="26161"/>
    <cellStyle name="20% - Accent6 8 2 2 4 4" xfId="8224"/>
    <cellStyle name="20% - Accent6 8 2 2 4 4 2" xfId="26163"/>
    <cellStyle name="20% - Accent6 8 2 2 4 5" xfId="26156"/>
    <cellStyle name="20% - Accent6 8 2 2 5" xfId="8225"/>
    <cellStyle name="20% - Accent6 8 2 2 5 2" xfId="8226"/>
    <cellStyle name="20% - Accent6 8 2 2 5 2 2" xfId="8227"/>
    <cellStyle name="20% - Accent6 8 2 2 5 2 2 2" xfId="26166"/>
    <cellStyle name="20% - Accent6 8 2 2 5 2 3" xfId="26165"/>
    <cellStyle name="20% - Accent6 8 2 2 5 3" xfId="8228"/>
    <cellStyle name="20% - Accent6 8 2 2 5 3 2" xfId="26167"/>
    <cellStyle name="20% - Accent6 8 2 2 5 4" xfId="26164"/>
    <cellStyle name="20% - Accent6 8 2 2 6" xfId="8229"/>
    <cellStyle name="20% - Accent6 8 2 2 6 2" xfId="8230"/>
    <cellStyle name="20% - Accent6 8 2 2 6 2 2" xfId="26169"/>
    <cellStyle name="20% - Accent6 8 2 2 6 3" xfId="26168"/>
    <cellStyle name="20% - Accent6 8 2 2 7" xfId="8231"/>
    <cellStyle name="20% - Accent6 8 2 2 7 2" xfId="26170"/>
    <cellStyle name="20% - Accent6 8 2 2 8" xfId="26123"/>
    <cellStyle name="20% - Accent6 8 2 3" xfId="8232"/>
    <cellStyle name="20% - Accent6 8 2 3 2" xfId="8233"/>
    <cellStyle name="20% - Accent6 8 2 3 2 2" xfId="8234"/>
    <cellStyle name="20% - Accent6 8 2 3 2 2 2" xfId="8235"/>
    <cellStyle name="20% - Accent6 8 2 3 2 2 2 2" xfId="8236"/>
    <cellStyle name="20% - Accent6 8 2 3 2 2 2 2 2" xfId="26175"/>
    <cellStyle name="20% - Accent6 8 2 3 2 2 2 3" xfId="26174"/>
    <cellStyle name="20% - Accent6 8 2 3 2 2 3" xfId="8237"/>
    <cellStyle name="20% - Accent6 8 2 3 2 2 3 2" xfId="26176"/>
    <cellStyle name="20% - Accent6 8 2 3 2 2 4" xfId="26173"/>
    <cellStyle name="20% - Accent6 8 2 3 2 3" xfId="8238"/>
    <cellStyle name="20% - Accent6 8 2 3 2 3 2" xfId="8239"/>
    <cellStyle name="20% - Accent6 8 2 3 2 3 2 2" xfId="26178"/>
    <cellStyle name="20% - Accent6 8 2 3 2 3 3" xfId="26177"/>
    <cellStyle name="20% - Accent6 8 2 3 2 4" xfId="8240"/>
    <cellStyle name="20% - Accent6 8 2 3 2 4 2" xfId="26179"/>
    <cellStyle name="20% - Accent6 8 2 3 2 5" xfId="26172"/>
    <cellStyle name="20% - Accent6 8 2 3 3" xfId="8241"/>
    <cellStyle name="20% - Accent6 8 2 3 3 2" xfId="8242"/>
    <cellStyle name="20% - Accent6 8 2 3 3 2 2" xfId="8243"/>
    <cellStyle name="20% - Accent6 8 2 3 3 2 2 2" xfId="8244"/>
    <cellStyle name="20% - Accent6 8 2 3 3 2 2 2 2" xfId="26183"/>
    <cellStyle name="20% - Accent6 8 2 3 3 2 2 3" xfId="26182"/>
    <cellStyle name="20% - Accent6 8 2 3 3 2 3" xfId="8245"/>
    <cellStyle name="20% - Accent6 8 2 3 3 2 3 2" xfId="26184"/>
    <cellStyle name="20% - Accent6 8 2 3 3 2 4" xfId="26181"/>
    <cellStyle name="20% - Accent6 8 2 3 3 3" xfId="8246"/>
    <cellStyle name="20% - Accent6 8 2 3 3 3 2" xfId="8247"/>
    <cellStyle name="20% - Accent6 8 2 3 3 3 2 2" xfId="26186"/>
    <cellStyle name="20% - Accent6 8 2 3 3 3 3" xfId="26185"/>
    <cellStyle name="20% - Accent6 8 2 3 3 4" xfId="8248"/>
    <cellStyle name="20% - Accent6 8 2 3 3 4 2" xfId="26187"/>
    <cellStyle name="20% - Accent6 8 2 3 3 5" xfId="26180"/>
    <cellStyle name="20% - Accent6 8 2 3 4" xfId="8249"/>
    <cellStyle name="20% - Accent6 8 2 3 4 2" xfId="8250"/>
    <cellStyle name="20% - Accent6 8 2 3 4 2 2" xfId="8251"/>
    <cellStyle name="20% - Accent6 8 2 3 4 2 2 2" xfId="26190"/>
    <cellStyle name="20% - Accent6 8 2 3 4 2 3" xfId="26189"/>
    <cellStyle name="20% - Accent6 8 2 3 4 3" xfId="8252"/>
    <cellStyle name="20% - Accent6 8 2 3 4 3 2" xfId="26191"/>
    <cellStyle name="20% - Accent6 8 2 3 4 4" xfId="26188"/>
    <cellStyle name="20% - Accent6 8 2 3 5" xfId="8253"/>
    <cellStyle name="20% - Accent6 8 2 3 5 2" xfId="8254"/>
    <cellStyle name="20% - Accent6 8 2 3 5 2 2" xfId="26193"/>
    <cellStyle name="20% - Accent6 8 2 3 5 3" xfId="26192"/>
    <cellStyle name="20% - Accent6 8 2 3 6" xfId="8255"/>
    <cellStyle name="20% - Accent6 8 2 3 6 2" xfId="26194"/>
    <cellStyle name="20% - Accent6 8 2 3 7" xfId="26171"/>
    <cellStyle name="20% - Accent6 8 2 4" xfId="8256"/>
    <cellStyle name="20% - Accent6 8 2 4 2" xfId="8257"/>
    <cellStyle name="20% - Accent6 8 2 4 2 2" xfId="8258"/>
    <cellStyle name="20% - Accent6 8 2 4 2 2 2" xfId="8259"/>
    <cellStyle name="20% - Accent6 8 2 4 2 2 2 2" xfId="26198"/>
    <cellStyle name="20% - Accent6 8 2 4 2 2 3" xfId="26197"/>
    <cellStyle name="20% - Accent6 8 2 4 2 3" xfId="8260"/>
    <cellStyle name="20% - Accent6 8 2 4 2 3 2" xfId="26199"/>
    <cellStyle name="20% - Accent6 8 2 4 2 4" xfId="26196"/>
    <cellStyle name="20% - Accent6 8 2 4 3" xfId="8261"/>
    <cellStyle name="20% - Accent6 8 2 4 3 2" xfId="8262"/>
    <cellStyle name="20% - Accent6 8 2 4 3 2 2" xfId="26201"/>
    <cellStyle name="20% - Accent6 8 2 4 3 3" xfId="26200"/>
    <cellStyle name="20% - Accent6 8 2 4 4" xfId="8263"/>
    <cellStyle name="20% - Accent6 8 2 4 4 2" xfId="26202"/>
    <cellStyle name="20% - Accent6 8 2 4 5" xfId="26195"/>
    <cellStyle name="20% - Accent6 8 2 5" xfId="8264"/>
    <cellStyle name="20% - Accent6 8 2 5 2" xfId="8265"/>
    <cellStyle name="20% - Accent6 8 2 5 2 2" xfId="8266"/>
    <cellStyle name="20% - Accent6 8 2 5 2 2 2" xfId="8267"/>
    <cellStyle name="20% - Accent6 8 2 5 2 2 2 2" xfId="26206"/>
    <cellStyle name="20% - Accent6 8 2 5 2 2 3" xfId="26205"/>
    <cellStyle name="20% - Accent6 8 2 5 2 3" xfId="8268"/>
    <cellStyle name="20% - Accent6 8 2 5 2 3 2" xfId="26207"/>
    <cellStyle name="20% - Accent6 8 2 5 2 4" xfId="26204"/>
    <cellStyle name="20% - Accent6 8 2 5 3" xfId="8269"/>
    <cellStyle name="20% - Accent6 8 2 5 3 2" xfId="8270"/>
    <cellStyle name="20% - Accent6 8 2 5 3 2 2" xfId="26209"/>
    <cellStyle name="20% - Accent6 8 2 5 3 3" xfId="26208"/>
    <cellStyle name="20% - Accent6 8 2 5 4" xfId="8271"/>
    <cellStyle name="20% - Accent6 8 2 5 4 2" xfId="26210"/>
    <cellStyle name="20% - Accent6 8 2 5 5" xfId="26203"/>
    <cellStyle name="20% - Accent6 8 2 6" xfId="8272"/>
    <cellStyle name="20% - Accent6 8 2 6 2" xfId="8273"/>
    <cellStyle name="20% - Accent6 8 2 6 2 2" xfId="8274"/>
    <cellStyle name="20% - Accent6 8 2 6 2 2 2" xfId="26213"/>
    <cellStyle name="20% - Accent6 8 2 6 2 3" xfId="26212"/>
    <cellStyle name="20% - Accent6 8 2 6 3" xfId="8275"/>
    <cellStyle name="20% - Accent6 8 2 6 3 2" xfId="26214"/>
    <cellStyle name="20% - Accent6 8 2 6 4" xfId="26211"/>
    <cellStyle name="20% - Accent6 8 2 7" xfId="8276"/>
    <cellStyle name="20% - Accent6 8 2 7 2" xfId="8277"/>
    <cellStyle name="20% - Accent6 8 2 7 2 2" xfId="26216"/>
    <cellStyle name="20% - Accent6 8 2 7 3" xfId="26215"/>
    <cellStyle name="20% - Accent6 8 2 8" xfId="8278"/>
    <cellStyle name="20% - Accent6 8 2 8 2" xfId="26217"/>
    <cellStyle name="20% - Accent6 8 2 9" xfId="26122"/>
    <cellStyle name="20% - Accent6 8 3" xfId="8279"/>
    <cellStyle name="20% - Accent6 8 3 2" xfId="8280"/>
    <cellStyle name="20% - Accent6 8 3 2 2" xfId="8281"/>
    <cellStyle name="20% - Accent6 8 3 2 2 2" xfId="8282"/>
    <cellStyle name="20% - Accent6 8 3 2 2 2 2" xfId="8283"/>
    <cellStyle name="20% - Accent6 8 3 2 2 2 2 2" xfId="8284"/>
    <cellStyle name="20% - Accent6 8 3 2 2 2 2 2 2" xfId="26223"/>
    <cellStyle name="20% - Accent6 8 3 2 2 2 2 3" xfId="26222"/>
    <cellStyle name="20% - Accent6 8 3 2 2 2 3" xfId="8285"/>
    <cellStyle name="20% - Accent6 8 3 2 2 2 3 2" xfId="26224"/>
    <cellStyle name="20% - Accent6 8 3 2 2 2 4" xfId="26221"/>
    <cellStyle name="20% - Accent6 8 3 2 2 3" xfId="8286"/>
    <cellStyle name="20% - Accent6 8 3 2 2 3 2" xfId="8287"/>
    <cellStyle name="20% - Accent6 8 3 2 2 3 2 2" xfId="26226"/>
    <cellStyle name="20% - Accent6 8 3 2 2 3 3" xfId="26225"/>
    <cellStyle name="20% - Accent6 8 3 2 2 4" xfId="8288"/>
    <cellStyle name="20% - Accent6 8 3 2 2 4 2" xfId="26227"/>
    <cellStyle name="20% - Accent6 8 3 2 2 5" xfId="26220"/>
    <cellStyle name="20% - Accent6 8 3 2 3" xfId="8289"/>
    <cellStyle name="20% - Accent6 8 3 2 3 2" xfId="8290"/>
    <cellStyle name="20% - Accent6 8 3 2 3 2 2" xfId="8291"/>
    <cellStyle name="20% - Accent6 8 3 2 3 2 2 2" xfId="8292"/>
    <cellStyle name="20% - Accent6 8 3 2 3 2 2 2 2" xfId="26231"/>
    <cellStyle name="20% - Accent6 8 3 2 3 2 2 3" xfId="26230"/>
    <cellStyle name="20% - Accent6 8 3 2 3 2 3" xfId="8293"/>
    <cellStyle name="20% - Accent6 8 3 2 3 2 3 2" xfId="26232"/>
    <cellStyle name="20% - Accent6 8 3 2 3 2 4" xfId="26229"/>
    <cellStyle name="20% - Accent6 8 3 2 3 3" xfId="8294"/>
    <cellStyle name="20% - Accent6 8 3 2 3 3 2" xfId="8295"/>
    <cellStyle name="20% - Accent6 8 3 2 3 3 2 2" xfId="26234"/>
    <cellStyle name="20% - Accent6 8 3 2 3 3 3" xfId="26233"/>
    <cellStyle name="20% - Accent6 8 3 2 3 4" xfId="8296"/>
    <cellStyle name="20% - Accent6 8 3 2 3 4 2" xfId="26235"/>
    <cellStyle name="20% - Accent6 8 3 2 3 5" xfId="26228"/>
    <cellStyle name="20% - Accent6 8 3 2 4" xfId="8297"/>
    <cellStyle name="20% - Accent6 8 3 2 4 2" xfId="8298"/>
    <cellStyle name="20% - Accent6 8 3 2 4 2 2" xfId="8299"/>
    <cellStyle name="20% - Accent6 8 3 2 4 2 2 2" xfId="26238"/>
    <cellStyle name="20% - Accent6 8 3 2 4 2 3" xfId="26237"/>
    <cellStyle name="20% - Accent6 8 3 2 4 3" xfId="8300"/>
    <cellStyle name="20% - Accent6 8 3 2 4 3 2" xfId="26239"/>
    <cellStyle name="20% - Accent6 8 3 2 4 4" xfId="26236"/>
    <cellStyle name="20% - Accent6 8 3 2 5" xfId="8301"/>
    <cellStyle name="20% - Accent6 8 3 2 5 2" xfId="8302"/>
    <cellStyle name="20% - Accent6 8 3 2 5 2 2" xfId="26241"/>
    <cellStyle name="20% - Accent6 8 3 2 5 3" xfId="26240"/>
    <cellStyle name="20% - Accent6 8 3 2 6" xfId="8303"/>
    <cellStyle name="20% - Accent6 8 3 2 6 2" xfId="26242"/>
    <cellStyle name="20% - Accent6 8 3 2 7" xfId="26219"/>
    <cellStyle name="20% - Accent6 8 3 3" xfId="8304"/>
    <cellStyle name="20% - Accent6 8 3 3 2" xfId="8305"/>
    <cellStyle name="20% - Accent6 8 3 3 2 2" xfId="8306"/>
    <cellStyle name="20% - Accent6 8 3 3 2 2 2" xfId="8307"/>
    <cellStyle name="20% - Accent6 8 3 3 2 2 2 2" xfId="26246"/>
    <cellStyle name="20% - Accent6 8 3 3 2 2 3" xfId="26245"/>
    <cellStyle name="20% - Accent6 8 3 3 2 3" xfId="8308"/>
    <cellStyle name="20% - Accent6 8 3 3 2 3 2" xfId="26247"/>
    <cellStyle name="20% - Accent6 8 3 3 2 4" xfId="26244"/>
    <cellStyle name="20% - Accent6 8 3 3 3" xfId="8309"/>
    <cellStyle name="20% - Accent6 8 3 3 3 2" xfId="8310"/>
    <cellStyle name="20% - Accent6 8 3 3 3 2 2" xfId="26249"/>
    <cellStyle name="20% - Accent6 8 3 3 3 3" xfId="26248"/>
    <cellStyle name="20% - Accent6 8 3 3 4" xfId="8311"/>
    <cellStyle name="20% - Accent6 8 3 3 4 2" xfId="26250"/>
    <cellStyle name="20% - Accent6 8 3 3 5" xfId="26243"/>
    <cellStyle name="20% - Accent6 8 3 4" xfId="8312"/>
    <cellStyle name="20% - Accent6 8 3 4 2" xfId="8313"/>
    <cellStyle name="20% - Accent6 8 3 4 2 2" xfId="8314"/>
    <cellStyle name="20% - Accent6 8 3 4 2 2 2" xfId="8315"/>
    <cellStyle name="20% - Accent6 8 3 4 2 2 2 2" xfId="26254"/>
    <cellStyle name="20% - Accent6 8 3 4 2 2 3" xfId="26253"/>
    <cellStyle name="20% - Accent6 8 3 4 2 3" xfId="8316"/>
    <cellStyle name="20% - Accent6 8 3 4 2 3 2" xfId="26255"/>
    <cellStyle name="20% - Accent6 8 3 4 2 4" xfId="26252"/>
    <cellStyle name="20% - Accent6 8 3 4 3" xfId="8317"/>
    <cellStyle name="20% - Accent6 8 3 4 3 2" xfId="8318"/>
    <cellStyle name="20% - Accent6 8 3 4 3 2 2" xfId="26257"/>
    <cellStyle name="20% - Accent6 8 3 4 3 3" xfId="26256"/>
    <cellStyle name="20% - Accent6 8 3 4 4" xfId="8319"/>
    <cellStyle name="20% - Accent6 8 3 4 4 2" xfId="26258"/>
    <cellStyle name="20% - Accent6 8 3 4 5" xfId="26251"/>
    <cellStyle name="20% - Accent6 8 3 5" xfId="8320"/>
    <cellStyle name="20% - Accent6 8 3 5 2" xfId="8321"/>
    <cellStyle name="20% - Accent6 8 3 5 2 2" xfId="8322"/>
    <cellStyle name="20% - Accent6 8 3 5 2 2 2" xfId="26261"/>
    <cellStyle name="20% - Accent6 8 3 5 2 3" xfId="26260"/>
    <cellStyle name="20% - Accent6 8 3 5 3" xfId="8323"/>
    <cellStyle name="20% - Accent6 8 3 5 3 2" xfId="26262"/>
    <cellStyle name="20% - Accent6 8 3 5 4" xfId="26259"/>
    <cellStyle name="20% - Accent6 8 3 6" xfId="8324"/>
    <cellStyle name="20% - Accent6 8 3 6 2" xfId="8325"/>
    <cellStyle name="20% - Accent6 8 3 6 2 2" xfId="26264"/>
    <cellStyle name="20% - Accent6 8 3 6 3" xfId="26263"/>
    <cellStyle name="20% - Accent6 8 3 7" xfId="8326"/>
    <cellStyle name="20% - Accent6 8 3 7 2" xfId="26265"/>
    <cellStyle name="20% - Accent6 8 3 8" xfId="26218"/>
    <cellStyle name="20% - Accent6 8 4" xfId="8327"/>
    <cellStyle name="20% - Accent6 8 4 2" xfId="8328"/>
    <cellStyle name="20% - Accent6 8 4 2 2" xfId="8329"/>
    <cellStyle name="20% - Accent6 8 4 2 2 2" xfId="8330"/>
    <cellStyle name="20% - Accent6 8 4 2 2 2 2" xfId="8331"/>
    <cellStyle name="20% - Accent6 8 4 2 2 2 2 2" xfId="26270"/>
    <cellStyle name="20% - Accent6 8 4 2 2 2 3" xfId="26269"/>
    <cellStyle name="20% - Accent6 8 4 2 2 3" xfId="8332"/>
    <cellStyle name="20% - Accent6 8 4 2 2 3 2" xfId="26271"/>
    <cellStyle name="20% - Accent6 8 4 2 2 4" xfId="26268"/>
    <cellStyle name="20% - Accent6 8 4 2 3" xfId="8333"/>
    <cellStyle name="20% - Accent6 8 4 2 3 2" xfId="8334"/>
    <cellStyle name="20% - Accent6 8 4 2 3 2 2" xfId="26273"/>
    <cellStyle name="20% - Accent6 8 4 2 3 3" xfId="26272"/>
    <cellStyle name="20% - Accent6 8 4 2 4" xfId="8335"/>
    <cellStyle name="20% - Accent6 8 4 2 4 2" xfId="26274"/>
    <cellStyle name="20% - Accent6 8 4 2 5" xfId="26267"/>
    <cellStyle name="20% - Accent6 8 4 3" xfId="8336"/>
    <cellStyle name="20% - Accent6 8 4 3 2" xfId="8337"/>
    <cellStyle name="20% - Accent6 8 4 3 2 2" xfId="8338"/>
    <cellStyle name="20% - Accent6 8 4 3 2 2 2" xfId="8339"/>
    <cellStyle name="20% - Accent6 8 4 3 2 2 2 2" xfId="26278"/>
    <cellStyle name="20% - Accent6 8 4 3 2 2 3" xfId="26277"/>
    <cellStyle name="20% - Accent6 8 4 3 2 3" xfId="8340"/>
    <cellStyle name="20% - Accent6 8 4 3 2 3 2" xfId="26279"/>
    <cellStyle name="20% - Accent6 8 4 3 2 4" xfId="26276"/>
    <cellStyle name="20% - Accent6 8 4 3 3" xfId="8341"/>
    <cellStyle name="20% - Accent6 8 4 3 3 2" xfId="8342"/>
    <cellStyle name="20% - Accent6 8 4 3 3 2 2" xfId="26281"/>
    <cellStyle name="20% - Accent6 8 4 3 3 3" xfId="26280"/>
    <cellStyle name="20% - Accent6 8 4 3 4" xfId="8343"/>
    <cellStyle name="20% - Accent6 8 4 3 4 2" xfId="26282"/>
    <cellStyle name="20% - Accent6 8 4 3 5" xfId="26275"/>
    <cellStyle name="20% - Accent6 8 4 4" xfId="8344"/>
    <cellStyle name="20% - Accent6 8 4 4 2" xfId="8345"/>
    <cellStyle name="20% - Accent6 8 4 4 2 2" xfId="8346"/>
    <cellStyle name="20% - Accent6 8 4 4 2 2 2" xfId="26285"/>
    <cellStyle name="20% - Accent6 8 4 4 2 3" xfId="26284"/>
    <cellStyle name="20% - Accent6 8 4 4 3" xfId="8347"/>
    <cellStyle name="20% - Accent6 8 4 4 3 2" xfId="26286"/>
    <cellStyle name="20% - Accent6 8 4 4 4" xfId="26283"/>
    <cellStyle name="20% - Accent6 8 4 5" xfId="8348"/>
    <cellStyle name="20% - Accent6 8 4 5 2" xfId="8349"/>
    <cellStyle name="20% - Accent6 8 4 5 2 2" xfId="26288"/>
    <cellStyle name="20% - Accent6 8 4 5 3" xfId="26287"/>
    <cellStyle name="20% - Accent6 8 4 6" xfId="8350"/>
    <cellStyle name="20% - Accent6 8 4 6 2" xfId="26289"/>
    <cellStyle name="20% - Accent6 8 4 7" xfId="26266"/>
    <cellStyle name="20% - Accent6 8 5" xfId="8351"/>
    <cellStyle name="20% - Accent6 8 5 2" xfId="8352"/>
    <cellStyle name="20% - Accent6 8 5 2 2" xfId="8353"/>
    <cellStyle name="20% - Accent6 8 5 2 2 2" xfId="8354"/>
    <cellStyle name="20% - Accent6 8 5 2 2 2 2" xfId="26293"/>
    <cellStyle name="20% - Accent6 8 5 2 2 3" xfId="26292"/>
    <cellStyle name="20% - Accent6 8 5 2 3" xfId="8355"/>
    <cellStyle name="20% - Accent6 8 5 2 3 2" xfId="26294"/>
    <cellStyle name="20% - Accent6 8 5 2 4" xfId="26291"/>
    <cellStyle name="20% - Accent6 8 5 3" xfId="8356"/>
    <cellStyle name="20% - Accent6 8 5 3 2" xfId="8357"/>
    <cellStyle name="20% - Accent6 8 5 3 2 2" xfId="26296"/>
    <cellStyle name="20% - Accent6 8 5 3 3" xfId="26295"/>
    <cellStyle name="20% - Accent6 8 5 4" xfId="8358"/>
    <cellStyle name="20% - Accent6 8 5 4 2" xfId="26297"/>
    <cellStyle name="20% - Accent6 8 5 5" xfId="26290"/>
    <cellStyle name="20% - Accent6 8 6" xfId="8359"/>
    <cellStyle name="20% - Accent6 8 6 2" xfId="8360"/>
    <cellStyle name="20% - Accent6 8 6 2 2" xfId="8361"/>
    <cellStyle name="20% - Accent6 8 6 2 2 2" xfId="8362"/>
    <cellStyle name="20% - Accent6 8 6 2 2 2 2" xfId="26301"/>
    <cellStyle name="20% - Accent6 8 6 2 2 3" xfId="26300"/>
    <cellStyle name="20% - Accent6 8 6 2 3" xfId="8363"/>
    <cellStyle name="20% - Accent6 8 6 2 3 2" xfId="26302"/>
    <cellStyle name="20% - Accent6 8 6 2 4" xfId="26299"/>
    <cellStyle name="20% - Accent6 8 6 3" xfId="8364"/>
    <cellStyle name="20% - Accent6 8 6 3 2" xfId="8365"/>
    <cellStyle name="20% - Accent6 8 6 3 2 2" xfId="26304"/>
    <cellStyle name="20% - Accent6 8 6 3 3" xfId="26303"/>
    <cellStyle name="20% - Accent6 8 6 4" xfId="8366"/>
    <cellStyle name="20% - Accent6 8 6 4 2" xfId="26305"/>
    <cellStyle name="20% - Accent6 8 6 5" xfId="26298"/>
    <cellStyle name="20% - Accent6 8 7" xfId="8367"/>
    <cellStyle name="20% - Accent6 8 7 2" xfId="8368"/>
    <cellStyle name="20% - Accent6 8 7 2 2" xfId="8369"/>
    <cellStyle name="20% - Accent6 8 7 2 2 2" xfId="26308"/>
    <cellStyle name="20% - Accent6 8 7 2 3" xfId="26307"/>
    <cellStyle name="20% - Accent6 8 7 3" xfId="8370"/>
    <cellStyle name="20% - Accent6 8 7 3 2" xfId="26309"/>
    <cellStyle name="20% - Accent6 8 7 4" xfId="26306"/>
    <cellStyle name="20% - Accent6 8 8" xfId="8371"/>
    <cellStyle name="20% - Accent6 8 8 2" xfId="8372"/>
    <cellStyle name="20% - Accent6 8 8 2 2" xfId="26311"/>
    <cellStyle name="20% - Accent6 8 8 3" xfId="26310"/>
    <cellStyle name="20% - Accent6 8 9" xfId="8373"/>
    <cellStyle name="20% - Accent6 8 9 2" xfId="26312"/>
    <cellStyle name="20% - Accent6 9" xfId="8374"/>
    <cellStyle name="20% - Accent6 9 2" xfId="8375"/>
    <cellStyle name="20% - Accent6 9 2 2" xfId="8376"/>
    <cellStyle name="20% - Accent6 9 2 2 2" xfId="8377"/>
    <cellStyle name="20% - Accent6 9 2 2 2 2" xfId="26316"/>
    <cellStyle name="20% - Accent6 9 2 2 3" xfId="26315"/>
    <cellStyle name="20% - Accent6 9 2 3" xfId="8378"/>
    <cellStyle name="20% - Accent6 9 2 3 2" xfId="26317"/>
    <cellStyle name="20% - Accent6 9 2 4" xfId="26314"/>
    <cellStyle name="20% - Accent6 9 3" xfId="8379"/>
    <cellStyle name="20% - Accent6 9 3 2" xfId="8380"/>
    <cellStyle name="20% - Accent6 9 3 2 2" xfId="26319"/>
    <cellStyle name="20% - Accent6 9 3 3" xfId="26318"/>
    <cellStyle name="20% - Accent6 9 4" xfId="8381"/>
    <cellStyle name="20% - Accent6 9 4 2" xfId="26320"/>
    <cellStyle name="20% - Accent6 9 5" xfId="26313"/>
    <cellStyle name="40% - Accent1" xfId="8" builtinId="31" customBuiltin="1"/>
    <cellStyle name="40% - Accent1 10" xfId="8382"/>
    <cellStyle name="40% - Accent1 10 2" xfId="8383"/>
    <cellStyle name="40% - Accent1 10 2 2" xfId="8384"/>
    <cellStyle name="40% - Accent1 10 2 2 2" xfId="8385"/>
    <cellStyle name="40% - Accent1 10 2 2 2 2" xfId="26324"/>
    <cellStyle name="40% - Accent1 10 2 2 3" xfId="26323"/>
    <cellStyle name="40% - Accent1 10 2 3" xfId="8386"/>
    <cellStyle name="40% - Accent1 10 2 3 2" xfId="26325"/>
    <cellStyle name="40% - Accent1 10 2 4" xfId="26322"/>
    <cellStyle name="40% - Accent1 10 3" xfId="8387"/>
    <cellStyle name="40% - Accent1 10 3 2" xfId="8388"/>
    <cellStyle name="40% - Accent1 10 3 2 2" xfId="26327"/>
    <cellStyle name="40% - Accent1 10 3 3" xfId="26326"/>
    <cellStyle name="40% - Accent1 10 4" xfId="8389"/>
    <cellStyle name="40% - Accent1 10 4 2" xfId="26328"/>
    <cellStyle name="40% - Accent1 10 5" xfId="26321"/>
    <cellStyle name="40% - Accent1 11" xfId="8390"/>
    <cellStyle name="40% - Accent1 11 2" xfId="8391"/>
    <cellStyle name="40% - Accent1 11 2 2" xfId="8392"/>
    <cellStyle name="40% - Accent1 11 2 2 2" xfId="8393"/>
    <cellStyle name="40% - Accent1 11 2 2 2 2" xfId="26332"/>
    <cellStyle name="40% - Accent1 11 2 2 3" xfId="26331"/>
    <cellStyle name="40% - Accent1 11 2 3" xfId="8394"/>
    <cellStyle name="40% - Accent1 11 2 3 2" xfId="26333"/>
    <cellStyle name="40% - Accent1 11 2 4" xfId="26330"/>
    <cellStyle name="40% - Accent1 11 3" xfId="8395"/>
    <cellStyle name="40% - Accent1 11 3 2" xfId="8396"/>
    <cellStyle name="40% - Accent1 11 3 2 2" xfId="26335"/>
    <cellStyle name="40% - Accent1 11 3 3" xfId="26334"/>
    <cellStyle name="40% - Accent1 11 4" xfId="8397"/>
    <cellStyle name="40% - Accent1 11 4 2" xfId="26336"/>
    <cellStyle name="40% - Accent1 11 5" xfId="26329"/>
    <cellStyle name="40% - Accent1 12" xfId="8398"/>
    <cellStyle name="40% - Accent1 12 2" xfId="8399"/>
    <cellStyle name="40% - Accent1 12 2 2" xfId="8400"/>
    <cellStyle name="40% - Accent1 12 2 2 2" xfId="8401"/>
    <cellStyle name="40% - Accent1 12 2 2 2 2" xfId="26340"/>
    <cellStyle name="40% - Accent1 12 2 2 3" xfId="26339"/>
    <cellStyle name="40% - Accent1 12 2 3" xfId="8402"/>
    <cellStyle name="40% - Accent1 12 2 3 2" xfId="26341"/>
    <cellStyle name="40% - Accent1 12 2 4" xfId="26338"/>
    <cellStyle name="40% - Accent1 12 3" xfId="8403"/>
    <cellStyle name="40% - Accent1 12 3 2" xfId="8404"/>
    <cellStyle name="40% - Accent1 12 3 2 2" xfId="26343"/>
    <cellStyle name="40% - Accent1 12 3 3" xfId="26342"/>
    <cellStyle name="40% - Accent1 12 4" xfId="8405"/>
    <cellStyle name="40% - Accent1 12 4 2" xfId="26344"/>
    <cellStyle name="40% - Accent1 12 5" xfId="26337"/>
    <cellStyle name="40% - Accent1 13" xfId="8406"/>
    <cellStyle name="40% - Accent1 14" xfId="8407"/>
    <cellStyle name="40% - Accent1 14 2" xfId="8408"/>
    <cellStyle name="40% - Accent1 14 2 2" xfId="8409"/>
    <cellStyle name="40% - Accent1 14 2 2 2" xfId="26347"/>
    <cellStyle name="40% - Accent1 14 2 3" xfId="26346"/>
    <cellStyle name="40% - Accent1 14 3" xfId="8410"/>
    <cellStyle name="40% - Accent1 14 3 2" xfId="26348"/>
    <cellStyle name="40% - Accent1 14 4" xfId="26345"/>
    <cellStyle name="40% - Accent1 15" xfId="8411"/>
    <cellStyle name="40% - Accent1 15 2" xfId="8412"/>
    <cellStyle name="40% - Accent1 15 2 2" xfId="8413"/>
    <cellStyle name="40% - Accent1 15 2 2 2" xfId="26351"/>
    <cellStyle name="40% - Accent1 15 2 3" xfId="26350"/>
    <cellStyle name="40% - Accent1 15 3" xfId="8414"/>
    <cellStyle name="40% - Accent1 15 3 2" xfId="26352"/>
    <cellStyle name="40% - Accent1 15 4" xfId="26349"/>
    <cellStyle name="40% - Accent1 16" xfId="8415"/>
    <cellStyle name="40% - Accent1 16 2" xfId="8416"/>
    <cellStyle name="40% - Accent1 16 2 2" xfId="8417"/>
    <cellStyle name="40% - Accent1 16 2 2 2" xfId="26355"/>
    <cellStyle name="40% - Accent1 16 2 3" xfId="26354"/>
    <cellStyle name="40% - Accent1 16 3" xfId="8418"/>
    <cellStyle name="40% - Accent1 16 3 2" xfId="26356"/>
    <cellStyle name="40% - Accent1 16 4" xfId="26353"/>
    <cellStyle name="40% - Accent1 17" xfId="8419"/>
    <cellStyle name="40% - Accent1 17 2" xfId="8420"/>
    <cellStyle name="40% - Accent1 17 2 2" xfId="8421"/>
    <cellStyle name="40% - Accent1 17 2 2 2" xfId="26359"/>
    <cellStyle name="40% - Accent1 17 2 3" xfId="26358"/>
    <cellStyle name="40% - Accent1 17 3" xfId="8422"/>
    <cellStyle name="40% - Accent1 17 3 2" xfId="26360"/>
    <cellStyle name="40% - Accent1 17 4" xfId="26357"/>
    <cellStyle name="40% - Accent1 18" xfId="8423"/>
    <cellStyle name="40% - Accent1 18 2" xfId="8424"/>
    <cellStyle name="40% - Accent1 18 2 2" xfId="8425"/>
    <cellStyle name="40% - Accent1 18 2 2 2" xfId="26363"/>
    <cellStyle name="40% - Accent1 18 2 3" xfId="26362"/>
    <cellStyle name="40% - Accent1 18 3" xfId="8426"/>
    <cellStyle name="40% - Accent1 18 3 2" xfId="26364"/>
    <cellStyle name="40% - Accent1 18 4" xfId="26361"/>
    <cellStyle name="40% - Accent1 19" xfId="8427"/>
    <cellStyle name="40% - Accent1 19 2" xfId="8428"/>
    <cellStyle name="40% - Accent1 19 2 2" xfId="8429"/>
    <cellStyle name="40% - Accent1 19 2 2 2" xfId="26367"/>
    <cellStyle name="40% - Accent1 19 2 3" xfId="26366"/>
    <cellStyle name="40% - Accent1 19 3" xfId="8430"/>
    <cellStyle name="40% - Accent1 19 3 2" xfId="26368"/>
    <cellStyle name="40% - Accent1 19 4" xfId="26365"/>
    <cellStyle name="40% - Accent1 2" xfId="242"/>
    <cellStyle name="40% - Accent1 2 2" xfId="8431"/>
    <cellStyle name="40% - Accent1 2 2 2" xfId="8432"/>
    <cellStyle name="40% - Accent1 2 3" xfId="8433"/>
    <cellStyle name="40% - Accent1 2 3 2" xfId="8434"/>
    <cellStyle name="40% - Accent1 2 3 3" xfId="8435"/>
    <cellStyle name="40% - Accent1 2 3 3 2" xfId="8436"/>
    <cellStyle name="40% - Accent1 2 3 3 2 2" xfId="8437"/>
    <cellStyle name="40% - Accent1 2 3 3 2 2 2" xfId="26371"/>
    <cellStyle name="40% - Accent1 2 3 3 2 3" xfId="26370"/>
    <cellStyle name="40% - Accent1 2 3 3 3" xfId="8438"/>
    <cellStyle name="40% - Accent1 2 3 3 3 2" xfId="26372"/>
    <cellStyle name="40% - Accent1 2 3 3 4" xfId="26369"/>
    <cellStyle name="40% - Accent1 2 4" xfId="8439"/>
    <cellStyle name="40% - Accent1 2 5" xfId="8440"/>
    <cellStyle name="40% - Accent1 20" xfId="8441"/>
    <cellStyle name="40% - Accent1 20 2" xfId="8442"/>
    <cellStyle name="40% - Accent1 20 2 2" xfId="8443"/>
    <cellStyle name="40% - Accent1 20 2 2 2" xfId="26375"/>
    <cellStyle name="40% - Accent1 20 2 3" xfId="26374"/>
    <cellStyle name="40% - Accent1 20 3" xfId="8444"/>
    <cellStyle name="40% - Accent1 20 3 2" xfId="26376"/>
    <cellStyle name="40% - Accent1 20 4" xfId="26373"/>
    <cellStyle name="40% - Accent1 21" xfId="8445"/>
    <cellStyle name="40% - Accent1 21 2" xfId="8446"/>
    <cellStyle name="40% - Accent1 21 2 2" xfId="8447"/>
    <cellStyle name="40% - Accent1 21 2 2 2" xfId="26379"/>
    <cellStyle name="40% - Accent1 21 2 3" xfId="26378"/>
    <cellStyle name="40% - Accent1 21 3" xfId="8448"/>
    <cellStyle name="40% - Accent1 21 3 2" xfId="26380"/>
    <cellStyle name="40% - Accent1 21 4" xfId="26377"/>
    <cellStyle name="40% - Accent1 22" xfId="8449"/>
    <cellStyle name="40% - Accent1 23" xfId="8450"/>
    <cellStyle name="40% - Accent1 23 2" xfId="8451"/>
    <cellStyle name="40% - Accent1 23 2 2" xfId="26382"/>
    <cellStyle name="40% - Accent1 23 3" xfId="26381"/>
    <cellStyle name="40% - Accent1 24" xfId="8452"/>
    <cellStyle name="40% - Accent1 25" xfId="8453"/>
    <cellStyle name="40% - Accent1 25 2" xfId="26383"/>
    <cellStyle name="40% - Accent1 26" xfId="8454"/>
    <cellStyle name="40% - Accent1 26 2" xfId="26384"/>
    <cellStyle name="40% - Accent1 27" xfId="8455"/>
    <cellStyle name="40% - Accent1 27 2" xfId="26385"/>
    <cellStyle name="40% - Accent1 28" xfId="8456"/>
    <cellStyle name="40% - Accent1 28 2" xfId="26386"/>
    <cellStyle name="40% - Accent1 29" xfId="8457"/>
    <cellStyle name="40% - Accent1 29 2" xfId="26387"/>
    <cellStyle name="40% - Accent1 3" xfId="313"/>
    <cellStyle name="40% - Accent1 3 10" xfId="8458"/>
    <cellStyle name="40% - Accent1 3 10 2" xfId="26389"/>
    <cellStyle name="40% - Accent1 3 11" xfId="26388"/>
    <cellStyle name="40% - Accent1 3 2" xfId="656"/>
    <cellStyle name="40% - Accent1 3 2 2" xfId="8459"/>
    <cellStyle name="40% - Accent1 3 2 2 2" xfId="8460"/>
    <cellStyle name="40% - Accent1 3 2 2 2 2" xfId="8461"/>
    <cellStyle name="40% - Accent1 3 2 2 2 2 2" xfId="8462"/>
    <cellStyle name="40% - Accent1 3 2 2 2 2 2 2" xfId="8463"/>
    <cellStyle name="40% - Accent1 3 2 2 2 2 2 2 2" xfId="8464"/>
    <cellStyle name="40% - Accent1 3 2 2 2 2 2 2 2 2" xfId="26396"/>
    <cellStyle name="40% - Accent1 3 2 2 2 2 2 2 3" xfId="26395"/>
    <cellStyle name="40% - Accent1 3 2 2 2 2 2 3" xfId="8465"/>
    <cellStyle name="40% - Accent1 3 2 2 2 2 2 3 2" xfId="26397"/>
    <cellStyle name="40% - Accent1 3 2 2 2 2 2 4" xfId="26394"/>
    <cellStyle name="40% - Accent1 3 2 2 2 2 3" xfId="8466"/>
    <cellStyle name="40% - Accent1 3 2 2 2 2 3 2" xfId="8467"/>
    <cellStyle name="40% - Accent1 3 2 2 2 2 3 2 2" xfId="26399"/>
    <cellStyle name="40% - Accent1 3 2 2 2 2 3 3" xfId="26398"/>
    <cellStyle name="40% - Accent1 3 2 2 2 2 4" xfId="8468"/>
    <cellStyle name="40% - Accent1 3 2 2 2 2 4 2" xfId="26400"/>
    <cellStyle name="40% - Accent1 3 2 2 2 2 5" xfId="26393"/>
    <cellStyle name="40% - Accent1 3 2 2 2 3" xfId="8469"/>
    <cellStyle name="40% - Accent1 3 2 2 2 3 2" xfId="8470"/>
    <cellStyle name="40% - Accent1 3 2 2 2 3 2 2" xfId="8471"/>
    <cellStyle name="40% - Accent1 3 2 2 2 3 2 2 2" xfId="8472"/>
    <cellStyle name="40% - Accent1 3 2 2 2 3 2 2 2 2" xfId="26404"/>
    <cellStyle name="40% - Accent1 3 2 2 2 3 2 2 3" xfId="26403"/>
    <cellStyle name="40% - Accent1 3 2 2 2 3 2 3" xfId="8473"/>
    <cellStyle name="40% - Accent1 3 2 2 2 3 2 3 2" xfId="26405"/>
    <cellStyle name="40% - Accent1 3 2 2 2 3 2 4" xfId="26402"/>
    <cellStyle name="40% - Accent1 3 2 2 2 3 3" xfId="8474"/>
    <cellStyle name="40% - Accent1 3 2 2 2 3 3 2" xfId="8475"/>
    <cellStyle name="40% - Accent1 3 2 2 2 3 3 2 2" xfId="26407"/>
    <cellStyle name="40% - Accent1 3 2 2 2 3 3 3" xfId="26406"/>
    <cellStyle name="40% - Accent1 3 2 2 2 3 4" xfId="8476"/>
    <cellStyle name="40% - Accent1 3 2 2 2 3 4 2" xfId="26408"/>
    <cellStyle name="40% - Accent1 3 2 2 2 3 5" xfId="26401"/>
    <cellStyle name="40% - Accent1 3 2 2 2 4" xfId="8477"/>
    <cellStyle name="40% - Accent1 3 2 2 2 4 2" xfId="8478"/>
    <cellStyle name="40% - Accent1 3 2 2 2 4 2 2" xfId="8479"/>
    <cellStyle name="40% - Accent1 3 2 2 2 4 2 2 2" xfId="26411"/>
    <cellStyle name="40% - Accent1 3 2 2 2 4 2 3" xfId="26410"/>
    <cellStyle name="40% - Accent1 3 2 2 2 4 3" xfId="8480"/>
    <cellStyle name="40% - Accent1 3 2 2 2 4 3 2" xfId="26412"/>
    <cellStyle name="40% - Accent1 3 2 2 2 4 4" xfId="26409"/>
    <cellStyle name="40% - Accent1 3 2 2 2 5" xfId="8481"/>
    <cellStyle name="40% - Accent1 3 2 2 2 5 2" xfId="8482"/>
    <cellStyle name="40% - Accent1 3 2 2 2 5 2 2" xfId="26414"/>
    <cellStyle name="40% - Accent1 3 2 2 2 5 3" xfId="26413"/>
    <cellStyle name="40% - Accent1 3 2 2 2 6" xfId="8483"/>
    <cellStyle name="40% - Accent1 3 2 2 2 6 2" xfId="26415"/>
    <cellStyle name="40% - Accent1 3 2 2 2 7" xfId="26392"/>
    <cellStyle name="40% - Accent1 3 2 2 3" xfId="8484"/>
    <cellStyle name="40% - Accent1 3 2 2 3 2" xfId="8485"/>
    <cellStyle name="40% - Accent1 3 2 2 3 2 2" xfId="8486"/>
    <cellStyle name="40% - Accent1 3 2 2 3 2 2 2" xfId="8487"/>
    <cellStyle name="40% - Accent1 3 2 2 3 2 2 2 2" xfId="26419"/>
    <cellStyle name="40% - Accent1 3 2 2 3 2 2 3" xfId="26418"/>
    <cellStyle name="40% - Accent1 3 2 2 3 2 3" xfId="8488"/>
    <cellStyle name="40% - Accent1 3 2 2 3 2 3 2" xfId="26420"/>
    <cellStyle name="40% - Accent1 3 2 2 3 2 4" xfId="26417"/>
    <cellStyle name="40% - Accent1 3 2 2 3 3" xfId="8489"/>
    <cellStyle name="40% - Accent1 3 2 2 3 3 2" xfId="8490"/>
    <cellStyle name="40% - Accent1 3 2 2 3 3 2 2" xfId="26422"/>
    <cellStyle name="40% - Accent1 3 2 2 3 3 3" xfId="26421"/>
    <cellStyle name="40% - Accent1 3 2 2 3 4" xfId="8491"/>
    <cellStyle name="40% - Accent1 3 2 2 3 4 2" xfId="26423"/>
    <cellStyle name="40% - Accent1 3 2 2 3 5" xfId="26416"/>
    <cellStyle name="40% - Accent1 3 2 2 4" xfId="8492"/>
    <cellStyle name="40% - Accent1 3 2 2 4 2" xfId="8493"/>
    <cellStyle name="40% - Accent1 3 2 2 4 2 2" xfId="8494"/>
    <cellStyle name="40% - Accent1 3 2 2 4 2 2 2" xfId="8495"/>
    <cellStyle name="40% - Accent1 3 2 2 4 2 2 2 2" xfId="26427"/>
    <cellStyle name="40% - Accent1 3 2 2 4 2 2 3" xfId="26426"/>
    <cellStyle name="40% - Accent1 3 2 2 4 2 3" xfId="8496"/>
    <cellStyle name="40% - Accent1 3 2 2 4 2 3 2" xfId="26428"/>
    <cellStyle name="40% - Accent1 3 2 2 4 2 4" xfId="26425"/>
    <cellStyle name="40% - Accent1 3 2 2 4 3" xfId="8497"/>
    <cellStyle name="40% - Accent1 3 2 2 4 3 2" xfId="8498"/>
    <cellStyle name="40% - Accent1 3 2 2 4 3 2 2" xfId="26430"/>
    <cellStyle name="40% - Accent1 3 2 2 4 3 3" xfId="26429"/>
    <cellStyle name="40% - Accent1 3 2 2 4 4" xfId="8499"/>
    <cellStyle name="40% - Accent1 3 2 2 4 4 2" xfId="26431"/>
    <cellStyle name="40% - Accent1 3 2 2 4 5" xfId="26424"/>
    <cellStyle name="40% - Accent1 3 2 2 5" xfId="8500"/>
    <cellStyle name="40% - Accent1 3 2 2 5 2" xfId="8501"/>
    <cellStyle name="40% - Accent1 3 2 2 5 2 2" xfId="8502"/>
    <cellStyle name="40% - Accent1 3 2 2 5 2 2 2" xfId="26434"/>
    <cellStyle name="40% - Accent1 3 2 2 5 2 3" xfId="26433"/>
    <cellStyle name="40% - Accent1 3 2 2 5 3" xfId="8503"/>
    <cellStyle name="40% - Accent1 3 2 2 5 3 2" xfId="26435"/>
    <cellStyle name="40% - Accent1 3 2 2 5 4" xfId="26432"/>
    <cellStyle name="40% - Accent1 3 2 2 6" xfId="8504"/>
    <cellStyle name="40% - Accent1 3 2 2 6 2" xfId="8505"/>
    <cellStyle name="40% - Accent1 3 2 2 6 2 2" xfId="26437"/>
    <cellStyle name="40% - Accent1 3 2 2 6 3" xfId="26436"/>
    <cellStyle name="40% - Accent1 3 2 2 7" xfId="8506"/>
    <cellStyle name="40% - Accent1 3 2 2 7 2" xfId="26438"/>
    <cellStyle name="40% - Accent1 3 2 2 8" xfId="26391"/>
    <cellStyle name="40% - Accent1 3 2 3" xfId="8507"/>
    <cellStyle name="40% - Accent1 3 2 3 2" xfId="8508"/>
    <cellStyle name="40% - Accent1 3 2 3 2 2" xfId="8509"/>
    <cellStyle name="40% - Accent1 3 2 3 2 2 2" xfId="8510"/>
    <cellStyle name="40% - Accent1 3 2 3 2 2 2 2" xfId="8511"/>
    <cellStyle name="40% - Accent1 3 2 3 2 2 2 2 2" xfId="26443"/>
    <cellStyle name="40% - Accent1 3 2 3 2 2 2 3" xfId="26442"/>
    <cellStyle name="40% - Accent1 3 2 3 2 2 3" xfId="8512"/>
    <cellStyle name="40% - Accent1 3 2 3 2 2 3 2" xfId="26444"/>
    <cellStyle name="40% - Accent1 3 2 3 2 2 4" xfId="26441"/>
    <cellStyle name="40% - Accent1 3 2 3 2 3" xfId="8513"/>
    <cellStyle name="40% - Accent1 3 2 3 2 3 2" xfId="8514"/>
    <cellStyle name="40% - Accent1 3 2 3 2 3 2 2" xfId="26446"/>
    <cellStyle name="40% - Accent1 3 2 3 2 3 3" xfId="26445"/>
    <cellStyle name="40% - Accent1 3 2 3 2 4" xfId="8515"/>
    <cellStyle name="40% - Accent1 3 2 3 2 4 2" xfId="26447"/>
    <cellStyle name="40% - Accent1 3 2 3 2 5" xfId="26440"/>
    <cellStyle name="40% - Accent1 3 2 3 3" xfId="8516"/>
    <cellStyle name="40% - Accent1 3 2 3 3 2" xfId="8517"/>
    <cellStyle name="40% - Accent1 3 2 3 3 2 2" xfId="8518"/>
    <cellStyle name="40% - Accent1 3 2 3 3 2 2 2" xfId="8519"/>
    <cellStyle name="40% - Accent1 3 2 3 3 2 2 2 2" xfId="26451"/>
    <cellStyle name="40% - Accent1 3 2 3 3 2 2 3" xfId="26450"/>
    <cellStyle name="40% - Accent1 3 2 3 3 2 3" xfId="8520"/>
    <cellStyle name="40% - Accent1 3 2 3 3 2 3 2" xfId="26452"/>
    <cellStyle name="40% - Accent1 3 2 3 3 2 4" xfId="26449"/>
    <cellStyle name="40% - Accent1 3 2 3 3 3" xfId="8521"/>
    <cellStyle name="40% - Accent1 3 2 3 3 3 2" xfId="8522"/>
    <cellStyle name="40% - Accent1 3 2 3 3 3 2 2" xfId="26454"/>
    <cellStyle name="40% - Accent1 3 2 3 3 3 3" xfId="26453"/>
    <cellStyle name="40% - Accent1 3 2 3 3 4" xfId="8523"/>
    <cellStyle name="40% - Accent1 3 2 3 3 4 2" xfId="26455"/>
    <cellStyle name="40% - Accent1 3 2 3 3 5" xfId="26448"/>
    <cellStyle name="40% - Accent1 3 2 3 4" xfId="8524"/>
    <cellStyle name="40% - Accent1 3 2 3 4 2" xfId="8525"/>
    <cellStyle name="40% - Accent1 3 2 3 4 2 2" xfId="8526"/>
    <cellStyle name="40% - Accent1 3 2 3 4 2 2 2" xfId="26458"/>
    <cellStyle name="40% - Accent1 3 2 3 4 2 3" xfId="26457"/>
    <cellStyle name="40% - Accent1 3 2 3 4 3" xfId="8527"/>
    <cellStyle name="40% - Accent1 3 2 3 4 3 2" xfId="26459"/>
    <cellStyle name="40% - Accent1 3 2 3 4 4" xfId="26456"/>
    <cellStyle name="40% - Accent1 3 2 3 5" xfId="8528"/>
    <cellStyle name="40% - Accent1 3 2 3 5 2" xfId="8529"/>
    <cellStyle name="40% - Accent1 3 2 3 5 2 2" xfId="26461"/>
    <cellStyle name="40% - Accent1 3 2 3 5 3" xfId="26460"/>
    <cellStyle name="40% - Accent1 3 2 3 6" xfId="8530"/>
    <cellStyle name="40% - Accent1 3 2 3 6 2" xfId="26462"/>
    <cellStyle name="40% - Accent1 3 2 3 7" xfId="26439"/>
    <cellStyle name="40% - Accent1 3 2 4" xfId="8531"/>
    <cellStyle name="40% - Accent1 3 2 4 2" xfId="8532"/>
    <cellStyle name="40% - Accent1 3 2 4 2 2" xfId="8533"/>
    <cellStyle name="40% - Accent1 3 2 4 2 2 2" xfId="8534"/>
    <cellStyle name="40% - Accent1 3 2 4 2 2 2 2" xfId="26466"/>
    <cellStyle name="40% - Accent1 3 2 4 2 2 3" xfId="26465"/>
    <cellStyle name="40% - Accent1 3 2 4 2 3" xfId="8535"/>
    <cellStyle name="40% - Accent1 3 2 4 2 3 2" xfId="26467"/>
    <cellStyle name="40% - Accent1 3 2 4 2 4" xfId="26464"/>
    <cellStyle name="40% - Accent1 3 2 4 3" xfId="8536"/>
    <cellStyle name="40% - Accent1 3 2 4 3 2" xfId="8537"/>
    <cellStyle name="40% - Accent1 3 2 4 3 2 2" xfId="26469"/>
    <cellStyle name="40% - Accent1 3 2 4 3 3" xfId="26468"/>
    <cellStyle name="40% - Accent1 3 2 4 4" xfId="8538"/>
    <cellStyle name="40% - Accent1 3 2 4 4 2" xfId="26470"/>
    <cellStyle name="40% - Accent1 3 2 4 5" xfId="26463"/>
    <cellStyle name="40% - Accent1 3 2 5" xfId="8539"/>
    <cellStyle name="40% - Accent1 3 2 5 2" xfId="8540"/>
    <cellStyle name="40% - Accent1 3 2 5 2 2" xfId="8541"/>
    <cellStyle name="40% - Accent1 3 2 5 2 2 2" xfId="8542"/>
    <cellStyle name="40% - Accent1 3 2 5 2 2 2 2" xfId="26474"/>
    <cellStyle name="40% - Accent1 3 2 5 2 2 3" xfId="26473"/>
    <cellStyle name="40% - Accent1 3 2 5 2 3" xfId="8543"/>
    <cellStyle name="40% - Accent1 3 2 5 2 3 2" xfId="26475"/>
    <cellStyle name="40% - Accent1 3 2 5 2 4" xfId="26472"/>
    <cellStyle name="40% - Accent1 3 2 5 3" xfId="8544"/>
    <cellStyle name="40% - Accent1 3 2 5 3 2" xfId="8545"/>
    <cellStyle name="40% - Accent1 3 2 5 3 2 2" xfId="26477"/>
    <cellStyle name="40% - Accent1 3 2 5 3 3" xfId="26476"/>
    <cellStyle name="40% - Accent1 3 2 5 4" xfId="8546"/>
    <cellStyle name="40% - Accent1 3 2 5 4 2" xfId="26478"/>
    <cellStyle name="40% - Accent1 3 2 5 5" xfId="26471"/>
    <cellStyle name="40% - Accent1 3 2 6" xfId="8547"/>
    <cellStyle name="40% - Accent1 3 2 6 2" xfId="8548"/>
    <cellStyle name="40% - Accent1 3 2 6 2 2" xfId="8549"/>
    <cellStyle name="40% - Accent1 3 2 6 2 2 2" xfId="26481"/>
    <cellStyle name="40% - Accent1 3 2 6 2 3" xfId="26480"/>
    <cellStyle name="40% - Accent1 3 2 6 3" xfId="8550"/>
    <cellStyle name="40% - Accent1 3 2 6 3 2" xfId="26482"/>
    <cellStyle name="40% - Accent1 3 2 6 4" xfId="26479"/>
    <cellStyle name="40% - Accent1 3 2 7" xfId="8551"/>
    <cellStyle name="40% - Accent1 3 2 7 2" xfId="8552"/>
    <cellStyle name="40% - Accent1 3 2 7 2 2" xfId="26484"/>
    <cellStyle name="40% - Accent1 3 2 7 3" xfId="26483"/>
    <cellStyle name="40% - Accent1 3 2 8" xfId="8553"/>
    <cellStyle name="40% - Accent1 3 2 8 2" xfId="26485"/>
    <cellStyle name="40% - Accent1 3 2 9" xfId="26390"/>
    <cellStyle name="40% - Accent1 3 3" xfId="8554"/>
    <cellStyle name="40% - Accent1 3 3 2" xfId="8555"/>
    <cellStyle name="40% - Accent1 3 3 2 2" xfId="8556"/>
    <cellStyle name="40% - Accent1 3 3 2 2 2" xfId="8557"/>
    <cellStyle name="40% - Accent1 3 3 2 2 2 2" xfId="8558"/>
    <cellStyle name="40% - Accent1 3 3 2 2 2 2 2" xfId="8559"/>
    <cellStyle name="40% - Accent1 3 3 2 2 2 2 2 2" xfId="26491"/>
    <cellStyle name="40% - Accent1 3 3 2 2 2 2 3" xfId="26490"/>
    <cellStyle name="40% - Accent1 3 3 2 2 2 3" xfId="8560"/>
    <cellStyle name="40% - Accent1 3 3 2 2 2 3 2" xfId="26492"/>
    <cellStyle name="40% - Accent1 3 3 2 2 2 4" xfId="26489"/>
    <cellStyle name="40% - Accent1 3 3 2 2 3" xfId="8561"/>
    <cellStyle name="40% - Accent1 3 3 2 2 3 2" xfId="8562"/>
    <cellStyle name="40% - Accent1 3 3 2 2 3 2 2" xfId="26494"/>
    <cellStyle name="40% - Accent1 3 3 2 2 3 3" xfId="26493"/>
    <cellStyle name="40% - Accent1 3 3 2 2 4" xfId="8563"/>
    <cellStyle name="40% - Accent1 3 3 2 2 4 2" xfId="26495"/>
    <cellStyle name="40% - Accent1 3 3 2 2 5" xfId="26488"/>
    <cellStyle name="40% - Accent1 3 3 2 3" xfId="8564"/>
    <cellStyle name="40% - Accent1 3 3 2 3 2" xfId="8565"/>
    <cellStyle name="40% - Accent1 3 3 2 3 2 2" xfId="8566"/>
    <cellStyle name="40% - Accent1 3 3 2 3 2 2 2" xfId="8567"/>
    <cellStyle name="40% - Accent1 3 3 2 3 2 2 2 2" xfId="26499"/>
    <cellStyle name="40% - Accent1 3 3 2 3 2 2 3" xfId="26498"/>
    <cellStyle name="40% - Accent1 3 3 2 3 2 3" xfId="8568"/>
    <cellStyle name="40% - Accent1 3 3 2 3 2 3 2" xfId="26500"/>
    <cellStyle name="40% - Accent1 3 3 2 3 2 4" xfId="26497"/>
    <cellStyle name="40% - Accent1 3 3 2 3 3" xfId="8569"/>
    <cellStyle name="40% - Accent1 3 3 2 3 3 2" xfId="8570"/>
    <cellStyle name="40% - Accent1 3 3 2 3 3 2 2" xfId="26502"/>
    <cellStyle name="40% - Accent1 3 3 2 3 3 3" xfId="26501"/>
    <cellStyle name="40% - Accent1 3 3 2 3 4" xfId="8571"/>
    <cellStyle name="40% - Accent1 3 3 2 3 4 2" xfId="26503"/>
    <cellStyle name="40% - Accent1 3 3 2 3 5" xfId="26496"/>
    <cellStyle name="40% - Accent1 3 3 2 4" xfId="8572"/>
    <cellStyle name="40% - Accent1 3 3 2 4 2" xfId="8573"/>
    <cellStyle name="40% - Accent1 3 3 2 4 2 2" xfId="8574"/>
    <cellStyle name="40% - Accent1 3 3 2 4 2 2 2" xfId="26506"/>
    <cellStyle name="40% - Accent1 3 3 2 4 2 3" xfId="26505"/>
    <cellStyle name="40% - Accent1 3 3 2 4 3" xfId="8575"/>
    <cellStyle name="40% - Accent1 3 3 2 4 3 2" xfId="26507"/>
    <cellStyle name="40% - Accent1 3 3 2 4 4" xfId="26504"/>
    <cellStyle name="40% - Accent1 3 3 2 5" xfId="8576"/>
    <cellStyle name="40% - Accent1 3 3 2 5 2" xfId="8577"/>
    <cellStyle name="40% - Accent1 3 3 2 5 2 2" xfId="26509"/>
    <cellStyle name="40% - Accent1 3 3 2 5 3" xfId="26508"/>
    <cellStyle name="40% - Accent1 3 3 2 6" xfId="8578"/>
    <cellStyle name="40% - Accent1 3 3 2 6 2" xfId="26510"/>
    <cellStyle name="40% - Accent1 3 3 2 7" xfId="26487"/>
    <cellStyle name="40% - Accent1 3 3 3" xfId="8579"/>
    <cellStyle name="40% - Accent1 3 3 3 2" xfId="8580"/>
    <cellStyle name="40% - Accent1 3 3 3 2 2" xfId="8581"/>
    <cellStyle name="40% - Accent1 3 3 3 2 2 2" xfId="8582"/>
    <cellStyle name="40% - Accent1 3 3 3 2 2 2 2" xfId="26514"/>
    <cellStyle name="40% - Accent1 3 3 3 2 2 3" xfId="26513"/>
    <cellStyle name="40% - Accent1 3 3 3 2 3" xfId="8583"/>
    <cellStyle name="40% - Accent1 3 3 3 2 3 2" xfId="26515"/>
    <cellStyle name="40% - Accent1 3 3 3 2 4" xfId="26512"/>
    <cellStyle name="40% - Accent1 3 3 3 3" xfId="8584"/>
    <cellStyle name="40% - Accent1 3 3 3 3 2" xfId="8585"/>
    <cellStyle name="40% - Accent1 3 3 3 3 2 2" xfId="26517"/>
    <cellStyle name="40% - Accent1 3 3 3 3 3" xfId="26516"/>
    <cellStyle name="40% - Accent1 3 3 3 4" xfId="8586"/>
    <cellStyle name="40% - Accent1 3 3 3 4 2" xfId="26518"/>
    <cellStyle name="40% - Accent1 3 3 3 5" xfId="26511"/>
    <cellStyle name="40% - Accent1 3 3 4" xfId="8587"/>
    <cellStyle name="40% - Accent1 3 3 4 2" xfId="8588"/>
    <cellStyle name="40% - Accent1 3 3 4 2 2" xfId="8589"/>
    <cellStyle name="40% - Accent1 3 3 4 2 2 2" xfId="8590"/>
    <cellStyle name="40% - Accent1 3 3 4 2 2 2 2" xfId="26522"/>
    <cellStyle name="40% - Accent1 3 3 4 2 2 3" xfId="26521"/>
    <cellStyle name="40% - Accent1 3 3 4 2 3" xfId="8591"/>
    <cellStyle name="40% - Accent1 3 3 4 2 3 2" xfId="26523"/>
    <cellStyle name="40% - Accent1 3 3 4 2 4" xfId="26520"/>
    <cellStyle name="40% - Accent1 3 3 4 3" xfId="8592"/>
    <cellStyle name="40% - Accent1 3 3 4 3 2" xfId="8593"/>
    <cellStyle name="40% - Accent1 3 3 4 3 2 2" xfId="26525"/>
    <cellStyle name="40% - Accent1 3 3 4 3 3" xfId="26524"/>
    <cellStyle name="40% - Accent1 3 3 4 4" xfId="8594"/>
    <cellStyle name="40% - Accent1 3 3 4 4 2" xfId="26526"/>
    <cellStyle name="40% - Accent1 3 3 4 5" xfId="26519"/>
    <cellStyle name="40% - Accent1 3 3 5" xfId="8595"/>
    <cellStyle name="40% - Accent1 3 3 5 2" xfId="8596"/>
    <cellStyle name="40% - Accent1 3 3 5 2 2" xfId="8597"/>
    <cellStyle name="40% - Accent1 3 3 5 2 2 2" xfId="26529"/>
    <cellStyle name="40% - Accent1 3 3 5 2 3" xfId="26528"/>
    <cellStyle name="40% - Accent1 3 3 5 3" xfId="8598"/>
    <cellStyle name="40% - Accent1 3 3 5 3 2" xfId="26530"/>
    <cellStyle name="40% - Accent1 3 3 5 4" xfId="26527"/>
    <cellStyle name="40% - Accent1 3 3 6" xfId="8599"/>
    <cellStyle name="40% - Accent1 3 3 6 2" xfId="8600"/>
    <cellStyle name="40% - Accent1 3 3 6 2 2" xfId="26532"/>
    <cellStyle name="40% - Accent1 3 3 6 3" xfId="26531"/>
    <cellStyle name="40% - Accent1 3 3 7" xfId="8601"/>
    <cellStyle name="40% - Accent1 3 3 7 2" xfId="26533"/>
    <cellStyle name="40% - Accent1 3 3 8" xfId="26486"/>
    <cellStyle name="40% - Accent1 3 4" xfId="8602"/>
    <cellStyle name="40% - Accent1 3 4 2" xfId="8603"/>
    <cellStyle name="40% - Accent1 3 4 2 2" xfId="8604"/>
    <cellStyle name="40% - Accent1 3 4 2 2 2" xfId="8605"/>
    <cellStyle name="40% - Accent1 3 4 2 2 2 2" xfId="8606"/>
    <cellStyle name="40% - Accent1 3 4 2 2 2 2 2" xfId="26538"/>
    <cellStyle name="40% - Accent1 3 4 2 2 2 3" xfId="26537"/>
    <cellStyle name="40% - Accent1 3 4 2 2 3" xfId="8607"/>
    <cellStyle name="40% - Accent1 3 4 2 2 3 2" xfId="26539"/>
    <cellStyle name="40% - Accent1 3 4 2 2 4" xfId="26536"/>
    <cellStyle name="40% - Accent1 3 4 2 3" xfId="8608"/>
    <cellStyle name="40% - Accent1 3 4 2 3 2" xfId="8609"/>
    <cellStyle name="40% - Accent1 3 4 2 3 2 2" xfId="26541"/>
    <cellStyle name="40% - Accent1 3 4 2 3 3" xfId="26540"/>
    <cellStyle name="40% - Accent1 3 4 2 4" xfId="8610"/>
    <cellStyle name="40% - Accent1 3 4 2 4 2" xfId="26542"/>
    <cellStyle name="40% - Accent1 3 4 2 5" xfId="26535"/>
    <cellStyle name="40% - Accent1 3 4 3" xfId="8611"/>
    <cellStyle name="40% - Accent1 3 4 3 2" xfId="8612"/>
    <cellStyle name="40% - Accent1 3 4 3 2 2" xfId="8613"/>
    <cellStyle name="40% - Accent1 3 4 3 2 2 2" xfId="8614"/>
    <cellStyle name="40% - Accent1 3 4 3 2 2 2 2" xfId="26546"/>
    <cellStyle name="40% - Accent1 3 4 3 2 2 3" xfId="26545"/>
    <cellStyle name="40% - Accent1 3 4 3 2 3" xfId="8615"/>
    <cellStyle name="40% - Accent1 3 4 3 2 3 2" xfId="26547"/>
    <cellStyle name="40% - Accent1 3 4 3 2 4" xfId="26544"/>
    <cellStyle name="40% - Accent1 3 4 3 3" xfId="8616"/>
    <cellStyle name="40% - Accent1 3 4 3 3 2" xfId="8617"/>
    <cellStyle name="40% - Accent1 3 4 3 3 2 2" xfId="26549"/>
    <cellStyle name="40% - Accent1 3 4 3 3 3" xfId="26548"/>
    <cellStyle name="40% - Accent1 3 4 3 4" xfId="8618"/>
    <cellStyle name="40% - Accent1 3 4 3 4 2" xfId="26550"/>
    <cellStyle name="40% - Accent1 3 4 3 5" xfId="26543"/>
    <cellStyle name="40% - Accent1 3 4 4" xfId="8619"/>
    <cellStyle name="40% - Accent1 3 4 4 2" xfId="8620"/>
    <cellStyle name="40% - Accent1 3 4 4 2 2" xfId="8621"/>
    <cellStyle name="40% - Accent1 3 4 4 2 2 2" xfId="26553"/>
    <cellStyle name="40% - Accent1 3 4 4 2 3" xfId="26552"/>
    <cellStyle name="40% - Accent1 3 4 4 3" xfId="8622"/>
    <cellStyle name="40% - Accent1 3 4 4 3 2" xfId="26554"/>
    <cellStyle name="40% - Accent1 3 4 4 4" xfId="26551"/>
    <cellStyle name="40% - Accent1 3 4 5" xfId="8623"/>
    <cellStyle name="40% - Accent1 3 4 5 2" xfId="8624"/>
    <cellStyle name="40% - Accent1 3 4 5 2 2" xfId="26556"/>
    <cellStyle name="40% - Accent1 3 4 5 3" xfId="26555"/>
    <cellStyle name="40% - Accent1 3 4 6" xfId="8625"/>
    <cellStyle name="40% - Accent1 3 4 6 2" xfId="26557"/>
    <cellStyle name="40% - Accent1 3 4 7" xfId="26534"/>
    <cellStyle name="40% - Accent1 3 5" xfId="8626"/>
    <cellStyle name="40% - Accent1 3 5 2" xfId="8627"/>
    <cellStyle name="40% - Accent1 3 5 2 2" xfId="8628"/>
    <cellStyle name="40% - Accent1 3 5 2 2 2" xfId="8629"/>
    <cellStyle name="40% - Accent1 3 5 2 2 2 2" xfId="26561"/>
    <cellStyle name="40% - Accent1 3 5 2 2 3" xfId="26560"/>
    <cellStyle name="40% - Accent1 3 5 2 3" xfId="8630"/>
    <cellStyle name="40% - Accent1 3 5 2 3 2" xfId="26562"/>
    <cellStyle name="40% - Accent1 3 5 2 4" xfId="26559"/>
    <cellStyle name="40% - Accent1 3 5 3" xfId="8631"/>
    <cellStyle name="40% - Accent1 3 5 3 2" xfId="8632"/>
    <cellStyle name="40% - Accent1 3 5 3 2 2" xfId="26564"/>
    <cellStyle name="40% - Accent1 3 5 3 3" xfId="26563"/>
    <cellStyle name="40% - Accent1 3 5 4" xfId="8633"/>
    <cellStyle name="40% - Accent1 3 5 4 2" xfId="26565"/>
    <cellStyle name="40% - Accent1 3 5 5" xfId="26558"/>
    <cellStyle name="40% - Accent1 3 6" xfId="8634"/>
    <cellStyle name="40% - Accent1 3 6 2" xfId="8635"/>
    <cellStyle name="40% - Accent1 3 6 2 2" xfId="8636"/>
    <cellStyle name="40% - Accent1 3 6 2 2 2" xfId="8637"/>
    <cellStyle name="40% - Accent1 3 6 2 2 2 2" xfId="26569"/>
    <cellStyle name="40% - Accent1 3 6 2 2 3" xfId="26568"/>
    <cellStyle name="40% - Accent1 3 6 2 3" xfId="8638"/>
    <cellStyle name="40% - Accent1 3 6 2 3 2" xfId="26570"/>
    <cellStyle name="40% - Accent1 3 6 2 4" xfId="26567"/>
    <cellStyle name="40% - Accent1 3 6 3" xfId="8639"/>
    <cellStyle name="40% - Accent1 3 6 3 2" xfId="8640"/>
    <cellStyle name="40% - Accent1 3 6 3 2 2" xfId="26572"/>
    <cellStyle name="40% - Accent1 3 6 3 3" xfId="26571"/>
    <cellStyle name="40% - Accent1 3 6 4" xfId="8641"/>
    <cellStyle name="40% - Accent1 3 6 4 2" xfId="26573"/>
    <cellStyle name="40% - Accent1 3 6 5" xfId="26566"/>
    <cellStyle name="40% - Accent1 3 7" xfId="8642"/>
    <cellStyle name="40% - Accent1 3 7 2" xfId="8643"/>
    <cellStyle name="40% - Accent1 3 7 2 2" xfId="8644"/>
    <cellStyle name="40% - Accent1 3 7 2 2 2" xfId="26576"/>
    <cellStyle name="40% - Accent1 3 7 2 3" xfId="26575"/>
    <cellStyle name="40% - Accent1 3 7 3" xfId="8645"/>
    <cellStyle name="40% - Accent1 3 7 3 2" xfId="26577"/>
    <cellStyle name="40% - Accent1 3 7 4" xfId="26574"/>
    <cellStyle name="40% - Accent1 3 8" xfId="8646"/>
    <cellStyle name="40% - Accent1 3 8 2" xfId="8647"/>
    <cellStyle name="40% - Accent1 3 8 2 2" xfId="26579"/>
    <cellStyle name="40% - Accent1 3 8 3" xfId="26578"/>
    <cellStyle name="40% - Accent1 3 9" xfId="8648"/>
    <cellStyle name="40% - Accent1 3 9 2" xfId="26580"/>
    <cellStyle name="40% - Accent1 30" xfId="8649"/>
    <cellStyle name="40% - Accent1 30 2" xfId="26581"/>
    <cellStyle name="40% - Accent1 31" xfId="8650"/>
    <cellStyle name="40% - Accent1 31 2" xfId="26582"/>
    <cellStyle name="40% - Accent1 32" xfId="8651"/>
    <cellStyle name="40% - Accent1 4" xfId="657"/>
    <cellStyle name="40% - Accent1 4 2" xfId="8652"/>
    <cellStyle name="40% - Accent1 4 2 2" xfId="8653"/>
    <cellStyle name="40% - Accent1 4 2 2 2" xfId="8654"/>
    <cellStyle name="40% - Accent1 4 2 2 2 2" xfId="8655"/>
    <cellStyle name="40% - Accent1 4 2 2 2 2 2" xfId="8656"/>
    <cellStyle name="40% - Accent1 4 2 2 2 2 2 2" xfId="8657"/>
    <cellStyle name="40% - Accent1 4 2 2 2 2 2 2 2" xfId="8658"/>
    <cellStyle name="40% - Accent1 4 2 2 2 2 2 2 2 2" xfId="26589"/>
    <cellStyle name="40% - Accent1 4 2 2 2 2 2 2 3" xfId="26588"/>
    <cellStyle name="40% - Accent1 4 2 2 2 2 2 3" xfId="8659"/>
    <cellStyle name="40% - Accent1 4 2 2 2 2 2 3 2" xfId="26590"/>
    <cellStyle name="40% - Accent1 4 2 2 2 2 2 4" xfId="26587"/>
    <cellStyle name="40% - Accent1 4 2 2 2 2 3" xfId="8660"/>
    <cellStyle name="40% - Accent1 4 2 2 2 2 3 2" xfId="8661"/>
    <cellStyle name="40% - Accent1 4 2 2 2 2 3 2 2" xfId="26592"/>
    <cellStyle name="40% - Accent1 4 2 2 2 2 3 3" xfId="26591"/>
    <cellStyle name="40% - Accent1 4 2 2 2 2 4" xfId="8662"/>
    <cellStyle name="40% - Accent1 4 2 2 2 2 4 2" xfId="26593"/>
    <cellStyle name="40% - Accent1 4 2 2 2 2 5" xfId="26586"/>
    <cellStyle name="40% - Accent1 4 2 2 2 3" xfId="8663"/>
    <cellStyle name="40% - Accent1 4 2 2 2 3 2" xfId="8664"/>
    <cellStyle name="40% - Accent1 4 2 2 2 3 2 2" xfId="8665"/>
    <cellStyle name="40% - Accent1 4 2 2 2 3 2 2 2" xfId="8666"/>
    <cellStyle name="40% - Accent1 4 2 2 2 3 2 2 2 2" xfId="26597"/>
    <cellStyle name="40% - Accent1 4 2 2 2 3 2 2 3" xfId="26596"/>
    <cellStyle name="40% - Accent1 4 2 2 2 3 2 3" xfId="8667"/>
    <cellStyle name="40% - Accent1 4 2 2 2 3 2 3 2" xfId="26598"/>
    <cellStyle name="40% - Accent1 4 2 2 2 3 2 4" xfId="26595"/>
    <cellStyle name="40% - Accent1 4 2 2 2 3 3" xfId="8668"/>
    <cellStyle name="40% - Accent1 4 2 2 2 3 3 2" xfId="8669"/>
    <cellStyle name="40% - Accent1 4 2 2 2 3 3 2 2" xfId="26600"/>
    <cellStyle name="40% - Accent1 4 2 2 2 3 3 3" xfId="26599"/>
    <cellStyle name="40% - Accent1 4 2 2 2 3 4" xfId="8670"/>
    <cellStyle name="40% - Accent1 4 2 2 2 3 4 2" xfId="26601"/>
    <cellStyle name="40% - Accent1 4 2 2 2 3 5" xfId="26594"/>
    <cellStyle name="40% - Accent1 4 2 2 2 4" xfId="8671"/>
    <cellStyle name="40% - Accent1 4 2 2 2 4 2" xfId="8672"/>
    <cellStyle name="40% - Accent1 4 2 2 2 4 2 2" xfId="8673"/>
    <cellStyle name="40% - Accent1 4 2 2 2 4 2 2 2" xfId="26604"/>
    <cellStyle name="40% - Accent1 4 2 2 2 4 2 3" xfId="26603"/>
    <cellStyle name="40% - Accent1 4 2 2 2 4 3" xfId="8674"/>
    <cellStyle name="40% - Accent1 4 2 2 2 4 3 2" xfId="26605"/>
    <cellStyle name="40% - Accent1 4 2 2 2 4 4" xfId="26602"/>
    <cellStyle name="40% - Accent1 4 2 2 2 5" xfId="8675"/>
    <cellStyle name="40% - Accent1 4 2 2 2 5 2" xfId="8676"/>
    <cellStyle name="40% - Accent1 4 2 2 2 5 2 2" xfId="26607"/>
    <cellStyle name="40% - Accent1 4 2 2 2 5 3" xfId="26606"/>
    <cellStyle name="40% - Accent1 4 2 2 2 6" xfId="8677"/>
    <cellStyle name="40% - Accent1 4 2 2 2 6 2" xfId="26608"/>
    <cellStyle name="40% - Accent1 4 2 2 2 7" xfId="26585"/>
    <cellStyle name="40% - Accent1 4 2 2 3" xfId="8678"/>
    <cellStyle name="40% - Accent1 4 2 2 3 2" xfId="8679"/>
    <cellStyle name="40% - Accent1 4 2 2 3 2 2" xfId="8680"/>
    <cellStyle name="40% - Accent1 4 2 2 3 2 2 2" xfId="8681"/>
    <cellStyle name="40% - Accent1 4 2 2 3 2 2 2 2" xfId="26612"/>
    <cellStyle name="40% - Accent1 4 2 2 3 2 2 3" xfId="26611"/>
    <cellStyle name="40% - Accent1 4 2 2 3 2 3" xfId="8682"/>
    <cellStyle name="40% - Accent1 4 2 2 3 2 3 2" xfId="26613"/>
    <cellStyle name="40% - Accent1 4 2 2 3 2 4" xfId="26610"/>
    <cellStyle name="40% - Accent1 4 2 2 3 3" xfId="8683"/>
    <cellStyle name="40% - Accent1 4 2 2 3 3 2" xfId="8684"/>
    <cellStyle name="40% - Accent1 4 2 2 3 3 2 2" xfId="26615"/>
    <cellStyle name="40% - Accent1 4 2 2 3 3 3" xfId="26614"/>
    <cellStyle name="40% - Accent1 4 2 2 3 4" xfId="8685"/>
    <cellStyle name="40% - Accent1 4 2 2 3 4 2" xfId="26616"/>
    <cellStyle name="40% - Accent1 4 2 2 3 5" xfId="26609"/>
    <cellStyle name="40% - Accent1 4 2 2 4" xfId="8686"/>
    <cellStyle name="40% - Accent1 4 2 2 4 2" xfId="8687"/>
    <cellStyle name="40% - Accent1 4 2 2 4 2 2" xfId="8688"/>
    <cellStyle name="40% - Accent1 4 2 2 4 2 2 2" xfId="8689"/>
    <cellStyle name="40% - Accent1 4 2 2 4 2 2 2 2" xfId="26620"/>
    <cellStyle name="40% - Accent1 4 2 2 4 2 2 3" xfId="26619"/>
    <cellStyle name="40% - Accent1 4 2 2 4 2 3" xfId="8690"/>
    <cellStyle name="40% - Accent1 4 2 2 4 2 3 2" xfId="26621"/>
    <cellStyle name="40% - Accent1 4 2 2 4 2 4" xfId="26618"/>
    <cellStyle name="40% - Accent1 4 2 2 4 3" xfId="8691"/>
    <cellStyle name="40% - Accent1 4 2 2 4 3 2" xfId="8692"/>
    <cellStyle name="40% - Accent1 4 2 2 4 3 2 2" xfId="26623"/>
    <cellStyle name="40% - Accent1 4 2 2 4 3 3" xfId="26622"/>
    <cellStyle name="40% - Accent1 4 2 2 4 4" xfId="8693"/>
    <cellStyle name="40% - Accent1 4 2 2 4 4 2" xfId="26624"/>
    <cellStyle name="40% - Accent1 4 2 2 4 5" xfId="26617"/>
    <cellStyle name="40% - Accent1 4 2 2 5" xfId="8694"/>
    <cellStyle name="40% - Accent1 4 2 2 5 2" xfId="8695"/>
    <cellStyle name="40% - Accent1 4 2 2 5 2 2" xfId="8696"/>
    <cellStyle name="40% - Accent1 4 2 2 5 2 2 2" xfId="26627"/>
    <cellStyle name="40% - Accent1 4 2 2 5 2 3" xfId="26626"/>
    <cellStyle name="40% - Accent1 4 2 2 5 3" xfId="8697"/>
    <cellStyle name="40% - Accent1 4 2 2 5 3 2" xfId="26628"/>
    <cellStyle name="40% - Accent1 4 2 2 5 4" xfId="26625"/>
    <cellStyle name="40% - Accent1 4 2 2 6" xfId="8698"/>
    <cellStyle name="40% - Accent1 4 2 2 6 2" xfId="8699"/>
    <cellStyle name="40% - Accent1 4 2 2 6 2 2" xfId="26630"/>
    <cellStyle name="40% - Accent1 4 2 2 6 3" xfId="26629"/>
    <cellStyle name="40% - Accent1 4 2 2 7" xfId="8700"/>
    <cellStyle name="40% - Accent1 4 2 2 7 2" xfId="26631"/>
    <cellStyle name="40% - Accent1 4 2 2 8" xfId="26584"/>
    <cellStyle name="40% - Accent1 4 2 3" xfId="8701"/>
    <cellStyle name="40% - Accent1 4 2 3 2" xfId="8702"/>
    <cellStyle name="40% - Accent1 4 2 3 2 2" xfId="8703"/>
    <cellStyle name="40% - Accent1 4 2 3 2 2 2" xfId="8704"/>
    <cellStyle name="40% - Accent1 4 2 3 2 2 2 2" xfId="8705"/>
    <cellStyle name="40% - Accent1 4 2 3 2 2 2 2 2" xfId="26636"/>
    <cellStyle name="40% - Accent1 4 2 3 2 2 2 3" xfId="26635"/>
    <cellStyle name="40% - Accent1 4 2 3 2 2 3" xfId="8706"/>
    <cellStyle name="40% - Accent1 4 2 3 2 2 3 2" xfId="26637"/>
    <cellStyle name="40% - Accent1 4 2 3 2 2 4" xfId="26634"/>
    <cellStyle name="40% - Accent1 4 2 3 2 3" xfId="8707"/>
    <cellStyle name="40% - Accent1 4 2 3 2 3 2" xfId="8708"/>
    <cellStyle name="40% - Accent1 4 2 3 2 3 2 2" xfId="26639"/>
    <cellStyle name="40% - Accent1 4 2 3 2 3 3" xfId="26638"/>
    <cellStyle name="40% - Accent1 4 2 3 2 4" xfId="8709"/>
    <cellStyle name="40% - Accent1 4 2 3 2 4 2" xfId="26640"/>
    <cellStyle name="40% - Accent1 4 2 3 2 5" xfId="26633"/>
    <cellStyle name="40% - Accent1 4 2 3 3" xfId="8710"/>
    <cellStyle name="40% - Accent1 4 2 3 3 2" xfId="8711"/>
    <cellStyle name="40% - Accent1 4 2 3 3 2 2" xfId="8712"/>
    <cellStyle name="40% - Accent1 4 2 3 3 2 2 2" xfId="8713"/>
    <cellStyle name="40% - Accent1 4 2 3 3 2 2 2 2" xfId="26644"/>
    <cellStyle name="40% - Accent1 4 2 3 3 2 2 3" xfId="26643"/>
    <cellStyle name="40% - Accent1 4 2 3 3 2 3" xfId="8714"/>
    <cellStyle name="40% - Accent1 4 2 3 3 2 3 2" xfId="26645"/>
    <cellStyle name="40% - Accent1 4 2 3 3 2 4" xfId="26642"/>
    <cellStyle name="40% - Accent1 4 2 3 3 3" xfId="8715"/>
    <cellStyle name="40% - Accent1 4 2 3 3 3 2" xfId="8716"/>
    <cellStyle name="40% - Accent1 4 2 3 3 3 2 2" xfId="26647"/>
    <cellStyle name="40% - Accent1 4 2 3 3 3 3" xfId="26646"/>
    <cellStyle name="40% - Accent1 4 2 3 3 4" xfId="8717"/>
    <cellStyle name="40% - Accent1 4 2 3 3 4 2" xfId="26648"/>
    <cellStyle name="40% - Accent1 4 2 3 3 5" xfId="26641"/>
    <cellStyle name="40% - Accent1 4 2 3 4" xfId="8718"/>
    <cellStyle name="40% - Accent1 4 2 3 4 2" xfId="8719"/>
    <cellStyle name="40% - Accent1 4 2 3 4 2 2" xfId="8720"/>
    <cellStyle name="40% - Accent1 4 2 3 4 2 2 2" xfId="26651"/>
    <cellStyle name="40% - Accent1 4 2 3 4 2 3" xfId="26650"/>
    <cellStyle name="40% - Accent1 4 2 3 4 3" xfId="8721"/>
    <cellStyle name="40% - Accent1 4 2 3 4 3 2" xfId="26652"/>
    <cellStyle name="40% - Accent1 4 2 3 4 4" xfId="26649"/>
    <cellStyle name="40% - Accent1 4 2 3 5" xfId="8722"/>
    <cellStyle name="40% - Accent1 4 2 3 5 2" xfId="8723"/>
    <cellStyle name="40% - Accent1 4 2 3 5 2 2" xfId="26654"/>
    <cellStyle name="40% - Accent1 4 2 3 5 3" xfId="26653"/>
    <cellStyle name="40% - Accent1 4 2 3 6" xfId="8724"/>
    <cellStyle name="40% - Accent1 4 2 3 6 2" xfId="26655"/>
    <cellStyle name="40% - Accent1 4 2 3 7" xfId="26632"/>
    <cellStyle name="40% - Accent1 4 2 4" xfId="8725"/>
    <cellStyle name="40% - Accent1 4 2 4 2" xfId="8726"/>
    <cellStyle name="40% - Accent1 4 2 4 2 2" xfId="8727"/>
    <cellStyle name="40% - Accent1 4 2 4 2 2 2" xfId="8728"/>
    <cellStyle name="40% - Accent1 4 2 4 2 2 2 2" xfId="26659"/>
    <cellStyle name="40% - Accent1 4 2 4 2 2 3" xfId="26658"/>
    <cellStyle name="40% - Accent1 4 2 4 2 3" xfId="8729"/>
    <cellStyle name="40% - Accent1 4 2 4 2 3 2" xfId="26660"/>
    <cellStyle name="40% - Accent1 4 2 4 2 4" xfId="26657"/>
    <cellStyle name="40% - Accent1 4 2 4 3" xfId="8730"/>
    <cellStyle name="40% - Accent1 4 2 4 3 2" xfId="8731"/>
    <cellStyle name="40% - Accent1 4 2 4 3 2 2" xfId="26662"/>
    <cellStyle name="40% - Accent1 4 2 4 3 3" xfId="26661"/>
    <cellStyle name="40% - Accent1 4 2 4 4" xfId="8732"/>
    <cellStyle name="40% - Accent1 4 2 4 4 2" xfId="26663"/>
    <cellStyle name="40% - Accent1 4 2 4 5" xfId="26656"/>
    <cellStyle name="40% - Accent1 4 2 5" xfId="8733"/>
    <cellStyle name="40% - Accent1 4 2 5 2" xfId="8734"/>
    <cellStyle name="40% - Accent1 4 2 5 2 2" xfId="8735"/>
    <cellStyle name="40% - Accent1 4 2 5 2 2 2" xfId="8736"/>
    <cellStyle name="40% - Accent1 4 2 5 2 2 2 2" xfId="26667"/>
    <cellStyle name="40% - Accent1 4 2 5 2 2 3" xfId="26666"/>
    <cellStyle name="40% - Accent1 4 2 5 2 3" xfId="8737"/>
    <cellStyle name="40% - Accent1 4 2 5 2 3 2" xfId="26668"/>
    <cellStyle name="40% - Accent1 4 2 5 2 4" xfId="26665"/>
    <cellStyle name="40% - Accent1 4 2 5 3" xfId="8738"/>
    <cellStyle name="40% - Accent1 4 2 5 3 2" xfId="8739"/>
    <cellStyle name="40% - Accent1 4 2 5 3 2 2" xfId="26670"/>
    <cellStyle name="40% - Accent1 4 2 5 3 3" xfId="26669"/>
    <cellStyle name="40% - Accent1 4 2 5 4" xfId="8740"/>
    <cellStyle name="40% - Accent1 4 2 5 4 2" xfId="26671"/>
    <cellStyle name="40% - Accent1 4 2 5 5" xfId="26664"/>
    <cellStyle name="40% - Accent1 4 2 6" xfId="8741"/>
    <cellStyle name="40% - Accent1 4 2 6 2" xfId="8742"/>
    <cellStyle name="40% - Accent1 4 2 6 2 2" xfId="8743"/>
    <cellStyle name="40% - Accent1 4 2 6 2 2 2" xfId="26674"/>
    <cellStyle name="40% - Accent1 4 2 6 2 3" xfId="26673"/>
    <cellStyle name="40% - Accent1 4 2 6 3" xfId="8744"/>
    <cellStyle name="40% - Accent1 4 2 6 3 2" xfId="26675"/>
    <cellStyle name="40% - Accent1 4 2 6 4" xfId="26672"/>
    <cellStyle name="40% - Accent1 4 2 7" xfId="8745"/>
    <cellStyle name="40% - Accent1 4 2 7 2" xfId="8746"/>
    <cellStyle name="40% - Accent1 4 2 7 2 2" xfId="26677"/>
    <cellStyle name="40% - Accent1 4 2 7 3" xfId="26676"/>
    <cellStyle name="40% - Accent1 4 2 8" xfId="8747"/>
    <cellStyle name="40% - Accent1 4 2 8 2" xfId="26678"/>
    <cellStyle name="40% - Accent1 4 2 9" xfId="26583"/>
    <cellStyle name="40% - Accent1 4 3" xfId="8748"/>
    <cellStyle name="40% - Accent1 4 3 2" xfId="8749"/>
    <cellStyle name="40% - Accent1 4 3 2 2" xfId="8750"/>
    <cellStyle name="40% - Accent1 4 3 2 2 2" xfId="8751"/>
    <cellStyle name="40% - Accent1 4 3 2 2 2 2" xfId="8752"/>
    <cellStyle name="40% - Accent1 4 3 2 2 2 2 2" xfId="8753"/>
    <cellStyle name="40% - Accent1 4 3 2 2 2 2 2 2" xfId="26684"/>
    <cellStyle name="40% - Accent1 4 3 2 2 2 2 3" xfId="26683"/>
    <cellStyle name="40% - Accent1 4 3 2 2 2 3" xfId="8754"/>
    <cellStyle name="40% - Accent1 4 3 2 2 2 3 2" xfId="26685"/>
    <cellStyle name="40% - Accent1 4 3 2 2 2 4" xfId="26682"/>
    <cellStyle name="40% - Accent1 4 3 2 2 3" xfId="8755"/>
    <cellStyle name="40% - Accent1 4 3 2 2 3 2" xfId="8756"/>
    <cellStyle name="40% - Accent1 4 3 2 2 3 2 2" xfId="26687"/>
    <cellStyle name="40% - Accent1 4 3 2 2 3 3" xfId="26686"/>
    <cellStyle name="40% - Accent1 4 3 2 2 4" xfId="8757"/>
    <cellStyle name="40% - Accent1 4 3 2 2 4 2" xfId="26688"/>
    <cellStyle name="40% - Accent1 4 3 2 2 5" xfId="26681"/>
    <cellStyle name="40% - Accent1 4 3 2 3" xfId="8758"/>
    <cellStyle name="40% - Accent1 4 3 2 3 2" xfId="8759"/>
    <cellStyle name="40% - Accent1 4 3 2 3 2 2" xfId="8760"/>
    <cellStyle name="40% - Accent1 4 3 2 3 2 2 2" xfId="8761"/>
    <cellStyle name="40% - Accent1 4 3 2 3 2 2 2 2" xfId="26692"/>
    <cellStyle name="40% - Accent1 4 3 2 3 2 2 3" xfId="26691"/>
    <cellStyle name="40% - Accent1 4 3 2 3 2 3" xfId="8762"/>
    <cellStyle name="40% - Accent1 4 3 2 3 2 3 2" xfId="26693"/>
    <cellStyle name="40% - Accent1 4 3 2 3 2 4" xfId="26690"/>
    <cellStyle name="40% - Accent1 4 3 2 3 3" xfId="8763"/>
    <cellStyle name="40% - Accent1 4 3 2 3 3 2" xfId="8764"/>
    <cellStyle name="40% - Accent1 4 3 2 3 3 2 2" xfId="26695"/>
    <cellStyle name="40% - Accent1 4 3 2 3 3 3" xfId="26694"/>
    <cellStyle name="40% - Accent1 4 3 2 3 4" xfId="8765"/>
    <cellStyle name="40% - Accent1 4 3 2 3 4 2" xfId="26696"/>
    <cellStyle name="40% - Accent1 4 3 2 3 5" xfId="26689"/>
    <cellStyle name="40% - Accent1 4 3 2 4" xfId="8766"/>
    <cellStyle name="40% - Accent1 4 3 2 4 2" xfId="8767"/>
    <cellStyle name="40% - Accent1 4 3 2 4 2 2" xfId="8768"/>
    <cellStyle name="40% - Accent1 4 3 2 4 2 2 2" xfId="26699"/>
    <cellStyle name="40% - Accent1 4 3 2 4 2 3" xfId="26698"/>
    <cellStyle name="40% - Accent1 4 3 2 4 3" xfId="8769"/>
    <cellStyle name="40% - Accent1 4 3 2 4 3 2" xfId="26700"/>
    <cellStyle name="40% - Accent1 4 3 2 4 4" xfId="26697"/>
    <cellStyle name="40% - Accent1 4 3 2 5" xfId="8770"/>
    <cellStyle name="40% - Accent1 4 3 2 5 2" xfId="8771"/>
    <cellStyle name="40% - Accent1 4 3 2 5 2 2" xfId="26702"/>
    <cellStyle name="40% - Accent1 4 3 2 5 3" xfId="26701"/>
    <cellStyle name="40% - Accent1 4 3 2 6" xfId="8772"/>
    <cellStyle name="40% - Accent1 4 3 2 6 2" xfId="26703"/>
    <cellStyle name="40% - Accent1 4 3 2 7" xfId="26680"/>
    <cellStyle name="40% - Accent1 4 3 3" xfId="8773"/>
    <cellStyle name="40% - Accent1 4 3 3 2" xfId="8774"/>
    <cellStyle name="40% - Accent1 4 3 3 2 2" xfId="8775"/>
    <cellStyle name="40% - Accent1 4 3 3 2 2 2" xfId="8776"/>
    <cellStyle name="40% - Accent1 4 3 3 2 2 2 2" xfId="26707"/>
    <cellStyle name="40% - Accent1 4 3 3 2 2 3" xfId="26706"/>
    <cellStyle name="40% - Accent1 4 3 3 2 3" xfId="8777"/>
    <cellStyle name="40% - Accent1 4 3 3 2 3 2" xfId="26708"/>
    <cellStyle name="40% - Accent1 4 3 3 2 4" xfId="26705"/>
    <cellStyle name="40% - Accent1 4 3 3 3" xfId="8778"/>
    <cellStyle name="40% - Accent1 4 3 3 3 2" xfId="8779"/>
    <cellStyle name="40% - Accent1 4 3 3 3 2 2" xfId="26710"/>
    <cellStyle name="40% - Accent1 4 3 3 3 3" xfId="26709"/>
    <cellStyle name="40% - Accent1 4 3 3 4" xfId="8780"/>
    <cellStyle name="40% - Accent1 4 3 3 4 2" xfId="26711"/>
    <cellStyle name="40% - Accent1 4 3 3 5" xfId="26704"/>
    <cellStyle name="40% - Accent1 4 3 4" xfId="8781"/>
    <cellStyle name="40% - Accent1 4 3 4 2" xfId="8782"/>
    <cellStyle name="40% - Accent1 4 3 4 2 2" xfId="8783"/>
    <cellStyle name="40% - Accent1 4 3 4 2 2 2" xfId="8784"/>
    <cellStyle name="40% - Accent1 4 3 4 2 2 2 2" xfId="26715"/>
    <cellStyle name="40% - Accent1 4 3 4 2 2 3" xfId="26714"/>
    <cellStyle name="40% - Accent1 4 3 4 2 3" xfId="8785"/>
    <cellStyle name="40% - Accent1 4 3 4 2 3 2" xfId="26716"/>
    <cellStyle name="40% - Accent1 4 3 4 2 4" xfId="26713"/>
    <cellStyle name="40% - Accent1 4 3 4 3" xfId="8786"/>
    <cellStyle name="40% - Accent1 4 3 4 3 2" xfId="8787"/>
    <cellStyle name="40% - Accent1 4 3 4 3 2 2" xfId="26718"/>
    <cellStyle name="40% - Accent1 4 3 4 3 3" xfId="26717"/>
    <cellStyle name="40% - Accent1 4 3 4 4" xfId="8788"/>
    <cellStyle name="40% - Accent1 4 3 4 4 2" xfId="26719"/>
    <cellStyle name="40% - Accent1 4 3 4 5" xfId="26712"/>
    <cellStyle name="40% - Accent1 4 3 5" xfId="8789"/>
    <cellStyle name="40% - Accent1 4 3 5 2" xfId="8790"/>
    <cellStyle name="40% - Accent1 4 3 5 2 2" xfId="8791"/>
    <cellStyle name="40% - Accent1 4 3 5 2 2 2" xfId="26722"/>
    <cellStyle name="40% - Accent1 4 3 5 2 3" xfId="26721"/>
    <cellStyle name="40% - Accent1 4 3 5 3" xfId="8792"/>
    <cellStyle name="40% - Accent1 4 3 5 3 2" xfId="26723"/>
    <cellStyle name="40% - Accent1 4 3 5 4" xfId="26720"/>
    <cellStyle name="40% - Accent1 4 3 6" xfId="8793"/>
    <cellStyle name="40% - Accent1 4 3 6 2" xfId="8794"/>
    <cellStyle name="40% - Accent1 4 3 6 2 2" xfId="26725"/>
    <cellStyle name="40% - Accent1 4 3 6 3" xfId="26724"/>
    <cellStyle name="40% - Accent1 4 3 7" xfId="8795"/>
    <cellStyle name="40% - Accent1 4 3 7 2" xfId="26726"/>
    <cellStyle name="40% - Accent1 4 3 8" xfId="26679"/>
    <cellStyle name="40% - Accent1 4 4" xfId="8796"/>
    <cellStyle name="40% - Accent1 4 4 2" xfId="8797"/>
    <cellStyle name="40% - Accent1 4 4 2 2" xfId="8798"/>
    <cellStyle name="40% - Accent1 4 4 2 2 2" xfId="8799"/>
    <cellStyle name="40% - Accent1 4 4 2 2 2 2" xfId="8800"/>
    <cellStyle name="40% - Accent1 4 4 2 2 2 2 2" xfId="26731"/>
    <cellStyle name="40% - Accent1 4 4 2 2 2 3" xfId="26730"/>
    <cellStyle name="40% - Accent1 4 4 2 2 3" xfId="8801"/>
    <cellStyle name="40% - Accent1 4 4 2 2 3 2" xfId="26732"/>
    <cellStyle name="40% - Accent1 4 4 2 2 4" xfId="26729"/>
    <cellStyle name="40% - Accent1 4 4 2 3" xfId="8802"/>
    <cellStyle name="40% - Accent1 4 4 2 3 2" xfId="8803"/>
    <cellStyle name="40% - Accent1 4 4 2 3 2 2" xfId="26734"/>
    <cellStyle name="40% - Accent1 4 4 2 3 3" xfId="26733"/>
    <cellStyle name="40% - Accent1 4 4 2 4" xfId="8804"/>
    <cellStyle name="40% - Accent1 4 4 2 4 2" xfId="26735"/>
    <cellStyle name="40% - Accent1 4 4 2 5" xfId="26728"/>
    <cellStyle name="40% - Accent1 4 4 3" xfId="8805"/>
    <cellStyle name="40% - Accent1 4 4 3 2" xfId="8806"/>
    <cellStyle name="40% - Accent1 4 4 3 2 2" xfId="8807"/>
    <cellStyle name="40% - Accent1 4 4 3 2 2 2" xfId="8808"/>
    <cellStyle name="40% - Accent1 4 4 3 2 2 2 2" xfId="26739"/>
    <cellStyle name="40% - Accent1 4 4 3 2 2 3" xfId="26738"/>
    <cellStyle name="40% - Accent1 4 4 3 2 3" xfId="8809"/>
    <cellStyle name="40% - Accent1 4 4 3 2 3 2" xfId="26740"/>
    <cellStyle name="40% - Accent1 4 4 3 2 4" xfId="26737"/>
    <cellStyle name="40% - Accent1 4 4 3 3" xfId="8810"/>
    <cellStyle name="40% - Accent1 4 4 3 3 2" xfId="8811"/>
    <cellStyle name="40% - Accent1 4 4 3 3 2 2" xfId="26742"/>
    <cellStyle name="40% - Accent1 4 4 3 3 3" xfId="26741"/>
    <cellStyle name="40% - Accent1 4 4 3 4" xfId="8812"/>
    <cellStyle name="40% - Accent1 4 4 3 4 2" xfId="26743"/>
    <cellStyle name="40% - Accent1 4 4 3 5" xfId="26736"/>
    <cellStyle name="40% - Accent1 4 4 4" xfId="8813"/>
    <cellStyle name="40% - Accent1 4 4 4 2" xfId="8814"/>
    <cellStyle name="40% - Accent1 4 4 4 2 2" xfId="8815"/>
    <cellStyle name="40% - Accent1 4 4 4 2 2 2" xfId="26746"/>
    <cellStyle name="40% - Accent1 4 4 4 2 3" xfId="26745"/>
    <cellStyle name="40% - Accent1 4 4 4 3" xfId="8816"/>
    <cellStyle name="40% - Accent1 4 4 4 3 2" xfId="26747"/>
    <cellStyle name="40% - Accent1 4 4 4 4" xfId="26744"/>
    <cellStyle name="40% - Accent1 4 4 5" xfId="8817"/>
    <cellStyle name="40% - Accent1 4 4 5 2" xfId="8818"/>
    <cellStyle name="40% - Accent1 4 4 5 2 2" xfId="26749"/>
    <cellStyle name="40% - Accent1 4 4 5 3" xfId="26748"/>
    <cellStyle name="40% - Accent1 4 4 6" xfId="8819"/>
    <cellStyle name="40% - Accent1 4 4 6 2" xfId="26750"/>
    <cellStyle name="40% - Accent1 4 4 7" xfId="26727"/>
    <cellStyle name="40% - Accent1 4 5" xfId="8820"/>
    <cellStyle name="40% - Accent1 4 5 2" xfId="8821"/>
    <cellStyle name="40% - Accent1 4 5 2 2" xfId="8822"/>
    <cellStyle name="40% - Accent1 4 5 2 2 2" xfId="8823"/>
    <cellStyle name="40% - Accent1 4 5 2 2 2 2" xfId="26754"/>
    <cellStyle name="40% - Accent1 4 5 2 2 3" xfId="26753"/>
    <cellStyle name="40% - Accent1 4 5 2 3" xfId="8824"/>
    <cellStyle name="40% - Accent1 4 5 2 3 2" xfId="26755"/>
    <cellStyle name="40% - Accent1 4 5 2 4" xfId="26752"/>
    <cellStyle name="40% - Accent1 4 5 3" xfId="8825"/>
    <cellStyle name="40% - Accent1 4 5 3 2" xfId="8826"/>
    <cellStyle name="40% - Accent1 4 5 3 2 2" xfId="26757"/>
    <cellStyle name="40% - Accent1 4 5 3 3" xfId="26756"/>
    <cellStyle name="40% - Accent1 4 5 4" xfId="8827"/>
    <cellStyle name="40% - Accent1 4 5 4 2" xfId="26758"/>
    <cellStyle name="40% - Accent1 4 5 5" xfId="26751"/>
    <cellStyle name="40% - Accent1 4 6" xfId="8828"/>
    <cellStyle name="40% - Accent1 4 6 2" xfId="8829"/>
    <cellStyle name="40% - Accent1 4 6 2 2" xfId="8830"/>
    <cellStyle name="40% - Accent1 4 6 2 2 2" xfId="8831"/>
    <cellStyle name="40% - Accent1 4 6 2 2 2 2" xfId="26762"/>
    <cellStyle name="40% - Accent1 4 6 2 2 3" xfId="26761"/>
    <cellStyle name="40% - Accent1 4 6 2 3" xfId="8832"/>
    <cellStyle name="40% - Accent1 4 6 2 3 2" xfId="26763"/>
    <cellStyle name="40% - Accent1 4 6 2 4" xfId="26760"/>
    <cellStyle name="40% - Accent1 4 6 3" xfId="8833"/>
    <cellStyle name="40% - Accent1 4 6 3 2" xfId="8834"/>
    <cellStyle name="40% - Accent1 4 6 3 2 2" xfId="26765"/>
    <cellStyle name="40% - Accent1 4 6 3 3" xfId="26764"/>
    <cellStyle name="40% - Accent1 4 6 4" xfId="8835"/>
    <cellStyle name="40% - Accent1 4 6 4 2" xfId="26766"/>
    <cellStyle name="40% - Accent1 4 6 5" xfId="26759"/>
    <cellStyle name="40% - Accent1 4 7" xfId="8836"/>
    <cellStyle name="40% - Accent1 4 7 2" xfId="8837"/>
    <cellStyle name="40% - Accent1 4 7 2 2" xfId="8838"/>
    <cellStyle name="40% - Accent1 4 7 2 2 2" xfId="26769"/>
    <cellStyle name="40% - Accent1 4 7 2 3" xfId="26768"/>
    <cellStyle name="40% - Accent1 4 7 3" xfId="8839"/>
    <cellStyle name="40% - Accent1 4 7 3 2" xfId="26770"/>
    <cellStyle name="40% - Accent1 4 7 4" xfId="26767"/>
    <cellStyle name="40% - Accent1 4 8" xfId="8840"/>
    <cellStyle name="40% - Accent1 4 8 2" xfId="8841"/>
    <cellStyle name="40% - Accent1 4 8 2 2" xfId="26772"/>
    <cellStyle name="40% - Accent1 4 8 3" xfId="26771"/>
    <cellStyle name="40% - Accent1 4 9" xfId="8842"/>
    <cellStyle name="40% - Accent1 4 9 2" xfId="26773"/>
    <cellStyle name="40% - Accent1 5" xfId="8843"/>
    <cellStyle name="40% - Accent1 5 10" xfId="26774"/>
    <cellStyle name="40% - Accent1 5 2" xfId="8844"/>
    <cellStyle name="40% - Accent1 5 2 2" xfId="8845"/>
    <cellStyle name="40% - Accent1 5 2 2 2" xfId="8846"/>
    <cellStyle name="40% - Accent1 5 2 2 2 2" xfId="8847"/>
    <cellStyle name="40% - Accent1 5 2 2 2 2 2" xfId="8848"/>
    <cellStyle name="40% - Accent1 5 2 2 2 2 2 2" xfId="8849"/>
    <cellStyle name="40% - Accent1 5 2 2 2 2 2 2 2" xfId="8850"/>
    <cellStyle name="40% - Accent1 5 2 2 2 2 2 2 2 2" xfId="26781"/>
    <cellStyle name="40% - Accent1 5 2 2 2 2 2 2 3" xfId="26780"/>
    <cellStyle name="40% - Accent1 5 2 2 2 2 2 3" xfId="8851"/>
    <cellStyle name="40% - Accent1 5 2 2 2 2 2 3 2" xfId="26782"/>
    <cellStyle name="40% - Accent1 5 2 2 2 2 2 4" xfId="26779"/>
    <cellStyle name="40% - Accent1 5 2 2 2 2 3" xfId="8852"/>
    <cellStyle name="40% - Accent1 5 2 2 2 2 3 2" xfId="8853"/>
    <cellStyle name="40% - Accent1 5 2 2 2 2 3 2 2" xfId="26784"/>
    <cellStyle name="40% - Accent1 5 2 2 2 2 3 3" xfId="26783"/>
    <cellStyle name="40% - Accent1 5 2 2 2 2 4" xfId="8854"/>
    <cellStyle name="40% - Accent1 5 2 2 2 2 4 2" xfId="26785"/>
    <cellStyle name="40% - Accent1 5 2 2 2 2 5" xfId="26778"/>
    <cellStyle name="40% - Accent1 5 2 2 2 3" xfId="8855"/>
    <cellStyle name="40% - Accent1 5 2 2 2 3 2" xfId="8856"/>
    <cellStyle name="40% - Accent1 5 2 2 2 3 2 2" xfId="8857"/>
    <cellStyle name="40% - Accent1 5 2 2 2 3 2 2 2" xfId="8858"/>
    <cellStyle name="40% - Accent1 5 2 2 2 3 2 2 2 2" xfId="26789"/>
    <cellStyle name="40% - Accent1 5 2 2 2 3 2 2 3" xfId="26788"/>
    <cellStyle name="40% - Accent1 5 2 2 2 3 2 3" xfId="8859"/>
    <cellStyle name="40% - Accent1 5 2 2 2 3 2 3 2" xfId="26790"/>
    <cellStyle name="40% - Accent1 5 2 2 2 3 2 4" xfId="26787"/>
    <cellStyle name="40% - Accent1 5 2 2 2 3 3" xfId="8860"/>
    <cellStyle name="40% - Accent1 5 2 2 2 3 3 2" xfId="8861"/>
    <cellStyle name="40% - Accent1 5 2 2 2 3 3 2 2" xfId="26792"/>
    <cellStyle name="40% - Accent1 5 2 2 2 3 3 3" xfId="26791"/>
    <cellStyle name="40% - Accent1 5 2 2 2 3 4" xfId="8862"/>
    <cellStyle name="40% - Accent1 5 2 2 2 3 4 2" xfId="26793"/>
    <cellStyle name="40% - Accent1 5 2 2 2 3 5" xfId="26786"/>
    <cellStyle name="40% - Accent1 5 2 2 2 4" xfId="8863"/>
    <cellStyle name="40% - Accent1 5 2 2 2 4 2" xfId="8864"/>
    <cellStyle name="40% - Accent1 5 2 2 2 4 2 2" xfId="8865"/>
    <cellStyle name="40% - Accent1 5 2 2 2 4 2 2 2" xfId="26796"/>
    <cellStyle name="40% - Accent1 5 2 2 2 4 2 3" xfId="26795"/>
    <cellStyle name="40% - Accent1 5 2 2 2 4 3" xfId="8866"/>
    <cellStyle name="40% - Accent1 5 2 2 2 4 3 2" xfId="26797"/>
    <cellStyle name="40% - Accent1 5 2 2 2 4 4" xfId="26794"/>
    <cellStyle name="40% - Accent1 5 2 2 2 5" xfId="8867"/>
    <cellStyle name="40% - Accent1 5 2 2 2 5 2" xfId="8868"/>
    <cellStyle name="40% - Accent1 5 2 2 2 5 2 2" xfId="26799"/>
    <cellStyle name="40% - Accent1 5 2 2 2 5 3" xfId="26798"/>
    <cellStyle name="40% - Accent1 5 2 2 2 6" xfId="8869"/>
    <cellStyle name="40% - Accent1 5 2 2 2 6 2" xfId="26800"/>
    <cellStyle name="40% - Accent1 5 2 2 2 7" xfId="26777"/>
    <cellStyle name="40% - Accent1 5 2 2 3" xfId="8870"/>
    <cellStyle name="40% - Accent1 5 2 2 3 2" xfId="8871"/>
    <cellStyle name="40% - Accent1 5 2 2 3 2 2" xfId="8872"/>
    <cellStyle name="40% - Accent1 5 2 2 3 2 2 2" xfId="8873"/>
    <cellStyle name="40% - Accent1 5 2 2 3 2 2 2 2" xfId="26804"/>
    <cellStyle name="40% - Accent1 5 2 2 3 2 2 3" xfId="26803"/>
    <cellStyle name="40% - Accent1 5 2 2 3 2 3" xfId="8874"/>
    <cellStyle name="40% - Accent1 5 2 2 3 2 3 2" xfId="26805"/>
    <cellStyle name="40% - Accent1 5 2 2 3 2 4" xfId="26802"/>
    <cellStyle name="40% - Accent1 5 2 2 3 3" xfId="8875"/>
    <cellStyle name="40% - Accent1 5 2 2 3 3 2" xfId="8876"/>
    <cellStyle name="40% - Accent1 5 2 2 3 3 2 2" xfId="26807"/>
    <cellStyle name="40% - Accent1 5 2 2 3 3 3" xfId="26806"/>
    <cellStyle name="40% - Accent1 5 2 2 3 4" xfId="8877"/>
    <cellStyle name="40% - Accent1 5 2 2 3 4 2" xfId="26808"/>
    <cellStyle name="40% - Accent1 5 2 2 3 5" xfId="26801"/>
    <cellStyle name="40% - Accent1 5 2 2 4" xfId="8878"/>
    <cellStyle name="40% - Accent1 5 2 2 4 2" xfId="8879"/>
    <cellStyle name="40% - Accent1 5 2 2 4 2 2" xfId="8880"/>
    <cellStyle name="40% - Accent1 5 2 2 4 2 2 2" xfId="8881"/>
    <cellStyle name="40% - Accent1 5 2 2 4 2 2 2 2" xfId="26812"/>
    <cellStyle name="40% - Accent1 5 2 2 4 2 2 3" xfId="26811"/>
    <cellStyle name="40% - Accent1 5 2 2 4 2 3" xfId="8882"/>
    <cellStyle name="40% - Accent1 5 2 2 4 2 3 2" xfId="26813"/>
    <cellStyle name="40% - Accent1 5 2 2 4 2 4" xfId="26810"/>
    <cellStyle name="40% - Accent1 5 2 2 4 3" xfId="8883"/>
    <cellStyle name="40% - Accent1 5 2 2 4 3 2" xfId="8884"/>
    <cellStyle name="40% - Accent1 5 2 2 4 3 2 2" xfId="26815"/>
    <cellStyle name="40% - Accent1 5 2 2 4 3 3" xfId="26814"/>
    <cellStyle name="40% - Accent1 5 2 2 4 4" xfId="8885"/>
    <cellStyle name="40% - Accent1 5 2 2 4 4 2" xfId="26816"/>
    <cellStyle name="40% - Accent1 5 2 2 4 5" xfId="26809"/>
    <cellStyle name="40% - Accent1 5 2 2 5" xfId="8886"/>
    <cellStyle name="40% - Accent1 5 2 2 5 2" xfId="8887"/>
    <cellStyle name="40% - Accent1 5 2 2 5 2 2" xfId="8888"/>
    <cellStyle name="40% - Accent1 5 2 2 5 2 2 2" xfId="26819"/>
    <cellStyle name="40% - Accent1 5 2 2 5 2 3" xfId="26818"/>
    <cellStyle name="40% - Accent1 5 2 2 5 3" xfId="8889"/>
    <cellStyle name="40% - Accent1 5 2 2 5 3 2" xfId="26820"/>
    <cellStyle name="40% - Accent1 5 2 2 5 4" xfId="26817"/>
    <cellStyle name="40% - Accent1 5 2 2 6" xfId="8890"/>
    <cellStyle name="40% - Accent1 5 2 2 6 2" xfId="8891"/>
    <cellStyle name="40% - Accent1 5 2 2 6 2 2" xfId="26822"/>
    <cellStyle name="40% - Accent1 5 2 2 6 3" xfId="26821"/>
    <cellStyle name="40% - Accent1 5 2 2 7" xfId="8892"/>
    <cellStyle name="40% - Accent1 5 2 2 7 2" xfId="26823"/>
    <cellStyle name="40% - Accent1 5 2 2 8" xfId="26776"/>
    <cellStyle name="40% - Accent1 5 2 3" xfId="8893"/>
    <cellStyle name="40% - Accent1 5 2 3 2" xfId="8894"/>
    <cellStyle name="40% - Accent1 5 2 3 2 2" xfId="8895"/>
    <cellStyle name="40% - Accent1 5 2 3 2 2 2" xfId="8896"/>
    <cellStyle name="40% - Accent1 5 2 3 2 2 2 2" xfId="8897"/>
    <cellStyle name="40% - Accent1 5 2 3 2 2 2 2 2" xfId="26828"/>
    <cellStyle name="40% - Accent1 5 2 3 2 2 2 3" xfId="26827"/>
    <cellStyle name="40% - Accent1 5 2 3 2 2 3" xfId="8898"/>
    <cellStyle name="40% - Accent1 5 2 3 2 2 3 2" xfId="26829"/>
    <cellStyle name="40% - Accent1 5 2 3 2 2 4" xfId="26826"/>
    <cellStyle name="40% - Accent1 5 2 3 2 3" xfId="8899"/>
    <cellStyle name="40% - Accent1 5 2 3 2 3 2" xfId="8900"/>
    <cellStyle name="40% - Accent1 5 2 3 2 3 2 2" xfId="26831"/>
    <cellStyle name="40% - Accent1 5 2 3 2 3 3" xfId="26830"/>
    <cellStyle name="40% - Accent1 5 2 3 2 4" xfId="8901"/>
    <cellStyle name="40% - Accent1 5 2 3 2 4 2" xfId="26832"/>
    <cellStyle name="40% - Accent1 5 2 3 2 5" xfId="26825"/>
    <cellStyle name="40% - Accent1 5 2 3 3" xfId="8902"/>
    <cellStyle name="40% - Accent1 5 2 3 3 2" xfId="8903"/>
    <cellStyle name="40% - Accent1 5 2 3 3 2 2" xfId="8904"/>
    <cellStyle name="40% - Accent1 5 2 3 3 2 2 2" xfId="8905"/>
    <cellStyle name="40% - Accent1 5 2 3 3 2 2 2 2" xfId="26836"/>
    <cellStyle name="40% - Accent1 5 2 3 3 2 2 3" xfId="26835"/>
    <cellStyle name="40% - Accent1 5 2 3 3 2 3" xfId="8906"/>
    <cellStyle name="40% - Accent1 5 2 3 3 2 3 2" xfId="26837"/>
    <cellStyle name="40% - Accent1 5 2 3 3 2 4" xfId="26834"/>
    <cellStyle name="40% - Accent1 5 2 3 3 3" xfId="8907"/>
    <cellStyle name="40% - Accent1 5 2 3 3 3 2" xfId="8908"/>
    <cellStyle name="40% - Accent1 5 2 3 3 3 2 2" xfId="26839"/>
    <cellStyle name="40% - Accent1 5 2 3 3 3 3" xfId="26838"/>
    <cellStyle name="40% - Accent1 5 2 3 3 4" xfId="8909"/>
    <cellStyle name="40% - Accent1 5 2 3 3 4 2" xfId="26840"/>
    <cellStyle name="40% - Accent1 5 2 3 3 5" xfId="26833"/>
    <cellStyle name="40% - Accent1 5 2 3 4" xfId="8910"/>
    <cellStyle name="40% - Accent1 5 2 3 4 2" xfId="8911"/>
    <cellStyle name="40% - Accent1 5 2 3 4 2 2" xfId="8912"/>
    <cellStyle name="40% - Accent1 5 2 3 4 2 2 2" xfId="26843"/>
    <cellStyle name="40% - Accent1 5 2 3 4 2 3" xfId="26842"/>
    <cellStyle name="40% - Accent1 5 2 3 4 3" xfId="8913"/>
    <cellStyle name="40% - Accent1 5 2 3 4 3 2" xfId="26844"/>
    <cellStyle name="40% - Accent1 5 2 3 4 4" xfId="26841"/>
    <cellStyle name="40% - Accent1 5 2 3 5" xfId="8914"/>
    <cellStyle name="40% - Accent1 5 2 3 5 2" xfId="8915"/>
    <cellStyle name="40% - Accent1 5 2 3 5 2 2" xfId="26846"/>
    <cellStyle name="40% - Accent1 5 2 3 5 3" xfId="26845"/>
    <cellStyle name="40% - Accent1 5 2 3 6" xfId="8916"/>
    <cellStyle name="40% - Accent1 5 2 3 6 2" xfId="26847"/>
    <cellStyle name="40% - Accent1 5 2 3 7" xfId="26824"/>
    <cellStyle name="40% - Accent1 5 2 4" xfId="8917"/>
    <cellStyle name="40% - Accent1 5 2 4 2" xfId="8918"/>
    <cellStyle name="40% - Accent1 5 2 4 2 2" xfId="8919"/>
    <cellStyle name="40% - Accent1 5 2 4 2 2 2" xfId="8920"/>
    <cellStyle name="40% - Accent1 5 2 4 2 2 2 2" xfId="26851"/>
    <cellStyle name="40% - Accent1 5 2 4 2 2 3" xfId="26850"/>
    <cellStyle name="40% - Accent1 5 2 4 2 3" xfId="8921"/>
    <cellStyle name="40% - Accent1 5 2 4 2 3 2" xfId="26852"/>
    <cellStyle name="40% - Accent1 5 2 4 2 4" xfId="26849"/>
    <cellStyle name="40% - Accent1 5 2 4 3" xfId="8922"/>
    <cellStyle name="40% - Accent1 5 2 4 3 2" xfId="8923"/>
    <cellStyle name="40% - Accent1 5 2 4 3 2 2" xfId="26854"/>
    <cellStyle name="40% - Accent1 5 2 4 3 3" xfId="26853"/>
    <cellStyle name="40% - Accent1 5 2 4 4" xfId="8924"/>
    <cellStyle name="40% - Accent1 5 2 4 4 2" xfId="26855"/>
    <cellStyle name="40% - Accent1 5 2 4 5" xfId="26848"/>
    <cellStyle name="40% - Accent1 5 2 5" xfId="8925"/>
    <cellStyle name="40% - Accent1 5 2 5 2" xfId="8926"/>
    <cellStyle name="40% - Accent1 5 2 5 2 2" xfId="8927"/>
    <cellStyle name="40% - Accent1 5 2 5 2 2 2" xfId="8928"/>
    <cellStyle name="40% - Accent1 5 2 5 2 2 2 2" xfId="26859"/>
    <cellStyle name="40% - Accent1 5 2 5 2 2 3" xfId="26858"/>
    <cellStyle name="40% - Accent1 5 2 5 2 3" xfId="8929"/>
    <cellStyle name="40% - Accent1 5 2 5 2 3 2" xfId="26860"/>
    <cellStyle name="40% - Accent1 5 2 5 2 4" xfId="26857"/>
    <cellStyle name="40% - Accent1 5 2 5 3" xfId="8930"/>
    <cellStyle name="40% - Accent1 5 2 5 3 2" xfId="8931"/>
    <cellStyle name="40% - Accent1 5 2 5 3 2 2" xfId="26862"/>
    <cellStyle name="40% - Accent1 5 2 5 3 3" xfId="26861"/>
    <cellStyle name="40% - Accent1 5 2 5 4" xfId="8932"/>
    <cellStyle name="40% - Accent1 5 2 5 4 2" xfId="26863"/>
    <cellStyle name="40% - Accent1 5 2 5 5" xfId="26856"/>
    <cellStyle name="40% - Accent1 5 2 6" xfId="8933"/>
    <cellStyle name="40% - Accent1 5 2 6 2" xfId="8934"/>
    <cellStyle name="40% - Accent1 5 2 6 2 2" xfId="8935"/>
    <cellStyle name="40% - Accent1 5 2 6 2 2 2" xfId="26866"/>
    <cellStyle name="40% - Accent1 5 2 6 2 3" xfId="26865"/>
    <cellStyle name="40% - Accent1 5 2 6 3" xfId="8936"/>
    <cellStyle name="40% - Accent1 5 2 6 3 2" xfId="26867"/>
    <cellStyle name="40% - Accent1 5 2 6 4" xfId="26864"/>
    <cellStyle name="40% - Accent1 5 2 7" xfId="8937"/>
    <cellStyle name="40% - Accent1 5 2 7 2" xfId="8938"/>
    <cellStyle name="40% - Accent1 5 2 7 2 2" xfId="26869"/>
    <cellStyle name="40% - Accent1 5 2 7 3" xfId="26868"/>
    <cellStyle name="40% - Accent1 5 2 8" xfId="8939"/>
    <cellStyle name="40% - Accent1 5 2 8 2" xfId="26870"/>
    <cellStyle name="40% - Accent1 5 2 9" xfId="26775"/>
    <cellStyle name="40% - Accent1 5 3" xfId="8940"/>
    <cellStyle name="40% - Accent1 5 3 2" xfId="8941"/>
    <cellStyle name="40% - Accent1 5 3 2 2" xfId="8942"/>
    <cellStyle name="40% - Accent1 5 3 2 2 2" xfId="8943"/>
    <cellStyle name="40% - Accent1 5 3 2 2 2 2" xfId="8944"/>
    <cellStyle name="40% - Accent1 5 3 2 2 2 2 2" xfId="8945"/>
    <cellStyle name="40% - Accent1 5 3 2 2 2 2 2 2" xfId="26876"/>
    <cellStyle name="40% - Accent1 5 3 2 2 2 2 3" xfId="26875"/>
    <cellStyle name="40% - Accent1 5 3 2 2 2 3" xfId="8946"/>
    <cellStyle name="40% - Accent1 5 3 2 2 2 3 2" xfId="26877"/>
    <cellStyle name="40% - Accent1 5 3 2 2 2 4" xfId="26874"/>
    <cellStyle name="40% - Accent1 5 3 2 2 3" xfId="8947"/>
    <cellStyle name="40% - Accent1 5 3 2 2 3 2" xfId="8948"/>
    <cellStyle name="40% - Accent1 5 3 2 2 3 2 2" xfId="26879"/>
    <cellStyle name="40% - Accent1 5 3 2 2 3 3" xfId="26878"/>
    <cellStyle name="40% - Accent1 5 3 2 2 4" xfId="8949"/>
    <cellStyle name="40% - Accent1 5 3 2 2 4 2" xfId="26880"/>
    <cellStyle name="40% - Accent1 5 3 2 2 5" xfId="26873"/>
    <cellStyle name="40% - Accent1 5 3 2 3" xfId="8950"/>
    <cellStyle name="40% - Accent1 5 3 2 3 2" xfId="8951"/>
    <cellStyle name="40% - Accent1 5 3 2 3 2 2" xfId="8952"/>
    <cellStyle name="40% - Accent1 5 3 2 3 2 2 2" xfId="8953"/>
    <cellStyle name="40% - Accent1 5 3 2 3 2 2 2 2" xfId="26884"/>
    <cellStyle name="40% - Accent1 5 3 2 3 2 2 3" xfId="26883"/>
    <cellStyle name="40% - Accent1 5 3 2 3 2 3" xfId="8954"/>
    <cellStyle name="40% - Accent1 5 3 2 3 2 3 2" xfId="26885"/>
    <cellStyle name="40% - Accent1 5 3 2 3 2 4" xfId="26882"/>
    <cellStyle name="40% - Accent1 5 3 2 3 3" xfId="8955"/>
    <cellStyle name="40% - Accent1 5 3 2 3 3 2" xfId="8956"/>
    <cellStyle name="40% - Accent1 5 3 2 3 3 2 2" xfId="26887"/>
    <cellStyle name="40% - Accent1 5 3 2 3 3 3" xfId="26886"/>
    <cellStyle name="40% - Accent1 5 3 2 3 4" xfId="8957"/>
    <cellStyle name="40% - Accent1 5 3 2 3 4 2" xfId="26888"/>
    <cellStyle name="40% - Accent1 5 3 2 3 5" xfId="26881"/>
    <cellStyle name="40% - Accent1 5 3 2 4" xfId="8958"/>
    <cellStyle name="40% - Accent1 5 3 2 4 2" xfId="8959"/>
    <cellStyle name="40% - Accent1 5 3 2 4 2 2" xfId="8960"/>
    <cellStyle name="40% - Accent1 5 3 2 4 2 2 2" xfId="26891"/>
    <cellStyle name="40% - Accent1 5 3 2 4 2 3" xfId="26890"/>
    <cellStyle name="40% - Accent1 5 3 2 4 3" xfId="8961"/>
    <cellStyle name="40% - Accent1 5 3 2 4 3 2" xfId="26892"/>
    <cellStyle name="40% - Accent1 5 3 2 4 4" xfId="26889"/>
    <cellStyle name="40% - Accent1 5 3 2 5" xfId="8962"/>
    <cellStyle name="40% - Accent1 5 3 2 5 2" xfId="8963"/>
    <cellStyle name="40% - Accent1 5 3 2 5 2 2" xfId="26894"/>
    <cellStyle name="40% - Accent1 5 3 2 5 3" xfId="26893"/>
    <cellStyle name="40% - Accent1 5 3 2 6" xfId="8964"/>
    <cellStyle name="40% - Accent1 5 3 2 6 2" xfId="26895"/>
    <cellStyle name="40% - Accent1 5 3 2 7" xfId="26872"/>
    <cellStyle name="40% - Accent1 5 3 3" xfId="8965"/>
    <cellStyle name="40% - Accent1 5 3 3 2" xfId="8966"/>
    <cellStyle name="40% - Accent1 5 3 3 2 2" xfId="8967"/>
    <cellStyle name="40% - Accent1 5 3 3 2 2 2" xfId="8968"/>
    <cellStyle name="40% - Accent1 5 3 3 2 2 2 2" xfId="26899"/>
    <cellStyle name="40% - Accent1 5 3 3 2 2 3" xfId="26898"/>
    <cellStyle name="40% - Accent1 5 3 3 2 3" xfId="8969"/>
    <cellStyle name="40% - Accent1 5 3 3 2 3 2" xfId="26900"/>
    <cellStyle name="40% - Accent1 5 3 3 2 4" xfId="26897"/>
    <cellStyle name="40% - Accent1 5 3 3 3" xfId="8970"/>
    <cellStyle name="40% - Accent1 5 3 3 3 2" xfId="8971"/>
    <cellStyle name="40% - Accent1 5 3 3 3 2 2" xfId="26902"/>
    <cellStyle name="40% - Accent1 5 3 3 3 3" xfId="26901"/>
    <cellStyle name="40% - Accent1 5 3 3 4" xfId="8972"/>
    <cellStyle name="40% - Accent1 5 3 3 4 2" xfId="26903"/>
    <cellStyle name="40% - Accent1 5 3 3 5" xfId="26896"/>
    <cellStyle name="40% - Accent1 5 3 4" xfId="8973"/>
    <cellStyle name="40% - Accent1 5 3 4 2" xfId="8974"/>
    <cellStyle name="40% - Accent1 5 3 4 2 2" xfId="8975"/>
    <cellStyle name="40% - Accent1 5 3 4 2 2 2" xfId="8976"/>
    <cellStyle name="40% - Accent1 5 3 4 2 2 2 2" xfId="26907"/>
    <cellStyle name="40% - Accent1 5 3 4 2 2 3" xfId="26906"/>
    <cellStyle name="40% - Accent1 5 3 4 2 3" xfId="8977"/>
    <cellStyle name="40% - Accent1 5 3 4 2 3 2" xfId="26908"/>
    <cellStyle name="40% - Accent1 5 3 4 2 4" xfId="26905"/>
    <cellStyle name="40% - Accent1 5 3 4 3" xfId="8978"/>
    <cellStyle name="40% - Accent1 5 3 4 3 2" xfId="8979"/>
    <cellStyle name="40% - Accent1 5 3 4 3 2 2" xfId="26910"/>
    <cellStyle name="40% - Accent1 5 3 4 3 3" xfId="26909"/>
    <cellStyle name="40% - Accent1 5 3 4 4" xfId="8980"/>
    <cellStyle name="40% - Accent1 5 3 4 4 2" xfId="26911"/>
    <cellStyle name="40% - Accent1 5 3 4 5" xfId="26904"/>
    <cellStyle name="40% - Accent1 5 3 5" xfId="8981"/>
    <cellStyle name="40% - Accent1 5 3 5 2" xfId="8982"/>
    <cellStyle name="40% - Accent1 5 3 5 2 2" xfId="8983"/>
    <cellStyle name="40% - Accent1 5 3 5 2 2 2" xfId="26914"/>
    <cellStyle name="40% - Accent1 5 3 5 2 3" xfId="26913"/>
    <cellStyle name="40% - Accent1 5 3 5 3" xfId="8984"/>
    <cellStyle name="40% - Accent1 5 3 5 3 2" xfId="26915"/>
    <cellStyle name="40% - Accent1 5 3 5 4" xfId="26912"/>
    <cellStyle name="40% - Accent1 5 3 6" xfId="8985"/>
    <cellStyle name="40% - Accent1 5 3 6 2" xfId="8986"/>
    <cellStyle name="40% - Accent1 5 3 6 2 2" xfId="26917"/>
    <cellStyle name="40% - Accent1 5 3 6 3" xfId="26916"/>
    <cellStyle name="40% - Accent1 5 3 7" xfId="8987"/>
    <cellStyle name="40% - Accent1 5 3 7 2" xfId="26918"/>
    <cellStyle name="40% - Accent1 5 3 8" xfId="26871"/>
    <cellStyle name="40% - Accent1 5 4" xfId="8988"/>
    <cellStyle name="40% - Accent1 5 4 2" xfId="8989"/>
    <cellStyle name="40% - Accent1 5 4 2 2" xfId="8990"/>
    <cellStyle name="40% - Accent1 5 4 2 2 2" xfId="8991"/>
    <cellStyle name="40% - Accent1 5 4 2 2 2 2" xfId="8992"/>
    <cellStyle name="40% - Accent1 5 4 2 2 2 2 2" xfId="26923"/>
    <cellStyle name="40% - Accent1 5 4 2 2 2 3" xfId="26922"/>
    <cellStyle name="40% - Accent1 5 4 2 2 3" xfId="8993"/>
    <cellStyle name="40% - Accent1 5 4 2 2 3 2" xfId="26924"/>
    <cellStyle name="40% - Accent1 5 4 2 2 4" xfId="26921"/>
    <cellStyle name="40% - Accent1 5 4 2 3" xfId="8994"/>
    <cellStyle name="40% - Accent1 5 4 2 3 2" xfId="8995"/>
    <cellStyle name="40% - Accent1 5 4 2 3 2 2" xfId="26926"/>
    <cellStyle name="40% - Accent1 5 4 2 3 3" xfId="26925"/>
    <cellStyle name="40% - Accent1 5 4 2 4" xfId="8996"/>
    <cellStyle name="40% - Accent1 5 4 2 4 2" xfId="26927"/>
    <cellStyle name="40% - Accent1 5 4 2 5" xfId="26920"/>
    <cellStyle name="40% - Accent1 5 4 3" xfId="8997"/>
    <cellStyle name="40% - Accent1 5 4 3 2" xfId="8998"/>
    <cellStyle name="40% - Accent1 5 4 3 2 2" xfId="8999"/>
    <cellStyle name="40% - Accent1 5 4 3 2 2 2" xfId="9000"/>
    <cellStyle name="40% - Accent1 5 4 3 2 2 2 2" xfId="26931"/>
    <cellStyle name="40% - Accent1 5 4 3 2 2 3" xfId="26930"/>
    <cellStyle name="40% - Accent1 5 4 3 2 3" xfId="9001"/>
    <cellStyle name="40% - Accent1 5 4 3 2 3 2" xfId="26932"/>
    <cellStyle name="40% - Accent1 5 4 3 2 4" xfId="26929"/>
    <cellStyle name="40% - Accent1 5 4 3 3" xfId="9002"/>
    <cellStyle name="40% - Accent1 5 4 3 3 2" xfId="9003"/>
    <cellStyle name="40% - Accent1 5 4 3 3 2 2" xfId="26934"/>
    <cellStyle name="40% - Accent1 5 4 3 3 3" xfId="26933"/>
    <cellStyle name="40% - Accent1 5 4 3 4" xfId="9004"/>
    <cellStyle name="40% - Accent1 5 4 3 4 2" xfId="26935"/>
    <cellStyle name="40% - Accent1 5 4 3 5" xfId="26928"/>
    <cellStyle name="40% - Accent1 5 4 4" xfId="9005"/>
    <cellStyle name="40% - Accent1 5 4 4 2" xfId="9006"/>
    <cellStyle name="40% - Accent1 5 4 4 2 2" xfId="9007"/>
    <cellStyle name="40% - Accent1 5 4 4 2 2 2" xfId="26938"/>
    <cellStyle name="40% - Accent1 5 4 4 2 3" xfId="26937"/>
    <cellStyle name="40% - Accent1 5 4 4 3" xfId="9008"/>
    <cellStyle name="40% - Accent1 5 4 4 3 2" xfId="26939"/>
    <cellStyle name="40% - Accent1 5 4 4 4" xfId="26936"/>
    <cellStyle name="40% - Accent1 5 4 5" xfId="9009"/>
    <cellStyle name="40% - Accent1 5 4 5 2" xfId="9010"/>
    <cellStyle name="40% - Accent1 5 4 5 2 2" xfId="26941"/>
    <cellStyle name="40% - Accent1 5 4 5 3" xfId="26940"/>
    <cellStyle name="40% - Accent1 5 4 6" xfId="9011"/>
    <cellStyle name="40% - Accent1 5 4 6 2" xfId="26942"/>
    <cellStyle name="40% - Accent1 5 4 7" xfId="26919"/>
    <cellStyle name="40% - Accent1 5 5" xfId="9012"/>
    <cellStyle name="40% - Accent1 5 5 2" xfId="9013"/>
    <cellStyle name="40% - Accent1 5 5 2 2" xfId="9014"/>
    <cellStyle name="40% - Accent1 5 5 2 2 2" xfId="9015"/>
    <cellStyle name="40% - Accent1 5 5 2 2 2 2" xfId="26946"/>
    <cellStyle name="40% - Accent1 5 5 2 2 3" xfId="26945"/>
    <cellStyle name="40% - Accent1 5 5 2 3" xfId="9016"/>
    <cellStyle name="40% - Accent1 5 5 2 3 2" xfId="26947"/>
    <cellStyle name="40% - Accent1 5 5 2 4" xfId="26944"/>
    <cellStyle name="40% - Accent1 5 5 3" xfId="9017"/>
    <cellStyle name="40% - Accent1 5 5 3 2" xfId="9018"/>
    <cellStyle name="40% - Accent1 5 5 3 2 2" xfId="26949"/>
    <cellStyle name="40% - Accent1 5 5 3 3" xfId="26948"/>
    <cellStyle name="40% - Accent1 5 5 4" xfId="9019"/>
    <cellStyle name="40% - Accent1 5 5 4 2" xfId="26950"/>
    <cellStyle name="40% - Accent1 5 5 5" xfId="26943"/>
    <cellStyle name="40% - Accent1 5 6" xfId="9020"/>
    <cellStyle name="40% - Accent1 5 6 2" xfId="9021"/>
    <cellStyle name="40% - Accent1 5 6 2 2" xfId="9022"/>
    <cellStyle name="40% - Accent1 5 6 2 2 2" xfId="9023"/>
    <cellStyle name="40% - Accent1 5 6 2 2 2 2" xfId="26954"/>
    <cellStyle name="40% - Accent1 5 6 2 2 3" xfId="26953"/>
    <cellStyle name="40% - Accent1 5 6 2 3" xfId="9024"/>
    <cellStyle name="40% - Accent1 5 6 2 3 2" xfId="26955"/>
    <cellStyle name="40% - Accent1 5 6 2 4" xfId="26952"/>
    <cellStyle name="40% - Accent1 5 6 3" xfId="9025"/>
    <cellStyle name="40% - Accent1 5 6 3 2" xfId="9026"/>
    <cellStyle name="40% - Accent1 5 6 3 2 2" xfId="26957"/>
    <cellStyle name="40% - Accent1 5 6 3 3" xfId="26956"/>
    <cellStyle name="40% - Accent1 5 6 4" xfId="9027"/>
    <cellStyle name="40% - Accent1 5 6 4 2" xfId="26958"/>
    <cellStyle name="40% - Accent1 5 6 5" xfId="26951"/>
    <cellStyle name="40% - Accent1 5 7" xfId="9028"/>
    <cellStyle name="40% - Accent1 5 7 2" xfId="9029"/>
    <cellStyle name="40% - Accent1 5 7 2 2" xfId="9030"/>
    <cellStyle name="40% - Accent1 5 7 2 2 2" xfId="26961"/>
    <cellStyle name="40% - Accent1 5 7 2 3" xfId="26960"/>
    <cellStyle name="40% - Accent1 5 7 3" xfId="9031"/>
    <cellStyle name="40% - Accent1 5 7 3 2" xfId="26962"/>
    <cellStyle name="40% - Accent1 5 7 4" xfId="26959"/>
    <cellStyle name="40% - Accent1 5 8" xfId="9032"/>
    <cellStyle name="40% - Accent1 5 8 2" xfId="9033"/>
    <cellStyle name="40% - Accent1 5 8 2 2" xfId="26964"/>
    <cellStyle name="40% - Accent1 5 8 3" xfId="26963"/>
    <cellStyle name="40% - Accent1 5 9" xfId="9034"/>
    <cellStyle name="40% - Accent1 5 9 2" xfId="26965"/>
    <cellStyle name="40% - Accent1 6" xfId="9035"/>
    <cellStyle name="40% - Accent1 6 10" xfId="26966"/>
    <cellStyle name="40% - Accent1 6 2" xfId="9036"/>
    <cellStyle name="40% - Accent1 6 2 2" xfId="9037"/>
    <cellStyle name="40% - Accent1 6 2 2 2" xfId="9038"/>
    <cellStyle name="40% - Accent1 6 2 2 2 2" xfId="9039"/>
    <cellStyle name="40% - Accent1 6 2 2 2 2 2" xfId="9040"/>
    <cellStyle name="40% - Accent1 6 2 2 2 2 2 2" xfId="9041"/>
    <cellStyle name="40% - Accent1 6 2 2 2 2 2 2 2" xfId="9042"/>
    <cellStyle name="40% - Accent1 6 2 2 2 2 2 2 2 2" xfId="26973"/>
    <cellStyle name="40% - Accent1 6 2 2 2 2 2 2 3" xfId="26972"/>
    <cellStyle name="40% - Accent1 6 2 2 2 2 2 3" xfId="9043"/>
    <cellStyle name="40% - Accent1 6 2 2 2 2 2 3 2" xfId="26974"/>
    <cellStyle name="40% - Accent1 6 2 2 2 2 2 4" xfId="26971"/>
    <cellStyle name="40% - Accent1 6 2 2 2 2 3" xfId="9044"/>
    <cellStyle name="40% - Accent1 6 2 2 2 2 3 2" xfId="9045"/>
    <cellStyle name="40% - Accent1 6 2 2 2 2 3 2 2" xfId="26976"/>
    <cellStyle name="40% - Accent1 6 2 2 2 2 3 3" xfId="26975"/>
    <cellStyle name="40% - Accent1 6 2 2 2 2 4" xfId="9046"/>
    <cellStyle name="40% - Accent1 6 2 2 2 2 4 2" xfId="26977"/>
    <cellStyle name="40% - Accent1 6 2 2 2 2 5" xfId="26970"/>
    <cellStyle name="40% - Accent1 6 2 2 2 3" xfId="9047"/>
    <cellStyle name="40% - Accent1 6 2 2 2 3 2" xfId="9048"/>
    <cellStyle name="40% - Accent1 6 2 2 2 3 2 2" xfId="9049"/>
    <cellStyle name="40% - Accent1 6 2 2 2 3 2 2 2" xfId="9050"/>
    <cellStyle name="40% - Accent1 6 2 2 2 3 2 2 2 2" xfId="26981"/>
    <cellStyle name="40% - Accent1 6 2 2 2 3 2 2 3" xfId="26980"/>
    <cellStyle name="40% - Accent1 6 2 2 2 3 2 3" xfId="9051"/>
    <cellStyle name="40% - Accent1 6 2 2 2 3 2 3 2" xfId="26982"/>
    <cellStyle name="40% - Accent1 6 2 2 2 3 2 4" xfId="26979"/>
    <cellStyle name="40% - Accent1 6 2 2 2 3 3" xfId="9052"/>
    <cellStyle name="40% - Accent1 6 2 2 2 3 3 2" xfId="9053"/>
    <cellStyle name="40% - Accent1 6 2 2 2 3 3 2 2" xfId="26984"/>
    <cellStyle name="40% - Accent1 6 2 2 2 3 3 3" xfId="26983"/>
    <cellStyle name="40% - Accent1 6 2 2 2 3 4" xfId="9054"/>
    <cellStyle name="40% - Accent1 6 2 2 2 3 4 2" xfId="26985"/>
    <cellStyle name="40% - Accent1 6 2 2 2 3 5" xfId="26978"/>
    <cellStyle name="40% - Accent1 6 2 2 2 4" xfId="9055"/>
    <cellStyle name="40% - Accent1 6 2 2 2 4 2" xfId="9056"/>
    <cellStyle name="40% - Accent1 6 2 2 2 4 2 2" xfId="9057"/>
    <cellStyle name="40% - Accent1 6 2 2 2 4 2 2 2" xfId="26988"/>
    <cellStyle name="40% - Accent1 6 2 2 2 4 2 3" xfId="26987"/>
    <cellStyle name="40% - Accent1 6 2 2 2 4 3" xfId="9058"/>
    <cellStyle name="40% - Accent1 6 2 2 2 4 3 2" xfId="26989"/>
    <cellStyle name="40% - Accent1 6 2 2 2 4 4" xfId="26986"/>
    <cellStyle name="40% - Accent1 6 2 2 2 5" xfId="9059"/>
    <cellStyle name="40% - Accent1 6 2 2 2 5 2" xfId="9060"/>
    <cellStyle name="40% - Accent1 6 2 2 2 5 2 2" xfId="26991"/>
    <cellStyle name="40% - Accent1 6 2 2 2 5 3" xfId="26990"/>
    <cellStyle name="40% - Accent1 6 2 2 2 6" xfId="9061"/>
    <cellStyle name="40% - Accent1 6 2 2 2 6 2" xfId="26992"/>
    <cellStyle name="40% - Accent1 6 2 2 2 7" xfId="26969"/>
    <cellStyle name="40% - Accent1 6 2 2 3" xfId="9062"/>
    <cellStyle name="40% - Accent1 6 2 2 3 2" xfId="9063"/>
    <cellStyle name="40% - Accent1 6 2 2 3 2 2" xfId="9064"/>
    <cellStyle name="40% - Accent1 6 2 2 3 2 2 2" xfId="9065"/>
    <cellStyle name="40% - Accent1 6 2 2 3 2 2 2 2" xfId="26996"/>
    <cellStyle name="40% - Accent1 6 2 2 3 2 2 3" xfId="26995"/>
    <cellStyle name="40% - Accent1 6 2 2 3 2 3" xfId="9066"/>
    <cellStyle name="40% - Accent1 6 2 2 3 2 3 2" xfId="26997"/>
    <cellStyle name="40% - Accent1 6 2 2 3 2 4" xfId="26994"/>
    <cellStyle name="40% - Accent1 6 2 2 3 3" xfId="9067"/>
    <cellStyle name="40% - Accent1 6 2 2 3 3 2" xfId="9068"/>
    <cellStyle name="40% - Accent1 6 2 2 3 3 2 2" xfId="26999"/>
    <cellStyle name="40% - Accent1 6 2 2 3 3 3" xfId="26998"/>
    <cellStyle name="40% - Accent1 6 2 2 3 4" xfId="9069"/>
    <cellStyle name="40% - Accent1 6 2 2 3 4 2" xfId="27000"/>
    <cellStyle name="40% - Accent1 6 2 2 3 5" xfId="26993"/>
    <cellStyle name="40% - Accent1 6 2 2 4" xfId="9070"/>
    <cellStyle name="40% - Accent1 6 2 2 4 2" xfId="9071"/>
    <cellStyle name="40% - Accent1 6 2 2 4 2 2" xfId="9072"/>
    <cellStyle name="40% - Accent1 6 2 2 4 2 2 2" xfId="9073"/>
    <cellStyle name="40% - Accent1 6 2 2 4 2 2 2 2" xfId="27004"/>
    <cellStyle name="40% - Accent1 6 2 2 4 2 2 3" xfId="27003"/>
    <cellStyle name="40% - Accent1 6 2 2 4 2 3" xfId="9074"/>
    <cellStyle name="40% - Accent1 6 2 2 4 2 3 2" xfId="27005"/>
    <cellStyle name="40% - Accent1 6 2 2 4 2 4" xfId="27002"/>
    <cellStyle name="40% - Accent1 6 2 2 4 3" xfId="9075"/>
    <cellStyle name="40% - Accent1 6 2 2 4 3 2" xfId="9076"/>
    <cellStyle name="40% - Accent1 6 2 2 4 3 2 2" xfId="27007"/>
    <cellStyle name="40% - Accent1 6 2 2 4 3 3" xfId="27006"/>
    <cellStyle name="40% - Accent1 6 2 2 4 4" xfId="9077"/>
    <cellStyle name="40% - Accent1 6 2 2 4 4 2" xfId="27008"/>
    <cellStyle name="40% - Accent1 6 2 2 4 5" xfId="27001"/>
    <cellStyle name="40% - Accent1 6 2 2 5" xfId="9078"/>
    <cellStyle name="40% - Accent1 6 2 2 5 2" xfId="9079"/>
    <cellStyle name="40% - Accent1 6 2 2 5 2 2" xfId="9080"/>
    <cellStyle name="40% - Accent1 6 2 2 5 2 2 2" xfId="27011"/>
    <cellStyle name="40% - Accent1 6 2 2 5 2 3" xfId="27010"/>
    <cellStyle name="40% - Accent1 6 2 2 5 3" xfId="9081"/>
    <cellStyle name="40% - Accent1 6 2 2 5 3 2" xfId="27012"/>
    <cellStyle name="40% - Accent1 6 2 2 5 4" xfId="27009"/>
    <cellStyle name="40% - Accent1 6 2 2 6" xfId="9082"/>
    <cellStyle name="40% - Accent1 6 2 2 6 2" xfId="9083"/>
    <cellStyle name="40% - Accent1 6 2 2 6 2 2" xfId="27014"/>
    <cellStyle name="40% - Accent1 6 2 2 6 3" xfId="27013"/>
    <cellStyle name="40% - Accent1 6 2 2 7" xfId="9084"/>
    <cellStyle name="40% - Accent1 6 2 2 7 2" xfId="27015"/>
    <cellStyle name="40% - Accent1 6 2 2 8" xfId="26968"/>
    <cellStyle name="40% - Accent1 6 2 3" xfId="9085"/>
    <cellStyle name="40% - Accent1 6 2 3 2" xfId="9086"/>
    <cellStyle name="40% - Accent1 6 2 3 2 2" xfId="9087"/>
    <cellStyle name="40% - Accent1 6 2 3 2 2 2" xfId="9088"/>
    <cellStyle name="40% - Accent1 6 2 3 2 2 2 2" xfId="9089"/>
    <cellStyle name="40% - Accent1 6 2 3 2 2 2 2 2" xfId="27020"/>
    <cellStyle name="40% - Accent1 6 2 3 2 2 2 3" xfId="27019"/>
    <cellStyle name="40% - Accent1 6 2 3 2 2 3" xfId="9090"/>
    <cellStyle name="40% - Accent1 6 2 3 2 2 3 2" xfId="27021"/>
    <cellStyle name="40% - Accent1 6 2 3 2 2 4" xfId="27018"/>
    <cellStyle name="40% - Accent1 6 2 3 2 3" xfId="9091"/>
    <cellStyle name="40% - Accent1 6 2 3 2 3 2" xfId="9092"/>
    <cellStyle name="40% - Accent1 6 2 3 2 3 2 2" xfId="27023"/>
    <cellStyle name="40% - Accent1 6 2 3 2 3 3" xfId="27022"/>
    <cellStyle name="40% - Accent1 6 2 3 2 4" xfId="9093"/>
    <cellStyle name="40% - Accent1 6 2 3 2 4 2" xfId="27024"/>
    <cellStyle name="40% - Accent1 6 2 3 2 5" xfId="27017"/>
    <cellStyle name="40% - Accent1 6 2 3 3" xfId="9094"/>
    <cellStyle name="40% - Accent1 6 2 3 3 2" xfId="9095"/>
    <cellStyle name="40% - Accent1 6 2 3 3 2 2" xfId="9096"/>
    <cellStyle name="40% - Accent1 6 2 3 3 2 2 2" xfId="9097"/>
    <cellStyle name="40% - Accent1 6 2 3 3 2 2 2 2" xfId="27028"/>
    <cellStyle name="40% - Accent1 6 2 3 3 2 2 3" xfId="27027"/>
    <cellStyle name="40% - Accent1 6 2 3 3 2 3" xfId="9098"/>
    <cellStyle name="40% - Accent1 6 2 3 3 2 3 2" xfId="27029"/>
    <cellStyle name="40% - Accent1 6 2 3 3 2 4" xfId="27026"/>
    <cellStyle name="40% - Accent1 6 2 3 3 3" xfId="9099"/>
    <cellStyle name="40% - Accent1 6 2 3 3 3 2" xfId="9100"/>
    <cellStyle name="40% - Accent1 6 2 3 3 3 2 2" xfId="27031"/>
    <cellStyle name="40% - Accent1 6 2 3 3 3 3" xfId="27030"/>
    <cellStyle name="40% - Accent1 6 2 3 3 4" xfId="9101"/>
    <cellStyle name="40% - Accent1 6 2 3 3 4 2" xfId="27032"/>
    <cellStyle name="40% - Accent1 6 2 3 3 5" xfId="27025"/>
    <cellStyle name="40% - Accent1 6 2 3 4" xfId="9102"/>
    <cellStyle name="40% - Accent1 6 2 3 4 2" xfId="9103"/>
    <cellStyle name="40% - Accent1 6 2 3 4 2 2" xfId="9104"/>
    <cellStyle name="40% - Accent1 6 2 3 4 2 2 2" xfId="27035"/>
    <cellStyle name="40% - Accent1 6 2 3 4 2 3" xfId="27034"/>
    <cellStyle name="40% - Accent1 6 2 3 4 3" xfId="9105"/>
    <cellStyle name="40% - Accent1 6 2 3 4 3 2" xfId="27036"/>
    <cellStyle name="40% - Accent1 6 2 3 4 4" xfId="27033"/>
    <cellStyle name="40% - Accent1 6 2 3 5" xfId="9106"/>
    <cellStyle name="40% - Accent1 6 2 3 5 2" xfId="9107"/>
    <cellStyle name="40% - Accent1 6 2 3 5 2 2" xfId="27038"/>
    <cellStyle name="40% - Accent1 6 2 3 5 3" xfId="27037"/>
    <cellStyle name="40% - Accent1 6 2 3 6" xfId="9108"/>
    <cellStyle name="40% - Accent1 6 2 3 6 2" xfId="27039"/>
    <cellStyle name="40% - Accent1 6 2 3 7" xfId="27016"/>
    <cellStyle name="40% - Accent1 6 2 4" xfId="9109"/>
    <cellStyle name="40% - Accent1 6 2 4 2" xfId="9110"/>
    <cellStyle name="40% - Accent1 6 2 4 2 2" xfId="9111"/>
    <cellStyle name="40% - Accent1 6 2 4 2 2 2" xfId="9112"/>
    <cellStyle name="40% - Accent1 6 2 4 2 2 2 2" xfId="27043"/>
    <cellStyle name="40% - Accent1 6 2 4 2 2 3" xfId="27042"/>
    <cellStyle name="40% - Accent1 6 2 4 2 3" xfId="9113"/>
    <cellStyle name="40% - Accent1 6 2 4 2 3 2" xfId="27044"/>
    <cellStyle name="40% - Accent1 6 2 4 2 4" xfId="27041"/>
    <cellStyle name="40% - Accent1 6 2 4 3" xfId="9114"/>
    <cellStyle name="40% - Accent1 6 2 4 3 2" xfId="9115"/>
    <cellStyle name="40% - Accent1 6 2 4 3 2 2" xfId="27046"/>
    <cellStyle name="40% - Accent1 6 2 4 3 3" xfId="27045"/>
    <cellStyle name="40% - Accent1 6 2 4 4" xfId="9116"/>
    <cellStyle name="40% - Accent1 6 2 4 4 2" xfId="27047"/>
    <cellStyle name="40% - Accent1 6 2 4 5" xfId="27040"/>
    <cellStyle name="40% - Accent1 6 2 5" xfId="9117"/>
    <cellStyle name="40% - Accent1 6 2 5 2" xfId="9118"/>
    <cellStyle name="40% - Accent1 6 2 5 2 2" xfId="9119"/>
    <cellStyle name="40% - Accent1 6 2 5 2 2 2" xfId="9120"/>
    <cellStyle name="40% - Accent1 6 2 5 2 2 2 2" xfId="27051"/>
    <cellStyle name="40% - Accent1 6 2 5 2 2 3" xfId="27050"/>
    <cellStyle name="40% - Accent1 6 2 5 2 3" xfId="9121"/>
    <cellStyle name="40% - Accent1 6 2 5 2 3 2" xfId="27052"/>
    <cellStyle name="40% - Accent1 6 2 5 2 4" xfId="27049"/>
    <cellStyle name="40% - Accent1 6 2 5 3" xfId="9122"/>
    <cellStyle name="40% - Accent1 6 2 5 3 2" xfId="9123"/>
    <cellStyle name="40% - Accent1 6 2 5 3 2 2" xfId="27054"/>
    <cellStyle name="40% - Accent1 6 2 5 3 3" xfId="27053"/>
    <cellStyle name="40% - Accent1 6 2 5 4" xfId="9124"/>
    <cellStyle name="40% - Accent1 6 2 5 4 2" xfId="27055"/>
    <cellStyle name="40% - Accent1 6 2 5 5" xfId="27048"/>
    <cellStyle name="40% - Accent1 6 2 6" xfId="9125"/>
    <cellStyle name="40% - Accent1 6 2 6 2" xfId="9126"/>
    <cellStyle name="40% - Accent1 6 2 6 2 2" xfId="9127"/>
    <cellStyle name="40% - Accent1 6 2 6 2 2 2" xfId="27058"/>
    <cellStyle name="40% - Accent1 6 2 6 2 3" xfId="27057"/>
    <cellStyle name="40% - Accent1 6 2 6 3" xfId="9128"/>
    <cellStyle name="40% - Accent1 6 2 6 3 2" xfId="27059"/>
    <cellStyle name="40% - Accent1 6 2 6 4" xfId="27056"/>
    <cellStyle name="40% - Accent1 6 2 7" xfId="9129"/>
    <cellStyle name="40% - Accent1 6 2 7 2" xfId="9130"/>
    <cellStyle name="40% - Accent1 6 2 7 2 2" xfId="27061"/>
    <cellStyle name="40% - Accent1 6 2 7 3" xfId="27060"/>
    <cellStyle name="40% - Accent1 6 2 8" xfId="9131"/>
    <cellStyle name="40% - Accent1 6 2 8 2" xfId="27062"/>
    <cellStyle name="40% - Accent1 6 2 9" xfId="26967"/>
    <cellStyle name="40% - Accent1 6 3" xfId="9132"/>
    <cellStyle name="40% - Accent1 6 3 2" xfId="9133"/>
    <cellStyle name="40% - Accent1 6 3 2 2" xfId="9134"/>
    <cellStyle name="40% - Accent1 6 3 2 2 2" xfId="9135"/>
    <cellStyle name="40% - Accent1 6 3 2 2 2 2" xfId="9136"/>
    <cellStyle name="40% - Accent1 6 3 2 2 2 2 2" xfId="9137"/>
    <cellStyle name="40% - Accent1 6 3 2 2 2 2 2 2" xfId="27068"/>
    <cellStyle name="40% - Accent1 6 3 2 2 2 2 3" xfId="27067"/>
    <cellStyle name="40% - Accent1 6 3 2 2 2 3" xfId="9138"/>
    <cellStyle name="40% - Accent1 6 3 2 2 2 3 2" xfId="27069"/>
    <cellStyle name="40% - Accent1 6 3 2 2 2 4" xfId="27066"/>
    <cellStyle name="40% - Accent1 6 3 2 2 3" xfId="9139"/>
    <cellStyle name="40% - Accent1 6 3 2 2 3 2" xfId="9140"/>
    <cellStyle name="40% - Accent1 6 3 2 2 3 2 2" xfId="27071"/>
    <cellStyle name="40% - Accent1 6 3 2 2 3 3" xfId="27070"/>
    <cellStyle name="40% - Accent1 6 3 2 2 4" xfId="9141"/>
    <cellStyle name="40% - Accent1 6 3 2 2 4 2" xfId="27072"/>
    <cellStyle name="40% - Accent1 6 3 2 2 5" xfId="27065"/>
    <cellStyle name="40% - Accent1 6 3 2 3" xfId="9142"/>
    <cellStyle name="40% - Accent1 6 3 2 3 2" xfId="9143"/>
    <cellStyle name="40% - Accent1 6 3 2 3 2 2" xfId="9144"/>
    <cellStyle name="40% - Accent1 6 3 2 3 2 2 2" xfId="9145"/>
    <cellStyle name="40% - Accent1 6 3 2 3 2 2 2 2" xfId="27076"/>
    <cellStyle name="40% - Accent1 6 3 2 3 2 2 3" xfId="27075"/>
    <cellStyle name="40% - Accent1 6 3 2 3 2 3" xfId="9146"/>
    <cellStyle name="40% - Accent1 6 3 2 3 2 3 2" xfId="27077"/>
    <cellStyle name="40% - Accent1 6 3 2 3 2 4" xfId="27074"/>
    <cellStyle name="40% - Accent1 6 3 2 3 3" xfId="9147"/>
    <cellStyle name="40% - Accent1 6 3 2 3 3 2" xfId="9148"/>
    <cellStyle name="40% - Accent1 6 3 2 3 3 2 2" xfId="27079"/>
    <cellStyle name="40% - Accent1 6 3 2 3 3 3" xfId="27078"/>
    <cellStyle name="40% - Accent1 6 3 2 3 4" xfId="9149"/>
    <cellStyle name="40% - Accent1 6 3 2 3 4 2" xfId="27080"/>
    <cellStyle name="40% - Accent1 6 3 2 3 5" xfId="27073"/>
    <cellStyle name="40% - Accent1 6 3 2 4" xfId="9150"/>
    <cellStyle name="40% - Accent1 6 3 2 4 2" xfId="9151"/>
    <cellStyle name="40% - Accent1 6 3 2 4 2 2" xfId="9152"/>
    <cellStyle name="40% - Accent1 6 3 2 4 2 2 2" xfId="27083"/>
    <cellStyle name="40% - Accent1 6 3 2 4 2 3" xfId="27082"/>
    <cellStyle name="40% - Accent1 6 3 2 4 3" xfId="9153"/>
    <cellStyle name="40% - Accent1 6 3 2 4 3 2" xfId="27084"/>
    <cellStyle name="40% - Accent1 6 3 2 4 4" xfId="27081"/>
    <cellStyle name="40% - Accent1 6 3 2 5" xfId="9154"/>
    <cellStyle name="40% - Accent1 6 3 2 5 2" xfId="9155"/>
    <cellStyle name="40% - Accent1 6 3 2 5 2 2" xfId="27086"/>
    <cellStyle name="40% - Accent1 6 3 2 5 3" xfId="27085"/>
    <cellStyle name="40% - Accent1 6 3 2 6" xfId="9156"/>
    <cellStyle name="40% - Accent1 6 3 2 6 2" xfId="27087"/>
    <cellStyle name="40% - Accent1 6 3 2 7" xfId="27064"/>
    <cellStyle name="40% - Accent1 6 3 3" xfId="9157"/>
    <cellStyle name="40% - Accent1 6 3 3 2" xfId="9158"/>
    <cellStyle name="40% - Accent1 6 3 3 2 2" xfId="9159"/>
    <cellStyle name="40% - Accent1 6 3 3 2 2 2" xfId="9160"/>
    <cellStyle name="40% - Accent1 6 3 3 2 2 2 2" xfId="27091"/>
    <cellStyle name="40% - Accent1 6 3 3 2 2 3" xfId="27090"/>
    <cellStyle name="40% - Accent1 6 3 3 2 3" xfId="9161"/>
    <cellStyle name="40% - Accent1 6 3 3 2 3 2" xfId="27092"/>
    <cellStyle name="40% - Accent1 6 3 3 2 4" xfId="27089"/>
    <cellStyle name="40% - Accent1 6 3 3 3" xfId="9162"/>
    <cellStyle name="40% - Accent1 6 3 3 3 2" xfId="9163"/>
    <cellStyle name="40% - Accent1 6 3 3 3 2 2" xfId="27094"/>
    <cellStyle name="40% - Accent1 6 3 3 3 3" xfId="27093"/>
    <cellStyle name="40% - Accent1 6 3 3 4" xfId="9164"/>
    <cellStyle name="40% - Accent1 6 3 3 4 2" xfId="27095"/>
    <cellStyle name="40% - Accent1 6 3 3 5" xfId="27088"/>
    <cellStyle name="40% - Accent1 6 3 4" xfId="9165"/>
    <cellStyle name="40% - Accent1 6 3 4 2" xfId="9166"/>
    <cellStyle name="40% - Accent1 6 3 4 2 2" xfId="9167"/>
    <cellStyle name="40% - Accent1 6 3 4 2 2 2" xfId="9168"/>
    <cellStyle name="40% - Accent1 6 3 4 2 2 2 2" xfId="27099"/>
    <cellStyle name="40% - Accent1 6 3 4 2 2 3" xfId="27098"/>
    <cellStyle name="40% - Accent1 6 3 4 2 3" xfId="9169"/>
    <cellStyle name="40% - Accent1 6 3 4 2 3 2" xfId="27100"/>
    <cellStyle name="40% - Accent1 6 3 4 2 4" xfId="27097"/>
    <cellStyle name="40% - Accent1 6 3 4 3" xfId="9170"/>
    <cellStyle name="40% - Accent1 6 3 4 3 2" xfId="9171"/>
    <cellStyle name="40% - Accent1 6 3 4 3 2 2" xfId="27102"/>
    <cellStyle name="40% - Accent1 6 3 4 3 3" xfId="27101"/>
    <cellStyle name="40% - Accent1 6 3 4 4" xfId="9172"/>
    <cellStyle name="40% - Accent1 6 3 4 4 2" xfId="27103"/>
    <cellStyle name="40% - Accent1 6 3 4 5" xfId="27096"/>
    <cellStyle name="40% - Accent1 6 3 5" xfId="9173"/>
    <cellStyle name="40% - Accent1 6 3 5 2" xfId="9174"/>
    <cellStyle name="40% - Accent1 6 3 5 2 2" xfId="9175"/>
    <cellStyle name="40% - Accent1 6 3 5 2 2 2" xfId="27106"/>
    <cellStyle name="40% - Accent1 6 3 5 2 3" xfId="27105"/>
    <cellStyle name="40% - Accent1 6 3 5 3" xfId="9176"/>
    <cellStyle name="40% - Accent1 6 3 5 3 2" xfId="27107"/>
    <cellStyle name="40% - Accent1 6 3 5 4" xfId="27104"/>
    <cellStyle name="40% - Accent1 6 3 6" xfId="9177"/>
    <cellStyle name="40% - Accent1 6 3 6 2" xfId="9178"/>
    <cellStyle name="40% - Accent1 6 3 6 2 2" xfId="27109"/>
    <cellStyle name="40% - Accent1 6 3 6 3" xfId="27108"/>
    <cellStyle name="40% - Accent1 6 3 7" xfId="9179"/>
    <cellStyle name="40% - Accent1 6 3 7 2" xfId="27110"/>
    <cellStyle name="40% - Accent1 6 3 8" xfId="27063"/>
    <cellStyle name="40% - Accent1 6 4" xfId="9180"/>
    <cellStyle name="40% - Accent1 6 4 2" xfId="9181"/>
    <cellStyle name="40% - Accent1 6 4 2 2" xfId="9182"/>
    <cellStyle name="40% - Accent1 6 4 2 2 2" xfId="9183"/>
    <cellStyle name="40% - Accent1 6 4 2 2 2 2" xfId="9184"/>
    <cellStyle name="40% - Accent1 6 4 2 2 2 2 2" xfId="27115"/>
    <cellStyle name="40% - Accent1 6 4 2 2 2 3" xfId="27114"/>
    <cellStyle name="40% - Accent1 6 4 2 2 3" xfId="9185"/>
    <cellStyle name="40% - Accent1 6 4 2 2 3 2" xfId="27116"/>
    <cellStyle name="40% - Accent1 6 4 2 2 4" xfId="27113"/>
    <cellStyle name="40% - Accent1 6 4 2 3" xfId="9186"/>
    <cellStyle name="40% - Accent1 6 4 2 3 2" xfId="9187"/>
    <cellStyle name="40% - Accent1 6 4 2 3 2 2" xfId="27118"/>
    <cellStyle name="40% - Accent1 6 4 2 3 3" xfId="27117"/>
    <cellStyle name="40% - Accent1 6 4 2 4" xfId="9188"/>
    <cellStyle name="40% - Accent1 6 4 2 4 2" xfId="27119"/>
    <cellStyle name="40% - Accent1 6 4 2 5" xfId="27112"/>
    <cellStyle name="40% - Accent1 6 4 3" xfId="9189"/>
    <cellStyle name="40% - Accent1 6 4 3 2" xfId="9190"/>
    <cellStyle name="40% - Accent1 6 4 3 2 2" xfId="9191"/>
    <cellStyle name="40% - Accent1 6 4 3 2 2 2" xfId="9192"/>
    <cellStyle name="40% - Accent1 6 4 3 2 2 2 2" xfId="27123"/>
    <cellStyle name="40% - Accent1 6 4 3 2 2 3" xfId="27122"/>
    <cellStyle name="40% - Accent1 6 4 3 2 3" xfId="9193"/>
    <cellStyle name="40% - Accent1 6 4 3 2 3 2" xfId="27124"/>
    <cellStyle name="40% - Accent1 6 4 3 2 4" xfId="27121"/>
    <cellStyle name="40% - Accent1 6 4 3 3" xfId="9194"/>
    <cellStyle name="40% - Accent1 6 4 3 3 2" xfId="9195"/>
    <cellStyle name="40% - Accent1 6 4 3 3 2 2" xfId="27126"/>
    <cellStyle name="40% - Accent1 6 4 3 3 3" xfId="27125"/>
    <cellStyle name="40% - Accent1 6 4 3 4" xfId="9196"/>
    <cellStyle name="40% - Accent1 6 4 3 4 2" xfId="27127"/>
    <cellStyle name="40% - Accent1 6 4 3 5" xfId="27120"/>
    <cellStyle name="40% - Accent1 6 4 4" xfId="9197"/>
    <cellStyle name="40% - Accent1 6 4 4 2" xfId="9198"/>
    <cellStyle name="40% - Accent1 6 4 4 2 2" xfId="9199"/>
    <cellStyle name="40% - Accent1 6 4 4 2 2 2" xfId="27130"/>
    <cellStyle name="40% - Accent1 6 4 4 2 3" xfId="27129"/>
    <cellStyle name="40% - Accent1 6 4 4 3" xfId="9200"/>
    <cellStyle name="40% - Accent1 6 4 4 3 2" xfId="27131"/>
    <cellStyle name="40% - Accent1 6 4 4 4" xfId="27128"/>
    <cellStyle name="40% - Accent1 6 4 5" xfId="9201"/>
    <cellStyle name="40% - Accent1 6 4 5 2" xfId="9202"/>
    <cellStyle name="40% - Accent1 6 4 5 2 2" xfId="27133"/>
    <cellStyle name="40% - Accent1 6 4 5 3" xfId="27132"/>
    <cellStyle name="40% - Accent1 6 4 6" xfId="9203"/>
    <cellStyle name="40% - Accent1 6 4 6 2" xfId="27134"/>
    <cellStyle name="40% - Accent1 6 4 7" xfId="27111"/>
    <cellStyle name="40% - Accent1 6 5" xfId="9204"/>
    <cellStyle name="40% - Accent1 6 5 2" xfId="9205"/>
    <cellStyle name="40% - Accent1 6 5 2 2" xfId="9206"/>
    <cellStyle name="40% - Accent1 6 5 2 2 2" xfId="9207"/>
    <cellStyle name="40% - Accent1 6 5 2 2 2 2" xfId="27138"/>
    <cellStyle name="40% - Accent1 6 5 2 2 3" xfId="27137"/>
    <cellStyle name="40% - Accent1 6 5 2 3" xfId="9208"/>
    <cellStyle name="40% - Accent1 6 5 2 3 2" xfId="27139"/>
    <cellStyle name="40% - Accent1 6 5 2 4" xfId="27136"/>
    <cellStyle name="40% - Accent1 6 5 3" xfId="9209"/>
    <cellStyle name="40% - Accent1 6 5 3 2" xfId="9210"/>
    <cellStyle name="40% - Accent1 6 5 3 2 2" xfId="27141"/>
    <cellStyle name="40% - Accent1 6 5 3 3" xfId="27140"/>
    <cellStyle name="40% - Accent1 6 5 4" xfId="9211"/>
    <cellStyle name="40% - Accent1 6 5 4 2" xfId="27142"/>
    <cellStyle name="40% - Accent1 6 5 5" xfId="27135"/>
    <cellStyle name="40% - Accent1 6 6" xfId="9212"/>
    <cellStyle name="40% - Accent1 6 6 2" xfId="9213"/>
    <cellStyle name="40% - Accent1 6 6 2 2" xfId="9214"/>
    <cellStyle name="40% - Accent1 6 6 2 2 2" xfId="9215"/>
    <cellStyle name="40% - Accent1 6 6 2 2 2 2" xfId="27146"/>
    <cellStyle name="40% - Accent1 6 6 2 2 3" xfId="27145"/>
    <cellStyle name="40% - Accent1 6 6 2 3" xfId="9216"/>
    <cellStyle name="40% - Accent1 6 6 2 3 2" xfId="27147"/>
    <cellStyle name="40% - Accent1 6 6 2 4" xfId="27144"/>
    <cellStyle name="40% - Accent1 6 6 3" xfId="9217"/>
    <cellStyle name="40% - Accent1 6 6 3 2" xfId="9218"/>
    <cellStyle name="40% - Accent1 6 6 3 2 2" xfId="27149"/>
    <cellStyle name="40% - Accent1 6 6 3 3" xfId="27148"/>
    <cellStyle name="40% - Accent1 6 6 4" xfId="9219"/>
    <cellStyle name="40% - Accent1 6 6 4 2" xfId="27150"/>
    <cellStyle name="40% - Accent1 6 6 5" xfId="27143"/>
    <cellStyle name="40% - Accent1 6 7" xfId="9220"/>
    <cellStyle name="40% - Accent1 6 7 2" xfId="9221"/>
    <cellStyle name="40% - Accent1 6 7 2 2" xfId="9222"/>
    <cellStyle name="40% - Accent1 6 7 2 2 2" xfId="27153"/>
    <cellStyle name="40% - Accent1 6 7 2 3" xfId="27152"/>
    <cellStyle name="40% - Accent1 6 7 3" xfId="9223"/>
    <cellStyle name="40% - Accent1 6 7 3 2" xfId="27154"/>
    <cellStyle name="40% - Accent1 6 7 4" xfId="27151"/>
    <cellStyle name="40% - Accent1 6 8" xfId="9224"/>
    <cellStyle name="40% - Accent1 6 8 2" xfId="9225"/>
    <cellStyle name="40% - Accent1 6 8 2 2" xfId="27156"/>
    <cellStyle name="40% - Accent1 6 8 3" xfId="27155"/>
    <cellStyle name="40% - Accent1 6 9" xfId="9226"/>
    <cellStyle name="40% - Accent1 6 9 2" xfId="27157"/>
    <cellStyle name="40% - Accent1 7" xfId="9227"/>
    <cellStyle name="40% - Accent1 7 10" xfId="27158"/>
    <cellStyle name="40% - Accent1 7 2" xfId="9228"/>
    <cellStyle name="40% - Accent1 7 2 2" xfId="9229"/>
    <cellStyle name="40% - Accent1 7 2 2 2" xfId="9230"/>
    <cellStyle name="40% - Accent1 7 2 2 2 2" xfId="9231"/>
    <cellStyle name="40% - Accent1 7 2 2 2 2 2" xfId="9232"/>
    <cellStyle name="40% - Accent1 7 2 2 2 2 2 2" xfId="9233"/>
    <cellStyle name="40% - Accent1 7 2 2 2 2 2 2 2" xfId="9234"/>
    <cellStyle name="40% - Accent1 7 2 2 2 2 2 2 2 2" xfId="27165"/>
    <cellStyle name="40% - Accent1 7 2 2 2 2 2 2 3" xfId="27164"/>
    <cellStyle name="40% - Accent1 7 2 2 2 2 2 3" xfId="9235"/>
    <cellStyle name="40% - Accent1 7 2 2 2 2 2 3 2" xfId="27166"/>
    <cellStyle name="40% - Accent1 7 2 2 2 2 2 4" xfId="27163"/>
    <cellStyle name="40% - Accent1 7 2 2 2 2 3" xfId="9236"/>
    <cellStyle name="40% - Accent1 7 2 2 2 2 3 2" xfId="9237"/>
    <cellStyle name="40% - Accent1 7 2 2 2 2 3 2 2" xfId="27168"/>
    <cellStyle name="40% - Accent1 7 2 2 2 2 3 3" xfId="27167"/>
    <cellStyle name="40% - Accent1 7 2 2 2 2 4" xfId="9238"/>
    <cellStyle name="40% - Accent1 7 2 2 2 2 4 2" xfId="27169"/>
    <cellStyle name="40% - Accent1 7 2 2 2 2 5" xfId="27162"/>
    <cellStyle name="40% - Accent1 7 2 2 2 3" xfId="9239"/>
    <cellStyle name="40% - Accent1 7 2 2 2 3 2" xfId="9240"/>
    <cellStyle name="40% - Accent1 7 2 2 2 3 2 2" xfId="9241"/>
    <cellStyle name="40% - Accent1 7 2 2 2 3 2 2 2" xfId="9242"/>
    <cellStyle name="40% - Accent1 7 2 2 2 3 2 2 2 2" xfId="27173"/>
    <cellStyle name="40% - Accent1 7 2 2 2 3 2 2 3" xfId="27172"/>
    <cellStyle name="40% - Accent1 7 2 2 2 3 2 3" xfId="9243"/>
    <cellStyle name="40% - Accent1 7 2 2 2 3 2 3 2" xfId="27174"/>
    <cellStyle name="40% - Accent1 7 2 2 2 3 2 4" xfId="27171"/>
    <cellStyle name="40% - Accent1 7 2 2 2 3 3" xfId="9244"/>
    <cellStyle name="40% - Accent1 7 2 2 2 3 3 2" xfId="9245"/>
    <cellStyle name="40% - Accent1 7 2 2 2 3 3 2 2" xfId="27176"/>
    <cellStyle name="40% - Accent1 7 2 2 2 3 3 3" xfId="27175"/>
    <cellStyle name="40% - Accent1 7 2 2 2 3 4" xfId="9246"/>
    <cellStyle name="40% - Accent1 7 2 2 2 3 4 2" xfId="27177"/>
    <cellStyle name="40% - Accent1 7 2 2 2 3 5" xfId="27170"/>
    <cellStyle name="40% - Accent1 7 2 2 2 4" xfId="9247"/>
    <cellStyle name="40% - Accent1 7 2 2 2 4 2" xfId="9248"/>
    <cellStyle name="40% - Accent1 7 2 2 2 4 2 2" xfId="9249"/>
    <cellStyle name="40% - Accent1 7 2 2 2 4 2 2 2" xfId="27180"/>
    <cellStyle name="40% - Accent1 7 2 2 2 4 2 3" xfId="27179"/>
    <cellStyle name="40% - Accent1 7 2 2 2 4 3" xfId="9250"/>
    <cellStyle name="40% - Accent1 7 2 2 2 4 3 2" xfId="27181"/>
    <cellStyle name="40% - Accent1 7 2 2 2 4 4" xfId="27178"/>
    <cellStyle name="40% - Accent1 7 2 2 2 5" xfId="9251"/>
    <cellStyle name="40% - Accent1 7 2 2 2 5 2" xfId="9252"/>
    <cellStyle name="40% - Accent1 7 2 2 2 5 2 2" xfId="27183"/>
    <cellStyle name="40% - Accent1 7 2 2 2 5 3" xfId="27182"/>
    <cellStyle name="40% - Accent1 7 2 2 2 6" xfId="9253"/>
    <cellStyle name="40% - Accent1 7 2 2 2 6 2" xfId="27184"/>
    <cellStyle name="40% - Accent1 7 2 2 2 7" xfId="27161"/>
    <cellStyle name="40% - Accent1 7 2 2 3" xfId="9254"/>
    <cellStyle name="40% - Accent1 7 2 2 3 2" xfId="9255"/>
    <cellStyle name="40% - Accent1 7 2 2 3 2 2" xfId="9256"/>
    <cellStyle name="40% - Accent1 7 2 2 3 2 2 2" xfId="9257"/>
    <cellStyle name="40% - Accent1 7 2 2 3 2 2 2 2" xfId="27188"/>
    <cellStyle name="40% - Accent1 7 2 2 3 2 2 3" xfId="27187"/>
    <cellStyle name="40% - Accent1 7 2 2 3 2 3" xfId="9258"/>
    <cellStyle name="40% - Accent1 7 2 2 3 2 3 2" xfId="27189"/>
    <cellStyle name="40% - Accent1 7 2 2 3 2 4" xfId="27186"/>
    <cellStyle name="40% - Accent1 7 2 2 3 3" xfId="9259"/>
    <cellStyle name="40% - Accent1 7 2 2 3 3 2" xfId="9260"/>
    <cellStyle name="40% - Accent1 7 2 2 3 3 2 2" xfId="27191"/>
    <cellStyle name="40% - Accent1 7 2 2 3 3 3" xfId="27190"/>
    <cellStyle name="40% - Accent1 7 2 2 3 4" xfId="9261"/>
    <cellStyle name="40% - Accent1 7 2 2 3 4 2" xfId="27192"/>
    <cellStyle name="40% - Accent1 7 2 2 3 5" xfId="27185"/>
    <cellStyle name="40% - Accent1 7 2 2 4" xfId="9262"/>
    <cellStyle name="40% - Accent1 7 2 2 4 2" xfId="9263"/>
    <cellStyle name="40% - Accent1 7 2 2 4 2 2" xfId="9264"/>
    <cellStyle name="40% - Accent1 7 2 2 4 2 2 2" xfId="9265"/>
    <cellStyle name="40% - Accent1 7 2 2 4 2 2 2 2" xfId="27196"/>
    <cellStyle name="40% - Accent1 7 2 2 4 2 2 3" xfId="27195"/>
    <cellStyle name="40% - Accent1 7 2 2 4 2 3" xfId="9266"/>
    <cellStyle name="40% - Accent1 7 2 2 4 2 3 2" xfId="27197"/>
    <cellStyle name="40% - Accent1 7 2 2 4 2 4" xfId="27194"/>
    <cellStyle name="40% - Accent1 7 2 2 4 3" xfId="9267"/>
    <cellStyle name="40% - Accent1 7 2 2 4 3 2" xfId="9268"/>
    <cellStyle name="40% - Accent1 7 2 2 4 3 2 2" xfId="27199"/>
    <cellStyle name="40% - Accent1 7 2 2 4 3 3" xfId="27198"/>
    <cellStyle name="40% - Accent1 7 2 2 4 4" xfId="9269"/>
    <cellStyle name="40% - Accent1 7 2 2 4 4 2" xfId="27200"/>
    <cellStyle name="40% - Accent1 7 2 2 4 5" xfId="27193"/>
    <cellStyle name="40% - Accent1 7 2 2 5" xfId="9270"/>
    <cellStyle name="40% - Accent1 7 2 2 5 2" xfId="9271"/>
    <cellStyle name="40% - Accent1 7 2 2 5 2 2" xfId="9272"/>
    <cellStyle name="40% - Accent1 7 2 2 5 2 2 2" xfId="27203"/>
    <cellStyle name="40% - Accent1 7 2 2 5 2 3" xfId="27202"/>
    <cellStyle name="40% - Accent1 7 2 2 5 3" xfId="9273"/>
    <cellStyle name="40% - Accent1 7 2 2 5 3 2" xfId="27204"/>
    <cellStyle name="40% - Accent1 7 2 2 5 4" xfId="27201"/>
    <cellStyle name="40% - Accent1 7 2 2 6" xfId="9274"/>
    <cellStyle name="40% - Accent1 7 2 2 6 2" xfId="9275"/>
    <cellStyle name="40% - Accent1 7 2 2 6 2 2" xfId="27206"/>
    <cellStyle name="40% - Accent1 7 2 2 6 3" xfId="27205"/>
    <cellStyle name="40% - Accent1 7 2 2 7" xfId="9276"/>
    <cellStyle name="40% - Accent1 7 2 2 7 2" xfId="27207"/>
    <cellStyle name="40% - Accent1 7 2 2 8" xfId="27160"/>
    <cellStyle name="40% - Accent1 7 2 3" xfId="9277"/>
    <cellStyle name="40% - Accent1 7 2 3 2" xfId="9278"/>
    <cellStyle name="40% - Accent1 7 2 3 2 2" xfId="9279"/>
    <cellStyle name="40% - Accent1 7 2 3 2 2 2" xfId="9280"/>
    <cellStyle name="40% - Accent1 7 2 3 2 2 2 2" xfId="9281"/>
    <cellStyle name="40% - Accent1 7 2 3 2 2 2 2 2" xfId="27212"/>
    <cellStyle name="40% - Accent1 7 2 3 2 2 2 3" xfId="27211"/>
    <cellStyle name="40% - Accent1 7 2 3 2 2 3" xfId="9282"/>
    <cellStyle name="40% - Accent1 7 2 3 2 2 3 2" xfId="27213"/>
    <cellStyle name="40% - Accent1 7 2 3 2 2 4" xfId="27210"/>
    <cellStyle name="40% - Accent1 7 2 3 2 3" xfId="9283"/>
    <cellStyle name="40% - Accent1 7 2 3 2 3 2" xfId="9284"/>
    <cellStyle name="40% - Accent1 7 2 3 2 3 2 2" xfId="27215"/>
    <cellStyle name="40% - Accent1 7 2 3 2 3 3" xfId="27214"/>
    <cellStyle name="40% - Accent1 7 2 3 2 4" xfId="9285"/>
    <cellStyle name="40% - Accent1 7 2 3 2 4 2" xfId="27216"/>
    <cellStyle name="40% - Accent1 7 2 3 2 5" xfId="27209"/>
    <cellStyle name="40% - Accent1 7 2 3 3" xfId="9286"/>
    <cellStyle name="40% - Accent1 7 2 3 3 2" xfId="9287"/>
    <cellStyle name="40% - Accent1 7 2 3 3 2 2" xfId="9288"/>
    <cellStyle name="40% - Accent1 7 2 3 3 2 2 2" xfId="9289"/>
    <cellStyle name="40% - Accent1 7 2 3 3 2 2 2 2" xfId="27220"/>
    <cellStyle name="40% - Accent1 7 2 3 3 2 2 3" xfId="27219"/>
    <cellStyle name="40% - Accent1 7 2 3 3 2 3" xfId="9290"/>
    <cellStyle name="40% - Accent1 7 2 3 3 2 3 2" xfId="27221"/>
    <cellStyle name="40% - Accent1 7 2 3 3 2 4" xfId="27218"/>
    <cellStyle name="40% - Accent1 7 2 3 3 3" xfId="9291"/>
    <cellStyle name="40% - Accent1 7 2 3 3 3 2" xfId="9292"/>
    <cellStyle name="40% - Accent1 7 2 3 3 3 2 2" xfId="27223"/>
    <cellStyle name="40% - Accent1 7 2 3 3 3 3" xfId="27222"/>
    <cellStyle name="40% - Accent1 7 2 3 3 4" xfId="9293"/>
    <cellStyle name="40% - Accent1 7 2 3 3 4 2" xfId="27224"/>
    <cellStyle name="40% - Accent1 7 2 3 3 5" xfId="27217"/>
    <cellStyle name="40% - Accent1 7 2 3 4" xfId="9294"/>
    <cellStyle name="40% - Accent1 7 2 3 4 2" xfId="9295"/>
    <cellStyle name="40% - Accent1 7 2 3 4 2 2" xfId="9296"/>
    <cellStyle name="40% - Accent1 7 2 3 4 2 2 2" xfId="27227"/>
    <cellStyle name="40% - Accent1 7 2 3 4 2 3" xfId="27226"/>
    <cellStyle name="40% - Accent1 7 2 3 4 3" xfId="9297"/>
    <cellStyle name="40% - Accent1 7 2 3 4 3 2" xfId="27228"/>
    <cellStyle name="40% - Accent1 7 2 3 4 4" xfId="27225"/>
    <cellStyle name="40% - Accent1 7 2 3 5" xfId="9298"/>
    <cellStyle name="40% - Accent1 7 2 3 5 2" xfId="9299"/>
    <cellStyle name="40% - Accent1 7 2 3 5 2 2" xfId="27230"/>
    <cellStyle name="40% - Accent1 7 2 3 5 3" xfId="27229"/>
    <cellStyle name="40% - Accent1 7 2 3 6" xfId="9300"/>
    <cellStyle name="40% - Accent1 7 2 3 6 2" xfId="27231"/>
    <cellStyle name="40% - Accent1 7 2 3 7" xfId="27208"/>
    <cellStyle name="40% - Accent1 7 2 4" xfId="9301"/>
    <cellStyle name="40% - Accent1 7 2 4 2" xfId="9302"/>
    <cellStyle name="40% - Accent1 7 2 4 2 2" xfId="9303"/>
    <cellStyle name="40% - Accent1 7 2 4 2 2 2" xfId="9304"/>
    <cellStyle name="40% - Accent1 7 2 4 2 2 2 2" xfId="27235"/>
    <cellStyle name="40% - Accent1 7 2 4 2 2 3" xfId="27234"/>
    <cellStyle name="40% - Accent1 7 2 4 2 3" xfId="9305"/>
    <cellStyle name="40% - Accent1 7 2 4 2 3 2" xfId="27236"/>
    <cellStyle name="40% - Accent1 7 2 4 2 4" xfId="27233"/>
    <cellStyle name="40% - Accent1 7 2 4 3" xfId="9306"/>
    <cellStyle name="40% - Accent1 7 2 4 3 2" xfId="9307"/>
    <cellStyle name="40% - Accent1 7 2 4 3 2 2" xfId="27238"/>
    <cellStyle name="40% - Accent1 7 2 4 3 3" xfId="27237"/>
    <cellStyle name="40% - Accent1 7 2 4 4" xfId="9308"/>
    <cellStyle name="40% - Accent1 7 2 4 4 2" xfId="27239"/>
    <cellStyle name="40% - Accent1 7 2 4 5" xfId="27232"/>
    <cellStyle name="40% - Accent1 7 2 5" xfId="9309"/>
    <cellStyle name="40% - Accent1 7 2 5 2" xfId="9310"/>
    <cellStyle name="40% - Accent1 7 2 5 2 2" xfId="9311"/>
    <cellStyle name="40% - Accent1 7 2 5 2 2 2" xfId="9312"/>
    <cellStyle name="40% - Accent1 7 2 5 2 2 2 2" xfId="27243"/>
    <cellStyle name="40% - Accent1 7 2 5 2 2 3" xfId="27242"/>
    <cellStyle name="40% - Accent1 7 2 5 2 3" xfId="9313"/>
    <cellStyle name="40% - Accent1 7 2 5 2 3 2" xfId="27244"/>
    <cellStyle name="40% - Accent1 7 2 5 2 4" xfId="27241"/>
    <cellStyle name="40% - Accent1 7 2 5 3" xfId="9314"/>
    <cellStyle name="40% - Accent1 7 2 5 3 2" xfId="9315"/>
    <cellStyle name="40% - Accent1 7 2 5 3 2 2" xfId="27246"/>
    <cellStyle name="40% - Accent1 7 2 5 3 3" xfId="27245"/>
    <cellStyle name="40% - Accent1 7 2 5 4" xfId="9316"/>
    <cellStyle name="40% - Accent1 7 2 5 4 2" xfId="27247"/>
    <cellStyle name="40% - Accent1 7 2 5 5" xfId="27240"/>
    <cellStyle name="40% - Accent1 7 2 6" xfId="9317"/>
    <cellStyle name="40% - Accent1 7 2 6 2" xfId="9318"/>
    <cellStyle name="40% - Accent1 7 2 6 2 2" xfId="9319"/>
    <cellStyle name="40% - Accent1 7 2 6 2 2 2" xfId="27250"/>
    <cellStyle name="40% - Accent1 7 2 6 2 3" xfId="27249"/>
    <cellStyle name="40% - Accent1 7 2 6 3" xfId="9320"/>
    <cellStyle name="40% - Accent1 7 2 6 3 2" xfId="27251"/>
    <cellStyle name="40% - Accent1 7 2 6 4" xfId="27248"/>
    <cellStyle name="40% - Accent1 7 2 7" xfId="9321"/>
    <cellStyle name="40% - Accent1 7 2 7 2" xfId="9322"/>
    <cellStyle name="40% - Accent1 7 2 7 2 2" xfId="27253"/>
    <cellStyle name="40% - Accent1 7 2 7 3" xfId="27252"/>
    <cellStyle name="40% - Accent1 7 2 8" xfId="9323"/>
    <cellStyle name="40% - Accent1 7 2 8 2" xfId="27254"/>
    <cellStyle name="40% - Accent1 7 2 9" xfId="27159"/>
    <cellStyle name="40% - Accent1 7 3" xfId="9324"/>
    <cellStyle name="40% - Accent1 7 3 2" xfId="9325"/>
    <cellStyle name="40% - Accent1 7 3 2 2" xfId="9326"/>
    <cellStyle name="40% - Accent1 7 3 2 2 2" xfId="9327"/>
    <cellStyle name="40% - Accent1 7 3 2 2 2 2" xfId="9328"/>
    <cellStyle name="40% - Accent1 7 3 2 2 2 2 2" xfId="9329"/>
    <cellStyle name="40% - Accent1 7 3 2 2 2 2 2 2" xfId="27260"/>
    <cellStyle name="40% - Accent1 7 3 2 2 2 2 3" xfId="27259"/>
    <cellStyle name="40% - Accent1 7 3 2 2 2 3" xfId="9330"/>
    <cellStyle name="40% - Accent1 7 3 2 2 2 3 2" xfId="27261"/>
    <cellStyle name="40% - Accent1 7 3 2 2 2 4" xfId="27258"/>
    <cellStyle name="40% - Accent1 7 3 2 2 3" xfId="9331"/>
    <cellStyle name="40% - Accent1 7 3 2 2 3 2" xfId="9332"/>
    <cellStyle name="40% - Accent1 7 3 2 2 3 2 2" xfId="27263"/>
    <cellStyle name="40% - Accent1 7 3 2 2 3 3" xfId="27262"/>
    <cellStyle name="40% - Accent1 7 3 2 2 4" xfId="9333"/>
    <cellStyle name="40% - Accent1 7 3 2 2 4 2" xfId="27264"/>
    <cellStyle name="40% - Accent1 7 3 2 2 5" xfId="27257"/>
    <cellStyle name="40% - Accent1 7 3 2 3" xfId="9334"/>
    <cellStyle name="40% - Accent1 7 3 2 3 2" xfId="9335"/>
    <cellStyle name="40% - Accent1 7 3 2 3 2 2" xfId="9336"/>
    <cellStyle name="40% - Accent1 7 3 2 3 2 2 2" xfId="9337"/>
    <cellStyle name="40% - Accent1 7 3 2 3 2 2 2 2" xfId="27268"/>
    <cellStyle name="40% - Accent1 7 3 2 3 2 2 3" xfId="27267"/>
    <cellStyle name="40% - Accent1 7 3 2 3 2 3" xfId="9338"/>
    <cellStyle name="40% - Accent1 7 3 2 3 2 3 2" xfId="27269"/>
    <cellStyle name="40% - Accent1 7 3 2 3 2 4" xfId="27266"/>
    <cellStyle name="40% - Accent1 7 3 2 3 3" xfId="9339"/>
    <cellStyle name="40% - Accent1 7 3 2 3 3 2" xfId="9340"/>
    <cellStyle name="40% - Accent1 7 3 2 3 3 2 2" xfId="27271"/>
    <cellStyle name="40% - Accent1 7 3 2 3 3 3" xfId="27270"/>
    <cellStyle name="40% - Accent1 7 3 2 3 4" xfId="9341"/>
    <cellStyle name="40% - Accent1 7 3 2 3 4 2" xfId="27272"/>
    <cellStyle name="40% - Accent1 7 3 2 3 5" xfId="27265"/>
    <cellStyle name="40% - Accent1 7 3 2 4" xfId="9342"/>
    <cellStyle name="40% - Accent1 7 3 2 4 2" xfId="9343"/>
    <cellStyle name="40% - Accent1 7 3 2 4 2 2" xfId="9344"/>
    <cellStyle name="40% - Accent1 7 3 2 4 2 2 2" xfId="27275"/>
    <cellStyle name="40% - Accent1 7 3 2 4 2 3" xfId="27274"/>
    <cellStyle name="40% - Accent1 7 3 2 4 3" xfId="9345"/>
    <cellStyle name="40% - Accent1 7 3 2 4 3 2" xfId="27276"/>
    <cellStyle name="40% - Accent1 7 3 2 4 4" xfId="27273"/>
    <cellStyle name="40% - Accent1 7 3 2 5" xfId="9346"/>
    <cellStyle name="40% - Accent1 7 3 2 5 2" xfId="9347"/>
    <cellStyle name="40% - Accent1 7 3 2 5 2 2" xfId="27278"/>
    <cellStyle name="40% - Accent1 7 3 2 5 3" xfId="27277"/>
    <cellStyle name="40% - Accent1 7 3 2 6" xfId="9348"/>
    <cellStyle name="40% - Accent1 7 3 2 6 2" xfId="27279"/>
    <cellStyle name="40% - Accent1 7 3 2 7" xfId="27256"/>
    <cellStyle name="40% - Accent1 7 3 3" xfId="9349"/>
    <cellStyle name="40% - Accent1 7 3 3 2" xfId="9350"/>
    <cellStyle name="40% - Accent1 7 3 3 2 2" xfId="9351"/>
    <cellStyle name="40% - Accent1 7 3 3 2 2 2" xfId="9352"/>
    <cellStyle name="40% - Accent1 7 3 3 2 2 2 2" xfId="27283"/>
    <cellStyle name="40% - Accent1 7 3 3 2 2 3" xfId="27282"/>
    <cellStyle name="40% - Accent1 7 3 3 2 3" xfId="9353"/>
    <cellStyle name="40% - Accent1 7 3 3 2 3 2" xfId="27284"/>
    <cellStyle name="40% - Accent1 7 3 3 2 4" xfId="27281"/>
    <cellStyle name="40% - Accent1 7 3 3 3" xfId="9354"/>
    <cellStyle name="40% - Accent1 7 3 3 3 2" xfId="9355"/>
    <cellStyle name="40% - Accent1 7 3 3 3 2 2" xfId="27286"/>
    <cellStyle name="40% - Accent1 7 3 3 3 3" xfId="27285"/>
    <cellStyle name="40% - Accent1 7 3 3 4" xfId="9356"/>
    <cellStyle name="40% - Accent1 7 3 3 4 2" xfId="27287"/>
    <cellStyle name="40% - Accent1 7 3 3 5" xfId="27280"/>
    <cellStyle name="40% - Accent1 7 3 4" xfId="9357"/>
    <cellStyle name="40% - Accent1 7 3 4 2" xfId="9358"/>
    <cellStyle name="40% - Accent1 7 3 4 2 2" xfId="9359"/>
    <cellStyle name="40% - Accent1 7 3 4 2 2 2" xfId="9360"/>
    <cellStyle name="40% - Accent1 7 3 4 2 2 2 2" xfId="27291"/>
    <cellStyle name="40% - Accent1 7 3 4 2 2 3" xfId="27290"/>
    <cellStyle name="40% - Accent1 7 3 4 2 3" xfId="9361"/>
    <cellStyle name="40% - Accent1 7 3 4 2 3 2" xfId="27292"/>
    <cellStyle name="40% - Accent1 7 3 4 2 4" xfId="27289"/>
    <cellStyle name="40% - Accent1 7 3 4 3" xfId="9362"/>
    <cellStyle name="40% - Accent1 7 3 4 3 2" xfId="9363"/>
    <cellStyle name="40% - Accent1 7 3 4 3 2 2" xfId="27294"/>
    <cellStyle name="40% - Accent1 7 3 4 3 3" xfId="27293"/>
    <cellStyle name="40% - Accent1 7 3 4 4" xfId="9364"/>
    <cellStyle name="40% - Accent1 7 3 4 4 2" xfId="27295"/>
    <cellStyle name="40% - Accent1 7 3 4 5" xfId="27288"/>
    <cellStyle name="40% - Accent1 7 3 5" xfId="9365"/>
    <cellStyle name="40% - Accent1 7 3 5 2" xfId="9366"/>
    <cellStyle name="40% - Accent1 7 3 5 2 2" xfId="9367"/>
    <cellStyle name="40% - Accent1 7 3 5 2 2 2" xfId="27298"/>
    <cellStyle name="40% - Accent1 7 3 5 2 3" xfId="27297"/>
    <cellStyle name="40% - Accent1 7 3 5 3" xfId="9368"/>
    <cellStyle name="40% - Accent1 7 3 5 3 2" xfId="27299"/>
    <cellStyle name="40% - Accent1 7 3 5 4" xfId="27296"/>
    <cellStyle name="40% - Accent1 7 3 6" xfId="9369"/>
    <cellStyle name="40% - Accent1 7 3 6 2" xfId="9370"/>
    <cellStyle name="40% - Accent1 7 3 6 2 2" xfId="27301"/>
    <cellStyle name="40% - Accent1 7 3 6 3" xfId="27300"/>
    <cellStyle name="40% - Accent1 7 3 7" xfId="9371"/>
    <cellStyle name="40% - Accent1 7 3 7 2" xfId="27302"/>
    <cellStyle name="40% - Accent1 7 3 8" xfId="27255"/>
    <cellStyle name="40% - Accent1 7 4" xfId="9372"/>
    <cellStyle name="40% - Accent1 7 4 2" xfId="9373"/>
    <cellStyle name="40% - Accent1 7 4 2 2" xfId="9374"/>
    <cellStyle name="40% - Accent1 7 4 2 2 2" xfId="9375"/>
    <cellStyle name="40% - Accent1 7 4 2 2 2 2" xfId="9376"/>
    <cellStyle name="40% - Accent1 7 4 2 2 2 2 2" xfId="27307"/>
    <cellStyle name="40% - Accent1 7 4 2 2 2 3" xfId="27306"/>
    <cellStyle name="40% - Accent1 7 4 2 2 3" xfId="9377"/>
    <cellStyle name="40% - Accent1 7 4 2 2 3 2" xfId="27308"/>
    <cellStyle name="40% - Accent1 7 4 2 2 4" xfId="27305"/>
    <cellStyle name="40% - Accent1 7 4 2 3" xfId="9378"/>
    <cellStyle name="40% - Accent1 7 4 2 3 2" xfId="9379"/>
    <cellStyle name="40% - Accent1 7 4 2 3 2 2" xfId="27310"/>
    <cellStyle name="40% - Accent1 7 4 2 3 3" xfId="27309"/>
    <cellStyle name="40% - Accent1 7 4 2 4" xfId="9380"/>
    <cellStyle name="40% - Accent1 7 4 2 4 2" xfId="27311"/>
    <cellStyle name="40% - Accent1 7 4 2 5" xfId="27304"/>
    <cellStyle name="40% - Accent1 7 4 3" xfId="9381"/>
    <cellStyle name="40% - Accent1 7 4 3 2" xfId="9382"/>
    <cellStyle name="40% - Accent1 7 4 3 2 2" xfId="9383"/>
    <cellStyle name="40% - Accent1 7 4 3 2 2 2" xfId="9384"/>
    <cellStyle name="40% - Accent1 7 4 3 2 2 2 2" xfId="27315"/>
    <cellStyle name="40% - Accent1 7 4 3 2 2 3" xfId="27314"/>
    <cellStyle name="40% - Accent1 7 4 3 2 3" xfId="9385"/>
    <cellStyle name="40% - Accent1 7 4 3 2 3 2" xfId="27316"/>
    <cellStyle name="40% - Accent1 7 4 3 2 4" xfId="27313"/>
    <cellStyle name="40% - Accent1 7 4 3 3" xfId="9386"/>
    <cellStyle name="40% - Accent1 7 4 3 3 2" xfId="9387"/>
    <cellStyle name="40% - Accent1 7 4 3 3 2 2" xfId="27318"/>
    <cellStyle name="40% - Accent1 7 4 3 3 3" xfId="27317"/>
    <cellStyle name="40% - Accent1 7 4 3 4" xfId="9388"/>
    <cellStyle name="40% - Accent1 7 4 3 4 2" xfId="27319"/>
    <cellStyle name="40% - Accent1 7 4 3 5" xfId="27312"/>
    <cellStyle name="40% - Accent1 7 4 4" xfId="9389"/>
    <cellStyle name="40% - Accent1 7 4 4 2" xfId="9390"/>
    <cellStyle name="40% - Accent1 7 4 4 2 2" xfId="9391"/>
    <cellStyle name="40% - Accent1 7 4 4 2 2 2" xfId="27322"/>
    <cellStyle name="40% - Accent1 7 4 4 2 3" xfId="27321"/>
    <cellStyle name="40% - Accent1 7 4 4 3" xfId="9392"/>
    <cellStyle name="40% - Accent1 7 4 4 3 2" xfId="27323"/>
    <cellStyle name="40% - Accent1 7 4 4 4" xfId="27320"/>
    <cellStyle name="40% - Accent1 7 4 5" xfId="9393"/>
    <cellStyle name="40% - Accent1 7 4 5 2" xfId="9394"/>
    <cellStyle name="40% - Accent1 7 4 5 2 2" xfId="27325"/>
    <cellStyle name="40% - Accent1 7 4 5 3" xfId="27324"/>
    <cellStyle name="40% - Accent1 7 4 6" xfId="9395"/>
    <cellStyle name="40% - Accent1 7 4 6 2" xfId="27326"/>
    <cellStyle name="40% - Accent1 7 4 7" xfId="27303"/>
    <cellStyle name="40% - Accent1 7 5" xfId="9396"/>
    <cellStyle name="40% - Accent1 7 5 2" xfId="9397"/>
    <cellStyle name="40% - Accent1 7 5 2 2" xfId="9398"/>
    <cellStyle name="40% - Accent1 7 5 2 2 2" xfId="9399"/>
    <cellStyle name="40% - Accent1 7 5 2 2 2 2" xfId="27330"/>
    <cellStyle name="40% - Accent1 7 5 2 2 3" xfId="27329"/>
    <cellStyle name="40% - Accent1 7 5 2 3" xfId="9400"/>
    <cellStyle name="40% - Accent1 7 5 2 3 2" xfId="27331"/>
    <cellStyle name="40% - Accent1 7 5 2 4" xfId="27328"/>
    <cellStyle name="40% - Accent1 7 5 3" xfId="9401"/>
    <cellStyle name="40% - Accent1 7 5 3 2" xfId="9402"/>
    <cellStyle name="40% - Accent1 7 5 3 2 2" xfId="27333"/>
    <cellStyle name="40% - Accent1 7 5 3 3" xfId="27332"/>
    <cellStyle name="40% - Accent1 7 5 4" xfId="9403"/>
    <cellStyle name="40% - Accent1 7 5 4 2" xfId="27334"/>
    <cellStyle name="40% - Accent1 7 5 5" xfId="27327"/>
    <cellStyle name="40% - Accent1 7 6" xfId="9404"/>
    <cellStyle name="40% - Accent1 7 6 2" xfId="9405"/>
    <cellStyle name="40% - Accent1 7 6 2 2" xfId="9406"/>
    <cellStyle name="40% - Accent1 7 6 2 2 2" xfId="9407"/>
    <cellStyle name="40% - Accent1 7 6 2 2 2 2" xfId="27338"/>
    <cellStyle name="40% - Accent1 7 6 2 2 3" xfId="27337"/>
    <cellStyle name="40% - Accent1 7 6 2 3" xfId="9408"/>
    <cellStyle name="40% - Accent1 7 6 2 3 2" xfId="27339"/>
    <cellStyle name="40% - Accent1 7 6 2 4" xfId="27336"/>
    <cellStyle name="40% - Accent1 7 6 3" xfId="9409"/>
    <cellStyle name="40% - Accent1 7 6 3 2" xfId="9410"/>
    <cellStyle name="40% - Accent1 7 6 3 2 2" xfId="27341"/>
    <cellStyle name="40% - Accent1 7 6 3 3" xfId="27340"/>
    <cellStyle name="40% - Accent1 7 6 4" xfId="9411"/>
    <cellStyle name="40% - Accent1 7 6 4 2" xfId="27342"/>
    <cellStyle name="40% - Accent1 7 6 5" xfId="27335"/>
    <cellStyle name="40% - Accent1 7 7" xfId="9412"/>
    <cellStyle name="40% - Accent1 7 7 2" xfId="9413"/>
    <cellStyle name="40% - Accent1 7 7 2 2" xfId="9414"/>
    <cellStyle name="40% - Accent1 7 7 2 2 2" xfId="27345"/>
    <cellStyle name="40% - Accent1 7 7 2 3" xfId="27344"/>
    <cellStyle name="40% - Accent1 7 7 3" xfId="9415"/>
    <cellStyle name="40% - Accent1 7 7 3 2" xfId="27346"/>
    <cellStyle name="40% - Accent1 7 7 4" xfId="27343"/>
    <cellStyle name="40% - Accent1 7 8" xfId="9416"/>
    <cellStyle name="40% - Accent1 7 8 2" xfId="9417"/>
    <cellStyle name="40% - Accent1 7 8 2 2" xfId="27348"/>
    <cellStyle name="40% - Accent1 7 8 3" xfId="27347"/>
    <cellStyle name="40% - Accent1 7 9" xfId="9418"/>
    <cellStyle name="40% - Accent1 7 9 2" xfId="27349"/>
    <cellStyle name="40% - Accent1 8" xfId="9419"/>
    <cellStyle name="40% - Accent1 8 10" xfId="27350"/>
    <cellStyle name="40% - Accent1 8 2" xfId="9420"/>
    <cellStyle name="40% - Accent1 8 2 2" xfId="9421"/>
    <cellStyle name="40% - Accent1 8 2 2 2" xfId="9422"/>
    <cellStyle name="40% - Accent1 8 2 2 2 2" xfId="9423"/>
    <cellStyle name="40% - Accent1 8 2 2 2 2 2" xfId="9424"/>
    <cellStyle name="40% - Accent1 8 2 2 2 2 2 2" xfId="9425"/>
    <cellStyle name="40% - Accent1 8 2 2 2 2 2 2 2" xfId="9426"/>
    <cellStyle name="40% - Accent1 8 2 2 2 2 2 2 2 2" xfId="27357"/>
    <cellStyle name="40% - Accent1 8 2 2 2 2 2 2 3" xfId="27356"/>
    <cellStyle name="40% - Accent1 8 2 2 2 2 2 3" xfId="9427"/>
    <cellStyle name="40% - Accent1 8 2 2 2 2 2 3 2" xfId="27358"/>
    <cellStyle name="40% - Accent1 8 2 2 2 2 2 4" xfId="27355"/>
    <cellStyle name="40% - Accent1 8 2 2 2 2 3" xfId="9428"/>
    <cellStyle name="40% - Accent1 8 2 2 2 2 3 2" xfId="9429"/>
    <cellStyle name="40% - Accent1 8 2 2 2 2 3 2 2" xfId="27360"/>
    <cellStyle name="40% - Accent1 8 2 2 2 2 3 3" xfId="27359"/>
    <cellStyle name="40% - Accent1 8 2 2 2 2 4" xfId="9430"/>
    <cellStyle name="40% - Accent1 8 2 2 2 2 4 2" xfId="27361"/>
    <cellStyle name="40% - Accent1 8 2 2 2 2 5" xfId="27354"/>
    <cellStyle name="40% - Accent1 8 2 2 2 3" xfId="9431"/>
    <cellStyle name="40% - Accent1 8 2 2 2 3 2" xfId="9432"/>
    <cellStyle name="40% - Accent1 8 2 2 2 3 2 2" xfId="9433"/>
    <cellStyle name="40% - Accent1 8 2 2 2 3 2 2 2" xfId="9434"/>
    <cellStyle name="40% - Accent1 8 2 2 2 3 2 2 2 2" xfId="27365"/>
    <cellStyle name="40% - Accent1 8 2 2 2 3 2 2 3" xfId="27364"/>
    <cellStyle name="40% - Accent1 8 2 2 2 3 2 3" xfId="9435"/>
    <cellStyle name="40% - Accent1 8 2 2 2 3 2 3 2" xfId="27366"/>
    <cellStyle name="40% - Accent1 8 2 2 2 3 2 4" xfId="27363"/>
    <cellStyle name="40% - Accent1 8 2 2 2 3 3" xfId="9436"/>
    <cellStyle name="40% - Accent1 8 2 2 2 3 3 2" xfId="9437"/>
    <cellStyle name="40% - Accent1 8 2 2 2 3 3 2 2" xfId="27368"/>
    <cellStyle name="40% - Accent1 8 2 2 2 3 3 3" xfId="27367"/>
    <cellStyle name="40% - Accent1 8 2 2 2 3 4" xfId="9438"/>
    <cellStyle name="40% - Accent1 8 2 2 2 3 4 2" xfId="27369"/>
    <cellStyle name="40% - Accent1 8 2 2 2 3 5" xfId="27362"/>
    <cellStyle name="40% - Accent1 8 2 2 2 4" xfId="9439"/>
    <cellStyle name="40% - Accent1 8 2 2 2 4 2" xfId="9440"/>
    <cellStyle name="40% - Accent1 8 2 2 2 4 2 2" xfId="9441"/>
    <cellStyle name="40% - Accent1 8 2 2 2 4 2 2 2" xfId="27372"/>
    <cellStyle name="40% - Accent1 8 2 2 2 4 2 3" xfId="27371"/>
    <cellStyle name="40% - Accent1 8 2 2 2 4 3" xfId="9442"/>
    <cellStyle name="40% - Accent1 8 2 2 2 4 3 2" xfId="27373"/>
    <cellStyle name="40% - Accent1 8 2 2 2 4 4" xfId="27370"/>
    <cellStyle name="40% - Accent1 8 2 2 2 5" xfId="9443"/>
    <cellStyle name="40% - Accent1 8 2 2 2 5 2" xfId="9444"/>
    <cellStyle name="40% - Accent1 8 2 2 2 5 2 2" xfId="27375"/>
    <cellStyle name="40% - Accent1 8 2 2 2 5 3" xfId="27374"/>
    <cellStyle name="40% - Accent1 8 2 2 2 6" xfId="9445"/>
    <cellStyle name="40% - Accent1 8 2 2 2 6 2" xfId="27376"/>
    <cellStyle name="40% - Accent1 8 2 2 2 7" xfId="27353"/>
    <cellStyle name="40% - Accent1 8 2 2 3" xfId="9446"/>
    <cellStyle name="40% - Accent1 8 2 2 3 2" xfId="9447"/>
    <cellStyle name="40% - Accent1 8 2 2 3 2 2" xfId="9448"/>
    <cellStyle name="40% - Accent1 8 2 2 3 2 2 2" xfId="9449"/>
    <cellStyle name="40% - Accent1 8 2 2 3 2 2 2 2" xfId="27380"/>
    <cellStyle name="40% - Accent1 8 2 2 3 2 2 3" xfId="27379"/>
    <cellStyle name="40% - Accent1 8 2 2 3 2 3" xfId="9450"/>
    <cellStyle name="40% - Accent1 8 2 2 3 2 3 2" xfId="27381"/>
    <cellStyle name="40% - Accent1 8 2 2 3 2 4" xfId="27378"/>
    <cellStyle name="40% - Accent1 8 2 2 3 3" xfId="9451"/>
    <cellStyle name="40% - Accent1 8 2 2 3 3 2" xfId="9452"/>
    <cellStyle name="40% - Accent1 8 2 2 3 3 2 2" xfId="27383"/>
    <cellStyle name="40% - Accent1 8 2 2 3 3 3" xfId="27382"/>
    <cellStyle name="40% - Accent1 8 2 2 3 4" xfId="9453"/>
    <cellStyle name="40% - Accent1 8 2 2 3 4 2" xfId="27384"/>
    <cellStyle name="40% - Accent1 8 2 2 3 5" xfId="27377"/>
    <cellStyle name="40% - Accent1 8 2 2 4" xfId="9454"/>
    <cellStyle name="40% - Accent1 8 2 2 4 2" xfId="9455"/>
    <cellStyle name="40% - Accent1 8 2 2 4 2 2" xfId="9456"/>
    <cellStyle name="40% - Accent1 8 2 2 4 2 2 2" xfId="9457"/>
    <cellStyle name="40% - Accent1 8 2 2 4 2 2 2 2" xfId="27388"/>
    <cellStyle name="40% - Accent1 8 2 2 4 2 2 3" xfId="27387"/>
    <cellStyle name="40% - Accent1 8 2 2 4 2 3" xfId="9458"/>
    <cellStyle name="40% - Accent1 8 2 2 4 2 3 2" xfId="27389"/>
    <cellStyle name="40% - Accent1 8 2 2 4 2 4" xfId="27386"/>
    <cellStyle name="40% - Accent1 8 2 2 4 3" xfId="9459"/>
    <cellStyle name="40% - Accent1 8 2 2 4 3 2" xfId="9460"/>
    <cellStyle name="40% - Accent1 8 2 2 4 3 2 2" xfId="27391"/>
    <cellStyle name="40% - Accent1 8 2 2 4 3 3" xfId="27390"/>
    <cellStyle name="40% - Accent1 8 2 2 4 4" xfId="9461"/>
    <cellStyle name="40% - Accent1 8 2 2 4 4 2" xfId="27392"/>
    <cellStyle name="40% - Accent1 8 2 2 4 5" xfId="27385"/>
    <cellStyle name="40% - Accent1 8 2 2 5" xfId="9462"/>
    <cellStyle name="40% - Accent1 8 2 2 5 2" xfId="9463"/>
    <cellStyle name="40% - Accent1 8 2 2 5 2 2" xfId="9464"/>
    <cellStyle name="40% - Accent1 8 2 2 5 2 2 2" xfId="27395"/>
    <cellStyle name="40% - Accent1 8 2 2 5 2 3" xfId="27394"/>
    <cellStyle name="40% - Accent1 8 2 2 5 3" xfId="9465"/>
    <cellStyle name="40% - Accent1 8 2 2 5 3 2" xfId="27396"/>
    <cellStyle name="40% - Accent1 8 2 2 5 4" xfId="27393"/>
    <cellStyle name="40% - Accent1 8 2 2 6" xfId="9466"/>
    <cellStyle name="40% - Accent1 8 2 2 6 2" xfId="9467"/>
    <cellStyle name="40% - Accent1 8 2 2 6 2 2" xfId="27398"/>
    <cellStyle name="40% - Accent1 8 2 2 6 3" xfId="27397"/>
    <cellStyle name="40% - Accent1 8 2 2 7" xfId="9468"/>
    <cellStyle name="40% - Accent1 8 2 2 7 2" xfId="27399"/>
    <cellStyle name="40% - Accent1 8 2 2 8" xfId="27352"/>
    <cellStyle name="40% - Accent1 8 2 3" xfId="9469"/>
    <cellStyle name="40% - Accent1 8 2 3 2" xfId="9470"/>
    <cellStyle name="40% - Accent1 8 2 3 2 2" xfId="9471"/>
    <cellStyle name="40% - Accent1 8 2 3 2 2 2" xfId="9472"/>
    <cellStyle name="40% - Accent1 8 2 3 2 2 2 2" xfId="9473"/>
    <cellStyle name="40% - Accent1 8 2 3 2 2 2 2 2" xfId="27404"/>
    <cellStyle name="40% - Accent1 8 2 3 2 2 2 3" xfId="27403"/>
    <cellStyle name="40% - Accent1 8 2 3 2 2 3" xfId="9474"/>
    <cellStyle name="40% - Accent1 8 2 3 2 2 3 2" xfId="27405"/>
    <cellStyle name="40% - Accent1 8 2 3 2 2 4" xfId="27402"/>
    <cellStyle name="40% - Accent1 8 2 3 2 3" xfId="9475"/>
    <cellStyle name="40% - Accent1 8 2 3 2 3 2" xfId="9476"/>
    <cellStyle name="40% - Accent1 8 2 3 2 3 2 2" xfId="27407"/>
    <cellStyle name="40% - Accent1 8 2 3 2 3 3" xfId="27406"/>
    <cellStyle name="40% - Accent1 8 2 3 2 4" xfId="9477"/>
    <cellStyle name="40% - Accent1 8 2 3 2 4 2" xfId="27408"/>
    <cellStyle name="40% - Accent1 8 2 3 2 5" xfId="27401"/>
    <cellStyle name="40% - Accent1 8 2 3 3" xfId="9478"/>
    <cellStyle name="40% - Accent1 8 2 3 3 2" xfId="9479"/>
    <cellStyle name="40% - Accent1 8 2 3 3 2 2" xfId="9480"/>
    <cellStyle name="40% - Accent1 8 2 3 3 2 2 2" xfId="9481"/>
    <cellStyle name="40% - Accent1 8 2 3 3 2 2 2 2" xfId="27412"/>
    <cellStyle name="40% - Accent1 8 2 3 3 2 2 3" xfId="27411"/>
    <cellStyle name="40% - Accent1 8 2 3 3 2 3" xfId="9482"/>
    <cellStyle name="40% - Accent1 8 2 3 3 2 3 2" xfId="27413"/>
    <cellStyle name="40% - Accent1 8 2 3 3 2 4" xfId="27410"/>
    <cellStyle name="40% - Accent1 8 2 3 3 3" xfId="9483"/>
    <cellStyle name="40% - Accent1 8 2 3 3 3 2" xfId="9484"/>
    <cellStyle name="40% - Accent1 8 2 3 3 3 2 2" xfId="27415"/>
    <cellStyle name="40% - Accent1 8 2 3 3 3 3" xfId="27414"/>
    <cellStyle name="40% - Accent1 8 2 3 3 4" xfId="9485"/>
    <cellStyle name="40% - Accent1 8 2 3 3 4 2" xfId="27416"/>
    <cellStyle name="40% - Accent1 8 2 3 3 5" xfId="27409"/>
    <cellStyle name="40% - Accent1 8 2 3 4" xfId="9486"/>
    <cellStyle name="40% - Accent1 8 2 3 4 2" xfId="9487"/>
    <cellStyle name="40% - Accent1 8 2 3 4 2 2" xfId="9488"/>
    <cellStyle name="40% - Accent1 8 2 3 4 2 2 2" xfId="27419"/>
    <cellStyle name="40% - Accent1 8 2 3 4 2 3" xfId="27418"/>
    <cellStyle name="40% - Accent1 8 2 3 4 3" xfId="9489"/>
    <cellStyle name="40% - Accent1 8 2 3 4 3 2" xfId="27420"/>
    <cellStyle name="40% - Accent1 8 2 3 4 4" xfId="27417"/>
    <cellStyle name="40% - Accent1 8 2 3 5" xfId="9490"/>
    <cellStyle name="40% - Accent1 8 2 3 5 2" xfId="9491"/>
    <cellStyle name="40% - Accent1 8 2 3 5 2 2" xfId="27422"/>
    <cellStyle name="40% - Accent1 8 2 3 5 3" xfId="27421"/>
    <cellStyle name="40% - Accent1 8 2 3 6" xfId="9492"/>
    <cellStyle name="40% - Accent1 8 2 3 6 2" xfId="27423"/>
    <cellStyle name="40% - Accent1 8 2 3 7" xfId="27400"/>
    <cellStyle name="40% - Accent1 8 2 4" xfId="9493"/>
    <cellStyle name="40% - Accent1 8 2 4 2" xfId="9494"/>
    <cellStyle name="40% - Accent1 8 2 4 2 2" xfId="9495"/>
    <cellStyle name="40% - Accent1 8 2 4 2 2 2" xfId="9496"/>
    <cellStyle name="40% - Accent1 8 2 4 2 2 2 2" xfId="27427"/>
    <cellStyle name="40% - Accent1 8 2 4 2 2 3" xfId="27426"/>
    <cellStyle name="40% - Accent1 8 2 4 2 3" xfId="9497"/>
    <cellStyle name="40% - Accent1 8 2 4 2 3 2" xfId="27428"/>
    <cellStyle name="40% - Accent1 8 2 4 2 4" xfId="27425"/>
    <cellStyle name="40% - Accent1 8 2 4 3" xfId="9498"/>
    <cellStyle name="40% - Accent1 8 2 4 3 2" xfId="9499"/>
    <cellStyle name="40% - Accent1 8 2 4 3 2 2" xfId="27430"/>
    <cellStyle name="40% - Accent1 8 2 4 3 3" xfId="27429"/>
    <cellStyle name="40% - Accent1 8 2 4 4" xfId="9500"/>
    <cellStyle name="40% - Accent1 8 2 4 4 2" xfId="27431"/>
    <cellStyle name="40% - Accent1 8 2 4 5" xfId="27424"/>
    <cellStyle name="40% - Accent1 8 2 5" xfId="9501"/>
    <cellStyle name="40% - Accent1 8 2 5 2" xfId="9502"/>
    <cellStyle name="40% - Accent1 8 2 5 2 2" xfId="9503"/>
    <cellStyle name="40% - Accent1 8 2 5 2 2 2" xfId="9504"/>
    <cellStyle name="40% - Accent1 8 2 5 2 2 2 2" xfId="27435"/>
    <cellStyle name="40% - Accent1 8 2 5 2 2 3" xfId="27434"/>
    <cellStyle name="40% - Accent1 8 2 5 2 3" xfId="9505"/>
    <cellStyle name="40% - Accent1 8 2 5 2 3 2" xfId="27436"/>
    <cellStyle name="40% - Accent1 8 2 5 2 4" xfId="27433"/>
    <cellStyle name="40% - Accent1 8 2 5 3" xfId="9506"/>
    <cellStyle name="40% - Accent1 8 2 5 3 2" xfId="9507"/>
    <cellStyle name="40% - Accent1 8 2 5 3 2 2" xfId="27438"/>
    <cellStyle name="40% - Accent1 8 2 5 3 3" xfId="27437"/>
    <cellStyle name="40% - Accent1 8 2 5 4" xfId="9508"/>
    <cellStyle name="40% - Accent1 8 2 5 4 2" xfId="27439"/>
    <cellStyle name="40% - Accent1 8 2 5 5" xfId="27432"/>
    <cellStyle name="40% - Accent1 8 2 6" xfId="9509"/>
    <cellStyle name="40% - Accent1 8 2 6 2" xfId="9510"/>
    <cellStyle name="40% - Accent1 8 2 6 2 2" xfId="9511"/>
    <cellStyle name="40% - Accent1 8 2 6 2 2 2" xfId="27442"/>
    <cellStyle name="40% - Accent1 8 2 6 2 3" xfId="27441"/>
    <cellStyle name="40% - Accent1 8 2 6 3" xfId="9512"/>
    <cellStyle name="40% - Accent1 8 2 6 3 2" xfId="27443"/>
    <cellStyle name="40% - Accent1 8 2 6 4" xfId="27440"/>
    <cellStyle name="40% - Accent1 8 2 7" xfId="9513"/>
    <cellStyle name="40% - Accent1 8 2 7 2" xfId="9514"/>
    <cellStyle name="40% - Accent1 8 2 7 2 2" xfId="27445"/>
    <cellStyle name="40% - Accent1 8 2 7 3" xfId="27444"/>
    <cellStyle name="40% - Accent1 8 2 8" xfId="9515"/>
    <cellStyle name="40% - Accent1 8 2 8 2" xfId="27446"/>
    <cellStyle name="40% - Accent1 8 2 9" xfId="27351"/>
    <cellStyle name="40% - Accent1 8 3" xfId="9516"/>
    <cellStyle name="40% - Accent1 8 3 2" xfId="9517"/>
    <cellStyle name="40% - Accent1 8 3 2 2" xfId="9518"/>
    <cellStyle name="40% - Accent1 8 3 2 2 2" xfId="9519"/>
    <cellStyle name="40% - Accent1 8 3 2 2 2 2" xfId="9520"/>
    <cellStyle name="40% - Accent1 8 3 2 2 2 2 2" xfId="9521"/>
    <cellStyle name="40% - Accent1 8 3 2 2 2 2 2 2" xfId="27452"/>
    <cellStyle name="40% - Accent1 8 3 2 2 2 2 3" xfId="27451"/>
    <cellStyle name="40% - Accent1 8 3 2 2 2 3" xfId="9522"/>
    <cellStyle name="40% - Accent1 8 3 2 2 2 3 2" xfId="27453"/>
    <cellStyle name="40% - Accent1 8 3 2 2 2 4" xfId="27450"/>
    <cellStyle name="40% - Accent1 8 3 2 2 3" xfId="9523"/>
    <cellStyle name="40% - Accent1 8 3 2 2 3 2" xfId="9524"/>
    <cellStyle name="40% - Accent1 8 3 2 2 3 2 2" xfId="27455"/>
    <cellStyle name="40% - Accent1 8 3 2 2 3 3" xfId="27454"/>
    <cellStyle name="40% - Accent1 8 3 2 2 4" xfId="9525"/>
    <cellStyle name="40% - Accent1 8 3 2 2 4 2" xfId="27456"/>
    <cellStyle name="40% - Accent1 8 3 2 2 5" xfId="27449"/>
    <cellStyle name="40% - Accent1 8 3 2 3" xfId="9526"/>
    <cellStyle name="40% - Accent1 8 3 2 3 2" xfId="9527"/>
    <cellStyle name="40% - Accent1 8 3 2 3 2 2" xfId="9528"/>
    <cellStyle name="40% - Accent1 8 3 2 3 2 2 2" xfId="9529"/>
    <cellStyle name="40% - Accent1 8 3 2 3 2 2 2 2" xfId="27460"/>
    <cellStyle name="40% - Accent1 8 3 2 3 2 2 3" xfId="27459"/>
    <cellStyle name="40% - Accent1 8 3 2 3 2 3" xfId="9530"/>
    <cellStyle name="40% - Accent1 8 3 2 3 2 3 2" xfId="27461"/>
    <cellStyle name="40% - Accent1 8 3 2 3 2 4" xfId="27458"/>
    <cellStyle name="40% - Accent1 8 3 2 3 3" xfId="9531"/>
    <cellStyle name="40% - Accent1 8 3 2 3 3 2" xfId="9532"/>
    <cellStyle name="40% - Accent1 8 3 2 3 3 2 2" xfId="27463"/>
    <cellStyle name="40% - Accent1 8 3 2 3 3 3" xfId="27462"/>
    <cellStyle name="40% - Accent1 8 3 2 3 4" xfId="9533"/>
    <cellStyle name="40% - Accent1 8 3 2 3 4 2" xfId="27464"/>
    <cellStyle name="40% - Accent1 8 3 2 3 5" xfId="27457"/>
    <cellStyle name="40% - Accent1 8 3 2 4" xfId="9534"/>
    <cellStyle name="40% - Accent1 8 3 2 4 2" xfId="9535"/>
    <cellStyle name="40% - Accent1 8 3 2 4 2 2" xfId="9536"/>
    <cellStyle name="40% - Accent1 8 3 2 4 2 2 2" xfId="27467"/>
    <cellStyle name="40% - Accent1 8 3 2 4 2 3" xfId="27466"/>
    <cellStyle name="40% - Accent1 8 3 2 4 3" xfId="9537"/>
    <cellStyle name="40% - Accent1 8 3 2 4 3 2" xfId="27468"/>
    <cellStyle name="40% - Accent1 8 3 2 4 4" xfId="27465"/>
    <cellStyle name="40% - Accent1 8 3 2 5" xfId="9538"/>
    <cellStyle name="40% - Accent1 8 3 2 5 2" xfId="9539"/>
    <cellStyle name="40% - Accent1 8 3 2 5 2 2" xfId="27470"/>
    <cellStyle name="40% - Accent1 8 3 2 5 3" xfId="27469"/>
    <cellStyle name="40% - Accent1 8 3 2 6" xfId="9540"/>
    <cellStyle name="40% - Accent1 8 3 2 6 2" xfId="27471"/>
    <cellStyle name="40% - Accent1 8 3 2 7" xfId="27448"/>
    <cellStyle name="40% - Accent1 8 3 3" xfId="9541"/>
    <cellStyle name="40% - Accent1 8 3 3 2" xfId="9542"/>
    <cellStyle name="40% - Accent1 8 3 3 2 2" xfId="9543"/>
    <cellStyle name="40% - Accent1 8 3 3 2 2 2" xfId="9544"/>
    <cellStyle name="40% - Accent1 8 3 3 2 2 2 2" xfId="27475"/>
    <cellStyle name="40% - Accent1 8 3 3 2 2 3" xfId="27474"/>
    <cellStyle name="40% - Accent1 8 3 3 2 3" xfId="9545"/>
    <cellStyle name="40% - Accent1 8 3 3 2 3 2" xfId="27476"/>
    <cellStyle name="40% - Accent1 8 3 3 2 4" xfId="27473"/>
    <cellStyle name="40% - Accent1 8 3 3 3" xfId="9546"/>
    <cellStyle name="40% - Accent1 8 3 3 3 2" xfId="9547"/>
    <cellStyle name="40% - Accent1 8 3 3 3 2 2" xfId="27478"/>
    <cellStyle name="40% - Accent1 8 3 3 3 3" xfId="27477"/>
    <cellStyle name="40% - Accent1 8 3 3 4" xfId="9548"/>
    <cellStyle name="40% - Accent1 8 3 3 4 2" xfId="27479"/>
    <cellStyle name="40% - Accent1 8 3 3 5" xfId="27472"/>
    <cellStyle name="40% - Accent1 8 3 4" xfId="9549"/>
    <cellStyle name="40% - Accent1 8 3 4 2" xfId="9550"/>
    <cellStyle name="40% - Accent1 8 3 4 2 2" xfId="9551"/>
    <cellStyle name="40% - Accent1 8 3 4 2 2 2" xfId="9552"/>
    <cellStyle name="40% - Accent1 8 3 4 2 2 2 2" xfId="27483"/>
    <cellStyle name="40% - Accent1 8 3 4 2 2 3" xfId="27482"/>
    <cellStyle name="40% - Accent1 8 3 4 2 3" xfId="9553"/>
    <cellStyle name="40% - Accent1 8 3 4 2 3 2" xfId="27484"/>
    <cellStyle name="40% - Accent1 8 3 4 2 4" xfId="27481"/>
    <cellStyle name="40% - Accent1 8 3 4 3" xfId="9554"/>
    <cellStyle name="40% - Accent1 8 3 4 3 2" xfId="9555"/>
    <cellStyle name="40% - Accent1 8 3 4 3 2 2" xfId="27486"/>
    <cellStyle name="40% - Accent1 8 3 4 3 3" xfId="27485"/>
    <cellStyle name="40% - Accent1 8 3 4 4" xfId="9556"/>
    <cellStyle name="40% - Accent1 8 3 4 4 2" xfId="27487"/>
    <cellStyle name="40% - Accent1 8 3 4 5" xfId="27480"/>
    <cellStyle name="40% - Accent1 8 3 5" xfId="9557"/>
    <cellStyle name="40% - Accent1 8 3 5 2" xfId="9558"/>
    <cellStyle name="40% - Accent1 8 3 5 2 2" xfId="9559"/>
    <cellStyle name="40% - Accent1 8 3 5 2 2 2" xfId="27490"/>
    <cellStyle name="40% - Accent1 8 3 5 2 3" xfId="27489"/>
    <cellStyle name="40% - Accent1 8 3 5 3" xfId="9560"/>
    <cellStyle name="40% - Accent1 8 3 5 3 2" xfId="27491"/>
    <cellStyle name="40% - Accent1 8 3 5 4" xfId="27488"/>
    <cellStyle name="40% - Accent1 8 3 6" xfId="9561"/>
    <cellStyle name="40% - Accent1 8 3 6 2" xfId="9562"/>
    <cellStyle name="40% - Accent1 8 3 6 2 2" xfId="27493"/>
    <cellStyle name="40% - Accent1 8 3 6 3" xfId="27492"/>
    <cellStyle name="40% - Accent1 8 3 7" xfId="9563"/>
    <cellStyle name="40% - Accent1 8 3 7 2" xfId="27494"/>
    <cellStyle name="40% - Accent1 8 3 8" xfId="27447"/>
    <cellStyle name="40% - Accent1 8 4" xfId="9564"/>
    <cellStyle name="40% - Accent1 8 4 2" xfId="9565"/>
    <cellStyle name="40% - Accent1 8 4 2 2" xfId="9566"/>
    <cellStyle name="40% - Accent1 8 4 2 2 2" xfId="9567"/>
    <cellStyle name="40% - Accent1 8 4 2 2 2 2" xfId="9568"/>
    <cellStyle name="40% - Accent1 8 4 2 2 2 2 2" xfId="27499"/>
    <cellStyle name="40% - Accent1 8 4 2 2 2 3" xfId="27498"/>
    <cellStyle name="40% - Accent1 8 4 2 2 3" xfId="9569"/>
    <cellStyle name="40% - Accent1 8 4 2 2 3 2" xfId="27500"/>
    <cellStyle name="40% - Accent1 8 4 2 2 4" xfId="27497"/>
    <cellStyle name="40% - Accent1 8 4 2 3" xfId="9570"/>
    <cellStyle name="40% - Accent1 8 4 2 3 2" xfId="9571"/>
    <cellStyle name="40% - Accent1 8 4 2 3 2 2" xfId="27502"/>
    <cellStyle name="40% - Accent1 8 4 2 3 3" xfId="27501"/>
    <cellStyle name="40% - Accent1 8 4 2 4" xfId="9572"/>
    <cellStyle name="40% - Accent1 8 4 2 4 2" xfId="27503"/>
    <cellStyle name="40% - Accent1 8 4 2 5" xfId="27496"/>
    <cellStyle name="40% - Accent1 8 4 3" xfId="9573"/>
    <cellStyle name="40% - Accent1 8 4 3 2" xfId="9574"/>
    <cellStyle name="40% - Accent1 8 4 3 2 2" xfId="9575"/>
    <cellStyle name="40% - Accent1 8 4 3 2 2 2" xfId="9576"/>
    <cellStyle name="40% - Accent1 8 4 3 2 2 2 2" xfId="27507"/>
    <cellStyle name="40% - Accent1 8 4 3 2 2 3" xfId="27506"/>
    <cellStyle name="40% - Accent1 8 4 3 2 3" xfId="9577"/>
    <cellStyle name="40% - Accent1 8 4 3 2 3 2" xfId="27508"/>
    <cellStyle name="40% - Accent1 8 4 3 2 4" xfId="27505"/>
    <cellStyle name="40% - Accent1 8 4 3 3" xfId="9578"/>
    <cellStyle name="40% - Accent1 8 4 3 3 2" xfId="9579"/>
    <cellStyle name="40% - Accent1 8 4 3 3 2 2" xfId="27510"/>
    <cellStyle name="40% - Accent1 8 4 3 3 3" xfId="27509"/>
    <cellStyle name="40% - Accent1 8 4 3 4" xfId="9580"/>
    <cellStyle name="40% - Accent1 8 4 3 4 2" xfId="27511"/>
    <cellStyle name="40% - Accent1 8 4 3 5" xfId="27504"/>
    <cellStyle name="40% - Accent1 8 4 4" xfId="9581"/>
    <cellStyle name="40% - Accent1 8 4 4 2" xfId="9582"/>
    <cellStyle name="40% - Accent1 8 4 4 2 2" xfId="9583"/>
    <cellStyle name="40% - Accent1 8 4 4 2 2 2" xfId="27514"/>
    <cellStyle name="40% - Accent1 8 4 4 2 3" xfId="27513"/>
    <cellStyle name="40% - Accent1 8 4 4 3" xfId="9584"/>
    <cellStyle name="40% - Accent1 8 4 4 3 2" xfId="27515"/>
    <cellStyle name="40% - Accent1 8 4 4 4" xfId="27512"/>
    <cellStyle name="40% - Accent1 8 4 5" xfId="9585"/>
    <cellStyle name="40% - Accent1 8 4 5 2" xfId="9586"/>
    <cellStyle name="40% - Accent1 8 4 5 2 2" xfId="27517"/>
    <cellStyle name="40% - Accent1 8 4 5 3" xfId="27516"/>
    <cellStyle name="40% - Accent1 8 4 6" xfId="9587"/>
    <cellStyle name="40% - Accent1 8 4 6 2" xfId="27518"/>
    <cellStyle name="40% - Accent1 8 4 7" xfId="27495"/>
    <cellStyle name="40% - Accent1 8 5" xfId="9588"/>
    <cellStyle name="40% - Accent1 8 5 2" xfId="9589"/>
    <cellStyle name="40% - Accent1 8 5 2 2" xfId="9590"/>
    <cellStyle name="40% - Accent1 8 5 2 2 2" xfId="9591"/>
    <cellStyle name="40% - Accent1 8 5 2 2 2 2" xfId="27522"/>
    <cellStyle name="40% - Accent1 8 5 2 2 3" xfId="27521"/>
    <cellStyle name="40% - Accent1 8 5 2 3" xfId="9592"/>
    <cellStyle name="40% - Accent1 8 5 2 3 2" xfId="27523"/>
    <cellStyle name="40% - Accent1 8 5 2 4" xfId="27520"/>
    <cellStyle name="40% - Accent1 8 5 3" xfId="9593"/>
    <cellStyle name="40% - Accent1 8 5 3 2" xfId="9594"/>
    <cellStyle name="40% - Accent1 8 5 3 2 2" xfId="27525"/>
    <cellStyle name="40% - Accent1 8 5 3 3" xfId="27524"/>
    <cellStyle name="40% - Accent1 8 5 4" xfId="9595"/>
    <cellStyle name="40% - Accent1 8 5 4 2" xfId="27526"/>
    <cellStyle name="40% - Accent1 8 5 5" xfId="27519"/>
    <cellStyle name="40% - Accent1 8 6" xfId="9596"/>
    <cellStyle name="40% - Accent1 8 6 2" xfId="9597"/>
    <cellStyle name="40% - Accent1 8 6 2 2" xfId="9598"/>
    <cellStyle name="40% - Accent1 8 6 2 2 2" xfId="9599"/>
    <cellStyle name="40% - Accent1 8 6 2 2 2 2" xfId="27530"/>
    <cellStyle name="40% - Accent1 8 6 2 2 3" xfId="27529"/>
    <cellStyle name="40% - Accent1 8 6 2 3" xfId="9600"/>
    <cellStyle name="40% - Accent1 8 6 2 3 2" xfId="27531"/>
    <cellStyle name="40% - Accent1 8 6 2 4" xfId="27528"/>
    <cellStyle name="40% - Accent1 8 6 3" xfId="9601"/>
    <cellStyle name="40% - Accent1 8 6 3 2" xfId="9602"/>
    <cellStyle name="40% - Accent1 8 6 3 2 2" xfId="27533"/>
    <cellStyle name="40% - Accent1 8 6 3 3" xfId="27532"/>
    <cellStyle name="40% - Accent1 8 6 4" xfId="9603"/>
    <cellStyle name="40% - Accent1 8 6 4 2" xfId="27534"/>
    <cellStyle name="40% - Accent1 8 6 5" xfId="27527"/>
    <cellStyle name="40% - Accent1 8 7" xfId="9604"/>
    <cellStyle name="40% - Accent1 8 7 2" xfId="9605"/>
    <cellStyle name="40% - Accent1 8 7 2 2" xfId="9606"/>
    <cellStyle name="40% - Accent1 8 7 2 2 2" xfId="27537"/>
    <cellStyle name="40% - Accent1 8 7 2 3" xfId="27536"/>
    <cellStyle name="40% - Accent1 8 7 3" xfId="9607"/>
    <cellStyle name="40% - Accent1 8 7 3 2" xfId="27538"/>
    <cellStyle name="40% - Accent1 8 7 4" xfId="27535"/>
    <cellStyle name="40% - Accent1 8 8" xfId="9608"/>
    <cellStyle name="40% - Accent1 8 8 2" xfId="9609"/>
    <cellStyle name="40% - Accent1 8 8 2 2" xfId="27540"/>
    <cellStyle name="40% - Accent1 8 8 3" xfId="27539"/>
    <cellStyle name="40% - Accent1 8 9" xfId="9610"/>
    <cellStyle name="40% - Accent1 8 9 2" xfId="27541"/>
    <cellStyle name="40% - Accent1 9" xfId="9611"/>
    <cellStyle name="40% - Accent1 9 2" xfId="9612"/>
    <cellStyle name="40% - Accent1 9 2 2" xfId="9613"/>
    <cellStyle name="40% - Accent1 9 2 2 2" xfId="9614"/>
    <cellStyle name="40% - Accent1 9 2 2 2 2" xfId="27545"/>
    <cellStyle name="40% - Accent1 9 2 2 3" xfId="27544"/>
    <cellStyle name="40% - Accent1 9 2 3" xfId="9615"/>
    <cellStyle name="40% - Accent1 9 2 3 2" xfId="27546"/>
    <cellStyle name="40% - Accent1 9 2 4" xfId="27543"/>
    <cellStyle name="40% - Accent1 9 3" xfId="9616"/>
    <cellStyle name="40% - Accent1 9 3 2" xfId="9617"/>
    <cellStyle name="40% - Accent1 9 3 2 2" xfId="27548"/>
    <cellStyle name="40% - Accent1 9 3 3" xfId="27547"/>
    <cellStyle name="40% - Accent1 9 4" xfId="9618"/>
    <cellStyle name="40% - Accent1 9 4 2" xfId="27549"/>
    <cellStyle name="40% - Accent1 9 5" xfId="27542"/>
    <cellStyle name="40% - Accent2" xfId="9" builtinId="35" customBuiltin="1"/>
    <cellStyle name="40% - Accent2 10" xfId="9619"/>
    <cellStyle name="40% - Accent2 10 2" xfId="9620"/>
    <cellStyle name="40% - Accent2 10 2 2" xfId="9621"/>
    <cellStyle name="40% - Accent2 10 2 2 2" xfId="9622"/>
    <cellStyle name="40% - Accent2 10 2 2 2 2" xfId="27553"/>
    <cellStyle name="40% - Accent2 10 2 2 3" xfId="27552"/>
    <cellStyle name="40% - Accent2 10 2 3" xfId="9623"/>
    <cellStyle name="40% - Accent2 10 2 3 2" xfId="27554"/>
    <cellStyle name="40% - Accent2 10 2 4" xfId="27551"/>
    <cellStyle name="40% - Accent2 10 3" xfId="9624"/>
    <cellStyle name="40% - Accent2 10 3 2" xfId="9625"/>
    <cellStyle name="40% - Accent2 10 3 2 2" xfId="27556"/>
    <cellStyle name="40% - Accent2 10 3 3" xfId="27555"/>
    <cellStyle name="40% - Accent2 10 4" xfId="9626"/>
    <cellStyle name="40% - Accent2 10 4 2" xfId="27557"/>
    <cellStyle name="40% - Accent2 10 5" xfId="27550"/>
    <cellStyle name="40% - Accent2 11" xfId="9627"/>
    <cellStyle name="40% - Accent2 11 2" xfId="9628"/>
    <cellStyle name="40% - Accent2 11 2 2" xfId="9629"/>
    <cellStyle name="40% - Accent2 11 2 2 2" xfId="9630"/>
    <cellStyle name="40% - Accent2 11 2 2 2 2" xfId="27561"/>
    <cellStyle name="40% - Accent2 11 2 2 3" xfId="27560"/>
    <cellStyle name="40% - Accent2 11 2 3" xfId="9631"/>
    <cellStyle name="40% - Accent2 11 2 3 2" xfId="27562"/>
    <cellStyle name="40% - Accent2 11 2 4" xfId="27559"/>
    <cellStyle name="40% - Accent2 11 3" xfId="9632"/>
    <cellStyle name="40% - Accent2 11 3 2" xfId="9633"/>
    <cellStyle name="40% - Accent2 11 3 2 2" xfId="27564"/>
    <cellStyle name="40% - Accent2 11 3 3" xfId="27563"/>
    <cellStyle name="40% - Accent2 11 4" xfId="9634"/>
    <cellStyle name="40% - Accent2 11 4 2" xfId="27565"/>
    <cellStyle name="40% - Accent2 11 5" xfId="27558"/>
    <cellStyle name="40% - Accent2 12" xfId="9635"/>
    <cellStyle name="40% - Accent2 12 2" xfId="9636"/>
    <cellStyle name="40% - Accent2 12 2 2" xfId="9637"/>
    <cellStyle name="40% - Accent2 12 2 2 2" xfId="9638"/>
    <cellStyle name="40% - Accent2 12 2 2 2 2" xfId="27569"/>
    <cellStyle name="40% - Accent2 12 2 2 3" xfId="27568"/>
    <cellStyle name="40% - Accent2 12 2 3" xfId="9639"/>
    <cellStyle name="40% - Accent2 12 2 3 2" xfId="27570"/>
    <cellStyle name="40% - Accent2 12 2 4" xfId="27567"/>
    <cellStyle name="40% - Accent2 12 3" xfId="9640"/>
    <cellStyle name="40% - Accent2 12 3 2" xfId="9641"/>
    <cellStyle name="40% - Accent2 12 3 2 2" xfId="27572"/>
    <cellStyle name="40% - Accent2 12 3 3" xfId="27571"/>
    <cellStyle name="40% - Accent2 12 4" xfId="9642"/>
    <cellStyle name="40% - Accent2 12 4 2" xfId="27573"/>
    <cellStyle name="40% - Accent2 12 5" xfId="27566"/>
    <cellStyle name="40% - Accent2 13" xfId="9643"/>
    <cellStyle name="40% - Accent2 14" xfId="9644"/>
    <cellStyle name="40% - Accent2 14 2" xfId="9645"/>
    <cellStyle name="40% - Accent2 14 2 2" xfId="9646"/>
    <cellStyle name="40% - Accent2 14 2 2 2" xfId="27576"/>
    <cellStyle name="40% - Accent2 14 2 3" xfId="27575"/>
    <cellStyle name="40% - Accent2 14 3" xfId="9647"/>
    <cellStyle name="40% - Accent2 14 3 2" xfId="27577"/>
    <cellStyle name="40% - Accent2 14 4" xfId="27574"/>
    <cellStyle name="40% - Accent2 15" xfId="9648"/>
    <cellStyle name="40% - Accent2 15 2" xfId="9649"/>
    <cellStyle name="40% - Accent2 15 2 2" xfId="9650"/>
    <cellStyle name="40% - Accent2 15 2 2 2" xfId="27580"/>
    <cellStyle name="40% - Accent2 15 2 3" xfId="27579"/>
    <cellStyle name="40% - Accent2 15 3" xfId="9651"/>
    <cellStyle name="40% - Accent2 15 3 2" xfId="27581"/>
    <cellStyle name="40% - Accent2 15 4" xfId="27578"/>
    <cellStyle name="40% - Accent2 16" xfId="9652"/>
    <cellStyle name="40% - Accent2 16 2" xfId="9653"/>
    <cellStyle name="40% - Accent2 16 2 2" xfId="9654"/>
    <cellStyle name="40% - Accent2 16 2 2 2" xfId="27584"/>
    <cellStyle name="40% - Accent2 16 2 3" xfId="27583"/>
    <cellStyle name="40% - Accent2 16 3" xfId="9655"/>
    <cellStyle name="40% - Accent2 16 3 2" xfId="27585"/>
    <cellStyle name="40% - Accent2 16 4" xfId="27582"/>
    <cellStyle name="40% - Accent2 17" xfId="9656"/>
    <cellStyle name="40% - Accent2 17 2" xfId="9657"/>
    <cellStyle name="40% - Accent2 17 2 2" xfId="9658"/>
    <cellStyle name="40% - Accent2 17 2 2 2" xfId="27588"/>
    <cellStyle name="40% - Accent2 17 2 3" xfId="27587"/>
    <cellStyle name="40% - Accent2 17 3" xfId="9659"/>
    <cellStyle name="40% - Accent2 17 3 2" xfId="27589"/>
    <cellStyle name="40% - Accent2 17 4" xfId="27586"/>
    <cellStyle name="40% - Accent2 18" xfId="9660"/>
    <cellStyle name="40% - Accent2 18 2" xfId="9661"/>
    <cellStyle name="40% - Accent2 18 2 2" xfId="9662"/>
    <cellStyle name="40% - Accent2 18 2 2 2" xfId="27592"/>
    <cellStyle name="40% - Accent2 18 2 3" xfId="27591"/>
    <cellStyle name="40% - Accent2 18 3" xfId="9663"/>
    <cellStyle name="40% - Accent2 18 3 2" xfId="27593"/>
    <cellStyle name="40% - Accent2 18 4" xfId="27590"/>
    <cellStyle name="40% - Accent2 19" xfId="9664"/>
    <cellStyle name="40% - Accent2 19 2" xfId="9665"/>
    <cellStyle name="40% - Accent2 19 2 2" xfId="9666"/>
    <cellStyle name="40% - Accent2 19 2 2 2" xfId="27596"/>
    <cellStyle name="40% - Accent2 19 2 3" xfId="27595"/>
    <cellStyle name="40% - Accent2 19 3" xfId="9667"/>
    <cellStyle name="40% - Accent2 19 3 2" xfId="27597"/>
    <cellStyle name="40% - Accent2 19 4" xfId="27594"/>
    <cellStyle name="40% - Accent2 2" xfId="243"/>
    <cellStyle name="40% - Accent2 2 2" xfId="9668"/>
    <cellStyle name="40% - Accent2 2 2 2" xfId="9669"/>
    <cellStyle name="40% - Accent2 2 3" xfId="9670"/>
    <cellStyle name="40% - Accent2 2 3 2" xfId="9671"/>
    <cellStyle name="40% - Accent2 2 3 3" xfId="9672"/>
    <cellStyle name="40% - Accent2 2 3 3 2" xfId="9673"/>
    <cellStyle name="40% - Accent2 2 3 3 2 2" xfId="9674"/>
    <cellStyle name="40% - Accent2 2 3 3 2 2 2" xfId="27600"/>
    <cellStyle name="40% - Accent2 2 3 3 2 3" xfId="27599"/>
    <cellStyle name="40% - Accent2 2 3 3 3" xfId="9675"/>
    <cellStyle name="40% - Accent2 2 3 3 3 2" xfId="27601"/>
    <cellStyle name="40% - Accent2 2 3 3 4" xfId="27598"/>
    <cellStyle name="40% - Accent2 2 4" xfId="9676"/>
    <cellStyle name="40% - Accent2 20" xfId="9677"/>
    <cellStyle name="40% - Accent2 20 2" xfId="9678"/>
    <cellStyle name="40% - Accent2 20 2 2" xfId="9679"/>
    <cellStyle name="40% - Accent2 20 2 2 2" xfId="27604"/>
    <cellStyle name="40% - Accent2 20 2 3" xfId="27603"/>
    <cellStyle name="40% - Accent2 20 3" xfId="9680"/>
    <cellStyle name="40% - Accent2 20 3 2" xfId="27605"/>
    <cellStyle name="40% - Accent2 20 4" xfId="27602"/>
    <cellStyle name="40% - Accent2 21" xfId="9681"/>
    <cellStyle name="40% - Accent2 21 2" xfId="9682"/>
    <cellStyle name="40% - Accent2 21 2 2" xfId="9683"/>
    <cellStyle name="40% - Accent2 21 2 2 2" xfId="27608"/>
    <cellStyle name="40% - Accent2 21 2 3" xfId="27607"/>
    <cellStyle name="40% - Accent2 21 3" xfId="9684"/>
    <cellStyle name="40% - Accent2 21 3 2" xfId="27609"/>
    <cellStyle name="40% - Accent2 21 4" xfId="27606"/>
    <cellStyle name="40% - Accent2 22" xfId="9685"/>
    <cellStyle name="40% - Accent2 23" xfId="9686"/>
    <cellStyle name="40% - Accent2 23 2" xfId="9687"/>
    <cellStyle name="40% - Accent2 23 2 2" xfId="27611"/>
    <cellStyle name="40% - Accent2 23 3" xfId="27610"/>
    <cellStyle name="40% - Accent2 24" xfId="9688"/>
    <cellStyle name="40% - Accent2 25" xfId="9689"/>
    <cellStyle name="40% - Accent2 25 2" xfId="27612"/>
    <cellStyle name="40% - Accent2 26" xfId="9690"/>
    <cellStyle name="40% - Accent2 26 2" xfId="27613"/>
    <cellStyle name="40% - Accent2 27" xfId="9691"/>
    <cellStyle name="40% - Accent2 27 2" xfId="27614"/>
    <cellStyle name="40% - Accent2 28" xfId="9692"/>
    <cellStyle name="40% - Accent2 28 2" xfId="27615"/>
    <cellStyle name="40% - Accent2 29" xfId="9693"/>
    <cellStyle name="40% - Accent2 29 2" xfId="27616"/>
    <cellStyle name="40% - Accent2 3" xfId="658"/>
    <cellStyle name="40% - Accent2 3 10" xfId="27617"/>
    <cellStyle name="40% - Accent2 3 2" xfId="659"/>
    <cellStyle name="40% - Accent2 3 2 2" xfId="9694"/>
    <cellStyle name="40% - Accent2 3 2 2 2" xfId="9695"/>
    <cellStyle name="40% - Accent2 3 2 2 2 2" xfId="9696"/>
    <cellStyle name="40% - Accent2 3 2 2 2 2 2" xfId="9697"/>
    <cellStyle name="40% - Accent2 3 2 2 2 2 2 2" xfId="9698"/>
    <cellStyle name="40% - Accent2 3 2 2 2 2 2 2 2" xfId="9699"/>
    <cellStyle name="40% - Accent2 3 2 2 2 2 2 2 2 2" xfId="27624"/>
    <cellStyle name="40% - Accent2 3 2 2 2 2 2 2 3" xfId="27623"/>
    <cellStyle name="40% - Accent2 3 2 2 2 2 2 3" xfId="9700"/>
    <cellStyle name="40% - Accent2 3 2 2 2 2 2 3 2" xfId="27625"/>
    <cellStyle name="40% - Accent2 3 2 2 2 2 2 4" xfId="27622"/>
    <cellStyle name="40% - Accent2 3 2 2 2 2 3" xfId="9701"/>
    <cellStyle name="40% - Accent2 3 2 2 2 2 3 2" xfId="9702"/>
    <cellStyle name="40% - Accent2 3 2 2 2 2 3 2 2" xfId="27627"/>
    <cellStyle name="40% - Accent2 3 2 2 2 2 3 3" xfId="27626"/>
    <cellStyle name="40% - Accent2 3 2 2 2 2 4" xfId="9703"/>
    <cellStyle name="40% - Accent2 3 2 2 2 2 4 2" xfId="27628"/>
    <cellStyle name="40% - Accent2 3 2 2 2 2 5" xfId="27621"/>
    <cellStyle name="40% - Accent2 3 2 2 2 3" xfId="9704"/>
    <cellStyle name="40% - Accent2 3 2 2 2 3 2" xfId="9705"/>
    <cellStyle name="40% - Accent2 3 2 2 2 3 2 2" xfId="9706"/>
    <cellStyle name="40% - Accent2 3 2 2 2 3 2 2 2" xfId="9707"/>
    <cellStyle name="40% - Accent2 3 2 2 2 3 2 2 2 2" xfId="27632"/>
    <cellStyle name="40% - Accent2 3 2 2 2 3 2 2 3" xfId="27631"/>
    <cellStyle name="40% - Accent2 3 2 2 2 3 2 3" xfId="9708"/>
    <cellStyle name="40% - Accent2 3 2 2 2 3 2 3 2" xfId="27633"/>
    <cellStyle name="40% - Accent2 3 2 2 2 3 2 4" xfId="27630"/>
    <cellStyle name="40% - Accent2 3 2 2 2 3 3" xfId="9709"/>
    <cellStyle name="40% - Accent2 3 2 2 2 3 3 2" xfId="9710"/>
    <cellStyle name="40% - Accent2 3 2 2 2 3 3 2 2" xfId="27635"/>
    <cellStyle name="40% - Accent2 3 2 2 2 3 3 3" xfId="27634"/>
    <cellStyle name="40% - Accent2 3 2 2 2 3 4" xfId="9711"/>
    <cellStyle name="40% - Accent2 3 2 2 2 3 4 2" xfId="27636"/>
    <cellStyle name="40% - Accent2 3 2 2 2 3 5" xfId="27629"/>
    <cellStyle name="40% - Accent2 3 2 2 2 4" xfId="9712"/>
    <cellStyle name="40% - Accent2 3 2 2 2 4 2" xfId="9713"/>
    <cellStyle name="40% - Accent2 3 2 2 2 4 2 2" xfId="9714"/>
    <cellStyle name="40% - Accent2 3 2 2 2 4 2 2 2" xfId="27639"/>
    <cellStyle name="40% - Accent2 3 2 2 2 4 2 3" xfId="27638"/>
    <cellStyle name="40% - Accent2 3 2 2 2 4 3" xfId="9715"/>
    <cellStyle name="40% - Accent2 3 2 2 2 4 3 2" xfId="27640"/>
    <cellStyle name="40% - Accent2 3 2 2 2 4 4" xfId="27637"/>
    <cellStyle name="40% - Accent2 3 2 2 2 5" xfId="9716"/>
    <cellStyle name="40% - Accent2 3 2 2 2 5 2" xfId="9717"/>
    <cellStyle name="40% - Accent2 3 2 2 2 5 2 2" xfId="27642"/>
    <cellStyle name="40% - Accent2 3 2 2 2 5 3" xfId="27641"/>
    <cellStyle name="40% - Accent2 3 2 2 2 6" xfId="9718"/>
    <cellStyle name="40% - Accent2 3 2 2 2 6 2" xfId="27643"/>
    <cellStyle name="40% - Accent2 3 2 2 2 7" xfId="27620"/>
    <cellStyle name="40% - Accent2 3 2 2 3" xfId="9719"/>
    <cellStyle name="40% - Accent2 3 2 2 3 2" xfId="9720"/>
    <cellStyle name="40% - Accent2 3 2 2 3 2 2" xfId="9721"/>
    <cellStyle name="40% - Accent2 3 2 2 3 2 2 2" xfId="9722"/>
    <cellStyle name="40% - Accent2 3 2 2 3 2 2 2 2" xfId="27647"/>
    <cellStyle name="40% - Accent2 3 2 2 3 2 2 3" xfId="27646"/>
    <cellStyle name="40% - Accent2 3 2 2 3 2 3" xfId="9723"/>
    <cellStyle name="40% - Accent2 3 2 2 3 2 3 2" xfId="27648"/>
    <cellStyle name="40% - Accent2 3 2 2 3 2 4" xfId="27645"/>
    <cellStyle name="40% - Accent2 3 2 2 3 3" xfId="9724"/>
    <cellStyle name="40% - Accent2 3 2 2 3 3 2" xfId="9725"/>
    <cellStyle name="40% - Accent2 3 2 2 3 3 2 2" xfId="27650"/>
    <cellStyle name="40% - Accent2 3 2 2 3 3 3" xfId="27649"/>
    <cellStyle name="40% - Accent2 3 2 2 3 4" xfId="9726"/>
    <cellStyle name="40% - Accent2 3 2 2 3 4 2" xfId="27651"/>
    <cellStyle name="40% - Accent2 3 2 2 3 5" xfId="27644"/>
    <cellStyle name="40% - Accent2 3 2 2 4" xfId="9727"/>
    <cellStyle name="40% - Accent2 3 2 2 4 2" xfId="9728"/>
    <cellStyle name="40% - Accent2 3 2 2 4 2 2" xfId="9729"/>
    <cellStyle name="40% - Accent2 3 2 2 4 2 2 2" xfId="9730"/>
    <cellStyle name="40% - Accent2 3 2 2 4 2 2 2 2" xfId="27655"/>
    <cellStyle name="40% - Accent2 3 2 2 4 2 2 3" xfId="27654"/>
    <cellStyle name="40% - Accent2 3 2 2 4 2 3" xfId="9731"/>
    <cellStyle name="40% - Accent2 3 2 2 4 2 3 2" xfId="27656"/>
    <cellStyle name="40% - Accent2 3 2 2 4 2 4" xfId="27653"/>
    <cellStyle name="40% - Accent2 3 2 2 4 3" xfId="9732"/>
    <cellStyle name="40% - Accent2 3 2 2 4 3 2" xfId="9733"/>
    <cellStyle name="40% - Accent2 3 2 2 4 3 2 2" xfId="27658"/>
    <cellStyle name="40% - Accent2 3 2 2 4 3 3" xfId="27657"/>
    <cellStyle name="40% - Accent2 3 2 2 4 4" xfId="9734"/>
    <cellStyle name="40% - Accent2 3 2 2 4 4 2" xfId="27659"/>
    <cellStyle name="40% - Accent2 3 2 2 4 5" xfId="27652"/>
    <cellStyle name="40% - Accent2 3 2 2 5" xfId="9735"/>
    <cellStyle name="40% - Accent2 3 2 2 5 2" xfId="9736"/>
    <cellStyle name="40% - Accent2 3 2 2 5 2 2" xfId="9737"/>
    <cellStyle name="40% - Accent2 3 2 2 5 2 2 2" xfId="27662"/>
    <cellStyle name="40% - Accent2 3 2 2 5 2 3" xfId="27661"/>
    <cellStyle name="40% - Accent2 3 2 2 5 3" xfId="9738"/>
    <cellStyle name="40% - Accent2 3 2 2 5 3 2" xfId="27663"/>
    <cellStyle name="40% - Accent2 3 2 2 5 4" xfId="27660"/>
    <cellStyle name="40% - Accent2 3 2 2 6" xfId="9739"/>
    <cellStyle name="40% - Accent2 3 2 2 6 2" xfId="9740"/>
    <cellStyle name="40% - Accent2 3 2 2 6 2 2" xfId="27665"/>
    <cellStyle name="40% - Accent2 3 2 2 6 3" xfId="27664"/>
    <cellStyle name="40% - Accent2 3 2 2 7" xfId="9741"/>
    <cellStyle name="40% - Accent2 3 2 2 7 2" xfId="27666"/>
    <cellStyle name="40% - Accent2 3 2 2 8" xfId="27619"/>
    <cellStyle name="40% - Accent2 3 2 3" xfId="9742"/>
    <cellStyle name="40% - Accent2 3 2 3 2" xfId="9743"/>
    <cellStyle name="40% - Accent2 3 2 3 2 2" xfId="9744"/>
    <cellStyle name="40% - Accent2 3 2 3 2 2 2" xfId="9745"/>
    <cellStyle name="40% - Accent2 3 2 3 2 2 2 2" xfId="9746"/>
    <cellStyle name="40% - Accent2 3 2 3 2 2 2 2 2" xfId="27671"/>
    <cellStyle name="40% - Accent2 3 2 3 2 2 2 3" xfId="27670"/>
    <cellStyle name="40% - Accent2 3 2 3 2 2 3" xfId="9747"/>
    <cellStyle name="40% - Accent2 3 2 3 2 2 3 2" xfId="27672"/>
    <cellStyle name="40% - Accent2 3 2 3 2 2 4" xfId="27669"/>
    <cellStyle name="40% - Accent2 3 2 3 2 3" xfId="9748"/>
    <cellStyle name="40% - Accent2 3 2 3 2 3 2" xfId="9749"/>
    <cellStyle name="40% - Accent2 3 2 3 2 3 2 2" xfId="27674"/>
    <cellStyle name="40% - Accent2 3 2 3 2 3 3" xfId="27673"/>
    <cellStyle name="40% - Accent2 3 2 3 2 4" xfId="9750"/>
    <cellStyle name="40% - Accent2 3 2 3 2 4 2" xfId="27675"/>
    <cellStyle name="40% - Accent2 3 2 3 2 5" xfId="27668"/>
    <cellStyle name="40% - Accent2 3 2 3 3" xfId="9751"/>
    <cellStyle name="40% - Accent2 3 2 3 3 2" xfId="9752"/>
    <cellStyle name="40% - Accent2 3 2 3 3 2 2" xfId="9753"/>
    <cellStyle name="40% - Accent2 3 2 3 3 2 2 2" xfId="9754"/>
    <cellStyle name="40% - Accent2 3 2 3 3 2 2 2 2" xfId="27679"/>
    <cellStyle name="40% - Accent2 3 2 3 3 2 2 3" xfId="27678"/>
    <cellStyle name="40% - Accent2 3 2 3 3 2 3" xfId="9755"/>
    <cellStyle name="40% - Accent2 3 2 3 3 2 3 2" xfId="27680"/>
    <cellStyle name="40% - Accent2 3 2 3 3 2 4" xfId="27677"/>
    <cellStyle name="40% - Accent2 3 2 3 3 3" xfId="9756"/>
    <cellStyle name="40% - Accent2 3 2 3 3 3 2" xfId="9757"/>
    <cellStyle name="40% - Accent2 3 2 3 3 3 2 2" xfId="27682"/>
    <cellStyle name="40% - Accent2 3 2 3 3 3 3" xfId="27681"/>
    <cellStyle name="40% - Accent2 3 2 3 3 4" xfId="9758"/>
    <cellStyle name="40% - Accent2 3 2 3 3 4 2" xfId="27683"/>
    <cellStyle name="40% - Accent2 3 2 3 3 5" xfId="27676"/>
    <cellStyle name="40% - Accent2 3 2 3 4" xfId="9759"/>
    <cellStyle name="40% - Accent2 3 2 3 4 2" xfId="9760"/>
    <cellStyle name="40% - Accent2 3 2 3 4 2 2" xfId="9761"/>
    <cellStyle name="40% - Accent2 3 2 3 4 2 2 2" xfId="27686"/>
    <cellStyle name="40% - Accent2 3 2 3 4 2 3" xfId="27685"/>
    <cellStyle name="40% - Accent2 3 2 3 4 3" xfId="9762"/>
    <cellStyle name="40% - Accent2 3 2 3 4 3 2" xfId="27687"/>
    <cellStyle name="40% - Accent2 3 2 3 4 4" xfId="27684"/>
    <cellStyle name="40% - Accent2 3 2 3 5" xfId="9763"/>
    <cellStyle name="40% - Accent2 3 2 3 5 2" xfId="9764"/>
    <cellStyle name="40% - Accent2 3 2 3 5 2 2" xfId="27689"/>
    <cellStyle name="40% - Accent2 3 2 3 5 3" xfId="27688"/>
    <cellStyle name="40% - Accent2 3 2 3 6" xfId="9765"/>
    <cellStyle name="40% - Accent2 3 2 3 6 2" xfId="27690"/>
    <cellStyle name="40% - Accent2 3 2 3 7" xfId="27667"/>
    <cellStyle name="40% - Accent2 3 2 4" xfId="9766"/>
    <cellStyle name="40% - Accent2 3 2 4 2" xfId="9767"/>
    <cellStyle name="40% - Accent2 3 2 4 2 2" xfId="9768"/>
    <cellStyle name="40% - Accent2 3 2 4 2 2 2" xfId="9769"/>
    <cellStyle name="40% - Accent2 3 2 4 2 2 2 2" xfId="27694"/>
    <cellStyle name="40% - Accent2 3 2 4 2 2 3" xfId="27693"/>
    <cellStyle name="40% - Accent2 3 2 4 2 3" xfId="9770"/>
    <cellStyle name="40% - Accent2 3 2 4 2 3 2" xfId="27695"/>
    <cellStyle name="40% - Accent2 3 2 4 2 4" xfId="27692"/>
    <cellStyle name="40% - Accent2 3 2 4 3" xfId="9771"/>
    <cellStyle name="40% - Accent2 3 2 4 3 2" xfId="9772"/>
    <cellStyle name="40% - Accent2 3 2 4 3 2 2" xfId="27697"/>
    <cellStyle name="40% - Accent2 3 2 4 3 3" xfId="27696"/>
    <cellStyle name="40% - Accent2 3 2 4 4" xfId="9773"/>
    <cellStyle name="40% - Accent2 3 2 4 4 2" xfId="27698"/>
    <cellStyle name="40% - Accent2 3 2 4 5" xfId="27691"/>
    <cellStyle name="40% - Accent2 3 2 5" xfId="9774"/>
    <cellStyle name="40% - Accent2 3 2 5 2" xfId="9775"/>
    <cellStyle name="40% - Accent2 3 2 5 2 2" xfId="9776"/>
    <cellStyle name="40% - Accent2 3 2 5 2 2 2" xfId="9777"/>
    <cellStyle name="40% - Accent2 3 2 5 2 2 2 2" xfId="27702"/>
    <cellStyle name="40% - Accent2 3 2 5 2 2 3" xfId="27701"/>
    <cellStyle name="40% - Accent2 3 2 5 2 3" xfId="9778"/>
    <cellStyle name="40% - Accent2 3 2 5 2 3 2" xfId="27703"/>
    <cellStyle name="40% - Accent2 3 2 5 2 4" xfId="27700"/>
    <cellStyle name="40% - Accent2 3 2 5 3" xfId="9779"/>
    <cellStyle name="40% - Accent2 3 2 5 3 2" xfId="9780"/>
    <cellStyle name="40% - Accent2 3 2 5 3 2 2" xfId="27705"/>
    <cellStyle name="40% - Accent2 3 2 5 3 3" xfId="27704"/>
    <cellStyle name="40% - Accent2 3 2 5 4" xfId="9781"/>
    <cellStyle name="40% - Accent2 3 2 5 4 2" xfId="27706"/>
    <cellStyle name="40% - Accent2 3 2 5 5" xfId="27699"/>
    <cellStyle name="40% - Accent2 3 2 6" xfId="9782"/>
    <cellStyle name="40% - Accent2 3 2 6 2" xfId="9783"/>
    <cellStyle name="40% - Accent2 3 2 6 2 2" xfId="9784"/>
    <cellStyle name="40% - Accent2 3 2 6 2 2 2" xfId="27709"/>
    <cellStyle name="40% - Accent2 3 2 6 2 3" xfId="27708"/>
    <cellStyle name="40% - Accent2 3 2 6 3" xfId="9785"/>
    <cellStyle name="40% - Accent2 3 2 6 3 2" xfId="27710"/>
    <cellStyle name="40% - Accent2 3 2 6 4" xfId="27707"/>
    <cellStyle name="40% - Accent2 3 2 7" xfId="9786"/>
    <cellStyle name="40% - Accent2 3 2 7 2" xfId="9787"/>
    <cellStyle name="40% - Accent2 3 2 7 2 2" xfId="27712"/>
    <cellStyle name="40% - Accent2 3 2 7 3" xfId="27711"/>
    <cellStyle name="40% - Accent2 3 2 8" xfId="9788"/>
    <cellStyle name="40% - Accent2 3 2 8 2" xfId="27713"/>
    <cellStyle name="40% - Accent2 3 2 9" xfId="27618"/>
    <cellStyle name="40% - Accent2 3 3" xfId="9789"/>
    <cellStyle name="40% - Accent2 3 3 2" xfId="9790"/>
    <cellStyle name="40% - Accent2 3 3 2 2" xfId="9791"/>
    <cellStyle name="40% - Accent2 3 3 2 2 2" xfId="9792"/>
    <cellStyle name="40% - Accent2 3 3 2 2 2 2" xfId="9793"/>
    <cellStyle name="40% - Accent2 3 3 2 2 2 2 2" xfId="9794"/>
    <cellStyle name="40% - Accent2 3 3 2 2 2 2 2 2" xfId="27719"/>
    <cellStyle name="40% - Accent2 3 3 2 2 2 2 3" xfId="27718"/>
    <cellStyle name="40% - Accent2 3 3 2 2 2 3" xfId="9795"/>
    <cellStyle name="40% - Accent2 3 3 2 2 2 3 2" xfId="27720"/>
    <cellStyle name="40% - Accent2 3 3 2 2 2 4" xfId="27717"/>
    <cellStyle name="40% - Accent2 3 3 2 2 3" xfId="9796"/>
    <cellStyle name="40% - Accent2 3 3 2 2 3 2" xfId="9797"/>
    <cellStyle name="40% - Accent2 3 3 2 2 3 2 2" xfId="27722"/>
    <cellStyle name="40% - Accent2 3 3 2 2 3 3" xfId="27721"/>
    <cellStyle name="40% - Accent2 3 3 2 2 4" xfId="9798"/>
    <cellStyle name="40% - Accent2 3 3 2 2 4 2" xfId="27723"/>
    <cellStyle name="40% - Accent2 3 3 2 2 5" xfId="27716"/>
    <cellStyle name="40% - Accent2 3 3 2 3" xfId="9799"/>
    <cellStyle name="40% - Accent2 3 3 2 3 2" xfId="9800"/>
    <cellStyle name="40% - Accent2 3 3 2 3 2 2" xfId="9801"/>
    <cellStyle name="40% - Accent2 3 3 2 3 2 2 2" xfId="9802"/>
    <cellStyle name="40% - Accent2 3 3 2 3 2 2 2 2" xfId="27727"/>
    <cellStyle name="40% - Accent2 3 3 2 3 2 2 3" xfId="27726"/>
    <cellStyle name="40% - Accent2 3 3 2 3 2 3" xfId="9803"/>
    <cellStyle name="40% - Accent2 3 3 2 3 2 3 2" xfId="27728"/>
    <cellStyle name="40% - Accent2 3 3 2 3 2 4" xfId="27725"/>
    <cellStyle name="40% - Accent2 3 3 2 3 3" xfId="9804"/>
    <cellStyle name="40% - Accent2 3 3 2 3 3 2" xfId="9805"/>
    <cellStyle name="40% - Accent2 3 3 2 3 3 2 2" xfId="27730"/>
    <cellStyle name="40% - Accent2 3 3 2 3 3 3" xfId="27729"/>
    <cellStyle name="40% - Accent2 3 3 2 3 4" xfId="9806"/>
    <cellStyle name="40% - Accent2 3 3 2 3 4 2" xfId="27731"/>
    <cellStyle name="40% - Accent2 3 3 2 3 5" xfId="27724"/>
    <cellStyle name="40% - Accent2 3 3 2 4" xfId="9807"/>
    <cellStyle name="40% - Accent2 3 3 2 4 2" xfId="9808"/>
    <cellStyle name="40% - Accent2 3 3 2 4 2 2" xfId="9809"/>
    <cellStyle name="40% - Accent2 3 3 2 4 2 2 2" xfId="27734"/>
    <cellStyle name="40% - Accent2 3 3 2 4 2 3" xfId="27733"/>
    <cellStyle name="40% - Accent2 3 3 2 4 3" xfId="9810"/>
    <cellStyle name="40% - Accent2 3 3 2 4 3 2" xfId="27735"/>
    <cellStyle name="40% - Accent2 3 3 2 4 4" xfId="27732"/>
    <cellStyle name="40% - Accent2 3 3 2 5" xfId="9811"/>
    <cellStyle name="40% - Accent2 3 3 2 5 2" xfId="9812"/>
    <cellStyle name="40% - Accent2 3 3 2 5 2 2" xfId="27737"/>
    <cellStyle name="40% - Accent2 3 3 2 5 3" xfId="27736"/>
    <cellStyle name="40% - Accent2 3 3 2 6" xfId="9813"/>
    <cellStyle name="40% - Accent2 3 3 2 6 2" xfId="27738"/>
    <cellStyle name="40% - Accent2 3 3 2 7" xfId="27715"/>
    <cellStyle name="40% - Accent2 3 3 3" xfId="9814"/>
    <cellStyle name="40% - Accent2 3 3 3 2" xfId="9815"/>
    <cellStyle name="40% - Accent2 3 3 3 2 2" xfId="9816"/>
    <cellStyle name="40% - Accent2 3 3 3 2 2 2" xfId="9817"/>
    <cellStyle name="40% - Accent2 3 3 3 2 2 2 2" xfId="27742"/>
    <cellStyle name="40% - Accent2 3 3 3 2 2 3" xfId="27741"/>
    <cellStyle name="40% - Accent2 3 3 3 2 3" xfId="9818"/>
    <cellStyle name="40% - Accent2 3 3 3 2 3 2" xfId="27743"/>
    <cellStyle name="40% - Accent2 3 3 3 2 4" xfId="27740"/>
    <cellStyle name="40% - Accent2 3 3 3 3" xfId="9819"/>
    <cellStyle name="40% - Accent2 3 3 3 3 2" xfId="9820"/>
    <cellStyle name="40% - Accent2 3 3 3 3 2 2" xfId="27745"/>
    <cellStyle name="40% - Accent2 3 3 3 3 3" xfId="27744"/>
    <cellStyle name="40% - Accent2 3 3 3 4" xfId="9821"/>
    <cellStyle name="40% - Accent2 3 3 3 4 2" xfId="27746"/>
    <cellStyle name="40% - Accent2 3 3 3 5" xfId="27739"/>
    <cellStyle name="40% - Accent2 3 3 4" xfId="9822"/>
    <cellStyle name="40% - Accent2 3 3 4 2" xfId="9823"/>
    <cellStyle name="40% - Accent2 3 3 4 2 2" xfId="9824"/>
    <cellStyle name="40% - Accent2 3 3 4 2 2 2" xfId="9825"/>
    <cellStyle name="40% - Accent2 3 3 4 2 2 2 2" xfId="27750"/>
    <cellStyle name="40% - Accent2 3 3 4 2 2 3" xfId="27749"/>
    <cellStyle name="40% - Accent2 3 3 4 2 3" xfId="9826"/>
    <cellStyle name="40% - Accent2 3 3 4 2 3 2" xfId="27751"/>
    <cellStyle name="40% - Accent2 3 3 4 2 4" xfId="27748"/>
    <cellStyle name="40% - Accent2 3 3 4 3" xfId="9827"/>
    <cellStyle name="40% - Accent2 3 3 4 3 2" xfId="9828"/>
    <cellStyle name="40% - Accent2 3 3 4 3 2 2" xfId="27753"/>
    <cellStyle name="40% - Accent2 3 3 4 3 3" xfId="27752"/>
    <cellStyle name="40% - Accent2 3 3 4 4" xfId="9829"/>
    <cellStyle name="40% - Accent2 3 3 4 4 2" xfId="27754"/>
    <cellStyle name="40% - Accent2 3 3 4 5" xfId="27747"/>
    <cellStyle name="40% - Accent2 3 3 5" xfId="9830"/>
    <cellStyle name="40% - Accent2 3 3 5 2" xfId="9831"/>
    <cellStyle name="40% - Accent2 3 3 5 2 2" xfId="9832"/>
    <cellStyle name="40% - Accent2 3 3 5 2 2 2" xfId="27757"/>
    <cellStyle name="40% - Accent2 3 3 5 2 3" xfId="27756"/>
    <cellStyle name="40% - Accent2 3 3 5 3" xfId="9833"/>
    <cellStyle name="40% - Accent2 3 3 5 3 2" xfId="27758"/>
    <cellStyle name="40% - Accent2 3 3 5 4" xfId="27755"/>
    <cellStyle name="40% - Accent2 3 3 6" xfId="9834"/>
    <cellStyle name="40% - Accent2 3 3 6 2" xfId="9835"/>
    <cellStyle name="40% - Accent2 3 3 6 2 2" xfId="27760"/>
    <cellStyle name="40% - Accent2 3 3 6 3" xfId="27759"/>
    <cellStyle name="40% - Accent2 3 3 7" xfId="9836"/>
    <cellStyle name="40% - Accent2 3 3 7 2" xfId="27761"/>
    <cellStyle name="40% - Accent2 3 3 8" xfId="27714"/>
    <cellStyle name="40% - Accent2 3 4" xfId="9837"/>
    <cellStyle name="40% - Accent2 3 4 2" xfId="9838"/>
    <cellStyle name="40% - Accent2 3 4 2 2" xfId="9839"/>
    <cellStyle name="40% - Accent2 3 4 2 2 2" xfId="9840"/>
    <cellStyle name="40% - Accent2 3 4 2 2 2 2" xfId="9841"/>
    <cellStyle name="40% - Accent2 3 4 2 2 2 2 2" xfId="27766"/>
    <cellStyle name="40% - Accent2 3 4 2 2 2 3" xfId="27765"/>
    <cellStyle name="40% - Accent2 3 4 2 2 3" xfId="9842"/>
    <cellStyle name="40% - Accent2 3 4 2 2 3 2" xfId="27767"/>
    <cellStyle name="40% - Accent2 3 4 2 2 4" xfId="27764"/>
    <cellStyle name="40% - Accent2 3 4 2 3" xfId="9843"/>
    <cellStyle name="40% - Accent2 3 4 2 3 2" xfId="9844"/>
    <cellStyle name="40% - Accent2 3 4 2 3 2 2" xfId="27769"/>
    <cellStyle name="40% - Accent2 3 4 2 3 3" xfId="27768"/>
    <cellStyle name="40% - Accent2 3 4 2 4" xfId="9845"/>
    <cellStyle name="40% - Accent2 3 4 2 4 2" xfId="27770"/>
    <cellStyle name="40% - Accent2 3 4 2 5" xfId="27763"/>
    <cellStyle name="40% - Accent2 3 4 3" xfId="9846"/>
    <cellStyle name="40% - Accent2 3 4 3 2" xfId="9847"/>
    <cellStyle name="40% - Accent2 3 4 3 2 2" xfId="9848"/>
    <cellStyle name="40% - Accent2 3 4 3 2 2 2" xfId="9849"/>
    <cellStyle name="40% - Accent2 3 4 3 2 2 2 2" xfId="27774"/>
    <cellStyle name="40% - Accent2 3 4 3 2 2 3" xfId="27773"/>
    <cellStyle name="40% - Accent2 3 4 3 2 3" xfId="9850"/>
    <cellStyle name="40% - Accent2 3 4 3 2 3 2" xfId="27775"/>
    <cellStyle name="40% - Accent2 3 4 3 2 4" xfId="27772"/>
    <cellStyle name="40% - Accent2 3 4 3 3" xfId="9851"/>
    <cellStyle name="40% - Accent2 3 4 3 3 2" xfId="9852"/>
    <cellStyle name="40% - Accent2 3 4 3 3 2 2" xfId="27777"/>
    <cellStyle name="40% - Accent2 3 4 3 3 3" xfId="27776"/>
    <cellStyle name="40% - Accent2 3 4 3 4" xfId="9853"/>
    <cellStyle name="40% - Accent2 3 4 3 4 2" xfId="27778"/>
    <cellStyle name="40% - Accent2 3 4 3 5" xfId="27771"/>
    <cellStyle name="40% - Accent2 3 4 4" xfId="9854"/>
    <cellStyle name="40% - Accent2 3 4 4 2" xfId="9855"/>
    <cellStyle name="40% - Accent2 3 4 4 2 2" xfId="9856"/>
    <cellStyle name="40% - Accent2 3 4 4 2 2 2" xfId="27781"/>
    <cellStyle name="40% - Accent2 3 4 4 2 3" xfId="27780"/>
    <cellStyle name="40% - Accent2 3 4 4 3" xfId="9857"/>
    <cellStyle name="40% - Accent2 3 4 4 3 2" xfId="27782"/>
    <cellStyle name="40% - Accent2 3 4 4 4" xfId="27779"/>
    <cellStyle name="40% - Accent2 3 4 5" xfId="9858"/>
    <cellStyle name="40% - Accent2 3 4 5 2" xfId="9859"/>
    <cellStyle name="40% - Accent2 3 4 5 2 2" xfId="27784"/>
    <cellStyle name="40% - Accent2 3 4 5 3" xfId="27783"/>
    <cellStyle name="40% - Accent2 3 4 6" xfId="9860"/>
    <cellStyle name="40% - Accent2 3 4 6 2" xfId="27785"/>
    <cellStyle name="40% - Accent2 3 4 7" xfId="27762"/>
    <cellStyle name="40% - Accent2 3 5" xfId="9861"/>
    <cellStyle name="40% - Accent2 3 5 2" xfId="9862"/>
    <cellStyle name="40% - Accent2 3 5 2 2" xfId="9863"/>
    <cellStyle name="40% - Accent2 3 5 2 2 2" xfId="9864"/>
    <cellStyle name="40% - Accent2 3 5 2 2 2 2" xfId="27789"/>
    <cellStyle name="40% - Accent2 3 5 2 2 3" xfId="27788"/>
    <cellStyle name="40% - Accent2 3 5 2 3" xfId="9865"/>
    <cellStyle name="40% - Accent2 3 5 2 3 2" xfId="27790"/>
    <cellStyle name="40% - Accent2 3 5 2 4" xfId="27787"/>
    <cellStyle name="40% - Accent2 3 5 3" xfId="9866"/>
    <cellStyle name="40% - Accent2 3 5 3 2" xfId="9867"/>
    <cellStyle name="40% - Accent2 3 5 3 2 2" xfId="27792"/>
    <cellStyle name="40% - Accent2 3 5 3 3" xfId="27791"/>
    <cellStyle name="40% - Accent2 3 5 4" xfId="9868"/>
    <cellStyle name="40% - Accent2 3 5 4 2" xfId="27793"/>
    <cellStyle name="40% - Accent2 3 5 5" xfId="27786"/>
    <cellStyle name="40% - Accent2 3 6" xfId="9869"/>
    <cellStyle name="40% - Accent2 3 6 2" xfId="9870"/>
    <cellStyle name="40% - Accent2 3 6 2 2" xfId="9871"/>
    <cellStyle name="40% - Accent2 3 6 2 2 2" xfId="9872"/>
    <cellStyle name="40% - Accent2 3 6 2 2 2 2" xfId="27797"/>
    <cellStyle name="40% - Accent2 3 6 2 2 3" xfId="27796"/>
    <cellStyle name="40% - Accent2 3 6 2 3" xfId="9873"/>
    <cellStyle name="40% - Accent2 3 6 2 3 2" xfId="27798"/>
    <cellStyle name="40% - Accent2 3 6 2 4" xfId="27795"/>
    <cellStyle name="40% - Accent2 3 6 3" xfId="9874"/>
    <cellStyle name="40% - Accent2 3 6 3 2" xfId="9875"/>
    <cellStyle name="40% - Accent2 3 6 3 2 2" xfId="27800"/>
    <cellStyle name="40% - Accent2 3 6 3 3" xfId="27799"/>
    <cellStyle name="40% - Accent2 3 6 4" xfId="9876"/>
    <cellStyle name="40% - Accent2 3 6 4 2" xfId="27801"/>
    <cellStyle name="40% - Accent2 3 6 5" xfId="27794"/>
    <cellStyle name="40% - Accent2 3 7" xfId="9877"/>
    <cellStyle name="40% - Accent2 3 7 2" xfId="9878"/>
    <cellStyle name="40% - Accent2 3 7 2 2" xfId="9879"/>
    <cellStyle name="40% - Accent2 3 7 2 2 2" xfId="27804"/>
    <cellStyle name="40% - Accent2 3 7 2 3" xfId="27803"/>
    <cellStyle name="40% - Accent2 3 7 3" xfId="9880"/>
    <cellStyle name="40% - Accent2 3 7 3 2" xfId="27805"/>
    <cellStyle name="40% - Accent2 3 7 4" xfId="27802"/>
    <cellStyle name="40% - Accent2 3 8" xfId="9881"/>
    <cellStyle name="40% - Accent2 3 8 2" xfId="9882"/>
    <cellStyle name="40% - Accent2 3 8 2 2" xfId="27807"/>
    <cellStyle name="40% - Accent2 3 8 3" xfId="27806"/>
    <cellStyle name="40% - Accent2 3 9" xfId="9883"/>
    <cellStyle name="40% - Accent2 3 9 2" xfId="27808"/>
    <cellStyle name="40% - Accent2 30" xfId="9884"/>
    <cellStyle name="40% - Accent2 30 2" xfId="27809"/>
    <cellStyle name="40% - Accent2 31" xfId="9885"/>
    <cellStyle name="40% - Accent2 31 2" xfId="27810"/>
    <cellStyle name="40% - Accent2 32" xfId="9886"/>
    <cellStyle name="40% - Accent2 4" xfId="660"/>
    <cellStyle name="40% - Accent2 4 2" xfId="9887"/>
    <cellStyle name="40% - Accent2 4 2 2" xfId="9888"/>
    <cellStyle name="40% - Accent2 4 2 2 2" xfId="9889"/>
    <cellStyle name="40% - Accent2 4 2 2 2 2" xfId="9890"/>
    <cellStyle name="40% - Accent2 4 2 2 2 2 2" xfId="9891"/>
    <cellStyle name="40% - Accent2 4 2 2 2 2 2 2" xfId="9892"/>
    <cellStyle name="40% - Accent2 4 2 2 2 2 2 2 2" xfId="9893"/>
    <cellStyle name="40% - Accent2 4 2 2 2 2 2 2 2 2" xfId="27817"/>
    <cellStyle name="40% - Accent2 4 2 2 2 2 2 2 3" xfId="27816"/>
    <cellStyle name="40% - Accent2 4 2 2 2 2 2 3" xfId="9894"/>
    <cellStyle name="40% - Accent2 4 2 2 2 2 2 3 2" xfId="27818"/>
    <cellStyle name="40% - Accent2 4 2 2 2 2 2 4" xfId="27815"/>
    <cellStyle name="40% - Accent2 4 2 2 2 2 3" xfId="9895"/>
    <cellStyle name="40% - Accent2 4 2 2 2 2 3 2" xfId="9896"/>
    <cellStyle name="40% - Accent2 4 2 2 2 2 3 2 2" xfId="27820"/>
    <cellStyle name="40% - Accent2 4 2 2 2 2 3 3" xfId="27819"/>
    <cellStyle name="40% - Accent2 4 2 2 2 2 4" xfId="9897"/>
    <cellStyle name="40% - Accent2 4 2 2 2 2 4 2" xfId="27821"/>
    <cellStyle name="40% - Accent2 4 2 2 2 2 5" xfId="27814"/>
    <cellStyle name="40% - Accent2 4 2 2 2 3" xfId="9898"/>
    <cellStyle name="40% - Accent2 4 2 2 2 3 2" xfId="9899"/>
    <cellStyle name="40% - Accent2 4 2 2 2 3 2 2" xfId="9900"/>
    <cellStyle name="40% - Accent2 4 2 2 2 3 2 2 2" xfId="9901"/>
    <cellStyle name="40% - Accent2 4 2 2 2 3 2 2 2 2" xfId="27825"/>
    <cellStyle name="40% - Accent2 4 2 2 2 3 2 2 3" xfId="27824"/>
    <cellStyle name="40% - Accent2 4 2 2 2 3 2 3" xfId="9902"/>
    <cellStyle name="40% - Accent2 4 2 2 2 3 2 3 2" xfId="27826"/>
    <cellStyle name="40% - Accent2 4 2 2 2 3 2 4" xfId="27823"/>
    <cellStyle name="40% - Accent2 4 2 2 2 3 3" xfId="9903"/>
    <cellStyle name="40% - Accent2 4 2 2 2 3 3 2" xfId="9904"/>
    <cellStyle name="40% - Accent2 4 2 2 2 3 3 2 2" xfId="27828"/>
    <cellStyle name="40% - Accent2 4 2 2 2 3 3 3" xfId="27827"/>
    <cellStyle name="40% - Accent2 4 2 2 2 3 4" xfId="9905"/>
    <cellStyle name="40% - Accent2 4 2 2 2 3 4 2" xfId="27829"/>
    <cellStyle name="40% - Accent2 4 2 2 2 3 5" xfId="27822"/>
    <cellStyle name="40% - Accent2 4 2 2 2 4" xfId="9906"/>
    <cellStyle name="40% - Accent2 4 2 2 2 4 2" xfId="9907"/>
    <cellStyle name="40% - Accent2 4 2 2 2 4 2 2" xfId="9908"/>
    <cellStyle name="40% - Accent2 4 2 2 2 4 2 2 2" xfId="27832"/>
    <cellStyle name="40% - Accent2 4 2 2 2 4 2 3" xfId="27831"/>
    <cellStyle name="40% - Accent2 4 2 2 2 4 3" xfId="9909"/>
    <cellStyle name="40% - Accent2 4 2 2 2 4 3 2" xfId="27833"/>
    <cellStyle name="40% - Accent2 4 2 2 2 4 4" xfId="27830"/>
    <cellStyle name="40% - Accent2 4 2 2 2 5" xfId="9910"/>
    <cellStyle name="40% - Accent2 4 2 2 2 5 2" xfId="9911"/>
    <cellStyle name="40% - Accent2 4 2 2 2 5 2 2" xfId="27835"/>
    <cellStyle name="40% - Accent2 4 2 2 2 5 3" xfId="27834"/>
    <cellStyle name="40% - Accent2 4 2 2 2 6" xfId="9912"/>
    <cellStyle name="40% - Accent2 4 2 2 2 6 2" xfId="27836"/>
    <cellStyle name="40% - Accent2 4 2 2 2 7" xfId="27813"/>
    <cellStyle name="40% - Accent2 4 2 2 3" xfId="9913"/>
    <cellStyle name="40% - Accent2 4 2 2 3 2" xfId="9914"/>
    <cellStyle name="40% - Accent2 4 2 2 3 2 2" xfId="9915"/>
    <cellStyle name="40% - Accent2 4 2 2 3 2 2 2" xfId="9916"/>
    <cellStyle name="40% - Accent2 4 2 2 3 2 2 2 2" xfId="27840"/>
    <cellStyle name="40% - Accent2 4 2 2 3 2 2 3" xfId="27839"/>
    <cellStyle name="40% - Accent2 4 2 2 3 2 3" xfId="9917"/>
    <cellStyle name="40% - Accent2 4 2 2 3 2 3 2" xfId="27841"/>
    <cellStyle name="40% - Accent2 4 2 2 3 2 4" xfId="27838"/>
    <cellStyle name="40% - Accent2 4 2 2 3 3" xfId="9918"/>
    <cellStyle name="40% - Accent2 4 2 2 3 3 2" xfId="9919"/>
    <cellStyle name="40% - Accent2 4 2 2 3 3 2 2" xfId="27843"/>
    <cellStyle name="40% - Accent2 4 2 2 3 3 3" xfId="27842"/>
    <cellStyle name="40% - Accent2 4 2 2 3 4" xfId="9920"/>
    <cellStyle name="40% - Accent2 4 2 2 3 4 2" xfId="27844"/>
    <cellStyle name="40% - Accent2 4 2 2 3 5" xfId="27837"/>
    <cellStyle name="40% - Accent2 4 2 2 4" xfId="9921"/>
    <cellStyle name="40% - Accent2 4 2 2 4 2" xfId="9922"/>
    <cellStyle name="40% - Accent2 4 2 2 4 2 2" xfId="9923"/>
    <cellStyle name="40% - Accent2 4 2 2 4 2 2 2" xfId="9924"/>
    <cellStyle name="40% - Accent2 4 2 2 4 2 2 2 2" xfId="27848"/>
    <cellStyle name="40% - Accent2 4 2 2 4 2 2 3" xfId="27847"/>
    <cellStyle name="40% - Accent2 4 2 2 4 2 3" xfId="9925"/>
    <cellStyle name="40% - Accent2 4 2 2 4 2 3 2" xfId="27849"/>
    <cellStyle name="40% - Accent2 4 2 2 4 2 4" xfId="27846"/>
    <cellStyle name="40% - Accent2 4 2 2 4 3" xfId="9926"/>
    <cellStyle name="40% - Accent2 4 2 2 4 3 2" xfId="9927"/>
    <cellStyle name="40% - Accent2 4 2 2 4 3 2 2" xfId="27851"/>
    <cellStyle name="40% - Accent2 4 2 2 4 3 3" xfId="27850"/>
    <cellStyle name="40% - Accent2 4 2 2 4 4" xfId="9928"/>
    <cellStyle name="40% - Accent2 4 2 2 4 4 2" xfId="27852"/>
    <cellStyle name="40% - Accent2 4 2 2 4 5" xfId="27845"/>
    <cellStyle name="40% - Accent2 4 2 2 5" xfId="9929"/>
    <cellStyle name="40% - Accent2 4 2 2 5 2" xfId="9930"/>
    <cellStyle name="40% - Accent2 4 2 2 5 2 2" xfId="9931"/>
    <cellStyle name="40% - Accent2 4 2 2 5 2 2 2" xfId="27855"/>
    <cellStyle name="40% - Accent2 4 2 2 5 2 3" xfId="27854"/>
    <cellStyle name="40% - Accent2 4 2 2 5 3" xfId="9932"/>
    <cellStyle name="40% - Accent2 4 2 2 5 3 2" xfId="27856"/>
    <cellStyle name="40% - Accent2 4 2 2 5 4" xfId="27853"/>
    <cellStyle name="40% - Accent2 4 2 2 6" xfId="9933"/>
    <cellStyle name="40% - Accent2 4 2 2 6 2" xfId="9934"/>
    <cellStyle name="40% - Accent2 4 2 2 6 2 2" xfId="27858"/>
    <cellStyle name="40% - Accent2 4 2 2 6 3" xfId="27857"/>
    <cellStyle name="40% - Accent2 4 2 2 7" xfId="9935"/>
    <cellStyle name="40% - Accent2 4 2 2 7 2" xfId="27859"/>
    <cellStyle name="40% - Accent2 4 2 2 8" xfId="27812"/>
    <cellStyle name="40% - Accent2 4 2 3" xfId="9936"/>
    <cellStyle name="40% - Accent2 4 2 3 2" xfId="9937"/>
    <cellStyle name="40% - Accent2 4 2 3 2 2" xfId="9938"/>
    <cellStyle name="40% - Accent2 4 2 3 2 2 2" xfId="9939"/>
    <cellStyle name="40% - Accent2 4 2 3 2 2 2 2" xfId="9940"/>
    <cellStyle name="40% - Accent2 4 2 3 2 2 2 2 2" xfId="27864"/>
    <cellStyle name="40% - Accent2 4 2 3 2 2 2 3" xfId="27863"/>
    <cellStyle name="40% - Accent2 4 2 3 2 2 3" xfId="9941"/>
    <cellStyle name="40% - Accent2 4 2 3 2 2 3 2" xfId="27865"/>
    <cellStyle name="40% - Accent2 4 2 3 2 2 4" xfId="27862"/>
    <cellStyle name="40% - Accent2 4 2 3 2 3" xfId="9942"/>
    <cellStyle name="40% - Accent2 4 2 3 2 3 2" xfId="9943"/>
    <cellStyle name="40% - Accent2 4 2 3 2 3 2 2" xfId="27867"/>
    <cellStyle name="40% - Accent2 4 2 3 2 3 3" xfId="27866"/>
    <cellStyle name="40% - Accent2 4 2 3 2 4" xfId="9944"/>
    <cellStyle name="40% - Accent2 4 2 3 2 4 2" xfId="27868"/>
    <cellStyle name="40% - Accent2 4 2 3 2 5" xfId="27861"/>
    <cellStyle name="40% - Accent2 4 2 3 3" xfId="9945"/>
    <cellStyle name="40% - Accent2 4 2 3 3 2" xfId="9946"/>
    <cellStyle name="40% - Accent2 4 2 3 3 2 2" xfId="9947"/>
    <cellStyle name="40% - Accent2 4 2 3 3 2 2 2" xfId="9948"/>
    <cellStyle name="40% - Accent2 4 2 3 3 2 2 2 2" xfId="27872"/>
    <cellStyle name="40% - Accent2 4 2 3 3 2 2 3" xfId="27871"/>
    <cellStyle name="40% - Accent2 4 2 3 3 2 3" xfId="9949"/>
    <cellStyle name="40% - Accent2 4 2 3 3 2 3 2" xfId="27873"/>
    <cellStyle name="40% - Accent2 4 2 3 3 2 4" xfId="27870"/>
    <cellStyle name="40% - Accent2 4 2 3 3 3" xfId="9950"/>
    <cellStyle name="40% - Accent2 4 2 3 3 3 2" xfId="9951"/>
    <cellStyle name="40% - Accent2 4 2 3 3 3 2 2" xfId="27875"/>
    <cellStyle name="40% - Accent2 4 2 3 3 3 3" xfId="27874"/>
    <cellStyle name="40% - Accent2 4 2 3 3 4" xfId="9952"/>
    <cellStyle name="40% - Accent2 4 2 3 3 4 2" xfId="27876"/>
    <cellStyle name="40% - Accent2 4 2 3 3 5" xfId="27869"/>
    <cellStyle name="40% - Accent2 4 2 3 4" xfId="9953"/>
    <cellStyle name="40% - Accent2 4 2 3 4 2" xfId="9954"/>
    <cellStyle name="40% - Accent2 4 2 3 4 2 2" xfId="9955"/>
    <cellStyle name="40% - Accent2 4 2 3 4 2 2 2" xfId="27879"/>
    <cellStyle name="40% - Accent2 4 2 3 4 2 3" xfId="27878"/>
    <cellStyle name="40% - Accent2 4 2 3 4 3" xfId="9956"/>
    <cellStyle name="40% - Accent2 4 2 3 4 3 2" xfId="27880"/>
    <cellStyle name="40% - Accent2 4 2 3 4 4" xfId="27877"/>
    <cellStyle name="40% - Accent2 4 2 3 5" xfId="9957"/>
    <cellStyle name="40% - Accent2 4 2 3 5 2" xfId="9958"/>
    <cellStyle name="40% - Accent2 4 2 3 5 2 2" xfId="27882"/>
    <cellStyle name="40% - Accent2 4 2 3 5 3" xfId="27881"/>
    <cellStyle name="40% - Accent2 4 2 3 6" xfId="9959"/>
    <cellStyle name="40% - Accent2 4 2 3 6 2" xfId="27883"/>
    <cellStyle name="40% - Accent2 4 2 3 7" xfId="27860"/>
    <cellStyle name="40% - Accent2 4 2 4" xfId="9960"/>
    <cellStyle name="40% - Accent2 4 2 4 2" xfId="9961"/>
    <cellStyle name="40% - Accent2 4 2 4 2 2" xfId="9962"/>
    <cellStyle name="40% - Accent2 4 2 4 2 2 2" xfId="9963"/>
    <cellStyle name="40% - Accent2 4 2 4 2 2 2 2" xfId="27887"/>
    <cellStyle name="40% - Accent2 4 2 4 2 2 3" xfId="27886"/>
    <cellStyle name="40% - Accent2 4 2 4 2 3" xfId="9964"/>
    <cellStyle name="40% - Accent2 4 2 4 2 3 2" xfId="27888"/>
    <cellStyle name="40% - Accent2 4 2 4 2 4" xfId="27885"/>
    <cellStyle name="40% - Accent2 4 2 4 3" xfId="9965"/>
    <cellStyle name="40% - Accent2 4 2 4 3 2" xfId="9966"/>
    <cellStyle name="40% - Accent2 4 2 4 3 2 2" xfId="27890"/>
    <cellStyle name="40% - Accent2 4 2 4 3 3" xfId="27889"/>
    <cellStyle name="40% - Accent2 4 2 4 4" xfId="9967"/>
    <cellStyle name="40% - Accent2 4 2 4 4 2" xfId="27891"/>
    <cellStyle name="40% - Accent2 4 2 4 5" xfId="27884"/>
    <cellStyle name="40% - Accent2 4 2 5" xfId="9968"/>
    <cellStyle name="40% - Accent2 4 2 5 2" xfId="9969"/>
    <cellStyle name="40% - Accent2 4 2 5 2 2" xfId="9970"/>
    <cellStyle name="40% - Accent2 4 2 5 2 2 2" xfId="9971"/>
    <cellStyle name="40% - Accent2 4 2 5 2 2 2 2" xfId="27895"/>
    <cellStyle name="40% - Accent2 4 2 5 2 2 3" xfId="27894"/>
    <cellStyle name="40% - Accent2 4 2 5 2 3" xfId="9972"/>
    <cellStyle name="40% - Accent2 4 2 5 2 3 2" xfId="27896"/>
    <cellStyle name="40% - Accent2 4 2 5 2 4" xfId="27893"/>
    <cellStyle name="40% - Accent2 4 2 5 3" xfId="9973"/>
    <cellStyle name="40% - Accent2 4 2 5 3 2" xfId="9974"/>
    <cellStyle name="40% - Accent2 4 2 5 3 2 2" xfId="27898"/>
    <cellStyle name="40% - Accent2 4 2 5 3 3" xfId="27897"/>
    <cellStyle name="40% - Accent2 4 2 5 4" xfId="9975"/>
    <cellStyle name="40% - Accent2 4 2 5 4 2" xfId="27899"/>
    <cellStyle name="40% - Accent2 4 2 5 5" xfId="27892"/>
    <cellStyle name="40% - Accent2 4 2 6" xfId="9976"/>
    <cellStyle name="40% - Accent2 4 2 6 2" xfId="9977"/>
    <cellStyle name="40% - Accent2 4 2 6 2 2" xfId="9978"/>
    <cellStyle name="40% - Accent2 4 2 6 2 2 2" xfId="27902"/>
    <cellStyle name="40% - Accent2 4 2 6 2 3" xfId="27901"/>
    <cellStyle name="40% - Accent2 4 2 6 3" xfId="9979"/>
    <cellStyle name="40% - Accent2 4 2 6 3 2" xfId="27903"/>
    <cellStyle name="40% - Accent2 4 2 6 4" xfId="27900"/>
    <cellStyle name="40% - Accent2 4 2 7" xfId="9980"/>
    <cellStyle name="40% - Accent2 4 2 7 2" xfId="9981"/>
    <cellStyle name="40% - Accent2 4 2 7 2 2" xfId="27905"/>
    <cellStyle name="40% - Accent2 4 2 7 3" xfId="27904"/>
    <cellStyle name="40% - Accent2 4 2 8" xfId="9982"/>
    <cellStyle name="40% - Accent2 4 2 8 2" xfId="27906"/>
    <cellStyle name="40% - Accent2 4 2 9" xfId="27811"/>
    <cellStyle name="40% - Accent2 4 3" xfId="9983"/>
    <cellStyle name="40% - Accent2 4 3 2" xfId="9984"/>
    <cellStyle name="40% - Accent2 4 3 2 2" xfId="9985"/>
    <cellStyle name="40% - Accent2 4 3 2 2 2" xfId="9986"/>
    <cellStyle name="40% - Accent2 4 3 2 2 2 2" xfId="9987"/>
    <cellStyle name="40% - Accent2 4 3 2 2 2 2 2" xfId="9988"/>
    <cellStyle name="40% - Accent2 4 3 2 2 2 2 2 2" xfId="27912"/>
    <cellStyle name="40% - Accent2 4 3 2 2 2 2 3" xfId="27911"/>
    <cellStyle name="40% - Accent2 4 3 2 2 2 3" xfId="9989"/>
    <cellStyle name="40% - Accent2 4 3 2 2 2 3 2" xfId="27913"/>
    <cellStyle name="40% - Accent2 4 3 2 2 2 4" xfId="27910"/>
    <cellStyle name="40% - Accent2 4 3 2 2 3" xfId="9990"/>
    <cellStyle name="40% - Accent2 4 3 2 2 3 2" xfId="9991"/>
    <cellStyle name="40% - Accent2 4 3 2 2 3 2 2" xfId="27915"/>
    <cellStyle name="40% - Accent2 4 3 2 2 3 3" xfId="27914"/>
    <cellStyle name="40% - Accent2 4 3 2 2 4" xfId="9992"/>
    <cellStyle name="40% - Accent2 4 3 2 2 4 2" xfId="27916"/>
    <cellStyle name="40% - Accent2 4 3 2 2 5" xfId="27909"/>
    <cellStyle name="40% - Accent2 4 3 2 3" xfId="9993"/>
    <cellStyle name="40% - Accent2 4 3 2 3 2" xfId="9994"/>
    <cellStyle name="40% - Accent2 4 3 2 3 2 2" xfId="9995"/>
    <cellStyle name="40% - Accent2 4 3 2 3 2 2 2" xfId="9996"/>
    <cellStyle name="40% - Accent2 4 3 2 3 2 2 2 2" xfId="27920"/>
    <cellStyle name="40% - Accent2 4 3 2 3 2 2 3" xfId="27919"/>
    <cellStyle name="40% - Accent2 4 3 2 3 2 3" xfId="9997"/>
    <cellStyle name="40% - Accent2 4 3 2 3 2 3 2" xfId="27921"/>
    <cellStyle name="40% - Accent2 4 3 2 3 2 4" xfId="27918"/>
    <cellStyle name="40% - Accent2 4 3 2 3 3" xfId="9998"/>
    <cellStyle name="40% - Accent2 4 3 2 3 3 2" xfId="9999"/>
    <cellStyle name="40% - Accent2 4 3 2 3 3 2 2" xfId="27923"/>
    <cellStyle name="40% - Accent2 4 3 2 3 3 3" xfId="27922"/>
    <cellStyle name="40% - Accent2 4 3 2 3 4" xfId="10000"/>
    <cellStyle name="40% - Accent2 4 3 2 3 4 2" xfId="27924"/>
    <cellStyle name="40% - Accent2 4 3 2 3 5" xfId="27917"/>
    <cellStyle name="40% - Accent2 4 3 2 4" xfId="10001"/>
    <cellStyle name="40% - Accent2 4 3 2 4 2" xfId="10002"/>
    <cellStyle name="40% - Accent2 4 3 2 4 2 2" xfId="10003"/>
    <cellStyle name="40% - Accent2 4 3 2 4 2 2 2" xfId="27927"/>
    <cellStyle name="40% - Accent2 4 3 2 4 2 3" xfId="27926"/>
    <cellStyle name="40% - Accent2 4 3 2 4 3" xfId="10004"/>
    <cellStyle name="40% - Accent2 4 3 2 4 3 2" xfId="27928"/>
    <cellStyle name="40% - Accent2 4 3 2 4 4" xfId="27925"/>
    <cellStyle name="40% - Accent2 4 3 2 5" xfId="10005"/>
    <cellStyle name="40% - Accent2 4 3 2 5 2" xfId="10006"/>
    <cellStyle name="40% - Accent2 4 3 2 5 2 2" xfId="27930"/>
    <cellStyle name="40% - Accent2 4 3 2 5 3" xfId="27929"/>
    <cellStyle name="40% - Accent2 4 3 2 6" xfId="10007"/>
    <cellStyle name="40% - Accent2 4 3 2 6 2" xfId="27931"/>
    <cellStyle name="40% - Accent2 4 3 2 7" xfId="27908"/>
    <cellStyle name="40% - Accent2 4 3 3" xfId="10008"/>
    <cellStyle name="40% - Accent2 4 3 3 2" xfId="10009"/>
    <cellStyle name="40% - Accent2 4 3 3 2 2" xfId="10010"/>
    <cellStyle name="40% - Accent2 4 3 3 2 2 2" xfId="10011"/>
    <cellStyle name="40% - Accent2 4 3 3 2 2 2 2" xfId="27935"/>
    <cellStyle name="40% - Accent2 4 3 3 2 2 3" xfId="27934"/>
    <cellStyle name="40% - Accent2 4 3 3 2 3" xfId="10012"/>
    <cellStyle name="40% - Accent2 4 3 3 2 3 2" xfId="27936"/>
    <cellStyle name="40% - Accent2 4 3 3 2 4" xfId="27933"/>
    <cellStyle name="40% - Accent2 4 3 3 3" xfId="10013"/>
    <cellStyle name="40% - Accent2 4 3 3 3 2" xfId="10014"/>
    <cellStyle name="40% - Accent2 4 3 3 3 2 2" xfId="27938"/>
    <cellStyle name="40% - Accent2 4 3 3 3 3" xfId="27937"/>
    <cellStyle name="40% - Accent2 4 3 3 4" xfId="10015"/>
    <cellStyle name="40% - Accent2 4 3 3 4 2" xfId="27939"/>
    <cellStyle name="40% - Accent2 4 3 3 5" xfId="27932"/>
    <cellStyle name="40% - Accent2 4 3 4" xfId="10016"/>
    <cellStyle name="40% - Accent2 4 3 4 2" xfId="10017"/>
    <cellStyle name="40% - Accent2 4 3 4 2 2" xfId="10018"/>
    <cellStyle name="40% - Accent2 4 3 4 2 2 2" xfId="10019"/>
    <cellStyle name="40% - Accent2 4 3 4 2 2 2 2" xfId="27943"/>
    <cellStyle name="40% - Accent2 4 3 4 2 2 3" xfId="27942"/>
    <cellStyle name="40% - Accent2 4 3 4 2 3" xfId="10020"/>
    <cellStyle name="40% - Accent2 4 3 4 2 3 2" xfId="27944"/>
    <cellStyle name="40% - Accent2 4 3 4 2 4" xfId="27941"/>
    <cellStyle name="40% - Accent2 4 3 4 3" xfId="10021"/>
    <cellStyle name="40% - Accent2 4 3 4 3 2" xfId="10022"/>
    <cellStyle name="40% - Accent2 4 3 4 3 2 2" xfId="27946"/>
    <cellStyle name="40% - Accent2 4 3 4 3 3" xfId="27945"/>
    <cellStyle name="40% - Accent2 4 3 4 4" xfId="10023"/>
    <cellStyle name="40% - Accent2 4 3 4 4 2" xfId="27947"/>
    <cellStyle name="40% - Accent2 4 3 4 5" xfId="27940"/>
    <cellStyle name="40% - Accent2 4 3 5" xfId="10024"/>
    <cellStyle name="40% - Accent2 4 3 5 2" xfId="10025"/>
    <cellStyle name="40% - Accent2 4 3 5 2 2" xfId="10026"/>
    <cellStyle name="40% - Accent2 4 3 5 2 2 2" xfId="27950"/>
    <cellStyle name="40% - Accent2 4 3 5 2 3" xfId="27949"/>
    <cellStyle name="40% - Accent2 4 3 5 3" xfId="10027"/>
    <cellStyle name="40% - Accent2 4 3 5 3 2" xfId="27951"/>
    <cellStyle name="40% - Accent2 4 3 5 4" xfId="27948"/>
    <cellStyle name="40% - Accent2 4 3 6" xfId="10028"/>
    <cellStyle name="40% - Accent2 4 3 6 2" xfId="10029"/>
    <cellStyle name="40% - Accent2 4 3 6 2 2" xfId="27953"/>
    <cellStyle name="40% - Accent2 4 3 6 3" xfId="27952"/>
    <cellStyle name="40% - Accent2 4 3 7" xfId="10030"/>
    <cellStyle name="40% - Accent2 4 3 7 2" xfId="27954"/>
    <cellStyle name="40% - Accent2 4 3 8" xfId="27907"/>
    <cellStyle name="40% - Accent2 4 4" xfId="10031"/>
    <cellStyle name="40% - Accent2 4 4 2" xfId="10032"/>
    <cellStyle name="40% - Accent2 4 4 2 2" xfId="10033"/>
    <cellStyle name="40% - Accent2 4 4 2 2 2" xfId="10034"/>
    <cellStyle name="40% - Accent2 4 4 2 2 2 2" xfId="10035"/>
    <cellStyle name="40% - Accent2 4 4 2 2 2 2 2" xfId="27959"/>
    <cellStyle name="40% - Accent2 4 4 2 2 2 3" xfId="27958"/>
    <cellStyle name="40% - Accent2 4 4 2 2 3" xfId="10036"/>
    <cellStyle name="40% - Accent2 4 4 2 2 3 2" xfId="27960"/>
    <cellStyle name="40% - Accent2 4 4 2 2 4" xfId="27957"/>
    <cellStyle name="40% - Accent2 4 4 2 3" xfId="10037"/>
    <cellStyle name="40% - Accent2 4 4 2 3 2" xfId="10038"/>
    <cellStyle name="40% - Accent2 4 4 2 3 2 2" xfId="27962"/>
    <cellStyle name="40% - Accent2 4 4 2 3 3" xfId="27961"/>
    <cellStyle name="40% - Accent2 4 4 2 4" xfId="10039"/>
    <cellStyle name="40% - Accent2 4 4 2 4 2" xfId="27963"/>
    <cellStyle name="40% - Accent2 4 4 2 5" xfId="27956"/>
    <cellStyle name="40% - Accent2 4 4 3" xfId="10040"/>
    <cellStyle name="40% - Accent2 4 4 3 2" xfId="10041"/>
    <cellStyle name="40% - Accent2 4 4 3 2 2" xfId="10042"/>
    <cellStyle name="40% - Accent2 4 4 3 2 2 2" xfId="10043"/>
    <cellStyle name="40% - Accent2 4 4 3 2 2 2 2" xfId="27967"/>
    <cellStyle name="40% - Accent2 4 4 3 2 2 3" xfId="27966"/>
    <cellStyle name="40% - Accent2 4 4 3 2 3" xfId="10044"/>
    <cellStyle name="40% - Accent2 4 4 3 2 3 2" xfId="27968"/>
    <cellStyle name="40% - Accent2 4 4 3 2 4" xfId="27965"/>
    <cellStyle name="40% - Accent2 4 4 3 3" xfId="10045"/>
    <cellStyle name="40% - Accent2 4 4 3 3 2" xfId="10046"/>
    <cellStyle name="40% - Accent2 4 4 3 3 2 2" xfId="27970"/>
    <cellStyle name="40% - Accent2 4 4 3 3 3" xfId="27969"/>
    <cellStyle name="40% - Accent2 4 4 3 4" xfId="10047"/>
    <cellStyle name="40% - Accent2 4 4 3 4 2" xfId="27971"/>
    <cellStyle name="40% - Accent2 4 4 3 5" xfId="27964"/>
    <cellStyle name="40% - Accent2 4 4 4" xfId="10048"/>
    <cellStyle name="40% - Accent2 4 4 4 2" xfId="10049"/>
    <cellStyle name="40% - Accent2 4 4 4 2 2" xfId="10050"/>
    <cellStyle name="40% - Accent2 4 4 4 2 2 2" xfId="27974"/>
    <cellStyle name="40% - Accent2 4 4 4 2 3" xfId="27973"/>
    <cellStyle name="40% - Accent2 4 4 4 3" xfId="10051"/>
    <cellStyle name="40% - Accent2 4 4 4 3 2" xfId="27975"/>
    <cellStyle name="40% - Accent2 4 4 4 4" xfId="27972"/>
    <cellStyle name="40% - Accent2 4 4 5" xfId="10052"/>
    <cellStyle name="40% - Accent2 4 4 5 2" xfId="10053"/>
    <cellStyle name="40% - Accent2 4 4 5 2 2" xfId="27977"/>
    <cellStyle name="40% - Accent2 4 4 5 3" xfId="27976"/>
    <cellStyle name="40% - Accent2 4 4 6" xfId="10054"/>
    <cellStyle name="40% - Accent2 4 4 6 2" xfId="27978"/>
    <cellStyle name="40% - Accent2 4 4 7" xfId="27955"/>
    <cellStyle name="40% - Accent2 4 5" xfId="10055"/>
    <cellStyle name="40% - Accent2 4 5 2" xfId="10056"/>
    <cellStyle name="40% - Accent2 4 5 2 2" xfId="10057"/>
    <cellStyle name="40% - Accent2 4 5 2 2 2" xfId="10058"/>
    <cellStyle name="40% - Accent2 4 5 2 2 2 2" xfId="27982"/>
    <cellStyle name="40% - Accent2 4 5 2 2 3" xfId="27981"/>
    <cellStyle name="40% - Accent2 4 5 2 3" xfId="10059"/>
    <cellStyle name="40% - Accent2 4 5 2 3 2" xfId="27983"/>
    <cellStyle name="40% - Accent2 4 5 2 4" xfId="27980"/>
    <cellStyle name="40% - Accent2 4 5 3" xfId="10060"/>
    <cellStyle name="40% - Accent2 4 5 3 2" xfId="10061"/>
    <cellStyle name="40% - Accent2 4 5 3 2 2" xfId="27985"/>
    <cellStyle name="40% - Accent2 4 5 3 3" xfId="27984"/>
    <cellStyle name="40% - Accent2 4 5 4" xfId="10062"/>
    <cellStyle name="40% - Accent2 4 5 4 2" xfId="27986"/>
    <cellStyle name="40% - Accent2 4 5 5" xfId="27979"/>
    <cellStyle name="40% - Accent2 4 6" xfId="10063"/>
    <cellStyle name="40% - Accent2 4 6 2" xfId="10064"/>
    <cellStyle name="40% - Accent2 4 6 2 2" xfId="10065"/>
    <cellStyle name="40% - Accent2 4 6 2 2 2" xfId="10066"/>
    <cellStyle name="40% - Accent2 4 6 2 2 2 2" xfId="27990"/>
    <cellStyle name="40% - Accent2 4 6 2 2 3" xfId="27989"/>
    <cellStyle name="40% - Accent2 4 6 2 3" xfId="10067"/>
    <cellStyle name="40% - Accent2 4 6 2 3 2" xfId="27991"/>
    <cellStyle name="40% - Accent2 4 6 2 4" xfId="27988"/>
    <cellStyle name="40% - Accent2 4 6 3" xfId="10068"/>
    <cellStyle name="40% - Accent2 4 6 3 2" xfId="10069"/>
    <cellStyle name="40% - Accent2 4 6 3 2 2" xfId="27993"/>
    <cellStyle name="40% - Accent2 4 6 3 3" xfId="27992"/>
    <cellStyle name="40% - Accent2 4 6 4" xfId="10070"/>
    <cellStyle name="40% - Accent2 4 6 4 2" xfId="27994"/>
    <cellStyle name="40% - Accent2 4 6 5" xfId="27987"/>
    <cellStyle name="40% - Accent2 4 7" xfId="10071"/>
    <cellStyle name="40% - Accent2 4 7 2" xfId="10072"/>
    <cellStyle name="40% - Accent2 4 7 2 2" xfId="10073"/>
    <cellStyle name="40% - Accent2 4 7 2 2 2" xfId="27997"/>
    <cellStyle name="40% - Accent2 4 7 2 3" xfId="27996"/>
    <cellStyle name="40% - Accent2 4 7 3" xfId="10074"/>
    <cellStyle name="40% - Accent2 4 7 3 2" xfId="27998"/>
    <cellStyle name="40% - Accent2 4 7 4" xfId="27995"/>
    <cellStyle name="40% - Accent2 4 8" xfId="10075"/>
    <cellStyle name="40% - Accent2 4 8 2" xfId="10076"/>
    <cellStyle name="40% - Accent2 4 8 2 2" xfId="28000"/>
    <cellStyle name="40% - Accent2 4 8 3" xfId="27999"/>
    <cellStyle name="40% - Accent2 4 9" xfId="10077"/>
    <cellStyle name="40% - Accent2 4 9 2" xfId="28001"/>
    <cellStyle name="40% - Accent2 5" xfId="661"/>
    <cellStyle name="40% - Accent2 5 10" xfId="28002"/>
    <cellStyle name="40% - Accent2 5 2" xfId="10078"/>
    <cellStyle name="40% - Accent2 5 2 2" xfId="10079"/>
    <cellStyle name="40% - Accent2 5 2 2 2" xfId="10080"/>
    <cellStyle name="40% - Accent2 5 2 2 2 2" xfId="10081"/>
    <cellStyle name="40% - Accent2 5 2 2 2 2 2" xfId="10082"/>
    <cellStyle name="40% - Accent2 5 2 2 2 2 2 2" xfId="10083"/>
    <cellStyle name="40% - Accent2 5 2 2 2 2 2 2 2" xfId="10084"/>
    <cellStyle name="40% - Accent2 5 2 2 2 2 2 2 2 2" xfId="28009"/>
    <cellStyle name="40% - Accent2 5 2 2 2 2 2 2 3" xfId="28008"/>
    <cellStyle name="40% - Accent2 5 2 2 2 2 2 3" xfId="10085"/>
    <cellStyle name="40% - Accent2 5 2 2 2 2 2 3 2" xfId="28010"/>
    <cellStyle name="40% - Accent2 5 2 2 2 2 2 4" xfId="28007"/>
    <cellStyle name="40% - Accent2 5 2 2 2 2 3" xfId="10086"/>
    <cellStyle name="40% - Accent2 5 2 2 2 2 3 2" xfId="10087"/>
    <cellStyle name="40% - Accent2 5 2 2 2 2 3 2 2" xfId="28012"/>
    <cellStyle name="40% - Accent2 5 2 2 2 2 3 3" xfId="28011"/>
    <cellStyle name="40% - Accent2 5 2 2 2 2 4" xfId="10088"/>
    <cellStyle name="40% - Accent2 5 2 2 2 2 4 2" xfId="28013"/>
    <cellStyle name="40% - Accent2 5 2 2 2 2 5" xfId="28006"/>
    <cellStyle name="40% - Accent2 5 2 2 2 3" xfId="10089"/>
    <cellStyle name="40% - Accent2 5 2 2 2 3 2" xfId="10090"/>
    <cellStyle name="40% - Accent2 5 2 2 2 3 2 2" xfId="10091"/>
    <cellStyle name="40% - Accent2 5 2 2 2 3 2 2 2" xfId="10092"/>
    <cellStyle name="40% - Accent2 5 2 2 2 3 2 2 2 2" xfId="28017"/>
    <cellStyle name="40% - Accent2 5 2 2 2 3 2 2 3" xfId="28016"/>
    <cellStyle name="40% - Accent2 5 2 2 2 3 2 3" xfId="10093"/>
    <cellStyle name="40% - Accent2 5 2 2 2 3 2 3 2" xfId="28018"/>
    <cellStyle name="40% - Accent2 5 2 2 2 3 2 4" xfId="28015"/>
    <cellStyle name="40% - Accent2 5 2 2 2 3 3" xfId="10094"/>
    <cellStyle name="40% - Accent2 5 2 2 2 3 3 2" xfId="10095"/>
    <cellStyle name="40% - Accent2 5 2 2 2 3 3 2 2" xfId="28020"/>
    <cellStyle name="40% - Accent2 5 2 2 2 3 3 3" xfId="28019"/>
    <cellStyle name="40% - Accent2 5 2 2 2 3 4" xfId="10096"/>
    <cellStyle name="40% - Accent2 5 2 2 2 3 4 2" xfId="28021"/>
    <cellStyle name="40% - Accent2 5 2 2 2 3 5" xfId="28014"/>
    <cellStyle name="40% - Accent2 5 2 2 2 4" xfId="10097"/>
    <cellStyle name="40% - Accent2 5 2 2 2 4 2" xfId="10098"/>
    <cellStyle name="40% - Accent2 5 2 2 2 4 2 2" xfId="10099"/>
    <cellStyle name="40% - Accent2 5 2 2 2 4 2 2 2" xfId="28024"/>
    <cellStyle name="40% - Accent2 5 2 2 2 4 2 3" xfId="28023"/>
    <cellStyle name="40% - Accent2 5 2 2 2 4 3" xfId="10100"/>
    <cellStyle name="40% - Accent2 5 2 2 2 4 3 2" xfId="28025"/>
    <cellStyle name="40% - Accent2 5 2 2 2 4 4" xfId="28022"/>
    <cellStyle name="40% - Accent2 5 2 2 2 5" xfId="10101"/>
    <cellStyle name="40% - Accent2 5 2 2 2 5 2" xfId="10102"/>
    <cellStyle name="40% - Accent2 5 2 2 2 5 2 2" xfId="28027"/>
    <cellStyle name="40% - Accent2 5 2 2 2 5 3" xfId="28026"/>
    <cellStyle name="40% - Accent2 5 2 2 2 6" xfId="10103"/>
    <cellStyle name="40% - Accent2 5 2 2 2 6 2" xfId="28028"/>
    <cellStyle name="40% - Accent2 5 2 2 2 7" xfId="28005"/>
    <cellStyle name="40% - Accent2 5 2 2 3" xfId="10104"/>
    <cellStyle name="40% - Accent2 5 2 2 3 2" xfId="10105"/>
    <cellStyle name="40% - Accent2 5 2 2 3 2 2" xfId="10106"/>
    <cellStyle name="40% - Accent2 5 2 2 3 2 2 2" xfId="10107"/>
    <cellStyle name="40% - Accent2 5 2 2 3 2 2 2 2" xfId="28032"/>
    <cellStyle name="40% - Accent2 5 2 2 3 2 2 3" xfId="28031"/>
    <cellStyle name="40% - Accent2 5 2 2 3 2 3" xfId="10108"/>
    <cellStyle name="40% - Accent2 5 2 2 3 2 3 2" xfId="28033"/>
    <cellStyle name="40% - Accent2 5 2 2 3 2 4" xfId="28030"/>
    <cellStyle name="40% - Accent2 5 2 2 3 3" xfId="10109"/>
    <cellStyle name="40% - Accent2 5 2 2 3 3 2" xfId="10110"/>
    <cellStyle name="40% - Accent2 5 2 2 3 3 2 2" xfId="28035"/>
    <cellStyle name="40% - Accent2 5 2 2 3 3 3" xfId="28034"/>
    <cellStyle name="40% - Accent2 5 2 2 3 4" xfId="10111"/>
    <cellStyle name="40% - Accent2 5 2 2 3 4 2" xfId="28036"/>
    <cellStyle name="40% - Accent2 5 2 2 3 5" xfId="28029"/>
    <cellStyle name="40% - Accent2 5 2 2 4" xfId="10112"/>
    <cellStyle name="40% - Accent2 5 2 2 4 2" xfId="10113"/>
    <cellStyle name="40% - Accent2 5 2 2 4 2 2" xfId="10114"/>
    <cellStyle name="40% - Accent2 5 2 2 4 2 2 2" xfId="10115"/>
    <cellStyle name="40% - Accent2 5 2 2 4 2 2 2 2" xfId="28040"/>
    <cellStyle name="40% - Accent2 5 2 2 4 2 2 3" xfId="28039"/>
    <cellStyle name="40% - Accent2 5 2 2 4 2 3" xfId="10116"/>
    <cellStyle name="40% - Accent2 5 2 2 4 2 3 2" xfId="28041"/>
    <cellStyle name="40% - Accent2 5 2 2 4 2 4" xfId="28038"/>
    <cellStyle name="40% - Accent2 5 2 2 4 3" xfId="10117"/>
    <cellStyle name="40% - Accent2 5 2 2 4 3 2" xfId="10118"/>
    <cellStyle name="40% - Accent2 5 2 2 4 3 2 2" xfId="28043"/>
    <cellStyle name="40% - Accent2 5 2 2 4 3 3" xfId="28042"/>
    <cellStyle name="40% - Accent2 5 2 2 4 4" xfId="10119"/>
    <cellStyle name="40% - Accent2 5 2 2 4 4 2" xfId="28044"/>
    <cellStyle name="40% - Accent2 5 2 2 4 5" xfId="28037"/>
    <cellStyle name="40% - Accent2 5 2 2 5" xfId="10120"/>
    <cellStyle name="40% - Accent2 5 2 2 5 2" xfId="10121"/>
    <cellStyle name="40% - Accent2 5 2 2 5 2 2" xfId="10122"/>
    <cellStyle name="40% - Accent2 5 2 2 5 2 2 2" xfId="28047"/>
    <cellStyle name="40% - Accent2 5 2 2 5 2 3" xfId="28046"/>
    <cellStyle name="40% - Accent2 5 2 2 5 3" xfId="10123"/>
    <cellStyle name="40% - Accent2 5 2 2 5 3 2" xfId="28048"/>
    <cellStyle name="40% - Accent2 5 2 2 5 4" xfId="28045"/>
    <cellStyle name="40% - Accent2 5 2 2 6" xfId="10124"/>
    <cellStyle name="40% - Accent2 5 2 2 6 2" xfId="10125"/>
    <cellStyle name="40% - Accent2 5 2 2 6 2 2" xfId="28050"/>
    <cellStyle name="40% - Accent2 5 2 2 6 3" xfId="28049"/>
    <cellStyle name="40% - Accent2 5 2 2 7" xfId="10126"/>
    <cellStyle name="40% - Accent2 5 2 2 7 2" xfId="28051"/>
    <cellStyle name="40% - Accent2 5 2 2 8" xfId="28004"/>
    <cellStyle name="40% - Accent2 5 2 3" xfId="10127"/>
    <cellStyle name="40% - Accent2 5 2 3 2" xfId="10128"/>
    <cellStyle name="40% - Accent2 5 2 3 2 2" xfId="10129"/>
    <cellStyle name="40% - Accent2 5 2 3 2 2 2" xfId="10130"/>
    <cellStyle name="40% - Accent2 5 2 3 2 2 2 2" xfId="10131"/>
    <cellStyle name="40% - Accent2 5 2 3 2 2 2 2 2" xfId="28056"/>
    <cellStyle name="40% - Accent2 5 2 3 2 2 2 3" xfId="28055"/>
    <cellStyle name="40% - Accent2 5 2 3 2 2 3" xfId="10132"/>
    <cellStyle name="40% - Accent2 5 2 3 2 2 3 2" xfId="28057"/>
    <cellStyle name="40% - Accent2 5 2 3 2 2 4" xfId="28054"/>
    <cellStyle name="40% - Accent2 5 2 3 2 3" xfId="10133"/>
    <cellStyle name="40% - Accent2 5 2 3 2 3 2" xfId="10134"/>
    <cellStyle name="40% - Accent2 5 2 3 2 3 2 2" xfId="28059"/>
    <cellStyle name="40% - Accent2 5 2 3 2 3 3" xfId="28058"/>
    <cellStyle name="40% - Accent2 5 2 3 2 4" xfId="10135"/>
    <cellStyle name="40% - Accent2 5 2 3 2 4 2" xfId="28060"/>
    <cellStyle name="40% - Accent2 5 2 3 2 5" xfId="28053"/>
    <cellStyle name="40% - Accent2 5 2 3 3" xfId="10136"/>
    <cellStyle name="40% - Accent2 5 2 3 3 2" xfId="10137"/>
    <cellStyle name="40% - Accent2 5 2 3 3 2 2" xfId="10138"/>
    <cellStyle name="40% - Accent2 5 2 3 3 2 2 2" xfId="10139"/>
    <cellStyle name="40% - Accent2 5 2 3 3 2 2 2 2" xfId="28064"/>
    <cellStyle name="40% - Accent2 5 2 3 3 2 2 3" xfId="28063"/>
    <cellStyle name="40% - Accent2 5 2 3 3 2 3" xfId="10140"/>
    <cellStyle name="40% - Accent2 5 2 3 3 2 3 2" xfId="28065"/>
    <cellStyle name="40% - Accent2 5 2 3 3 2 4" xfId="28062"/>
    <cellStyle name="40% - Accent2 5 2 3 3 3" xfId="10141"/>
    <cellStyle name="40% - Accent2 5 2 3 3 3 2" xfId="10142"/>
    <cellStyle name="40% - Accent2 5 2 3 3 3 2 2" xfId="28067"/>
    <cellStyle name="40% - Accent2 5 2 3 3 3 3" xfId="28066"/>
    <cellStyle name="40% - Accent2 5 2 3 3 4" xfId="10143"/>
    <cellStyle name="40% - Accent2 5 2 3 3 4 2" xfId="28068"/>
    <cellStyle name="40% - Accent2 5 2 3 3 5" xfId="28061"/>
    <cellStyle name="40% - Accent2 5 2 3 4" xfId="10144"/>
    <cellStyle name="40% - Accent2 5 2 3 4 2" xfId="10145"/>
    <cellStyle name="40% - Accent2 5 2 3 4 2 2" xfId="10146"/>
    <cellStyle name="40% - Accent2 5 2 3 4 2 2 2" xfId="28071"/>
    <cellStyle name="40% - Accent2 5 2 3 4 2 3" xfId="28070"/>
    <cellStyle name="40% - Accent2 5 2 3 4 3" xfId="10147"/>
    <cellStyle name="40% - Accent2 5 2 3 4 3 2" xfId="28072"/>
    <cellStyle name="40% - Accent2 5 2 3 4 4" xfId="28069"/>
    <cellStyle name="40% - Accent2 5 2 3 5" xfId="10148"/>
    <cellStyle name="40% - Accent2 5 2 3 5 2" xfId="10149"/>
    <cellStyle name="40% - Accent2 5 2 3 5 2 2" xfId="28074"/>
    <cellStyle name="40% - Accent2 5 2 3 5 3" xfId="28073"/>
    <cellStyle name="40% - Accent2 5 2 3 6" xfId="10150"/>
    <cellStyle name="40% - Accent2 5 2 3 6 2" xfId="28075"/>
    <cellStyle name="40% - Accent2 5 2 3 7" xfId="28052"/>
    <cellStyle name="40% - Accent2 5 2 4" xfId="10151"/>
    <cellStyle name="40% - Accent2 5 2 4 2" xfId="10152"/>
    <cellStyle name="40% - Accent2 5 2 4 2 2" xfId="10153"/>
    <cellStyle name="40% - Accent2 5 2 4 2 2 2" xfId="10154"/>
    <cellStyle name="40% - Accent2 5 2 4 2 2 2 2" xfId="28079"/>
    <cellStyle name="40% - Accent2 5 2 4 2 2 3" xfId="28078"/>
    <cellStyle name="40% - Accent2 5 2 4 2 3" xfId="10155"/>
    <cellStyle name="40% - Accent2 5 2 4 2 3 2" xfId="28080"/>
    <cellStyle name="40% - Accent2 5 2 4 2 4" xfId="28077"/>
    <cellStyle name="40% - Accent2 5 2 4 3" xfId="10156"/>
    <cellStyle name="40% - Accent2 5 2 4 3 2" xfId="10157"/>
    <cellStyle name="40% - Accent2 5 2 4 3 2 2" xfId="28082"/>
    <cellStyle name="40% - Accent2 5 2 4 3 3" xfId="28081"/>
    <cellStyle name="40% - Accent2 5 2 4 4" xfId="10158"/>
    <cellStyle name="40% - Accent2 5 2 4 4 2" xfId="28083"/>
    <cellStyle name="40% - Accent2 5 2 4 5" xfId="28076"/>
    <cellStyle name="40% - Accent2 5 2 5" xfId="10159"/>
    <cellStyle name="40% - Accent2 5 2 5 2" xfId="10160"/>
    <cellStyle name="40% - Accent2 5 2 5 2 2" xfId="10161"/>
    <cellStyle name="40% - Accent2 5 2 5 2 2 2" xfId="10162"/>
    <cellStyle name="40% - Accent2 5 2 5 2 2 2 2" xfId="28087"/>
    <cellStyle name="40% - Accent2 5 2 5 2 2 3" xfId="28086"/>
    <cellStyle name="40% - Accent2 5 2 5 2 3" xfId="10163"/>
    <cellStyle name="40% - Accent2 5 2 5 2 3 2" xfId="28088"/>
    <cellStyle name="40% - Accent2 5 2 5 2 4" xfId="28085"/>
    <cellStyle name="40% - Accent2 5 2 5 3" xfId="10164"/>
    <cellStyle name="40% - Accent2 5 2 5 3 2" xfId="10165"/>
    <cellStyle name="40% - Accent2 5 2 5 3 2 2" xfId="28090"/>
    <cellStyle name="40% - Accent2 5 2 5 3 3" xfId="28089"/>
    <cellStyle name="40% - Accent2 5 2 5 4" xfId="10166"/>
    <cellStyle name="40% - Accent2 5 2 5 4 2" xfId="28091"/>
    <cellStyle name="40% - Accent2 5 2 5 5" xfId="28084"/>
    <cellStyle name="40% - Accent2 5 2 6" xfId="10167"/>
    <cellStyle name="40% - Accent2 5 2 6 2" xfId="10168"/>
    <cellStyle name="40% - Accent2 5 2 6 2 2" xfId="10169"/>
    <cellStyle name="40% - Accent2 5 2 6 2 2 2" xfId="28094"/>
    <cellStyle name="40% - Accent2 5 2 6 2 3" xfId="28093"/>
    <cellStyle name="40% - Accent2 5 2 6 3" xfId="10170"/>
    <cellStyle name="40% - Accent2 5 2 6 3 2" xfId="28095"/>
    <cellStyle name="40% - Accent2 5 2 6 4" xfId="28092"/>
    <cellStyle name="40% - Accent2 5 2 7" xfId="10171"/>
    <cellStyle name="40% - Accent2 5 2 7 2" xfId="10172"/>
    <cellStyle name="40% - Accent2 5 2 7 2 2" xfId="28097"/>
    <cellStyle name="40% - Accent2 5 2 7 3" xfId="28096"/>
    <cellStyle name="40% - Accent2 5 2 8" xfId="10173"/>
    <cellStyle name="40% - Accent2 5 2 8 2" xfId="28098"/>
    <cellStyle name="40% - Accent2 5 2 9" xfId="28003"/>
    <cellStyle name="40% - Accent2 5 3" xfId="10174"/>
    <cellStyle name="40% - Accent2 5 3 2" xfId="10175"/>
    <cellStyle name="40% - Accent2 5 3 2 2" xfId="10176"/>
    <cellStyle name="40% - Accent2 5 3 2 2 2" xfId="10177"/>
    <cellStyle name="40% - Accent2 5 3 2 2 2 2" xfId="10178"/>
    <cellStyle name="40% - Accent2 5 3 2 2 2 2 2" xfId="10179"/>
    <cellStyle name="40% - Accent2 5 3 2 2 2 2 2 2" xfId="28104"/>
    <cellStyle name="40% - Accent2 5 3 2 2 2 2 3" xfId="28103"/>
    <cellStyle name="40% - Accent2 5 3 2 2 2 3" xfId="10180"/>
    <cellStyle name="40% - Accent2 5 3 2 2 2 3 2" xfId="28105"/>
    <cellStyle name="40% - Accent2 5 3 2 2 2 4" xfId="28102"/>
    <cellStyle name="40% - Accent2 5 3 2 2 3" xfId="10181"/>
    <cellStyle name="40% - Accent2 5 3 2 2 3 2" xfId="10182"/>
    <cellStyle name="40% - Accent2 5 3 2 2 3 2 2" xfId="28107"/>
    <cellStyle name="40% - Accent2 5 3 2 2 3 3" xfId="28106"/>
    <cellStyle name="40% - Accent2 5 3 2 2 4" xfId="10183"/>
    <cellStyle name="40% - Accent2 5 3 2 2 4 2" xfId="28108"/>
    <cellStyle name="40% - Accent2 5 3 2 2 5" xfId="28101"/>
    <cellStyle name="40% - Accent2 5 3 2 3" xfId="10184"/>
    <cellStyle name="40% - Accent2 5 3 2 3 2" xfId="10185"/>
    <cellStyle name="40% - Accent2 5 3 2 3 2 2" xfId="10186"/>
    <cellStyle name="40% - Accent2 5 3 2 3 2 2 2" xfId="10187"/>
    <cellStyle name="40% - Accent2 5 3 2 3 2 2 2 2" xfId="28112"/>
    <cellStyle name="40% - Accent2 5 3 2 3 2 2 3" xfId="28111"/>
    <cellStyle name="40% - Accent2 5 3 2 3 2 3" xfId="10188"/>
    <cellStyle name="40% - Accent2 5 3 2 3 2 3 2" xfId="28113"/>
    <cellStyle name="40% - Accent2 5 3 2 3 2 4" xfId="28110"/>
    <cellStyle name="40% - Accent2 5 3 2 3 3" xfId="10189"/>
    <cellStyle name="40% - Accent2 5 3 2 3 3 2" xfId="10190"/>
    <cellStyle name="40% - Accent2 5 3 2 3 3 2 2" xfId="28115"/>
    <cellStyle name="40% - Accent2 5 3 2 3 3 3" xfId="28114"/>
    <cellStyle name="40% - Accent2 5 3 2 3 4" xfId="10191"/>
    <cellStyle name="40% - Accent2 5 3 2 3 4 2" xfId="28116"/>
    <cellStyle name="40% - Accent2 5 3 2 3 5" xfId="28109"/>
    <cellStyle name="40% - Accent2 5 3 2 4" xfId="10192"/>
    <cellStyle name="40% - Accent2 5 3 2 4 2" xfId="10193"/>
    <cellStyle name="40% - Accent2 5 3 2 4 2 2" xfId="10194"/>
    <cellStyle name="40% - Accent2 5 3 2 4 2 2 2" xfId="28119"/>
    <cellStyle name="40% - Accent2 5 3 2 4 2 3" xfId="28118"/>
    <cellStyle name="40% - Accent2 5 3 2 4 3" xfId="10195"/>
    <cellStyle name="40% - Accent2 5 3 2 4 3 2" xfId="28120"/>
    <cellStyle name="40% - Accent2 5 3 2 4 4" xfId="28117"/>
    <cellStyle name="40% - Accent2 5 3 2 5" xfId="10196"/>
    <cellStyle name="40% - Accent2 5 3 2 5 2" xfId="10197"/>
    <cellStyle name="40% - Accent2 5 3 2 5 2 2" xfId="28122"/>
    <cellStyle name="40% - Accent2 5 3 2 5 3" xfId="28121"/>
    <cellStyle name="40% - Accent2 5 3 2 6" xfId="10198"/>
    <cellStyle name="40% - Accent2 5 3 2 6 2" xfId="28123"/>
    <cellStyle name="40% - Accent2 5 3 2 7" xfId="28100"/>
    <cellStyle name="40% - Accent2 5 3 3" xfId="10199"/>
    <cellStyle name="40% - Accent2 5 3 3 2" xfId="10200"/>
    <cellStyle name="40% - Accent2 5 3 3 2 2" xfId="10201"/>
    <cellStyle name="40% - Accent2 5 3 3 2 2 2" xfId="10202"/>
    <cellStyle name="40% - Accent2 5 3 3 2 2 2 2" xfId="28127"/>
    <cellStyle name="40% - Accent2 5 3 3 2 2 3" xfId="28126"/>
    <cellStyle name="40% - Accent2 5 3 3 2 3" xfId="10203"/>
    <cellStyle name="40% - Accent2 5 3 3 2 3 2" xfId="28128"/>
    <cellStyle name="40% - Accent2 5 3 3 2 4" xfId="28125"/>
    <cellStyle name="40% - Accent2 5 3 3 3" xfId="10204"/>
    <cellStyle name="40% - Accent2 5 3 3 3 2" xfId="10205"/>
    <cellStyle name="40% - Accent2 5 3 3 3 2 2" xfId="28130"/>
    <cellStyle name="40% - Accent2 5 3 3 3 3" xfId="28129"/>
    <cellStyle name="40% - Accent2 5 3 3 4" xfId="10206"/>
    <cellStyle name="40% - Accent2 5 3 3 4 2" xfId="28131"/>
    <cellStyle name="40% - Accent2 5 3 3 5" xfId="28124"/>
    <cellStyle name="40% - Accent2 5 3 4" xfId="10207"/>
    <cellStyle name="40% - Accent2 5 3 4 2" xfId="10208"/>
    <cellStyle name="40% - Accent2 5 3 4 2 2" xfId="10209"/>
    <cellStyle name="40% - Accent2 5 3 4 2 2 2" xfId="10210"/>
    <cellStyle name="40% - Accent2 5 3 4 2 2 2 2" xfId="28135"/>
    <cellStyle name="40% - Accent2 5 3 4 2 2 3" xfId="28134"/>
    <cellStyle name="40% - Accent2 5 3 4 2 3" xfId="10211"/>
    <cellStyle name="40% - Accent2 5 3 4 2 3 2" xfId="28136"/>
    <cellStyle name="40% - Accent2 5 3 4 2 4" xfId="28133"/>
    <cellStyle name="40% - Accent2 5 3 4 3" xfId="10212"/>
    <cellStyle name="40% - Accent2 5 3 4 3 2" xfId="10213"/>
    <cellStyle name="40% - Accent2 5 3 4 3 2 2" xfId="28138"/>
    <cellStyle name="40% - Accent2 5 3 4 3 3" xfId="28137"/>
    <cellStyle name="40% - Accent2 5 3 4 4" xfId="10214"/>
    <cellStyle name="40% - Accent2 5 3 4 4 2" xfId="28139"/>
    <cellStyle name="40% - Accent2 5 3 4 5" xfId="28132"/>
    <cellStyle name="40% - Accent2 5 3 5" xfId="10215"/>
    <cellStyle name="40% - Accent2 5 3 5 2" xfId="10216"/>
    <cellStyle name="40% - Accent2 5 3 5 2 2" xfId="10217"/>
    <cellStyle name="40% - Accent2 5 3 5 2 2 2" xfId="28142"/>
    <cellStyle name="40% - Accent2 5 3 5 2 3" xfId="28141"/>
    <cellStyle name="40% - Accent2 5 3 5 3" xfId="10218"/>
    <cellStyle name="40% - Accent2 5 3 5 3 2" xfId="28143"/>
    <cellStyle name="40% - Accent2 5 3 5 4" xfId="28140"/>
    <cellStyle name="40% - Accent2 5 3 6" xfId="10219"/>
    <cellStyle name="40% - Accent2 5 3 6 2" xfId="10220"/>
    <cellStyle name="40% - Accent2 5 3 6 2 2" xfId="28145"/>
    <cellStyle name="40% - Accent2 5 3 6 3" xfId="28144"/>
    <cellStyle name="40% - Accent2 5 3 7" xfId="10221"/>
    <cellStyle name="40% - Accent2 5 3 7 2" xfId="28146"/>
    <cellStyle name="40% - Accent2 5 3 8" xfId="28099"/>
    <cellStyle name="40% - Accent2 5 4" xfId="10222"/>
    <cellStyle name="40% - Accent2 5 4 2" xfId="10223"/>
    <cellStyle name="40% - Accent2 5 4 2 2" xfId="10224"/>
    <cellStyle name="40% - Accent2 5 4 2 2 2" xfId="10225"/>
    <cellStyle name="40% - Accent2 5 4 2 2 2 2" xfId="10226"/>
    <cellStyle name="40% - Accent2 5 4 2 2 2 2 2" xfId="28151"/>
    <cellStyle name="40% - Accent2 5 4 2 2 2 3" xfId="28150"/>
    <cellStyle name="40% - Accent2 5 4 2 2 3" xfId="10227"/>
    <cellStyle name="40% - Accent2 5 4 2 2 3 2" xfId="28152"/>
    <cellStyle name="40% - Accent2 5 4 2 2 4" xfId="28149"/>
    <cellStyle name="40% - Accent2 5 4 2 3" xfId="10228"/>
    <cellStyle name="40% - Accent2 5 4 2 3 2" xfId="10229"/>
    <cellStyle name="40% - Accent2 5 4 2 3 2 2" xfId="28154"/>
    <cellStyle name="40% - Accent2 5 4 2 3 3" xfId="28153"/>
    <cellStyle name="40% - Accent2 5 4 2 4" xfId="10230"/>
    <cellStyle name="40% - Accent2 5 4 2 4 2" xfId="28155"/>
    <cellStyle name="40% - Accent2 5 4 2 5" xfId="28148"/>
    <cellStyle name="40% - Accent2 5 4 3" xfId="10231"/>
    <cellStyle name="40% - Accent2 5 4 3 2" xfId="10232"/>
    <cellStyle name="40% - Accent2 5 4 3 2 2" xfId="10233"/>
    <cellStyle name="40% - Accent2 5 4 3 2 2 2" xfId="10234"/>
    <cellStyle name="40% - Accent2 5 4 3 2 2 2 2" xfId="28159"/>
    <cellStyle name="40% - Accent2 5 4 3 2 2 3" xfId="28158"/>
    <cellStyle name="40% - Accent2 5 4 3 2 3" xfId="10235"/>
    <cellStyle name="40% - Accent2 5 4 3 2 3 2" xfId="28160"/>
    <cellStyle name="40% - Accent2 5 4 3 2 4" xfId="28157"/>
    <cellStyle name="40% - Accent2 5 4 3 3" xfId="10236"/>
    <cellStyle name="40% - Accent2 5 4 3 3 2" xfId="10237"/>
    <cellStyle name="40% - Accent2 5 4 3 3 2 2" xfId="28162"/>
    <cellStyle name="40% - Accent2 5 4 3 3 3" xfId="28161"/>
    <cellStyle name="40% - Accent2 5 4 3 4" xfId="10238"/>
    <cellStyle name="40% - Accent2 5 4 3 4 2" xfId="28163"/>
    <cellStyle name="40% - Accent2 5 4 3 5" xfId="28156"/>
    <cellStyle name="40% - Accent2 5 4 4" xfId="10239"/>
    <cellStyle name="40% - Accent2 5 4 4 2" xfId="10240"/>
    <cellStyle name="40% - Accent2 5 4 4 2 2" xfId="10241"/>
    <cellStyle name="40% - Accent2 5 4 4 2 2 2" xfId="28166"/>
    <cellStyle name="40% - Accent2 5 4 4 2 3" xfId="28165"/>
    <cellStyle name="40% - Accent2 5 4 4 3" xfId="10242"/>
    <cellStyle name="40% - Accent2 5 4 4 3 2" xfId="28167"/>
    <cellStyle name="40% - Accent2 5 4 4 4" xfId="28164"/>
    <cellStyle name="40% - Accent2 5 4 5" xfId="10243"/>
    <cellStyle name="40% - Accent2 5 4 5 2" xfId="10244"/>
    <cellStyle name="40% - Accent2 5 4 5 2 2" xfId="28169"/>
    <cellStyle name="40% - Accent2 5 4 5 3" xfId="28168"/>
    <cellStyle name="40% - Accent2 5 4 6" xfId="10245"/>
    <cellStyle name="40% - Accent2 5 4 6 2" xfId="28170"/>
    <cellStyle name="40% - Accent2 5 4 7" xfId="28147"/>
    <cellStyle name="40% - Accent2 5 5" xfId="10246"/>
    <cellStyle name="40% - Accent2 5 5 2" xfId="10247"/>
    <cellStyle name="40% - Accent2 5 5 2 2" xfId="10248"/>
    <cellStyle name="40% - Accent2 5 5 2 2 2" xfId="10249"/>
    <cellStyle name="40% - Accent2 5 5 2 2 2 2" xfId="28174"/>
    <cellStyle name="40% - Accent2 5 5 2 2 3" xfId="28173"/>
    <cellStyle name="40% - Accent2 5 5 2 3" xfId="10250"/>
    <cellStyle name="40% - Accent2 5 5 2 3 2" xfId="28175"/>
    <cellStyle name="40% - Accent2 5 5 2 4" xfId="28172"/>
    <cellStyle name="40% - Accent2 5 5 3" xfId="10251"/>
    <cellStyle name="40% - Accent2 5 5 3 2" xfId="10252"/>
    <cellStyle name="40% - Accent2 5 5 3 2 2" xfId="28177"/>
    <cellStyle name="40% - Accent2 5 5 3 3" xfId="28176"/>
    <cellStyle name="40% - Accent2 5 5 4" xfId="10253"/>
    <cellStyle name="40% - Accent2 5 5 4 2" xfId="28178"/>
    <cellStyle name="40% - Accent2 5 5 5" xfId="28171"/>
    <cellStyle name="40% - Accent2 5 6" xfId="10254"/>
    <cellStyle name="40% - Accent2 5 6 2" xfId="10255"/>
    <cellStyle name="40% - Accent2 5 6 2 2" xfId="10256"/>
    <cellStyle name="40% - Accent2 5 6 2 2 2" xfId="10257"/>
    <cellStyle name="40% - Accent2 5 6 2 2 2 2" xfId="28182"/>
    <cellStyle name="40% - Accent2 5 6 2 2 3" xfId="28181"/>
    <cellStyle name="40% - Accent2 5 6 2 3" xfId="10258"/>
    <cellStyle name="40% - Accent2 5 6 2 3 2" xfId="28183"/>
    <cellStyle name="40% - Accent2 5 6 2 4" xfId="28180"/>
    <cellStyle name="40% - Accent2 5 6 3" xfId="10259"/>
    <cellStyle name="40% - Accent2 5 6 3 2" xfId="10260"/>
    <cellStyle name="40% - Accent2 5 6 3 2 2" xfId="28185"/>
    <cellStyle name="40% - Accent2 5 6 3 3" xfId="28184"/>
    <cellStyle name="40% - Accent2 5 6 4" xfId="10261"/>
    <cellStyle name="40% - Accent2 5 6 4 2" xfId="28186"/>
    <cellStyle name="40% - Accent2 5 6 5" xfId="28179"/>
    <cellStyle name="40% - Accent2 5 7" xfId="10262"/>
    <cellStyle name="40% - Accent2 5 7 2" xfId="10263"/>
    <cellStyle name="40% - Accent2 5 7 2 2" xfId="10264"/>
    <cellStyle name="40% - Accent2 5 7 2 2 2" xfId="28189"/>
    <cellStyle name="40% - Accent2 5 7 2 3" xfId="28188"/>
    <cellStyle name="40% - Accent2 5 7 3" xfId="10265"/>
    <cellStyle name="40% - Accent2 5 7 3 2" xfId="28190"/>
    <cellStyle name="40% - Accent2 5 7 4" xfId="28187"/>
    <cellStyle name="40% - Accent2 5 8" xfId="10266"/>
    <cellStyle name="40% - Accent2 5 8 2" xfId="10267"/>
    <cellStyle name="40% - Accent2 5 8 2 2" xfId="28192"/>
    <cellStyle name="40% - Accent2 5 8 3" xfId="28191"/>
    <cellStyle name="40% - Accent2 5 9" xfId="10268"/>
    <cellStyle name="40% - Accent2 5 9 2" xfId="28193"/>
    <cellStyle name="40% - Accent2 6" xfId="10269"/>
    <cellStyle name="40% - Accent2 6 10" xfId="28194"/>
    <cellStyle name="40% - Accent2 6 2" xfId="10270"/>
    <cellStyle name="40% - Accent2 6 2 2" xfId="10271"/>
    <cellStyle name="40% - Accent2 6 2 2 2" xfId="10272"/>
    <cellStyle name="40% - Accent2 6 2 2 2 2" xfId="10273"/>
    <cellStyle name="40% - Accent2 6 2 2 2 2 2" xfId="10274"/>
    <cellStyle name="40% - Accent2 6 2 2 2 2 2 2" xfId="10275"/>
    <cellStyle name="40% - Accent2 6 2 2 2 2 2 2 2" xfId="10276"/>
    <cellStyle name="40% - Accent2 6 2 2 2 2 2 2 2 2" xfId="28201"/>
    <cellStyle name="40% - Accent2 6 2 2 2 2 2 2 3" xfId="28200"/>
    <cellStyle name="40% - Accent2 6 2 2 2 2 2 3" xfId="10277"/>
    <cellStyle name="40% - Accent2 6 2 2 2 2 2 3 2" xfId="28202"/>
    <cellStyle name="40% - Accent2 6 2 2 2 2 2 4" xfId="28199"/>
    <cellStyle name="40% - Accent2 6 2 2 2 2 3" xfId="10278"/>
    <cellStyle name="40% - Accent2 6 2 2 2 2 3 2" xfId="10279"/>
    <cellStyle name="40% - Accent2 6 2 2 2 2 3 2 2" xfId="28204"/>
    <cellStyle name="40% - Accent2 6 2 2 2 2 3 3" xfId="28203"/>
    <cellStyle name="40% - Accent2 6 2 2 2 2 4" xfId="10280"/>
    <cellStyle name="40% - Accent2 6 2 2 2 2 4 2" xfId="28205"/>
    <cellStyle name="40% - Accent2 6 2 2 2 2 5" xfId="28198"/>
    <cellStyle name="40% - Accent2 6 2 2 2 3" xfId="10281"/>
    <cellStyle name="40% - Accent2 6 2 2 2 3 2" xfId="10282"/>
    <cellStyle name="40% - Accent2 6 2 2 2 3 2 2" xfId="10283"/>
    <cellStyle name="40% - Accent2 6 2 2 2 3 2 2 2" xfId="10284"/>
    <cellStyle name="40% - Accent2 6 2 2 2 3 2 2 2 2" xfId="28209"/>
    <cellStyle name="40% - Accent2 6 2 2 2 3 2 2 3" xfId="28208"/>
    <cellStyle name="40% - Accent2 6 2 2 2 3 2 3" xfId="10285"/>
    <cellStyle name="40% - Accent2 6 2 2 2 3 2 3 2" xfId="28210"/>
    <cellStyle name="40% - Accent2 6 2 2 2 3 2 4" xfId="28207"/>
    <cellStyle name="40% - Accent2 6 2 2 2 3 3" xfId="10286"/>
    <cellStyle name="40% - Accent2 6 2 2 2 3 3 2" xfId="10287"/>
    <cellStyle name="40% - Accent2 6 2 2 2 3 3 2 2" xfId="28212"/>
    <cellStyle name="40% - Accent2 6 2 2 2 3 3 3" xfId="28211"/>
    <cellStyle name="40% - Accent2 6 2 2 2 3 4" xfId="10288"/>
    <cellStyle name="40% - Accent2 6 2 2 2 3 4 2" xfId="28213"/>
    <cellStyle name="40% - Accent2 6 2 2 2 3 5" xfId="28206"/>
    <cellStyle name="40% - Accent2 6 2 2 2 4" xfId="10289"/>
    <cellStyle name="40% - Accent2 6 2 2 2 4 2" xfId="10290"/>
    <cellStyle name="40% - Accent2 6 2 2 2 4 2 2" xfId="10291"/>
    <cellStyle name="40% - Accent2 6 2 2 2 4 2 2 2" xfId="28216"/>
    <cellStyle name="40% - Accent2 6 2 2 2 4 2 3" xfId="28215"/>
    <cellStyle name="40% - Accent2 6 2 2 2 4 3" xfId="10292"/>
    <cellStyle name="40% - Accent2 6 2 2 2 4 3 2" xfId="28217"/>
    <cellStyle name="40% - Accent2 6 2 2 2 4 4" xfId="28214"/>
    <cellStyle name="40% - Accent2 6 2 2 2 5" xfId="10293"/>
    <cellStyle name="40% - Accent2 6 2 2 2 5 2" xfId="10294"/>
    <cellStyle name="40% - Accent2 6 2 2 2 5 2 2" xfId="28219"/>
    <cellStyle name="40% - Accent2 6 2 2 2 5 3" xfId="28218"/>
    <cellStyle name="40% - Accent2 6 2 2 2 6" xfId="10295"/>
    <cellStyle name="40% - Accent2 6 2 2 2 6 2" xfId="28220"/>
    <cellStyle name="40% - Accent2 6 2 2 2 7" xfId="28197"/>
    <cellStyle name="40% - Accent2 6 2 2 3" xfId="10296"/>
    <cellStyle name="40% - Accent2 6 2 2 3 2" xfId="10297"/>
    <cellStyle name="40% - Accent2 6 2 2 3 2 2" xfId="10298"/>
    <cellStyle name="40% - Accent2 6 2 2 3 2 2 2" xfId="10299"/>
    <cellStyle name="40% - Accent2 6 2 2 3 2 2 2 2" xfId="28224"/>
    <cellStyle name="40% - Accent2 6 2 2 3 2 2 3" xfId="28223"/>
    <cellStyle name="40% - Accent2 6 2 2 3 2 3" xfId="10300"/>
    <cellStyle name="40% - Accent2 6 2 2 3 2 3 2" xfId="28225"/>
    <cellStyle name="40% - Accent2 6 2 2 3 2 4" xfId="28222"/>
    <cellStyle name="40% - Accent2 6 2 2 3 3" xfId="10301"/>
    <cellStyle name="40% - Accent2 6 2 2 3 3 2" xfId="10302"/>
    <cellStyle name="40% - Accent2 6 2 2 3 3 2 2" xfId="28227"/>
    <cellStyle name="40% - Accent2 6 2 2 3 3 3" xfId="28226"/>
    <cellStyle name="40% - Accent2 6 2 2 3 4" xfId="10303"/>
    <cellStyle name="40% - Accent2 6 2 2 3 4 2" xfId="28228"/>
    <cellStyle name="40% - Accent2 6 2 2 3 5" xfId="28221"/>
    <cellStyle name="40% - Accent2 6 2 2 4" xfId="10304"/>
    <cellStyle name="40% - Accent2 6 2 2 4 2" xfId="10305"/>
    <cellStyle name="40% - Accent2 6 2 2 4 2 2" xfId="10306"/>
    <cellStyle name="40% - Accent2 6 2 2 4 2 2 2" xfId="10307"/>
    <cellStyle name="40% - Accent2 6 2 2 4 2 2 2 2" xfId="28232"/>
    <cellStyle name="40% - Accent2 6 2 2 4 2 2 3" xfId="28231"/>
    <cellStyle name="40% - Accent2 6 2 2 4 2 3" xfId="10308"/>
    <cellStyle name="40% - Accent2 6 2 2 4 2 3 2" xfId="28233"/>
    <cellStyle name="40% - Accent2 6 2 2 4 2 4" xfId="28230"/>
    <cellStyle name="40% - Accent2 6 2 2 4 3" xfId="10309"/>
    <cellStyle name="40% - Accent2 6 2 2 4 3 2" xfId="10310"/>
    <cellStyle name="40% - Accent2 6 2 2 4 3 2 2" xfId="28235"/>
    <cellStyle name="40% - Accent2 6 2 2 4 3 3" xfId="28234"/>
    <cellStyle name="40% - Accent2 6 2 2 4 4" xfId="10311"/>
    <cellStyle name="40% - Accent2 6 2 2 4 4 2" xfId="28236"/>
    <cellStyle name="40% - Accent2 6 2 2 4 5" xfId="28229"/>
    <cellStyle name="40% - Accent2 6 2 2 5" xfId="10312"/>
    <cellStyle name="40% - Accent2 6 2 2 5 2" xfId="10313"/>
    <cellStyle name="40% - Accent2 6 2 2 5 2 2" xfId="10314"/>
    <cellStyle name="40% - Accent2 6 2 2 5 2 2 2" xfId="28239"/>
    <cellStyle name="40% - Accent2 6 2 2 5 2 3" xfId="28238"/>
    <cellStyle name="40% - Accent2 6 2 2 5 3" xfId="10315"/>
    <cellStyle name="40% - Accent2 6 2 2 5 3 2" xfId="28240"/>
    <cellStyle name="40% - Accent2 6 2 2 5 4" xfId="28237"/>
    <cellStyle name="40% - Accent2 6 2 2 6" xfId="10316"/>
    <cellStyle name="40% - Accent2 6 2 2 6 2" xfId="10317"/>
    <cellStyle name="40% - Accent2 6 2 2 6 2 2" xfId="28242"/>
    <cellStyle name="40% - Accent2 6 2 2 6 3" xfId="28241"/>
    <cellStyle name="40% - Accent2 6 2 2 7" xfId="10318"/>
    <cellStyle name="40% - Accent2 6 2 2 7 2" xfId="28243"/>
    <cellStyle name="40% - Accent2 6 2 2 8" xfId="28196"/>
    <cellStyle name="40% - Accent2 6 2 3" xfId="10319"/>
    <cellStyle name="40% - Accent2 6 2 3 2" xfId="10320"/>
    <cellStyle name="40% - Accent2 6 2 3 2 2" xfId="10321"/>
    <cellStyle name="40% - Accent2 6 2 3 2 2 2" xfId="10322"/>
    <cellStyle name="40% - Accent2 6 2 3 2 2 2 2" xfId="10323"/>
    <cellStyle name="40% - Accent2 6 2 3 2 2 2 2 2" xfId="28248"/>
    <cellStyle name="40% - Accent2 6 2 3 2 2 2 3" xfId="28247"/>
    <cellStyle name="40% - Accent2 6 2 3 2 2 3" xfId="10324"/>
    <cellStyle name="40% - Accent2 6 2 3 2 2 3 2" xfId="28249"/>
    <cellStyle name="40% - Accent2 6 2 3 2 2 4" xfId="28246"/>
    <cellStyle name="40% - Accent2 6 2 3 2 3" xfId="10325"/>
    <cellStyle name="40% - Accent2 6 2 3 2 3 2" xfId="10326"/>
    <cellStyle name="40% - Accent2 6 2 3 2 3 2 2" xfId="28251"/>
    <cellStyle name="40% - Accent2 6 2 3 2 3 3" xfId="28250"/>
    <cellStyle name="40% - Accent2 6 2 3 2 4" xfId="10327"/>
    <cellStyle name="40% - Accent2 6 2 3 2 4 2" xfId="28252"/>
    <cellStyle name="40% - Accent2 6 2 3 2 5" xfId="28245"/>
    <cellStyle name="40% - Accent2 6 2 3 3" xfId="10328"/>
    <cellStyle name="40% - Accent2 6 2 3 3 2" xfId="10329"/>
    <cellStyle name="40% - Accent2 6 2 3 3 2 2" xfId="10330"/>
    <cellStyle name="40% - Accent2 6 2 3 3 2 2 2" xfId="10331"/>
    <cellStyle name="40% - Accent2 6 2 3 3 2 2 2 2" xfId="28256"/>
    <cellStyle name="40% - Accent2 6 2 3 3 2 2 3" xfId="28255"/>
    <cellStyle name="40% - Accent2 6 2 3 3 2 3" xfId="10332"/>
    <cellStyle name="40% - Accent2 6 2 3 3 2 3 2" xfId="28257"/>
    <cellStyle name="40% - Accent2 6 2 3 3 2 4" xfId="28254"/>
    <cellStyle name="40% - Accent2 6 2 3 3 3" xfId="10333"/>
    <cellStyle name="40% - Accent2 6 2 3 3 3 2" xfId="10334"/>
    <cellStyle name="40% - Accent2 6 2 3 3 3 2 2" xfId="28259"/>
    <cellStyle name="40% - Accent2 6 2 3 3 3 3" xfId="28258"/>
    <cellStyle name="40% - Accent2 6 2 3 3 4" xfId="10335"/>
    <cellStyle name="40% - Accent2 6 2 3 3 4 2" xfId="28260"/>
    <cellStyle name="40% - Accent2 6 2 3 3 5" xfId="28253"/>
    <cellStyle name="40% - Accent2 6 2 3 4" xfId="10336"/>
    <cellStyle name="40% - Accent2 6 2 3 4 2" xfId="10337"/>
    <cellStyle name="40% - Accent2 6 2 3 4 2 2" xfId="10338"/>
    <cellStyle name="40% - Accent2 6 2 3 4 2 2 2" xfId="28263"/>
    <cellStyle name="40% - Accent2 6 2 3 4 2 3" xfId="28262"/>
    <cellStyle name="40% - Accent2 6 2 3 4 3" xfId="10339"/>
    <cellStyle name="40% - Accent2 6 2 3 4 3 2" xfId="28264"/>
    <cellStyle name="40% - Accent2 6 2 3 4 4" xfId="28261"/>
    <cellStyle name="40% - Accent2 6 2 3 5" xfId="10340"/>
    <cellStyle name="40% - Accent2 6 2 3 5 2" xfId="10341"/>
    <cellStyle name="40% - Accent2 6 2 3 5 2 2" xfId="28266"/>
    <cellStyle name="40% - Accent2 6 2 3 5 3" xfId="28265"/>
    <cellStyle name="40% - Accent2 6 2 3 6" xfId="10342"/>
    <cellStyle name="40% - Accent2 6 2 3 6 2" xfId="28267"/>
    <cellStyle name="40% - Accent2 6 2 3 7" xfId="28244"/>
    <cellStyle name="40% - Accent2 6 2 4" xfId="10343"/>
    <cellStyle name="40% - Accent2 6 2 4 2" xfId="10344"/>
    <cellStyle name="40% - Accent2 6 2 4 2 2" xfId="10345"/>
    <cellStyle name="40% - Accent2 6 2 4 2 2 2" xfId="10346"/>
    <cellStyle name="40% - Accent2 6 2 4 2 2 2 2" xfId="28271"/>
    <cellStyle name="40% - Accent2 6 2 4 2 2 3" xfId="28270"/>
    <cellStyle name="40% - Accent2 6 2 4 2 3" xfId="10347"/>
    <cellStyle name="40% - Accent2 6 2 4 2 3 2" xfId="28272"/>
    <cellStyle name="40% - Accent2 6 2 4 2 4" xfId="28269"/>
    <cellStyle name="40% - Accent2 6 2 4 3" xfId="10348"/>
    <cellStyle name="40% - Accent2 6 2 4 3 2" xfId="10349"/>
    <cellStyle name="40% - Accent2 6 2 4 3 2 2" xfId="28274"/>
    <cellStyle name="40% - Accent2 6 2 4 3 3" xfId="28273"/>
    <cellStyle name="40% - Accent2 6 2 4 4" xfId="10350"/>
    <cellStyle name="40% - Accent2 6 2 4 4 2" xfId="28275"/>
    <cellStyle name="40% - Accent2 6 2 4 5" xfId="28268"/>
    <cellStyle name="40% - Accent2 6 2 5" xfId="10351"/>
    <cellStyle name="40% - Accent2 6 2 5 2" xfId="10352"/>
    <cellStyle name="40% - Accent2 6 2 5 2 2" xfId="10353"/>
    <cellStyle name="40% - Accent2 6 2 5 2 2 2" xfId="10354"/>
    <cellStyle name="40% - Accent2 6 2 5 2 2 2 2" xfId="28279"/>
    <cellStyle name="40% - Accent2 6 2 5 2 2 3" xfId="28278"/>
    <cellStyle name="40% - Accent2 6 2 5 2 3" xfId="10355"/>
    <cellStyle name="40% - Accent2 6 2 5 2 3 2" xfId="28280"/>
    <cellStyle name="40% - Accent2 6 2 5 2 4" xfId="28277"/>
    <cellStyle name="40% - Accent2 6 2 5 3" xfId="10356"/>
    <cellStyle name="40% - Accent2 6 2 5 3 2" xfId="10357"/>
    <cellStyle name="40% - Accent2 6 2 5 3 2 2" xfId="28282"/>
    <cellStyle name="40% - Accent2 6 2 5 3 3" xfId="28281"/>
    <cellStyle name="40% - Accent2 6 2 5 4" xfId="10358"/>
    <cellStyle name="40% - Accent2 6 2 5 4 2" xfId="28283"/>
    <cellStyle name="40% - Accent2 6 2 5 5" xfId="28276"/>
    <cellStyle name="40% - Accent2 6 2 6" xfId="10359"/>
    <cellStyle name="40% - Accent2 6 2 6 2" xfId="10360"/>
    <cellStyle name="40% - Accent2 6 2 6 2 2" xfId="10361"/>
    <cellStyle name="40% - Accent2 6 2 6 2 2 2" xfId="28286"/>
    <cellStyle name="40% - Accent2 6 2 6 2 3" xfId="28285"/>
    <cellStyle name="40% - Accent2 6 2 6 3" xfId="10362"/>
    <cellStyle name="40% - Accent2 6 2 6 3 2" xfId="28287"/>
    <cellStyle name="40% - Accent2 6 2 6 4" xfId="28284"/>
    <cellStyle name="40% - Accent2 6 2 7" xfId="10363"/>
    <cellStyle name="40% - Accent2 6 2 7 2" xfId="10364"/>
    <cellStyle name="40% - Accent2 6 2 7 2 2" xfId="28289"/>
    <cellStyle name="40% - Accent2 6 2 7 3" xfId="28288"/>
    <cellStyle name="40% - Accent2 6 2 8" xfId="10365"/>
    <cellStyle name="40% - Accent2 6 2 8 2" xfId="28290"/>
    <cellStyle name="40% - Accent2 6 2 9" xfId="28195"/>
    <cellStyle name="40% - Accent2 6 3" xfId="10366"/>
    <cellStyle name="40% - Accent2 6 3 2" xfId="10367"/>
    <cellStyle name="40% - Accent2 6 3 2 2" xfId="10368"/>
    <cellStyle name="40% - Accent2 6 3 2 2 2" xfId="10369"/>
    <cellStyle name="40% - Accent2 6 3 2 2 2 2" xfId="10370"/>
    <cellStyle name="40% - Accent2 6 3 2 2 2 2 2" xfId="10371"/>
    <cellStyle name="40% - Accent2 6 3 2 2 2 2 2 2" xfId="28296"/>
    <cellStyle name="40% - Accent2 6 3 2 2 2 2 3" xfId="28295"/>
    <cellStyle name="40% - Accent2 6 3 2 2 2 3" xfId="10372"/>
    <cellStyle name="40% - Accent2 6 3 2 2 2 3 2" xfId="28297"/>
    <cellStyle name="40% - Accent2 6 3 2 2 2 4" xfId="28294"/>
    <cellStyle name="40% - Accent2 6 3 2 2 3" xfId="10373"/>
    <cellStyle name="40% - Accent2 6 3 2 2 3 2" xfId="10374"/>
    <cellStyle name="40% - Accent2 6 3 2 2 3 2 2" xfId="28299"/>
    <cellStyle name="40% - Accent2 6 3 2 2 3 3" xfId="28298"/>
    <cellStyle name="40% - Accent2 6 3 2 2 4" xfId="10375"/>
    <cellStyle name="40% - Accent2 6 3 2 2 4 2" xfId="28300"/>
    <cellStyle name="40% - Accent2 6 3 2 2 5" xfId="28293"/>
    <cellStyle name="40% - Accent2 6 3 2 3" xfId="10376"/>
    <cellStyle name="40% - Accent2 6 3 2 3 2" xfId="10377"/>
    <cellStyle name="40% - Accent2 6 3 2 3 2 2" xfId="10378"/>
    <cellStyle name="40% - Accent2 6 3 2 3 2 2 2" xfId="10379"/>
    <cellStyle name="40% - Accent2 6 3 2 3 2 2 2 2" xfId="28304"/>
    <cellStyle name="40% - Accent2 6 3 2 3 2 2 3" xfId="28303"/>
    <cellStyle name="40% - Accent2 6 3 2 3 2 3" xfId="10380"/>
    <cellStyle name="40% - Accent2 6 3 2 3 2 3 2" xfId="28305"/>
    <cellStyle name="40% - Accent2 6 3 2 3 2 4" xfId="28302"/>
    <cellStyle name="40% - Accent2 6 3 2 3 3" xfId="10381"/>
    <cellStyle name="40% - Accent2 6 3 2 3 3 2" xfId="10382"/>
    <cellStyle name="40% - Accent2 6 3 2 3 3 2 2" xfId="28307"/>
    <cellStyle name="40% - Accent2 6 3 2 3 3 3" xfId="28306"/>
    <cellStyle name="40% - Accent2 6 3 2 3 4" xfId="10383"/>
    <cellStyle name="40% - Accent2 6 3 2 3 4 2" xfId="28308"/>
    <cellStyle name="40% - Accent2 6 3 2 3 5" xfId="28301"/>
    <cellStyle name="40% - Accent2 6 3 2 4" xfId="10384"/>
    <cellStyle name="40% - Accent2 6 3 2 4 2" xfId="10385"/>
    <cellStyle name="40% - Accent2 6 3 2 4 2 2" xfId="10386"/>
    <cellStyle name="40% - Accent2 6 3 2 4 2 2 2" xfId="28311"/>
    <cellStyle name="40% - Accent2 6 3 2 4 2 3" xfId="28310"/>
    <cellStyle name="40% - Accent2 6 3 2 4 3" xfId="10387"/>
    <cellStyle name="40% - Accent2 6 3 2 4 3 2" xfId="28312"/>
    <cellStyle name="40% - Accent2 6 3 2 4 4" xfId="28309"/>
    <cellStyle name="40% - Accent2 6 3 2 5" xfId="10388"/>
    <cellStyle name="40% - Accent2 6 3 2 5 2" xfId="10389"/>
    <cellStyle name="40% - Accent2 6 3 2 5 2 2" xfId="28314"/>
    <cellStyle name="40% - Accent2 6 3 2 5 3" xfId="28313"/>
    <cellStyle name="40% - Accent2 6 3 2 6" xfId="10390"/>
    <cellStyle name="40% - Accent2 6 3 2 6 2" xfId="28315"/>
    <cellStyle name="40% - Accent2 6 3 2 7" xfId="28292"/>
    <cellStyle name="40% - Accent2 6 3 3" xfId="10391"/>
    <cellStyle name="40% - Accent2 6 3 3 2" xfId="10392"/>
    <cellStyle name="40% - Accent2 6 3 3 2 2" xfId="10393"/>
    <cellStyle name="40% - Accent2 6 3 3 2 2 2" xfId="10394"/>
    <cellStyle name="40% - Accent2 6 3 3 2 2 2 2" xfId="28319"/>
    <cellStyle name="40% - Accent2 6 3 3 2 2 3" xfId="28318"/>
    <cellStyle name="40% - Accent2 6 3 3 2 3" xfId="10395"/>
    <cellStyle name="40% - Accent2 6 3 3 2 3 2" xfId="28320"/>
    <cellStyle name="40% - Accent2 6 3 3 2 4" xfId="28317"/>
    <cellStyle name="40% - Accent2 6 3 3 3" xfId="10396"/>
    <cellStyle name="40% - Accent2 6 3 3 3 2" xfId="10397"/>
    <cellStyle name="40% - Accent2 6 3 3 3 2 2" xfId="28322"/>
    <cellStyle name="40% - Accent2 6 3 3 3 3" xfId="28321"/>
    <cellStyle name="40% - Accent2 6 3 3 4" xfId="10398"/>
    <cellStyle name="40% - Accent2 6 3 3 4 2" xfId="28323"/>
    <cellStyle name="40% - Accent2 6 3 3 5" xfId="28316"/>
    <cellStyle name="40% - Accent2 6 3 4" xfId="10399"/>
    <cellStyle name="40% - Accent2 6 3 4 2" xfId="10400"/>
    <cellStyle name="40% - Accent2 6 3 4 2 2" xfId="10401"/>
    <cellStyle name="40% - Accent2 6 3 4 2 2 2" xfId="10402"/>
    <cellStyle name="40% - Accent2 6 3 4 2 2 2 2" xfId="28327"/>
    <cellStyle name="40% - Accent2 6 3 4 2 2 3" xfId="28326"/>
    <cellStyle name="40% - Accent2 6 3 4 2 3" xfId="10403"/>
    <cellStyle name="40% - Accent2 6 3 4 2 3 2" xfId="28328"/>
    <cellStyle name="40% - Accent2 6 3 4 2 4" xfId="28325"/>
    <cellStyle name="40% - Accent2 6 3 4 3" xfId="10404"/>
    <cellStyle name="40% - Accent2 6 3 4 3 2" xfId="10405"/>
    <cellStyle name="40% - Accent2 6 3 4 3 2 2" xfId="28330"/>
    <cellStyle name="40% - Accent2 6 3 4 3 3" xfId="28329"/>
    <cellStyle name="40% - Accent2 6 3 4 4" xfId="10406"/>
    <cellStyle name="40% - Accent2 6 3 4 4 2" xfId="28331"/>
    <cellStyle name="40% - Accent2 6 3 4 5" xfId="28324"/>
    <cellStyle name="40% - Accent2 6 3 5" xfId="10407"/>
    <cellStyle name="40% - Accent2 6 3 5 2" xfId="10408"/>
    <cellStyle name="40% - Accent2 6 3 5 2 2" xfId="10409"/>
    <cellStyle name="40% - Accent2 6 3 5 2 2 2" xfId="28334"/>
    <cellStyle name="40% - Accent2 6 3 5 2 3" xfId="28333"/>
    <cellStyle name="40% - Accent2 6 3 5 3" xfId="10410"/>
    <cellStyle name="40% - Accent2 6 3 5 3 2" xfId="28335"/>
    <cellStyle name="40% - Accent2 6 3 5 4" xfId="28332"/>
    <cellStyle name="40% - Accent2 6 3 6" xfId="10411"/>
    <cellStyle name="40% - Accent2 6 3 6 2" xfId="10412"/>
    <cellStyle name="40% - Accent2 6 3 6 2 2" xfId="28337"/>
    <cellStyle name="40% - Accent2 6 3 6 3" xfId="28336"/>
    <cellStyle name="40% - Accent2 6 3 7" xfId="10413"/>
    <cellStyle name="40% - Accent2 6 3 7 2" xfId="28338"/>
    <cellStyle name="40% - Accent2 6 3 8" xfId="28291"/>
    <cellStyle name="40% - Accent2 6 4" xfId="10414"/>
    <cellStyle name="40% - Accent2 6 4 2" xfId="10415"/>
    <cellStyle name="40% - Accent2 6 4 2 2" xfId="10416"/>
    <cellStyle name="40% - Accent2 6 4 2 2 2" xfId="10417"/>
    <cellStyle name="40% - Accent2 6 4 2 2 2 2" xfId="10418"/>
    <cellStyle name="40% - Accent2 6 4 2 2 2 2 2" xfId="28343"/>
    <cellStyle name="40% - Accent2 6 4 2 2 2 3" xfId="28342"/>
    <cellStyle name="40% - Accent2 6 4 2 2 3" xfId="10419"/>
    <cellStyle name="40% - Accent2 6 4 2 2 3 2" xfId="28344"/>
    <cellStyle name="40% - Accent2 6 4 2 2 4" xfId="28341"/>
    <cellStyle name="40% - Accent2 6 4 2 3" xfId="10420"/>
    <cellStyle name="40% - Accent2 6 4 2 3 2" xfId="10421"/>
    <cellStyle name="40% - Accent2 6 4 2 3 2 2" xfId="28346"/>
    <cellStyle name="40% - Accent2 6 4 2 3 3" xfId="28345"/>
    <cellStyle name="40% - Accent2 6 4 2 4" xfId="10422"/>
    <cellStyle name="40% - Accent2 6 4 2 4 2" xfId="28347"/>
    <cellStyle name="40% - Accent2 6 4 2 5" xfId="28340"/>
    <cellStyle name="40% - Accent2 6 4 3" xfId="10423"/>
    <cellStyle name="40% - Accent2 6 4 3 2" xfId="10424"/>
    <cellStyle name="40% - Accent2 6 4 3 2 2" xfId="10425"/>
    <cellStyle name="40% - Accent2 6 4 3 2 2 2" xfId="10426"/>
    <cellStyle name="40% - Accent2 6 4 3 2 2 2 2" xfId="28351"/>
    <cellStyle name="40% - Accent2 6 4 3 2 2 3" xfId="28350"/>
    <cellStyle name="40% - Accent2 6 4 3 2 3" xfId="10427"/>
    <cellStyle name="40% - Accent2 6 4 3 2 3 2" xfId="28352"/>
    <cellStyle name="40% - Accent2 6 4 3 2 4" xfId="28349"/>
    <cellStyle name="40% - Accent2 6 4 3 3" xfId="10428"/>
    <cellStyle name="40% - Accent2 6 4 3 3 2" xfId="10429"/>
    <cellStyle name="40% - Accent2 6 4 3 3 2 2" xfId="28354"/>
    <cellStyle name="40% - Accent2 6 4 3 3 3" xfId="28353"/>
    <cellStyle name="40% - Accent2 6 4 3 4" xfId="10430"/>
    <cellStyle name="40% - Accent2 6 4 3 4 2" xfId="28355"/>
    <cellStyle name="40% - Accent2 6 4 3 5" xfId="28348"/>
    <cellStyle name="40% - Accent2 6 4 4" xfId="10431"/>
    <cellStyle name="40% - Accent2 6 4 4 2" xfId="10432"/>
    <cellStyle name="40% - Accent2 6 4 4 2 2" xfId="10433"/>
    <cellStyle name="40% - Accent2 6 4 4 2 2 2" xfId="28358"/>
    <cellStyle name="40% - Accent2 6 4 4 2 3" xfId="28357"/>
    <cellStyle name="40% - Accent2 6 4 4 3" xfId="10434"/>
    <cellStyle name="40% - Accent2 6 4 4 3 2" xfId="28359"/>
    <cellStyle name="40% - Accent2 6 4 4 4" xfId="28356"/>
    <cellStyle name="40% - Accent2 6 4 5" xfId="10435"/>
    <cellStyle name="40% - Accent2 6 4 5 2" xfId="10436"/>
    <cellStyle name="40% - Accent2 6 4 5 2 2" xfId="28361"/>
    <cellStyle name="40% - Accent2 6 4 5 3" xfId="28360"/>
    <cellStyle name="40% - Accent2 6 4 6" xfId="10437"/>
    <cellStyle name="40% - Accent2 6 4 6 2" xfId="28362"/>
    <cellStyle name="40% - Accent2 6 4 7" xfId="28339"/>
    <cellStyle name="40% - Accent2 6 5" xfId="10438"/>
    <cellStyle name="40% - Accent2 6 5 2" xfId="10439"/>
    <cellStyle name="40% - Accent2 6 5 2 2" xfId="10440"/>
    <cellStyle name="40% - Accent2 6 5 2 2 2" xfId="10441"/>
    <cellStyle name="40% - Accent2 6 5 2 2 2 2" xfId="28366"/>
    <cellStyle name="40% - Accent2 6 5 2 2 3" xfId="28365"/>
    <cellStyle name="40% - Accent2 6 5 2 3" xfId="10442"/>
    <cellStyle name="40% - Accent2 6 5 2 3 2" xfId="28367"/>
    <cellStyle name="40% - Accent2 6 5 2 4" xfId="28364"/>
    <cellStyle name="40% - Accent2 6 5 3" xfId="10443"/>
    <cellStyle name="40% - Accent2 6 5 3 2" xfId="10444"/>
    <cellStyle name="40% - Accent2 6 5 3 2 2" xfId="28369"/>
    <cellStyle name="40% - Accent2 6 5 3 3" xfId="28368"/>
    <cellStyle name="40% - Accent2 6 5 4" xfId="10445"/>
    <cellStyle name="40% - Accent2 6 5 4 2" xfId="28370"/>
    <cellStyle name="40% - Accent2 6 5 5" xfId="28363"/>
    <cellStyle name="40% - Accent2 6 6" xfId="10446"/>
    <cellStyle name="40% - Accent2 6 6 2" xfId="10447"/>
    <cellStyle name="40% - Accent2 6 6 2 2" xfId="10448"/>
    <cellStyle name="40% - Accent2 6 6 2 2 2" xfId="10449"/>
    <cellStyle name="40% - Accent2 6 6 2 2 2 2" xfId="28374"/>
    <cellStyle name="40% - Accent2 6 6 2 2 3" xfId="28373"/>
    <cellStyle name="40% - Accent2 6 6 2 3" xfId="10450"/>
    <cellStyle name="40% - Accent2 6 6 2 3 2" xfId="28375"/>
    <cellStyle name="40% - Accent2 6 6 2 4" xfId="28372"/>
    <cellStyle name="40% - Accent2 6 6 3" xfId="10451"/>
    <cellStyle name="40% - Accent2 6 6 3 2" xfId="10452"/>
    <cellStyle name="40% - Accent2 6 6 3 2 2" xfId="28377"/>
    <cellStyle name="40% - Accent2 6 6 3 3" xfId="28376"/>
    <cellStyle name="40% - Accent2 6 6 4" xfId="10453"/>
    <cellStyle name="40% - Accent2 6 6 4 2" xfId="28378"/>
    <cellStyle name="40% - Accent2 6 6 5" xfId="28371"/>
    <cellStyle name="40% - Accent2 6 7" xfId="10454"/>
    <cellStyle name="40% - Accent2 6 7 2" xfId="10455"/>
    <cellStyle name="40% - Accent2 6 7 2 2" xfId="10456"/>
    <cellStyle name="40% - Accent2 6 7 2 2 2" xfId="28381"/>
    <cellStyle name="40% - Accent2 6 7 2 3" xfId="28380"/>
    <cellStyle name="40% - Accent2 6 7 3" xfId="10457"/>
    <cellStyle name="40% - Accent2 6 7 3 2" xfId="28382"/>
    <cellStyle name="40% - Accent2 6 7 4" xfId="28379"/>
    <cellStyle name="40% - Accent2 6 8" xfId="10458"/>
    <cellStyle name="40% - Accent2 6 8 2" xfId="10459"/>
    <cellStyle name="40% - Accent2 6 8 2 2" xfId="28384"/>
    <cellStyle name="40% - Accent2 6 8 3" xfId="28383"/>
    <cellStyle name="40% - Accent2 6 9" xfId="10460"/>
    <cellStyle name="40% - Accent2 6 9 2" xfId="28385"/>
    <cellStyle name="40% - Accent2 7" xfId="10461"/>
    <cellStyle name="40% - Accent2 7 10" xfId="28386"/>
    <cellStyle name="40% - Accent2 7 2" xfId="10462"/>
    <cellStyle name="40% - Accent2 7 2 2" xfId="10463"/>
    <cellStyle name="40% - Accent2 7 2 2 2" xfId="10464"/>
    <cellStyle name="40% - Accent2 7 2 2 2 2" xfId="10465"/>
    <cellStyle name="40% - Accent2 7 2 2 2 2 2" xfId="10466"/>
    <cellStyle name="40% - Accent2 7 2 2 2 2 2 2" xfId="10467"/>
    <cellStyle name="40% - Accent2 7 2 2 2 2 2 2 2" xfId="10468"/>
    <cellStyle name="40% - Accent2 7 2 2 2 2 2 2 2 2" xfId="28393"/>
    <cellStyle name="40% - Accent2 7 2 2 2 2 2 2 3" xfId="28392"/>
    <cellStyle name="40% - Accent2 7 2 2 2 2 2 3" xfId="10469"/>
    <cellStyle name="40% - Accent2 7 2 2 2 2 2 3 2" xfId="28394"/>
    <cellStyle name="40% - Accent2 7 2 2 2 2 2 4" xfId="28391"/>
    <cellStyle name="40% - Accent2 7 2 2 2 2 3" xfId="10470"/>
    <cellStyle name="40% - Accent2 7 2 2 2 2 3 2" xfId="10471"/>
    <cellStyle name="40% - Accent2 7 2 2 2 2 3 2 2" xfId="28396"/>
    <cellStyle name="40% - Accent2 7 2 2 2 2 3 3" xfId="28395"/>
    <cellStyle name="40% - Accent2 7 2 2 2 2 4" xfId="10472"/>
    <cellStyle name="40% - Accent2 7 2 2 2 2 4 2" xfId="28397"/>
    <cellStyle name="40% - Accent2 7 2 2 2 2 5" xfId="28390"/>
    <cellStyle name="40% - Accent2 7 2 2 2 3" xfId="10473"/>
    <cellStyle name="40% - Accent2 7 2 2 2 3 2" xfId="10474"/>
    <cellStyle name="40% - Accent2 7 2 2 2 3 2 2" xfId="10475"/>
    <cellStyle name="40% - Accent2 7 2 2 2 3 2 2 2" xfId="10476"/>
    <cellStyle name="40% - Accent2 7 2 2 2 3 2 2 2 2" xfId="28401"/>
    <cellStyle name="40% - Accent2 7 2 2 2 3 2 2 3" xfId="28400"/>
    <cellStyle name="40% - Accent2 7 2 2 2 3 2 3" xfId="10477"/>
    <cellStyle name="40% - Accent2 7 2 2 2 3 2 3 2" xfId="28402"/>
    <cellStyle name="40% - Accent2 7 2 2 2 3 2 4" xfId="28399"/>
    <cellStyle name="40% - Accent2 7 2 2 2 3 3" xfId="10478"/>
    <cellStyle name="40% - Accent2 7 2 2 2 3 3 2" xfId="10479"/>
    <cellStyle name="40% - Accent2 7 2 2 2 3 3 2 2" xfId="28404"/>
    <cellStyle name="40% - Accent2 7 2 2 2 3 3 3" xfId="28403"/>
    <cellStyle name="40% - Accent2 7 2 2 2 3 4" xfId="10480"/>
    <cellStyle name="40% - Accent2 7 2 2 2 3 4 2" xfId="28405"/>
    <cellStyle name="40% - Accent2 7 2 2 2 3 5" xfId="28398"/>
    <cellStyle name="40% - Accent2 7 2 2 2 4" xfId="10481"/>
    <cellStyle name="40% - Accent2 7 2 2 2 4 2" xfId="10482"/>
    <cellStyle name="40% - Accent2 7 2 2 2 4 2 2" xfId="10483"/>
    <cellStyle name="40% - Accent2 7 2 2 2 4 2 2 2" xfId="28408"/>
    <cellStyle name="40% - Accent2 7 2 2 2 4 2 3" xfId="28407"/>
    <cellStyle name="40% - Accent2 7 2 2 2 4 3" xfId="10484"/>
    <cellStyle name="40% - Accent2 7 2 2 2 4 3 2" xfId="28409"/>
    <cellStyle name="40% - Accent2 7 2 2 2 4 4" xfId="28406"/>
    <cellStyle name="40% - Accent2 7 2 2 2 5" xfId="10485"/>
    <cellStyle name="40% - Accent2 7 2 2 2 5 2" xfId="10486"/>
    <cellStyle name="40% - Accent2 7 2 2 2 5 2 2" xfId="28411"/>
    <cellStyle name="40% - Accent2 7 2 2 2 5 3" xfId="28410"/>
    <cellStyle name="40% - Accent2 7 2 2 2 6" xfId="10487"/>
    <cellStyle name="40% - Accent2 7 2 2 2 6 2" xfId="28412"/>
    <cellStyle name="40% - Accent2 7 2 2 2 7" xfId="28389"/>
    <cellStyle name="40% - Accent2 7 2 2 3" xfId="10488"/>
    <cellStyle name="40% - Accent2 7 2 2 3 2" xfId="10489"/>
    <cellStyle name="40% - Accent2 7 2 2 3 2 2" xfId="10490"/>
    <cellStyle name="40% - Accent2 7 2 2 3 2 2 2" xfId="10491"/>
    <cellStyle name="40% - Accent2 7 2 2 3 2 2 2 2" xfId="28416"/>
    <cellStyle name="40% - Accent2 7 2 2 3 2 2 3" xfId="28415"/>
    <cellStyle name="40% - Accent2 7 2 2 3 2 3" xfId="10492"/>
    <cellStyle name="40% - Accent2 7 2 2 3 2 3 2" xfId="28417"/>
    <cellStyle name="40% - Accent2 7 2 2 3 2 4" xfId="28414"/>
    <cellStyle name="40% - Accent2 7 2 2 3 3" xfId="10493"/>
    <cellStyle name="40% - Accent2 7 2 2 3 3 2" xfId="10494"/>
    <cellStyle name="40% - Accent2 7 2 2 3 3 2 2" xfId="28419"/>
    <cellStyle name="40% - Accent2 7 2 2 3 3 3" xfId="28418"/>
    <cellStyle name="40% - Accent2 7 2 2 3 4" xfId="10495"/>
    <cellStyle name="40% - Accent2 7 2 2 3 4 2" xfId="28420"/>
    <cellStyle name="40% - Accent2 7 2 2 3 5" xfId="28413"/>
    <cellStyle name="40% - Accent2 7 2 2 4" xfId="10496"/>
    <cellStyle name="40% - Accent2 7 2 2 4 2" xfId="10497"/>
    <cellStyle name="40% - Accent2 7 2 2 4 2 2" xfId="10498"/>
    <cellStyle name="40% - Accent2 7 2 2 4 2 2 2" xfId="10499"/>
    <cellStyle name="40% - Accent2 7 2 2 4 2 2 2 2" xfId="28424"/>
    <cellStyle name="40% - Accent2 7 2 2 4 2 2 3" xfId="28423"/>
    <cellStyle name="40% - Accent2 7 2 2 4 2 3" xfId="10500"/>
    <cellStyle name="40% - Accent2 7 2 2 4 2 3 2" xfId="28425"/>
    <cellStyle name="40% - Accent2 7 2 2 4 2 4" xfId="28422"/>
    <cellStyle name="40% - Accent2 7 2 2 4 3" xfId="10501"/>
    <cellStyle name="40% - Accent2 7 2 2 4 3 2" xfId="10502"/>
    <cellStyle name="40% - Accent2 7 2 2 4 3 2 2" xfId="28427"/>
    <cellStyle name="40% - Accent2 7 2 2 4 3 3" xfId="28426"/>
    <cellStyle name="40% - Accent2 7 2 2 4 4" xfId="10503"/>
    <cellStyle name="40% - Accent2 7 2 2 4 4 2" xfId="28428"/>
    <cellStyle name="40% - Accent2 7 2 2 4 5" xfId="28421"/>
    <cellStyle name="40% - Accent2 7 2 2 5" xfId="10504"/>
    <cellStyle name="40% - Accent2 7 2 2 5 2" xfId="10505"/>
    <cellStyle name="40% - Accent2 7 2 2 5 2 2" xfId="10506"/>
    <cellStyle name="40% - Accent2 7 2 2 5 2 2 2" xfId="28431"/>
    <cellStyle name="40% - Accent2 7 2 2 5 2 3" xfId="28430"/>
    <cellStyle name="40% - Accent2 7 2 2 5 3" xfId="10507"/>
    <cellStyle name="40% - Accent2 7 2 2 5 3 2" xfId="28432"/>
    <cellStyle name="40% - Accent2 7 2 2 5 4" xfId="28429"/>
    <cellStyle name="40% - Accent2 7 2 2 6" xfId="10508"/>
    <cellStyle name="40% - Accent2 7 2 2 6 2" xfId="10509"/>
    <cellStyle name="40% - Accent2 7 2 2 6 2 2" xfId="28434"/>
    <cellStyle name="40% - Accent2 7 2 2 6 3" xfId="28433"/>
    <cellStyle name="40% - Accent2 7 2 2 7" xfId="10510"/>
    <cellStyle name="40% - Accent2 7 2 2 7 2" xfId="28435"/>
    <cellStyle name="40% - Accent2 7 2 2 8" xfId="28388"/>
    <cellStyle name="40% - Accent2 7 2 3" xfId="10511"/>
    <cellStyle name="40% - Accent2 7 2 3 2" xfId="10512"/>
    <cellStyle name="40% - Accent2 7 2 3 2 2" xfId="10513"/>
    <cellStyle name="40% - Accent2 7 2 3 2 2 2" xfId="10514"/>
    <cellStyle name="40% - Accent2 7 2 3 2 2 2 2" xfId="10515"/>
    <cellStyle name="40% - Accent2 7 2 3 2 2 2 2 2" xfId="28440"/>
    <cellStyle name="40% - Accent2 7 2 3 2 2 2 3" xfId="28439"/>
    <cellStyle name="40% - Accent2 7 2 3 2 2 3" xfId="10516"/>
    <cellStyle name="40% - Accent2 7 2 3 2 2 3 2" xfId="28441"/>
    <cellStyle name="40% - Accent2 7 2 3 2 2 4" xfId="28438"/>
    <cellStyle name="40% - Accent2 7 2 3 2 3" xfId="10517"/>
    <cellStyle name="40% - Accent2 7 2 3 2 3 2" xfId="10518"/>
    <cellStyle name="40% - Accent2 7 2 3 2 3 2 2" xfId="28443"/>
    <cellStyle name="40% - Accent2 7 2 3 2 3 3" xfId="28442"/>
    <cellStyle name="40% - Accent2 7 2 3 2 4" xfId="10519"/>
    <cellStyle name="40% - Accent2 7 2 3 2 4 2" xfId="28444"/>
    <cellStyle name="40% - Accent2 7 2 3 2 5" xfId="28437"/>
    <cellStyle name="40% - Accent2 7 2 3 3" xfId="10520"/>
    <cellStyle name="40% - Accent2 7 2 3 3 2" xfId="10521"/>
    <cellStyle name="40% - Accent2 7 2 3 3 2 2" xfId="10522"/>
    <cellStyle name="40% - Accent2 7 2 3 3 2 2 2" xfId="10523"/>
    <cellStyle name="40% - Accent2 7 2 3 3 2 2 2 2" xfId="28448"/>
    <cellStyle name="40% - Accent2 7 2 3 3 2 2 3" xfId="28447"/>
    <cellStyle name="40% - Accent2 7 2 3 3 2 3" xfId="10524"/>
    <cellStyle name="40% - Accent2 7 2 3 3 2 3 2" xfId="28449"/>
    <cellStyle name="40% - Accent2 7 2 3 3 2 4" xfId="28446"/>
    <cellStyle name="40% - Accent2 7 2 3 3 3" xfId="10525"/>
    <cellStyle name="40% - Accent2 7 2 3 3 3 2" xfId="10526"/>
    <cellStyle name="40% - Accent2 7 2 3 3 3 2 2" xfId="28451"/>
    <cellStyle name="40% - Accent2 7 2 3 3 3 3" xfId="28450"/>
    <cellStyle name="40% - Accent2 7 2 3 3 4" xfId="10527"/>
    <cellStyle name="40% - Accent2 7 2 3 3 4 2" xfId="28452"/>
    <cellStyle name="40% - Accent2 7 2 3 3 5" xfId="28445"/>
    <cellStyle name="40% - Accent2 7 2 3 4" xfId="10528"/>
    <cellStyle name="40% - Accent2 7 2 3 4 2" xfId="10529"/>
    <cellStyle name="40% - Accent2 7 2 3 4 2 2" xfId="10530"/>
    <cellStyle name="40% - Accent2 7 2 3 4 2 2 2" xfId="28455"/>
    <cellStyle name="40% - Accent2 7 2 3 4 2 3" xfId="28454"/>
    <cellStyle name="40% - Accent2 7 2 3 4 3" xfId="10531"/>
    <cellStyle name="40% - Accent2 7 2 3 4 3 2" xfId="28456"/>
    <cellStyle name="40% - Accent2 7 2 3 4 4" xfId="28453"/>
    <cellStyle name="40% - Accent2 7 2 3 5" xfId="10532"/>
    <cellStyle name="40% - Accent2 7 2 3 5 2" xfId="10533"/>
    <cellStyle name="40% - Accent2 7 2 3 5 2 2" xfId="28458"/>
    <cellStyle name="40% - Accent2 7 2 3 5 3" xfId="28457"/>
    <cellStyle name="40% - Accent2 7 2 3 6" xfId="10534"/>
    <cellStyle name="40% - Accent2 7 2 3 6 2" xfId="28459"/>
    <cellStyle name="40% - Accent2 7 2 3 7" xfId="28436"/>
    <cellStyle name="40% - Accent2 7 2 4" xfId="10535"/>
    <cellStyle name="40% - Accent2 7 2 4 2" xfId="10536"/>
    <cellStyle name="40% - Accent2 7 2 4 2 2" xfId="10537"/>
    <cellStyle name="40% - Accent2 7 2 4 2 2 2" xfId="10538"/>
    <cellStyle name="40% - Accent2 7 2 4 2 2 2 2" xfId="28463"/>
    <cellStyle name="40% - Accent2 7 2 4 2 2 3" xfId="28462"/>
    <cellStyle name="40% - Accent2 7 2 4 2 3" xfId="10539"/>
    <cellStyle name="40% - Accent2 7 2 4 2 3 2" xfId="28464"/>
    <cellStyle name="40% - Accent2 7 2 4 2 4" xfId="28461"/>
    <cellStyle name="40% - Accent2 7 2 4 3" xfId="10540"/>
    <cellStyle name="40% - Accent2 7 2 4 3 2" xfId="10541"/>
    <cellStyle name="40% - Accent2 7 2 4 3 2 2" xfId="28466"/>
    <cellStyle name="40% - Accent2 7 2 4 3 3" xfId="28465"/>
    <cellStyle name="40% - Accent2 7 2 4 4" xfId="10542"/>
    <cellStyle name="40% - Accent2 7 2 4 4 2" xfId="28467"/>
    <cellStyle name="40% - Accent2 7 2 4 5" xfId="28460"/>
    <cellStyle name="40% - Accent2 7 2 5" xfId="10543"/>
    <cellStyle name="40% - Accent2 7 2 5 2" xfId="10544"/>
    <cellStyle name="40% - Accent2 7 2 5 2 2" xfId="10545"/>
    <cellStyle name="40% - Accent2 7 2 5 2 2 2" xfId="10546"/>
    <cellStyle name="40% - Accent2 7 2 5 2 2 2 2" xfId="28471"/>
    <cellStyle name="40% - Accent2 7 2 5 2 2 3" xfId="28470"/>
    <cellStyle name="40% - Accent2 7 2 5 2 3" xfId="10547"/>
    <cellStyle name="40% - Accent2 7 2 5 2 3 2" xfId="28472"/>
    <cellStyle name="40% - Accent2 7 2 5 2 4" xfId="28469"/>
    <cellStyle name="40% - Accent2 7 2 5 3" xfId="10548"/>
    <cellStyle name="40% - Accent2 7 2 5 3 2" xfId="10549"/>
    <cellStyle name="40% - Accent2 7 2 5 3 2 2" xfId="28474"/>
    <cellStyle name="40% - Accent2 7 2 5 3 3" xfId="28473"/>
    <cellStyle name="40% - Accent2 7 2 5 4" xfId="10550"/>
    <cellStyle name="40% - Accent2 7 2 5 4 2" xfId="28475"/>
    <cellStyle name="40% - Accent2 7 2 5 5" xfId="28468"/>
    <cellStyle name="40% - Accent2 7 2 6" xfId="10551"/>
    <cellStyle name="40% - Accent2 7 2 6 2" xfId="10552"/>
    <cellStyle name="40% - Accent2 7 2 6 2 2" xfId="10553"/>
    <cellStyle name="40% - Accent2 7 2 6 2 2 2" xfId="28478"/>
    <cellStyle name="40% - Accent2 7 2 6 2 3" xfId="28477"/>
    <cellStyle name="40% - Accent2 7 2 6 3" xfId="10554"/>
    <cellStyle name="40% - Accent2 7 2 6 3 2" xfId="28479"/>
    <cellStyle name="40% - Accent2 7 2 6 4" xfId="28476"/>
    <cellStyle name="40% - Accent2 7 2 7" xfId="10555"/>
    <cellStyle name="40% - Accent2 7 2 7 2" xfId="10556"/>
    <cellStyle name="40% - Accent2 7 2 7 2 2" xfId="28481"/>
    <cellStyle name="40% - Accent2 7 2 7 3" xfId="28480"/>
    <cellStyle name="40% - Accent2 7 2 8" xfId="10557"/>
    <cellStyle name="40% - Accent2 7 2 8 2" xfId="28482"/>
    <cellStyle name="40% - Accent2 7 2 9" xfId="28387"/>
    <cellStyle name="40% - Accent2 7 3" xfId="10558"/>
    <cellStyle name="40% - Accent2 7 3 2" xfId="10559"/>
    <cellStyle name="40% - Accent2 7 3 2 2" xfId="10560"/>
    <cellStyle name="40% - Accent2 7 3 2 2 2" xfId="10561"/>
    <cellStyle name="40% - Accent2 7 3 2 2 2 2" xfId="10562"/>
    <cellStyle name="40% - Accent2 7 3 2 2 2 2 2" xfId="10563"/>
    <cellStyle name="40% - Accent2 7 3 2 2 2 2 2 2" xfId="28488"/>
    <cellStyle name="40% - Accent2 7 3 2 2 2 2 3" xfId="28487"/>
    <cellStyle name="40% - Accent2 7 3 2 2 2 3" xfId="10564"/>
    <cellStyle name="40% - Accent2 7 3 2 2 2 3 2" xfId="28489"/>
    <cellStyle name="40% - Accent2 7 3 2 2 2 4" xfId="28486"/>
    <cellStyle name="40% - Accent2 7 3 2 2 3" xfId="10565"/>
    <cellStyle name="40% - Accent2 7 3 2 2 3 2" xfId="10566"/>
    <cellStyle name="40% - Accent2 7 3 2 2 3 2 2" xfId="28491"/>
    <cellStyle name="40% - Accent2 7 3 2 2 3 3" xfId="28490"/>
    <cellStyle name="40% - Accent2 7 3 2 2 4" xfId="10567"/>
    <cellStyle name="40% - Accent2 7 3 2 2 4 2" xfId="28492"/>
    <cellStyle name="40% - Accent2 7 3 2 2 5" xfId="28485"/>
    <cellStyle name="40% - Accent2 7 3 2 3" xfId="10568"/>
    <cellStyle name="40% - Accent2 7 3 2 3 2" xfId="10569"/>
    <cellStyle name="40% - Accent2 7 3 2 3 2 2" xfId="10570"/>
    <cellStyle name="40% - Accent2 7 3 2 3 2 2 2" xfId="10571"/>
    <cellStyle name="40% - Accent2 7 3 2 3 2 2 2 2" xfId="28496"/>
    <cellStyle name="40% - Accent2 7 3 2 3 2 2 3" xfId="28495"/>
    <cellStyle name="40% - Accent2 7 3 2 3 2 3" xfId="10572"/>
    <cellStyle name="40% - Accent2 7 3 2 3 2 3 2" xfId="28497"/>
    <cellStyle name="40% - Accent2 7 3 2 3 2 4" xfId="28494"/>
    <cellStyle name="40% - Accent2 7 3 2 3 3" xfId="10573"/>
    <cellStyle name="40% - Accent2 7 3 2 3 3 2" xfId="10574"/>
    <cellStyle name="40% - Accent2 7 3 2 3 3 2 2" xfId="28499"/>
    <cellStyle name="40% - Accent2 7 3 2 3 3 3" xfId="28498"/>
    <cellStyle name="40% - Accent2 7 3 2 3 4" xfId="10575"/>
    <cellStyle name="40% - Accent2 7 3 2 3 4 2" xfId="28500"/>
    <cellStyle name="40% - Accent2 7 3 2 3 5" xfId="28493"/>
    <cellStyle name="40% - Accent2 7 3 2 4" xfId="10576"/>
    <cellStyle name="40% - Accent2 7 3 2 4 2" xfId="10577"/>
    <cellStyle name="40% - Accent2 7 3 2 4 2 2" xfId="10578"/>
    <cellStyle name="40% - Accent2 7 3 2 4 2 2 2" xfId="28503"/>
    <cellStyle name="40% - Accent2 7 3 2 4 2 3" xfId="28502"/>
    <cellStyle name="40% - Accent2 7 3 2 4 3" xfId="10579"/>
    <cellStyle name="40% - Accent2 7 3 2 4 3 2" xfId="28504"/>
    <cellStyle name="40% - Accent2 7 3 2 4 4" xfId="28501"/>
    <cellStyle name="40% - Accent2 7 3 2 5" xfId="10580"/>
    <cellStyle name="40% - Accent2 7 3 2 5 2" xfId="10581"/>
    <cellStyle name="40% - Accent2 7 3 2 5 2 2" xfId="28506"/>
    <cellStyle name="40% - Accent2 7 3 2 5 3" xfId="28505"/>
    <cellStyle name="40% - Accent2 7 3 2 6" xfId="10582"/>
    <cellStyle name="40% - Accent2 7 3 2 6 2" xfId="28507"/>
    <cellStyle name="40% - Accent2 7 3 2 7" xfId="28484"/>
    <cellStyle name="40% - Accent2 7 3 3" xfId="10583"/>
    <cellStyle name="40% - Accent2 7 3 3 2" xfId="10584"/>
    <cellStyle name="40% - Accent2 7 3 3 2 2" xfId="10585"/>
    <cellStyle name="40% - Accent2 7 3 3 2 2 2" xfId="10586"/>
    <cellStyle name="40% - Accent2 7 3 3 2 2 2 2" xfId="28511"/>
    <cellStyle name="40% - Accent2 7 3 3 2 2 3" xfId="28510"/>
    <cellStyle name="40% - Accent2 7 3 3 2 3" xfId="10587"/>
    <cellStyle name="40% - Accent2 7 3 3 2 3 2" xfId="28512"/>
    <cellStyle name="40% - Accent2 7 3 3 2 4" xfId="28509"/>
    <cellStyle name="40% - Accent2 7 3 3 3" xfId="10588"/>
    <cellStyle name="40% - Accent2 7 3 3 3 2" xfId="10589"/>
    <cellStyle name="40% - Accent2 7 3 3 3 2 2" xfId="28514"/>
    <cellStyle name="40% - Accent2 7 3 3 3 3" xfId="28513"/>
    <cellStyle name="40% - Accent2 7 3 3 4" xfId="10590"/>
    <cellStyle name="40% - Accent2 7 3 3 4 2" xfId="28515"/>
    <cellStyle name="40% - Accent2 7 3 3 5" xfId="28508"/>
    <cellStyle name="40% - Accent2 7 3 4" xfId="10591"/>
    <cellStyle name="40% - Accent2 7 3 4 2" xfId="10592"/>
    <cellStyle name="40% - Accent2 7 3 4 2 2" xfId="10593"/>
    <cellStyle name="40% - Accent2 7 3 4 2 2 2" xfId="10594"/>
    <cellStyle name="40% - Accent2 7 3 4 2 2 2 2" xfId="28519"/>
    <cellStyle name="40% - Accent2 7 3 4 2 2 3" xfId="28518"/>
    <cellStyle name="40% - Accent2 7 3 4 2 3" xfId="10595"/>
    <cellStyle name="40% - Accent2 7 3 4 2 3 2" xfId="28520"/>
    <cellStyle name="40% - Accent2 7 3 4 2 4" xfId="28517"/>
    <cellStyle name="40% - Accent2 7 3 4 3" xfId="10596"/>
    <cellStyle name="40% - Accent2 7 3 4 3 2" xfId="10597"/>
    <cellStyle name="40% - Accent2 7 3 4 3 2 2" xfId="28522"/>
    <cellStyle name="40% - Accent2 7 3 4 3 3" xfId="28521"/>
    <cellStyle name="40% - Accent2 7 3 4 4" xfId="10598"/>
    <cellStyle name="40% - Accent2 7 3 4 4 2" xfId="28523"/>
    <cellStyle name="40% - Accent2 7 3 4 5" xfId="28516"/>
    <cellStyle name="40% - Accent2 7 3 5" xfId="10599"/>
    <cellStyle name="40% - Accent2 7 3 5 2" xfId="10600"/>
    <cellStyle name="40% - Accent2 7 3 5 2 2" xfId="10601"/>
    <cellStyle name="40% - Accent2 7 3 5 2 2 2" xfId="28526"/>
    <cellStyle name="40% - Accent2 7 3 5 2 3" xfId="28525"/>
    <cellStyle name="40% - Accent2 7 3 5 3" xfId="10602"/>
    <cellStyle name="40% - Accent2 7 3 5 3 2" xfId="28527"/>
    <cellStyle name="40% - Accent2 7 3 5 4" xfId="28524"/>
    <cellStyle name="40% - Accent2 7 3 6" xfId="10603"/>
    <cellStyle name="40% - Accent2 7 3 6 2" xfId="10604"/>
    <cellStyle name="40% - Accent2 7 3 6 2 2" xfId="28529"/>
    <cellStyle name="40% - Accent2 7 3 6 3" xfId="28528"/>
    <cellStyle name="40% - Accent2 7 3 7" xfId="10605"/>
    <cellStyle name="40% - Accent2 7 3 7 2" xfId="28530"/>
    <cellStyle name="40% - Accent2 7 3 8" xfId="28483"/>
    <cellStyle name="40% - Accent2 7 4" xfId="10606"/>
    <cellStyle name="40% - Accent2 7 4 2" xfId="10607"/>
    <cellStyle name="40% - Accent2 7 4 2 2" xfId="10608"/>
    <cellStyle name="40% - Accent2 7 4 2 2 2" xfId="10609"/>
    <cellStyle name="40% - Accent2 7 4 2 2 2 2" xfId="10610"/>
    <cellStyle name="40% - Accent2 7 4 2 2 2 2 2" xfId="28535"/>
    <cellStyle name="40% - Accent2 7 4 2 2 2 3" xfId="28534"/>
    <cellStyle name="40% - Accent2 7 4 2 2 3" xfId="10611"/>
    <cellStyle name="40% - Accent2 7 4 2 2 3 2" xfId="28536"/>
    <cellStyle name="40% - Accent2 7 4 2 2 4" xfId="28533"/>
    <cellStyle name="40% - Accent2 7 4 2 3" xfId="10612"/>
    <cellStyle name="40% - Accent2 7 4 2 3 2" xfId="10613"/>
    <cellStyle name="40% - Accent2 7 4 2 3 2 2" xfId="28538"/>
    <cellStyle name="40% - Accent2 7 4 2 3 3" xfId="28537"/>
    <cellStyle name="40% - Accent2 7 4 2 4" xfId="10614"/>
    <cellStyle name="40% - Accent2 7 4 2 4 2" xfId="28539"/>
    <cellStyle name="40% - Accent2 7 4 2 5" xfId="28532"/>
    <cellStyle name="40% - Accent2 7 4 3" xfId="10615"/>
    <cellStyle name="40% - Accent2 7 4 3 2" xfId="10616"/>
    <cellStyle name="40% - Accent2 7 4 3 2 2" xfId="10617"/>
    <cellStyle name="40% - Accent2 7 4 3 2 2 2" xfId="10618"/>
    <cellStyle name="40% - Accent2 7 4 3 2 2 2 2" xfId="28543"/>
    <cellStyle name="40% - Accent2 7 4 3 2 2 3" xfId="28542"/>
    <cellStyle name="40% - Accent2 7 4 3 2 3" xfId="10619"/>
    <cellStyle name="40% - Accent2 7 4 3 2 3 2" xfId="28544"/>
    <cellStyle name="40% - Accent2 7 4 3 2 4" xfId="28541"/>
    <cellStyle name="40% - Accent2 7 4 3 3" xfId="10620"/>
    <cellStyle name="40% - Accent2 7 4 3 3 2" xfId="10621"/>
    <cellStyle name="40% - Accent2 7 4 3 3 2 2" xfId="28546"/>
    <cellStyle name="40% - Accent2 7 4 3 3 3" xfId="28545"/>
    <cellStyle name="40% - Accent2 7 4 3 4" xfId="10622"/>
    <cellStyle name="40% - Accent2 7 4 3 4 2" xfId="28547"/>
    <cellStyle name="40% - Accent2 7 4 3 5" xfId="28540"/>
    <cellStyle name="40% - Accent2 7 4 4" xfId="10623"/>
    <cellStyle name="40% - Accent2 7 4 4 2" xfId="10624"/>
    <cellStyle name="40% - Accent2 7 4 4 2 2" xfId="10625"/>
    <cellStyle name="40% - Accent2 7 4 4 2 2 2" xfId="28550"/>
    <cellStyle name="40% - Accent2 7 4 4 2 3" xfId="28549"/>
    <cellStyle name="40% - Accent2 7 4 4 3" xfId="10626"/>
    <cellStyle name="40% - Accent2 7 4 4 3 2" xfId="28551"/>
    <cellStyle name="40% - Accent2 7 4 4 4" xfId="28548"/>
    <cellStyle name="40% - Accent2 7 4 5" xfId="10627"/>
    <cellStyle name="40% - Accent2 7 4 5 2" xfId="10628"/>
    <cellStyle name="40% - Accent2 7 4 5 2 2" xfId="28553"/>
    <cellStyle name="40% - Accent2 7 4 5 3" xfId="28552"/>
    <cellStyle name="40% - Accent2 7 4 6" xfId="10629"/>
    <cellStyle name="40% - Accent2 7 4 6 2" xfId="28554"/>
    <cellStyle name="40% - Accent2 7 4 7" xfId="28531"/>
    <cellStyle name="40% - Accent2 7 5" xfId="10630"/>
    <cellStyle name="40% - Accent2 7 5 2" xfId="10631"/>
    <cellStyle name="40% - Accent2 7 5 2 2" xfId="10632"/>
    <cellStyle name="40% - Accent2 7 5 2 2 2" xfId="10633"/>
    <cellStyle name="40% - Accent2 7 5 2 2 2 2" xfId="28558"/>
    <cellStyle name="40% - Accent2 7 5 2 2 3" xfId="28557"/>
    <cellStyle name="40% - Accent2 7 5 2 3" xfId="10634"/>
    <cellStyle name="40% - Accent2 7 5 2 3 2" xfId="28559"/>
    <cellStyle name="40% - Accent2 7 5 2 4" xfId="28556"/>
    <cellStyle name="40% - Accent2 7 5 3" xfId="10635"/>
    <cellStyle name="40% - Accent2 7 5 3 2" xfId="10636"/>
    <cellStyle name="40% - Accent2 7 5 3 2 2" xfId="28561"/>
    <cellStyle name="40% - Accent2 7 5 3 3" xfId="28560"/>
    <cellStyle name="40% - Accent2 7 5 4" xfId="10637"/>
    <cellStyle name="40% - Accent2 7 5 4 2" xfId="28562"/>
    <cellStyle name="40% - Accent2 7 5 5" xfId="28555"/>
    <cellStyle name="40% - Accent2 7 6" xfId="10638"/>
    <cellStyle name="40% - Accent2 7 6 2" xfId="10639"/>
    <cellStyle name="40% - Accent2 7 6 2 2" xfId="10640"/>
    <cellStyle name="40% - Accent2 7 6 2 2 2" xfId="10641"/>
    <cellStyle name="40% - Accent2 7 6 2 2 2 2" xfId="28566"/>
    <cellStyle name="40% - Accent2 7 6 2 2 3" xfId="28565"/>
    <cellStyle name="40% - Accent2 7 6 2 3" xfId="10642"/>
    <cellStyle name="40% - Accent2 7 6 2 3 2" xfId="28567"/>
    <cellStyle name="40% - Accent2 7 6 2 4" xfId="28564"/>
    <cellStyle name="40% - Accent2 7 6 3" xfId="10643"/>
    <cellStyle name="40% - Accent2 7 6 3 2" xfId="10644"/>
    <cellStyle name="40% - Accent2 7 6 3 2 2" xfId="28569"/>
    <cellStyle name="40% - Accent2 7 6 3 3" xfId="28568"/>
    <cellStyle name="40% - Accent2 7 6 4" xfId="10645"/>
    <cellStyle name="40% - Accent2 7 6 4 2" xfId="28570"/>
    <cellStyle name="40% - Accent2 7 6 5" xfId="28563"/>
    <cellStyle name="40% - Accent2 7 7" xfId="10646"/>
    <cellStyle name="40% - Accent2 7 7 2" xfId="10647"/>
    <cellStyle name="40% - Accent2 7 7 2 2" xfId="10648"/>
    <cellStyle name="40% - Accent2 7 7 2 2 2" xfId="28573"/>
    <cellStyle name="40% - Accent2 7 7 2 3" xfId="28572"/>
    <cellStyle name="40% - Accent2 7 7 3" xfId="10649"/>
    <cellStyle name="40% - Accent2 7 7 3 2" xfId="28574"/>
    <cellStyle name="40% - Accent2 7 7 4" xfId="28571"/>
    <cellStyle name="40% - Accent2 7 8" xfId="10650"/>
    <cellStyle name="40% - Accent2 7 8 2" xfId="10651"/>
    <cellStyle name="40% - Accent2 7 8 2 2" xfId="28576"/>
    <cellStyle name="40% - Accent2 7 8 3" xfId="28575"/>
    <cellStyle name="40% - Accent2 7 9" xfId="10652"/>
    <cellStyle name="40% - Accent2 7 9 2" xfId="28577"/>
    <cellStyle name="40% - Accent2 8" xfId="10653"/>
    <cellStyle name="40% - Accent2 8 10" xfId="28578"/>
    <cellStyle name="40% - Accent2 8 2" xfId="10654"/>
    <cellStyle name="40% - Accent2 8 2 2" xfId="10655"/>
    <cellStyle name="40% - Accent2 8 2 2 2" xfId="10656"/>
    <cellStyle name="40% - Accent2 8 2 2 2 2" xfId="10657"/>
    <cellStyle name="40% - Accent2 8 2 2 2 2 2" xfId="10658"/>
    <cellStyle name="40% - Accent2 8 2 2 2 2 2 2" xfId="10659"/>
    <cellStyle name="40% - Accent2 8 2 2 2 2 2 2 2" xfId="10660"/>
    <cellStyle name="40% - Accent2 8 2 2 2 2 2 2 2 2" xfId="28585"/>
    <cellStyle name="40% - Accent2 8 2 2 2 2 2 2 3" xfId="28584"/>
    <cellStyle name="40% - Accent2 8 2 2 2 2 2 3" xfId="10661"/>
    <cellStyle name="40% - Accent2 8 2 2 2 2 2 3 2" xfId="28586"/>
    <cellStyle name="40% - Accent2 8 2 2 2 2 2 4" xfId="28583"/>
    <cellStyle name="40% - Accent2 8 2 2 2 2 3" xfId="10662"/>
    <cellStyle name="40% - Accent2 8 2 2 2 2 3 2" xfId="10663"/>
    <cellStyle name="40% - Accent2 8 2 2 2 2 3 2 2" xfId="28588"/>
    <cellStyle name="40% - Accent2 8 2 2 2 2 3 3" xfId="28587"/>
    <cellStyle name="40% - Accent2 8 2 2 2 2 4" xfId="10664"/>
    <cellStyle name="40% - Accent2 8 2 2 2 2 4 2" xfId="28589"/>
    <cellStyle name="40% - Accent2 8 2 2 2 2 5" xfId="28582"/>
    <cellStyle name="40% - Accent2 8 2 2 2 3" xfId="10665"/>
    <cellStyle name="40% - Accent2 8 2 2 2 3 2" xfId="10666"/>
    <cellStyle name="40% - Accent2 8 2 2 2 3 2 2" xfId="10667"/>
    <cellStyle name="40% - Accent2 8 2 2 2 3 2 2 2" xfId="10668"/>
    <cellStyle name="40% - Accent2 8 2 2 2 3 2 2 2 2" xfId="28593"/>
    <cellStyle name="40% - Accent2 8 2 2 2 3 2 2 3" xfId="28592"/>
    <cellStyle name="40% - Accent2 8 2 2 2 3 2 3" xfId="10669"/>
    <cellStyle name="40% - Accent2 8 2 2 2 3 2 3 2" xfId="28594"/>
    <cellStyle name="40% - Accent2 8 2 2 2 3 2 4" xfId="28591"/>
    <cellStyle name="40% - Accent2 8 2 2 2 3 3" xfId="10670"/>
    <cellStyle name="40% - Accent2 8 2 2 2 3 3 2" xfId="10671"/>
    <cellStyle name="40% - Accent2 8 2 2 2 3 3 2 2" xfId="28596"/>
    <cellStyle name="40% - Accent2 8 2 2 2 3 3 3" xfId="28595"/>
    <cellStyle name="40% - Accent2 8 2 2 2 3 4" xfId="10672"/>
    <cellStyle name="40% - Accent2 8 2 2 2 3 4 2" xfId="28597"/>
    <cellStyle name="40% - Accent2 8 2 2 2 3 5" xfId="28590"/>
    <cellStyle name="40% - Accent2 8 2 2 2 4" xfId="10673"/>
    <cellStyle name="40% - Accent2 8 2 2 2 4 2" xfId="10674"/>
    <cellStyle name="40% - Accent2 8 2 2 2 4 2 2" xfId="10675"/>
    <cellStyle name="40% - Accent2 8 2 2 2 4 2 2 2" xfId="28600"/>
    <cellStyle name="40% - Accent2 8 2 2 2 4 2 3" xfId="28599"/>
    <cellStyle name="40% - Accent2 8 2 2 2 4 3" xfId="10676"/>
    <cellStyle name="40% - Accent2 8 2 2 2 4 3 2" xfId="28601"/>
    <cellStyle name="40% - Accent2 8 2 2 2 4 4" xfId="28598"/>
    <cellStyle name="40% - Accent2 8 2 2 2 5" xfId="10677"/>
    <cellStyle name="40% - Accent2 8 2 2 2 5 2" xfId="10678"/>
    <cellStyle name="40% - Accent2 8 2 2 2 5 2 2" xfId="28603"/>
    <cellStyle name="40% - Accent2 8 2 2 2 5 3" xfId="28602"/>
    <cellStyle name="40% - Accent2 8 2 2 2 6" xfId="10679"/>
    <cellStyle name="40% - Accent2 8 2 2 2 6 2" xfId="28604"/>
    <cellStyle name="40% - Accent2 8 2 2 2 7" xfId="28581"/>
    <cellStyle name="40% - Accent2 8 2 2 3" xfId="10680"/>
    <cellStyle name="40% - Accent2 8 2 2 3 2" xfId="10681"/>
    <cellStyle name="40% - Accent2 8 2 2 3 2 2" xfId="10682"/>
    <cellStyle name="40% - Accent2 8 2 2 3 2 2 2" xfId="10683"/>
    <cellStyle name="40% - Accent2 8 2 2 3 2 2 2 2" xfId="28608"/>
    <cellStyle name="40% - Accent2 8 2 2 3 2 2 3" xfId="28607"/>
    <cellStyle name="40% - Accent2 8 2 2 3 2 3" xfId="10684"/>
    <cellStyle name="40% - Accent2 8 2 2 3 2 3 2" xfId="28609"/>
    <cellStyle name="40% - Accent2 8 2 2 3 2 4" xfId="28606"/>
    <cellStyle name="40% - Accent2 8 2 2 3 3" xfId="10685"/>
    <cellStyle name="40% - Accent2 8 2 2 3 3 2" xfId="10686"/>
    <cellStyle name="40% - Accent2 8 2 2 3 3 2 2" xfId="28611"/>
    <cellStyle name="40% - Accent2 8 2 2 3 3 3" xfId="28610"/>
    <cellStyle name="40% - Accent2 8 2 2 3 4" xfId="10687"/>
    <cellStyle name="40% - Accent2 8 2 2 3 4 2" xfId="28612"/>
    <cellStyle name="40% - Accent2 8 2 2 3 5" xfId="28605"/>
    <cellStyle name="40% - Accent2 8 2 2 4" xfId="10688"/>
    <cellStyle name="40% - Accent2 8 2 2 4 2" xfId="10689"/>
    <cellStyle name="40% - Accent2 8 2 2 4 2 2" xfId="10690"/>
    <cellStyle name="40% - Accent2 8 2 2 4 2 2 2" xfId="10691"/>
    <cellStyle name="40% - Accent2 8 2 2 4 2 2 2 2" xfId="28616"/>
    <cellStyle name="40% - Accent2 8 2 2 4 2 2 3" xfId="28615"/>
    <cellStyle name="40% - Accent2 8 2 2 4 2 3" xfId="10692"/>
    <cellStyle name="40% - Accent2 8 2 2 4 2 3 2" xfId="28617"/>
    <cellStyle name="40% - Accent2 8 2 2 4 2 4" xfId="28614"/>
    <cellStyle name="40% - Accent2 8 2 2 4 3" xfId="10693"/>
    <cellStyle name="40% - Accent2 8 2 2 4 3 2" xfId="10694"/>
    <cellStyle name="40% - Accent2 8 2 2 4 3 2 2" xfId="28619"/>
    <cellStyle name="40% - Accent2 8 2 2 4 3 3" xfId="28618"/>
    <cellStyle name="40% - Accent2 8 2 2 4 4" xfId="10695"/>
    <cellStyle name="40% - Accent2 8 2 2 4 4 2" xfId="28620"/>
    <cellStyle name="40% - Accent2 8 2 2 4 5" xfId="28613"/>
    <cellStyle name="40% - Accent2 8 2 2 5" xfId="10696"/>
    <cellStyle name="40% - Accent2 8 2 2 5 2" xfId="10697"/>
    <cellStyle name="40% - Accent2 8 2 2 5 2 2" xfId="10698"/>
    <cellStyle name="40% - Accent2 8 2 2 5 2 2 2" xfId="28623"/>
    <cellStyle name="40% - Accent2 8 2 2 5 2 3" xfId="28622"/>
    <cellStyle name="40% - Accent2 8 2 2 5 3" xfId="10699"/>
    <cellStyle name="40% - Accent2 8 2 2 5 3 2" xfId="28624"/>
    <cellStyle name="40% - Accent2 8 2 2 5 4" xfId="28621"/>
    <cellStyle name="40% - Accent2 8 2 2 6" xfId="10700"/>
    <cellStyle name="40% - Accent2 8 2 2 6 2" xfId="10701"/>
    <cellStyle name="40% - Accent2 8 2 2 6 2 2" xfId="28626"/>
    <cellStyle name="40% - Accent2 8 2 2 6 3" xfId="28625"/>
    <cellStyle name="40% - Accent2 8 2 2 7" xfId="10702"/>
    <cellStyle name="40% - Accent2 8 2 2 7 2" xfId="28627"/>
    <cellStyle name="40% - Accent2 8 2 2 8" xfId="28580"/>
    <cellStyle name="40% - Accent2 8 2 3" xfId="10703"/>
    <cellStyle name="40% - Accent2 8 2 3 2" xfId="10704"/>
    <cellStyle name="40% - Accent2 8 2 3 2 2" xfId="10705"/>
    <cellStyle name="40% - Accent2 8 2 3 2 2 2" xfId="10706"/>
    <cellStyle name="40% - Accent2 8 2 3 2 2 2 2" xfId="10707"/>
    <cellStyle name="40% - Accent2 8 2 3 2 2 2 2 2" xfId="28632"/>
    <cellStyle name="40% - Accent2 8 2 3 2 2 2 3" xfId="28631"/>
    <cellStyle name="40% - Accent2 8 2 3 2 2 3" xfId="10708"/>
    <cellStyle name="40% - Accent2 8 2 3 2 2 3 2" xfId="28633"/>
    <cellStyle name="40% - Accent2 8 2 3 2 2 4" xfId="28630"/>
    <cellStyle name="40% - Accent2 8 2 3 2 3" xfId="10709"/>
    <cellStyle name="40% - Accent2 8 2 3 2 3 2" xfId="10710"/>
    <cellStyle name="40% - Accent2 8 2 3 2 3 2 2" xfId="28635"/>
    <cellStyle name="40% - Accent2 8 2 3 2 3 3" xfId="28634"/>
    <cellStyle name="40% - Accent2 8 2 3 2 4" xfId="10711"/>
    <cellStyle name="40% - Accent2 8 2 3 2 4 2" xfId="28636"/>
    <cellStyle name="40% - Accent2 8 2 3 2 5" xfId="28629"/>
    <cellStyle name="40% - Accent2 8 2 3 3" xfId="10712"/>
    <cellStyle name="40% - Accent2 8 2 3 3 2" xfId="10713"/>
    <cellStyle name="40% - Accent2 8 2 3 3 2 2" xfId="10714"/>
    <cellStyle name="40% - Accent2 8 2 3 3 2 2 2" xfId="10715"/>
    <cellStyle name="40% - Accent2 8 2 3 3 2 2 2 2" xfId="28640"/>
    <cellStyle name="40% - Accent2 8 2 3 3 2 2 3" xfId="28639"/>
    <cellStyle name="40% - Accent2 8 2 3 3 2 3" xfId="10716"/>
    <cellStyle name="40% - Accent2 8 2 3 3 2 3 2" xfId="28641"/>
    <cellStyle name="40% - Accent2 8 2 3 3 2 4" xfId="28638"/>
    <cellStyle name="40% - Accent2 8 2 3 3 3" xfId="10717"/>
    <cellStyle name="40% - Accent2 8 2 3 3 3 2" xfId="10718"/>
    <cellStyle name="40% - Accent2 8 2 3 3 3 2 2" xfId="28643"/>
    <cellStyle name="40% - Accent2 8 2 3 3 3 3" xfId="28642"/>
    <cellStyle name="40% - Accent2 8 2 3 3 4" xfId="10719"/>
    <cellStyle name="40% - Accent2 8 2 3 3 4 2" xfId="28644"/>
    <cellStyle name="40% - Accent2 8 2 3 3 5" xfId="28637"/>
    <cellStyle name="40% - Accent2 8 2 3 4" xfId="10720"/>
    <cellStyle name="40% - Accent2 8 2 3 4 2" xfId="10721"/>
    <cellStyle name="40% - Accent2 8 2 3 4 2 2" xfId="10722"/>
    <cellStyle name="40% - Accent2 8 2 3 4 2 2 2" xfId="28647"/>
    <cellStyle name="40% - Accent2 8 2 3 4 2 3" xfId="28646"/>
    <cellStyle name="40% - Accent2 8 2 3 4 3" xfId="10723"/>
    <cellStyle name="40% - Accent2 8 2 3 4 3 2" xfId="28648"/>
    <cellStyle name="40% - Accent2 8 2 3 4 4" xfId="28645"/>
    <cellStyle name="40% - Accent2 8 2 3 5" xfId="10724"/>
    <cellStyle name="40% - Accent2 8 2 3 5 2" xfId="10725"/>
    <cellStyle name="40% - Accent2 8 2 3 5 2 2" xfId="28650"/>
    <cellStyle name="40% - Accent2 8 2 3 5 3" xfId="28649"/>
    <cellStyle name="40% - Accent2 8 2 3 6" xfId="10726"/>
    <cellStyle name="40% - Accent2 8 2 3 6 2" xfId="28651"/>
    <cellStyle name="40% - Accent2 8 2 3 7" xfId="28628"/>
    <cellStyle name="40% - Accent2 8 2 4" xfId="10727"/>
    <cellStyle name="40% - Accent2 8 2 4 2" xfId="10728"/>
    <cellStyle name="40% - Accent2 8 2 4 2 2" xfId="10729"/>
    <cellStyle name="40% - Accent2 8 2 4 2 2 2" xfId="10730"/>
    <cellStyle name="40% - Accent2 8 2 4 2 2 2 2" xfId="28655"/>
    <cellStyle name="40% - Accent2 8 2 4 2 2 3" xfId="28654"/>
    <cellStyle name="40% - Accent2 8 2 4 2 3" xfId="10731"/>
    <cellStyle name="40% - Accent2 8 2 4 2 3 2" xfId="28656"/>
    <cellStyle name="40% - Accent2 8 2 4 2 4" xfId="28653"/>
    <cellStyle name="40% - Accent2 8 2 4 3" xfId="10732"/>
    <cellStyle name="40% - Accent2 8 2 4 3 2" xfId="10733"/>
    <cellStyle name="40% - Accent2 8 2 4 3 2 2" xfId="28658"/>
    <cellStyle name="40% - Accent2 8 2 4 3 3" xfId="28657"/>
    <cellStyle name="40% - Accent2 8 2 4 4" xfId="10734"/>
    <cellStyle name="40% - Accent2 8 2 4 4 2" xfId="28659"/>
    <cellStyle name="40% - Accent2 8 2 4 5" xfId="28652"/>
    <cellStyle name="40% - Accent2 8 2 5" xfId="10735"/>
    <cellStyle name="40% - Accent2 8 2 5 2" xfId="10736"/>
    <cellStyle name="40% - Accent2 8 2 5 2 2" xfId="10737"/>
    <cellStyle name="40% - Accent2 8 2 5 2 2 2" xfId="10738"/>
    <cellStyle name="40% - Accent2 8 2 5 2 2 2 2" xfId="28663"/>
    <cellStyle name="40% - Accent2 8 2 5 2 2 3" xfId="28662"/>
    <cellStyle name="40% - Accent2 8 2 5 2 3" xfId="10739"/>
    <cellStyle name="40% - Accent2 8 2 5 2 3 2" xfId="28664"/>
    <cellStyle name="40% - Accent2 8 2 5 2 4" xfId="28661"/>
    <cellStyle name="40% - Accent2 8 2 5 3" xfId="10740"/>
    <cellStyle name="40% - Accent2 8 2 5 3 2" xfId="10741"/>
    <cellStyle name="40% - Accent2 8 2 5 3 2 2" xfId="28666"/>
    <cellStyle name="40% - Accent2 8 2 5 3 3" xfId="28665"/>
    <cellStyle name="40% - Accent2 8 2 5 4" xfId="10742"/>
    <cellStyle name="40% - Accent2 8 2 5 4 2" xfId="28667"/>
    <cellStyle name="40% - Accent2 8 2 5 5" xfId="28660"/>
    <cellStyle name="40% - Accent2 8 2 6" xfId="10743"/>
    <cellStyle name="40% - Accent2 8 2 6 2" xfId="10744"/>
    <cellStyle name="40% - Accent2 8 2 6 2 2" xfId="10745"/>
    <cellStyle name="40% - Accent2 8 2 6 2 2 2" xfId="28670"/>
    <cellStyle name="40% - Accent2 8 2 6 2 3" xfId="28669"/>
    <cellStyle name="40% - Accent2 8 2 6 3" xfId="10746"/>
    <cellStyle name="40% - Accent2 8 2 6 3 2" xfId="28671"/>
    <cellStyle name="40% - Accent2 8 2 6 4" xfId="28668"/>
    <cellStyle name="40% - Accent2 8 2 7" xfId="10747"/>
    <cellStyle name="40% - Accent2 8 2 7 2" xfId="10748"/>
    <cellStyle name="40% - Accent2 8 2 7 2 2" xfId="28673"/>
    <cellStyle name="40% - Accent2 8 2 7 3" xfId="28672"/>
    <cellStyle name="40% - Accent2 8 2 8" xfId="10749"/>
    <cellStyle name="40% - Accent2 8 2 8 2" xfId="28674"/>
    <cellStyle name="40% - Accent2 8 2 9" xfId="28579"/>
    <cellStyle name="40% - Accent2 8 3" xfId="10750"/>
    <cellStyle name="40% - Accent2 8 3 2" xfId="10751"/>
    <cellStyle name="40% - Accent2 8 3 2 2" xfId="10752"/>
    <cellStyle name="40% - Accent2 8 3 2 2 2" xfId="10753"/>
    <cellStyle name="40% - Accent2 8 3 2 2 2 2" xfId="10754"/>
    <cellStyle name="40% - Accent2 8 3 2 2 2 2 2" xfId="10755"/>
    <cellStyle name="40% - Accent2 8 3 2 2 2 2 2 2" xfId="28680"/>
    <cellStyle name="40% - Accent2 8 3 2 2 2 2 3" xfId="28679"/>
    <cellStyle name="40% - Accent2 8 3 2 2 2 3" xfId="10756"/>
    <cellStyle name="40% - Accent2 8 3 2 2 2 3 2" xfId="28681"/>
    <cellStyle name="40% - Accent2 8 3 2 2 2 4" xfId="28678"/>
    <cellStyle name="40% - Accent2 8 3 2 2 3" xfId="10757"/>
    <cellStyle name="40% - Accent2 8 3 2 2 3 2" xfId="10758"/>
    <cellStyle name="40% - Accent2 8 3 2 2 3 2 2" xfId="28683"/>
    <cellStyle name="40% - Accent2 8 3 2 2 3 3" xfId="28682"/>
    <cellStyle name="40% - Accent2 8 3 2 2 4" xfId="10759"/>
    <cellStyle name="40% - Accent2 8 3 2 2 4 2" xfId="28684"/>
    <cellStyle name="40% - Accent2 8 3 2 2 5" xfId="28677"/>
    <cellStyle name="40% - Accent2 8 3 2 3" xfId="10760"/>
    <cellStyle name="40% - Accent2 8 3 2 3 2" xfId="10761"/>
    <cellStyle name="40% - Accent2 8 3 2 3 2 2" xfId="10762"/>
    <cellStyle name="40% - Accent2 8 3 2 3 2 2 2" xfId="10763"/>
    <cellStyle name="40% - Accent2 8 3 2 3 2 2 2 2" xfId="28688"/>
    <cellStyle name="40% - Accent2 8 3 2 3 2 2 3" xfId="28687"/>
    <cellStyle name="40% - Accent2 8 3 2 3 2 3" xfId="10764"/>
    <cellStyle name="40% - Accent2 8 3 2 3 2 3 2" xfId="28689"/>
    <cellStyle name="40% - Accent2 8 3 2 3 2 4" xfId="28686"/>
    <cellStyle name="40% - Accent2 8 3 2 3 3" xfId="10765"/>
    <cellStyle name="40% - Accent2 8 3 2 3 3 2" xfId="10766"/>
    <cellStyle name="40% - Accent2 8 3 2 3 3 2 2" xfId="28691"/>
    <cellStyle name="40% - Accent2 8 3 2 3 3 3" xfId="28690"/>
    <cellStyle name="40% - Accent2 8 3 2 3 4" xfId="10767"/>
    <cellStyle name="40% - Accent2 8 3 2 3 4 2" xfId="28692"/>
    <cellStyle name="40% - Accent2 8 3 2 3 5" xfId="28685"/>
    <cellStyle name="40% - Accent2 8 3 2 4" xfId="10768"/>
    <cellStyle name="40% - Accent2 8 3 2 4 2" xfId="10769"/>
    <cellStyle name="40% - Accent2 8 3 2 4 2 2" xfId="10770"/>
    <cellStyle name="40% - Accent2 8 3 2 4 2 2 2" xfId="28695"/>
    <cellStyle name="40% - Accent2 8 3 2 4 2 3" xfId="28694"/>
    <cellStyle name="40% - Accent2 8 3 2 4 3" xfId="10771"/>
    <cellStyle name="40% - Accent2 8 3 2 4 3 2" xfId="28696"/>
    <cellStyle name="40% - Accent2 8 3 2 4 4" xfId="28693"/>
    <cellStyle name="40% - Accent2 8 3 2 5" xfId="10772"/>
    <cellStyle name="40% - Accent2 8 3 2 5 2" xfId="10773"/>
    <cellStyle name="40% - Accent2 8 3 2 5 2 2" xfId="28698"/>
    <cellStyle name="40% - Accent2 8 3 2 5 3" xfId="28697"/>
    <cellStyle name="40% - Accent2 8 3 2 6" xfId="10774"/>
    <cellStyle name="40% - Accent2 8 3 2 6 2" xfId="28699"/>
    <cellStyle name="40% - Accent2 8 3 2 7" xfId="28676"/>
    <cellStyle name="40% - Accent2 8 3 3" xfId="10775"/>
    <cellStyle name="40% - Accent2 8 3 3 2" xfId="10776"/>
    <cellStyle name="40% - Accent2 8 3 3 2 2" xfId="10777"/>
    <cellStyle name="40% - Accent2 8 3 3 2 2 2" xfId="10778"/>
    <cellStyle name="40% - Accent2 8 3 3 2 2 2 2" xfId="28703"/>
    <cellStyle name="40% - Accent2 8 3 3 2 2 3" xfId="28702"/>
    <cellStyle name="40% - Accent2 8 3 3 2 3" xfId="10779"/>
    <cellStyle name="40% - Accent2 8 3 3 2 3 2" xfId="28704"/>
    <cellStyle name="40% - Accent2 8 3 3 2 4" xfId="28701"/>
    <cellStyle name="40% - Accent2 8 3 3 3" xfId="10780"/>
    <cellStyle name="40% - Accent2 8 3 3 3 2" xfId="10781"/>
    <cellStyle name="40% - Accent2 8 3 3 3 2 2" xfId="28706"/>
    <cellStyle name="40% - Accent2 8 3 3 3 3" xfId="28705"/>
    <cellStyle name="40% - Accent2 8 3 3 4" xfId="10782"/>
    <cellStyle name="40% - Accent2 8 3 3 4 2" xfId="28707"/>
    <cellStyle name="40% - Accent2 8 3 3 5" xfId="28700"/>
    <cellStyle name="40% - Accent2 8 3 4" xfId="10783"/>
    <cellStyle name="40% - Accent2 8 3 4 2" xfId="10784"/>
    <cellStyle name="40% - Accent2 8 3 4 2 2" xfId="10785"/>
    <cellStyle name="40% - Accent2 8 3 4 2 2 2" xfId="10786"/>
    <cellStyle name="40% - Accent2 8 3 4 2 2 2 2" xfId="28711"/>
    <cellStyle name="40% - Accent2 8 3 4 2 2 3" xfId="28710"/>
    <cellStyle name="40% - Accent2 8 3 4 2 3" xfId="10787"/>
    <cellStyle name="40% - Accent2 8 3 4 2 3 2" xfId="28712"/>
    <cellStyle name="40% - Accent2 8 3 4 2 4" xfId="28709"/>
    <cellStyle name="40% - Accent2 8 3 4 3" xfId="10788"/>
    <cellStyle name="40% - Accent2 8 3 4 3 2" xfId="10789"/>
    <cellStyle name="40% - Accent2 8 3 4 3 2 2" xfId="28714"/>
    <cellStyle name="40% - Accent2 8 3 4 3 3" xfId="28713"/>
    <cellStyle name="40% - Accent2 8 3 4 4" xfId="10790"/>
    <cellStyle name="40% - Accent2 8 3 4 4 2" xfId="28715"/>
    <cellStyle name="40% - Accent2 8 3 4 5" xfId="28708"/>
    <cellStyle name="40% - Accent2 8 3 5" xfId="10791"/>
    <cellStyle name="40% - Accent2 8 3 5 2" xfId="10792"/>
    <cellStyle name="40% - Accent2 8 3 5 2 2" xfId="10793"/>
    <cellStyle name="40% - Accent2 8 3 5 2 2 2" xfId="28718"/>
    <cellStyle name="40% - Accent2 8 3 5 2 3" xfId="28717"/>
    <cellStyle name="40% - Accent2 8 3 5 3" xfId="10794"/>
    <cellStyle name="40% - Accent2 8 3 5 3 2" xfId="28719"/>
    <cellStyle name="40% - Accent2 8 3 5 4" xfId="28716"/>
    <cellStyle name="40% - Accent2 8 3 6" xfId="10795"/>
    <cellStyle name="40% - Accent2 8 3 6 2" xfId="10796"/>
    <cellStyle name="40% - Accent2 8 3 6 2 2" xfId="28721"/>
    <cellStyle name="40% - Accent2 8 3 6 3" xfId="28720"/>
    <cellStyle name="40% - Accent2 8 3 7" xfId="10797"/>
    <cellStyle name="40% - Accent2 8 3 7 2" xfId="28722"/>
    <cellStyle name="40% - Accent2 8 3 8" xfId="28675"/>
    <cellStyle name="40% - Accent2 8 4" xfId="10798"/>
    <cellStyle name="40% - Accent2 8 4 2" xfId="10799"/>
    <cellStyle name="40% - Accent2 8 4 2 2" xfId="10800"/>
    <cellStyle name="40% - Accent2 8 4 2 2 2" xfId="10801"/>
    <cellStyle name="40% - Accent2 8 4 2 2 2 2" xfId="10802"/>
    <cellStyle name="40% - Accent2 8 4 2 2 2 2 2" xfId="28727"/>
    <cellStyle name="40% - Accent2 8 4 2 2 2 3" xfId="28726"/>
    <cellStyle name="40% - Accent2 8 4 2 2 3" xfId="10803"/>
    <cellStyle name="40% - Accent2 8 4 2 2 3 2" xfId="28728"/>
    <cellStyle name="40% - Accent2 8 4 2 2 4" xfId="28725"/>
    <cellStyle name="40% - Accent2 8 4 2 3" xfId="10804"/>
    <cellStyle name="40% - Accent2 8 4 2 3 2" xfId="10805"/>
    <cellStyle name="40% - Accent2 8 4 2 3 2 2" xfId="28730"/>
    <cellStyle name="40% - Accent2 8 4 2 3 3" xfId="28729"/>
    <cellStyle name="40% - Accent2 8 4 2 4" xfId="10806"/>
    <cellStyle name="40% - Accent2 8 4 2 4 2" xfId="28731"/>
    <cellStyle name="40% - Accent2 8 4 2 5" xfId="28724"/>
    <cellStyle name="40% - Accent2 8 4 3" xfId="10807"/>
    <cellStyle name="40% - Accent2 8 4 3 2" xfId="10808"/>
    <cellStyle name="40% - Accent2 8 4 3 2 2" xfId="10809"/>
    <cellStyle name="40% - Accent2 8 4 3 2 2 2" xfId="10810"/>
    <cellStyle name="40% - Accent2 8 4 3 2 2 2 2" xfId="28735"/>
    <cellStyle name="40% - Accent2 8 4 3 2 2 3" xfId="28734"/>
    <cellStyle name="40% - Accent2 8 4 3 2 3" xfId="10811"/>
    <cellStyle name="40% - Accent2 8 4 3 2 3 2" xfId="28736"/>
    <cellStyle name="40% - Accent2 8 4 3 2 4" xfId="28733"/>
    <cellStyle name="40% - Accent2 8 4 3 3" xfId="10812"/>
    <cellStyle name="40% - Accent2 8 4 3 3 2" xfId="10813"/>
    <cellStyle name="40% - Accent2 8 4 3 3 2 2" xfId="28738"/>
    <cellStyle name="40% - Accent2 8 4 3 3 3" xfId="28737"/>
    <cellStyle name="40% - Accent2 8 4 3 4" xfId="10814"/>
    <cellStyle name="40% - Accent2 8 4 3 4 2" xfId="28739"/>
    <cellStyle name="40% - Accent2 8 4 3 5" xfId="28732"/>
    <cellStyle name="40% - Accent2 8 4 4" xfId="10815"/>
    <cellStyle name="40% - Accent2 8 4 4 2" xfId="10816"/>
    <cellStyle name="40% - Accent2 8 4 4 2 2" xfId="10817"/>
    <cellStyle name="40% - Accent2 8 4 4 2 2 2" xfId="28742"/>
    <cellStyle name="40% - Accent2 8 4 4 2 3" xfId="28741"/>
    <cellStyle name="40% - Accent2 8 4 4 3" xfId="10818"/>
    <cellStyle name="40% - Accent2 8 4 4 3 2" xfId="28743"/>
    <cellStyle name="40% - Accent2 8 4 4 4" xfId="28740"/>
    <cellStyle name="40% - Accent2 8 4 5" xfId="10819"/>
    <cellStyle name="40% - Accent2 8 4 5 2" xfId="10820"/>
    <cellStyle name="40% - Accent2 8 4 5 2 2" xfId="28745"/>
    <cellStyle name="40% - Accent2 8 4 5 3" xfId="28744"/>
    <cellStyle name="40% - Accent2 8 4 6" xfId="10821"/>
    <cellStyle name="40% - Accent2 8 4 6 2" xfId="28746"/>
    <cellStyle name="40% - Accent2 8 4 7" xfId="28723"/>
    <cellStyle name="40% - Accent2 8 5" xfId="10822"/>
    <cellStyle name="40% - Accent2 8 5 2" xfId="10823"/>
    <cellStyle name="40% - Accent2 8 5 2 2" xfId="10824"/>
    <cellStyle name="40% - Accent2 8 5 2 2 2" xfId="10825"/>
    <cellStyle name="40% - Accent2 8 5 2 2 2 2" xfId="28750"/>
    <cellStyle name="40% - Accent2 8 5 2 2 3" xfId="28749"/>
    <cellStyle name="40% - Accent2 8 5 2 3" xfId="10826"/>
    <cellStyle name="40% - Accent2 8 5 2 3 2" xfId="28751"/>
    <cellStyle name="40% - Accent2 8 5 2 4" xfId="28748"/>
    <cellStyle name="40% - Accent2 8 5 3" xfId="10827"/>
    <cellStyle name="40% - Accent2 8 5 3 2" xfId="10828"/>
    <cellStyle name="40% - Accent2 8 5 3 2 2" xfId="28753"/>
    <cellStyle name="40% - Accent2 8 5 3 3" xfId="28752"/>
    <cellStyle name="40% - Accent2 8 5 4" xfId="10829"/>
    <cellStyle name="40% - Accent2 8 5 4 2" xfId="28754"/>
    <cellStyle name="40% - Accent2 8 5 5" xfId="28747"/>
    <cellStyle name="40% - Accent2 8 6" xfId="10830"/>
    <cellStyle name="40% - Accent2 8 6 2" xfId="10831"/>
    <cellStyle name="40% - Accent2 8 6 2 2" xfId="10832"/>
    <cellStyle name="40% - Accent2 8 6 2 2 2" xfId="10833"/>
    <cellStyle name="40% - Accent2 8 6 2 2 2 2" xfId="28758"/>
    <cellStyle name="40% - Accent2 8 6 2 2 3" xfId="28757"/>
    <cellStyle name="40% - Accent2 8 6 2 3" xfId="10834"/>
    <cellStyle name="40% - Accent2 8 6 2 3 2" xfId="28759"/>
    <cellStyle name="40% - Accent2 8 6 2 4" xfId="28756"/>
    <cellStyle name="40% - Accent2 8 6 3" xfId="10835"/>
    <cellStyle name="40% - Accent2 8 6 3 2" xfId="10836"/>
    <cellStyle name="40% - Accent2 8 6 3 2 2" xfId="28761"/>
    <cellStyle name="40% - Accent2 8 6 3 3" xfId="28760"/>
    <cellStyle name="40% - Accent2 8 6 4" xfId="10837"/>
    <cellStyle name="40% - Accent2 8 6 4 2" xfId="28762"/>
    <cellStyle name="40% - Accent2 8 6 5" xfId="28755"/>
    <cellStyle name="40% - Accent2 8 7" xfId="10838"/>
    <cellStyle name="40% - Accent2 8 7 2" xfId="10839"/>
    <cellStyle name="40% - Accent2 8 7 2 2" xfId="10840"/>
    <cellStyle name="40% - Accent2 8 7 2 2 2" xfId="28765"/>
    <cellStyle name="40% - Accent2 8 7 2 3" xfId="28764"/>
    <cellStyle name="40% - Accent2 8 7 3" xfId="10841"/>
    <cellStyle name="40% - Accent2 8 7 3 2" xfId="28766"/>
    <cellStyle name="40% - Accent2 8 7 4" xfId="28763"/>
    <cellStyle name="40% - Accent2 8 8" xfId="10842"/>
    <cellStyle name="40% - Accent2 8 8 2" xfId="10843"/>
    <cellStyle name="40% - Accent2 8 8 2 2" xfId="28768"/>
    <cellStyle name="40% - Accent2 8 8 3" xfId="28767"/>
    <cellStyle name="40% - Accent2 8 9" xfId="10844"/>
    <cellStyle name="40% - Accent2 8 9 2" xfId="28769"/>
    <cellStyle name="40% - Accent2 9" xfId="10845"/>
    <cellStyle name="40% - Accent2 9 2" xfId="10846"/>
    <cellStyle name="40% - Accent2 9 2 2" xfId="10847"/>
    <cellStyle name="40% - Accent2 9 2 2 2" xfId="10848"/>
    <cellStyle name="40% - Accent2 9 2 2 2 2" xfId="28773"/>
    <cellStyle name="40% - Accent2 9 2 2 3" xfId="28772"/>
    <cellStyle name="40% - Accent2 9 2 3" xfId="10849"/>
    <cellStyle name="40% - Accent2 9 2 3 2" xfId="28774"/>
    <cellStyle name="40% - Accent2 9 2 4" xfId="28771"/>
    <cellStyle name="40% - Accent2 9 3" xfId="10850"/>
    <cellStyle name="40% - Accent2 9 3 2" xfId="10851"/>
    <cellStyle name="40% - Accent2 9 3 2 2" xfId="28776"/>
    <cellStyle name="40% - Accent2 9 3 3" xfId="28775"/>
    <cellStyle name="40% - Accent2 9 4" xfId="10852"/>
    <cellStyle name="40% - Accent2 9 4 2" xfId="28777"/>
    <cellStyle name="40% - Accent2 9 5" xfId="28770"/>
    <cellStyle name="40% - Accent3" xfId="10" builtinId="39" customBuiltin="1"/>
    <cellStyle name="40% - Accent3 10" xfId="10853"/>
    <cellStyle name="40% - Accent3 10 2" xfId="10854"/>
    <cellStyle name="40% - Accent3 10 2 2" xfId="10855"/>
    <cellStyle name="40% - Accent3 10 2 2 2" xfId="10856"/>
    <cellStyle name="40% - Accent3 10 2 2 2 2" xfId="28781"/>
    <cellStyle name="40% - Accent3 10 2 2 3" xfId="28780"/>
    <cellStyle name="40% - Accent3 10 2 3" xfId="10857"/>
    <cellStyle name="40% - Accent3 10 2 3 2" xfId="28782"/>
    <cellStyle name="40% - Accent3 10 2 4" xfId="28779"/>
    <cellStyle name="40% - Accent3 10 3" xfId="10858"/>
    <cellStyle name="40% - Accent3 10 3 2" xfId="10859"/>
    <cellStyle name="40% - Accent3 10 3 2 2" xfId="28784"/>
    <cellStyle name="40% - Accent3 10 3 3" xfId="28783"/>
    <cellStyle name="40% - Accent3 10 4" xfId="10860"/>
    <cellStyle name="40% - Accent3 10 4 2" xfId="28785"/>
    <cellStyle name="40% - Accent3 10 5" xfId="28778"/>
    <cellStyle name="40% - Accent3 11" xfId="10861"/>
    <cellStyle name="40% - Accent3 11 2" xfId="10862"/>
    <cellStyle name="40% - Accent3 11 2 2" xfId="10863"/>
    <cellStyle name="40% - Accent3 11 2 2 2" xfId="10864"/>
    <cellStyle name="40% - Accent3 11 2 2 2 2" xfId="28789"/>
    <cellStyle name="40% - Accent3 11 2 2 3" xfId="28788"/>
    <cellStyle name="40% - Accent3 11 2 3" xfId="10865"/>
    <cellStyle name="40% - Accent3 11 2 3 2" xfId="28790"/>
    <cellStyle name="40% - Accent3 11 2 4" xfId="28787"/>
    <cellStyle name="40% - Accent3 11 3" xfId="10866"/>
    <cellStyle name="40% - Accent3 11 3 2" xfId="10867"/>
    <cellStyle name="40% - Accent3 11 3 2 2" xfId="28792"/>
    <cellStyle name="40% - Accent3 11 3 3" xfId="28791"/>
    <cellStyle name="40% - Accent3 11 4" xfId="10868"/>
    <cellStyle name="40% - Accent3 11 4 2" xfId="28793"/>
    <cellStyle name="40% - Accent3 11 5" xfId="28786"/>
    <cellStyle name="40% - Accent3 12" xfId="10869"/>
    <cellStyle name="40% - Accent3 12 2" xfId="10870"/>
    <cellStyle name="40% - Accent3 12 2 2" xfId="10871"/>
    <cellStyle name="40% - Accent3 12 2 2 2" xfId="10872"/>
    <cellStyle name="40% - Accent3 12 2 2 2 2" xfId="28797"/>
    <cellStyle name="40% - Accent3 12 2 2 3" xfId="28796"/>
    <cellStyle name="40% - Accent3 12 2 3" xfId="10873"/>
    <cellStyle name="40% - Accent3 12 2 3 2" xfId="28798"/>
    <cellStyle name="40% - Accent3 12 2 4" xfId="28795"/>
    <cellStyle name="40% - Accent3 12 3" xfId="10874"/>
    <cellStyle name="40% - Accent3 12 3 2" xfId="10875"/>
    <cellStyle name="40% - Accent3 12 3 2 2" xfId="28800"/>
    <cellStyle name="40% - Accent3 12 3 3" xfId="28799"/>
    <cellStyle name="40% - Accent3 12 4" xfId="10876"/>
    <cellStyle name="40% - Accent3 12 4 2" xfId="28801"/>
    <cellStyle name="40% - Accent3 12 5" xfId="28794"/>
    <cellStyle name="40% - Accent3 13" xfId="10877"/>
    <cellStyle name="40% - Accent3 14" xfId="10878"/>
    <cellStyle name="40% - Accent3 14 2" xfId="10879"/>
    <cellStyle name="40% - Accent3 14 2 2" xfId="10880"/>
    <cellStyle name="40% - Accent3 14 2 2 2" xfId="28804"/>
    <cellStyle name="40% - Accent3 14 2 3" xfId="28803"/>
    <cellStyle name="40% - Accent3 14 3" xfId="10881"/>
    <cellStyle name="40% - Accent3 14 3 2" xfId="28805"/>
    <cellStyle name="40% - Accent3 14 4" xfId="28802"/>
    <cellStyle name="40% - Accent3 15" xfId="10882"/>
    <cellStyle name="40% - Accent3 15 2" xfId="10883"/>
    <cellStyle name="40% - Accent3 15 2 2" xfId="10884"/>
    <cellStyle name="40% - Accent3 15 2 2 2" xfId="28808"/>
    <cellStyle name="40% - Accent3 15 2 3" xfId="28807"/>
    <cellStyle name="40% - Accent3 15 3" xfId="10885"/>
    <cellStyle name="40% - Accent3 15 3 2" xfId="28809"/>
    <cellStyle name="40% - Accent3 15 4" xfId="28806"/>
    <cellStyle name="40% - Accent3 16" xfId="10886"/>
    <cellStyle name="40% - Accent3 16 2" xfId="10887"/>
    <cellStyle name="40% - Accent3 16 2 2" xfId="10888"/>
    <cellStyle name="40% - Accent3 16 2 2 2" xfId="28812"/>
    <cellStyle name="40% - Accent3 16 2 3" xfId="28811"/>
    <cellStyle name="40% - Accent3 16 3" xfId="10889"/>
    <cellStyle name="40% - Accent3 16 3 2" xfId="28813"/>
    <cellStyle name="40% - Accent3 16 4" xfId="28810"/>
    <cellStyle name="40% - Accent3 17" xfId="10890"/>
    <cellStyle name="40% - Accent3 17 2" xfId="10891"/>
    <cellStyle name="40% - Accent3 17 2 2" xfId="10892"/>
    <cellStyle name="40% - Accent3 17 2 2 2" xfId="28816"/>
    <cellStyle name="40% - Accent3 17 2 3" xfId="28815"/>
    <cellStyle name="40% - Accent3 17 3" xfId="10893"/>
    <cellStyle name="40% - Accent3 17 3 2" xfId="28817"/>
    <cellStyle name="40% - Accent3 17 4" xfId="28814"/>
    <cellStyle name="40% - Accent3 18" xfId="10894"/>
    <cellStyle name="40% - Accent3 18 2" xfId="10895"/>
    <cellStyle name="40% - Accent3 18 2 2" xfId="10896"/>
    <cellStyle name="40% - Accent3 18 2 2 2" xfId="28820"/>
    <cellStyle name="40% - Accent3 18 2 3" xfId="28819"/>
    <cellStyle name="40% - Accent3 18 3" xfId="10897"/>
    <cellStyle name="40% - Accent3 18 3 2" xfId="28821"/>
    <cellStyle name="40% - Accent3 18 4" xfId="28818"/>
    <cellStyle name="40% - Accent3 19" xfId="10898"/>
    <cellStyle name="40% - Accent3 19 2" xfId="10899"/>
    <cellStyle name="40% - Accent3 19 2 2" xfId="10900"/>
    <cellStyle name="40% - Accent3 19 2 2 2" xfId="28824"/>
    <cellStyle name="40% - Accent3 19 2 3" xfId="28823"/>
    <cellStyle name="40% - Accent3 19 3" xfId="10901"/>
    <cellStyle name="40% - Accent3 19 3 2" xfId="28825"/>
    <cellStyle name="40% - Accent3 19 4" xfId="28822"/>
    <cellStyle name="40% - Accent3 2" xfId="244"/>
    <cellStyle name="40% - Accent3 2 2" xfId="10902"/>
    <cellStyle name="40% - Accent3 2 2 2" xfId="10903"/>
    <cellStyle name="40% - Accent3 2 3" xfId="10904"/>
    <cellStyle name="40% - Accent3 2 3 2" xfId="10905"/>
    <cellStyle name="40% - Accent3 2 3 3" xfId="10906"/>
    <cellStyle name="40% - Accent3 2 3 3 2" xfId="10907"/>
    <cellStyle name="40% - Accent3 2 3 3 2 2" xfId="10908"/>
    <cellStyle name="40% - Accent3 2 3 3 2 2 2" xfId="28828"/>
    <cellStyle name="40% - Accent3 2 3 3 2 3" xfId="28827"/>
    <cellStyle name="40% - Accent3 2 3 3 3" xfId="10909"/>
    <cellStyle name="40% - Accent3 2 3 3 3 2" xfId="28829"/>
    <cellStyle name="40% - Accent3 2 3 3 4" xfId="28826"/>
    <cellStyle name="40% - Accent3 2 4" xfId="10910"/>
    <cellStyle name="40% - Accent3 2 5" xfId="10911"/>
    <cellStyle name="40% - Accent3 20" xfId="10912"/>
    <cellStyle name="40% - Accent3 20 2" xfId="10913"/>
    <cellStyle name="40% - Accent3 20 2 2" xfId="10914"/>
    <cellStyle name="40% - Accent3 20 2 2 2" xfId="28832"/>
    <cellStyle name="40% - Accent3 20 2 3" xfId="28831"/>
    <cellStyle name="40% - Accent3 20 3" xfId="10915"/>
    <cellStyle name="40% - Accent3 20 3 2" xfId="28833"/>
    <cellStyle name="40% - Accent3 20 4" xfId="28830"/>
    <cellStyle name="40% - Accent3 21" xfId="10916"/>
    <cellStyle name="40% - Accent3 21 2" xfId="10917"/>
    <cellStyle name="40% - Accent3 21 2 2" xfId="10918"/>
    <cellStyle name="40% - Accent3 21 2 2 2" xfId="28836"/>
    <cellStyle name="40% - Accent3 21 2 3" xfId="28835"/>
    <cellStyle name="40% - Accent3 21 3" xfId="10919"/>
    <cellStyle name="40% - Accent3 21 3 2" xfId="28837"/>
    <cellStyle name="40% - Accent3 21 4" xfId="28834"/>
    <cellStyle name="40% - Accent3 22" xfId="10920"/>
    <cellStyle name="40% - Accent3 23" xfId="10921"/>
    <cellStyle name="40% - Accent3 23 2" xfId="10922"/>
    <cellStyle name="40% - Accent3 23 2 2" xfId="28839"/>
    <cellStyle name="40% - Accent3 23 3" xfId="28838"/>
    <cellStyle name="40% - Accent3 24" xfId="10923"/>
    <cellStyle name="40% - Accent3 25" xfId="10924"/>
    <cellStyle name="40% - Accent3 25 2" xfId="28840"/>
    <cellStyle name="40% - Accent3 26" xfId="10925"/>
    <cellStyle name="40% - Accent3 26 2" xfId="28841"/>
    <cellStyle name="40% - Accent3 27" xfId="10926"/>
    <cellStyle name="40% - Accent3 27 2" xfId="28842"/>
    <cellStyle name="40% - Accent3 28" xfId="10927"/>
    <cellStyle name="40% - Accent3 28 2" xfId="28843"/>
    <cellStyle name="40% - Accent3 29" xfId="10928"/>
    <cellStyle name="40% - Accent3 29 2" xfId="28844"/>
    <cellStyle name="40% - Accent3 3" xfId="662"/>
    <cellStyle name="40% - Accent3 3 2" xfId="10929"/>
    <cellStyle name="40% - Accent3 3 2 2" xfId="10930"/>
    <cellStyle name="40% - Accent3 3 2 2 2" xfId="10931"/>
    <cellStyle name="40% - Accent3 3 2 2 2 2" xfId="10932"/>
    <cellStyle name="40% - Accent3 3 2 2 2 2 2" xfId="10933"/>
    <cellStyle name="40% - Accent3 3 2 2 2 2 2 2" xfId="10934"/>
    <cellStyle name="40% - Accent3 3 2 2 2 2 2 2 2" xfId="10935"/>
    <cellStyle name="40% - Accent3 3 2 2 2 2 2 2 2 2" xfId="28851"/>
    <cellStyle name="40% - Accent3 3 2 2 2 2 2 2 3" xfId="28850"/>
    <cellStyle name="40% - Accent3 3 2 2 2 2 2 3" xfId="10936"/>
    <cellStyle name="40% - Accent3 3 2 2 2 2 2 3 2" xfId="28852"/>
    <cellStyle name="40% - Accent3 3 2 2 2 2 2 4" xfId="28849"/>
    <cellStyle name="40% - Accent3 3 2 2 2 2 3" xfId="10937"/>
    <cellStyle name="40% - Accent3 3 2 2 2 2 3 2" xfId="10938"/>
    <cellStyle name="40% - Accent3 3 2 2 2 2 3 2 2" xfId="28854"/>
    <cellStyle name="40% - Accent3 3 2 2 2 2 3 3" xfId="28853"/>
    <cellStyle name="40% - Accent3 3 2 2 2 2 4" xfId="10939"/>
    <cellStyle name="40% - Accent3 3 2 2 2 2 4 2" xfId="28855"/>
    <cellStyle name="40% - Accent3 3 2 2 2 2 5" xfId="28848"/>
    <cellStyle name="40% - Accent3 3 2 2 2 3" xfId="10940"/>
    <cellStyle name="40% - Accent3 3 2 2 2 3 2" xfId="10941"/>
    <cellStyle name="40% - Accent3 3 2 2 2 3 2 2" xfId="10942"/>
    <cellStyle name="40% - Accent3 3 2 2 2 3 2 2 2" xfId="10943"/>
    <cellStyle name="40% - Accent3 3 2 2 2 3 2 2 2 2" xfId="28859"/>
    <cellStyle name="40% - Accent3 3 2 2 2 3 2 2 3" xfId="28858"/>
    <cellStyle name="40% - Accent3 3 2 2 2 3 2 3" xfId="10944"/>
    <cellStyle name="40% - Accent3 3 2 2 2 3 2 3 2" xfId="28860"/>
    <cellStyle name="40% - Accent3 3 2 2 2 3 2 4" xfId="28857"/>
    <cellStyle name="40% - Accent3 3 2 2 2 3 3" xfId="10945"/>
    <cellStyle name="40% - Accent3 3 2 2 2 3 3 2" xfId="10946"/>
    <cellStyle name="40% - Accent3 3 2 2 2 3 3 2 2" xfId="28862"/>
    <cellStyle name="40% - Accent3 3 2 2 2 3 3 3" xfId="28861"/>
    <cellStyle name="40% - Accent3 3 2 2 2 3 4" xfId="10947"/>
    <cellStyle name="40% - Accent3 3 2 2 2 3 4 2" xfId="28863"/>
    <cellStyle name="40% - Accent3 3 2 2 2 3 5" xfId="28856"/>
    <cellStyle name="40% - Accent3 3 2 2 2 4" xfId="10948"/>
    <cellStyle name="40% - Accent3 3 2 2 2 4 2" xfId="10949"/>
    <cellStyle name="40% - Accent3 3 2 2 2 4 2 2" xfId="10950"/>
    <cellStyle name="40% - Accent3 3 2 2 2 4 2 2 2" xfId="28866"/>
    <cellStyle name="40% - Accent3 3 2 2 2 4 2 3" xfId="28865"/>
    <cellStyle name="40% - Accent3 3 2 2 2 4 3" xfId="10951"/>
    <cellStyle name="40% - Accent3 3 2 2 2 4 3 2" xfId="28867"/>
    <cellStyle name="40% - Accent3 3 2 2 2 4 4" xfId="28864"/>
    <cellStyle name="40% - Accent3 3 2 2 2 5" xfId="10952"/>
    <cellStyle name="40% - Accent3 3 2 2 2 5 2" xfId="10953"/>
    <cellStyle name="40% - Accent3 3 2 2 2 5 2 2" xfId="28869"/>
    <cellStyle name="40% - Accent3 3 2 2 2 5 3" xfId="28868"/>
    <cellStyle name="40% - Accent3 3 2 2 2 6" xfId="10954"/>
    <cellStyle name="40% - Accent3 3 2 2 2 6 2" xfId="28870"/>
    <cellStyle name="40% - Accent3 3 2 2 2 7" xfId="28847"/>
    <cellStyle name="40% - Accent3 3 2 2 3" xfId="10955"/>
    <cellStyle name="40% - Accent3 3 2 2 3 2" xfId="10956"/>
    <cellStyle name="40% - Accent3 3 2 2 3 2 2" xfId="10957"/>
    <cellStyle name="40% - Accent3 3 2 2 3 2 2 2" xfId="10958"/>
    <cellStyle name="40% - Accent3 3 2 2 3 2 2 2 2" xfId="28874"/>
    <cellStyle name="40% - Accent3 3 2 2 3 2 2 3" xfId="28873"/>
    <cellStyle name="40% - Accent3 3 2 2 3 2 3" xfId="10959"/>
    <cellStyle name="40% - Accent3 3 2 2 3 2 3 2" xfId="28875"/>
    <cellStyle name="40% - Accent3 3 2 2 3 2 4" xfId="28872"/>
    <cellStyle name="40% - Accent3 3 2 2 3 3" xfId="10960"/>
    <cellStyle name="40% - Accent3 3 2 2 3 3 2" xfId="10961"/>
    <cellStyle name="40% - Accent3 3 2 2 3 3 2 2" xfId="28877"/>
    <cellStyle name="40% - Accent3 3 2 2 3 3 3" xfId="28876"/>
    <cellStyle name="40% - Accent3 3 2 2 3 4" xfId="10962"/>
    <cellStyle name="40% - Accent3 3 2 2 3 4 2" xfId="28878"/>
    <cellStyle name="40% - Accent3 3 2 2 3 5" xfId="28871"/>
    <cellStyle name="40% - Accent3 3 2 2 4" xfId="10963"/>
    <cellStyle name="40% - Accent3 3 2 2 4 2" xfId="10964"/>
    <cellStyle name="40% - Accent3 3 2 2 4 2 2" xfId="10965"/>
    <cellStyle name="40% - Accent3 3 2 2 4 2 2 2" xfId="10966"/>
    <cellStyle name="40% - Accent3 3 2 2 4 2 2 2 2" xfId="28882"/>
    <cellStyle name="40% - Accent3 3 2 2 4 2 2 3" xfId="28881"/>
    <cellStyle name="40% - Accent3 3 2 2 4 2 3" xfId="10967"/>
    <cellStyle name="40% - Accent3 3 2 2 4 2 3 2" xfId="28883"/>
    <cellStyle name="40% - Accent3 3 2 2 4 2 4" xfId="28880"/>
    <cellStyle name="40% - Accent3 3 2 2 4 3" xfId="10968"/>
    <cellStyle name="40% - Accent3 3 2 2 4 3 2" xfId="10969"/>
    <cellStyle name="40% - Accent3 3 2 2 4 3 2 2" xfId="28885"/>
    <cellStyle name="40% - Accent3 3 2 2 4 3 3" xfId="28884"/>
    <cellStyle name="40% - Accent3 3 2 2 4 4" xfId="10970"/>
    <cellStyle name="40% - Accent3 3 2 2 4 4 2" xfId="28886"/>
    <cellStyle name="40% - Accent3 3 2 2 4 5" xfId="28879"/>
    <cellStyle name="40% - Accent3 3 2 2 5" xfId="10971"/>
    <cellStyle name="40% - Accent3 3 2 2 5 2" xfId="10972"/>
    <cellStyle name="40% - Accent3 3 2 2 5 2 2" xfId="10973"/>
    <cellStyle name="40% - Accent3 3 2 2 5 2 2 2" xfId="28889"/>
    <cellStyle name="40% - Accent3 3 2 2 5 2 3" xfId="28888"/>
    <cellStyle name="40% - Accent3 3 2 2 5 3" xfId="10974"/>
    <cellStyle name="40% - Accent3 3 2 2 5 3 2" xfId="28890"/>
    <cellStyle name="40% - Accent3 3 2 2 5 4" xfId="28887"/>
    <cellStyle name="40% - Accent3 3 2 2 6" xfId="10975"/>
    <cellStyle name="40% - Accent3 3 2 2 6 2" xfId="10976"/>
    <cellStyle name="40% - Accent3 3 2 2 6 2 2" xfId="28892"/>
    <cellStyle name="40% - Accent3 3 2 2 6 3" xfId="28891"/>
    <cellStyle name="40% - Accent3 3 2 2 7" xfId="10977"/>
    <cellStyle name="40% - Accent3 3 2 2 7 2" xfId="28893"/>
    <cellStyle name="40% - Accent3 3 2 2 8" xfId="28846"/>
    <cellStyle name="40% - Accent3 3 2 3" xfId="10978"/>
    <cellStyle name="40% - Accent3 3 2 3 2" xfId="10979"/>
    <cellStyle name="40% - Accent3 3 2 3 2 2" xfId="10980"/>
    <cellStyle name="40% - Accent3 3 2 3 2 2 2" xfId="10981"/>
    <cellStyle name="40% - Accent3 3 2 3 2 2 2 2" xfId="10982"/>
    <cellStyle name="40% - Accent3 3 2 3 2 2 2 2 2" xfId="28898"/>
    <cellStyle name="40% - Accent3 3 2 3 2 2 2 3" xfId="28897"/>
    <cellStyle name="40% - Accent3 3 2 3 2 2 3" xfId="10983"/>
    <cellStyle name="40% - Accent3 3 2 3 2 2 3 2" xfId="28899"/>
    <cellStyle name="40% - Accent3 3 2 3 2 2 4" xfId="28896"/>
    <cellStyle name="40% - Accent3 3 2 3 2 3" xfId="10984"/>
    <cellStyle name="40% - Accent3 3 2 3 2 3 2" xfId="10985"/>
    <cellStyle name="40% - Accent3 3 2 3 2 3 2 2" xfId="28901"/>
    <cellStyle name="40% - Accent3 3 2 3 2 3 3" xfId="28900"/>
    <cellStyle name="40% - Accent3 3 2 3 2 4" xfId="10986"/>
    <cellStyle name="40% - Accent3 3 2 3 2 4 2" xfId="28902"/>
    <cellStyle name="40% - Accent3 3 2 3 2 5" xfId="28895"/>
    <cellStyle name="40% - Accent3 3 2 3 3" xfId="10987"/>
    <cellStyle name="40% - Accent3 3 2 3 3 2" xfId="10988"/>
    <cellStyle name="40% - Accent3 3 2 3 3 2 2" xfId="10989"/>
    <cellStyle name="40% - Accent3 3 2 3 3 2 2 2" xfId="10990"/>
    <cellStyle name="40% - Accent3 3 2 3 3 2 2 2 2" xfId="28906"/>
    <cellStyle name="40% - Accent3 3 2 3 3 2 2 3" xfId="28905"/>
    <cellStyle name="40% - Accent3 3 2 3 3 2 3" xfId="10991"/>
    <cellStyle name="40% - Accent3 3 2 3 3 2 3 2" xfId="28907"/>
    <cellStyle name="40% - Accent3 3 2 3 3 2 4" xfId="28904"/>
    <cellStyle name="40% - Accent3 3 2 3 3 3" xfId="10992"/>
    <cellStyle name="40% - Accent3 3 2 3 3 3 2" xfId="10993"/>
    <cellStyle name="40% - Accent3 3 2 3 3 3 2 2" xfId="28909"/>
    <cellStyle name="40% - Accent3 3 2 3 3 3 3" xfId="28908"/>
    <cellStyle name="40% - Accent3 3 2 3 3 4" xfId="10994"/>
    <cellStyle name="40% - Accent3 3 2 3 3 4 2" xfId="28910"/>
    <cellStyle name="40% - Accent3 3 2 3 3 5" xfId="28903"/>
    <cellStyle name="40% - Accent3 3 2 3 4" xfId="10995"/>
    <cellStyle name="40% - Accent3 3 2 3 4 2" xfId="10996"/>
    <cellStyle name="40% - Accent3 3 2 3 4 2 2" xfId="10997"/>
    <cellStyle name="40% - Accent3 3 2 3 4 2 2 2" xfId="28913"/>
    <cellStyle name="40% - Accent3 3 2 3 4 2 3" xfId="28912"/>
    <cellStyle name="40% - Accent3 3 2 3 4 3" xfId="10998"/>
    <cellStyle name="40% - Accent3 3 2 3 4 3 2" xfId="28914"/>
    <cellStyle name="40% - Accent3 3 2 3 4 4" xfId="28911"/>
    <cellStyle name="40% - Accent3 3 2 3 5" xfId="10999"/>
    <cellStyle name="40% - Accent3 3 2 3 5 2" xfId="11000"/>
    <cellStyle name="40% - Accent3 3 2 3 5 2 2" xfId="28916"/>
    <cellStyle name="40% - Accent3 3 2 3 5 3" xfId="28915"/>
    <cellStyle name="40% - Accent3 3 2 3 6" xfId="11001"/>
    <cellStyle name="40% - Accent3 3 2 3 6 2" xfId="28917"/>
    <cellStyle name="40% - Accent3 3 2 3 7" xfId="28894"/>
    <cellStyle name="40% - Accent3 3 2 4" xfId="11002"/>
    <cellStyle name="40% - Accent3 3 2 4 2" xfId="11003"/>
    <cellStyle name="40% - Accent3 3 2 4 2 2" xfId="11004"/>
    <cellStyle name="40% - Accent3 3 2 4 2 2 2" xfId="11005"/>
    <cellStyle name="40% - Accent3 3 2 4 2 2 2 2" xfId="28921"/>
    <cellStyle name="40% - Accent3 3 2 4 2 2 3" xfId="28920"/>
    <cellStyle name="40% - Accent3 3 2 4 2 3" xfId="11006"/>
    <cellStyle name="40% - Accent3 3 2 4 2 3 2" xfId="28922"/>
    <cellStyle name="40% - Accent3 3 2 4 2 4" xfId="28919"/>
    <cellStyle name="40% - Accent3 3 2 4 3" xfId="11007"/>
    <cellStyle name="40% - Accent3 3 2 4 3 2" xfId="11008"/>
    <cellStyle name="40% - Accent3 3 2 4 3 2 2" xfId="28924"/>
    <cellStyle name="40% - Accent3 3 2 4 3 3" xfId="28923"/>
    <cellStyle name="40% - Accent3 3 2 4 4" xfId="11009"/>
    <cellStyle name="40% - Accent3 3 2 4 4 2" xfId="28925"/>
    <cellStyle name="40% - Accent3 3 2 4 5" xfId="28918"/>
    <cellStyle name="40% - Accent3 3 2 5" xfId="11010"/>
    <cellStyle name="40% - Accent3 3 2 5 2" xfId="11011"/>
    <cellStyle name="40% - Accent3 3 2 5 2 2" xfId="11012"/>
    <cellStyle name="40% - Accent3 3 2 5 2 2 2" xfId="11013"/>
    <cellStyle name="40% - Accent3 3 2 5 2 2 2 2" xfId="28929"/>
    <cellStyle name="40% - Accent3 3 2 5 2 2 3" xfId="28928"/>
    <cellStyle name="40% - Accent3 3 2 5 2 3" xfId="11014"/>
    <cellStyle name="40% - Accent3 3 2 5 2 3 2" xfId="28930"/>
    <cellStyle name="40% - Accent3 3 2 5 2 4" xfId="28927"/>
    <cellStyle name="40% - Accent3 3 2 5 3" xfId="11015"/>
    <cellStyle name="40% - Accent3 3 2 5 3 2" xfId="11016"/>
    <cellStyle name="40% - Accent3 3 2 5 3 2 2" xfId="28932"/>
    <cellStyle name="40% - Accent3 3 2 5 3 3" xfId="28931"/>
    <cellStyle name="40% - Accent3 3 2 5 4" xfId="11017"/>
    <cellStyle name="40% - Accent3 3 2 5 4 2" xfId="28933"/>
    <cellStyle name="40% - Accent3 3 2 5 5" xfId="28926"/>
    <cellStyle name="40% - Accent3 3 2 6" xfId="11018"/>
    <cellStyle name="40% - Accent3 3 2 6 2" xfId="11019"/>
    <cellStyle name="40% - Accent3 3 2 6 2 2" xfId="11020"/>
    <cellStyle name="40% - Accent3 3 2 6 2 2 2" xfId="28936"/>
    <cellStyle name="40% - Accent3 3 2 6 2 3" xfId="28935"/>
    <cellStyle name="40% - Accent3 3 2 6 3" xfId="11021"/>
    <cellStyle name="40% - Accent3 3 2 6 3 2" xfId="28937"/>
    <cellStyle name="40% - Accent3 3 2 6 4" xfId="28934"/>
    <cellStyle name="40% - Accent3 3 2 7" xfId="11022"/>
    <cellStyle name="40% - Accent3 3 2 7 2" xfId="11023"/>
    <cellStyle name="40% - Accent3 3 2 7 2 2" xfId="28939"/>
    <cellStyle name="40% - Accent3 3 2 7 3" xfId="28938"/>
    <cellStyle name="40% - Accent3 3 2 8" xfId="11024"/>
    <cellStyle name="40% - Accent3 3 2 8 2" xfId="28940"/>
    <cellStyle name="40% - Accent3 3 2 9" xfId="28845"/>
    <cellStyle name="40% - Accent3 3 3" xfId="11025"/>
    <cellStyle name="40% - Accent3 3 3 2" xfId="11026"/>
    <cellStyle name="40% - Accent3 3 3 2 2" xfId="11027"/>
    <cellStyle name="40% - Accent3 3 3 2 2 2" xfId="11028"/>
    <cellStyle name="40% - Accent3 3 3 2 2 2 2" xfId="11029"/>
    <cellStyle name="40% - Accent3 3 3 2 2 2 2 2" xfId="11030"/>
    <cellStyle name="40% - Accent3 3 3 2 2 2 2 2 2" xfId="28946"/>
    <cellStyle name="40% - Accent3 3 3 2 2 2 2 3" xfId="28945"/>
    <cellStyle name="40% - Accent3 3 3 2 2 2 3" xfId="11031"/>
    <cellStyle name="40% - Accent3 3 3 2 2 2 3 2" xfId="28947"/>
    <cellStyle name="40% - Accent3 3 3 2 2 2 4" xfId="28944"/>
    <cellStyle name="40% - Accent3 3 3 2 2 3" xfId="11032"/>
    <cellStyle name="40% - Accent3 3 3 2 2 3 2" xfId="11033"/>
    <cellStyle name="40% - Accent3 3 3 2 2 3 2 2" xfId="28949"/>
    <cellStyle name="40% - Accent3 3 3 2 2 3 3" xfId="28948"/>
    <cellStyle name="40% - Accent3 3 3 2 2 4" xfId="11034"/>
    <cellStyle name="40% - Accent3 3 3 2 2 4 2" xfId="28950"/>
    <cellStyle name="40% - Accent3 3 3 2 2 5" xfId="28943"/>
    <cellStyle name="40% - Accent3 3 3 2 3" xfId="11035"/>
    <cellStyle name="40% - Accent3 3 3 2 3 2" xfId="11036"/>
    <cellStyle name="40% - Accent3 3 3 2 3 2 2" xfId="11037"/>
    <cellStyle name="40% - Accent3 3 3 2 3 2 2 2" xfId="11038"/>
    <cellStyle name="40% - Accent3 3 3 2 3 2 2 2 2" xfId="28954"/>
    <cellStyle name="40% - Accent3 3 3 2 3 2 2 3" xfId="28953"/>
    <cellStyle name="40% - Accent3 3 3 2 3 2 3" xfId="11039"/>
    <cellStyle name="40% - Accent3 3 3 2 3 2 3 2" xfId="28955"/>
    <cellStyle name="40% - Accent3 3 3 2 3 2 4" xfId="28952"/>
    <cellStyle name="40% - Accent3 3 3 2 3 3" xfId="11040"/>
    <cellStyle name="40% - Accent3 3 3 2 3 3 2" xfId="11041"/>
    <cellStyle name="40% - Accent3 3 3 2 3 3 2 2" xfId="28957"/>
    <cellStyle name="40% - Accent3 3 3 2 3 3 3" xfId="28956"/>
    <cellStyle name="40% - Accent3 3 3 2 3 4" xfId="11042"/>
    <cellStyle name="40% - Accent3 3 3 2 3 4 2" xfId="28958"/>
    <cellStyle name="40% - Accent3 3 3 2 3 5" xfId="28951"/>
    <cellStyle name="40% - Accent3 3 3 2 4" xfId="11043"/>
    <cellStyle name="40% - Accent3 3 3 2 4 2" xfId="11044"/>
    <cellStyle name="40% - Accent3 3 3 2 4 2 2" xfId="11045"/>
    <cellStyle name="40% - Accent3 3 3 2 4 2 2 2" xfId="28961"/>
    <cellStyle name="40% - Accent3 3 3 2 4 2 3" xfId="28960"/>
    <cellStyle name="40% - Accent3 3 3 2 4 3" xfId="11046"/>
    <cellStyle name="40% - Accent3 3 3 2 4 3 2" xfId="28962"/>
    <cellStyle name="40% - Accent3 3 3 2 4 4" xfId="28959"/>
    <cellStyle name="40% - Accent3 3 3 2 5" xfId="11047"/>
    <cellStyle name="40% - Accent3 3 3 2 5 2" xfId="11048"/>
    <cellStyle name="40% - Accent3 3 3 2 5 2 2" xfId="28964"/>
    <cellStyle name="40% - Accent3 3 3 2 5 3" xfId="28963"/>
    <cellStyle name="40% - Accent3 3 3 2 6" xfId="11049"/>
    <cellStyle name="40% - Accent3 3 3 2 6 2" xfId="28965"/>
    <cellStyle name="40% - Accent3 3 3 2 7" xfId="28942"/>
    <cellStyle name="40% - Accent3 3 3 3" xfId="11050"/>
    <cellStyle name="40% - Accent3 3 3 3 2" xfId="11051"/>
    <cellStyle name="40% - Accent3 3 3 3 2 2" xfId="11052"/>
    <cellStyle name="40% - Accent3 3 3 3 2 2 2" xfId="11053"/>
    <cellStyle name="40% - Accent3 3 3 3 2 2 2 2" xfId="28969"/>
    <cellStyle name="40% - Accent3 3 3 3 2 2 3" xfId="28968"/>
    <cellStyle name="40% - Accent3 3 3 3 2 3" xfId="11054"/>
    <cellStyle name="40% - Accent3 3 3 3 2 3 2" xfId="28970"/>
    <cellStyle name="40% - Accent3 3 3 3 2 4" xfId="28967"/>
    <cellStyle name="40% - Accent3 3 3 3 3" xfId="11055"/>
    <cellStyle name="40% - Accent3 3 3 3 3 2" xfId="11056"/>
    <cellStyle name="40% - Accent3 3 3 3 3 2 2" xfId="28972"/>
    <cellStyle name="40% - Accent3 3 3 3 3 3" xfId="28971"/>
    <cellStyle name="40% - Accent3 3 3 3 4" xfId="11057"/>
    <cellStyle name="40% - Accent3 3 3 3 4 2" xfId="28973"/>
    <cellStyle name="40% - Accent3 3 3 3 5" xfId="28966"/>
    <cellStyle name="40% - Accent3 3 3 4" xfId="11058"/>
    <cellStyle name="40% - Accent3 3 3 4 2" xfId="11059"/>
    <cellStyle name="40% - Accent3 3 3 4 2 2" xfId="11060"/>
    <cellStyle name="40% - Accent3 3 3 4 2 2 2" xfId="11061"/>
    <cellStyle name="40% - Accent3 3 3 4 2 2 2 2" xfId="28977"/>
    <cellStyle name="40% - Accent3 3 3 4 2 2 3" xfId="28976"/>
    <cellStyle name="40% - Accent3 3 3 4 2 3" xfId="11062"/>
    <cellStyle name="40% - Accent3 3 3 4 2 3 2" xfId="28978"/>
    <cellStyle name="40% - Accent3 3 3 4 2 4" xfId="28975"/>
    <cellStyle name="40% - Accent3 3 3 4 3" xfId="11063"/>
    <cellStyle name="40% - Accent3 3 3 4 3 2" xfId="11064"/>
    <cellStyle name="40% - Accent3 3 3 4 3 2 2" xfId="28980"/>
    <cellStyle name="40% - Accent3 3 3 4 3 3" xfId="28979"/>
    <cellStyle name="40% - Accent3 3 3 4 4" xfId="11065"/>
    <cellStyle name="40% - Accent3 3 3 4 4 2" xfId="28981"/>
    <cellStyle name="40% - Accent3 3 3 4 5" xfId="28974"/>
    <cellStyle name="40% - Accent3 3 3 5" xfId="11066"/>
    <cellStyle name="40% - Accent3 3 3 5 2" xfId="11067"/>
    <cellStyle name="40% - Accent3 3 3 5 2 2" xfId="11068"/>
    <cellStyle name="40% - Accent3 3 3 5 2 2 2" xfId="28984"/>
    <cellStyle name="40% - Accent3 3 3 5 2 3" xfId="28983"/>
    <cellStyle name="40% - Accent3 3 3 5 3" xfId="11069"/>
    <cellStyle name="40% - Accent3 3 3 5 3 2" xfId="28985"/>
    <cellStyle name="40% - Accent3 3 3 5 4" xfId="28982"/>
    <cellStyle name="40% - Accent3 3 3 6" xfId="11070"/>
    <cellStyle name="40% - Accent3 3 3 6 2" xfId="11071"/>
    <cellStyle name="40% - Accent3 3 3 6 2 2" xfId="28987"/>
    <cellStyle name="40% - Accent3 3 3 6 3" xfId="28986"/>
    <cellStyle name="40% - Accent3 3 3 7" xfId="11072"/>
    <cellStyle name="40% - Accent3 3 3 7 2" xfId="28988"/>
    <cellStyle name="40% - Accent3 3 3 8" xfId="28941"/>
    <cellStyle name="40% - Accent3 3 4" xfId="11073"/>
    <cellStyle name="40% - Accent3 3 4 2" xfId="11074"/>
    <cellStyle name="40% - Accent3 3 4 2 2" xfId="11075"/>
    <cellStyle name="40% - Accent3 3 4 2 2 2" xfId="11076"/>
    <cellStyle name="40% - Accent3 3 4 2 2 2 2" xfId="11077"/>
    <cellStyle name="40% - Accent3 3 4 2 2 2 2 2" xfId="28993"/>
    <cellStyle name="40% - Accent3 3 4 2 2 2 3" xfId="28992"/>
    <cellStyle name="40% - Accent3 3 4 2 2 3" xfId="11078"/>
    <cellStyle name="40% - Accent3 3 4 2 2 3 2" xfId="28994"/>
    <cellStyle name="40% - Accent3 3 4 2 2 4" xfId="28991"/>
    <cellStyle name="40% - Accent3 3 4 2 3" xfId="11079"/>
    <cellStyle name="40% - Accent3 3 4 2 3 2" xfId="11080"/>
    <cellStyle name="40% - Accent3 3 4 2 3 2 2" xfId="28996"/>
    <cellStyle name="40% - Accent3 3 4 2 3 3" xfId="28995"/>
    <cellStyle name="40% - Accent3 3 4 2 4" xfId="11081"/>
    <cellStyle name="40% - Accent3 3 4 2 4 2" xfId="28997"/>
    <cellStyle name="40% - Accent3 3 4 2 5" xfId="28990"/>
    <cellStyle name="40% - Accent3 3 4 3" xfId="11082"/>
    <cellStyle name="40% - Accent3 3 4 3 2" xfId="11083"/>
    <cellStyle name="40% - Accent3 3 4 3 2 2" xfId="11084"/>
    <cellStyle name="40% - Accent3 3 4 3 2 2 2" xfId="11085"/>
    <cellStyle name="40% - Accent3 3 4 3 2 2 2 2" xfId="29001"/>
    <cellStyle name="40% - Accent3 3 4 3 2 2 3" xfId="29000"/>
    <cellStyle name="40% - Accent3 3 4 3 2 3" xfId="11086"/>
    <cellStyle name="40% - Accent3 3 4 3 2 3 2" xfId="29002"/>
    <cellStyle name="40% - Accent3 3 4 3 2 4" xfId="28999"/>
    <cellStyle name="40% - Accent3 3 4 3 3" xfId="11087"/>
    <cellStyle name="40% - Accent3 3 4 3 3 2" xfId="11088"/>
    <cellStyle name="40% - Accent3 3 4 3 3 2 2" xfId="29004"/>
    <cellStyle name="40% - Accent3 3 4 3 3 3" xfId="29003"/>
    <cellStyle name="40% - Accent3 3 4 3 4" xfId="11089"/>
    <cellStyle name="40% - Accent3 3 4 3 4 2" xfId="29005"/>
    <cellStyle name="40% - Accent3 3 4 3 5" xfId="28998"/>
    <cellStyle name="40% - Accent3 3 4 4" xfId="11090"/>
    <cellStyle name="40% - Accent3 3 4 4 2" xfId="11091"/>
    <cellStyle name="40% - Accent3 3 4 4 2 2" xfId="11092"/>
    <cellStyle name="40% - Accent3 3 4 4 2 2 2" xfId="29008"/>
    <cellStyle name="40% - Accent3 3 4 4 2 3" xfId="29007"/>
    <cellStyle name="40% - Accent3 3 4 4 3" xfId="11093"/>
    <cellStyle name="40% - Accent3 3 4 4 3 2" xfId="29009"/>
    <cellStyle name="40% - Accent3 3 4 4 4" xfId="29006"/>
    <cellStyle name="40% - Accent3 3 4 5" xfId="11094"/>
    <cellStyle name="40% - Accent3 3 4 5 2" xfId="11095"/>
    <cellStyle name="40% - Accent3 3 4 5 2 2" xfId="29011"/>
    <cellStyle name="40% - Accent3 3 4 5 3" xfId="29010"/>
    <cellStyle name="40% - Accent3 3 4 6" xfId="11096"/>
    <cellStyle name="40% - Accent3 3 4 6 2" xfId="29012"/>
    <cellStyle name="40% - Accent3 3 4 7" xfId="28989"/>
    <cellStyle name="40% - Accent3 3 5" xfId="11097"/>
    <cellStyle name="40% - Accent3 3 5 2" xfId="11098"/>
    <cellStyle name="40% - Accent3 3 5 2 2" xfId="11099"/>
    <cellStyle name="40% - Accent3 3 5 2 2 2" xfId="11100"/>
    <cellStyle name="40% - Accent3 3 5 2 2 2 2" xfId="29016"/>
    <cellStyle name="40% - Accent3 3 5 2 2 3" xfId="29015"/>
    <cellStyle name="40% - Accent3 3 5 2 3" xfId="11101"/>
    <cellStyle name="40% - Accent3 3 5 2 3 2" xfId="29017"/>
    <cellStyle name="40% - Accent3 3 5 2 4" xfId="29014"/>
    <cellStyle name="40% - Accent3 3 5 3" xfId="11102"/>
    <cellStyle name="40% - Accent3 3 5 3 2" xfId="11103"/>
    <cellStyle name="40% - Accent3 3 5 3 2 2" xfId="29019"/>
    <cellStyle name="40% - Accent3 3 5 3 3" xfId="29018"/>
    <cellStyle name="40% - Accent3 3 5 4" xfId="11104"/>
    <cellStyle name="40% - Accent3 3 5 4 2" xfId="29020"/>
    <cellStyle name="40% - Accent3 3 5 5" xfId="29013"/>
    <cellStyle name="40% - Accent3 3 6" xfId="11105"/>
    <cellStyle name="40% - Accent3 3 6 2" xfId="11106"/>
    <cellStyle name="40% - Accent3 3 6 2 2" xfId="11107"/>
    <cellStyle name="40% - Accent3 3 6 2 2 2" xfId="11108"/>
    <cellStyle name="40% - Accent3 3 6 2 2 2 2" xfId="29024"/>
    <cellStyle name="40% - Accent3 3 6 2 2 3" xfId="29023"/>
    <cellStyle name="40% - Accent3 3 6 2 3" xfId="11109"/>
    <cellStyle name="40% - Accent3 3 6 2 3 2" xfId="29025"/>
    <cellStyle name="40% - Accent3 3 6 2 4" xfId="29022"/>
    <cellStyle name="40% - Accent3 3 6 3" xfId="11110"/>
    <cellStyle name="40% - Accent3 3 6 3 2" xfId="11111"/>
    <cellStyle name="40% - Accent3 3 6 3 2 2" xfId="29027"/>
    <cellStyle name="40% - Accent3 3 6 3 3" xfId="29026"/>
    <cellStyle name="40% - Accent3 3 6 4" xfId="11112"/>
    <cellStyle name="40% - Accent3 3 6 4 2" xfId="29028"/>
    <cellStyle name="40% - Accent3 3 6 5" xfId="29021"/>
    <cellStyle name="40% - Accent3 3 7" xfId="11113"/>
    <cellStyle name="40% - Accent3 3 7 2" xfId="11114"/>
    <cellStyle name="40% - Accent3 3 7 2 2" xfId="11115"/>
    <cellStyle name="40% - Accent3 3 7 2 2 2" xfId="29031"/>
    <cellStyle name="40% - Accent3 3 7 2 3" xfId="29030"/>
    <cellStyle name="40% - Accent3 3 7 3" xfId="11116"/>
    <cellStyle name="40% - Accent3 3 7 3 2" xfId="29032"/>
    <cellStyle name="40% - Accent3 3 7 4" xfId="29029"/>
    <cellStyle name="40% - Accent3 3 8" xfId="11117"/>
    <cellStyle name="40% - Accent3 3 8 2" xfId="11118"/>
    <cellStyle name="40% - Accent3 3 8 2 2" xfId="29034"/>
    <cellStyle name="40% - Accent3 3 8 3" xfId="29033"/>
    <cellStyle name="40% - Accent3 3 9" xfId="11119"/>
    <cellStyle name="40% - Accent3 3 9 2" xfId="29035"/>
    <cellStyle name="40% - Accent3 30" xfId="11120"/>
    <cellStyle name="40% - Accent3 30 2" xfId="29036"/>
    <cellStyle name="40% - Accent3 31" xfId="11121"/>
    <cellStyle name="40% - Accent3 31 2" xfId="29037"/>
    <cellStyle name="40% - Accent3 32" xfId="11122"/>
    <cellStyle name="40% - Accent3 4" xfId="11123"/>
    <cellStyle name="40% - Accent3 4 10" xfId="29038"/>
    <cellStyle name="40% - Accent3 4 2" xfId="11124"/>
    <cellStyle name="40% - Accent3 4 2 2" xfId="11125"/>
    <cellStyle name="40% - Accent3 4 2 2 2" xfId="11126"/>
    <cellStyle name="40% - Accent3 4 2 2 2 2" xfId="11127"/>
    <cellStyle name="40% - Accent3 4 2 2 2 2 2" xfId="11128"/>
    <cellStyle name="40% - Accent3 4 2 2 2 2 2 2" xfId="11129"/>
    <cellStyle name="40% - Accent3 4 2 2 2 2 2 2 2" xfId="11130"/>
    <cellStyle name="40% - Accent3 4 2 2 2 2 2 2 2 2" xfId="29045"/>
    <cellStyle name="40% - Accent3 4 2 2 2 2 2 2 3" xfId="29044"/>
    <cellStyle name="40% - Accent3 4 2 2 2 2 2 3" xfId="11131"/>
    <cellStyle name="40% - Accent3 4 2 2 2 2 2 3 2" xfId="29046"/>
    <cellStyle name="40% - Accent3 4 2 2 2 2 2 4" xfId="29043"/>
    <cellStyle name="40% - Accent3 4 2 2 2 2 3" xfId="11132"/>
    <cellStyle name="40% - Accent3 4 2 2 2 2 3 2" xfId="11133"/>
    <cellStyle name="40% - Accent3 4 2 2 2 2 3 2 2" xfId="29048"/>
    <cellStyle name="40% - Accent3 4 2 2 2 2 3 3" xfId="29047"/>
    <cellStyle name="40% - Accent3 4 2 2 2 2 4" xfId="11134"/>
    <cellStyle name="40% - Accent3 4 2 2 2 2 4 2" xfId="29049"/>
    <cellStyle name="40% - Accent3 4 2 2 2 2 5" xfId="29042"/>
    <cellStyle name="40% - Accent3 4 2 2 2 3" xfId="11135"/>
    <cellStyle name="40% - Accent3 4 2 2 2 3 2" xfId="11136"/>
    <cellStyle name="40% - Accent3 4 2 2 2 3 2 2" xfId="11137"/>
    <cellStyle name="40% - Accent3 4 2 2 2 3 2 2 2" xfId="11138"/>
    <cellStyle name="40% - Accent3 4 2 2 2 3 2 2 2 2" xfId="29053"/>
    <cellStyle name="40% - Accent3 4 2 2 2 3 2 2 3" xfId="29052"/>
    <cellStyle name="40% - Accent3 4 2 2 2 3 2 3" xfId="11139"/>
    <cellStyle name="40% - Accent3 4 2 2 2 3 2 3 2" xfId="29054"/>
    <cellStyle name="40% - Accent3 4 2 2 2 3 2 4" xfId="29051"/>
    <cellStyle name="40% - Accent3 4 2 2 2 3 3" xfId="11140"/>
    <cellStyle name="40% - Accent3 4 2 2 2 3 3 2" xfId="11141"/>
    <cellStyle name="40% - Accent3 4 2 2 2 3 3 2 2" xfId="29056"/>
    <cellStyle name="40% - Accent3 4 2 2 2 3 3 3" xfId="29055"/>
    <cellStyle name="40% - Accent3 4 2 2 2 3 4" xfId="11142"/>
    <cellStyle name="40% - Accent3 4 2 2 2 3 4 2" xfId="29057"/>
    <cellStyle name="40% - Accent3 4 2 2 2 3 5" xfId="29050"/>
    <cellStyle name="40% - Accent3 4 2 2 2 4" xfId="11143"/>
    <cellStyle name="40% - Accent3 4 2 2 2 4 2" xfId="11144"/>
    <cellStyle name="40% - Accent3 4 2 2 2 4 2 2" xfId="11145"/>
    <cellStyle name="40% - Accent3 4 2 2 2 4 2 2 2" xfId="29060"/>
    <cellStyle name="40% - Accent3 4 2 2 2 4 2 3" xfId="29059"/>
    <cellStyle name="40% - Accent3 4 2 2 2 4 3" xfId="11146"/>
    <cellStyle name="40% - Accent3 4 2 2 2 4 3 2" xfId="29061"/>
    <cellStyle name="40% - Accent3 4 2 2 2 4 4" xfId="29058"/>
    <cellStyle name="40% - Accent3 4 2 2 2 5" xfId="11147"/>
    <cellStyle name="40% - Accent3 4 2 2 2 5 2" xfId="11148"/>
    <cellStyle name="40% - Accent3 4 2 2 2 5 2 2" xfId="29063"/>
    <cellStyle name="40% - Accent3 4 2 2 2 5 3" xfId="29062"/>
    <cellStyle name="40% - Accent3 4 2 2 2 6" xfId="11149"/>
    <cellStyle name="40% - Accent3 4 2 2 2 6 2" xfId="29064"/>
    <cellStyle name="40% - Accent3 4 2 2 2 7" xfId="29041"/>
    <cellStyle name="40% - Accent3 4 2 2 3" xfId="11150"/>
    <cellStyle name="40% - Accent3 4 2 2 3 2" xfId="11151"/>
    <cellStyle name="40% - Accent3 4 2 2 3 2 2" xfId="11152"/>
    <cellStyle name="40% - Accent3 4 2 2 3 2 2 2" xfId="11153"/>
    <cellStyle name="40% - Accent3 4 2 2 3 2 2 2 2" xfId="29068"/>
    <cellStyle name="40% - Accent3 4 2 2 3 2 2 3" xfId="29067"/>
    <cellStyle name="40% - Accent3 4 2 2 3 2 3" xfId="11154"/>
    <cellStyle name="40% - Accent3 4 2 2 3 2 3 2" xfId="29069"/>
    <cellStyle name="40% - Accent3 4 2 2 3 2 4" xfId="29066"/>
    <cellStyle name="40% - Accent3 4 2 2 3 3" xfId="11155"/>
    <cellStyle name="40% - Accent3 4 2 2 3 3 2" xfId="11156"/>
    <cellStyle name="40% - Accent3 4 2 2 3 3 2 2" xfId="29071"/>
    <cellStyle name="40% - Accent3 4 2 2 3 3 3" xfId="29070"/>
    <cellStyle name="40% - Accent3 4 2 2 3 4" xfId="11157"/>
    <cellStyle name="40% - Accent3 4 2 2 3 4 2" xfId="29072"/>
    <cellStyle name="40% - Accent3 4 2 2 3 5" xfId="29065"/>
    <cellStyle name="40% - Accent3 4 2 2 4" xfId="11158"/>
    <cellStyle name="40% - Accent3 4 2 2 4 2" xfId="11159"/>
    <cellStyle name="40% - Accent3 4 2 2 4 2 2" xfId="11160"/>
    <cellStyle name="40% - Accent3 4 2 2 4 2 2 2" xfId="11161"/>
    <cellStyle name="40% - Accent3 4 2 2 4 2 2 2 2" xfId="29076"/>
    <cellStyle name="40% - Accent3 4 2 2 4 2 2 3" xfId="29075"/>
    <cellStyle name="40% - Accent3 4 2 2 4 2 3" xfId="11162"/>
    <cellStyle name="40% - Accent3 4 2 2 4 2 3 2" xfId="29077"/>
    <cellStyle name="40% - Accent3 4 2 2 4 2 4" xfId="29074"/>
    <cellStyle name="40% - Accent3 4 2 2 4 3" xfId="11163"/>
    <cellStyle name="40% - Accent3 4 2 2 4 3 2" xfId="11164"/>
    <cellStyle name="40% - Accent3 4 2 2 4 3 2 2" xfId="29079"/>
    <cellStyle name="40% - Accent3 4 2 2 4 3 3" xfId="29078"/>
    <cellStyle name="40% - Accent3 4 2 2 4 4" xfId="11165"/>
    <cellStyle name="40% - Accent3 4 2 2 4 4 2" xfId="29080"/>
    <cellStyle name="40% - Accent3 4 2 2 4 5" xfId="29073"/>
    <cellStyle name="40% - Accent3 4 2 2 5" xfId="11166"/>
    <cellStyle name="40% - Accent3 4 2 2 5 2" xfId="11167"/>
    <cellStyle name="40% - Accent3 4 2 2 5 2 2" xfId="11168"/>
    <cellStyle name="40% - Accent3 4 2 2 5 2 2 2" xfId="29083"/>
    <cellStyle name="40% - Accent3 4 2 2 5 2 3" xfId="29082"/>
    <cellStyle name="40% - Accent3 4 2 2 5 3" xfId="11169"/>
    <cellStyle name="40% - Accent3 4 2 2 5 3 2" xfId="29084"/>
    <cellStyle name="40% - Accent3 4 2 2 5 4" xfId="29081"/>
    <cellStyle name="40% - Accent3 4 2 2 6" xfId="11170"/>
    <cellStyle name="40% - Accent3 4 2 2 6 2" xfId="11171"/>
    <cellStyle name="40% - Accent3 4 2 2 6 2 2" xfId="29086"/>
    <cellStyle name="40% - Accent3 4 2 2 6 3" xfId="29085"/>
    <cellStyle name="40% - Accent3 4 2 2 7" xfId="11172"/>
    <cellStyle name="40% - Accent3 4 2 2 7 2" xfId="29087"/>
    <cellStyle name="40% - Accent3 4 2 2 8" xfId="29040"/>
    <cellStyle name="40% - Accent3 4 2 3" xfId="11173"/>
    <cellStyle name="40% - Accent3 4 2 3 2" xfId="11174"/>
    <cellStyle name="40% - Accent3 4 2 3 2 2" xfId="11175"/>
    <cellStyle name="40% - Accent3 4 2 3 2 2 2" xfId="11176"/>
    <cellStyle name="40% - Accent3 4 2 3 2 2 2 2" xfId="11177"/>
    <cellStyle name="40% - Accent3 4 2 3 2 2 2 2 2" xfId="29092"/>
    <cellStyle name="40% - Accent3 4 2 3 2 2 2 3" xfId="29091"/>
    <cellStyle name="40% - Accent3 4 2 3 2 2 3" xfId="11178"/>
    <cellStyle name="40% - Accent3 4 2 3 2 2 3 2" xfId="29093"/>
    <cellStyle name="40% - Accent3 4 2 3 2 2 4" xfId="29090"/>
    <cellStyle name="40% - Accent3 4 2 3 2 3" xfId="11179"/>
    <cellStyle name="40% - Accent3 4 2 3 2 3 2" xfId="11180"/>
    <cellStyle name="40% - Accent3 4 2 3 2 3 2 2" xfId="29095"/>
    <cellStyle name="40% - Accent3 4 2 3 2 3 3" xfId="29094"/>
    <cellStyle name="40% - Accent3 4 2 3 2 4" xfId="11181"/>
    <cellStyle name="40% - Accent3 4 2 3 2 4 2" xfId="29096"/>
    <cellStyle name="40% - Accent3 4 2 3 2 5" xfId="29089"/>
    <cellStyle name="40% - Accent3 4 2 3 3" xfId="11182"/>
    <cellStyle name="40% - Accent3 4 2 3 3 2" xfId="11183"/>
    <cellStyle name="40% - Accent3 4 2 3 3 2 2" xfId="11184"/>
    <cellStyle name="40% - Accent3 4 2 3 3 2 2 2" xfId="11185"/>
    <cellStyle name="40% - Accent3 4 2 3 3 2 2 2 2" xfId="29100"/>
    <cellStyle name="40% - Accent3 4 2 3 3 2 2 3" xfId="29099"/>
    <cellStyle name="40% - Accent3 4 2 3 3 2 3" xfId="11186"/>
    <cellStyle name="40% - Accent3 4 2 3 3 2 3 2" xfId="29101"/>
    <cellStyle name="40% - Accent3 4 2 3 3 2 4" xfId="29098"/>
    <cellStyle name="40% - Accent3 4 2 3 3 3" xfId="11187"/>
    <cellStyle name="40% - Accent3 4 2 3 3 3 2" xfId="11188"/>
    <cellStyle name="40% - Accent3 4 2 3 3 3 2 2" xfId="29103"/>
    <cellStyle name="40% - Accent3 4 2 3 3 3 3" xfId="29102"/>
    <cellStyle name="40% - Accent3 4 2 3 3 4" xfId="11189"/>
    <cellStyle name="40% - Accent3 4 2 3 3 4 2" xfId="29104"/>
    <cellStyle name="40% - Accent3 4 2 3 3 5" xfId="29097"/>
    <cellStyle name="40% - Accent3 4 2 3 4" xfId="11190"/>
    <cellStyle name="40% - Accent3 4 2 3 4 2" xfId="11191"/>
    <cellStyle name="40% - Accent3 4 2 3 4 2 2" xfId="11192"/>
    <cellStyle name="40% - Accent3 4 2 3 4 2 2 2" xfId="29107"/>
    <cellStyle name="40% - Accent3 4 2 3 4 2 3" xfId="29106"/>
    <cellStyle name="40% - Accent3 4 2 3 4 3" xfId="11193"/>
    <cellStyle name="40% - Accent3 4 2 3 4 3 2" xfId="29108"/>
    <cellStyle name="40% - Accent3 4 2 3 4 4" xfId="29105"/>
    <cellStyle name="40% - Accent3 4 2 3 5" xfId="11194"/>
    <cellStyle name="40% - Accent3 4 2 3 5 2" xfId="11195"/>
    <cellStyle name="40% - Accent3 4 2 3 5 2 2" xfId="29110"/>
    <cellStyle name="40% - Accent3 4 2 3 5 3" xfId="29109"/>
    <cellStyle name="40% - Accent3 4 2 3 6" xfId="11196"/>
    <cellStyle name="40% - Accent3 4 2 3 6 2" xfId="29111"/>
    <cellStyle name="40% - Accent3 4 2 3 7" xfId="29088"/>
    <cellStyle name="40% - Accent3 4 2 4" xfId="11197"/>
    <cellStyle name="40% - Accent3 4 2 4 2" xfId="11198"/>
    <cellStyle name="40% - Accent3 4 2 4 2 2" xfId="11199"/>
    <cellStyle name="40% - Accent3 4 2 4 2 2 2" xfId="11200"/>
    <cellStyle name="40% - Accent3 4 2 4 2 2 2 2" xfId="29115"/>
    <cellStyle name="40% - Accent3 4 2 4 2 2 3" xfId="29114"/>
    <cellStyle name="40% - Accent3 4 2 4 2 3" xfId="11201"/>
    <cellStyle name="40% - Accent3 4 2 4 2 3 2" xfId="29116"/>
    <cellStyle name="40% - Accent3 4 2 4 2 4" xfId="29113"/>
    <cellStyle name="40% - Accent3 4 2 4 3" xfId="11202"/>
    <cellStyle name="40% - Accent3 4 2 4 3 2" xfId="11203"/>
    <cellStyle name="40% - Accent3 4 2 4 3 2 2" xfId="29118"/>
    <cellStyle name="40% - Accent3 4 2 4 3 3" xfId="29117"/>
    <cellStyle name="40% - Accent3 4 2 4 4" xfId="11204"/>
    <cellStyle name="40% - Accent3 4 2 4 4 2" xfId="29119"/>
    <cellStyle name="40% - Accent3 4 2 4 5" xfId="29112"/>
    <cellStyle name="40% - Accent3 4 2 5" xfId="11205"/>
    <cellStyle name="40% - Accent3 4 2 5 2" xfId="11206"/>
    <cellStyle name="40% - Accent3 4 2 5 2 2" xfId="11207"/>
    <cellStyle name="40% - Accent3 4 2 5 2 2 2" xfId="11208"/>
    <cellStyle name="40% - Accent3 4 2 5 2 2 2 2" xfId="29123"/>
    <cellStyle name="40% - Accent3 4 2 5 2 2 3" xfId="29122"/>
    <cellStyle name="40% - Accent3 4 2 5 2 3" xfId="11209"/>
    <cellStyle name="40% - Accent3 4 2 5 2 3 2" xfId="29124"/>
    <cellStyle name="40% - Accent3 4 2 5 2 4" xfId="29121"/>
    <cellStyle name="40% - Accent3 4 2 5 3" xfId="11210"/>
    <cellStyle name="40% - Accent3 4 2 5 3 2" xfId="11211"/>
    <cellStyle name="40% - Accent3 4 2 5 3 2 2" xfId="29126"/>
    <cellStyle name="40% - Accent3 4 2 5 3 3" xfId="29125"/>
    <cellStyle name="40% - Accent3 4 2 5 4" xfId="11212"/>
    <cellStyle name="40% - Accent3 4 2 5 4 2" xfId="29127"/>
    <cellStyle name="40% - Accent3 4 2 5 5" xfId="29120"/>
    <cellStyle name="40% - Accent3 4 2 6" xfId="11213"/>
    <cellStyle name="40% - Accent3 4 2 6 2" xfId="11214"/>
    <cellStyle name="40% - Accent3 4 2 6 2 2" xfId="11215"/>
    <cellStyle name="40% - Accent3 4 2 6 2 2 2" xfId="29130"/>
    <cellStyle name="40% - Accent3 4 2 6 2 3" xfId="29129"/>
    <cellStyle name="40% - Accent3 4 2 6 3" xfId="11216"/>
    <cellStyle name="40% - Accent3 4 2 6 3 2" xfId="29131"/>
    <cellStyle name="40% - Accent3 4 2 6 4" xfId="29128"/>
    <cellStyle name="40% - Accent3 4 2 7" xfId="11217"/>
    <cellStyle name="40% - Accent3 4 2 7 2" xfId="11218"/>
    <cellStyle name="40% - Accent3 4 2 7 2 2" xfId="29133"/>
    <cellStyle name="40% - Accent3 4 2 7 3" xfId="29132"/>
    <cellStyle name="40% - Accent3 4 2 8" xfId="11219"/>
    <cellStyle name="40% - Accent3 4 2 8 2" xfId="29134"/>
    <cellStyle name="40% - Accent3 4 2 9" xfId="29039"/>
    <cellStyle name="40% - Accent3 4 3" xfId="11220"/>
    <cellStyle name="40% - Accent3 4 3 2" xfId="11221"/>
    <cellStyle name="40% - Accent3 4 3 2 2" xfId="11222"/>
    <cellStyle name="40% - Accent3 4 3 2 2 2" xfId="11223"/>
    <cellStyle name="40% - Accent3 4 3 2 2 2 2" xfId="11224"/>
    <cellStyle name="40% - Accent3 4 3 2 2 2 2 2" xfId="11225"/>
    <cellStyle name="40% - Accent3 4 3 2 2 2 2 2 2" xfId="29140"/>
    <cellStyle name="40% - Accent3 4 3 2 2 2 2 3" xfId="29139"/>
    <cellStyle name="40% - Accent3 4 3 2 2 2 3" xfId="11226"/>
    <cellStyle name="40% - Accent3 4 3 2 2 2 3 2" xfId="29141"/>
    <cellStyle name="40% - Accent3 4 3 2 2 2 4" xfId="29138"/>
    <cellStyle name="40% - Accent3 4 3 2 2 3" xfId="11227"/>
    <cellStyle name="40% - Accent3 4 3 2 2 3 2" xfId="11228"/>
    <cellStyle name="40% - Accent3 4 3 2 2 3 2 2" xfId="29143"/>
    <cellStyle name="40% - Accent3 4 3 2 2 3 3" xfId="29142"/>
    <cellStyle name="40% - Accent3 4 3 2 2 4" xfId="11229"/>
    <cellStyle name="40% - Accent3 4 3 2 2 4 2" xfId="29144"/>
    <cellStyle name="40% - Accent3 4 3 2 2 5" xfId="29137"/>
    <cellStyle name="40% - Accent3 4 3 2 3" xfId="11230"/>
    <cellStyle name="40% - Accent3 4 3 2 3 2" xfId="11231"/>
    <cellStyle name="40% - Accent3 4 3 2 3 2 2" xfId="11232"/>
    <cellStyle name="40% - Accent3 4 3 2 3 2 2 2" xfId="11233"/>
    <cellStyle name="40% - Accent3 4 3 2 3 2 2 2 2" xfId="29148"/>
    <cellStyle name="40% - Accent3 4 3 2 3 2 2 3" xfId="29147"/>
    <cellStyle name="40% - Accent3 4 3 2 3 2 3" xfId="11234"/>
    <cellStyle name="40% - Accent3 4 3 2 3 2 3 2" xfId="29149"/>
    <cellStyle name="40% - Accent3 4 3 2 3 2 4" xfId="29146"/>
    <cellStyle name="40% - Accent3 4 3 2 3 3" xfId="11235"/>
    <cellStyle name="40% - Accent3 4 3 2 3 3 2" xfId="11236"/>
    <cellStyle name="40% - Accent3 4 3 2 3 3 2 2" xfId="29151"/>
    <cellStyle name="40% - Accent3 4 3 2 3 3 3" xfId="29150"/>
    <cellStyle name="40% - Accent3 4 3 2 3 4" xfId="11237"/>
    <cellStyle name="40% - Accent3 4 3 2 3 4 2" xfId="29152"/>
    <cellStyle name="40% - Accent3 4 3 2 3 5" xfId="29145"/>
    <cellStyle name="40% - Accent3 4 3 2 4" xfId="11238"/>
    <cellStyle name="40% - Accent3 4 3 2 4 2" xfId="11239"/>
    <cellStyle name="40% - Accent3 4 3 2 4 2 2" xfId="11240"/>
    <cellStyle name="40% - Accent3 4 3 2 4 2 2 2" xfId="29155"/>
    <cellStyle name="40% - Accent3 4 3 2 4 2 3" xfId="29154"/>
    <cellStyle name="40% - Accent3 4 3 2 4 3" xfId="11241"/>
    <cellStyle name="40% - Accent3 4 3 2 4 3 2" xfId="29156"/>
    <cellStyle name="40% - Accent3 4 3 2 4 4" xfId="29153"/>
    <cellStyle name="40% - Accent3 4 3 2 5" xfId="11242"/>
    <cellStyle name="40% - Accent3 4 3 2 5 2" xfId="11243"/>
    <cellStyle name="40% - Accent3 4 3 2 5 2 2" xfId="29158"/>
    <cellStyle name="40% - Accent3 4 3 2 5 3" xfId="29157"/>
    <cellStyle name="40% - Accent3 4 3 2 6" xfId="11244"/>
    <cellStyle name="40% - Accent3 4 3 2 6 2" xfId="29159"/>
    <cellStyle name="40% - Accent3 4 3 2 7" xfId="29136"/>
    <cellStyle name="40% - Accent3 4 3 3" xfId="11245"/>
    <cellStyle name="40% - Accent3 4 3 3 2" xfId="11246"/>
    <cellStyle name="40% - Accent3 4 3 3 2 2" xfId="11247"/>
    <cellStyle name="40% - Accent3 4 3 3 2 2 2" xfId="11248"/>
    <cellStyle name="40% - Accent3 4 3 3 2 2 2 2" xfId="29163"/>
    <cellStyle name="40% - Accent3 4 3 3 2 2 3" xfId="29162"/>
    <cellStyle name="40% - Accent3 4 3 3 2 3" xfId="11249"/>
    <cellStyle name="40% - Accent3 4 3 3 2 3 2" xfId="29164"/>
    <cellStyle name="40% - Accent3 4 3 3 2 4" xfId="29161"/>
    <cellStyle name="40% - Accent3 4 3 3 3" xfId="11250"/>
    <cellStyle name="40% - Accent3 4 3 3 3 2" xfId="11251"/>
    <cellStyle name="40% - Accent3 4 3 3 3 2 2" xfId="29166"/>
    <cellStyle name="40% - Accent3 4 3 3 3 3" xfId="29165"/>
    <cellStyle name="40% - Accent3 4 3 3 4" xfId="11252"/>
    <cellStyle name="40% - Accent3 4 3 3 4 2" xfId="29167"/>
    <cellStyle name="40% - Accent3 4 3 3 5" xfId="29160"/>
    <cellStyle name="40% - Accent3 4 3 4" xfId="11253"/>
    <cellStyle name="40% - Accent3 4 3 4 2" xfId="11254"/>
    <cellStyle name="40% - Accent3 4 3 4 2 2" xfId="11255"/>
    <cellStyle name="40% - Accent3 4 3 4 2 2 2" xfId="11256"/>
    <cellStyle name="40% - Accent3 4 3 4 2 2 2 2" xfId="29171"/>
    <cellStyle name="40% - Accent3 4 3 4 2 2 3" xfId="29170"/>
    <cellStyle name="40% - Accent3 4 3 4 2 3" xfId="11257"/>
    <cellStyle name="40% - Accent3 4 3 4 2 3 2" xfId="29172"/>
    <cellStyle name="40% - Accent3 4 3 4 2 4" xfId="29169"/>
    <cellStyle name="40% - Accent3 4 3 4 3" xfId="11258"/>
    <cellStyle name="40% - Accent3 4 3 4 3 2" xfId="11259"/>
    <cellStyle name="40% - Accent3 4 3 4 3 2 2" xfId="29174"/>
    <cellStyle name="40% - Accent3 4 3 4 3 3" xfId="29173"/>
    <cellStyle name="40% - Accent3 4 3 4 4" xfId="11260"/>
    <cellStyle name="40% - Accent3 4 3 4 4 2" xfId="29175"/>
    <cellStyle name="40% - Accent3 4 3 4 5" xfId="29168"/>
    <cellStyle name="40% - Accent3 4 3 5" xfId="11261"/>
    <cellStyle name="40% - Accent3 4 3 5 2" xfId="11262"/>
    <cellStyle name="40% - Accent3 4 3 5 2 2" xfId="11263"/>
    <cellStyle name="40% - Accent3 4 3 5 2 2 2" xfId="29178"/>
    <cellStyle name="40% - Accent3 4 3 5 2 3" xfId="29177"/>
    <cellStyle name="40% - Accent3 4 3 5 3" xfId="11264"/>
    <cellStyle name="40% - Accent3 4 3 5 3 2" xfId="29179"/>
    <cellStyle name="40% - Accent3 4 3 5 4" xfId="29176"/>
    <cellStyle name="40% - Accent3 4 3 6" xfId="11265"/>
    <cellStyle name="40% - Accent3 4 3 6 2" xfId="11266"/>
    <cellStyle name="40% - Accent3 4 3 6 2 2" xfId="29181"/>
    <cellStyle name="40% - Accent3 4 3 6 3" xfId="29180"/>
    <cellStyle name="40% - Accent3 4 3 7" xfId="11267"/>
    <cellStyle name="40% - Accent3 4 3 7 2" xfId="29182"/>
    <cellStyle name="40% - Accent3 4 3 8" xfId="29135"/>
    <cellStyle name="40% - Accent3 4 4" xfId="11268"/>
    <cellStyle name="40% - Accent3 4 4 2" xfId="11269"/>
    <cellStyle name="40% - Accent3 4 4 2 2" xfId="11270"/>
    <cellStyle name="40% - Accent3 4 4 2 2 2" xfId="11271"/>
    <cellStyle name="40% - Accent3 4 4 2 2 2 2" xfId="11272"/>
    <cellStyle name="40% - Accent3 4 4 2 2 2 2 2" xfId="29187"/>
    <cellStyle name="40% - Accent3 4 4 2 2 2 3" xfId="29186"/>
    <cellStyle name="40% - Accent3 4 4 2 2 3" xfId="11273"/>
    <cellStyle name="40% - Accent3 4 4 2 2 3 2" xfId="29188"/>
    <cellStyle name="40% - Accent3 4 4 2 2 4" xfId="29185"/>
    <cellStyle name="40% - Accent3 4 4 2 3" xfId="11274"/>
    <cellStyle name="40% - Accent3 4 4 2 3 2" xfId="11275"/>
    <cellStyle name="40% - Accent3 4 4 2 3 2 2" xfId="29190"/>
    <cellStyle name="40% - Accent3 4 4 2 3 3" xfId="29189"/>
    <cellStyle name="40% - Accent3 4 4 2 4" xfId="11276"/>
    <cellStyle name="40% - Accent3 4 4 2 4 2" xfId="29191"/>
    <cellStyle name="40% - Accent3 4 4 2 5" xfId="29184"/>
    <cellStyle name="40% - Accent3 4 4 3" xfId="11277"/>
    <cellStyle name="40% - Accent3 4 4 3 2" xfId="11278"/>
    <cellStyle name="40% - Accent3 4 4 3 2 2" xfId="11279"/>
    <cellStyle name="40% - Accent3 4 4 3 2 2 2" xfId="11280"/>
    <cellStyle name="40% - Accent3 4 4 3 2 2 2 2" xfId="29195"/>
    <cellStyle name="40% - Accent3 4 4 3 2 2 3" xfId="29194"/>
    <cellStyle name="40% - Accent3 4 4 3 2 3" xfId="11281"/>
    <cellStyle name="40% - Accent3 4 4 3 2 3 2" xfId="29196"/>
    <cellStyle name="40% - Accent3 4 4 3 2 4" xfId="29193"/>
    <cellStyle name="40% - Accent3 4 4 3 3" xfId="11282"/>
    <cellStyle name="40% - Accent3 4 4 3 3 2" xfId="11283"/>
    <cellStyle name="40% - Accent3 4 4 3 3 2 2" xfId="29198"/>
    <cellStyle name="40% - Accent3 4 4 3 3 3" xfId="29197"/>
    <cellStyle name="40% - Accent3 4 4 3 4" xfId="11284"/>
    <cellStyle name="40% - Accent3 4 4 3 4 2" xfId="29199"/>
    <cellStyle name="40% - Accent3 4 4 3 5" xfId="29192"/>
    <cellStyle name="40% - Accent3 4 4 4" xfId="11285"/>
    <cellStyle name="40% - Accent3 4 4 4 2" xfId="11286"/>
    <cellStyle name="40% - Accent3 4 4 4 2 2" xfId="11287"/>
    <cellStyle name="40% - Accent3 4 4 4 2 2 2" xfId="29202"/>
    <cellStyle name="40% - Accent3 4 4 4 2 3" xfId="29201"/>
    <cellStyle name="40% - Accent3 4 4 4 3" xfId="11288"/>
    <cellStyle name="40% - Accent3 4 4 4 3 2" xfId="29203"/>
    <cellStyle name="40% - Accent3 4 4 4 4" xfId="29200"/>
    <cellStyle name="40% - Accent3 4 4 5" xfId="11289"/>
    <cellStyle name="40% - Accent3 4 4 5 2" xfId="11290"/>
    <cellStyle name="40% - Accent3 4 4 5 2 2" xfId="29205"/>
    <cellStyle name="40% - Accent3 4 4 5 3" xfId="29204"/>
    <cellStyle name="40% - Accent3 4 4 6" xfId="11291"/>
    <cellStyle name="40% - Accent3 4 4 6 2" xfId="29206"/>
    <cellStyle name="40% - Accent3 4 4 7" xfId="29183"/>
    <cellStyle name="40% - Accent3 4 5" xfId="11292"/>
    <cellStyle name="40% - Accent3 4 5 2" xfId="11293"/>
    <cellStyle name="40% - Accent3 4 5 2 2" xfId="11294"/>
    <cellStyle name="40% - Accent3 4 5 2 2 2" xfId="11295"/>
    <cellStyle name="40% - Accent3 4 5 2 2 2 2" xfId="29210"/>
    <cellStyle name="40% - Accent3 4 5 2 2 3" xfId="29209"/>
    <cellStyle name="40% - Accent3 4 5 2 3" xfId="11296"/>
    <cellStyle name="40% - Accent3 4 5 2 3 2" xfId="29211"/>
    <cellStyle name="40% - Accent3 4 5 2 4" xfId="29208"/>
    <cellStyle name="40% - Accent3 4 5 3" xfId="11297"/>
    <cellStyle name="40% - Accent3 4 5 3 2" xfId="11298"/>
    <cellStyle name="40% - Accent3 4 5 3 2 2" xfId="29213"/>
    <cellStyle name="40% - Accent3 4 5 3 3" xfId="29212"/>
    <cellStyle name="40% - Accent3 4 5 4" xfId="11299"/>
    <cellStyle name="40% - Accent3 4 5 4 2" xfId="29214"/>
    <cellStyle name="40% - Accent3 4 5 5" xfId="29207"/>
    <cellStyle name="40% - Accent3 4 6" xfId="11300"/>
    <cellStyle name="40% - Accent3 4 6 2" xfId="11301"/>
    <cellStyle name="40% - Accent3 4 6 2 2" xfId="11302"/>
    <cellStyle name="40% - Accent3 4 6 2 2 2" xfId="11303"/>
    <cellStyle name="40% - Accent3 4 6 2 2 2 2" xfId="29218"/>
    <cellStyle name="40% - Accent3 4 6 2 2 3" xfId="29217"/>
    <cellStyle name="40% - Accent3 4 6 2 3" xfId="11304"/>
    <cellStyle name="40% - Accent3 4 6 2 3 2" xfId="29219"/>
    <cellStyle name="40% - Accent3 4 6 2 4" xfId="29216"/>
    <cellStyle name="40% - Accent3 4 6 3" xfId="11305"/>
    <cellStyle name="40% - Accent3 4 6 3 2" xfId="11306"/>
    <cellStyle name="40% - Accent3 4 6 3 2 2" xfId="29221"/>
    <cellStyle name="40% - Accent3 4 6 3 3" xfId="29220"/>
    <cellStyle name="40% - Accent3 4 6 4" xfId="11307"/>
    <cellStyle name="40% - Accent3 4 6 4 2" xfId="29222"/>
    <cellStyle name="40% - Accent3 4 6 5" xfId="29215"/>
    <cellStyle name="40% - Accent3 4 7" xfId="11308"/>
    <cellStyle name="40% - Accent3 4 7 2" xfId="11309"/>
    <cellStyle name="40% - Accent3 4 7 2 2" xfId="11310"/>
    <cellStyle name="40% - Accent3 4 7 2 2 2" xfId="29225"/>
    <cellStyle name="40% - Accent3 4 7 2 3" xfId="29224"/>
    <cellStyle name="40% - Accent3 4 7 3" xfId="11311"/>
    <cellStyle name="40% - Accent3 4 7 3 2" xfId="29226"/>
    <cellStyle name="40% - Accent3 4 7 4" xfId="29223"/>
    <cellStyle name="40% - Accent3 4 8" xfId="11312"/>
    <cellStyle name="40% - Accent3 4 8 2" xfId="11313"/>
    <cellStyle name="40% - Accent3 4 8 2 2" xfId="29228"/>
    <cellStyle name="40% - Accent3 4 8 3" xfId="29227"/>
    <cellStyle name="40% - Accent3 4 9" xfId="11314"/>
    <cellStyle name="40% - Accent3 4 9 2" xfId="29229"/>
    <cellStyle name="40% - Accent3 5" xfId="11315"/>
    <cellStyle name="40% - Accent3 5 10" xfId="29230"/>
    <cellStyle name="40% - Accent3 5 2" xfId="11316"/>
    <cellStyle name="40% - Accent3 5 2 2" xfId="11317"/>
    <cellStyle name="40% - Accent3 5 2 2 2" xfId="11318"/>
    <cellStyle name="40% - Accent3 5 2 2 2 2" xfId="11319"/>
    <cellStyle name="40% - Accent3 5 2 2 2 2 2" xfId="11320"/>
    <cellStyle name="40% - Accent3 5 2 2 2 2 2 2" xfId="11321"/>
    <cellStyle name="40% - Accent3 5 2 2 2 2 2 2 2" xfId="11322"/>
    <cellStyle name="40% - Accent3 5 2 2 2 2 2 2 2 2" xfId="29237"/>
    <cellStyle name="40% - Accent3 5 2 2 2 2 2 2 3" xfId="29236"/>
    <cellStyle name="40% - Accent3 5 2 2 2 2 2 3" xfId="11323"/>
    <cellStyle name="40% - Accent3 5 2 2 2 2 2 3 2" xfId="29238"/>
    <cellStyle name="40% - Accent3 5 2 2 2 2 2 4" xfId="29235"/>
    <cellStyle name="40% - Accent3 5 2 2 2 2 3" xfId="11324"/>
    <cellStyle name="40% - Accent3 5 2 2 2 2 3 2" xfId="11325"/>
    <cellStyle name="40% - Accent3 5 2 2 2 2 3 2 2" xfId="29240"/>
    <cellStyle name="40% - Accent3 5 2 2 2 2 3 3" xfId="29239"/>
    <cellStyle name="40% - Accent3 5 2 2 2 2 4" xfId="11326"/>
    <cellStyle name="40% - Accent3 5 2 2 2 2 4 2" xfId="29241"/>
    <cellStyle name="40% - Accent3 5 2 2 2 2 5" xfId="29234"/>
    <cellStyle name="40% - Accent3 5 2 2 2 3" xfId="11327"/>
    <cellStyle name="40% - Accent3 5 2 2 2 3 2" xfId="11328"/>
    <cellStyle name="40% - Accent3 5 2 2 2 3 2 2" xfId="11329"/>
    <cellStyle name="40% - Accent3 5 2 2 2 3 2 2 2" xfId="11330"/>
    <cellStyle name="40% - Accent3 5 2 2 2 3 2 2 2 2" xfId="29245"/>
    <cellStyle name="40% - Accent3 5 2 2 2 3 2 2 3" xfId="29244"/>
    <cellStyle name="40% - Accent3 5 2 2 2 3 2 3" xfId="11331"/>
    <cellStyle name="40% - Accent3 5 2 2 2 3 2 3 2" xfId="29246"/>
    <cellStyle name="40% - Accent3 5 2 2 2 3 2 4" xfId="29243"/>
    <cellStyle name="40% - Accent3 5 2 2 2 3 3" xfId="11332"/>
    <cellStyle name="40% - Accent3 5 2 2 2 3 3 2" xfId="11333"/>
    <cellStyle name="40% - Accent3 5 2 2 2 3 3 2 2" xfId="29248"/>
    <cellStyle name="40% - Accent3 5 2 2 2 3 3 3" xfId="29247"/>
    <cellStyle name="40% - Accent3 5 2 2 2 3 4" xfId="11334"/>
    <cellStyle name="40% - Accent3 5 2 2 2 3 4 2" xfId="29249"/>
    <cellStyle name="40% - Accent3 5 2 2 2 3 5" xfId="29242"/>
    <cellStyle name="40% - Accent3 5 2 2 2 4" xfId="11335"/>
    <cellStyle name="40% - Accent3 5 2 2 2 4 2" xfId="11336"/>
    <cellStyle name="40% - Accent3 5 2 2 2 4 2 2" xfId="11337"/>
    <cellStyle name="40% - Accent3 5 2 2 2 4 2 2 2" xfId="29252"/>
    <cellStyle name="40% - Accent3 5 2 2 2 4 2 3" xfId="29251"/>
    <cellStyle name="40% - Accent3 5 2 2 2 4 3" xfId="11338"/>
    <cellStyle name="40% - Accent3 5 2 2 2 4 3 2" xfId="29253"/>
    <cellStyle name="40% - Accent3 5 2 2 2 4 4" xfId="29250"/>
    <cellStyle name="40% - Accent3 5 2 2 2 5" xfId="11339"/>
    <cellStyle name="40% - Accent3 5 2 2 2 5 2" xfId="11340"/>
    <cellStyle name="40% - Accent3 5 2 2 2 5 2 2" xfId="29255"/>
    <cellStyle name="40% - Accent3 5 2 2 2 5 3" xfId="29254"/>
    <cellStyle name="40% - Accent3 5 2 2 2 6" xfId="11341"/>
    <cellStyle name="40% - Accent3 5 2 2 2 6 2" xfId="29256"/>
    <cellStyle name="40% - Accent3 5 2 2 2 7" xfId="29233"/>
    <cellStyle name="40% - Accent3 5 2 2 3" xfId="11342"/>
    <cellStyle name="40% - Accent3 5 2 2 3 2" xfId="11343"/>
    <cellStyle name="40% - Accent3 5 2 2 3 2 2" xfId="11344"/>
    <cellStyle name="40% - Accent3 5 2 2 3 2 2 2" xfId="11345"/>
    <cellStyle name="40% - Accent3 5 2 2 3 2 2 2 2" xfId="29260"/>
    <cellStyle name="40% - Accent3 5 2 2 3 2 2 3" xfId="29259"/>
    <cellStyle name="40% - Accent3 5 2 2 3 2 3" xfId="11346"/>
    <cellStyle name="40% - Accent3 5 2 2 3 2 3 2" xfId="29261"/>
    <cellStyle name="40% - Accent3 5 2 2 3 2 4" xfId="29258"/>
    <cellStyle name="40% - Accent3 5 2 2 3 3" xfId="11347"/>
    <cellStyle name="40% - Accent3 5 2 2 3 3 2" xfId="11348"/>
    <cellStyle name="40% - Accent3 5 2 2 3 3 2 2" xfId="29263"/>
    <cellStyle name="40% - Accent3 5 2 2 3 3 3" xfId="29262"/>
    <cellStyle name="40% - Accent3 5 2 2 3 4" xfId="11349"/>
    <cellStyle name="40% - Accent3 5 2 2 3 4 2" xfId="29264"/>
    <cellStyle name="40% - Accent3 5 2 2 3 5" xfId="29257"/>
    <cellStyle name="40% - Accent3 5 2 2 4" xfId="11350"/>
    <cellStyle name="40% - Accent3 5 2 2 4 2" xfId="11351"/>
    <cellStyle name="40% - Accent3 5 2 2 4 2 2" xfId="11352"/>
    <cellStyle name="40% - Accent3 5 2 2 4 2 2 2" xfId="11353"/>
    <cellStyle name="40% - Accent3 5 2 2 4 2 2 2 2" xfId="29268"/>
    <cellStyle name="40% - Accent3 5 2 2 4 2 2 3" xfId="29267"/>
    <cellStyle name="40% - Accent3 5 2 2 4 2 3" xfId="11354"/>
    <cellStyle name="40% - Accent3 5 2 2 4 2 3 2" xfId="29269"/>
    <cellStyle name="40% - Accent3 5 2 2 4 2 4" xfId="29266"/>
    <cellStyle name="40% - Accent3 5 2 2 4 3" xfId="11355"/>
    <cellStyle name="40% - Accent3 5 2 2 4 3 2" xfId="11356"/>
    <cellStyle name="40% - Accent3 5 2 2 4 3 2 2" xfId="29271"/>
    <cellStyle name="40% - Accent3 5 2 2 4 3 3" xfId="29270"/>
    <cellStyle name="40% - Accent3 5 2 2 4 4" xfId="11357"/>
    <cellStyle name="40% - Accent3 5 2 2 4 4 2" xfId="29272"/>
    <cellStyle name="40% - Accent3 5 2 2 4 5" xfId="29265"/>
    <cellStyle name="40% - Accent3 5 2 2 5" xfId="11358"/>
    <cellStyle name="40% - Accent3 5 2 2 5 2" xfId="11359"/>
    <cellStyle name="40% - Accent3 5 2 2 5 2 2" xfId="11360"/>
    <cellStyle name="40% - Accent3 5 2 2 5 2 2 2" xfId="29275"/>
    <cellStyle name="40% - Accent3 5 2 2 5 2 3" xfId="29274"/>
    <cellStyle name="40% - Accent3 5 2 2 5 3" xfId="11361"/>
    <cellStyle name="40% - Accent3 5 2 2 5 3 2" xfId="29276"/>
    <cellStyle name="40% - Accent3 5 2 2 5 4" xfId="29273"/>
    <cellStyle name="40% - Accent3 5 2 2 6" xfId="11362"/>
    <cellStyle name="40% - Accent3 5 2 2 6 2" xfId="11363"/>
    <cellStyle name="40% - Accent3 5 2 2 6 2 2" xfId="29278"/>
    <cellStyle name="40% - Accent3 5 2 2 6 3" xfId="29277"/>
    <cellStyle name="40% - Accent3 5 2 2 7" xfId="11364"/>
    <cellStyle name="40% - Accent3 5 2 2 7 2" xfId="29279"/>
    <cellStyle name="40% - Accent3 5 2 2 8" xfId="29232"/>
    <cellStyle name="40% - Accent3 5 2 3" xfId="11365"/>
    <cellStyle name="40% - Accent3 5 2 3 2" xfId="11366"/>
    <cellStyle name="40% - Accent3 5 2 3 2 2" xfId="11367"/>
    <cellStyle name="40% - Accent3 5 2 3 2 2 2" xfId="11368"/>
    <cellStyle name="40% - Accent3 5 2 3 2 2 2 2" xfId="11369"/>
    <cellStyle name="40% - Accent3 5 2 3 2 2 2 2 2" xfId="29284"/>
    <cellStyle name="40% - Accent3 5 2 3 2 2 2 3" xfId="29283"/>
    <cellStyle name="40% - Accent3 5 2 3 2 2 3" xfId="11370"/>
    <cellStyle name="40% - Accent3 5 2 3 2 2 3 2" xfId="29285"/>
    <cellStyle name="40% - Accent3 5 2 3 2 2 4" xfId="29282"/>
    <cellStyle name="40% - Accent3 5 2 3 2 3" xfId="11371"/>
    <cellStyle name="40% - Accent3 5 2 3 2 3 2" xfId="11372"/>
    <cellStyle name="40% - Accent3 5 2 3 2 3 2 2" xfId="29287"/>
    <cellStyle name="40% - Accent3 5 2 3 2 3 3" xfId="29286"/>
    <cellStyle name="40% - Accent3 5 2 3 2 4" xfId="11373"/>
    <cellStyle name="40% - Accent3 5 2 3 2 4 2" xfId="29288"/>
    <cellStyle name="40% - Accent3 5 2 3 2 5" xfId="29281"/>
    <cellStyle name="40% - Accent3 5 2 3 3" xfId="11374"/>
    <cellStyle name="40% - Accent3 5 2 3 3 2" xfId="11375"/>
    <cellStyle name="40% - Accent3 5 2 3 3 2 2" xfId="11376"/>
    <cellStyle name="40% - Accent3 5 2 3 3 2 2 2" xfId="11377"/>
    <cellStyle name="40% - Accent3 5 2 3 3 2 2 2 2" xfId="29292"/>
    <cellStyle name="40% - Accent3 5 2 3 3 2 2 3" xfId="29291"/>
    <cellStyle name="40% - Accent3 5 2 3 3 2 3" xfId="11378"/>
    <cellStyle name="40% - Accent3 5 2 3 3 2 3 2" xfId="29293"/>
    <cellStyle name="40% - Accent3 5 2 3 3 2 4" xfId="29290"/>
    <cellStyle name="40% - Accent3 5 2 3 3 3" xfId="11379"/>
    <cellStyle name="40% - Accent3 5 2 3 3 3 2" xfId="11380"/>
    <cellStyle name="40% - Accent3 5 2 3 3 3 2 2" xfId="29295"/>
    <cellStyle name="40% - Accent3 5 2 3 3 3 3" xfId="29294"/>
    <cellStyle name="40% - Accent3 5 2 3 3 4" xfId="11381"/>
    <cellStyle name="40% - Accent3 5 2 3 3 4 2" xfId="29296"/>
    <cellStyle name="40% - Accent3 5 2 3 3 5" xfId="29289"/>
    <cellStyle name="40% - Accent3 5 2 3 4" xfId="11382"/>
    <cellStyle name="40% - Accent3 5 2 3 4 2" xfId="11383"/>
    <cellStyle name="40% - Accent3 5 2 3 4 2 2" xfId="11384"/>
    <cellStyle name="40% - Accent3 5 2 3 4 2 2 2" xfId="29299"/>
    <cellStyle name="40% - Accent3 5 2 3 4 2 3" xfId="29298"/>
    <cellStyle name="40% - Accent3 5 2 3 4 3" xfId="11385"/>
    <cellStyle name="40% - Accent3 5 2 3 4 3 2" xfId="29300"/>
    <cellStyle name="40% - Accent3 5 2 3 4 4" xfId="29297"/>
    <cellStyle name="40% - Accent3 5 2 3 5" xfId="11386"/>
    <cellStyle name="40% - Accent3 5 2 3 5 2" xfId="11387"/>
    <cellStyle name="40% - Accent3 5 2 3 5 2 2" xfId="29302"/>
    <cellStyle name="40% - Accent3 5 2 3 5 3" xfId="29301"/>
    <cellStyle name="40% - Accent3 5 2 3 6" xfId="11388"/>
    <cellStyle name="40% - Accent3 5 2 3 6 2" xfId="29303"/>
    <cellStyle name="40% - Accent3 5 2 3 7" xfId="29280"/>
    <cellStyle name="40% - Accent3 5 2 4" xfId="11389"/>
    <cellStyle name="40% - Accent3 5 2 4 2" xfId="11390"/>
    <cellStyle name="40% - Accent3 5 2 4 2 2" xfId="11391"/>
    <cellStyle name="40% - Accent3 5 2 4 2 2 2" xfId="11392"/>
    <cellStyle name="40% - Accent3 5 2 4 2 2 2 2" xfId="29307"/>
    <cellStyle name="40% - Accent3 5 2 4 2 2 3" xfId="29306"/>
    <cellStyle name="40% - Accent3 5 2 4 2 3" xfId="11393"/>
    <cellStyle name="40% - Accent3 5 2 4 2 3 2" xfId="29308"/>
    <cellStyle name="40% - Accent3 5 2 4 2 4" xfId="29305"/>
    <cellStyle name="40% - Accent3 5 2 4 3" xfId="11394"/>
    <cellStyle name="40% - Accent3 5 2 4 3 2" xfId="11395"/>
    <cellStyle name="40% - Accent3 5 2 4 3 2 2" xfId="29310"/>
    <cellStyle name="40% - Accent3 5 2 4 3 3" xfId="29309"/>
    <cellStyle name="40% - Accent3 5 2 4 4" xfId="11396"/>
    <cellStyle name="40% - Accent3 5 2 4 4 2" xfId="29311"/>
    <cellStyle name="40% - Accent3 5 2 4 5" xfId="29304"/>
    <cellStyle name="40% - Accent3 5 2 5" xfId="11397"/>
    <cellStyle name="40% - Accent3 5 2 5 2" xfId="11398"/>
    <cellStyle name="40% - Accent3 5 2 5 2 2" xfId="11399"/>
    <cellStyle name="40% - Accent3 5 2 5 2 2 2" xfId="11400"/>
    <cellStyle name="40% - Accent3 5 2 5 2 2 2 2" xfId="29315"/>
    <cellStyle name="40% - Accent3 5 2 5 2 2 3" xfId="29314"/>
    <cellStyle name="40% - Accent3 5 2 5 2 3" xfId="11401"/>
    <cellStyle name="40% - Accent3 5 2 5 2 3 2" xfId="29316"/>
    <cellStyle name="40% - Accent3 5 2 5 2 4" xfId="29313"/>
    <cellStyle name="40% - Accent3 5 2 5 3" xfId="11402"/>
    <cellStyle name="40% - Accent3 5 2 5 3 2" xfId="11403"/>
    <cellStyle name="40% - Accent3 5 2 5 3 2 2" xfId="29318"/>
    <cellStyle name="40% - Accent3 5 2 5 3 3" xfId="29317"/>
    <cellStyle name="40% - Accent3 5 2 5 4" xfId="11404"/>
    <cellStyle name="40% - Accent3 5 2 5 4 2" xfId="29319"/>
    <cellStyle name="40% - Accent3 5 2 5 5" xfId="29312"/>
    <cellStyle name="40% - Accent3 5 2 6" xfId="11405"/>
    <cellStyle name="40% - Accent3 5 2 6 2" xfId="11406"/>
    <cellStyle name="40% - Accent3 5 2 6 2 2" xfId="11407"/>
    <cellStyle name="40% - Accent3 5 2 6 2 2 2" xfId="29322"/>
    <cellStyle name="40% - Accent3 5 2 6 2 3" xfId="29321"/>
    <cellStyle name="40% - Accent3 5 2 6 3" xfId="11408"/>
    <cellStyle name="40% - Accent3 5 2 6 3 2" xfId="29323"/>
    <cellStyle name="40% - Accent3 5 2 6 4" xfId="29320"/>
    <cellStyle name="40% - Accent3 5 2 7" xfId="11409"/>
    <cellStyle name="40% - Accent3 5 2 7 2" xfId="11410"/>
    <cellStyle name="40% - Accent3 5 2 7 2 2" xfId="29325"/>
    <cellStyle name="40% - Accent3 5 2 7 3" xfId="29324"/>
    <cellStyle name="40% - Accent3 5 2 8" xfId="11411"/>
    <cellStyle name="40% - Accent3 5 2 8 2" xfId="29326"/>
    <cellStyle name="40% - Accent3 5 2 9" xfId="29231"/>
    <cellStyle name="40% - Accent3 5 3" xfId="11412"/>
    <cellStyle name="40% - Accent3 5 3 2" xfId="11413"/>
    <cellStyle name="40% - Accent3 5 3 2 2" xfId="11414"/>
    <cellStyle name="40% - Accent3 5 3 2 2 2" xfId="11415"/>
    <cellStyle name="40% - Accent3 5 3 2 2 2 2" xfId="11416"/>
    <cellStyle name="40% - Accent3 5 3 2 2 2 2 2" xfId="11417"/>
    <cellStyle name="40% - Accent3 5 3 2 2 2 2 2 2" xfId="29332"/>
    <cellStyle name="40% - Accent3 5 3 2 2 2 2 3" xfId="29331"/>
    <cellStyle name="40% - Accent3 5 3 2 2 2 3" xfId="11418"/>
    <cellStyle name="40% - Accent3 5 3 2 2 2 3 2" xfId="29333"/>
    <cellStyle name="40% - Accent3 5 3 2 2 2 4" xfId="29330"/>
    <cellStyle name="40% - Accent3 5 3 2 2 3" xfId="11419"/>
    <cellStyle name="40% - Accent3 5 3 2 2 3 2" xfId="11420"/>
    <cellStyle name="40% - Accent3 5 3 2 2 3 2 2" xfId="29335"/>
    <cellStyle name="40% - Accent3 5 3 2 2 3 3" xfId="29334"/>
    <cellStyle name="40% - Accent3 5 3 2 2 4" xfId="11421"/>
    <cellStyle name="40% - Accent3 5 3 2 2 4 2" xfId="29336"/>
    <cellStyle name="40% - Accent3 5 3 2 2 5" xfId="29329"/>
    <cellStyle name="40% - Accent3 5 3 2 3" xfId="11422"/>
    <cellStyle name="40% - Accent3 5 3 2 3 2" xfId="11423"/>
    <cellStyle name="40% - Accent3 5 3 2 3 2 2" xfId="11424"/>
    <cellStyle name="40% - Accent3 5 3 2 3 2 2 2" xfId="11425"/>
    <cellStyle name="40% - Accent3 5 3 2 3 2 2 2 2" xfId="29340"/>
    <cellStyle name="40% - Accent3 5 3 2 3 2 2 3" xfId="29339"/>
    <cellStyle name="40% - Accent3 5 3 2 3 2 3" xfId="11426"/>
    <cellStyle name="40% - Accent3 5 3 2 3 2 3 2" xfId="29341"/>
    <cellStyle name="40% - Accent3 5 3 2 3 2 4" xfId="29338"/>
    <cellStyle name="40% - Accent3 5 3 2 3 3" xfId="11427"/>
    <cellStyle name="40% - Accent3 5 3 2 3 3 2" xfId="11428"/>
    <cellStyle name="40% - Accent3 5 3 2 3 3 2 2" xfId="29343"/>
    <cellStyle name="40% - Accent3 5 3 2 3 3 3" xfId="29342"/>
    <cellStyle name="40% - Accent3 5 3 2 3 4" xfId="11429"/>
    <cellStyle name="40% - Accent3 5 3 2 3 4 2" xfId="29344"/>
    <cellStyle name="40% - Accent3 5 3 2 3 5" xfId="29337"/>
    <cellStyle name="40% - Accent3 5 3 2 4" xfId="11430"/>
    <cellStyle name="40% - Accent3 5 3 2 4 2" xfId="11431"/>
    <cellStyle name="40% - Accent3 5 3 2 4 2 2" xfId="11432"/>
    <cellStyle name="40% - Accent3 5 3 2 4 2 2 2" xfId="29347"/>
    <cellStyle name="40% - Accent3 5 3 2 4 2 3" xfId="29346"/>
    <cellStyle name="40% - Accent3 5 3 2 4 3" xfId="11433"/>
    <cellStyle name="40% - Accent3 5 3 2 4 3 2" xfId="29348"/>
    <cellStyle name="40% - Accent3 5 3 2 4 4" xfId="29345"/>
    <cellStyle name="40% - Accent3 5 3 2 5" xfId="11434"/>
    <cellStyle name="40% - Accent3 5 3 2 5 2" xfId="11435"/>
    <cellStyle name="40% - Accent3 5 3 2 5 2 2" xfId="29350"/>
    <cellStyle name="40% - Accent3 5 3 2 5 3" xfId="29349"/>
    <cellStyle name="40% - Accent3 5 3 2 6" xfId="11436"/>
    <cellStyle name="40% - Accent3 5 3 2 6 2" xfId="29351"/>
    <cellStyle name="40% - Accent3 5 3 2 7" xfId="29328"/>
    <cellStyle name="40% - Accent3 5 3 3" xfId="11437"/>
    <cellStyle name="40% - Accent3 5 3 3 2" xfId="11438"/>
    <cellStyle name="40% - Accent3 5 3 3 2 2" xfId="11439"/>
    <cellStyle name="40% - Accent3 5 3 3 2 2 2" xfId="11440"/>
    <cellStyle name="40% - Accent3 5 3 3 2 2 2 2" xfId="29355"/>
    <cellStyle name="40% - Accent3 5 3 3 2 2 3" xfId="29354"/>
    <cellStyle name="40% - Accent3 5 3 3 2 3" xfId="11441"/>
    <cellStyle name="40% - Accent3 5 3 3 2 3 2" xfId="29356"/>
    <cellStyle name="40% - Accent3 5 3 3 2 4" xfId="29353"/>
    <cellStyle name="40% - Accent3 5 3 3 3" xfId="11442"/>
    <cellStyle name="40% - Accent3 5 3 3 3 2" xfId="11443"/>
    <cellStyle name="40% - Accent3 5 3 3 3 2 2" xfId="29358"/>
    <cellStyle name="40% - Accent3 5 3 3 3 3" xfId="29357"/>
    <cellStyle name="40% - Accent3 5 3 3 4" xfId="11444"/>
    <cellStyle name="40% - Accent3 5 3 3 4 2" xfId="29359"/>
    <cellStyle name="40% - Accent3 5 3 3 5" xfId="29352"/>
    <cellStyle name="40% - Accent3 5 3 4" xfId="11445"/>
    <cellStyle name="40% - Accent3 5 3 4 2" xfId="11446"/>
    <cellStyle name="40% - Accent3 5 3 4 2 2" xfId="11447"/>
    <cellStyle name="40% - Accent3 5 3 4 2 2 2" xfId="11448"/>
    <cellStyle name="40% - Accent3 5 3 4 2 2 2 2" xfId="29363"/>
    <cellStyle name="40% - Accent3 5 3 4 2 2 3" xfId="29362"/>
    <cellStyle name="40% - Accent3 5 3 4 2 3" xfId="11449"/>
    <cellStyle name="40% - Accent3 5 3 4 2 3 2" xfId="29364"/>
    <cellStyle name="40% - Accent3 5 3 4 2 4" xfId="29361"/>
    <cellStyle name="40% - Accent3 5 3 4 3" xfId="11450"/>
    <cellStyle name="40% - Accent3 5 3 4 3 2" xfId="11451"/>
    <cellStyle name="40% - Accent3 5 3 4 3 2 2" xfId="29366"/>
    <cellStyle name="40% - Accent3 5 3 4 3 3" xfId="29365"/>
    <cellStyle name="40% - Accent3 5 3 4 4" xfId="11452"/>
    <cellStyle name="40% - Accent3 5 3 4 4 2" xfId="29367"/>
    <cellStyle name="40% - Accent3 5 3 4 5" xfId="29360"/>
    <cellStyle name="40% - Accent3 5 3 5" xfId="11453"/>
    <cellStyle name="40% - Accent3 5 3 5 2" xfId="11454"/>
    <cellStyle name="40% - Accent3 5 3 5 2 2" xfId="11455"/>
    <cellStyle name="40% - Accent3 5 3 5 2 2 2" xfId="29370"/>
    <cellStyle name="40% - Accent3 5 3 5 2 3" xfId="29369"/>
    <cellStyle name="40% - Accent3 5 3 5 3" xfId="11456"/>
    <cellStyle name="40% - Accent3 5 3 5 3 2" xfId="29371"/>
    <cellStyle name="40% - Accent3 5 3 5 4" xfId="29368"/>
    <cellStyle name="40% - Accent3 5 3 6" xfId="11457"/>
    <cellStyle name="40% - Accent3 5 3 6 2" xfId="11458"/>
    <cellStyle name="40% - Accent3 5 3 6 2 2" xfId="29373"/>
    <cellStyle name="40% - Accent3 5 3 6 3" xfId="29372"/>
    <cellStyle name="40% - Accent3 5 3 7" xfId="11459"/>
    <cellStyle name="40% - Accent3 5 3 7 2" xfId="29374"/>
    <cellStyle name="40% - Accent3 5 3 8" xfId="29327"/>
    <cellStyle name="40% - Accent3 5 4" xfId="11460"/>
    <cellStyle name="40% - Accent3 5 4 2" xfId="11461"/>
    <cellStyle name="40% - Accent3 5 4 2 2" xfId="11462"/>
    <cellStyle name="40% - Accent3 5 4 2 2 2" xfId="11463"/>
    <cellStyle name="40% - Accent3 5 4 2 2 2 2" xfId="11464"/>
    <cellStyle name="40% - Accent3 5 4 2 2 2 2 2" xfId="29379"/>
    <cellStyle name="40% - Accent3 5 4 2 2 2 3" xfId="29378"/>
    <cellStyle name="40% - Accent3 5 4 2 2 3" xfId="11465"/>
    <cellStyle name="40% - Accent3 5 4 2 2 3 2" xfId="29380"/>
    <cellStyle name="40% - Accent3 5 4 2 2 4" xfId="29377"/>
    <cellStyle name="40% - Accent3 5 4 2 3" xfId="11466"/>
    <cellStyle name="40% - Accent3 5 4 2 3 2" xfId="11467"/>
    <cellStyle name="40% - Accent3 5 4 2 3 2 2" xfId="29382"/>
    <cellStyle name="40% - Accent3 5 4 2 3 3" xfId="29381"/>
    <cellStyle name="40% - Accent3 5 4 2 4" xfId="11468"/>
    <cellStyle name="40% - Accent3 5 4 2 4 2" xfId="29383"/>
    <cellStyle name="40% - Accent3 5 4 2 5" xfId="29376"/>
    <cellStyle name="40% - Accent3 5 4 3" xfId="11469"/>
    <cellStyle name="40% - Accent3 5 4 3 2" xfId="11470"/>
    <cellStyle name="40% - Accent3 5 4 3 2 2" xfId="11471"/>
    <cellStyle name="40% - Accent3 5 4 3 2 2 2" xfId="11472"/>
    <cellStyle name="40% - Accent3 5 4 3 2 2 2 2" xfId="29387"/>
    <cellStyle name="40% - Accent3 5 4 3 2 2 3" xfId="29386"/>
    <cellStyle name="40% - Accent3 5 4 3 2 3" xfId="11473"/>
    <cellStyle name="40% - Accent3 5 4 3 2 3 2" xfId="29388"/>
    <cellStyle name="40% - Accent3 5 4 3 2 4" xfId="29385"/>
    <cellStyle name="40% - Accent3 5 4 3 3" xfId="11474"/>
    <cellStyle name="40% - Accent3 5 4 3 3 2" xfId="11475"/>
    <cellStyle name="40% - Accent3 5 4 3 3 2 2" xfId="29390"/>
    <cellStyle name="40% - Accent3 5 4 3 3 3" xfId="29389"/>
    <cellStyle name="40% - Accent3 5 4 3 4" xfId="11476"/>
    <cellStyle name="40% - Accent3 5 4 3 4 2" xfId="29391"/>
    <cellStyle name="40% - Accent3 5 4 3 5" xfId="29384"/>
    <cellStyle name="40% - Accent3 5 4 4" xfId="11477"/>
    <cellStyle name="40% - Accent3 5 4 4 2" xfId="11478"/>
    <cellStyle name="40% - Accent3 5 4 4 2 2" xfId="11479"/>
    <cellStyle name="40% - Accent3 5 4 4 2 2 2" xfId="29394"/>
    <cellStyle name="40% - Accent3 5 4 4 2 3" xfId="29393"/>
    <cellStyle name="40% - Accent3 5 4 4 3" xfId="11480"/>
    <cellStyle name="40% - Accent3 5 4 4 3 2" xfId="29395"/>
    <cellStyle name="40% - Accent3 5 4 4 4" xfId="29392"/>
    <cellStyle name="40% - Accent3 5 4 5" xfId="11481"/>
    <cellStyle name="40% - Accent3 5 4 5 2" xfId="11482"/>
    <cellStyle name="40% - Accent3 5 4 5 2 2" xfId="29397"/>
    <cellStyle name="40% - Accent3 5 4 5 3" xfId="29396"/>
    <cellStyle name="40% - Accent3 5 4 6" xfId="11483"/>
    <cellStyle name="40% - Accent3 5 4 6 2" xfId="29398"/>
    <cellStyle name="40% - Accent3 5 4 7" xfId="29375"/>
    <cellStyle name="40% - Accent3 5 5" xfId="11484"/>
    <cellStyle name="40% - Accent3 5 5 2" xfId="11485"/>
    <cellStyle name="40% - Accent3 5 5 2 2" xfId="11486"/>
    <cellStyle name="40% - Accent3 5 5 2 2 2" xfId="11487"/>
    <cellStyle name="40% - Accent3 5 5 2 2 2 2" xfId="29402"/>
    <cellStyle name="40% - Accent3 5 5 2 2 3" xfId="29401"/>
    <cellStyle name="40% - Accent3 5 5 2 3" xfId="11488"/>
    <cellStyle name="40% - Accent3 5 5 2 3 2" xfId="29403"/>
    <cellStyle name="40% - Accent3 5 5 2 4" xfId="29400"/>
    <cellStyle name="40% - Accent3 5 5 3" xfId="11489"/>
    <cellStyle name="40% - Accent3 5 5 3 2" xfId="11490"/>
    <cellStyle name="40% - Accent3 5 5 3 2 2" xfId="29405"/>
    <cellStyle name="40% - Accent3 5 5 3 3" xfId="29404"/>
    <cellStyle name="40% - Accent3 5 5 4" xfId="11491"/>
    <cellStyle name="40% - Accent3 5 5 4 2" xfId="29406"/>
    <cellStyle name="40% - Accent3 5 5 5" xfId="29399"/>
    <cellStyle name="40% - Accent3 5 6" xfId="11492"/>
    <cellStyle name="40% - Accent3 5 6 2" xfId="11493"/>
    <cellStyle name="40% - Accent3 5 6 2 2" xfId="11494"/>
    <cellStyle name="40% - Accent3 5 6 2 2 2" xfId="11495"/>
    <cellStyle name="40% - Accent3 5 6 2 2 2 2" xfId="29410"/>
    <cellStyle name="40% - Accent3 5 6 2 2 3" xfId="29409"/>
    <cellStyle name="40% - Accent3 5 6 2 3" xfId="11496"/>
    <cellStyle name="40% - Accent3 5 6 2 3 2" xfId="29411"/>
    <cellStyle name="40% - Accent3 5 6 2 4" xfId="29408"/>
    <cellStyle name="40% - Accent3 5 6 3" xfId="11497"/>
    <cellStyle name="40% - Accent3 5 6 3 2" xfId="11498"/>
    <cellStyle name="40% - Accent3 5 6 3 2 2" xfId="29413"/>
    <cellStyle name="40% - Accent3 5 6 3 3" xfId="29412"/>
    <cellStyle name="40% - Accent3 5 6 4" xfId="11499"/>
    <cellStyle name="40% - Accent3 5 6 4 2" xfId="29414"/>
    <cellStyle name="40% - Accent3 5 6 5" xfId="29407"/>
    <cellStyle name="40% - Accent3 5 7" xfId="11500"/>
    <cellStyle name="40% - Accent3 5 7 2" xfId="11501"/>
    <cellStyle name="40% - Accent3 5 7 2 2" xfId="11502"/>
    <cellStyle name="40% - Accent3 5 7 2 2 2" xfId="29417"/>
    <cellStyle name="40% - Accent3 5 7 2 3" xfId="29416"/>
    <cellStyle name="40% - Accent3 5 7 3" xfId="11503"/>
    <cellStyle name="40% - Accent3 5 7 3 2" xfId="29418"/>
    <cellStyle name="40% - Accent3 5 7 4" xfId="29415"/>
    <cellStyle name="40% - Accent3 5 8" xfId="11504"/>
    <cellStyle name="40% - Accent3 5 8 2" xfId="11505"/>
    <cellStyle name="40% - Accent3 5 8 2 2" xfId="29420"/>
    <cellStyle name="40% - Accent3 5 8 3" xfId="29419"/>
    <cellStyle name="40% - Accent3 5 9" xfId="11506"/>
    <cellStyle name="40% - Accent3 5 9 2" xfId="29421"/>
    <cellStyle name="40% - Accent3 6" xfId="11507"/>
    <cellStyle name="40% - Accent3 6 10" xfId="29422"/>
    <cellStyle name="40% - Accent3 6 2" xfId="11508"/>
    <cellStyle name="40% - Accent3 6 2 2" xfId="11509"/>
    <cellStyle name="40% - Accent3 6 2 2 2" xfId="11510"/>
    <cellStyle name="40% - Accent3 6 2 2 2 2" xfId="11511"/>
    <cellStyle name="40% - Accent3 6 2 2 2 2 2" xfId="11512"/>
    <cellStyle name="40% - Accent3 6 2 2 2 2 2 2" xfId="11513"/>
    <cellStyle name="40% - Accent3 6 2 2 2 2 2 2 2" xfId="11514"/>
    <cellStyle name="40% - Accent3 6 2 2 2 2 2 2 2 2" xfId="29429"/>
    <cellStyle name="40% - Accent3 6 2 2 2 2 2 2 3" xfId="29428"/>
    <cellStyle name="40% - Accent3 6 2 2 2 2 2 3" xfId="11515"/>
    <cellStyle name="40% - Accent3 6 2 2 2 2 2 3 2" xfId="29430"/>
    <cellStyle name="40% - Accent3 6 2 2 2 2 2 4" xfId="29427"/>
    <cellStyle name="40% - Accent3 6 2 2 2 2 3" xfId="11516"/>
    <cellStyle name="40% - Accent3 6 2 2 2 2 3 2" xfId="11517"/>
    <cellStyle name="40% - Accent3 6 2 2 2 2 3 2 2" xfId="29432"/>
    <cellStyle name="40% - Accent3 6 2 2 2 2 3 3" xfId="29431"/>
    <cellStyle name="40% - Accent3 6 2 2 2 2 4" xfId="11518"/>
    <cellStyle name="40% - Accent3 6 2 2 2 2 4 2" xfId="29433"/>
    <cellStyle name="40% - Accent3 6 2 2 2 2 5" xfId="29426"/>
    <cellStyle name="40% - Accent3 6 2 2 2 3" xfId="11519"/>
    <cellStyle name="40% - Accent3 6 2 2 2 3 2" xfId="11520"/>
    <cellStyle name="40% - Accent3 6 2 2 2 3 2 2" xfId="11521"/>
    <cellStyle name="40% - Accent3 6 2 2 2 3 2 2 2" xfId="11522"/>
    <cellStyle name="40% - Accent3 6 2 2 2 3 2 2 2 2" xfId="29437"/>
    <cellStyle name="40% - Accent3 6 2 2 2 3 2 2 3" xfId="29436"/>
    <cellStyle name="40% - Accent3 6 2 2 2 3 2 3" xfId="11523"/>
    <cellStyle name="40% - Accent3 6 2 2 2 3 2 3 2" xfId="29438"/>
    <cellStyle name="40% - Accent3 6 2 2 2 3 2 4" xfId="29435"/>
    <cellStyle name="40% - Accent3 6 2 2 2 3 3" xfId="11524"/>
    <cellStyle name="40% - Accent3 6 2 2 2 3 3 2" xfId="11525"/>
    <cellStyle name="40% - Accent3 6 2 2 2 3 3 2 2" xfId="29440"/>
    <cellStyle name="40% - Accent3 6 2 2 2 3 3 3" xfId="29439"/>
    <cellStyle name="40% - Accent3 6 2 2 2 3 4" xfId="11526"/>
    <cellStyle name="40% - Accent3 6 2 2 2 3 4 2" xfId="29441"/>
    <cellStyle name="40% - Accent3 6 2 2 2 3 5" xfId="29434"/>
    <cellStyle name="40% - Accent3 6 2 2 2 4" xfId="11527"/>
    <cellStyle name="40% - Accent3 6 2 2 2 4 2" xfId="11528"/>
    <cellStyle name="40% - Accent3 6 2 2 2 4 2 2" xfId="11529"/>
    <cellStyle name="40% - Accent3 6 2 2 2 4 2 2 2" xfId="29444"/>
    <cellStyle name="40% - Accent3 6 2 2 2 4 2 3" xfId="29443"/>
    <cellStyle name="40% - Accent3 6 2 2 2 4 3" xfId="11530"/>
    <cellStyle name="40% - Accent3 6 2 2 2 4 3 2" xfId="29445"/>
    <cellStyle name="40% - Accent3 6 2 2 2 4 4" xfId="29442"/>
    <cellStyle name="40% - Accent3 6 2 2 2 5" xfId="11531"/>
    <cellStyle name="40% - Accent3 6 2 2 2 5 2" xfId="11532"/>
    <cellStyle name="40% - Accent3 6 2 2 2 5 2 2" xfId="29447"/>
    <cellStyle name="40% - Accent3 6 2 2 2 5 3" xfId="29446"/>
    <cellStyle name="40% - Accent3 6 2 2 2 6" xfId="11533"/>
    <cellStyle name="40% - Accent3 6 2 2 2 6 2" xfId="29448"/>
    <cellStyle name="40% - Accent3 6 2 2 2 7" xfId="29425"/>
    <cellStyle name="40% - Accent3 6 2 2 3" xfId="11534"/>
    <cellStyle name="40% - Accent3 6 2 2 3 2" xfId="11535"/>
    <cellStyle name="40% - Accent3 6 2 2 3 2 2" xfId="11536"/>
    <cellStyle name="40% - Accent3 6 2 2 3 2 2 2" xfId="11537"/>
    <cellStyle name="40% - Accent3 6 2 2 3 2 2 2 2" xfId="29452"/>
    <cellStyle name="40% - Accent3 6 2 2 3 2 2 3" xfId="29451"/>
    <cellStyle name="40% - Accent3 6 2 2 3 2 3" xfId="11538"/>
    <cellStyle name="40% - Accent3 6 2 2 3 2 3 2" xfId="29453"/>
    <cellStyle name="40% - Accent3 6 2 2 3 2 4" xfId="29450"/>
    <cellStyle name="40% - Accent3 6 2 2 3 3" xfId="11539"/>
    <cellStyle name="40% - Accent3 6 2 2 3 3 2" xfId="11540"/>
    <cellStyle name="40% - Accent3 6 2 2 3 3 2 2" xfId="29455"/>
    <cellStyle name="40% - Accent3 6 2 2 3 3 3" xfId="29454"/>
    <cellStyle name="40% - Accent3 6 2 2 3 4" xfId="11541"/>
    <cellStyle name="40% - Accent3 6 2 2 3 4 2" xfId="29456"/>
    <cellStyle name="40% - Accent3 6 2 2 3 5" xfId="29449"/>
    <cellStyle name="40% - Accent3 6 2 2 4" xfId="11542"/>
    <cellStyle name="40% - Accent3 6 2 2 4 2" xfId="11543"/>
    <cellStyle name="40% - Accent3 6 2 2 4 2 2" xfId="11544"/>
    <cellStyle name="40% - Accent3 6 2 2 4 2 2 2" xfId="11545"/>
    <cellStyle name="40% - Accent3 6 2 2 4 2 2 2 2" xfId="29460"/>
    <cellStyle name="40% - Accent3 6 2 2 4 2 2 3" xfId="29459"/>
    <cellStyle name="40% - Accent3 6 2 2 4 2 3" xfId="11546"/>
    <cellStyle name="40% - Accent3 6 2 2 4 2 3 2" xfId="29461"/>
    <cellStyle name="40% - Accent3 6 2 2 4 2 4" xfId="29458"/>
    <cellStyle name="40% - Accent3 6 2 2 4 3" xfId="11547"/>
    <cellStyle name="40% - Accent3 6 2 2 4 3 2" xfId="11548"/>
    <cellStyle name="40% - Accent3 6 2 2 4 3 2 2" xfId="29463"/>
    <cellStyle name="40% - Accent3 6 2 2 4 3 3" xfId="29462"/>
    <cellStyle name="40% - Accent3 6 2 2 4 4" xfId="11549"/>
    <cellStyle name="40% - Accent3 6 2 2 4 4 2" xfId="29464"/>
    <cellStyle name="40% - Accent3 6 2 2 4 5" xfId="29457"/>
    <cellStyle name="40% - Accent3 6 2 2 5" xfId="11550"/>
    <cellStyle name="40% - Accent3 6 2 2 5 2" xfId="11551"/>
    <cellStyle name="40% - Accent3 6 2 2 5 2 2" xfId="11552"/>
    <cellStyle name="40% - Accent3 6 2 2 5 2 2 2" xfId="29467"/>
    <cellStyle name="40% - Accent3 6 2 2 5 2 3" xfId="29466"/>
    <cellStyle name="40% - Accent3 6 2 2 5 3" xfId="11553"/>
    <cellStyle name="40% - Accent3 6 2 2 5 3 2" xfId="29468"/>
    <cellStyle name="40% - Accent3 6 2 2 5 4" xfId="29465"/>
    <cellStyle name="40% - Accent3 6 2 2 6" xfId="11554"/>
    <cellStyle name="40% - Accent3 6 2 2 6 2" xfId="11555"/>
    <cellStyle name="40% - Accent3 6 2 2 6 2 2" xfId="29470"/>
    <cellStyle name="40% - Accent3 6 2 2 6 3" xfId="29469"/>
    <cellStyle name="40% - Accent3 6 2 2 7" xfId="11556"/>
    <cellStyle name="40% - Accent3 6 2 2 7 2" xfId="29471"/>
    <cellStyle name="40% - Accent3 6 2 2 8" xfId="29424"/>
    <cellStyle name="40% - Accent3 6 2 3" xfId="11557"/>
    <cellStyle name="40% - Accent3 6 2 3 2" xfId="11558"/>
    <cellStyle name="40% - Accent3 6 2 3 2 2" xfId="11559"/>
    <cellStyle name="40% - Accent3 6 2 3 2 2 2" xfId="11560"/>
    <cellStyle name="40% - Accent3 6 2 3 2 2 2 2" xfId="11561"/>
    <cellStyle name="40% - Accent3 6 2 3 2 2 2 2 2" xfId="29476"/>
    <cellStyle name="40% - Accent3 6 2 3 2 2 2 3" xfId="29475"/>
    <cellStyle name="40% - Accent3 6 2 3 2 2 3" xfId="11562"/>
    <cellStyle name="40% - Accent3 6 2 3 2 2 3 2" xfId="29477"/>
    <cellStyle name="40% - Accent3 6 2 3 2 2 4" xfId="29474"/>
    <cellStyle name="40% - Accent3 6 2 3 2 3" xfId="11563"/>
    <cellStyle name="40% - Accent3 6 2 3 2 3 2" xfId="11564"/>
    <cellStyle name="40% - Accent3 6 2 3 2 3 2 2" xfId="29479"/>
    <cellStyle name="40% - Accent3 6 2 3 2 3 3" xfId="29478"/>
    <cellStyle name="40% - Accent3 6 2 3 2 4" xfId="11565"/>
    <cellStyle name="40% - Accent3 6 2 3 2 4 2" xfId="29480"/>
    <cellStyle name="40% - Accent3 6 2 3 2 5" xfId="29473"/>
    <cellStyle name="40% - Accent3 6 2 3 3" xfId="11566"/>
    <cellStyle name="40% - Accent3 6 2 3 3 2" xfId="11567"/>
    <cellStyle name="40% - Accent3 6 2 3 3 2 2" xfId="11568"/>
    <cellStyle name="40% - Accent3 6 2 3 3 2 2 2" xfId="11569"/>
    <cellStyle name="40% - Accent3 6 2 3 3 2 2 2 2" xfId="29484"/>
    <cellStyle name="40% - Accent3 6 2 3 3 2 2 3" xfId="29483"/>
    <cellStyle name="40% - Accent3 6 2 3 3 2 3" xfId="11570"/>
    <cellStyle name="40% - Accent3 6 2 3 3 2 3 2" xfId="29485"/>
    <cellStyle name="40% - Accent3 6 2 3 3 2 4" xfId="29482"/>
    <cellStyle name="40% - Accent3 6 2 3 3 3" xfId="11571"/>
    <cellStyle name="40% - Accent3 6 2 3 3 3 2" xfId="11572"/>
    <cellStyle name="40% - Accent3 6 2 3 3 3 2 2" xfId="29487"/>
    <cellStyle name="40% - Accent3 6 2 3 3 3 3" xfId="29486"/>
    <cellStyle name="40% - Accent3 6 2 3 3 4" xfId="11573"/>
    <cellStyle name="40% - Accent3 6 2 3 3 4 2" xfId="29488"/>
    <cellStyle name="40% - Accent3 6 2 3 3 5" xfId="29481"/>
    <cellStyle name="40% - Accent3 6 2 3 4" xfId="11574"/>
    <cellStyle name="40% - Accent3 6 2 3 4 2" xfId="11575"/>
    <cellStyle name="40% - Accent3 6 2 3 4 2 2" xfId="11576"/>
    <cellStyle name="40% - Accent3 6 2 3 4 2 2 2" xfId="29491"/>
    <cellStyle name="40% - Accent3 6 2 3 4 2 3" xfId="29490"/>
    <cellStyle name="40% - Accent3 6 2 3 4 3" xfId="11577"/>
    <cellStyle name="40% - Accent3 6 2 3 4 3 2" xfId="29492"/>
    <cellStyle name="40% - Accent3 6 2 3 4 4" xfId="29489"/>
    <cellStyle name="40% - Accent3 6 2 3 5" xfId="11578"/>
    <cellStyle name="40% - Accent3 6 2 3 5 2" xfId="11579"/>
    <cellStyle name="40% - Accent3 6 2 3 5 2 2" xfId="29494"/>
    <cellStyle name="40% - Accent3 6 2 3 5 3" xfId="29493"/>
    <cellStyle name="40% - Accent3 6 2 3 6" xfId="11580"/>
    <cellStyle name="40% - Accent3 6 2 3 6 2" xfId="29495"/>
    <cellStyle name="40% - Accent3 6 2 3 7" xfId="29472"/>
    <cellStyle name="40% - Accent3 6 2 4" xfId="11581"/>
    <cellStyle name="40% - Accent3 6 2 4 2" xfId="11582"/>
    <cellStyle name="40% - Accent3 6 2 4 2 2" xfId="11583"/>
    <cellStyle name="40% - Accent3 6 2 4 2 2 2" xfId="11584"/>
    <cellStyle name="40% - Accent3 6 2 4 2 2 2 2" xfId="29499"/>
    <cellStyle name="40% - Accent3 6 2 4 2 2 3" xfId="29498"/>
    <cellStyle name="40% - Accent3 6 2 4 2 3" xfId="11585"/>
    <cellStyle name="40% - Accent3 6 2 4 2 3 2" xfId="29500"/>
    <cellStyle name="40% - Accent3 6 2 4 2 4" xfId="29497"/>
    <cellStyle name="40% - Accent3 6 2 4 3" xfId="11586"/>
    <cellStyle name="40% - Accent3 6 2 4 3 2" xfId="11587"/>
    <cellStyle name="40% - Accent3 6 2 4 3 2 2" xfId="29502"/>
    <cellStyle name="40% - Accent3 6 2 4 3 3" xfId="29501"/>
    <cellStyle name="40% - Accent3 6 2 4 4" xfId="11588"/>
    <cellStyle name="40% - Accent3 6 2 4 4 2" xfId="29503"/>
    <cellStyle name="40% - Accent3 6 2 4 5" xfId="29496"/>
    <cellStyle name="40% - Accent3 6 2 5" xfId="11589"/>
    <cellStyle name="40% - Accent3 6 2 5 2" xfId="11590"/>
    <cellStyle name="40% - Accent3 6 2 5 2 2" xfId="11591"/>
    <cellStyle name="40% - Accent3 6 2 5 2 2 2" xfId="11592"/>
    <cellStyle name="40% - Accent3 6 2 5 2 2 2 2" xfId="29507"/>
    <cellStyle name="40% - Accent3 6 2 5 2 2 3" xfId="29506"/>
    <cellStyle name="40% - Accent3 6 2 5 2 3" xfId="11593"/>
    <cellStyle name="40% - Accent3 6 2 5 2 3 2" xfId="29508"/>
    <cellStyle name="40% - Accent3 6 2 5 2 4" xfId="29505"/>
    <cellStyle name="40% - Accent3 6 2 5 3" xfId="11594"/>
    <cellStyle name="40% - Accent3 6 2 5 3 2" xfId="11595"/>
    <cellStyle name="40% - Accent3 6 2 5 3 2 2" xfId="29510"/>
    <cellStyle name="40% - Accent3 6 2 5 3 3" xfId="29509"/>
    <cellStyle name="40% - Accent3 6 2 5 4" xfId="11596"/>
    <cellStyle name="40% - Accent3 6 2 5 4 2" xfId="29511"/>
    <cellStyle name="40% - Accent3 6 2 5 5" xfId="29504"/>
    <cellStyle name="40% - Accent3 6 2 6" xfId="11597"/>
    <cellStyle name="40% - Accent3 6 2 6 2" xfId="11598"/>
    <cellStyle name="40% - Accent3 6 2 6 2 2" xfId="11599"/>
    <cellStyle name="40% - Accent3 6 2 6 2 2 2" xfId="29514"/>
    <cellStyle name="40% - Accent3 6 2 6 2 3" xfId="29513"/>
    <cellStyle name="40% - Accent3 6 2 6 3" xfId="11600"/>
    <cellStyle name="40% - Accent3 6 2 6 3 2" xfId="29515"/>
    <cellStyle name="40% - Accent3 6 2 6 4" xfId="29512"/>
    <cellStyle name="40% - Accent3 6 2 7" xfId="11601"/>
    <cellStyle name="40% - Accent3 6 2 7 2" xfId="11602"/>
    <cellStyle name="40% - Accent3 6 2 7 2 2" xfId="29517"/>
    <cellStyle name="40% - Accent3 6 2 7 3" xfId="29516"/>
    <cellStyle name="40% - Accent3 6 2 8" xfId="11603"/>
    <cellStyle name="40% - Accent3 6 2 8 2" xfId="29518"/>
    <cellStyle name="40% - Accent3 6 2 9" xfId="29423"/>
    <cellStyle name="40% - Accent3 6 3" xfId="11604"/>
    <cellStyle name="40% - Accent3 6 3 2" xfId="11605"/>
    <cellStyle name="40% - Accent3 6 3 2 2" xfId="11606"/>
    <cellStyle name="40% - Accent3 6 3 2 2 2" xfId="11607"/>
    <cellStyle name="40% - Accent3 6 3 2 2 2 2" xfId="11608"/>
    <cellStyle name="40% - Accent3 6 3 2 2 2 2 2" xfId="11609"/>
    <cellStyle name="40% - Accent3 6 3 2 2 2 2 2 2" xfId="29524"/>
    <cellStyle name="40% - Accent3 6 3 2 2 2 2 3" xfId="29523"/>
    <cellStyle name="40% - Accent3 6 3 2 2 2 3" xfId="11610"/>
    <cellStyle name="40% - Accent3 6 3 2 2 2 3 2" xfId="29525"/>
    <cellStyle name="40% - Accent3 6 3 2 2 2 4" xfId="29522"/>
    <cellStyle name="40% - Accent3 6 3 2 2 3" xfId="11611"/>
    <cellStyle name="40% - Accent3 6 3 2 2 3 2" xfId="11612"/>
    <cellStyle name="40% - Accent3 6 3 2 2 3 2 2" xfId="29527"/>
    <cellStyle name="40% - Accent3 6 3 2 2 3 3" xfId="29526"/>
    <cellStyle name="40% - Accent3 6 3 2 2 4" xfId="11613"/>
    <cellStyle name="40% - Accent3 6 3 2 2 4 2" xfId="29528"/>
    <cellStyle name="40% - Accent3 6 3 2 2 5" xfId="29521"/>
    <cellStyle name="40% - Accent3 6 3 2 3" xfId="11614"/>
    <cellStyle name="40% - Accent3 6 3 2 3 2" xfId="11615"/>
    <cellStyle name="40% - Accent3 6 3 2 3 2 2" xfId="11616"/>
    <cellStyle name="40% - Accent3 6 3 2 3 2 2 2" xfId="11617"/>
    <cellStyle name="40% - Accent3 6 3 2 3 2 2 2 2" xfId="29532"/>
    <cellStyle name="40% - Accent3 6 3 2 3 2 2 3" xfId="29531"/>
    <cellStyle name="40% - Accent3 6 3 2 3 2 3" xfId="11618"/>
    <cellStyle name="40% - Accent3 6 3 2 3 2 3 2" xfId="29533"/>
    <cellStyle name="40% - Accent3 6 3 2 3 2 4" xfId="29530"/>
    <cellStyle name="40% - Accent3 6 3 2 3 3" xfId="11619"/>
    <cellStyle name="40% - Accent3 6 3 2 3 3 2" xfId="11620"/>
    <cellStyle name="40% - Accent3 6 3 2 3 3 2 2" xfId="29535"/>
    <cellStyle name="40% - Accent3 6 3 2 3 3 3" xfId="29534"/>
    <cellStyle name="40% - Accent3 6 3 2 3 4" xfId="11621"/>
    <cellStyle name="40% - Accent3 6 3 2 3 4 2" xfId="29536"/>
    <cellStyle name="40% - Accent3 6 3 2 3 5" xfId="29529"/>
    <cellStyle name="40% - Accent3 6 3 2 4" xfId="11622"/>
    <cellStyle name="40% - Accent3 6 3 2 4 2" xfId="11623"/>
    <cellStyle name="40% - Accent3 6 3 2 4 2 2" xfId="11624"/>
    <cellStyle name="40% - Accent3 6 3 2 4 2 2 2" xfId="29539"/>
    <cellStyle name="40% - Accent3 6 3 2 4 2 3" xfId="29538"/>
    <cellStyle name="40% - Accent3 6 3 2 4 3" xfId="11625"/>
    <cellStyle name="40% - Accent3 6 3 2 4 3 2" xfId="29540"/>
    <cellStyle name="40% - Accent3 6 3 2 4 4" xfId="29537"/>
    <cellStyle name="40% - Accent3 6 3 2 5" xfId="11626"/>
    <cellStyle name="40% - Accent3 6 3 2 5 2" xfId="11627"/>
    <cellStyle name="40% - Accent3 6 3 2 5 2 2" xfId="29542"/>
    <cellStyle name="40% - Accent3 6 3 2 5 3" xfId="29541"/>
    <cellStyle name="40% - Accent3 6 3 2 6" xfId="11628"/>
    <cellStyle name="40% - Accent3 6 3 2 6 2" xfId="29543"/>
    <cellStyle name="40% - Accent3 6 3 2 7" xfId="29520"/>
    <cellStyle name="40% - Accent3 6 3 3" xfId="11629"/>
    <cellStyle name="40% - Accent3 6 3 3 2" xfId="11630"/>
    <cellStyle name="40% - Accent3 6 3 3 2 2" xfId="11631"/>
    <cellStyle name="40% - Accent3 6 3 3 2 2 2" xfId="11632"/>
    <cellStyle name="40% - Accent3 6 3 3 2 2 2 2" xfId="29547"/>
    <cellStyle name="40% - Accent3 6 3 3 2 2 3" xfId="29546"/>
    <cellStyle name="40% - Accent3 6 3 3 2 3" xfId="11633"/>
    <cellStyle name="40% - Accent3 6 3 3 2 3 2" xfId="29548"/>
    <cellStyle name="40% - Accent3 6 3 3 2 4" xfId="29545"/>
    <cellStyle name="40% - Accent3 6 3 3 3" xfId="11634"/>
    <cellStyle name="40% - Accent3 6 3 3 3 2" xfId="11635"/>
    <cellStyle name="40% - Accent3 6 3 3 3 2 2" xfId="29550"/>
    <cellStyle name="40% - Accent3 6 3 3 3 3" xfId="29549"/>
    <cellStyle name="40% - Accent3 6 3 3 4" xfId="11636"/>
    <cellStyle name="40% - Accent3 6 3 3 4 2" xfId="29551"/>
    <cellStyle name="40% - Accent3 6 3 3 5" xfId="29544"/>
    <cellStyle name="40% - Accent3 6 3 4" xfId="11637"/>
    <cellStyle name="40% - Accent3 6 3 4 2" xfId="11638"/>
    <cellStyle name="40% - Accent3 6 3 4 2 2" xfId="11639"/>
    <cellStyle name="40% - Accent3 6 3 4 2 2 2" xfId="11640"/>
    <cellStyle name="40% - Accent3 6 3 4 2 2 2 2" xfId="29555"/>
    <cellStyle name="40% - Accent3 6 3 4 2 2 3" xfId="29554"/>
    <cellStyle name="40% - Accent3 6 3 4 2 3" xfId="11641"/>
    <cellStyle name="40% - Accent3 6 3 4 2 3 2" xfId="29556"/>
    <cellStyle name="40% - Accent3 6 3 4 2 4" xfId="29553"/>
    <cellStyle name="40% - Accent3 6 3 4 3" xfId="11642"/>
    <cellStyle name="40% - Accent3 6 3 4 3 2" xfId="11643"/>
    <cellStyle name="40% - Accent3 6 3 4 3 2 2" xfId="29558"/>
    <cellStyle name="40% - Accent3 6 3 4 3 3" xfId="29557"/>
    <cellStyle name="40% - Accent3 6 3 4 4" xfId="11644"/>
    <cellStyle name="40% - Accent3 6 3 4 4 2" xfId="29559"/>
    <cellStyle name="40% - Accent3 6 3 4 5" xfId="29552"/>
    <cellStyle name="40% - Accent3 6 3 5" xfId="11645"/>
    <cellStyle name="40% - Accent3 6 3 5 2" xfId="11646"/>
    <cellStyle name="40% - Accent3 6 3 5 2 2" xfId="11647"/>
    <cellStyle name="40% - Accent3 6 3 5 2 2 2" xfId="29562"/>
    <cellStyle name="40% - Accent3 6 3 5 2 3" xfId="29561"/>
    <cellStyle name="40% - Accent3 6 3 5 3" xfId="11648"/>
    <cellStyle name="40% - Accent3 6 3 5 3 2" xfId="29563"/>
    <cellStyle name="40% - Accent3 6 3 5 4" xfId="29560"/>
    <cellStyle name="40% - Accent3 6 3 6" xfId="11649"/>
    <cellStyle name="40% - Accent3 6 3 6 2" xfId="11650"/>
    <cellStyle name="40% - Accent3 6 3 6 2 2" xfId="29565"/>
    <cellStyle name="40% - Accent3 6 3 6 3" xfId="29564"/>
    <cellStyle name="40% - Accent3 6 3 7" xfId="11651"/>
    <cellStyle name="40% - Accent3 6 3 7 2" xfId="29566"/>
    <cellStyle name="40% - Accent3 6 3 8" xfId="29519"/>
    <cellStyle name="40% - Accent3 6 4" xfId="11652"/>
    <cellStyle name="40% - Accent3 6 4 2" xfId="11653"/>
    <cellStyle name="40% - Accent3 6 4 2 2" xfId="11654"/>
    <cellStyle name="40% - Accent3 6 4 2 2 2" xfId="11655"/>
    <cellStyle name="40% - Accent3 6 4 2 2 2 2" xfId="11656"/>
    <cellStyle name="40% - Accent3 6 4 2 2 2 2 2" xfId="29571"/>
    <cellStyle name="40% - Accent3 6 4 2 2 2 3" xfId="29570"/>
    <cellStyle name="40% - Accent3 6 4 2 2 3" xfId="11657"/>
    <cellStyle name="40% - Accent3 6 4 2 2 3 2" xfId="29572"/>
    <cellStyle name="40% - Accent3 6 4 2 2 4" xfId="29569"/>
    <cellStyle name="40% - Accent3 6 4 2 3" xfId="11658"/>
    <cellStyle name="40% - Accent3 6 4 2 3 2" xfId="11659"/>
    <cellStyle name="40% - Accent3 6 4 2 3 2 2" xfId="29574"/>
    <cellStyle name="40% - Accent3 6 4 2 3 3" xfId="29573"/>
    <cellStyle name="40% - Accent3 6 4 2 4" xfId="11660"/>
    <cellStyle name="40% - Accent3 6 4 2 4 2" xfId="29575"/>
    <cellStyle name="40% - Accent3 6 4 2 5" xfId="29568"/>
    <cellStyle name="40% - Accent3 6 4 3" xfId="11661"/>
    <cellStyle name="40% - Accent3 6 4 3 2" xfId="11662"/>
    <cellStyle name="40% - Accent3 6 4 3 2 2" xfId="11663"/>
    <cellStyle name="40% - Accent3 6 4 3 2 2 2" xfId="11664"/>
    <cellStyle name="40% - Accent3 6 4 3 2 2 2 2" xfId="29579"/>
    <cellStyle name="40% - Accent3 6 4 3 2 2 3" xfId="29578"/>
    <cellStyle name="40% - Accent3 6 4 3 2 3" xfId="11665"/>
    <cellStyle name="40% - Accent3 6 4 3 2 3 2" xfId="29580"/>
    <cellStyle name="40% - Accent3 6 4 3 2 4" xfId="29577"/>
    <cellStyle name="40% - Accent3 6 4 3 3" xfId="11666"/>
    <cellStyle name="40% - Accent3 6 4 3 3 2" xfId="11667"/>
    <cellStyle name="40% - Accent3 6 4 3 3 2 2" xfId="29582"/>
    <cellStyle name="40% - Accent3 6 4 3 3 3" xfId="29581"/>
    <cellStyle name="40% - Accent3 6 4 3 4" xfId="11668"/>
    <cellStyle name="40% - Accent3 6 4 3 4 2" xfId="29583"/>
    <cellStyle name="40% - Accent3 6 4 3 5" xfId="29576"/>
    <cellStyle name="40% - Accent3 6 4 4" xfId="11669"/>
    <cellStyle name="40% - Accent3 6 4 4 2" xfId="11670"/>
    <cellStyle name="40% - Accent3 6 4 4 2 2" xfId="11671"/>
    <cellStyle name="40% - Accent3 6 4 4 2 2 2" xfId="29586"/>
    <cellStyle name="40% - Accent3 6 4 4 2 3" xfId="29585"/>
    <cellStyle name="40% - Accent3 6 4 4 3" xfId="11672"/>
    <cellStyle name="40% - Accent3 6 4 4 3 2" xfId="29587"/>
    <cellStyle name="40% - Accent3 6 4 4 4" xfId="29584"/>
    <cellStyle name="40% - Accent3 6 4 5" xfId="11673"/>
    <cellStyle name="40% - Accent3 6 4 5 2" xfId="11674"/>
    <cellStyle name="40% - Accent3 6 4 5 2 2" xfId="29589"/>
    <cellStyle name="40% - Accent3 6 4 5 3" xfId="29588"/>
    <cellStyle name="40% - Accent3 6 4 6" xfId="11675"/>
    <cellStyle name="40% - Accent3 6 4 6 2" xfId="29590"/>
    <cellStyle name="40% - Accent3 6 4 7" xfId="29567"/>
    <cellStyle name="40% - Accent3 6 5" xfId="11676"/>
    <cellStyle name="40% - Accent3 6 5 2" xfId="11677"/>
    <cellStyle name="40% - Accent3 6 5 2 2" xfId="11678"/>
    <cellStyle name="40% - Accent3 6 5 2 2 2" xfId="11679"/>
    <cellStyle name="40% - Accent3 6 5 2 2 2 2" xfId="29594"/>
    <cellStyle name="40% - Accent3 6 5 2 2 3" xfId="29593"/>
    <cellStyle name="40% - Accent3 6 5 2 3" xfId="11680"/>
    <cellStyle name="40% - Accent3 6 5 2 3 2" xfId="29595"/>
    <cellStyle name="40% - Accent3 6 5 2 4" xfId="29592"/>
    <cellStyle name="40% - Accent3 6 5 3" xfId="11681"/>
    <cellStyle name="40% - Accent3 6 5 3 2" xfId="11682"/>
    <cellStyle name="40% - Accent3 6 5 3 2 2" xfId="29597"/>
    <cellStyle name="40% - Accent3 6 5 3 3" xfId="29596"/>
    <cellStyle name="40% - Accent3 6 5 4" xfId="11683"/>
    <cellStyle name="40% - Accent3 6 5 4 2" xfId="29598"/>
    <cellStyle name="40% - Accent3 6 5 5" xfId="29591"/>
    <cellStyle name="40% - Accent3 6 6" xfId="11684"/>
    <cellStyle name="40% - Accent3 6 6 2" xfId="11685"/>
    <cellStyle name="40% - Accent3 6 6 2 2" xfId="11686"/>
    <cellStyle name="40% - Accent3 6 6 2 2 2" xfId="11687"/>
    <cellStyle name="40% - Accent3 6 6 2 2 2 2" xfId="29602"/>
    <cellStyle name="40% - Accent3 6 6 2 2 3" xfId="29601"/>
    <cellStyle name="40% - Accent3 6 6 2 3" xfId="11688"/>
    <cellStyle name="40% - Accent3 6 6 2 3 2" xfId="29603"/>
    <cellStyle name="40% - Accent3 6 6 2 4" xfId="29600"/>
    <cellStyle name="40% - Accent3 6 6 3" xfId="11689"/>
    <cellStyle name="40% - Accent3 6 6 3 2" xfId="11690"/>
    <cellStyle name="40% - Accent3 6 6 3 2 2" xfId="29605"/>
    <cellStyle name="40% - Accent3 6 6 3 3" xfId="29604"/>
    <cellStyle name="40% - Accent3 6 6 4" xfId="11691"/>
    <cellStyle name="40% - Accent3 6 6 4 2" xfId="29606"/>
    <cellStyle name="40% - Accent3 6 6 5" xfId="29599"/>
    <cellStyle name="40% - Accent3 6 7" xfId="11692"/>
    <cellStyle name="40% - Accent3 6 7 2" xfId="11693"/>
    <cellStyle name="40% - Accent3 6 7 2 2" xfId="11694"/>
    <cellStyle name="40% - Accent3 6 7 2 2 2" xfId="29609"/>
    <cellStyle name="40% - Accent3 6 7 2 3" xfId="29608"/>
    <cellStyle name="40% - Accent3 6 7 3" xfId="11695"/>
    <cellStyle name="40% - Accent3 6 7 3 2" xfId="29610"/>
    <cellStyle name="40% - Accent3 6 7 4" xfId="29607"/>
    <cellStyle name="40% - Accent3 6 8" xfId="11696"/>
    <cellStyle name="40% - Accent3 6 8 2" xfId="11697"/>
    <cellStyle name="40% - Accent3 6 8 2 2" xfId="29612"/>
    <cellStyle name="40% - Accent3 6 8 3" xfId="29611"/>
    <cellStyle name="40% - Accent3 6 9" xfId="11698"/>
    <cellStyle name="40% - Accent3 6 9 2" xfId="29613"/>
    <cellStyle name="40% - Accent3 7" xfId="11699"/>
    <cellStyle name="40% - Accent3 7 10" xfId="29614"/>
    <cellStyle name="40% - Accent3 7 2" xfId="11700"/>
    <cellStyle name="40% - Accent3 7 2 2" xfId="11701"/>
    <cellStyle name="40% - Accent3 7 2 2 2" xfId="11702"/>
    <cellStyle name="40% - Accent3 7 2 2 2 2" xfId="11703"/>
    <cellStyle name="40% - Accent3 7 2 2 2 2 2" xfId="11704"/>
    <cellStyle name="40% - Accent3 7 2 2 2 2 2 2" xfId="11705"/>
    <cellStyle name="40% - Accent3 7 2 2 2 2 2 2 2" xfId="11706"/>
    <cellStyle name="40% - Accent3 7 2 2 2 2 2 2 2 2" xfId="29621"/>
    <cellStyle name="40% - Accent3 7 2 2 2 2 2 2 3" xfId="29620"/>
    <cellStyle name="40% - Accent3 7 2 2 2 2 2 3" xfId="11707"/>
    <cellStyle name="40% - Accent3 7 2 2 2 2 2 3 2" xfId="29622"/>
    <cellStyle name="40% - Accent3 7 2 2 2 2 2 4" xfId="29619"/>
    <cellStyle name="40% - Accent3 7 2 2 2 2 3" xfId="11708"/>
    <cellStyle name="40% - Accent3 7 2 2 2 2 3 2" xfId="11709"/>
    <cellStyle name="40% - Accent3 7 2 2 2 2 3 2 2" xfId="29624"/>
    <cellStyle name="40% - Accent3 7 2 2 2 2 3 3" xfId="29623"/>
    <cellStyle name="40% - Accent3 7 2 2 2 2 4" xfId="11710"/>
    <cellStyle name="40% - Accent3 7 2 2 2 2 4 2" xfId="29625"/>
    <cellStyle name="40% - Accent3 7 2 2 2 2 5" xfId="29618"/>
    <cellStyle name="40% - Accent3 7 2 2 2 3" xfId="11711"/>
    <cellStyle name="40% - Accent3 7 2 2 2 3 2" xfId="11712"/>
    <cellStyle name="40% - Accent3 7 2 2 2 3 2 2" xfId="11713"/>
    <cellStyle name="40% - Accent3 7 2 2 2 3 2 2 2" xfId="11714"/>
    <cellStyle name="40% - Accent3 7 2 2 2 3 2 2 2 2" xfId="29629"/>
    <cellStyle name="40% - Accent3 7 2 2 2 3 2 2 3" xfId="29628"/>
    <cellStyle name="40% - Accent3 7 2 2 2 3 2 3" xfId="11715"/>
    <cellStyle name="40% - Accent3 7 2 2 2 3 2 3 2" xfId="29630"/>
    <cellStyle name="40% - Accent3 7 2 2 2 3 2 4" xfId="29627"/>
    <cellStyle name="40% - Accent3 7 2 2 2 3 3" xfId="11716"/>
    <cellStyle name="40% - Accent3 7 2 2 2 3 3 2" xfId="11717"/>
    <cellStyle name="40% - Accent3 7 2 2 2 3 3 2 2" xfId="29632"/>
    <cellStyle name="40% - Accent3 7 2 2 2 3 3 3" xfId="29631"/>
    <cellStyle name="40% - Accent3 7 2 2 2 3 4" xfId="11718"/>
    <cellStyle name="40% - Accent3 7 2 2 2 3 4 2" xfId="29633"/>
    <cellStyle name="40% - Accent3 7 2 2 2 3 5" xfId="29626"/>
    <cellStyle name="40% - Accent3 7 2 2 2 4" xfId="11719"/>
    <cellStyle name="40% - Accent3 7 2 2 2 4 2" xfId="11720"/>
    <cellStyle name="40% - Accent3 7 2 2 2 4 2 2" xfId="11721"/>
    <cellStyle name="40% - Accent3 7 2 2 2 4 2 2 2" xfId="29636"/>
    <cellStyle name="40% - Accent3 7 2 2 2 4 2 3" xfId="29635"/>
    <cellStyle name="40% - Accent3 7 2 2 2 4 3" xfId="11722"/>
    <cellStyle name="40% - Accent3 7 2 2 2 4 3 2" xfId="29637"/>
    <cellStyle name="40% - Accent3 7 2 2 2 4 4" xfId="29634"/>
    <cellStyle name="40% - Accent3 7 2 2 2 5" xfId="11723"/>
    <cellStyle name="40% - Accent3 7 2 2 2 5 2" xfId="11724"/>
    <cellStyle name="40% - Accent3 7 2 2 2 5 2 2" xfId="29639"/>
    <cellStyle name="40% - Accent3 7 2 2 2 5 3" xfId="29638"/>
    <cellStyle name="40% - Accent3 7 2 2 2 6" xfId="11725"/>
    <cellStyle name="40% - Accent3 7 2 2 2 6 2" xfId="29640"/>
    <cellStyle name="40% - Accent3 7 2 2 2 7" xfId="29617"/>
    <cellStyle name="40% - Accent3 7 2 2 3" xfId="11726"/>
    <cellStyle name="40% - Accent3 7 2 2 3 2" xfId="11727"/>
    <cellStyle name="40% - Accent3 7 2 2 3 2 2" xfId="11728"/>
    <cellStyle name="40% - Accent3 7 2 2 3 2 2 2" xfId="11729"/>
    <cellStyle name="40% - Accent3 7 2 2 3 2 2 2 2" xfId="29644"/>
    <cellStyle name="40% - Accent3 7 2 2 3 2 2 3" xfId="29643"/>
    <cellStyle name="40% - Accent3 7 2 2 3 2 3" xfId="11730"/>
    <cellStyle name="40% - Accent3 7 2 2 3 2 3 2" xfId="29645"/>
    <cellStyle name="40% - Accent3 7 2 2 3 2 4" xfId="29642"/>
    <cellStyle name="40% - Accent3 7 2 2 3 3" xfId="11731"/>
    <cellStyle name="40% - Accent3 7 2 2 3 3 2" xfId="11732"/>
    <cellStyle name="40% - Accent3 7 2 2 3 3 2 2" xfId="29647"/>
    <cellStyle name="40% - Accent3 7 2 2 3 3 3" xfId="29646"/>
    <cellStyle name="40% - Accent3 7 2 2 3 4" xfId="11733"/>
    <cellStyle name="40% - Accent3 7 2 2 3 4 2" xfId="29648"/>
    <cellStyle name="40% - Accent3 7 2 2 3 5" xfId="29641"/>
    <cellStyle name="40% - Accent3 7 2 2 4" xfId="11734"/>
    <cellStyle name="40% - Accent3 7 2 2 4 2" xfId="11735"/>
    <cellStyle name="40% - Accent3 7 2 2 4 2 2" xfId="11736"/>
    <cellStyle name="40% - Accent3 7 2 2 4 2 2 2" xfId="11737"/>
    <cellStyle name="40% - Accent3 7 2 2 4 2 2 2 2" xfId="29652"/>
    <cellStyle name="40% - Accent3 7 2 2 4 2 2 3" xfId="29651"/>
    <cellStyle name="40% - Accent3 7 2 2 4 2 3" xfId="11738"/>
    <cellStyle name="40% - Accent3 7 2 2 4 2 3 2" xfId="29653"/>
    <cellStyle name="40% - Accent3 7 2 2 4 2 4" xfId="29650"/>
    <cellStyle name="40% - Accent3 7 2 2 4 3" xfId="11739"/>
    <cellStyle name="40% - Accent3 7 2 2 4 3 2" xfId="11740"/>
    <cellStyle name="40% - Accent3 7 2 2 4 3 2 2" xfId="29655"/>
    <cellStyle name="40% - Accent3 7 2 2 4 3 3" xfId="29654"/>
    <cellStyle name="40% - Accent3 7 2 2 4 4" xfId="11741"/>
    <cellStyle name="40% - Accent3 7 2 2 4 4 2" xfId="29656"/>
    <cellStyle name="40% - Accent3 7 2 2 4 5" xfId="29649"/>
    <cellStyle name="40% - Accent3 7 2 2 5" xfId="11742"/>
    <cellStyle name="40% - Accent3 7 2 2 5 2" xfId="11743"/>
    <cellStyle name="40% - Accent3 7 2 2 5 2 2" xfId="11744"/>
    <cellStyle name="40% - Accent3 7 2 2 5 2 2 2" xfId="29659"/>
    <cellStyle name="40% - Accent3 7 2 2 5 2 3" xfId="29658"/>
    <cellStyle name="40% - Accent3 7 2 2 5 3" xfId="11745"/>
    <cellStyle name="40% - Accent3 7 2 2 5 3 2" xfId="29660"/>
    <cellStyle name="40% - Accent3 7 2 2 5 4" xfId="29657"/>
    <cellStyle name="40% - Accent3 7 2 2 6" xfId="11746"/>
    <cellStyle name="40% - Accent3 7 2 2 6 2" xfId="11747"/>
    <cellStyle name="40% - Accent3 7 2 2 6 2 2" xfId="29662"/>
    <cellStyle name="40% - Accent3 7 2 2 6 3" xfId="29661"/>
    <cellStyle name="40% - Accent3 7 2 2 7" xfId="11748"/>
    <cellStyle name="40% - Accent3 7 2 2 7 2" xfId="29663"/>
    <cellStyle name="40% - Accent3 7 2 2 8" xfId="29616"/>
    <cellStyle name="40% - Accent3 7 2 3" xfId="11749"/>
    <cellStyle name="40% - Accent3 7 2 3 2" xfId="11750"/>
    <cellStyle name="40% - Accent3 7 2 3 2 2" xfId="11751"/>
    <cellStyle name="40% - Accent3 7 2 3 2 2 2" xfId="11752"/>
    <cellStyle name="40% - Accent3 7 2 3 2 2 2 2" xfId="11753"/>
    <cellStyle name="40% - Accent3 7 2 3 2 2 2 2 2" xfId="29668"/>
    <cellStyle name="40% - Accent3 7 2 3 2 2 2 3" xfId="29667"/>
    <cellStyle name="40% - Accent3 7 2 3 2 2 3" xfId="11754"/>
    <cellStyle name="40% - Accent3 7 2 3 2 2 3 2" xfId="29669"/>
    <cellStyle name="40% - Accent3 7 2 3 2 2 4" xfId="29666"/>
    <cellStyle name="40% - Accent3 7 2 3 2 3" xfId="11755"/>
    <cellStyle name="40% - Accent3 7 2 3 2 3 2" xfId="11756"/>
    <cellStyle name="40% - Accent3 7 2 3 2 3 2 2" xfId="29671"/>
    <cellStyle name="40% - Accent3 7 2 3 2 3 3" xfId="29670"/>
    <cellStyle name="40% - Accent3 7 2 3 2 4" xfId="11757"/>
    <cellStyle name="40% - Accent3 7 2 3 2 4 2" xfId="29672"/>
    <cellStyle name="40% - Accent3 7 2 3 2 5" xfId="29665"/>
    <cellStyle name="40% - Accent3 7 2 3 3" xfId="11758"/>
    <cellStyle name="40% - Accent3 7 2 3 3 2" xfId="11759"/>
    <cellStyle name="40% - Accent3 7 2 3 3 2 2" xfId="11760"/>
    <cellStyle name="40% - Accent3 7 2 3 3 2 2 2" xfId="11761"/>
    <cellStyle name="40% - Accent3 7 2 3 3 2 2 2 2" xfId="29676"/>
    <cellStyle name="40% - Accent3 7 2 3 3 2 2 3" xfId="29675"/>
    <cellStyle name="40% - Accent3 7 2 3 3 2 3" xfId="11762"/>
    <cellStyle name="40% - Accent3 7 2 3 3 2 3 2" xfId="29677"/>
    <cellStyle name="40% - Accent3 7 2 3 3 2 4" xfId="29674"/>
    <cellStyle name="40% - Accent3 7 2 3 3 3" xfId="11763"/>
    <cellStyle name="40% - Accent3 7 2 3 3 3 2" xfId="11764"/>
    <cellStyle name="40% - Accent3 7 2 3 3 3 2 2" xfId="29679"/>
    <cellStyle name="40% - Accent3 7 2 3 3 3 3" xfId="29678"/>
    <cellStyle name="40% - Accent3 7 2 3 3 4" xfId="11765"/>
    <cellStyle name="40% - Accent3 7 2 3 3 4 2" xfId="29680"/>
    <cellStyle name="40% - Accent3 7 2 3 3 5" xfId="29673"/>
    <cellStyle name="40% - Accent3 7 2 3 4" xfId="11766"/>
    <cellStyle name="40% - Accent3 7 2 3 4 2" xfId="11767"/>
    <cellStyle name="40% - Accent3 7 2 3 4 2 2" xfId="11768"/>
    <cellStyle name="40% - Accent3 7 2 3 4 2 2 2" xfId="29683"/>
    <cellStyle name="40% - Accent3 7 2 3 4 2 3" xfId="29682"/>
    <cellStyle name="40% - Accent3 7 2 3 4 3" xfId="11769"/>
    <cellStyle name="40% - Accent3 7 2 3 4 3 2" xfId="29684"/>
    <cellStyle name="40% - Accent3 7 2 3 4 4" xfId="29681"/>
    <cellStyle name="40% - Accent3 7 2 3 5" xfId="11770"/>
    <cellStyle name="40% - Accent3 7 2 3 5 2" xfId="11771"/>
    <cellStyle name="40% - Accent3 7 2 3 5 2 2" xfId="29686"/>
    <cellStyle name="40% - Accent3 7 2 3 5 3" xfId="29685"/>
    <cellStyle name="40% - Accent3 7 2 3 6" xfId="11772"/>
    <cellStyle name="40% - Accent3 7 2 3 6 2" xfId="29687"/>
    <cellStyle name="40% - Accent3 7 2 3 7" xfId="29664"/>
    <cellStyle name="40% - Accent3 7 2 4" xfId="11773"/>
    <cellStyle name="40% - Accent3 7 2 4 2" xfId="11774"/>
    <cellStyle name="40% - Accent3 7 2 4 2 2" xfId="11775"/>
    <cellStyle name="40% - Accent3 7 2 4 2 2 2" xfId="11776"/>
    <cellStyle name="40% - Accent3 7 2 4 2 2 2 2" xfId="29691"/>
    <cellStyle name="40% - Accent3 7 2 4 2 2 3" xfId="29690"/>
    <cellStyle name="40% - Accent3 7 2 4 2 3" xfId="11777"/>
    <cellStyle name="40% - Accent3 7 2 4 2 3 2" xfId="29692"/>
    <cellStyle name="40% - Accent3 7 2 4 2 4" xfId="29689"/>
    <cellStyle name="40% - Accent3 7 2 4 3" xfId="11778"/>
    <cellStyle name="40% - Accent3 7 2 4 3 2" xfId="11779"/>
    <cellStyle name="40% - Accent3 7 2 4 3 2 2" xfId="29694"/>
    <cellStyle name="40% - Accent3 7 2 4 3 3" xfId="29693"/>
    <cellStyle name="40% - Accent3 7 2 4 4" xfId="11780"/>
    <cellStyle name="40% - Accent3 7 2 4 4 2" xfId="29695"/>
    <cellStyle name="40% - Accent3 7 2 4 5" xfId="29688"/>
    <cellStyle name="40% - Accent3 7 2 5" xfId="11781"/>
    <cellStyle name="40% - Accent3 7 2 5 2" xfId="11782"/>
    <cellStyle name="40% - Accent3 7 2 5 2 2" xfId="11783"/>
    <cellStyle name="40% - Accent3 7 2 5 2 2 2" xfId="11784"/>
    <cellStyle name="40% - Accent3 7 2 5 2 2 2 2" xfId="29699"/>
    <cellStyle name="40% - Accent3 7 2 5 2 2 3" xfId="29698"/>
    <cellStyle name="40% - Accent3 7 2 5 2 3" xfId="11785"/>
    <cellStyle name="40% - Accent3 7 2 5 2 3 2" xfId="29700"/>
    <cellStyle name="40% - Accent3 7 2 5 2 4" xfId="29697"/>
    <cellStyle name="40% - Accent3 7 2 5 3" xfId="11786"/>
    <cellStyle name="40% - Accent3 7 2 5 3 2" xfId="11787"/>
    <cellStyle name="40% - Accent3 7 2 5 3 2 2" xfId="29702"/>
    <cellStyle name="40% - Accent3 7 2 5 3 3" xfId="29701"/>
    <cellStyle name="40% - Accent3 7 2 5 4" xfId="11788"/>
    <cellStyle name="40% - Accent3 7 2 5 4 2" xfId="29703"/>
    <cellStyle name="40% - Accent3 7 2 5 5" xfId="29696"/>
    <cellStyle name="40% - Accent3 7 2 6" xfId="11789"/>
    <cellStyle name="40% - Accent3 7 2 6 2" xfId="11790"/>
    <cellStyle name="40% - Accent3 7 2 6 2 2" xfId="11791"/>
    <cellStyle name="40% - Accent3 7 2 6 2 2 2" xfId="29706"/>
    <cellStyle name="40% - Accent3 7 2 6 2 3" xfId="29705"/>
    <cellStyle name="40% - Accent3 7 2 6 3" xfId="11792"/>
    <cellStyle name="40% - Accent3 7 2 6 3 2" xfId="29707"/>
    <cellStyle name="40% - Accent3 7 2 6 4" xfId="29704"/>
    <cellStyle name="40% - Accent3 7 2 7" xfId="11793"/>
    <cellStyle name="40% - Accent3 7 2 7 2" xfId="11794"/>
    <cellStyle name="40% - Accent3 7 2 7 2 2" xfId="29709"/>
    <cellStyle name="40% - Accent3 7 2 7 3" xfId="29708"/>
    <cellStyle name="40% - Accent3 7 2 8" xfId="11795"/>
    <cellStyle name="40% - Accent3 7 2 8 2" xfId="29710"/>
    <cellStyle name="40% - Accent3 7 2 9" xfId="29615"/>
    <cellStyle name="40% - Accent3 7 3" xfId="11796"/>
    <cellStyle name="40% - Accent3 7 3 2" xfId="11797"/>
    <cellStyle name="40% - Accent3 7 3 2 2" xfId="11798"/>
    <cellStyle name="40% - Accent3 7 3 2 2 2" xfId="11799"/>
    <cellStyle name="40% - Accent3 7 3 2 2 2 2" xfId="11800"/>
    <cellStyle name="40% - Accent3 7 3 2 2 2 2 2" xfId="11801"/>
    <cellStyle name="40% - Accent3 7 3 2 2 2 2 2 2" xfId="29716"/>
    <cellStyle name="40% - Accent3 7 3 2 2 2 2 3" xfId="29715"/>
    <cellStyle name="40% - Accent3 7 3 2 2 2 3" xfId="11802"/>
    <cellStyle name="40% - Accent3 7 3 2 2 2 3 2" xfId="29717"/>
    <cellStyle name="40% - Accent3 7 3 2 2 2 4" xfId="29714"/>
    <cellStyle name="40% - Accent3 7 3 2 2 3" xfId="11803"/>
    <cellStyle name="40% - Accent3 7 3 2 2 3 2" xfId="11804"/>
    <cellStyle name="40% - Accent3 7 3 2 2 3 2 2" xfId="29719"/>
    <cellStyle name="40% - Accent3 7 3 2 2 3 3" xfId="29718"/>
    <cellStyle name="40% - Accent3 7 3 2 2 4" xfId="11805"/>
    <cellStyle name="40% - Accent3 7 3 2 2 4 2" xfId="29720"/>
    <cellStyle name="40% - Accent3 7 3 2 2 5" xfId="29713"/>
    <cellStyle name="40% - Accent3 7 3 2 3" xfId="11806"/>
    <cellStyle name="40% - Accent3 7 3 2 3 2" xfId="11807"/>
    <cellStyle name="40% - Accent3 7 3 2 3 2 2" xfId="11808"/>
    <cellStyle name="40% - Accent3 7 3 2 3 2 2 2" xfId="11809"/>
    <cellStyle name="40% - Accent3 7 3 2 3 2 2 2 2" xfId="29724"/>
    <cellStyle name="40% - Accent3 7 3 2 3 2 2 3" xfId="29723"/>
    <cellStyle name="40% - Accent3 7 3 2 3 2 3" xfId="11810"/>
    <cellStyle name="40% - Accent3 7 3 2 3 2 3 2" xfId="29725"/>
    <cellStyle name="40% - Accent3 7 3 2 3 2 4" xfId="29722"/>
    <cellStyle name="40% - Accent3 7 3 2 3 3" xfId="11811"/>
    <cellStyle name="40% - Accent3 7 3 2 3 3 2" xfId="11812"/>
    <cellStyle name="40% - Accent3 7 3 2 3 3 2 2" xfId="29727"/>
    <cellStyle name="40% - Accent3 7 3 2 3 3 3" xfId="29726"/>
    <cellStyle name="40% - Accent3 7 3 2 3 4" xfId="11813"/>
    <cellStyle name="40% - Accent3 7 3 2 3 4 2" xfId="29728"/>
    <cellStyle name="40% - Accent3 7 3 2 3 5" xfId="29721"/>
    <cellStyle name="40% - Accent3 7 3 2 4" xfId="11814"/>
    <cellStyle name="40% - Accent3 7 3 2 4 2" xfId="11815"/>
    <cellStyle name="40% - Accent3 7 3 2 4 2 2" xfId="11816"/>
    <cellStyle name="40% - Accent3 7 3 2 4 2 2 2" xfId="29731"/>
    <cellStyle name="40% - Accent3 7 3 2 4 2 3" xfId="29730"/>
    <cellStyle name="40% - Accent3 7 3 2 4 3" xfId="11817"/>
    <cellStyle name="40% - Accent3 7 3 2 4 3 2" xfId="29732"/>
    <cellStyle name="40% - Accent3 7 3 2 4 4" xfId="29729"/>
    <cellStyle name="40% - Accent3 7 3 2 5" xfId="11818"/>
    <cellStyle name="40% - Accent3 7 3 2 5 2" xfId="11819"/>
    <cellStyle name="40% - Accent3 7 3 2 5 2 2" xfId="29734"/>
    <cellStyle name="40% - Accent3 7 3 2 5 3" xfId="29733"/>
    <cellStyle name="40% - Accent3 7 3 2 6" xfId="11820"/>
    <cellStyle name="40% - Accent3 7 3 2 6 2" xfId="29735"/>
    <cellStyle name="40% - Accent3 7 3 2 7" xfId="29712"/>
    <cellStyle name="40% - Accent3 7 3 3" xfId="11821"/>
    <cellStyle name="40% - Accent3 7 3 3 2" xfId="11822"/>
    <cellStyle name="40% - Accent3 7 3 3 2 2" xfId="11823"/>
    <cellStyle name="40% - Accent3 7 3 3 2 2 2" xfId="11824"/>
    <cellStyle name="40% - Accent3 7 3 3 2 2 2 2" xfId="29739"/>
    <cellStyle name="40% - Accent3 7 3 3 2 2 3" xfId="29738"/>
    <cellStyle name="40% - Accent3 7 3 3 2 3" xfId="11825"/>
    <cellStyle name="40% - Accent3 7 3 3 2 3 2" xfId="29740"/>
    <cellStyle name="40% - Accent3 7 3 3 2 4" xfId="29737"/>
    <cellStyle name="40% - Accent3 7 3 3 3" xfId="11826"/>
    <cellStyle name="40% - Accent3 7 3 3 3 2" xfId="11827"/>
    <cellStyle name="40% - Accent3 7 3 3 3 2 2" xfId="29742"/>
    <cellStyle name="40% - Accent3 7 3 3 3 3" xfId="29741"/>
    <cellStyle name="40% - Accent3 7 3 3 4" xfId="11828"/>
    <cellStyle name="40% - Accent3 7 3 3 4 2" xfId="29743"/>
    <cellStyle name="40% - Accent3 7 3 3 5" xfId="29736"/>
    <cellStyle name="40% - Accent3 7 3 4" xfId="11829"/>
    <cellStyle name="40% - Accent3 7 3 4 2" xfId="11830"/>
    <cellStyle name="40% - Accent3 7 3 4 2 2" xfId="11831"/>
    <cellStyle name="40% - Accent3 7 3 4 2 2 2" xfId="11832"/>
    <cellStyle name="40% - Accent3 7 3 4 2 2 2 2" xfId="29747"/>
    <cellStyle name="40% - Accent3 7 3 4 2 2 3" xfId="29746"/>
    <cellStyle name="40% - Accent3 7 3 4 2 3" xfId="11833"/>
    <cellStyle name="40% - Accent3 7 3 4 2 3 2" xfId="29748"/>
    <cellStyle name="40% - Accent3 7 3 4 2 4" xfId="29745"/>
    <cellStyle name="40% - Accent3 7 3 4 3" xfId="11834"/>
    <cellStyle name="40% - Accent3 7 3 4 3 2" xfId="11835"/>
    <cellStyle name="40% - Accent3 7 3 4 3 2 2" xfId="29750"/>
    <cellStyle name="40% - Accent3 7 3 4 3 3" xfId="29749"/>
    <cellStyle name="40% - Accent3 7 3 4 4" xfId="11836"/>
    <cellStyle name="40% - Accent3 7 3 4 4 2" xfId="29751"/>
    <cellStyle name="40% - Accent3 7 3 4 5" xfId="29744"/>
    <cellStyle name="40% - Accent3 7 3 5" xfId="11837"/>
    <cellStyle name="40% - Accent3 7 3 5 2" xfId="11838"/>
    <cellStyle name="40% - Accent3 7 3 5 2 2" xfId="11839"/>
    <cellStyle name="40% - Accent3 7 3 5 2 2 2" xfId="29754"/>
    <cellStyle name="40% - Accent3 7 3 5 2 3" xfId="29753"/>
    <cellStyle name="40% - Accent3 7 3 5 3" xfId="11840"/>
    <cellStyle name="40% - Accent3 7 3 5 3 2" xfId="29755"/>
    <cellStyle name="40% - Accent3 7 3 5 4" xfId="29752"/>
    <cellStyle name="40% - Accent3 7 3 6" xfId="11841"/>
    <cellStyle name="40% - Accent3 7 3 6 2" xfId="11842"/>
    <cellStyle name="40% - Accent3 7 3 6 2 2" xfId="29757"/>
    <cellStyle name="40% - Accent3 7 3 6 3" xfId="29756"/>
    <cellStyle name="40% - Accent3 7 3 7" xfId="11843"/>
    <cellStyle name="40% - Accent3 7 3 7 2" xfId="29758"/>
    <cellStyle name="40% - Accent3 7 3 8" xfId="29711"/>
    <cellStyle name="40% - Accent3 7 4" xfId="11844"/>
    <cellStyle name="40% - Accent3 7 4 2" xfId="11845"/>
    <cellStyle name="40% - Accent3 7 4 2 2" xfId="11846"/>
    <cellStyle name="40% - Accent3 7 4 2 2 2" xfId="11847"/>
    <cellStyle name="40% - Accent3 7 4 2 2 2 2" xfId="11848"/>
    <cellStyle name="40% - Accent3 7 4 2 2 2 2 2" xfId="29763"/>
    <cellStyle name="40% - Accent3 7 4 2 2 2 3" xfId="29762"/>
    <cellStyle name="40% - Accent3 7 4 2 2 3" xfId="11849"/>
    <cellStyle name="40% - Accent3 7 4 2 2 3 2" xfId="29764"/>
    <cellStyle name="40% - Accent3 7 4 2 2 4" xfId="29761"/>
    <cellStyle name="40% - Accent3 7 4 2 3" xfId="11850"/>
    <cellStyle name="40% - Accent3 7 4 2 3 2" xfId="11851"/>
    <cellStyle name="40% - Accent3 7 4 2 3 2 2" xfId="29766"/>
    <cellStyle name="40% - Accent3 7 4 2 3 3" xfId="29765"/>
    <cellStyle name="40% - Accent3 7 4 2 4" xfId="11852"/>
    <cellStyle name="40% - Accent3 7 4 2 4 2" xfId="29767"/>
    <cellStyle name="40% - Accent3 7 4 2 5" xfId="29760"/>
    <cellStyle name="40% - Accent3 7 4 3" xfId="11853"/>
    <cellStyle name="40% - Accent3 7 4 3 2" xfId="11854"/>
    <cellStyle name="40% - Accent3 7 4 3 2 2" xfId="11855"/>
    <cellStyle name="40% - Accent3 7 4 3 2 2 2" xfId="11856"/>
    <cellStyle name="40% - Accent3 7 4 3 2 2 2 2" xfId="29771"/>
    <cellStyle name="40% - Accent3 7 4 3 2 2 3" xfId="29770"/>
    <cellStyle name="40% - Accent3 7 4 3 2 3" xfId="11857"/>
    <cellStyle name="40% - Accent3 7 4 3 2 3 2" xfId="29772"/>
    <cellStyle name="40% - Accent3 7 4 3 2 4" xfId="29769"/>
    <cellStyle name="40% - Accent3 7 4 3 3" xfId="11858"/>
    <cellStyle name="40% - Accent3 7 4 3 3 2" xfId="11859"/>
    <cellStyle name="40% - Accent3 7 4 3 3 2 2" xfId="29774"/>
    <cellStyle name="40% - Accent3 7 4 3 3 3" xfId="29773"/>
    <cellStyle name="40% - Accent3 7 4 3 4" xfId="11860"/>
    <cellStyle name="40% - Accent3 7 4 3 4 2" xfId="29775"/>
    <cellStyle name="40% - Accent3 7 4 3 5" xfId="29768"/>
    <cellStyle name="40% - Accent3 7 4 4" xfId="11861"/>
    <cellStyle name="40% - Accent3 7 4 4 2" xfId="11862"/>
    <cellStyle name="40% - Accent3 7 4 4 2 2" xfId="11863"/>
    <cellStyle name="40% - Accent3 7 4 4 2 2 2" xfId="29778"/>
    <cellStyle name="40% - Accent3 7 4 4 2 3" xfId="29777"/>
    <cellStyle name="40% - Accent3 7 4 4 3" xfId="11864"/>
    <cellStyle name="40% - Accent3 7 4 4 3 2" xfId="29779"/>
    <cellStyle name="40% - Accent3 7 4 4 4" xfId="29776"/>
    <cellStyle name="40% - Accent3 7 4 5" xfId="11865"/>
    <cellStyle name="40% - Accent3 7 4 5 2" xfId="11866"/>
    <cellStyle name="40% - Accent3 7 4 5 2 2" xfId="29781"/>
    <cellStyle name="40% - Accent3 7 4 5 3" xfId="29780"/>
    <cellStyle name="40% - Accent3 7 4 6" xfId="11867"/>
    <cellStyle name="40% - Accent3 7 4 6 2" xfId="29782"/>
    <cellStyle name="40% - Accent3 7 4 7" xfId="29759"/>
    <cellStyle name="40% - Accent3 7 5" xfId="11868"/>
    <cellStyle name="40% - Accent3 7 5 2" xfId="11869"/>
    <cellStyle name="40% - Accent3 7 5 2 2" xfId="11870"/>
    <cellStyle name="40% - Accent3 7 5 2 2 2" xfId="11871"/>
    <cellStyle name="40% - Accent3 7 5 2 2 2 2" xfId="29786"/>
    <cellStyle name="40% - Accent3 7 5 2 2 3" xfId="29785"/>
    <cellStyle name="40% - Accent3 7 5 2 3" xfId="11872"/>
    <cellStyle name="40% - Accent3 7 5 2 3 2" xfId="29787"/>
    <cellStyle name="40% - Accent3 7 5 2 4" xfId="29784"/>
    <cellStyle name="40% - Accent3 7 5 3" xfId="11873"/>
    <cellStyle name="40% - Accent3 7 5 3 2" xfId="11874"/>
    <cellStyle name="40% - Accent3 7 5 3 2 2" xfId="29789"/>
    <cellStyle name="40% - Accent3 7 5 3 3" xfId="29788"/>
    <cellStyle name="40% - Accent3 7 5 4" xfId="11875"/>
    <cellStyle name="40% - Accent3 7 5 4 2" xfId="29790"/>
    <cellStyle name="40% - Accent3 7 5 5" xfId="29783"/>
    <cellStyle name="40% - Accent3 7 6" xfId="11876"/>
    <cellStyle name="40% - Accent3 7 6 2" xfId="11877"/>
    <cellStyle name="40% - Accent3 7 6 2 2" xfId="11878"/>
    <cellStyle name="40% - Accent3 7 6 2 2 2" xfId="11879"/>
    <cellStyle name="40% - Accent3 7 6 2 2 2 2" xfId="29794"/>
    <cellStyle name="40% - Accent3 7 6 2 2 3" xfId="29793"/>
    <cellStyle name="40% - Accent3 7 6 2 3" xfId="11880"/>
    <cellStyle name="40% - Accent3 7 6 2 3 2" xfId="29795"/>
    <cellStyle name="40% - Accent3 7 6 2 4" xfId="29792"/>
    <cellStyle name="40% - Accent3 7 6 3" xfId="11881"/>
    <cellStyle name="40% - Accent3 7 6 3 2" xfId="11882"/>
    <cellStyle name="40% - Accent3 7 6 3 2 2" xfId="29797"/>
    <cellStyle name="40% - Accent3 7 6 3 3" xfId="29796"/>
    <cellStyle name="40% - Accent3 7 6 4" xfId="11883"/>
    <cellStyle name="40% - Accent3 7 6 4 2" xfId="29798"/>
    <cellStyle name="40% - Accent3 7 6 5" xfId="29791"/>
    <cellStyle name="40% - Accent3 7 7" xfId="11884"/>
    <cellStyle name="40% - Accent3 7 7 2" xfId="11885"/>
    <cellStyle name="40% - Accent3 7 7 2 2" xfId="11886"/>
    <cellStyle name="40% - Accent3 7 7 2 2 2" xfId="29801"/>
    <cellStyle name="40% - Accent3 7 7 2 3" xfId="29800"/>
    <cellStyle name="40% - Accent3 7 7 3" xfId="11887"/>
    <cellStyle name="40% - Accent3 7 7 3 2" xfId="29802"/>
    <cellStyle name="40% - Accent3 7 7 4" xfId="29799"/>
    <cellStyle name="40% - Accent3 7 8" xfId="11888"/>
    <cellStyle name="40% - Accent3 7 8 2" xfId="11889"/>
    <cellStyle name="40% - Accent3 7 8 2 2" xfId="29804"/>
    <cellStyle name="40% - Accent3 7 8 3" xfId="29803"/>
    <cellStyle name="40% - Accent3 7 9" xfId="11890"/>
    <cellStyle name="40% - Accent3 7 9 2" xfId="29805"/>
    <cellStyle name="40% - Accent3 8" xfId="11891"/>
    <cellStyle name="40% - Accent3 8 10" xfId="29806"/>
    <cellStyle name="40% - Accent3 8 2" xfId="11892"/>
    <cellStyle name="40% - Accent3 8 2 2" xfId="11893"/>
    <cellStyle name="40% - Accent3 8 2 2 2" xfId="11894"/>
    <cellStyle name="40% - Accent3 8 2 2 2 2" xfId="11895"/>
    <cellStyle name="40% - Accent3 8 2 2 2 2 2" xfId="11896"/>
    <cellStyle name="40% - Accent3 8 2 2 2 2 2 2" xfId="11897"/>
    <cellStyle name="40% - Accent3 8 2 2 2 2 2 2 2" xfId="11898"/>
    <cellStyle name="40% - Accent3 8 2 2 2 2 2 2 2 2" xfId="29813"/>
    <cellStyle name="40% - Accent3 8 2 2 2 2 2 2 3" xfId="29812"/>
    <cellStyle name="40% - Accent3 8 2 2 2 2 2 3" xfId="11899"/>
    <cellStyle name="40% - Accent3 8 2 2 2 2 2 3 2" xfId="29814"/>
    <cellStyle name="40% - Accent3 8 2 2 2 2 2 4" xfId="29811"/>
    <cellStyle name="40% - Accent3 8 2 2 2 2 3" xfId="11900"/>
    <cellStyle name="40% - Accent3 8 2 2 2 2 3 2" xfId="11901"/>
    <cellStyle name="40% - Accent3 8 2 2 2 2 3 2 2" xfId="29816"/>
    <cellStyle name="40% - Accent3 8 2 2 2 2 3 3" xfId="29815"/>
    <cellStyle name="40% - Accent3 8 2 2 2 2 4" xfId="11902"/>
    <cellStyle name="40% - Accent3 8 2 2 2 2 4 2" xfId="29817"/>
    <cellStyle name="40% - Accent3 8 2 2 2 2 5" xfId="29810"/>
    <cellStyle name="40% - Accent3 8 2 2 2 3" xfId="11903"/>
    <cellStyle name="40% - Accent3 8 2 2 2 3 2" xfId="11904"/>
    <cellStyle name="40% - Accent3 8 2 2 2 3 2 2" xfId="11905"/>
    <cellStyle name="40% - Accent3 8 2 2 2 3 2 2 2" xfId="11906"/>
    <cellStyle name="40% - Accent3 8 2 2 2 3 2 2 2 2" xfId="29821"/>
    <cellStyle name="40% - Accent3 8 2 2 2 3 2 2 3" xfId="29820"/>
    <cellStyle name="40% - Accent3 8 2 2 2 3 2 3" xfId="11907"/>
    <cellStyle name="40% - Accent3 8 2 2 2 3 2 3 2" xfId="29822"/>
    <cellStyle name="40% - Accent3 8 2 2 2 3 2 4" xfId="29819"/>
    <cellStyle name="40% - Accent3 8 2 2 2 3 3" xfId="11908"/>
    <cellStyle name="40% - Accent3 8 2 2 2 3 3 2" xfId="11909"/>
    <cellStyle name="40% - Accent3 8 2 2 2 3 3 2 2" xfId="29824"/>
    <cellStyle name="40% - Accent3 8 2 2 2 3 3 3" xfId="29823"/>
    <cellStyle name="40% - Accent3 8 2 2 2 3 4" xfId="11910"/>
    <cellStyle name="40% - Accent3 8 2 2 2 3 4 2" xfId="29825"/>
    <cellStyle name="40% - Accent3 8 2 2 2 3 5" xfId="29818"/>
    <cellStyle name="40% - Accent3 8 2 2 2 4" xfId="11911"/>
    <cellStyle name="40% - Accent3 8 2 2 2 4 2" xfId="11912"/>
    <cellStyle name="40% - Accent3 8 2 2 2 4 2 2" xfId="11913"/>
    <cellStyle name="40% - Accent3 8 2 2 2 4 2 2 2" xfId="29828"/>
    <cellStyle name="40% - Accent3 8 2 2 2 4 2 3" xfId="29827"/>
    <cellStyle name="40% - Accent3 8 2 2 2 4 3" xfId="11914"/>
    <cellStyle name="40% - Accent3 8 2 2 2 4 3 2" xfId="29829"/>
    <cellStyle name="40% - Accent3 8 2 2 2 4 4" xfId="29826"/>
    <cellStyle name="40% - Accent3 8 2 2 2 5" xfId="11915"/>
    <cellStyle name="40% - Accent3 8 2 2 2 5 2" xfId="11916"/>
    <cellStyle name="40% - Accent3 8 2 2 2 5 2 2" xfId="29831"/>
    <cellStyle name="40% - Accent3 8 2 2 2 5 3" xfId="29830"/>
    <cellStyle name="40% - Accent3 8 2 2 2 6" xfId="11917"/>
    <cellStyle name="40% - Accent3 8 2 2 2 6 2" xfId="29832"/>
    <cellStyle name="40% - Accent3 8 2 2 2 7" xfId="29809"/>
    <cellStyle name="40% - Accent3 8 2 2 3" xfId="11918"/>
    <cellStyle name="40% - Accent3 8 2 2 3 2" xfId="11919"/>
    <cellStyle name="40% - Accent3 8 2 2 3 2 2" xfId="11920"/>
    <cellStyle name="40% - Accent3 8 2 2 3 2 2 2" xfId="11921"/>
    <cellStyle name="40% - Accent3 8 2 2 3 2 2 2 2" xfId="29836"/>
    <cellStyle name="40% - Accent3 8 2 2 3 2 2 3" xfId="29835"/>
    <cellStyle name="40% - Accent3 8 2 2 3 2 3" xfId="11922"/>
    <cellStyle name="40% - Accent3 8 2 2 3 2 3 2" xfId="29837"/>
    <cellStyle name="40% - Accent3 8 2 2 3 2 4" xfId="29834"/>
    <cellStyle name="40% - Accent3 8 2 2 3 3" xfId="11923"/>
    <cellStyle name="40% - Accent3 8 2 2 3 3 2" xfId="11924"/>
    <cellStyle name="40% - Accent3 8 2 2 3 3 2 2" xfId="29839"/>
    <cellStyle name="40% - Accent3 8 2 2 3 3 3" xfId="29838"/>
    <cellStyle name="40% - Accent3 8 2 2 3 4" xfId="11925"/>
    <cellStyle name="40% - Accent3 8 2 2 3 4 2" xfId="29840"/>
    <cellStyle name="40% - Accent3 8 2 2 3 5" xfId="29833"/>
    <cellStyle name="40% - Accent3 8 2 2 4" xfId="11926"/>
    <cellStyle name="40% - Accent3 8 2 2 4 2" xfId="11927"/>
    <cellStyle name="40% - Accent3 8 2 2 4 2 2" xfId="11928"/>
    <cellStyle name="40% - Accent3 8 2 2 4 2 2 2" xfId="11929"/>
    <cellStyle name="40% - Accent3 8 2 2 4 2 2 2 2" xfId="29844"/>
    <cellStyle name="40% - Accent3 8 2 2 4 2 2 3" xfId="29843"/>
    <cellStyle name="40% - Accent3 8 2 2 4 2 3" xfId="11930"/>
    <cellStyle name="40% - Accent3 8 2 2 4 2 3 2" xfId="29845"/>
    <cellStyle name="40% - Accent3 8 2 2 4 2 4" xfId="29842"/>
    <cellStyle name="40% - Accent3 8 2 2 4 3" xfId="11931"/>
    <cellStyle name="40% - Accent3 8 2 2 4 3 2" xfId="11932"/>
    <cellStyle name="40% - Accent3 8 2 2 4 3 2 2" xfId="29847"/>
    <cellStyle name="40% - Accent3 8 2 2 4 3 3" xfId="29846"/>
    <cellStyle name="40% - Accent3 8 2 2 4 4" xfId="11933"/>
    <cellStyle name="40% - Accent3 8 2 2 4 4 2" xfId="29848"/>
    <cellStyle name="40% - Accent3 8 2 2 4 5" xfId="29841"/>
    <cellStyle name="40% - Accent3 8 2 2 5" xfId="11934"/>
    <cellStyle name="40% - Accent3 8 2 2 5 2" xfId="11935"/>
    <cellStyle name="40% - Accent3 8 2 2 5 2 2" xfId="11936"/>
    <cellStyle name="40% - Accent3 8 2 2 5 2 2 2" xfId="29851"/>
    <cellStyle name="40% - Accent3 8 2 2 5 2 3" xfId="29850"/>
    <cellStyle name="40% - Accent3 8 2 2 5 3" xfId="11937"/>
    <cellStyle name="40% - Accent3 8 2 2 5 3 2" xfId="29852"/>
    <cellStyle name="40% - Accent3 8 2 2 5 4" xfId="29849"/>
    <cellStyle name="40% - Accent3 8 2 2 6" xfId="11938"/>
    <cellStyle name="40% - Accent3 8 2 2 6 2" xfId="11939"/>
    <cellStyle name="40% - Accent3 8 2 2 6 2 2" xfId="29854"/>
    <cellStyle name="40% - Accent3 8 2 2 6 3" xfId="29853"/>
    <cellStyle name="40% - Accent3 8 2 2 7" xfId="11940"/>
    <cellStyle name="40% - Accent3 8 2 2 7 2" xfId="29855"/>
    <cellStyle name="40% - Accent3 8 2 2 8" xfId="29808"/>
    <cellStyle name="40% - Accent3 8 2 3" xfId="11941"/>
    <cellStyle name="40% - Accent3 8 2 3 2" xfId="11942"/>
    <cellStyle name="40% - Accent3 8 2 3 2 2" xfId="11943"/>
    <cellStyle name="40% - Accent3 8 2 3 2 2 2" xfId="11944"/>
    <cellStyle name="40% - Accent3 8 2 3 2 2 2 2" xfId="11945"/>
    <cellStyle name="40% - Accent3 8 2 3 2 2 2 2 2" xfId="29860"/>
    <cellStyle name="40% - Accent3 8 2 3 2 2 2 3" xfId="29859"/>
    <cellStyle name="40% - Accent3 8 2 3 2 2 3" xfId="11946"/>
    <cellStyle name="40% - Accent3 8 2 3 2 2 3 2" xfId="29861"/>
    <cellStyle name="40% - Accent3 8 2 3 2 2 4" xfId="29858"/>
    <cellStyle name="40% - Accent3 8 2 3 2 3" xfId="11947"/>
    <cellStyle name="40% - Accent3 8 2 3 2 3 2" xfId="11948"/>
    <cellStyle name="40% - Accent3 8 2 3 2 3 2 2" xfId="29863"/>
    <cellStyle name="40% - Accent3 8 2 3 2 3 3" xfId="29862"/>
    <cellStyle name="40% - Accent3 8 2 3 2 4" xfId="11949"/>
    <cellStyle name="40% - Accent3 8 2 3 2 4 2" xfId="29864"/>
    <cellStyle name="40% - Accent3 8 2 3 2 5" xfId="29857"/>
    <cellStyle name="40% - Accent3 8 2 3 3" xfId="11950"/>
    <cellStyle name="40% - Accent3 8 2 3 3 2" xfId="11951"/>
    <cellStyle name="40% - Accent3 8 2 3 3 2 2" xfId="11952"/>
    <cellStyle name="40% - Accent3 8 2 3 3 2 2 2" xfId="11953"/>
    <cellStyle name="40% - Accent3 8 2 3 3 2 2 2 2" xfId="29868"/>
    <cellStyle name="40% - Accent3 8 2 3 3 2 2 3" xfId="29867"/>
    <cellStyle name="40% - Accent3 8 2 3 3 2 3" xfId="11954"/>
    <cellStyle name="40% - Accent3 8 2 3 3 2 3 2" xfId="29869"/>
    <cellStyle name="40% - Accent3 8 2 3 3 2 4" xfId="29866"/>
    <cellStyle name="40% - Accent3 8 2 3 3 3" xfId="11955"/>
    <cellStyle name="40% - Accent3 8 2 3 3 3 2" xfId="11956"/>
    <cellStyle name="40% - Accent3 8 2 3 3 3 2 2" xfId="29871"/>
    <cellStyle name="40% - Accent3 8 2 3 3 3 3" xfId="29870"/>
    <cellStyle name="40% - Accent3 8 2 3 3 4" xfId="11957"/>
    <cellStyle name="40% - Accent3 8 2 3 3 4 2" xfId="29872"/>
    <cellStyle name="40% - Accent3 8 2 3 3 5" xfId="29865"/>
    <cellStyle name="40% - Accent3 8 2 3 4" xfId="11958"/>
    <cellStyle name="40% - Accent3 8 2 3 4 2" xfId="11959"/>
    <cellStyle name="40% - Accent3 8 2 3 4 2 2" xfId="11960"/>
    <cellStyle name="40% - Accent3 8 2 3 4 2 2 2" xfId="29875"/>
    <cellStyle name="40% - Accent3 8 2 3 4 2 3" xfId="29874"/>
    <cellStyle name="40% - Accent3 8 2 3 4 3" xfId="11961"/>
    <cellStyle name="40% - Accent3 8 2 3 4 3 2" xfId="29876"/>
    <cellStyle name="40% - Accent3 8 2 3 4 4" xfId="29873"/>
    <cellStyle name="40% - Accent3 8 2 3 5" xfId="11962"/>
    <cellStyle name="40% - Accent3 8 2 3 5 2" xfId="11963"/>
    <cellStyle name="40% - Accent3 8 2 3 5 2 2" xfId="29878"/>
    <cellStyle name="40% - Accent3 8 2 3 5 3" xfId="29877"/>
    <cellStyle name="40% - Accent3 8 2 3 6" xfId="11964"/>
    <cellStyle name="40% - Accent3 8 2 3 6 2" xfId="29879"/>
    <cellStyle name="40% - Accent3 8 2 3 7" xfId="29856"/>
    <cellStyle name="40% - Accent3 8 2 4" xfId="11965"/>
    <cellStyle name="40% - Accent3 8 2 4 2" xfId="11966"/>
    <cellStyle name="40% - Accent3 8 2 4 2 2" xfId="11967"/>
    <cellStyle name="40% - Accent3 8 2 4 2 2 2" xfId="11968"/>
    <cellStyle name="40% - Accent3 8 2 4 2 2 2 2" xfId="29883"/>
    <cellStyle name="40% - Accent3 8 2 4 2 2 3" xfId="29882"/>
    <cellStyle name="40% - Accent3 8 2 4 2 3" xfId="11969"/>
    <cellStyle name="40% - Accent3 8 2 4 2 3 2" xfId="29884"/>
    <cellStyle name="40% - Accent3 8 2 4 2 4" xfId="29881"/>
    <cellStyle name="40% - Accent3 8 2 4 3" xfId="11970"/>
    <cellStyle name="40% - Accent3 8 2 4 3 2" xfId="11971"/>
    <cellStyle name="40% - Accent3 8 2 4 3 2 2" xfId="29886"/>
    <cellStyle name="40% - Accent3 8 2 4 3 3" xfId="29885"/>
    <cellStyle name="40% - Accent3 8 2 4 4" xfId="11972"/>
    <cellStyle name="40% - Accent3 8 2 4 4 2" xfId="29887"/>
    <cellStyle name="40% - Accent3 8 2 4 5" xfId="29880"/>
    <cellStyle name="40% - Accent3 8 2 5" xfId="11973"/>
    <cellStyle name="40% - Accent3 8 2 5 2" xfId="11974"/>
    <cellStyle name="40% - Accent3 8 2 5 2 2" xfId="11975"/>
    <cellStyle name="40% - Accent3 8 2 5 2 2 2" xfId="11976"/>
    <cellStyle name="40% - Accent3 8 2 5 2 2 2 2" xfId="29891"/>
    <cellStyle name="40% - Accent3 8 2 5 2 2 3" xfId="29890"/>
    <cellStyle name="40% - Accent3 8 2 5 2 3" xfId="11977"/>
    <cellStyle name="40% - Accent3 8 2 5 2 3 2" xfId="29892"/>
    <cellStyle name="40% - Accent3 8 2 5 2 4" xfId="29889"/>
    <cellStyle name="40% - Accent3 8 2 5 3" xfId="11978"/>
    <cellStyle name="40% - Accent3 8 2 5 3 2" xfId="11979"/>
    <cellStyle name="40% - Accent3 8 2 5 3 2 2" xfId="29894"/>
    <cellStyle name="40% - Accent3 8 2 5 3 3" xfId="29893"/>
    <cellStyle name="40% - Accent3 8 2 5 4" xfId="11980"/>
    <cellStyle name="40% - Accent3 8 2 5 4 2" xfId="29895"/>
    <cellStyle name="40% - Accent3 8 2 5 5" xfId="29888"/>
    <cellStyle name="40% - Accent3 8 2 6" xfId="11981"/>
    <cellStyle name="40% - Accent3 8 2 6 2" xfId="11982"/>
    <cellStyle name="40% - Accent3 8 2 6 2 2" xfId="11983"/>
    <cellStyle name="40% - Accent3 8 2 6 2 2 2" xfId="29898"/>
    <cellStyle name="40% - Accent3 8 2 6 2 3" xfId="29897"/>
    <cellStyle name="40% - Accent3 8 2 6 3" xfId="11984"/>
    <cellStyle name="40% - Accent3 8 2 6 3 2" xfId="29899"/>
    <cellStyle name="40% - Accent3 8 2 6 4" xfId="29896"/>
    <cellStyle name="40% - Accent3 8 2 7" xfId="11985"/>
    <cellStyle name="40% - Accent3 8 2 7 2" xfId="11986"/>
    <cellStyle name="40% - Accent3 8 2 7 2 2" xfId="29901"/>
    <cellStyle name="40% - Accent3 8 2 7 3" xfId="29900"/>
    <cellStyle name="40% - Accent3 8 2 8" xfId="11987"/>
    <cellStyle name="40% - Accent3 8 2 8 2" xfId="29902"/>
    <cellStyle name="40% - Accent3 8 2 9" xfId="29807"/>
    <cellStyle name="40% - Accent3 8 3" xfId="11988"/>
    <cellStyle name="40% - Accent3 8 3 2" xfId="11989"/>
    <cellStyle name="40% - Accent3 8 3 2 2" xfId="11990"/>
    <cellStyle name="40% - Accent3 8 3 2 2 2" xfId="11991"/>
    <cellStyle name="40% - Accent3 8 3 2 2 2 2" xfId="11992"/>
    <cellStyle name="40% - Accent3 8 3 2 2 2 2 2" xfId="11993"/>
    <cellStyle name="40% - Accent3 8 3 2 2 2 2 2 2" xfId="29908"/>
    <cellStyle name="40% - Accent3 8 3 2 2 2 2 3" xfId="29907"/>
    <cellStyle name="40% - Accent3 8 3 2 2 2 3" xfId="11994"/>
    <cellStyle name="40% - Accent3 8 3 2 2 2 3 2" xfId="29909"/>
    <cellStyle name="40% - Accent3 8 3 2 2 2 4" xfId="29906"/>
    <cellStyle name="40% - Accent3 8 3 2 2 3" xfId="11995"/>
    <cellStyle name="40% - Accent3 8 3 2 2 3 2" xfId="11996"/>
    <cellStyle name="40% - Accent3 8 3 2 2 3 2 2" xfId="29911"/>
    <cellStyle name="40% - Accent3 8 3 2 2 3 3" xfId="29910"/>
    <cellStyle name="40% - Accent3 8 3 2 2 4" xfId="11997"/>
    <cellStyle name="40% - Accent3 8 3 2 2 4 2" xfId="29912"/>
    <cellStyle name="40% - Accent3 8 3 2 2 5" xfId="29905"/>
    <cellStyle name="40% - Accent3 8 3 2 3" xfId="11998"/>
    <cellStyle name="40% - Accent3 8 3 2 3 2" xfId="11999"/>
    <cellStyle name="40% - Accent3 8 3 2 3 2 2" xfId="12000"/>
    <cellStyle name="40% - Accent3 8 3 2 3 2 2 2" xfId="12001"/>
    <cellStyle name="40% - Accent3 8 3 2 3 2 2 2 2" xfId="29916"/>
    <cellStyle name="40% - Accent3 8 3 2 3 2 2 3" xfId="29915"/>
    <cellStyle name="40% - Accent3 8 3 2 3 2 3" xfId="12002"/>
    <cellStyle name="40% - Accent3 8 3 2 3 2 3 2" xfId="29917"/>
    <cellStyle name="40% - Accent3 8 3 2 3 2 4" xfId="29914"/>
    <cellStyle name="40% - Accent3 8 3 2 3 3" xfId="12003"/>
    <cellStyle name="40% - Accent3 8 3 2 3 3 2" xfId="12004"/>
    <cellStyle name="40% - Accent3 8 3 2 3 3 2 2" xfId="29919"/>
    <cellStyle name="40% - Accent3 8 3 2 3 3 3" xfId="29918"/>
    <cellStyle name="40% - Accent3 8 3 2 3 4" xfId="12005"/>
    <cellStyle name="40% - Accent3 8 3 2 3 4 2" xfId="29920"/>
    <cellStyle name="40% - Accent3 8 3 2 3 5" xfId="29913"/>
    <cellStyle name="40% - Accent3 8 3 2 4" xfId="12006"/>
    <cellStyle name="40% - Accent3 8 3 2 4 2" xfId="12007"/>
    <cellStyle name="40% - Accent3 8 3 2 4 2 2" xfId="12008"/>
    <cellStyle name="40% - Accent3 8 3 2 4 2 2 2" xfId="29923"/>
    <cellStyle name="40% - Accent3 8 3 2 4 2 3" xfId="29922"/>
    <cellStyle name="40% - Accent3 8 3 2 4 3" xfId="12009"/>
    <cellStyle name="40% - Accent3 8 3 2 4 3 2" xfId="29924"/>
    <cellStyle name="40% - Accent3 8 3 2 4 4" xfId="29921"/>
    <cellStyle name="40% - Accent3 8 3 2 5" xfId="12010"/>
    <cellStyle name="40% - Accent3 8 3 2 5 2" xfId="12011"/>
    <cellStyle name="40% - Accent3 8 3 2 5 2 2" xfId="29926"/>
    <cellStyle name="40% - Accent3 8 3 2 5 3" xfId="29925"/>
    <cellStyle name="40% - Accent3 8 3 2 6" xfId="12012"/>
    <cellStyle name="40% - Accent3 8 3 2 6 2" xfId="29927"/>
    <cellStyle name="40% - Accent3 8 3 2 7" xfId="29904"/>
    <cellStyle name="40% - Accent3 8 3 3" xfId="12013"/>
    <cellStyle name="40% - Accent3 8 3 3 2" xfId="12014"/>
    <cellStyle name="40% - Accent3 8 3 3 2 2" xfId="12015"/>
    <cellStyle name="40% - Accent3 8 3 3 2 2 2" xfId="12016"/>
    <cellStyle name="40% - Accent3 8 3 3 2 2 2 2" xfId="29931"/>
    <cellStyle name="40% - Accent3 8 3 3 2 2 3" xfId="29930"/>
    <cellStyle name="40% - Accent3 8 3 3 2 3" xfId="12017"/>
    <cellStyle name="40% - Accent3 8 3 3 2 3 2" xfId="29932"/>
    <cellStyle name="40% - Accent3 8 3 3 2 4" xfId="29929"/>
    <cellStyle name="40% - Accent3 8 3 3 3" xfId="12018"/>
    <cellStyle name="40% - Accent3 8 3 3 3 2" xfId="12019"/>
    <cellStyle name="40% - Accent3 8 3 3 3 2 2" xfId="29934"/>
    <cellStyle name="40% - Accent3 8 3 3 3 3" xfId="29933"/>
    <cellStyle name="40% - Accent3 8 3 3 4" xfId="12020"/>
    <cellStyle name="40% - Accent3 8 3 3 4 2" xfId="29935"/>
    <cellStyle name="40% - Accent3 8 3 3 5" xfId="29928"/>
    <cellStyle name="40% - Accent3 8 3 4" xfId="12021"/>
    <cellStyle name="40% - Accent3 8 3 4 2" xfId="12022"/>
    <cellStyle name="40% - Accent3 8 3 4 2 2" xfId="12023"/>
    <cellStyle name="40% - Accent3 8 3 4 2 2 2" xfId="12024"/>
    <cellStyle name="40% - Accent3 8 3 4 2 2 2 2" xfId="29939"/>
    <cellStyle name="40% - Accent3 8 3 4 2 2 3" xfId="29938"/>
    <cellStyle name="40% - Accent3 8 3 4 2 3" xfId="12025"/>
    <cellStyle name="40% - Accent3 8 3 4 2 3 2" xfId="29940"/>
    <cellStyle name="40% - Accent3 8 3 4 2 4" xfId="29937"/>
    <cellStyle name="40% - Accent3 8 3 4 3" xfId="12026"/>
    <cellStyle name="40% - Accent3 8 3 4 3 2" xfId="12027"/>
    <cellStyle name="40% - Accent3 8 3 4 3 2 2" xfId="29942"/>
    <cellStyle name="40% - Accent3 8 3 4 3 3" xfId="29941"/>
    <cellStyle name="40% - Accent3 8 3 4 4" xfId="12028"/>
    <cellStyle name="40% - Accent3 8 3 4 4 2" xfId="29943"/>
    <cellStyle name="40% - Accent3 8 3 4 5" xfId="29936"/>
    <cellStyle name="40% - Accent3 8 3 5" xfId="12029"/>
    <cellStyle name="40% - Accent3 8 3 5 2" xfId="12030"/>
    <cellStyle name="40% - Accent3 8 3 5 2 2" xfId="12031"/>
    <cellStyle name="40% - Accent3 8 3 5 2 2 2" xfId="29946"/>
    <cellStyle name="40% - Accent3 8 3 5 2 3" xfId="29945"/>
    <cellStyle name="40% - Accent3 8 3 5 3" xfId="12032"/>
    <cellStyle name="40% - Accent3 8 3 5 3 2" xfId="29947"/>
    <cellStyle name="40% - Accent3 8 3 5 4" xfId="29944"/>
    <cellStyle name="40% - Accent3 8 3 6" xfId="12033"/>
    <cellStyle name="40% - Accent3 8 3 6 2" xfId="12034"/>
    <cellStyle name="40% - Accent3 8 3 6 2 2" xfId="29949"/>
    <cellStyle name="40% - Accent3 8 3 6 3" xfId="29948"/>
    <cellStyle name="40% - Accent3 8 3 7" xfId="12035"/>
    <cellStyle name="40% - Accent3 8 3 7 2" xfId="29950"/>
    <cellStyle name="40% - Accent3 8 3 8" xfId="29903"/>
    <cellStyle name="40% - Accent3 8 4" xfId="12036"/>
    <cellStyle name="40% - Accent3 8 4 2" xfId="12037"/>
    <cellStyle name="40% - Accent3 8 4 2 2" xfId="12038"/>
    <cellStyle name="40% - Accent3 8 4 2 2 2" xfId="12039"/>
    <cellStyle name="40% - Accent3 8 4 2 2 2 2" xfId="12040"/>
    <cellStyle name="40% - Accent3 8 4 2 2 2 2 2" xfId="29955"/>
    <cellStyle name="40% - Accent3 8 4 2 2 2 3" xfId="29954"/>
    <cellStyle name="40% - Accent3 8 4 2 2 3" xfId="12041"/>
    <cellStyle name="40% - Accent3 8 4 2 2 3 2" xfId="29956"/>
    <cellStyle name="40% - Accent3 8 4 2 2 4" xfId="29953"/>
    <cellStyle name="40% - Accent3 8 4 2 3" xfId="12042"/>
    <cellStyle name="40% - Accent3 8 4 2 3 2" xfId="12043"/>
    <cellStyle name="40% - Accent3 8 4 2 3 2 2" xfId="29958"/>
    <cellStyle name="40% - Accent3 8 4 2 3 3" xfId="29957"/>
    <cellStyle name="40% - Accent3 8 4 2 4" xfId="12044"/>
    <cellStyle name="40% - Accent3 8 4 2 4 2" xfId="29959"/>
    <cellStyle name="40% - Accent3 8 4 2 5" xfId="29952"/>
    <cellStyle name="40% - Accent3 8 4 3" xfId="12045"/>
    <cellStyle name="40% - Accent3 8 4 3 2" xfId="12046"/>
    <cellStyle name="40% - Accent3 8 4 3 2 2" xfId="12047"/>
    <cellStyle name="40% - Accent3 8 4 3 2 2 2" xfId="12048"/>
    <cellStyle name="40% - Accent3 8 4 3 2 2 2 2" xfId="29963"/>
    <cellStyle name="40% - Accent3 8 4 3 2 2 3" xfId="29962"/>
    <cellStyle name="40% - Accent3 8 4 3 2 3" xfId="12049"/>
    <cellStyle name="40% - Accent3 8 4 3 2 3 2" xfId="29964"/>
    <cellStyle name="40% - Accent3 8 4 3 2 4" xfId="29961"/>
    <cellStyle name="40% - Accent3 8 4 3 3" xfId="12050"/>
    <cellStyle name="40% - Accent3 8 4 3 3 2" xfId="12051"/>
    <cellStyle name="40% - Accent3 8 4 3 3 2 2" xfId="29966"/>
    <cellStyle name="40% - Accent3 8 4 3 3 3" xfId="29965"/>
    <cellStyle name="40% - Accent3 8 4 3 4" xfId="12052"/>
    <cellStyle name="40% - Accent3 8 4 3 4 2" xfId="29967"/>
    <cellStyle name="40% - Accent3 8 4 3 5" xfId="29960"/>
    <cellStyle name="40% - Accent3 8 4 4" xfId="12053"/>
    <cellStyle name="40% - Accent3 8 4 4 2" xfId="12054"/>
    <cellStyle name="40% - Accent3 8 4 4 2 2" xfId="12055"/>
    <cellStyle name="40% - Accent3 8 4 4 2 2 2" xfId="29970"/>
    <cellStyle name="40% - Accent3 8 4 4 2 3" xfId="29969"/>
    <cellStyle name="40% - Accent3 8 4 4 3" xfId="12056"/>
    <cellStyle name="40% - Accent3 8 4 4 3 2" xfId="29971"/>
    <cellStyle name="40% - Accent3 8 4 4 4" xfId="29968"/>
    <cellStyle name="40% - Accent3 8 4 5" xfId="12057"/>
    <cellStyle name="40% - Accent3 8 4 5 2" xfId="12058"/>
    <cellStyle name="40% - Accent3 8 4 5 2 2" xfId="29973"/>
    <cellStyle name="40% - Accent3 8 4 5 3" xfId="29972"/>
    <cellStyle name="40% - Accent3 8 4 6" xfId="12059"/>
    <cellStyle name="40% - Accent3 8 4 6 2" xfId="29974"/>
    <cellStyle name="40% - Accent3 8 4 7" xfId="29951"/>
    <cellStyle name="40% - Accent3 8 5" xfId="12060"/>
    <cellStyle name="40% - Accent3 8 5 2" xfId="12061"/>
    <cellStyle name="40% - Accent3 8 5 2 2" xfId="12062"/>
    <cellStyle name="40% - Accent3 8 5 2 2 2" xfId="12063"/>
    <cellStyle name="40% - Accent3 8 5 2 2 2 2" xfId="29978"/>
    <cellStyle name="40% - Accent3 8 5 2 2 3" xfId="29977"/>
    <cellStyle name="40% - Accent3 8 5 2 3" xfId="12064"/>
    <cellStyle name="40% - Accent3 8 5 2 3 2" xfId="29979"/>
    <cellStyle name="40% - Accent3 8 5 2 4" xfId="29976"/>
    <cellStyle name="40% - Accent3 8 5 3" xfId="12065"/>
    <cellStyle name="40% - Accent3 8 5 3 2" xfId="12066"/>
    <cellStyle name="40% - Accent3 8 5 3 2 2" xfId="29981"/>
    <cellStyle name="40% - Accent3 8 5 3 3" xfId="29980"/>
    <cellStyle name="40% - Accent3 8 5 4" xfId="12067"/>
    <cellStyle name="40% - Accent3 8 5 4 2" xfId="29982"/>
    <cellStyle name="40% - Accent3 8 5 5" xfId="29975"/>
    <cellStyle name="40% - Accent3 8 6" xfId="12068"/>
    <cellStyle name="40% - Accent3 8 6 2" xfId="12069"/>
    <cellStyle name="40% - Accent3 8 6 2 2" xfId="12070"/>
    <cellStyle name="40% - Accent3 8 6 2 2 2" xfId="12071"/>
    <cellStyle name="40% - Accent3 8 6 2 2 2 2" xfId="29986"/>
    <cellStyle name="40% - Accent3 8 6 2 2 3" xfId="29985"/>
    <cellStyle name="40% - Accent3 8 6 2 3" xfId="12072"/>
    <cellStyle name="40% - Accent3 8 6 2 3 2" xfId="29987"/>
    <cellStyle name="40% - Accent3 8 6 2 4" xfId="29984"/>
    <cellStyle name="40% - Accent3 8 6 3" xfId="12073"/>
    <cellStyle name="40% - Accent3 8 6 3 2" xfId="12074"/>
    <cellStyle name="40% - Accent3 8 6 3 2 2" xfId="29989"/>
    <cellStyle name="40% - Accent3 8 6 3 3" xfId="29988"/>
    <cellStyle name="40% - Accent3 8 6 4" xfId="12075"/>
    <cellStyle name="40% - Accent3 8 6 4 2" xfId="29990"/>
    <cellStyle name="40% - Accent3 8 6 5" xfId="29983"/>
    <cellStyle name="40% - Accent3 8 7" xfId="12076"/>
    <cellStyle name="40% - Accent3 8 7 2" xfId="12077"/>
    <cellStyle name="40% - Accent3 8 7 2 2" xfId="12078"/>
    <cellStyle name="40% - Accent3 8 7 2 2 2" xfId="29993"/>
    <cellStyle name="40% - Accent3 8 7 2 3" xfId="29992"/>
    <cellStyle name="40% - Accent3 8 7 3" xfId="12079"/>
    <cellStyle name="40% - Accent3 8 7 3 2" xfId="29994"/>
    <cellStyle name="40% - Accent3 8 7 4" xfId="29991"/>
    <cellStyle name="40% - Accent3 8 8" xfId="12080"/>
    <cellStyle name="40% - Accent3 8 8 2" xfId="12081"/>
    <cellStyle name="40% - Accent3 8 8 2 2" xfId="29996"/>
    <cellStyle name="40% - Accent3 8 8 3" xfId="29995"/>
    <cellStyle name="40% - Accent3 8 9" xfId="12082"/>
    <cellStyle name="40% - Accent3 8 9 2" xfId="29997"/>
    <cellStyle name="40% - Accent3 9" xfId="12083"/>
    <cellStyle name="40% - Accent3 9 2" xfId="12084"/>
    <cellStyle name="40% - Accent3 9 2 2" xfId="12085"/>
    <cellStyle name="40% - Accent3 9 2 2 2" xfId="12086"/>
    <cellStyle name="40% - Accent3 9 2 2 2 2" xfId="30001"/>
    <cellStyle name="40% - Accent3 9 2 2 3" xfId="30000"/>
    <cellStyle name="40% - Accent3 9 2 3" xfId="12087"/>
    <cellStyle name="40% - Accent3 9 2 3 2" xfId="30002"/>
    <cellStyle name="40% - Accent3 9 2 4" xfId="29999"/>
    <cellStyle name="40% - Accent3 9 3" xfId="12088"/>
    <cellStyle name="40% - Accent3 9 3 2" xfId="12089"/>
    <cellStyle name="40% - Accent3 9 3 2 2" xfId="30004"/>
    <cellStyle name="40% - Accent3 9 3 3" xfId="30003"/>
    <cellStyle name="40% - Accent3 9 4" xfId="12090"/>
    <cellStyle name="40% - Accent3 9 4 2" xfId="30005"/>
    <cellStyle name="40% - Accent3 9 5" xfId="29998"/>
    <cellStyle name="40% - Accent4" xfId="11" builtinId="43" customBuiltin="1"/>
    <cellStyle name="40% - Accent4 10" xfId="12091"/>
    <cellStyle name="40% - Accent4 10 2" xfId="12092"/>
    <cellStyle name="40% - Accent4 10 2 2" xfId="12093"/>
    <cellStyle name="40% - Accent4 10 2 2 2" xfId="12094"/>
    <cellStyle name="40% - Accent4 10 2 2 2 2" xfId="30009"/>
    <cellStyle name="40% - Accent4 10 2 2 3" xfId="30008"/>
    <cellStyle name="40% - Accent4 10 2 3" xfId="12095"/>
    <cellStyle name="40% - Accent4 10 2 3 2" xfId="30010"/>
    <cellStyle name="40% - Accent4 10 2 4" xfId="30007"/>
    <cellStyle name="40% - Accent4 10 3" xfId="12096"/>
    <cellStyle name="40% - Accent4 10 3 2" xfId="12097"/>
    <cellStyle name="40% - Accent4 10 3 2 2" xfId="30012"/>
    <cellStyle name="40% - Accent4 10 3 3" xfId="30011"/>
    <cellStyle name="40% - Accent4 10 4" xfId="12098"/>
    <cellStyle name="40% - Accent4 10 4 2" xfId="30013"/>
    <cellStyle name="40% - Accent4 10 5" xfId="30006"/>
    <cellStyle name="40% - Accent4 11" xfId="12099"/>
    <cellStyle name="40% - Accent4 11 2" xfId="12100"/>
    <cellStyle name="40% - Accent4 11 2 2" xfId="12101"/>
    <cellStyle name="40% - Accent4 11 2 2 2" xfId="12102"/>
    <cellStyle name="40% - Accent4 11 2 2 2 2" xfId="30017"/>
    <cellStyle name="40% - Accent4 11 2 2 3" xfId="30016"/>
    <cellStyle name="40% - Accent4 11 2 3" xfId="12103"/>
    <cellStyle name="40% - Accent4 11 2 3 2" xfId="30018"/>
    <cellStyle name="40% - Accent4 11 2 4" xfId="30015"/>
    <cellStyle name="40% - Accent4 11 3" xfId="12104"/>
    <cellStyle name="40% - Accent4 11 3 2" xfId="12105"/>
    <cellStyle name="40% - Accent4 11 3 2 2" xfId="30020"/>
    <cellStyle name="40% - Accent4 11 3 3" xfId="30019"/>
    <cellStyle name="40% - Accent4 11 4" xfId="12106"/>
    <cellStyle name="40% - Accent4 11 4 2" xfId="30021"/>
    <cellStyle name="40% - Accent4 11 5" xfId="30014"/>
    <cellStyle name="40% - Accent4 12" xfId="12107"/>
    <cellStyle name="40% - Accent4 12 2" xfId="12108"/>
    <cellStyle name="40% - Accent4 12 2 2" xfId="12109"/>
    <cellStyle name="40% - Accent4 12 2 2 2" xfId="12110"/>
    <cellStyle name="40% - Accent4 12 2 2 2 2" xfId="30025"/>
    <cellStyle name="40% - Accent4 12 2 2 3" xfId="30024"/>
    <cellStyle name="40% - Accent4 12 2 3" xfId="12111"/>
    <cellStyle name="40% - Accent4 12 2 3 2" xfId="30026"/>
    <cellStyle name="40% - Accent4 12 2 4" xfId="30023"/>
    <cellStyle name="40% - Accent4 12 3" xfId="12112"/>
    <cellStyle name="40% - Accent4 12 3 2" xfId="12113"/>
    <cellStyle name="40% - Accent4 12 3 2 2" xfId="30028"/>
    <cellStyle name="40% - Accent4 12 3 3" xfId="30027"/>
    <cellStyle name="40% - Accent4 12 4" xfId="12114"/>
    <cellStyle name="40% - Accent4 12 4 2" xfId="30029"/>
    <cellStyle name="40% - Accent4 12 5" xfId="30022"/>
    <cellStyle name="40% - Accent4 13" xfId="12115"/>
    <cellStyle name="40% - Accent4 14" xfId="12116"/>
    <cellStyle name="40% - Accent4 14 2" xfId="12117"/>
    <cellStyle name="40% - Accent4 14 2 2" xfId="12118"/>
    <cellStyle name="40% - Accent4 14 2 2 2" xfId="30032"/>
    <cellStyle name="40% - Accent4 14 2 3" xfId="30031"/>
    <cellStyle name="40% - Accent4 14 3" xfId="12119"/>
    <cellStyle name="40% - Accent4 14 3 2" xfId="30033"/>
    <cellStyle name="40% - Accent4 14 4" xfId="30030"/>
    <cellStyle name="40% - Accent4 15" xfId="12120"/>
    <cellStyle name="40% - Accent4 15 2" xfId="12121"/>
    <cellStyle name="40% - Accent4 15 2 2" xfId="12122"/>
    <cellStyle name="40% - Accent4 15 2 2 2" xfId="30036"/>
    <cellStyle name="40% - Accent4 15 2 3" xfId="30035"/>
    <cellStyle name="40% - Accent4 15 3" xfId="12123"/>
    <cellStyle name="40% - Accent4 15 3 2" xfId="30037"/>
    <cellStyle name="40% - Accent4 15 4" xfId="30034"/>
    <cellStyle name="40% - Accent4 16" xfId="12124"/>
    <cellStyle name="40% - Accent4 16 2" xfId="12125"/>
    <cellStyle name="40% - Accent4 16 2 2" xfId="12126"/>
    <cellStyle name="40% - Accent4 16 2 2 2" xfId="30040"/>
    <cellStyle name="40% - Accent4 16 2 3" xfId="30039"/>
    <cellStyle name="40% - Accent4 16 3" xfId="12127"/>
    <cellStyle name="40% - Accent4 16 3 2" xfId="30041"/>
    <cellStyle name="40% - Accent4 16 4" xfId="30038"/>
    <cellStyle name="40% - Accent4 17" xfId="12128"/>
    <cellStyle name="40% - Accent4 17 2" xfId="12129"/>
    <cellStyle name="40% - Accent4 17 2 2" xfId="12130"/>
    <cellStyle name="40% - Accent4 17 2 2 2" xfId="30044"/>
    <cellStyle name="40% - Accent4 17 2 3" xfId="30043"/>
    <cellStyle name="40% - Accent4 17 3" xfId="12131"/>
    <cellStyle name="40% - Accent4 17 3 2" xfId="30045"/>
    <cellStyle name="40% - Accent4 17 4" xfId="30042"/>
    <cellStyle name="40% - Accent4 18" xfId="12132"/>
    <cellStyle name="40% - Accent4 18 2" xfId="12133"/>
    <cellStyle name="40% - Accent4 18 2 2" xfId="12134"/>
    <cellStyle name="40% - Accent4 18 2 2 2" xfId="30048"/>
    <cellStyle name="40% - Accent4 18 2 3" xfId="30047"/>
    <cellStyle name="40% - Accent4 18 3" xfId="12135"/>
    <cellStyle name="40% - Accent4 18 3 2" xfId="30049"/>
    <cellStyle name="40% - Accent4 18 4" xfId="30046"/>
    <cellStyle name="40% - Accent4 19" xfId="12136"/>
    <cellStyle name="40% - Accent4 19 2" xfId="12137"/>
    <cellStyle name="40% - Accent4 19 2 2" xfId="12138"/>
    <cellStyle name="40% - Accent4 19 2 2 2" xfId="30052"/>
    <cellStyle name="40% - Accent4 19 2 3" xfId="30051"/>
    <cellStyle name="40% - Accent4 19 3" xfId="12139"/>
    <cellStyle name="40% - Accent4 19 3 2" xfId="30053"/>
    <cellStyle name="40% - Accent4 19 4" xfId="30050"/>
    <cellStyle name="40% - Accent4 2" xfId="245"/>
    <cellStyle name="40% - Accent4 2 2" xfId="12140"/>
    <cellStyle name="40% - Accent4 2 2 2" xfId="12141"/>
    <cellStyle name="40% - Accent4 2 3" xfId="12142"/>
    <cellStyle name="40% - Accent4 2 3 2" xfId="12143"/>
    <cellStyle name="40% - Accent4 2 3 3" xfId="12144"/>
    <cellStyle name="40% - Accent4 2 3 3 2" xfId="12145"/>
    <cellStyle name="40% - Accent4 2 3 3 2 2" xfId="12146"/>
    <cellStyle name="40% - Accent4 2 3 3 2 2 2" xfId="30056"/>
    <cellStyle name="40% - Accent4 2 3 3 2 3" xfId="30055"/>
    <cellStyle name="40% - Accent4 2 3 3 3" xfId="12147"/>
    <cellStyle name="40% - Accent4 2 3 3 3 2" xfId="30057"/>
    <cellStyle name="40% - Accent4 2 3 3 4" xfId="30054"/>
    <cellStyle name="40% - Accent4 2 4" xfId="12148"/>
    <cellStyle name="40% - Accent4 2 5" xfId="12149"/>
    <cellStyle name="40% - Accent4 20" xfId="12150"/>
    <cellStyle name="40% - Accent4 20 2" xfId="12151"/>
    <cellStyle name="40% - Accent4 20 2 2" xfId="12152"/>
    <cellStyle name="40% - Accent4 20 2 2 2" xfId="30060"/>
    <cellStyle name="40% - Accent4 20 2 3" xfId="30059"/>
    <cellStyle name="40% - Accent4 20 3" xfId="12153"/>
    <cellStyle name="40% - Accent4 20 3 2" xfId="30061"/>
    <cellStyle name="40% - Accent4 20 4" xfId="30058"/>
    <cellStyle name="40% - Accent4 21" xfId="12154"/>
    <cellStyle name="40% - Accent4 21 2" xfId="12155"/>
    <cellStyle name="40% - Accent4 21 2 2" xfId="12156"/>
    <cellStyle name="40% - Accent4 21 2 2 2" xfId="30064"/>
    <cellStyle name="40% - Accent4 21 2 3" xfId="30063"/>
    <cellStyle name="40% - Accent4 21 3" xfId="12157"/>
    <cellStyle name="40% - Accent4 21 3 2" xfId="30065"/>
    <cellStyle name="40% - Accent4 21 4" xfId="30062"/>
    <cellStyle name="40% - Accent4 22" xfId="12158"/>
    <cellStyle name="40% - Accent4 23" xfId="12159"/>
    <cellStyle name="40% - Accent4 23 2" xfId="12160"/>
    <cellStyle name="40% - Accent4 23 2 2" xfId="30067"/>
    <cellStyle name="40% - Accent4 23 3" xfId="30066"/>
    <cellStyle name="40% - Accent4 24" xfId="12161"/>
    <cellStyle name="40% - Accent4 25" xfId="12162"/>
    <cellStyle name="40% - Accent4 25 2" xfId="30068"/>
    <cellStyle name="40% - Accent4 26" xfId="12163"/>
    <cellStyle name="40% - Accent4 26 2" xfId="30069"/>
    <cellStyle name="40% - Accent4 27" xfId="12164"/>
    <cellStyle name="40% - Accent4 27 2" xfId="30070"/>
    <cellStyle name="40% - Accent4 28" xfId="12165"/>
    <cellStyle name="40% - Accent4 28 2" xfId="30071"/>
    <cellStyle name="40% - Accent4 29" xfId="12166"/>
    <cellStyle name="40% - Accent4 29 2" xfId="30072"/>
    <cellStyle name="40% - Accent4 3" xfId="663"/>
    <cellStyle name="40% - Accent4 3 2" xfId="12167"/>
    <cellStyle name="40% - Accent4 3 2 2" xfId="12168"/>
    <cellStyle name="40% - Accent4 3 2 2 2" xfId="12169"/>
    <cellStyle name="40% - Accent4 3 2 2 2 2" xfId="12170"/>
    <cellStyle name="40% - Accent4 3 2 2 2 2 2" xfId="12171"/>
    <cellStyle name="40% - Accent4 3 2 2 2 2 2 2" xfId="12172"/>
    <cellStyle name="40% - Accent4 3 2 2 2 2 2 2 2" xfId="12173"/>
    <cellStyle name="40% - Accent4 3 2 2 2 2 2 2 2 2" xfId="30079"/>
    <cellStyle name="40% - Accent4 3 2 2 2 2 2 2 3" xfId="30078"/>
    <cellStyle name="40% - Accent4 3 2 2 2 2 2 3" xfId="12174"/>
    <cellStyle name="40% - Accent4 3 2 2 2 2 2 3 2" xfId="30080"/>
    <cellStyle name="40% - Accent4 3 2 2 2 2 2 4" xfId="30077"/>
    <cellStyle name="40% - Accent4 3 2 2 2 2 3" xfId="12175"/>
    <cellStyle name="40% - Accent4 3 2 2 2 2 3 2" xfId="12176"/>
    <cellStyle name="40% - Accent4 3 2 2 2 2 3 2 2" xfId="30082"/>
    <cellStyle name="40% - Accent4 3 2 2 2 2 3 3" xfId="30081"/>
    <cellStyle name="40% - Accent4 3 2 2 2 2 4" xfId="12177"/>
    <cellStyle name="40% - Accent4 3 2 2 2 2 4 2" xfId="30083"/>
    <cellStyle name="40% - Accent4 3 2 2 2 2 5" xfId="30076"/>
    <cellStyle name="40% - Accent4 3 2 2 2 3" xfId="12178"/>
    <cellStyle name="40% - Accent4 3 2 2 2 3 2" xfId="12179"/>
    <cellStyle name="40% - Accent4 3 2 2 2 3 2 2" xfId="12180"/>
    <cellStyle name="40% - Accent4 3 2 2 2 3 2 2 2" xfId="12181"/>
    <cellStyle name="40% - Accent4 3 2 2 2 3 2 2 2 2" xfId="30087"/>
    <cellStyle name="40% - Accent4 3 2 2 2 3 2 2 3" xfId="30086"/>
    <cellStyle name="40% - Accent4 3 2 2 2 3 2 3" xfId="12182"/>
    <cellStyle name="40% - Accent4 3 2 2 2 3 2 3 2" xfId="30088"/>
    <cellStyle name="40% - Accent4 3 2 2 2 3 2 4" xfId="30085"/>
    <cellStyle name="40% - Accent4 3 2 2 2 3 3" xfId="12183"/>
    <cellStyle name="40% - Accent4 3 2 2 2 3 3 2" xfId="12184"/>
    <cellStyle name="40% - Accent4 3 2 2 2 3 3 2 2" xfId="30090"/>
    <cellStyle name="40% - Accent4 3 2 2 2 3 3 3" xfId="30089"/>
    <cellStyle name="40% - Accent4 3 2 2 2 3 4" xfId="12185"/>
    <cellStyle name="40% - Accent4 3 2 2 2 3 4 2" xfId="30091"/>
    <cellStyle name="40% - Accent4 3 2 2 2 3 5" xfId="30084"/>
    <cellStyle name="40% - Accent4 3 2 2 2 4" xfId="12186"/>
    <cellStyle name="40% - Accent4 3 2 2 2 4 2" xfId="12187"/>
    <cellStyle name="40% - Accent4 3 2 2 2 4 2 2" xfId="12188"/>
    <cellStyle name="40% - Accent4 3 2 2 2 4 2 2 2" xfId="30094"/>
    <cellStyle name="40% - Accent4 3 2 2 2 4 2 3" xfId="30093"/>
    <cellStyle name="40% - Accent4 3 2 2 2 4 3" xfId="12189"/>
    <cellStyle name="40% - Accent4 3 2 2 2 4 3 2" xfId="30095"/>
    <cellStyle name="40% - Accent4 3 2 2 2 4 4" xfId="30092"/>
    <cellStyle name="40% - Accent4 3 2 2 2 5" xfId="12190"/>
    <cellStyle name="40% - Accent4 3 2 2 2 5 2" xfId="12191"/>
    <cellStyle name="40% - Accent4 3 2 2 2 5 2 2" xfId="30097"/>
    <cellStyle name="40% - Accent4 3 2 2 2 5 3" xfId="30096"/>
    <cellStyle name="40% - Accent4 3 2 2 2 6" xfId="12192"/>
    <cellStyle name="40% - Accent4 3 2 2 2 6 2" xfId="30098"/>
    <cellStyle name="40% - Accent4 3 2 2 2 7" xfId="30075"/>
    <cellStyle name="40% - Accent4 3 2 2 3" xfId="12193"/>
    <cellStyle name="40% - Accent4 3 2 2 3 2" xfId="12194"/>
    <cellStyle name="40% - Accent4 3 2 2 3 2 2" xfId="12195"/>
    <cellStyle name="40% - Accent4 3 2 2 3 2 2 2" xfId="12196"/>
    <cellStyle name="40% - Accent4 3 2 2 3 2 2 2 2" xfId="30102"/>
    <cellStyle name="40% - Accent4 3 2 2 3 2 2 3" xfId="30101"/>
    <cellStyle name="40% - Accent4 3 2 2 3 2 3" xfId="12197"/>
    <cellStyle name="40% - Accent4 3 2 2 3 2 3 2" xfId="30103"/>
    <cellStyle name="40% - Accent4 3 2 2 3 2 4" xfId="30100"/>
    <cellStyle name="40% - Accent4 3 2 2 3 3" xfId="12198"/>
    <cellStyle name="40% - Accent4 3 2 2 3 3 2" xfId="12199"/>
    <cellStyle name="40% - Accent4 3 2 2 3 3 2 2" xfId="30105"/>
    <cellStyle name="40% - Accent4 3 2 2 3 3 3" xfId="30104"/>
    <cellStyle name="40% - Accent4 3 2 2 3 4" xfId="12200"/>
    <cellStyle name="40% - Accent4 3 2 2 3 4 2" xfId="30106"/>
    <cellStyle name="40% - Accent4 3 2 2 3 5" xfId="30099"/>
    <cellStyle name="40% - Accent4 3 2 2 4" xfId="12201"/>
    <cellStyle name="40% - Accent4 3 2 2 4 2" xfId="12202"/>
    <cellStyle name="40% - Accent4 3 2 2 4 2 2" xfId="12203"/>
    <cellStyle name="40% - Accent4 3 2 2 4 2 2 2" xfId="12204"/>
    <cellStyle name="40% - Accent4 3 2 2 4 2 2 2 2" xfId="30110"/>
    <cellStyle name="40% - Accent4 3 2 2 4 2 2 3" xfId="30109"/>
    <cellStyle name="40% - Accent4 3 2 2 4 2 3" xfId="12205"/>
    <cellStyle name="40% - Accent4 3 2 2 4 2 3 2" xfId="30111"/>
    <cellStyle name="40% - Accent4 3 2 2 4 2 4" xfId="30108"/>
    <cellStyle name="40% - Accent4 3 2 2 4 3" xfId="12206"/>
    <cellStyle name="40% - Accent4 3 2 2 4 3 2" xfId="12207"/>
    <cellStyle name="40% - Accent4 3 2 2 4 3 2 2" xfId="30113"/>
    <cellStyle name="40% - Accent4 3 2 2 4 3 3" xfId="30112"/>
    <cellStyle name="40% - Accent4 3 2 2 4 4" xfId="12208"/>
    <cellStyle name="40% - Accent4 3 2 2 4 4 2" xfId="30114"/>
    <cellStyle name="40% - Accent4 3 2 2 4 5" xfId="30107"/>
    <cellStyle name="40% - Accent4 3 2 2 5" xfId="12209"/>
    <cellStyle name="40% - Accent4 3 2 2 5 2" xfId="12210"/>
    <cellStyle name="40% - Accent4 3 2 2 5 2 2" xfId="12211"/>
    <cellStyle name="40% - Accent4 3 2 2 5 2 2 2" xfId="30117"/>
    <cellStyle name="40% - Accent4 3 2 2 5 2 3" xfId="30116"/>
    <cellStyle name="40% - Accent4 3 2 2 5 3" xfId="12212"/>
    <cellStyle name="40% - Accent4 3 2 2 5 3 2" xfId="30118"/>
    <cellStyle name="40% - Accent4 3 2 2 5 4" xfId="30115"/>
    <cellStyle name="40% - Accent4 3 2 2 6" xfId="12213"/>
    <cellStyle name="40% - Accent4 3 2 2 6 2" xfId="12214"/>
    <cellStyle name="40% - Accent4 3 2 2 6 2 2" xfId="30120"/>
    <cellStyle name="40% - Accent4 3 2 2 6 3" xfId="30119"/>
    <cellStyle name="40% - Accent4 3 2 2 7" xfId="12215"/>
    <cellStyle name="40% - Accent4 3 2 2 7 2" xfId="30121"/>
    <cellStyle name="40% - Accent4 3 2 2 8" xfId="30074"/>
    <cellStyle name="40% - Accent4 3 2 3" xfId="12216"/>
    <cellStyle name="40% - Accent4 3 2 3 2" xfId="12217"/>
    <cellStyle name="40% - Accent4 3 2 3 2 2" xfId="12218"/>
    <cellStyle name="40% - Accent4 3 2 3 2 2 2" xfId="12219"/>
    <cellStyle name="40% - Accent4 3 2 3 2 2 2 2" xfId="12220"/>
    <cellStyle name="40% - Accent4 3 2 3 2 2 2 2 2" xfId="30126"/>
    <cellStyle name="40% - Accent4 3 2 3 2 2 2 3" xfId="30125"/>
    <cellStyle name="40% - Accent4 3 2 3 2 2 3" xfId="12221"/>
    <cellStyle name="40% - Accent4 3 2 3 2 2 3 2" xfId="30127"/>
    <cellStyle name="40% - Accent4 3 2 3 2 2 4" xfId="30124"/>
    <cellStyle name="40% - Accent4 3 2 3 2 3" xfId="12222"/>
    <cellStyle name="40% - Accent4 3 2 3 2 3 2" xfId="12223"/>
    <cellStyle name="40% - Accent4 3 2 3 2 3 2 2" xfId="30129"/>
    <cellStyle name="40% - Accent4 3 2 3 2 3 3" xfId="30128"/>
    <cellStyle name="40% - Accent4 3 2 3 2 4" xfId="12224"/>
    <cellStyle name="40% - Accent4 3 2 3 2 4 2" xfId="30130"/>
    <cellStyle name="40% - Accent4 3 2 3 2 5" xfId="30123"/>
    <cellStyle name="40% - Accent4 3 2 3 3" xfId="12225"/>
    <cellStyle name="40% - Accent4 3 2 3 3 2" xfId="12226"/>
    <cellStyle name="40% - Accent4 3 2 3 3 2 2" xfId="12227"/>
    <cellStyle name="40% - Accent4 3 2 3 3 2 2 2" xfId="12228"/>
    <cellStyle name="40% - Accent4 3 2 3 3 2 2 2 2" xfId="30134"/>
    <cellStyle name="40% - Accent4 3 2 3 3 2 2 3" xfId="30133"/>
    <cellStyle name="40% - Accent4 3 2 3 3 2 3" xfId="12229"/>
    <cellStyle name="40% - Accent4 3 2 3 3 2 3 2" xfId="30135"/>
    <cellStyle name="40% - Accent4 3 2 3 3 2 4" xfId="30132"/>
    <cellStyle name="40% - Accent4 3 2 3 3 3" xfId="12230"/>
    <cellStyle name="40% - Accent4 3 2 3 3 3 2" xfId="12231"/>
    <cellStyle name="40% - Accent4 3 2 3 3 3 2 2" xfId="30137"/>
    <cellStyle name="40% - Accent4 3 2 3 3 3 3" xfId="30136"/>
    <cellStyle name="40% - Accent4 3 2 3 3 4" xfId="12232"/>
    <cellStyle name="40% - Accent4 3 2 3 3 4 2" xfId="30138"/>
    <cellStyle name="40% - Accent4 3 2 3 3 5" xfId="30131"/>
    <cellStyle name="40% - Accent4 3 2 3 4" xfId="12233"/>
    <cellStyle name="40% - Accent4 3 2 3 4 2" xfId="12234"/>
    <cellStyle name="40% - Accent4 3 2 3 4 2 2" xfId="12235"/>
    <cellStyle name="40% - Accent4 3 2 3 4 2 2 2" xfId="30141"/>
    <cellStyle name="40% - Accent4 3 2 3 4 2 3" xfId="30140"/>
    <cellStyle name="40% - Accent4 3 2 3 4 3" xfId="12236"/>
    <cellStyle name="40% - Accent4 3 2 3 4 3 2" xfId="30142"/>
    <cellStyle name="40% - Accent4 3 2 3 4 4" xfId="30139"/>
    <cellStyle name="40% - Accent4 3 2 3 5" xfId="12237"/>
    <cellStyle name="40% - Accent4 3 2 3 5 2" xfId="12238"/>
    <cellStyle name="40% - Accent4 3 2 3 5 2 2" xfId="30144"/>
    <cellStyle name="40% - Accent4 3 2 3 5 3" xfId="30143"/>
    <cellStyle name="40% - Accent4 3 2 3 6" xfId="12239"/>
    <cellStyle name="40% - Accent4 3 2 3 6 2" xfId="30145"/>
    <cellStyle name="40% - Accent4 3 2 3 7" xfId="30122"/>
    <cellStyle name="40% - Accent4 3 2 4" xfId="12240"/>
    <cellStyle name="40% - Accent4 3 2 4 2" xfId="12241"/>
    <cellStyle name="40% - Accent4 3 2 4 2 2" xfId="12242"/>
    <cellStyle name="40% - Accent4 3 2 4 2 2 2" xfId="12243"/>
    <cellStyle name="40% - Accent4 3 2 4 2 2 2 2" xfId="30149"/>
    <cellStyle name="40% - Accent4 3 2 4 2 2 3" xfId="30148"/>
    <cellStyle name="40% - Accent4 3 2 4 2 3" xfId="12244"/>
    <cellStyle name="40% - Accent4 3 2 4 2 3 2" xfId="30150"/>
    <cellStyle name="40% - Accent4 3 2 4 2 4" xfId="30147"/>
    <cellStyle name="40% - Accent4 3 2 4 3" xfId="12245"/>
    <cellStyle name="40% - Accent4 3 2 4 3 2" xfId="12246"/>
    <cellStyle name="40% - Accent4 3 2 4 3 2 2" xfId="30152"/>
    <cellStyle name="40% - Accent4 3 2 4 3 3" xfId="30151"/>
    <cellStyle name="40% - Accent4 3 2 4 4" xfId="12247"/>
    <cellStyle name="40% - Accent4 3 2 4 4 2" xfId="30153"/>
    <cellStyle name="40% - Accent4 3 2 4 5" xfId="30146"/>
    <cellStyle name="40% - Accent4 3 2 5" xfId="12248"/>
    <cellStyle name="40% - Accent4 3 2 5 2" xfId="12249"/>
    <cellStyle name="40% - Accent4 3 2 5 2 2" xfId="12250"/>
    <cellStyle name="40% - Accent4 3 2 5 2 2 2" xfId="12251"/>
    <cellStyle name="40% - Accent4 3 2 5 2 2 2 2" xfId="30157"/>
    <cellStyle name="40% - Accent4 3 2 5 2 2 3" xfId="30156"/>
    <cellStyle name="40% - Accent4 3 2 5 2 3" xfId="12252"/>
    <cellStyle name="40% - Accent4 3 2 5 2 3 2" xfId="30158"/>
    <cellStyle name="40% - Accent4 3 2 5 2 4" xfId="30155"/>
    <cellStyle name="40% - Accent4 3 2 5 3" xfId="12253"/>
    <cellStyle name="40% - Accent4 3 2 5 3 2" xfId="12254"/>
    <cellStyle name="40% - Accent4 3 2 5 3 2 2" xfId="30160"/>
    <cellStyle name="40% - Accent4 3 2 5 3 3" xfId="30159"/>
    <cellStyle name="40% - Accent4 3 2 5 4" xfId="12255"/>
    <cellStyle name="40% - Accent4 3 2 5 4 2" xfId="30161"/>
    <cellStyle name="40% - Accent4 3 2 5 5" xfId="30154"/>
    <cellStyle name="40% - Accent4 3 2 6" xfId="12256"/>
    <cellStyle name="40% - Accent4 3 2 6 2" xfId="12257"/>
    <cellStyle name="40% - Accent4 3 2 6 2 2" xfId="12258"/>
    <cellStyle name="40% - Accent4 3 2 6 2 2 2" xfId="30164"/>
    <cellStyle name="40% - Accent4 3 2 6 2 3" xfId="30163"/>
    <cellStyle name="40% - Accent4 3 2 6 3" xfId="12259"/>
    <cellStyle name="40% - Accent4 3 2 6 3 2" xfId="30165"/>
    <cellStyle name="40% - Accent4 3 2 6 4" xfId="30162"/>
    <cellStyle name="40% - Accent4 3 2 7" xfId="12260"/>
    <cellStyle name="40% - Accent4 3 2 7 2" xfId="12261"/>
    <cellStyle name="40% - Accent4 3 2 7 2 2" xfId="30167"/>
    <cellStyle name="40% - Accent4 3 2 7 3" xfId="30166"/>
    <cellStyle name="40% - Accent4 3 2 8" xfId="12262"/>
    <cellStyle name="40% - Accent4 3 2 8 2" xfId="30168"/>
    <cellStyle name="40% - Accent4 3 2 9" xfId="30073"/>
    <cellStyle name="40% - Accent4 3 3" xfId="12263"/>
    <cellStyle name="40% - Accent4 3 3 2" xfId="12264"/>
    <cellStyle name="40% - Accent4 3 3 2 2" xfId="12265"/>
    <cellStyle name="40% - Accent4 3 3 2 2 2" xfId="12266"/>
    <cellStyle name="40% - Accent4 3 3 2 2 2 2" xfId="12267"/>
    <cellStyle name="40% - Accent4 3 3 2 2 2 2 2" xfId="12268"/>
    <cellStyle name="40% - Accent4 3 3 2 2 2 2 2 2" xfId="30174"/>
    <cellStyle name="40% - Accent4 3 3 2 2 2 2 3" xfId="30173"/>
    <cellStyle name="40% - Accent4 3 3 2 2 2 3" xfId="12269"/>
    <cellStyle name="40% - Accent4 3 3 2 2 2 3 2" xfId="30175"/>
    <cellStyle name="40% - Accent4 3 3 2 2 2 4" xfId="30172"/>
    <cellStyle name="40% - Accent4 3 3 2 2 3" xfId="12270"/>
    <cellStyle name="40% - Accent4 3 3 2 2 3 2" xfId="12271"/>
    <cellStyle name="40% - Accent4 3 3 2 2 3 2 2" xfId="30177"/>
    <cellStyle name="40% - Accent4 3 3 2 2 3 3" xfId="30176"/>
    <cellStyle name="40% - Accent4 3 3 2 2 4" xfId="12272"/>
    <cellStyle name="40% - Accent4 3 3 2 2 4 2" xfId="30178"/>
    <cellStyle name="40% - Accent4 3 3 2 2 5" xfId="30171"/>
    <cellStyle name="40% - Accent4 3 3 2 3" xfId="12273"/>
    <cellStyle name="40% - Accent4 3 3 2 3 2" xfId="12274"/>
    <cellStyle name="40% - Accent4 3 3 2 3 2 2" xfId="12275"/>
    <cellStyle name="40% - Accent4 3 3 2 3 2 2 2" xfId="12276"/>
    <cellStyle name="40% - Accent4 3 3 2 3 2 2 2 2" xfId="30182"/>
    <cellStyle name="40% - Accent4 3 3 2 3 2 2 3" xfId="30181"/>
    <cellStyle name="40% - Accent4 3 3 2 3 2 3" xfId="12277"/>
    <cellStyle name="40% - Accent4 3 3 2 3 2 3 2" xfId="30183"/>
    <cellStyle name="40% - Accent4 3 3 2 3 2 4" xfId="30180"/>
    <cellStyle name="40% - Accent4 3 3 2 3 3" xfId="12278"/>
    <cellStyle name="40% - Accent4 3 3 2 3 3 2" xfId="12279"/>
    <cellStyle name="40% - Accent4 3 3 2 3 3 2 2" xfId="30185"/>
    <cellStyle name="40% - Accent4 3 3 2 3 3 3" xfId="30184"/>
    <cellStyle name="40% - Accent4 3 3 2 3 4" xfId="12280"/>
    <cellStyle name="40% - Accent4 3 3 2 3 4 2" xfId="30186"/>
    <cellStyle name="40% - Accent4 3 3 2 3 5" xfId="30179"/>
    <cellStyle name="40% - Accent4 3 3 2 4" xfId="12281"/>
    <cellStyle name="40% - Accent4 3 3 2 4 2" xfId="12282"/>
    <cellStyle name="40% - Accent4 3 3 2 4 2 2" xfId="12283"/>
    <cellStyle name="40% - Accent4 3 3 2 4 2 2 2" xfId="30189"/>
    <cellStyle name="40% - Accent4 3 3 2 4 2 3" xfId="30188"/>
    <cellStyle name="40% - Accent4 3 3 2 4 3" xfId="12284"/>
    <cellStyle name="40% - Accent4 3 3 2 4 3 2" xfId="30190"/>
    <cellStyle name="40% - Accent4 3 3 2 4 4" xfId="30187"/>
    <cellStyle name="40% - Accent4 3 3 2 5" xfId="12285"/>
    <cellStyle name="40% - Accent4 3 3 2 5 2" xfId="12286"/>
    <cellStyle name="40% - Accent4 3 3 2 5 2 2" xfId="30192"/>
    <cellStyle name="40% - Accent4 3 3 2 5 3" xfId="30191"/>
    <cellStyle name="40% - Accent4 3 3 2 6" xfId="12287"/>
    <cellStyle name="40% - Accent4 3 3 2 6 2" xfId="30193"/>
    <cellStyle name="40% - Accent4 3 3 2 7" xfId="30170"/>
    <cellStyle name="40% - Accent4 3 3 3" xfId="12288"/>
    <cellStyle name="40% - Accent4 3 3 3 2" xfId="12289"/>
    <cellStyle name="40% - Accent4 3 3 3 2 2" xfId="12290"/>
    <cellStyle name="40% - Accent4 3 3 3 2 2 2" xfId="12291"/>
    <cellStyle name="40% - Accent4 3 3 3 2 2 2 2" xfId="30197"/>
    <cellStyle name="40% - Accent4 3 3 3 2 2 3" xfId="30196"/>
    <cellStyle name="40% - Accent4 3 3 3 2 3" xfId="12292"/>
    <cellStyle name="40% - Accent4 3 3 3 2 3 2" xfId="30198"/>
    <cellStyle name="40% - Accent4 3 3 3 2 4" xfId="30195"/>
    <cellStyle name="40% - Accent4 3 3 3 3" xfId="12293"/>
    <cellStyle name="40% - Accent4 3 3 3 3 2" xfId="12294"/>
    <cellStyle name="40% - Accent4 3 3 3 3 2 2" xfId="30200"/>
    <cellStyle name="40% - Accent4 3 3 3 3 3" xfId="30199"/>
    <cellStyle name="40% - Accent4 3 3 3 4" xfId="12295"/>
    <cellStyle name="40% - Accent4 3 3 3 4 2" xfId="30201"/>
    <cellStyle name="40% - Accent4 3 3 3 5" xfId="30194"/>
    <cellStyle name="40% - Accent4 3 3 4" xfId="12296"/>
    <cellStyle name="40% - Accent4 3 3 4 2" xfId="12297"/>
    <cellStyle name="40% - Accent4 3 3 4 2 2" xfId="12298"/>
    <cellStyle name="40% - Accent4 3 3 4 2 2 2" xfId="12299"/>
    <cellStyle name="40% - Accent4 3 3 4 2 2 2 2" xfId="30205"/>
    <cellStyle name="40% - Accent4 3 3 4 2 2 3" xfId="30204"/>
    <cellStyle name="40% - Accent4 3 3 4 2 3" xfId="12300"/>
    <cellStyle name="40% - Accent4 3 3 4 2 3 2" xfId="30206"/>
    <cellStyle name="40% - Accent4 3 3 4 2 4" xfId="30203"/>
    <cellStyle name="40% - Accent4 3 3 4 3" xfId="12301"/>
    <cellStyle name="40% - Accent4 3 3 4 3 2" xfId="12302"/>
    <cellStyle name="40% - Accent4 3 3 4 3 2 2" xfId="30208"/>
    <cellStyle name="40% - Accent4 3 3 4 3 3" xfId="30207"/>
    <cellStyle name="40% - Accent4 3 3 4 4" xfId="12303"/>
    <cellStyle name="40% - Accent4 3 3 4 4 2" xfId="30209"/>
    <cellStyle name="40% - Accent4 3 3 4 5" xfId="30202"/>
    <cellStyle name="40% - Accent4 3 3 5" xfId="12304"/>
    <cellStyle name="40% - Accent4 3 3 5 2" xfId="12305"/>
    <cellStyle name="40% - Accent4 3 3 5 2 2" xfId="12306"/>
    <cellStyle name="40% - Accent4 3 3 5 2 2 2" xfId="30212"/>
    <cellStyle name="40% - Accent4 3 3 5 2 3" xfId="30211"/>
    <cellStyle name="40% - Accent4 3 3 5 3" xfId="12307"/>
    <cellStyle name="40% - Accent4 3 3 5 3 2" xfId="30213"/>
    <cellStyle name="40% - Accent4 3 3 5 4" xfId="30210"/>
    <cellStyle name="40% - Accent4 3 3 6" xfId="12308"/>
    <cellStyle name="40% - Accent4 3 3 6 2" xfId="12309"/>
    <cellStyle name="40% - Accent4 3 3 6 2 2" xfId="30215"/>
    <cellStyle name="40% - Accent4 3 3 6 3" xfId="30214"/>
    <cellStyle name="40% - Accent4 3 3 7" xfId="12310"/>
    <cellStyle name="40% - Accent4 3 3 7 2" xfId="30216"/>
    <cellStyle name="40% - Accent4 3 3 8" xfId="30169"/>
    <cellStyle name="40% - Accent4 3 4" xfId="12311"/>
    <cellStyle name="40% - Accent4 3 4 2" xfId="12312"/>
    <cellStyle name="40% - Accent4 3 4 2 2" xfId="12313"/>
    <cellStyle name="40% - Accent4 3 4 2 2 2" xfId="12314"/>
    <cellStyle name="40% - Accent4 3 4 2 2 2 2" xfId="12315"/>
    <cellStyle name="40% - Accent4 3 4 2 2 2 2 2" xfId="30221"/>
    <cellStyle name="40% - Accent4 3 4 2 2 2 3" xfId="30220"/>
    <cellStyle name="40% - Accent4 3 4 2 2 3" xfId="12316"/>
    <cellStyle name="40% - Accent4 3 4 2 2 3 2" xfId="30222"/>
    <cellStyle name="40% - Accent4 3 4 2 2 4" xfId="30219"/>
    <cellStyle name="40% - Accent4 3 4 2 3" xfId="12317"/>
    <cellStyle name="40% - Accent4 3 4 2 3 2" xfId="12318"/>
    <cellStyle name="40% - Accent4 3 4 2 3 2 2" xfId="30224"/>
    <cellStyle name="40% - Accent4 3 4 2 3 3" xfId="30223"/>
    <cellStyle name="40% - Accent4 3 4 2 4" xfId="12319"/>
    <cellStyle name="40% - Accent4 3 4 2 4 2" xfId="30225"/>
    <cellStyle name="40% - Accent4 3 4 2 5" xfId="30218"/>
    <cellStyle name="40% - Accent4 3 4 3" xfId="12320"/>
    <cellStyle name="40% - Accent4 3 4 3 2" xfId="12321"/>
    <cellStyle name="40% - Accent4 3 4 3 2 2" xfId="12322"/>
    <cellStyle name="40% - Accent4 3 4 3 2 2 2" xfId="12323"/>
    <cellStyle name="40% - Accent4 3 4 3 2 2 2 2" xfId="30229"/>
    <cellStyle name="40% - Accent4 3 4 3 2 2 3" xfId="30228"/>
    <cellStyle name="40% - Accent4 3 4 3 2 3" xfId="12324"/>
    <cellStyle name="40% - Accent4 3 4 3 2 3 2" xfId="30230"/>
    <cellStyle name="40% - Accent4 3 4 3 2 4" xfId="30227"/>
    <cellStyle name="40% - Accent4 3 4 3 3" xfId="12325"/>
    <cellStyle name="40% - Accent4 3 4 3 3 2" xfId="12326"/>
    <cellStyle name="40% - Accent4 3 4 3 3 2 2" xfId="30232"/>
    <cellStyle name="40% - Accent4 3 4 3 3 3" xfId="30231"/>
    <cellStyle name="40% - Accent4 3 4 3 4" xfId="12327"/>
    <cellStyle name="40% - Accent4 3 4 3 4 2" xfId="30233"/>
    <cellStyle name="40% - Accent4 3 4 3 5" xfId="30226"/>
    <cellStyle name="40% - Accent4 3 4 4" xfId="12328"/>
    <cellStyle name="40% - Accent4 3 4 4 2" xfId="12329"/>
    <cellStyle name="40% - Accent4 3 4 4 2 2" xfId="12330"/>
    <cellStyle name="40% - Accent4 3 4 4 2 2 2" xfId="30236"/>
    <cellStyle name="40% - Accent4 3 4 4 2 3" xfId="30235"/>
    <cellStyle name="40% - Accent4 3 4 4 3" xfId="12331"/>
    <cellStyle name="40% - Accent4 3 4 4 3 2" xfId="30237"/>
    <cellStyle name="40% - Accent4 3 4 4 4" xfId="30234"/>
    <cellStyle name="40% - Accent4 3 4 5" xfId="12332"/>
    <cellStyle name="40% - Accent4 3 4 5 2" xfId="12333"/>
    <cellStyle name="40% - Accent4 3 4 5 2 2" xfId="30239"/>
    <cellStyle name="40% - Accent4 3 4 5 3" xfId="30238"/>
    <cellStyle name="40% - Accent4 3 4 6" xfId="12334"/>
    <cellStyle name="40% - Accent4 3 4 6 2" xfId="30240"/>
    <cellStyle name="40% - Accent4 3 4 7" xfId="30217"/>
    <cellStyle name="40% - Accent4 3 5" xfId="12335"/>
    <cellStyle name="40% - Accent4 3 5 2" xfId="12336"/>
    <cellStyle name="40% - Accent4 3 5 2 2" xfId="12337"/>
    <cellStyle name="40% - Accent4 3 5 2 2 2" xfId="12338"/>
    <cellStyle name="40% - Accent4 3 5 2 2 2 2" xfId="30244"/>
    <cellStyle name="40% - Accent4 3 5 2 2 3" xfId="30243"/>
    <cellStyle name="40% - Accent4 3 5 2 3" xfId="12339"/>
    <cellStyle name="40% - Accent4 3 5 2 3 2" xfId="30245"/>
    <cellStyle name="40% - Accent4 3 5 2 4" xfId="30242"/>
    <cellStyle name="40% - Accent4 3 5 3" xfId="12340"/>
    <cellStyle name="40% - Accent4 3 5 3 2" xfId="12341"/>
    <cellStyle name="40% - Accent4 3 5 3 2 2" xfId="30247"/>
    <cellStyle name="40% - Accent4 3 5 3 3" xfId="30246"/>
    <cellStyle name="40% - Accent4 3 5 4" xfId="12342"/>
    <cellStyle name="40% - Accent4 3 5 4 2" xfId="30248"/>
    <cellStyle name="40% - Accent4 3 5 5" xfId="30241"/>
    <cellStyle name="40% - Accent4 3 6" xfId="12343"/>
    <cellStyle name="40% - Accent4 3 6 2" xfId="12344"/>
    <cellStyle name="40% - Accent4 3 6 2 2" xfId="12345"/>
    <cellStyle name="40% - Accent4 3 6 2 2 2" xfId="12346"/>
    <cellStyle name="40% - Accent4 3 6 2 2 2 2" xfId="30252"/>
    <cellStyle name="40% - Accent4 3 6 2 2 3" xfId="30251"/>
    <cellStyle name="40% - Accent4 3 6 2 3" xfId="12347"/>
    <cellStyle name="40% - Accent4 3 6 2 3 2" xfId="30253"/>
    <cellStyle name="40% - Accent4 3 6 2 4" xfId="30250"/>
    <cellStyle name="40% - Accent4 3 6 3" xfId="12348"/>
    <cellStyle name="40% - Accent4 3 6 3 2" xfId="12349"/>
    <cellStyle name="40% - Accent4 3 6 3 2 2" xfId="30255"/>
    <cellStyle name="40% - Accent4 3 6 3 3" xfId="30254"/>
    <cellStyle name="40% - Accent4 3 6 4" xfId="12350"/>
    <cellStyle name="40% - Accent4 3 6 4 2" xfId="30256"/>
    <cellStyle name="40% - Accent4 3 6 5" xfId="30249"/>
    <cellStyle name="40% - Accent4 3 7" xfId="12351"/>
    <cellStyle name="40% - Accent4 3 7 2" xfId="12352"/>
    <cellStyle name="40% - Accent4 3 7 2 2" xfId="12353"/>
    <cellStyle name="40% - Accent4 3 7 2 2 2" xfId="30259"/>
    <cellStyle name="40% - Accent4 3 7 2 3" xfId="30258"/>
    <cellStyle name="40% - Accent4 3 7 3" xfId="12354"/>
    <cellStyle name="40% - Accent4 3 7 3 2" xfId="30260"/>
    <cellStyle name="40% - Accent4 3 7 4" xfId="30257"/>
    <cellStyle name="40% - Accent4 3 8" xfId="12355"/>
    <cellStyle name="40% - Accent4 3 8 2" xfId="12356"/>
    <cellStyle name="40% - Accent4 3 8 2 2" xfId="30262"/>
    <cellStyle name="40% - Accent4 3 8 3" xfId="30261"/>
    <cellStyle name="40% - Accent4 3 9" xfId="12357"/>
    <cellStyle name="40% - Accent4 3 9 2" xfId="30263"/>
    <cellStyle name="40% - Accent4 30" xfId="12358"/>
    <cellStyle name="40% - Accent4 30 2" xfId="30264"/>
    <cellStyle name="40% - Accent4 31" xfId="12359"/>
    <cellStyle name="40% - Accent4 31 2" xfId="30265"/>
    <cellStyle name="40% - Accent4 32" xfId="12360"/>
    <cellStyle name="40% - Accent4 4" xfId="12361"/>
    <cellStyle name="40% - Accent4 4 10" xfId="30266"/>
    <cellStyle name="40% - Accent4 4 2" xfId="12362"/>
    <cellStyle name="40% - Accent4 4 2 2" xfId="12363"/>
    <cellStyle name="40% - Accent4 4 2 2 2" xfId="12364"/>
    <cellStyle name="40% - Accent4 4 2 2 2 2" xfId="12365"/>
    <cellStyle name="40% - Accent4 4 2 2 2 2 2" xfId="12366"/>
    <cellStyle name="40% - Accent4 4 2 2 2 2 2 2" xfId="12367"/>
    <cellStyle name="40% - Accent4 4 2 2 2 2 2 2 2" xfId="12368"/>
    <cellStyle name="40% - Accent4 4 2 2 2 2 2 2 2 2" xfId="30273"/>
    <cellStyle name="40% - Accent4 4 2 2 2 2 2 2 3" xfId="30272"/>
    <cellStyle name="40% - Accent4 4 2 2 2 2 2 3" xfId="12369"/>
    <cellStyle name="40% - Accent4 4 2 2 2 2 2 3 2" xfId="30274"/>
    <cellStyle name="40% - Accent4 4 2 2 2 2 2 4" xfId="30271"/>
    <cellStyle name="40% - Accent4 4 2 2 2 2 3" xfId="12370"/>
    <cellStyle name="40% - Accent4 4 2 2 2 2 3 2" xfId="12371"/>
    <cellStyle name="40% - Accent4 4 2 2 2 2 3 2 2" xfId="30276"/>
    <cellStyle name="40% - Accent4 4 2 2 2 2 3 3" xfId="30275"/>
    <cellStyle name="40% - Accent4 4 2 2 2 2 4" xfId="12372"/>
    <cellStyle name="40% - Accent4 4 2 2 2 2 4 2" xfId="30277"/>
    <cellStyle name="40% - Accent4 4 2 2 2 2 5" xfId="30270"/>
    <cellStyle name="40% - Accent4 4 2 2 2 3" xfId="12373"/>
    <cellStyle name="40% - Accent4 4 2 2 2 3 2" xfId="12374"/>
    <cellStyle name="40% - Accent4 4 2 2 2 3 2 2" xfId="12375"/>
    <cellStyle name="40% - Accent4 4 2 2 2 3 2 2 2" xfId="12376"/>
    <cellStyle name="40% - Accent4 4 2 2 2 3 2 2 2 2" xfId="30281"/>
    <cellStyle name="40% - Accent4 4 2 2 2 3 2 2 3" xfId="30280"/>
    <cellStyle name="40% - Accent4 4 2 2 2 3 2 3" xfId="12377"/>
    <cellStyle name="40% - Accent4 4 2 2 2 3 2 3 2" xfId="30282"/>
    <cellStyle name="40% - Accent4 4 2 2 2 3 2 4" xfId="30279"/>
    <cellStyle name="40% - Accent4 4 2 2 2 3 3" xfId="12378"/>
    <cellStyle name="40% - Accent4 4 2 2 2 3 3 2" xfId="12379"/>
    <cellStyle name="40% - Accent4 4 2 2 2 3 3 2 2" xfId="30284"/>
    <cellStyle name="40% - Accent4 4 2 2 2 3 3 3" xfId="30283"/>
    <cellStyle name="40% - Accent4 4 2 2 2 3 4" xfId="12380"/>
    <cellStyle name="40% - Accent4 4 2 2 2 3 4 2" xfId="30285"/>
    <cellStyle name="40% - Accent4 4 2 2 2 3 5" xfId="30278"/>
    <cellStyle name="40% - Accent4 4 2 2 2 4" xfId="12381"/>
    <cellStyle name="40% - Accent4 4 2 2 2 4 2" xfId="12382"/>
    <cellStyle name="40% - Accent4 4 2 2 2 4 2 2" xfId="12383"/>
    <cellStyle name="40% - Accent4 4 2 2 2 4 2 2 2" xfId="30288"/>
    <cellStyle name="40% - Accent4 4 2 2 2 4 2 3" xfId="30287"/>
    <cellStyle name="40% - Accent4 4 2 2 2 4 3" xfId="12384"/>
    <cellStyle name="40% - Accent4 4 2 2 2 4 3 2" xfId="30289"/>
    <cellStyle name="40% - Accent4 4 2 2 2 4 4" xfId="30286"/>
    <cellStyle name="40% - Accent4 4 2 2 2 5" xfId="12385"/>
    <cellStyle name="40% - Accent4 4 2 2 2 5 2" xfId="12386"/>
    <cellStyle name="40% - Accent4 4 2 2 2 5 2 2" xfId="30291"/>
    <cellStyle name="40% - Accent4 4 2 2 2 5 3" xfId="30290"/>
    <cellStyle name="40% - Accent4 4 2 2 2 6" xfId="12387"/>
    <cellStyle name="40% - Accent4 4 2 2 2 6 2" xfId="30292"/>
    <cellStyle name="40% - Accent4 4 2 2 2 7" xfId="30269"/>
    <cellStyle name="40% - Accent4 4 2 2 3" xfId="12388"/>
    <cellStyle name="40% - Accent4 4 2 2 3 2" xfId="12389"/>
    <cellStyle name="40% - Accent4 4 2 2 3 2 2" xfId="12390"/>
    <cellStyle name="40% - Accent4 4 2 2 3 2 2 2" xfId="12391"/>
    <cellStyle name="40% - Accent4 4 2 2 3 2 2 2 2" xfId="30296"/>
    <cellStyle name="40% - Accent4 4 2 2 3 2 2 3" xfId="30295"/>
    <cellStyle name="40% - Accent4 4 2 2 3 2 3" xfId="12392"/>
    <cellStyle name="40% - Accent4 4 2 2 3 2 3 2" xfId="30297"/>
    <cellStyle name="40% - Accent4 4 2 2 3 2 4" xfId="30294"/>
    <cellStyle name="40% - Accent4 4 2 2 3 3" xfId="12393"/>
    <cellStyle name="40% - Accent4 4 2 2 3 3 2" xfId="12394"/>
    <cellStyle name="40% - Accent4 4 2 2 3 3 2 2" xfId="30299"/>
    <cellStyle name="40% - Accent4 4 2 2 3 3 3" xfId="30298"/>
    <cellStyle name="40% - Accent4 4 2 2 3 4" xfId="12395"/>
    <cellStyle name="40% - Accent4 4 2 2 3 4 2" xfId="30300"/>
    <cellStyle name="40% - Accent4 4 2 2 3 5" xfId="30293"/>
    <cellStyle name="40% - Accent4 4 2 2 4" xfId="12396"/>
    <cellStyle name="40% - Accent4 4 2 2 4 2" xfId="12397"/>
    <cellStyle name="40% - Accent4 4 2 2 4 2 2" xfId="12398"/>
    <cellStyle name="40% - Accent4 4 2 2 4 2 2 2" xfId="12399"/>
    <cellStyle name="40% - Accent4 4 2 2 4 2 2 2 2" xfId="30304"/>
    <cellStyle name="40% - Accent4 4 2 2 4 2 2 3" xfId="30303"/>
    <cellStyle name="40% - Accent4 4 2 2 4 2 3" xfId="12400"/>
    <cellStyle name="40% - Accent4 4 2 2 4 2 3 2" xfId="30305"/>
    <cellStyle name="40% - Accent4 4 2 2 4 2 4" xfId="30302"/>
    <cellStyle name="40% - Accent4 4 2 2 4 3" xfId="12401"/>
    <cellStyle name="40% - Accent4 4 2 2 4 3 2" xfId="12402"/>
    <cellStyle name="40% - Accent4 4 2 2 4 3 2 2" xfId="30307"/>
    <cellStyle name="40% - Accent4 4 2 2 4 3 3" xfId="30306"/>
    <cellStyle name="40% - Accent4 4 2 2 4 4" xfId="12403"/>
    <cellStyle name="40% - Accent4 4 2 2 4 4 2" xfId="30308"/>
    <cellStyle name="40% - Accent4 4 2 2 4 5" xfId="30301"/>
    <cellStyle name="40% - Accent4 4 2 2 5" xfId="12404"/>
    <cellStyle name="40% - Accent4 4 2 2 5 2" xfId="12405"/>
    <cellStyle name="40% - Accent4 4 2 2 5 2 2" xfId="12406"/>
    <cellStyle name="40% - Accent4 4 2 2 5 2 2 2" xfId="30311"/>
    <cellStyle name="40% - Accent4 4 2 2 5 2 3" xfId="30310"/>
    <cellStyle name="40% - Accent4 4 2 2 5 3" xfId="12407"/>
    <cellStyle name="40% - Accent4 4 2 2 5 3 2" xfId="30312"/>
    <cellStyle name="40% - Accent4 4 2 2 5 4" xfId="30309"/>
    <cellStyle name="40% - Accent4 4 2 2 6" xfId="12408"/>
    <cellStyle name="40% - Accent4 4 2 2 6 2" xfId="12409"/>
    <cellStyle name="40% - Accent4 4 2 2 6 2 2" xfId="30314"/>
    <cellStyle name="40% - Accent4 4 2 2 6 3" xfId="30313"/>
    <cellStyle name="40% - Accent4 4 2 2 7" xfId="12410"/>
    <cellStyle name="40% - Accent4 4 2 2 7 2" xfId="30315"/>
    <cellStyle name="40% - Accent4 4 2 2 8" xfId="30268"/>
    <cellStyle name="40% - Accent4 4 2 3" xfId="12411"/>
    <cellStyle name="40% - Accent4 4 2 3 2" xfId="12412"/>
    <cellStyle name="40% - Accent4 4 2 3 2 2" xfId="12413"/>
    <cellStyle name="40% - Accent4 4 2 3 2 2 2" xfId="12414"/>
    <cellStyle name="40% - Accent4 4 2 3 2 2 2 2" xfId="12415"/>
    <cellStyle name="40% - Accent4 4 2 3 2 2 2 2 2" xfId="30320"/>
    <cellStyle name="40% - Accent4 4 2 3 2 2 2 3" xfId="30319"/>
    <cellStyle name="40% - Accent4 4 2 3 2 2 3" xfId="12416"/>
    <cellStyle name="40% - Accent4 4 2 3 2 2 3 2" xfId="30321"/>
    <cellStyle name="40% - Accent4 4 2 3 2 2 4" xfId="30318"/>
    <cellStyle name="40% - Accent4 4 2 3 2 3" xfId="12417"/>
    <cellStyle name="40% - Accent4 4 2 3 2 3 2" xfId="12418"/>
    <cellStyle name="40% - Accent4 4 2 3 2 3 2 2" xfId="30323"/>
    <cellStyle name="40% - Accent4 4 2 3 2 3 3" xfId="30322"/>
    <cellStyle name="40% - Accent4 4 2 3 2 4" xfId="12419"/>
    <cellStyle name="40% - Accent4 4 2 3 2 4 2" xfId="30324"/>
    <cellStyle name="40% - Accent4 4 2 3 2 5" xfId="30317"/>
    <cellStyle name="40% - Accent4 4 2 3 3" xfId="12420"/>
    <cellStyle name="40% - Accent4 4 2 3 3 2" xfId="12421"/>
    <cellStyle name="40% - Accent4 4 2 3 3 2 2" xfId="12422"/>
    <cellStyle name="40% - Accent4 4 2 3 3 2 2 2" xfId="12423"/>
    <cellStyle name="40% - Accent4 4 2 3 3 2 2 2 2" xfId="30328"/>
    <cellStyle name="40% - Accent4 4 2 3 3 2 2 3" xfId="30327"/>
    <cellStyle name="40% - Accent4 4 2 3 3 2 3" xfId="12424"/>
    <cellStyle name="40% - Accent4 4 2 3 3 2 3 2" xfId="30329"/>
    <cellStyle name="40% - Accent4 4 2 3 3 2 4" xfId="30326"/>
    <cellStyle name="40% - Accent4 4 2 3 3 3" xfId="12425"/>
    <cellStyle name="40% - Accent4 4 2 3 3 3 2" xfId="12426"/>
    <cellStyle name="40% - Accent4 4 2 3 3 3 2 2" xfId="30331"/>
    <cellStyle name="40% - Accent4 4 2 3 3 3 3" xfId="30330"/>
    <cellStyle name="40% - Accent4 4 2 3 3 4" xfId="12427"/>
    <cellStyle name="40% - Accent4 4 2 3 3 4 2" xfId="30332"/>
    <cellStyle name="40% - Accent4 4 2 3 3 5" xfId="30325"/>
    <cellStyle name="40% - Accent4 4 2 3 4" xfId="12428"/>
    <cellStyle name="40% - Accent4 4 2 3 4 2" xfId="12429"/>
    <cellStyle name="40% - Accent4 4 2 3 4 2 2" xfId="12430"/>
    <cellStyle name="40% - Accent4 4 2 3 4 2 2 2" xfId="30335"/>
    <cellStyle name="40% - Accent4 4 2 3 4 2 3" xfId="30334"/>
    <cellStyle name="40% - Accent4 4 2 3 4 3" xfId="12431"/>
    <cellStyle name="40% - Accent4 4 2 3 4 3 2" xfId="30336"/>
    <cellStyle name="40% - Accent4 4 2 3 4 4" xfId="30333"/>
    <cellStyle name="40% - Accent4 4 2 3 5" xfId="12432"/>
    <cellStyle name="40% - Accent4 4 2 3 5 2" xfId="12433"/>
    <cellStyle name="40% - Accent4 4 2 3 5 2 2" xfId="30338"/>
    <cellStyle name="40% - Accent4 4 2 3 5 3" xfId="30337"/>
    <cellStyle name="40% - Accent4 4 2 3 6" xfId="12434"/>
    <cellStyle name="40% - Accent4 4 2 3 6 2" xfId="30339"/>
    <cellStyle name="40% - Accent4 4 2 3 7" xfId="30316"/>
    <cellStyle name="40% - Accent4 4 2 4" xfId="12435"/>
    <cellStyle name="40% - Accent4 4 2 4 2" xfId="12436"/>
    <cellStyle name="40% - Accent4 4 2 4 2 2" xfId="12437"/>
    <cellStyle name="40% - Accent4 4 2 4 2 2 2" xfId="12438"/>
    <cellStyle name="40% - Accent4 4 2 4 2 2 2 2" xfId="30343"/>
    <cellStyle name="40% - Accent4 4 2 4 2 2 3" xfId="30342"/>
    <cellStyle name="40% - Accent4 4 2 4 2 3" xfId="12439"/>
    <cellStyle name="40% - Accent4 4 2 4 2 3 2" xfId="30344"/>
    <cellStyle name="40% - Accent4 4 2 4 2 4" xfId="30341"/>
    <cellStyle name="40% - Accent4 4 2 4 3" xfId="12440"/>
    <cellStyle name="40% - Accent4 4 2 4 3 2" xfId="12441"/>
    <cellStyle name="40% - Accent4 4 2 4 3 2 2" xfId="30346"/>
    <cellStyle name="40% - Accent4 4 2 4 3 3" xfId="30345"/>
    <cellStyle name="40% - Accent4 4 2 4 4" xfId="12442"/>
    <cellStyle name="40% - Accent4 4 2 4 4 2" xfId="30347"/>
    <cellStyle name="40% - Accent4 4 2 4 5" xfId="30340"/>
    <cellStyle name="40% - Accent4 4 2 5" xfId="12443"/>
    <cellStyle name="40% - Accent4 4 2 5 2" xfId="12444"/>
    <cellStyle name="40% - Accent4 4 2 5 2 2" xfId="12445"/>
    <cellStyle name="40% - Accent4 4 2 5 2 2 2" xfId="12446"/>
    <cellStyle name="40% - Accent4 4 2 5 2 2 2 2" xfId="30351"/>
    <cellStyle name="40% - Accent4 4 2 5 2 2 3" xfId="30350"/>
    <cellStyle name="40% - Accent4 4 2 5 2 3" xfId="12447"/>
    <cellStyle name="40% - Accent4 4 2 5 2 3 2" xfId="30352"/>
    <cellStyle name="40% - Accent4 4 2 5 2 4" xfId="30349"/>
    <cellStyle name="40% - Accent4 4 2 5 3" xfId="12448"/>
    <cellStyle name="40% - Accent4 4 2 5 3 2" xfId="12449"/>
    <cellStyle name="40% - Accent4 4 2 5 3 2 2" xfId="30354"/>
    <cellStyle name="40% - Accent4 4 2 5 3 3" xfId="30353"/>
    <cellStyle name="40% - Accent4 4 2 5 4" xfId="12450"/>
    <cellStyle name="40% - Accent4 4 2 5 4 2" xfId="30355"/>
    <cellStyle name="40% - Accent4 4 2 5 5" xfId="30348"/>
    <cellStyle name="40% - Accent4 4 2 6" xfId="12451"/>
    <cellStyle name="40% - Accent4 4 2 6 2" xfId="12452"/>
    <cellStyle name="40% - Accent4 4 2 6 2 2" xfId="12453"/>
    <cellStyle name="40% - Accent4 4 2 6 2 2 2" xfId="30358"/>
    <cellStyle name="40% - Accent4 4 2 6 2 3" xfId="30357"/>
    <cellStyle name="40% - Accent4 4 2 6 3" xfId="12454"/>
    <cellStyle name="40% - Accent4 4 2 6 3 2" xfId="30359"/>
    <cellStyle name="40% - Accent4 4 2 6 4" xfId="30356"/>
    <cellStyle name="40% - Accent4 4 2 7" xfId="12455"/>
    <cellStyle name="40% - Accent4 4 2 7 2" xfId="12456"/>
    <cellStyle name="40% - Accent4 4 2 7 2 2" xfId="30361"/>
    <cellStyle name="40% - Accent4 4 2 7 3" xfId="30360"/>
    <cellStyle name="40% - Accent4 4 2 8" xfId="12457"/>
    <cellStyle name="40% - Accent4 4 2 8 2" xfId="30362"/>
    <cellStyle name="40% - Accent4 4 2 9" xfId="30267"/>
    <cellStyle name="40% - Accent4 4 3" xfId="12458"/>
    <cellStyle name="40% - Accent4 4 3 2" xfId="12459"/>
    <cellStyle name="40% - Accent4 4 3 2 2" xfId="12460"/>
    <cellStyle name="40% - Accent4 4 3 2 2 2" xfId="12461"/>
    <cellStyle name="40% - Accent4 4 3 2 2 2 2" xfId="12462"/>
    <cellStyle name="40% - Accent4 4 3 2 2 2 2 2" xfId="12463"/>
    <cellStyle name="40% - Accent4 4 3 2 2 2 2 2 2" xfId="30368"/>
    <cellStyle name="40% - Accent4 4 3 2 2 2 2 3" xfId="30367"/>
    <cellStyle name="40% - Accent4 4 3 2 2 2 3" xfId="12464"/>
    <cellStyle name="40% - Accent4 4 3 2 2 2 3 2" xfId="30369"/>
    <cellStyle name="40% - Accent4 4 3 2 2 2 4" xfId="30366"/>
    <cellStyle name="40% - Accent4 4 3 2 2 3" xfId="12465"/>
    <cellStyle name="40% - Accent4 4 3 2 2 3 2" xfId="12466"/>
    <cellStyle name="40% - Accent4 4 3 2 2 3 2 2" xfId="30371"/>
    <cellStyle name="40% - Accent4 4 3 2 2 3 3" xfId="30370"/>
    <cellStyle name="40% - Accent4 4 3 2 2 4" xfId="12467"/>
    <cellStyle name="40% - Accent4 4 3 2 2 4 2" xfId="30372"/>
    <cellStyle name="40% - Accent4 4 3 2 2 5" xfId="30365"/>
    <cellStyle name="40% - Accent4 4 3 2 3" xfId="12468"/>
    <cellStyle name="40% - Accent4 4 3 2 3 2" xfId="12469"/>
    <cellStyle name="40% - Accent4 4 3 2 3 2 2" xfId="12470"/>
    <cellStyle name="40% - Accent4 4 3 2 3 2 2 2" xfId="12471"/>
    <cellStyle name="40% - Accent4 4 3 2 3 2 2 2 2" xfId="30376"/>
    <cellStyle name="40% - Accent4 4 3 2 3 2 2 3" xfId="30375"/>
    <cellStyle name="40% - Accent4 4 3 2 3 2 3" xfId="12472"/>
    <cellStyle name="40% - Accent4 4 3 2 3 2 3 2" xfId="30377"/>
    <cellStyle name="40% - Accent4 4 3 2 3 2 4" xfId="30374"/>
    <cellStyle name="40% - Accent4 4 3 2 3 3" xfId="12473"/>
    <cellStyle name="40% - Accent4 4 3 2 3 3 2" xfId="12474"/>
    <cellStyle name="40% - Accent4 4 3 2 3 3 2 2" xfId="30379"/>
    <cellStyle name="40% - Accent4 4 3 2 3 3 3" xfId="30378"/>
    <cellStyle name="40% - Accent4 4 3 2 3 4" xfId="12475"/>
    <cellStyle name="40% - Accent4 4 3 2 3 4 2" xfId="30380"/>
    <cellStyle name="40% - Accent4 4 3 2 3 5" xfId="30373"/>
    <cellStyle name="40% - Accent4 4 3 2 4" xfId="12476"/>
    <cellStyle name="40% - Accent4 4 3 2 4 2" xfId="12477"/>
    <cellStyle name="40% - Accent4 4 3 2 4 2 2" xfId="12478"/>
    <cellStyle name="40% - Accent4 4 3 2 4 2 2 2" xfId="30383"/>
    <cellStyle name="40% - Accent4 4 3 2 4 2 3" xfId="30382"/>
    <cellStyle name="40% - Accent4 4 3 2 4 3" xfId="12479"/>
    <cellStyle name="40% - Accent4 4 3 2 4 3 2" xfId="30384"/>
    <cellStyle name="40% - Accent4 4 3 2 4 4" xfId="30381"/>
    <cellStyle name="40% - Accent4 4 3 2 5" xfId="12480"/>
    <cellStyle name="40% - Accent4 4 3 2 5 2" xfId="12481"/>
    <cellStyle name="40% - Accent4 4 3 2 5 2 2" xfId="30386"/>
    <cellStyle name="40% - Accent4 4 3 2 5 3" xfId="30385"/>
    <cellStyle name="40% - Accent4 4 3 2 6" xfId="12482"/>
    <cellStyle name="40% - Accent4 4 3 2 6 2" xfId="30387"/>
    <cellStyle name="40% - Accent4 4 3 2 7" xfId="30364"/>
    <cellStyle name="40% - Accent4 4 3 3" xfId="12483"/>
    <cellStyle name="40% - Accent4 4 3 3 2" xfId="12484"/>
    <cellStyle name="40% - Accent4 4 3 3 2 2" xfId="12485"/>
    <cellStyle name="40% - Accent4 4 3 3 2 2 2" xfId="12486"/>
    <cellStyle name="40% - Accent4 4 3 3 2 2 2 2" xfId="30391"/>
    <cellStyle name="40% - Accent4 4 3 3 2 2 3" xfId="30390"/>
    <cellStyle name="40% - Accent4 4 3 3 2 3" xfId="12487"/>
    <cellStyle name="40% - Accent4 4 3 3 2 3 2" xfId="30392"/>
    <cellStyle name="40% - Accent4 4 3 3 2 4" xfId="30389"/>
    <cellStyle name="40% - Accent4 4 3 3 3" xfId="12488"/>
    <cellStyle name="40% - Accent4 4 3 3 3 2" xfId="12489"/>
    <cellStyle name="40% - Accent4 4 3 3 3 2 2" xfId="30394"/>
    <cellStyle name="40% - Accent4 4 3 3 3 3" xfId="30393"/>
    <cellStyle name="40% - Accent4 4 3 3 4" xfId="12490"/>
    <cellStyle name="40% - Accent4 4 3 3 4 2" xfId="30395"/>
    <cellStyle name="40% - Accent4 4 3 3 5" xfId="30388"/>
    <cellStyle name="40% - Accent4 4 3 4" xfId="12491"/>
    <cellStyle name="40% - Accent4 4 3 4 2" xfId="12492"/>
    <cellStyle name="40% - Accent4 4 3 4 2 2" xfId="12493"/>
    <cellStyle name="40% - Accent4 4 3 4 2 2 2" xfId="12494"/>
    <cellStyle name="40% - Accent4 4 3 4 2 2 2 2" xfId="30399"/>
    <cellStyle name="40% - Accent4 4 3 4 2 2 3" xfId="30398"/>
    <cellStyle name="40% - Accent4 4 3 4 2 3" xfId="12495"/>
    <cellStyle name="40% - Accent4 4 3 4 2 3 2" xfId="30400"/>
    <cellStyle name="40% - Accent4 4 3 4 2 4" xfId="30397"/>
    <cellStyle name="40% - Accent4 4 3 4 3" xfId="12496"/>
    <cellStyle name="40% - Accent4 4 3 4 3 2" xfId="12497"/>
    <cellStyle name="40% - Accent4 4 3 4 3 2 2" xfId="30402"/>
    <cellStyle name="40% - Accent4 4 3 4 3 3" xfId="30401"/>
    <cellStyle name="40% - Accent4 4 3 4 4" xfId="12498"/>
    <cellStyle name="40% - Accent4 4 3 4 4 2" xfId="30403"/>
    <cellStyle name="40% - Accent4 4 3 4 5" xfId="30396"/>
    <cellStyle name="40% - Accent4 4 3 5" xfId="12499"/>
    <cellStyle name="40% - Accent4 4 3 5 2" xfId="12500"/>
    <cellStyle name="40% - Accent4 4 3 5 2 2" xfId="12501"/>
    <cellStyle name="40% - Accent4 4 3 5 2 2 2" xfId="30406"/>
    <cellStyle name="40% - Accent4 4 3 5 2 3" xfId="30405"/>
    <cellStyle name="40% - Accent4 4 3 5 3" xfId="12502"/>
    <cellStyle name="40% - Accent4 4 3 5 3 2" xfId="30407"/>
    <cellStyle name="40% - Accent4 4 3 5 4" xfId="30404"/>
    <cellStyle name="40% - Accent4 4 3 6" xfId="12503"/>
    <cellStyle name="40% - Accent4 4 3 6 2" xfId="12504"/>
    <cellStyle name="40% - Accent4 4 3 6 2 2" xfId="30409"/>
    <cellStyle name="40% - Accent4 4 3 6 3" xfId="30408"/>
    <cellStyle name="40% - Accent4 4 3 7" xfId="12505"/>
    <cellStyle name="40% - Accent4 4 3 7 2" xfId="30410"/>
    <cellStyle name="40% - Accent4 4 3 8" xfId="30363"/>
    <cellStyle name="40% - Accent4 4 4" xfId="12506"/>
    <cellStyle name="40% - Accent4 4 4 2" xfId="12507"/>
    <cellStyle name="40% - Accent4 4 4 2 2" xfId="12508"/>
    <cellStyle name="40% - Accent4 4 4 2 2 2" xfId="12509"/>
    <cellStyle name="40% - Accent4 4 4 2 2 2 2" xfId="12510"/>
    <cellStyle name="40% - Accent4 4 4 2 2 2 2 2" xfId="30415"/>
    <cellStyle name="40% - Accent4 4 4 2 2 2 3" xfId="30414"/>
    <cellStyle name="40% - Accent4 4 4 2 2 3" xfId="12511"/>
    <cellStyle name="40% - Accent4 4 4 2 2 3 2" xfId="30416"/>
    <cellStyle name="40% - Accent4 4 4 2 2 4" xfId="30413"/>
    <cellStyle name="40% - Accent4 4 4 2 3" xfId="12512"/>
    <cellStyle name="40% - Accent4 4 4 2 3 2" xfId="12513"/>
    <cellStyle name="40% - Accent4 4 4 2 3 2 2" xfId="30418"/>
    <cellStyle name="40% - Accent4 4 4 2 3 3" xfId="30417"/>
    <cellStyle name="40% - Accent4 4 4 2 4" xfId="12514"/>
    <cellStyle name="40% - Accent4 4 4 2 4 2" xfId="30419"/>
    <cellStyle name="40% - Accent4 4 4 2 5" xfId="30412"/>
    <cellStyle name="40% - Accent4 4 4 3" xfId="12515"/>
    <cellStyle name="40% - Accent4 4 4 3 2" xfId="12516"/>
    <cellStyle name="40% - Accent4 4 4 3 2 2" xfId="12517"/>
    <cellStyle name="40% - Accent4 4 4 3 2 2 2" xfId="12518"/>
    <cellStyle name="40% - Accent4 4 4 3 2 2 2 2" xfId="30423"/>
    <cellStyle name="40% - Accent4 4 4 3 2 2 3" xfId="30422"/>
    <cellStyle name="40% - Accent4 4 4 3 2 3" xfId="12519"/>
    <cellStyle name="40% - Accent4 4 4 3 2 3 2" xfId="30424"/>
    <cellStyle name="40% - Accent4 4 4 3 2 4" xfId="30421"/>
    <cellStyle name="40% - Accent4 4 4 3 3" xfId="12520"/>
    <cellStyle name="40% - Accent4 4 4 3 3 2" xfId="12521"/>
    <cellStyle name="40% - Accent4 4 4 3 3 2 2" xfId="30426"/>
    <cellStyle name="40% - Accent4 4 4 3 3 3" xfId="30425"/>
    <cellStyle name="40% - Accent4 4 4 3 4" xfId="12522"/>
    <cellStyle name="40% - Accent4 4 4 3 4 2" xfId="30427"/>
    <cellStyle name="40% - Accent4 4 4 3 5" xfId="30420"/>
    <cellStyle name="40% - Accent4 4 4 4" xfId="12523"/>
    <cellStyle name="40% - Accent4 4 4 4 2" xfId="12524"/>
    <cellStyle name="40% - Accent4 4 4 4 2 2" xfId="12525"/>
    <cellStyle name="40% - Accent4 4 4 4 2 2 2" xfId="30430"/>
    <cellStyle name="40% - Accent4 4 4 4 2 3" xfId="30429"/>
    <cellStyle name="40% - Accent4 4 4 4 3" xfId="12526"/>
    <cellStyle name="40% - Accent4 4 4 4 3 2" xfId="30431"/>
    <cellStyle name="40% - Accent4 4 4 4 4" xfId="30428"/>
    <cellStyle name="40% - Accent4 4 4 5" xfId="12527"/>
    <cellStyle name="40% - Accent4 4 4 5 2" xfId="12528"/>
    <cellStyle name="40% - Accent4 4 4 5 2 2" xfId="30433"/>
    <cellStyle name="40% - Accent4 4 4 5 3" xfId="30432"/>
    <cellStyle name="40% - Accent4 4 4 6" xfId="12529"/>
    <cellStyle name="40% - Accent4 4 4 6 2" xfId="30434"/>
    <cellStyle name="40% - Accent4 4 4 7" xfId="30411"/>
    <cellStyle name="40% - Accent4 4 5" xfId="12530"/>
    <cellStyle name="40% - Accent4 4 5 2" xfId="12531"/>
    <cellStyle name="40% - Accent4 4 5 2 2" xfId="12532"/>
    <cellStyle name="40% - Accent4 4 5 2 2 2" xfId="12533"/>
    <cellStyle name="40% - Accent4 4 5 2 2 2 2" xfId="30438"/>
    <cellStyle name="40% - Accent4 4 5 2 2 3" xfId="30437"/>
    <cellStyle name="40% - Accent4 4 5 2 3" xfId="12534"/>
    <cellStyle name="40% - Accent4 4 5 2 3 2" xfId="30439"/>
    <cellStyle name="40% - Accent4 4 5 2 4" xfId="30436"/>
    <cellStyle name="40% - Accent4 4 5 3" xfId="12535"/>
    <cellStyle name="40% - Accent4 4 5 3 2" xfId="12536"/>
    <cellStyle name="40% - Accent4 4 5 3 2 2" xfId="30441"/>
    <cellStyle name="40% - Accent4 4 5 3 3" xfId="30440"/>
    <cellStyle name="40% - Accent4 4 5 4" xfId="12537"/>
    <cellStyle name="40% - Accent4 4 5 4 2" xfId="30442"/>
    <cellStyle name="40% - Accent4 4 5 5" xfId="30435"/>
    <cellStyle name="40% - Accent4 4 6" xfId="12538"/>
    <cellStyle name="40% - Accent4 4 6 2" xfId="12539"/>
    <cellStyle name="40% - Accent4 4 6 2 2" xfId="12540"/>
    <cellStyle name="40% - Accent4 4 6 2 2 2" xfId="12541"/>
    <cellStyle name="40% - Accent4 4 6 2 2 2 2" xfId="30446"/>
    <cellStyle name="40% - Accent4 4 6 2 2 3" xfId="30445"/>
    <cellStyle name="40% - Accent4 4 6 2 3" xfId="12542"/>
    <cellStyle name="40% - Accent4 4 6 2 3 2" xfId="30447"/>
    <cellStyle name="40% - Accent4 4 6 2 4" xfId="30444"/>
    <cellStyle name="40% - Accent4 4 6 3" xfId="12543"/>
    <cellStyle name="40% - Accent4 4 6 3 2" xfId="12544"/>
    <cellStyle name="40% - Accent4 4 6 3 2 2" xfId="30449"/>
    <cellStyle name="40% - Accent4 4 6 3 3" xfId="30448"/>
    <cellStyle name="40% - Accent4 4 6 4" xfId="12545"/>
    <cellStyle name="40% - Accent4 4 6 4 2" xfId="30450"/>
    <cellStyle name="40% - Accent4 4 6 5" xfId="30443"/>
    <cellStyle name="40% - Accent4 4 7" xfId="12546"/>
    <cellStyle name="40% - Accent4 4 7 2" xfId="12547"/>
    <cellStyle name="40% - Accent4 4 7 2 2" xfId="12548"/>
    <cellStyle name="40% - Accent4 4 7 2 2 2" xfId="30453"/>
    <cellStyle name="40% - Accent4 4 7 2 3" xfId="30452"/>
    <cellStyle name="40% - Accent4 4 7 3" xfId="12549"/>
    <cellStyle name="40% - Accent4 4 7 3 2" xfId="30454"/>
    <cellStyle name="40% - Accent4 4 7 4" xfId="30451"/>
    <cellStyle name="40% - Accent4 4 8" xfId="12550"/>
    <cellStyle name="40% - Accent4 4 8 2" xfId="12551"/>
    <cellStyle name="40% - Accent4 4 8 2 2" xfId="30456"/>
    <cellStyle name="40% - Accent4 4 8 3" xfId="30455"/>
    <cellStyle name="40% - Accent4 4 9" xfId="12552"/>
    <cellStyle name="40% - Accent4 4 9 2" xfId="30457"/>
    <cellStyle name="40% - Accent4 5" xfId="12553"/>
    <cellStyle name="40% - Accent4 5 10" xfId="30458"/>
    <cellStyle name="40% - Accent4 5 2" xfId="12554"/>
    <cellStyle name="40% - Accent4 5 2 2" xfId="12555"/>
    <cellStyle name="40% - Accent4 5 2 2 2" xfId="12556"/>
    <cellStyle name="40% - Accent4 5 2 2 2 2" xfId="12557"/>
    <cellStyle name="40% - Accent4 5 2 2 2 2 2" xfId="12558"/>
    <cellStyle name="40% - Accent4 5 2 2 2 2 2 2" xfId="12559"/>
    <cellStyle name="40% - Accent4 5 2 2 2 2 2 2 2" xfId="12560"/>
    <cellStyle name="40% - Accent4 5 2 2 2 2 2 2 2 2" xfId="30465"/>
    <cellStyle name="40% - Accent4 5 2 2 2 2 2 2 3" xfId="30464"/>
    <cellStyle name="40% - Accent4 5 2 2 2 2 2 3" xfId="12561"/>
    <cellStyle name="40% - Accent4 5 2 2 2 2 2 3 2" xfId="30466"/>
    <cellStyle name="40% - Accent4 5 2 2 2 2 2 4" xfId="30463"/>
    <cellStyle name="40% - Accent4 5 2 2 2 2 3" xfId="12562"/>
    <cellStyle name="40% - Accent4 5 2 2 2 2 3 2" xfId="12563"/>
    <cellStyle name="40% - Accent4 5 2 2 2 2 3 2 2" xfId="30468"/>
    <cellStyle name="40% - Accent4 5 2 2 2 2 3 3" xfId="30467"/>
    <cellStyle name="40% - Accent4 5 2 2 2 2 4" xfId="12564"/>
    <cellStyle name="40% - Accent4 5 2 2 2 2 4 2" xfId="30469"/>
    <cellStyle name="40% - Accent4 5 2 2 2 2 5" xfId="30462"/>
    <cellStyle name="40% - Accent4 5 2 2 2 3" xfId="12565"/>
    <cellStyle name="40% - Accent4 5 2 2 2 3 2" xfId="12566"/>
    <cellStyle name="40% - Accent4 5 2 2 2 3 2 2" xfId="12567"/>
    <cellStyle name="40% - Accent4 5 2 2 2 3 2 2 2" xfId="12568"/>
    <cellStyle name="40% - Accent4 5 2 2 2 3 2 2 2 2" xfId="30473"/>
    <cellStyle name="40% - Accent4 5 2 2 2 3 2 2 3" xfId="30472"/>
    <cellStyle name="40% - Accent4 5 2 2 2 3 2 3" xfId="12569"/>
    <cellStyle name="40% - Accent4 5 2 2 2 3 2 3 2" xfId="30474"/>
    <cellStyle name="40% - Accent4 5 2 2 2 3 2 4" xfId="30471"/>
    <cellStyle name="40% - Accent4 5 2 2 2 3 3" xfId="12570"/>
    <cellStyle name="40% - Accent4 5 2 2 2 3 3 2" xfId="12571"/>
    <cellStyle name="40% - Accent4 5 2 2 2 3 3 2 2" xfId="30476"/>
    <cellStyle name="40% - Accent4 5 2 2 2 3 3 3" xfId="30475"/>
    <cellStyle name="40% - Accent4 5 2 2 2 3 4" xfId="12572"/>
    <cellStyle name="40% - Accent4 5 2 2 2 3 4 2" xfId="30477"/>
    <cellStyle name="40% - Accent4 5 2 2 2 3 5" xfId="30470"/>
    <cellStyle name="40% - Accent4 5 2 2 2 4" xfId="12573"/>
    <cellStyle name="40% - Accent4 5 2 2 2 4 2" xfId="12574"/>
    <cellStyle name="40% - Accent4 5 2 2 2 4 2 2" xfId="12575"/>
    <cellStyle name="40% - Accent4 5 2 2 2 4 2 2 2" xfId="30480"/>
    <cellStyle name="40% - Accent4 5 2 2 2 4 2 3" xfId="30479"/>
    <cellStyle name="40% - Accent4 5 2 2 2 4 3" xfId="12576"/>
    <cellStyle name="40% - Accent4 5 2 2 2 4 3 2" xfId="30481"/>
    <cellStyle name="40% - Accent4 5 2 2 2 4 4" xfId="30478"/>
    <cellStyle name="40% - Accent4 5 2 2 2 5" xfId="12577"/>
    <cellStyle name="40% - Accent4 5 2 2 2 5 2" xfId="12578"/>
    <cellStyle name="40% - Accent4 5 2 2 2 5 2 2" xfId="30483"/>
    <cellStyle name="40% - Accent4 5 2 2 2 5 3" xfId="30482"/>
    <cellStyle name="40% - Accent4 5 2 2 2 6" xfId="12579"/>
    <cellStyle name="40% - Accent4 5 2 2 2 6 2" xfId="30484"/>
    <cellStyle name="40% - Accent4 5 2 2 2 7" xfId="30461"/>
    <cellStyle name="40% - Accent4 5 2 2 3" xfId="12580"/>
    <cellStyle name="40% - Accent4 5 2 2 3 2" xfId="12581"/>
    <cellStyle name="40% - Accent4 5 2 2 3 2 2" xfId="12582"/>
    <cellStyle name="40% - Accent4 5 2 2 3 2 2 2" xfId="12583"/>
    <cellStyle name="40% - Accent4 5 2 2 3 2 2 2 2" xfId="30488"/>
    <cellStyle name="40% - Accent4 5 2 2 3 2 2 3" xfId="30487"/>
    <cellStyle name="40% - Accent4 5 2 2 3 2 3" xfId="12584"/>
    <cellStyle name="40% - Accent4 5 2 2 3 2 3 2" xfId="30489"/>
    <cellStyle name="40% - Accent4 5 2 2 3 2 4" xfId="30486"/>
    <cellStyle name="40% - Accent4 5 2 2 3 3" xfId="12585"/>
    <cellStyle name="40% - Accent4 5 2 2 3 3 2" xfId="12586"/>
    <cellStyle name="40% - Accent4 5 2 2 3 3 2 2" xfId="30491"/>
    <cellStyle name="40% - Accent4 5 2 2 3 3 3" xfId="30490"/>
    <cellStyle name="40% - Accent4 5 2 2 3 4" xfId="12587"/>
    <cellStyle name="40% - Accent4 5 2 2 3 4 2" xfId="30492"/>
    <cellStyle name="40% - Accent4 5 2 2 3 5" xfId="30485"/>
    <cellStyle name="40% - Accent4 5 2 2 4" xfId="12588"/>
    <cellStyle name="40% - Accent4 5 2 2 4 2" xfId="12589"/>
    <cellStyle name="40% - Accent4 5 2 2 4 2 2" xfId="12590"/>
    <cellStyle name="40% - Accent4 5 2 2 4 2 2 2" xfId="12591"/>
    <cellStyle name="40% - Accent4 5 2 2 4 2 2 2 2" xfId="30496"/>
    <cellStyle name="40% - Accent4 5 2 2 4 2 2 3" xfId="30495"/>
    <cellStyle name="40% - Accent4 5 2 2 4 2 3" xfId="12592"/>
    <cellStyle name="40% - Accent4 5 2 2 4 2 3 2" xfId="30497"/>
    <cellStyle name="40% - Accent4 5 2 2 4 2 4" xfId="30494"/>
    <cellStyle name="40% - Accent4 5 2 2 4 3" xfId="12593"/>
    <cellStyle name="40% - Accent4 5 2 2 4 3 2" xfId="12594"/>
    <cellStyle name="40% - Accent4 5 2 2 4 3 2 2" xfId="30499"/>
    <cellStyle name="40% - Accent4 5 2 2 4 3 3" xfId="30498"/>
    <cellStyle name="40% - Accent4 5 2 2 4 4" xfId="12595"/>
    <cellStyle name="40% - Accent4 5 2 2 4 4 2" xfId="30500"/>
    <cellStyle name="40% - Accent4 5 2 2 4 5" xfId="30493"/>
    <cellStyle name="40% - Accent4 5 2 2 5" xfId="12596"/>
    <cellStyle name="40% - Accent4 5 2 2 5 2" xfId="12597"/>
    <cellStyle name="40% - Accent4 5 2 2 5 2 2" xfId="12598"/>
    <cellStyle name="40% - Accent4 5 2 2 5 2 2 2" xfId="30503"/>
    <cellStyle name="40% - Accent4 5 2 2 5 2 3" xfId="30502"/>
    <cellStyle name="40% - Accent4 5 2 2 5 3" xfId="12599"/>
    <cellStyle name="40% - Accent4 5 2 2 5 3 2" xfId="30504"/>
    <cellStyle name="40% - Accent4 5 2 2 5 4" xfId="30501"/>
    <cellStyle name="40% - Accent4 5 2 2 6" xfId="12600"/>
    <cellStyle name="40% - Accent4 5 2 2 6 2" xfId="12601"/>
    <cellStyle name="40% - Accent4 5 2 2 6 2 2" xfId="30506"/>
    <cellStyle name="40% - Accent4 5 2 2 6 3" xfId="30505"/>
    <cellStyle name="40% - Accent4 5 2 2 7" xfId="12602"/>
    <cellStyle name="40% - Accent4 5 2 2 7 2" xfId="30507"/>
    <cellStyle name="40% - Accent4 5 2 2 8" xfId="30460"/>
    <cellStyle name="40% - Accent4 5 2 3" xfId="12603"/>
    <cellStyle name="40% - Accent4 5 2 3 2" xfId="12604"/>
    <cellStyle name="40% - Accent4 5 2 3 2 2" xfId="12605"/>
    <cellStyle name="40% - Accent4 5 2 3 2 2 2" xfId="12606"/>
    <cellStyle name="40% - Accent4 5 2 3 2 2 2 2" xfId="12607"/>
    <cellStyle name="40% - Accent4 5 2 3 2 2 2 2 2" xfId="30512"/>
    <cellStyle name="40% - Accent4 5 2 3 2 2 2 3" xfId="30511"/>
    <cellStyle name="40% - Accent4 5 2 3 2 2 3" xfId="12608"/>
    <cellStyle name="40% - Accent4 5 2 3 2 2 3 2" xfId="30513"/>
    <cellStyle name="40% - Accent4 5 2 3 2 2 4" xfId="30510"/>
    <cellStyle name="40% - Accent4 5 2 3 2 3" xfId="12609"/>
    <cellStyle name="40% - Accent4 5 2 3 2 3 2" xfId="12610"/>
    <cellStyle name="40% - Accent4 5 2 3 2 3 2 2" xfId="30515"/>
    <cellStyle name="40% - Accent4 5 2 3 2 3 3" xfId="30514"/>
    <cellStyle name="40% - Accent4 5 2 3 2 4" xfId="12611"/>
    <cellStyle name="40% - Accent4 5 2 3 2 4 2" xfId="30516"/>
    <cellStyle name="40% - Accent4 5 2 3 2 5" xfId="30509"/>
    <cellStyle name="40% - Accent4 5 2 3 3" xfId="12612"/>
    <cellStyle name="40% - Accent4 5 2 3 3 2" xfId="12613"/>
    <cellStyle name="40% - Accent4 5 2 3 3 2 2" xfId="12614"/>
    <cellStyle name="40% - Accent4 5 2 3 3 2 2 2" xfId="12615"/>
    <cellStyle name="40% - Accent4 5 2 3 3 2 2 2 2" xfId="30520"/>
    <cellStyle name="40% - Accent4 5 2 3 3 2 2 3" xfId="30519"/>
    <cellStyle name="40% - Accent4 5 2 3 3 2 3" xfId="12616"/>
    <cellStyle name="40% - Accent4 5 2 3 3 2 3 2" xfId="30521"/>
    <cellStyle name="40% - Accent4 5 2 3 3 2 4" xfId="30518"/>
    <cellStyle name="40% - Accent4 5 2 3 3 3" xfId="12617"/>
    <cellStyle name="40% - Accent4 5 2 3 3 3 2" xfId="12618"/>
    <cellStyle name="40% - Accent4 5 2 3 3 3 2 2" xfId="30523"/>
    <cellStyle name="40% - Accent4 5 2 3 3 3 3" xfId="30522"/>
    <cellStyle name="40% - Accent4 5 2 3 3 4" xfId="12619"/>
    <cellStyle name="40% - Accent4 5 2 3 3 4 2" xfId="30524"/>
    <cellStyle name="40% - Accent4 5 2 3 3 5" xfId="30517"/>
    <cellStyle name="40% - Accent4 5 2 3 4" xfId="12620"/>
    <cellStyle name="40% - Accent4 5 2 3 4 2" xfId="12621"/>
    <cellStyle name="40% - Accent4 5 2 3 4 2 2" xfId="12622"/>
    <cellStyle name="40% - Accent4 5 2 3 4 2 2 2" xfId="30527"/>
    <cellStyle name="40% - Accent4 5 2 3 4 2 3" xfId="30526"/>
    <cellStyle name="40% - Accent4 5 2 3 4 3" xfId="12623"/>
    <cellStyle name="40% - Accent4 5 2 3 4 3 2" xfId="30528"/>
    <cellStyle name="40% - Accent4 5 2 3 4 4" xfId="30525"/>
    <cellStyle name="40% - Accent4 5 2 3 5" xfId="12624"/>
    <cellStyle name="40% - Accent4 5 2 3 5 2" xfId="12625"/>
    <cellStyle name="40% - Accent4 5 2 3 5 2 2" xfId="30530"/>
    <cellStyle name="40% - Accent4 5 2 3 5 3" xfId="30529"/>
    <cellStyle name="40% - Accent4 5 2 3 6" xfId="12626"/>
    <cellStyle name="40% - Accent4 5 2 3 6 2" xfId="30531"/>
    <cellStyle name="40% - Accent4 5 2 3 7" xfId="30508"/>
    <cellStyle name="40% - Accent4 5 2 4" xfId="12627"/>
    <cellStyle name="40% - Accent4 5 2 4 2" xfId="12628"/>
    <cellStyle name="40% - Accent4 5 2 4 2 2" xfId="12629"/>
    <cellStyle name="40% - Accent4 5 2 4 2 2 2" xfId="12630"/>
    <cellStyle name="40% - Accent4 5 2 4 2 2 2 2" xfId="30535"/>
    <cellStyle name="40% - Accent4 5 2 4 2 2 3" xfId="30534"/>
    <cellStyle name="40% - Accent4 5 2 4 2 3" xfId="12631"/>
    <cellStyle name="40% - Accent4 5 2 4 2 3 2" xfId="30536"/>
    <cellStyle name="40% - Accent4 5 2 4 2 4" xfId="30533"/>
    <cellStyle name="40% - Accent4 5 2 4 3" xfId="12632"/>
    <cellStyle name="40% - Accent4 5 2 4 3 2" xfId="12633"/>
    <cellStyle name="40% - Accent4 5 2 4 3 2 2" xfId="30538"/>
    <cellStyle name="40% - Accent4 5 2 4 3 3" xfId="30537"/>
    <cellStyle name="40% - Accent4 5 2 4 4" xfId="12634"/>
    <cellStyle name="40% - Accent4 5 2 4 4 2" xfId="30539"/>
    <cellStyle name="40% - Accent4 5 2 4 5" xfId="30532"/>
    <cellStyle name="40% - Accent4 5 2 5" xfId="12635"/>
    <cellStyle name="40% - Accent4 5 2 5 2" xfId="12636"/>
    <cellStyle name="40% - Accent4 5 2 5 2 2" xfId="12637"/>
    <cellStyle name="40% - Accent4 5 2 5 2 2 2" xfId="12638"/>
    <cellStyle name="40% - Accent4 5 2 5 2 2 2 2" xfId="30543"/>
    <cellStyle name="40% - Accent4 5 2 5 2 2 3" xfId="30542"/>
    <cellStyle name="40% - Accent4 5 2 5 2 3" xfId="12639"/>
    <cellStyle name="40% - Accent4 5 2 5 2 3 2" xfId="30544"/>
    <cellStyle name="40% - Accent4 5 2 5 2 4" xfId="30541"/>
    <cellStyle name="40% - Accent4 5 2 5 3" xfId="12640"/>
    <cellStyle name="40% - Accent4 5 2 5 3 2" xfId="12641"/>
    <cellStyle name="40% - Accent4 5 2 5 3 2 2" xfId="30546"/>
    <cellStyle name="40% - Accent4 5 2 5 3 3" xfId="30545"/>
    <cellStyle name="40% - Accent4 5 2 5 4" xfId="12642"/>
    <cellStyle name="40% - Accent4 5 2 5 4 2" xfId="30547"/>
    <cellStyle name="40% - Accent4 5 2 5 5" xfId="30540"/>
    <cellStyle name="40% - Accent4 5 2 6" xfId="12643"/>
    <cellStyle name="40% - Accent4 5 2 6 2" xfId="12644"/>
    <cellStyle name="40% - Accent4 5 2 6 2 2" xfId="12645"/>
    <cellStyle name="40% - Accent4 5 2 6 2 2 2" xfId="30550"/>
    <cellStyle name="40% - Accent4 5 2 6 2 3" xfId="30549"/>
    <cellStyle name="40% - Accent4 5 2 6 3" xfId="12646"/>
    <cellStyle name="40% - Accent4 5 2 6 3 2" xfId="30551"/>
    <cellStyle name="40% - Accent4 5 2 6 4" xfId="30548"/>
    <cellStyle name="40% - Accent4 5 2 7" xfId="12647"/>
    <cellStyle name="40% - Accent4 5 2 7 2" xfId="12648"/>
    <cellStyle name="40% - Accent4 5 2 7 2 2" xfId="30553"/>
    <cellStyle name="40% - Accent4 5 2 7 3" xfId="30552"/>
    <cellStyle name="40% - Accent4 5 2 8" xfId="12649"/>
    <cellStyle name="40% - Accent4 5 2 8 2" xfId="30554"/>
    <cellStyle name="40% - Accent4 5 2 9" xfId="30459"/>
    <cellStyle name="40% - Accent4 5 3" xfId="12650"/>
    <cellStyle name="40% - Accent4 5 3 2" xfId="12651"/>
    <cellStyle name="40% - Accent4 5 3 2 2" xfId="12652"/>
    <cellStyle name="40% - Accent4 5 3 2 2 2" xfId="12653"/>
    <cellStyle name="40% - Accent4 5 3 2 2 2 2" xfId="12654"/>
    <cellStyle name="40% - Accent4 5 3 2 2 2 2 2" xfId="12655"/>
    <cellStyle name="40% - Accent4 5 3 2 2 2 2 2 2" xfId="30560"/>
    <cellStyle name="40% - Accent4 5 3 2 2 2 2 3" xfId="30559"/>
    <cellStyle name="40% - Accent4 5 3 2 2 2 3" xfId="12656"/>
    <cellStyle name="40% - Accent4 5 3 2 2 2 3 2" xfId="30561"/>
    <cellStyle name="40% - Accent4 5 3 2 2 2 4" xfId="30558"/>
    <cellStyle name="40% - Accent4 5 3 2 2 3" xfId="12657"/>
    <cellStyle name="40% - Accent4 5 3 2 2 3 2" xfId="12658"/>
    <cellStyle name="40% - Accent4 5 3 2 2 3 2 2" xfId="30563"/>
    <cellStyle name="40% - Accent4 5 3 2 2 3 3" xfId="30562"/>
    <cellStyle name="40% - Accent4 5 3 2 2 4" xfId="12659"/>
    <cellStyle name="40% - Accent4 5 3 2 2 4 2" xfId="30564"/>
    <cellStyle name="40% - Accent4 5 3 2 2 5" xfId="30557"/>
    <cellStyle name="40% - Accent4 5 3 2 3" xfId="12660"/>
    <cellStyle name="40% - Accent4 5 3 2 3 2" xfId="12661"/>
    <cellStyle name="40% - Accent4 5 3 2 3 2 2" xfId="12662"/>
    <cellStyle name="40% - Accent4 5 3 2 3 2 2 2" xfId="12663"/>
    <cellStyle name="40% - Accent4 5 3 2 3 2 2 2 2" xfId="30568"/>
    <cellStyle name="40% - Accent4 5 3 2 3 2 2 3" xfId="30567"/>
    <cellStyle name="40% - Accent4 5 3 2 3 2 3" xfId="12664"/>
    <cellStyle name="40% - Accent4 5 3 2 3 2 3 2" xfId="30569"/>
    <cellStyle name="40% - Accent4 5 3 2 3 2 4" xfId="30566"/>
    <cellStyle name="40% - Accent4 5 3 2 3 3" xfId="12665"/>
    <cellStyle name="40% - Accent4 5 3 2 3 3 2" xfId="12666"/>
    <cellStyle name="40% - Accent4 5 3 2 3 3 2 2" xfId="30571"/>
    <cellStyle name="40% - Accent4 5 3 2 3 3 3" xfId="30570"/>
    <cellStyle name="40% - Accent4 5 3 2 3 4" xfId="12667"/>
    <cellStyle name="40% - Accent4 5 3 2 3 4 2" xfId="30572"/>
    <cellStyle name="40% - Accent4 5 3 2 3 5" xfId="30565"/>
    <cellStyle name="40% - Accent4 5 3 2 4" xfId="12668"/>
    <cellStyle name="40% - Accent4 5 3 2 4 2" xfId="12669"/>
    <cellStyle name="40% - Accent4 5 3 2 4 2 2" xfId="12670"/>
    <cellStyle name="40% - Accent4 5 3 2 4 2 2 2" xfId="30575"/>
    <cellStyle name="40% - Accent4 5 3 2 4 2 3" xfId="30574"/>
    <cellStyle name="40% - Accent4 5 3 2 4 3" xfId="12671"/>
    <cellStyle name="40% - Accent4 5 3 2 4 3 2" xfId="30576"/>
    <cellStyle name="40% - Accent4 5 3 2 4 4" xfId="30573"/>
    <cellStyle name="40% - Accent4 5 3 2 5" xfId="12672"/>
    <cellStyle name="40% - Accent4 5 3 2 5 2" xfId="12673"/>
    <cellStyle name="40% - Accent4 5 3 2 5 2 2" xfId="30578"/>
    <cellStyle name="40% - Accent4 5 3 2 5 3" xfId="30577"/>
    <cellStyle name="40% - Accent4 5 3 2 6" xfId="12674"/>
    <cellStyle name="40% - Accent4 5 3 2 6 2" xfId="30579"/>
    <cellStyle name="40% - Accent4 5 3 2 7" xfId="30556"/>
    <cellStyle name="40% - Accent4 5 3 3" xfId="12675"/>
    <cellStyle name="40% - Accent4 5 3 3 2" xfId="12676"/>
    <cellStyle name="40% - Accent4 5 3 3 2 2" xfId="12677"/>
    <cellStyle name="40% - Accent4 5 3 3 2 2 2" xfId="12678"/>
    <cellStyle name="40% - Accent4 5 3 3 2 2 2 2" xfId="30583"/>
    <cellStyle name="40% - Accent4 5 3 3 2 2 3" xfId="30582"/>
    <cellStyle name="40% - Accent4 5 3 3 2 3" xfId="12679"/>
    <cellStyle name="40% - Accent4 5 3 3 2 3 2" xfId="30584"/>
    <cellStyle name="40% - Accent4 5 3 3 2 4" xfId="30581"/>
    <cellStyle name="40% - Accent4 5 3 3 3" xfId="12680"/>
    <cellStyle name="40% - Accent4 5 3 3 3 2" xfId="12681"/>
    <cellStyle name="40% - Accent4 5 3 3 3 2 2" xfId="30586"/>
    <cellStyle name="40% - Accent4 5 3 3 3 3" xfId="30585"/>
    <cellStyle name="40% - Accent4 5 3 3 4" xfId="12682"/>
    <cellStyle name="40% - Accent4 5 3 3 4 2" xfId="30587"/>
    <cellStyle name="40% - Accent4 5 3 3 5" xfId="30580"/>
    <cellStyle name="40% - Accent4 5 3 4" xfId="12683"/>
    <cellStyle name="40% - Accent4 5 3 4 2" xfId="12684"/>
    <cellStyle name="40% - Accent4 5 3 4 2 2" xfId="12685"/>
    <cellStyle name="40% - Accent4 5 3 4 2 2 2" xfId="12686"/>
    <cellStyle name="40% - Accent4 5 3 4 2 2 2 2" xfId="30591"/>
    <cellStyle name="40% - Accent4 5 3 4 2 2 3" xfId="30590"/>
    <cellStyle name="40% - Accent4 5 3 4 2 3" xfId="12687"/>
    <cellStyle name="40% - Accent4 5 3 4 2 3 2" xfId="30592"/>
    <cellStyle name="40% - Accent4 5 3 4 2 4" xfId="30589"/>
    <cellStyle name="40% - Accent4 5 3 4 3" xfId="12688"/>
    <cellStyle name="40% - Accent4 5 3 4 3 2" xfId="12689"/>
    <cellStyle name="40% - Accent4 5 3 4 3 2 2" xfId="30594"/>
    <cellStyle name="40% - Accent4 5 3 4 3 3" xfId="30593"/>
    <cellStyle name="40% - Accent4 5 3 4 4" xfId="12690"/>
    <cellStyle name="40% - Accent4 5 3 4 4 2" xfId="30595"/>
    <cellStyle name="40% - Accent4 5 3 4 5" xfId="30588"/>
    <cellStyle name="40% - Accent4 5 3 5" xfId="12691"/>
    <cellStyle name="40% - Accent4 5 3 5 2" xfId="12692"/>
    <cellStyle name="40% - Accent4 5 3 5 2 2" xfId="12693"/>
    <cellStyle name="40% - Accent4 5 3 5 2 2 2" xfId="30598"/>
    <cellStyle name="40% - Accent4 5 3 5 2 3" xfId="30597"/>
    <cellStyle name="40% - Accent4 5 3 5 3" xfId="12694"/>
    <cellStyle name="40% - Accent4 5 3 5 3 2" xfId="30599"/>
    <cellStyle name="40% - Accent4 5 3 5 4" xfId="30596"/>
    <cellStyle name="40% - Accent4 5 3 6" xfId="12695"/>
    <cellStyle name="40% - Accent4 5 3 6 2" xfId="12696"/>
    <cellStyle name="40% - Accent4 5 3 6 2 2" xfId="30601"/>
    <cellStyle name="40% - Accent4 5 3 6 3" xfId="30600"/>
    <cellStyle name="40% - Accent4 5 3 7" xfId="12697"/>
    <cellStyle name="40% - Accent4 5 3 7 2" xfId="30602"/>
    <cellStyle name="40% - Accent4 5 3 8" xfId="30555"/>
    <cellStyle name="40% - Accent4 5 4" xfId="12698"/>
    <cellStyle name="40% - Accent4 5 4 2" xfId="12699"/>
    <cellStyle name="40% - Accent4 5 4 2 2" xfId="12700"/>
    <cellStyle name="40% - Accent4 5 4 2 2 2" xfId="12701"/>
    <cellStyle name="40% - Accent4 5 4 2 2 2 2" xfId="12702"/>
    <cellStyle name="40% - Accent4 5 4 2 2 2 2 2" xfId="30607"/>
    <cellStyle name="40% - Accent4 5 4 2 2 2 3" xfId="30606"/>
    <cellStyle name="40% - Accent4 5 4 2 2 3" xfId="12703"/>
    <cellStyle name="40% - Accent4 5 4 2 2 3 2" xfId="30608"/>
    <cellStyle name="40% - Accent4 5 4 2 2 4" xfId="30605"/>
    <cellStyle name="40% - Accent4 5 4 2 3" xfId="12704"/>
    <cellStyle name="40% - Accent4 5 4 2 3 2" xfId="12705"/>
    <cellStyle name="40% - Accent4 5 4 2 3 2 2" xfId="30610"/>
    <cellStyle name="40% - Accent4 5 4 2 3 3" xfId="30609"/>
    <cellStyle name="40% - Accent4 5 4 2 4" xfId="12706"/>
    <cellStyle name="40% - Accent4 5 4 2 4 2" xfId="30611"/>
    <cellStyle name="40% - Accent4 5 4 2 5" xfId="30604"/>
    <cellStyle name="40% - Accent4 5 4 3" xfId="12707"/>
    <cellStyle name="40% - Accent4 5 4 3 2" xfId="12708"/>
    <cellStyle name="40% - Accent4 5 4 3 2 2" xfId="12709"/>
    <cellStyle name="40% - Accent4 5 4 3 2 2 2" xfId="12710"/>
    <cellStyle name="40% - Accent4 5 4 3 2 2 2 2" xfId="30615"/>
    <cellStyle name="40% - Accent4 5 4 3 2 2 3" xfId="30614"/>
    <cellStyle name="40% - Accent4 5 4 3 2 3" xfId="12711"/>
    <cellStyle name="40% - Accent4 5 4 3 2 3 2" xfId="30616"/>
    <cellStyle name="40% - Accent4 5 4 3 2 4" xfId="30613"/>
    <cellStyle name="40% - Accent4 5 4 3 3" xfId="12712"/>
    <cellStyle name="40% - Accent4 5 4 3 3 2" xfId="12713"/>
    <cellStyle name="40% - Accent4 5 4 3 3 2 2" xfId="30618"/>
    <cellStyle name="40% - Accent4 5 4 3 3 3" xfId="30617"/>
    <cellStyle name="40% - Accent4 5 4 3 4" xfId="12714"/>
    <cellStyle name="40% - Accent4 5 4 3 4 2" xfId="30619"/>
    <cellStyle name="40% - Accent4 5 4 3 5" xfId="30612"/>
    <cellStyle name="40% - Accent4 5 4 4" xfId="12715"/>
    <cellStyle name="40% - Accent4 5 4 4 2" xfId="12716"/>
    <cellStyle name="40% - Accent4 5 4 4 2 2" xfId="12717"/>
    <cellStyle name="40% - Accent4 5 4 4 2 2 2" xfId="30622"/>
    <cellStyle name="40% - Accent4 5 4 4 2 3" xfId="30621"/>
    <cellStyle name="40% - Accent4 5 4 4 3" xfId="12718"/>
    <cellStyle name="40% - Accent4 5 4 4 3 2" xfId="30623"/>
    <cellStyle name="40% - Accent4 5 4 4 4" xfId="30620"/>
    <cellStyle name="40% - Accent4 5 4 5" xfId="12719"/>
    <cellStyle name="40% - Accent4 5 4 5 2" xfId="12720"/>
    <cellStyle name="40% - Accent4 5 4 5 2 2" xfId="30625"/>
    <cellStyle name="40% - Accent4 5 4 5 3" xfId="30624"/>
    <cellStyle name="40% - Accent4 5 4 6" xfId="12721"/>
    <cellStyle name="40% - Accent4 5 4 6 2" xfId="30626"/>
    <cellStyle name="40% - Accent4 5 4 7" xfId="30603"/>
    <cellStyle name="40% - Accent4 5 5" xfId="12722"/>
    <cellStyle name="40% - Accent4 5 5 2" xfId="12723"/>
    <cellStyle name="40% - Accent4 5 5 2 2" xfId="12724"/>
    <cellStyle name="40% - Accent4 5 5 2 2 2" xfId="12725"/>
    <cellStyle name="40% - Accent4 5 5 2 2 2 2" xfId="30630"/>
    <cellStyle name="40% - Accent4 5 5 2 2 3" xfId="30629"/>
    <cellStyle name="40% - Accent4 5 5 2 3" xfId="12726"/>
    <cellStyle name="40% - Accent4 5 5 2 3 2" xfId="30631"/>
    <cellStyle name="40% - Accent4 5 5 2 4" xfId="30628"/>
    <cellStyle name="40% - Accent4 5 5 3" xfId="12727"/>
    <cellStyle name="40% - Accent4 5 5 3 2" xfId="12728"/>
    <cellStyle name="40% - Accent4 5 5 3 2 2" xfId="30633"/>
    <cellStyle name="40% - Accent4 5 5 3 3" xfId="30632"/>
    <cellStyle name="40% - Accent4 5 5 4" xfId="12729"/>
    <cellStyle name="40% - Accent4 5 5 4 2" xfId="30634"/>
    <cellStyle name="40% - Accent4 5 5 5" xfId="30627"/>
    <cellStyle name="40% - Accent4 5 6" xfId="12730"/>
    <cellStyle name="40% - Accent4 5 6 2" xfId="12731"/>
    <cellStyle name="40% - Accent4 5 6 2 2" xfId="12732"/>
    <cellStyle name="40% - Accent4 5 6 2 2 2" xfId="12733"/>
    <cellStyle name="40% - Accent4 5 6 2 2 2 2" xfId="30638"/>
    <cellStyle name="40% - Accent4 5 6 2 2 3" xfId="30637"/>
    <cellStyle name="40% - Accent4 5 6 2 3" xfId="12734"/>
    <cellStyle name="40% - Accent4 5 6 2 3 2" xfId="30639"/>
    <cellStyle name="40% - Accent4 5 6 2 4" xfId="30636"/>
    <cellStyle name="40% - Accent4 5 6 3" xfId="12735"/>
    <cellStyle name="40% - Accent4 5 6 3 2" xfId="12736"/>
    <cellStyle name="40% - Accent4 5 6 3 2 2" xfId="30641"/>
    <cellStyle name="40% - Accent4 5 6 3 3" xfId="30640"/>
    <cellStyle name="40% - Accent4 5 6 4" xfId="12737"/>
    <cellStyle name="40% - Accent4 5 6 4 2" xfId="30642"/>
    <cellStyle name="40% - Accent4 5 6 5" xfId="30635"/>
    <cellStyle name="40% - Accent4 5 7" xfId="12738"/>
    <cellStyle name="40% - Accent4 5 7 2" xfId="12739"/>
    <cellStyle name="40% - Accent4 5 7 2 2" xfId="12740"/>
    <cellStyle name="40% - Accent4 5 7 2 2 2" xfId="30645"/>
    <cellStyle name="40% - Accent4 5 7 2 3" xfId="30644"/>
    <cellStyle name="40% - Accent4 5 7 3" xfId="12741"/>
    <cellStyle name="40% - Accent4 5 7 3 2" xfId="30646"/>
    <cellStyle name="40% - Accent4 5 7 4" xfId="30643"/>
    <cellStyle name="40% - Accent4 5 8" xfId="12742"/>
    <cellStyle name="40% - Accent4 5 8 2" xfId="12743"/>
    <cellStyle name="40% - Accent4 5 8 2 2" xfId="30648"/>
    <cellStyle name="40% - Accent4 5 8 3" xfId="30647"/>
    <cellStyle name="40% - Accent4 5 9" xfId="12744"/>
    <cellStyle name="40% - Accent4 5 9 2" xfId="30649"/>
    <cellStyle name="40% - Accent4 6" xfId="12745"/>
    <cellStyle name="40% - Accent4 6 10" xfId="30650"/>
    <cellStyle name="40% - Accent4 6 2" xfId="12746"/>
    <cellStyle name="40% - Accent4 6 2 2" xfId="12747"/>
    <cellStyle name="40% - Accent4 6 2 2 2" xfId="12748"/>
    <cellStyle name="40% - Accent4 6 2 2 2 2" xfId="12749"/>
    <cellStyle name="40% - Accent4 6 2 2 2 2 2" xfId="12750"/>
    <cellStyle name="40% - Accent4 6 2 2 2 2 2 2" xfId="12751"/>
    <cellStyle name="40% - Accent4 6 2 2 2 2 2 2 2" xfId="12752"/>
    <cellStyle name="40% - Accent4 6 2 2 2 2 2 2 2 2" xfId="30657"/>
    <cellStyle name="40% - Accent4 6 2 2 2 2 2 2 3" xfId="30656"/>
    <cellStyle name="40% - Accent4 6 2 2 2 2 2 3" xfId="12753"/>
    <cellStyle name="40% - Accent4 6 2 2 2 2 2 3 2" xfId="30658"/>
    <cellStyle name="40% - Accent4 6 2 2 2 2 2 4" xfId="30655"/>
    <cellStyle name="40% - Accent4 6 2 2 2 2 3" xfId="12754"/>
    <cellStyle name="40% - Accent4 6 2 2 2 2 3 2" xfId="12755"/>
    <cellStyle name="40% - Accent4 6 2 2 2 2 3 2 2" xfId="30660"/>
    <cellStyle name="40% - Accent4 6 2 2 2 2 3 3" xfId="30659"/>
    <cellStyle name="40% - Accent4 6 2 2 2 2 4" xfId="12756"/>
    <cellStyle name="40% - Accent4 6 2 2 2 2 4 2" xfId="30661"/>
    <cellStyle name="40% - Accent4 6 2 2 2 2 5" xfId="30654"/>
    <cellStyle name="40% - Accent4 6 2 2 2 3" xfId="12757"/>
    <cellStyle name="40% - Accent4 6 2 2 2 3 2" xfId="12758"/>
    <cellStyle name="40% - Accent4 6 2 2 2 3 2 2" xfId="12759"/>
    <cellStyle name="40% - Accent4 6 2 2 2 3 2 2 2" xfId="12760"/>
    <cellStyle name="40% - Accent4 6 2 2 2 3 2 2 2 2" xfId="30665"/>
    <cellStyle name="40% - Accent4 6 2 2 2 3 2 2 3" xfId="30664"/>
    <cellStyle name="40% - Accent4 6 2 2 2 3 2 3" xfId="12761"/>
    <cellStyle name="40% - Accent4 6 2 2 2 3 2 3 2" xfId="30666"/>
    <cellStyle name="40% - Accent4 6 2 2 2 3 2 4" xfId="30663"/>
    <cellStyle name="40% - Accent4 6 2 2 2 3 3" xfId="12762"/>
    <cellStyle name="40% - Accent4 6 2 2 2 3 3 2" xfId="12763"/>
    <cellStyle name="40% - Accent4 6 2 2 2 3 3 2 2" xfId="30668"/>
    <cellStyle name="40% - Accent4 6 2 2 2 3 3 3" xfId="30667"/>
    <cellStyle name="40% - Accent4 6 2 2 2 3 4" xfId="12764"/>
    <cellStyle name="40% - Accent4 6 2 2 2 3 4 2" xfId="30669"/>
    <cellStyle name="40% - Accent4 6 2 2 2 3 5" xfId="30662"/>
    <cellStyle name="40% - Accent4 6 2 2 2 4" xfId="12765"/>
    <cellStyle name="40% - Accent4 6 2 2 2 4 2" xfId="12766"/>
    <cellStyle name="40% - Accent4 6 2 2 2 4 2 2" xfId="12767"/>
    <cellStyle name="40% - Accent4 6 2 2 2 4 2 2 2" xfId="30672"/>
    <cellStyle name="40% - Accent4 6 2 2 2 4 2 3" xfId="30671"/>
    <cellStyle name="40% - Accent4 6 2 2 2 4 3" xfId="12768"/>
    <cellStyle name="40% - Accent4 6 2 2 2 4 3 2" xfId="30673"/>
    <cellStyle name="40% - Accent4 6 2 2 2 4 4" xfId="30670"/>
    <cellStyle name="40% - Accent4 6 2 2 2 5" xfId="12769"/>
    <cellStyle name="40% - Accent4 6 2 2 2 5 2" xfId="12770"/>
    <cellStyle name="40% - Accent4 6 2 2 2 5 2 2" xfId="30675"/>
    <cellStyle name="40% - Accent4 6 2 2 2 5 3" xfId="30674"/>
    <cellStyle name="40% - Accent4 6 2 2 2 6" xfId="12771"/>
    <cellStyle name="40% - Accent4 6 2 2 2 6 2" xfId="30676"/>
    <cellStyle name="40% - Accent4 6 2 2 2 7" xfId="30653"/>
    <cellStyle name="40% - Accent4 6 2 2 3" xfId="12772"/>
    <cellStyle name="40% - Accent4 6 2 2 3 2" xfId="12773"/>
    <cellStyle name="40% - Accent4 6 2 2 3 2 2" xfId="12774"/>
    <cellStyle name="40% - Accent4 6 2 2 3 2 2 2" xfId="12775"/>
    <cellStyle name="40% - Accent4 6 2 2 3 2 2 2 2" xfId="30680"/>
    <cellStyle name="40% - Accent4 6 2 2 3 2 2 3" xfId="30679"/>
    <cellStyle name="40% - Accent4 6 2 2 3 2 3" xfId="12776"/>
    <cellStyle name="40% - Accent4 6 2 2 3 2 3 2" xfId="30681"/>
    <cellStyle name="40% - Accent4 6 2 2 3 2 4" xfId="30678"/>
    <cellStyle name="40% - Accent4 6 2 2 3 3" xfId="12777"/>
    <cellStyle name="40% - Accent4 6 2 2 3 3 2" xfId="12778"/>
    <cellStyle name="40% - Accent4 6 2 2 3 3 2 2" xfId="30683"/>
    <cellStyle name="40% - Accent4 6 2 2 3 3 3" xfId="30682"/>
    <cellStyle name="40% - Accent4 6 2 2 3 4" xfId="12779"/>
    <cellStyle name="40% - Accent4 6 2 2 3 4 2" xfId="30684"/>
    <cellStyle name="40% - Accent4 6 2 2 3 5" xfId="30677"/>
    <cellStyle name="40% - Accent4 6 2 2 4" xfId="12780"/>
    <cellStyle name="40% - Accent4 6 2 2 4 2" xfId="12781"/>
    <cellStyle name="40% - Accent4 6 2 2 4 2 2" xfId="12782"/>
    <cellStyle name="40% - Accent4 6 2 2 4 2 2 2" xfId="12783"/>
    <cellStyle name="40% - Accent4 6 2 2 4 2 2 2 2" xfId="30688"/>
    <cellStyle name="40% - Accent4 6 2 2 4 2 2 3" xfId="30687"/>
    <cellStyle name="40% - Accent4 6 2 2 4 2 3" xfId="12784"/>
    <cellStyle name="40% - Accent4 6 2 2 4 2 3 2" xfId="30689"/>
    <cellStyle name="40% - Accent4 6 2 2 4 2 4" xfId="30686"/>
    <cellStyle name="40% - Accent4 6 2 2 4 3" xfId="12785"/>
    <cellStyle name="40% - Accent4 6 2 2 4 3 2" xfId="12786"/>
    <cellStyle name="40% - Accent4 6 2 2 4 3 2 2" xfId="30691"/>
    <cellStyle name="40% - Accent4 6 2 2 4 3 3" xfId="30690"/>
    <cellStyle name="40% - Accent4 6 2 2 4 4" xfId="12787"/>
    <cellStyle name="40% - Accent4 6 2 2 4 4 2" xfId="30692"/>
    <cellStyle name="40% - Accent4 6 2 2 4 5" xfId="30685"/>
    <cellStyle name="40% - Accent4 6 2 2 5" xfId="12788"/>
    <cellStyle name="40% - Accent4 6 2 2 5 2" xfId="12789"/>
    <cellStyle name="40% - Accent4 6 2 2 5 2 2" xfId="12790"/>
    <cellStyle name="40% - Accent4 6 2 2 5 2 2 2" xfId="30695"/>
    <cellStyle name="40% - Accent4 6 2 2 5 2 3" xfId="30694"/>
    <cellStyle name="40% - Accent4 6 2 2 5 3" xfId="12791"/>
    <cellStyle name="40% - Accent4 6 2 2 5 3 2" xfId="30696"/>
    <cellStyle name="40% - Accent4 6 2 2 5 4" xfId="30693"/>
    <cellStyle name="40% - Accent4 6 2 2 6" xfId="12792"/>
    <cellStyle name="40% - Accent4 6 2 2 6 2" xfId="12793"/>
    <cellStyle name="40% - Accent4 6 2 2 6 2 2" xfId="30698"/>
    <cellStyle name="40% - Accent4 6 2 2 6 3" xfId="30697"/>
    <cellStyle name="40% - Accent4 6 2 2 7" xfId="12794"/>
    <cellStyle name="40% - Accent4 6 2 2 7 2" xfId="30699"/>
    <cellStyle name="40% - Accent4 6 2 2 8" xfId="30652"/>
    <cellStyle name="40% - Accent4 6 2 3" xfId="12795"/>
    <cellStyle name="40% - Accent4 6 2 3 2" xfId="12796"/>
    <cellStyle name="40% - Accent4 6 2 3 2 2" xfId="12797"/>
    <cellStyle name="40% - Accent4 6 2 3 2 2 2" xfId="12798"/>
    <cellStyle name="40% - Accent4 6 2 3 2 2 2 2" xfId="12799"/>
    <cellStyle name="40% - Accent4 6 2 3 2 2 2 2 2" xfId="30704"/>
    <cellStyle name="40% - Accent4 6 2 3 2 2 2 3" xfId="30703"/>
    <cellStyle name="40% - Accent4 6 2 3 2 2 3" xfId="12800"/>
    <cellStyle name="40% - Accent4 6 2 3 2 2 3 2" xfId="30705"/>
    <cellStyle name="40% - Accent4 6 2 3 2 2 4" xfId="30702"/>
    <cellStyle name="40% - Accent4 6 2 3 2 3" xfId="12801"/>
    <cellStyle name="40% - Accent4 6 2 3 2 3 2" xfId="12802"/>
    <cellStyle name="40% - Accent4 6 2 3 2 3 2 2" xfId="30707"/>
    <cellStyle name="40% - Accent4 6 2 3 2 3 3" xfId="30706"/>
    <cellStyle name="40% - Accent4 6 2 3 2 4" xfId="12803"/>
    <cellStyle name="40% - Accent4 6 2 3 2 4 2" xfId="30708"/>
    <cellStyle name="40% - Accent4 6 2 3 2 5" xfId="30701"/>
    <cellStyle name="40% - Accent4 6 2 3 3" xfId="12804"/>
    <cellStyle name="40% - Accent4 6 2 3 3 2" xfId="12805"/>
    <cellStyle name="40% - Accent4 6 2 3 3 2 2" xfId="12806"/>
    <cellStyle name="40% - Accent4 6 2 3 3 2 2 2" xfId="12807"/>
    <cellStyle name="40% - Accent4 6 2 3 3 2 2 2 2" xfId="30712"/>
    <cellStyle name="40% - Accent4 6 2 3 3 2 2 3" xfId="30711"/>
    <cellStyle name="40% - Accent4 6 2 3 3 2 3" xfId="12808"/>
    <cellStyle name="40% - Accent4 6 2 3 3 2 3 2" xfId="30713"/>
    <cellStyle name="40% - Accent4 6 2 3 3 2 4" xfId="30710"/>
    <cellStyle name="40% - Accent4 6 2 3 3 3" xfId="12809"/>
    <cellStyle name="40% - Accent4 6 2 3 3 3 2" xfId="12810"/>
    <cellStyle name="40% - Accent4 6 2 3 3 3 2 2" xfId="30715"/>
    <cellStyle name="40% - Accent4 6 2 3 3 3 3" xfId="30714"/>
    <cellStyle name="40% - Accent4 6 2 3 3 4" xfId="12811"/>
    <cellStyle name="40% - Accent4 6 2 3 3 4 2" xfId="30716"/>
    <cellStyle name="40% - Accent4 6 2 3 3 5" xfId="30709"/>
    <cellStyle name="40% - Accent4 6 2 3 4" xfId="12812"/>
    <cellStyle name="40% - Accent4 6 2 3 4 2" xfId="12813"/>
    <cellStyle name="40% - Accent4 6 2 3 4 2 2" xfId="12814"/>
    <cellStyle name="40% - Accent4 6 2 3 4 2 2 2" xfId="30719"/>
    <cellStyle name="40% - Accent4 6 2 3 4 2 3" xfId="30718"/>
    <cellStyle name="40% - Accent4 6 2 3 4 3" xfId="12815"/>
    <cellStyle name="40% - Accent4 6 2 3 4 3 2" xfId="30720"/>
    <cellStyle name="40% - Accent4 6 2 3 4 4" xfId="30717"/>
    <cellStyle name="40% - Accent4 6 2 3 5" xfId="12816"/>
    <cellStyle name="40% - Accent4 6 2 3 5 2" xfId="12817"/>
    <cellStyle name="40% - Accent4 6 2 3 5 2 2" xfId="30722"/>
    <cellStyle name="40% - Accent4 6 2 3 5 3" xfId="30721"/>
    <cellStyle name="40% - Accent4 6 2 3 6" xfId="12818"/>
    <cellStyle name="40% - Accent4 6 2 3 6 2" xfId="30723"/>
    <cellStyle name="40% - Accent4 6 2 3 7" xfId="30700"/>
    <cellStyle name="40% - Accent4 6 2 4" xfId="12819"/>
    <cellStyle name="40% - Accent4 6 2 4 2" xfId="12820"/>
    <cellStyle name="40% - Accent4 6 2 4 2 2" xfId="12821"/>
    <cellStyle name="40% - Accent4 6 2 4 2 2 2" xfId="12822"/>
    <cellStyle name="40% - Accent4 6 2 4 2 2 2 2" xfId="30727"/>
    <cellStyle name="40% - Accent4 6 2 4 2 2 3" xfId="30726"/>
    <cellStyle name="40% - Accent4 6 2 4 2 3" xfId="12823"/>
    <cellStyle name="40% - Accent4 6 2 4 2 3 2" xfId="30728"/>
    <cellStyle name="40% - Accent4 6 2 4 2 4" xfId="30725"/>
    <cellStyle name="40% - Accent4 6 2 4 3" xfId="12824"/>
    <cellStyle name="40% - Accent4 6 2 4 3 2" xfId="12825"/>
    <cellStyle name="40% - Accent4 6 2 4 3 2 2" xfId="30730"/>
    <cellStyle name="40% - Accent4 6 2 4 3 3" xfId="30729"/>
    <cellStyle name="40% - Accent4 6 2 4 4" xfId="12826"/>
    <cellStyle name="40% - Accent4 6 2 4 4 2" xfId="30731"/>
    <cellStyle name="40% - Accent4 6 2 4 5" xfId="30724"/>
    <cellStyle name="40% - Accent4 6 2 5" xfId="12827"/>
    <cellStyle name="40% - Accent4 6 2 5 2" xfId="12828"/>
    <cellStyle name="40% - Accent4 6 2 5 2 2" xfId="12829"/>
    <cellStyle name="40% - Accent4 6 2 5 2 2 2" xfId="12830"/>
    <cellStyle name="40% - Accent4 6 2 5 2 2 2 2" xfId="30735"/>
    <cellStyle name="40% - Accent4 6 2 5 2 2 3" xfId="30734"/>
    <cellStyle name="40% - Accent4 6 2 5 2 3" xfId="12831"/>
    <cellStyle name="40% - Accent4 6 2 5 2 3 2" xfId="30736"/>
    <cellStyle name="40% - Accent4 6 2 5 2 4" xfId="30733"/>
    <cellStyle name="40% - Accent4 6 2 5 3" xfId="12832"/>
    <cellStyle name="40% - Accent4 6 2 5 3 2" xfId="12833"/>
    <cellStyle name="40% - Accent4 6 2 5 3 2 2" xfId="30738"/>
    <cellStyle name="40% - Accent4 6 2 5 3 3" xfId="30737"/>
    <cellStyle name="40% - Accent4 6 2 5 4" xfId="12834"/>
    <cellStyle name="40% - Accent4 6 2 5 4 2" xfId="30739"/>
    <cellStyle name="40% - Accent4 6 2 5 5" xfId="30732"/>
    <cellStyle name="40% - Accent4 6 2 6" xfId="12835"/>
    <cellStyle name="40% - Accent4 6 2 6 2" xfId="12836"/>
    <cellStyle name="40% - Accent4 6 2 6 2 2" xfId="12837"/>
    <cellStyle name="40% - Accent4 6 2 6 2 2 2" xfId="30742"/>
    <cellStyle name="40% - Accent4 6 2 6 2 3" xfId="30741"/>
    <cellStyle name="40% - Accent4 6 2 6 3" xfId="12838"/>
    <cellStyle name="40% - Accent4 6 2 6 3 2" xfId="30743"/>
    <cellStyle name="40% - Accent4 6 2 6 4" xfId="30740"/>
    <cellStyle name="40% - Accent4 6 2 7" xfId="12839"/>
    <cellStyle name="40% - Accent4 6 2 7 2" xfId="12840"/>
    <cellStyle name="40% - Accent4 6 2 7 2 2" xfId="30745"/>
    <cellStyle name="40% - Accent4 6 2 7 3" xfId="30744"/>
    <cellStyle name="40% - Accent4 6 2 8" xfId="12841"/>
    <cellStyle name="40% - Accent4 6 2 8 2" xfId="30746"/>
    <cellStyle name="40% - Accent4 6 2 9" xfId="30651"/>
    <cellStyle name="40% - Accent4 6 3" xfId="12842"/>
    <cellStyle name="40% - Accent4 6 3 2" xfId="12843"/>
    <cellStyle name="40% - Accent4 6 3 2 2" xfId="12844"/>
    <cellStyle name="40% - Accent4 6 3 2 2 2" xfId="12845"/>
    <cellStyle name="40% - Accent4 6 3 2 2 2 2" xfId="12846"/>
    <cellStyle name="40% - Accent4 6 3 2 2 2 2 2" xfId="12847"/>
    <cellStyle name="40% - Accent4 6 3 2 2 2 2 2 2" xfId="30752"/>
    <cellStyle name="40% - Accent4 6 3 2 2 2 2 3" xfId="30751"/>
    <cellStyle name="40% - Accent4 6 3 2 2 2 3" xfId="12848"/>
    <cellStyle name="40% - Accent4 6 3 2 2 2 3 2" xfId="30753"/>
    <cellStyle name="40% - Accent4 6 3 2 2 2 4" xfId="30750"/>
    <cellStyle name="40% - Accent4 6 3 2 2 3" xfId="12849"/>
    <cellStyle name="40% - Accent4 6 3 2 2 3 2" xfId="12850"/>
    <cellStyle name="40% - Accent4 6 3 2 2 3 2 2" xfId="30755"/>
    <cellStyle name="40% - Accent4 6 3 2 2 3 3" xfId="30754"/>
    <cellStyle name="40% - Accent4 6 3 2 2 4" xfId="12851"/>
    <cellStyle name="40% - Accent4 6 3 2 2 4 2" xfId="30756"/>
    <cellStyle name="40% - Accent4 6 3 2 2 5" xfId="30749"/>
    <cellStyle name="40% - Accent4 6 3 2 3" xfId="12852"/>
    <cellStyle name="40% - Accent4 6 3 2 3 2" xfId="12853"/>
    <cellStyle name="40% - Accent4 6 3 2 3 2 2" xfId="12854"/>
    <cellStyle name="40% - Accent4 6 3 2 3 2 2 2" xfId="12855"/>
    <cellStyle name="40% - Accent4 6 3 2 3 2 2 2 2" xfId="30760"/>
    <cellStyle name="40% - Accent4 6 3 2 3 2 2 3" xfId="30759"/>
    <cellStyle name="40% - Accent4 6 3 2 3 2 3" xfId="12856"/>
    <cellStyle name="40% - Accent4 6 3 2 3 2 3 2" xfId="30761"/>
    <cellStyle name="40% - Accent4 6 3 2 3 2 4" xfId="30758"/>
    <cellStyle name="40% - Accent4 6 3 2 3 3" xfId="12857"/>
    <cellStyle name="40% - Accent4 6 3 2 3 3 2" xfId="12858"/>
    <cellStyle name="40% - Accent4 6 3 2 3 3 2 2" xfId="30763"/>
    <cellStyle name="40% - Accent4 6 3 2 3 3 3" xfId="30762"/>
    <cellStyle name="40% - Accent4 6 3 2 3 4" xfId="12859"/>
    <cellStyle name="40% - Accent4 6 3 2 3 4 2" xfId="30764"/>
    <cellStyle name="40% - Accent4 6 3 2 3 5" xfId="30757"/>
    <cellStyle name="40% - Accent4 6 3 2 4" xfId="12860"/>
    <cellStyle name="40% - Accent4 6 3 2 4 2" xfId="12861"/>
    <cellStyle name="40% - Accent4 6 3 2 4 2 2" xfId="12862"/>
    <cellStyle name="40% - Accent4 6 3 2 4 2 2 2" xfId="30767"/>
    <cellStyle name="40% - Accent4 6 3 2 4 2 3" xfId="30766"/>
    <cellStyle name="40% - Accent4 6 3 2 4 3" xfId="12863"/>
    <cellStyle name="40% - Accent4 6 3 2 4 3 2" xfId="30768"/>
    <cellStyle name="40% - Accent4 6 3 2 4 4" xfId="30765"/>
    <cellStyle name="40% - Accent4 6 3 2 5" xfId="12864"/>
    <cellStyle name="40% - Accent4 6 3 2 5 2" xfId="12865"/>
    <cellStyle name="40% - Accent4 6 3 2 5 2 2" xfId="30770"/>
    <cellStyle name="40% - Accent4 6 3 2 5 3" xfId="30769"/>
    <cellStyle name="40% - Accent4 6 3 2 6" xfId="12866"/>
    <cellStyle name="40% - Accent4 6 3 2 6 2" xfId="30771"/>
    <cellStyle name="40% - Accent4 6 3 2 7" xfId="30748"/>
    <cellStyle name="40% - Accent4 6 3 3" xfId="12867"/>
    <cellStyle name="40% - Accent4 6 3 3 2" xfId="12868"/>
    <cellStyle name="40% - Accent4 6 3 3 2 2" xfId="12869"/>
    <cellStyle name="40% - Accent4 6 3 3 2 2 2" xfId="12870"/>
    <cellStyle name="40% - Accent4 6 3 3 2 2 2 2" xfId="30775"/>
    <cellStyle name="40% - Accent4 6 3 3 2 2 3" xfId="30774"/>
    <cellStyle name="40% - Accent4 6 3 3 2 3" xfId="12871"/>
    <cellStyle name="40% - Accent4 6 3 3 2 3 2" xfId="30776"/>
    <cellStyle name="40% - Accent4 6 3 3 2 4" xfId="30773"/>
    <cellStyle name="40% - Accent4 6 3 3 3" xfId="12872"/>
    <cellStyle name="40% - Accent4 6 3 3 3 2" xfId="12873"/>
    <cellStyle name="40% - Accent4 6 3 3 3 2 2" xfId="30778"/>
    <cellStyle name="40% - Accent4 6 3 3 3 3" xfId="30777"/>
    <cellStyle name="40% - Accent4 6 3 3 4" xfId="12874"/>
    <cellStyle name="40% - Accent4 6 3 3 4 2" xfId="30779"/>
    <cellStyle name="40% - Accent4 6 3 3 5" xfId="30772"/>
    <cellStyle name="40% - Accent4 6 3 4" xfId="12875"/>
    <cellStyle name="40% - Accent4 6 3 4 2" xfId="12876"/>
    <cellStyle name="40% - Accent4 6 3 4 2 2" xfId="12877"/>
    <cellStyle name="40% - Accent4 6 3 4 2 2 2" xfId="12878"/>
    <cellStyle name="40% - Accent4 6 3 4 2 2 2 2" xfId="30783"/>
    <cellStyle name="40% - Accent4 6 3 4 2 2 3" xfId="30782"/>
    <cellStyle name="40% - Accent4 6 3 4 2 3" xfId="12879"/>
    <cellStyle name="40% - Accent4 6 3 4 2 3 2" xfId="30784"/>
    <cellStyle name="40% - Accent4 6 3 4 2 4" xfId="30781"/>
    <cellStyle name="40% - Accent4 6 3 4 3" xfId="12880"/>
    <cellStyle name="40% - Accent4 6 3 4 3 2" xfId="12881"/>
    <cellStyle name="40% - Accent4 6 3 4 3 2 2" xfId="30786"/>
    <cellStyle name="40% - Accent4 6 3 4 3 3" xfId="30785"/>
    <cellStyle name="40% - Accent4 6 3 4 4" xfId="12882"/>
    <cellStyle name="40% - Accent4 6 3 4 4 2" xfId="30787"/>
    <cellStyle name="40% - Accent4 6 3 4 5" xfId="30780"/>
    <cellStyle name="40% - Accent4 6 3 5" xfId="12883"/>
    <cellStyle name="40% - Accent4 6 3 5 2" xfId="12884"/>
    <cellStyle name="40% - Accent4 6 3 5 2 2" xfId="12885"/>
    <cellStyle name="40% - Accent4 6 3 5 2 2 2" xfId="30790"/>
    <cellStyle name="40% - Accent4 6 3 5 2 3" xfId="30789"/>
    <cellStyle name="40% - Accent4 6 3 5 3" xfId="12886"/>
    <cellStyle name="40% - Accent4 6 3 5 3 2" xfId="30791"/>
    <cellStyle name="40% - Accent4 6 3 5 4" xfId="30788"/>
    <cellStyle name="40% - Accent4 6 3 6" xfId="12887"/>
    <cellStyle name="40% - Accent4 6 3 6 2" xfId="12888"/>
    <cellStyle name="40% - Accent4 6 3 6 2 2" xfId="30793"/>
    <cellStyle name="40% - Accent4 6 3 6 3" xfId="30792"/>
    <cellStyle name="40% - Accent4 6 3 7" xfId="12889"/>
    <cellStyle name="40% - Accent4 6 3 7 2" xfId="30794"/>
    <cellStyle name="40% - Accent4 6 3 8" xfId="30747"/>
    <cellStyle name="40% - Accent4 6 4" xfId="12890"/>
    <cellStyle name="40% - Accent4 6 4 2" xfId="12891"/>
    <cellStyle name="40% - Accent4 6 4 2 2" xfId="12892"/>
    <cellStyle name="40% - Accent4 6 4 2 2 2" xfId="12893"/>
    <cellStyle name="40% - Accent4 6 4 2 2 2 2" xfId="12894"/>
    <cellStyle name="40% - Accent4 6 4 2 2 2 2 2" xfId="30799"/>
    <cellStyle name="40% - Accent4 6 4 2 2 2 3" xfId="30798"/>
    <cellStyle name="40% - Accent4 6 4 2 2 3" xfId="12895"/>
    <cellStyle name="40% - Accent4 6 4 2 2 3 2" xfId="30800"/>
    <cellStyle name="40% - Accent4 6 4 2 2 4" xfId="30797"/>
    <cellStyle name="40% - Accent4 6 4 2 3" xfId="12896"/>
    <cellStyle name="40% - Accent4 6 4 2 3 2" xfId="12897"/>
    <cellStyle name="40% - Accent4 6 4 2 3 2 2" xfId="30802"/>
    <cellStyle name="40% - Accent4 6 4 2 3 3" xfId="30801"/>
    <cellStyle name="40% - Accent4 6 4 2 4" xfId="12898"/>
    <cellStyle name="40% - Accent4 6 4 2 4 2" xfId="30803"/>
    <cellStyle name="40% - Accent4 6 4 2 5" xfId="30796"/>
    <cellStyle name="40% - Accent4 6 4 3" xfId="12899"/>
    <cellStyle name="40% - Accent4 6 4 3 2" xfId="12900"/>
    <cellStyle name="40% - Accent4 6 4 3 2 2" xfId="12901"/>
    <cellStyle name="40% - Accent4 6 4 3 2 2 2" xfId="12902"/>
    <cellStyle name="40% - Accent4 6 4 3 2 2 2 2" xfId="30807"/>
    <cellStyle name="40% - Accent4 6 4 3 2 2 3" xfId="30806"/>
    <cellStyle name="40% - Accent4 6 4 3 2 3" xfId="12903"/>
    <cellStyle name="40% - Accent4 6 4 3 2 3 2" xfId="30808"/>
    <cellStyle name="40% - Accent4 6 4 3 2 4" xfId="30805"/>
    <cellStyle name="40% - Accent4 6 4 3 3" xfId="12904"/>
    <cellStyle name="40% - Accent4 6 4 3 3 2" xfId="12905"/>
    <cellStyle name="40% - Accent4 6 4 3 3 2 2" xfId="30810"/>
    <cellStyle name="40% - Accent4 6 4 3 3 3" xfId="30809"/>
    <cellStyle name="40% - Accent4 6 4 3 4" xfId="12906"/>
    <cellStyle name="40% - Accent4 6 4 3 4 2" xfId="30811"/>
    <cellStyle name="40% - Accent4 6 4 3 5" xfId="30804"/>
    <cellStyle name="40% - Accent4 6 4 4" xfId="12907"/>
    <cellStyle name="40% - Accent4 6 4 4 2" xfId="12908"/>
    <cellStyle name="40% - Accent4 6 4 4 2 2" xfId="12909"/>
    <cellStyle name="40% - Accent4 6 4 4 2 2 2" xfId="30814"/>
    <cellStyle name="40% - Accent4 6 4 4 2 3" xfId="30813"/>
    <cellStyle name="40% - Accent4 6 4 4 3" xfId="12910"/>
    <cellStyle name="40% - Accent4 6 4 4 3 2" xfId="30815"/>
    <cellStyle name="40% - Accent4 6 4 4 4" xfId="30812"/>
    <cellStyle name="40% - Accent4 6 4 5" xfId="12911"/>
    <cellStyle name="40% - Accent4 6 4 5 2" xfId="12912"/>
    <cellStyle name="40% - Accent4 6 4 5 2 2" xfId="30817"/>
    <cellStyle name="40% - Accent4 6 4 5 3" xfId="30816"/>
    <cellStyle name="40% - Accent4 6 4 6" xfId="12913"/>
    <cellStyle name="40% - Accent4 6 4 6 2" xfId="30818"/>
    <cellStyle name="40% - Accent4 6 4 7" xfId="30795"/>
    <cellStyle name="40% - Accent4 6 5" xfId="12914"/>
    <cellStyle name="40% - Accent4 6 5 2" xfId="12915"/>
    <cellStyle name="40% - Accent4 6 5 2 2" xfId="12916"/>
    <cellStyle name="40% - Accent4 6 5 2 2 2" xfId="12917"/>
    <cellStyle name="40% - Accent4 6 5 2 2 2 2" xfId="30822"/>
    <cellStyle name="40% - Accent4 6 5 2 2 3" xfId="30821"/>
    <cellStyle name="40% - Accent4 6 5 2 3" xfId="12918"/>
    <cellStyle name="40% - Accent4 6 5 2 3 2" xfId="30823"/>
    <cellStyle name="40% - Accent4 6 5 2 4" xfId="30820"/>
    <cellStyle name="40% - Accent4 6 5 3" xfId="12919"/>
    <cellStyle name="40% - Accent4 6 5 3 2" xfId="12920"/>
    <cellStyle name="40% - Accent4 6 5 3 2 2" xfId="30825"/>
    <cellStyle name="40% - Accent4 6 5 3 3" xfId="30824"/>
    <cellStyle name="40% - Accent4 6 5 4" xfId="12921"/>
    <cellStyle name="40% - Accent4 6 5 4 2" xfId="30826"/>
    <cellStyle name="40% - Accent4 6 5 5" xfId="30819"/>
    <cellStyle name="40% - Accent4 6 6" xfId="12922"/>
    <cellStyle name="40% - Accent4 6 6 2" xfId="12923"/>
    <cellStyle name="40% - Accent4 6 6 2 2" xfId="12924"/>
    <cellStyle name="40% - Accent4 6 6 2 2 2" xfId="12925"/>
    <cellStyle name="40% - Accent4 6 6 2 2 2 2" xfId="30830"/>
    <cellStyle name="40% - Accent4 6 6 2 2 3" xfId="30829"/>
    <cellStyle name="40% - Accent4 6 6 2 3" xfId="12926"/>
    <cellStyle name="40% - Accent4 6 6 2 3 2" xfId="30831"/>
    <cellStyle name="40% - Accent4 6 6 2 4" xfId="30828"/>
    <cellStyle name="40% - Accent4 6 6 3" xfId="12927"/>
    <cellStyle name="40% - Accent4 6 6 3 2" xfId="12928"/>
    <cellStyle name="40% - Accent4 6 6 3 2 2" xfId="30833"/>
    <cellStyle name="40% - Accent4 6 6 3 3" xfId="30832"/>
    <cellStyle name="40% - Accent4 6 6 4" xfId="12929"/>
    <cellStyle name="40% - Accent4 6 6 4 2" xfId="30834"/>
    <cellStyle name="40% - Accent4 6 6 5" xfId="30827"/>
    <cellStyle name="40% - Accent4 6 7" xfId="12930"/>
    <cellStyle name="40% - Accent4 6 7 2" xfId="12931"/>
    <cellStyle name="40% - Accent4 6 7 2 2" xfId="12932"/>
    <cellStyle name="40% - Accent4 6 7 2 2 2" xfId="30837"/>
    <cellStyle name="40% - Accent4 6 7 2 3" xfId="30836"/>
    <cellStyle name="40% - Accent4 6 7 3" xfId="12933"/>
    <cellStyle name="40% - Accent4 6 7 3 2" xfId="30838"/>
    <cellStyle name="40% - Accent4 6 7 4" xfId="30835"/>
    <cellStyle name="40% - Accent4 6 8" xfId="12934"/>
    <cellStyle name="40% - Accent4 6 8 2" xfId="12935"/>
    <cellStyle name="40% - Accent4 6 8 2 2" xfId="30840"/>
    <cellStyle name="40% - Accent4 6 8 3" xfId="30839"/>
    <cellStyle name="40% - Accent4 6 9" xfId="12936"/>
    <cellStyle name="40% - Accent4 6 9 2" xfId="30841"/>
    <cellStyle name="40% - Accent4 7" xfId="12937"/>
    <cellStyle name="40% - Accent4 7 10" xfId="30842"/>
    <cellStyle name="40% - Accent4 7 2" xfId="12938"/>
    <cellStyle name="40% - Accent4 7 2 2" xfId="12939"/>
    <cellStyle name="40% - Accent4 7 2 2 2" xfId="12940"/>
    <cellStyle name="40% - Accent4 7 2 2 2 2" xfId="12941"/>
    <cellStyle name="40% - Accent4 7 2 2 2 2 2" xfId="12942"/>
    <cellStyle name="40% - Accent4 7 2 2 2 2 2 2" xfId="12943"/>
    <cellStyle name="40% - Accent4 7 2 2 2 2 2 2 2" xfId="12944"/>
    <cellStyle name="40% - Accent4 7 2 2 2 2 2 2 2 2" xfId="30849"/>
    <cellStyle name="40% - Accent4 7 2 2 2 2 2 2 3" xfId="30848"/>
    <cellStyle name="40% - Accent4 7 2 2 2 2 2 3" xfId="12945"/>
    <cellStyle name="40% - Accent4 7 2 2 2 2 2 3 2" xfId="30850"/>
    <cellStyle name="40% - Accent4 7 2 2 2 2 2 4" xfId="30847"/>
    <cellStyle name="40% - Accent4 7 2 2 2 2 3" xfId="12946"/>
    <cellStyle name="40% - Accent4 7 2 2 2 2 3 2" xfId="12947"/>
    <cellStyle name="40% - Accent4 7 2 2 2 2 3 2 2" xfId="30852"/>
    <cellStyle name="40% - Accent4 7 2 2 2 2 3 3" xfId="30851"/>
    <cellStyle name="40% - Accent4 7 2 2 2 2 4" xfId="12948"/>
    <cellStyle name="40% - Accent4 7 2 2 2 2 4 2" xfId="30853"/>
    <cellStyle name="40% - Accent4 7 2 2 2 2 5" xfId="30846"/>
    <cellStyle name="40% - Accent4 7 2 2 2 3" xfId="12949"/>
    <cellStyle name="40% - Accent4 7 2 2 2 3 2" xfId="12950"/>
    <cellStyle name="40% - Accent4 7 2 2 2 3 2 2" xfId="12951"/>
    <cellStyle name="40% - Accent4 7 2 2 2 3 2 2 2" xfId="12952"/>
    <cellStyle name="40% - Accent4 7 2 2 2 3 2 2 2 2" xfId="30857"/>
    <cellStyle name="40% - Accent4 7 2 2 2 3 2 2 3" xfId="30856"/>
    <cellStyle name="40% - Accent4 7 2 2 2 3 2 3" xfId="12953"/>
    <cellStyle name="40% - Accent4 7 2 2 2 3 2 3 2" xfId="30858"/>
    <cellStyle name="40% - Accent4 7 2 2 2 3 2 4" xfId="30855"/>
    <cellStyle name="40% - Accent4 7 2 2 2 3 3" xfId="12954"/>
    <cellStyle name="40% - Accent4 7 2 2 2 3 3 2" xfId="12955"/>
    <cellStyle name="40% - Accent4 7 2 2 2 3 3 2 2" xfId="30860"/>
    <cellStyle name="40% - Accent4 7 2 2 2 3 3 3" xfId="30859"/>
    <cellStyle name="40% - Accent4 7 2 2 2 3 4" xfId="12956"/>
    <cellStyle name="40% - Accent4 7 2 2 2 3 4 2" xfId="30861"/>
    <cellStyle name="40% - Accent4 7 2 2 2 3 5" xfId="30854"/>
    <cellStyle name="40% - Accent4 7 2 2 2 4" xfId="12957"/>
    <cellStyle name="40% - Accent4 7 2 2 2 4 2" xfId="12958"/>
    <cellStyle name="40% - Accent4 7 2 2 2 4 2 2" xfId="12959"/>
    <cellStyle name="40% - Accent4 7 2 2 2 4 2 2 2" xfId="30864"/>
    <cellStyle name="40% - Accent4 7 2 2 2 4 2 3" xfId="30863"/>
    <cellStyle name="40% - Accent4 7 2 2 2 4 3" xfId="12960"/>
    <cellStyle name="40% - Accent4 7 2 2 2 4 3 2" xfId="30865"/>
    <cellStyle name="40% - Accent4 7 2 2 2 4 4" xfId="30862"/>
    <cellStyle name="40% - Accent4 7 2 2 2 5" xfId="12961"/>
    <cellStyle name="40% - Accent4 7 2 2 2 5 2" xfId="12962"/>
    <cellStyle name="40% - Accent4 7 2 2 2 5 2 2" xfId="30867"/>
    <cellStyle name="40% - Accent4 7 2 2 2 5 3" xfId="30866"/>
    <cellStyle name="40% - Accent4 7 2 2 2 6" xfId="12963"/>
    <cellStyle name="40% - Accent4 7 2 2 2 6 2" xfId="30868"/>
    <cellStyle name="40% - Accent4 7 2 2 2 7" xfId="30845"/>
    <cellStyle name="40% - Accent4 7 2 2 3" xfId="12964"/>
    <cellStyle name="40% - Accent4 7 2 2 3 2" xfId="12965"/>
    <cellStyle name="40% - Accent4 7 2 2 3 2 2" xfId="12966"/>
    <cellStyle name="40% - Accent4 7 2 2 3 2 2 2" xfId="12967"/>
    <cellStyle name="40% - Accent4 7 2 2 3 2 2 2 2" xfId="30872"/>
    <cellStyle name="40% - Accent4 7 2 2 3 2 2 3" xfId="30871"/>
    <cellStyle name="40% - Accent4 7 2 2 3 2 3" xfId="12968"/>
    <cellStyle name="40% - Accent4 7 2 2 3 2 3 2" xfId="30873"/>
    <cellStyle name="40% - Accent4 7 2 2 3 2 4" xfId="30870"/>
    <cellStyle name="40% - Accent4 7 2 2 3 3" xfId="12969"/>
    <cellStyle name="40% - Accent4 7 2 2 3 3 2" xfId="12970"/>
    <cellStyle name="40% - Accent4 7 2 2 3 3 2 2" xfId="30875"/>
    <cellStyle name="40% - Accent4 7 2 2 3 3 3" xfId="30874"/>
    <cellStyle name="40% - Accent4 7 2 2 3 4" xfId="12971"/>
    <cellStyle name="40% - Accent4 7 2 2 3 4 2" xfId="30876"/>
    <cellStyle name="40% - Accent4 7 2 2 3 5" xfId="30869"/>
    <cellStyle name="40% - Accent4 7 2 2 4" xfId="12972"/>
    <cellStyle name="40% - Accent4 7 2 2 4 2" xfId="12973"/>
    <cellStyle name="40% - Accent4 7 2 2 4 2 2" xfId="12974"/>
    <cellStyle name="40% - Accent4 7 2 2 4 2 2 2" xfId="12975"/>
    <cellStyle name="40% - Accent4 7 2 2 4 2 2 2 2" xfId="30880"/>
    <cellStyle name="40% - Accent4 7 2 2 4 2 2 3" xfId="30879"/>
    <cellStyle name="40% - Accent4 7 2 2 4 2 3" xfId="12976"/>
    <cellStyle name="40% - Accent4 7 2 2 4 2 3 2" xfId="30881"/>
    <cellStyle name="40% - Accent4 7 2 2 4 2 4" xfId="30878"/>
    <cellStyle name="40% - Accent4 7 2 2 4 3" xfId="12977"/>
    <cellStyle name="40% - Accent4 7 2 2 4 3 2" xfId="12978"/>
    <cellStyle name="40% - Accent4 7 2 2 4 3 2 2" xfId="30883"/>
    <cellStyle name="40% - Accent4 7 2 2 4 3 3" xfId="30882"/>
    <cellStyle name="40% - Accent4 7 2 2 4 4" xfId="12979"/>
    <cellStyle name="40% - Accent4 7 2 2 4 4 2" xfId="30884"/>
    <cellStyle name="40% - Accent4 7 2 2 4 5" xfId="30877"/>
    <cellStyle name="40% - Accent4 7 2 2 5" xfId="12980"/>
    <cellStyle name="40% - Accent4 7 2 2 5 2" xfId="12981"/>
    <cellStyle name="40% - Accent4 7 2 2 5 2 2" xfId="12982"/>
    <cellStyle name="40% - Accent4 7 2 2 5 2 2 2" xfId="30887"/>
    <cellStyle name="40% - Accent4 7 2 2 5 2 3" xfId="30886"/>
    <cellStyle name="40% - Accent4 7 2 2 5 3" xfId="12983"/>
    <cellStyle name="40% - Accent4 7 2 2 5 3 2" xfId="30888"/>
    <cellStyle name="40% - Accent4 7 2 2 5 4" xfId="30885"/>
    <cellStyle name="40% - Accent4 7 2 2 6" xfId="12984"/>
    <cellStyle name="40% - Accent4 7 2 2 6 2" xfId="12985"/>
    <cellStyle name="40% - Accent4 7 2 2 6 2 2" xfId="30890"/>
    <cellStyle name="40% - Accent4 7 2 2 6 3" xfId="30889"/>
    <cellStyle name="40% - Accent4 7 2 2 7" xfId="12986"/>
    <cellStyle name="40% - Accent4 7 2 2 7 2" xfId="30891"/>
    <cellStyle name="40% - Accent4 7 2 2 8" xfId="30844"/>
    <cellStyle name="40% - Accent4 7 2 3" xfId="12987"/>
    <cellStyle name="40% - Accent4 7 2 3 2" xfId="12988"/>
    <cellStyle name="40% - Accent4 7 2 3 2 2" xfId="12989"/>
    <cellStyle name="40% - Accent4 7 2 3 2 2 2" xfId="12990"/>
    <cellStyle name="40% - Accent4 7 2 3 2 2 2 2" xfId="12991"/>
    <cellStyle name="40% - Accent4 7 2 3 2 2 2 2 2" xfId="30896"/>
    <cellStyle name="40% - Accent4 7 2 3 2 2 2 3" xfId="30895"/>
    <cellStyle name="40% - Accent4 7 2 3 2 2 3" xfId="12992"/>
    <cellStyle name="40% - Accent4 7 2 3 2 2 3 2" xfId="30897"/>
    <cellStyle name="40% - Accent4 7 2 3 2 2 4" xfId="30894"/>
    <cellStyle name="40% - Accent4 7 2 3 2 3" xfId="12993"/>
    <cellStyle name="40% - Accent4 7 2 3 2 3 2" xfId="12994"/>
    <cellStyle name="40% - Accent4 7 2 3 2 3 2 2" xfId="30899"/>
    <cellStyle name="40% - Accent4 7 2 3 2 3 3" xfId="30898"/>
    <cellStyle name="40% - Accent4 7 2 3 2 4" xfId="12995"/>
    <cellStyle name="40% - Accent4 7 2 3 2 4 2" xfId="30900"/>
    <cellStyle name="40% - Accent4 7 2 3 2 5" xfId="30893"/>
    <cellStyle name="40% - Accent4 7 2 3 3" xfId="12996"/>
    <cellStyle name="40% - Accent4 7 2 3 3 2" xfId="12997"/>
    <cellStyle name="40% - Accent4 7 2 3 3 2 2" xfId="12998"/>
    <cellStyle name="40% - Accent4 7 2 3 3 2 2 2" xfId="12999"/>
    <cellStyle name="40% - Accent4 7 2 3 3 2 2 2 2" xfId="30904"/>
    <cellStyle name="40% - Accent4 7 2 3 3 2 2 3" xfId="30903"/>
    <cellStyle name="40% - Accent4 7 2 3 3 2 3" xfId="13000"/>
    <cellStyle name="40% - Accent4 7 2 3 3 2 3 2" xfId="30905"/>
    <cellStyle name="40% - Accent4 7 2 3 3 2 4" xfId="30902"/>
    <cellStyle name="40% - Accent4 7 2 3 3 3" xfId="13001"/>
    <cellStyle name="40% - Accent4 7 2 3 3 3 2" xfId="13002"/>
    <cellStyle name="40% - Accent4 7 2 3 3 3 2 2" xfId="30907"/>
    <cellStyle name="40% - Accent4 7 2 3 3 3 3" xfId="30906"/>
    <cellStyle name="40% - Accent4 7 2 3 3 4" xfId="13003"/>
    <cellStyle name="40% - Accent4 7 2 3 3 4 2" xfId="30908"/>
    <cellStyle name="40% - Accent4 7 2 3 3 5" xfId="30901"/>
    <cellStyle name="40% - Accent4 7 2 3 4" xfId="13004"/>
    <cellStyle name="40% - Accent4 7 2 3 4 2" xfId="13005"/>
    <cellStyle name="40% - Accent4 7 2 3 4 2 2" xfId="13006"/>
    <cellStyle name="40% - Accent4 7 2 3 4 2 2 2" xfId="30911"/>
    <cellStyle name="40% - Accent4 7 2 3 4 2 3" xfId="30910"/>
    <cellStyle name="40% - Accent4 7 2 3 4 3" xfId="13007"/>
    <cellStyle name="40% - Accent4 7 2 3 4 3 2" xfId="30912"/>
    <cellStyle name="40% - Accent4 7 2 3 4 4" xfId="30909"/>
    <cellStyle name="40% - Accent4 7 2 3 5" xfId="13008"/>
    <cellStyle name="40% - Accent4 7 2 3 5 2" xfId="13009"/>
    <cellStyle name="40% - Accent4 7 2 3 5 2 2" xfId="30914"/>
    <cellStyle name="40% - Accent4 7 2 3 5 3" xfId="30913"/>
    <cellStyle name="40% - Accent4 7 2 3 6" xfId="13010"/>
    <cellStyle name="40% - Accent4 7 2 3 6 2" xfId="30915"/>
    <cellStyle name="40% - Accent4 7 2 3 7" xfId="30892"/>
    <cellStyle name="40% - Accent4 7 2 4" xfId="13011"/>
    <cellStyle name="40% - Accent4 7 2 4 2" xfId="13012"/>
    <cellStyle name="40% - Accent4 7 2 4 2 2" xfId="13013"/>
    <cellStyle name="40% - Accent4 7 2 4 2 2 2" xfId="13014"/>
    <cellStyle name="40% - Accent4 7 2 4 2 2 2 2" xfId="30919"/>
    <cellStyle name="40% - Accent4 7 2 4 2 2 3" xfId="30918"/>
    <cellStyle name="40% - Accent4 7 2 4 2 3" xfId="13015"/>
    <cellStyle name="40% - Accent4 7 2 4 2 3 2" xfId="30920"/>
    <cellStyle name="40% - Accent4 7 2 4 2 4" xfId="30917"/>
    <cellStyle name="40% - Accent4 7 2 4 3" xfId="13016"/>
    <cellStyle name="40% - Accent4 7 2 4 3 2" xfId="13017"/>
    <cellStyle name="40% - Accent4 7 2 4 3 2 2" xfId="30922"/>
    <cellStyle name="40% - Accent4 7 2 4 3 3" xfId="30921"/>
    <cellStyle name="40% - Accent4 7 2 4 4" xfId="13018"/>
    <cellStyle name="40% - Accent4 7 2 4 4 2" xfId="30923"/>
    <cellStyle name="40% - Accent4 7 2 4 5" xfId="30916"/>
    <cellStyle name="40% - Accent4 7 2 5" xfId="13019"/>
    <cellStyle name="40% - Accent4 7 2 5 2" xfId="13020"/>
    <cellStyle name="40% - Accent4 7 2 5 2 2" xfId="13021"/>
    <cellStyle name="40% - Accent4 7 2 5 2 2 2" xfId="13022"/>
    <cellStyle name="40% - Accent4 7 2 5 2 2 2 2" xfId="30927"/>
    <cellStyle name="40% - Accent4 7 2 5 2 2 3" xfId="30926"/>
    <cellStyle name="40% - Accent4 7 2 5 2 3" xfId="13023"/>
    <cellStyle name="40% - Accent4 7 2 5 2 3 2" xfId="30928"/>
    <cellStyle name="40% - Accent4 7 2 5 2 4" xfId="30925"/>
    <cellStyle name="40% - Accent4 7 2 5 3" xfId="13024"/>
    <cellStyle name="40% - Accent4 7 2 5 3 2" xfId="13025"/>
    <cellStyle name="40% - Accent4 7 2 5 3 2 2" xfId="30930"/>
    <cellStyle name="40% - Accent4 7 2 5 3 3" xfId="30929"/>
    <cellStyle name="40% - Accent4 7 2 5 4" xfId="13026"/>
    <cellStyle name="40% - Accent4 7 2 5 4 2" xfId="30931"/>
    <cellStyle name="40% - Accent4 7 2 5 5" xfId="30924"/>
    <cellStyle name="40% - Accent4 7 2 6" xfId="13027"/>
    <cellStyle name="40% - Accent4 7 2 6 2" xfId="13028"/>
    <cellStyle name="40% - Accent4 7 2 6 2 2" xfId="13029"/>
    <cellStyle name="40% - Accent4 7 2 6 2 2 2" xfId="30934"/>
    <cellStyle name="40% - Accent4 7 2 6 2 3" xfId="30933"/>
    <cellStyle name="40% - Accent4 7 2 6 3" xfId="13030"/>
    <cellStyle name="40% - Accent4 7 2 6 3 2" xfId="30935"/>
    <cellStyle name="40% - Accent4 7 2 6 4" xfId="30932"/>
    <cellStyle name="40% - Accent4 7 2 7" xfId="13031"/>
    <cellStyle name="40% - Accent4 7 2 7 2" xfId="13032"/>
    <cellStyle name="40% - Accent4 7 2 7 2 2" xfId="30937"/>
    <cellStyle name="40% - Accent4 7 2 7 3" xfId="30936"/>
    <cellStyle name="40% - Accent4 7 2 8" xfId="13033"/>
    <cellStyle name="40% - Accent4 7 2 8 2" xfId="30938"/>
    <cellStyle name="40% - Accent4 7 2 9" xfId="30843"/>
    <cellStyle name="40% - Accent4 7 3" xfId="13034"/>
    <cellStyle name="40% - Accent4 7 3 2" xfId="13035"/>
    <cellStyle name="40% - Accent4 7 3 2 2" xfId="13036"/>
    <cellStyle name="40% - Accent4 7 3 2 2 2" xfId="13037"/>
    <cellStyle name="40% - Accent4 7 3 2 2 2 2" xfId="13038"/>
    <cellStyle name="40% - Accent4 7 3 2 2 2 2 2" xfId="13039"/>
    <cellStyle name="40% - Accent4 7 3 2 2 2 2 2 2" xfId="30944"/>
    <cellStyle name="40% - Accent4 7 3 2 2 2 2 3" xfId="30943"/>
    <cellStyle name="40% - Accent4 7 3 2 2 2 3" xfId="13040"/>
    <cellStyle name="40% - Accent4 7 3 2 2 2 3 2" xfId="30945"/>
    <cellStyle name="40% - Accent4 7 3 2 2 2 4" xfId="30942"/>
    <cellStyle name="40% - Accent4 7 3 2 2 3" xfId="13041"/>
    <cellStyle name="40% - Accent4 7 3 2 2 3 2" xfId="13042"/>
    <cellStyle name="40% - Accent4 7 3 2 2 3 2 2" xfId="30947"/>
    <cellStyle name="40% - Accent4 7 3 2 2 3 3" xfId="30946"/>
    <cellStyle name="40% - Accent4 7 3 2 2 4" xfId="13043"/>
    <cellStyle name="40% - Accent4 7 3 2 2 4 2" xfId="30948"/>
    <cellStyle name="40% - Accent4 7 3 2 2 5" xfId="30941"/>
    <cellStyle name="40% - Accent4 7 3 2 3" xfId="13044"/>
    <cellStyle name="40% - Accent4 7 3 2 3 2" xfId="13045"/>
    <cellStyle name="40% - Accent4 7 3 2 3 2 2" xfId="13046"/>
    <cellStyle name="40% - Accent4 7 3 2 3 2 2 2" xfId="13047"/>
    <cellStyle name="40% - Accent4 7 3 2 3 2 2 2 2" xfId="30952"/>
    <cellStyle name="40% - Accent4 7 3 2 3 2 2 3" xfId="30951"/>
    <cellStyle name="40% - Accent4 7 3 2 3 2 3" xfId="13048"/>
    <cellStyle name="40% - Accent4 7 3 2 3 2 3 2" xfId="30953"/>
    <cellStyle name="40% - Accent4 7 3 2 3 2 4" xfId="30950"/>
    <cellStyle name="40% - Accent4 7 3 2 3 3" xfId="13049"/>
    <cellStyle name="40% - Accent4 7 3 2 3 3 2" xfId="13050"/>
    <cellStyle name="40% - Accent4 7 3 2 3 3 2 2" xfId="30955"/>
    <cellStyle name="40% - Accent4 7 3 2 3 3 3" xfId="30954"/>
    <cellStyle name="40% - Accent4 7 3 2 3 4" xfId="13051"/>
    <cellStyle name="40% - Accent4 7 3 2 3 4 2" xfId="30956"/>
    <cellStyle name="40% - Accent4 7 3 2 3 5" xfId="30949"/>
    <cellStyle name="40% - Accent4 7 3 2 4" xfId="13052"/>
    <cellStyle name="40% - Accent4 7 3 2 4 2" xfId="13053"/>
    <cellStyle name="40% - Accent4 7 3 2 4 2 2" xfId="13054"/>
    <cellStyle name="40% - Accent4 7 3 2 4 2 2 2" xfId="30959"/>
    <cellStyle name="40% - Accent4 7 3 2 4 2 3" xfId="30958"/>
    <cellStyle name="40% - Accent4 7 3 2 4 3" xfId="13055"/>
    <cellStyle name="40% - Accent4 7 3 2 4 3 2" xfId="30960"/>
    <cellStyle name="40% - Accent4 7 3 2 4 4" xfId="30957"/>
    <cellStyle name="40% - Accent4 7 3 2 5" xfId="13056"/>
    <cellStyle name="40% - Accent4 7 3 2 5 2" xfId="13057"/>
    <cellStyle name="40% - Accent4 7 3 2 5 2 2" xfId="30962"/>
    <cellStyle name="40% - Accent4 7 3 2 5 3" xfId="30961"/>
    <cellStyle name="40% - Accent4 7 3 2 6" xfId="13058"/>
    <cellStyle name="40% - Accent4 7 3 2 6 2" xfId="30963"/>
    <cellStyle name="40% - Accent4 7 3 2 7" xfId="30940"/>
    <cellStyle name="40% - Accent4 7 3 3" xfId="13059"/>
    <cellStyle name="40% - Accent4 7 3 3 2" xfId="13060"/>
    <cellStyle name="40% - Accent4 7 3 3 2 2" xfId="13061"/>
    <cellStyle name="40% - Accent4 7 3 3 2 2 2" xfId="13062"/>
    <cellStyle name="40% - Accent4 7 3 3 2 2 2 2" xfId="30967"/>
    <cellStyle name="40% - Accent4 7 3 3 2 2 3" xfId="30966"/>
    <cellStyle name="40% - Accent4 7 3 3 2 3" xfId="13063"/>
    <cellStyle name="40% - Accent4 7 3 3 2 3 2" xfId="30968"/>
    <cellStyle name="40% - Accent4 7 3 3 2 4" xfId="30965"/>
    <cellStyle name="40% - Accent4 7 3 3 3" xfId="13064"/>
    <cellStyle name="40% - Accent4 7 3 3 3 2" xfId="13065"/>
    <cellStyle name="40% - Accent4 7 3 3 3 2 2" xfId="30970"/>
    <cellStyle name="40% - Accent4 7 3 3 3 3" xfId="30969"/>
    <cellStyle name="40% - Accent4 7 3 3 4" xfId="13066"/>
    <cellStyle name="40% - Accent4 7 3 3 4 2" xfId="30971"/>
    <cellStyle name="40% - Accent4 7 3 3 5" xfId="30964"/>
    <cellStyle name="40% - Accent4 7 3 4" xfId="13067"/>
    <cellStyle name="40% - Accent4 7 3 4 2" xfId="13068"/>
    <cellStyle name="40% - Accent4 7 3 4 2 2" xfId="13069"/>
    <cellStyle name="40% - Accent4 7 3 4 2 2 2" xfId="13070"/>
    <cellStyle name="40% - Accent4 7 3 4 2 2 2 2" xfId="30975"/>
    <cellStyle name="40% - Accent4 7 3 4 2 2 3" xfId="30974"/>
    <cellStyle name="40% - Accent4 7 3 4 2 3" xfId="13071"/>
    <cellStyle name="40% - Accent4 7 3 4 2 3 2" xfId="30976"/>
    <cellStyle name="40% - Accent4 7 3 4 2 4" xfId="30973"/>
    <cellStyle name="40% - Accent4 7 3 4 3" xfId="13072"/>
    <cellStyle name="40% - Accent4 7 3 4 3 2" xfId="13073"/>
    <cellStyle name="40% - Accent4 7 3 4 3 2 2" xfId="30978"/>
    <cellStyle name="40% - Accent4 7 3 4 3 3" xfId="30977"/>
    <cellStyle name="40% - Accent4 7 3 4 4" xfId="13074"/>
    <cellStyle name="40% - Accent4 7 3 4 4 2" xfId="30979"/>
    <cellStyle name="40% - Accent4 7 3 4 5" xfId="30972"/>
    <cellStyle name="40% - Accent4 7 3 5" xfId="13075"/>
    <cellStyle name="40% - Accent4 7 3 5 2" xfId="13076"/>
    <cellStyle name="40% - Accent4 7 3 5 2 2" xfId="13077"/>
    <cellStyle name="40% - Accent4 7 3 5 2 2 2" xfId="30982"/>
    <cellStyle name="40% - Accent4 7 3 5 2 3" xfId="30981"/>
    <cellStyle name="40% - Accent4 7 3 5 3" xfId="13078"/>
    <cellStyle name="40% - Accent4 7 3 5 3 2" xfId="30983"/>
    <cellStyle name="40% - Accent4 7 3 5 4" xfId="30980"/>
    <cellStyle name="40% - Accent4 7 3 6" xfId="13079"/>
    <cellStyle name="40% - Accent4 7 3 6 2" xfId="13080"/>
    <cellStyle name="40% - Accent4 7 3 6 2 2" xfId="30985"/>
    <cellStyle name="40% - Accent4 7 3 6 3" xfId="30984"/>
    <cellStyle name="40% - Accent4 7 3 7" xfId="13081"/>
    <cellStyle name="40% - Accent4 7 3 7 2" xfId="30986"/>
    <cellStyle name="40% - Accent4 7 3 8" xfId="30939"/>
    <cellStyle name="40% - Accent4 7 4" xfId="13082"/>
    <cellStyle name="40% - Accent4 7 4 2" xfId="13083"/>
    <cellStyle name="40% - Accent4 7 4 2 2" xfId="13084"/>
    <cellStyle name="40% - Accent4 7 4 2 2 2" xfId="13085"/>
    <cellStyle name="40% - Accent4 7 4 2 2 2 2" xfId="13086"/>
    <cellStyle name="40% - Accent4 7 4 2 2 2 2 2" xfId="30991"/>
    <cellStyle name="40% - Accent4 7 4 2 2 2 3" xfId="30990"/>
    <cellStyle name="40% - Accent4 7 4 2 2 3" xfId="13087"/>
    <cellStyle name="40% - Accent4 7 4 2 2 3 2" xfId="30992"/>
    <cellStyle name="40% - Accent4 7 4 2 2 4" xfId="30989"/>
    <cellStyle name="40% - Accent4 7 4 2 3" xfId="13088"/>
    <cellStyle name="40% - Accent4 7 4 2 3 2" xfId="13089"/>
    <cellStyle name="40% - Accent4 7 4 2 3 2 2" xfId="30994"/>
    <cellStyle name="40% - Accent4 7 4 2 3 3" xfId="30993"/>
    <cellStyle name="40% - Accent4 7 4 2 4" xfId="13090"/>
    <cellStyle name="40% - Accent4 7 4 2 4 2" xfId="30995"/>
    <cellStyle name="40% - Accent4 7 4 2 5" xfId="30988"/>
    <cellStyle name="40% - Accent4 7 4 3" xfId="13091"/>
    <cellStyle name="40% - Accent4 7 4 3 2" xfId="13092"/>
    <cellStyle name="40% - Accent4 7 4 3 2 2" xfId="13093"/>
    <cellStyle name="40% - Accent4 7 4 3 2 2 2" xfId="13094"/>
    <cellStyle name="40% - Accent4 7 4 3 2 2 2 2" xfId="30999"/>
    <cellStyle name="40% - Accent4 7 4 3 2 2 3" xfId="30998"/>
    <cellStyle name="40% - Accent4 7 4 3 2 3" xfId="13095"/>
    <cellStyle name="40% - Accent4 7 4 3 2 3 2" xfId="31000"/>
    <cellStyle name="40% - Accent4 7 4 3 2 4" xfId="30997"/>
    <cellStyle name="40% - Accent4 7 4 3 3" xfId="13096"/>
    <cellStyle name="40% - Accent4 7 4 3 3 2" xfId="13097"/>
    <cellStyle name="40% - Accent4 7 4 3 3 2 2" xfId="31002"/>
    <cellStyle name="40% - Accent4 7 4 3 3 3" xfId="31001"/>
    <cellStyle name="40% - Accent4 7 4 3 4" xfId="13098"/>
    <cellStyle name="40% - Accent4 7 4 3 4 2" xfId="31003"/>
    <cellStyle name="40% - Accent4 7 4 3 5" xfId="30996"/>
    <cellStyle name="40% - Accent4 7 4 4" xfId="13099"/>
    <cellStyle name="40% - Accent4 7 4 4 2" xfId="13100"/>
    <cellStyle name="40% - Accent4 7 4 4 2 2" xfId="13101"/>
    <cellStyle name="40% - Accent4 7 4 4 2 2 2" xfId="31006"/>
    <cellStyle name="40% - Accent4 7 4 4 2 3" xfId="31005"/>
    <cellStyle name="40% - Accent4 7 4 4 3" xfId="13102"/>
    <cellStyle name="40% - Accent4 7 4 4 3 2" xfId="31007"/>
    <cellStyle name="40% - Accent4 7 4 4 4" xfId="31004"/>
    <cellStyle name="40% - Accent4 7 4 5" xfId="13103"/>
    <cellStyle name="40% - Accent4 7 4 5 2" xfId="13104"/>
    <cellStyle name="40% - Accent4 7 4 5 2 2" xfId="31009"/>
    <cellStyle name="40% - Accent4 7 4 5 3" xfId="31008"/>
    <cellStyle name="40% - Accent4 7 4 6" xfId="13105"/>
    <cellStyle name="40% - Accent4 7 4 6 2" xfId="31010"/>
    <cellStyle name="40% - Accent4 7 4 7" xfId="30987"/>
    <cellStyle name="40% - Accent4 7 5" xfId="13106"/>
    <cellStyle name="40% - Accent4 7 5 2" xfId="13107"/>
    <cellStyle name="40% - Accent4 7 5 2 2" xfId="13108"/>
    <cellStyle name="40% - Accent4 7 5 2 2 2" xfId="13109"/>
    <cellStyle name="40% - Accent4 7 5 2 2 2 2" xfId="31014"/>
    <cellStyle name="40% - Accent4 7 5 2 2 3" xfId="31013"/>
    <cellStyle name="40% - Accent4 7 5 2 3" xfId="13110"/>
    <cellStyle name="40% - Accent4 7 5 2 3 2" xfId="31015"/>
    <cellStyle name="40% - Accent4 7 5 2 4" xfId="31012"/>
    <cellStyle name="40% - Accent4 7 5 3" xfId="13111"/>
    <cellStyle name="40% - Accent4 7 5 3 2" xfId="13112"/>
    <cellStyle name="40% - Accent4 7 5 3 2 2" xfId="31017"/>
    <cellStyle name="40% - Accent4 7 5 3 3" xfId="31016"/>
    <cellStyle name="40% - Accent4 7 5 4" xfId="13113"/>
    <cellStyle name="40% - Accent4 7 5 4 2" xfId="31018"/>
    <cellStyle name="40% - Accent4 7 5 5" xfId="31011"/>
    <cellStyle name="40% - Accent4 7 6" xfId="13114"/>
    <cellStyle name="40% - Accent4 7 6 2" xfId="13115"/>
    <cellStyle name="40% - Accent4 7 6 2 2" xfId="13116"/>
    <cellStyle name="40% - Accent4 7 6 2 2 2" xfId="13117"/>
    <cellStyle name="40% - Accent4 7 6 2 2 2 2" xfId="31022"/>
    <cellStyle name="40% - Accent4 7 6 2 2 3" xfId="31021"/>
    <cellStyle name="40% - Accent4 7 6 2 3" xfId="13118"/>
    <cellStyle name="40% - Accent4 7 6 2 3 2" xfId="31023"/>
    <cellStyle name="40% - Accent4 7 6 2 4" xfId="31020"/>
    <cellStyle name="40% - Accent4 7 6 3" xfId="13119"/>
    <cellStyle name="40% - Accent4 7 6 3 2" xfId="13120"/>
    <cellStyle name="40% - Accent4 7 6 3 2 2" xfId="31025"/>
    <cellStyle name="40% - Accent4 7 6 3 3" xfId="31024"/>
    <cellStyle name="40% - Accent4 7 6 4" xfId="13121"/>
    <cellStyle name="40% - Accent4 7 6 4 2" xfId="31026"/>
    <cellStyle name="40% - Accent4 7 6 5" xfId="31019"/>
    <cellStyle name="40% - Accent4 7 7" xfId="13122"/>
    <cellStyle name="40% - Accent4 7 7 2" xfId="13123"/>
    <cellStyle name="40% - Accent4 7 7 2 2" xfId="13124"/>
    <cellStyle name="40% - Accent4 7 7 2 2 2" xfId="31029"/>
    <cellStyle name="40% - Accent4 7 7 2 3" xfId="31028"/>
    <cellStyle name="40% - Accent4 7 7 3" xfId="13125"/>
    <cellStyle name="40% - Accent4 7 7 3 2" xfId="31030"/>
    <cellStyle name="40% - Accent4 7 7 4" xfId="31027"/>
    <cellStyle name="40% - Accent4 7 8" xfId="13126"/>
    <cellStyle name="40% - Accent4 7 8 2" xfId="13127"/>
    <cellStyle name="40% - Accent4 7 8 2 2" xfId="31032"/>
    <cellStyle name="40% - Accent4 7 8 3" xfId="31031"/>
    <cellStyle name="40% - Accent4 7 9" xfId="13128"/>
    <cellStyle name="40% - Accent4 7 9 2" xfId="31033"/>
    <cellStyle name="40% - Accent4 8" xfId="13129"/>
    <cellStyle name="40% - Accent4 8 10" xfId="31034"/>
    <cellStyle name="40% - Accent4 8 2" xfId="13130"/>
    <cellStyle name="40% - Accent4 8 2 2" xfId="13131"/>
    <cellStyle name="40% - Accent4 8 2 2 2" xfId="13132"/>
    <cellStyle name="40% - Accent4 8 2 2 2 2" xfId="13133"/>
    <cellStyle name="40% - Accent4 8 2 2 2 2 2" xfId="13134"/>
    <cellStyle name="40% - Accent4 8 2 2 2 2 2 2" xfId="13135"/>
    <cellStyle name="40% - Accent4 8 2 2 2 2 2 2 2" xfId="13136"/>
    <cellStyle name="40% - Accent4 8 2 2 2 2 2 2 2 2" xfId="31041"/>
    <cellStyle name="40% - Accent4 8 2 2 2 2 2 2 3" xfId="31040"/>
    <cellStyle name="40% - Accent4 8 2 2 2 2 2 3" xfId="13137"/>
    <cellStyle name="40% - Accent4 8 2 2 2 2 2 3 2" xfId="31042"/>
    <cellStyle name="40% - Accent4 8 2 2 2 2 2 4" xfId="31039"/>
    <cellStyle name="40% - Accent4 8 2 2 2 2 3" xfId="13138"/>
    <cellStyle name="40% - Accent4 8 2 2 2 2 3 2" xfId="13139"/>
    <cellStyle name="40% - Accent4 8 2 2 2 2 3 2 2" xfId="31044"/>
    <cellStyle name="40% - Accent4 8 2 2 2 2 3 3" xfId="31043"/>
    <cellStyle name="40% - Accent4 8 2 2 2 2 4" xfId="13140"/>
    <cellStyle name="40% - Accent4 8 2 2 2 2 4 2" xfId="31045"/>
    <cellStyle name="40% - Accent4 8 2 2 2 2 5" xfId="31038"/>
    <cellStyle name="40% - Accent4 8 2 2 2 3" xfId="13141"/>
    <cellStyle name="40% - Accent4 8 2 2 2 3 2" xfId="13142"/>
    <cellStyle name="40% - Accent4 8 2 2 2 3 2 2" xfId="13143"/>
    <cellStyle name="40% - Accent4 8 2 2 2 3 2 2 2" xfId="13144"/>
    <cellStyle name="40% - Accent4 8 2 2 2 3 2 2 2 2" xfId="31049"/>
    <cellStyle name="40% - Accent4 8 2 2 2 3 2 2 3" xfId="31048"/>
    <cellStyle name="40% - Accent4 8 2 2 2 3 2 3" xfId="13145"/>
    <cellStyle name="40% - Accent4 8 2 2 2 3 2 3 2" xfId="31050"/>
    <cellStyle name="40% - Accent4 8 2 2 2 3 2 4" xfId="31047"/>
    <cellStyle name="40% - Accent4 8 2 2 2 3 3" xfId="13146"/>
    <cellStyle name="40% - Accent4 8 2 2 2 3 3 2" xfId="13147"/>
    <cellStyle name="40% - Accent4 8 2 2 2 3 3 2 2" xfId="31052"/>
    <cellStyle name="40% - Accent4 8 2 2 2 3 3 3" xfId="31051"/>
    <cellStyle name="40% - Accent4 8 2 2 2 3 4" xfId="13148"/>
    <cellStyle name="40% - Accent4 8 2 2 2 3 4 2" xfId="31053"/>
    <cellStyle name="40% - Accent4 8 2 2 2 3 5" xfId="31046"/>
    <cellStyle name="40% - Accent4 8 2 2 2 4" xfId="13149"/>
    <cellStyle name="40% - Accent4 8 2 2 2 4 2" xfId="13150"/>
    <cellStyle name="40% - Accent4 8 2 2 2 4 2 2" xfId="13151"/>
    <cellStyle name="40% - Accent4 8 2 2 2 4 2 2 2" xfId="31056"/>
    <cellStyle name="40% - Accent4 8 2 2 2 4 2 3" xfId="31055"/>
    <cellStyle name="40% - Accent4 8 2 2 2 4 3" xfId="13152"/>
    <cellStyle name="40% - Accent4 8 2 2 2 4 3 2" xfId="31057"/>
    <cellStyle name="40% - Accent4 8 2 2 2 4 4" xfId="31054"/>
    <cellStyle name="40% - Accent4 8 2 2 2 5" xfId="13153"/>
    <cellStyle name="40% - Accent4 8 2 2 2 5 2" xfId="13154"/>
    <cellStyle name="40% - Accent4 8 2 2 2 5 2 2" xfId="31059"/>
    <cellStyle name="40% - Accent4 8 2 2 2 5 3" xfId="31058"/>
    <cellStyle name="40% - Accent4 8 2 2 2 6" xfId="13155"/>
    <cellStyle name="40% - Accent4 8 2 2 2 6 2" xfId="31060"/>
    <cellStyle name="40% - Accent4 8 2 2 2 7" xfId="31037"/>
    <cellStyle name="40% - Accent4 8 2 2 3" xfId="13156"/>
    <cellStyle name="40% - Accent4 8 2 2 3 2" xfId="13157"/>
    <cellStyle name="40% - Accent4 8 2 2 3 2 2" xfId="13158"/>
    <cellStyle name="40% - Accent4 8 2 2 3 2 2 2" xfId="13159"/>
    <cellStyle name="40% - Accent4 8 2 2 3 2 2 2 2" xfId="31064"/>
    <cellStyle name="40% - Accent4 8 2 2 3 2 2 3" xfId="31063"/>
    <cellStyle name="40% - Accent4 8 2 2 3 2 3" xfId="13160"/>
    <cellStyle name="40% - Accent4 8 2 2 3 2 3 2" xfId="31065"/>
    <cellStyle name="40% - Accent4 8 2 2 3 2 4" xfId="31062"/>
    <cellStyle name="40% - Accent4 8 2 2 3 3" xfId="13161"/>
    <cellStyle name="40% - Accent4 8 2 2 3 3 2" xfId="13162"/>
    <cellStyle name="40% - Accent4 8 2 2 3 3 2 2" xfId="31067"/>
    <cellStyle name="40% - Accent4 8 2 2 3 3 3" xfId="31066"/>
    <cellStyle name="40% - Accent4 8 2 2 3 4" xfId="13163"/>
    <cellStyle name="40% - Accent4 8 2 2 3 4 2" xfId="31068"/>
    <cellStyle name="40% - Accent4 8 2 2 3 5" xfId="31061"/>
    <cellStyle name="40% - Accent4 8 2 2 4" xfId="13164"/>
    <cellStyle name="40% - Accent4 8 2 2 4 2" xfId="13165"/>
    <cellStyle name="40% - Accent4 8 2 2 4 2 2" xfId="13166"/>
    <cellStyle name="40% - Accent4 8 2 2 4 2 2 2" xfId="13167"/>
    <cellStyle name="40% - Accent4 8 2 2 4 2 2 2 2" xfId="31072"/>
    <cellStyle name="40% - Accent4 8 2 2 4 2 2 3" xfId="31071"/>
    <cellStyle name="40% - Accent4 8 2 2 4 2 3" xfId="13168"/>
    <cellStyle name="40% - Accent4 8 2 2 4 2 3 2" xfId="31073"/>
    <cellStyle name="40% - Accent4 8 2 2 4 2 4" xfId="31070"/>
    <cellStyle name="40% - Accent4 8 2 2 4 3" xfId="13169"/>
    <cellStyle name="40% - Accent4 8 2 2 4 3 2" xfId="13170"/>
    <cellStyle name="40% - Accent4 8 2 2 4 3 2 2" xfId="31075"/>
    <cellStyle name="40% - Accent4 8 2 2 4 3 3" xfId="31074"/>
    <cellStyle name="40% - Accent4 8 2 2 4 4" xfId="13171"/>
    <cellStyle name="40% - Accent4 8 2 2 4 4 2" xfId="31076"/>
    <cellStyle name="40% - Accent4 8 2 2 4 5" xfId="31069"/>
    <cellStyle name="40% - Accent4 8 2 2 5" xfId="13172"/>
    <cellStyle name="40% - Accent4 8 2 2 5 2" xfId="13173"/>
    <cellStyle name="40% - Accent4 8 2 2 5 2 2" xfId="13174"/>
    <cellStyle name="40% - Accent4 8 2 2 5 2 2 2" xfId="31079"/>
    <cellStyle name="40% - Accent4 8 2 2 5 2 3" xfId="31078"/>
    <cellStyle name="40% - Accent4 8 2 2 5 3" xfId="13175"/>
    <cellStyle name="40% - Accent4 8 2 2 5 3 2" xfId="31080"/>
    <cellStyle name="40% - Accent4 8 2 2 5 4" xfId="31077"/>
    <cellStyle name="40% - Accent4 8 2 2 6" xfId="13176"/>
    <cellStyle name="40% - Accent4 8 2 2 6 2" xfId="13177"/>
    <cellStyle name="40% - Accent4 8 2 2 6 2 2" xfId="31082"/>
    <cellStyle name="40% - Accent4 8 2 2 6 3" xfId="31081"/>
    <cellStyle name="40% - Accent4 8 2 2 7" xfId="13178"/>
    <cellStyle name="40% - Accent4 8 2 2 7 2" xfId="31083"/>
    <cellStyle name="40% - Accent4 8 2 2 8" xfId="31036"/>
    <cellStyle name="40% - Accent4 8 2 3" xfId="13179"/>
    <cellStyle name="40% - Accent4 8 2 3 2" xfId="13180"/>
    <cellStyle name="40% - Accent4 8 2 3 2 2" xfId="13181"/>
    <cellStyle name="40% - Accent4 8 2 3 2 2 2" xfId="13182"/>
    <cellStyle name="40% - Accent4 8 2 3 2 2 2 2" xfId="13183"/>
    <cellStyle name="40% - Accent4 8 2 3 2 2 2 2 2" xfId="31088"/>
    <cellStyle name="40% - Accent4 8 2 3 2 2 2 3" xfId="31087"/>
    <cellStyle name="40% - Accent4 8 2 3 2 2 3" xfId="13184"/>
    <cellStyle name="40% - Accent4 8 2 3 2 2 3 2" xfId="31089"/>
    <cellStyle name="40% - Accent4 8 2 3 2 2 4" xfId="31086"/>
    <cellStyle name="40% - Accent4 8 2 3 2 3" xfId="13185"/>
    <cellStyle name="40% - Accent4 8 2 3 2 3 2" xfId="13186"/>
    <cellStyle name="40% - Accent4 8 2 3 2 3 2 2" xfId="31091"/>
    <cellStyle name="40% - Accent4 8 2 3 2 3 3" xfId="31090"/>
    <cellStyle name="40% - Accent4 8 2 3 2 4" xfId="13187"/>
    <cellStyle name="40% - Accent4 8 2 3 2 4 2" xfId="31092"/>
    <cellStyle name="40% - Accent4 8 2 3 2 5" xfId="31085"/>
    <cellStyle name="40% - Accent4 8 2 3 3" xfId="13188"/>
    <cellStyle name="40% - Accent4 8 2 3 3 2" xfId="13189"/>
    <cellStyle name="40% - Accent4 8 2 3 3 2 2" xfId="13190"/>
    <cellStyle name="40% - Accent4 8 2 3 3 2 2 2" xfId="13191"/>
    <cellStyle name="40% - Accent4 8 2 3 3 2 2 2 2" xfId="31096"/>
    <cellStyle name="40% - Accent4 8 2 3 3 2 2 3" xfId="31095"/>
    <cellStyle name="40% - Accent4 8 2 3 3 2 3" xfId="13192"/>
    <cellStyle name="40% - Accent4 8 2 3 3 2 3 2" xfId="31097"/>
    <cellStyle name="40% - Accent4 8 2 3 3 2 4" xfId="31094"/>
    <cellStyle name="40% - Accent4 8 2 3 3 3" xfId="13193"/>
    <cellStyle name="40% - Accent4 8 2 3 3 3 2" xfId="13194"/>
    <cellStyle name="40% - Accent4 8 2 3 3 3 2 2" xfId="31099"/>
    <cellStyle name="40% - Accent4 8 2 3 3 3 3" xfId="31098"/>
    <cellStyle name="40% - Accent4 8 2 3 3 4" xfId="13195"/>
    <cellStyle name="40% - Accent4 8 2 3 3 4 2" xfId="31100"/>
    <cellStyle name="40% - Accent4 8 2 3 3 5" xfId="31093"/>
    <cellStyle name="40% - Accent4 8 2 3 4" xfId="13196"/>
    <cellStyle name="40% - Accent4 8 2 3 4 2" xfId="13197"/>
    <cellStyle name="40% - Accent4 8 2 3 4 2 2" xfId="13198"/>
    <cellStyle name="40% - Accent4 8 2 3 4 2 2 2" xfId="31103"/>
    <cellStyle name="40% - Accent4 8 2 3 4 2 3" xfId="31102"/>
    <cellStyle name="40% - Accent4 8 2 3 4 3" xfId="13199"/>
    <cellStyle name="40% - Accent4 8 2 3 4 3 2" xfId="31104"/>
    <cellStyle name="40% - Accent4 8 2 3 4 4" xfId="31101"/>
    <cellStyle name="40% - Accent4 8 2 3 5" xfId="13200"/>
    <cellStyle name="40% - Accent4 8 2 3 5 2" xfId="13201"/>
    <cellStyle name="40% - Accent4 8 2 3 5 2 2" xfId="31106"/>
    <cellStyle name="40% - Accent4 8 2 3 5 3" xfId="31105"/>
    <cellStyle name="40% - Accent4 8 2 3 6" xfId="13202"/>
    <cellStyle name="40% - Accent4 8 2 3 6 2" xfId="31107"/>
    <cellStyle name="40% - Accent4 8 2 3 7" xfId="31084"/>
    <cellStyle name="40% - Accent4 8 2 4" xfId="13203"/>
    <cellStyle name="40% - Accent4 8 2 4 2" xfId="13204"/>
    <cellStyle name="40% - Accent4 8 2 4 2 2" xfId="13205"/>
    <cellStyle name="40% - Accent4 8 2 4 2 2 2" xfId="13206"/>
    <cellStyle name="40% - Accent4 8 2 4 2 2 2 2" xfId="31111"/>
    <cellStyle name="40% - Accent4 8 2 4 2 2 3" xfId="31110"/>
    <cellStyle name="40% - Accent4 8 2 4 2 3" xfId="13207"/>
    <cellStyle name="40% - Accent4 8 2 4 2 3 2" xfId="31112"/>
    <cellStyle name="40% - Accent4 8 2 4 2 4" xfId="31109"/>
    <cellStyle name="40% - Accent4 8 2 4 3" xfId="13208"/>
    <cellStyle name="40% - Accent4 8 2 4 3 2" xfId="13209"/>
    <cellStyle name="40% - Accent4 8 2 4 3 2 2" xfId="31114"/>
    <cellStyle name="40% - Accent4 8 2 4 3 3" xfId="31113"/>
    <cellStyle name="40% - Accent4 8 2 4 4" xfId="13210"/>
    <cellStyle name="40% - Accent4 8 2 4 4 2" xfId="31115"/>
    <cellStyle name="40% - Accent4 8 2 4 5" xfId="31108"/>
    <cellStyle name="40% - Accent4 8 2 5" xfId="13211"/>
    <cellStyle name="40% - Accent4 8 2 5 2" xfId="13212"/>
    <cellStyle name="40% - Accent4 8 2 5 2 2" xfId="13213"/>
    <cellStyle name="40% - Accent4 8 2 5 2 2 2" xfId="13214"/>
    <cellStyle name="40% - Accent4 8 2 5 2 2 2 2" xfId="31119"/>
    <cellStyle name="40% - Accent4 8 2 5 2 2 3" xfId="31118"/>
    <cellStyle name="40% - Accent4 8 2 5 2 3" xfId="13215"/>
    <cellStyle name="40% - Accent4 8 2 5 2 3 2" xfId="31120"/>
    <cellStyle name="40% - Accent4 8 2 5 2 4" xfId="31117"/>
    <cellStyle name="40% - Accent4 8 2 5 3" xfId="13216"/>
    <cellStyle name="40% - Accent4 8 2 5 3 2" xfId="13217"/>
    <cellStyle name="40% - Accent4 8 2 5 3 2 2" xfId="31122"/>
    <cellStyle name="40% - Accent4 8 2 5 3 3" xfId="31121"/>
    <cellStyle name="40% - Accent4 8 2 5 4" xfId="13218"/>
    <cellStyle name="40% - Accent4 8 2 5 4 2" xfId="31123"/>
    <cellStyle name="40% - Accent4 8 2 5 5" xfId="31116"/>
    <cellStyle name="40% - Accent4 8 2 6" xfId="13219"/>
    <cellStyle name="40% - Accent4 8 2 6 2" xfId="13220"/>
    <cellStyle name="40% - Accent4 8 2 6 2 2" xfId="13221"/>
    <cellStyle name="40% - Accent4 8 2 6 2 2 2" xfId="31126"/>
    <cellStyle name="40% - Accent4 8 2 6 2 3" xfId="31125"/>
    <cellStyle name="40% - Accent4 8 2 6 3" xfId="13222"/>
    <cellStyle name="40% - Accent4 8 2 6 3 2" xfId="31127"/>
    <cellStyle name="40% - Accent4 8 2 6 4" xfId="31124"/>
    <cellStyle name="40% - Accent4 8 2 7" xfId="13223"/>
    <cellStyle name="40% - Accent4 8 2 7 2" xfId="13224"/>
    <cellStyle name="40% - Accent4 8 2 7 2 2" xfId="31129"/>
    <cellStyle name="40% - Accent4 8 2 7 3" xfId="31128"/>
    <cellStyle name="40% - Accent4 8 2 8" xfId="13225"/>
    <cellStyle name="40% - Accent4 8 2 8 2" xfId="31130"/>
    <cellStyle name="40% - Accent4 8 2 9" xfId="31035"/>
    <cellStyle name="40% - Accent4 8 3" xfId="13226"/>
    <cellStyle name="40% - Accent4 8 3 2" xfId="13227"/>
    <cellStyle name="40% - Accent4 8 3 2 2" xfId="13228"/>
    <cellStyle name="40% - Accent4 8 3 2 2 2" xfId="13229"/>
    <cellStyle name="40% - Accent4 8 3 2 2 2 2" xfId="13230"/>
    <cellStyle name="40% - Accent4 8 3 2 2 2 2 2" xfId="13231"/>
    <cellStyle name="40% - Accent4 8 3 2 2 2 2 2 2" xfId="31136"/>
    <cellStyle name="40% - Accent4 8 3 2 2 2 2 3" xfId="31135"/>
    <cellStyle name="40% - Accent4 8 3 2 2 2 3" xfId="13232"/>
    <cellStyle name="40% - Accent4 8 3 2 2 2 3 2" xfId="31137"/>
    <cellStyle name="40% - Accent4 8 3 2 2 2 4" xfId="31134"/>
    <cellStyle name="40% - Accent4 8 3 2 2 3" xfId="13233"/>
    <cellStyle name="40% - Accent4 8 3 2 2 3 2" xfId="13234"/>
    <cellStyle name="40% - Accent4 8 3 2 2 3 2 2" xfId="31139"/>
    <cellStyle name="40% - Accent4 8 3 2 2 3 3" xfId="31138"/>
    <cellStyle name="40% - Accent4 8 3 2 2 4" xfId="13235"/>
    <cellStyle name="40% - Accent4 8 3 2 2 4 2" xfId="31140"/>
    <cellStyle name="40% - Accent4 8 3 2 2 5" xfId="31133"/>
    <cellStyle name="40% - Accent4 8 3 2 3" xfId="13236"/>
    <cellStyle name="40% - Accent4 8 3 2 3 2" xfId="13237"/>
    <cellStyle name="40% - Accent4 8 3 2 3 2 2" xfId="13238"/>
    <cellStyle name="40% - Accent4 8 3 2 3 2 2 2" xfId="13239"/>
    <cellStyle name="40% - Accent4 8 3 2 3 2 2 2 2" xfId="31144"/>
    <cellStyle name="40% - Accent4 8 3 2 3 2 2 3" xfId="31143"/>
    <cellStyle name="40% - Accent4 8 3 2 3 2 3" xfId="13240"/>
    <cellStyle name="40% - Accent4 8 3 2 3 2 3 2" xfId="31145"/>
    <cellStyle name="40% - Accent4 8 3 2 3 2 4" xfId="31142"/>
    <cellStyle name="40% - Accent4 8 3 2 3 3" xfId="13241"/>
    <cellStyle name="40% - Accent4 8 3 2 3 3 2" xfId="13242"/>
    <cellStyle name="40% - Accent4 8 3 2 3 3 2 2" xfId="31147"/>
    <cellStyle name="40% - Accent4 8 3 2 3 3 3" xfId="31146"/>
    <cellStyle name="40% - Accent4 8 3 2 3 4" xfId="13243"/>
    <cellStyle name="40% - Accent4 8 3 2 3 4 2" xfId="31148"/>
    <cellStyle name="40% - Accent4 8 3 2 3 5" xfId="31141"/>
    <cellStyle name="40% - Accent4 8 3 2 4" xfId="13244"/>
    <cellStyle name="40% - Accent4 8 3 2 4 2" xfId="13245"/>
    <cellStyle name="40% - Accent4 8 3 2 4 2 2" xfId="13246"/>
    <cellStyle name="40% - Accent4 8 3 2 4 2 2 2" xfId="31151"/>
    <cellStyle name="40% - Accent4 8 3 2 4 2 3" xfId="31150"/>
    <cellStyle name="40% - Accent4 8 3 2 4 3" xfId="13247"/>
    <cellStyle name="40% - Accent4 8 3 2 4 3 2" xfId="31152"/>
    <cellStyle name="40% - Accent4 8 3 2 4 4" xfId="31149"/>
    <cellStyle name="40% - Accent4 8 3 2 5" xfId="13248"/>
    <cellStyle name="40% - Accent4 8 3 2 5 2" xfId="13249"/>
    <cellStyle name="40% - Accent4 8 3 2 5 2 2" xfId="31154"/>
    <cellStyle name="40% - Accent4 8 3 2 5 3" xfId="31153"/>
    <cellStyle name="40% - Accent4 8 3 2 6" xfId="13250"/>
    <cellStyle name="40% - Accent4 8 3 2 6 2" xfId="31155"/>
    <cellStyle name="40% - Accent4 8 3 2 7" xfId="31132"/>
    <cellStyle name="40% - Accent4 8 3 3" xfId="13251"/>
    <cellStyle name="40% - Accent4 8 3 3 2" xfId="13252"/>
    <cellStyle name="40% - Accent4 8 3 3 2 2" xfId="13253"/>
    <cellStyle name="40% - Accent4 8 3 3 2 2 2" xfId="13254"/>
    <cellStyle name="40% - Accent4 8 3 3 2 2 2 2" xfId="31159"/>
    <cellStyle name="40% - Accent4 8 3 3 2 2 3" xfId="31158"/>
    <cellStyle name="40% - Accent4 8 3 3 2 3" xfId="13255"/>
    <cellStyle name="40% - Accent4 8 3 3 2 3 2" xfId="31160"/>
    <cellStyle name="40% - Accent4 8 3 3 2 4" xfId="31157"/>
    <cellStyle name="40% - Accent4 8 3 3 3" xfId="13256"/>
    <cellStyle name="40% - Accent4 8 3 3 3 2" xfId="13257"/>
    <cellStyle name="40% - Accent4 8 3 3 3 2 2" xfId="31162"/>
    <cellStyle name="40% - Accent4 8 3 3 3 3" xfId="31161"/>
    <cellStyle name="40% - Accent4 8 3 3 4" xfId="13258"/>
    <cellStyle name="40% - Accent4 8 3 3 4 2" xfId="31163"/>
    <cellStyle name="40% - Accent4 8 3 3 5" xfId="31156"/>
    <cellStyle name="40% - Accent4 8 3 4" xfId="13259"/>
    <cellStyle name="40% - Accent4 8 3 4 2" xfId="13260"/>
    <cellStyle name="40% - Accent4 8 3 4 2 2" xfId="13261"/>
    <cellStyle name="40% - Accent4 8 3 4 2 2 2" xfId="13262"/>
    <cellStyle name="40% - Accent4 8 3 4 2 2 2 2" xfId="31167"/>
    <cellStyle name="40% - Accent4 8 3 4 2 2 3" xfId="31166"/>
    <cellStyle name="40% - Accent4 8 3 4 2 3" xfId="13263"/>
    <cellStyle name="40% - Accent4 8 3 4 2 3 2" xfId="31168"/>
    <cellStyle name="40% - Accent4 8 3 4 2 4" xfId="31165"/>
    <cellStyle name="40% - Accent4 8 3 4 3" xfId="13264"/>
    <cellStyle name="40% - Accent4 8 3 4 3 2" xfId="13265"/>
    <cellStyle name="40% - Accent4 8 3 4 3 2 2" xfId="31170"/>
    <cellStyle name="40% - Accent4 8 3 4 3 3" xfId="31169"/>
    <cellStyle name="40% - Accent4 8 3 4 4" xfId="13266"/>
    <cellStyle name="40% - Accent4 8 3 4 4 2" xfId="31171"/>
    <cellStyle name="40% - Accent4 8 3 4 5" xfId="31164"/>
    <cellStyle name="40% - Accent4 8 3 5" xfId="13267"/>
    <cellStyle name="40% - Accent4 8 3 5 2" xfId="13268"/>
    <cellStyle name="40% - Accent4 8 3 5 2 2" xfId="13269"/>
    <cellStyle name="40% - Accent4 8 3 5 2 2 2" xfId="31174"/>
    <cellStyle name="40% - Accent4 8 3 5 2 3" xfId="31173"/>
    <cellStyle name="40% - Accent4 8 3 5 3" xfId="13270"/>
    <cellStyle name="40% - Accent4 8 3 5 3 2" xfId="31175"/>
    <cellStyle name="40% - Accent4 8 3 5 4" xfId="31172"/>
    <cellStyle name="40% - Accent4 8 3 6" xfId="13271"/>
    <cellStyle name="40% - Accent4 8 3 6 2" xfId="13272"/>
    <cellStyle name="40% - Accent4 8 3 6 2 2" xfId="31177"/>
    <cellStyle name="40% - Accent4 8 3 6 3" xfId="31176"/>
    <cellStyle name="40% - Accent4 8 3 7" xfId="13273"/>
    <cellStyle name="40% - Accent4 8 3 7 2" xfId="31178"/>
    <cellStyle name="40% - Accent4 8 3 8" xfId="31131"/>
    <cellStyle name="40% - Accent4 8 4" xfId="13274"/>
    <cellStyle name="40% - Accent4 8 4 2" xfId="13275"/>
    <cellStyle name="40% - Accent4 8 4 2 2" xfId="13276"/>
    <cellStyle name="40% - Accent4 8 4 2 2 2" xfId="13277"/>
    <cellStyle name="40% - Accent4 8 4 2 2 2 2" xfId="13278"/>
    <cellStyle name="40% - Accent4 8 4 2 2 2 2 2" xfId="31183"/>
    <cellStyle name="40% - Accent4 8 4 2 2 2 3" xfId="31182"/>
    <cellStyle name="40% - Accent4 8 4 2 2 3" xfId="13279"/>
    <cellStyle name="40% - Accent4 8 4 2 2 3 2" xfId="31184"/>
    <cellStyle name="40% - Accent4 8 4 2 2 4" xfId="31181"/>
    <cellStyle name="40% - Accent4 8 4 2 3" xfId="13280"/>
    <cellStyle name="40% - Accent4 8 4 2 3 2" xfId="13281"/>
    <cellStyle name="40% - Accent4 8 4 2 3 2 2" xfId="31186"/>
    <cellStyle name="40% - Accent4 8 4 2 3 3" xfId="31185"/>
    <cellStyle name="40% - Accent4 8 4 2 4" xfId="13282"/>
    <cellStyle name="40% - Accent4 8 4 2 4 2" xfId="31187"/>
    <cellStyle name="40% - Accent4 8 4 2 5" xfId="31180"/>
    <cellStyle name="40% - Accent4 8 4 3" xfId="13283"/>
    <cellStyle name="40% - Accent4 8 4 3 2" xfId="13284"/>
    <cellStyle name="40% - Accent4 8 4 3 2 2" xfId="13285"/>
    <cellStyle name="40% - Accent4 8 4 3 2 2 2" xfId="13286"/>
    <cellStyle name="40% - Accent4 8 4 3 2 2 2 2" xfId="31191"/>
    <cellStyle name="40% - Accent4 8 4 3 2 2 3" xfId="31190"/>
    <cellStyle name="40% - Accent4 8 4 3 2 3" xfId="13287"/>
    <cellStyle name="40% - Accent4 8 4 3 2 3 2" xfId="31192"/>
    <cellStyle name="40% - Accent4 8 4 3 2 4" xfId="31189"/>
    <cellStyle name="40% - Accent4 8 4 3 3" xfId="13288"/>
    <cellStyle name="40% - Accent4 8 4 3 3 2" xfId="13289"/>
    <cellStyle name="40% - Accent4 8 4 3 3 2 2" xfId="31194"/>
    <cellStyle name="40% - Accent4 8 4 3 3 3" xfId="31193"/>
    <cellStyle name="40% - Accent4 8 4 3 4" xfId="13290"/>
    <cellStyle name="40% - Accent4 8 4 3 4 2" xfId="31195"/>
    <cellStyle name="40% - Accent4 8 4 3 5" xfId="31188"/>
    <cellStyle name="40% - Accent4 8 4 4" xfId="13291"/>
    <cellStyle name="40% - Accent4 8 4 4 2" xfId="13292"/>
    <cellStyle name="40% - Accent4 8 4 4 2 2" xfId="13293"/>
    <cellStyle name="40% - Accent4 8 4 4 2 2 2" xfId="31198"/>
    <cellStyle name="40% - Accent4 8 4 4 2 3" xfId="31197"/>
    <cellStyle name="40% - Accent4 8 4 4 3" xfId="13294"/>
    <cellStyle name="40% - Accent4 8 4 4 3 2" xfId="31199"/>
    <cellStyle name="40% - Accent4 8 4 4 4" xfId="31196"/>
    <cellStyle name="40% - Accent4 8 4 5" xfId="13295"/>
    <cellStyle name="40% - Accent4 8 4 5 2" xfId="13296"/>
    <cellStyle name="40% - Accent4 8 4 5 2 2" xfId="31201"/>
    <cellStyle name="40% - Accent4 8 4 5 3" xfId="31200"/>
    <cellStyle name="40% - Accent4 8 4 6" xfId="13297"/>
    <cellStyle name="40% - Accent4 8 4 6 2" xfId="31202"/>
    <cellStyle name="40% - Accent4 8 4 7" xfId="31179"/>
    <cellStyle name="40% - Accent4 8 5" xfId="13298"/>
    <cellStyle name="40% - Accent4 8 5 2" xfId="13299"/>
    <cellStyle name="40% - Accent4 8 5 2 2" xfId="13300"/>
    <cellStyle name="40% - Accent4 8 5 2 2 2" xfId="13301"/>
    <cellStyle name="40% - Accent4 8 5 2 2 2 2" xfId="31206"/>
    <cellStyle name="40% - Accent4 8 5 2 2 3" xfId="31205"/>
    <cellStyle name="40% - Accent4 8 5 2 3" xfId="13302"/>
    <cellStyle name="40% - Accent4 8 5 2 3 2" xfId="31207"/>
    <cellStyle name="40% - Accent4 8 5 2 4" xfId="31204"/>
    <cellStyle name="40% - Accent4 8 5 3" xfId="13303"/>
    <cellStyle name="40% - Accent4 8 5 3 2" xfId="13304"/>
    <cellStyle name="40% - Accent4 8 5 3 2 2" xfId="31209"/>
    <cellStyle name="40% - Accent4 8 5 3 3" xfId="31208"/>
    <cellStyle name="40% - Accent4 8 5 4" xfId="13305"/>
    <cellStyle name="40% - Accent4 8 5 4 2" xfId="31210"/>
    <cellStyle name="40% - Accent4 8 5 5" xfId="31203"/>
    <cellStyle name="40% - Accent4 8 6" xfId="13306"/>
    <cellStyle name="40% - Accent4 8 6 2" xfId="13307"/>
    <cellStyle name="40% - Accent4 8 6 2 2" xfId="13308"/>
    <cellStyle name="40% - Accent4 8 6 2 2 2" xfId="13309"/>
    <cellStyle name="40% - Accent4 8 6 2 2 2 2" xfId="31214"/>
    <cellStyle name="40% - Accent4 8 6 2 2 3" xfId="31213"/>
    <cellStyle name="40% - Accent4 8 6 2 3" xfId="13310"/>
    <cellStyle name="40% - Accent4 8 6 2 3 2" xfId="31215"/>
    <cellStyle name="40% - Accent4 8 6 2 4" xfId="31212"/>
    <cellStyle name="40% - Accent4 8 6 3" xfId="13311"/>
    <cellStyle name="40% - Accent4 8 6 3 2" xfId="13312"/>
    <cellStyle name="40% - Accent4 8 6 3 2 2" xfId="31217"/>
    <cellStyle name="40% - Accent4 8 6 3 3" xfId="31216"/>
    <cellStyle name="40% - Accent4 8 6 4" xfId="13313"/>
    <cellStyle name="40% - Accent4 8 6 4 2" xfId="31218"/>
    <cellStyle name="40% - Accent4 8 6 5" xfId="31211"/>
    <cellStyle name="40% - Accent4 8 7" xfId="13314"/>
    <cellStyle name="40% - Accent4 8 7 2" xfId="13315"/>
    <cellStyle name="40% - Accent4 8 7 2 2" xfId="13316"/>
    <cellStyle name="40% - Accent4 8 7 2 2 2" xfId="31221"/>
    <cellStyle name="40% - Accent4 8 7 2 3" xfId="31220"/>
    <cellStyle name="40% - Accent4 8 7 3" xfId="13317"/>
    <cellStyle name="40% - Accent4 8 7 3 2" xfId="31222"/>
    <cellStyle name="40% - Accent4 8 7 4" xfId="31219"/>
    <cellStyle name="40% - Accent4 8 8" xfId="13318"/>
    <cellStyle name="40% - Accent4 8 8 2" xfId="13319"/>
    <cellStyle name="40% - Accent4 8 8 2 2" xfId="31224"/>
    <cellStyle name="40% - Accent4 8 8 3" xfId="31223"/>
    <cellStyle name="40% - Accent4 8 9" xfId="13320"/>
    <cellStyle name="40% - Accent4 8 9 2" xfId="31225"/>
    <cellStyle name="40% - Accent4 9" xfId="13321"/>
    <cellStyle name="40% - Accent4 9 2" xfId="13322"/>
    <cellStyle name="40% - Accent4 9 2 2" xfId="13323"/>
    <cellStyle name="40% - Accent4 9 2 2 2" xfId="13324"/>
    <cellStyle name="40% - Accent4 9 2 2 2 2" xfId="31229"/>
    <cellStyle name="40% - Accent4 9 2 2 3" xfId="31228"/>
    <cellStyle name="40% - Accent4 9 2 3" xfId="13325"/>
    <cellStyle name="40% - Accent4 9 2 3 2" xfId="31230"/>
    <cellStyle name="40% - Accent4 9 2 4" xfId="31227"/>
    <cellStyle name="40% - Accent4 9 3" xfId="13326"/>
    <cellStyle name="40% - Accent4 9 3 2" xfId="13327"/>
    <cellStyle name="40% - Accent4 9 3 2 2" xfId="31232"/>
    <cellStyle name="40% - Accent4 9 3 3" xfId="31231"/>
    <cellStyle name="40% - Accent4 9 4" xfId="13328"/>
    <cellStyle name="40% - Accent4 9 4 2" xfId="31233"/>
    <cellStyle name="40% - Accent4 9 5" xfId="31226"/>
    <cellStyle name="40% - Accent5" xfId="12" builtinId="47" customBuiltin="1"/>
    <cellStyle name="40% - Accent5 10" xfId="13329"/>
    <cellStyle name="40% - Accent5 10 2" xfId="13330"/>
    <cellStyle name="40% - Accent5 10 2 2" xfId="13331"/>
    <cellStyle name="40% - Accent5 10 2 2 2" xfId="13332"/>
    <cellStyle name="40% - Accent5 10 2 2 2 2" xfId="31237"/>
    <cellStyle name="40% - Accent5 10 2 2 3" xfId="31236"/>
    <cellStyle name="40% - Accent5 10 2 3" xfId="13333"/>
    <cellStyle name="40% - Accent5 10 2 3 2" xfId="31238"/>
    <cellStyle name="40% - Accent5 10 2 4" xfId="31235"/>
    <cellStyle name="40% - Accent5 10 3" xfId="13334"/>
    <cellStyle name="40% - Accent5 10 3 2" xfId="13335"/>
    <cellStyle name="40% - Accent5 10 3 2 2" xfId="31240"/>
    <cellStyle name="40% - Accent5 10 3 3" xfId="31239"/>
    <cellStyle name="40% - Accent5 10 4" xfId="13336"/>
    <cellStyle name="40% - Accent5 10 4 2" xfId="31241"/>
    <cellStyle name="40% - Accent5 10 5" xfId="31234"/>
    <cellStyle name="40% - Accent5 11" xfId="13337"/>
    <cellStyle name="40% - Accent5 11 2" xfId="13338"/>
    <cellStyle name="40% - Accent5 11 2 2" xfId="13339"/>
    <cellStyle name="40% - Accent5 11 2 2 2" xfId="13340"/>
    <cellStyle name="40% - Accent5 11 2 2 2 2" xfId="31245"/>
    <cellStyle name="40% - Accent5 11 2 2 3" xfId="31244"/>
    <cellStyle name="40% - Accent5 11 2 3" xfId="13341"/>
    <cellStyle name="40% - Accent5 11 2 3 2" xfId="31246"/>
    <cellStyle name="40% - Accent5 11 2 4" xfId="31243"/>
    <cellStyle name="40% - Accent5 11 3" xfId="13342"/>
    <cellStyle name="40% - Accent5 11 3 2" xfId="13343"/>
    <cellStyle name="40% - Accent5 11 3 2 2" xfId="31248"/>
    <cellStyle name="40% - Accent5 11 3 3" xfId="31247"/>
    <cellStyle name="40% - Accent5 11 4" xfId="13344"/>
    <cellStyle name="40% - Accent5 11 4 2" xfId="31249"/>
    <cellStyle name="40% - Accent5 11 5" xfId="31242"/>
    <cellStyle name="40% - Accent5 12" xfId="13345"/>
    <cellStyle name="40% - Accent5 12 2" xfId="13346"/>
    <cellStyle name="40% - Accent5 12 2 2" xfId="13347"/>
    <cellStyle name="40% - Accent5 12 2 2 2" xfId="13348"/>
    <cellStyle name="40% - Accent5 12 2 2 2 2" xfId="31253"/>
    <cellStyle name="40% - Accent5 12 2 2 3" xfId="31252"/>
    <cellStyle name="40% - Accent5 12 2 3" xfId="13349"/>
    <cellStyle name="40% - Accent5 12 2 3 2" xfId="31254"/>
    <cellStyle name="40% - Accent5 12 2 4" xfId="31251"/>
    <cellStyle name="40% - Accent5 12 3" xfId="13350"/>
    <cellStyle name="40% - Accent5 12 3 2" xfId="13351"/>
    <cellStyle name="40% - Accent5 12 3 2 2" xfId="31256"/>
    <cellStyle name="40% - Accent5 12 3 3" xfId="31255"/>
    <cellStyle name="40% - Accent5 12 4" xfId="13352"/>
    <cellStyle name="40% - Accent5 12 4 2" xfId="31257"/>
    <cellStyle name="40% - Accent5 12 5" xfId="31250"/>
    <cellStyle name="40% - Accent5 13" xfId="13353"/>
    <cellStyle name="40% - Accent5 14" xfId="13354"/>
    <cellStyle name="40% - Accent5 14 2" xfId="13355"/>
    <cellStyle name="40% - Accent5 14 2 2" xfId="13356"/>
    <cellStyle name="40% - Accent5 14 2 2 2" xfId="31260"/>
    <cellStyle name="40% - Accent5 14 2 3" xfId="31259"/>
    <cellStyle name="40% - Accent5 14 3" xfId="13357"/>
    <cellStyle name="40% - Accent5 14 3 2" xfId="31261"/>
    <cellStyle name="40% - Accent5 14 4" xfId="31258"/>
    <cellStyle name="40% - Accent5 15" xfId="13358"/>
    <cellStyle name="40% - Accent5 15 2" xfId="13359"/>
    <cellStyle name="40% - Accent5 15 2 2" xfId="13360"/>
    <cellStyle name="40% - Accent5 15 2 2 2" xfId="31264"/>
    <cellStyle name="40% - Accent5 15 2 3" xfId="31263"/>
    <cellStyle name="40% - Accent5 15 3" xfId="13361"/>
    <cellStyle name="40% - Accent5 15 3 2" xfId="31265"/>
    <cellStyle name="40% - Accent5 15 4" xfId="31262"/>
    <cellStyle name="40% - Accent5 16" xfId="13362"/>
    <cellStyle name="40% - Accent5 16 2" xfId="13363"/>
    <cellStyle name="40% - Accent5 16 2 2" xfId="13364"/>
    <cellStyle name="40% - Accent5 16 2 2 2" xfId="31268"/>
    <cellStyle name="40% - Accent5 16 2 3" xfId="31267"/>
    <cellStyle name="40% - Accent5 16 3" xfId="13365"/>
    <cellStyle name="40% - Accent5 16 3 2" xfId="31269"/>
    <cellStyle name="40% - Accent5 16 4" xfId="31266"/>
    <cellStyle name="40% - Accent5 17" xfId="13366"/>
    <cellStyle name="40% - Accent5 17 2" xfId="13367"/>
    <cellStyle name="40% - Accent5 17 2 2" xfId="13368"/>
    <cellStyle name="40% - Accent5 17 2 2 2" xfId="31272"/>
    <cellStyle name="40% - Accent5 17 2 3" xfId="31271"/>
    <cellStyle name="40% - Accent5 17 3" xfId="13369"/>
    <cellStyle name="40% - Accent5 17 3 2" xfId="31273"/>
    <cellStyle name="40% - Accent5 17 4" xfId="31270"/>
    <cellStyle name="40% - Accent5 18" xfId="13370"/>
    <cellStyle name="40% - Accent5 18 2" xfId="13371"/>
    <cellStyle name="40% - Accent5 18 2 2" xfId="13372"/>
    <cellStyle name="40% - Accent5 18 2 2 2" xfId="31276"/>
    <cellStyle name="40% - Accent5 18 2 3" xfId="31275"/>
    <cellStyle name="40% - Accent5 18 3" xfId="13373"/>
    <cellStyle name="40% - Accent5 18 3 2" xfId="31277"/>
    <cellStyle name="40% - Accent5 18 4" xfId="31274"/>
    <cellStyle name="40% - Accent5 19" xfId="13374"/>
    <cellStyle name="40% - Accent5 19 2" xfId="13375"/>
    <cellStyle name="40% - Accent5 19 2 2" xfId="13376"/>
    <cellStyle name="40% - Accent5 19 2 2 2" xfId="31280"/>
    <cellStyle name="40% - Accent5 19 2 3" xfId="31279"/>
    <cellStyle name="40% - Accent5 19 3" xfId="13377"/>
    <cellStyle name="40% - Accent5 19 3 2" xfId="31281"/>
    <cellStyle name="40% - Accent5 19 4" xfId="31278"/>
    <cellStyle name="40% - Accent5 2" xfId="246"/>
    <cellStyle name="40% - Accent5 2 2" xfId="13378"/>
    <cellStyle name="40% - Accent5 2 2 2" xfId="13379"/>
    <cellStyle name="40% - Accent5 2 3" xfId="13380"/>
    <cellStyle name="40% - Accent5 2 3 2" xfId="13381"/>
    <cellStyle name="40% - Accent5 2 3 3" xfId="13382"/>
    <cellStyle name="40% - Accent5 2 3 3 2" xfId="13383"/>
    <cellStyle name="40% - Accent5 2 3 3 2 2" xfId="13384"/>
    <cellStyle name="40% - Accent5 2 3 3 2 2 2" xfId="31284"/>
    <cellStyle name="40% - Accent5 2 3 3 2 3" xfId="31283"/>
    <cellStyle name="40% - Accent5 2 3 3 3" xfId="13385"/>
    <cellStyle name="40% - Accent5 2 3 3 3 2" xfId="31285"/>
    <cellStyle name="40% - Accent5 2 3 3 4" xfId="31282"/>
    <cellStyle name="40% - Accent5 2 4" xfId="13386"/>
    <cellStyle name="40% - Accent5 20" xfId="13387"/>
    <cellStyle name="40% - Accent5 20 2" xfId="13388"/>
    <cellStyle name="40% - Accent5 20 2 2" xfId="13389"/>
    <cellStyle name="40% - Accent5 20 2 2 2" xfId="31288"/>
    <cellStyle name="40% - Accent5 20 2 3" xfId="31287"/>
    <cellStyle name="40% - Accent5 20 3" xfId="13390"/>
    <cellStyle name="40% - Accent5 20 3 2" xfId="31289"/>
    <cellStyle name="40% - Accent5 20 4" xfId="31286"/>
    <cellStyle name="40% - Accent5 21" xfId="13391"/>
    <cellStyle name="40% - Accent5 21 2" xfId="13392"/>
    <cellStyle name="40% - Accent5 21 2 2" xfId="13393"/>
    <cellStyle name="40% - Accent5 21 2 2 2" xfId="31292"/>
    <cellStyle name="40% - Accent5 21 2 3" xfId="31291"/>
    <cellStyle name="40% - Accent5 21 3" xfId="13394"/>
    <cellStyle name="40% - Accent5 21 3 2" xfId="31293"/>
    <cellStyle name="40% - Accent5 21 4" xfId="31290"/>
    <cellStyle name="40% - Accent5 22" xfId="13395"/>
    <cellStyle name="40% - Accent5 23" xfId="13396"/>
    <cellStyle name="40% - Accent5 23 2" xfId="13397"/>
    <cellStyle name="40% - Accent5 23 2 2" xfId="31295"/>
    <cellStyle name="40% - Accent5 23 3" xfId="31294"/>
    <cellStyle name="40% - Accent5 24" xfId="13398"/>
    <cellStyle name="40% - Accent5 25" xfId="13399"/>
    <cellStyle name="40% - Accent5 25 2" xfId="31296"/>
    <cellStyle name="40% - Accent5 26" xfId="13400"/>
    <cellStyle name="40% - Accent5 26 2" xfId="31297"/>
    <cellStyle name="40% - Accent5 27" xfId="13401"/>
    <cellStyle name="40% - Accent5 27 2" xfId="31298"/>
    <cellStyle name="40% - Accent5 28" xfId="13402"/>
    <cellStyle name="40% - Accent5 28 2" xfId="31299"/>
    <cellStyle name="40% - Accent5 29" xfId="13403"/>
    <cellStyle name="40% - Accent5 29 2" xfId="31300"/>
    <cellStyle name="40% - Accent5 3" xfId="664"/>
    <cellStyle name="40% - Accent5 3 2" xfId="13404"/>
    <cellStyle name="40% - Accent5 3 2 2" xfId="13405"/>
    <cellStyle name="40% - Accent5 3 2 2 2" xfId="13406"/>
    <cellStyle name="40% - Accent5 3 2 2 2 2" xfId="13407"/>
    <cellStyle name="40% - Accent5 3 2 2 2 2 2" xfId="13408"/>
    <cellStyle name="40% - Accent5 3 2 2 2 2 2 2" xfId="13409"/>
    <cellStyle name="40% - Accent5 3 2 2 2 2 2 2 2" xfId="13410"/>
    <cellStyle name="40% - Accent5 3 2 2 2 2 2 2 2 2" xfId="31307"/>
    <cellStyle name="40% - Accent5 3 2 2 2 2 2 2 3" xfId="31306"/>
    <cellStyle name="40% - Accent5 3 2 2 2 2 2 3" xfId="13411"/>
    <cellStyle name="40% - Accent5 3 2 2 2 2 2 3 2" xfId="31308"/>
    <cellStyle name="40% - Accent5 3 2 2 2 2 2 4" xfId="31305"/>
    <cellStyle name="40% - Accent5 3 2 2 2 2 3" xfId="13412"/>
    <cellStyle name="40% - Accent5 3 2 2 2 2 3 2" xfId="13413"/>
    <cellStyle name="40% - Accent5 3 2 2 2 2 3 2 2" xfId="31310"/>
    <cellStyle name="40% - Accent5 3 2 2 2 2 3 3" xfId="31309"/>
    <cellStyle name="40% - Accent5 3 2 2 2 2 4" xfId="13414"/>
    <cellStyle name="40% - Accent5 3 2 2 2 2 4 2" xfId="31311"/>
    <cellStyle name="40% - Accent5 3 2 2 2 2 5" xfId="31304"/>
    <cellStyle name="40% - Accent5 3 2 2 2 3" xfId="13415"/>
    <cellStyle name="40% - Accent5 3 2 2 2 3 2" xfId="13416"/>
    <cellStyle name="40% - Accent5 3 2 2 2 3 2 2" xfId="13417"/>
    <cellStyle name="40% - Accent5 3 2 2 2 3 2 2 2" xfId="13418"/>
    <cellStyle name="40% - Accent5 3 2 2 2 3 2 2 2 2" xfId="31315"/>
    <cellStyle name="40% - Accent5 3 2 2 2 3 2 2 3" xfId="31314"/>
    <cellStyle name="40% - Accent5 3 2 2 2 3 2 3" xfId="13419"/>
    <cellStyle name="40% - Accent5 3 2 2 2 3 2 3 2" xfId="31316"/>
    <cellStyle name="40% - Accent5 3 2 2 2 3 2 4" xfId="31313"/>
    <cellStyle name="40% - Accent5 3 2 2 2 3 3" xfId="13420"/>
    <cellStyle name="40% - Accent5 3 2 2 2 3 3 2" xfId="13421"/>
    <cellStyle name="40% - Accent5 3 2 2 2 3 3 2 2" xfId="31318"/>
    <cellStyle name="40% - Accent5 3 2 2 2 3 3 3" xfId="31317"/>
    <cellStyle name="40% - Accent5 3 2 2 2 3 4" xfId="13422"/>
    <cellStyle name="40% - Accent5 3 2 2 2 3 4 2" xfId="31319"/>
    <cellStyle name="40% - Accent5 3 2 2 2 3 5" xfId="31312"/>
    <cellStyle name="40% - Accent5 3 2 2 2 4" xfId="13423"/>
    <cellStyle name="40% - Accent5 3 2 2 2 4 2" xfId="13424"/>
    <cellStyle name="40% - Accent5 3 2 2 2 4 2 2" xfId="13425"/>
    <cellStyle name="40% - Accent5 3 2 2 2 4 2 2 2" xfId="31322"/>
    <cellStyle name="40% - Accent5 3 2 2 2 4 2 3" xfId="31321"/>
    <cellStyle name="40% - Accent5 3 2 2 2 4 3" xfId="13426"/>
    <cellStyle name="40% - Accent5 3 2 2 2 4 3 2" xfId="31323"/>
    <cellStyle name="40% - Accent5 3 2 2 2 4 4" xfId="31320"/>
    <cellStyle name="40% - Accent5 3 2 2 2 5" xfId="13427"/>
    <cellStyle name="40% - Accent5 3 2 2 2 5 2" xfId="13428"/>
    <cellStyle name="40% - Accent5 3 2 2 2 5 2 2" xfId="31325"/>
    <cellStyle name="40% - Accent5 3 2 2 2 5 3" xfId="31324"/>
    <cellStyle name="40% - Accent5 3 2 2 2 6" xfId="13429"/>
    <cellStyle name="40% - Accent5 3 2 2 2 6 2" xfId="31326"/>
    <cellStyle name="40% - Accent5 3 2 2 2 7" xfId="31303"/>
    <cellStyle name="40% - Accent5 3 2 2 3" xfId="13430"/>
    <cellStyle name="40% - Accent5 3 2 2 3 2" xfId="13431"/>
    <cellStyle name="40% - Accent5 3 2 2 3 2 2" xfId="13432"/>
    <cellStyle name="40% - Accent5 3 2 2 3 2 2 2" xfId="13433"/>
    <cellStyle name="40% - Accent5 3 2 2 3 2 2 2 2" xfId="31330"/>
    <cellStyle name="40% - Accent5 3 2 2 3 2 2 3" xfId="31329"/>
    <cellStyle name="40% - Accent5 3 2 2 3 2 3" xfId="13434"/>
    <cellStyle name="40% - Accent5 3 2 2 3 2 3 2" xfId="31331"/>
    <cellStyle name="40% - Accent5 3 2 2 3 2 4" xfId="31328"/>
    <cellStyle name="40% - Accent5 3 2 2 3 3" xfId="13435"/>
    <cellStyle name="40% - Accent5 3 2 2 3 3 2" xfId="13436"/>
    <cellStyle name="40% - Accent5 3 2 2 3 3 2 2" xfId="31333"/>
    <cellStyle name="40% - Accent5 3 2 2 3 3 3" xfId="31332"/>
    <cellStyle name="40% - Accent5 3 2 2 3 4" xfId="13437"/>
    <cellStyle name="40% - Accent5 3 2 2 3 4 2" xfId="31334"/>
    <cellStyle name="40% - Accent5 3 2 2 3 5" xfId="31327"/>
    <cellStyle name="40% - Accent5 3 2 2 4" xfId="13438"/>
    <cellStyle name="40% - Accent5 3 2 2 4 2" xfId="13439"/>
    <cellStyle name="40% - Accent5 3 2 2 4 2 2" xfId="13440"/>
    <cellStyle name="40% - Accent5 3 2 2 4 2 2 2" xfId="13441"/>
    <cellStyle name="40% - Accent5 3 2 2 4 2 2 2 2" xfId="31338"/>
    <cellStyle name="40% - Accent5 3 2 2 4 2 2 3" xfId="31337"/>
    <cellStyle name="40% - Accent5 3 2 2 4 2 3" xfId="13442"/>
    <cellStyle name="40% - Accent5 3 2 2 4 2 3 2" xfId="31339"/>
    <cellStyle name="40% - Accent5 3 2 2 4 2 4" xfId="31336"/>
    <cellStyle name="40% - Accent5 3 2 2 4 3" xfId="13443"/>
    <cellStyle name="40% - Accent5 3 2 2 4 3 2" xfId="13444"/>
    <cellStyle name="40% - Accent5 3 2 2 4 3 2 2" xfId="31341"/>
    <cellStyle name="40% - Accent5 3 2 2 4 3 3" xfId="31340"/>
    <cellStyle name="40% - Accent5 3 2 2 4 4" xfId="13445"/>
    <cellStyle name="40% - Accent5 3 2 2 4 4 2" xfId="31342"/>
    <cellStyle name="40% - Accent5 3 2 2 4 5" xfId="31335"/>
    <cellStyle name="40% - Accent5 3 2 2 5" xfId="13446"/>
    <cellStyle name="40% - Accent5 3 2 2 5 2" xfId="13447"/>
    <cellStyle name="40% - Accent5 3 2 2 5 2 2" xfId="13448"/>
    <cellStyle name="40% - Accent5 3 2 2 5 2 2 2" xfId="31345"/>
    <cellStyle name="40% - Accent5 3 2 2 5 2 3" xfId="31344"/>
    <cellStyle name="40% - Accent5 3 2 2 5 3" xfId="13449"/>
    <cellStyle name="40% - Accent5 3 2 2 5 3 2" xfId="31346"/>
    <cellStyle name="40% - Accent5 3 2 2 5 4" xfId="31343"/>
    <cellStyle name="40% - Accent5 3 2 2 6" xfId="13450"/>
    <cellStyle name="40% - Accent5 3 2 2 6 2" xfId="13451"/>
    <cellStyle name="40% - Accent5 3 2 2 6 2 2" xfId="31348"/>
    <cellStyle name="40% - Accent5 3 2 2 6 3" xfId="31347"/>
    <cellStyle name="40% - Accent5 3 2 2 7" xfId="13452"/>
    <cellStyle name="40% - Accent5 3 2 2 7 2" xfId="31349"/>
    <cellStyle name="40% - Accent5 3 2 2 8" xfId="31302"/>
    <cellStyle name="40% - Accent5 3 2 3" xfId="13453"/>
    <cellStyle name="40% - Accent5 3 2 3 2" xfId="13454"/>
    <cellStyle name="40% - Accent5 3 2 3 2 2" xfId="13455"/>
    <cellStyle name="40% - Accent5 3 2 3 2 2 2" xfId="13456"/>
    <cellStyle name="40% - Accent5 3 2 3 2 2 2 2" xfId="13457"/>
    <cellStyle name="40% - Accent5 3 2 3 2 2 2 2 2" xfId="31354"/>
    <cellStyle name="40% - Accent5 3 2 3 2 2 2 3" xfId="31353"/>
    <cellStyle name="40% - Accent5 3 2 3 2 2 3" xfId="13458"/>
    <cellStyle name="40% - Accent5 3 2 3 2 2 3 2" xfId="31355"/>
    <cellStyle name="40% - Accent5 3 2 3 2 2 4" xfId="31352"/>
    <cellStyle name="40% - Accent5 3 2 3 2 3" xfId="13459"/>
    <cellStyle name="40% - Accent5 3 2 3 2 3 2" xfId="13460"/>
    <cellStyle name="40% - Accent5 3 2 3 2 3 2 2" xfId="31357"/>
    <cellStyle name="40% - Accent5 3 2 3 2 3 3" xfId="31356"/>
    <cellStyle name="40% - Accent5 3 2 3 2 4" xfId="13461"/>
    <cellStyle name="40% - Accent5 3 2 3 2 4 2" xfId="31358"/>
    <cellStyle name="40% - Accent5 3 2 3 2 5" xfId="31351"/>
    <cellStyle name="40% - Accent5 3 2 3 3" xfId="13462"/>
    <cellStyle name="40% - Accent5 3 2 3 3 2" xfId="13463"/>
    <cellStyle name="40% - Accent5 3 2 3 3 2 2" xfId="13464"/>
    <cellStyle name="40% - Accent5 3 2 3 3 2 2 2" xfId="13465"/>
    <cellStyle name="40% - Accent5 3 2 3 3 2 2 2 2" xfId="31362"/>
    <cellStyle name="40% - Accent5 3 2 3 3 2 2 3" xfId="31361"/>
    <cellStyle name="40% - Accent5 3 2 3 3 2 3" xfId="13466"/>
    <cellStyle name="40% - Accent5 3 2 3 3 2 3 2" xfId="31363"/>
    <cellStyle name="40% - Accent5 3 2 3 3 2 4" xfId="31360"/>
    <cellStyle name="40% - Accent5 3 2 3 3 3" xfId="13467"/>
    <cellStyle name="40% - Accent5 3 2 3 3 3 2" xfId="13468"/>
    <cellStyle name="40% - Accent5 3 2 3 3 3 2 2" xfId="31365"/>
    <cellStyle name="40% - Accent5 3 2 3 3 3 3" xfId="31364"/>
    <cellStyle name="40% - Accent5 3 2 3 3 4" xfId="13469"/>
    <cellStyle name="40% - Accent5 3 2 3 3 4 2" xfId="31366"/>
    <cellStyle name="40% - Accent5 3 2 3 3 5" xfId="31359"/>
    <cellStyle name="40% - Accent5 3 2 3 4" xfId="13470"/>
    <cellStyle name="40% - Accent5 3 2 3 4 2" xfId="13471"/>
    <cellStyle name="40% - Accent5 3 2 3 4 2 2" xfId="13472"/>
    <cellStyle name="40% - Accent5 3 2 3 4 2 2 2" xfId="31369"/>
    <cellStyle name="40% - Accent5 3 2 3 4 2 3" xfId="31368"/>
    <cellStyle name="40% - Accent5 3 2 3 4 3" xfId="13473"/>
    <cellStyle name="40% - Accent5 3 2 3 4 3 2" xfId="31370"/>
    <cellStyle name="40% - Accent5 3 2 3 4 4" xfId="31367"/>
    <cellStyle name="40% - Accent5 3 2 3 5" xfId="13474"/>
    <cellStyle name="40% - Accent5 3 2 3 5 2" xfId="13475"/>
    <cellStyle name="40% - Accent5 3 2 3 5 2 2" xfId="31372"/>
    <cellStyle name="40% - Accent5 3 2 3 5 3" xfId="31371"/>
    <cellStyle name="40% - Accent5 3 2 3 6" xfId="13476"/>
    <cellStyle name="40% - Accent5 3 2 3 6 2" xfId="31373"/>
    <cellStyle name="40% - Accent5 3 2 3 7" xfId="31350"/>
    <cellStyle name="40% - Accent5 3 2 4" xfId="13477"/>
    <cellStyle name="40% - Accent5 3 2 4 2" xfId="13478"/>
    <cellStyle name="40% - Accent5 3 2 4 2 2" xfId="13479"/>
    <cellStyle name="40% - Accent5 3 2 4 2 2 2" xfId="13480"/>
    <cellStyle name="40% - Accent5 3 2 4 2 2 2 2" xfId="31377"/>
    <cellStyle name="40% - Accent5 3 2 4 2 2 3" xfId="31376"/>
    <cellStyle name="40% - Accent5 3 2 4 2 3" xfId="13481"/>
    <cellStyle name="40% - Accent5 3 2 4 2 3 2" xfId="31378"/>
    <cellStyle name="40% - Accent5 3 2 4 2 4" xfId="31375"/>
    <cellStyle name="40% - Accent5 3 2 4 3" xfId="13482"/>
    <cellStyle name="40% - Accent5 3 2 4 3 2" xfId="13483"/>
    <cellStyle name="40% - Accent5 3 2 4 3 2 2" xfId="31380"/>
    <cellStyle name="40% - Accent5 3 2 4 3 3" xfId="31379"/>
    <cellStyle name="40% - Accent5 3 2 4 4" xfId="13484"/>
    <cellStyle name="40% - Accent5 3 2 4 4 2" xfId="31381"/>
    <cellStyle name="40% - Accent5 3 2 4 5" xfId="31374"/>
    <cellStyle name="40% - Accent5 3 2 5" xfId="13485"/>
    <cellStyle name="40% - Accent5 3 2 5 2" xfId="13486"/>
    <cellStyle name="40% - Accent5 3 2 5 2 2" xfId="13487"/>
    <cellStyle name="40% - Accent5 3 2 5 2 2 2" xfId="13488"/>
    <cellStyle name="40% - Accent5 3 2 5 2 2 2 2" xfId="31385"/>
    <cellStyle name="40% - Accent5 3 2 5 2 2 3" xfId="31384"/>
    <cellStyle name="40% - Accent5 3 2 5 2 3" xfId="13489"/>
    <cellStyle name="40% - Accent5 3 2 5 2 3 2" xfId="31386"/>
    <cellStyle name="40% - Accent5 3 2 5 2 4" xfId="31383"/>
    <cellStyle name="40% - Accent5 3 2 5 3" xfId="13490"/>
    <cellStyle name="40% - Accent5 3 2 5 3 2" xfId="13491"/>
    <cellStyle name="40% - Accent5 3 2 5 3 2 2" xfId="31388"/>
    <cellStyle name="40% - Accent5 3 2 5 3 3" xfId="31387"/>
    <cellStyle name="40% - Accent5 3 2 5 4" xfId="13492"/>
    <cellStyle name="40% - Accent5 3 2 5 4 2" xfId="31389"/>
    <cellStyle name="40% - Accent5 3 2 5 5" xfId="31382"/>
    <cellStyle name="40% - Accent5 3 2 6" xfId="13493"/>
    <cellStyle name="40% - Accent5 3 2 6 2" xfId="13494"/>
    <cellStyle name="40% - Accent5 3 2 6 2 2" xfId="13495"/>
    <cellStyle name="40% - Accent5 3 2 6 2 2 2" xfId="31392"/>
    <cellStyle name="40% - Accent5 3 2 6 2 3" xfId="31391"/>
    <cellStyle name="40% - Accent5 3 2 6 3" xfId="13496"/>
    <cellStyle name="40% - Accent5 3 2 6 3 2" xfId="31393"/>
    <cellStyle name="40% - Accent5 3 2 6 4" xfId="31390"/>
    <cellStyle name="40% - Accent5 3 2 7" xfId="13497"/>
    <cellStyle name="40% - Accent5 3 2 7 2" xfId="13498"/>
    <cellStyle name="40% - Accent5 3 2 7 2 2" xfId="31395"/>
    <cellStyle name="40% - Accent5 3 2 7 3" xfId="31394"/>
    <cellStyle name="40% - Accent5 3 2 8" xfId="13499"/>
    <cellStyle name="40% - Accent5 3 2 8 2" xfId="31396"/>
    <cellStyle name="40% - Accent5 3 2 9" xfId="31301"/>
    <cellStyle name="40% - Accent5 3 3" xfId="13500"/>
    <cellStyle name="40% - Accent5 3 3 2" xfId="13501"/>
    <cellStyle name="40% - Accent5 3 3 2 2" xfId="13502"/>
    <cellStyle name="40% - Accent5 3 3 2 2 2" xfId="13503"/>
    <cellStyle name="40% - Accent5 3 3 2 2 2 2" xfId="13504"/>
    <cellStyle name="40% - Accent5 3 3 2 2 2 2 2" xfId="13505"/>
    <cellStyle name="40% - Accent5 3 3 2 2 2 2 2 2" xfId="31402"/>
    <cellStyle name="40% - Accent5 3 3 2 2 2 2 3" xfId="31401"/>
    <cellStyle name="40% - Accent5 3 3 2 2 2 3" xfId="13506"/>
    <cellStyle name="40% - Accent5 3 3 2 2 2 3 2" xfId="31403"/>
    <cellStyle name="40% - Accent5 3 3 2 2 2 4" xfId="31400"/>
    <cellStyle name="40% - Accent5 3 3 2 2 3" xfId="13507"/>
    <cellStyle name="40% - Accent5 3 3 2 2 3 2" xfId="13508"/>
    <cellStyle name="40% - Accent5 3 3 2 2 3 2 2" xfId="31405"/>
    <cellStyle name="40% - Accent5 3 3 2 2 3 3" xfId="31404"/>
    <cellStyle name="40% - Accent5 3 3 2 2 4" xfId="13509"/>
    <cellStyle name="40% - Accent5 3 3 2 2 4 2" xfId="31406"/>
    <cellStyle name="40% - Accent5 3 3 2 2 5" xfId="31399"/>
    <cellStyle name="40% - Accent5 3 3 2 3" xfId="13510"/>
    <cellStyle name="40% - Accent5 3 3 2 3 2" xfId="13511"/>
    <cellStyle name="40% - Accent5 3 3 2 3 2 2" xfId="13512"/>
    <cellStyle name="40% - Accent5 3 3 2 3 2 2 2" xfId="13513"/>
    <cellStyle name="40% - Accent5 3 3 2 3 2 2 2 2" xfId="31410"/>
    <cellStyle name="40% - Accent5 3 3 2 3 2 2 3" xfId="31409"/>
    <cellStyle name="40% - Accent5 3 3 2 3 2 3" xfId="13514"/>
    <cellStyle name="40% - Accent5 3 3 2 3 2 3 2" xfId="31411"/>
    <cellStyle name="40% - Accent5 3 3 2 3 2 4" xfId="31408"/>
    <cellStyle name="40% - Accent5 3 3 2 3 3" xfId="13515"/>
    <cellStyle name="40% - Accent5 3 3 2 3 3 2" xfId="13516"/>
    <cellStyle name="40% - Accent5 3 3 2 3 3 2 2" xfId="31413"/>
    <cellStyle name="40% - Accent5 3 3 2 3 3 3" xfId="31412"/>
    <cellStyle name="40% - Accent5 3 3 2 3 4" xfId="13517"/>
    <cellStyle name="40% - Accent5 3 3 2 3 4 2" xfId="31414"/>
    <cellStyle name="40% - Accent5 3 3 2 3 5" xfId="31407"/>
    <cellStyle name="40% - Accent5 3 3 2 4" xfId="13518"/>
    <cellStyle name="40% - Accent5 3 3 2 4 2" xfId="13519"/>
    <cellStyle name="40% - Accent5 3 3 2 4 2 2" xfId="13520"/>
    <cellStyle name="40% - Accent5 3 3 2 4 2 2 2" xfId="31417"/>
    <cellStyle name="40% - Accent5 3 3 2 4 2 3" xfId="31416"/>
    <cellStyle name="40% - Accent5 3 3 2 4 3" xfId="13521"/>
    <cellStyle name="40% - Accent5 3 3 2 4 3 2" xfId="31418"/>
    <cellStyle name="40% - Accent5 3 3 2 4 4" xfId="31415"/>
    <cellStyle name="40% - Accent5 3 3 2 5" xfId="13522"/>
    <cellStyle name="40% - Accent5 3 3 2 5 2" xfId="13523"/>
    <cellStyle name="40% - Accent5 3 3 2 5 2 2" xfId="31420"/>
    <cellStyle name="40% - Accent5 3 3 2 5 3" xfId="31419"/>
    <cellStyle name="40% - Accent5 3 3 2 6" xfId="13524"/>
    <cellStyle name="40% - Accent5 3 3 2 6 2" xfId="31421"/>
    <cellStyle name="40% - Accent5 3 3 2 7" xfId="31398"/>
    <cellStyle name="40% - Accent5 3 3 3" xfId="13525"/>
    <cellStyle name="40% - Accent5 3 3 3 2" xfId="13526"/>
    <cellStyle name="40% - Accent5 3 3 3 2 2" xfId="13527"/>
    <cellStyle name="40% - Accent5 3 3 3 2 2 2" xfId="13528"/>
    <cellStyle name="40% - Accent5 3 3 3 2 2 2 2" xfId="31425"/>
    <cellStyle name="40% - Accent5 3 3 3 2 2 3" xfId="31424"/>
    <cellStyle name="40% - Accent5 3 3 3 2 3" xfId="13529"/>
    <cellStyle name="40% - Accent5 3 3 3 2 3 2" xfId="31426"/>
    <cellStyle name="40% - Accent5 3 3 3 2 4" xfId="31423"/>
    <cellStyle name="40% - Accent5 3 3 3 3" xfId="13530"/>
    <cellStyle name="40% - Accent5 3 3 3 3 2" xfId="13531"/>
    <cellStyle name="40% - Accent5 3 3 3 3 2 2" xfId="31428"/>
    <cellStyle name="40% - Accent5 3 3 3 3 3" xfId="31427"/>
    <cellStyle name="40% - Accent5 3 3 3 4" xfId="13532"/>
    <cellStyle name="40% - Accent5 3 3 3 4 2" xfId="31429"/>
    <cellStyle name="40% - Accent5 3 3 3 5" xfId="31422"/>
    <cellStyle name="40% - Accent5 3 3 4" xfId="13533"/>
    <cellStyle name="40% - Accent5 3 3 4 2" xfId="13534"/>
    <cellStyle name="40% - Accent5 3 3 4 2 2" xfId="13535"/>
    <cellStyle name="40% - Accent5 3 3 4 2 2 2" xfId="13536"/>
    <cellStyle name="40% - Accent5 3 3 4 2 2 2 2" xfId="31433"/>
    <cellStyle name="40% - Accent5 3 3 4 2 2 3" xfId="31432"/>
    <cellStyle name="40% - Accent5 3 3 4 2 3" xfId="13537"/>
    <cellStyle name="40% - Accent5 3 3 4 2 3 2" xfId="31434"/>
    <cellStyle name="40% - Accent5 3 3 4 2 4" xfId="31431"/>
    <cellStyle name="40% - Accent5 3 3 4 3" xfId="13538"/>
    <cellStyle name="40% - Accent5 3 3 4 3 2" xfId="13539"/>
    <cellStyle name="40% - Accent5 3 3 4 3 2 2" xfId="31436"/>
    <cellStyle name="40% - Accent5 3 3 4 3 3" xfId="31435"/>
    <cellStyle name="40% - Accent5 3 3 4 4" xfId="13540"/>
    <cellStyle name="40% - Accent5 3 3 4 4 2" xfId="31437"/>
    <cellStyle name="40% - Accent5 3 3 4 5" xfId="31430"/>
    <cellStyle name="40% - Accent5 3 3 5" xfId="13541"/>
    <cellStyle name="40% - Accent5 3 3 5 2" xfId="13542"/>
    <cellStyle name="40% - Accent5 3 3 5 2 2" xfId="13543"/>
    <cellStyle name="40% - Accent5 3 3 5 2 2 2" xfId="31440"/>
    <cellStyle name="40% - Accent5 3 3 5 2 3" xfId="31439"/>
    <cellStyle name="40% - Accent5 3 3 5 3" xfId="13544"/>
    <cellStyle name="40% - Accent5 3 3 5 3 2" xfId="31441"/>
    <cellStyle name="40% - Accent5 3 3 5 4" xfId="31438"/>
    <cellStyle name="40% - Accent5 3 3 6" xfId="13545"/>
    <cellStyle name="40% - Accent5 3 3 6 2" xfId="13546"/>
    <cellStyle name="40% - Accent5 3 3 6 2 2" xfId="31443"/>
    <cellStyle name="40% - Accent5 3 3 6 3" xfId="31442"/>
    <cellStyle name="40% - Accent5 3 3 7" xfId="13547"/>
    <cellStyle name="40% - Accent5 3 3 7 2" xfId="31444"/>
    <cellStyle name="40% - Accent5 3 3 8" xfId="31397"/>
    <cellStyle name="40% - Accent5 3 4" xfId="13548"/>
    <cellStyle name="40% - Accent5 3 4 2" xfId="13549"/>
    <cellStyle name="40% - Accent5 3 4 2 2" xfId="13550"/>
    <cellStyle name="40% - Accent5 3 4 2 2 2" xfId="13551"/>
    <cellStyle name="40% - Accent5 3 4 2 2 2 2" xfId="13552"/>
    <cellStyle name="40% - Accent5 3 4 2 2 2 2 2" xfId="31449"/>
    <cellStyle name="40% - Accent5 3 4 2 2 2 3" xfId="31448"/>
    <cellStyle name="40% - Accent5 3 4 2 2 3" xfId="13553"/>
    <cellStyle name="40% - Accent5 3 4 2 2 3 2" xfId="31450"/>
    <cellStyle name="40% - Accent5 3 4 2 2 4" xfId="31447"/>
    <cellStyle name="40% - Accent5 3 4 2 3" xfId="13554"/>
    <cellStyle name="40% - Accent5 3 4 2 3 2" xfId="13555"/>
    <cellStyle name="40% - Accent5 3 4 2 3 2 2" xfId="31452"/>
    <cellStyle name="40% - Accent5 3 4 2 3 3" xfId="31451"/>
    <cellStyle name="40% - Accent5 3 4 2 4" xfId="13556"/>
    <cellStyle name="40% - Accent5 3 4 2 4 2" xfId="31453"/>
    <cellStyle name="40% - Accent5 3 4 2 5" xfId="31446"/>
    <cellStyle name="40% - Accent5 3 4 3" xfId="13557"/>
    <cellStyle name="40% - Accent5 3 4 3 2" xfId="13558"/>
    <cellStyle name="40% - Accent5 3 4 3 2 2" xfId="13559"/>
    <cellStyle name="40% - Accent5 3 4 3 2 2 2" xfId="13560"/>
    <cellStyle name="40% - Accent5 3 4 3 2 2 2 2" xfId="31457"/>
    <cellStyle name="40% - Accent5 3 4 3 2 2 3" xfId="31456"/>
    <cellStyle name="40% - Accent5 3 4 3 2 3" xfId="13561"/>
    <cellStyle name="40% - Accent5 3 4 3 2 3 2" xfId="31458"/>
    <cellStyle name="40% - Accent5 3 4 3 2 4" xfId="31455"/>
    <cellStyle name="40% - Accent5 3 4 3 3" xfId="13562"/>
    <cellStyle name="40% - Accent5 3 4 3 3 2" xfId="13563"/>
    <cellStyle name="40% - Accent5 3 4 3 3 2 2" xfId="31460"/>
    <cellStyle name="40% - Accent5 3 4 3 3 3" xfId="31459"/>
    <cellStyle name="40% - Accent5 3 4 3 4" xfId="13564"/>
    <cellStyle name="40% - Accent5 3 4 3 4 2" xfId="31461"/>
    <cellStyle name="40% - Accent5 3 4 3 5" xfId="31454"/>
    <cellStyle name="40% - Accent5 3 4 4" xfId="13565"/>
    <cellStyle name="40% - Accent5 3 4 4 2" xfId="13566"/>
    <cellStyle name="40% - Accent5 3 4 4 2 2" xfId="13567"/>
    <cellStyle name="40% - Accent5 3 4 4 2 2 2" xfId="31464"/>
    <cellStyle name="40% - Accent5 3 4 4 2 3" xfId="31463"/>
    <cellStyle name="40% - Accent5 3 4 4 3" xfId="13568"/>
    <cellStyle name="40% - Accent5 3 4 4 3 2" xfId="31465"/>
    <cellStyle name="40% - Accent5 3 4 4 4" xfId="31462"/>
    <cellStyle name="40% - Accent5 3 4 5" xfId="13569"/>
    <cellStyle name="40% - Accent5 3 4 5 2" xfId="13570"/>
    <cellStyle name="40% - Accent5 3 4 5 2 2" xfId="31467"/>
    <cellStyle name="40% - Accent5 3 4 5 3" xfId="31466"/>
    <cellStyle name="40% - Accent5 3 4 6" xfId="13571"/>
    <cellStyle name="40% - Accent5 3 4 6 2" xfId="31468"/>
    <cellStyle name="40% - Accent5 3 4 7" xfId="31445"/>
    <cellStyle name="40% - Accent5 3 5" xfId="13572"/>
    <cellStyle name="40% - Accent5 3 5 2" xfId="13573"/>
    <cellStyle name="40% - Accent5 3 5 2 2" xfId="13574"/>
    <cellStyle name="40% - Accent5 3 5 2 2 2" xfId="13575"/>
    <cellStyle name="40% - Accent5 3 5 2 2 2 2" xfId="31472"/>
    <cellStyle name="40% - Accent5 3 5 2 2 3" xfId="31471"/>
    <cellStyle name="40% - Accent5 3 5 2 3" xfId="13576"/>
    <cellStyle name="40% - Accent5 3 5 2 3 2" xfId="31473"/>
    <cellStyle name="40% - Accent5 3 5 2 4" xfId="31470"/>
    <cellStyle name="40% - Accent5 3 5 3" xfId="13577"/>
    <cellStyle name="40% - Accent5 3 5 3 2" xfId="13578"/>
    <cellStyle name="40% - Accent5 3 5 3 2 2" xfId="31475"/>
    <cellStyle name="40% - Accent5 3 5 3 3" xfId="31474"/>
    <cellStyle name="40% - Accent5 3 5 4" xfId="13579"/>
    <cellStyle name="40% - Accent5 3 5 4 2" xfId="31476"/>
    <cellStyle name="40% - Accent5 3 5 5" xfId="31469"/>
    <cellStyle name="40% - Accent5 3 6" xfId="13580"/>
    <cellStyle name="40% - Accent5 3 6 2" xfId="13581"/>
    <cellStyle name="40% - Accent5 3 6 2 2" xfId="13582"/>
    <cellStyle name="40% - Accent5 3 6 2 2 2" xfId="13583"/>
    <cellStyle name="40% - Accent5 3 6 2 2 2 2" xfId="31480"/>
    <cellStyle name="40% - Accent5 3 6 2 2 3" xfId="31479"/>
    <cellStyle name="40% - Accent5 3 6 2 3" xfId="13584"/>
    <cellStyle name="40% - Accent5 3 6 2 3 2" xfId="31481"/>
    <cellStyle name="40% - Accent5 3 6 2 4" xfId="31478"/>
    <cellStyle name="40% - Accent5 3 6 3" xfId="13585"/>
    <cellStyle name="40% - Accent5 3 6 3 2" xfId="13586"/>
    <cellStyle name="40% - Accent5 3 6 3 2 2" xfId="31483"/>
    <cellStyle name="40% - Accent5 3 6 3 3" xfId="31482"/>
    <cellStyle name="40% - Accent5 3 6 4" xfId="13587"/>
    <cellStyle name="40% - Accent5 3 6 4 2" xfId="31484"/>
    <cellStyle name="40% - Accent5 3 6 5" xfId="31477"/>
    <cellStyle name="40% - Accent5 3 7" xfId="13588"/>
    <cellStyle name="40% - Accent5 3 7 2" xfId="13589"/>
    <cellStyle name="40% - Accent5 3 7 2 2" xfId="13590"/>
    <cellStyle name="40% - Accent5 3 7 2 2 2" xfId="31487"/>
    <cellStyle name="40% - Accent5 3 7 2 3" xfId="31486"/>
    <cellStyle name="40% - Accent5 3 7 3" xfId="13591"/>
    <cellStyle name="40% - Accent5 3 7 3 2" xfId="31488"/>
    <cellStyle name="40% - Accent5 3 7 4" xfId="31485"/>
    <cellStyle name="40% - Accent5 3 8" xfId="13592"/>
    <cellStyle name="40% - Accent5 3 8 2" xfId="13593"/>
    <cellStyle name="40% - Accent5 3 8 2 2" xfId="31490"/>
    <cellStyle name="40% - Accent5 3 8 3" xfId="31489"/>
    <cellStyle name="40% - Accent5 3 9" xfId="13594"/>
    <cellStyle name="40% - Accent5 3 9 2" xfId="31491"/>
    <cellStyle name="40% - Accent5 30" xfId="13595"/>
    <cellStyle name="40% - Accent5 30 2" xfId="31492"/>
    <cellStyle name="40% - Accent5 31" xfId="13596"/>
    <cellStyle name="40% - Accent5 31 2" xfId="31493"/>
    <cellStyle name="40% - Accent5 32" xfId="13597"/>
    <cellStyle name="40% - Accent5 4" xfId="13598"/>
    <cellStyle name="40% - Accent5 4 10" xfId="31494"/>
    <cellStyle name="40% - Accent5 4 2" xfId="13599"/>
    <cellStyle name="40% - Accent5 4 2 2" xfId="13600"/>
    <cellStyle name="40% - Accent5 4 2 2 2" xfId="13601"/>
    <cellStyle name="40% - Accent5 4 2 2 2 2" xfId="13602"/>
    <cellStyle name="40% - Accent5 4 2 2 2 2 2" xfId="13603"/>
    <cellStyle name="40% - Accent5 4 2 2 2 2 2 2" xfId="13604"/>
    <cellStyle name="40% - Accent5 4 2 2 2 2 2 2 2" xfId="13605"/>
    <cellStyle name="40% - Accent5 4 2 2 2 2 2 2 2 2" xfId="31501"/>
    <cellStyle name="40% - Accent5 4 2 2 2 2 2 2 3" xfId="31500"/>
    <cellStyle name="40% - Accent5 4 2 2 2 2 2 3" xfId="13606"/>
    <cellStyle name="40% - Accent5 4 2 2 2 2 2 3 2" xfId="31502"/>
    <cellStyle name="40% - Accent5 4 2 2 2 2 2 4" xfId="31499"/>
    <cellStyle name="40% - Accent5 4 2 2 2 2 3" xfId="13607"/>
    <cellStyle name="40% - Accent5 4 2 2 2 2 3 2" xfId="13608"/>
    <cellStyle name="40% - Accent5 4 2 2 2 2 3 2 2" xfId="31504"/>
    <cellStyle name="40% - Accent5 4 2 2 2 2 3 3" xfId="31503"/>
    <cellStyle name="40% - Accent5 4 2 2 2 2 4" xfId="13609"/>
    <cellStyle name="40% - Accent5 4 2 2 2 2 4 2" xfId="31505"/>
    <cellStyle name="40% - Accent5 4 2 2 2 2 5" xfId="31498"/>
    <cellStyle name="40% - Accent5 4 2 2 2 3" xfId="13610"/>
    <cellStyle name="40% - Accent5 4 2 2 2 3 2" xfId="13611"/>
    <cellStyle name="40% - Accent5 4 2 2 2 3 2 2" xfId="13612"/>
    <cellStyle name="40% - Accent5 4 2 2 2 3 2 2 2" xfId="13613"/>
    <cellStyle name="40% - Accent5 4 2 2 2 3 2 2 2 2" xfId="31509"/>
    <cellStyle name="40% - Accent5 4 2 2 2 3 2 2 3" xfId="31508"/>
    <cellStyle name="40% - Accent5 4 2 2 2 3 2 3" xfId="13614"/>
    <cellStyle name="40% - Accent5 4 2 2 2 3 2 3 2" xfId="31510"/>
    <cellStyle name="40% - Accent5 4 2 2 2 3 2 4" xfId="31507"/>
    <cellStyle name="40% - Accent5 4 2 2 2 3 3" xfId="13615"/>
    <cellStyle name="40% - Accent5 4 2 2 2 3 3 2" xfId="13616"/>
    <cellStyle name="40% - Accent5 4 2 2 2 3 3 2 2" xfId="31512"/>
    <cellStyle name="40% - Accent5 4 2 2 2 3 3 3" xfId="31511"/>
    <cellStyle name="40% - Accent5 4 2 2 2 3 4" xfId="13617"/>
    <cellStyle name="40% - Accent5 4 2 2 2 3 4 2" xfId="31513"/>
    <cellStyle name="40% - Accent5 4 2 2 2 3 5" xfId="31506"/>
    <cellStyle name="40% - Accent5 4 2 2 2 4" xfId="13618"/>
    <cellStyle name="40% - Accent5 4 2 2 2 4 2" xfId="13619"/>
    <cellStyle name="40% - Accent5 4 2 2 2 4 2 2" xfId="13620"/>
    <cellStyle name="40% - Accent5 4 2 2 2 4 2 2 2" xfId="31516"/>
    <cellStyle name="40% - Accent5 4 2 2 2 4 2 3" xfId="31515"/>
    <cellStyle name="40% - Accent5 4 2 2 2 4 3" xfId="13621"/>
    <cellStyle name="40% - Accent5 4 2 2 2 4 3 2" xfId="31517"/>
    <cellStyle name="40% - Accent5 4 2 2 2 4 4" xfId="31514"/>
    <cellStyle name="40% - Accent5 4 2 2 2 5" xfId="13622"/>
    <cellStyle name="40% - Accent5 4 2 2 2 5 2" xfId="13623"/>
    <cellStyle name="40% - Accent5 4 2 2 2 5 2 2" xfId="31519"/>
    <cellStyle name="40% - Accent5 4 2 2 2 5 3" xfId="31518"/>
    <cellStyle name="40% - Accent5 4 2 2 2 6" xfId="13624"/>
    <cellStyle name="40% - Accent5 4 2 2 2 6 2" xfId="31520"/>
    <cellStyle name="40% - Accent5 4 2 2 2 7" xfId="31497"/>
    <cellStyle name="40% - Accent5 4 2 2 3" xfId="13625"/>
    <cellStyle name="40% - Accent5 4 2 2 3 2" xfId="13626"/>
    <cellStyle name="40% - Accent5 4 2 2 3 2 2" xfId="13627"/>
    <cellStyle name="40% - Accent5 4 2 2 3 2 2 2" xfId="13628"/>
    <cellStyle name="40% - Accent5 4 2 2 3 2 2 2 2" xfId="31524"/>
    <cellStyle name="40% - Accent5 4 2 2 3 2 2 3" xfId="31523"/>
    <cellStyle name="40% - Accent5 4 2 2 3 2 3" xfId="13629"/>
    <cellStyle name="40% - Accent5 4 2 2 3 2 3 2" xfId="31525"/>
    <cellStyle name="40% - Accent5 4 2 2 3 2 4" xfId="31522"/>
    <cellStyle name="40% - Accent5 4 2 2 3 3" xfId="13630"/>
    <cellStyle name="40% - Accent5 4 2 2 3 3 2" xfId="13631"/>
    <cellStyle name="40% - Accent5 4 2 2 3 3 2 2" xfId="31527"/>
    <cellStyle name="40% - Accent5 4 2 2 3 3 3" xfId="31526"/>
    <cellStyle name="40% - Accent5 4 2 2 3 4" xfId="13632"/>
    <cellStyle name="40% - Accent5 4 2 2 3 4 2" xfId="31528"/>
    <cellStyle name="40% - Accent5 4 2 2 3 5" xfId="31521"/>
    <cellStyle name="40% - Accent5 4 2 2 4" xfId="13633"/>
    <cellStyle name="40% - Accent5 4 2 2 4 2" xfId="13634"/>
    <cellStyle name="40% - Accent5 4 2 2 4 2 2" xfId="13635"/>
    <cellStyle name="40% - Accent5 4 2 2 4 2 2 2" xfId="13636"/>
    <cellStyle name="40% - Accent5 4 2 2 4 2 2 2 2" xfId="31532"/>
    <cellStyle name="40% - Accent5 4 2 2 4 2 2 3" xfId="31531"/>
    <cellStyle name="40% - Accent5 4 2 2 4 2 3" xfId="13637"/>
    <cellStyle name="40% - Accent5 4 2 2 4 2 3 2" xfId="31533"/>
    <cellStyle name="40% - Accent5 4 2 2 4 2 4" xfId="31530"/>
    <cellStyle name="40% - Accent5 4 2 2 4 3" xfId="13638"/>
    <cellStyle name="40% - Accent5 4 2 2 4 3 2" xfId="13639"/>
    <cellStyle name="40% - Accent5 4 2 2 4 3 2 2" xfId="31535"/>
    <cellStyle name="40% - Accent5 4 2 2 4 3 3" xfId="31534"/>
    <cellStyle name="40% - Accent5 4 2 2 4 4" xfId="13640"/>
    <cellStyle name="40% - Accent5 4 2 2 4 4 2" xfId="31536"/>
    <cellStyle name="40% - Accent5 4 2 2 4 5" xfId="31529"/>
    <cellStyle name="40% - Accent5 4 2 2 5" xfId="13641"/>
    <cellStyle name="40% - Accent5 4 2 2 5 2" xfId="13642"/>
    <cellStyle name="40% - Accent5 4 2 2 5 2 2" xfId="13643"/>
    <cellStyle name="40% - Accent5 4 2 2 5 2 2 2" xfId="31539"/>
    <cellStyle name="40% - Accent5 4 2 2 5 2 3" xfId="31538"/>
    <cellStyle name="40% - Accent5 4 2 2 5 3" xfId="13644"/>
    <cellStyle name="40% - Accent5 4 2 2 5 3 2" xfId="31540"/>
    <cellStyle name="40% - Accent5 4 2 2 5 4" xfId="31537"/>
    <cellStyle name="40% - Accent5 4 2 2 6" xfId="13645"/>
    <cellStyle name="40% - Accent5 4 2 2 6 2" xfId="13646"/>
    <cellStyle name="40% - Accent5 4 2 2 6 2 2" xfId="31542"/>
    <cellStyle name="40% - Accent5 4 2 2 6 3" xfId="31541"/>
    <cellStyle name="40% - Accent5 4 2 2 7" xfId="13647"/>
    <cellStyle name="40% - Accent5 4 2 2 7 2" xfId="31543"/>
    <cellStyle name="40% - Accent5 4 2 2 8" xfId="31496"/>
    <cellStyle name="40% - Accent5 4 2 3" xfId="13648"/>
    <cellStyle name="40% - Accent5 4 2 3 2" xfId="13649"/>
    <cellStyle name="40% - Accent5 4 2 3 2 2" xfId="13650"/>
    <cellStyle name="40% - Accent5 4 2 3 2 2 2" xfId="13651"/>
    <cellStyle name="40% - Accent5 4 2 3 2 2 2 2" xfId="13652"/>
    <cellStyle name="40% - Accent5 4 2 3 2 2 2 2 2" xfId="31548"/>
    <cellStyle name="40% - Accent5 4 2 3 2 2 2 3" xfId="31547"/>
    <cellStyle name="40% - Accent5 4 2 3 2 2 3" xfId="13653"/>
    <cellStyle name="40% - Accent5 4 2 3 2 2 3 2" xfId="31549"/>
    <cellStyle name="40% - Accent5 4 2 3 2 2 4" xfId="31546"/>
    <cellStyle name="40% - Accent5 4 2 3 2 3" xfId="13654"/>
    <cellStyle name="40% - Accent5 4 2 3 2 3 2" xfId="13655"/>
    <cellStyle name="40% - Accent5 4 2 3 2 3 2 2" xfId="31551"/>
    <cellStyle name="40% - Accent5 4 2 3 2 3 3" xfId="31550"/>
    <cellStyle name="40% - Accent5 4 2 3 2 4" xfId="13656"/>
    <cellStyle name="40% - Accent5 4 2 3 2 4 2" xfId="31552"/>
    <cellStyle name="40% - Accent5 4 2 3 2 5" xfId="31545"/>
    <cellStyle name="40% - Accent5 4 2 3 3" xfId="13657"/>
    <cellStyle name="40% - Accent5 4 2 3 3 2" xfId="13658"/>
    <cellStyle name="40% - Accent5 4 2 3 3 2 2" xfId="13659"/>
    <cellStyle name="40% - Accent5 4 2 3 3 2 2 2" xfId="13660"/>
    <cellStyle name="40% - Accent5 4 2 3 3 2 2 2 2" xfId="31556"/>
    <cellStyle name="40% - Accent5 4 2 3 3 2 2 3" xfId="31555"/>
    <cellStyle name="40% - Accent5 4 2 3 3 2 3" xfId="13661"/>
    <cellStyle name="40% - Accent5 4 2 3 3 2 3 2" xfId="31557"/>
    <cellStyle name="40% - Accent5 4 2 3 3 2 4" xfId="31554"/>
    <cellStyle name="40% - Accent5 4 2 3 3 3" xfId="13662"/>
    <cellStyle name="40% - Accent5 4 2 3 3 3 2" xfId="13663"/>
    <cellStyle name="40% - Accent5 4 2 3 3 3 2 2" xfId="31559"/>
    <cellStyle name="40% - Accent5 4 2 3 3 3 3" xfId="31558"/>
    <cellStyle name="40% - Accent5 4 2 3 3 4" xfId="13664"/>
    <cellStyle name="40% - Accent5 4 2 3 3 4 2" xfId="31560"/>
    <cellStyle name="40% - Accent5 4 2 3 3 5" xfId="31553"/>
    <cellStyle name="40% - Accent5 4 2 3 4" xfId="13665"/>
    <cellStyle name="40% - Accent5 4 2 3 4 2" xfId="13666"/>
    <cellStyle name="40% - Accent5 4 2 3 4 2 2" xfId="13667"/>
    <cellStyle name="40% - Accent5 4 2 3 4 2 2 2" xfId="31563"/>
    <cellStyle name="40% - Accent5 4 2 3 4 2 3" xfId="31562"/>
    <cellStyle name="40% - Accent5 4 2 3 4 3" xfId="13668"/>
    <cellStyle name="40% - Accent5 4 2 3 4 3 2" xfId="31564"/>
    <cellStyle name="40% - Accent5 4 2 3 4 4" xfId="31561"/>
    <cellStyle name="40% - Accent5 4 2 3 5" xfId="13669"/>
    <cellStyle name="40% - Accent5 4 2 3 5 2" xfId="13670"/>
    <cellStyle name="40% - Accent5 4 2 3 5 2 2" xfId="31566"/>
    <cellStyle name="40% - Accent5 4 2 3 5 3" xfId="31565"/>
    <cellStyle name="40% - Accent5 4 2 3 6" xfId="13671"/>
    <cellStyle name="40% - Accent5 4 2 3 6 2" xfId="31567"/>
    <cellStyle name="40% - Accent5 4 2 3 7" xfId="31544"/>
    <cellStyle name="40% - Accent5 4 2 4" xfId="13672"/>
    <cellStyle name="40% - Accent5 4 2 4 2" xfId="13673"/>
    <cellStyle name="40% - Accent5 4 2 4 2 2" xfId="13674"/>
    <cellStyle name="40% - Accent5 4 2 4 2 2 2" xfId="13675"/>
    <cellStyle name="40% - Accent5 4 2 4 2 2 2 2" xfId="31571"/>
    <cellStyle name="40% - Accent5 4 2 4 2 2 3" xfId="31570"/>
    <cellStyle name="40% - Accent5 4 2 4 2 3" xfId="13676"/>
    <cellStyle name="40% - Accent5 4 2 4 2 3 2" xfId="31572"/>
    <cellStyle name="40% - Accent5 4 2 4 2 4" xfId="31569"/>
    <cellStyle name="40% - Accent5 4 2 4 3" xfId="13677"/>
    <cellStyle name="40% - Accent5 4 2 4 3 2" xfId="13678"/>
    <cellStyle name="40% - Accent5 4 2 4 3 2 2" xfId="31574"/>
    <cellStyle name="40% - Accent5 4 2 4 3 3" xfId="31573"/>
    <cellStyle name="40% - Accent5 4 2 4 4" xfId="13679"/>
    <cellStyle name="40% - Accent5 4 2 4 4 2" xfId="31575"/>
    <cellStyle name="40% - Accent5 4 2 4 5" xfId="31568"/>
    <cellStyle name="40% - Accent5 4 2 5" xfId="13680"/>
    <cellStyle name="40% - Accent5 4 2 5 2" xfId="13681"/>
    <cellStyle name="40% - Accent5 4 2 5 2 2" xfId="13682"/>
    <cellStyle name="40% - Accent5 4 2 5 2 2 2" xfId="13683"/>
    <cellStyle name="40% - Accent5 4 2 5 2 2 2 2" xfId="31579"/>
    <cellStyle name="40% - Accent5 4 2 5 2 2 3" xfId="31578"/>
    <cellStyle name="40% - Accent5 4 2 5 2 3" xfId="13684"/>
    <cellStyle name="40% - Accent5 4 2 5 2 3 2" xfId="31580"/>
    <cellStyle name="40% - Accent5 4 2 5 2 4" xfId="31577"/>
    <cellStyle name="40% - Accent5 4 2 5 3" xfId="13685"/>
    <cellStyle name="40% - Accent5 4 2 5 3 2" xfId="13686"/>
    <cellStyle name="40% - Accent5 4 2 5 3 2 2" xfId="31582"/>
    <cellStyle name="40% - Accent5 4 2 5 3 3" xfId="31581"/>
    <cellStyle name="40% - Accent5 4 2 5 4" xfId="13687"/>
    <cellStyle name="40% - Accent5 4 2 5 4 2" xfId="31583"/>
    <cellStyle name="40% - Accent5 4 2 5 5" xfId="31576"/>
    <cellStyle name="40% - Accent5 4 2 6" xfId="13688"/>
    <cellStyle name="40% - Accent5 4 2 6 2" xfId="13689"/>
    <cellStyle name="40% - Accent5 4 2 6 2 2" xfId="13690"/>
    <cellStyle name="40% - Accent5 4 2 6 2 2 2" xfId="31586"/>
    <cellStyle name="40% - Accent5 4 2 6 2 3" xfId="31585"/>
    <cellStyle name="40% - Accent5 4 2 6 3" xfId="13691"/>
    <cellStyle name="40% - Accent5 4 2 6 3 2" xfId="31587"/>
    <cellStyle name="40% - Accent5 4 2 6 4" xfId="31584"/>
    <cellStyle name="40% - Accent5 4 2 7" xfId="13692"/>
    <cellStyle name="40% - Accent5 4 2 7 2" xfId="13693"/>
    <cellStyle name="40% - Accent5 4 2 7 2 2" xfId="31589"/>
    <cellStyle name="40% - Accent5 4 2 7 3" xfId="31588"/>
    <cellStyle name="40% - Accent5 4 2 8" xfId="13694"/>
    <cellStyle name="40% - Accent5 4 2 8 2" xfId="31590"/>
    <cellStyle name="40% - Accent5 4 2 9" xfId="31495"/>
    <cellStyle name="40% - Accent5 4 3" xfId="13695"/>
    <cellStyle name="40% - Accent5 4 3 2" xfId="13696"/>
    <cellStyle name="40% - Accent5 4 3 2 2" xfId="13697"/>
    <cellStyle name="40% - Accent5 4 3 2 2 2" xfId="13698"/>
    <cellStyle name="40% - Accent5 4 3 2 2 2 2" xfId="13699"/>
    <cellStyle name="40% - Accent5 4 3 2 2 2 2 2" xfId="13700"/>
    <cellStyle name="40% - Accent5 4 3 2 2 2 2 2 2" xfId="31596"/>
    <cellStyle name="40% - Accent5 4 3 2 2 2 2 3" xfId="31595"/>
    <cellStyle name="40% - Accent5 4 3 2 2 2 3" xfId="13701"/>
    <cellStyle name="40% - Accent5 4 3 2 2 2 3 2" xfId="31597"/>
    <cellStyle name="40% - Accent5 4 3 2 2 2 4" xfId="31594"/>
    <cellStyle name="40% - Accent5 4 3 2 2 3" xfId="13702"/>
    <cellStyle name="40% - Accent5 4 3 2 2 3 2" xfId="13703"/>
    <cellStyle name="40% - Accent5 4 3 2 2 3 2 2" xfId="31599"/>
    <cellStyle name="40% - Accent5 4 3 2 2 3 3" xfId="31598"/>
    <cellStyle name="40% - Accent5 4 3 2 2 4" xfId="13704"/>
    <cellStyle name="40% - Accent5 4 3 2 2 4 2" xfId="31600"/>
    <cellStyle name="40% - Accent5 4 3 2 2 5" xfId="31593"/>
    <cellStyle name="40% - Accent5 4 3 2 3" xfId="13705"/>
    <cellStyle name="40% - Accent5 4 3 2 3 2" xfId="13706"/>
    <cellStyle name="40% - Accent5 4 3 2 3 2 2" xfId="13707"/>
    <cellStyle name="40% - Accent5 4 3 2 3 2 2 2" xfId="13708"/>
    <cellStyle name="40% - Accent5 4 3 2 3 2 2 2 2" xfId="31604"/>
    <cellStyle name="40% - Accent5 4 3 2 3 2 2 3" xfId="31603"/>
    <cellStyle name="40% - Accent5 4 3 2 3 2 3" xfId="13709"/>
    <cellStyle name="40% - Accent5 4 3 2 3 2 3 2" xfId="31605"/>
    <cellStyle name="40% - Accent5 4 3 2 3 2 4" xfId="31602"/>
    <cellStyle name="40% - Accent5 4 3 2 3 3" xfId="13710"/>
    <cellStyle name="40% - Accent5 4 3 2 3 3 2" xfId="13711"/>
    <cellStyle name="40% - Accent5 4 3 2 3 3 2 2" xfId="31607"/>
    <cellStyle name="40% - Accent5 4 3 2 3 3 3" xfId="31606"/>
    <cellStyle name="40% - Accent5 4 3 2 3 4" xfId="13712"/>
    <cellStyle name="40% - Accent5 4 3 2 3 4 2" xfId="31608"/>
    <cellStyle name="40% - Accent5 4 3 2 3 5" xfId="31601"/>
    <cellStyle name="40% - Accent5 4 3 2 4" xfId="13713"/>
    <cellStyle name="40% - Accent5 4 3 2 4 2" xfId="13714"/>
    <cellStyle name="40% - Accent5 4 3 2 4 2 2" xfId="13715"/>
    <cellStyle name="40% - Accent5 4 3 2 4 2 2 2" xfId="31611"/>
    <cellStyle name="40% - Accent5 4 3 2 4 2 3" xfId="31610"/>
    <cellStyle name="40% - Accent5 4 3 2 4 3" xfId="13716"/>
    <cellStyle name="40% - Accent5 4 3 2 4 3 2" xfId="31612"/>
    <cellStyle name="40% - Accent5 4 3 2 4 4" xfId="31609"/>
    <cellStyle name="40% - Accent5 4 3 2 5" xfId="13717"/>
    <cellStyle name="40% - Accent5 4 3 2 5 2" xfId="13718"/>
    <cellStyle name="40% - Accent5 4 3 2 5 2 2" xfId="31614"/>
    <cellStyle name="40% - Accent5 4 3 2 5 3" xfId="31613"/>
    <cellStyle name="40% - Accent5 4 3 2 6" xfId="13719"/>
    <cellStyle name="40% - Accent5 4 3 2 6 2" xfId="31615"/>
    <cellStyle name="40% - Accent5 4 3 2 7" xfId="31592"/>
    <cellStyle name="40% - Accent5 4 3 3" xfId="13720"/>
    <cellStyle name="40% - Accent5 4 3 3 2" xfId="13721"/>
    <cellStyle name="40% - Accent5 4 3 3 2 2" xfId="13722"/>
    <cellStyle name="40% - Accent5 4 3 3 2 2 2" xfId="13723"/>
    <cellStyle name="40% - Accent5 4 3 3 2 2 2 2" xfId="31619"/>
    <cellStyle name="40% - Accent5 4 3 3 2 2 3" xfId="31618"/>
    <cellStyle name="40% - Accent5 4 3 3 2 3" xfId="13724"/>
    <cellStyle name="40% - Accent5 4 3 3 2 3 2" xfId="31620"/>
    <cellStyle name="40% - Accent5 4 3 3 2 4" xfId="31617"/>
    <cellStyle name="40% - Accent5 4 3 3 3" xfId="13725"/>
    <cellStyle name="40% - Accent5 4 3 3 3 2" xfId="13726"/>
    <cellStyle name="40% - Accent5 4 3 3 3 2 2" xfId="31622"/>
    <cellStyle name="40% - Accent5 4 3 3 3 3" xfId="31621"/>
    <cellStyle name="40% - Accent5 4 3 3 4" xfId="13727"/>
    <cellStyle name="40% - Accent5 4 3 3 4 2" xfId="31623"/>
    <cellStyle name="40% - Accent5 4 3 3 5" xfId="31616"/>
    <cellStyle name="40% - Accent5 4 3 4" xfId="13728"/>
    <cellStyle name="40% - Accent5 4 3 4 2" xfId="13729"/>
    <cellStyle name="40% - Accent5 4 3 4 2 2" xfId="13730"/>
    <cellStyle name="40% - Accent5 4 3 4 2 2 2" xfId="13731"/>
    <cellStyle name="40% - Accent5 4 3 4 2 2 2 2" xfId="31627"/>
    <cellStyle name="40% - Accent5 4 3 4 2 2 3" xfId="31626"/>
    <cellStyle name="40% - Accent5 4 3 4 2 3" xfId="13732"/>
    <cellStyle name="40% - Accent5 4 3 4 2 3 2" xfId="31628"/>
    <cellStyle name="40% - Accent5 4 3 4 2 4" xfId="31625"/>
    <cellStyle name="40% - Accent5 4 3 4 3" xfId="13733"/>
    <cellStyle name="40% - Accent5 4 3 4 3 2" xfId="13734"/>
    <cellStyle name="40% - Accent5 4 3 4 3 2 2" xfId="31630"/>
    <cellStyle name="40% - Accent5 4 3 4 3 3" xfId="31629"/>
    <cellStyle name="40% - Accent5 4 3 4 4" xfId="13735"/>
    <cellStyle name="40% - Accent5 4 3 4 4 2" xfId="31631"/>
    <cellStyle name="40% - Accent5 4 3 4 5" xfId="31624"/>
    <cellStyle name="40% - Accent5 4 3 5" xfId="13736"/>
    <cellStyle name="40% - Accent5 4 3 5 2" xfId="13737"/>
    <cellStyle name="40% - Accent5 4 3 5 2 2" xfId="13738"/>
    <cellStyle name="40% - Accent5 4 3 5 2 2 2" xfId="31634"/>
    <cellStyle name="40% - Accent5 4 3 5 2 3" xfId="31633"/>
    <cellStyle name="40% - Accent5 4 3 5 3" xfId="13739"/>
    <cellStyle name="40% - Accent5 4 3 5 3 2" xfId="31635"/>
    <cellStyle name="40% - Accent5 4 3 5 4" xfId="31632"/>
    <cellStyle name="40% - Accent5 4 3 6" xfId="13740"/>
    <cellStyle name="40% - Accent5 4 3 6 2" xfId="13741"/>
    <cellStyle name="40% - Accent5 4 3 6 2 2" xfId="31637"/>
    <cellStyle name="40% - Accent5 4 3 6 3" xfId="31636"/>
    <cellStyle name="40% - Accent5 4 3 7" xfId="13742"/>
    <cellStyle name="40% - Accent5 4 3 7 2" xfId="31638"/>
    <cellStyle name="40% - Accent5 4 3 8" xfId="31591"/>
    <cellStyle name="40% - Accent5 4 4" xfId="13743"/>
    <cellStyle name="40% - Accent5 4 4 2" xfId="13744"/>
    <cellStyle name="40% - Accent5 4 4 2 2" xfId="13745"/>
    <cellStyle name="40% - Accent5 4 4 2 2 2" xfId="13746"/>
    <cellStyle name="40% - Accent5 4 4 2 2 2 2" xfId="13747"/>
    <cellStyle name="40% - Accent5 4 4 2 2 2 2 2" xfId="31643"/>
    <cellStyle name="40% - Accent5 4 4 2 2 2 3" xfId="31642"/>
    <cellStyle name="40% - Accent5 4 4 2 2 3" xfId="13748"/>
    <cellStyle name="40% - Accent5 4 4 2 2 3 2" xfId="31644"/>
    <cellStyle name="40% - Accent5 4 4 2 2 4" xfId="31641"/>
    <cellStyle name="40% - Accent5 4 4 2 3" xfId="13749"/>
    <cellStyle name="40% - Accent5 4 4 2 3 2" xfId="13750"/>
    <cellStyle name="40% - Accent5 4 4 2 3 2 2" xfId="31646"/>
    <cellStyle name="40% - Accent5 4 4 2 3 3" xfId="31645"/>
    <cellStyle name="40% - Accent5 4 4 2 4" xfId="13751"/>
    <cellStyle name="40% - Accent5 4 4 2 4 2" xfId="31647"/>
    <cellStyle name="40% - Accent5 4 4 2 5" xfId="31640"/>
    <cellStyle name="40% - Accent5 4 4 3" xfId="13752"/>
    <cellStyle name="40% - Accent5 4 4 3 2" xfId="13753"/>
    <cellStyle name="40% - Accent5 4 4 3 2 2" xfId="13754"/>
    <cellStyle name="40% - Accent5 4 4 3 2 2 2" xfId="13755"/>
    <cellStyle name="40% - Accent5 4 4 3 2 2 2 2" xfId="31651"/>
    <cellStyle name="40% - Accent5 4 4 3 2 2 3" xfId="31650"/>
    <cellStyle name="40% - Accent5 4 4 3 2 3" xfId="13756"/>
    <cellStyle name="40% - Accent5 4 4 3 2 3 2" xfId="31652"/>
    <cellStyle name="40% - Accent5 4 4 3 2 4" xfId="31649"/>
    <cellStyle name="40% - Accent5 4 4 3 3" xfId="13757"/>
    <cellStyle name="40% - Accent5 4 4 3 3 2" xfId="13758"/>
    <cellStyle name="40% - Accent5 4 4 3 3 2 2" xfId="31654"/>
    <cellStyle name="40% - Accent5 4 4 3 3 3" xfId="31653"/>
    <cellStyle name="40% - Accent5 4 4 3 4" xfId="13759"/>
    <cellStyle name="40% - Accent5 4 4 3 4 2" xfId="31655"/>
    <cellStyle name="40% - Accent5 4 4 3 5" xfId="31648"/>
    <cellStyle name="40% - Accent5 4 4 4" xfId="13760"/>
    <cellStyle name="40% - Accent5 4 4 4 2" xfId="13761"/>
    <cellStyle name="40% - Accent5 4 4 4 2 2" xfId="13762"/>
    <cellStyle name="40% - Accent5 4 4 4 2 2 2" xfId="31658"/>
    <cellStyle name="40% - Accent5 4 4 4 2 3" xfId="31657"/>
    <cellStyle name="40% - Accent5 4 4 4 3" xfId="13763"/>
    <cellStyle name="40% - Accent5 4 4 4 3 2" xfId="31659"/>
    <cellStyle name="40% - Accent5 4 4 4 4" xfId="31656"/>
    <cellStyle name="40% - Accent5 4 4 5" xfId="13764"/>
    <cellStyle name="40% - Accent5 4 4 5 2" xfId="13765"/>
    <cellStyle name="40% - Accent5 4 4 5 2 2" xfId="31661"/>
    <cellStyle name="40% - Accent5 4 4 5 3" xfId="31660"/>
    <cellStyle name="40% - Accent5 4 4 6" xfId="13766"/>
    <cellStyle name="40% - Accent5 4 4 6 2" xfId="31662"/>
    <cellStyle name="40% - Accent5 4 4 7" xfId="31639"/>
    <cellStyle name="40% - Accent5 4 5" xfId="13767"/>
    <cellStyle name="40% - Accent5 4 5 2" xfId="13768"/>
    <cellStyle name="40% - Accent5 4 5 2 2" xfId="13769"/>
    <cellStyle name="40% - Accent5 4 5 2 2 2" xfId="13770"/>
    <cellStyle name="40% - Accent5 4 5 2 2 2 2" xfId="31666"/>
    <cellStyle name="40% - Accent5 4 5 2 2 3" xfId="31665"/>
    <cellStyle name="40% - Accent5 4 5 2 3" xfId="13771"/>
    <cellStyle name="40% - Accent5 4 5 2 3 2" xfId="31667"/>
    <cellStyle name="40% - Accent5 4 5 2 4" xfId="31664"/>
    <cellStyle name="40% - Accent5 4 5 3" xfId="13772"/>
    <cellStyle name="40% - Accent5 4 5 3 2" xfId="13773"/>
    <cellStyle name="40% - Accent5 4 5 3 2 2" xfId="31669"/>
    <cellStyle name="40% - Accent5 4 5 3 3" xfId="31668"/>
    <cellStyle name="40% - Accent5 4 5 4" xfId="13774"/>
    <cellStyle name="40% - Accent5 4 5 4 2" xfId="31670"/>
    <cellStyle name="40% - Accent5 4 5 5" xfId="31663"/>
    <cellStyle name="40% - Accent5 4 6" xfId="13775"/>
    <cellStyle name="40% - Accent5 4 6 2" xfId="13776"/>
    <cellStyle name="40% - Accent5 4 6 2 2" xfId="13777"/>
    <cellStyle name="40% - Accent5 4 6 2 2 2" xfId="13778"/>
    <cellStyle name="40% - Accent5 4 6 2 2 2 2" xfId="31674"/>
    <cellStyle name="40% - Accent5 4 6 2 2 3" xfId="31673"/>
    <cellStyle name="40% - Accent5 4 6 2 3" xfId="13779"/>
    <cellStyle name="40% - Accent5 4 6 2 3 2" xfId="31675"/>
    <cellStyle name="40% - Accent5 4 6 2 4" xfId="31672"/>
    <cellStyle name="40% - Accent5 4 6 3" xfId="13780"/>
    <cellStyle name="40% - Accent5 4 6 3 2" xfId="13781"/>
    <cellStyle name="40% - Accent5 4 6 3 2 2" xfId="31677"/>
    <cellStyle name="40% - Accent5 4 6 3 3" xfId="31676"/>
    <cellStyle name="40% - Accent5 4 6 4" xfId="13782"/>
    <cellStyle name="40% - Accent5 4 6 4 2" xfId="31678"/>
    <cellStyle name="40% - Accent5 4 6 5" xfId="31671"/>
    <cellStyle name="40% - Accent5 4 7" xfId="13783"/>
    <cellStyle name="40% - Accent5 4 7 2" xfId="13784"/>
    <cellStyle name="40% - Accent5 4 7 2 2" xfId="13785"/>
    <cellStyle name="40% - Accent5 4 7 2 2 2" xfId="31681"/>
    <cellStyle name="40% - Accent5 4 7 2 3" xfId="31680"/>
    <cellStyle name="40% - Accent5 4 7 3" xfId="13786"/>
    <cellStyle name="40% - Accent5 4 7 3 2" xfId="31682"/>
    <cellStyle name="40% - Accent5 4 7 4" xfId="31679"/>
    <cellStyle name="40% - Accent5 4 8" xfId="13787"/>
    <cellStyle name="40% - Accent5 4 8 2" xfId="13788"/>
    <cellStyle name="40% - Accent5 4 8 2 2" xfId="31684"/>
    <cellStyle name="40% - Accent5 4 8 3" xfId="31683"/>
    <cellStyle name="40% - Accent5 4 9" xfId="13789"/>
    <cellStyle name="40% - Accent5 4 9 2" xfId="31685"/>
    <cellStyle name="40% - Accent5 5" xfId="13790"/>
    <cellStyle name="40% - Accent5 5 10" xfId="31686"/>
    <cellStyle name="40% - Accent5 5 2" xfId="13791"/>
    <cellStyle name="40% - Accent5 5 2 2" xfId="13792"/>
    <cellStyle name="40% - Accent5 5 2 2 2" xfId="13793"/>
    <cellStyle name="40% - Accent5 5 2 2 2 2" xfId="13794"/>
    <cellStyle name="40% - Accent5 5 2 2 2 2 2" xfId="13795"/>
    <cellStyle name="40% - Accent5 5 2 2 2 2 2 2" xfId="13796"/>
    <cellStyle name="40% - Accent5 5 2 2 2 2 2 2 2" xfId="13797"/>
    <cellStyle name="40% - Accent5 5 2 2 2 2 2 2 2 2" xfId="31693"/>
    <cellStyle name="40% - Accent5 5 2 2 2 2 2 2 3" xfId="31692"/>
    <cellStyle name="40% - Accent5 5 2 2 2 2 2 3" xfId="13798"/>
    <cellStyle name="40% - Accent5 5 2 2 2 2 2 3 2" xfId="31694"/>
    <cellStyle name="40% - Accent5 5 2 2 2 2 2 4" xfId="31691"/>
    <cellStyle name="40% - Accent5 5 2 2 2 2 3" xfId="13799"/>
    <cellStyle name="40% - Accent5 5 2 2 2 2 3 2" xfId="13800"/>
    <cellStyle name="40% - Accent5 5 2 2 2 2 3 2 2" xfId="31696"/>
    <cellStyle name="40% - Accent5 5 2 2 2 2 3 3" xfId="31695"/>
    <cellStyle name="40% - Accent5 5 2 2 2 2 4" xfId="13801"/>
    <cellStyle name="40% - Accent5 5 2 2 2 2 4 2" xfId="31697"/>
    <cellStyle name="40% - Accent5 5 2 2 2 2 5" xfId="31690"/>
    <cellStyle name="40% - Accent5 5 2 2 2 3" xfId="13802"/>
    <cellStyle name="40% - Accent5 5 2 2 2 3 2" xfId="13803"/>
    <cellStyle name="40% - Accent5 5 2 2 2 3 2 2" xfId="13804"/>
    <cellStyle name="40% - Accent5 5 2 2 2 3 2 2 2" xfId="13805"/>
    <cellStyle name="40% - Accent5 5 2 2 2 3 2 2 2 2" xfId="31701"/>
    <cellStyle name="40% - Accent5 5 2 2 2 3 2 2 3" xfId="31700"/>
    <cellStyle name="40% - Accent5 5 2 2 2 3 2 3" xfId="13806"/>
    <cellStyle name="40% - Accent5 5 2 2 2 3 2 3 2" xfId="31702"/>
    <cellStyle name="40% - Accent5 5 2 2 2 3 2 4" xfId="31699"/>
    <cellStyle name="40% - Accent5 5 2 2 2 3 3" xfId="13807"/>
    <cellStyle name="40% - Accent5 5 2 2 2 3 3 2" xfId="13808"/>
    <cellStyle name="40% - Accent5 5 2 2 2 3 3 2 2" xfId="31704"/>
    <cellStyle name="40% - Accent5 5 2 2 2 3 3 3" xfId="31703"/>
    <cellStyle name="40% - Accent5 5 2 2 2 3 4" xfId="13809"/>
    <cellStyle name="40% - Accent5 5 2 2 2 3 4 2" xfId="31705"/>
    <cellStyle name="40% - Accent5 5 2 2 2 3 5" xfId="31698"/>
    <cellStyle name="40% - Accent5 5 2 2 2 4" xfId="13810"/>
    <cellStyle name="40% - Accent5 5 2 2 2 4 2" xfId="13811"/>
    <cellStyle name="40% - Accent5 5 2 2 2 4 2 2" xfId="13812"/>
    <cellStyle name="40% - Accent5 5 2 2 2 4 2 2 2" xfId="31708"/>
    <cellStyle name="40% - Accent5 5 2 2 2 4 2 3" xfId="31707"/>
    <cellStyle name="40% - Accent5 5 2 2 2 4 3" xfId="13813"/>
    <cellStyle name="40% - Accent5 5 2 2 2 4 3 2" xfId="31709"/>
    <cellStyle name="40% - Accent5 5 2 2 2 4 4" xfId="31706"/>
    <cellStyle name="40% - Accent5 5 2 2 2 5" xfId="13814"/>
    <cellStyle name="40% - Accent5 5 2 2 2 5 2" xfId="13815"/>
    <cellStyle name="40% - Accent5 5 2 2 2 5 2 2" xfId="31711"/>
    <cellStyle name="40% - Accent5 5 2 2 2 5 3" xfId="31710"/>
    <cellStyle name="40% - Accent5 5 2 2 2 6" xfId="13816"/>
    <cellStyle name="40% - Accent5 5 2 2 2 6 2" xfId="31712"/>
    <cellStyle name="40% - Accent5 5 2 2 2 7" xfId="31689"/>
    <cellStyle name="40% - Accent5 5 2 2 3" xfId="13817"/>
    <cellStyle name="40% - Accent5 5 2 2 3 2" xfId="13818"/>
    <cellStyle name="40% - Accent5 5 2 2 3 2 2" xfId="13819"/>
    <cellStyle name="40% - Accent5 5 2 2 3 2 2 2" xfId="13820"/>
    <cellStyle name="40% - Accent5 5 2 2 3 2 2 2 2" xfId="31716"/>
    <cellStyle name="40% - Accent5 5 2 2 3 2 2 3" xfId="31715"/>
    <cellStyle name="40% - Accent5 5 2 2 3 2 3" xfId="13821"/>
    <cellStyle name="40% - Accent5 5 2 2 3 2 3 2" xfId="31717"/>
    <cellStyle name="40% - Accent5 5 2 2 3 2 4" xfId="31714"/>
    <cellStyle name="40% - Accent5 5 2 2 3 3" xfId="13822"/>
    <cellStyle name="40% - Accent5 5 2 2 3 3 2" xfId="13823"/>
    <cellStyle name="40% - Accent5 5 2 2 3 3 2 2" xfId="31719"/>
    <cellStyle name="40% - Accent5 5 2 2 3 3 3" xfId="31718"/>
    <cellStyle name="40% - Accent5 5 2 2 3 4" xfId="13824"/>
    <cellStyle name="40% - Accent5 5 2 2 3 4 2" xfId="31720"/>
    <cellStyle name="40% - Accent5 5 2 2 3 5" xfId="31713"/>
    <cellStyle name="40% - Accent5 5 2 2 4" xfId="13825"/>
    <cellStyle name="40% - Accent5 5 2 2 4 2" xfId="13826"/>
    <cellStyle name="40% - Accent5 5 2 2 4 2 2" xfId="13827"/>
    <cellStyle name="40% - Accent5 5 2 2 4 2 2 2" xfId="13828"/>
    <cellStyle name="40% - Accent5 5 2 2 4 2 2 2 2" xfId="31724"/>
    <cellStyle name="40% - Accent5 5 2 2 4 2 2 3" xfId="31723"/>
    <cellStyle name="40% - Accent5 5 2 2 4 2 3" xfId="13829"/>
    <cellStyle name="40% - Accent5 5 2 2 4 2 3 2" xfId="31725"/>
    <cellStyle name="40% - Accent5 5 2 2 4 2 4" xfId="31722"/>
    <cellStyle name="40% - Accent5 5 2 2 4 3" xfId="13830"/>
    <cellStyle name="40% - Accent5 5 2 2 4 3 2" xfId="13831"/>
    <cellStyle name="40% - Accent5 5 2 2 4 3 2 2" xfId="31727"/>
    <cellStyle name="40% - Accent5 5 2 2 4 3 3" xfId="31726"/>
    <cellStyle name="40% - Accent5 5 2 2 4 4" xfId="13832"/>
    <cellStyle name="40% - Accent5 5 2 2 4 4 2" xfId="31728"/>
    <cellStyle name="40% - Accent5 5 2 2 4 5" xfId="31721"/>
    <cellStyle name="40% - Accent5 5 2 2 5" xfId="13833"/>
    <cellStyle name="40% - Accent5 5 2 2 5 2" xfId="13834"/>
    <cellStyle name="40% - Accent5 5 2 2 5 2 2" xfId="13835"/>
    <cellStyle name="40% - Accent5 5 2 2 5 2 2 2" xfId="31731"/>
    <cellStyle name="40% - Accent5 5 2 2 5 2 3" xfId="31730"/>
    <cellStyle name="40% - Accent5 5 2 2 5 3" xfId="13836"/>
    <cellStyle name="40% - Accent5 5 2 2 5 3 2" xfId="31732"/>
    <cellStyle name="40% - Accent5 5 2 2 5 4" xfId="31729"/>
    <cellStyle name="40% - Accent5 5 2 2 6" xfId="13837"/>
    <cellStyle name="40% - Accent5 5 2 2 6 2" xfId="13838"/>
    <cellStyle name="40% - Accent5 5 2 2 6 2 2" xfId="31734"/>
    <cellStyle name="40% - Accent5 5 2 2 6 3" xfId="31733"/>
    <cellStyle name="40% - Accent5 5 2 2 7" xfId="13839"/>
    <cellStyle name="40% - Accent5 5 2 2 7 2" xfId="31735"/>
    <cellStyle name="40% - Accent5 5 2 2 8" xfId="31688"/>
    <cellStyle name="40% - Accent5 5 2 3" xfId="13840"/>
    <cellStyle name="40% - Accent5 5 2 3 2" xfId="13841"/>
    <cellStyle name="40% - Accent5 5 2 3 2 2" xfId="13842"/>
    <cellStyle name="40% - Accent5 5 2 3 2 2 2" xfId="13843"/>
    <cellStyle name="40% - Accent5 5 2 3 2 2 2 2" xfId="13844"/>
    <cellStyle name="40% - Accent5 5 2 3 2 2 2 2 2" xfId="31740"/>
    <cellStyle name="40% - Accent5 5 2 3 2 2 2 3" xfId="31739"/>
    <cellStyle name="40% - Accent5 5 2 3 2 2 3" xfId="13845"/>
    <cellStyle name="40% - Accent5 5 2 3 2 2 3 2" xfId="31741"/>
    <cellStyle name="40% - Accent5 5 2 3 2 2 4" xfId="31738"/>
    <cellStyle name="40% - Accent5 5 2 3 2 3" xfId="13846"/>
    <cellStyle name="40% - Accent5 5 2 3 2 3 2" xfId="13847"/>
    <cellStyle name="40% - Accent5 5 2 3 2 3 2 2" xfId="31743"/>
    <cellStyle name="40% - Accent5 5 2 3 2 3 3" xfId="31742"/>
    <cellStyle name="40% - Accent5 5 2 3 2 4" xfId="13848"/>
    <cellStyle name="40% - Accent5 5 2 3 2 4 2" xfId="31744"/>
    <cellStyle name="40% - Accent5 5 2 3 2 5" xfId="31737"/>
    <cellStyle name="40% - Accent5 5 2 3 3" xfId="13849"/>
    <cellStyle name="40% - Accent5 5 2 3 3 2" xfId="13850"/>
    <cellStyle name="40% - Accent5 5 2 3 3 2 2" xfId="13851"/>
    <cellStyle name="40% - Accent5 5 2 3 3 2 2 2" xfId="13852"/>
    <cellStyle name="40% - Accent5 5 2 3 3 2 2 2 2" xfId="31748"/>
    <cellStyle name="40% - Accent5 5 2 3 3 2 2 3" xfId="31747"/>
    <cellStyle name="40% - Accent5 5 2 3 3 2 3" xfId="13853"/>
    <cellStyle name="40% - Accent5 5 2 3 3 2 3 2" xfId="31749"/>
    <cellStyle name="40% - Accent5 5 2 3 3 2 4" xfId="31746"/>
    <cellStyle name="40% - Accent5 5 2 3 3 3" xfId="13854"/>
    <cellStyle name="40% - Accent5 5 2 3 3 3 2" xfId="13855"/>
    <cellStyle name="40% - Accent5 5 2 3 3 3 2 2" xfId="31751"/>
    <cellStyle name="40% - Accent5 5 2 3 3 3 3" xfId="31750"/>
    <cellStyle name="40% - Accent5 5 2 3 3 4" xfId="13856"/>
    <cellStyle name="40% - Accent5 5 2 3 3 4 2" xfId="31752"/>
    <cellStyle name="40% - Accent5 5 2 3 3 5" xfId="31745"/>
    <cellStyle name="40% - Accent5 5 2 3 4" xfId="13857"/>
    <cellStyle name="40% - Accent5 5 2 3 4 2" xfId="13858"/>
    <cellStyle name="40% - Accent5 5 2 3 4 2 2" xfId="13859"/>
    <cellStyle name="40% - Accent5 5 2 3 4 2 2 2" xfId="31755"/>
    <cellStyle name="40% - Accent5 5 2 3 4 2 3" xfId="31754"/>
    <cellStyle name="40% - Accent5 5 2 3 4 3" xfId="13860"/>
    <cellStyle name="40% - Accent5 5 2 3 4 3 2" xfId="31756"/>
    <cellStyle name="40% - Accent5 5 2 3 4 4" xfId="31753"/>
    <cellStyle name="40% - Accent5 5 2 3 5" xfId="13861"/>
    <cellStyle name="40% - Accent5 5 2 3 5 2" xfId="13862"/>
    <cellStyle name="40% - Accent5 5 2 3 5 2 2" xfId="31758"/>
    <cellStyle name="40% - Accent5 5 2 3 5 3" xfId="31757"/>
    <cellStyle name="40% - Accent5 5 2 3 6" xfId="13863"/>
    <cellStyle name="40% - Accent5 5 2 3 6 2" xfId="31759"/>
    <cellStyle name="40% - Accent5 5 2 3 7" xfId="31736"/>
    <cellStyle name="40% - Accent5 5 2 4" xfId="13864"/>
    <cellStyle name="40% - Accent5 5 2 4 2" xfId="13865"/>
    <cellStyle name="40% - Accent5 5 2 4 2 2" xfId="13866"/>
    <cellStyle name="40% - Accent5 5 2 4 2 2 2" xfId="13867"/>
    <cellStyle name="40% - Accent5 5 2 4 2 2 2 2" xfId="31763"/>
    <cellStyle name="40% - Accent5 5 2 4 2 2 3" xfId="31762"/>
    <cellStyle name="40% - Accent5 5 2 4 2 3" xfId="13868"/>
    <cellStyle name="40% - Accent5 5 2 4 2 3 2" xfId="31764"/>
    <cellStyle name="40% - Accent5 5 2 4 2 4" xfId="31761"/>
    <cellStyle name="40% - Accent5 5 2 4 3" xfId="13869"/>
    <cellStyle name="40% - Accent5 5 2 4 3 2" xfId="13870"/>
    <cellStyle name="40% - Accent5 5 2 4 3 2 2" xfId="31766"/>
    <cellStyle name="40% - Accent5 5 2 4 3 3" xfId="31765"/>
    <cellStyle name="40% - Accent5 5 2 4 4" xfId="13871"/>
    <cellStyle name="40% - Accent5 5 2 4 4 2" xfId="31767"/>
    <cellStyle name="40% - Accent5 5 2 4 5" xfId="31760"/>
    <cellStyle name="40% - Accent5 5 2 5" xfId="13872"/>
    <cellStyle name="40% - Accent5 5 2 5 2" xfId="13873"/>
    <cellStyle name="40% - Accent5 5 2 5 2 2" xfId="13874"/>
    <cellStyle name="40% - Accent5 5 2 5 2 2 2" xfId="13875"/>
    <cellStyle name="40% - Accent5 5 2 5 2 2 2 2" xfId="31771"/>
    <cellStyle name="40% - Accent5 5 2 5 2 2 3" xfId="31770"/>
    <cellStyle name="40% - Accent5 5 2 5 2 3" xfId="13876"/>
    <cellStyle name="40% - Accent5 5 2 5 2 3 2" xfId="31772"/>
    <cellStyle name="40% - Accent5 5 2 5 2 4" xfId="31769"/>
    <cellStyle name="40% - Accent5 5 2 5 3" xfId="13877"/>
    <cellStyle name="40% - Accent5 5 2 5 3 2" xfId="13878"/>
    <cellStyle name="40% - Accent5 5 2 5 3 2 2" xfId="31774"/>
    <cellStyle name="40% - Accent5 5 2 5 3 3" xfId="31773"/>
    <cellStyle name="40% - Accent5 5 2 5 4" xfId="13879"/>
    <cellStyle name="40% - Accent5 5 2 5 4 2" xfId="31775"/>
    <cellStyle name="40% - Accent5 5 2 5 5" xfId="31768"/>
    <cellStyle name="40% - Accent5 5 2 6" xfId="13880"/>
    <cellStyle name="40% - Accent5 5 2 6 2" xfId="13881"/>
    <cellStyle name="40% - Accent5 5 2 6 2 2" xfId="13882"/>
    <cellStyle name="40% - Accent5 5 2 6 2 2 2" xfId="31778"/>
    <cellStyle name="40% - Accent5 5 2 6 2 3" xfId="31777"/>
    <cellStyle name="40% - Accent5 5 2 6 3" xfId="13883"/>
    <cellStyle name="40% - Accent5 5 2 6 3 2" xfId="31779"/>
    <cellStyle name="40% - Accent5 5 2 6 4" xfId="31776"/>
    <cellStyle name="40% - Accent5 5 2 7" xfId="13884"/>
    <cellStyle name="40% - Accent5 5 2 7 2" xfId="13885"/>
    <cellStyle name="40% - Accent5 5 2 7 2 2" xfId="31781"/>
    <cellStyle name="40% - Accent5 5 2 7 3" xfId="31780"/>
    <cellStyle name="40% - Accent5 5 2 8" xfId="13886"/>
    <cellStyle name="40% - Accent5 5 2 8 2" xfId="31782"/>
    <cellStyle name="40% - Accent5 5 2 9" xfId="31687"/>
    <cellStyle name="40% - Accent5 5 3" xfId="13887"/>
    <cellStyle name="40% - Accent5 5 3 2" xfId="13888"/>
    <cellStyle name="40% - Accent5 5 3 2 2" xfId="13889"/>
    <cellStyle name="40% - Accent5 5 3 2 2 2" xfId="13890"/>
    <cellStyle name="40% - Accent5 5 3 2 2 2 2" xfId="13891"/>
    <cellStyle name="40% - Accent5 5 3 2 2 2 2 2" xfId="13892"/>
    <cellStyle name="40% - Accent5 5 3 2 2 2 2 2 2" xfId="31788"/>
    <cellStyle name="40% - Accent5 5 3 2 2 2 2 3" xfId="31787"/>
    <cellStyle name="40% - Accent5 5 3 2 2 2 3" xfId="13893"/>
    <cellStyle name="40% - Accent5 5 3 2 2 2 3 2" xfId="31789"/>
    <cellStyle name="40% - Accent5 5 3 2 2 2 4" xfId="31786"/>
    <cellStyle name="40% - Accent5 5 3 2 2 3" xfId="13894"/>
    <cellStyle name="40% - Accent5 5 3 2 2 3 2" xfId="13895"/>
    <cellStyle name="40% - Accent5 5 3 2 2 3 2 2" xfId="31791"/>
    <cellStyle name="40% - Accent5 5 3 2 2 3 3" xfId="31790"/>
    <cellStyle name="40% - Accent5 5 3 2 2 4" xfId="13896"/>
    <cellStyle name="40% - Accent5 5 3 2 2 4 2" xfId="31792"/>
    <cellStyle name="40% - Accent5 5 3 2 2 5" xfId="31785"/>
    <cellStyle name="40% - Accent5 5 3 2 3" xfId="13897"/>
    <cellStyle name="40% - Accent5 5 3 2 3 2" xfId="13898"/>
    <cellStyle name="40% - Accent5 5 3 2 3 2 2" xfId="13899"/>
    <cellStyle name="40% - Accent5 5 3 2 3 2 2 2" xfId="13900"/>
    <cellStyle name="40% - Accent5 5 3 2 3 2 2 2 2" xfId="31796"/>
    <cellStyle name="40% - Accent5 5 3 2 3 2 2 3" xfId="31795"/>
    <cellStyle name="40% - Accent5 5 3 2 3 2 3" xfId="13901"/>
    <cellStyle name="40% - Accent5 5 3 2 3 2 3 2" xfId="31797"/>
    <cellStyle name="40% - Accent5 5 3 2 3 2 4" xfId="31794"/>
    <cellStyle name="40% - Accent5 5 3 2 3 3" xfId="13902"/>
    <cellStyle name="40% - Accent5 5 3 2 3 3 2" xfId="13903"/>
    <cellStyle name="40% - Accent5 5 3 2 3 3 2 2" xfId="31799"/>
    <cellStyle name="40% - Accent5 5 3 2 3 3 3" xfId="31798"/>
    <cellStyle name="40% - Accent5 5 3 2 3 4" xfId="13904"/>
    <cellStyle name="40% - Accent5 5 3 2 3 4 2" xfId="31800"/>
    <cellStyle name="40% - Accent5 5 3 2 3 5" xfId="31793"/>
    <cellStyle name="40% - Accent5 5 3 2 4" xfId="13905"/>
    <cellStyle name="40% - Accent5 5 3 2 4 2" xfId="13906"/>
    <cellStyle name="40% - Accent5 5 3 2 4 2 2" xfId="13907"/>
    <cellStyle name="40% - Accent5 5 3 2 4 2 2 2" xfId="31803"/>
    <cellStyle name="40% - Accent5 5 3 2 4 2 3" xfId="31802"/>
    <cellStyle name="40% - Accent5 5 3 2 4 3" xfId="13908"/>
    <cellStyle name="40% - Accent5 5 3 2 4 3 2" xfId="31804"/>
    <cellStyle name="40% - Accent5 5 3 2 4 4" xfId="31801"/>
    <cellStyle name="40% - Accent5 5 3 2 5" xfId="13909"/>
    <cellStyle name="40% - Accent5 5 3 2 5 2" xfId="13910"/>
    <cellStyle name="40% - Accent5 5 3 2 5 2 2" xfId="31806"/>
    <cellStyle name="40% - Accent5 5 3 2 5 3" xfId="31805"/>
    <cellStyle name="40% - Accent5 5 3 2 6" xfId="13911"/>
    <cellStyle name="40% - Accent5 5 3 2 6 2" xfId="31807"/>
    <cellStyle name="40% - Accent5 5 3 2 7" xfId="31784"/>
    <cellStyle name="40% - Accent5 5 3 3" xfId="13912"/>
    <cellStyle name="40% - Accent5 5 3 3 2" xfId="13913"/>
    <cellStyle name="40% - Accent5 5 3 3 2 2" xfId="13914"/>
    <cellStyle name="40% - Accent5 5 3 3 2 2 2" xfId="13915"/>
    <cellStyle name="40% - Accent5 5 3 3 2 2 2 2" xfId="31811"/>
    <cellStyle name="40% - Accent5 5 3 3 2 2 3" xfId="31810"/>
    <cellStyle name="40% - Accent5 5 3 3 2 3" xfId="13916"/>
    <cellStyle name="40% - Accent5 5 3 3 2 3 2" xfId="31812"/>
    <cellStyle name="40% - Accent5 5 3 3 2 4" xfId="31809"/>
    <cellStyle name="40% - Accent5 5 3 3 3" xfId="13917"/>
    <cellStyle name="40% - Accent5 5 3 3 3 2" xfId="13918"/>
    <cellStyle name="40% - Accent5 5 3 3 3 2 2" xfId="31814"/>
    <cellStyle name="40% - Accent5 5 3 3 3 3" xfId="31813"/>
    <cellStyle name="40% - Accent5 5 3 3 4" xfId="13919"/>
    <cellStyle name="40% - Accent5 5 3 3 4 2" xfId="31815"/>
    <cellStyle name="40% - Accent5 5 3 3 5" xfId="31808"/>
    <cellStyle name="40% - Accent5 5 3 4" xfId="13920"/>
    <cellStyle name="40% - Accent5 5 3 4 2" xfId="13921"/>
    <cellStyle name="40% - Accent5 5 3 4 2 2" xfId="13922"/>
    <cellStyle name="40% - Accent5 5 3 4 2 2 2" xfId="13923"/>
    <cellStyle name="40% - Accent5 5 3 4 2 2 2 2" xfId="31819"/>
    <cellStyle name="40% - Accent5 5 3 4 2 2 3" xfId="31818"/>
    <cellStyle name="40% - Accent5 5 3 4 2 3" xfId="13924"/>
    <cellStyle name="40% - Accent5 5 3 4 2 3 2" xfId="31820"/>
    <cellStyle name="40% - Accent5 5 3 4 2 4" xfId="31817"/>
    <cellStyle name="40% - Accent5 5 3 4 3" xfId="13925"/>
    <cellStyle name="40% - Accent5 5 3 4 3 2" xfId="13926"/>
    <cellStyle name="40% - Accent5 5 3 4 3 2 2" xfId="31822"/>
    <cellStyle name="40% - Accent5 5 3 4 3 3" xfId="31821"/>
    <cellStyle name="40% - Accent5 5 3 4 4" xfId="13927"/>
    <cellStyle name="40% - Accent5 5 3 4 4 2" xfId="31823"/>
    <cellStyle name="40% - Accent5 5 3 4 5" xfId="31816"/>
    <cellStyle name="40% - Accent5 5 3 5" xfId="13928"/>
    <cellStyle name="40% - Accent5 5 3 5 2" xfId="13929"/>
    <cellStyle name="40% - Accent5 5 3 5 2 2" xfId="13930"/>
    <cellStyle name="40% - Accent5 5 3 5 2 2 2" xfId="31826"/>
    <cellStyle name="40% - Accent5 5 3 5 2 3" xfId="31825"/>
    <cellStyle name="40% - Accent5 5 3 5 3" xfId="13931"/>
    <cellStyle name="40% - Accent5 5 3 5 3 2" xfId="31827"/>
    <cellStyle name="40% - Accent5 5 3 5 4" xfId="31824"/>
    <cellStyle name="40% - Accent5 5 3 6" xfId="13932"/>
    <cellStyle name="40% - Accent5 5 3 6 2" xfId="13933"/>
    <cellStyle name="40% - Accent5 5 3 6 2 2" xfId="31829"/>
    <cellStyle name="40% - Accent5 5 3 6 3" xfId="31828"/>
    <cellStyle name="40% - Accent5 5 3 7" xfId="13934"/>
    <cellStyle name="40% - Accent5 5 3 7 2" xfId="31830"/>
    <cellStyle name="40% - Accent5 5 3 8" xfId="31783"/>
    <cellStyle name="40% - Accent5 5 4" xfId="13935"/>
    <cellStyle name="40% - Accent5 5 4 2" xfId="13936"/>
    <cellStyle name="40% - Accent5 5 4 2 2" xfId="13937"/>
    <cellStyle name="40% - Accent5 5 4 2 2 2" xfId="13938"/>
    <cellStyle name="40% - Accent5 5 4 2 2 2 2" xfId="13939"/>
    <cellStyle name="40% - Accent5 5 4 2 2 2 2 2" xfId="31835"/>
    <cellStyle name="40% - Accent5 5 4 2 2 2 3" xfId="31834"/>
    <cellStyle name="40% - Accent5 5 4 2 2 3" xfId="13940"/>
    <cellStyle name="40% - Accent5 5 4 2 2 3 2" xfId="31836"/>
    <cellStyle name="40% - Accent5 5 4 2 2 4" xfId="31833"/>
    <cellStyle name="40% - Accent5 5 4 2 3" xfId="13941"/>
    <cellStyle name="40% - Accent5 5 4 2 3 2" xfId="13942"/>
    <cellStyle name="40% - Accent5 5 4 2 3 2 2" xfId="31838"/>
    <cellStyle name="40% - Accent5 5 4 2 3 3" xfId="31837"/>
    <cellStyle name="40% - Accent5 5 4 2 4" xfId="13943"/>
    <cellStyle name="40% - Accent5 5 4 2 4 2" xfId="31839"/>
    <cellStyle name="40% - Accent5 5 4 2 5" xfId="31832"/>
    <cellStyle name="40% - Accent5 5 4 3" xfId="13944"/>
    <cellStyle name="40% - Accent5 5 4 3 2" xfId="13945"/>
    <cellStyle name="40% - Accent5 5 4 3 2 2" xfId="13946"/>
    <cellStyle name="40% - Accent5 5 4 3 2 2 2" xfId="13947"/>
    <cellStyle name="40% - Accent5 5 4 3 2 2 2 2" xfId="31843"/>
    <cellStyle name="40% - Accent5 5 4 3 2 2 3" xfId="31842"/>
    <cellStyle name="40% - Accent5 5 4 3 2 3" xfId="13948"/>
    <cellStyle name="40% - Accent5 5 4 3 2 3 2" xfId="31844"/>
    <cellStyle name="40% - Accent5 5 4 3 2 4" xfId="31841"/>
    <cellStyle name="40% - Accent5 5 4 3 3" xfId="13949"/>
    <cellStyle name="40% - Accent5 5 4 3 3 2" xfId="13950"/>
    <cellStyle name="40% - Accent5 5 4 3 3 2 2" xfId="31846"/>
    <cellStyle name="40% - Accent5 5 4 3 3 3" xfId="31845"/>
    <cellStyle name="40% - Accent5 5 4 3 4" xfId="13951"/>
    <cellStyle name="40% - Accent5 5 4 3 4 2" xfId="31847"/>
    <cellStyle name="40% - Accent5 5 4 3 5" xfId="31840"/>
    <cellStyle name="40% - Accent5 5 4 4" xfId="13952"/>
    <cellStyle name="40% - Accent5 5 4 4 2" xfId="13953"/>
    <cellStyle name="40% - Accent5 5 4 4 2 2" xfId="13954"/>
    <cellStyle name="40% - Accent5 5 4 4 2 2 2" xfId="31850"/>
    <cellStyle name="40% - Accent5 5 4 4 2 3" xfId="31849"/>
    <cellStyle name="40% - Accent5 5 4 4 3" xfId="13955"/>
    <cellStyle name="40% - Accent5 5 4 4 3 2" xfId="31851"/>
    <cellStyle name="40% - Accent5 5 4 4 4" xfId="31848"/>
    <cellStyle name="40% - Accent5 5 4 5" xfId="13956"/>
    <cellStyle name="40% - Accent5 5 4 5 2" xfId="13957"/>
    <cellStyle name="40% - Accent5 5 4 5 2 2" xfId="31853"/>
    <cellStyle name="40% - Accent5 5 4 5 3" xfId="31852"/>
    <cellStyle name="40% - Accent5 5 4 6" xfId="13958"/>
    <cellStyle name="40% - Accent5 5 4 6 2" xfId="31854"/>
    <cellStyle name="40% - Accent5 5 4 7" xfId="31831"/>
    <cellStyle name="40% - Accent5 5 5" xfId="13959"/>
    <cellStyle name="40% - Accent5 5 5 2" xfId="13960"/>
    <cellStyle name="40% - Accent5 5 5 2 2" xfId="13961"/>
    <cellStyle name="40% - Accent5 5 5 2 2 2" xfId="13962"/>
    <cellStyle name="40% - Accent5 5 5 2 2 2 2" xfId="31858"/>
    <cellStyle name="40% - Accent5 5 5 2 2 3" xfId="31857"/>
    <cellStyle name="40% - Accent5 5 5 2 3" xfId="13963"/>
    <cellStyle name="40% - Accent5 5 5 2 3 2" xfId="31859"/>
    <cellStyle name="40% - Accent5 5 5 2 4" xfId="31856"/>
    <cellStyle name="40% - Accent5 5 5 3" xfId="13964"/>
    <cellStyle name="40% - Accent5 5 5 3 2" xfId="13965"/>
    <cellStyle name="40% - Accent5 5 5 3 2 2" xfId="31861"/>
    <cellStyle name="40% - Accent5 5 5 3 3" xfId="31860"/>
    <cellStyle name="40% - Accent5 5 5 4" xfId="13966"/>
    <cellStyle name="40% - Accent5 5 5 4 2" xfId="31862"/>
    <cellStyle name="40% - Accent5 5 5 5" xfId="31855"/>
    <cellStyle name="40% - Accent5 5 6" xfId="13967"/>
    <cellStyle name="40% - Accent5 5 6 2" xfId="13968"/>
    <cellStyle name="40% - Accent5 5 6 2 2" xfId="13969"/>
    <cellStyle name="40% - Accent5 5 6 2 2 2" xfId="13970"/>
    <cellStyle name="40% - Accent5 5 6 2 2 2 2" xfId="31866"/>
    <cellStyle name="40% - Accent5 5 6 2 2 3" xfId="31865"/>
    <cellStyle name="40% - Accent5 5 6 2 3" xfId="13971"/>
    <cellStyle name="40% - Accent5 5 6 2 3 2" xfId="31867"/>
    <cellStyle name="40% - Accent5 5 6 2 4" xfId="31864"/>
    <cellStyle name="40% - Accent5 5 6 3" xfId="13972"/>
    <cellStyle name="40% - Accent5 5 6 3 2" xfId="13973"/>
    <cellStyle name="40% - Accent5 5 6 3 2 2" xfId="31869"/>
    <cellStyle name="40% - Accent5 5 6 3 3" xfId="31868"/>
    <cellStyle name="40% - Accent5 5 6 4" xfId="13974"/>
    <cellStyle name="40% - Accent5 5 6 4 2" xfId="31870"/>
    <cellStyle name="40% - Accent5 5 6 5" xfId="31863"/>
    <cellStyle name="40% - Accent5 5 7" xfId="13975"/>
    <cellStyle name="40% - Accent5 5 7 2" xfId="13976"/>
    <cellStyle name="40% - Accent5 5 7 2 2" xfId="13977"/>
    <cellStyle name="40% - Accent5 5 7 2 2 2" xfId="31873"/>
    <cellStyle name="40% - Accent5 5 7 2 3" xfId="31872"/>
    <cellStyle name="40% - Accent5 5 7 3" xfId="13978"/>
    <cellStyle name="40% - Accent5 5 7 3 2" xfId="31874"/>
    <cellStyle name="40% - Accent5 5 7 4" xfId="31871"/>
    <cellStyle name="40% - Accent5 5 8" xfId="13979"/>
    <cellStyle name="40% - Accent5 5 8 2" xfId="13980"/>
    <cellStyle name="40% - Accent5 5 8 2 2" xfId="31876"/>
    <cellStyle name="40% - Accent5 5 8 3" xfId="31875"/>
    <cellStyle name="40% - Accent5 5 9" xfId="13981"/>
    <cellStyle name="40% - Accent5 5 9 2" xfId="31877"/>
    <cellStyle name="40% - Accent5 6" xfId="13982"/>
    <cellStyle name="40% - Accent5 6 10" xfId="31878"/>
    <cellStyle name="40% - Accent5 6 2" xfId="13983"/>
    <cellStyle name="40% - Accent5 6 2 2" xfId="13984"/>
    <cellStyle name="40% - Accent5 6 2 2 2" xfId="13985"/>
    <cellStyle name="40% - Accent5 6 2 2 2 2" xfId="13986"/>
    <cellStyle name="40% - Accent5 6 2 2 2 2 2" xfId="13987"/>
    <cellStyle name="40% - Accent5 6 2 2 2 2 2 2" xfId="13988"/>
    <cellStyle name="40% - Accent5 6 2 2 2 2 2 2 2" xfId="13989"/>
    <cellStyle name="40% - Accent5 6 2 2 2 2 2 2 2 2" xfId="31885"/>
    <cellStyle name="40% - Accent5 6 2 2 2 2 2 2 3" xfId="31884"/>
    <cellStyle name="40% - Accent5 6 2 2 2 2 2 3" xfId="13990"/>
    <cellStyle name="40% - Accent5 6 2 2 2 2 2 3 2" xfId="31886"/>
    <cellStyle name="40% - Accent5 6 2 2 2 2 2 4" xfId="31883"/>
    <cellStyle name="40% - Accent5 6 2 2 2 2 3" xfId="13991"/>
    <cellStyle name="40% - Accent5 6 2 2 2 2 3 2" xfId="13992"/>
    <cellStyle name="40% - Accent5 6 2 2 2 2 3 2 2" xfId="31888"/>
    <cellStyle name="40% - Accent5 6 2 2 2 2 3 3" xfId="31887"/>
    <cellStyle name="40% - Accent5 6 2 2 2 2 4" xfId="13993"/>
    <cellStyle name="40% - Accent5 6 2 2 2 2 4 2" xfId="31889"/>
    <cellStyle name="40% - Accent5 6 2 2 2 2 5" xfId="31882"/>
    <cellStyle name="40% - Accent5 6 2 2 2 3" xfId="13994"/>
    <cellStyle name="40% - Accent5 6 2 2 2 3 2" xfId="13995"/>
    <cellStyle name="40% - Accent5 6 2 2 2 3 2 2" xfId="13996"/>
    <cellStyle name="40% - Accent5 6 2 2 2 3 2 2 2" xfId="13997"/>
    <cellStyle name="40% - Accent5 6 2 2 2 3 2 2 2 2" xfId="31893"/>
    <cellStyle name="40% - Accent5 6 2 2 2 3 2 2 3" xfId="31892"/>
    <cellStyle name="40% - Accent5 6 2 2 2 3 2 3" xfId="13998"/>
    <cellStyle name="40% - Accent5 6 2 2 2 3 2 3 2" xfId="31894"/>
    <cellStyle name="40% - Accent5 6 2 2 2 3 2 4" xfId="31891"/>
    <cellStyle name="40% - Accent5 6 2 2 2 3 3" xfId="13999"/>
    <cellStyle name="40% - Accent5 6 2 2 2 3 3 2" xfId="14000"/>
    <cellStyle name="40% - Accent5 6 2 2 2 3 3 2 2" xfId="31896"/>
    <cellStyle name="40% - Accent5 6 2 2 2 3 3 3" xfId="31895"/>
    <cellStyle name="40% - Accent5 6 2 2 2 3 4" xfId="14001"/>
    <cellStyle name="40% - Accent5 6 2 2 2 3 4 2" xfId="31897"/>
    <cellStyle name="40% - Accent5 6 2 2 2 3 5" xfId="31890"/>
    <cellStyle name="40% - Accent5 6 2 2 2 4" xfId="14002"/>
    <cellStyle name="40% - Accent5 6 2 2 2 4 2" xfId="14003"/>
    <cellStyle name="40% - Accent5 6 2 2 2 4 2 2" xfId="14004"/>
    <cellStyle name="40% - Accent5 6 2 2 2 4 2 2 2" xfId="31900"/>
    <cellStyle name="40% - Accent5 6 2 2 2 4 2 3" xfId="31899"/>
    <cellStyle name="40% - Accent5 6 2 2 2 4 3" xfId="14005"/>
    <cellStyle name="40% - Accent5 6 2 2 2 4 3 2" xfId="31901"/>
    <cellStyle name="40% - Accent5 6 2 2 2 4 4" xfId="31898"/>
    <cellStyle name="40% - Accent5 6 2 2 2 5" xfId="14006"/>
    <cellStyle name="40% - Accent5 6 2 2 2 5 2" xfId="14007"/>
    <cellStyle name="40% - Accent5 6 2 2 2 5 2 2" xfId="31903"/>
    <cellStyle name="40% - Accent5 6 2 2 2 5 3" xfId="31902"/>
    <cellStyle name="40% - Accent5 6 2 2 2 6" xfId="14008"/>
    <cellStyle name="40% - Accent5 6 2 2 2 6 2" xfId="31904"/>
    <cellStyle name="40% - Accent5 6 2 2 2 7" xfId="31881"/>
    <cellStyle name="40% - Accent5 6 2 2 3" xfId="14009"/>
    <cellStyle name="40% - Accent5 6 2 2 3 2" xfId="14010"/>
    <cellStyle name="40% - Accent5 6 2 2 3 2 2" xfId="14011"/>
    <cellStyle name="40% - Accent5 6 2 2 3 2 2 2" xfId="14012"/>
    <cellStyle name="40% - Accent5 6 2 2 3 2 2 2 2" xfId="31908"/>
    <cellStyle name="40% - Accent5 6 2 2 3 2 2 3" xfId="31907"/>
    <cellStyle name="40% - Accent5 6 2 2 3 2 3" xfId="14013"/>
    <cellStyle name="40% - Accent5 6 2 2 3 2 3 2" xfId="31909"/>
    <cellStyle name="40% - Accent5 6 2 2 3 2 4" xfId="31906"/>
    <cellStyle name="40% - Accent5 6 2 2 3 3" xfId="14014"/>
    <cellStyle name="40% - Accent5 6 2 2 3 3 2" xfId="14015"/>
    <cellStyle name="40% - Accent5 6 2 2 3 3 2 2" xfId="31911"/>
    <cellStyle name="40% - Accent5 6 2 2 3 3 3" xfId="31910"/>
    <cellStyle name="40% - Accent5 6 2 2 3 4" xfId="14016"/>
    <cellStyle name="40% - Accent5 6 2 2 3 4 2" xfId="31912"/>
    <cellStyle name="40% - Accent5 6 2 2 3 5" xfId="31905"/>
    <cellStyle name="40% - Accent5 6 2 2 4" xfId="14017"/>
    <cellStyle name="40% - Accent5 6 2 2 4 2" xfId="14018"/>
    <cellStyle name="40% - Accent5 6 2 2 4 2 2" xfId="14019"/>
    <cellStyle name="40% - Accent5 6 2 2 4 2 2 2" xfId="14020"/>
    <cellStyle name="40% - Accent5 6 2 2 4 2 2 2 2" xfId="31916"/>
    <cellStyle name="40% - Accent5 6 2 2 4 2 2 3" xfId="31915"/>
    <cellStyle name="40% - Accent5 6 2 2 4 2 3" xfId="14021"/>
    <cellStyle name="40% - Accent5 6 2 2 4 2 3 2" xfId="31917"/>
    <cellStyle name="40% - Accent5 6 2 2 4 2 4" xfId="31914"/>
    <cellStyle name="40% - Accent5 6 2 2 4 3" xfId="14022"/>
    <cellStyle name="40% - Accent5 6 2 2 4 3 2" xfId="14023"/>
    <cellStyle name="40% - Accent5 6 2 2 4 3 2 2" xfId="31919"/>
    <cellStyle name="40% - Accent5 6 2 2 4 3 3" xfId="31918"/>
    <cellStyle name="40% - Accent5 6 2 2 4 4" xfId="14024"/>
    <cellStyle name="40% - Accent5 6 2 2 4 4 2" xfId="31920"/>
    <cellStyle name="40% - Accent5 6 2 2 4 5" xfId="31913"/>
    <cellStyle name="40% - Accent5 6 2 2 5" xfId="14025"/>
    <cellStyle name="40% - Accent5 6 2 2 5 2" xfId="14026"/>
    <cellStyle name="40% - Accent5 6 2 2 5 2 2" xfId="14027"/>
    <cellStyle name="40% - Accent5 6 2 2 5 2 2 2" xfId="31923"/>
    <cellStyle name="40% - Accent5 6 2 2 5 2 3" xfId="31922"/>
    <cellStyle name="40% - Accent5 6 2 2 5 3" xfId="14028"/>
    <cellStyle name="40% - Accent5 6 2 2 5 3 2" xfId="31924"/>
    <cellStyle name="40% - Accent5 6 2 2 5 4" xfId="31921"/>
    <cellStyle name="40% - Accent5 6 2 2 6" xfId="14029"/>
    <cellStyle name="40% - Accent5 6 2 2 6 2" xfId="14030"/>
    <cellStyle name="40% - Accent5 6 2 2 6 2 2" xfId="31926"/>
    <cellStyle name="40% - Accent5 6 2 2 6 3" xfId="31925"/>
    <cellStyle name="40% - Accent5 6 2 2 7" xfId="14031"/>
    <cellStyle name="40% - Accent5 6 2 2 7 2" xfId="31927"/>
    <cellStyle name="40% - Accent5 6 2 2 8" xfId="31880"/>
    <cellStyle name="40% - Accent5 6 2 3" xfId="14032"/>
    <cellStyle name="40% - Accent5 6 2 3 2" xfId="14033"/>
    <cellStyle name="40% - Accent5 6 2 3 2 2" xfId="14034"/>
    <cellStyle name="40% - Accent5 6 2 3 2 2 2" xfId="14035"/>
    <cellStyle name="40% - Accent5 6 2 3 2 2 2 2" xfId="14036"/>
    <cellStyle name="40% - Accent5 6 2 3 2 2 2 2 2" xfId="31932"/>
    <cellStyle name="40% - Accent5 6 2 3 2 2 2 3" xfId="31931"/>
    <cellStyle name="40% - Accent5 6 2 3 2 2 3" xfId="14037"/>
    <cellStyle name="40% - Accent5 6 2 3 2 2 3 2" xfId="31933"/>
    <cellStyle name="40% - Accent5 6 2 3 2 2 4" xfId="31930"/>
    <cellStyle name="40% - Accent5 6 2 3 2 3" xfId="14038"/>
    <cellStyle name="40% - Accent5 6 2 3 2 3 2" xfId="14039"/>
    <cellStyle name="40% - Accent5 6 2 3 2 3 2 2" xfId="31935"/>
    <cellStyle name="40% - Accent5 6 2 3 2 3 3" xfId="31934"/>
    <cellStyle name="40% - Accent5 6 2 3 2 4" xfId="14040"/>
    <cellStyle name="40% - Accent5 6 2 3 2 4 2" xfId="31936"/>
    <cellStyle name="40% - Accent5 6 2 3 2 5" xfId="31929"/>
    <cellStyle name="40% - Accent5 6 2 3 3" xfId="14041"/>
    <cellStyle name="40% - Accent5 6 2 3 3 2" xfId="14042"/>
    <cellStyle name="40% - Accent5 6 2 3 3 2 2" xfId="14043"/>
    <cellStyle name="40% - Accent5 6 2 3 3 2 2 2" xfId="14044"/>
    <cellStyle name="40% - Accent5 6 2 3 3 2 2 2 2" xfId="31940"/>
    <cellStyle name="40% - Accent5 6 2 3 3 2 2 3" xfId="31939"/>
    <cellStyle name="40% - Accent5 6 2 3 3 2 3" xfId="14045"/>
    <cellStyle name="40% - Accent5 6 2 3 3 2 3 2" xfId="31941"/>
    <cellStyle name="40% - Accent5 6 2 3 3 2 4" xfId="31938"/>
    <cellStyle name="40% - Accent5 6 2 3 3 3" xfId="14046"/>
    <cellStyle name="40% - Accent5 6 2 3 3 3 2" xfId="14047"/>
    <cellStyle name="40% - Accent5 6 2 3 3 3 2 2" xfId="31943"/>
    <cellStyle name="40% - Accent5 6 2 3 3 3 3" xfId="31942"/>
    <cellStyle name="40% - Accent5 6 2 3 3 4" xfId="14048"/>
    <cellStyle name="40% - Accent5 6 2 3 3 4 2" xfId="31944"/>
    <cellStyle name="40% - Accent5 6 2 3 3 5" xfId="31937"/>
    <cellStyle name="40% - Accent5 6 2 3 4" xfId="14049"/>
    <cellStyle name="40% - Accent5 6 2 3 4 2" xfId="14050"/>
    <cellStyle name="40% - Accent5 6 2 3 4 2 2" xfId="14051"/>
    <cellStyle name="40% - Accent5 6 2 3 4 2 2 2" xfId="31947"/>
    <cellStyle name="40% - Accent5 6 2 3 4 2 3" xfId="31946"/>
    <cellStyle name="40% - Accent5 6 2 3 4 3" xfId="14052"/>
    <cellStyle name="40% - Accent5 6 2 3 4 3 2" xfId="31948"/>
    <cellStyle name="40% - Accent5 6 2 3 4 4" xfId="31945"/>
    <cellStyle name="40% - Accent5 6 2 3 5" xfId="14053"/>
    <cellStyle name="40% - Accent5 6 2 3 5 2" xfId="14054"/>
    <cellStyle name="40% - Accent5 6 2 3 5 2 2" xfId="31950"/>
    <cellStyle name="40% - Accent5 6 2 3 5 3" xfId="31949"/>
    <cellStyle name="40% - Accent5 6 2 3 6" xfId="14055"/>
    <cellStyle name="40% - Accent5 6 2 3 6 2" xfId="31951"/>
    <cellStyle name="40% - Accent5 6 2 3 7" xfId="31928"/>
    <cellStyle name="40% - Accent5 6 2 4" xfId="14056"/>
    <cellStyle name="40% - Accent5 6 2 4 2" xfId="14057"/>
    <cellStyle name="40% - Accent5 6 2 4 2 2" xfId="14058"/>
    <cellStyle name="40% - Accent5 6 2 4 2 2 2" xfId="14059"/>
    <cellStyle name="40% - Accent5 6 2 4 2 2 2 2" xfId="31955"/>
    <cellStyle name="40% - Accent5 6 2 4 2 2 3" xfId="31954"/>
    <cellStyle name="40% - Accent5 6 2 4 2 3" xfId="14060"/>
    <cellStyle name="40% - Accent5 6 2 4 2 3 2" xfId="31956"/>
    <cellStyle name="40% - Accent5 6 2 4 2 4" xfId="31953"/>
    <cellStyle name="40% - Accent5 6 2 4 3" xfId="14061"/>
    <cellStyle name="40% - Accent5 6 2 4 3 2" xfId="14062"/>
    <cellStyle name="40% - Accent5 6 2 4 3 2 2" xfId="31958"/>
    <cellStyle name="40% - Accent5 6 2 4 3 3" xfId="31957"/>
    <cellStyle name="40% - Accent5 6 2 4 4" xfId="14063"/>
    <cellStyle name="40% - Accent5 6 2 4 4 2" xfId="31959"/>
    <cellStyle name="40% - Accent5 6 2 4 5" xfId="31952"/>
    <cellStyle name="40% - Accent5 6 2 5" xfId="14064"/>
    <cellStyle name="40% - Accent5 6 2 5 2" xfId="14065"/>
    <cellStyle name="40% - Accent5 6 2 5 2 2" xfId="14066"/>
    <cellStyle name="40% - Accent5 6 2 5 2 2 2" xfId="14067"/>
    <cellStyle name="40% - Accent5 6 2 5 2 2 2 2" xfId="31963"/>
    <cellStyle name="40% - Accent5 6 2 5 2 2 3" xfId="31962"/>
    <cellStyle name="40% - Accent5 6 2 5 2 3" xfId="14068"/>
    <cellStyle name="40% - Accent5 6 2 5 2 3 2" xfId="31964"/>
    <cellStyle name="40% - Accent5 6 2 5 2 4" xfId="31961"/>
    <cellStyle name="40% - Accent5 6 2 5 3" xfId="14069"/>
    <cellStyle name="40% - Accent5 6 2 5 3 2" xfId="14070"/>
    <cellStyle name="40% - Accent5 6 2 5 3 2 2" xfId="31966"/>
    <cellStyle name="40% - Accent5 6 2 5 3 3" xfId="31965"/>
    <cellStyle name="40% - Accent5 6 2 5 4" xfId="14071"/>
    <cellStyle name="40% - Accent5 6 2 5 4 2" xfId="31967"/>
    <cellStyle name="40% - Accent5 6 2 5 5" xfId="31960"/>
    <cellStyle name="40% - Accent5 6 2 6" xfId="14072"/>
    <cellStyle name="40% - Accent5 6 2 6 2" xfId="14073"/>
    <cellStyle name="40% - Accent5 6 2 6 2 2" xfId="14074"/>
    <cellStyle name="40% - Accent5 6 2 6 2 2 2" xfId="31970"/>
    <cellStyle name="40% - Accent5 6 2 6 2 3" xfId="31969"/>
    <cellStyle name="40% - Accent5 6 2 6 3" xfId="14075"/>
    <cellStyle name="40% - Accent5 6 2 6 3 2" xfId="31971"/>
    <cellStyle name="40% - Accent5 6 2 6 4" xfId="31968"/>
    <cellStyle name="40% - Accent5 6 2 7" xfId="14076"/>
    <cellStyle name="40% - Accent5 6 2 7 2" xfId="14077"/>
    <cellStyle name="40% - Accent5 6 2 7 2 2" xfId="31973"/>
    <cellStyle name="40% - Accent5 6 2 7 3" xfId="31972"/>
    <cellStyle name="40% - Accent5 6 2 8" xfId="14078"/>
    <cellStyle name="40% - Accent5 6 2 8 2" xfId="31974"/>
    <cellStyle name="40% - Accent5 6 2 9" xfId="31879"/>
    <cellStyle name="40% - Accent5 6 3" xfId="14079"/>
    <cellStyle name="40% - Accent5 6 3 2" xfId="14080"/>
    <cellStyle name="40% - Accent5 6 3 2 2" xfId="14081"/>
    <cellStyle name="40% - Accent5 6 3 2 2 2" xfId="14082"/>
    <cellStyle name="40% - Accent5 6 3 2 2 2 2" xfId="14083"/>
    <cellStyle name="40% - Accent5 6 3 2 2 2 2 2" xfId="14084"/>
    <cellStyle name="40% - Accent5 6 3 2 2 2 2 2 2" xfId="31980"/>
    <cellStyle name="40% - Accent5 6 3 2 2 2 2 3" xfId="31979"/>
    <cellStyle name="40% - Accent5 6 3 2 2 2 3" xfId="14085"/>
    <cellStyle name="40% - Accent5 6 3 2 2 2 3 2" xfId="31981"/>
    <cellStyle name="40% - Accent5 6 3 2 2 2 4" xfId="31978"/>
    <cellStyle name="40% - Accent5 6 3 2 2 3" xfId="14086"/>
    <cellStyle name="40% - Accent5 6 3 2 2 3 2" xfId="14087"/>
    <cellStyle name="40% - Accent5 6 3 2 2 3 2 2" xfId="31983"/>
    <cellStyle name="40% - Accent5 6 3 2 2 3 3" xfId="31982"/>
    <cellStyle name="40% - Accent5 6 3 2 2 4" xfId="14088"/>
    <cellStyle name="40% - Accent5 6 3 2 2 4 2" xfId="31984"/>
    <cellStyle name="40% - Accent5 6 3 2 2 5" xfId="31977"/>
    <cellStyle name="40% - Accent5 6 3 2 3" xfId="14089"/>
    <cellStyle name="40% - Accent5 6 3 2 3 2" xfId="14090"/>
    <cellStyle name="40% - Accent5 6 3 2 3 2 2" xfId="14091"/>
    <cellStyle name="40% - Accent5 6 3 2 3 2 2 2" xfId="14092"/>
    <cellStyle name="40% - Accent5 6 3 2 3 2 2 2 2" xfId="31988"/>
    <cellStyle name="40% - Accent5 6 3 2 3 2 2 3" xfId="31987"/>
    <cellStyle name="40% - Accent5 6 3 2 3 2 3" xfId="14093"/>
    <cellStyle name="40% - Accent5 6 3 2 3 2 3 2" xfId="31989"/>
    <cellStyle name="40% - Accent5 6 3 2 3 2 4" xfId="31986"/>
    <cellStyle name="40% - Accent5 6 3 2 3 3" xfId="14094"/>
    <cellStyle name="40% - Accent5 6 3 2 3 3 2" xfId="14095"/>
    <cellStyle name="40% - Accent5 6 3 2 3 3 2 2" xfId="31991"/>
    <cellStyle name="40% - Accent5 6 3 2 3 3 3" xfId="31990"/>
    <cellStyle name="40% - Accent5 6 3 2 3 4" xfId="14096"/>
    <cellStyle name="40% - Accent5 6 3 2 3 4 2" xfId="31992"/>
    <cellStyle name="40% - Accent5 6 3 2 3 5" xfId="31985"/>
    <cellStyle name="40% - Accent5 6 3 2 4" xfId="14097"/>
    <cellStyle name="40% - Accent5 6 3 2 4 2" xfId="14098"/>
    <cellStyle name="40% - Accent5 6 3 2 4 2 2" xfId="14099"/>
    <cellStyle name="40% - Accent5 6 3 2 4 2 2 2" xfId="31995"/>
    <cellStyle name="40% - Accent5 6 3 2 4 2 3" xfId="31994"/>
    <cellStyle name="40% - Accent5 6 3 2 4 3" xfId="14100"/>
    <cellStyle name="40% - Accent5 6 3 2 4 3 2" xfId="31996"/>
    <cellStyle name="40% - Accent5 6 3 2 4 4" xfId="31993"/>
    <cellStyle name="40% - Accent5 6 3 2 5" xfId="14101"/>
    <cellStyle name="40% - Accent5 6 3 2 5 2" xfId="14102"/>
    <cellStyle name="40% - Accent5 6 3 2 5 2 2" xfId="31998"/>
    <cellStyle name="40% - Accent5 6 3 2 5 3" xfId="31997"/>
    <cellStyle name="40% - Accent5 6 3 2 6" xfId="14103"/>
    <cellStyle name="40% - Accent5 6 3 2 6 2" xfId="31999"/>
    <cellStyle name="40% - Accent5 6 3 2 7" xfId="31976"/>
    <cellStyle name="40% - Accent5 6 3 3" xfId="14104"/>
    <cellStyle name="40% - Accent5 6 3 3 2" xfId="14105"/>
    <cellStyle name="40% - Accent5 6 3 3 2 2" xfId="14106"/>
    <cellStyle name="40% - Accent5 6 3 3 2 2 2" xfId="14107"/>
    <cellStyle name="40% - Accent5 6 3 3 2 2 2 2" xfId="32003"/>
    <cellStyle name="40% - Accent5 6 3 3 2 2 3" xfId="32002"/>
    <cellStyle name="40% - Accent5 6 3 3 2 3" xfId="14108"/>
    <cellStyle name="40% - Accent5 6 3 3 2 3 2" xfId="32004"/>
    <cellStyle name="40% - Accent5 6 3 3 2 4" xfId="32001"/>
    <cellStyle name="40% - Accent5 6 3 3 3" xfId="14109"/>
    <cellStyle name="40% - Accent5 6 3 3 3 2" xfId="14110"/>
    <cellStyle name="40% - Accent5 6 3 3 3 2 2" xfId="32006"/>
    <cellStyle name="40% - Accent5 6 3 3 3 3" xfId="32005"/>
    <cellStyle name="40% - Accent5 6 3 3 4" xfId="14111"/>
    <cellStyle name="40% - Accent5 6 3 3 4 2" xfId="32007"/>
    <cellStyle name="40% - Accent5 6 3 3 5" xfId="32000"/>
    <cellStyle name="40% - Accent5 6 3 4" xfId="14112"/>
    <cellStyle name="40% - Accent5 6 3 4 2" xfId="14113"/>
    <cellStyle name="40% - Accent5 6 3 4 2 2" xfId="14114"/>
    <cellStyle name="40% - Accent5 6 3 4 2 2 2" xfId="14115"/>
    <cellStyle name="40% - Accent5 6 3 4 2 2 2 2" xfId="32011"/>
    <cellStyle name="40% - Accent5 6 3 4 2 2 3" xfId="32010"/>
    <cellStyle name="40% - Accent5 6 3 4 2 3" xfId="14116"/>
    <cellStyle name="40% - Accent5 6 3 4 2 3 2" xfId="32012"/>
    <cellStyle name="40% - Accent5 6 3 4 2 4" xfId="32009"/>
    <cellStyle name="40% - Accent5 6 3 4 3" xfId="14117"/>
    <cellStyle name="40% - Accent5 6 3 4 3 2" xfId="14118"/>
    <cellStyle name="40% - Accent5 6 3 4 3 2 2" xfId="32014"/>
    <cellStyle name="40% - Accent5 6 3 4 3 3" xfId="32013"/>
    <cellStyle name="40% - Accent5 6 3 4 4" xfId="14119"/>
    <cellStyle name="40% - Accent5 6 3 4 4 2" xfId="32015"/>
    <cellStyle name="40% - Accent5 6 3 4 5" xfId="32008"/>
    <cellStyle name="40% - Accent5 6 3 5" xfId="14120"/>
    <cellStyle name="40% - Accent5 6 3 5 2" xfId="14121"/>
    <cellStyle name="40% - Accent5 6 3 5 2 2" xfId="14122"/>
    <cellStyle name="40% - Accent5 6 3 5 2 2 2" xfId="32018"/>
    <cellStyle name="40% - Accent5 6 3 5 2 3" xfId="32017"/>
    <cellStyle name="40% - Accent5 6 3 5 3" xfId="14123"/>
    <cellStyle name="40% - Accent5 6 3 5 3 2" xfId="32019"/>
    <cellStyle name="40% - Accent5 6 3 5 4" xfId="32016"/>
    <cellStyle name="40% - Accent5 6 3 6" xfId="14124"/>
    <cellStyle name="40% - Accent5 6 3 6 2" xfId="14125"/>
    <cellStyle name="40% - Accent5 6 3 6 2 2" xfId="32021"/>
    <cellStyle name="40% - Accent5 6 3 6 3" xfId="32020"/>
    <cellStyle name="40% - Accent5 6 3 7" xfId="14126"/>
    <cellStyle name="40% - Accent5 6 3 7 2" xfId="32022"/>
    <cellStyle name="40% - Accent5 6 3 8" xfId="31975"/>
    <cellStyle name="40% - Accent5 6 4" xfId="14127"/>
    <cellStyle name="40% - Accent5 6 4 2" xfId="14128"/>
    <cellStyle name="40% - Accent5 6 4 2 2" xfId="14129"/>
    <cellStyle name="40% - Accent5 6 4 2 2 2" xfId="14130"/>
    <cellStyle name="40% - Accent5 6 4 2 2 2 2" xfId="14131"/>
    <cellStyle name="40% - Accent5 6 4 2 2 2 2 2" xfId="32027"/>
    <cellStyle name="40% - Accent5 6 4 2 2 2 3" xfId="32026"/>
    <cellStyle name="40% - Accent5 6 4 2 2 3" xfId="14132"/>
    <cellStyle name="40% - Accent5 6 4 2 2 3 2" xfId="32028"/>
    <cellStyle name="40% - Accent5 6 4 2 2 4" xfId="32025"/>
    <cellStyle name="40% - Accent5 6 4 2 3" xfId="14133"/>
    <cellStyle name="40% - Accent5 6 4 2 3 2" xfId="14134"/>
    <cellStyle name="40% - Accent5 6 4 2 3 2 2" xfId="32030"/>
    <cellStyle name="40% - Accent5 6 4 2 3 3" xfId="32029"/>
    <cellStyle name="40% - Accent5 6 4 2 4" xfId="14135"/>
    <cellStyle name="40% - Accent5 6 4 2 4 2" xfId="32031"/>
    <cellStyle name="40% - Accent5 6 4 2 5" xfId="32024"/>
    <cellStyle name="40% - Accent5 6 4 3" xfId="14136"/>
    <cellStyle name="40% - Accent5 6 4 3 2" xfId="14137"/>
    <cellStyle name="40% - Accent5 6 4 3 2 2" xfId="14138"/>
    <cellStyle name="40% - Accent5 6 4 3 2 2 2" xfId="14139"/>
    <cellStyle name="40% - Accent5 6 4 3 2 2 2 2" xfId="32035"/>
    <cellStyle name="40% - Accent5 6 4 3 2 2 3" xfId="32034"/>
    <cellStyle name="40% - Accent5 6 4 3 2 3" xfId="14140"/>
    <cellStyle name="40% - Accent5 6 4 3 2 3 2" xfId="32036"/>
    <cellStyle name="40% - Accent5 6 4 3 2 4" xfId="32033"/>
    <cellStyle name="40% - Accent5 6 4 3 3" xfId="14141"/>
    <cellStyle name="40% - Accent5 6 4 3 3 2" xfId="14142"/>
    <cellStyle name="40% - Accent5 6 4 3 3 2 2" xfId="32038"/>
    <cellStyle name="40% - Accent5 6 4 3 3 3" xfId="32037"/>
    <cellStyle name="40% - Accent5 6 4 3 4" xfId="14143"/>
    <cellStyle name="40% - Accent5 6 4 3 4 2" xfId="32039"/>
    <cellStyle name="40% - Accent5 6 4 3 5" xfId="32032"/>
    <cellStyle name="40% - Accent5 6 4 4" xfId="14144"/>
    <cellStyle name="40% - Accent5 6 4 4 2" xfId="14145"/>
    <cellStyle name="40% - Accent5 6 4 4 2 2" xfId="14146"/>
    <cellStyle name="40% - Accent5 6 4 4 2 2 2" xfId="32042"/>
    <cellStyle name="40% - Accent5 6 4 4 2 3" xfId="32041"/>
    <cellStyle name="40% - Accent5 6 4 4 3" xfId="14147"/>
    <cellStyle name="40% - Accent5 6 4 4 3 2" xfId="32043"/>
    <cellStyle name="40% - Accent5 6 4 4 4" xfId="32040"/>
    <cellStyle name="40% - Accent5 6 4 5" xfId="14148"/>
    <cellStyle name="40% - Accent5 6 4 5 2" xfId="14149"/>
    <cellStyle name="40% - Accent5 6 4 5 2 2" xfId="32045"/>
    <cellStyle name="40% - Accent5 6 4 5 3" xfId="32044"/>
    <cellStyle name="40% - Accent5 6 4 6" xfId="14150"/>
    <cellStyle name="40% - Accent5 6 4 6 2" xfId="32046"/>
    <cellStyle name="40% - Accent5 6 4 7" xfId="32023"/>
    <cellStyle name="40% - Accent5 6 5" xfId="14151"/>
    <cellStyle name="40% - Accent5 6 5 2" xfId="14152"/>
    <cellStyle name="40% - Accent5 6 5 2 2" xfId="14153"/>
    <cellStyle name="40% - Accent5 6 5 2 2 2" xfId="14154"/>
    <cellStyle name="40% - Accent5 6 5 2 2 2 2" xfId="32050"/>
    <cellStyle name="40% - Accent5 6 5 2 2 3" xfId="32049"/>
    <cellStyle name="40% - Accent5 6 5 2 3" xfId="14155"/>
    <cellStyle name="40% - Accent5 6 5 2 3 2" xfId="32051"/>
    <cellStyle name="40% - Accent5 6 5 2 4" xfId="32048"/>
    <cellStyle name="40% - Accent5 6 5 3" xfId="14156"/>
    <cellStyle name="40% - Accent5 6 5 3 2" xfId="14157"/>
    <cellStyle name="40% - Accent5 6 5 3 2 2" xfId="32053"/>
    <cellStyle name="40% - Accent5 6 5 3 3" xfId="32052"/>
    <cellStyle name="40% - Accent5 6 5 4" xfId="14158"/>
    <cellStyle name="40% - Accent5 6 5 4 2" xfId="32054"/>
    <cellStyle name="40% - Accent5 6 5 5" xfId="32047"/>
    <cellStyle name="40% - Accent5 6 6" xfId="14159"/>
    <cellStyle name="40% - Accent5 6 6 2" xfId="14160"/>
    <cellStyle name="40% - Accent5 6 6 2 2" xfId="14161"/>
    <cellStyle name="40% - Accent5 6 6 2 2 2" xfId="14162"/>
    <cellStyle name="40% - Accent5 6 6 2 2 2 2" xfId="32058"/>
    <cellStyle name="40% - Accent5 6 6 2 2 3" xfId="32057"/>
    <cellStyle name="40% - Accent5 6 6 2 3" xfId="14163"/>
    <cellStyle name="40% - Accent5 6 6 2 3 2" xfId="32059"/>
    <cellStyle name="40% - Accent5 6 6 2 4" xfId="32056"/>
    <cellStyle name="40% - Accent5 6 6 3" xfId="14164"/>
    <cellStyle name="40% - Accent5 6 6 3 2" xfId="14165"/>
    <cellStyle name="40% - Accent5 6 6 3 2 2" xfId="32061"/>
    <cellStyle name="40% - Accent5 6 6 3 3" xfId="32060"/>
    <cellStyle name="40% - Accent5 6 6 4" xfId="14166"/>
    <cellStyle name="40% - Accent5 6 6 4 2" xfId="32062"/>
    <cellStyle name="40% - Accent5 6 6 5" xfId="32055"/>
    <cellStyle name="40% - Accent5 6 7" xfId="14167"/>
    <cellStyle name="40% - Accent5 6 7 2" xfId="14168"/>
    <cellStyle name="40% - Accent5 6 7 2 2" xfId="14169"/>
    <cellStyle name="40% - Accent5 6 7 2 2 2" xfId="32065"/>
    <cellStyle name="40% - Accent5 6 7 2 3" xfId="32064"/>
    <cellStyle name="40% - Accent5 6 7 3" xfId="14170"/>
    <cellStyle name="40% - Accent5 6 7 3 2" xfId="32066"/>
    <cellStyle name="40% - Accent5 6 7 4" xfId="32063"/>
    <cellStyle name="40% - Accent5 6 8" xfId="14171"/>
    <cellStyle name="40% - Accent5 6 8 2" xfId="14172"/>
    <cellStyle name="40% - Accent5 6 8 2 2" xfId="32068"/>
    <cellStyle name="40% - Accent5 6 8 3" xfId="32067"/>
    <cellStyle name="40% - Accent5 6 9" xfId="14173"/>
    <cellStyle name="40% - Accent5 6 9 2" xfId="32069"/>
    <cellStyle name="40% - Accent5 7" xfId="14174"/>
    <cellStyle name="40% - Accent5 7 10" xfId="32070"/>
    <cellStyle name="40% - Accent5 7 2" xfId="14175"/>
    <cellStyle name="40% - Accent5 7 2 2" xfId="14176"/>
    <cellStyle name="40% - Accent5 7 2 2 2" xfId="14177"/>
    <cellStyle name="40% - Accent5 7 2 2 2 2" xfId="14178"/>
    <cellStyle name="40% - Accent5 7 2 2 2 2 2" xfId="14179"/>
    <cellStyle name="40% - Accent5 7 2 2 2 2 2 2" xfId="14180"/>
    <cellStyle name="40% - Accent5 7 2 2 2 2 2 2 2" xfId="14181"/>
    <cellStyle name="40% - Accent5 7 2 2 2 2 2 2 2 2" xfId="32077"/>
    <cellStyle name="40% - Accent5 7 2 2 2 2 2 2 3" xfId="32076"/>
    <cellStyle name="40% - Accent5 7 2 2 2 2 2 3" xfId="14182"/>
    <cellStyle name="40% - Accent5 7 2 2 2 2 2 3 2" xfId="32078"/>
    <cellStyle name="40% - Accent5 7 2 2 2 2 2 4" xfId="32075"/>
    <cellStyle name="40% - Accent5 7 2 2 2 2 3" xfId="14183"/>
    <cellStyle name="40% - Accent5 7 2 2 2 2 3 2" xfId="14184"/>
    <cellStyle name="40% - Accent5 7 2 2 2 2 3 2 2" xfId="32080"/>
    <cellStyle name="40% - Accent5 7 2 2 2 2 3 3" xfId="32079"/>
    <cellStyle name="40% - Accent5 7 2 2 2 2 4" xfId="14185"/>
    <cellStyle name="40% - Accent5 7 2 2 2 2 4 2" xfId="32081"/>
    <cellStyle name="40% - Accent5 7 2 2 2 2 5" xfId="32074"/>
    <cellStyle name="40% - Accent5 7 2 2 2 3" xfId="14186"/>
    <cellStyle name="40% - Accent5 7 2 2 2 3 2" xfId="14187"/>
    <cellStyle name="40% - Accent5 7 2 2 2 3 2 2" xfId="14188"/>
    <cellStyle name="40% - Accent5 7 2 2 2 3 2 2 2" xfId="14189"/>
    <cellStyle name="40% - Accent5 7 2 2 2 3 2 2 2 2" xfId="32085"/>
    <cellStyle name="40% - Accent5 7 2 2 2 3 2 2 3" xfId="32084"/>
    <cellStyle name="40% - Accent5 7 2 2 2 3 2 3" xfId="14190"/>
    <cellStyle name="40% - Accent5 7 2 2 2 3 2 3 2" xfId="32086"/>
    <cellStyle name="40% - Accent5 7 2 2 2 3 2 4" xfId="32083"/>
    <cellStyle name="40% - Accent5 7 2 2 2 3 3" xfId="14191"/>
    <cellStyle name="40% - Accent5 7 2 2 2 3 3 2" xfId="14192"/>
    <cellStyle name="40% - Accent5 7 2 2 2 3 3 2 2" xfId="32088"/>
    <cellStyle name="40% - Accent5 7 2 2 2 3 3 3" xfId="32087"/>
    <cellStyle name="40% - Accent5 7 2 2 2 3 4" xfId="14193"/>
    <cellStyle name="40% - Accent5 7 2 2 2 3 4 2" xfId="32089"/>
    <cellStyle name="40% - Accent5 7 2 2 2 3 5" xfId="32082"/>
    <cellStyle name="40% - Accent5 7 2 2 2 4" xfId="14194"/>
    <cellStyle name="40% - Accent5 7 2 2 2 4 2" xfId="14195"/>
    <cellStyle name="40% - Accent5 7 2 2 2 4 2 2" xfId="14196"/>
    <cellStyle name="40% - Accent5 7 2 2 2 4 2 2 2" xfId="32092"/>
    <cellStyle name="40% - Accent5 7 2 2 2 4 2 3" xfId="32091"/>
    <cellStyle name="40% - Accent5 7 2 2 2 4 3" xfId="14197"/>
    <cellStyle name="40% - Accent5 7 2 2 2 4 3 2" xfId="32093"/>
    <cellStyle name="40% - Accent5 7 2 2 2 4 4" xfId="32090"/>
    <cellStyle name="40% - Accent5 7 2 2 2 5" xfId="14198"/>
    <cellStyle name="40% - Accent5 7 2 2 2 5 2" xfId="14199"/>
    <cellStyle name="40% - Accent5 7 2 2 2 5 2 2" xfId="32095"/>
    <cellStyle name="40% - Accent5 7 2 2 2 5 3" xfId="32094"/>
    <cellStyle name="40% - Accent5 7 2 2 2 6" xfId="14200"/>
    <cellStyle name="40% - Accent5 7 2 2 2 6 2" xfId="32096"/>
    <cellStyle name="40% - Accent5 7 2 2 2 7" xfId="32073"/>
    <cellStyle name="40% - Accent5 7 2 2 3" xfId="14201"/>
    <cellStyle name="40% - Accent5 7 2 2 3 2" xfId="14202"/>
    <cellStyle name="40% - Accent5 7 2 2 3 2 2" xfId="14203"/>
    <cellStyle name="40% - Accent5 7 2 2 3 2 2 2" xfId="14204"/>
    <cellStyle name="40% - Accent5 7 2 2 3 2 2 2 2" xfId="32100"/>
    <cellStyle name="40% - Accent5 7 2 2 3 2 2 3" xfId="32099"/>
    <cellStyle name="40% - Accent5 7 2 2 3 2 3" xfId="14205"/>
    <cellStyle name="40% - Accent5 7 2 2 3 2 3 2" xfId="32101"/>
    <cellStyle name="40% - Accent5 7 2 2 3 2 4" xfId="32098"/>
    <cellStyle name="40% - Accent5 7 2 2 3 3" xfId="14206"/>
    <cellStyle name="40% - Accent5 7 2 2 3 3 2" xfId="14207"/>
    <cellStyle name="40% - Accent5 7 2 2 3 3 2 2" xfId="32103"/>
    <cellStyle name="40% - Accent5 7 2 2 3 3 3" xfId="32102"/>
    <cellStyle name="40% - Accent5 7 2 2 3 4" xfId="14208"/>
    <cellStyle name="40% - Accent5 7 2 2 3 4 2" xfId="32104"/>
    <cellStyle name="40% - Accent5 7 2 2 3 5" xfId="32097"/>
    <cellStyle name="40% - Accent5 7 2 2 4" xfId="14209"/>
    <cellStyle name="40% - Accent5 7 2 2 4 2" xfId="14210"/>
    <cellStyle name="40% - Accent5 7 2 2 4 2 2" xfId="14211"/>
    <cellStyle name="40% - Accent5 7 2 2 4 2 2 2" xfId="14212"/>
    <cellStyle name="40% - Accent5 7 2 2 4 2 2 2 2" xfId="32108"/>
    <cellStyle name="40% - Accent5 7 2 2 4 2 2 3" xfId="32107"/>
    <cellStyle name="40% - Accent5 7 2 2 4 2 3" xfId="14213"/>
    <cellStyle name="40% - Accent5 7 2 2 4 2 3 2" xfId="32109"/>
    <cellStyle name="40% - Accent5 7 2 2 4 2 4" xfId="32106"/>
    <cellStyle name="40% - Accent5 7 2 2 4 3" xfId="14214"/>
    <cellStyle name="40% - Accent5 7 2 2 4 3 2" xfId="14215"/>
    <cellStyle name="40% - Accent5 7 2 2 4 3 2 2" xfId="32111"/>
    <cellStyle name="40% - Accent5 7 2 2 4 3 3" xfId="32110"/>
    <cellStyle name="40% - Accent5 7 2 2 4 4" xfId="14216"/>
    <cellStyle name="40% - Accent5 7 2 2 4 4 2" xfId="32112"/>
    <cellStyle name="40% - Accent5 7 2 2 4 5" xfId="32105"/>
    <cellStyle name="40% - Accent5 7 2 2 5" xfId="14217"/>
    <cellStyle name="40% - Accent5 7 2 2 5 2" xfId="14218"/>
    <cellStyle name="40% - Accent5 7 2 2 5 2 2" xfId="14219"/>
    <cellStyle name="40% - Accent5 7 2 2 5 2 2 2" xfId="32115"/>
    <cellStyle name="40% - Accent5 7 2 2 5 2 3" xfId="32114"/>
    <cellStyle name="40% - Accent5 7 2 2 5 3" xfId="14220"/>
    <cellStyle name="40% - Accent5 7 2 2 5 3 2" xfId="32116"/>
    <cellStyle name="40% - Accent5 7 2 2 5 4" xfId="32113"/>
    <cellStyle name="40% - Accent5 7 2 2 6" xfId="14221"/>
    <cellStyle name="40% - Accent5 7 2 2 6 2" xfId="14222"/>
    <cellStyle name="40% - Accent5 7 2 2 6 2 2" xfId="32118"/>
    <cellStyle name="40% - Accent5 7 2 2 6 3" xfId="32117"/>
    <cellStyle name="40% - Accent5 7 2 2 7" xfId="14223"/>
    <cellStyle name="40% - Accent5 7 2 2 7 2" xfId="32119"/>
    <cellStyle name="40% - Accent5 7 2 2 8" xfId="32072"/>
    <cellStyle name="40% - Accent5 7 2 3" xfId="14224"/>
    <cellStyle name="40% - Accent5 7 2 3 2" xfId="14225"/>
    <cellStyle name="40% - Accent5 7 2 3 2 2" xfId="14226"/>
    <cellStyle name="40% - Accent5 7 2 3 2 2 2" xfId="14227"/>
    <cellStyle name="40% - Accent5 7 2 3 2 2 2 2" xfId="14228"/>
    <cellStyle name="40% - Accent5 7 2 3 2 2 2 2 2" xfId="32124"/>
    <cellStyle name="40% - Accent5 7 2 3 2 2 2 3" xfId="32123"/>
    <cellStyle name="40% - Accent5 7 2 3 2 2 3" xfId="14229"/>
    <cellStyle name="40% - Accent5 7 2 3 2 2 3 2" xfId="32125"/>
    <cellStyle name="40% - Accent5 7 2 3 2 2 4" xfId="32122"/>
    <cellStyle name="40% - Accent5 7 2 3 2 3" xfId="14230"/>
    <cellStyle name="40% - Accent5 7 2 3 2 3 2" xfId="14231"/>
    <cellStyle name="40% - Accent5 7 2 3 2 3 2 2" xfId="32127"/>
    <cellStyle name="40% - Accent5 7 2 3 2 3 3" xfId="32126"/>
    <cellStyle name="40% - Accent5 7 2 3 2 4" xfId="14232"/>
    <cellStyle name="40% - Accent5 7 2 3 2 4 2" xfId="32128"/>
    <cellStyle name="40% - Accent5 7 2 3 2 5" xfId="32121"/>
    <cellStyle name="40% - Accent5 7 2 3 3" xfId="14233"/>
    <cellStyle name="40% - Accent5 7 2 3 3 2" xfId="14234"/>
    <cellStyle name="40% - Accent5 7 2 3 3 2 2" xfId="14235"/>
    <cellStyle name="40% - Accent5 7 2 3 3 2 2 2" xfId="14236"/>
    <cellStyle name="40% - Accent5 7 2 3 3 2 2 2 2" xfId="32132"/>
    <cellStyle name="40% - Accent5 7 2 3 3 2 2 3" xfId="32131"/>
    <cellStyle name="40% - Accent5 7 2 3 3 2 3" xfId="14237"/>
    <cellStyle name="40% - Accent5 7 2 3 3 2 3 2" xfId="32133"/>
    <cellStyle name="40% - Accent5 7 2 3 3 2 4" xfId="32130"/>
    <cellStyle name="40% - Accent5 7 2 3 3 3" xfId="14238"/>
    <cellStyle name="40% - Accent5 7 2 3 3 3 2" xfId="14239"/>
    <cellStyle name="40% - Accent5 7 2 3 3 3 2 2" xfId="32135"/>
    <cellStyle name="40% - Accent5 7 2 3 3 3 3" xfId="32134"/>
    <cellStyle name="40% - Accent5 7 2 3 3 4" xfId="14240"/>
    <cellStyle name="40% - Accent5 7 2 3 3 4 2" xfId="32136"/>
    <cellStyle name="40% - Accent5 7 2 3 3 5" xfId="32129"/>
    <cellStyle name="40% - Accent5 7 2 3 4" xfId="14241"/>
    <cellStyle name="40% - Accent5 7 2 3 4 2" xfId="14242"/>
    <cellStyle name="40% - Accent5 7 2 3 4 2 2" xfId="14243"/>
    <cellStyle name="40% - Accent5 7 2 3 4 2 2 2" xfId="32139"/>
    <cellStyle name="40% - Accent5 7 2 3 4 2 3" xfId="32138"/>
    <cellStyle name="40% - Accent5 7 2 3 4 3" xfId="14244"/>
    <cellStyle name="40% - Accent5 7 2 3 4 3 2" xfId="32140"/>
    <cellStyle name="40% - Accent5 7 2 3 4 4" xfId="32137"/>
    <cellStyle name="40% - Accent5 7 2 3 5" xfId="14245"/>
    <cellStyle name="40% - Accent5 7 2 3 5 2" xfId="14246"/>
    <cellStyle name="40% - Accent5 7 2 3 5 2 2" xfId="32142"/>
    <cellStyle name="40% - Accent5 7 2 3 5 3" xfId="32141"/>
    <cellStyle name="40% - Accent5 7 2 3 6" xfId="14247"/>
    <cellStyle name="40% - Accent5 7 2 3 6 2" xfId="32143"/>
    <cellStyle name="40% - Accent5 7 2 3 7" xfId="32120"/>
    <cellStyle name="40% - Accent5 7 2 4" xfId="14248"/>
    <cellStyle name="40% - Accent5 7 2 4 2" xfId="14249"/>
    <cellStyle name="40% - Accent5 7 2 4 2 2" xfId="14250"/>
    <cellStyle name="40% - Accent5 7 2 4 2 2 2" xfId="14251"/>
    <cellStyle name="40% - Accent5 7 2 4 2 2 2 2" xfId="32147"/>
    <cellStyle name="40% - Accent5 7 2 4 2 2 3" xfId="32146"/>
    <cellStyle name="40% - Accent5 7 2 4 2 3" xfId="14252"/>
    <cellStyle name="40% - Accent5 7 2 4 2 3 2" xfId="32148"/>
    <cellStyle name="40% - Accent5 7 2 4 2 4" xfId="32145"/>
    <cellStyle name="40% - Accent5 7 2 4 3" xfId="14253"/>
    <cellStyle name="40% - Accent5 7 2 4 3 2" xfId="14254"/>
    <cellStyle name="40% - Accent5 7 2 4 3 2 2" xfId="32150"/>
    <cellStyle name="40% - Accent5 7 2 4 3 3" xfId="32149"/>
    <cellStyle name="40% - Accent5 7 2 4 4" xfId="14255"/>
    <cellStyle name="40% - Accent5 7 2 4 4 2" xfId="32151"/>
    <cellStyle name="40% - Accent5 7 2 4 5" xfId="32144"/>
    <cellStyle name="40% - Accent5 7 2 5" xfId="14256"/>
    <cellStyle name="40% - Accent5 7 2 5 2" xfId="14257"/>
    <cellStyle name="40% - Accent5 7 2 5 2 2" xfId="14258"/>
    <cellStyle name="40% - Accent5 7 2 5 2 2 2" xfId="14259"/>
    <cellStyle name="40% - Accent5 7 2 5 2 2 2 2" xfId="32155"/>
    <cellStyle name="40% - Accent5 7 2 5 2 2 3" xfId="32154"/>
    <cellStyle name="40% - Accent5 7 2 5 2 3" xfId="14260"/>
    <cellStyle name="40% - Accent5 7 2 5 2 3 2" xfId="32156"/>
    <cellStyle name="40% - Accent5 7 2 5 2 4" xfId="32153"/>
    <cellStyle name="40% - Accent5 7 2 5 3" xfId="14261"/>
    <cellStyle name="40% - Accent5 7 2 5 3 2" xfId="14262"/>
    <cellStyle name="40% - Accent5 7 2 5 3 2 2" xfId="32158"/>
    <cellStyle name="40% - Accent5 7 2 5 3 3" xfId="32157"/>
    <cellStyle name="40% - Accent5 7 2 5 4" xfId="14263"/>
    <cellStyle name="40% - Accent5 7 2 5 4 2" xfId="32159"/>
    <cellStyle name="40% - Accent5 7 2 5 5" xfId="32152"/>
    <cellStyle name="40% - Accent5 7 2 6" xfId="14264"/>
    <cellStyle name="40% - Accent5 7 2 6 2" xfId="14265"/>
    <cellStyle name="40% - Accent5 7 2 6 2 2" xfId="14266"/>
    <cellStyle name="40% - Accent5 7 2 6 2 2 2" xfId="32162"/>
    <cellStyle name="40% - Accent5 7 2 6 2 3" xfId="32161"/>
    <cellStyle name="40% - Accent5 7 2 6 3" xfId="14267"/>
    <cellStyle name="40% - Accent5 7 2 6 3 2" xfId="32163"/>
    <cellStyle name="40% - Accent5 7 2 6 4" xfId="32160"/>
    <cellStyle name="40% - Accent5 7 2 7" xfId="14268"/>
    <cellStyle name="40% - Accent5 7 2 7 2" xfId="14269"/>
    <cellStyle name="40% - Accent5 7 2 7 2 2" xfId="32165"/>
    <cellStyle name="40% - Accent5 7 2 7 3" xfId="32164"/>
    <cellStyle name="40% - Accent5 7 2 8" xfId="14270"/>
    <cellStyle name="40% - Accent5 7 2 8 2" xfId="32166"/>
    <cellStyle name="40% - Accent5 7 2 9" xfId="32071"/>
    <cellStyle name="40% - Accent5 7 3" xfId="14271"/>
    <cellStyle name="40% - Accent5 7 3 2" xfId="14272"/>
    <cellStyle name="40% - Accent5 7 3 2 2" xfId="14273"/>
    <cellStyle name="40% - Accent5 7 3 2 2 2" xfId="14274"/>
    <cellStyle name="40% - Accent5 7 3 2 2 2 2" xfId="14275"/>
    <cellStyle name="40% - Accent5 7 3 2 2 2 2 2" xfId="14276"/>
    <cellStyle name="40% - Accent5 7 3 2 2 2 2 2 2" xfId="32172"/>
    <cellStyle name="40% - Accent5 7 3 2 2 2 2 3" xfId="32171"/>
    <cellStyle name="40% - Accent5 7 3 2 2 2 3" xfId="14277"/>
    <cellStyle name="40% - Accent5 7 3 2 2 2 3 2" xfId="32173"/>
    <cellStyle name="40% - Accent5 7 3 2 2 2 4" xfId="32170"/>
    <cellStyle name="40% - Accent5 7 3 2 2 3" xfId="14278"/>
    <cellStyle name="40% - Accent5 7 3 2 2 3 2" xfId="14279"/>
    <cellStyle name="40% - Accent5 7 3 2 2 3 2 2" xfId="32175"/>
    <cellStyle name="40% - Accent5 7 3 2 2 3 3" xfId="32174"/>
    <cellStyle name="40% - Accent5 7 3 2 2 4" xfId="14280"/>
    <cellStyle name="40% - Accent5 7 3 2 2 4 2" xfId="32176"/>
    <cellStyle name="40% - Accent5 7 3 2 2 5" xfId="32169"/>
    <cellStyle name="40% - Accent5 7 3 2 3" xfId="14281"/>
    <cellStyle name="40% - Accent5 7 3 2 3 2" xfId="14282"/>
    <cellStyle name="40% - Accent5 7 3 2 3 2 2" xfId="14283"/>
    <cellStyle name="40% - Accent5 7 3 2 3 2 2 2" xfId="14284"/>
    <cellStyle name="40% - Accent5 7 3 2 3 2 2 2 2" xfId="32180"/>
    <cellStyle name="40% - Accent5 7 3 2 3 2 2 3" xfId="32179"/>
    <cellStyle name="40% - Accent5 7 3 2 3 2 3" xfId="14285"/>
    <cellStyle name="40% - Accent5 7 3 2 3 2 3 2" xfId="32181"/>
    <cellStyle name="40% - Accent5 7 3 2 3 2 4" xfId="32178"/>
    <cellStyle name="40% - Accent5 7 3 2 3 3" xfId="14286"/>
    <cellStyle name="40% - Accent5 7 3 2 3 3 2" xfId="14287"/>
    <cellStyle name="40% - Accent5 7 3 2 3 3 2 2" xfId="32183"/>
    <cellStyle name="40% - Accent5 7 3 2 3 3 3" xfId="32182"/>
    <cellStyle name="40% - Accent5 7 3 2 3 4" xfId="14288"/>
    <cellStyle name="40% - Accent5 7 3 2 3 4 2" xfId="32184"/>
    <cellStyle name="40% - Accent5 7 3 2 3 5" xfId="32177"/>
    <cellStyle name="40% - Accent5 7 3 2 4" xfId="14289"/>
    <cellStyle name="40% - Accent5 7 3 2 4 2" xfId="14290"/>
    <cellStyle name="40% - Accent5 7 3 2 4 2 2" xfId="14291"/>
    <cellStyle name="40% - Accent5 7 3 2 4 2 2 2" xfId="32187"/>
    <cellStyle name="40% - Accent5 7 3 2 4 2 3" xfId="32186"/>
    <cellStyle name="40% - Accent5 7 3 2 4 3" xfId="14292"/>
    <cellStyle name="40% - Accent5 7 3 2 4 3 2" xfId="32188"/>
    <cellStyle name="40% - Accent5 7 3 2 4 4" xfId="32185"/>
    <cellStyle name="40% - Accent5 7 3 2 5" xfId="14293"/>
    <cellStyle name="40% - Accent5 7 3 2 5 2" xfId="14294"/>
    <cellStyle name="40% - Accent5 7 3 2 5 2 2" xfId="32190"/>
    <cellStyle name="40% - Accent5 7 3 2 5 3" xfId="32189"/>
    <cellStyle name="40% - Accent5 7 3 2 6" xfId="14295"/>
    <cellStyle name="40% - Accent5 7 3 2 6 2" xfId="32191"/>
    <cellStyle name="40% - Accent5 7 3 2 7" xfId="32168"/>
    <cellStyle name="40% - Accent5 7 3 3" xfId="14296"/>
    <cellStyle name="40% - Accent5 7 3 3 2" xfId="14297"/>
    <cellStyle name="40% - Accent5 7 3 3 2 2" xfId="14298"/>
    <cellStyle name="40% - Accent5 7 3 3 2 2 2" xfId="14299"/>
    <cellStyle name="40% - Accent5 7 3 3 2 2 2 2" xfId="32195"/>
    <cellStyle name="40% - Accent5 7 3 3 2 2 3" xfId="32194"/>
    <cellStyle name="40% - Accent5 7 3 3 2 3" xfId="14300"/>
    <cellStyle name="40% - Accent5 7 3 3 2 3 2" xfId="32196"/>
    <cellStyle name="40% - Accent5 7 3 3 2 4" xfId="32193"/>
    <cellStyle name="40% - Accent5 7 3 3 3" xfId="14301"/>
    <cellStyle name="40% - Accent5 7 3 3 3 2" xfId="14302"/>
    <cellStyle name="40% - Accent5 7 3 3 3 2 2" xfId="32198"/>
    <cellStyle name="40% - Accent5 7 3 3 3 3" xfId="32197"/>
    <cellStyle name="40% - Accent5 7 3 3 4" xfId="14303"/>
    <cellStyle name="40% - Accent5 7 3 3 4 2" xfId="32199"/>
    <cellStyle name="40% - Accent5 7 3 3 5" xfId="32192"/>
    <cellStyle name="40% - Accent5 7 3 4" xfId="14304"/>
    <cellStyle name="40% - Accent5 7 3 4 2" xfId="14305"/>
    <cellStyle name="40% - Accent5 7 3 4 2 2" xfId="14306"/>
    <cellStyle name="40% - Accent5 7 3 4 2 2 2" xfId="14307"/>
    <cellStyle name="40% - Accent5 7 3 4 2 2 2 2" xfId="32203"/>
    <cellStyle name="40% - Accent5 7 3 4 2 2 3" xfId="32202"/>
    <cellStyle name="40% - Accent5 7 3 4 2 3" xfId="14308"/>
    <cellStyle name="40% - Accent5 7 3 4 2 3 2" xfId="32204"/>
    <cellStyle name="40% - Accent5 7 3 4 2 4" xfId="32201"/>
    <cellStyle name="40% - Accent5 7 3 4 3" xfId="14309"/>
    <cellStyle name="40% - Accent5 7 3 4 3 2" xfId="14310"/>
    <cellStyle name="40% - Accent5 7 3 4 3 2 2" xfId="32206"/>
    <cellStyle name="40% - Accent5 7 3 4 3 3" xfId="32205"/>
    <cellStyle name="40% - Accent5 7 3 4 4" xfId="14311"/>
    <cellStyle name="40% - Accent5 7 3 4 4 2" xfId="32207"/>
    <cellStyle name="40% - Accent5 7 3 4 5" xfId="32200"/>
    <cellStyle name="40% - Accent5 7 3 5" xfId="14312"/>
    <cellStyle name="40% - Accent5 7 3 5 2" xfId="14313"/>
    <cellStyle name="40% - Accent5 7 3 5 2 2" xfId="14314"/>
    <cellStyle name="40% - Accent5 7 3 5 2 2 2" xfId="32210"/>
    <cellStyle name="40% - Accent5 7 3 5 2 3" xfId="32209"/>
    <cellStyle name="40% - Accent5 7 3 5 3" xfId="14315"/>
    <cellStyle name="40% - Accent5 7 3 5 3 2" xfId="32211"/>
    <cellStyle name="40% - Accent5 7 3 5 4" xfId="32208"/>
    <cellStyle name="40% - Accent5 7 3 6" xfId="14316"/>
    <cellStyle name="40% - Accent5 7 3 6 2" xfId="14317"/>
    <cellStyle name="40% - Accent5 7 3 6 2 2" xfId="32213"/>
    <cellStyle name="40% - Accent5 7 3 6 3" xfId="32212"/>
    <cellStyle name="40% - Accent5 7 3 7" xfId="14318"/>
    <cellStyle name="40% - Accent5 7 3 7 2" xfId="32214"/>
    <cellStyle name="40% - Accent5 7 3 8" xfId="32167"/>
    <cellStyle name="40% - Accent5 7 4" xfId="14319"/>
    <cellStyle name="40% - Accent5 7 4 2" xfId="14320"/>
    <cellStyle name="40% - Accent5 7 4 2 2" xfId="14321"/>
    <cellStyle name="40% - Accent5 7 4 2 2 2" xfId="14322"/>
    <cellStyle name="40% - Accent5 7 4 2 2 2 2" xfId="14323"/>
    <cellStyle name="40% - Accent5 7 4 2 2 2 2 2" xfId="32219"/>
    <cellStyle name="40% - Accent5 7 4 2 2 2 3" xfId="32218"/>
    <cellStyle name="40% - Accent5 7 4 2 2 3" xfId="14324"/>
    <cellStyle name="40% - Accent5 7 4 2 2 3 2" xfId="32220"/>
    <cellStyle name="40% - Accent5 7 4 2 2 4" xfId="32217"/>
    <cellStyle name="40% - Accent5 7 4 2 3" xfId="14325"/>
    <cellStyle name="40% - Accent5 7 4 2 3 2" xfId="14326"/>
    <cellStyle name="40% - Accent5 7 4 2 3 2 2" xfId="32222"/>
    <cellStyle name="40% - Accent5 7 4 2 3 3" xfId="32221"/>
    <cellStyle name="40% - Accent5 7 4 2 4" xfId="14327"/>
    <cellStyle name="40% - Accent5 7 4 2 4 2" xfId="32223"/>
    <cellStyle name="40% - Accent5 7 4 2 5" xfId="32216"/>
    <cellStyle name="40% - Accent5 7 4 3" xfId="14328"/>
    <cellStyle name="40% - Accent5 7 4 3 2" xfId="14329"/>
    <cellStyle name="40% - Accent5 7 4 3 2 2" xfId="14330"/>
    <cellStyle name="40% - Accent5 7 4 3 2 2 2" xfId="14331"/>
    <cellStyle name="40% - Accent5 7 4 3 2 2 2 2" xfId="32227"/>
    <cellStyle name="40% - Accent5 7 4 3 2 2 3" xfId="32226"/>
    <cellStyle name="40% - Accent5 7 4 3 2 3" xfId="14332"/>
    <cellStyle name="40% - Accent5 7 4 3 2 3 2" xfId="32228"/>
    <cellStyle name="40% - Accent5 7 4 3 2 4" xfId="32225"/>
    <cellStyle name="40% - Accent5 7 4 3 3" xfId="14333"/>
    <cellStyle name="40% - Accent5 7 4 3 3 2" xfId="14334"/>
    <cellStyle name="40% - Accent5 7 4 3 3 2 2" xfId="32230"/>
    <cellStyle name="40% - Accent5 7 4 3 3 3" xfId="32229"/>
    <cellStyle name="40% - Accent5 7 4 3 4" xfId="14335"/>
    <cellStyle name="40% - Accent5 7 4 3 4 2" xfId="32231"/>
    <cellStyle name="40% - Accent5 7 4 3 5" xfId="32224"/>
    <cellStyle name="40% - Accent5 7 4 4" xfId="14336"/>
    <cellStyle name="40% - Accent5 7 4 4 2" xfId="14337"/>
    <cellStyle name="40% - Accent5 7 4 4 2 2" xfId="14338"/>
    <cellStyle name="40% - Accent5 7 4 4 2 2 2" xfId="32234"/>
    <cellStyle name="40% - Accent5 7 4 4 2 3" xfId="32233"/>
    <cellStyle name="40% - Accent5 7 4 4 3" xfId="14339"/>
    <cellStyle name="40% - Accent5 7 4 4 3 2" xfId="32235"/>
    <cellStyle name="40% - Accent5 7 4 4 4" xfId="32232"/>
    <cellStyle name="40% - Accent5 7 4 5" xfId="14340"/>
    <cellStyle name="40% - Accent5 7 4 5 2" xfId="14341"/>
    <cellStyle name="40% - Accent5 7 4 5 2 2" xfId="32237"/>
    <cellStyle name="40% - Accent5 7 4 5 3" xfId="32236"/>
    <cellStyle name="40% - Accent5 7 4 6" xfId="14342"/>
    <cellStyle name="40% - Accent5 7 4 6 2" xfId="32238"/>
    <cellStyle name="40% - Accent5 7 4 7" xfId="32215"/>
    <cellStyle name="40% - Accent5 7 5" xfId="14343"/>
    <cellStyle name="40% - Accent5 7 5 2" xfId="14344"/>
    <cellStyle name="40% - Accent5 7 5 2 2" xfId="14345"/>
    <cellStyle name="40% - Accent5 7 5 2 2 2" xfId="14346"/>
    <cellStyle name="40% - Accent5 7 5 2 2 2 2" xfId="32242"/>
    <cellStyle name="40% - Accent5 7 5 2 2 3" xfId="32241"/>
    <cellStyle name="40% - Accent5 7 5 2 3" xfId="14347"/>
    <cellStyle name="40% - Accent5 7 5 2 3 2" xfId="32243"/>
    <cellStyle name="40% - Accent5 7 5 2 4" xfId="32240"/>
    <cellStyle name="40% - Accent5 7 5 3" xfId="14348"/>
    <cellStyle name="40% - Accent5 7 5 3 2" xfId="14349"/>
    <cellStyle name="40% - Accent5 7 5 3 2 2" xfId="32245"/>
    <cellStyle name="40% - Accent5 7 5 3 3" xfId="32244"/>
    <cellStyle name="40% - Accent5 7 5 4" xfId="14350"/>
    <cellStyle name="40% - Accent5 7 5 4 2" xfId="32246"/>
    <cellStyle name="40% - Accent5 7 5 5" xfId="32239"/>
    <cellStyle name="40% - Accent5 7 6" xfId="14351"/>
    <cellStyle name="40% - Accent5 7 6 2" xfId="14352"/>
    <cellStyle name="40% - Accent5 7 6 2 2" xfId="14353"/>
    <cellStyle name="40% - Accent5 7 6 2 2 2" xfId="14354"/>
    <cellStyle name="40% - Accent5 7 6 2 2 2 2" xfId="32250"/>
    <cellStyle name="40% - Accent5 7 6 2 2 3" xfId="32249"/>
    <cellStyle name="40% - Accent5 7 6 2 3" xfId="14355"/>
    <cellStyle name="40% - Accent5 7 6 2 3 2" xfId="32251"/>
    <cellStyle name="40% - Accent5 7 6 2 4" xfId="32248"/>
    <cellStyle name="40% - Accent5 7 6 3" xfId="14356"/>
    <cellStyle name="40% - Accent5 7 6 3 2" xfId="14357"/>
    <cellStyle name="40% - Accent5 7 6 3 2 2" xfId="32253"/>
    <cellStyle name="40% - Accent5 7 6 3 3" xfId="32252"/>
    <cellStyle name="40% - Accent5 7 6 4" xfId="14358"/>
    <cellStyle name="40% - Accent5 7 6 4 2" xfId="32254"/>
    <cellStyle name="40% - Accent5 7 6 5" xfId="32247"/>
    <cellStyle name="40% - Accent5 7 7" xfId="14359"/>
    <cellStyle name="40% - Accent5 7 7 2" xfId="14360"/>
    <cellStyle name="40% - Accent5 7 7 2 2" xfId="14361"/>
    <cellStyle name="40% - Accent5 7 7 2 2 2" xfId="32257"/>
    <cellStyle name="40% - Accent5 7 7 2 3" xfId="32256"/>
    <cellStyle name="40% - Accent5 7 7 3" xfId="14362"/>
    <cellStyle name="40% - Accent5 7 7 3 2" xfId="32258"/>
    <cellStyle name="40% - Accent5 7 7 4" xfId="32255"/>
    <cellStyle name="40% - Accent5 7 8" xfId="14363"/>
    <cellStyle name="40% - Accent5 7 8 2" xfId="14364"/>
    <cellStyle name="40% - Accent5 7 8 2 2" xfId="32260"/>
    <cellStyle name="40% - Accent5 7 8 3" xfId="32259"/>
    <cellStyle name="40% - Accent5 7 9" xfId="14365"/>
    <cellStyle name="40% - Accent5 7 9 2" xfId="32261"/>
    <cellStyle name="40% - Accent5 8" xfId="14366"/>
    <cellStyle name="40% - Accent5 8 10" xfId="32262"/>
    <cellStyle name="40% - Accent5 8 2" xfId="14367"/>
    <cellStyle name="40% - Accent5 8 2 2" xfId="14368"/>
    <cellStyle name="40% - Accent5 8 2 2 2" xfId="14369"/>
    <cellStyle name="40% - Accent5 8 2 2 2 2" xfId="14370"/>
    <cellStyle name="40% - Accent5 8 2 2 2 2 2" xfId="14371"/>
    <cellStyle name="40% - Accent5 8 2 2 2 2 2 2" xfId="14372"/>
    <cellStyle name="40% - Accent5 8 2 2 2 2 2 2 2" xfId="14373"/>
    <cellStyle name="40% - Accent5 8 2 2 2 2 2 2 2 2" xfId="32269"/>
    <cellStyle name="40% - Accent5 8 2 2 2 2 2 2 3" xfId="32268"/>
    <cellStyle name="40% - Accent5 8 2 2 2 2 2 3" xfId="14374"/>
    <cellStyle name="40% - Accent5 8 2 2 2 2 2 3 2" xfId="32270"/>
    <cellStyle name="40% - Accent5 8 2 2 2 2 2 4" xfId="32267"/>
    <cellStyle name="40% - Accent5 8 2 2 2 2 3" xfId="14375"/>
    <cellStyle name="40% - Accent5 8 2 2 2 2 3 2" xfId="14376"/>
    <cellStyle name="40% - Accent5 8 2 2 2 2 3 2 2" xfId="32272"/>
    <cellStyle name="40% - Accent5 8 2 2 2 2 3 3" xfId="32271"/>
    <cellStyle name="40% - Accent5 8 2 2 2 2 4" xfId="14377"/>
    <cellStyle name="40% - Accent5 8 2 2 2 2 4 2" xfId="32273"/>
    <cellStyle name="40% - Accent5 8 2 2 2 2 5" xfId="32266"/>
    <cellStyle name="40% - Accent5 8 2 2 2 3" xfId="14378"/>
    <cellStyle name="40% - Accent5 8 2 2 2 3 2" xfId="14379"/>
    <cellStyle name="40% - Accent5 8 2 2 2 3 2 2" xfId="14380"/>
    <cellStyle name="40% - Accent5 8 2 2 2 3 2 2 2" xfId="14381"/>
    <cellStyle name="40% - Accent5 8 2 2 2 3 2 2 2 2" xfId="32277"/>
    <cellStyle name="40% - Accent5 8 2 2 2 3 2 2 3" xfId="32276"/>
    <cellStyle name="40% - Accent5 8 2 2 2 3 2 3" xfId="14382"/>
    <cellStyle name="40% - Accent5 8 2 2 2 3 2 3 2" xfId="32278"/>
    <cellStyle name="40% - Accent5 8 2 2 2 3 2 4" xfId="32275"/>
    <cellStyle name="40% - Accent5 8 2 2 2 3 3" xfId="14383"/>
    <cellStyle name="40% - Accent5 8 2 2 2 3 3 2" xfId="14384"/>
    <cellStyle name="40% - Accent5 8 2 2 2 3 3 2 2" xfId="32280"/>
    <cellStyle name="40% - Accent5 8 2 2 2 3 3 3" xfId="32279"/>
    <cellStyle name="40% - Accent5 8 2 2 2 3 4" xfId="14385"/>
    <cellStyle name="40% - Accent5 8 2 2 2 3 4 2" xfId="32281"/>
    <cellStyle name="40% - Accent5 8 2 2 2 3 5" xfId="32274"/>
    <cellStyle name="40% - Accent5 8 2 2 2 4" xfId="14386"/>
    <cellStyle name="40% - Accent5 8 2 2 2 4 2" xfId="14387"/>
    <cellStyle name="40% - Accent5 8 2 2 2 4 2 2" xfId="14388"/>
    <cellStyle name="40% - Accent5 8 2 2 2 4 2 2 2" xfId="32284"/>
    <cellStyle name="40% - Accent5 8 2 2 2 4 2 3" xfId="32283"/>
    <cellStyle name="40% - Accent5 8 2 2 2 4 3" xfId="14389"/>
    <cellStyle name="40% - Accent5 8 2 2 2 4 3 2" xfId="32285"/>
    <cellStyle name="40% - Accent5 8 2 2 2 4 4" xfId="32282"/>
    <cellStyle name="40% - Accent5 8 2 2 2 5" xfId="14390"/>
    <cellStyle name="40% - Accent5 8 2 2 2 5 2" xfId="14391"/>
    <cellStyle name="40% - Accent5 8 2 2 2 5 2 2" xfId="32287"/>
    <cellStyle name="40% - Accent5 8 2 2 2 5 3" xfId="32286"/>
    <cellStyle name="40% - Accent5 8 2 2 2 6" xfId="14392"/>
    <cellStyle name="40% - Accent5 8 2 2 2 6 2" xfId="32288"/>
    <cellStyle name="40% - Accent5 8 2 2 2 7" xfId="32265"/>
    <cellStyle name="40% - Accent5 8 2 2 3" xfId="14393"/>
    <cellStyle name="40% - Accent5 8 2 2 3 2" xfId="14394"/>
    <cellStyle name="40% - Accent5 8 2 2 3 2 2" xfId="14395"/>
    <cellStyle name="40% - Accent5 8 2 2 3 2 2 2" xfId="14396"/>
    <cellStyle name="40% - Accent5 8 2 2 3 2 2 2 2" xfId="32292"/>
    <cellStyle name="40% - Accent5 8 2 2 3 2 2 3" xfId="32291"/>
    <cellStyle name="40% - Accent5 8 2 2 3 2 3" xfId="14397"/>
    <cellStyle name="40% - Accent5 8 2 2 3 2 3 2" xfId="32293"/>
    <cellStyle name="40% - Accent5 8 2 2 3 2 4" xfId="32290"/>
    <cellStyle name="40% - Accent5 8 2 2 3 3" xfId="14398"/>
    <cellStyle name="40% - Accent5 8 2 2 3 3 2" xfId="14399"/>
    <cellStyle name="40% - Accent5 8 2 2 3 3 2 2" xfId="32295"/>
    <cellStyle name="40% - Accent5 8 2 2 3 3 3" xfId="32294"/>
    <cellStyle name="40% - Accent5 8 2 2 3 4" xfId="14400"/>
    <cellStyle name="40% - Accent5 8 2 2 3 4 2" xfId="32296"/>
    <cellStyle name="40% - Accent5 8 2 2 3 5" xfId="32289"/>
    <cellStyle name="40% - Accent5 8 2 2 4" xfId="14401"/>
    <cellStyle name="40% - Accent5 8 2 2 4 2" xfId="14402"/>
    <cellStyle name="40% - Accent5 8 2 2 4 2 2" xfId="14403"/>
    <cellStyle name="40% - Accent5 8 2 2 4 2 2 2" xfId="14404"/>
    <cellStyle name="40% - Accent5 8 2 2 4 2 2 2 2" xfId="32300"/>
    <cellStyle name="40% - Accent5 8 2 2 4 2 2 3" xfId="32299"/>
    <cellStyle name="40% - Accent5 8 2 2 4 2 3" xfId="14405"/>
    <cellStyle name="40% - Accent5 8 2 2 4 2 3 2" xfId="32301"/>
    <cellStyle name="40% - Accent5 8 2 2 4 2 4" xfId="32298"/>
    <cellStyle name="40% - Accent5 8 2 2 4 3" xfId="14406"/>
    <cellStyle name="40% - Accent5 8 2 2 4 3 2" xfId="14407"/>
    <cellStyle name="40% - Accent5 8 2 2 4 3 2 2" xfId="32303"/>
    <cellStyle name="40% - Accent5 8 2 2 4 3 3" xfId="32302"/>
    <cellStyle name="40% - Accent5 8 2 2 4 4" xfId="14408"/>
    <cellStyle name="40% - Accent5 8 2 2 4 4 2" xfId="32304"/>
    <cellStyle name="40% - Accent5 8 2 2 4 5" xfId="32297"/>
    <cellStyle name="40% - Accent5 8 2 2 5" xfId="14409"/>
    <cellStyle name="40% - Accent5 8 2 2 5 2" xfId="14410"/>
    <cellStyle name="40% - Accent5 8 2 2 5 2 2" xfId="14411"/>
    <cellStyle name="40% - Accent5 8 2 2 5 2 2 2" xfId="32307"/>
    <cellStyle name="40% - Accent5 8 2 2 5 2 3" xfId="32306"/>
    <cellStyle name="40% - Accent5 8 2 2 5 3" xfId="14412"/>
    <cellStyle name="40% - Accent5 8 2 2 5 3 2" xfId="32308"/>
    <cellStyle name="40% - Accent5 8 2 2 5 4" xfId="32305"/>
    <cellStyle name="40% - Accent5 8 2 2 6" xfId="14413"/>
    <cellStyle name="40% - Accent5 8 2 2 6 2" xfId="14414"/>
    <cellStyle name="40% - Accent5 8 2 2 6 2 2" xfId="32310"/>
    <cellStyle name="40% - Accent5 8 2 2 6 3" xfId="32309"/>
    <cellStyle name="40% - Accent5 8 2 2 7" xfId="14415"/>
    <cellStyle name="40% - Accent5 8 2 2 7 2" xfId="32311"/>
    <cellStyle name="40% - Accent5 8 2 2 8" xfId="32264"/>
    <cellStyle name="40% - Accent5 8 2 3" xfId="14416"/>
    <cellStyle name="40% - Accent5 8 2 3 2" xfId="14417"/>
    <cellStyle name="40% - Accent5 8 2 3 2 2" xfId="14418"/>
    <cellStyle name="40% - Accent5 8 2 3 2 2 2" xfId="14419"/>
    <cellStyle name="40% - Accent5 8 2 3 2 2 2 2" xfId="14420"/>
    <cellStyle name="40% - Accent5 8 2 3 2 2 2 2 2" xfId="32316"/>
    <cellStyle name="40% - Accent5 8 2 3 2 2 2 3" xfId="32315"/>
    <cellStyle name="40% - Accent5 8 2 3 2 2 3" xfId="14421"/>
    <cellStyle name="40% - Accent5 8 2 3 2 2 3 2" xfId="32317"/>
    <cellStyle name="40% - Accent5 8 2 3 2 2 4" xfId="32314"/>
    <cellStyle name="40% - Accent5 8 2 3 2 3" xfId="14422"/>
    <cellStyle name="40% - Accent5 8 2 3 2 3 2" xfId="14423"/>
    <cellStyle name="40% - Accent5 8 2 3 2 3 2 2" xfId="32319"/>
    <cellStyle name="40% - Accent5 8 2 3 2 3 3" xfId="32318"/>
    <cellStyle name="40% - Accent5 8 2 3 2 4" xfId="14424"/>
    <cellStyle name="40% - Accent5 8 2 3 2 4 2" xfId="32320"/>
    <cellStyle name="40% - Accent5 8 2 3 2 5" xfId="32313"/>
    <cellStyle name="40% - Accent5 8 2 3 3" xfId="14425"/>
    <cellStyle name="40% - Accent5 8 2 3 3 2" xfId="14426"/>
    <cellStyle name="40% - Accent5 8 2 3 3 2 2" xfId="14427"/>
    <cellStyle name="40% - Accent5 8 2 3 3 2 2 2" xfId="14428"/>
    <cellStyle name="40% - Accent5 8 2 3 3 2 2 2 2" xfId="32324"/>
    <cellStyle name="40% - Accent5 8 2 3 3 2 2 3" xfId="32323"/>
    <cellStyle name="40% - Accent5 8 2 3 3 2 3" xfId="14429"/>
    <cellStyle name="40% - Accent5 8 2 3 3 2 3 2" xfId="32325"/>
    <cellStyle name="40% - Accent5 8 2 3 3 2 4" xfId="32322"/>
    <cellStyle name="40% - Accent5 8 2 3 3 3" xfId="14430"/>
    <cellStyle name="40% - Accent5 8 2 3 3 3 2" xfId="14431"/>
    <cellStyle name="40% - Accent5 8 2 3 3 3 2 2" xfId="32327"/>
    <cellStyle name="40% - Accent5 8 2 3 3 3 3" xfId="32326"/>
    <cellStyle name="40% - Accent5 8 2 3 3 4" xfId="14432"/>
    <cellStyle name="40% - Accent5 8 2 3 3 4 2" xfId="32328"/>
    <cellStyle name="40% - Accent5 8 2 3 3 5" xfId="32321"/>
    <cellStyle name="40% - Accent5 8 2 3 4" xfId="14433"/>
    <cellStyle name="40% - Accent5 8 2 3 4 2" xfId="14434"/>
    <cellStyle name="40% - Accent5 8 2 3 4 2 2" xfId="14435"/>
    <cellStyle name="40% - Accent5 8 2 3 4 2 2 2" xfId="32331"/>
    <cellStyle name="40% - Accent5 8 2 3 4 2 3" xfId="32330"/>
    <cellStyle name="40% - Accent5 8 2 3 4 3" xfId="14436"/>
    <cellStyle name="40% - Accent5 8 2 3 4 3 2" xfId="32332"/>
    <cellStyle name="40% - Accent5 8 2 3 4 4" xfId="32329"/>
    <cellStyle name="40% - Accent5 8 2 3 5" xfId="14437"/>
    <cellStyle name="40% - Accent5 8 2 3 5 2" xfId="14438"/>
    <cellStyle name="40% - Accent5 8 2 3 5 2 2" xfId="32334"/>
    <cellStyle name="40% - Accent5 8 2 3 5 3" xfId="32333"/>
    <cellStyle name="40% - Accent5 8 2 3 6" xfId="14439"/>
    <cellStyle name="40% - Accent5 8 2 3 6 2" xfId="32335"/>
    <cellStyle name="40% - Accent5 8 2 3 7" xfId="32312"/>
    <cellStyle name="40% - Accent5 8 2 4" xfId="14440"/>
    <cellStyle name="40% - Accent5 8 2 4 2" xfId="14441"/>
    <cellStyle name="40% - Accent5 8 2 4 2 2" xfId="14442"/>
    <cellStyle name="40% - Accent5 8 2 4 2 2 2" xfId="14443"/>
    <cellStyle name="40% - Accent5 8 2 4 2 2 2 2" xfId="32339"/>
    <cellStyle name="40% - Accent5 8 2 4 2 2 3" xfId="32338"/>
    <cellStyle name="40% - Accent5 8 2 4 2 3" xfId="14444"/>
    <cellStyle name="40% - Accent5 8 2 4 2 3 2" xfId="32340"/>
    <cellStyle name="40% - Accent5 8 2 4 2 4" xfId="32337"/>
    <cellStyle name="40% - Accent5 8 2 4 3" xfId="14445"/>
    <cellStyle name="40% - Accent5 8 2 4 3 2" xfId="14446"/>
    <cellStyle name="40% - Accent5 8 2 4 3 2 2" xfId="32342"/>
    <cellStyle name="40% - Accent5 8 2 4 3 3" xfId="32341"/>
    <cellStyle name="40% - Accent5 8 2 4 4" xfId="14447"/>
    <cellStyle name="40% - Accent5 8 2 4 4 2" xfId="32343"/>
    <cellStyle name="40% - Accent5 8 2 4 5" xfId="32336"/>
    <cellStyle name="40% - Accent5 8 2 5" xfId="14448"/>
    <cellStyle name="40% - Accent5 8 2 5 2" xfId="14449"/>
    <cellStyle name="40% - Accent5 8 2 5 2 2" xfId="14450"/>
    <cellStyle name="40% - Accent5 8 2 5 2 2 2" xfId="14451"/>
    <cellStyle name="40% - Accent5 8 2 5 2 2 2 2" xfId="32347"/>
    <cellStyle name="40% - Accent5 8 2 5 2 2 3" xfId="32346"/>
    <cellStyle name="40% - Accent5 8 2 5 2 3" xfId="14452"/>
    <cellStyle name="40% - Accent5 8 2 5 2 3 2" xfId="32348"/>
    <cellStyle name="40% - Accent5 8 2 5 2 4" xfId="32345"/>
    <cellStyle name="40% - Accent5 8 2 5 3" xfId="14453"/>
    <cellStyle name="40% - Accent5 8 2 5 3 2" xfId="14454"/>
    <cellStyle name="40% - Accent5 8 2 5 3 2 2" xfId="32350"/>
    <cellStyle name="40% - Accent5 8 2 5 3 3" xfId="32349"/>
    <cellStyle name="40% - Accent5 8 2 5 4" xfId="14455"/>
    <cellStyle name="40% - Accent5 8 2 5 4 2" xfId="32351"/>
    <cellStyle name="40% - Accent5 8 2 5 5" xfId="32344"/>
    <cellStyle name="40% - Accent5 8 2 6" xfId="14456"/>
    <cellStyle name="40% - Accent5 8 2 6 2" xfId="14457"/>
    <cellStyle name="40% - Accent5 8 2 6 2 2" xfId="14458"/>
    <cellStyle name="40% - Accent5 8 2 6 2 2 2" xfId="32354"/>
    <cellStyle name="40% - Accent5 8 2 6 2 3" xfId="32353"/>
    <cellStyle name="40% - Accent5 8 2 6 3" xfId="14459"/>
    <cellStyle name="40% - Accent5 8 2 6 3 2" xfId="32355"/>
    <cellStyle name="40% - Accent5 8 2 6 4" xfId="32352"/>
    <cellStyle name="40% - Accent5 8 2 7" xfId="14460"/>
    <cellStyle name="40% - Accent5 8 2 7 2" xfId="14461"/>
    <cellStyle name="40% - Accent5 8 2 7 2 2" xfId="32357"/>
    <cellStyle name="40% - Accent5 8 2 7 3" xfId="32356"/>
    <cellStyle name="40% - Accent5 8 2 8" xfId="14462"/>
    <cellStyle name="40% - Accent5 8 2 8 2" xfId="32358"/>
    <cellStyle name="40% - Accent5 8 2 9" xfId="32263"/>
    <cellStyle name="40% - Accent5 8 3" xfId="14463"/>
    <cellStyle name="40% - Accent5 8 3 2" xfId="14464"/>
    <cellStyle name="40% - Accent5 8 3 2 2" xfId="14465"/>
    <cellStyle name="40% - Accent5 8 3 2 2 2" xfId="14466"/>
    <cellStyle name="40% - Accent5 8 3 2 2 2 2" xfId="14467"/>
    <cellStyle name="40% - Accent5 8 3 2 2 2 2 2" xfId="14468"/>
    <cellStyle name="40% - Accent5 8 3 2 2 2 2 2 2" xfId="32364"/>
    <cellStyle name="40% - Accent5 8 3 2 2 2 2 3" xfId="32363"/>
    <cellStyle name="40% - Accent5 8 3 2 2 2 3" xfId="14469"/>
    <cellStyle name="40% - Accent5 8 3 2 2 2 3 2" xfId="32365"/>
    <cellStyle name="40% - Accent5 8 3 2 2 2 4" xfId="32362"/>
    <cellStyle name="40% - Accent5 8 3 2 2 3" xfId="14470"/>
    <cellStyle name="40% - Accent5 8 3 2 2 3 2" xfId="14471"/>
    <cellStyle name="40% - Accent5 8 3 2 2 3 2 2" xfId="32367"/>
    <cellStyle name="40% - Accent5 8 3 2 2 3 3" xfId="32366"/>
    <cellStyle name="40% - Accent5 8 3 2 2 4" xfId="14472"/>
    <cellStyle name="40% - Accent5 8 3 2 2 4 2" xfId="32368"/>
    <cellStyle name="40% - Accent5 8 3 2 2 5" xfId="32361"/>
    <cellStyle name="40% - Accent5 8 3 2 3" xfId="14473"/>
    <cellStyle name="40% - Accent5 8 3 2 3 2" xfId="14474"/>
    <cellStyle name="40% - Accent5 8 3 2 3 2 2" xfId="14475"/>
    <cellStyle name="40% - Accent5 8 3 2 3 2 2 2" xfId="14476"/>
    <cellStyle name="40% - Accent5 8 3 2 3 2 2 2 2" xfId="32372"/>
    <cellStyle name="40% - Accent5 8 3 2 3 2 2 3" xfId="32371"/>
    <cellStyle name="40% - Accent5 8 3 2 3 2 3" xfId="14477"/>
    <cellStyle name="40% - Accent5 8 3 2 3 2 3 2" xfId="32373"/>
    <cellStyle name="40% - Accent5 8 3 2 3 2 4" xfId="32370"/>
    <cellStyle name="40% - Accent5 8 3 2 3 3" xfId="14478"/>
    <cellStyle name="40% - Accent5 8 3 2 3 3 2" xfId="14479"/>
    <cellStyle name="40% - Accent5 8 3 2 3 3 2 2" xfId="32375"/>
    <cellStyle name="40% - Accent5 8 3 2 3 3 3" xfId="32374"/>
    <cellStyle name="40% - Accent5 8 3 2 3 4" xfId="14480"/>
    <cellStyle name="40% - Accent5 8 3 2 3 4 2" xfId="32376"/>
    <cellStyle name="40% - Accent5 8 3 2 3 5" xfId="32369"/>
    <cellStyle name="40% - Accent5 8 3 2 4" xfId="14481"/>
    <cellStyle name="40% - Accent5 8 3 2 4 2" xfId="14482"/>
    <cellStyle name="40% - Accent5 8 3 2 4 2 2" xfId="14483"/>
    <cellStyle name="40% - Accent5 8 3 2 4 2 2 2" xfId="32379"/>
    <cellStyle name="40% - Accent5 8 3 2 4 2 3" xfId="32378"/>
    <cellStyle name="40% - Accent5 8 3 2 4 3" xfId="14484"/>
    <cellStyle name="40% - Accent5 8 3 2 4 3 2" xfId="32380"/>
    <cellStyle name="40% - Accent5 8 3 2 4 4" xfId="32377"/>
    <cellStyle name="40% - Accent5 8 3 2 5" xfId="14485"/>
    <cellStyle name="40% - Accent5 8 3 2 5 2" xfId="14486"/>
    <cellStyle name="40% - Accent5 8 3 2 5 2 2" xfId="32382"/>
    <cellStyle name="40% - Accent5 8 3 2 5 3" xfId="32381"/>
    <cellStyle name="40% - Accent5 8 3 2 6" xfId="14487"/>
    <cellStyle name="40% - Accent5 8 3 2 6 2" xfId="32383"/>
    <cellStyle name="40% - Accent5 8 3 2 7" xfId="32360"/>
    <cellStyle name="40% - Accent5 8 3 3" xfId="14488"/>
    <cellStyle name="40% - Accent5 8 3 3 2" xfId="14489"/>
    <cellStyle name="40% - Accent5 8 3 3 2 2" xfId="14490"/>
    <cellStyle name="40% - Accent5 8 3 3 2 2 2" xfId="14491"/>
    <cellStyle name="40% - Accent5 8 3 3 2 2 2 2" xfId="32387"/>
    <cellStyle name="40% - Accent5 8 3 3 2 2 3" xfId="32386"/>
    <cellStyle name="40% - Accent5 8 3 3 2 3" xfId="14492"/>
    <cellStyle name="40% - Accent5 8 3 3 2 3 2" xfId="32388"/>
    <cellStyle name="40% - Accent5 8 3 3 2 4" xfId="32385"/>
    <cellStyle name="40% - Accent5 8 3 3 3" xfId="14493"/>
    <cellStyle name="40% - Accent5 8 3 3 3 2" xfId="14494"/>
    <cellStyle name="40% - Accent5 8 3 3 3 2 2" xfId="32390"/>
    <cellStyle name="40% - Accent5 8 3 3 3 3" xfId="32389"/>
    <cellStyle name="40% - Accent5 8 3 3 4" xfId="14495"/>
    <cellStyle name="40% - Accent5 8 3 3 4 2" xfId="32391"/>
    <cellStyle name="40% - Accent5 8 3 3 5" xfId="32384"/>
    <cellStyle name="40% - Accent5 8 3 4" xfId="14496"/>
    <cellStyle name="40% - Accent5 8 3 4 2" xfId="14497"/>
    <cellStyle name="40% - Accent5 8 3 4 2 2" xfId="14498"/>
    <cellStyle name="40% - Accent5 8 3 4 2 2 2" xfId="14499"/>
    <cellStyle name="40% - Accent5 8 3 4 2 2 2 2" xfId="32395"/>
    <cellStyle name="40% - Accent5 8 3 4 2 2 3" xfId="32394"/>
    <cellStyle name="40% - Accent5 8 3 4 2 3" xfId="14500"/>
    <cellStyle name="40% - Accent5 8 3 4 2 3 2" xfId="32396"/>
    <cellStyle name="40% - Accent5 8 3 4 2 4" xfId="32393"/>
    <cellStyle name="40% - Accent5 8 3 4 3" xfId="14501"/>
    <cellStyle name="40% - Accent5 8 3 4 3 2" xfId="14502"/>
    <cellStyle name="40% - Accent5 8 3 4 3 2 2" xfId="32398"/>
    <cellStyle name="40% - Accent5 8 3 4 3 3" xfId="32397"/>
    <cellStyle name="40% - Accent5 8 3 4 4" xfId="14503"/>
    <cellStyle name="40% - Accent5 8 3 4 4 2" xfId="32399"/>
    <cellStyle name="40% - Accent5 8 3 4 5" xfId="32392"/>
    <cellStyle name="40% - Accent5 8 3 5" xfId="14504"/>
    <cellStyle name="40% - Accent5 8 3 5 2" xfId="14505"/>
    <cellStyle name="40% - Accent5 8 3 5 2 2" xfId="14506"/>
    <cellStyle name="40% - Accent5 8 3 5 2 2 2" xfId="32402"/>
    <cellStyle name="40% - Accent5 8 3 5 2 3" xfId="32401"/>
    <cellStyle name="40% - Accent5 8 3 5 3" xfId="14507"/>
    <cellStyle name="40% - Accent5 8 3 5 3 2" xfId="32403"/>
    <cellStyle name="40% - Accent5 8 3 5 4" xfId="32400"/>
    <cellStyle name="40% - Accent5 8 3 6" xfId="14508"/>
    <cellStyle name="40% - Accent5 8 3 6 2" xfId="14509"/>
    <cellStyle name="40% - Accent5 8 3 6 2 2" xfId="32405"/>
    <cellStyle name="40% - Accent5 8 3 6 3" xfId="32404"/>
    <cellStyle name="40% - Accent5 8 3 7" xfId="14510"/>
    <cellStyle name="40% - Accent5 8 3 7 2" xfId="32406"/>
    <cellStyle name="40% - Accent5 8 3 8" xfId="32359"/>
    <cellStyle name="40% - Accent5 8 4" xfId="14511"/>
    <cellStyle name="40% - Accent5 8 4 2" xfId="14512"/>
    <cellStyle name="40% - Accent5 8 4 2 2" xfId="14513"/>
    <cellStyle name="40% - Accent5 8 4 2 2 2" xfId="14514"/>
    <cellStyle name="40% - Accent5 8 4 2 2 2 2" xfId="14515"/>
    <cellStyle name="40% - Accent5 8 4 2 2 2 2 2" xfId="32411"/>
    <cellStyle name="40% - Accent5 8 4 2 2 2 3" xfId="32410"/>
    <cellStyle name="40% - Accent5 8 4 2 2 3" xfId="14516"/>
    <cellStyle name="40% - Accent5 8 4 2 2 3 2" xfId="32412"/>
    <cellStyle name="40% - Accent5 8 4 2 2 4" xfId="32409"/>
    <cellStyle name="40% - Accent5 8 4 2 3" xfId="14517"/>
    <cellStyle name="40% - Accent5 8 4 2 3 2" xfId="14518"/>
    <cellStyle name="40% - Accent5 8 4 2 3 2 2" xfId="32414"/>
    <cellStyle name="40% - Accent5 8 4 2 3 3" xfId="32413"/>
    <cellStyle name="40% - Accent5 8 4 2 4" xfId="14519"/>
    <cellStyle name="40% - Accent5 8 4 2 4 2" xfId="32415"/>
    <cellStyle name="40% - Accent5 8 4 2 5" xfId="32408"/>
    <cellStyle name="40% - Accent5 8 4 3" xfId="14520"/>
    <cellStyle name="40% - Accent5 8 4 3 2" xfId="14521"/>
    <cellStyle name="40% - Accent5 8 4 3 2 2" xfId="14522"/>
    <cellStyle name="40% - Accent5 8 4 3 2 2 2" xfId="14523"/>
    <cellStyle name="40% - Accent5 8 4 3 2 2 2 2" xfId="32419"/>
    <cellStyle name="40% - Accent5 8 4 3 2 2 3" xfId="32418"/>
    <cellStyle name="40% - Accent5 8 4 3 2 3" xfId="14524"/>
    <cellStyle name="40% - Accent5 8 4 3 2 3 2" xfId="32420"/>
    <cellStyle name="40% - Accent5 8 4 3 2 4" xfId="32417"/>
    <cellStyle name="40% - Accent5 8 4 3 3" xfId="14525"/>
    <cellStyle name="40% - Accent5 8 4 3 3 2" xfId="14526"/>
    <cellStyle name="40% - Accent5 8 4 3 3 2 2" xfId="32422"/>
    <cellStyle name="40% - Accent5 8 4 3 3 3" xfId="32421"/>
    <cellStyle name="40% - Accent5 8 4 3 4" xfId="14527"/>
    <cellStyle name="40% - Accent5 8 4 3 4 2" xfId="32423"/>
    <cellStyle name="40% - Accent5 8 4 3 5" xfId="32416"/>
    <cellStyle name="40% - Accent5 8 4 4" xfId="14528"/>
    <cellStyle name="40% - Accent5 8 4 4 2" xfId="14529"/>
    <cellStyle name="40% - Accent5 8 4 4 2 2" xfId="14530"/>
    <cellStyle name="40% - Accent5 8 4 4 2 2 2" xfId="32426"/>
    <cellStyle name="40% - Accent5 8 4 4 2 3" xfId="32425"/>
    <cellStyle name="40% - Accent5 8 4 4 3" xfId="14531"/>
    <cellStyle name="40% - Accent5 8 4 4 3 2" xfId="32427"/>
    <cellStyle name="40% - Accent5 8 4 4 4" xfId="32424"/>
    <cellStyle name="40% - Accent5 8 4 5" xfId="14532"/>
    <cellStyle name="40% - Accent5 8 4 5 2" xfId="14533"/>
    <cellStyle name="40% - Accent5 8 4 5 2 2" xfId="32429"/>
    <cellStyle name="40% - Accent5 8 4 5 3" xfId="32428"/>
    <cellStyle name="40% - Accent5 8 4 6" xfId="14534"/>
    <cellStyle name="40% - Accent5 8 4 6 2" xfId="32430"/>
    <cellStyle name="40% - Accent5 8 4 7" xfId="32407"/>
    <cellStyle name="40% - Accent5 8 5" xfId="14535"/>
    <cellStyle name="40% - Accent5 8 5 2" xfId="14536"/>
    <cellStyle name="40% - Accent5 8 5 2 2" xfId="14537"/>
    <cellStyle name="40% - Accent5 8 5 2 2 2" xfId="14538"/>
    <cellStyle name="40% - Accent5 8 5 2 2 2 2" xfId="32434"/>
    <cellStyle name="40% - Accent5 8 5 2 2 3" xfId="32433"/>
    <cellStyle name="40% - Accent5 8 5 2 3" xfId="14539"/>
    <cellStyle name="40% - Accent5 8 5 2 3 2" xfId="32435"/>
    <cellStyle name="40% - Accent5 8 5 2 4" xfId="32432"/>
    <cellStyle name="40% - Accent5 8 5 3" xfId="14540"/>
    <cellStyle name="40% - Accent5 8 5 3 2" xfId="14541"/>
    <cellStyle name="40% - Accent5 8 5 3 2 2" xfId="32437"/>
    <cellStyle name="40% - Accent5 8 5 3 3" xfId="32436"/>
    <cellStyle name="40% - Accent5 8 5 4" xfId="14542"/>
    <cellStyle name="40% - Accent5 8 5 4 2" xfId="32438"/>
    <cellStyle name="40% - Accent5 8 5 5" xfId="32431"/>
    <cellStyle name="40% - Accent5 8 6" xfId="14543"/>
    <cellStyle name="40% - Accent5 8 6 2" xfId="14544"/>
    <cellStyle name="40% - Accent5 8 6 2 2" xfId="14545"/>
    <cellStyle name="40% - Accent5 8 6 2 2 2" xfId="14546"/>
    <cellStyle name="40% - Accent5 8 6 2 2 2 2" xfId="32442"/>
    <cellStyle name="40% - Accent5 8 6 2 2 3" xfId="32441"/>
    <cellStyle name="40% - Accent5 8 6 2 3" xfId="14547"/>
    <cellStyle name="40% - Accent5 8 6 2 3 2" xfId="32443"/>
    <cellStyle name="40% - Accent5 8 6 2 4" xfId="32440"/>
    <cellStyle name="40% - Accent5 8 6 3" xfId="14548"/>
    <cellStyle name="40% - Accent5 8 6 3 2" xfId="14549"/>
    <cellStyle name="40% - Accent5 8 6 3 2 2" xfId="32445"/>
    <cellStyle name="40% - Accent5 8 6 3 3" xfId="32444"/>
    <cellStyle name="40% - Accent5 8 6 4" xfId="14550"/>
    <cellStyle name="40% - Accent5 8 6 4 2" xfId="32446"/>
    <cellStyle name="40% - Accent5 8 6 5" xfId="32439"/>
    <cellStyle name="40% - Accent5 8 7" xfId="14551"/>
    <cellStyle name="40% - Accent5 8 7 2" xfId="14552"/>
    <cellStyle name="40% - Accent5 8 7 2 2" xfId="14553"/>
    <cellStyle name="40% - Accent5 8 7 2 2 2" xfId="32449"/>
    <cellStyle name="40% - Accent5 8 7 2 3" xfId="32448"/>
    <cellStyle name="40% - Accent5 8 7 3" xfId="14554"/>
    <cellStyle name="40% - Accent5 8 7 3 2" xfId="32450"/>
    <cellStyle name="40% - Accent5 8 7 4" xfId="32447"/>
    <cellStyle name="40% - Accent5 8 8" xfId="14555"/>
    <cellStyle name="40% - Accent5 8 8 2" xfId="14556"/>
    <cellStyle name="40% - Accent5 8 8 2 2" xfId="32452"/>
    <cellStyle name="40% - Accent5 8 8 3" xfId="32451"/>
    <cellStyle name="40% - Accent5 8 9" xfId="14557"/>
    <cellStyle name="40% - Accent5 8 9 2" xfId="32453"/>
    <cellStyle name="40% - Accent5 9" xfId="14558"/>
    <cellStyle name="40% - Accent5 9 2" xfId="14559"/>
    <cellStyle name="40% - Accent5 9 2 2" xfId="14560"/>
    <cellStyle name="40% - Accent5 9 2 2 2" xfId="14561"/>
    <cellStyle name="40% - Accent5 9 2 2 2 2" xfId="32457"/>
    <cellStyle name="40% - Accent5 9 2 2 3" xfId="32456"/>
    <cellStyle name="40% - Accent5 9 2 3" xfId="14562"/>
    <cellStyle name="40% - Accent5 9 2 3 2" xfId="32458"/>
    <cellStyle name="40% - Accent5 9 2 4" xfId="32455"/>
    <cellStyle name="40% - Accent5 9 3" xfId="14563"/>
    <cellStyle name="40% - Accent5 9 3 2" xfId="14564"/>
    <cellStyle name="40% - Accent5 9 3 2 2" xfId="32460"/>
    <cellStyle name="40% - Accent5 9 3 3" xfId="32459"/>
    <cellStyle name="40% - Accent5 9 4" xfId="14565"/>
    <cellStyle name="40% - Accent5 9 4 2" xfId="32461"/>
    <cellStyle name="40% - Accent5 9 5" xfId="32454"/>
    <cellStyle name="40% - Accent6" xfId="13" builtinId="51" customBuiltin="1"/>
    <cellStyle name="40% - Accent6 10" xfId="14566"/>
    <cellStyle name="40% - Accent6 10 2" xfId="14567"/>
    <cellStyle name="40% - Accent6 10 2 2" xfId="14568"/>
    <cellStyle name="40% - Accent6 10 2 2 2" xfId="14569"/>
    <cellStyle name="40% - Accent6 10 2 2 2 2" xfId="32465"/>
    <cellStyle name="40% - Accent6 10 2 2 3" xfId="32464"/>
    <cellStyle name="40% - Accent6 10 2 3" xfId="14570"/>
    <cellStyle name="40% - Accent6 10 2 3 2" xfId="32466"/>
    <cellStyle name="40% - Accent6 10 2 4" xfId="32463"/>
    <cellStyle name="40% - Accent6 10 3" xfId="14571"/>
    <cellStyle name="40% - Accent6 10 3 2" xfId="14572"/>
    <cellStyle name="40% - Accent6 10 3 2 2" xfId="32468"/>
    <cellStyle name="40% - Accent6 10 3 3" xfId="32467"/>
    <cellStyle name="40% - Accent6 10 4" xfId="14573"/>
    <cellStyle name="40% - Accent6 10 4 2" xfId="32469"/>
    <cellStyle name="40% - Accent6 10 5" xfId="32462"/>
    <cellStyle name="40% - Accent6 11" xfId="14574"/>
    <cellStyle name="40% - Accent6 11 2" xfId="14575"/>
    <cellStyle name="40% - Accent6 11 2 2" xfId="14576"/>
    <cellStyle name="40% - Accent6 11 2 2 2" xfId="14577"/>
    <cellStyle name="40% - Accent6 11 2 2 2 2" xfId="32473"/>
    <cellStyle name="40% - Accent6 11 2 2 3" xfId="32472"/>
    <cellStyle name="40% - Accent6 11 2 3" xfId="14578"/>
    <cellStyle name="40% - Accent6 11 2 3 2" xfId="32474"/>
    <cellStyle name="40% - Accent6 11 2 4" xfId="32471"/>
    <cellStyle name="40% - Accent6 11 3" xfId="14579"/>
    <cellStyle name="40% - Accent6 11 3 2" xfId="14580"/>
    <cellStyle name="40% - Accent6 11 3 2 2" xfId="32476"/>
    <cellStyle name="40% - Accent6 11 3 3" xfId="32475"/>
    <cellStyle name="40% - Accent6 11 4" xfId="14581"/>
    <cellStyle name="40% - Accent6 11 4 2" xfId="32477"/>
    <cellStyle name="40% - Accent6 11 5" xfId="32470"/>
    <cellStyle name="40% - Accent6 12" xfId="14582"/>
    <cellStyle name="40% - Accent6 12 2" xfId="14583"/>
    <cellStyle name="40% - Accent6 12 2 2" xfId="14584"/>
    <cellStyle name="40% - Accent6 12 2 2 2" xfId="14585"/>
    <cellStyle name="40% - Accent6 12 2 2 2 2" xfId="32481"/>
    <cellStyle name="40% - Accent6 12 2 2 3" xfId="32480"/>
    <cellStyle name="40% - Accent6 12 2 3" xfId="14586"/>
    <cellStyle name="40% - Accent6 12 2 3 2" xfId="32482"/>
    <cellStyle name="40% - Accent6 12 2 4" xfId="32479"/>
    <cellStyle name="40% - Accent6 12 3" xfId="14587"/>
    <cellStyle name="40% - Accent6 12 3 2" xfId="14588"/>
    <cellStyle name="40% - Accent6 12 3 2 2" xfId="32484"/>
    <cellStyle name="40% - Accent6 12 3 3" xfId="32483"/>
    <cellStyle name="40% - Accent6 12 4" xfId="14589"/>
    <cellStyle name="40% - Accent6 12 4 2" xfId="32485"/>
    <cellStyle name="40% - Accent6 12 5" xfId="32478"/>
    <cellStyle name="40% - Accent6 13" xfId="14590"/>
    <cellStyle name="40% - Accent6 14" xfId="14591"/>
    <cellStyle name="40% - Accent6 14 2" xfId="14592"/>
    <cellStyle name="40% - Accent6 14 2 2" xfId="14593"/>
    <cellStyle name="40% - Accent6 14 2 2 2" xfId="32488"/>
    <cellStyle name="40% - Accent6 14 2 3" xfId="32487"/>
    <cellStyle name="40% - Accent6 14 3" xfId="14594"/>
    <cellStyle name="40% - Accent6 14 3 2" xfId="32489"/>
    <cellStyle name="40% - Accent6 14 4" xfId="32486"/>
    <cellStyle name="40% - Accent6 15" xfId="14595"/>
    <cellStyle name="40% - Accent6 15 2" xfId="14596"/>
    <cellStyle name="40% - Accent6 15 2 2" xfId="14597"/>
    <cellStyle name="40% - Accent6 15 2 2 2" xfId="32492"/>
    <cellStyle name="40% - Accent6 15 2 3" xfId="32491"/>
    <cellStyle name="40% - Accent6 15 3" xfId="14598"/>
    <cellStyle name="40% - Accent6 15 3 2" xfId="32493"/>
    <cellStyle name="40% - Accent6 15 4" xfId="32490"/>
    <cellStyle name="40% - Accent6 16" xfId="14599"/>
    <cellStyle name="40% - Accent6 16 2" xfId="14600"/>
    <cellStyle name="40% - Accent6 16 2 2" xfId="14601"/>
    <cellStyle name="40% - Accent6 16 2 2 2" xfId="32496"/>
    <cellStyle name="40% - Accent6 16 2 3" xfId="32495"/>
    <cellStyle name="40% - Accent6 16 3" xfId="14602"/>
    <cellStyle name="40% - Accent6 16 3 2" xfId="32497"/>
    <cellStyle name="40% - Accent6 16 4" xfId="32494"/>
    <cellStyle name="40% - Accent6 17" xfId="14603"/>
    <cellStyle name="40% - Accent6 17 2" xfId="14604"/>
    <cellStyle name="40% - Accent6 17 2 2" xfId="14605"/>
    <cellStyle name="40% - Accent6 17 2 2 2" xfId="32500"/>
    <cellStyle name="40% - Accent6 17 2 3" xfId="32499"/>
    <cellStyle name="40% - Accent6 17 3" xfId="14606"/>
    <cellStyle name="40% - Accent6 17 3 2" xfId="32501"/>
    <cellStyle name="40% - Accent6 17 4" xfId="32498"/>
    <cellStyle name="40% - Accent6 18" xfId="14607"/>
    <cellStyle name="40% - Accent6 18 2" xfId="14608"/>
    <cellStyle name="40% - Accent6 18 2 2" xfId="14609"/>
    <cellStyle name="40% - Accent6 18 2 2 2" xfId="32504"/>
    <cellStyle name="40% - Accent6 18 2 3" xfId="32503"/>
    <cellStyle name="40% - Accent6 18 3" xfId="14610"/>
    <cellStyle name="40% - Accent6 18 3 2" xfId="32505"/>
    <cellStyle name="40% - Accent6 18 4" xfId="32502"/>
    <cellStyle name="40% - Accent6 19" xfId="14611"/>
    <cellStyle name="40% - Accent6 19 2" xfId="14612"/>
    <cellStyle name="40% - Accent6 19 2 2" xfId="14613"/>
    <cellStyle name="40% - Accent6 19 2 2 2" xfId="32508"/>
    <cellStyle name="40% - Accent6 19 2 3" xfId="32507"/>
    <cellStyle name="40% - Accent6 19 3" xfId="14614"/>
    <cellStyle name="40% - Accent6 19 3 2" xfId="32509"/>
    <cellStyle name="40% - Accent6 19 4" xfId="32506"/>
    <cellStyle name="40% - Accent6 2" xfId="247"/>
    <cellStyle name="40% - Accent6 2 2" xfId="14615"/>
    <cellStyle name="40% - Accent6 2 2 2" xfId="14616"/>
    <cellStyle name="40% - Accent6 2 3" xfId="14617"/>
    <cellStyle name="40% - Accent6 2 3 2" xfId="14618"/>
    <cellStyle name="40% - Accent6 2 3 3" xfId="14619"/>
    <cellStyle name="40% - Accent6 2 3 3 2" xfId="14620"/>
    <cellStyle name="40% - Accent6 2 3 3 2 2" xfId="14621"/>
    <cellStyle name="40% - Accent6 2 3 3 2 2 2" xfId="32512"/>
    <cellStyle name="40% - Accent6 2 3 3 2 3" xfId="32511"/>
    <cellStyle name="40% - Accent6 2 3 3 3" xfId="14622"/>
    <cellStyle name="40% - Accent6 2 3 3 3 2" xfId="32513"/>
    <cellStyle name="40% - Accent6 2 3 3 4" xfId="32510"/>
    <cellStyle name="40% - Accent6 2 4" xfId="14623"/>
    <cellStyle name="40% - Accent6 2 5" xfId="14624"/>
    <cellStyle name="40% - Accent6 20" xfId="14625"/>
    <cellStyle name="40% - Accent6 20 2" xfId="14626"/>
    <cellStyle name="40% - Accent6 20 2 2" xfId="14627"/>
    <cellStyle name="40% - Accent6 20 2 2 2" xfId="32516"/>
    <cellStyle name="40% - Accent6 20 2 3" xfId="32515"/>
    <cellStyle name="40% - Accent6 20 3" xfId="14628"/>
    <cellStyle name="40% - Accent6 20 3 2" xfId="32517"/>
    <cellStyle name="40% - Accent6 20 4" xfId="32514"/>
    <cellStyle name="40% - Accent6 21" xfId="14629"/>
    <cellStyle name="40% - Accent6 21 2" xfId="14630"/>
    <cellStyle name="40% - Accent6 21 2 2" xfId="14631"/>
    <cellStyle name="40% - Accent6 21 2 2 2" xfId="32520"/>
    <cellStyle name="40% - Accent6 21 2 3" xfId="32519"/>
    <cellStyle name="40% - Accent6 21 3" xfId="14632"/>
    <cellStyle name="40% - Accent6 21 3 2" xfId="32521"/>
    <cellStyle name="40% - Accent6 21 4" xfId="32518"/>
    <cellStyle name="40% - Accent6 22" xfId="14633"/>
    <cellStyle name="40% - Accent6 23" xfId="14634"/>
    <cellStyle name="40% - Accent6 23 2" xfId="14635"/>
    <cellStyle name="40% - Accent6 23 2 2" xfId="32523"/>
    <cellStyle name="40% - Accent6 23 3" xfId="32522"/>
    <cellStyle name="40% - Accent6 24" xfId="14636"/>
    <cellStyle name="40% - Accent6 25" xfId="14637"/>
    <cellStyle name="40% - Accent6 25 2" xfId="32524"/>
    <cellStyle name="40% - Accent6 26" xfId="14638"/>
    <cellStyle name="40% - Accent6 26 2" xfId="32525"/>
    <cellStyle name="40% - Accent6 27" xfId="14639"/>
    <cellStyle name="40% - Accent6 27 2" xfId="32526"/>
    <cellStyle name="40% - Accent6 28" xfId="14640"/>
    <cellStyle name="40% - Accent6 28 2" xfId="32527"/>
    <cellStyle name="40% - Accent6 29" xfId="14641"/>
    <cellStyle name="40% - Accent6 29 2" xfId="32528"/>
    <cellStyle name="40% - Accent6 3" xfId="665"/>
    <cellStyle name="40% - Accent6 3 2" xfId="14642"/>
    <cellStyle name="40% - Accent6 3 2 2" xfId="14643"/>
    <cellStyle name="40% - Accent6 3 2 2 2" xfId="14644"/>
    <cellStyle name="40% - Accent6 3 2 2 2 2" xfId="14645"/>
    <cellStyle name="40% - Accent6 3 2 2 2 2 2" xfId="14646"/>
    <cellStyle name="40% - Accent6 3 2 2 2 2 2 2" xfId="14647"/>
    <cellStyle name="40% - Accent6 3 2 2 2 2 2 2 2" xfId="14648"/>
    <cellStyle name="40% - Accent6 3 2 2 2 2 2 2 2 2" xfId="32535"/>
    <cellStyle name="40% - Accent6 3 2 2 2 2 2 2 3" xfId="32534"/>
    <cellStyle name="40% - Accent6 3 2 2 2 2 2 3" xfId="14649"/>
    <cellStyle name="40% - Accent6 3 2 2 2 2 2 3 2" xfId="32536"/>
    <cellStyle name="40% - Accent6 3 2 2 2 2 2 4" xfId="32533"/>
    <cellStyle name="40% - Accent6 3 2 2 2 2 3" xfId="14650"/>
    <cellStyle name="40% - Accent6 3 2 2 2 2 3 2" xfId="14651"/>
    <cellStyle name="40% - Accent6 3 2 2 2 2 3 2 2" xfId="32538"/>
    <cellStyle name="40% - Accent6 3 2 2 2 2 3 3" xfId="32537"/>
    <cellStyle name="40% - Accent6 3 2 2 2 2 4" xfId="14652"/>
    <cellStyle name="40% - Accent6 3 2 2 2 2 4 2" xfId="32539"/>
    <cellStyle name="40% - Accent6 3 2 2 2 2 5" xfId="32532"/>
    <cellStyle name="40% - Accent6 3 2 2 2 3" xfId="14653"/>
    <cellStyle name="40% - Accent6 3 2 2 2 3 2" xfId="14654"/>
    <cellStyle name="40% - Accent6 3 2 2 2 3 2 2" xfId="14655"/>
    <cellStyle name="40% - Accent6 3 2 2 2 3 2 2 2" xfId="14656"/>
    <cellStyle name="40% - Accent6 3 2 2 2 3 2 2 2 2" xfId="32543"/>
    <cellStyle name="40% - Accent6 3 2 2 2 3 2 2 3" xfId="32542"/>
    <cellStyle name="40% - Accent6 3 2 2 2 3 2 3" xfId="14657"/>
    <cellStyle name="40% - Accent6 3 2 2 2 3 2 3 2" xfId="32544"/>
    <cellStyle name="40% - Accent6 3 2 2 2 3 2 4" xfId="32541"/>
    <cellStyle name="40% - Accent6 3 2 2 2 3 3" xfId="14658"/>
    <cellStyle name="40% - Accent6 3 2 2 2 3 3 2" xfId="14659"/>
    <cellStyle name="40% - Accent6 3 2 2 2 3 3 2 2" xfId="32546"/>
    <cellStyle name="40% - Accent6 3 2 2 2 3 3 3" xfId="32545"/>
    <cellStyle name="40% - Accent6 3 2 2 2 3 4" xfId="14660"/>
    <cellStyle name="40% - Accent6 3 2 2 2 3 4 2" xfId="32547"/>
    <cellStyle name="40% - Accent6 3 2 2 2 3 5" xfId="32540"/>
    <cellStyle name="40% - Accent6 3 2 2 2 4" xfId="14661"/>
    <cellStyle name="40% - Accent6 3 2 2 2 4 2" xfId="14662"/>
    <cellStyle name="40% - Accent6 3 2 2 2 4 2 2" xfId="14663"/>
    <cellStyle name="40% - Accent6 3 2 2 2 4 2 2 2" xfId="32550"/>
    <cellStyle name="40% - Accent6 3 2 2 2 4 2 3" xfId="32549"/>
    <cellStyle name="40% - Accent6 3 2 2 2 4 3" xfId="14664"/>
    <cellStyle name="40% - Accent6 3 2 2 2 4 3 2" xfId="32551"/>
    <cellStyle name="40% - Accent6 3 2 2 2 4 4" xfId="32548"/>
    <cellStyle name="40% - Accent6 3 2 2 2 5" xfId="14665"/>
    <cellStyle name="40% - Accent6 3 2 2 2 5 2" xfId="14666"/>
    <cellStyle name="40% - Accent6 3 2 2 2 5 2 2" xfId="32553"/>
    <cellStyle name="40% - Accent6 3 2 2 2 5 3" xfId="32552"/>
    <cellStyle name="40% - Accent6 3 2 2 2 6" xfId="14667"/>
    <cellStyle name="40% - Accent6 3 2 2 2 6 2" xfId="32554"/>
    <cellStyle name="40% - Accent6 3 2 2 2 7" xfId="32531"/>
    <cellStyle name="40% - Accent6 3 2 2 3" xfId="14668"/>
    <cellStyle name="40% - Accent6 3 2 2 3 2" xfId="14669"/>
    <cellStyle name="40% - Accent6 3 2 2 3 2 2" xfId="14670"/>
    <cellStyle name="40% - Accent6 3 2 2 3 2 2 2" xfId="14671"/>
    <cellStyle name="40% - Accent6 3 2 2 3 2 2 2 2" xfId="32558"/>
    <cellStyle name="40% - Accent6 3 2 2 3 2 2 3" xfId="32557"/>
    <cellStyle name="40% - Accent6 3 2 2 3 2 3" xfId="14672"/>
    <cellStyle name="40% - Accent6 3 2 2 3 2 3 2" xfId="32559"/>
    <cellStyle name="40% - Accent6 3 2 2 3 2 4" xfId="32556"/>
    <cellStyle name="40% - Accent6 3 2 2 3 3" xfId="14673"/>
    <cellStyle name="40% - Accent6 3 2 2 3 3 2" xfId="14674"/>
    <cellStyle name="40% - Accent6 3 2 2 3 3 2 2" xfId="32561"/>
    <cellStyle name="40% - Accent6 3 2 2 3 3 3" xfId="32560"/>
    <cellStyle name="40% - Accent6 3 2 2 3 4" xfId="14675"/>
    <cellStyle name="40% - Accent6 3 2 2 3 4 2" xfId="32562"/>
    <cellStyle name="40% - Accent6 3 2 2 3 5" xfId="32555"/>
    <cellStyle name="40% - Accent6 3 2 2 4" xfId="14676"/>
    <cellStyle name="40% - Accent6 3 2 2 4 2" xfId="14677"/>
    <cellStyle name="40% - Accent6 3 2 2 4 2 2" xfId="14678"/>
    <cellStyle name="40% - Accent6 3 2 2 4 2 2 2" xfId="14679"/>
    <cellStyle name="40% - Accent6 3 2 2 4 2 2 2 2" xfId="32566"/>
    <cellStyle name="40% - Accent6 3 2 2 4 2 2 3" xfId="32565"/>
    <cellStyle name="40% - Accent6 3 2 2 4 2 3" xfId="14680"/>
    <cellStyle name="40% - Accent6 3 2 2 4 2 3 2" xfId="32567"/>
    <cellStyle name="40% - Accent6 3 2 2 4 2 4" xfId="32564"/>
    <cellStyle name="40% - Accent6 3 2 2 4 3" xfId="14681"/>
    <cellStyle name="40% - Accent6 3 2 2 4 3 2" xfId="14682"/>
    <cellStyle name="40% - Accent6 3 2 2 4 3 2 2" xfId="32569"/>
    <cellStyle name="40% - Accent6 3 2 2 4 3 3" xfId="32568"/>
    <cellStyle name="40% - Accent6 3 2 2 4 4" xfId="14683"/>
    <cellStyle name="40% - Accent6 3 2 2 4 4 2" xfId="32570"/>
    <cellStyle name="40% - Accent6 3 2 2 4 5" xfId="32563"/>
    <cellStyle name="40% - Accent6 3 2 2 5" xfId="14684"/>
    <cellStyle name="40% - Accent6 3 2 2 5 2" xfId="14685"/>
    <cellStyle name="40% - Accent6 3 2 2 5 2 2" xfId="14686"/>
    <cellStyle name="40% - Accent6 3 2 2 5 2 2 2" xfId="32573"/>
    <cellStyle name="40% - Accent6 3 2 2 5 2 3" xfId="32572"/>
    <cellStyle name="40% - Accent6 3 2 2 5 3" xfId="14687"/>
    <cellStyle name="40% - Accent6 3 2 2 5 3 2" xfId="32574"/>
    <cellStyle name="40% - Accent6 3 2 2 5 4" xfId="32571"/>
    <cellStyle name="40% - Accent6 3 2 2 6" xfId="14688"/>
    <cellStyle name="40% - Accent6 3 2 2 6 2" xfId="14689"/>
    <cellStyle name="40% - Accent6 3 2 2 6 2 2" xfId="32576"/>
    <cellStyle name="40% - Accent6 3 2 2 6 3" xfId="32575"/>
    <cellStyle name="40% - Accent6 3 2 2 7" xfId="14690"/>
    <cellStyle name="40% - Accent6 3 2 2 7 2" xfId="32577"/>
    <cellStyle name="40% - Accent6 3 2 2 8" xfId="32530"/>
    <cellStyle name="40% - Accent6 3 2 3" xfId="14691"/>
    <cellStyle name="40% - Accent6 3 2 3 2" xfId="14692"/>
    <cellStyle name="40% - Accent6 3 2 3 2 2" xfId="14693"/>
    <cellStyle name="40% - Accent6 3 2 3 2 2 2" xfId="14694"/>
    <cellStyle name="40% - Accent6 3 2 3 2 2 2 2" xfId="14695"/>
    <cellStyle name="40% - Accent6 3 2 3 2 2 2 2 2" xfId="32582"/>
    <cellStyle name="40% - Accent6 3 2 3 2 2 2 3" xfId="32581"/>
    <cellStyle name="40% - Accent6 3 2 3 2 2 3" xfId="14696"/>
    <cellStyle name="40% - Accent6 3 2 3 2 2 3 2" xfId="32583"/>
    <cellStyle name="40% - Accent6 3 2 3 2 2 4" xfId="32580"/>
    <cellStyle name="40% - Accent6 3 2 3 2 3" xfId="14697"/>
    <cellStyle name="40% - Accent6 3 2 3 2 3 2" xfId="14698"/>
    <cellStyle name="40% - Accent6 3 2 3 2 3 2 2" xfId="32585"/>
    <cellStyle name="40% - Accent6 3 2 3 2 3 3" xfId="32584"/>
    <cellStyle name="40% - Accent6 3 2 3 2 4" xfId="14699"/>
    <cellStyle name="40% - Accent6 3 2 3 2 4 2" xfId="32586"/>
    <cellStyle name="40% - Accent6 3 2 3 2 5" xfId="32579"/>
    <cellStyle name="40% - Accent6 3 2 3 3" xfId="14700"/>
    <cellStyle name="40% - Accent6 3 2 3 3 2" xfId="14701"/>
    <cellStyle name="40% - Accent6 3 2 3 3 2 2" xfId="14702"/>
    <cellStyle name="40% - Accent6 3 2 3 3 2 2 2" xfId="14703"/>
    <cellStyle name="40% - Accent6 3 2 3 3 2 2 2 2" xfId="32590"/>
    <cellStyle name="40% - Accent6 3 2 3 3 2 2 3" xfId="32589"/>
    <cellStyle name="40% - Accent6 3 2 3 3 2 3" xfId="14704"/>
    <cellStyle name="40% - Accent6 3 2 3 3 2 3 2" xfId="32591"/>
    <cellStyle name="40% - Accent6 3 2 3 3 2 4" xfId="32588"/>
    <cellStyle name="40% - Accent6 3 2 3 3 3" xfId="14705"/>
    <cellStyle name="40% - Accent6 3 2 3 3 3 2" xfId="14706"/>
    <cellStyle name="40% - Accent6 3 2 3 3 3 2 2" xfId="32593"/>
    <cellStyle name="40% - Accent6 3 2 3 3 3 3" xfId="32592"/>
    <cellStyle name="40% - Accent6 3 2 3 3 4" xfId="14707"/>
    <cellStyle name="40% - Accent6 3 2 3 3 4 2" xfId="32594"/>
    <cellStyle name="40% - Accent6 3 2 3 3 5" xfId="32587"/>
    <cellStyle name="40% - Accent6 3 2 3 4" xfId="14708"/>
    <cellStyle name="40% - Accent6 3 2 3 4 2" xfId="14709"/>
    <cellStyle name="40% - Accent6 3 2 3 4 2 2" xfId="14710"/>
    <cellStyle name="40% - Accent6 3 2 3 4 2 2 2" xfId="32597"/>
    <cellStyle name="40% - Accent6 3 2 3 4 2 3" xfId="32596"/>
    <cellStyle name="40% - Accent6 3 2 3 4 3" xfId="14711"/>
    <cellStyle name="40% - Accent6 3 2 3 4 3 2" xfId="32598"/>
    <cellStyle name="40% - Accent6 3 2 3 4 4" xfId="32595"/>
    <cellStyle name="40% - Accent6 3 2 3 5" xfId="14712"/>
    <cellStyle name="40% - Accent6 3 2 3 5 2" xfId="14713"/>
    <cellStyle name="40% - Accent6 3 2 3 5 2 2" xfId="32600"/>
    <cellStyle name="40% - Accent6 3 2 3 5 3" xfId="32599"/>
    <cellStyle name="40% - Accent6 3 2 3 6" xfId="14714"/>
    <cellStyle name="40% - Accent6 3 2 3 6 2" xfId="32601"/>
    <cellStyle name="40% - Accent6 3 2 3 7" xfId="32578"/>
    <cellStyle name="40% - Accent6 3 2 4" xfId="14715"/>
    <cellStyle name="40% - Accent6 3 2 4 2" xfId="14716"/>
    <cellStyle name="40% - Accent6 3 2 4 2 2" xfId="14717"/>
    <cellStyle name="40% - Accent6 3 2 4 2 2 2" xfId="14718"/>
    <cellStyle name="40% - Accent6 3 2 4 2 2 2 2" xfId="32605"/>
    <cellStyle name="40% - Accent6 3 2 4 2 2 3" xfId="32604"/>
    <cellStyle name="40% - Accent6 3 2 4 2 3" xfId="14719"/>
    <cellStyle name="40% - Accent6 3 2 4 2 3 2" xfId="32606"/>
    <cellStyle name="40% - Accent6 3 2 4 2 4" xfId="32603"/>
    <cellStyle name="40% - Accent6 3 2 4 3" xfId="14720"/>
    <cellStyle name="40% - Accent6 3 2 4 3 2" xfId="14721"/>
    <cellStyle name="40% - Accent6 3 2 4 3 2 2" xfId="32608"/>
    <cellStyle name="40% - Accent6 3 2 4 3 3" xfId="32607"/>
    <cellStyle name="40% - Accent6 3 2 4 4" xfId="14722"/>
    <cellStyle name="40% - Accent6 3 2 4 4 2" xfId="32609"/>
    <cellStyle name="40% - Accent6 3 2 4 5" xfId="32602"/>
    <cellStyle name="40% - Accent6 3 2 5" xfId="14723"/>
    <cellStyle name="40% - Accent6 3 2 5 2" xfId="14724"/>
    <cellStyle name="40% - Accent6 3 2 5 2 2" xfId="14725"/>
    <cellStyle name="40% - Accent6 3 2 5 2 2 2" xfId="14726"/>
    <cellStyle name="40% - Accent6 3 2 5 2 2 2 2" xfId="32613"/>
    <cellStyle name="40% - Accent6 3 2 5 2 2 3" xfId="32612"/>
    <cellStyle name="40% - Accent6 3 2 5 2 3" xfId="14727"/>
    <cellStyle name="40% - Accent6 3 2 5 2 3 2" xfId="32614"/>
    <cellStyle name="40% - Accent6 3 2 5 2 4" xfId="32611"/>
    <cellStyle name="40% - Accent6 3 2 5 3" xfId="14728"/>
    <cellStyle name="40% - Accent6 3 2 5 3 2" xfId="14729"/>
    <cellStyle name="40% - Accent6 3 2 5 3 2 2" xfId="32616"/>
    <cellStyle name="40% - Accent6 3 2 5 3 3" xfId="32615"/>
    <cellStyle name="40% - Accent6 3 2 5 4" xfId="14730"/>
    <cellStyle name="40% - Accent6 3 2 5 4 2" xfId="32617"/>
    <cellStyle name="40% - Accent6 3 2 5 5" xfId="32610"/>
    <cellStyle name="40% - Accent6 3 2 6" xfId="14731"/>
    <cellStyle name="40% - Accent6 3 2 6 2" xfId="14732"/>
    <cellStyle name="40% - Accent6 3 2 6 2 2" xfId="14733"/>
    <cellStyle name="40% - Accent6 3 2 6 2 2 2" xfId="32620"/>
    <cellStyle name="40% - Accent6 3 2 6 2 3" xfId="32619"/>
    <cellStyle name="40% - Accent6 3 2 6 3" xfId="14734"/>
    <cellStyle name="40% - Accent6 3 2 6 3 2" xfId="32621"/>
    <cellStyle name="40% - Accent6 3 2 6 4" xfId="32618"/>
    <cellStyle name="40% - Accent6 3 2 7" xfId="14735"/>
    <cellStyle name="40% - Accent6 3 2 7 2" xfId="14736"/>
    <cellStyle name="40% - Accent6 3 2 7 2 2" xfId="32623"/>
    <cellStyle name="40% - Accent6 3 2 7 3" xfId="32622"/>
    <cellStyle name="40% - Accent6 3 2 8" xfId="14737"/>
    <cellStyle name="40% - Accent6 3 2 8 2" xfId="32624"/>
    <cellStyle name="40% - Accent6 3 2 9" xfId="32529"/>
    <cellStyle name="40% - Accent6 3 3" xfId="14738"/>
    <cellStyle name="40% - Accent6 3 3 2" xfId="14739"/>
    <cellStyle name="40% - Accent6 3 3 2 2" xfId="14740"/>
    <cellStyle name="40% - Accent6 3 3 2 2 2" xfId="14741"/>
    <cellStyle name="40% - Accent6 3 3 2 2 2 2" xfId="14742"/>
    <cellStyle name="40% - Accent6 3 3 2 2 2 2 2" xfId="14743"/>
    <cellStyle name="40% - Accent6 3 3 2 2 2 2 2 2" xfId="32630"/>
    <cellStyle name="40% - Accent6 3 3 2 2 2 2 3" xfId="32629"/>
    <cellStyle name="40% - Accent6 3 3 2 2 2 3" xfId="14744"/>
    <cellStyle name="40% - Accent6 3 3 2 2 2 3 2" xfId="32631"/>
    <cellStyle name="40% - Accent6 3 3 2 2 2 4" xfId="32628"/>
    <cellStyle name="40% - Accent6 3 3 2 2 3" xfId="14745"/>
    <cellStyle name="40% - Accent6 3 3 2 2 3 2" xfId="14746"/>
    <cellStyle name="40% - Accent6 3 3 2 2 3 2 2" xfId="32633"/>
    <cellStyle name="40% - Accent6 3 3 2 2 3 3" xfId="32632"/>
    <cellStyle name="40% - Accent6 3 3 2 2 4" xfId="14747"/>
    <cellStyle name="40% - Accent6 3 3 2 2 4 2" xfId="32634"/>
    <cellStyle name="40% - Accent6 3 3 2 2 5" xfId="32627"/>
    <cellStyle name="40% - Accent6 3 3 2 3" xfId="14748"/>
    <cellStyle name="40% - Accent6 3 3 2 3 2" xfId="14749"/>
    <cellStyle name="40% - Accent6 3 3 2 3 2 2" xfId="14750"/>
    <cellStyle name="40% - Accent6 3 3 2 3 2 2 2" xfId="14751"/>
    <cellStyle name="40% - Accent6 3 3 2 3 2 2 2 2" xfId="32638"/>
    <cellStyle name="40% - Accent6 3 3 2 3 2 2 3" xfId="32637"/>
    <cellStyle name="40% - Accent6 3 3 2 3 2 3" xfId="14752"/>
    <cellStyle name="40% - Accent6 3 3 2 3 2 3 2" xfId="32639"/>
    <cellStyle name="40% - Accent6 3 3 2 3 2 4" xfId="32636"/>
    <cellStyle name="40% - Accent6 3 3 2 3 3" xfId="14753"/>
    <cellStyle name="40% - Accent6 3 3 2 3 3 2" xfId="14754"/>
    <cellStyle name="40% - Accent6 3 3 2 3 3 2 2" xfId="32641"/>
    <cellStyle name="40% - Accent6 3 3 2 3 3 3" xfId="32640"/>
    <cellStyle name="40% - Accent6 3 3 2 3 4" xfId="14755"/>
    <cellStyle name="40% - Accent6 3 3 2 3 4 2" xfId="32642"/>
    <cellStyle name="40% - Accent6 3 3 2 3 5" xfId="32635"/>
    <cellStyle name="40% - Accent6 3 3 2 4" xfId="14756"/>
    <cellStyle name="40% - Accent6 3 3 2 4 2" xfId="14757"/>
    <cellStyle name="40% - Accent6 3 3 2 4 2 2" xfId="14758"/>
    <cellStyle name="40% - Accent6 3 3 2 4 2 2 2" xfId="32645"/>
    <cellStyle name="40% - Accent6 3 3 2 4 2 3" xfId="32644"/>
    <cellStyle name="40% - Accent6 3 3 2 4 3" xfId="14759"/>
    <cellStyle name="40% - Accent6 3 3 2 4 3 2" xfId="32646"/>
    <cellStyle name="40% - Accent6 3 3 2 4 4" xfId="32643"/>
    <cellStyle name="40% - Accent6 3 3 2 5" xfId="14760"/>
    <cellStyle name="40% - Accent6 3 3 2 5 2" xfId="14761"/>
    <cellStyle name="40% - Accent6 3 3 2 5 2 2" xfId="32648"/>
    <cellStyle name="40% - Accent6 3 3 2 5 3" xfId="32647"/>
    <cellStyle name="40% - Accent6 3 3 2 6" xfId="14762"/>
    <cellStyle name="40% - Accent6 3 3 2 6 2" xfId="32649"/>
    <cellStyle name="40% - Accent6 3 3 2 7" xfId="32626"/>
    <cellStyle name="40% - Accent6 3 3 3" xfId="14763"/>
    <cellStyle name="40% - Accent6 3 3 3 2" xfId="14764"/>
    <cellStyle name="40% - Accent6 3 3 3 2 2" xfId="14765"/>
    <cellStyle name="40% - Accent6 3 3 3 2 2 2" xfId="14766"/>
    <cellStyle name="40% - Accent6 3 3 3 2 2 2 2" xfId="32653"/>
    <cellStyle name="40% - Accent6 3 3 3 2 2 3" xfId="32652"/>
    <cellStyle name="40% - Accent6 3 3 3 2 3" xfId="14767"/>
    <cellStyle name="40% - Accent6 3 3 3 2 3 2" xfId="32654"/>
    <cellStyle name="40% - Accent6 3 3 3 2 4" xfId="32651"/>
    <cellStyle name="40% - Accent6 3 3 3 3" xfId="14768"/>
    <cellStyle name="40% - Accent6 3 3 3 3 2" xfId="14769"/>
    <cellStyle name="40% - Accent6 3 3 3 3 2 2" xfId="32656"/>
    <cellStyle name="40% - Accent6 3 3 3 3 3" xfId="32655"/>
    <cellStyle name="40% - Accent6 3 3 3 4" xfId="14770"/>
    <cellStyle name="40% - Accent6 3 3 3 4 2" xfId="32657"/>
    <cellStyle name="40% - Accent6 3 3 3 5" xfId="32650"/>
    <cellStyle name="40% - Accent6 3 3 4" xfId="14771"/>
    <cellStyle name="40% - Accent6 3 3 4 2" xfId="14772"/>
    <cellStyle name="40% - Accent6 3 3 4 2 2" xfId="14773"/>
    <cellStyle name="40% - Accent6 3 3 4 2 2 2" xfId="14774"/>
    <cellStyle name="40% - Accent6 3 3 4 2 2 2 2" xfId="32661"/>
    <cellStyle name="40% - Accent6 3 3 4 2 2 3" xfId="32660"/>
    <cellStyle name="40% - Accent6 3 3 4 2 3" xfId="14775"/>
    <cellStyle name="40% - Accent6 3 3 4 2 3 2" xfId="32662"/>
    <cellStyle name="40% - Accent6 3 3 4 2 4" xfId="32659"/>
    <cellStyle name="40% - Accent6 3 3 4 3" xfId="14776"/>
    <cellStyle name="40% - Accent6 3 3 4 3 2" xfId="14777"/>
    <cellStyle name="40% - Accent6 3 3 4 3 2 2" xfId="32664"/>
    <cellStyle name="40% - Accent6 3 3 4 3 3" xfId="32663"/>
    <cellStyle name="40% - Accent6 3 3 4 4" xfId="14778"/>
    <cellStyle name="40% - Accent6 3 3 4 4 2" xfId="32665"/>
    <cellStyle name="40% - Accent6 3 3 4 5" xfId="32658"/>
    <cellStyle name="40% - Accent6 3 3 5" xfId="14779"/>
    <cellStyle name="40% - Accent6 3 3 5 2" xfId="14780"/>
    <cellStyle name="40% - Accent6 3 3 5 2 2" xfId="14781"/>
    <cellStyle name="40% - Accent6 3 3 5 2 2 2" xfId="32668"/>
    <cellStyle name="40% - Accent6 3 3 5 2 3" xfId="32667"/>
    <cellStyle name="40% - Accent6 3 3 5 3" xfId="14782"/>
    <cellStyle name="40% - Accent6 3 3 5 3 2" xfId="32669"/>
    <cellStyle name="40% - Accent6 3 3 5 4" xfId="32666"/>
    <cellStyle name="40% - Accent6 3 3 6" xfId="14783"/>
    <cellStyle name="40% - Accent6 3 3 6 2" xfId="14784"/>
    <cellStyle name="40% - Accent6 3 3 6 2 2" xfId="32671"/>
    <cellStyle name="40% - Accent6 3 3 6 3" xfId="32670"/>
    <cellStyle name="40% - Accent6 3 3 7" xfId="14785"/>
    <cellStyle name="40% - Accent6 3 3 7 2" xfId="32672"/>
    <cellStyle name="40% - Accent6 3 3 8" xfId="32625"/>
    <cellStyle name="40% - Accent6 3 4" xfId="14786"/>
    <cellStyle name="40% - Accent6 3 4 2" xfId="14787"/>
    <cellStyle name="40% - Accent6 3 4 2 2" xfId="14788"/>
    <cellStyle name="40% - Accent6 3 4 2 2 2" xfId="14789"/>
    <cellStyle name="40% - Accent6 3 4 2 2 2 2" xfId="14790"/>
    <cellStyle name="40% - Accent6 3 4 2 2 2 2 2" xfId="32677"/>
    <cellStyle name="40% - Accent6 3 4 2 2 2 3" xfId="32676"/>
    <cellStyle name="40% - Accent6 3 4 2 2 3" xfId="14791"/>
    <cellStyle name="40% - Accent6 3 4 2 2 3 2" xfId="32678"/>
    <cellStyle name="40% - Accent6 3 4 2 2 4" xfId="32675"/>
    <cellStyle name="40% - Accent6 3 4 2 3" xfId="14792"/>
    <cellStyle name="40% - Accent6 3 4 2 3 2" xfId="14793"/>
    <cellStyle name="40% - Accent6 3 4 2 3 2 2" xfId="32680"/>
    <cellStyle name="40% - Accent6 3 4 2 3 3" xfId="32679"/>
    <cellStyle name="40% - Accent6 3 4 2 4" xfId="14794"/>
    <cellStyle name="40% - Accent6 3 4 2 4 2" xfId="32681"/>
    <cellStyle name="40% - Accent6 3 4 2 5" xfId="32674"/>
    <cellStyle name="40% - Accent6 3 4 3" xfId="14795"/>
    <cellStyle name="40% - Accent6 3 4 3 2" xfId="14796"/>
    <cellStyle name="40% - Accent6 3 4 3 2 2" xfId="14797"/>
    <cellStyle name="40% - Accent6 3 4 3 2 2 2" xfId="14798"/>
    <cellStyle name="40% - Accent6 3 4 3 2 2 2 2" xfId="32685"/>
    <cellStyle name="40% - Accent6 3 4 3 2 2 3" xfId="32684"/>
    <cellStyle name="40% - Accent6 3 4 3 2 3" xfId="14799"/>
    <cellStyle name="40% - Accent6 3 4 3 2 3 2" xfId="32686"/>
    <cellStyle name="40% - Accent6 3 4 3 2 4" xfId="32683"/>
    <cellStyle name="40% - Accent6 3 4 3 3" xfId="14800"/>
    <cellStyle name="40% - Accent6 3 4 3 3 2" xfId="14801"/>
    <cellStyle name="40% - Accent6 3 4 3 3 2 2" xfId="32688"/>
    <cellStyle name="40% - Accent6 3 4 3 3 3" xfId="32687"/>
    <cellStyle name="40% - Accent6 3 4 3 4" xfId="14802"/>
    <cellStyle name="40% - Accent6 3 4 3 4 2" xfId="32689"/>
    <cellStyle name="40% - Accent6 3 4 3 5" xfId="32682"/>
    <cellStyle name="40% - Accent6 3 4 4" xfId="14803"/>
    <cellStyle name="40% - Accent6 3 4 4 2" xfId="14804"/>
    <cellStyle name="40% - Accent6 3 4 4 2 2" xfId="14805"/>
    <cellStyle name="40% - Accent6 3 4 4 2 2 2" xfId="32692"/>
    <cellStyle name="40% - Accent6 3 4 4 2 3" xfId="32691"/>
    <cellStyle name="40% - Accent6 3 4 4 3" xfId="14806"/>
    <cellStyle name="40% - Accent6 3 4 4 3 2" xfId="32693"/>
    <cellStyle name="40% - Accent6 3 4 4 4" xfId="32690"/>
    <cellStyle name="40% - Accent6 3 4 5" xfId="14807"/>
    <cellStyle name="40% - Accent6 3 4 5 2" xfId="14808"/>
    <cellStyle name="40% - Accent6 3 4 5 2 2" xfId="32695"/>
    <cellStyle name="40% - Accent6 3 4 5 3" xfId="32694"/>
    <cellStyle name="40% - Accent6 3 4 6" xfId="14809"/>
    <cellStyle name="40% - Accent6 3 4 6 2" xfId="32696"/>
    <cellStyle name="40% - Accent6 3 4 7" xfId="32673"/>
    <cellStyle name="40% - Accent6 3 5" xfId="14810"/>
    <cellStyle name="40% - Accent6 3 5 2" xfId="14811"/>
    <cellStyle name="40% - Accent6 3 5 2 2" xfId="14812"/>
    <cellStyle name="40% - Accent6 3 5 2 2 2" xfId="14813"/>
    <cellStyle name="40% - Accent6 3 5 2 2 2 2" xfId="32700"/>
    <cellStyle name="40% - Accent6 3 5 2 2 3" xfId="32699"/>
    <cellStyle name="40% - Accent6 3 5 2 3" xfId="14814"/>
    <cellStyle name="40% - Accent6 3 5 2 3 2" xfId="32701"/>
    <cellStyle name="40% - Accent6 3 5 2 4" xfId="32698"/>
    <cellStyle name="40% - Accent6 3 5 3" xfId="14815"/>
    <cellStyle name="40% - Accent6 3 5 3 2" xfId="14816"/>
    <cellStyle name="40% - Accent6 3 5 3 2 2" xfId="32703"/>
    <cellStyle name="40% - Accent6 3 5 3 3" xfId="32702"/>
    <cellStyle name="40% - Accent6 3 5 4" xfId="14817"/>
    <cellStyle name="40% - Accent6 3 5 4 2" xfId="32704"/>
    <cellStyle name="40% - Accent6 3 5 5" xfId="32697"/>
    <cellStyle name="40% - Accent6 3 6" xfId="14818"/>
    <cellStyle name="40% - Accent6 3 6 2" xfId="14819"/>
    <cellStyle name="40% - Accent6 3 6 2 2" xfId="14820"/>
    <cellStyle name="40% - Accent6 3 6 2 2 2" xfId="14821"/>
    <cellStyle name="40% - Accent6 3 6 2 2 2 2" xfId="32708"/>
    <cellStyle name="40% - Accent6 3 6 2 2 3" xfId="32707"/>
    <cellStyle name="40% - Accent6 3 6 2 3" xfId="14822"/>
    <cellStyle name="40% - Accent6 3 6 2 3 2" xfId="32709"/>
    <cellStyle name="40% - Accent6 3 6 2 4" xfId="32706"/>
    <cellStyle name="40% - Accent6 3 6 3" xfId="14823"/>
    <cellStyle name="40% - Accent6 3 6 3 2" xfId="14824"/>
    <cellStyle name="40% - Accent6 3 6 3 2 2" xfId="32711"/>
    <cellStyle name="40% - Accent6 3 6 3 3" xfId="32710"/>
    <cellStyle name="40% - Accent6 3 6 4" xfId="14825"/>
    <cellStyle name="40% - Accent6 3 6 4 2" xfId="32712"/>
    <cellStyle name="40% - Accent6 3 6 5" xfId="32705"/>
    <cellStyle name="40% - Accent6 3 7" xfId="14826"/>
    <cellStyle name="40% - Accent6 3 7 2" xfId="14827"/>
    <cellStyle name="40% - Accent6 3 7 2 2" xfId="14828"/>
    <cellStyle name="40% - Accent6 3 7 2 2 2" xfId="32715"/>
    <cellStyle name="40% - Accent6 3 7 2 3" xfId="32714"/>
    <cellStyle name="40% - Accent6 3 7 3" xfId="14829"/>
    <cellStyle name="40% - Accent6 3 7 3 2" xfId="32716"/>
    <cellStyle name="40% - Accent6 3 7 4" xfId="32713"/>
    <cellStyle name="40% - Accent6 3 8" xfId="14830"/>
    <cellStyle name="40% - Accent6 3 8 2" xfId="14831"/>
    <cellStyle name="40% - Accent6 3 8 2 2" xfId="32718"/>
    <cellStyle name="40% - Accent6 3 8 3" xfId="32717"/>
    <cellStyle name="40% - Accent6 3 9" xfId="14832"/>
    <cellStyle name="40% - Accent6 3 9 2" xfId="32719"/>
    <cellStyle name="40% - Accent6 30" xfId="14833"/>
    <cellStyle name="40% - Accent6 30 2" xfId="32720"/>
    <cellStyle name="40% - Accent6 31" xfId="14834"/>
    <cellStyle name="40% - Accent6 31 2" xfId="32721"/>
    <cellStyle name="40% - Accent6 32" xfId="14835"/>
    <cellStyle name="40% - Accent6 4" xfId="14836"/>
    <cellStyle name="40% - Accent6 4 10" xfId="32722"/>
    <cellStyle name="40% - Accent6 4 2" xfId="14837"/>
    <cellStyle name="40% - Accent6 4 2 2" xfId="14838"/>
    <cellStyle name="40% - Accent6 4 2 2 2" xfId="14839"/>
    <cellStyle name="40% - Accent6 4 2 2 2 2" xfId="14840"/>
    <cellStyle name="40% - Accent6 4 2 2 2 2 2" xfId="14841"/>
    <cellStyle name="40% - Accent6 4 2 2 2 2 2 2" xfId="14842"/>
    <cellStyle name="40% - Accent6 4 2 2 2 2 2 2 2" xfId="14843"/>
    <cellStyle name="40% - Accent6 4 2 2 2 2 2 2 2 2" xfId="32729"/>
    <cellStyle name="40% - Accent6 4 2 2 2 2 2 2 3" xfId="32728"/>
    <cellStyle name="40% - Accent6 4 2 2 2 2 2 3" xfId="14844"/>
    <cellStyle name="40% - Accent6 4 2 2 2 2 2 3 2" xfId="32730"/>
    <cellStyle name="40% - Accent6 4 2 2 2 2 2 4" xfId="32727"/>
    <cellStyle name="40% - Accent6 4 2 2 2 2 3" xfId="14845"/>
    <cellStyle name="40% - Accent6 4 2 2 2 2 3 2" xfId="14846"/>
    <cellStyle name="40% - Accent6 4 2 2 2 2 3 2 2" xfId="32732"/>
    <cellStyle name="40% - Accent6 4 2 2 2 2 3 3" xfId="32731"/>
    <cellStyle name="40% - Accent6 4 2 2 2 2 4" xfId="14847"/>
    <cellStyle name="40% - Accent6 4 2 2 2 2 4 2" xfId="32733"/>
    <cellStyle name="40% - Accent6 4 2 2 2 2 5" xfId="32726"/>
    <cellStyle name="40% - Accent6 4 2 2 2 3" xfId="14848"/>
    <cellStyle name="40% - Accent6 4 2 2 2 3 2" xfId="14849"/>
    <cellStyle name="40% - Accent6 4 2 2 2 3 2 2" xfId="14850"/>
    <cellStyle name="40% - Accent6 4 2 2 2 3 2 2 2" xfId="14851"/>
    <cellStyle name="40% - Accent6 4 2 2 2 3 2 2 2 2" xfId="32737"/>
    <cellStyle name="40% - Accent6 4 2 2 2 3 2 2 3" xfId="32736"/>
    <cellStyle name="40% - Accent6 4 2 2 2 3 2 3" xfId="14852"/>
    <cellStyle name="40% - Accent6 4 2 2 2 3 2 3 2" xfId="32738"/>
    <cellStyle name="40% - Accent6 4 2 2 2 3 2 4" xfId="32735"/>
    <cellStyle name="40% - Accent6 4 2 2 2 3 3" xfId="14853"/>
    <cellStyle name="40% - Accent6 4 2 2 2 3 3 2" xfId="14854"/>
    <cellStyle name="40% - Accent6 4 2 2 2 3 3 2 2" xfId="32740"/>
    <cellStyle name="40% - Accent6 4 2 2 2 3 3 3" xfId="32739"/>
    <cellStyle name="40% - Accent6 4 2 2 2 3 4" xfId="14855"/>
    <cellStyle name="40% - Accent6 4 2 2 2 3 4 2" xfId="32741"/>
    <cellStyle name="40% - Accent6 4 2 2 2 3 5" xfId="32734"/>
    <cellStyle name="40% - Accent6 4 2 2 2 4" xfId="14856"/>
    <cellStyle name="40% - Accent6 4 2 2 2 4 2" xfId="14857"/>
    <cellStyle name="40% - Accent6 4 2 2 2 4 2 2" xfId="14858"/>
    <cellStyle name="40% - Accent6 4 2 2 2 4 2 2 2" xfId="32744"/>
    <cellStyle name="40% - Accent6 4 2 2 2 4 2 3" xfId="32743"/>
    <cellStyle name="40% - Accent6 4 2 2 2 4 3" xfId="14859"/>
    <cellStyle name="40% - Accent6 4 2 2 2 4 3 2" xfId="32745"/>
    <cellStyle name="40% - Accent6 4 2 2 2 4 4" xfId="32742"/>
    <cellStyle name="40% - Accent6 4 2 2 2 5" xfId="14860"/>
    <cellStyle name="40% - Accent6 4 2 2 2 5 2" xfId="14861"/>
    <cellStyle name="40% - Accent6 4 2 2 2 5 2 2" xfId="32747"/>
    <cellStyle name="40% - Accent6 4 2 2 2 5 3" xfId="32746"/>
    <cellStyle name="40% - Accent6 4 2 2 2 6" xfId="14862"/>
    <cellStyle name="40% - Accent6 4 2 2 2 6 2" xfId="32748"/>
    <cellStyle name="40% - Accent6 4 2 2 2 7" xfId="32725"/>
    <cellStyle name="40% - Accent6 4 2 2 3" xfId="14863"/>
    <cellStyle name="40% - Accent6 4 2 2 3 2" xfId="14864"/>
    <cellStyle name="40% - Accent6 4 2 2 3 2 2" xfId="14865"/>
    <cellStyle name="40% - Accent6 4 2 2 3 2 2 2" xfId="14866"/>
    <cellStyle name="40% - Accent6 4 2 2 3 2 2 2 2" xfId="32752"/>
    <cellStyle name="40% - Accent6 4 2 2 3 2 2 3" xfId="32751"/>
    <cellStyle name="40% - Accent6 4 2 2 3 2 3" xfId="14867"/>
    <cellStyle name="40% - Accent6 4 2 2 3 2 3 2" xfId="32753"/>
    <cellStyle name="40% - Accent6 4 2 2 3 2 4" xfId="32750"/>
    <cellStyle name="40% - Accent6 4 2 2 3 3" xfId="14868"/>
    <cellStyle name="40% - Accent6 4 2 2 3 3 2" xfId="14869"/>
    <cellStyle name="40% - Accent6 4 2 2 3 3 2 2" xfId="32755"/>
    <cellStyle name="40% - Accent6 4 2 2 3 3 3" xfId="32754"/>
    <cellStyle name="40% - Accent6 4 2 2 3 4" xfId="14870"/>
    <cellStyle name="40% - Accent6 4 2 2 3 4 2" xfId="32756"/>
    <cellStyle name="40% - Accent6 4 2 2 3 5" xfId="32749"/>
    <cellStyle name="40% - Accent6 4 2 2 4" xfId="14871"/>
    <cellStyle name="40% - Accent6 4 2 2 4 2" xfId="14872"/>
    <cellStyle name="40% - Accent6 4 2 2 4 2 2" xfId="14873"/>
    <cellStyle name="40% - Accent6 4 2 2 4 2 2 2" xfId="14874"/>
    <cellStyle name="40% - Accent6 4 2 2 4 2 2 2 2" xfId="32760"/>
    <cellStyle name="40% - Accent6 4 2 2 4 2 2 3" xfId="32759"/>
    <cellStyle name="40% - Accent6 4 2 2 4 2 3" xfId="14875"/>
    <cellStyle name="40% - Accent6 4 2 2 4 2 3 2" xfId="32761"/>
    <cellStyle name="40% - Accent6 4 2 2 4 2 4" xfId="32758"/>
    <cellStyle name="40% - Accent6 4 2 2 4 3" xfId="14876"/>
    <cellStyle name="40% - Accent6 4 2 2 4 3 2" xfId="14877"/>
    <cellStyle name="40% - Accent6 4 2 2 4 3 2 2" xfId="32763"/>
    <cellStyle name="40% - Accent6 4 2 2 4 3 3" xfId="32762"/>
    <cellStyle name="40% - Accent6 4 2 2 4 4" xfId="14878"/>
    <cellStyle name="40% - Accent6 4 2 2 4 4 2" xfId="32764"/>
    <cellStyle name="40% - Accent6 4 2 2 4 5" xfId="32757"/>
    <cellStyle name="40% - Accent6 4 2 2 5" xfId="14879"/>
    <cellStyle name="40% - Accent6 4 2 2 5 2" xfId="14880"/>
    <cellStyle name="40% - Accent6 4 2 2 5 2 2" xfId="14881"/>
    <cellStyle name="40% - Accent6 4 2 2 5 2 2 2" xfId="32767"/>
    <cellStyle name="40% - Accent6 4 2 2 5 2 3" xfId="32766"/>
    <cellStyle name="40% - Accent6 4 2 2 5 3" xfId="14882"/>
    <cellStyle name="40% - Accent6 4 2 2 5 3 2" xfId="32768"/>
    <cellStyle name="40% - Accent6 4 2 2 5 4" xfId="32765"/>
    <cellStyle name="40% - Accent6 4 2 2 6" xfId="14883"/>
    <cellStyle name="40% - Accent6 4 2 2 6 2" xfId="14884"/>
    <cellStyle name="40% - Accent6 4 2 2 6 2 2" xfId="32770"/>
    <cellStyle name="40% - Accent6 4 2 2 6 3" xfId="32769"/>
    <cellStyle name="40% - Accent6 4 2 2 7" xfId="14885"/>
    <cellStyle name="40% - Accent6 4 2 2 7 2" xfId="32771"/>
    <cellStyle name="40% - Accent6 4 2 2 8" xfId="32724"/>
    <cellStyle name="40% - Accent6 4 2 3" xfId="14886"/>
    <cellStyle name="40% - Accent6 4 2 3 2" xfId="14887"/>
    <cellStyle name="40% - Accent6 4 2 3 2 2" xfId="14888"/>
    <cellStyle name="40% - Accent6 4 2 3 2 2 2" xfId="14889"/>
    <cellStyle name="40% - Accent6 4 2 3 2 2 2 2" xfId="14890"/>
    <cellStyle name="40% - Accent6 4 2 3 2 2 2 2 2" xfId="32776"/>
    <cellStyle name="40% - Accent6 4 2 3 2 2 2 3" xfId="32775"/>
    <cellStyle name="40% - Accent6 4 2 3 2 2 3" xfId="14891"/>
    <cellStyle name="40% - Accent6 4 2 3 2 2 3 2" xfId="32777"/>
    <cellStyle name="40% - Accent6 4 2 3 2 2 4" xfId="32774"/>
    <cellStyle name="40% - Accent6 4 2 3 2 3" xfId="14892"/>
    <cellStyle name="40% - Accent6 4 2 3 2 3 2" xfId="14893"/>
    <cellStyle name="40% - Accent6 4 2 3 2 3 2 2" xfId="32779"/>
    <cellStyle name="40% - Accent6 4 2 3 2 3 3" xfId="32778"/>
    <cellStyle name="40% - Accent6 4 2 3 2 4" xfId="14894"/>
    <cellStyle name="40% - Accent6 4 2 3 2 4 2" xfId="32780"/>
    <cellStyle name="40% - Accent6 4 2 3 2 5" xfId="32773"/>
    <cellStyle name="40% - Accent6 4 2 3 3" xfId="14895"/>
    <cellStyle name="40% - Accent6 4 2 3 3 2" xfId="14896"/>
    <cellStyle name="40% - Accent6 4 2 3 3 2 2" xfId="14897"/>
    <cellStyle name="40% - Accent6 4 2 3 3 2 2 2" xfId="14898"/>
    <cellStyle name="40% - Accent6 4 2 3 3 2 2 2 2" xfId="32784"/>
    <cellStyle name="40% - Accent6 4 2 3 3 2 2 3" xfId="32783"/>
    <cellStyle name="40% - Accent6 4 2 3 3 2 3" xfId="14899"/>
    <cellStyle name="40% - Accent6 4 2 3 3 2 3 2" xfId="32785"/>
    <cellStyle name="40% - Accent6 4 2 3 3 2 4" xfId="32782"/>
    <cellStyle name="40% - Accent6 4 2 3 3 3" xfId="14900"/>
    <cellStyle name="40% - Accent6 4 2 3 3 3 2" xfId="14901"/>
    <cellStyle name="40% - Accent6 4 2 3 3 3 2 2" xfId="32787"/>
    <cellStyle name="40% - Accent6 4 2 3 3 3 3" xfId="32786"/>
    <cellStyle name="40% - Accent6 4 2 3 3 4" xfId="14902"/>
    <cellStyle name="40% - Accent6 4 2 3 3 4 2" xfId="32788"/>
    <cellStyle name="40% - Accent6 4 2 3 3 5" xfId="32781"/>
    <cellStyle name="40% - Accent6 4 2 3 4" xfId="14903"/>
    <cellStyle name="40% - Accent6 4 2 3 4 2" xfId="14904"/>
    <cellStyle name="40% - Accent6 4 2 3 4 2 2" xfId="14905"/>
    <cellStyle name="40% - Accent6 4 2 3 4 2 2 2" xfId="32791"/>
    <cellStyle name="40% - Accent6 4 2 3 4 2 3" xfId="32790"/>
    <cellStyle name="40% - Accent6 4 2 3 4 3" xfId="14906"/>
    <cellStyle name="40% - Accent6 4 2 3 4 3 2" xfId="32792"/>
    <cellStyle name="40% - Accent6 4 2 3 4 4" xfId="32789"/>
    <cellStyle name="40% - Accent6 4 2 3 5" xfId="14907"/>
    <cellStyle name="40% - Accent6 4 2 3 5 2" xfId="14908"/>
    <cellStyle name="40% - Accent6 4 2 3 5 2 2" xfId="32794"/>
    <cellStyle name="40% - Accent6 4 2 3 5 3" xfId="32793"/>
    <cellStyle name="40% - Accent6 4 2 3 6" xfId="14909"/>
    <cellStyle name="40% - Accent6 4 2 3 6 2" xfId="32795"/>
    <cellStyle name="40% - Accent6 4 2 3 7" xfId="32772"/>
    <cellStyle name="40% - Accent6 4 2 4" xfId="14910"/>
    <cellStyle name="40% - Accent6 4 2 4 2" xfId="14911"/>
    <cellStyle name="40% - Accent6 4 2 4 2 2" xfId="14912"/>
    <cellStyle name="40% - Accent6 4 2 4 2 2 2" xfId="14913"/>
    <cellStyle name="40% - Accent6 4 2 4 2 2 2 2" xfId="32799"/>
    <cellStyle name="40% - Accent6 4 2 4 2 2 3" xfId="32798"/>
    <cellStyle name="40% - Accent6 4 2 4 2 3" xfId="14914"/>
    <cellStyle name="40% - Accent6 4 2 4 2 3 2" xfId="32800"/>
    <cellStyle name="40% - Accent6 4 2 4 2 4" xfId="32797"/>
    <cellStyle name="40% - Accent6 4 2 4 3" xfId="14915"/>
    <cellStyle name="40% - Accent6 4 2 4 3 2" xfId="14916"/>
    <cellStyle name="40% - Accent6 4 2 4 3 2 2" xfId="32802"/>
    <cellStyle name="40% - Accent6 4 2 4 3 3" xfId="32801"/>
    <cellStyle name="40% - Accent6 4 2 4 4" xfId="14917"/>
    <cellStyle name="40% - Accent6 4 2 4 4 2" xfId="32803"/>
    <cellStyle name="40% - Accent6 4 2 4 5" xfId="32796"/>
    <cellStyle name="40% - Accent6 4 2 5" xfId="14918"/>
    <cellStyle name="40% - Accent6 4 2 5 2" xfId="14919"/>
    <cellStyle name="40% - Accent6 4 2 5 2 2" xfId="14920"/>
    <cellStyle name="40% - Accent6 4 2 5 2 2 2" xfId="14921"/>
    <cellStyle name="40% - Accent6 4 2 5 2 2 2 2" xfId="32807"/>
    <cellStyle name="40% - Accent6 4 2 5 2 2 3" xfId="32806"/>
    <cellStyle name="40% - Accent6 4 2 5 2 3" xfId="14922"/>
    <cellStyle name="40% - Accent6 4 2 5 2 3 2" xfId="32808"/>
    <cellStyle name="40% - Accent6 4 2 5 2 4" xfId="32805"/>
    <cellStyle name="40% - Accent6 4 2 5 3" xfId="14923"/>
    <cellStyle name="40% - Accent6 4 2 5 3 2" xfId="14924"/>
    <cellStyle name="40% - Accent6 4 2 5 3 2 2" xfId="32810"/>
    <cellStyle name="40% - Accent6 4 2 5 3 3" xfId="32809"/>
    <cellStyle name="40% - Accent6 4 2 5 4" xfId="14925"/>
    <cellStyle name="40% - Accent6 4 2 5 4 2" xfId="32811"/>
    <cellStyle name="40% - Accent6 4 2 5 5" xfId="32804"/>
    <cellStyle name="40% - Accent6 4 2 6" xfId="14926"/>
    <cellStyle name="40% - Accent6 4 2 6 2" xfId="14927"/>
    <cellStyle name="40% - Accent6 4 2 6 2 2" xfId="14928"/>
    <cellStyle name="40% - Accent6 4 2 6 2 2 2" xfId="32814"/>
    <cellStyle name="40% - Accent6 4 2 6 2 3" xfId="32813"/>
    <cellStyle name="40% - Accent6 4 2 6 3" xfId="14929"/>
    <cellStyle name="40% - Accent6 4 2 6 3 2" xfId="32815"/>
    <cellStyle name="40% - Accent6 4 2 6 4" xfId="32812"/>
    <cellStyle name="40% - Accent6 4 2 7" xfId="14930"/>
    <cellStyle name="40% - Accent6 4 2 7 2" xfId="14931"/>
    <cellStyle name="40% - Accent6 4 2 7 2 2" xfId="32817"/>
    <cellStyle name="40% - Accent6 4 2 7 3" xfId="32816"/>
    <cellStyle name="40% - Accent6 4 2 8" xfId="14932"/>
    <cellStyle name="40% - Accent6 4 2 8 2" xfId="32818"/>
    <cellStyle name="40% - Accent6 4 2 9" xfId="32723"/>
    <cellStyle name="40% - Accent6 4 3" xfId="14933"/>
    <cellStyle name="40% - Accent6 4 3 2" xfId="14934"/>
    <cellStyle name="40% - Accent6 4 3 2 2" xfId="14935"/>
    <cellStyle name="40% - Accent6 4 3 2 2 2" xfId="14936"/>
    <cellStyle name="40% - Accent6 4 3 2 2 2 2" xfId="14937"/>
    <cellStyle name="40% - Accent6 4 3 2 2 2 2 2" xfId="14938"/>
    <cellStyle name="40% - Accent6 4 3 2 2 2 2 2 2" xfId="32824"/>
    <cellStyle name="40% - Accent6 4 3 2 2 2 2 3" xfId="32823"/>
    <cellStyle name="40% - Accent6 4 3 2 2 2 3" xfId="14939"/>
    <cellStyle name="40% - Accent6 4 3 2 2 2 3 2" xfId="32825"/>
    <cellStyle name="40% - Accent6 4 3 2 2 2 4" xfId="32822"/>
    <cellStyle name="40% - Accent6 4 3 2 2 3" xfId="14940"/>
    <cellStyle name="40% - Accent6 4 3 2 2 3 2" xfId="14941"/>
    <cellStyle name="40% - Accent6 4 3 2 2 3 2 2" xfId="32827"/>
    <cellStyle name="40% - Accent6 4 3 2 2 3 3" xfId="32826"/>
    <cellStyle name="40% - Accent6 4 3 2 2 4" xfId="14942"/>
    <cellStyle name="40% - Accent6 4 3 2 2 4 2" xfId="32828"/>
    <cellStyle name="40% - Accent6 4 3 2 2 5" xfId="32821"/>
    <cellStyle name="40% - Accent6 4 3 2 3" xfId="14943"/>
    <cellStyle name="40% - Accent6 4 3 2 3 2" xfId="14944"/>
    <cellStyle name="40% - Accent6 4 3 2 3 2 2" xfId="14945"/>
    <cellStyle name="40% - Accent6 4 3 2 3 2 2 2" xfId="14946"/>
    <cellStyle name="40% - Accent6 4 3 2 3 2 2 2 2" xfId="32832"/>
    <cellStyle name="40% - Accent6 4 3 2 3 2 2 3" xfId="32831"/>
    <cellStyle name="40% - Accent6 4 3 2 3 2 3" xfId="14947"/>
    <cellStyle name="40% - Accent6 4 3 2 3 2 3 2" xfId="32833"/>
    <cellStyle name="40% - Accent6 4 3 2 3 2 4" xfId="32830"/>
    <cellStyle name="40% - Accent6 4 3 2 3 3" xfId="14948"/>
    <cellStyle name="40% - Accent6 4 3 2 3 3 2" xfId="14949"/>
    <cellStyle name="40% - Accent6 4 3 2 3 3 2 2" xfId="32835"/>
    <cellStyle name="40% - Accent6 4 3 2 3 3 3" xfId="32834"/>
    <cellStyle name="40% - Accent6 4 3 2 3 4" xfId="14950"/>
    <cellStyle name="40% - Accent6 4 3 2 3 4 2" xfId="32836"/>
    <cellStyle name="40% - Accent6 4 3 2 3 5" xfId="32829"/>
    <cellStyle name="40% - Accent6 4 3 2 4" xfId="14951"/>
    <cellStyle name="40% - Accent6 4 3 2 4 2" xfId="14952"/>
    <cellStyle name="40% - Accent6 4 3 2 4 2 2" xfId="14953"/>
    <cellStyle name="40% - Accent6 4 3 2 4 2 2 2" xfId="32839"/>
    <cellStyle name="40% - Accent6 4 3 2 4 2 3" xfId="32838"/>
    <cellStyle name="40% - Accent6 4 3 2 4 3" xfId="14954"/>
    <cellStyle name="40% - Accent6 4 3 2 4 3 2" xfId="32840"/>
    <cellStyle name="40% - Accent6 4 3 2 4 4" xfId="32837"/>
    <cellStyle name="40% - Accent6 4 3 2 5" xfId="14955"/>
    <cellStyle name="40% - Accent6 4 3 2 5 2" xfId="14956"/>
    <cellStyle name="40% - Accent6 4 3 2 5 2 2" xfId="32842"/>
    <cellStyle name="40% - Accent6 4 3 2 5 3" xfId="32841"/>
    <cellStyle name="40% - Accent6 4 3 2 6" xfId="14957"/>
    <cellStyle name="40% - Accent6 4 3 2 6 2" xfId="32843"/>
    <cellStyle name="40% - Accent6 4 3 2 7" xfId="32820"/>
    <cellStyle name="40% - Accent6 4 3 3" xfId="14958"/>
    <cellStyle name="40% - Accent6 4 3 3 2" xfId="14959"/>
    <cellStyle name="40% - Accent6 4 3 3 2 2" xfId="14960"/>
    <cellStyle name="40% - Accent6 4 3 3 2 2 2" xfId="14961"/>
    <cellStyle name="40% - Accent6 4 3 3 2 2 2 2" xfId="32847"/>
    <cellStyle name="40% - Accent6 4 3 3 2 2 3" xfId="32846"/>
    <cellStyle name="40% - Accent6 4 3 3 2 3" xfId="14962"/>
    <cellStyle name="40% - Accent6 4 3 3 2 3 2" xfId="32848"/>
    <cellStyle name="40% - Accent6 4 3 3 2 4" xfId="32845"/>
    <cellStyle name="40% - Accent6 4 3 3 3" xfId="14963"/>
    <cellStyle name="40% - Accent6 4 3 3 3 2" xfId="14964"/>
    <cellStyle name="40% - Accent6 4 3 3 3 2 2" xfId="32850"/>
    <cellStyle name="40% - Accent6 4 3 3 3 3" xfId="32849"/>
    <cellStyle name="40% - Accent6 4 3 3 4" xfId="14965"/>
    <cellStyle name="40% - Accent6 4 3 3 4 2" xfId="32851"/>
    <cellStyle name="40% - Accent6 4 3 3 5" xfId="32844"/>
    <cellStyle name="40% - Accent6 4 3 4" xfId="14966"/>
    <cellStyle name="40% - Accent6 4 3 4 2" xfId="14967"/>
    <cellStyle name="40% - Accent6 4 3 4 2 2" xfId="14968"/>
    <cellStyle name="40% - Accent6 4 3 4 2 2 2" xfId="14969"/>
    <cellStyle name="40% - Accent6 4 3 4 2 2 2 2" xfId="32855"/>
    <cellStyle name="40% - Accent6 4 3 4 2 2 3" xfId="32854"/>
    <cellStyle name="40% - Accent6 4 3 4 2 3" xfId="14970"/>
    <cellStyle name="40% - Accent6 4 3 4 2 3 2" xfId="32856"/>
    <cellStyle name="40% - Accent6 4 3 4 2 4" xfId="32853"/>
    <cellStyle name="40% - Accent6 4 3 4 3" xfId="14971"/>
    <cellStyle name="40% - Accent6 4 3 4 3 2" xfId="14972"/>
    <cellStyle name="40% - Accent6 4 3 4 3 2 2" xfId="32858"/>
    <cellStyle name="40% - Accent6 4 3 4 3 3" xfId="32857"/>
    <cellStyle name="40% - Accent6 4 3 4 4" xfId="14973"/>
    <cellStyle name="40% - Accent6 4 3 4 4 2" xfId="32859"/>
    <cellStyle name="40% - Accent6 4 3 4 5" xfId="32852"/>
    <cellStyle name="40% - Accent6 4 3 5" xfId="14974"/>
    <cellStyle name="40% - Accent6 4 3 5 2" xfId="14975"/>
    <cellStyle name="40% - Accent6 4 3 5 2 2" xfId="14976"/>
    <cellStyle name="40% - Accent6 4 3 5 2 2 2" xfId="32862"/>
    <cellStyle name="40% - Accent6 4 3 5 2 3" xfId="32861"/>
    <cellStyle name="40% - Accent6 4 3 5 3" xfId="14977"/>
    <cellStyle name="40% - Accent6 4 3 5 3 2" xfId="32863"/>
    <cellStyle name="40% - Accent6 4 3 5 4" xfId="32860"/>
    <cellStyle name="40% - Accent6 4 3 6" xfId="14978"/>
    <cellStyle name="40% - Accent6 4 3 6 2" xfId="14979"/>
    <cellStyle name="40% - Accent6 4 3 6 2 2" xfId="32865"/>
    <cellStyle name="40% - Accent6 4 3 6 3" xfId="32864"/>
    <cellStyle name="40% - Accent6 4 3 7" xfId="14980"/>
    <cellStyle name="40% - Accent6 4 3 7 2" xfId="32866"/>
    <cellStyle name="40% - Accent6 4 3 8" xfId="32819"/>
    <cellStyle name="40% - Accent6 4 4" xfId="14981"/>
    <cellStyle name="40% - Accent6 4 4 2" xfId="14982"/>
    <cellStyle name="40% - Accent6 4 4 2 2" xfId="14983"/>
    <cellStyle name="40% - Accent6 4 4 2 2 2" xfId="14984"/>
    <cellStyle name="40% - Accent6 4 4 2 2 2 2" xfId="14985"/>
    <cellStyle name="40% - Accent6 4 4 2 2 2 2 2" xfId="32871"/>
    <cellStyle name="40% - Accent6 4 4 2 2 2 3" xfId="32870"/>
    <cellStyle name="40% - Accent6 4 4 2 2 3" xfId="14986"/>
    <cellStyle name="40% - Accent6 4 4 2 2 3 2" xfId="32872"/>
    <cellStyle name="40% - Accent6 4 4 2 2 4" xfId="32869"/>
    <cellStyle name="40% - Accent6 4 4 2 3" xfId="14987"/>
    <cellStyle name="40% - Accent6 4 4 2 3 2" xfId="14988"/>
    <cellStyle name="40% - Accent6 4 4 2 3 2 2" xfId="32874"/>
    <cellStyle name="40% - Accent6 4 4 2 3 3" xfId="32873"/>
    <cellStyle name="40% - Accent6 4 4 2 4" xfId="14989"/>
    <cellStyle name="40% - Accent6 4 4 2 4 2" xfId="32875"/>
    <cellStyle name="40% - Accent6 4 4 2 5" xfId="32868"/>
    <cellStyle name="40% - Accent6 4 4 3" xfId="14990"/>
    <cellStyle name="40% - Accent6 4 4 3 2" xfId="14991"/>
    <cellStyle name="40% - Accent6 4 4 3 2 2" xfId="14992"/>
    <cellStyle name="40% - Accent6 4 4 3 2 2 2" xfId="14993"/>
    <cellStyle name="40% - Accent6 4 4 3 2 2 2 2" xfId="32879"/>
    <cellStyle name="40% - Accent6 4 4 3 2 2 3" xfId="32878"/>
    <cellStyle name="40% - Accent6 4 4 3 2 3" xfId="14994"/>
    <cellStyle name="40% - Accent6 4 4 3 2 3 2" xfId="32880"/>
    <cellStyle name="40% - Accent6 4 4 3 2 4" xfId="32877"/>
    <cellStyle name="40% - Accent6 4 4 3 3" xfId="14995"/>
    <cellStyle name="40% - Accent6 4 4 3 3 2" xfId="14996"/>
    <cellStyle name="40% - Accent6 4 4 3 3 2 2" xfId="32882"/>
    <cellStyle name="40% - Accent6 4 4 3 3 3" xfId="32881"/>
    <cellStyle name="40% - Accent6 4 4 3 4" xfId="14997"/>
    <cellStyle name="40% - Accent6 4 4 3 4 2" xfId="32883"/>
    <cellStyle name="40% - Accent6 4 4 3 5" xfId="32876"/>
    <cellStyle name="40% - Accent6 4 4 4" xfId="14998"/>
    <cellStyle name="40% - Accent6 4 4 4 2" xfId="14999"/>
    <cellStyle name="40% - Accent6 4 4 4 2 2" xfId="15000"/>
    <cellStyle name="40% - Accent6 4 4 4 2 2 2" xfId="32886"/>
    <cellStyle name="40% - Accent6 4 4 4 2 3" xfId="32885"/>
    <cellStyle name="40% - Accent6 4 4 4 3" xfId="15001"/>
    <cellStyle name="40% - Accent6 4 4 4 3 2" xfId="32887"/>
    <cellStyle name="40% - Accent6 4 4 4 4" xfId="32884"/>
    <cellStyle name="40% - Accent6 4 4 5" xfId="15002"/>
    <cellStyle name="40% - Accent6 4 4 5 2" xfId="15003"/>
    <cellStyle name="40% - Accent6 4 4 5 2 2" xfId="32889"/>
    <cellStyle name="40% - Accent6 4 4 5 3" xfId="32888"/>
    <cellStyle name="40% - Accent6 4 4 6" xfId="15004"/>
    <cellStyle name="40% - Accent6 4 4 6 2" xfId="32890"/>
    <cellStyle name="40% - Accent6 4 4 7" xfId="32867"/>
    <cellStyle name="40% - Accent6 4 5" xfId="15005"/>
    <cellStyle name="40% - Accent6 4 5 2" xfId="15006"/>
    <cellStyle name="40% - Accent6 4 5 2 2" xfId="15007"/>
    <cellStyle name="40% - Accent6 4 5 2 2 2" xfId="15008"/>
    <cellStyle name="40% - Accent6 4 5 2 2 2 2" xfId="32894"/>
    <cellStyle name="40% - Accent6 4 5 2 2 3" xfId="32893"/>
    <cellStyle name="40% - Accent6 4 5 2 3" xfId="15009"/>
    <cellStyle name="40% - Accent6 4 5 2 3 2" xfId="32895"/>
    <cellStyle name="40% - Accent6 4 5 2 4" xfId="32892"/>
    <cellStyle name="40% - Accent6 4 5 3" xfId="15010"/>
    <cellStyle name="40% - Accent6 4 5 3 2" xfId="15011"/>
    <cellStyle name="40% - Accent6 4 5 3 2 2" xfId="32897"/>
    <cellStyle name="40% - Accent6 4 5 3 3" xfId="32896"/>
    <cellStyle name="40% - Accent6 4 5 4" xfId="15012"/>
    <cellStyle name="40% - Accent6 4 5 4 2" xfId="32898"/>
    <cellStyle name="40% - Accent6 4 5 5" xfId="32891"/>
    <cellStyle name="40% - Accent6 4 6" xfId="15013"/>
    <cellStyle name="40% - Accent6 4 6 2" xfId="15014"/>
    <cellStyle name="40% - Accent6 4 6 2 2" xfId="15015"/>
    <cellStyle name="40% - Accent6 4 6 2 2 2" xfId="15016"/>
    <cellStyle name="40% - Accent6 4 6 2 2 2 2" xfId="32902"/>
    <cellStyle name="40% - Accent6 4 6 2 2 3" xfId="32901"/>
    <cellStyle name="40% - Accent6 4 6 2 3" xfId="15017"/>
    <cellStyle name="40% - Accent6 4 6 2 3 2" xfId="32903"/>
    <cellStyle name="40% - Accent6 4 6 2 4" xfId="32900"/>
    <cellStyle name="40% - Accent6 4 6 3" xfId="15018"/>
    <cellStyle name="40% - Accent6 4 6 3 2" xfId="15019"/>
    <cellStyle name="40% - Accent6 4 6 3 2 2" xfId="32905"/>
    <cellStyle name="40% - Accent6 4 6 3 3" xfId="32904"/>
    <cellStyle name="40% - Accent6 4 6 4" xfId="15020"/>
    <cellStyle name="40% - Accent6 4 6 4 2" xfId="32906"/>
    <cellStyle name="40% - Accent6 4 6 5" xfId="32899"/>
    <cellStyle name="40% - Accent6 4 7" xfId="15021"/>
    <cellStyle name="40% - Accent6 4 7 2" xfId="15022"/>
    <cellStyle name="40% - Accent6 4 7 2 2" xfId="15023"/>
    <cellStyle name="40% - Accent6 4 7 2 2 2" xfId="32909"/>
    <cellStyle name="40% - Accent6 4 7 2 3" xfId="32908"/>
    <cellStyle name="40% - Accent6 4 7 3" xfId="15024"/>
    <cellStyle name="40% - Accent6 4 7 3 2" xfId="32910"/>
    <cellStyle name="40% - Accent6 4 7 4" xfId="32907"/>
    <cellStyle name="40% - Accent6 4 8" xfId="15025"/>
    <cellStyle name="40% - Accent6 4 8 2" xfId="15026"/>
    <cellStyle name="40% - Accent6 4 8 2 2" xfId="32912"/>
    <cellStyle name="40% - Accent6 4 8 3" xfId="32911"/>
    <cellStyle name="40% - Accent6 4 9" xfId="15027"/>
    <cellStyle name="40% - Accent6 4 9 2" xfId="32913"/>
    <cellStyle name="40% - Accent6 5" xfId="15028"/>
    <cellStyle name="40% - Accent6 5 10" xfId="32914"/>
    <cellStyle name="40% - Accent6 5 2" xfId="15029"/>
    <cellStyle name="40% - Accent6 5 2 2" xfId="15030"/>
    <cellStyle name="40% - Accent6 5 2 2 2" xfId="15031"/>
    <cellStyle name="40% - Accent6 5 2 2 2 2" xfId="15032"/>
    <cellStyle name="40% - Accent6 5 2 2 2 2 2" xfId="15033"/>
    <cellStyle name="40% - Accent6 5 2 2 2 2 2 2" xfId="15034"/>
    <cellStyle name="40% - Accent6 5 2 2 2 2 2 2 2" xfId="15035"/>
    <cellStyle name="40% - Accent6 5 2 2 2 2 2 2 2 2" xfId="32921"/>
    <cellStyle name="40% - Accent6 5 2 2 2 2 2 2 3" xfId="32920"/>
    <cellStyle name="40% - Accent6 5 2 2 2 2 2 3" xfId="15036"/>
    <cellStyle name="40% - Accent6 5 2 2 2 2 2 3 2" xfId="32922"/>
    <cellStyle name="40% - Accent6 5 2 2 2 2 2 4" xfId="32919"/>
    <cellStyle name="40% - Accent6 5 2 2 2 2 3" xfId="15037"/>
    <cellStyle name="40% - Accent6 5 2 2 2 2 3 2" xfId="15038"/>
    <cellStyle name="40% - Accent6 5 2 2 2 2 3 2 2" xfId="32924"/>
    <cellStyle name="40% - Accent6 5 2 2 2 2 3 3" xfId="32923"/>
    <cellStyle name="40% - Accent6 5 2 2 2 2 4" xfId="15039"/>
    <cellStyle name="40% - Accent6 5 2 2 2 2 4 2" xfId="32925"/>
    <cellStyle name="40% - Accent6 5 2 2 2 2 5" xfId="32918"/>
    <cellStyle name="40% - Accent6 5 2 2 2 3" xfId="15040"/>
    <cellStyle name="40% - Accent6 5 2 2 2 3 2" xfId="15041"/>
    <cellStyle name="40% - Accent6 5 2 2 2 3 2 2" xfId="15042"/>
    <cellStyle name="40% - Accent6 5 2 2 2 3 2 2 2" xfId="15043"/>
    <cellStyle name="40% - Accent6 5 2 2 2 3 2 2 2 2" xfId="32929"/>
    <cellStyle name="40% - Accent6 5 2 2 2 3 2 2 3" xfId="32928"/>
    <cellStyle name="40% - Accent6 5 2 2 2 3 2 3" xfId="15044"/>
    <cellStyle name="40% - Accent6 5 2 2 2 3 2 3 2" xfId="32930"/>
    <cellStyle name="40% - Accent6 5 2 2 2 3 2 4" xfId="32927"/>
    <cellStyle name="40% - Accent6 5 2 2 2 3 3" xfId="15045"/>
    <cellStyle name="40% - Accent6 5 2 2 2 3 3 2" xfId="15046"/>
    <cellStyle name="40% - Accent6 5 2 2 2 3 3 2 2" xfId="32932"/>
    <cellStyle name="40% - Accent6 5 2 2 2 3 3 3" xfId="32931"/>
    <cellStyle name="40% - Accent6 5 2 2 2 3 4" xfId="15047"/>
    <cellStyle name="40% - Accent6 5 2 2 2 3 4 2" xfId="32933"/>
    <cellStyle name="40% - Accent6 5 2 2 2 3 5" xfId="32926"/>
    <cellStyle name="40% - Accent6 5 2 2 2 4" xfId="15048"/>
    <cellStyle name="40% - Accent6 5 2 2 2 4 2" xfId="15049"/>
    <cellStyle name="40% - Accent6 5 2 2 2 4 2 2" xfId="15050"/>
    <cellStyle name="40% - Accent6 5 2 2 2 4 2 2 2" xfId="32936"/>
    <cellStyle name="40% - Accent6 5 2 2 2 4 2 3" xfId="32935"/>
    <cellStyle name="40% - Accent6 5 2 2 2 4 3" xfId="15051"/>
    <cellStyle name="40% - Accent6 5 2 2 2 4 3 2" xfId="32937"/>
    <cellStyle name="40% - Accent6 5 2 2 2 4 4" xfId="32934"/>
    <cellStyle name="40% - Accent6 5 2 2 2 5" xfId="15052"/>
    <cellStyle name="40% - Accent6 5 2 2 2 5 2" xfId="15053"/>
    <cellStyle name="40% - Accent6 5 2 2 2 5 2 2" xfId="32939"/>
    <cellStyle name="40% - Accent6 5 2 2 2 5 3" xfId="32938"/>
    <cellStyle name="40% - Accent6 5 2 2 2 6" xfId="15054"/>
    <cellStyle name="40% - Accent6 5 2 2 2 6 2" xfId="32940"/>
    <cellStyle name="40% - Accent6 5 2 2 2 7" xfId="32917"/>
    <cellStyle name="40% - Accent6 5 2 2 3" xfId="15055"/>
    <cellStyle name="40% - Accent6 5 2 2 3 2" xfId="15056"/>
    <cellStyle name="40% - Accent6 5 2 2 3 2 2" xfId="15057"/>
    <cellStyle name="40% - Accent6 5 2 2 3 2 2 2" xfId="15058"/>
    <cellStyle name="40% - Accent6 5 2 2 3 2 2 2 2" xfId="32944"/>
    <cellStyle name="40% - Accent6 5 2 2 3 2 2 3" xfId="32943"/>
    <cellStyle name="40% - Accent6 5 2 2 3 2 3" xfId="15059"/>
    <cellStyle name="40% - Accent6 5 2 2 3 2 3 2" xfId="32945"/>
    <cellStyle name="40% - Accent6 5 2 2 3 2 4" xfId="32942"/>
    <cellStyle name="40% - Accent6 5 2 2 3 3" xfId="15060"/>
    <cellStyle name="40% - Accent6 5 2 2 3 3 2" xfId="15061"/>
    <cellStyle name="40% - Accent6 5 2 2 3 3 2 2" xfId="32947"/>
    <cellStyle name="40% - Accent6 5 2 2 3 3 3" xfId="32946"/>
    <cellStyle name="40% - Accent6 5 2 2 3 4" xfId="15062"/>
    <cellStyle name="40% - Accent6 5 2 2 3 4 2" xfId="32948"/>
    <cellStyle name="40% - Accent6 5 2 2 3 5" xfId="32941"/>
    <cellStyle name="40% - Accent6 5 2 2 4" xfId="15063"/>
    <cellStyle name="40% - Accent6 5 2 2 4 2" xfId="15064"/>
    <cellStyle name="40% - Accent6 5 2 2 4 2 2" xfId="15065"/>
    <cellStyle name="40% - Accent6 5 2 2 4 2 2 2" xfId="15066"/>
    <cellStyle name="40% - Accent6 5 2 2 4 2 2 2 2" xfId="32952"/>
    <cellStyle name="40% - Accent6 5 2 2 4 2 2 3" xfId="32951"/>
    <cellStyle name="40% - Accent6 5 2 2 4 2 3" xfId="15067"/>
    <cellStyle name="40% - Accent6 5 2 2 4 2 3 2" xfId="32953"/>
    <cellStyle name="40% - Accent6 5 2 2 4 2 4" xfId="32950"/>
    <cellStyle name="40% - Accent6 5 2 2 4 3" xfId="15068"/>
    <cellStyle name="40% - Accent6 5 2 2 4 3 2" xfId="15069"/>
    <cellStyle name="40% - Accent6 5 2 2 4 3 2 2" xfId="32955"/>
    <cellStyle name="40% - Accent6 5 2 2 4 3 3" xfId="32954"/>
    <cellStyle name="40% - Accent6 5 2 2 4 4" xfId="15070"/>
    <cellStyle name="40% - Accent6 5 2 2 4 4 2" xfId="32956"/>
    <cellStyle name="40% - Accent6 5 2 2 4 5" xfId="32949"/>
    <cellStyle name="40% - Accent6 5 2 2 5" xfId="15071"/>
    <cellStyle name="40% - Accent6 5 2 2 5 2" xfId="15072"/>
    <cellStyle name="40% - Accent6 5 2 2 5 2 2" xfId="15073"/>
    <cellStyle name="40% - Accent6 5 2 2 5 2 2 2" xfId="32959"/>
    <cellStyle name="40% - Accent6 5 2 2 5 2 3" xfId="32958"/>
    <cellStyle name="40% - Accent6 5 2 2 5 3" xfId="15074"/>
    <cellStyle name="40% - Accent6 5 2 2 5 3 2" xfId="32960"/>
    <cellStyle name="40% - Accent6 5 2 2 5 4" xfId="32957"/>
    <cellStyle name="40% - Accent6 5 2 2 6" xfId="15075"/>
    <cellStyle name="40% - Accent6 5 2 2 6 2" xfId="15076"/>
    <cellStyle name="40% - Accent6 5 2 2 6 2 2" xfId="32962"/>
    <cellStyle name="40% - Accent6 5 2 2 6 3" xfId="32961"/>
    <cellStyle name="40% - Accent6 5 2 2 7" xfId="15077"/>
    <cellStyle name="40% - Accent6 5 2 2 7 2" xfId="32963"/>
    <cellStyle name="40% - Accent6 5 2 2 8" xfId="32916"/>
    <cellStyle name="40% - Accent6 5 2 3" xfId="15078"/>
    <cellStyle name="40% - Accent6 5 2 3 2" xfId="15079"/>
    <cellStyle name="40% - Accent6 5 2 3 2 2" xfId="15080"/>
    <cellStyle name="40% - Accent6 5 2 3 2 2 2" xfId="15081"/>
    <cellStyle name="40% - Accent6 5 2 3 2 2 2 2" xfId="15082"/>
    <cellStyle name="40% - Accent6 5 2 3 2 2 2 2 2" xfId="32968"/>
    <cellStyle name="40% - Accent6 5 2 3 2 2 2 3" xfId="32967"/>
    <cellStyle name="40% - Accent6 5 2 3 2 2 3" xfId="15083"/>
    <cellStyle name="40% - Accent6 5 2 3 2 2 3 2" xfId="32969"/>
    <cellStyle name="40% - Accent6 5 2 3 2 2 4" xfId="32966"/>
    <cellStyle name="40% - Accent6 5 2 3 2 3" xfId="15084"/>
    <cellStyle name="40% - Accent6 5 2 3 2 3 2" xfId="15085"/>
    <cellStyle name="40% - Accent6 5 2 3 2 3 2 2" xfId="32971"/>
    <cellStyle name="40% - Accent6 5 2 3 2 3 3" xfId="32970"/>
    <cellStyle name="40% - Accent6 5 2 3 2 4" xfId="15086"/>
    <cellStyle name="40% - Accent6 5 2 3 2 4 2" xfId="32972"/>
    <cellStyle name="40% - Accent6 5 2 3 2 5" xfId="32965"/>
    <cellStyle name="40% - Accent6 5 2 3 3" xfId="15087"/>
    <cellStyle name="40% - Accent6 5 2 3 3 2" xfId="15088"/>
    <cellStyle name="40% - Accent6 5 2 3 3 2 2" xfId="15089"/>
    <cellStyle name="40% - Accent6 5 2 3 3 2 2 2" xfId="15090"/>
    <cellStyle name="40% - Accent6 5 2 3 3 2 2 2 2" xfId="32976"/>
    <cellStyle name="40% - Accent6 5 2 3 3 2 2 3" xfId="32975"/>
    <cellStyle name="40% - Accent6 5 2 3 3 2 3" xfId="15091"/>
    <cellStyle name="40% - Accent6 5 2 3 3 2 3 2" xfId="32977"/>
    <cellStyle name="40% - Accent6 5 2 3 3 2 4" xfId="32974"/>
    <cellStyle name="40% - Accent6 5 2 3 3 3" xfId="15092"/>
    <cellStyle name="40% - Accent6 5 2 3 3 3 2" xfId="15093"/>
    <cellStyle name="40% - Accent6 5 2 3 3 3 2 2" xfId="32979"/>
    <cellStyle name="40% - Accent6 5 2 3 3 3 3" xfId="32978"/>
    <cellStyle name="40% - Accent6 5 2 3 3 4" xfId="15094"/>
    <cellStyle name="40% - Accent6 5 2 3 3 4 2" xfId="32980"/>
    <cellStyle name="40% - Accent6 5 2 3 3 5" xfId="32973"/>
    <cellStyle name="40% - Accent6 5 2 3 4" xfId="15095"/>
    <cellStyle name="40% - Accent6 5 2 3 4 2" xfId="15096"/>
    <cellStyle name="40% - Accent6 5 2 3 4 2 2" xfId="15097"/>
    <cellStyle name="40% - Accent6 5 2 3 4 2 2 2" xfId="32983"/>
    <cellStyle name="40% - Accent6 5 2 3 4 2 3" xfId="32982"/>
    <cellStyle name="40% - Accent6 5 2 3 4 3" xfId="15098"/>
    <cellStyle name="40% - Accent6 5 2 3 4 3 2" xfId="32984"/>
    <cellStyle name="40% - Accent6 5 2 3 4 4" xfId="32981"/>
    <cellStyle name="40% - Accent6 5 2 3 5" xfId="15099"/>
    <cellStyle name="40% - Accent6 5 2 3 5 2" xfId="15100"/>
    <cellStyle name="40% - Accent6 5 2 3 5 2 2" xfId="32986"/>
    <cellStyle name="40% - Accent6 5 2 3 5 3" xfId="32985"/>
    <cellStyle name="40% - Accent6 5 2 3 6" xfId="15101"/>
    <cellStyle name="40% - Accent6 5 2 3 6 2" xfId="32987"/>
    <cellStyle name="40% - Accent6 5 2 3 7" xfId="32964"/>
    <cellStyle name="40% - Accent6 5 2 4" xfId="15102"/>
    <cellStyle name="40% - Accent6 5 2 4 2" xfId="15103"/>
    <cellStyle name="40% - Accent6 5 2 4 2 2" xfId="15104"/>
    <cellStyle name="40% - Accent6 5 2 4 2 2 2" xfId="15105"/>
    <cellStyle name="40% - Accent6 5 2 4 2 2 2 2" xfId="32991"/>
    <cellStyle name="40% - Accent6 5 2 4 2 2 3" xfId="32990"/>
    <cellStyle name="40% - Accent6 5 2 4 2 3" xfId="15106"/>
    <cellStyle name="40% - Accent6 5 2 4 2 3 2" xfId="32992"/>
    <cellStyle name="40% - Accent6 5 2 4 2 4" xfId="32989"/>
    <cellStyle name="40% - Accent6 5 2 4 3" xfId="15107"/>
    <cellStyle name="40% - Accent6 5 2 4 3 2" xfId="15108"/>
    <cellStyle name="40% - Accent6 5 2 4 3 2 2" xfId="32994"/>
    <cellStyle name="40% - Accent6 5 2 4 3 3" xfId="32993"/>
    <cellStyle name="40% - Accent6 5 2 4 4" xfId="15109"/>
    <cellStyle name="40% - Accent6 5 2 4 4 2" xfId="32995"/>
    <cellStyle name="40% - Accent6 5 2 4 5" xfId="32988"/>
    <cellStyle name="40% - Accent6 5 2 5" xfId="15110"/>
    <cellStyle name="40% - Accent6 5 2 5 2" xfId="15111"/>
    <cellStyle name="40% - Accent6 5 2 5 2 2" xfId="15112"/>
    <cellStyle name="40% - Accent6 5 2 5 2 2 2" xfId="15113"/>
    <cellStyle name="40% - Accent6 5 2 5 2 2 2 2" xfId="32999"/>
    <cellStyle name="40% - Accent6 5 2 5 2 2 3" xfId="32998"/>
    <cellStyle name="40% - Accent6 5 2 5 2 3" xfId="15114"/>
    <cellStyle name="40% - Accent6 5 2 5 2 3 2" xfId="33000"/>
    <cellStyle name="40% - Accent6 5 2 5 2 4" xfId="32997"/>
    <cellStyle name="40% - Accent6 5 2 5 3" xfId="15115"/>
    <cellStyle name="40% - Accent6 5 2 5 3 2" xfId="15116"/>
    <cellStyle name="40% - Accent6 5 2 5 3 2 2" xfId="33002"/>
    <cellStyle name="40% - Accent6 5 2 5 3 3" xfId="33001"/>
    <cellStyle name="40% - Accent6 5 2 5 4" xfId="15117"/>
    <cellStyle name="40% - Accent6 5 2 5 4 2" xfId="33003"/>
    <cellStyle name="40% - Accent6 5 2 5 5" xfId="32996"/>
    <cellStyle name="40% - Accent6 5 2 6" xfId="15118"/>
    <cellStyle name="40% - Accent6 5 2 6 2" xfId="15119"/>
    <cellStyle name="40% - Accent6 5 2 6 2 2" xfId="15120"/>
    <cellStyle name="40% - Accent6 5 2 6 2 2 2" xfId="33006"/>
    <cellStyle name="40% - Accent6 5 2 6 2 3" xfId="33005"/>
    <cellStyle name="40% - Accent6 5 2 6 3" xfId="15121"/>
    <cellStyle name="40% - Accent6 5 2 6 3 2" xfId="33007"/>
    <cellStyle name="40% - Accent6 5 2 6 4" xfId="33004"/>
    <cellStyle name="40% - Accent6 5 2 7" xfId="15122"/>
    <cellStyle name="40% - Accent6 5 2 7 2" xfId="15123"/>
    <cellStyle name="40% - Accent6 5 2 7 2 2" xfId="33009"/>
    <cellStyle name="40% - Accent6 5 2 7 3" xfId="33008"/>
    <cellStyle name="40% - Accent6 5 2 8" xfId="15124"/>
    <cellStyle name="40% - Accent6 5 2 8 2" xfId="33010"/>
    <cellStyle name="40% - Accent6 5 2 9" xfId="32915"/>
    <cellStyle name="40% - Accent6 5 3" xfId="15125"/>
    <cellStyle name="40% - Accent6 5 3 2" xfId="15126"/>
    <cellStyle name="40% - Accent6 5 3 2 2" xfId="15127"/>
    <cellStyle name="40% - Accent6 5 3 2 2 2" xfId="15128"/>
    <cellStyle name="40% - Accent6 5 3 2 2 2 2" xfId="15129"/>
    <cellStyle name="40% - Accent6 5 3 2 2 2 2 2" xfId="15130"/>
    <cellStyle name="40% - Accent6 5 3 2 2 2 2 2 2" xfId="33016"/>
    <cellStyle name="40% - Accent6 5 3 2 2 2 2 3" xfId="33015"/>
    <cellStyle name="40% - Accent6 5 3 2 2 2 3" xfId="15131"/>
    <cellStyle name="40% - Accent6 5 3 2 2 2 3 2" xfId="33017"/>
    <cellStyle name="40% - Accent6 5 3 2 2 2 4" xfId="33014"/>
    <cellStyle name="40% - Accent6 5 3 2 2 3" xfId="15132"/>
    <cellStyle name="40% - Accent6 5 3 2 2 3 2" xfId="15133"/>
    <cellStyle name="40% - Accent6 5 3 2 2 3 2 2" xfId="33019"/>
    <cellStyle name="40% - Accent6 5 3 2 2 3 3" xfId="33018"/>
    <cellStyle name="40% - Accent6 5 3 2 2 4" xfId="15134"/>
    <cellStyle name="40% - Accent6 5 3 2 2 4 2" xfId="33020"/>
    <cellStyle name="40% - Accent6 5 3 2 2 5" xfId="33013"/>
    <cellStyle name="40% - Accent6 5 3 2 3" xfId="15135"/>
    <cellStyle name="40% - Accent6 5 3 2 3 2" xfId="15136"/>
    <cellStyle name="40% - Accent6 5 3 2 3 2 2" xfId="15137"/>
    <cellStyle name="40% - Accent6 5 3 2 3 2 2 2" xfId="15138"/>
    <cellStyle name="40% - Accent6 5 3 2 3 2 2 2 2" xfId="33024"/>
    <cellStyle name="40% - Accent6 5 3 2 3 2 2 3" xfId="33023"/>
    <cellStyle name="40% - Accent6 5 3 2 3 2 3" xfId="15139"/>
    <cellStyle name="40% - Accent6 5 3 2 3 2 3 2" xfId="33025"/>
    <cellStyle name="40% - Accent6 5 3 2 3 2 4" xfId="33022"/>
    <cellStyle name="40% - Accent6 5 3 2 3 3" xfId="15140"/>
    <cellStyle name="40% - Accent6 5 3 2 3 3 2" xfId="15141"/>
    <cellStyle name="40% - Accent6 5 3 2 3 3 2 2" xfId="33027"/>
    <cellStyle name="40% - Accent6 5 3 2 3 3 3" xfId="33026"/>
    <cellStyle name="40% - Accent6 5 3 2 3 4" xfId="15142"/>
    <cellStyle name="40% - Accent6 5 3 2 3 4 2" xfId="33028"/>
    <cellStyle name="40% - Accent6 5 3 2 3 5" xfId="33021"/>
    <cellStyle name="40% - Accent6 5 3 2 4" xfId="15143"/>
    <cellStyle name="40% - Accent6 5 3 2 4 2" xfId="15144"/>
    <cellStyle name="40% - Accent6 5 3 2 4 2 2" xfId="15145"/>
    <cellStyle name="40% - Accent6 5 3 2 4 2 2 2" xfId="33031"/>
    <cellStyle name="40% - Accent6 5 3 2 4 2 3" xfId="33030"/>
    <cellStyle name="40% - Accent6 5 3 2 4 3" xfId="15146"/>
    <cellStyle name="40% - Accent6 5 3 2 4 3 2" xfId="33032"/>
    <cellStyle name="40% - Accent6 5 3 2 4 4" xfId="33029"/>
    <cellStyle name="40% - Accent6 5 3 2 5" xfId="15147"/>
    <cellStyle name="40% - Accent6 5 3 2 5 2" xfId="15148"/>
    <cellStyle name="40% - Accent6 5 3 2 5 2 2" xfId="33034"/>
    <cellStyle name="40% - Accent6 5 3 2 5 3" xfId="33033"/>
    <cellStyle name="40% - Accent6 5 3 2 6" xfId="15149"/>
    <cellStyle name="40% - Accent6 5 3 2 6 2" xfId="33035"/>
    <cellStyle name="40% - Accent6 5 3 2 7" xfId="33012"/>
    <cellStyle name="40% - Accent6 5 3 3" xfId="15150"/>
    <cellStyle name="40% - Accent6 5 3 3 2" xfId="15151"/>
    <cellStyle name="40% - Accent6 5 3 3 2 2" xfId="15152"/>
    <cellStyle name="40% - Accent6 5 3 3 2 2 2" xfId="15153"/>
    <cellStyle name="40% - Accent6 5 3 3 2 2 2 2" xfId="33039"/>
    <cellStyle name="40% - Accent6 5 3 3 2 2 3" xfId="33038"/>
    <cellStyle name="40% - Accent6 5 3 3 2 3" xfId="15154"/>
    <cellStyle name="40% - Accent6 5 3 3 2 3 2" xfId="33040"/>
    <cellStyle name="40% - Accent6 5 3 3 2 4" xfId="33037"/>
    <cellStyle name="40% - Accent6 5 3 3 3" xfId="15155"/>
    <cellStyle name="40% - Accent6 5 3 3 3 2" xfId="15156"/>
    <cellStyle name="40% - Accent6 5 3 3 3 2 2" xfId="33042"/>
    <cellStyle name="40% - Accent6 5 3 3 3 3" xfId="33041"/>
    <cellStyle name="40% - Accent6 5 3 3 4" xfId="15157"/>
    <cellStyle name="40% - Accent6 5 3 3 4 2" xfId="33043"/>
    <cellStyle name="40% - Accent6 5 3 3 5" xfId="33036"/>
    <cellStyle name="40% - Accent6 5 3 4" xfId="15158"/>
    <cellStyle name="40% - Accent6 5 3 4 2" xfId="15159"/>
    <cellStyle name="40% - Accent6 5 3 4 2 2" xfId="15160"/>
    <cellStyle name="40% - Accent6 5 3 4 2 2 2" xfId="15161"/>
    <cellStyle name="40% - Accent6 5 3 4 2 2 2 2" xfId="33047"/>
    <cellStyle name="40% - Accent6 5 3 4 2 2 3" xfId="33046"/>
    <cellStyle name="40% - Accent6 5 3 4 2 3" xfId="15162"/>
    <cellStyle name="40% - Accent6 5 3 4 2 3 2" xfId="33048"/>
    <cellStyle name="40% - Accent6 5 3 4 2 4" xfId="33045"/>
    <cellStyle name="40% - Accent6 5 3 4 3" xfId="15163"/>
    <cellStyle name="40% - Accent6 5 3 4 3 2" xfId="15164"/>
    <cellStyle name="40% - Accent6 5 3 4 3 2 2" xfId="33050"/>
    <cellStyle name="40% - Accent6 5 3 4 3 3" xfId="33049"/>
    <cellStyle name="40% - Accent6 5 3 4 4" xfId="15165"/>
    <cellStyle name="40% - Accent6 5 3 4 4 2" xfId="33051"/>
    <cellStyle name="40% - Accent6 5 3 4 5" xfId="33044"/>
    <cellStyle name="40% - Accent6 5 3 5" xfId="15166"/>
    <cellStyle name="40% - Accent6 5 3 5 2" xfId="15167"/>
    <cellStyle name="40% - Accent6 5 3 5 2 2" xfId="15168"/>
    <cellStyle name="40% - Accent6 5 3 5 2 2 2" xfId="33054"/>
    <cellStyle name="40% - Accent6 5 3 5 2 3" xfId="33053"/>
    <cellStyle name="40% - Accent6 5 3 5 3" xfId="15169"/>
    <cellStyle name="40% - Accent6 5 3 5 3 2" xfId="33055"/>
    <cellStyle name="40% - Accent6 5 3 5 4" xfId="33052"/>
    <cellStyle name="40% - Accent6 5 3 6" xfId="15170"/>
    <cellStyle name="40% - Accent6 5 3 6 2" xfId="15171"/>
    <cellStyle name="40% - Accent6 5 3 6 2 2" xfId="33057"/>
    <cellStyle name="40% - Accent6 5 3 6 3" xfId="33056"/>
    <cellStyle name="40% - Accent6 5 3 7" xfId="15172"/>
    <cellStyle name="40% - Accent6 5 3 7 2" xfId="33058"/>
    <cellStyle name="40% - Accent6 5 3 8" xfId="33011"/>
    <cellStyle name="40% - Accent6 5 4" xfId="15173"/>
    <cellStyle name="40% - Accent6 5 4 2" xfId="15174"/>
    <cellStyle name="40% - Accent6 5 4 2 2" xfId="15175"/>
    <cellStyle name="40% - Accent6 5 4 2 2 2" xfId="15176"/>
    <cellStyle name="40% - Accent6 5 4 2 2 2 2" xfId="15177"/>
    <cellStyle name="40% - Accent6 5 4 2 2 2 2 2" xfId="33063"/>
    <cellStyle name="40% - Accent6 5 4 2 2 2 3" xfId="33062"/>
    <cellStyle name="40% - Accent6 5 4 2 2 3" xfId="15178"/>
    <cellStyle name="40% - Accent6 5 4 2 2 3 2" xfId="33064"/>
    <cellStyle name="40% - Accent6 5 4 2 2 4" xfId="33061"/>
    <cellStyle name="40% - Accent6 5 4 2 3" xfId="15179"/>
    <cellStyle name="40% - Accent6 5 4 2 3 2" xfId="15180"/>
    <cellStyle name="40% - Accent6 5 4 2 3 2 2" xfId="33066"/>
    <cellStyle name="40% - Accent6 5 4 2 3 3" xfId="33065"/>
    <cellStyle name="40% - Accent6 5 4 2 4" xfId="15181"/>
    <cellStyle name="40% - Accent6 5 4 2 4 2" xfId="33067"/>
    <cellStyle name="40% - Accent6 5 4 2 5" xfId="33060"/>
    <cellStyle name="40% - Accent6 5 4 3" xfId="15182"/>
    <cellStyle name="40% - Accent6 5 4 3 2" xfId="15183"/>
    <cellStyle name="40% - Accent6 5 4 3 2 2" xfId="15184"/>
    <cellStyle name="40% - Accent6 5 4 3 2 2 2" xfId="15185"/>
    <cellStyle name="40% - Accent6 5 4 3 2 2 2 2" xfId="33071"/>
    <cellStyle name="40% - Accent6 5 4 3 2 2 3" xfId="33070"/>
    <cellStyle name="40% - Accent6 5 4 3 2 3" xfId="15186"/>
    <cellStyle name="40% - Accent6 5 4 3 2 3 2" xfId="33072"/>
    <cellStyle name="40% - Accent6 5 4 3 2 4" xfId="33069"/>
    <cellStyle name="40% - Accent6 5 4 3 3" xfId="15187"/>
    <cellStyle name="40% - Accent6 5 4 3 3 2" xfId="15188"/>
    <cellStyle name="40% - Accent6 5 4 3 3 2 2" xfId="33074"/>
    <cellStyle name="40% - Accent6 5 4 3 3 3" xfId="33073"/>
    <cellStyle name="40% - Accent6 5 4 3 4" xfId="15189"/>
    <cellStyle name="40% - Accent6 5 4 3 4 2" xfId="33075"/>
    <cellStyle name="40% - Accent6 5 4 3 5" xfId="33068"/>
    <cellStyle name="40% - Accent6 5 4 4" xfId="15190"/>
    <cellStyle name="40% - Accent6 5 4 4 2" xfId="15191"/>
    <cellStyle name="40% - Accent6 5 4 4 2 2" xfId="15192"/>
    <cellStyle name="40% - Accent6 5 4 4 2 2 2" xfId="33078"/>
    <cellStyle name="40% - Accent6 5 4 4 2 3" xfId="33077"/>
    <cellStyle name="40% - Accent6 5 4 4 3" xfId="15193"/>
    <cellStyle name="40% - Accent6 5 4 4 3 2" xfId="33079"/>
    <cellStyle name="40% - Accent6 5 4 4 4" xfId="33076"/>
    <cellStyle name="40% - Accent6 5 4 5" xfId="15194"/>
    <cellStyle name="40% - Accent6 5 4 5 2" xfId="15195"/>
    <cellStyle name="40% - Accent6 5 4 5 2 2" xfId="33081"/>
    <cellStyle name="40% - Accent6 5 4 5 3" xfId="33080"/>
    <cellStyle name="40% - Accent6 5 4 6" xfId="15196"/>
    <cellStyle name="40% - Accent6 5 4 6 2" xfId="33082"/>
    <cellStyle name="40% - Accent6 5 4 7" xfId="33059"/>
    <cellStyle name="40% - Accent6 5 5" xfId="15197"/>
    <cellStyle name="40% - Accent6 5 5 2" xfId="15198"/>
    <cellStyle name="40% - Accent6 5 5 2 2" xfId="15199"/>
    <cellStyle name="40% - Accent6 5 5 2 2 2" xfId="15200"/>
    <cellStyle name="40% - Accent6 5 5 2 2 2 2" xfId="33086"/>
    <cellStyle name="40% - Accent6 5 5 2 2 3" xfId="33085"/>
    <cellStyle name="40% - Accent6 5 5 2 3" xfId="15201"/>
    <cellStyle name="40% - Accent6 5 5 2 3 2" xfId="33087"/>
    <cellStyle name="40% - Accent6 5 5 2 4" xfId="33084"/>
    <cellStyle name="40% - Accent6 5 5 3" xfId="15202"/>
    <cellStyle name="40% - Accent6 5 5 3 2" xfId="15203"/>
    <cellStyle name="40% - Accent6 5 5 3 2 2" xfId="33089"/>
    <cellStyle name="40% - Accent6 5 5 3 3" xfId="33088"/>
    <cellStyle name="40% - Accent6 5 5 4" xfId="15204"/>
    <cellStyle name="40% - Accent6 5 5 4 2" xfId="33090"/>
    <cellStyle name="40% - Accent6 5 5 5" xfId="33083"/>
    <cellStyle name="40% - Accent6 5 6" xfId="15205"/>
    <cellStyle name="40% - Accent6 5 6 2" xfId="15206"/>
    <cellStyle name="40% - Accent6 5 6 2 2" xfId="15207"/>
    <cellStyle name="40% - Accent6 5 6 2 2 2" xfId="15208"/>
    <cellStyle name="40% - Accent6 5 6 2 2 2 2" xfId="33094"/>
    <cellStyle name="40% - Accent6 5 6 2 2 3" xfId="33093"/>
    <cellStyle name="40% - Accent6 5 6 2 3" xfId="15209"/>
    <cellStyle name="40% - Accent6 5 6 2 3 2" xfId="33095"/>
    <cellStyle name="40% - Accent6 5 6 2 4" xfId="33092"/>
    <cellStyle name="40% - Accent6 5 6 3" xfId="15210"/>
    <cellStyle name="40% - Accent6 5 6 3 2" xfId="15211"/>
    <cellStyle name="40% - Accent6 5 6 3 2 2" xfId="33097"/>
    <cellStyle name="40% - Accent6 5 6 3 3" xfId="33096"/>
    <cellStyle name="40% - Accent6 5 6 4" xfId="15212"/>
    <cellStyle name="40% - Accent6 5 6 4 2" xfId="33098"/>
    <cellStyle name="40% - Accent6 5 6 5" xfId="33091"/>
    <cellStyle name="40% - Accent6 5 7" xfId="15213"/>
    <cellStyle name="40% - Accent6 5 7 2" xfId="15214"/>
    <cellStyle name="40% - Accent6 5 7 2 2" xfId="15215"/>
    <cellStyle name="40% - Accent6 5 7 2 2 2" xfId="33101"/>
    <cellStyle name="40% - Accent6 5 7 2 3" xfId="33100"/>
    <cellStyle name="40% - Accent6 5 7 3" xfId="15216"/>
    <cellStyle name="40% - Accent6 5 7 3 2" xfId="33102"/>
    <cellStyle name="40% - Accent6 5 7 4" xfId="33099"/>
    <cellStyle name="40% - Accent6 5 8" xfId="15217"/>
    <cellStyle name="40% - Accent6 5 8 2" xfId="15218"/>
    <cellStyle name="40% - Accent6 5 8 2 2" xfId="33104"/>
    <cellStyle name="40% - Accent6 5 8 3" xfId="33103"/>
    <cellStyle name="40% - Accent6 5 9" xfId="15219"/>
    <cellStyle name="40% - Accent6 5 9 2" xfId="33105"/>
    <cellStyle name="40% - Accent6 6" xfId="15220"/>
    <cellStyle name="40% - Accent6 6 10" xfId="33106"/>
    <cellStyle name="40% - Accent6 6 2" xfId="15221"/>
    <cellStyle name="40% - Accent6 6 2 2" xfId="15222"/>
    <cellStyle name="40% - Accent6 6 2 2 2" xfId="15223"/>
    <cellStyle name="40% - Accent6 6 2 2 2 2" xfId="15224"/>
    <cellStyle name="40% - Accent6 6 2 2 2 2 2" xfId="15225"/>
    <cellStyle name="40% - Accent6 6 2 2 2 2 2 2" xfId="15226"/>
    <cellStyle name="40% - Accent6 6 2 2 2 2 2 2 2" xfId="15227"/>
    <cellStyle name="40% - Accent6 6 2 2 2 2 2 2 2 2" xfId="33113"/>
    <cellStyle name="40% - Accent6 6 2 2 2 2 2 2 3" xfId="33112"/>
    <cellStyle name="40% - Accent6 6 2 2 2 2 2 3" xfId="15228"/>
    <cellStyle name="40% - Accent6 6 2 2 2 2 2 3 2" xfId="33114"/>
    <cellStyle name="40% - Accent6 6 2 2 2 2 2 4" xfId="33111"/>
    <cellStyle name="40% - Accent6 6 2 2 2 2 3" xfId="15229"/>
    <cellStyle name="40% - Accent6 6 2 2 2 2 3 2" xfId="15230"/>
    <cellStyle name="40% - Accent6 6 2 2 2 2 3 2 2" xfId="33116"/>
    <cellStyle name="40% - Accent6 6 2 2 2 2 3 3" xfId="33115"/>
    <cellStyle name="40% - Accent6 6 2 2 2 2 4" xfId="15231"/>
    <cellStyle name="40% - Accent6 6 2 2 2 2 4 2" xfId="33117"/>
    <cellStyle name="40% - Accent6 6 2 2 2 2 5" xfId="33110"/>
    <cellStyle name="40% - Accent6 6 2 2 2 3" xfId="15232"/>
    <cellStyle name="40% - Accent6 6 2 2 2 3 2" xfId="15233"/>
    <cellStyle name="40% - Accent6 6 2 2 2 3 2 2" xfId="15234"/>
    <cellStyle name="40% - Accent6 6 2 2 2 3 2 2 2" xfId="15235"/>
    <cellStyle name="40% - Accent6 6 2 2 2 3 2 2 2 2" xfId="33121"/>
    <cellStyle name="40% - Accent6 6 2 2 2 3 2 2 3" xfId="33120"/>
    <cellStyle name="40% - Accent6 6 2 2 2 3 2 3" xfId="15236"/>
    <cellStyle name="40% - Accent6 6 2 2 2 3 2 3 2" xfId="33122"/>
    <cellStyle name="40% - Accent6 6 2 2 2 3 2 4" xfId="33119"/>
    <cellStyle name="40% - Accent6 6 2 2 2 3 3" xfId="15237"/>
    <cellStyle name="40% - Accent6 6 2 2 2 3 3 2" xfId="15238"/>
    <cellStyle name="40% - Accent6 6 2 2 2 3 3 2 2" xfId="33124"/>
    <cellStyle name="40% - Accent6 6 2 2 2 3 3 3" xfId="33123"/>
    <cellStyle name="40% - Accent6 6 2 2 2 3 4" xfId="15239"/>
    <cellStyle name="40% - Accent6 6 2 2 2 3 4 2" xfId="33125"/>
    <cellStyle name="40% - Accent6 6 2 2 2 3 5" xfId="33118"/>
    <cellStyle name="40% - Accent6 6 2 2 2 4" xfId="15240"/>
    <cellStyle name="40% - Accent6 6 2 2 2 4 2" xfId="15241"/>
    <cellStyle name="40% - Accent6 6 2 2 2 4 2 2" xfId="15242"/>
    <cellStyle name="40% - Accent6 6 2 2 2 4 2 2 2" xfId="33128"/>
    <cellStyle name="40% - Accent6 6 2 2 2 4 2 3" xfId="33127"/>
    <cellStyle name="40% - Accent6 6 2 2 2 4 3" xfId="15243"/>
    <cellStyle name="40% - Accent6 6 2 2 2 4 3 2" xfId="33129"/>
    <cellStyle name="40% - Accent6 6 2 2 2 4 4" xfId="33126"/>
    <cellStyle name="40% - Accent6 6 2 2 2 5" xfId="15244"/>
    <cellStyle name="40% - Accent6 6 2 2 2 5 2" xfId="15245"/>
    <cellStyle name="40% - Accent6 6 2 2 2 5 2 2" xfId="33131"/>
    <cellStyle name="40% - Accent6 6 2 2 2 5 3" xfId="33130"/>
    <cellStyle name="40% - Accent6 6 2 2 2 6" xfId="15246"/>
    <cellStyle name="40% - Accent6 6 2 2 2 6 2" xfId="33132"/>
    <cellStyle name="40% - Accent6 6 2 2 2 7" xfId="33109"/>
    <cellStyle name="40% - Accent6 6 2 2 3" xfId="15247"/>
    <cellStyle name="40% - Accent6 6 2 2 3 2" xfId="15248"/>
    <cellStyle name="40% - Accent6 6 2 2 3 2 2" xfId="15249"/>
    <cellStyle name="40% - Accent6 6 2 2 3 2 2 2" xfId="15250"/>
    <cellStyle name="40% - Accent6 6 2 2 3 2 2 2 2" xfId="33136"/>
    <cellStyle name="40% - Accent6 6 2 2 3 2 2 3" xfId="33135"/>
    <cellStyle name="40% - Accent6 6 2 2 3 2 3" xfId="15251"/>
    <cellStyle name="40% - Accent6 6 2 2 3 2 3 2" xfId="33137"/>
    <cellStyle name="40% - Accent6 6 2 2 3 2 4" xfId="33134"/>
    <cellStyle name="40% - Accent6 6 2 2 3 3" xfId="15252"/>
    <cellStyle name="40% - Accent6 6 2 2 3 3 2" xfId="15253"/>
    <cellStyle name="40% - Accent6 6 2 2 3 3 2 2" xfId="33139"/>
    <cellStyle name="40% - Accent6 6 2 2 3 3 3" xfId="33138"/>
    <cellStyle name="40% - Accent6 6 2 2 3 4" xfId="15254"/>
    <cellStyle name="40% - Accent6 6 2 2 3 4 2" xfId="33140"/>
    <cellStyle name="40% - Accent6 6 2 2 3 5" xfId="33133"/>
    <cellStyle name="40% - Accent6 6 2 2 4" xfId="15255"/>
    <cellStyle name="40% - Accent6 6 2 2 4 2" xfId="15256"/>
    <cellStyle name="40% - Accent6 6 2 2 4 2 2" xfId="15257"/>
    <cellStyle name="40% - Accent6 6 2 2 4 2 2 2" xfId="15258"/>
    <cellStyle name="40% - Accent6 6 2 2 4 2 2 2 2" xfId="33144"/>
    <cellStyle name="40% - Accent6 6 2 2 4 2 2 3" xfId="33143"/>
    <cellStyle name="40% - Accent6 6 2 2 4 2 3" xfId="15259"/>
    <cellStyle name="40% - Accent6 6 2 2 4 2 3 2" xfId="33145"/>
    <cellStyle name="40% - Accent6 6 2 2 4 2 4" xfId="33142"/>
    <cellStyle name="40% - Accent6 6 2 2 4 3" xfId="15260"/>
    <cellStyle name="40% - Accent6 6 2 2 4 3 2" xfId="15261"/>
    <cellStyle name="40% - Accent6 6 2 2 4 3 2 2" xfId="33147"/>
    <cellStyle name="40% - Accent6 6 2 2 4 3 3" xfId="33146"/>
    <cellStyle name="40% - Accent6 6 2 2 4 4" xfId="15262"/>
    <cellStyle name="40% - Accent6 6 2 2 4 4 2" xfId="33148"/>
    <cellStyle name="40% - Accent6 6 2 2 4 5" xfId="33141"/>
    <cellStyle name="40% - Accent6 6 2 2 5" xfId="15263"/>
    <cellStyle name="40% - Accent6 6 2 2 5 2" xfId="15264"/>
    <cellStyle name="40% - Accent6 6 2 2 5 2 2" xfId="15265"/>
    <cellStyle name="40% - Accent6 6 2 2 5 2 2 2" xfId="33151"/>
    <cellStyle name="40% - Accent6 6 2 2 5 2 3" xfId="33150"/>
    <cellStyle name="40% - Accent6 6 2 2 5 3" xfId="15266"/>
    <cellStyle name="40% - Accent6 6 2 2 5 3 2" xfId="33152"/>
    <cellStyle name="40% - Accent6 6 2 2 5 4" xfId="33149"/>
    <cellStyle name="40% - Accent6 6 2 2 6" xfId="15267"/>
    <cellStyle name="40% - Accent6 6 2 2 6 2" xfId="15268"/>
    <cellStyle name="40% - Accent6 6 2 2 6 2 2" xfId="33154"/>
    <cellStyle name="40% - Accent6 6 2 2 6 3" xfId="33153"/>
    <cellStyle name="40% - Accent6 6 2 2 7" xfId="15269"/>
    <cellStyle name="40% - Accent6 6 2 2 7 2" xfId="33155"/>
    <cellStyle name="40% - Accent6 6 2 2 8" xfId="33108"/>
    <cellStyle name="40% - Accent6 6 2 3" xfId="15270"/>
    <cellStyle name="40% - Accent6 6 2 3 2" xfId="15271"/>
    <cellStyle name="40% - Accent6 6 2 3 2 2" xfId="15272"/>
    <cellStyle name="40% - Accent6 6 2 3 2 2 2" xfId="15273"/>
    <cellStyle name="40% - Accent6 6 2 3 2 2 2 2" xfId="15274"/>
    <cellStyle name="40% - Accent6 6 2 3 2 2 2 2 2" xfId="33160"/>
    <cellStyle name="40% - Accent6 6 2 3 2 2 2 3" xfId="33159"/>
    <cellStyle name="40% - Accent6 6 2 3 2 2 3" xfId="15275"/>
    <cellStyle name="40% - Accent6 6 2 3 2 2 3 2" xfId="33161"/>
    <cellStyle name="40% - Accent6 6 2 3 2 2 4" xfId="33158"/>
    <cellStyle name="40% - Accent6 6 2 3 2 3" xfId="15276"/>
    <cellStyle name="40% - Accent6 6 2 3 2 3 2" xfId="15277"/>
    <cellStyle name="40% - Accent6 6 2 3 2 3 2 2" xfId="33163"/>
    <cellStyle name="40% - Accent6 6 2 3 2 3 3" xfId="33162"/>
    <cellStyle name="40% - Accent6 6 2 3 2 4" xfId="15278"/>
    <cellStyle name="40% - Accent6 6 2 3 2 4 2" xfId="33164"/>
    <cellStyle name="40% - Accent6 6 2 3 2 5" xfId="33157"/>
    <cellStyle name="40% - Accent6 6 2 3 3" xfId="15279"/>
    <cellStyle name="40% - Accent6 6 2 3 3 2" xfId="15280"/>
    <cellStyle name="40% - Accent6 6 2 3 3 2 2" xfId="15281"/>
    <cellStyle name="40% - Accent6 6 2 3 3 2 2 2" xfId="15282"/>
    <cellStyle name="40% - Accent6 6 2 3 3 2 2 2 2" xfId="33168"/>
    <cellStyle name="40% - Accent6 6 2 3 3 2 2 3" xfId="33167"/>
    <cellStyle name="40% - Accent6 6 2 3 3 2 3" xfId="15283"/>
    <cellStyle name="40% - Accent6 6 2 3 3 2 3 2" xfId="33169"/>
    <cellStyle name="40% - Accent6 6 2 3 3 2 4" xfId="33166"/>
    <cellStyle name="40% - Accent6 6 2 3 3 3" xfId="15284"/>
    <cellStyle name="40% - Accent6 6 2 3 3 3 2" xfId="15285"/>
    <cellStyle name="40% - Accent6 6 2 3 3 3 2 2" xfId="33171"/>
    <cellStyle name="40% - Accent6 6 2 3 3 3 3" xfId="33170"/>
    <cellStyle name="40% - Accent6 6 2 3 3 4" xfId="15286"/>
    <cellStyle name="40% - Accent6 6 2 3 3 4 2" xfId="33172"/>
    <cellStyle name="40% - Accent6 6 2 3 3 5" xfId="33165"/>
    <cellStyle name="40% - Accent6 6 2 3 4" xfId="15287"/>
    <cellStyle name="40% - Accent6 6 2 3 4 2" xfId="15288"/>
    <cellStyle name="40% - Accent6 6 2 3 4 2 2" xfId="15289"/>
    <cellStyle name="40% - Accent6 6 2 3 4 2 2 2" xfId="33175"/>
    <cellStyle name="40% - Accent6 6 2 3 4 2 3" xfId="33174"/>
    <cellStyle name="40% - Accent6 6 2 3 4 3" xfId="15290"/>
    <cellStyle name="40% - Accent6 6 2 3 4 3 2" xfId="33176"/>
    <cellStyle name="40% - Accent6 6 2 3 4 4" xfId="33173"/>
    <cellStyle name="40% - Accent6 6 2 3 5" xfId="15291"/>
    <cellStyle name="40% - Accent6 6 2 3 5 2" xfId="15292"/>
    <cellStyle name="40% - Accent6 6 2 3 5 2 2" xfId="33178"/>
    <cellStyle name="40% - Accent6 6 2 3 5 3" xfId="33177"/>
    <cellStyle name="40% - Accent6 6 2 3 6" xfId="15293"/>
    <cellStyle name="40% - Accent6 6 2 3 6 2" xfId="33179"/>
    <cellStyle name="40% - Accent6 6 2 3 7" xfId="33156"/>
    <cellStyle name="40% - Accent6 6 2 4" xfId="15294"/>
    <cellStyle name="40% - Accent6 6 2 4 2" xfId="15295"/>
    <cellStyle name="40% - Accent6 6 2 4 2 2" xfId="15296"/>
    <cellStyle name="40% - Accent6 6 2 4 2 2 2" xfId="15297"/>
    <cellStyle name="40% - Accent6 6 2 4 2 2 2 2" xfId="33183"/>
    <cellStyle name="40% - Accent6 6 2 4 2 2 3" xfId="33182"/>
    <cellStyle name="40% - Accent6 6 2 4 2 3" xfId="15298"/>
    <cellStyle name="40% - Accent6 6 2 4 2 3 2" xfId="33184"/>
    <cellStyle name="40% - Accent6 6 2 4 2 4" xfId="33181"/>
    <cellStyle name="40% - Accent6 6 2 4 3" xfId="15299"/>
    <cellStyle name="40% - Accent6 6 2 4 3 2" xfId="15300"/>
    <cellStyle name="40% - Accent6 6 2 4 3 2 2" xfId="33186"/>
    <cellStyle name="40% - Accent6 6 2 4 3 3" xfId="33185"/>
    <cellStyle name="40% - Accent6 6 2 4 4" xfId="15301"/>
    <cellStyle name="40% - Accent6 6 2 4 4 2" xfId="33187"/>
    <cellStyle name="40% - Accent6 6 2 4 5" xfId="33180"/>
    <cellStyle name="40% - Accent6 6 2 5" xfId="15302"/>
    <cellStyle name="40% - Accent6 6 2 5 2" xfId="15303"/>
    <cellStyle name="40% - Accent6 6 2 5 2 2" xfId="15304"/>
    <cellStyle name="40% - Accent6 6 2 5 2 2 2" xfId="15305"/>
    <cellStyle name="40% - Accent6 6 2 5 2 2 2 2" xfId="33191"/>
    <cellStyle name="40% - Accent6 6 2 5 2 2 3" xfId="33190"/>
    <cellStyle name="40% - Accent6 6 2 5 2 3" xfId="15306"/>
    <cellStyle name="40% - Accent6 6 2 5 2 3 2" xfId="33192"/>
    <cellStyle name="40% - Accent6 6 2 5 2 4" xfId="33189"/>
    <cellStyle name="40% - Accent6 6 2 5 3" xfId="15307"/>
    <cellStyle name="40% - Accent6 6 2 5 3 2" xfId="15308"/>
    <cellStyle name="40% - Accent6 6 2 5 3 2 2" xfId="33194"/>
    <cellStyle name="40% - Accent6 6 2 5 3 3" xfId="33193"/>
    <cellStyle name="40% - Accent6 6 2 5 4" xfId="15309"/>
    <cellStyle name="40% - Accent6 6 2 5 4 2" xfId="33195"/>
    <cellStyle name="40% - Accent6 6 2 5 5" xfId="33188"/>
    <cellStyle name="40% - Accent6 6 2 6" xfId="15310"/>
    <cellStyle name="40% - Accent6 6 2 6 2" xfId="15311"/>
    <cellStyle name="40% - Accent6 6 2 6 2 2" xfId="15312"/>
    <cellStyle name="40% - Accent6 6 2 6 2 2 2" xfId="33198"/>
    <cellStyle name="40% - Accent6 6 2 6 2 3" xfId="33197"/>
    <cellStyle name="40% - Accent6 6 2 6 3" xfId="15313"/>
    <cellStyle name="40% - Accent6 6 2 6 3 2" xfId="33199"/>
    <cellStyle name="40% - Accent6 6 2 6 4" xfId="33196"/>
    <cellStyle name="40% - Accent6 6 2 7" xfId="15314"/>
    <cellStyle name="40% - Accent6 6 2 7 2" xfId="15315"/>
    <cellStyle name="40% - Accent6 6 2 7 2 2" xfId="33201"/>
    <cellStyle name="40% - Accent6 6 2 7 3" xfId="33200"/>
    <cellStyle name="40% - Accent6 6 2 8" xfId="15316"/>
    <cellStyle name="40% - Accent6 6 2 8 2" xfId="33202"/>
    <cellStyle name="40% - Accent6 6 2 9" xfId="33107"/>
    <cellStyle name="40% - Accent6 6 3" xfId="15317"/>
    <cellStyle name="40% - Accent6 6 3 2" xfId="15318"/>
    <cellStyle name="40% - Accent6 6 3 2 2" xfId="15319"/>
    <cellStyle name="40% - Accent6 6 3 2 2 2" xfId="15320"/>
    <cellStyle name="40% - Accent6 6 3 2 2 2 2" xfId="15321"/>
    <cellStyle name="40% - Accent6 6 3 2 2 2 2 2" xfId="15322"/>
    <cellStyle name="40% - Accent6 6 3 2 2 2 2 2 2" xfId="33208"/>
    <cellStyle name="40% - Accent6 6 3 2 2 2 2 3" xfId="33207"/>
    <cellStyle name="40% - Accent6 6 3 2 2 2 3" xfId="15323"/>
    <cellStyle name="40% - Accent6 6 3 2 2 2 3 2" xfId="33209"/>
    <cellStyle name="40% - Accent6 6 3 2 2 2 4" xfId="33206"/>
    <cellStyle name="40% - Accent6 6 3 2 2 3" xfId="15324"/>
    <cellStyle name="40% - Accent6 6 3 2 2 3 2" xfId="15325"/>
    <cellStyle name="40% - Accent6 6 3 2 2 3 2 2" xfId="33211"/>
    <cellStyle name="40% - Accent6 6 3 2 2 3 3" xfId="33210"/>
    <cellStyle name="40% - Accent6 6 3 2 2 4" xfId="15326"/>
    <cellStyle name="40% - Accent6 6 3 2 2 4 2" xfId="33212"/>
    <cellStyle name="40% - Accent6 6 3 2 2 5" xfId="33205"/>
    <cellStyle name="40% - Accent6 6 3 2 3" xfId="15327"/>
    <cellStyle name="40% - Accent6 6 3 2 3 2" xfId="15328"/>
    <cellStyle name="40% - Accent6 6 3 2 3 2 2" xfId="15329"/>
    <cellStyle name="40% - Accent6 6 3 2 3 2 2 2" xfId="15330"/>
    <cellStyle name="40% - Accent6 6 3 2 3 2 2 2 2" xfId="33216"/>
    <cellStyle name="40% - Accent6 6 3 2 3 2 2 3" xfId="33215"/>
    <cellStyle name="40% - Accent6 6 3 2 3 2 3" xfId="15331"/>
    <cellStyle name="40% - Accent6 6 3 2 3 2 3 2" xfId="33217"/>
    <cellStyle name="40% - Accent6 6 3 2 3 2 4" xfId="33214"/>
    <cellStyle name="40% - Accent6 6 3 2 3 3" xfId="15332"/>
    <cellStyle name="40% - Accent6 6 3 2 3 3 2" xfId="15333"/>
    <cellStyle name="40% - Accent6 6 3 2 3 3 2 2" xfId="33219"/>
    <cellStyle name="40% - Accent6 6 3 2 3 3 3" xfId="33218"/>
    <cellStyle name="40% - Accent6 6 3 2 3 4" xfId="15334"/>
    <cellStyle name="40% - Accent6 6 3 2 3 4 2" xfId="33220"/>
    <cellStyle name="40% - Accent6 6 3 2 3 5" xfId="33213"/>
    <cellStyle name="40% - Accent6 6 3 2 4" xfId="15335"/>
    <cellStyle name="40% - Accent6 6 3 2 4 2" xfId="15336"/>
    <cellStyle name="40% - Accent6 6 3 2 4 2 2" xfId="15337"/>
    <cellStyle name="40% - Accent6 6 3 2 4 2 2 2" xfId="33223"/>
    <cellStyle name="40% - Accent6 6 3 2 4 2 3" xfId="33222"/>
    <cellStyle name="40% - Accent6 6 3 2 4 3" xfId="15338"/>
    <cellStyle name="40% - Accent6 6 3 2 4 3 2" xfId="33224"/>
    <cellStyle name="40% - Accent6 6 3 2 4 4" xfId="33221"/>
    <cellStyle name="40% - Accent6 6 3 2 5" xfId="15339"/>
    <cellStyle name="40% - Accent6 6 3 2 5 2" xfId="15340"/>
    <cellStyle name="40% - Accent6 6 3 2 5 2 2" xfId="33226"/>
    <cellStyle name="40% - Accent6 6 3 2 5 3" xfId="33225"/>
    <cellStyle name="40% - Accent6 6 3 2 6" xfId="15341"/>
    <cellStyle name="40% - Accent6 6 3 2 6 2" xfId="33227"/>
    <cellStyle name="40% - Accent6 6 3 2 7" xfId="33204"/>
    <cellStyle name="40% - Accent6 6 3 3" xfId="15342"/>
    <cellStyle name="40% - Accent6 6 3 3 2" xfId="15343"/>
    <cellStyle name="40% - Accent6 6 3 3 2 2" xfId="15344"/>
    <cellStyle name="40% - Accent6 6 3 3 2 2 2" xfId="15345"/>
    <cellStyle name="40% - Accent6 6 3 3 2 2 2 2" xfId="33231"/>
    <cellStyle name="40% - Accent6 6 3 3 2 2 3" xfId="33230"/>
    <cellStyle name="40% - Accent6 6 3 3 2 3" xfId="15346"/>
    <cellStyle name="40% - Accent6 6 3 3 2 3 2" xfId="33232"/>
    <cellStyle name="40% - Accent6 6 3 3 2 4" xfId="33229"/>
    <cellStyle name="40% - Accent6 6 3 3 3" xfId="15347"/>
    <cellStyle name="40% - Accent6 6 3 3 3 2" xfId="15348"/>
    <cellStyle name="40% - Accent6 6 3 3 3 2 2" xfId="33234"/>
    <cellStyle name="40% - Accent6 6 3 3 3 3" xfId="33233"/>
    <cellStyle name="40% - Accent6 6 3 3 4" xfId="15349"/>
    <cellStyle name="40% - Accent6 6 3 3 4 2" xfId="33235"/>
    <cellStyle name="40% - Accent6 6 3 3 5" xfId="33228"/>
    <cellStyle name="40% - Accent6 6 3 4" xfId="15350"/>
    <cellStyle name="40% - Accent6 6 3 4 2" xfId="15351"/>
    <cellStyle name="40% - Accent6 6 3 4 2 2" xfId="15352"/>
    <cellStyle name="40% - Accent6 6 3 4 2 2 2" xfId="15353"/>
    <cellStyle name="40% - Accent6 6 3 4 2 2 2 2" xfId="33239"/>
    <cellStyle name="40% - Accent6 6 3 4 2 2 3" xfId="33238"/>
    <cellStyle name="40% - Accent6 6 3 4 2 3" xfId="15354"/>
    <cellStyle name="40% - Accent6 6 3 4 2 3 2" xfId="33240"/>
    <cellStyle name="40% - Accent6 6 3 4 2 4" xfId="33237"/>
    <cellStyle name="40% - Accent6 6 3 4 3" xfId="15355"/>
    <cellStyle name="40% - Accent6 6 3 4 3 2" xfId="15356"/>
    <cellStyle name="40% - Accent6 6 3 4 3 2 2" xfId="33242"/>
    <cellStyle name="40% - Accent6 6 3 4 3 3" xfId="33241"/>
    <cellStyle name="40% - Accent6 6 3 4 4" xfId="15357"/>
    <cellStyle name="40% - Accent6 6 3 4 4 2" xfId="33243"/>
    <cellStyle name="40% - Accent6 6 3 4 5" xfId="33236"/>
    <cellStyle name="40% - Accent6 6 3 5" xfId="15358"/>
    <cellStyle name="40% - Accent6 6 3 5 2" xfId="15359"/>
    <cellStyle name="40% - Accent6 6 3 5 2 2" xfId="15360"/>
    <cellStyle name="40% - Accent6 6 3 5 2 2 2" xfId="33246"/>
    <cellStyle name="40% - Accent6 6 3 5 2 3" xfId="33245"/>
    <cellStyle name="40% - Accent6 6 3 5 3" xfId="15361"/>
    <cellStyle name="40% - Accent6 6 3 5 3 2" xfId="33247"/>
    <cellStyle name="40% - Accent6 6 3 5 4" xfId="33244"/>
    <cellStyle name="40% - Accent6 6 3 6" xfId="15362"/>
    <cellStyle name="40% - Accent6 6 3 6 2" xfId="15363"/>
    <cellStyle name="40% - Accent6 6 3 6 2 2" xfId="33249"/>
    <cellStyle name="40% - Accent6 6 3 6 3" xfId="33248"/>
    <cellStyle name="40% - Accent6 6 3 7" xfId="15364"/>
    <cellStyle name="40% - Accent6 6 3 7 2" xfId="33250"/>
    <cellStyle name="40% - Accent6 6 3 8" xfId="33203"/>
    <cellStyle name="40% - Accent6 6 4" xfId="15365"/>
    <cellStyle name="40% - Accent6 6 4 2" xfId="15366"/>
    <cellStyle name="40% - Accent6 6 4 2 2" xfId="15367"/>
    <cellStyle name="40% - Accent6 6 4 2 2 2" xfId="15368"/>
    <cellStyle name="40% - Accent6 6 4 2 2 2 2" xfId="15369"/>
    <cellStyle name="40% - Accent6 6 4 2 2 2 2 2" xfId="33255"/>
    <cellStyle name="40% - Accent6 6 4 2 2 2 3" xfId="33254"/>
    <cellStyle name="40% - Accent6 6 4 2 2 3" xfId="15370"/>
    <cellStyle name="40% - Accent6 6 4 2 2 3 2" xfId="33256"/>
    <cellStyle name="40% - Accent6 6 4 2 2 4" xfId="33253"/>
    <cellStyle name="40% - Accent6 6 4 2 3" xfId="15371"/>
    <cellStyle name="40% - Accent6 6 4 2 3 2" xfId="15372"/>
    <cellStyle name="40% - Accent6 6 4 2 3 2 2" xfId="33258"/>
    <cellStyle name="40% - Accent6 6 4 2 3 3" xfId="33257"/>
    <cellStyle name="40% - Accent6 6 4 2 4" xfId="15373"/>
    <cellStyle name="40% - Accent6 6 4 2 4 2" xfId="33259"/>
    <cellStyle name="40% - Accent6 6 4 2 5" xfId="33252"/>
    <cellStyle name="40% - Accent6 6 4 3" xfId="15374"/>
    <cellStyle name="40% - Accent6 6 4 3 2" xfId="15375"/>
    <cellStyle name="40% - Accent6 6 4 3 2 2" xfId="15376"/>
    <cellStyle name="40% - Accent6 6 4 3 2 2 2" xfId="15377"/>
    <cellStyle name="40% - Accent6 6 4 3 2 2 2 2" xfId="33263"/>
    <cellStyle name="40% - Accent6 6 4 3 2 2 3" xfId="33262"/>
    <cellStyle name="40% - Accent6 6 4 3 2 3" xfId="15378"/>
    <cellStyle name="40% - Accent6 6 4 3 2 3 2" xfId="33264"/>
    <cellStyle name="40% - Accent6 6 4 3 2 4" xfId="33261"/>
    <cellStyle name="40% - Accent6 6 4 3 3" xfId="15379"/>
    <cellStyle name="40% - Accent6 6 4 3 3 2" xfId="15380"/>
    <cellStyle name="40% - Accent6 6 4 3 3 2 2" xfId="33266"/>
    <cellStyle name="40% - Accent6 6 4 3 3 3" xfId="33265"/>
    <cellStyle name="40% - Accent6 6 4 3 4" xfId="15381"/>
    <cellStyle name="40% - Accent6 6 4 3 4 2" xfId="33267"/>
    <cellStyle name="40% - Accent6 6 4 3 5" xfId="33260"/>
    <cellStyle name="40% - Accent6 6 4 4" xfId="15382"/>
    <cellStyle name="40% - Accent6 6 4 4 2" xfId="15383"/>
    <cellStyle name="40% - Accent6 6 4 4 2 2" xfId="15384"/>
    <cellStyle name="40% - Accent6 6 4 4 2 2 2" xfId="33270"/>
    <cellStyle name="40% - Accent6 6 4 4 2 3" xfId="33269"/>
    <cellStyle name="40% - Accent6 6 4 4 3" xfId="15385"/>
    <cellStyle name="40% - Accent6 6 4 4 3 2" xfId="33271"/>
    <cellStyle name="40% - Accent6 6 4 4 4" xfId="33268"/>
    <cellStyle name="40% - Accent6 6 4 5" xfId="15386"/>
    <cellStyle name="40% - Accent6 6 4 5 2" xfId="15387"/>
    <cellStyle name="40% - Accent6 6 4 5 2 2" xfId="33273"/>
    <cellStyle name="40% - Accent6 6 4 5 3" xfId="33272"/>
    <cellStyle name="40% - Accent6 6 4 6" xfId="15388"/>
    <cellStyle name="40% - Accent6 6 4 6 2" xfId="33274"/>
    <cellStyle name="40% - Accent6 6 4 7" xfId="33251"/>
    <cellStyle name="40% - Accent6 6 5" xfId="15389"/>
    <cellStyle name="40% - Accent6 6 5 2" xfId="15390"/>
    <cellStyle name="40% - Accent6 6 5 2 2" xfId="15391"/>
    <cellStyle name="40% - Accent6 6 5 2 2 2" xfId="15392"/>
    <cellStyle name="40% - Accent6 6 5 2 2 2 2" xfId="33278"/>
    <cellStyle name="40% - Accent6 6 5 2 2 3" xfId="33277"/>
    <cellStyle name="40% - Accent6 6 5 2 3" xfId="15393"/>
    <cellStyle name="40% - Accent6 6 5 2 3 2" xfId="33279"/>
    <cellStyle name="40% - Accent6 6 5 2 4" xfId="33276"/>
    <cellStyle name="40% - Accent6 6 5 3" xfId="15394"/>
    <cellStyle name="40% - Accent6 6 5 3 2" xfId="15395"/>
    <cellStyle name="40% - Accent6 6 5 3 2 2" xfId="33281"/>
    <cellStyle name="40% - Accent6 6 5 3 3" xfId="33280"/>
    <cellStyle name="40% - Accent6 6 5 4" xfId="15396"/>
    <cellStyle name="40% - Accent6 6 5 4 2" xfId="33282"/>
    <cellStyle name="40% - Accent6 6 5 5" xfId="33275"/>
    <cellStyle name="40% - Accent6 6 6" xfId="15397"/>
    <cellStyle name="40% - Accent6 6 6 2" xfId="15398"/>
    <cellStyle name="40% - Accent6 6 6 2 2" xfId="15399"/>
    <cellStyle name="40% - Accent6 6 6 2 2 2" xfId="15400"/>
    <cellStyle name="40% - Accent6 6 6 2 2 2 2" xfId="33286"/>
    <cellStyle name="40% - Accent6 6 6 2 2 3" xfId="33285"/>
    <cellStyle name="40% - Accent6 6 6 2 3" xfId="15401"/>
    <cellStyle name="40% - Accent6 6 6 2 3 2" xfId="33287"/>
    <cellStyle name="40% - Accent6 6 6 2 4" xfId="33284"/>
    <cellStyle name="40% - Accent6 6 6 3" xfId="15402"/>
    <cellStyle name="40% - Accent6 6 6 3 2" xfId="15403"/>
    <cellStyle name="40% - Accent6 6 6 3 2 2" xfId="33289"/>
    <cellStyle name="40% - Accent6 6 6 3 3" xfId="33288"/>
    <cellStyle name="40% - Accent6 6 6 4" xfId="15404"/>
    <cellStyle name="40% - Accent6 6 6 4 2" xfId="33290"/>
    <cellStyle name="40% - Accent6 6 6 5" xfId="33283"/>
    <cellStyle name="40% - Accent6 6 7" xfId="15405"/>
    <cellStyle name="40% - Accent6 6 7 2" xfId="15406"/>
    <cellStyle name="40% - Accent6 6 7 2 2" xfId="15407"/>
    <cellStyle name="40% - Accent6 6 7 2 2 2" xfId="33293"/>
    <cellStyle name="40% - Accent6 6 7 2 3" xfId="33292"/>
    <cellStyle name="40% - Accent6 6 7 3" xfId="15408"/>
    <cellStyle name="40% - Accent6 6 7 3 2" xfId="33294"/>
    <cellStyle name="40% - Accent6 6 7 4" xfId="33291"/>
    <cellStyle name="40% - Accent6 6 8" xfId="15409"/>
    <cellStyle name="40% - Accent6 6 8 2" xfId="15410"/>
    <cellStyle name="40% - Accent6 6 8 2 2" xfId="33296"/>
    <cellStyle name="40% - Accent6 6 8 3" xfId="33295"/>
    <cellStyle name="40% - Accent6 6 9" xfId="15411"/>
    <cellStyle name="40% - Accent6 6 9 2" xfId="33297"/>
    <cellStyle name="40% - Accent6 7" xfId="15412"/>
    <cellStyle name="40% - Accent6 7 10" xfId="33298"/>
    <cellStyle name="40% - Accent6 7 2" xfId="15413"/>
    <cellStyle name="40% - Accent6 7 2 2" xfId="15414"/>
    <cellStyle name="40% - Accent6 7 2 2 2" xfId="15415"/>
    <cellStyle name="40% - Accent6 7 2 2 2 2" xfId="15416"/>
    <cellStyle name="40% - Accent6 7 2 2 2 2 2" xfId="15417"/>
    <cellStyle name="40% - Accent6 7 2 2 2 2 2 2" xfId="15418"/>
    <cellStyle name="40% - Accent6 7 2 2 2 2 2 2 2" xfId="15419"/>
    <cellStyle name="40% - Accent6 7 2 2 2 2 2 2 2 2" xfId="33305"/>
    <cellStyle name="40% - Accent6 7 2 2 2 2 2 2 3" xfId="33304"/>
    <cellStyle name="40% - Accent6 7 2 2 2 2 2 3" xfId="15420"/>
    <cellStyle name="40% - Accent6 7 2 2 2 2 2 3 2" xfId="33306"/>
    <cellStyle name="40% - Accent6 7 2 2 2 2 2 4" xfId="33303"/>
    <cellStyle name="40% - Accent6 7 2 2 2 2 3" xfId="15421"/>
    <cellStyle name="40% - Accent6 7 2 2 2 2 3 2" xfId="15422"/>
    <cellStyle name="40% - Accent6 7 2 2 2 2 3 2 2" xfId="33308"/>
    <cellStyle name="40% - Accent6 7 2 2 2 2 3 3" xfId="33307"/>
    <cellStyle name="40% - Accent6 7 2 2 2 2 4" xfId="15423"/>
    <cellStyle name="40% - Accent6 7 2 2 2 2 4 2" xfId="33309"/>
    <cellStyle name="40% - Accent6 7 2 2 2 2 5" xfId="33302"/>
    <cellStyle name="40% - Accent6 7 2 2 2 3" xfId="15424"/>
    <cellStyle name="40% - Accent6 7 2 2 2 3 2" xfId="15425"/>
    <cellStyle name="40% - Accent6 7 2 2 2 3 2 2" xfId="15426"/>
    <cellStyle name="40% - Accent6 7 2 2 2 3 2 2 2" xfId="15427"/>
    <cellStyle name="40% - Accent6 7 2 2 2 3 2 2 2 2" xfId="33313"/>
    <cellStyle name="40% - Accent6 7 2 2 2 3 2 2 3" xfId="33312"/>
    <cellStyle name="40% - Accent6 7 2 2 2 3 2 3" xfId="15428"/>
    <cellStyle name="40% - Accent6 7 2 2 2 3 2 3 2" xfId="33314"/>
    <cellStyle name="40% - Accent6 7 2 2 2 3 2 4" xfId="33311"/>
    <cellStyle name="40% - Accent6 7 2 2 2 3 3" xfId="15429"/>
    <cellStyle name="40% - Accent6 7 2 2 2 3 3 2" xfId="15430"/>
    <cellStyle name="40% - Accent6 7 2 2 2 3 3 2 2" xfId="33316"/>
    <cellStyle name="40% - Accent6 7 2 2 2 3 3 3" xfId="33315"/>
    <cellStyle name="40% - Accent6 7 2 2 2 3 4" xfId="15431"/>
    <cellStyle name="40% - Accent6 7 2 2 2 3 4 2" xfId="33317"/>
    <cellStyle name="40% - Accent6 7 2 2 2 3 5" xfId="33310"/>
    <cellStyle name="40% - Accent6 7 2 2 2 4" xfId="15432"/>
    <cellStyle name="40% - Accent6 7 2 2 2 4 2" xfId="15433"/>
    <cellStyle name="40% - Accent6 7 2 2 2 4 2 2" xfId="15434"/>
    <cellStyle name="40% - Accent6 7 2 2 2 4 2 2 2" xfId="33320"/>
    <cellStyle name="40% - Accent6 7 2 2 2 4 2 3" xfId="33319"/>
    <cellStyle name="40% - Accent6 7 2 2 2 4 3" xfId="15435"/>
    <cellStyle name="40% - Accent6 7 2 2 2 4 3 2" xfId="33321"/>
    <cellStyle name="40% - Accent6 7 2 2 2 4 4" xfId="33318"/>
    <cellStyle name="40% - Accent6 7 2 2 2 5" xfId="15436"/>
    <cellStyle name="40% - Accent6 7 2 2 2 5 2" xfId="15437"/>
    <cellStyle name="40% - Accent6 7 2 2 2 5 2 2" xfId="33323"/>
    <cellStyle name="40% - Accent6 7 2 2 2 5 3" xfId="33322"/>
    <cellStyle name="40% - Accent6 7 2 2 2 6" xfId="15438"/>
    <cellStyle name="40% - Accent6 7 2 2 2 6 2" xfId="33324"/>
    <cellStyle name="40% - Accent6 7 2 2 2 7" xfId="33301"/>
    <cellStyle name="40% - Accent6 7 2 2 3" xfId="15439"/>
    <cellStyle name="40% - Accent6 7 2 2 3 2" xfId="15440"/>
    <cellStyle name="40% - Accent6 7 2 2 3 2 2" xfId="15441"/>
    <cellStyle name="40% - Accent6 7 2 2 3 2 2 2" xfId="15442"/>
    <cellStyle name="40% - Accent6 7 2 2 3 2 2 2 2" xfId="33328"/>
    <cellStyle name="40% - Accent6 7 2 2 3 2 2 3" xfId="33327"/>
    <cellStyle name="40% - Accent6 7 2 2 3 2 3" xfId="15443"/>
    <cellStyle name="40% - Accent6 7 2 2 3 2 3 2" xfId="33329"/>
    <cellStyle name="40% - Accent6 7 2 2 3 2 4" xfId="33326"/>
    <cellStyle name="40% - Accent6 7 2 2 3 3" xfId="15444"/>
    <cellStyle name="40% - Accent6 7 2 2 3 3 2" xfId="15445"/>
    <cellStyle name="40% - Accent6 7 2 2 3 3 2 2" xfId="33331"/>
    <cellStyle name="40% - Accent6 7 2 2 3 3 3" xfId="33330"/>
    <cellStyle name="40% - Accent6 7 2 2 3 4" xfId="15446"/>
    <cellStyle name="40% - Accent6 7 2 2 3 4 2" xfId="33332"/>
    <cellStyle name="40% - Accent6 7 2 2 3 5" xfId="33325"/>
    <cellStyle name="40% - Accent6 7 2 2 4" xfId="15447"/>
    <cellStyle name="40% - Accent6 7 2 2 4 2" xfId="15448"/>
    <cellStyle name="40% - Accent6 7 2 2 4 2 2" xfId="15449"/>
    <cellStyle name="40% - Accent6 7 2 2 4 2 2 2" xfId="15450"/>
    <cellStyle name="40% - Accent6 7 2 2 4 2 2 2 2" xfId="33336"/>
    <cellStyle name="40% - Accent6 7 2 2 4 2 2 3" xfId="33335"/>
    <cellStyle name="40% - Accent6 7 2 2 4 2 3" xfId="15451"/>
    <cellStyle name="40% - Accent6 7 2 2 4 2 3 2" xfId="33337"/>
    <cellStyle name="40% - Accent6 7 2 2 4 2 4" xfId="33334"/>
    <cellStyle name="40% - Accent6 7 2 2 4 3" xfId="15452"/>
    <cellStyle name="40% - Accent6 7 2 2 4 3 2" xfId="15453"/>
    <cellStyle name="40% - Accent6 7 2 2 4 3 2 2" xfId="33339"/>
    <cellStyle name="40% - Accent6 7 2 2 4 3 3" xfId="33338"/>
    <cellStyle name="40% - Accent6 7 2 2 4 4" xfId="15454"/>
    <cellStyle name="40% - Accent6 7 2 2 4 4 2" xfId="33340"/>
    <cellStyle name="40% - Accent6 7 2 2 4 5" xfId="33333"/>
    <cellStyle name="40% - Accent6 7 2 2 5" xfId="15455"/>
    <cellStyle name="40% - Accent6 7 2 2 5 2" xfId="15456"/>
    <cellStyle name="40% - Accent6 7 2 2 5 2 2" xfId="15457"/>
    <cellStyle name="40% - Accent6 7 2 2 5 2 2 2" xfId="33343"/>
    <cellStyle name="40% - Accent6 7 2 2 5 2 3" xfId="33342"/>
    <cellStyle name="40% - Accent6 7 2 2 5 3" xfId="15458"/>
    <cellStyle name="40% - Accent6 7 2 2 5 3 2" xfId="33344"/>
    <cellStyle name="40% - Accent6 7 2 2 5 4" xfId="33341"/>
    <cellStyle name="40% - Accent6 7 2 2 6" xfId="15459"/>
    <cellStyle name="40% - Accent6 7 2 2 6 2" xfId="15460"/>
    <cellStyle name="40% - Accent6 7 2 2 6 2 2" xfId="33346"/>
    <cellStyle name="40% - Accent6 7 2 2 6 3" xfId="33345"/>
    <cellStyle name="40% - Accent6 7 2 2 7" xfId="15461"/>
    <cellStyle name="40% - Accent6 7 2 2 7 2" xfId="33347"/>
    <cellStyle name="40% - Accent6 7 2 2 8" xfId="33300"/>
    <cellStyle name="40% - Accent6 7 2 3" xfId="15462"/>
    <cellStyle name="40% - Accent6 7 2 3 2" xfId="15463"/>
    <cellStyle name="40% - Accent6 7 2 3 2 2" xfId="15464"/>
    <cellStyle name="40% - Accent6 7 2 3 2 2 2" xfId="15465"/>
    <cellStyle name="40% - Accent6 7 2 3 2 2 2 2" xfId="15466"/>
    <cellStyle name="40% - Accent6 7 2 3 2 2 2 2 2" xfId="33352"/>
    <cellStyle name="40% - Accent6 7 2 3 2 2 2 3" xfId="33351"/>
    <cellStyle name="40% - Accent6 7 2 3 2 2 3" xfId="15467"/>
    <cellStyle name="40% - Accent6 7 2 3 2 2 3 2" xfId="33353"/>
    <cellStyle name="40% - Accent6 7 2 3 2 2 4" xfId="33350"/>
    <cellStyle name="40% - Accent6 7 2 3 2 3" xfId="15468"/>
    <cellStyle name="40% - Accent6 7 2 3 2 3 2" xfId="15469"/>
    <cellStyle name="40% - Accent6 7 2 3 2 3 2 2" xfId="33355"/>
    <cellStyle name="40% - Accent6 7 2 3 2 3 3" xfId="33354"/>
    <cellStyle name="40% - Accent6 7 2 3 2 4" xfId="15470"/>
    <cellStyle name="40% - Accent6 7 2 3 2 4 2" xfId="33356"/>
    <cellStyle name="40% - Accent6 7 2 3 2 5" xfId="33349"/>
    <cellStyle name="40% - Accent6 7 2 3 3" xfId="15471"/>
    <cellStyle name="40% - Accent6 7 2 3 3 2" xfId="15472"/>
    <cellStyle name="40% - Accent6 7 2 3 3 2 2" xfId="15473"/>
    <cellStyle name="40% - Accent6 7 2 3 3 2 2 2" xfId="15474"/>
    <cellStyle name="40% - Accent6 7 2 3 3 2 2 2 2" xfId="33360"/>
    <cellStyle name="40% - Accent6 7 2 3 3 2 2 3" xfId="33359"/>
    <cellStyle name="40% - Accent6 7 2 3 3 2 3" xfId="15475"/>
    <cellStyle name="40% - Accent6 7 2 3 3 2 3 2" xfId="33361"/>
    <cellStyle name="40% - Accent6 7 2 3 3 2 4" xfId="33358"/>
    <cellStyle name="40% - Accent6 7 2 3 3 3" xfId="15476"/>
    <cellStyle name="40% - Accent6 7 2 3 3 3 2" xfId="15477"/>
    <cellStyle name="40% - Accent6 7 2 3 3 3 2 2" xfId="33363"/>
    <cellStyle name="40% - Accent6 7 2 3 3 3 3" xfId="33362"/>
    <cellStyle name="40% - Accent6 7 2 3 3 4" xfId="15478"/>
    <cellStyle name="40% - Accent6 7 2 3 3 4 2" xfId="33364"/>
    <cellStyle name="40% - Accent6 7 2 3 3 5" xfId="33357"/>
    <cellStyle name="40% - Accent6 7 2 3 4" xfId="15479"/>
    <cellStyle name="40% - Accent6 7 2 3 4 2" xfId="15480"/>
    <cellStyle name="40% - Accent6 7 2 3 4 2 2" xfId="15481"/>
    <cellStyle name="40% - Accent6 7 2 3 4 2 2 2" xfId="33367"/>
    <cellStyle name="40% - Accent6 7 2 3 4 2 3" xfId="33366"/>
    <cellStyle name="40% - Accent6 7 2 3 4 3" xfId="15482"/>
    <cellStyle name="40% - Accent6 7 2 3 4 3 2" xfId="33368"/>
    <cellStyle name="40% - Accent6 7 2 3 4 4" xfId="33365"/>
    <cellStyle name="40% - Accent6 7 2 3 5" xfId="15483"/>
    <cellStyle name="40% - Accent6 7 2 3 5 2" xfId="15484"/>
    <cellStyle name="40% - Accent6 7 2 3 5 2 2" xfId="33370"/>
    <cellStyle name="40% - Accent6 7 2 3 5 3" xfId="33369"/>
    <cellStyle name="40% - Accent6 7 2 3 6" xfId="15485"/>
    <cellStyle name="40% - Accent6 7 2 3 6 2" xfId="33371"/>
    <cellStyle name="40% - Accent6 7 2 3 7" xfId="33348"/>
    <cellStyle name="40% - Accent6 7 2 4" xfId="15486"/>
    <cellStyle name="40% - Accent6 7 2 4 2" xfId="15487"/>
    <cellStyle name="40% - Accent6 7 2 4 2 2" xfId="15488"/>
    <cellStyle name="40% - Accent6 7 2 4 2 2 2" xfId="15489"/>
    <cellStyle name="40% - Accent6 7 2 4 2 2 2 2" xfId="33375"/>
    <cellStyle name="40% - Accent6 7 2 4 2 2 3" xfId="33374"/>
    <cellStyle name="40% - Accent6 7 2 4 2 3" xfId="15490"/>
    <cellStyle name="40% - Accent6 7 2 4 2 3 2" xfId="33376"/>
    <cellStyle name="40% - Accent6 7 2 4 2 4" xfId="33373"/>
    <cellStyle name="40% - Accent6 7 2 4 3" xfId="15491"/>
    <cellStyle name="40% - Accent6 7 2 4 3 2" xfId="15492"/>
    <cellStyle name="40% - Accent6 7 2 4 3 2 2" xfId="33378"/>
    <cellStyle name="40% - Accent6 7 2 4 3 3" xfId="33377"/>
    <cellStyle name="40% - Accent6 7 2 4 4" xfId="15493"/>
    <cellStyle name="40% - Accent6 7 2 4 4 2" xfId="33379"/>
    <cellStyle name="40% - Accent6 7 2 4 5" xfId="33372"/>
    <cellStyle name="40% - Accent6 7 2 5" xfId="15494"/>
    <cellStyle name="40% - Accent6 7 2 5 2" xfId="15495"/>
    <cellStyle name="40% - Accent6 7 2 5 2 2" xfId="15496"/>
    <cellStyle name="40% - Accent6 7 2 5 2 2 2" xfId="15497"/>
    <cellStyle name="40% - Accent6 7 2 5 2 2 2 2" xfId="33383"/>
    <cellStyle name="40% - Accent6 7 2 5 2 2 3" xfId="33382"/>
    <cellStyle name="40% - Accent6 7 2 5 2 3" xfId="15498"/>
    <cellStyle name="40% - Accent6 7 2 5 2 3 2" xfId="33384"/>
    <cellStyle name="40% - Accent6 7 2 5 2 4" xfId="33381"/>
    <cellStyle name="40% - Accent6 7 2 5 3" xfId="15499"/>
    <cellStyle name="40% - Accent6 7 2 5 3 2" xfId="15500"/>
    <cellStyle name="40% - Accent6 7 2 5 3 2 2" xfId="33386"/>
    <cellStyle name="40% - Accent6 7 2 5 3 3" xfId="33385"/>
    <cellStyle name="40% - Accent6 7 2 5 4" xfId="15501"/>
    <cellStyle name="40% - Accent6 7 2 5 4 2" xfId="33387"/>
    <cellStyle name="40% - Accent6 7 2 5 5" xfId="33380"/>
    <cellStyle name="40% - Accent6 7 2 6" xfId="15502"/>
    <cellStyle name="40% - Accent6 7 2 6 2" xfId="15503"/>
    <cellStyle name="40% - Accent6 7 2 6 2 2" xfId="15504"/>
    <cellStyle name="40% - Accent6 7 2 6 2 2 2" xfId="33390"/>
    <cellStyle name="40% - Accent6 7 2 6 2 3" xfId="33389"/>
    <cellStyle name="40% - Accent6 7 2 6 3" xfId="15505"/>
    <cellStyle name="40% - Accent6 7 2 6 3 2" xfId="33391"/>
    <cellStyle name="40% - Accent6 7 2 6 4" xfId="33388"/>
    <cellStyle name="40% - Accent6 7 2 7" xfId="15506"/>
    <cellStyle name="40% - Accent6 7 2 7 2" xfId="15507"/>
    <cellStyle name="40% - Accent6 7 2 7 2 2" xfId="33393"/>
    <cellStyle name="40% - Accent6 7 2 7 3" xfId="33392"/>
    <cellStyle name="40% - Accent6 7 2 8" xfId="15508"/>
    <cellStyle name="40% - Accent6 7 2 8 2" xfId="33394"/>
    <cellStyle name="40% - Accent6 7 2 9" xfId="33299"/>
    <cellStyle name="40% - Accent6 7 3" xfId="15509"/>
    <cellStyle name="40% - Accent6 7 3 2" xfId="15510"/>
    <cellStyle name="40% - Accent6 7 3 2 2" xfId="15511"/>
    <cellStyle name="40% - Accent6 7 3 2 2 2" xfId="15512"/>
    <cellStyle name="40% - Accent6 7 3 2 2 2 2" xfId="15513"/>
    <cellStyle name="40% - Accent6 7 3 2 2 2 2 2" xfId="15514"/>
    <cellStyle name="40% - Accent6 7 3 2 2 2 2 2 2" xfId="33400"/>
    <cellStyle name="40% - Accent6 7 3 2 2 2 2 3" xfId="33399"/>
    <cellStyle name="40% - Accent6 7 3 2 2 2 3" xfId="15515"/>
    <cellStyle name="40% - Accent6 7 3 2 2 2 3 2" xfId="33401"/>
    <cellStyle name="40% - Accent6 7 3 2 2 2 4" xfId="33398"/>
    <cellStyle name="40% - Accent6 7 3 2 2 3" xfId="15516"/>
    <cellStyle name="40% - Accent6 7 3 2 2 3 2" xfId="15517"/>
    <cellStyle name="40% - Accent6 7 3 2 2 3 2 2" xfId="33403"/>
    <cellStyle name="40% - Accent6 7 3 2 2 3 3" xfId="33402"/>
    <cellStyle name="40% - Accent6 7 3 2 2 4" xfId="15518"/>
    <cellStyle name="40% - Accent6 7 3 2 2 4 2" xfId="33404"/>
    <cellStyle name="40% - Accent6 7 3 2 2 5" xfId="33397"/>
    <cellStyle name="40% - Accent6 7 3 2 3" xfId="15519"/>
    <cellStyle name="40% - Accent6 7 3 2 3 2" xfId="15520"/>
    <cellStyle name="40% - Accent6 7 3 2 3 2 2" xfId="15521"/>
    <cellStyle name="40% - Accent6 7 3 2 3 2 2 2" xfId="15522"/>
    <cellStyle name="40% - Accent6 7 3 2 3 2 2 2 2" xfId="33408"/>
    <cellStyle name="40% - Accent6 7 3 2 3 2 2 3" xfId="33407"/>
    <cellStyle name="40% - Accent6 7 3 2 3 2 3" xfId="15523"/>
    <cellStyle name="40% - Accent6 7 3 2 3 2 3 2" xfId="33409"/>
    <cellStyle name="40% - Accent6 7 3 2 3 2 4" xfId="33406"/>
    <cellStyle name="40% - Accent6 7 3 2 3 3" xfId="15524"/>
    <cellStyle name="40% - Accent6 7 3 2 3 3 2" xfId="15525"/>
    <cellStyle name="40% - Accent6 7 3 2 3 3 2 2" xfId="33411"/>
    <cellStyle name="40% - Accent6 7 3 2 3 3 3" xfId="33410"/>
    <cellStyle name="40% - Accent6 7 3 2 3 4" xfId="15526"/>
    <cellStyle name="40% - Accent6 7 3 2 3 4 2" xfId="33412"/>
    <cellStyle name="40% - Accent6 7 3 2 3 5" xfId="33405"/>
    <cellStyle name="40% - Accent6 7 3 2 4" xfId="15527"/>
    <cellStyle name="40% - Accent6 7 3 2 4 2" xfId="15528"/>
    <cellStyle name="40% - Accent6 7 3 2 4 2 2" xfId="15529"/>
    <cellStyle name="40% - Accent6 7 3 2 4 2 2 2" xfId="33415"/>
    <cellStyle name="40% - Accent6 7 3 2 4 2 3" xfId="33414"/>
    <cellStyle name="40% - Accent6 7 3 2 4 3" xfId="15530"/>
    <cellStyle name="40% - Accent6 7 3 2 4 3 2" xfId="33416"/>
    <cellStyle name="40% - Accent6 7 3 2 4 4" xfId="33413"/>
    <cellStyle name="40% - Accent6 7 3 2 5" xfId="15531"/>
    <cellStyle name="40% - Accent6 7 3 2 5 2" xfId="15532"/>
    <cellStyle name="40% - Accent6 7 3 2 5 2 2" xfId="33418"/>
    <cellStyle name="40% - Accent6 7 3 2 5 3" xfId="33417"/>
    <cellStyle name="40% - Accent6 7 3 2 6" xfId="15533"/>
    <cellStyle name="40% - Accent6 7 3 2 6 2" xfId="33419"/>
    <cellStyle name="40% - Accent6 7 3 2 7" xfId="33396"/>
    <cellStyle name="40% - Accent6 7 3 3" xfId="15534"/>
    <cellStyle name="40% - Accent6 7 3 3 2" xfId="15535"/>
    <cellStyle name="40% - Accent6 7 3 3 2 2" xfId="15536"/>
    <cellStyle name="40% - Accent6 7 3 3 2 2 2" xfId="15537"/>
    <cellStyle name="40% - Accent6 7 3 3 2 2 2 2" xfId="33423"/>
    <cellStyle name="40% - Accent6 7 3 3 2 2 3" xfId="33422"/>
    <cellStyle name="40% - Accent6 7 3 3 2 3" xfId="15538"/>
    <cellStyle name="40% - Accent6 7 3 3 2 3 2" xfId="33424"/>
    <cellStyle name="40% - Accent6 7 3 3 2 4" xfId="33421"/>
    <cellStyle name="40% - Accent6 7 3 3 3" xfId="15539"/>
    <cellStyle name="40% - Accent6 7 3 3 3 2" xfId="15540"/>
    <cellStyle name="40% - Accent6 7 3 3 3 2 2" xfId="33426"/>
    <cellStyle name="40% - Accent6 7 3 3 3 3" xfId="33425"/>
    <cellStyle name="40% - Accent6 7 3 3 4" xfId="15541"/>
    <cellStyle name="40% - Accent6 7 3 3 4 2" xfId="33427"/>
    <cellStyle name="40% - Accent6 7 3 3 5" xfId="33420"/>
    <cellStyle name="40% - Accent6 7 3 4" xfId="15542"/>
    <cellStyle name="40% - Accent6 7 3 4 2" xfId="15543"/>
    <cellStyle name="40% - Accent6 7 3 4 2 2" xfId="15544"/>
    <cellStyle name="40% - Accent6 7 3 4 2 2 2" xfId="15545"/>
    <cellStyle name="40% - Accent6 7 3 4 2 2 2 2" xfId="33431"/>
    <cellStyle name="40% - Accent6 7 3 4 2 2 3" xfId="33430"/>
    <cellStyle name="40% - Accent6 7 3 4 2 3" xfId="15546"/>
    <cellStyle name="40% - Accent6 7 3 4 2 3 2" xfId="33432"/>
    <cellStyle name="40% - Accent6 7 3 4 2 4" xfId="33429"/>
    <cellStyle name="40% - Accent6 7 3 4 3" xfId="15547"/>
    <cellStyle name="40% - Accent6 7 3 4 3 2" xfId="15548"/>
    <cellStyle name="40% - Accent6 7 3 4 3 2 2" xfId="33434"/>
    <cellStyle name="40% - Accent6 7 3 4 3 3" xfId="33433"/>
    <cellStyle name="40% - Accent6 7 3 4 4" xfId="15549"/>
    <cellStyle name="40% - Accent6 7 3 4 4 2" xfId="33435"/>
    <cellStyle name="40% - Accent6 7 3 4 5" xfId="33428"/>
    <cellStyle name="40% - Accent6 7 3 5" xfId="15550"/>
    <cellStyle name="40% - Accent6 7 3 5 2" xfId="15551"/>
    <cellStyle name="40% - Accent6 7 3 5 2 2" xfId="15552"/>
    <cellStyle name="40% - Accent6 7 3 5 2 2 2" xfId="33438"/>
    <cellStyle name="40% - Accent6 7 3 5 2 3" xfId="33437"/>
    <cellStyle name="40% - Accent6 7 3 5 3" xfId="15553"/>
    <cellStyle name="40% - Accent6 7 3 5 3 2" xfId="33439"/>
    <cellStyle name="40% - Accent6 7 3 5 4" xfId="33436"/>
    <cellStyle name="40% - Accent6 7 3 6" xfId="15554"/>
    <cellStyle name="40% - Accent6 7 3 6 2" xfId="15555"/>
    <cellStyle name="40% - Accent6 7 3 6 2 2" xfId="33441"/>
    <cellStyle name="40% - Accent6 7 3 6 3" xfId="33440"/>
    <cellStyle name="40% - Accent6 7 3 7" xfId="15556"/>
    <cellStyle name="40% - Accent6 7 3 7 2" xfId="33442"/>
    <cellStyle name="40% - Accent6 7 3 8" xfId="33395"/>
    <cellStyle name="40% - Accent6 7 4" xfId="15557"/>
    <cellStyle name="40% - Accent6 7 4 2" xfId="15558"/>
    <cellStyle name="40% - Accent6 7 4 2 2" xfId="15559"/>
    <cellStyle name="40% - Accent6 7 4 2 2 2" xfId="15560"/>
    <cellStyle name="40% - Accent6 7 4 2 2 2 2" xfId="15561"/>
    <cellStyle name="40% - Accent6 7 4 2 2 2 2 2" xfId="33447"/>
    <cellStyle name="40% - Accent6 7 4 2 2 2 3" xfId="33446"/>
    <cellStyle name="40% - Accent6 7 4 2 2 3" xfId="15562"/>
    <cellStyle name="40% - Accent6 7 4 2 2 3 2" xfId="33448"/>
    <cellStyle name="40% - Accent6 7 4 2 2 4" xfId="33445"/>
    <cellStyle name="40% - Accent6 7 4 2 3" xfId="15563"/>
    <cellStyle name="40% - Accent6 7 4 2 3 2" xfId="15564"/>
    <cellStyle name="40% - Accent6 7 4 2 3 2 2" xfId="33450"/>
    <cellStyle name="40% - Accent6 7 4 2 3 3" xfId="33449"/>
    <cellStyle name="40% - Accent6 7 4 2 4" xfId="15565"/>
    <cellStyle name="40% - Accent6 7 4 2 4 2" xfId="33451"/>
    <cellStyle name="40% - Accent6 7 4 2 5" xfId="33444"/>
    <cellStyle name="40% - Accent6 7 4 3" xfId="15566"/>
    <cellStyle name="40% - Accent6 7 4 3 2" xfId="15567"/>
    <cellStyle name="40% - Accent6 7 4 3 2 2" xfId="15568"/>
    <cellStyle name="40% - Accent6 7 4 3 2 2 2" xfId="15569"/>
    <cellStyle name="40% - Accent6 7 4 3 2 2 2 2" xfId="33455"/>
    <cellStyle name="40% - Accent6 7 4 3 2 2 3" xfId="33454"/>
    <cellStyle name="40% - Accent6 7 4 3 2 3" xfId="15570"/>
    <cellStyle name="40% - Accent6 7 4 3 2 3 2" xfId="33456"/>
    <cellStyle name="40% - Accent6 7 4 3 2 4" xfId="33453"/>
    <cellStyle name="40% - Accent6 7 4 3 3" xfId="15571"/>
    <cellStyle name="40% - Accent6 7 4 3 3 2" xfId="15572"/>
    <cellStyle name="40% - Accent6 7 4 3 3 2 2" xfId="33458"/>
    <cellStyle name="40% - Accent6 7 4 3 3 3" xfId="33457"/>
    <cellStyle name="40% - Accent6 7 4 3 4" xfId="15573"/>
    <cellStyle name="40% - Accent6 7 4 3 4 2" xfId="33459"/>
    <cellStyle name="40% - Accent6 7 4 3 5" xfId="33452"/>
    <cellStyle name="40% - Accent6 7 4 4" xfId="15574"/>
    <cellStyle name="40% - Accent6 7 4 4 2" xfId="15575"/>
    <cellStyle name="40% - Accent6 7 4 4 2 2" xfId="15576"/>
    <cellStyle name="40% - Accent6 7 4 4 2 2 2" xfId="33462"/>
    <cellStyle name="40% - Accent6 7 4 4 2 3" xfId="33461"/>
    <cellStyle name="40% - Accent6 7 4 4 3" xfId="15577"/>
    <cellStyle name="40% - Accent6 7 4 4 3 2" xfId="33463"/>
    <cellStyle name="40% - Accent6 7 4 4 4" xfId="33460"/>
    <cellStyle name="40% - Accent6 7 4 5" xfId="15578"/>
    <cellStyle name="40% - Accent6 7 4 5 2" xfId="15579"/>
    <cellStyle name="40% - Accent6 7 4 5 2 2" xfId="33465"/>
    <cellStyle name="40% - Accent6 7 4 5 3" xfId="33464"/>
    <cellStyle name="40% - Accent6 7 4 6" xfId="15580"/>
    <cellStyle name="40% - Accent6 7 4 6 2" xfId="33466"/>
    <cellStyle name="40% - Accent6 7 4 7" xfId="33443"/>
    <cellStyle name="40% - Accent6 7 5" xfId="15581"/>
    <cellStyle name="40% - Accent6 7 5 2" xfId="15582"/>
    <cellStyle name="40% - Accent6 7 5 2 2" xfId="15583"/>
    <cellStyle name="40% - Accent6 7 5 2 2 2" xfId="15584"/>
    <cellStyle name="40% - Accent6 7 5 2 2 2 2" xfId="33470"/>
    <cellStyle name="40% - Accent6 7 5 2 2 3" xfId="33469"/>
    <cellStyle name="40% - Accent6 7 5 2 3" xfId="15585"/>
    <cellStyle name="40% - Accent6 7 5 2 3 2" xfId="33471"/>
    <cellStyle name="40% - Accent6 7 5 2 4" xfId="33468"/>
    <cellStyle name="40% - Accent6 7 5 3" xfId="15586"/>
    <cellStyle name="40% - Accent6 7 5 3 2" xfId="15587"/>
    <cellStyle name="40% - Accent6 7 5 3 2 2" xfId="33473"/>
    <cellStyle name="40% - Accent6 7 5 3 3" xfId="33472"/>
    <cellStyle name="40% - Accent6 7 5 4" xfId="15588"/>
    <cellStyle name="40% - Accent6 7 5 4 2" xfId="33474"/>
    <cellStyle name="40% - Accent6 7 5 5" xfId="33467"/>
    <cellStyle name="40% - Accent6 7 6" xfId="15589"/>
    <cellStyle name="40% - Accent6 7 6 2" xfId="15590"/>
    <cellStyle name="40% - Accent6 7 6 2 2" xfId="15591"/>
    <cellStyle name="40% - Accent6 7 6 2 2 2" xfId="15592"/>
    <cellStyle name="40% - Accent6 7 6 2 2 2 2" xfId="33478"/>
    <cellStyle name="40% - Accent6 7 6 2 2 3" xfId="33477"/>
    <cellStyle name="40% - Accent6 7 6 2 3" xfId="15593"/>
    <cellStyle name="40% - Accent6 7 6 2 3 2" xfId="33479"/>
    <cellStyle name="40% - Accent6 7 6 2 4" xfId="33476"/>
    <cellStyle name="40% - Accent6 7 6 3" xfId="15594"/>
    <cellStyle name="40% - Accent6 7 6 3 2" xfId="15595"/>
    <cellStyle name="40% - Accent6 7 6 3 2 2" xfId="33481"/>
    <cellStyle name="40% - Accent6 7 6 3 3" xfId="33480"/>
    <cellStyle name="40% - Accent6 7 6 4" xfId="15596"/>
    <cellStyle name="40% - Accent6 7 6 4 2" xfId="33482"/>
    <cellStyle name="40% - Accent6 7 6 5" xfId="33475"/>
    <cellStyle name="40% - Accent6 7 7" xfId="15597"/>
    <cellStyle name="40% - Accent6 7 7 2" xfId="15598"/>
    <cellStyle name="40% - Accent6 7 7 2 2" xfId="15599"/>
    <cellStyle name="40% - Accent6 7 7 2 2 2" xfId="33485"/>
    <cellStyle name="40% - Accent6 7 7 2 3" xfId="33484"/>
    <cellStyle name="40% - Accent6 7 7 3" xfId="15600"/>
    <cellStyle name="40% - Accent6 7 7 3 2" xfId="33486"/>
    <cellStyle name="40% - Accent6 7 7 4" xfId="33483"/>
    <cellStyle name="40% - Accent6 7 8" xfId="15601"/>
    <cellStyle name="40% - Accent6 7 8 2" xfId="15602"/>
    <cellStyle name="40% - Accent6 7 8 2 2" xfId="33488"/>
    <cellStyle name="40% - Accent6 7 8 3" xfId="33487"/>
    <cellStyle name="40% - Accent6 7 9" xfId="15603"/>
    <cellStyle name="40% - Accent6 7 9 2" xfId="33489"/>
    <cellStyle name="40% - Accent6 8" xfId="15604"/>
    <cellStyle name="40% - Accent6 8 10" xfId="33490"/>
    <cellStyle name="40% - Accent6 8 2" xfId="15605"/>
    <cellStyle name="40% - Accent6 8 2 2" xfId="15606"/>
    <cellStyle name="40% - Accent6 8 2 2 2" xfId="15607"/>
    <cellStyle name="40% - Accent6 8 2 2 2 2" xfId="15608"/>
    <cellStyle name="40% - Accent6 8 2 2 2 2 2" xfId="15609"/>
    <cellStyle name="40% - Accent6 8 2 2 2 2 2 2" xfId="15610"/>
    <cellStyle name="40% - Accent6 8 2 2 2 2 2 2 2" xfId="15611"/>
    <cellStyle name="40% - Accent6 8 2 2 2 2 2 2 2 2" xfId="33497"/>
    <cellStyle name="40% - Accent6 8 2 2 2 2 2 2 3" xfId="33496"/>
    <cellStyle name="40% - Accent6 8 2 2 2 2 2 3" xfId="15612"/>
    <cellStyle name="40% - Accent6 8 2 2 2 2 2 3 2" xfId="33498"/>
    <cellStyle name="40% - Accent6 8 2 2 2 2 2 4" xfId="33495"/>
    <cellStyle name="40% - Accent6 8 2 2 2 2 3" xfId="15613"/>
    <cellStyle name="40% - Accent6 8 2 2 2 2 3 2" xfId="15614"/>
    <cellStyle name="40% - Accent6 8 2 2 2 2 3 2 2" xfId="33500"/>
    <cellStyle name="40% - Accent6 8 2 2 2 2 3 3" xfId="33499"/>
    <cellStyle name="40% - Accent6 8 2 2 2 2 4" xfId="15615"/>
    <cellStyle name="40% - Accent6 8 2 2 2 2 4 2" xfId="33501"/>
    <cellStyle name="40% - Accent6 8 2 2 2 2 5" xfId="33494"/>
    <cellStyle name="40% - Accent6 8 2 2 2 3" xfId="15616"/>
    <cellStyle name="40% - Accent6 8 2 2 2 3 2" xfId="15617"/>
    <cellStyle name="40% - Accent6 8 2 2 2 3 2 2" xfId="15618"/>
    <cellStyle name="40% - Accent6 8 2 2 2 3 2 2 2" xfId="15619"/>
    <cellStyle name="40% - Accent6 8 2 2 2 3 2 2 2 2" xfId="33505"/>
    <cellStyle name="40% - Accent6 8 2 2 2 3 2 2 3" xfId="33504"/>
    <cellStyle name="40% - Accent6 8 2 2 2 3 2 3" xfId="15620"/>
    <cellStyle name="40% - Accent6 8 2 2 2 3 2 3 2" xfId="33506"/>
    <cellStyle name="40% - Accent6 8 2 2 2 3 2 4" xfId="33503"/>
    <cellStyle name="40% - Accent6 8 2 2 2 3 3" xfId="15621"/>
    <cellStyle name="40% - Accent6 8 2 2 2 3 3 2" xfId="15622"/>
    <cellStyle name="40% - Accent6 8 2 2 2 3 3 2 2" xfId="33508"/>
    <cellStyle name="40% - Accent6 8 2 2 2 3 3 3" xfId="33507"/>
    <cellStyle name="40% - Accent6 8 2 2 2 3 4" xfId="15623"/>
    <cellStyle name="40% - Accent6 8 2 2 2 3 4 2" xfId="33509"/>
    <cellStyle name="40% - Accent6 8 2 2 2 3 5" xfId="33502"/>
    <cellStyle name="40% - Accent6 8 2 2 2 4" xfId="15624"/>
    <cellStyle name="40% - Accent6 8 2 2 2 4 2" xfId="15625"/>
    <cellStyle name="40% - Accent6 8 2 2 2 4 2 2" xfId="15626"/>
    <cellStyle name="40% - Accent6 8 2 2 2 4 2 2 2" xfId="33512"/>
    <cellStyle name="40% - Accent6 8 2 2 2 4 2 3" xfId="33511"/>
    <cellStyle name="40% - Accent6 8 2 2 2 4 3" xfId="15627"/>
    <cellStyle name="40% - Accent6 8 2 2 2 4 3 2" xfId="33513"/>
    <cellStyle name="40% - Accent6 8 2 2 2 4 4" xfId="33510"/>
    <cellStyle name="40% - Accent6 8 2 2 2 5" xfId="15628"/>
    <cellStyle name="40% - Accent6 8 2 2 2 5 2" xfId="15629"/>
    <cellStyle name="40% - Accent6 8 2 2 2 5 2 2" xfId="33515"/>
    <cellStyle name="40% - Accent6 8 2 2 2 5 3" xfId="33514"/>
    <cellStyle name="40% - Accent6 8 2 2 2 6" xfId="15630"/>
    <cellStyle name="40% - Accent6 8 2 2 2 6 2" xfId="33516"/>
    <cellStyle name="40% - Accent6 8 2 2 2 7" xfId="33493"/>
    <cellStyle name="40% - Accent6 8 2 2 3" xfId="15631"/>
    <cellStyle name="40% - Accent6 8 2 2 3 2" xfId="15632"/>
    <cellStyle name="40% - Accent6 8 2 2 3 2 2" xfId="15633"/>
    <cellStyle name="40% - Accent6 8 2 2 3 2 2 2" xfId="15634"/>
    <cellStyle name="40% - Accent6 8 2 2 3 2 2 2 2" xfId="33520"/>
    <cellStyle name="40% - Accent6 8 2 2 3 2 2 3" xfId="33519"/>
    <cellStyle name="40% - Accent6 8 2 2 3 2 3" xfId="15635"/>
    <cellStyle name="40% - Accent6 8 2 2 3 2 3 2" xfId="33521"/>
    <cellStyle name="40% - Accent6 8 2 2 3 2 4" xfId="33518"/>
    <cellStyle name="40% - Accent6 8 2 2 3 3" xfId="15636"/>
    <cellStyle name="40% - Accent6 8 2 2 3 3 2" xfId="15637"/>
    <cellStyle name="40% - Accent6 8 2 2 3 3 2 2" xfId="33523"/>
    <cellStyle name="40% - Accent6 8 2 2 3 3 3" xfId="33522"/>
    <cellStyle name="40% - Accent6 8 2 2 3 4" xfId="15638"/>
    <cellStyle name="40% - Accent6 8 2 2 3 4 2" xfId="33524"/>
    <cellStyle name="40% - Accent6 8 2 2 3 5" xfId="33517"/>
    <cellStyle name="40% - Accent6 8 2 2 4" xfId="15639"/>
    <cellStyle name="40% - Accent6 8 2 2 4 2" xfId="15640"/>
    <cellStyle name="40% - Accent6 8 2 2 4 2 2" xfId="15641"/>
    <cellStyle name="40% - Accent6 8 2 2 4 2 2 2" xfId="15642"/>
    <cellStyle name="40% - Accent6 8 2 2 4 2 2 2 2" xfId="33528"/>
    <cellStyle name="40% - Accent6 8 2 2 4 2 2 3" xfId="33527"/>
    <cellStyle name="40% - Accent6 8 2 2 4 2 3" xfId="15643"/>
    <cellStyle name="40% - Accent6 8 2 2 4 2 3 2" xfId="33529"/>
    <cellStyle name="40% - Accent6 8 2 2 4 2 4" xfId="33526"/>
    <cellStyle name="40% - Accent6 8 2 2 4 3" xfId="15644"/>
    <cellStyle name="40% - Accent6 8 2 2 4 3 2" xfId="15645"/>
    <cellStyle name="40% - Accent6 8 2 2 4 3 2 2" xfId="33531"/>
    <cellStyle name="40% - Accent6 8 2 2 4 3 3" xfId="33530"/>
    <cellStyle name="40% - Accent6 8 2 2 4 4" xfId="15646"/>
    <cellStyle name="40% - Accent6 8 2 2 4 4 2" xfId="33532"/>
    <cellStyle name="40% - Accent6 8 2 2 4 5" xfId="33525"/>
    <cellStyle name="40% - Accent6 8 2 2 5" xfId="15647"/>
    <cellStyle name="40% - Accent6 8 2 2 5 2" xfId="15648"/>
    <cellStyle name="40% - Accent6 8 2 2 5 2 2" xfId="15649"/>
    <cellStyle name="40% - Accent6 8 2 2 5 2 2 2" xfId="33535"/>
    <cellStyle name="40% - Accent6 8 2 2 5 2 3" xfId="33534"/>
    <cellStyle name="40% - Accent6 8 2 2 5 3" xfId="15650"/>
    <cellStyle name="40% - Accent6 8 2 2 5 3 2" xfId="33536"/>
    <cellStyle name="40% - Accent6 8 2 2 5 4" xfId="33533"/>
    <cellStyle name="40% - Accent6 8 2 2 6" xfId="15651"/>
    <cellStyle name="40% - Accent6 8 2 2 6 2" xfId="15652"/>
    <cellStyle name="40% - Accent6 8 2 2 6 2 2" xfId="33538"/>
    <cellStyle name="40% - Accent6 8 2 2 6 3" xfId="33537"/>
    <cellStyle name="40% - Accent6 8 2 2 7" xfId="15653"/>
    <cellStyle name="40% - Accent6 8 2 2 7 2" xfId="33539"/>
    <cellStyle name="40% - Accent6 8 2 2 8" xfId="33492"/>
    <cellStyle name="40% - Accent6 8 2 3" xfId="15654"/>
    <cellStyle name="40% - Accent6 8 2 3 2" xfId="15655"/>
    <cellStyle name="40% - Accent6 8 2 3 2 2" xfId="15656"/>
    <cellStyle name="40% - Accent6 8 2 3 2 2 2" xfId="15657"/>
    <cellStyle name="40% - Accent6 8 2 3 2 2 2 2" xfId="15658"/>
    <cellStyle name="40% - Accent6 8 2 3 2 2 2 2 2" xfId="33544"/>
    <cellStyle name="40% - Accent6 8 2 3 2 2 2 3" xfId="33543"/>
    <cellStyle name="40% - Accent6 8 2 3 2 2 3" xfId="15659"/>
    <cellStyle name="40% - Accent6 8 2 3 2 2 3 2" xfId="33545"/>
    <cellStyle name="40% - Accent6 8 2 3 2 2 4" xfId="33542"/>
    <cellStyle name="40% - Accent6 8 2 3 2 3" xfId="15660"/>
    <cellStyle name="40% - Accent6 8 2 3 2 3 2" xfId="15661"/>
    <cellStyle name="40% - Accent6 8 2 3 2 3 2 2" xfId="33547"/>
    <cellStyle name="40% - Accent6 8 2 3 2 3 3" xfId="33546"/>
    <cellStyle name="40% - Accent6 8 2 3 2 4" xfId="15662"/>
    <cellStyle name="40% - Accent6 8 2 3 2 4 2" xfId="33548"/>
    <cellStyle name="40% - Accent6 8 2 3 2 5" xfId="33541"/>
    <cellStyle name="40% - Accent6 8 2 3 3" xfId="15663"/>
    <cellStyle name="40% - Accent6 8 2 3 3 2" xfId="15664"/>
    <cellStyle name="40% - Accent6 8 2 3 3 2 2" xfId="15665"/>
    <cellStyle name="40% - Accent6 8 2 3 3 2 2 2" xfId="15666"/>
    <cellStyle name="40% - Accent6 8 2 3 3 2 2 2 2" xfId="33552"/>
    <cellStyle name="40% - Accent6 8 2 3 3 2 2 3" xfId="33551"/>
    <cellStyle name="40% - Accent6 8 2 3 3 2 3" xfId="15667"/>
    <cellStyle name="40% - Accent6 8 2 3 3 2 3 2" xfId="33553"/>
    <cellStyle name="40% - Accent6 8 2 3 3 2 4" xfId="33550"/>
    <cellStyle name="40% - Accent6 8 2 3 3 3" xfId="15668"/>
    <cellStyle name="40% - Accent6 8 2 3 3 3 2" xfId="15669"/>
    <cellStyle name="40% - Accent6 8 2 3 3 3 2 2" xfId="33555"/>
    <cellStyle name="40% - Accent6 8 2 3 3 3 3" xfId="33554"/>
    <cellStyle name="40% - Accent6 8 2 3 3 4" xfId="15670"/>
    <cellStyle name="40% - Accent6 8 2 3 3 4 2" xfId="33556"/>
    <cellStyle name="40% - Accent6 8 2 3 3 5" xfId="33549"/>
    <cellStyle name="40% - Accent6 8 2 3 4" xfId="15671"/>
    <cellStyle name="40% - Accent6 8 2 3 4 2" xfId="15672"/>
    <cellStyle name="40% - Accent6 8 2 3 4 2 2" xfId="15673"/>
    <cellStyle name="40% - Accent6 8 2 3 4 2 2 2" xfId="33559"/>
    <cellStyle name="40% - Accent6 8 2 3 4 2 3" xfId="33558"/>
    <cellStyle name="40% - Accent6 8 2 3 4 3" xfId="15674"/>
    <cellStyle name="40% - Accent6 8 2 3 4 3 2" xfId="33560"/>
    <cellStyle name="40% - Accent6 8 2 3 4 4" xfId="33557"/>
    <cellStyle name="40% - Accent6 8 2 3 5" xfId="15675"/>
    <cellStyle name="40% - Accent6 8 2 3 5 2" xfId="15676"/>
    <cellStyle name="40% - Accent6 8 2 3 5 2 2" xfId="33562"/>
    <cellStyle name="40% - Accent6 8 2 3 5 3" xfId="33561"/>
    <cellStyle name="40% - Accent6 8 2 3 6" xfId="15677"/>
    <cellStyle name="40% - Accent6 8 2 3 6 2" xfId="33563"/>
    <cellStyle name="40% - Accent6 8 2 3 7" xfId="33540"/>
    <cellStyle name="40% - Accent6 8 2 4" xfId="15678"/>
    <cellStyle name="40% - Accent6 8 2 4 2" xfId="15679"/>
    <cellStyle name="40% - Accent6 8 2 4 2 2" xfId="15680"/>
    <cellStyle name="40% - Accent6 8 2 4 2 2 2" xfId="15681"/>
    <cellStyle name="40% - Accent6 8 2 4 2 2 2 2" xfId="33567"/>
    <cellStyle name="40% - Accent6 8 2 4 2 2 3" xfId="33566"/>
    <cellStyle name="40% - Accent6 8 2 4 2 3" xfId="15682"/>
    <cellStyle name="40% - Accent6 8 2 4 2 3 2" xfId="33568"/>
    <cellStyle name="40% - Accent6 8 2 4 2 4" xfId="33565"/>
    <cellStyle name="40% - Accent6 8 2 4 3" xfId="15683"/>
    <cellStyle name="40% - Accent6 8 2 4 3 2" xfId="15684"/>
    <cellStyle name="40% - Accent6 8 2 4 3 2 2" xfId="33570"/>
    <cellStyle name="40% - Accent6 8 2 4 3 3" xfId="33569"/>
    <cellStyle name="40% - Accent6 8 2 4 4" xfId="15685"/>
    <cellStyle name="40% - Accent6 8 2 4 4 2" xfId="33571"/>
    <cellStyle name="40% - Accent6 8 2 4 5" xfId="33564"/>
    <cellStyle name="40% - Accent6 8 2 5" xfId="15686"/>
    <cellStyle name="40% - Accent6 8 2 5 2" xfId="15687"/>
    <cellStyle name="40% - Accent6 8 2 5 2 2" xfId="15688"/>
    <cellStyle name="40% - Accent6 8 2 5 2 2 2" xfId="15689"/>
    <cellStyle name="40% - Accent6 8 2 5 2 2 2 2" xfId="33575"/>
    <cellStyle name="40% - Accent6 8 2 5 2 2 3" xfId="33574"/>
    <cellStyle name="40% - Accent6 8 2 5 2 3" xfId="15690"/>
    <cellStyle name="40% - Accent6 8 2 5 2 3 2" xfId="33576"/>
    <cellStyle name="40% - Accent6 8 2 5 2 4" xfId="33573"/>
    <cellStyle name="40% - Accent6 8 2 5 3" xfId="15691"/>
    <cellStyle name="40% - Accent6 8 2 5 3 2" xfId="15692"/>
    <cellStyle name="40% - Accent6 8 2 5 3 2 2" xfId="33578"/>
    <cellStyle name="40% - Accent6 8 2 5 3 3" xfId="33577"/>
    <cellStyle name="40% - Accent6 8 2 5 4" xfId="15693"/>
    <cellStyle name="40% - Accent6 8 2 5 4 2" xfId="33579"/>
    <cellStyle name="40% - Accent6 8 2 5 5" xfId="33572"/>
    <cellStyle name="40% - Accent6 8 2 6" xfId="15694"/>
    <cellStyle name="40% - Accent6 8 2 6 2" xfId="15695"/>
    <cellStyle name="40% - Accent6 8 2 6 2 2" xfId="15696"/>
    <cellStyle name="40% - Accent6 8 2 6 2 2 2" xfId="33582"/>
    <cellStyle name="40% - Accent6 8 2 6 2 3" xfId="33581"/>
    <cellStyle name="40% - Accent6 8 2 6 3" xfId="15697"/>
    <cellStyle name="40% - Accent6 8 2 6 3 2" xfId="33583"/>
    <cellStyle name="40% - Accent6 8 2 6 4" xfId="33580"/>
    <cellStyle name="40% - Accent6 8 2 7" xfId="15698"/>
    <cellStyle name="40% - Accent6 8 2 7 2" xfId="15699"/>
    <cellStyle name="40% - Accent6 8 2 7 2 2" xfId="33585"/>
    <cellStyle name="40% - Accent6 8 2 7 3" xfId="33584"/>
    <cellStyle name="40% - Accent6 8 2 8" xfId="15700"/>
    <cellStyle name="40% - Accent6 8 2 8 2" xfId="33586"/>
    <cellStyle name="40% - Accent6 8 2 9" xfId="33491"/>
    <cellStyle name="40% - Accent6 8 3" xfId="15701"/>
    <cellStyle name="40% - Accent6 8 3 2" xfId="15702"/>
    <cellStyle name="40% - Accent6 8 3 2 2" xfId="15703"/>
    <cellStyle name="40% - Accent6 8 3 2 2 2" xfId="15704"/>
    <cellStyle name="40% - Accent6 8 3 2 2 2 2" xfId="15705"/>
    <cellStyle name="40% - Accent6 8 3 2 2 2 2 2" xfId="15706"/>
    <cellStyle name="40% - Accent6 8 3 2 2 2 2 2 2" xfId="33592"/>
    <cellStyle name="40% - Accent6 8 3 2 2 2 2 3" xfId="33591"/>
    <cellStyle name="40% - Accent6 8 3 2 2 2 3" xfId="15707"/>
    <cellStyle name="40% - Accent6 8 3 2 2 2 3 2" xfId="33593"/>
    <cellStyle name="40% - Accent6 8 3 2 2 2 4" xfId="33590"/>
    <cellStyle name="40% - Accent6 8 3 2 2 3" xfId="15708"/>
    <cellStyle name="40% - Accent6 8 3 2 2 3 2" xfId="15709"/>
    <cellStyle name="40% - Accent6 8 3 2 2 3 2 2" xfId="33595"/>
    <cellStyle name="40% - Accent6 8 3 2 2 3 3" xfId="33594"/>
    <cellStyle name="40% - Accent6 8 3 2 2 4" xfId="15710"/>
    <cellStyle name="40% - Accent6 8 3 2 2 4 2" xfId="33596"/>
    <cellStyle name="40% - Accent6 8 3 2 2 5" xfId="33589"/>
    <cellStyle name="40% - Accent6 8 3 2 3" xfId="15711"/>
    <cellStyle name="40% - Accent6 8 3 2 3 2" xfId="15712"/>
    <cellStyle name="40% - Accent6 8 3 2 3 2 2" xfId="15713"/>
    <cellStyle name="40% - Accent6 8 3 2 3 2 2 2" xfId="15714"/>
    <cellStyle name="40% - Accent6 8 3 2 3 2 2 2 2" xfId="33600"/>
    <cellStyle name="40% - Accent6 8 3 2 3 2 2 3" xfId="33599"/>
    <cellStyle name="40% - Accent6 8 3 2 3 2 3" xfId="15715"/>
    <cellStyle name="40% - Accent6 8 3 2 3 2 3 2" xfId="33601"/>
    <cellStyle name="40% - Accent6 8 3 2 3 2 4" xfId="33598"/>
    <cellStyle name="40% - Accent6 8 3 2 3 3" xfId="15716"/>
    <cellStyle name="40% - Accent6 8 3 2 3 3 2" xfId="15717"/>
    <cellStyle name="40% - Accent6 8 3 2 3 3 2 2" xfId="33603"/>
    <cellStyle name="40% - Accent6 8 3 2 3 3 3" xfId="33602"/>
    <cellStyle name="40% - Accent6 8 3 2 3 4" xfId="15718"/>
    <cellStyle name="40% - Accent6 8 3 2 3 4 2" xfId="33604"/>
    <cellStyle name="40% - Accent6 8 3 2 3 5" xfId="33597"/>
    <cellStyle name="40% - Accent6 8 3 2 4" xfId="15719"/>
    <cellStyle name="40% - Accent6 8 3 2 4 2" xfId="15720"/>
    <cellStyle name="40% - Accent6 8 3 2 4 2 2" xfId="15721"/>
    <cellStyle name="40% - Accent6 8 3 2 4 2 2 2" xfId="33607"/>
    <cellStyle name="40% - Accent6 8 3 2 4 2 3" xfId="33606"/>
    <cellStyle name="40% - Accent6 8 3 2 4 3" xfId="15722"/>
    <cellStyle name="40% - Accent6 8 3 2 4 3 2" xfId="33608"/>
    <cellStyle name="40% - Accent6 8 3 2 4 4" xfId="33605"/>
    <cellStyle name="40% - Accent6 8 3 2 5" xfId="15723"/>
    <cellStyle name="40% - Accent6 8 3 2 5 2" xfId="15724"/>
    <cellStyle name="40% - Accent6 8 3 2 5 2 2" xfId="33610"/>
    <cellStyle name="40% - Accent6 8 3 2 5 3" xfId="33609"/>
    <cellStyle name="40% - Accent6 8 3 2 6" xfId="15725"/>
    <cellStyle name="40% - Accent6 8 3 2 6 2" xfId="33611"/>
    <cellStyle name="40% - Accent6 8 3 2 7" xfId="33588"/>
    <cellStyle name="40% - Accent6 8 3 3" xfId="15726"/>
    <cellStyle name="40% - Accent6 8 3 3 2" xfId="15727"/>
    <cellStyle name="40% - Accent6 8 3 3 2 2" xfId="15728"/>
    <cellStyle name="40% - Accent6 8 3 3 2 2 2" xfId="15729"/>
    <cellStyle name="40% - Accent6 8 3 3 2 2 2 2" xfId="33615"/>
    <cellStyle name="40% - Accent6 8 3 3 2 2 3" xfId="33614"/>
    <cellStyle name="40% - Accent6 8 3 3 2 3" xfId="15730"/>
    <cellStyle name="40% - Accent6 8 3 3 2 3 2" xfId="33616"/>
    <cellStyle name="40% - Accent6 8 3 3 2 4" xfId="33613"/>
    <cellStyle name="40% - Accent6 8 3 3 3" xfId="15731"/>
    <cellStyle name="40% - Accent6 8 3 3 3 2" xfId="15732"/>
    <cellStyle name="40% - Accent6 8 3 3 3 2 2" xfId="33618"/>
    <cellStyle name="40% - Accent6 8 3 3 3 3" xfId="33617"/>
    <cellStyle name="40% - Accent6 8 3 3 4" xfId="15733"/>
    <cellStyle name="40% - Accent6 8 3 3 4 2" xfId="33619"/>
    <cellStyle name="40% - Accent6 8 3 3 5" xfId="33612"/>
    <cellStyle name="40% - Accent6 8 3 4" xfId="15734"/>
    <cellStyle name="40% - Accent6 8 3 4 2" xfId="15735"/>
    <cellStyle name="40% - Accent6 8 3 4 2 2" xfId="15736"/>
    <cellStyle name="40% - Accent6 8 3 4 2 2 2" xfId="15737"/>
    <cellStyle name="40% - Accent6 8 3 4 2 2 2 2" xfId="33623"/>
    <cellStyle name="40% - Accent6 8 3 4 2 2 3" xfId="33622"/>
    <cellStyle name="40% - Accent6 8 3 4 2 3" xfId="15738"/>
    <cellStyle name="40% - Accent6 8 3 4 2 3 2" xfId="33624"/>
    <cellStyle name="40% - Accent6 8 3 4 2 4" xfId="33621"/>
    <cellStyle name="40% - Accent6 8 3 4 3" xfId="15739"/>
    <cellStyle name="40% - Accent6 8 3 4 3 2" xfId="15740"/>
    <cellStyle name="40% - Accent6 8 3 4 3 2 2" xfId="33626"/>
    <cellStyle name="40% - Accent6 8 3 4 3 3" xfId="33625"/>
    <cellStyle name="40% - Accent6 8 3 4 4" xfId="15741"/>
    <cellStyle name="40% - Accent6 8 3 4 4 2" xfId="33627"/>
    <cellStyle name="40% - Accent6 8 3 4 5" xfId="33620"/>
    <cellStyle name="40% - Accent6 8 3 5" xfId="15742"/>
    <cellStyle name="40% - Accent6 8 3 5 2" xfId="15743"/>
    <cellStyle name="40% - Accent6 8 3 5 2 2" xfId="15744"/>
    <cellStyle name="40% - Accent6 8 3 5 2 2 2" xfId="33630"/>
    <cellStyle name="40% - Accent6 8 3 5 2 3" xfId="33629"/>
    <cellStyle name="40% - Accent6 8 3 5 3" xfId="15745"/>
    <cellStyle name="40% - Accent6 8 3 5 3 2" xfId="33631"/>
    <cellStyle name="40% - Accent6 8 3 5 4" xfId="33628"/>
    <cellStyle name="40% - Accent6 8 3 6" xfId="15746"/>
    <cellStyle name="40% - Accent6 8 3 6 2" xfId="15747"/>
    <cellStyle name="40% - Accent6 8 3 6 2 2" xfId="33633"/>
    <cellStyle name="40% - Accent6 8 3 6 3" xfId="33632"/>
    <cellStyle name="40% - Accent6 8 3 7" xfId="15748"/>
    <cellStyle name="40% - Accent6 8 3 7 2" xfId="33634"/>
    <cellStyle name="40% - Accent6 8 3 8" xfId="33587"/>
    <cellStyle name="40% - Accent6 8 4" xfId="15749"/>
    <cellStyle name="40% - Accent6 8 4 2" xfId="15750"/>
    <cellStyle name="40% - Accent6 8 4 2 2" xfId="15751"/>
    <cellStyle name="40% - Accent6 8 4 2 2 2" xfId="15752"/>
    <cellStyle name="40% - Accent6 8 4 2 2 2 2" xfId="15753"/>
    <cellStyle name="40% - Accent6 8 4 2 2 2 2 2" xfId="33639"/>
    <cellStyle name="40% - Accent6 8 4 2 2 2 3" xfId="33638"/>
    <cellStyle name="40% - Accent6 8 4 2 2 3" xfId="15754"/>
    <cellStyle name="40% - Accent6 8 4 2 2 3 2" xfId="33640"/>
    <cellStyle name="40% - Accent6 8 4 2 2 4" xfId="33637"/>
    <cellStyle name="40% - Accent6 8 4 2 3" xfId="15755"/>
    <cellStyle name="40% - Accent6 8 4 2 3 2" xfId="15756"/>
    <cellStyle name="40% - Accent6 8 4 2 3 2 2" xfId="33642"/>
    <cellStyle name="40% - Accent6 8 4 2 3 3" xfId="33641"/>
    <cellStyle name="40% - Accent6 8 4 2 4" xfId="15757"/>
    <cellStyle name="40% - Accent6 8 4 2 4 2" xfId="33643"/>
    <cellStyle name="40% - Accent6 8 4 2 5" xfId="33636"/>
    <cellStyle name="40% - Accent6 8 4 3" xfId="15758"/>
    <cellStyle name="40% - Accent6 8 4 3 2" xfId="15759"/>
    <cellStyle name="40% - Accent6 8 4 3 2 2" xfId="15760"/>
    <cellStyle name="40% - Accent6 8 4 3 2 2 2" xfId="15761"/>
    <cellStyle name="40% - Accent6 8 4 3 2 2 2 2" xfId="33647"/>
    <cellStyle name="40% - Accent6 8 4 3 2 2 3" xfId="33646"/>
    <cellStyle name="40% - Accent6 8 4 3 2 3" xfId="15762"/>
    <cellStyle name="40% - Accent6 8 4 3 2 3 2" xfId="33648"/>
    <cellStyle name="40% - Accent6 8 4 3 2 4" xfId="33645"/>
    <cellStyle name="40% - Accent6 8 4 3 3" xfId="15763"/>
    <cellStyle name="40% - Accent6 8 4 3 3 2" xfId="15764"/>
    <cellStyle name="40% - Accent6 8 4 3 3 2 2" xfId="33650"/>
    <cellStyle name="40% - Accent6 8 4 3 3 3" xfId="33649"/>
    <cellStyle name="40% - Accent6 8 4 3 4" xfId="15765"/>
    <cellStyle name="40% - Accent6 8 4 3 4 2" xfId="33651"/>
    <cellStyle name="40% - Accent6 8 4 3 5" xfId="33644"/>
    <cellStyle name="40% - Accent6 8 4 4" xfId="15766"/>
    <cellStyle name="40% - Accent6 8 4 4 2" xfId="15767"/>
    <cellStyle name="40% - Accent6 8 4 4 2 2" xfId="15768"/>
    <cellStyle name="40% - Accent6 8 4 4 2 2 2" xfId="33654"/>
    <cellStyle name="40% - Accent6 8 4 4 2 3" xfId="33653"/>
    <cellStyle name="40% - Accent6 8 4 4 3" xfId="15769"/>
    <cellStyle name="40% - Accent6 8 4 4 3 2" xfId="33655"/>
    <cellStyle name="40% - Accent6 8 4 4 4" xfId="33652"/>
    <cellStyle name="40% - Accent6 8 4 5" xfId="15770"/>
    <cellStyle name="40% - Accent6 8 4 5 2" xfId="15771"/>
    <cellStyle name="40% - Accent6 8 4 5 2 2" xfId="33657"/>
    <cellStyle name="40% - Accent6 8 4 5 3" xfId="33656"/>
    <cellStyle name="40% - Accent6 8 4 6" xfId="15772"/>
    <cellStyle name="40% - Accent6 8 4 6 2" xfId="33658"/>
    <cellStyle name="40% - Accent6 8 4 7" xfId="33635"/>
    <cellStyle name="40% - Accent6 8 5" xfId="15773"/>
    <cellStyle name="40% - Accent6 8 5 2" xfId="15774"/>
    <cellStyle name="40% - Accent6 8 5 2 2" xfId="15775"/>
    <cellStyle name="40% - Accent6 8 5 2 2 2" xfId="15776"/>
    <cellStyle name="40% - Accent6 8 5 2 2 2 2" xfId="33662"/>
    <cellStyle name="40% - Accent6 8 5 2 2 3" xfId="33661"/>
    <cellStyle name="40% - Accent6 8 5 2 3" xfId="15777"/>
    <cellStyle name="40% - Accent6 8 5 2 3 2" xfId="33663"/>
    <cellStyle name="40% - Accent6 8 5 2 4" xfId="33660"/>
    <cellStyle name="40% - Accent6 8 5 3" xfId="15778"/>
    <cellStyle name="40% - Accent6 8 5 3 2" xfId="15779"/>
    <cellStyle name="40% - Accent6 8 5 3 2 2" xfId="33665"/>
    <cellStyle name="40% - Accent6 8 5 3 3" xfId="33664"/>
    <cellStyle name="40% - Accent6 8 5 4" xfId="15780"/>
    <cellStyle name="40% - Accent6 8 5 4 2" xfId="33666"/>
    <cellStyle name="40% - Accent6 8 5 5" xfId="33659"/>
    <cellStyle name="40% - Accent6 8 6" xfId="15781"/>
    <cellStyle name="40% - Accent6 8 6 2" xfId="15782"/>
    <cellStyle name="40% - Accent6 8 6 2 2" xfId="15783"/>
    <cellStyle name="40% - Accent6 8 6 2 2 2" xfId="15784"/>
    <cellStyle name="40% - Accent6 8 6 2 2 2 2" xfId="33670"/>
    <cellStyle name="40% - Accent6 8 6 2 2 3" xfId="33669"/>
    <cellStyle name="40% - Accent6 8 6 2 3" xfId="15785"/>
    <cellStyle name="40% - Accent6 8 6 2 3 2" xfId="33671"/>
    <cellStyle name="40% - Accent6 8 6 2 4" xfId="33668"/>
    <cellStyle name="40% - Accent6 8 6 3" xfId="15786"/>
    <cellStyle name="40% - Accent6 8 6 3 2" xfId="15787"/>
    <cellStyle name="40% - Accent6 8 6 3 2 2" xfId="33673"/>
    <cellStyle name="40% - Accent6 8 6 3 3" xfId="33672"/>
    <cellStyle name="40% - Accent6 8 6 4" xfId="15788"/>
    <cellStyle name="40% - Accent6 8 6 4 2" xfId="33674"/>
    <cellStyle name="40% - Accent6 8 6 5" xfId="33667"/>
    <cellStyle name="40% - Accent6 8 7" xfId="15789"/>
    <cellStyle name="40% - Accent6 8 7 2" xfId="15790"/>
    <cellStyle name="40% - Accent6 8 7 2 2" xfId="15791"/>
    <cellStyle name="40% - Accent6 8 7 2 2 2" xfId="33677"/>
    <cellStyle name="40% - Accent6 8 7 2 3" xfId="33676"/>
    <cellStyle name="40% - Accent6 8 7 3" xfId="15792"/>
    <cellStyle name="40% - Accent6 8 7 3 2" xfId="33678"/>
    <cellStyle name="40% - Accent6 8 7 4" xfId="33675"/>
    <cellStyle name="40% - Accent6 8 8" xfId="15793"/>
    <cellStyle name="40% - Accent6 8 8 2" xfId="15794"/>
    <cellStyle name="40% - Accent6 8 8 2 2" xfId="33680"/>
    <cellStyle name="40% - Accent6 8 8 3" xfId="33679"/>
    <cellStyle name="40% - Accent6 8 9" xfId="15795"/>
    <cellStyle name="40% - Accent6 8 9 2" xfId="33681"/>
    <cellStyle name="40% - Accent6 9" xfId="15796"/>
    <cellStyle name="40% - Accent6 9 2" xfId="15797"/>
    <cellStyle name="40% - Accent6 9 2 2" xfId="15798"/>
    <cellStyle name="40% - Accent6 9 2 2 2" xfId="15799"/>
    <cellStyle name="40% - Accent6 9 2 2 2 2" xfId="33685"/>
    <cellStyle name="40% - Accent6 9 2 2 3" xfId="33684"/>
    <cellStyle name="40% - Accent6 9 2 3" xfId="15800"/>
    <cellStyle name="40% - Accent6 9 2 3 2" xfId="33686"/>
    <cellStyle name="40% - Accent6 9 2 4" xfId="33683"/>
    <cellStyle name="40% - Accent6 9 3" xfId="15801"/>
    <cellStyle name="40% - Accent6 9 3 2" xfId="15802"/>
    <cellStyle name="40% - Accent6 9 3 2 2" xfId="33688"/>
    <cellStyle name="40% - Accent6 9 3 3" xfId="33687"/>
    <cellStyle name="40% - Accent6 9 4" xfId="15803"/>
    <cellStyle name="40% - Accent6 9 4 2" xfId="33689"/>
    <cellStyle name="40% - Accent6 9 5" xfId="33682"/>
    <cellStyle name="60% - Accent1" xfId="14" builtinId="32" customBuiltin="1"/>
    <cellStyle name="60% - Accent1 2" xfId="248"/>
    <cellStyle name="60% - Accent1 2 2" xfId="15804"/>
    <cellStyle name="60% - Accent1 2 2 2" xfId="15805"/>
    <cellStyle name="60% - Accent1 2 3" xfId="15806"/>
    <cellStyle name="60% - Accent1 2 3 2" xfId="15807"/>
    <cellStyle name="60% - Accent1 2 3 3" xfId="15808"/>
    <cellStyle name="60% - Accent1 2 4" xfId="15809"/>
    <cellStyle name="60% - Accent1 2 5" xfId="15810"/>
    <cellStyle name="60% - Accent1 3" xfId="666"/>
    <cellStyle name="60% - Accent1 4" xfId="15811"/>
    <cellStyle name="60% - Accent1 5" xfId="15812"/>
    <cellStyle name="60% - Accent1 6" xfId="15813"/>
    <cellStyle name="60% - Accent1 7" xfId="15814"/>
    <cellStyle name="60% - Accent2" xfId="15" builtinId="36" customBuiltin="1"/>
    <cellStyle name="60% - Accent2 2" xfId="249"/>
    <cellStyle name="60% - Accent2 2 2" xfId="15815"/>
    <cellStyle name="60% - Accent2 2 2 2" xfId="15816"/>
    <cellStyle name="60% - Accent2 2 3" xfId="15817"/>
    <cellStyle name="60% - Accent2 2 3 2" xfId="15818"/>
    <cellStyle name="60% - Accent2 2 3 3" xfId="15819"/>
    <cellStyle name="60% - Accent2 2 4" xfId="15820"/>
    <cellStyle name="60% - Accent2 3" xfId="667"/>
    <cellStyle name="60% - Accent2 4" xfId="15821"/>
    <cellStyle name="60% - Accent2 5" xfId="15822"/>
    <cellStyle name="60% - Accent2 6" xfId="15823"/>
    <cellStyle name="60% - Accent2 7" xfId="15824"/>
    <cellStyle name="60% - Accent3" xfId="16" builtinId="40" customBuiltin="1"/>
    <cellStyle name="60% - Accent3 2" xfId="250"/>
    <cellStyle name="60% - Accent3 2 2" xfId="15825"/>
    <cellStyle name="60% - Accent3 2 2 2" xfId="15826"/>
    <cellStyle name="60% - Accent3 2 3" xfId="15827"/>
    <cellStyle name="60% - Accent3 2 3 2" xfId="15828"/>
    <cellStyle name="60% - Accent3 2 3 3" xfId="15829"/>
    <cellStyle name="60% - Accent3 2 4" xfId="15830"/>
    <cellStyle name="60% - Accent3 2 5" xfId="15831"/>
    <cellStyle name="60% - Accent3 3" xfId="668"/>
    <cellStyle name="60% - Accent3 4" xfId="15832"/>
    <cellStyle name="60% - Accent3 5" xfId="15833"/>
    <cellStyle name="60% - Accent3 6" xfId="15834"/>
    <cellStyle name="60% - Accent3 7" xfId="15835"/>
    <cellStyle name="60% - Accent4" xfId="17" builtinId="44" customBuiltin="1"/>
    <cellStyle name="60% - Accent4 2" xfId="251"/>
    <cellStyle name="60% - Accent4 2 2" xfId="15836"/>
    <cellStyle name="60% - Accent4 2 2 2" xfId="15837"/>
    <cellStyle name="60% - Accent4 2 3" xfId="15838"/>
    <cellStyle name="60% - Accent4 2 3 2" xfId="15839"/>
    <cellStyle name="60% - Accent4 2 3 3" xfId="15840"/>
    <cellStyle name="60% - Accent4 2 4" xfId="15841"/>
    <cellStyle name="60% - Accent4 2 5" xfId="15842"/>
    <cellStyle name="60% - Accent4 3" xfId="669"/>
    <cellStyle name="60% - Accent4 4" xfId="15843"/>
    <cellStyle name="60% - Accent4 5" xfId="15844"/>
    <cellStyle name="60% - Accent4 6" xfId="15845"/>
    <cellStyle name="60% - Accent4 7" xfId="15846"/>
    <cellStyle name="60% - Accent5" xfId="18" builtinId="48" customBuiltin="1"/>
    <cellStyle name="60% - Accent5 2" xfId="252"/>
    <cellStyle name="60% - Accent5 2 2" xfId="15847"/>
    <cellStyle name="60% - Accent5 2 2 2" xfId="15848"/>
    <cellStyle name="60% - Accent5 2 3" xfId="15849"/>
    <cellStyle name="60% - Accent5 2 3 2" xfId="15850"/>
    <cellStyle name="60% - Accent5 2 3 3" xfId="15851"/>
    <cellStyle name="60% - Accent5 2 4" xfId="15852"/>
    <cellStyle name="60% - Accent5 3" xfId="670"/>
    <cellStyle name="60% - Accent5 4" xfId="15853"/>
    <cellStyle name="60% - Accent5 5" xfId="15854"/>
    <cellStyle name="60% - Accent5 6" xfId="15855"/>
    <cellStyle name="60% - Accent5 7" xfId="15856"/>
    <cellStyle name="60% - Accent6" xfId="19" builtinId="52" customBuiltin="1"/>
    <cellStyle name="60% - Accent6 2" xfId="253"/>
    <cellStyle name="60% - Accent6 2 2" xfId="15857"/>
    <cellStyle name="60% - Accent6 2 2 2" xfId="15858"/>
    <cellStyle name="60% - Accent6 2 3" xfId="15859"/>
    <cellStyle name="60% - Accent6 2 3 2" xfId="15860"/>
    <cellStyle name="60% - Accent6 2 3 3" xfId="15861"/>
    <cellStyle name="60% - Accent6 2 4" xfId="15862"/>
    <cellStyle name="60% - Accent6 2 5" xfId="15863"/>
    <cellStyle name="60% - Accent6 3" xfId="671"/>
    <cellStyle name="60% - Accent6 4" xfId="15864"/>
    <cellStyle name="60% - Accent6 5" xfId="15865"/>
    <cellStyle name="60% - Accent6 6" xfId="15866"/>
    <cellStyle name="60% - Accent6 7" xfId="15867"/>
    <cellStyle name="Accent1" xfId="20" builtinId="29" customBuiltin="1"/>
    <cellStyle name="Accent1 - 20%" xfId="81"/>
    <cellStyle name="Accent1 - 40%" xfId="82"/>
    <cellStyle name="Accent1 - 60%" xfId="83"/>
    <cellStyle name="Accent1 10" xfId="15868"/>
    <cellStyle name="Accent1 11" xfId="15869"/>
    <cellStyle name="Accent1 12" xfId="15870"/>
    <cellStyle name="Accent1 2" xfId="254"/>
    <cellStyle name="Accent1 2 2" xfId="15871"/>
    <cellStyle name="Accent1 2 2 2" xfId="15872"/>
    <cellStyle name="Accent1 2 3" xfId="15873"/>
    <cellStyle name="Accent1 2 3 2" xfId="15874"/>
    <cellStyle name="Accent1 2 3 3" xfId="15875"/>
    <cellStyle name="Accent1 2 4" xfId="15876"/>
    <cellStyle name="Accent1 2 5" xfId="15877"/>
    <cellStyle name="Accent1 3" xfId="672"/>
    <cellStyle name="Accent1 4" xfId="673"/>
    <cellStyle name="Accent1 5" xfId="15878"/>
    <cellStyle name="Accent1 6" xfId="15879"/>
    <cellStyle name="Accent1 7" xfId="15880"/>
    <cellStyle name="Accent1 8" xfId="15881"/>
    <cellStyle name="Accent1 9" xfId="15882"/>
    <cellStyle name="Accent2" xfId="21" builtinId="33" customBuiltin="1"/>
    <cellStyle name="Accent2 - 20%" xfId="84"/>
    <cellStyle name="Accent2 - 40%" xfId="85"/>
    <cellStyle name="Accent2 - 60%" xfId="86"/>
    <cellStyle name="Accent2 2" xfId="255"/>
    <cellStyle name="Accent2 2 2" xfId="15883"/>
    <cellStyle name="Accent2 2 2 2" xfId="15884"/>
    <cellStyle name="Accent2 2 3" xfId="15885"/>
    <cellStyle name="Accent2 2 3 2" xfId="15886"/>
    <cellStyle name="Accent2 2 3 3" xfId="15887"/>
    <cellStyle name="Accent2 2 4" xfId="15888"/>
    <cellStyle name="Accent2 3" xfId="674"/>
    <cellStyle name="Accent2 4" xfId="675"/>
    <cellStyle name="Accent2 5" xfId="15889"/>
    <cellStyle name="Accent2 6" xfId="15890"/>
    <cellStyle name="Accent3" xfId="22" builtinId="37" customBuiltin="1"/>
    <cellStyle name="Accent3 - 20%" xfId="87"/>
    <cellStyle name="Accent3 - 40%" xfId="88"/>
    <cellStyle name="Accent3 - 60%" xfId="89"/>
    <cellStyle name="Accent3 2" xfId="256"/>
    <cellStyle name="Accent3 2 2" xfId="15891"/>
    <cellStyle name="Accent3 2 2 2" xfId="15892"/>
    <cellStyle name="Accent3 2 3" xfId="15893"/>
    <cellStyle name="Accent3 2 3 2" xfId="15894"/>
    <cellStyle name="Accent3 2 3 3" xfId="15895"/>
    <cellStyle name="Accent3 2 4" xfId="15896"/>
    <cellStyle name="Accent3 3" xfId="676"/>
    <cellStyle name="Accent3 4" xfId="677"/>
    <cellStyle name="Accent3 5" xfId="15897"/>
    <cellStyle name="Accent3 6" xfId="15898"/>
    <cellStyle name="Accent4" xfId="23" builtinId="41" customBuiltin="1"/>
    <cellStyle name="Accent4 - 20%" xfId="90"/>
    <cellStyle name="Accent4 - 40%" xfId="91"/>
    <cellStyle name="Accent4 - 60%" xfId="92"/>
    <cellStyle name="Accent4 10" xfId="15899"/>
    <cellStyle name="Accent4 11" xfId="15900"/>
    <cellStyle name="Accent4 12" xfId="15901"/>
    <cellStyle name="Accent4 2" xfId="257"/>
    <cellStyle name="Accent4 2 2" xfId="15902"/>
    <cellStyle name="Accent4 2 2 2" xfId="15903"/>
    <cellStyle name="Accent4 2 3" xfId="15904"/>
    <cellStyle name="Accent4 2 3 2" xfId="15905"/>
    <cellStyle name="Accent4 2 3 3" xfId="15906"/>
    <cellStyle name="Accent4 2 4" xfId="15907"/>
    <cellStyle name="Accent4 2 5" xfId="15908"/>
    <cellStyle name="Accent4 3" xfId="678"/>
    <cellStyle name="Accent4 4" xfId="679"/>
    <cellStyle name="Accent4 5" xfId="15909"/>
    <cellStyle name="Accent4 6" xfId="15910"/>
    <cellStyle name="Accent4 7" xfId="15911"/>
    <cellStyle name="Accent4 8" xfId="15912"/>
    <cellStyle name="Accent4 9" xfId="15913"/>
    <cellStyle name="Accent5" xfId="25" builtinId="45" customBuiltin="1"/>
    <cellStyle name="Accent5 - 20%" xfId="93"/>
    <cellStyle name="Accent5 - 40%" xfId="94"/>
    <cellStyle name="Accent5 - 60%" xfId="95"/>
    <cellStyle name="Accent5 2" xfId="258"/>
    <cellStyle name="Accent5 2 2" xfId="15914"/>
    <cellStyle name="Accent5 2 2 2" xfId="15915"/>
    <cellStyle name="Accent5 2 3" xfId="15916"/>
    <cellStyle name="Accent5 2 3 2" xfId="15917"/>
    <cellStyle name="Accent5 2 3 3" xfId="15918"/>
    <cellStyle name="Accent5 2 4" xfId="15919"/>
    <cellStyle name="Accent5 3" xfId="680"/>
    <cellStyle name="Accent5 4" xfId="681"/>
    <cellStyle name="Accent5 5" xfId="15920"/>
    <cellStyle name="Accent5 6" xfId="15921"/>
    <cellStyle name="Accent6" xfId="26" builtinId="49" customBuiltin="1"/>
    <cellStyle name="Accent6 - 20%" xfId="96"/>
    <cellStyle name="Accent6 - 40%" xfId="97"/>
    <cellStyle name="Accent6 - 60%" xfId="98"/>
    <cellStyle name="Accent6 2" xfId="259"/>
    <cellStyle name="Accent6 2 2" xfId="15922"/>
    <cellStyle name="Accent6 2 2 2" xfId="15923"/>
    <cellStyle name="Accent6 2 3" xfId="15924"/>
    <cellStyle name="Accent6 2 3 2" xfId="15925"/>
    <cellStyle name="Accent6 2 3 3" xfId="15926"/>
    <cellStyle name="Accent6 2 4" xfId="15927"/>
    <cellStyle name="Accent6 3" xfId="682"/>
    <cellStyle name="Accent6 4" xfId="683"/>
    <cellStyle name="Accent6 5" xfId="15928"/>
    <cellStyle name="Accent6 6" xfId="15929"/>
    <cellStyle name="Agara" xfId="99"/>
    <cellStyle name="Assumptions Center Currency" xfId="15930"/>
    <cellStyle name="Assumptions Center Currency 2" xfId="33690"/>
    <cellStyle name="Assumptions Center Date" xfId="15931"/>
    <cellStyle name="Assumptions Center Date 2" xfId="33691"/>
    <cellStyle name="Assumptions Center Multiple" xfId="15932"/>
    <cellStyle name="Assumptions Center Multiple 2" xfId="33692"/>
    <cellStyle name="Assumptions Center Number" xfId="15933"/>
    <cellStyle name="Assumptions Center Number 2" xfId="33693"/>
    <cellStyle name="Assumptions Center Percentage" xfId="15934"/>
    <cellStyle name="Assumptions Center Percentage 2" xfId="33694"/>
    <cellStyle name="Assumptions Center Year" xfId="15935"/>
    <cellStyle name="Assumptions Center Year 2" xfId="33695"/>
    <cellStyle name="Assumptions Heading" xfId="15936"/>
    <cellStyle name="Assumptions Heading 2" xfId="33696"/>
    <cellStyle name="Assumptions Right Currency" xfId="15937"/>
    <cellStyle name="Assumptions Right Currency 2" xfId="33697"/>
    <cellStyle name="Assumptions Right Date" xfId="15938"/>
    <cellStyle name="Assumptions Right Date 2" xfId="33698"/>
    <cellStyle name="Assumptions Right Multiple" xfId="15939"/>
    <cellStyle name="Assumptions Right Multiple 2" xfId="33699"/>
    <cellStyle name="Assumptions Right Number" xfId="15940"/>
    <cellStyle name="Assumptions Right Number 2" xfId="33700"/>
    <cellStyle name="Assumptions Right Percentage" xfId="15941"/>
    <cellStyle name="Assumptions Right Percentage 2" xfId="33701"/>
    <cellStyle name="Assumptions Right Year" xfId="15942"/>
    <cellStyle name="Assumptions Right Year 2" xfId="33702"/>
    <cellStyle name="B79812_.wvu.PrintTitlest" xfId="100"/>
    <cellStyle name="Bad" xfId="27" builtinId="27" customBuiltin="1"/>
    <cellStyle name="Bad 2" xfId="260"/>
    <cellStyle name="Bad 2 2" xfId="15943"/>
    <cellStyle name="Bad 2 2 2" xfId="15944"/>
    <cellStyle name="Bad 2 3" xfId="15945"/>
    <cellStyle name="Bad 2 3 2" xfId="15946"/>
    <cellStyle name="Bad 2 3 3" xfId="15947"/>
    <cellStyle name="Bad 2 4" xfId="15948"/>
    <cellStyle name="Bad 3" xfId="684"/>
    <cellStyle name="Bad 4" xfId="15949"/>
    <cellStyle name="Bad 5" xfId="15950"/>
    <cellStyle name="Bad 6" xfId="15951"/>
    <cellStyle name="Black" xfId="101"/>
    <cellStyle name="Blank" xfId="15952"/>
    <cellStyle name="Blockout" xfId="102"/>
    <cellStyle name="Blockout 2" xfId="198"/>
    <cellStyle name="Blockout 3" xfId="314"/>
    <cellStyle name="Blue" xfId="103"/>
    <cellStyle name="Border" xfId="15953"/>
    <cellStyle name="Calculation" xfId="28" builtinId="22" customBuiltin="1"/>
    <cellStyle name="Calculation 2" xfId="49"/>
    <cellStyle name="Calculation 2 2" xfId="315"/>
    <cellStyle name="Calculation 2 2 2" xfId="15954"/>
    <cellStyle name="Calculation 2 2 3" xfId="15955"/>
    <cellStyle name="Calculation 2 3" xfId="316"/>
    <cellStyle name="Calculation 2 3 2" xfId="15956"/>
    <cellStyle name="Calculation 2 3 3" xfId="15957"/>
    <cellStyle name="Calculation 2 3 4" xfId="15958"/>
    <cellStyle name="Calculation 2 4" xfId="15959"/>
    <cellStyle name="Calculation 2 5" xfId="15960"/>
    <cellStyle name="Calculation 3" xfId="685"/>
    <cellStyle name="Calculation 4" xfId="15961"/>
    <cellStyle name="Calculation 5" xfId="15962"/>
    <cellStyle name="Calculation 6" xfId="15963"/>
    <cellStyle name="Calculation 7" xfId="15964"/>
    <cellStyle name="Cell Link" xfId="15965"/>
    <cellStyle name="Center Currency" xfId="15966"/>
    <cellStyle name="Center Date" xfId="15967"/>
    <cellStyle name="Center Multiple" xfId="15968"/>
    <cellStyle name="Center Number" xfId="15969"/>
    <cellStyle name="Center Percentage" xfId="15970"/>
    <cellStyle name="Center Year" xfId="15971"/>
    <cellStyle name="Check Cell" xfId="29" builtinId="23" customBuiltin="1"/>
    <cellStyle name="Check Cell 2" xfId="261"/>
    <cellStyle name="Check Cell 2 2" xfId="15972"/>
    <cellStyle name="Check Cell 2 2 2" xfId="15973"/>
    <cellStyle name="Check Cell 2 2 2 2" xfId="317"/>
    <cellStyle name="Check Cell 2 3" xfId="15974"/>
    <cellStyle name="Check Cell 2 3 2" xfId="15975"/>
    <cellStyle name="Check Cell 2 3 3" xfId="15976"/>
    <cellStyle name="Check Cell 2 4" xfId="15977"/>
    <cellStyle name="Check Cell 2 5" xfId="15978"/>
    <cellStyle name="Check Cell 3" xfId="686"/>
    <cellStyle name="Check Cell 4" xfId="15979"/>
    <cellStyle name="Check Cell 5" xfId="15980"/>
    <cellStyle name="Check Cell 6" xfId="15981"/>
    <cellStyle name="Comma" xfId="30" builtinId="3"/>
    <cellStyle name="Comma [0]7Z_87C" xfId="104"/>
    <cellStyle name="Comma 0" xfId="105"/>
    <cellStyle name="Comma 1" xfId="106"/>
    <cellStyle name="Comma 1 2" xfId="199"/>
    <cellStyle name="Comma 10" xfId="318"/>
    <cellStyle name="Comma 10 2" xfId="687"/>
    <cellStyle name="Comma 10 2 2" xfId="33704"/>
    <cellStyle name="Comma 10 3" xfId="15982"/>
    <cellStyle name="Comma 10 4" xfId="33703"/>
    <cellStyle name="Comma 11" xfId="319"/>
    <cellStyle name="Comma 11 2" xfId="15983"/>
    <cellStyle name="Comma 11 2 2" xfId="15984"/>
    <cellStyle name="Comma 11 2 2 2" xfId="33706"/>
    <cellStyle name="Comma 11 2 3" xfId="33705"/>
    <cellStyle name="Comma 11 3" xfId="15985"/>
    <cellStyle name="Comma 11 3 2" xfId="33707"/>
    <cellStyle name="Comma 11 4" xfId="15986"/>
    <cellStyle name="Comma 11 4 2" xfId="33708"/>
    <cellStyle name="Comma 12" xfId="598"/>
    <cellStyle name="Comma 12 2" xfId="688"/>
    <cellStyle name="Comma 12 2 2" xfId="33709"/>
    <cellStyle name="Comma 12 3" xfId="15987"/>
    <cellStyle name="Comma 13" xfId="599"/>
    <cellStyle name="Comma 13 2" xfId="689"/>
    <cellStyle name="Comma 13 2 2" xfId="15988"/>
    <cellStyle name="Comma 13 2 2 2" xfId="33711"/>
    <cellStyle name="Comma 13 2 3" xfId="33710"/>
    <cellStyle name="Comma 13 3" xfId="15989"/>
    <cellStyle name="Comma 13 3 2" xfId="33712"/>
    <cellStyle name="Comma 13 4" xfId="15990"/>
    <cellStyle name="Comma 13 4 2" xfId="33713"/>
    <cellStyle name="Comma 14" xfId="600"/>
    <cellStyle name="Comma 14 2" xfId="15991"/>
    <cellStyle name="Comma 14 3" xfId="15992"/>
    <cellStyle name="Comma 15" xfId="601"/>
    <cellStyle name="Comma 15 2" xfId="15993"/>
    <cellStyle name="Comma 16" xfId="602"/>
    <cellStyle name="Comma 16 2" xfId="15994"/>
    <cellStyle name="Comma 17" xfId="603"/>
    <cellStyle name="Comma 17 2" xfId="15995"/>
    <cellStyle name="Comma 18" xfId="604"/>
    <cellStyle name="Comma 19" xfId="605"/>
    <cellStyle name="Comma 2" xfId="107"/>
    <cellStyle name="Comma 2 2" xfId="108"/>
    <cellStyle name="Comma 2 2 2" xfId="320"/>
    <cellStyle name="Comma 2 2 2 2" xfId="15996"/>
    <cellStyle name="Comma 2 2 3" xfId="321"/>
    <cellStyle name="Comma 2 2 3 2" xfId="15997"/>
    <cellStyle name="Comma 2 2 4" xfId="15998"/>
    <cellStyle name="Comma 2 3" xfId="109"/>
    <cellStyle name="Comma 2 3 2" xfId="201"/>
    <cellStyle name="Comma 2 3 2 2" xfId="15999"/>
    <cellStyle name="Comma 2 4" xfId="200"/>
    <cellStyle name="Comma 2 4 2" xfId="16000"/>
    <cellStyle name="Comma 2 5" xfId="262"/>
    <cellStyle name="Comma 2 5 2" xfId="16001"/>
    <cellStyle name="Comma 2 6" xfId="322"/>
    <cellStyle name="Comma 2 7" xfId="690"/>
    <cellStyle name="Comma 2 8" xfId="691"/>
    <cellStyle name="Comma 20" xfId="606"/>
    <cellStyle name="Comma 21" xfId="607"/>
    <cellStyle name="Comma 22" xfId="608"/>
    <cellStyle name="Comma 23" xfId="609"/>
    <cellStyle name="Comma 24" xfId="610"/>
    <cellStyle name="Comma 25" xfId="611"/>
    <cellStyle name="Comma 26" xfId="612"/>
    <cellStyle name="Comma 27" xfId="613"/>
    <cellStyle name="Comma 28" xfId="614"/>
    <cellStyle name="Comma 29" xfId="615"/>
    <cellStyle name="Comma 3" xfId="110"/>
    <cellStyle name="Comma 3 2" xfId="202"/>
    <cellStyle name="Comma 3 2 2" xfId="323"/>
    <cellStyle name="Comma 3 2 2 2" xfId="16002"/>
    <cellStyle name="Comma 3 2 3" xfId="16003"/>
    <cellStyle name="Comma 3 3" xfId="263"/>
    <cellStyle name="Comma 3 3 2" xfId="324"/>
    <cellStyle name="Comma 3 3 3" xfId="16004"/>
    <cellStyle name="Comma 3 4" xfId="325"/>
    <cellStyle name="Comma 3 4 2" xfId="16005"/>
    <cellStyle name="Comma 3 5" xfId="326"/>
    <cellStyle name="Comma 3 6" xfId="327"/>
    <cellStyle name="Comma 3 7" xfId="692"/>
    <cellStyle name="Comma 3 7 2" xfId="693"/>
    <cellStyle name="Comma 3 7 2 2" xfId="33715"/>
    <cellStyle name="Comma 3 7 3" xfId="33714"/>
    <cellStyle name="Comma 3 8" xfId="694"/>
    <cellStyle name="Comma 3 9" xfId="695"/>
    <cellStyle name="Comma 3 9 2" xfId="33716"/>
    <cellStyle name="Comma 30" xfId="616"/>
    <cellStyle name="Comma 31" xfId="617"/>
    <cellStyle name="Comma 4" xfId="264"/>
    <cellStyle name="Comma 4 2" xfId="328"/>
    <cellStyle name="Comma 4 2 2" xfId="16006"/>
    <cellStyle name="Comma 4 2 2 2" xfId="16007"/>
    <cellStyle name="Comma 4 2 2 2 2" xfId="16008"/>
    <cellStyle name="Comma 4 2 2 2 2 2" xfId="16009"/>
    <cellStyle name="Comma 4 2 2 2 2 2 2" xfId="33720"/>
    <cellStyle name="Comma 4 2 2 2 2 3" xfId="33719"/>
    <cellStyle name="Comma 4 2 2 2 3" xfId="16010"/>
    <cellStyle name="Comma 4 2 2 2 3 2" xfId="33721"/>
    <cellStyle name="Comma 4 2 2 2 4" xfId="33718"/>
    <cellStyle name="Comma 4 2 2 3" xfId="16011"/>
    <cellStyle name="Comma 4 2 2 3 2" xfId="16012"/>
    <cellStyle name="Comma 4 2 2 3 2 2" xfId="33723"/>
    <cellStyle name="Comma 4 2 2 3 3" xfId="33722"/>
    <cellStyle name="Comma 4 2 2 4" xfId="16013"/>
    <cellStyle name="Comma 4 2 2 4 2" xfId="33724"/>
    <cellStyle name="Comma 4 2 2 5" xfId="33717"/>
    <cellStyle name="Comma 4 2 3" xfId="16014"/>
    <cellStyle name="Comma 4 2 3 2" xfId="16015"/>
    <cellStyle name="Comma 4 2 3 2 2" xfId="16016"/>
    <cellStyle name="Comma 4 2 3 2 2 2" xfId="16017"/>
    <cellStyle name="Comma 4 2 3 2 2 2 2" xfId="33728"/>
    <cellStyle name="Comma 4 2 3 2 2 3" xfId="33727"/>
    <cellStyle name="Comma 4 2 3 2 3" xfId="16018"/>
    <cellStyle name="Comma 4 2 3 2 3 2" xfId="33729"/>
    <cellStyle name="Comma 4 2 3 2 4" xfId="33726"/>
    <cellStyle name="Comma 4 2 3 3" xfId="16019"/>
    <cellStyle name="Comma 4 2 3 3 2" xfId="16020"/>
    <cellStyle name="Comma 4 2 3 3 2 2" xfId="33731"/>
    <cellStyle name="Comma 4 2 3 3 3" xfId="33730"/>
    <cellStyle name="Comma 4 2 3 4" xfId="16021"/>
    <cellStyle name="Comma 4 2 3 4 2" xfId="33732"/>
    <cellStyle name="Comma 4 2 3 5" xfId="33725"/>
    <cellStyle name="Comma 4 2 4" xfId="16022"/>
    <cellStyle name="Comma 4 2 4 2" xfId="16023"/>
    <cellStyle name="Comma 4 2 4 2 2" xfId="16024"/>
    <cellStyle name="Comma 4 2 4 2 2 2" xfId="33735"/>
    <cellStyle name="Comma 4 2 4 2 3" xfId="33734"/>
    <cellStyle name="Comma 4 2 4 3" xfId="16025"/>
    <cellStyle name="Comma 4 2 4 3 2" xfId="33736"/>
    <cellStyle name="Comma 4 2 4 4" xfId="33733"/>
    <cellStyle name="Comma 4 2 5" xfId="16026"/>
    <cellStyle name="Comma 4 2 5 2" xfId="16027"/>
    <cellStyle name="Comma 4 2 5 2 2" xfId="33738"/>
    <cellStyle name="Comma 4 2 5 3" xfId="33737"/>
    <cellStyle name="Comma 4 2 6" xfId="16028"/>
    <cellStyle name="Comma 4 2 6 2" xfId="33739"/>
    <cellStyle name="Comma 4 2 7" xfId="16029"/>
    <cellStyle name="Comma 4 2 7 2" xfId="33740"/>
    <cellStyle name="Comma 4 3" xfId="696"/>
    <cellStyle name="Comma 4 3 2" xfId="16030"/>
    <cellStyle name="Comma 4 3 2 2" xfId="16031"/>
    <cellStyle name="Comma 4 3 2 2 2" xfId="16032"/>
    <cellStyle name="Comma 4 3 2 2 2 2" xfId="33743"/>
    <cellStyle name="Comma 4 3 2 2 3" xfId="33742"/>
    <cellStyle name="Comma 4 3 2 3" xfId="16033"/>
    <cellStyle name="Comma 4 3 2 3 2" xfId="33744"/>
    <cellStyle name="Comma 4 3 2 4" xfId="33741"/>
    <cellStyle name="Comma 4 3 3" xfId="16034"/>
    <cellStyle name="Comma 4 3 3 2" xfId="16035"/>
    <cellStyle name="Comma 4 3 3 2 2" xfId="33746"/>
    <cellStyle name="Comma 4 3 3 3" xfId="33745"/>
    <cellStyle name="Comma 4 3 4" xfId="16036"/>
    <cellStyle name="Comma 4 3 4 2" xfId="33747"/>
    <cellStyle name="Comma 4 4" xfId="697"/>
    <cellStyle name="Comma 4 4 2" xfId="16037"/>
    <cellStyle name="Comma 4 4 2 2" xfId="16038"/>
    <cellStyle name="Comma 4 4 2 2 2" xfId="16039"/>
    <cellStyle name="Comma 4 4 2 2 2 2" xfId="33750"/>
    <cellStyle name="Comma 4 4 2 2 3" xfId="33749"/>
    <cellStyle name="Comma 4 4 2 3" xfId="16040"/>
    <cellStyle name="Comma 4 4 2 3 2" xfId="33751"/>
    <cellStyle name="Comma 4 4 2 4" xfId="33748"/>
    <cellStyle name="Comma 4 4 3" xfId="16041"/>
    <cellStyle name="Comma 4 4 3 2" xfId="16042"/>
    <cellStyle name="Comma 4 4 3 2 2" xfId="33753"/>
    <cellStyle name="Comma 4 4 3 3" xfId="33752"/>
    <cellStyle name="Comma 4 4 4" xfId="16043"/>
    <cellStyle name="Comma 4 4 4 2" xfId="33754"/>
    <cellStyle name="Comma 4 5" xfId="16044"/>
    <cellStyle name="Comma 4 5 2" xfId="16045"/>
    <cellStyle name="Comma 4 5 2 2" xfId="16046"/>
    <cellStyle name="Comma 4 5 2 2 2" xfId="33757"/>
    <cellStyle name="Comma 4 5 2 3" xfId="33756"/>
    <cellStyle name="Comma 4 5 3" xfId="16047"/>
    <cellStyle name="Comma 4 5 3 2" xfId="33758"/>
    <cellStyle name="Comma 4 5 4" xfId="33755"/>
    <cellStyle name="Comma 4 6" xfId="16048"/>
    <cellStyle name="Comma 4 6 2" xfId="16049"/>
    <cellStyle name="Comma 4 6 2 2" xfId="33760"/>
    <cellStyle name="Comma 4 6 3" xfId="33759"/>
    <cellStyle name="Comma 4 7" xfId="16050"/>
    <cellStyle name="Comma 4 8" xfId="16051"/>
    <cellStyle name="Comma 4 8 2" xfId="33761"/>
    <cellStyle name="Comma 4 9" xfId="16052"/>
    <cellStyle name="Comma 4 9 2" xfId="33762"/>
    <cellStyle name="Comma 5" xfId="265"/>
    <cellStyle name="Comma 5 2" xfId="16053"/>
    <cellStyle name="Comma 5 2 2" xfId="16054"/>
    <cellStyle name="Comma 5 2 2 2" xfId="16055"/>
    <cellStyle name="Comma 5 2 2 2 2" xfId="16056"/>
    <cellStyle name="Comma 5 2 2 2 2 2" xfId="33765"/>
    <cellStyle name="Comma 5 2 2 2 3" xfId="33764"/>
    <cellStyle name="Comma 5 2 2 3" xfId="16057"/>
    <cellStyle name="Comma 5 2 2 3 2" xfId="33766"/>
    <cellStyle name="Comma 5 2 2 4" xfId="33763"/>
    <cellStyle name="Comma 5 2 3" xfId="16058"/>
    <cellStyle name="Comma 5 2 3 2" xfId="16059"/>
    <cellStyle name="Comma 5 2 3 2 2" xfId="33768"/>
    <cellStyle name="Comma 5 2 3 3" xfId="33767"/>
    <cellStyle name="Comma 5 2 4" xfId="16060"/>
    <cellStyle name="Comma 5 2 4 2" xfId="33769"/>
    <cellStyle name="Comma 5 2 5" xfId="16061"/>
    <cellStyle name="Comma 5 2 5 2" xfId="33770"/>
    <cellStyle name="Comma 5 3" xfId="16062"/>
    <cellStyle name="Comma 5 3 2" xfId="16063"/>
    <cellStyle name="Comma 5 3 2 2" xfId="16064"/>
    <cellStyle name="Comma 5 3 2 2 2" xfId="16065"/>
    <cellStyle name="Comma 5 3 2 2 2 2" xfId="33774"/>
    <cellStyle name="Comma 5 3 2 2 3" xfId="33773"/>
    <cellStyle name="Comma 5 3 2 3" xfId="16066"/>
    <cellStyle name="Comma 5 3 2 3 2" xfId="33775"/>
    <cellStyle name="Comma 5 3 2 4" xfId="33772"/>
    <cellStyle name="Comma 5 3 3" xfId="16067"/>
    <cellStyle name="Comma 5 3 3 2" xfId="16068"/>
    <cellStyle name="Comma 5 3 3 2 2" xfId="33777"/>
    <cellStyle name="Comma 5 3 3 3" xfId="33776"/>
    <cellStyle name="Comma 5 3 4" xfId="16069"/>
    <cellStyle name="Comma 5 3 4 2" xfId="33778"/>
    <cellStyle name="Comma 5 3 5" xfId="33771"/>
    <cellStyle name="Comma 5 4" xfId="16070"/>
    <cellStyle name="Comma 5 4 2" xfId="16071"/>
    <cellStyle name="Comma 5 4 2 2" xfId="16072"/>
    <cellStyle name="Comma 5 4 2 2 2" xfId="33781"/>
    <cellStyle name="Comma 5 4 2 3" xfId="33780"/>
    <cellStyle name="Comma 5 4 3" xfId="16073"/>
    <cellStyle name="Comma 5 4 3 2" xfId="33782"/>
    <cellStyle name="Comma 5 4 4" xfId="33779"/>
    <cellStyle name="Comma 5 5" xfId="16074"/>
    <cellStyle name="Comma 5 5 2" xfId="16075"/>
    <cellStyle name="Comma 5 5 2 2" xfId="33784"/>
    <cellStyle name="Comma 5 5 3" xfId="33783"/>
    <cellStyle name="Comma 5 6" xfId="16076"/>
    <cellStyle name="Comma 5 6 2" xfId="33785"/>
    <cellStyle name="Comma 5 7" xfId="16077"/>
    <cellStyle name="Comma 5 8" xfId="16078"/>
    <cellStyle name="Comma 5 8 2" xfId="33786"/>
    <cellStyle name="Comma 6" xfId="266"/>
    <cellStyle name="Comma 6 2" xfId="16079"/>
    <cellStyle name="Comma 6 3" xfId="16080"/>
    <cellStyle name="Comma 6 3 2" xfId="33787"/>
    <cellStyle name="Comma 6 4" xfId="16081"/>
    <cellStyle name="Comma 7" xfId="285"/>
    <cellStyle name="Comma 7 2" xfId="16082"/>
    <cellStyle name="Comma 7 2 2" xfId="16083"/>
    <cellStyle name="Comma 7 2 2 2" xfId="16084"/>
    <cellStyle name="Comma 7 2 2 2 2" xfId="33790"/>
    <cellStyle name="Comma 7 2 2 3" xfId="33789"/>
    <cellStyle name="Comma 7 2 3" xfId="16085"/>
    <cellStyle name="Comma 7 2 3 2" xfId="33791"/>
    <cellStyle name="Comma 7 2 4" xfId="33788"/>
    <cellStyle name="Comma 7 3" xfId="16086"/>
    <cellStyle name="Comma 7 3 2" xfId="16087"/>
    <cellStyle name="Comma 7 3 2 2" xfId="33793"/>
    <cellStyle name="Comma 7 3 3" xfId="33792"/>
    <cellStyle name="Comma 7 4" xfId="16088"/>
    <cellStyle name="Comma 7 4 2" xfId="33794"/>
    <cellStyle name="Comma 7 5" xfId="16089"/>
    <cellStyle name="Comma 7 6" xfId="16090"/>
    <cellStyle name="Comma 7 6 2" xfId="33795"/>
    <cellStyle name="Comma 8" xfId="286"/>
    <cellStyle name="Comma 8 2" xfId="16091"/>
    <cellStyle name="Comma 8 2 2" xfId="16092"/>
    <cellStyle name="Comma 8 2 2 2" xfId="16093"/>
    <cellStyle name="Comma 8 2 2 2 2" xfId="33798"/>
    <cellStyle name="Comma 8 2 2 3" xfId="33797"/>
    <cellStyle name="Comma 8 2 3" xfId="16094"/>
    <cellStyle name="Comma 8 2 3 2" xfId="33799"/>
    <cellStyle name="Comma 8 2 4" xfId="33796"/>
    <cellStyle name="Comma 8 3" xfId="16095"/>
    <cellStyle name="Comma 8 3 2" xfId="16096"/>
    <cellStyle name="Comma 8 3 2 2" xfId="33801"/>
    <cellStyle name="Comma 8 3 3" xfId="33800"/>
    <cellStyle name="Comma 8 4" xfId="16097"/>
    <cellStyle name="Comma 8 4 2" xfId="33802"/>
    <cellStyle name="Comma 8 5" xfId="16098"/>
    <cellStyle name="Comma 8 6" xfId="16099"/>
    <cellStyle name="Comma 8 6 2" xfId="33803"/>
    <cellStyle name="Comma 9" xfId="329"/>
    <cellStyle name="Comma 9 2" xfId="330"/>
    <cellStyle name="Comma 9 2 2" xfId="698"/>
    <cellStyle name="Comma 9 2 2 2" xfId="33806"/>
    <cellStyle name="Comma 9 2 3" xfId="33805"/>
    <cellStyle name="Comma 9 3" xfId="331"/>
    <cellStyle name="Comma 9 3 2" xfId="699"/>
    <cellStyle name="Comma 9 3 2 2" xfId="33808"/>
    <cellStyle name="Comma 9 3 3" xfId="33807"/>
    <cellStyle name="Comma 9 4" xfId="700"/>
    <cellStyle name="Comma 9 4 2" xfId="33809"/>
    <cellStyle name="Comma 9 5" xfId="33804"/>
    <cellStyle name="Comma0" xfId="111"/>
    <cellStyle name="Currency" xfId="31" builtinId="4"/>
    <cellStyle name="Currency 11" xfId="112"/>
    <cellStyle name="Currency 11 2" xfId="203"/>
    <cellStyle name="Currency 2" xfId="113"/>
    <cellStyle name="Currency 2 2" xfId="204"/>
    <cellStyle name="Currency 2 2 2" xfId="16100"/>
    <cellStyle name="Currency 2 2 3" xfId="16101"/>
    <cellStyle name="Currency 2 3" xfId="332"/>
    <cellStyle name="Currency 2 4" xfId="16102"/>
    <cellStyle name="Currency 3" xfId="114"/>
    <cellStyle name="Currency 3 2" xfId="205"/>
    <cellStyle name="Currency 3 3" xfId="16103"/>
    <cellStyle name="Currency 4" xfId="115"/>
    <cellStyle name="Currency 4 2" xfId="206"/>
    <cellStyle name="Currency 4 3" xfId="16104"/>
    <cellStyle name="Currency 4 3 2" xfId="33810"/>
    <cellStyle name="Currency 5" xfId="333"/>
    <cellStyle name="Currency 6" xfId="334"/>
    <cellStyle name="Currency 6 2" xfId="335"/>
    <cellStyle name="Currency 6 2 2" xfId="701"/>
    <cellStyle name="Currency 6 2 2 2" xfId="33813"/>
    <cellStyle name="Currency 6 2 3" xfId="33812"/>
    <cellStyle name="Currency 6 3" xfId="336"/>
    <cellStyle name="Currency 6 3 2" xfId="702"/>
    <cellStyle name="Currency 6 3 2 2" xfId="33815"/>
    <cellStyle name="Currency 6 3 3" xfId="33814"/>
    <cellStyle name="Currency 6 4" xfId="703"/>
    <cellStyle name="Currency 6 4 2" xfId="33816"/>
    <cellStyle name="Currency 6 5" xfId="33811"/>
    <cellStyle name="Currency 7" xfId="337"/>
    <cellStyle name="Currency 7 2" xfId="704"/>
    <cellStyle name="Currency 7 2 2" xfId="33818"/>
    <cellStyle name="Currency 7 3" xfId="33817"/>
    <cellStyle name="Currency 8" xfId="705"/>
    <cellStyle name="D4_B8B1_005004B79812_.wvu.PrintTitlest" xfId="116"/>
    <cellStyle name="Date" xfId="117"/>
    <cellStyle name="Date 2" xfId="207"/>
    <cellStyle name="dms_Blue_HDR" xfId="304"/>
    <cellStyle name="Emphasis 1" xfId="118"/>
    <cellStyle name="Emphasis 2" xfId="119"/>
    <cellStyle name="Emphasis 3" xfId="120"/>
    <cellStyle name="Euro" xfId="121"/>
    <cellStyle name="Euro 2" xfId="16105"/>
    <cellStyle name="Explanatory Text" xfId="32" builtinId="53" customBuiltin="1"/>
    <cellStyle name="Explanatory Text 2" xfId="267"/>
    <cellStyle name="Explanatory Text 2 2" xfId="16106"/>
    <cellStyle name="Explanatory Text 2 2 2" xfId="16107"/>
    <cellStyle name="Explanatory Text 2 3" xfId="16108"/>
    <cellStyle name="Explanatory Text 2 3 2" xfId="16109"/>
    <cellStyle name="Explanatory Text 2 3 3" xfId="16110"/>
    <cellStyle name="Explanatory Text 2 4" xfId="16111"/>
    <cellStyle name="Explanatory Text 3" xfId="706"/>
    <cellStyle name="Explanatory Text 4" xfId="16112"/>
    <cellStyle name="Explanatory Text 5" xfId="16113"/>
    <cellStyle name="Explanatory Text 6" xfId="16114"/>
    <cellStyle name="Fixed" xfId="122"/>
    <cellStyle name="Fixed 2" xfId="208"/>
    <cellStyle name="Gilsans" xfId="123"/>
    <cellStyle name="Gilsans 2" xfId="16115"/>
    <cellStyle name="Gilsansl" xfId="124"/>
    <cellStyle name="Gilsansl 2" xfId="16116"/>
    <cellStyle name="Good" xfId="33" builtinId="26" customBuiltin="1"/>
    <cellStyle name="Good 2" xfId="268"/>
    <cellStyle name="Good 2 2" xfId="16117"/>
    <cellStyle name="Good 2 2 2" xfId="16118"/>
    <cellStyle name="Good 2 3" xfId="16119"/>
    <cellStyle name="Good 2 3 2" xfId="16120"/>
    <cellStyle name="Good 2 3 3" xfId="16121"/>
    <cellStyle name="Good 2 4" xfId="16122"/>
    <cellStyle name="Good 3" xfId="707"/>
    <cellStyle name="Good 4" xfId="16123"/>
    <cellStyle name="Good 5" xfId="16124"/>
    <cellStyle name="Good 6" xfId="16125"/>
    <cellStyle name="Heading 1" xfId="34" builtinId="16" customBuiltin="1"/>
    <cellStyle name="Heading 1 2" xfId="125"/>
    <cellStyle name="Heading 1 2 2" xfId="269"/>
    <cellStyle name="Heading 1 2 2 2" xfId="16126"/>
    <cellStyle name="Heading 1 2 3" xfId="16127"/>
    <cellStyle name="Heading 1 2 3 2" xfId="16128"/>
    <cellStyle name="Heading 1 2 3 3" xfId="16129"/>
    <cellStyle name="Heading 1 2 4" xfId="16130"/>
    <cellStyle name="Heading 1 3" xfId="126"/>
    <cellStyle name="Heading 1 3 2" xfId="16131"/>
    <cellStyle name="Heading 1 3 3" xfId="16132"/>
    <cellStyle name="Heading 1 4" xfId="708"/>
    <cellStyle name="Heading 1 5" xfId="16133"/>
    <cellStyle name="Heading 1 6" xfId="16134"/>
    <cellStyle name="Heading 1 7" xfId="16135"/>
    <cellStyle name="Heading 2" xfId="35" builtinId="17" customBuiltin="1"/>
    <cellStyle name="Heading 2 2" xfId="127"/>
    <cellStyle name="Heading 2 2 2" xfId="270"/>
    <cellStyle name="Heading 2 2 2 2" xfId="16136"/>
    <cellStyle name="Heading 2 2 3" xfId="16137"/>
    <cellStyle name="Heading 2 2 3 2" xfId="16138"/>
    <cellStyle name="Heading 2 2 3 3" xfId="16139"/>
    <cellStyle name="Heading 2 2 4" xfId="16140"/>
    <cellStyle name="Heading 2 2 5" xfId="16141"/>
    <cellStyle name="Heading 2 3" xfId="128"/>
    <cellStyle name="Heading 2 3 2" xfId="16142"/>
    <cellStyle name="Heading 2 3 3" xfId="16143"/>
    <cellStyle name="Heading 2 4" xfId="709"/>
    <cellStyle name="Heading 2 5" xfId="16144"/>
    <cellStyle name="Heading 2 6" xfId="16145"/>
    <cellStyle name="Heading 2 7" xfId="16146"/>
    <cellStyle name="Heading 3" xfId="36" builtinId="18" customBuiltin="1"/>
    <cellStyle name="Heading 3 10" xfId="16147"/>
    <cellStyle name="Heading 3 10 2" xfId="33819"/>
    <cellStyle name="Heading 3 11" xfId="16148"/>
    <cellStyle name="Heading 3 11 2" xfId="33820"/>
    <cellStyle name="Heading 3 2" xfId="73"/>
    <cellStyle name="Heading 3 2 2" xfId="271"/>
    <cellStyle name="Heading 3 2 2 2" xfId="338"/>
    <cellStyle name="Heading 3 2 2 2 2" xfId="339"/>
    <cellStyle name="Heading 3 2 2 2 2 2" xfId="340"/>
    <cellStyle name="Heading 3 2 2 2 2 2 2" xfId="710"/>
    <cellStyle name="Heading 3 2 2 2 2 2 2 2" xfId="33826"/>
    <cellStyle name="Heading 3 2 2 2 2 2 3" xfId="33825"/>
    <cellStyle name="Heading 3 2 2 2 2 3" xfId="341"/>
    <cellStyle name="Heading 3 2 2 2 2 3 2" xfId="711"/>
    <cellStyle name="Heading 3 2 2 2 2 3 2 2" xfId="33828"/>
    <cellStyle name="Heading 3 2 2 2 2 3 3" xfId="33827"/>
    <cellStyle name="Heading 3 2 2 2 2 4" xfId="342"/>
    <cellStyle name="Heading 3 2 2 2 2 4 2" xfId="712"/>
    <cellStyle name="Heading 3 2 2 2 2 4 2 2" xfId="33830"/>
    <cellStyle name="Heading 3 2 2 2 2 4 3" xfId="33829"/>
    <cellStyle name="Heading 3 2 2 2 2 5" xfId="713"/>
    <cellStyle name="Heading 3 2 2 2 2 5 2" xfId="33831"/>
    <cellStyle name="Heading 3 2 2 2 2 6" xfId="33824"/>
    <cellStyle name="Heading 3 2 2 2 3" xfId="343"/>
    <cellStyle name="Heading 3 2 2 2 3 2" xfId="714"/>
    <cellStyle name="Heading 3 2 2 2 3 2 2" xfId="33833"/>
    <cellStyle name="Heading 3 2 2 2 3 3" xfId="33832"/>
    <cellStyle name="Heading 3 2 2 2 4" xfId="344"/>
    <cellStyle name="Heading 3 2 2 2 4 2" xfId="715"/>
    <cellStyle name="Heading 3 2 2 2 4 2 2" xfId="33835"/>
    <cellStyle name="Heading 3 2 2 2 4 3" xfId="33834"/>
    <cellStyle name="Heading 3 2 2 2 5" xfId="345"/>
    <cellStyle name="Heading 3 2 2 2 5 2" xfId="716"/>
    <cellStyle name="Heading 3 2 2 2 5 2 2" xfId="33837"/>
    <cellStyle name="Heading 3 2 2 2 5 3" xfId="33836"/>
    <cellStyle name="Heading 3 2 2 2 6" xfId="717"/>
    <cellStyle name="Heading 3 2 2 2 6 2" xfId="33838"/>
    <cellStyle name="Heading 3 2 2 2 7" xfId="33823"/>
    <cellStyle name="Heading 3 2 2 3" xfId="346"/>
    <cellStyle name="Heading 3 2 2 3 2" xfId="347"/>
    <cellStyle name="Heading 3 2 2 3 2 2" xfId="348"/>
    <cellStyle name="Heading 3 2 2 3 2 2 2" xfId="718"/>
    <cellStyle name="Heading 3 2 2 3 2 2 2 2" xfId="33842"/>
    <cellStyle name="Heading 3 2 2 3 2 2 3" xfId="33841"/>
    <cellStyle name="Heading 3 2 2 3 2 3" xfId="349"/>
    <cellStyle name="Heading 3 2 2 3 2 3 2" xfId="719"/>
    <cellStyle name="Heading 3 2 2 3 2 3 2 2" xfId="33844"/>
    <cellStyle name="Heading 3 2 2 3 2 3 3" xfId="33843"/>
    <cellStyle name="Heading 3 2 2 3 2 4" xfId="350"/>
    <cellStyle name="Heading 3 2 2 3 2 4 2" xfId="720"/>
    <cellStyle name="Heading 3 2 2 3 2 4 2 2" xfId="33846"/>
    <cellStyle name="Heading 3 2 2 3 2 4 3" xfId="33845"/>
    <cellStyle name="Heading 3 2 2 3 2 5" xfId="721"/>
    <cellStyle name="Heading 3 2 2 3 2 5 2" xfId="33847"/>
    <cellStyle name="Heading 3 2 2 3 2 6" xfId="33840"/>
    <cellStyle name="Heading 3 2 2 3 3" xfId="351"/>
    <cellStyle name="Heading 3 2 2 3 3 2" xfId="722"/>
    <cellStyle name="Heading 3 2 2 3 3 2 2" xfId="33849"/>
    <cellStyle name="Heading 3 2 2 3 3 3" xfId="33848"/>
    <cellStyle name="Heading 3 2 2 3 4" xfId="352"/>
    <cellStyle name="Heading 3 2 2 3 4 2" xfId="723"/>
    <cellStyle name="Heading 3 2 2 3 4 2 2" xfId="33851"/>
    <cellStyle name="Heading 3 2 2 3 4 3" xfId="33850"/>
    <cellStyle name="Heading 3 2 2 3 5" xfId="353"/>
    <cellStyle name="Heading 3 2 2 3 5 2" xfId="724"/>
    <cellStyle name="Heading 3 2 2 3 5 2 2" xfId="33853"/>
    <cellStyle name="Heading 3 2 2 3 5 3" xfId="33852"/>
    <cellStyle name="Heading 3 2 2 3 6" xfId="725"/>
    <cellStyle name="Heading 3 2 2 3 6 2" xfId="33854"/>
    <cellStyle name="Heading 3 2 2 3 7" xfId="33839"/>
    <cellStyle name="Heading 3 2 2 4" xfId="354"/>
    <cellStyle name="Heading 3 2 2 4 2" xfId="355"/>
    <cellStyle name="Heading 3 2 2 4 2 2" xfId="726"/>
    <cellStyle name="Heading 3 2 2 4 2 2 2" xfId="33857"/>
    <cellStyle name="Heading 3 2 2 4 2 3" xfId="33856"/>
    <cellStyle name="Heading 3 2 2 4 3" xfId="356"/>
    <cellStyle name="Heading 3 2 2 4 3 2" xfId="727"/>
    <cellStyle name="Heading 3 2 2 4 3 2 2" xfId="33859"/>
    <cellStyle name="Heading 3 2 2 4 3 3" xfId="33858"/>
    <cellStyle name="Heading 3 2 2 4 4" xfId="357"/>
    <cellStyle name="Heading 3 2 2 4 4 2" xfId="728"/>
    <cellStyle name="Heading 3 2 2 4 4 2 2" xfId="33861"/>
    <cellStyle name="Heading 3 2 2 4 4 3" xfId="33860"/>
    <cellStyle name="Heading 3 2 2 4 5" xfId="729"/>
    <cellStyle name="Heading 3 2 2 4 5 2" xfId="33862"/>
    <cellStyle name="Heading 3 2 2 4 6" xfId="33855"/>
    <cellStyle name="Heading 3 2 2 5" xfId="358"/>
    <cellStyle name="Heading 3 2 2 5 2" xfId="359"/>
    <cellStyle name="Heading 3 2 2 5 2 2" xfId="730"/>
    <cellStyle name="Heading 3 2 2 5 2 2 2" xfId="33865"/>
    <cellStyle name="Heading 3 2 2 5 2 3" xfId="33864"/>
    <cellStyle name="Heading 3 2 2 5 3" xfId="360"/>
    <cellStyle name="Heading 3 2 2 5 3 2" xfId="731"/>
    <cellStyle name="Heading 3 2 2 5 3 2 2" xfId="33867"/>
    <cellStyle name="Heading 3 2 2 5 3 3" xfId="33866"/>
    <cellStyle name="Heading 3 2 2 5 4" xfId="732"/>
    <cellStyle name="Heading 3 2 2 5 4 2" xfId="33868"/>
    <cellStyle name="Heading 3 2 2 5 5" xfId="33863"/>
    <cellStyle name="Heading 3 2 2 6" xfId="733"/>
    <cellStyle name="Heading 3 2 2 6 2" xfId="33869"/>
    <cellStyle name="Heading 3 2 2 7" xfId="33822"/>
    <cellStyle name="Heading 3 2 3" xfId="129"/>
    <cellStyle name="Heading 3 2 3 2" xfId="16149"/>
    <cellStyle name="Heading 3 2 3 2 2" xfId="16150"/>
    <cellStyle name="Heading 3 2 3 2 2 2" xfId="16151"/>
    <cellStyle name="Heading 3 2 3 2 2 2 2" xfId="16152"/>
    <cellStyle name="Heading 3 2 3 2 2 2 2 2" xfId="33873"/>
    <cellStyle name="Heading 3 2 3 2 2 2 3" xfId="33872"/>
    <cellStyle name="Heading 3 2 3 2 2 3" xfId="16153"/>
    <cellStyle name="Heading 3 2 3 2 2 3 2" xfId="33874"/>
    <cellStyle name="Heading 3 2 3 2 2 4" xfId="33871"/>
    <cellStyle name="Heading 3 2 3 2 3" xfId="16154"/>
    <cellStyle name="Heading 3 2 3 2 3 2" xfId="33875"/>
    <cellStyle name="Heading 3 2 3 2 4" xfId="33870"/>
    <cellStyle name="Heading 3 2 3 3" xfId="16155"/>
    <cellStyle name="Heading 3 2 3 3 2" xfId="16156"/>
    <cellStyle name="Heading 3 2 3 3 2 2" xfId="16157"/>
    <cellStyle name="Heading 3 2 3 3 2 2 2" xfId="33878"/>
    <cellStyle name="Heading 3 2 3 3 2 3" xfId="33877"/>
    <cellStyle name="Heading 3 2 3 3 3" xfId="16158"/>
    <cellStyle name="Heading 3 2 3 3 3 2" xfId="33879"/>
    <cellStyle name="Heading 3 2 3 3 4" xfId="33876"/>
    <cellStyle name="Heading 3 2 3 4" xfId="16159"/>
    <cellStyle name="Heading 3 2 3 4 2" xfId="16160"/>
    <cellStyle name="Heading 3 2 3 4 2 2" xfId="33881"/>
    <cellStyle name="Heading 3 2 3 4 3" xfId="33880"/>
    <cellStyle name="Heading 3 2 3 5" xfId="16161"/>
    <cellStyle name="Heading 3 2 3 6" xfId="16162"/>
    <cellStyle name="Heading 3 2 3 6 2" xfId="33882"/>
    <cellStyle name="Heading 3 2 3 7" xfId="16163"/>
    <cellStyle name="Heading 3 2 3 7 2" xfId="33883"/>
    <cellStyle name="Heading 3 2 4" xfId="361"/>
    <cellStyle name="Heading 3 2 4 2" xfId="362"/>
    <cellStyle name="Heading 3 2 4 2 2" xfId="363"/>
    <cellStyle name="Heading 3 2 4 2 2 2" xfId="734"/>
    <cellStyle name="Heading 3 2 4 2 2 2 2" xfId="33887"/>
    <cellStyle name="Heading 3 2 4 2 2 3" xfId="33886"/>
    <cellStyle name="Heading 3 2 4 2 3" xfId="364"/>
    <cellStyle name="Heading 3 2 4 2 3 2" xfId="735"/>
    <cellStyle name="Heading 3 2 4 2 3 2 2" xfId="33889"/>
    <cellStyle name="Heading 3 2 4 2 3 3" xfId="33888"/>
    <cellStyle name="Heading 3 2 4 2 4" xfId="365"/>
    <cellStyle name="Heading 3 2 4 2 4 2" xfId="736"/>
    <cellStyle name="Heading 3 2 4 2 4 2 2" xfId="33891"/>
    <cellStyle name="Heading 3 2 4 2 4 3" xfId="33890"/>
    <cellStyle name="Heading 3 2 4 2 5" xfId="737"/>
    <cellStyle name="Heading 3 2 4 2 5 2" xfId="33892"/>
    <cellStyle name="Heading 3 2 4 2 6" xfId="33885"/>
    <cellStyle name="Heading 3 2 4 3" xfId="366"/>
    <cellStyle name="Heading 3 2 4 3 2" xfId="738"/>
    <cellStyle name="Heading 3 2 4 3 2 2" xfId="33894"/>
    <cellStyle name="Heading 3 2 4 3 3" xfId="33893"/>
    <cellStyle name="Heading 3 2 4 4" xfId="367"/>
    <cellStyle name="Heading 3 2 4 4 2" xfId="739"/>
    <cellStyle name="Heading 3 2 4 4 2 2" xfId="33896"/>
    <cellStyle name="Heading 3 2 4 4 3" xfId="33895"/>
    <cellStyle name="Heading 3 2 4 5" xfId="368"/>
    <cellStyle name="Heading 3 2 4 5 2" xfId="740"/>
    <cellStyle name="Heading 3 2 4 5 2 2" xfId="33898"/>
    <cellStyle name="Heading 3 2 4 5 3" xfId="33897"/>
    <cellStyle name="Heading 3 2 4 6" xfId="741"/>
    <cellStyle name="Heading 3 2 4 6 2" xfId="33899"/>
    <cellStyle name="Heading 3 2 4 7" xfId="33884"/>
    <cellStyle name="Heading 3 2 5" xfId="369"/>
    <cellStyle name="Heading 3 2 5 2" xfId="370"/>
    <cellStyle name="Heading 3 2 5 2 2" xfId="371"/>
    <cellStyle name="Heading 3 2 5 2 2 2" xfId="742"/>
    <cellStyle name="Heading 3 2 5 2 2 2 2" xfId="33903"/>
    <cellStyle name="Heading 3 2 5 2 2 3" xfId="33902"/>
    <cellStyle name="Heading 3 2 5 2 3" xfId="372"/>
    <cellStyle name="Heading 3 2 5 2 3 2" xfId="743"/>
    <cellStyle name="Heading 3 2 5 2 3 2 2" xfId="33905"/>
    <cellStyle name="Heading 3 2 5 2 3 3" xfId="33904"/>
    <cellStyle name="Heading 3 2 5 2 4" xfId="373"/>
    <cellStyle name="Heading 3 2 5 2 4 2" xfId="744"/>
    <cellStyle name="Heading 3 2 5 2 4 2 2" xfId="33907"/>
    <cellStyle name="Heading 3 2 5 2 4 3" xfId="33906"/>
    <cellStyle name="Heading 3 2 5 2 5" xfId="745"/>
    <cellStyle name="Heading 3 2 5 2 5 2" xfId="33908"/>
    <cellStyle name="Heading 3 2 5 2 6" xfId="33901"/>
    <cellStyle name="Heading 3 2 5 3" xfId="374"/>
    <cellStyle name="Heading 3 2 5 3 2" xfId="746"/>
    <cellStyle name="Heading 3 2 5 3 2 2" xfId="33910"/>
    <cellStyle name="Heading 3 2 5 3 3" xfId="33909"/>
    <cellStyle name="Heading 3 2 5 4" xfId="375"/>
    <cellStyle name="Heading 3 2 5 4 2" xfId="747"/>
    <cellStyle name="Heading 3 2 5 4 2 2" xfId="33912"/>
    <cellStyle name="Heading 3 2 5 4 3" xfId="33911"/>
    <cellStyle name="Heading 3 2 5 5" xfId="376"/>
    <cellStyle name="Heading 3 2 5 5 2" xfId="748"/>
    <cellStyle name="Heading 3 2 5 5 2 2" xfId="33914"/>
    <cellStyle name="Heading 3 2 5 5 3" xfId="33913"/>
    <cellStyle name="Heading 3 2 5 6" xfId="749"/>
    <cellStyle name="Heading 3 2 5 6 2" xfId="33915"/>
    <cellStyle name="Heading 3 2 5 7" xfId="33900"/>
    <cellStyle name="Heading 3 2 6" xfId="377"/>
    <cellStyle name="Heading 3 2 6 2" xfId="378"/>
    <cellStyle name="Heading 3 2 6 2 2" xfId="750"/>
    <cellStyle name="Heading 3 2 6 2 2 2" xfId="33918"/>
    <cellStyle name="Heading 3 2 6 2 3" xfId="33917"/>
    <cellStyle name="Heading 3 2 6 3" xfId="379"/>
    <cellStyle name="Heading 3 2 6 3 2" xfId="751"/>
    <cellStyle name="Heading 3 2 6 3 2 2" xfId="33920"/>
    <cellStyle name="Heading 3 2 6 3 3" xfId="33919"/>
    <cellStyle name="Heading 3 2 6 4" xfId="380"/>
    <cellStyle name="Heading 3 2 6 4 2" xfId="752"/>
    <cellStyle name="Heading 3 2 6 4 2 2" xfId="33922"/>
    <cellStyle name="Heading 3 2 6 4 3" xfId="33921"/>
    <cellStyle name="Heading 3 2 6 5" xfId="753"/>
    <cellStyle name="Heading 3 2 6 5 2" xfId="33923"/>
    <cellStyle name="Heading 3 2 6 6" xfId="33916"/>
    <cellStyle name="Heading 3 2 7" xfId="381"/>
    <cellStyle name="Heading 3 2 7 2" xfId="382"/>
    <cellStyle name="Heading 3 2 7 2 2" xfId="754"/>
    <cellStyle name="Heading 3 2 7 2 2 2" xfId="33926"/>
    <cellStyle name="Heading 3 2 7 2 3" xfId="33925"/>
    <cellStyle name="Heading 3 2 7 3" xfId="383"/>
    <cellStyle name="Heading 3 2 7 3 2" xfId="755"/>
    <cellStyle name="Heading 3 2 7 3 2 2" xfId="33928"/>
    <cellStyle name="Heading 3 2 7 3 3" xfId="33927"/>
    <cellStyle name="Heading 3 2 7 4" xfId="756"/>
    <cellStyle name="Heading 3 2 7 4 2" xfId="33929"/>
    <cellStyle name="Heading 3 2 7 5" xfId="33924"/>
    <cellStyle name="Heading 3 2 8" xfId="757"/>
    <cellStyle name="Heading 3 2 8 2" xfId="33930"/>
    <cellStyle name="Heading 3 2 9" xfId="33821"/>
    <cellStyle name="Heading 3 3" xfId="130"/>
    <cellStyle name="Heading 3 3 2" xfId="16164"/>
    <cellStyle name="Heading 3 3 3" xfId="16165"/>
    <cellStyle name="Heading 3 4" xfId="758"/>
    <cellStyle name="Heading 3 4 2" xfId="16166"/>
    <cellStyle name="Heading 3 4 2 2" xfId="16167"/>
    <cellStyle name="Heading 3 4 2 2 2" xfId="16168"/>
    <cellStyle name="Heading 3 4 2 2 2 2" xfId="16169"/>
    <cellStyle name="Heading 3 4 2 2 2 2 2" xfId="33935"/>
    <cellStyle name="Heading 3 4 2 2 2 3" xfId="33934"/>
    <cellStyle name="Heading 3 4 2 2 3" xfId="16170"/>
    <cellStyle name="Heading 3 4 2 2 3 2" xfId="33936"/>
    <cellStyle name="Heading 3 4 2 2 4" xfId="33933"/>
    <cellStyle name="Heading 3 4 2 3" xfId="16171"/>
    <cellStyle name="Heading 3 4 2 3 2" xfId="16172"/>
    <cellStyle name="Heading 3 4 2 3 2 2" xfId="16173"/>
    <cellStyle name="Heading 3 4 2 3 2 2 2" xfId="33939"/>
    <cellStyle name="Heading 3 4 2 3 2 3" xfId="33938"/>
    <cellStyle name="Heading 3 4 2 3 3" xfId="16174"/>
    <cellStyle name="Heading 3 4 2 3 3 2" xfId="33940"/>
    <cellStyle name="Heading 3 4 2 3 4" xfId="33937"/>
    <cellStyle name="Heading 3 4 2 4" xfId="16175"/>
    <cellStyle name="Heading 3 4 2 4 2" xfId="33941"/>
    <cellStyle name="Heading 3 4 2 5" xfId="33932"/>
    <cellStyle name="Heading 3 4 3" xfId="16176"/>
    <cellStyle name="Heading 3 4 3 2" xfId="16177"/>
    <cellStyle name="Heading 3 4 3 2 2" xfId="16178"/>
    <cellStyle name="Heading 3 4 3 2 2 2" xfId="16179"/>
    <cellStyle name="Heading 3 4 3 2 2 2 2" xfId="33945"/>
    <cellStyle name="Heading 3 4 3 2 2 3" xfId="33944"/>
    <cellStyle name="Heading 3 4 3 2 3" xfId="16180"/>
    <cellStyle name="Heading 3 4 3 2 3 2" xfId="33946"/>
    <cellStyle name="Heading 3 4 3 2 4" xfId="33943"/>
    <cellStyle name="Heading 3 4 3 3" xfId="16181"/>
    <cellStyle name="Heading 3 4 3 3 2" xfId="33947"/>
    <cellStyle name="Heading 3 4 3 4" xfId="33942"/>
    <cellStyle name="Heading 3 4 4" xfId="16182"/>
    <cellStyle name="Heading 3 4 4 2" xfId="16183"/>
    <cellStyle name="Heading 3 4 4 2 2" xfId="16184"/>
    <cellStyle name="Heading 3 4 4 2 2 2" xfId="33950"/>
    <cellStyle name="Heading 3 4 4 2 3" xfId="33949"/>
    <cellStyle name="Heading 3 4 4 3" xfId="16185"/>
    <cellStyle name="Heading 3 4 4 3 2" xfId="33951"/>
    <cellStyle name="Heading 3 4 4 4" xfId="33948"/>
    <cellStyle name="Heading 3 4 5" xfId="16186"/>
    <cellStyle name="Heading 3 4 5 2" xfId="33952"/>
    <cellStyle name="Heading 3 4 6" xfId="33931"/>
    <cellStyle name="Heading 3 5" xfId="16187"/>
    <cellStyle name="Heading 3 5 2" xfId="16188"/>
    <cellStyle name="Heading 3 5 2 2" xfId="16189"/>
    <cellStyle name="Heading 3 5 2 2 2" xfId="16190"/>
    <cellStyle name="Heading 3 5 2 2 2 2" xfId="33956"/>
    <cellStyle name="Heading 3 5 2 2 3" xfId="33955"/>
    <cellStyle name="Heading 3 5 2 3" xfId="16191"/>
    <cellStyle name="Heading 3 5 2 3 2" xfId="33957"/>
    <cellStyle name="Heading 3 5 2 4" xfId="33954"/>
    <cellStyle name="Heading 3 5 3" xfId="16192"/>
    <cellStyle name="Heading 3 5 3 2" xfId="16193"/>
    <cellStyle name="Heading 3 5 3 2 2" xfId="16194"/>
    <cellStyle name="Heading 3 5 3 2 2 2" xfId="33960"/>
    <cellStyle name="Heading 3 5 3 2 3" xfId="33959"/>
    <cellStyle name="Heading 3 5 3 3" xfId="16195"/>
    <cellStyle name="Heading 3 5 3 3 2" xfId="33961"/>
    <cellStyle name="Heading 3 5 3 4" xfId="33958"/>
    <cellStyle name="Heading 3 5 4" xfId="16196"/>
    <cellStyle name="Heading 3 5 4 2" xfId="33962"/>
    <cellStyle name="Heading 3 5 5" xfId="33953"/>
    <cellStyle name="Heading 3 6" xfId="16197"/>
    <cellStyle name="Heading 3 6 2" xfId="16198"/>
    <cellStyle name="Heading 3 6 2 2" xfId="16199"/>
    <cellStyle name="Heading 3 6 2 2 2" xfId="33965"/>
    <cellStyle name="Heading 3 6 2 3" xfId="33964"/>
    <cellStyle name="Heading 3 6 3" xfId="16200"/>
    <cellStyle name="Heading 3 6 3 2" xfId="33966"/>
    <cellStyle name="Heading 3 6 4" xfId="33963"/>
    <cellStyle name="Heading 3 7" xfId="16201"/>
    <cellStyle name="Heading 3 7 2" xfId="16202"/>
    <cellStyle name="Heading 3 7 2 2" xfId="33968"/>
    <cellStyle name="Heading 3 7 3" xfId="33967"/>
    <cellStyle name="Heading 3 8" xfId="16203"/>
    <cellStyle name="Heading 3 8 2" xfId="16204"/>
    <cellStyle name="Heading 3 8 2 2" xfId="33970"/>
    <cellStyle name="Heading 3 8 3" xfId="33969"/>
    <cellStyle name="Heading 3 9" xfId="16205"/>
    <cellStyle name="Heading 3 9 2" xfId="16206"/>
    <cellStyle name="Heading 3 9 2 2" xfId="33972"/>
    <cellStyle name="Heading 3 9 3" xfId="33971"/>
    <cellStyle name="Heading 4" xfId="37" builtinId="19" customBuiltin="1"/>
    <cellStyle name="Heading 4 2" xfId="131"/>
    <cellStyle name="Heading 4 2 2" xfId="272"/>
    <cellStyle name="Heading 4 2 2 2" xfId="16207"/>
    <cellStyle name="Heading 4 2 3" xfId="16208"/>
    <cellStyle name="Heading 4 2 3 2" xfId="16209"/>
    <cellStyle name="Heading 4 2 3 3" xfId="16210"/>
    <cellStyle name="Heading 4 2 4" xfId="16211"/>
    <cellStyle name="Heading 4 2 5" xfId="16212"/>
    <cellStyle name="Heading 4 3" xfId="132"/>
    <cellStyle name="Heading 4 3 2" xfId="16213"/>
    <cellStyle name="Heading 4 3 3" xfId="16214"/>
    <cellStyle name="Heading 4 4" xfId="759"/>
    <cellStyle name="Heading 4 5" xfId="16215"/>
    <cellStyle name="Heading 4 6" xfId="16216"/>
    <cellStyle name="Heading 4 7" xfId="16217"/>
    <cellStyle name="Heading(4)" xfId="133"/>
    <cellStyle name="Hyperlink" xfId="38" builtinId="8"/>
    <cellStyle name="Hyperlink 2" xfId="134"/>
    <cellStyle name="Hyperlink 2 2" xfId="384"/>
    <cellStyle name="Hyperlink 2 3" xfId="385"/>
    <cellStyle name="Hyperlink 2 3 2" xfId="16218"/>
    <cellStyle name="Hyperlink 3" xfId="386"/>
    <cellStyle name="Hyperlink 3 2" xfId="16219"/>
    <cellStyle name="Hyperlink 4" xfId="387"/>
    <cellStyle name="Hyperlink Arrow" xfId="135"/>
    <cellStyle name="Hyperlink Arrow 2" xfId="16220"/>
    <cellStyle name="Hyperlink Check" xfId="16221"/>
    <cellStyle name="Hyperlink Text" xfId="136"/>
    <cellStyle name="Hyperlink Text 2" xfId="16222"/>
    <cellStyle name="Hyperlink Text 2 2" xfId="16223"/>
    <cellStyle name="Hyperlink Text 3" xfId="16224"/>
    <cellStyle name="import" xfId="388"/>
    <cellStyle name="import%" xfId="389"/>
    <cellStyle name="import_ICRC Electricity model 1-1  (1 Feb 2003) " xfId="51"/>
    <cellStyle name="Input" xfId="39" builtinId="20" customBuiltin="1"/>
    <cellStyle name="Input 2" xfId="74"/>
    <cellStyle name="Input 2 2" xfId="390"/>
    <cellStyle name="Input 2 2 2" xfId="16225"/>
    <cellStyle name="Input 2 2 3" xfId="16226"/>
    <cellStyle name="Input 2 3" xfId="391"/>
    <cellStyle name="Input 2 3 2" xfId="16227"/>
    <cellStyle name="Input 2 3 3" xfId="16228"/>
    <cellStyle name="Input 2 4" xfId="16229"/>
    <cellStyle name="Input 2 5" xfId="16230"/>
    <cellStyle name="Input 3" xfId="760"/>
    <cellStyle name="Input 4" xfId="16231"/>
    <cellStyle name="Input 5" xfId="16232"/>
    <cellStyle name="Input 6" xfId="16233"/>
    <cellStyle name="Input1" xfId="137"/>
    <cellStyle name="Input1 2" xfId="209"/>
    <cellStyle name="Input1 2 2" xfId="392"/>
    <cellStyle name="Input1 3" xfId="393"/>
    <cellStyle name="Input1 3 2" xfId="394"/>
    <cellStyle name="Input1 4" xfId="395"/>
    <cellStyle name="Input1 5" xfId="396"/>
    <cellStyle name="Input1%" xfId="397"/>
    <cellStyle name="Input1_ICRC Electricity model 1-1  (1 Feb 2003) " xfId="52"/>
    <cellStyle name="Input1default" xfId="398"/>
    <cellStyle name="Input1default%" xfId="399"/>
    <cellStyle name="Input2" xfId="138"/>
    <cellStyle name="Input2 2" xfId="210"/>
    <cellStyle name="Input2 3" xfId="400"/>
    <cellStyle name="Input3" xfId="139"/>
    <cellStyle name="Input3 2" xfId="211"/>
    <cellStyle name="Input3 3" xfId="401"/>
    <cellStyle name="InputCell" xfId="402"/>
    <cellStyle name="InputCell 2" xfId="403"/>
    <cellStyle name="InputCell 2 2" xfId="761"/>
    <cellStyle name="InputCell 2 2 2" xfId="33975"/>
    <cellStyle name="InputCell 2 3" xfId="33974"/>
    <cellStyle name="InputCell 3" xfId="404"/>
    <cellStyle name="InputCell 3 2" xfId="762"/>
    <cellStyle name="InputCell 3 2 2" xfId="33977"/>
    <cellStyle name="InputCell 3 3" xfId="33976"/>
    <cellStyle name="InputCell 4" xfId="763"/>
    <cellStyle name="InputCell 4 2" xfId="33978"/>
    <cellStyle name="InputCell 5" xfId="33973"/>
    <cellStyle name="InputCellText" xfId="405"/>
    <cellStyle name="InputCellText 2" xfId="406"/>
    <cellStyle name="InputCellText 2 2" xfId="764"/>
    <cellStyle name="InputCellText 2 2 2" xfId="33981"/>
    <cellStyle name="InputCellText 2 3" xfId="33980"/>
    <cellStyle name="InputCellText 3" xfId="407"/>
    <cellStyle name="InputCellText 3 2" xfId="765"/>
    <cellStyle name="InputCellText 3 2 2" xfId="33983"/>
    <cellStyle name="InputCellText 3 3" xfId="33982"/>
    <cellStyle name="InputCellText 4" xfId="766"/>
    <cellStyle name="InputCellText 4 2" xfId="33984"/>
    <cellStyle name="InputCellText 5" xfId="33979"/>
    <cellStyle name="key result" xfId="408"/>
    <cellStyle name="Lines" xfId="140"/>
    <cellStyle name="Linked Cell" xfId="40" builtinId="24" customBuiltin="1"/>
    <cellStyle name="Linked Cell 2" xfId="273"/>
    <cellStyle name="Linked Cell 2 2" xfId="16234"/>
    <cellStyle name="Linked Cell 2 2 2" xfId="16235"/>
    <cellStyle name="Linked Cell 2 3" xfId="16236"/>
    <cellStyle name="Linked Cell 2 3 2" xfId="16237"/>
    <cellStyle name="Linked Cell 2 3 3" xfId="16238"/>
    <cellStyle name="Linked Cell 2 4" xfId="16239"/>
    <cellStyle name="Linked Cell 3" xfId="767"/>
    <cellStyle name="Linked Cell 4" xfId="16240"/>
    <cellStyle name="Linked Cell 5" xfId="16241"/>
    <cellStyle name="Linked Cell 6" xfId="16242"/>
    <cellStyle name="Local import" xfId="409"/>
    <cellStyle name="Local import %" xfId="410"/>
    <cellStyle name="Lookup Table Heading" xfId="16243"/>
    <cellStyle name="Lookup Table Label" xfId="16244"/>
    <cellStyle name="Lookup Table Number" xfId="16245"/>
    <cellStyle name="Mine" xfId="141"/>
    <cellStyle name="Model Name" xfId="142"/>
    <cellStyle name="Model Name 2" xfId="16246"/>
    <cellStyle name="Model Name 2 2" xfId="16247"/>
    <cellStyle name="Model Name 3" xfId="16248"/>
    <cellStyle name="Neutral" xfId="41" builtinId="28" customBuiltin="1"/>
    <cellStyle name="Neutral 2" xfId="274"/>
    <cellStyle name="Neutral 2 2" xfId="16249"/>
    <cellStyle name="Neutral 2 2 2" xfId="16250"/>
    <cellStyle name="Neutral 2 3" xfId="16251"/>
    <cellStyle name="Neutral 2 3 2" xfId="16252"/>
    <cellStyle name="Neutral 2 3 3" xfId="16253"/>
    <cellStyle name="Neutral 2 4" xfId="16254"/>
    <cellStyle name="Neutral 2 5" xfId="16255"/>
    <cellStyle name="Neutral 3" xfId="768"/>
    <cellStyle name="Neutral 4" xfId="16256"/>
    <cellStyle name="Neutral 5" xfId="16257"/>
    <cellStyle name="Neutral 6" xfId="16258"/>
    <cellStyle name="NonInputCell" xfId="411"/>
    <cellStyle name="NonInputCell 2" xfId="412"/>
    <cellStyle name="NonInputCell 2 2" xfId="769"/>
    <cellStyle name="NonInputCell 2 2 2" xfId="33987"/>
    <cellStyle name="NonInputCell 2 3" xfId="33986"/>
    <cellStyle name="NonInputCell 3" xfId="413"/>
    <cellStyle name="NonInputCell 3 2" xfId="770"/>
    <cellStyle name="NonInputCell 3 2 2" xfId="33989"/>
    <cellStyle name="NonInputCell 3 3" xfId="33988"/>
    <cellStyle name="NonInputCell 4" xfId="771"/>
    <cellStyle name="NonInputCell 4 2" xfId="33990"/>
    <cellStyle name="NonInputCell 5" xfId="33985"/>
    <cellStyle name="Normal" xfId="0" builtinId="0"/>
    <cellStyle name="Normal - Style1" xfId="143"/>
    <cellStyle name="Normal 10" xfId="305"/>
    <cellStyle name="Normal 10 2" xfId="306"/>
    <cellStyle name="Normal 10 2 2" xfId="16259"/>
    <cellStyle name="Normal 10 3" xfId="772"/>
    <cellStyle name="Normal 10 3 2" xfId="33992"/>
    <cellStyle name="Normal 10 4" xfId="16260"/>
    <cellStyle name="Normal 10 5" xfId="33991"/>
    <cellStyle name="Normal 100" xfId="16261"/>
    <cellStyle name="Normal 101" xfId="16262"/>
    <cellStyle name="Normal 102" xfId="18951"/>
    <cellStyle name="Normal 11" xfId="414"/>
    <cellStyle name="Normal 11 2" xfId="415"/>
    <cellStyle name="Normal 11 2 2" xfId="16263"/>
    <cellStyle name="Normal 11 3" xfId="416"/>
    <cellStyle name="Normal 11 3 2" xfId="16264"/>
    <cellStyle name="Normal 11 4" xfId="417"/>
    <cellStyle name="Normal 11 4 2" xfId="773"/>
    <cellStyle name="Normal 11 4 2 2" xfId="33994"/>
    <cellStyle name="Normal 11 4 3" xfId="33993"/>
    <cellStyle name="Normal 11 5" xfId="16265"/>
    <cellStyle name="Normal 114" xfId="418"/>
    <cellStyle name="Normal 114 2" xfId="419"/>
    <cellStyle name="Normal 12" xfId="420"/>
    <cellStyle name="Normal 12 2" xfId="421"/>
    <cellStyle name="Normal 12 2 2" xfId="16266"/>
    <cellStyle name="Normal 12 3" xfId="16267"/>
    <cellStyle name="Normal 13" xfId="144"/>
    <cellStyle name="Normal 13 2" xfId="212"/>
    <cellStyle name="Normal 13 2 2" xfId="16268"/>
    <cellStyle name="Normal 13 3" xfId="16269"/>
    <cellStyle name="Normal 13_29(d) - Gas extensions -tariffs" xfId="291"/>
    <cellStyle name="Normal 14" xfId="310"/>
    <cellStyle name="Normal 14 2" xfId="422"/>
    <cellStyle name="Normal 14 2 2" xfId="16270"/>
    <cellStyle name="Normal 14 3" xfId="423"/>
    <cellStyle name="Normal 14 3 2" xfId="424"/>
    <cellStyle name="Normal 14 3 2 2" xfId="774"/>
    <cellStyle name="Normal 14 3 2 2 2" xfId="33998"/>
    <cellStyle name="Normal 14 3 2 3" xfId="33997"/>
    <cellStyle name="Normal 14 3 3" xfId="425"/>
    <cellStyle name="Normal 14 3 3 2" xfId="775"/>
    <cellStyle name="Normal 14 3 3 2 2" xfId="34000"/>
    <cellStyle name="Normal 14 3 3 3" xfId="33999"/>
    <cellStyle name="Normal 14 3 4" xfId="776"/>
    <cellStyle name="Normal 14 3 4 2" xfId="34001"/>
    <cellStyle name="Normal 14 3 5" xfId="33996"/>
    <cellStyle name="Normal 14 4" xfId="426"/>
    <cellStyle name="Normal 14 4 2" xfId="777"/>
    <cellStyle name="Normal 14 4 2 2" xfId="34003"/>
    <cellStyle name="Normal 14 4 3" xfId="34002"/>
    <cellStyle name="Normal 14 5" xfId="427"/>
    <cellStyle name="Normal 14 6" xfId="778"/>
    <cellStyle name="Normal 14 6 2" xfId="34004"/>
    <cellStyle name="Normal 14 7" xfId="33995"/>
    <cellStyle name="Normal 15" xfId="287"/>
    <cellStyle name="Normal 15 2" xfId="428"/>
    <cellStyle name="Normal 16" xfId="288"/>
    <cellStyle name="Normal 16 2" xfId="429"/>
    <cellStyle name="Normal 16 2 2" xfId="16271"/>
    <cellStyle name="Normal 16 2 3" xfId="16272"/>
    <cellStyle name="Normal 16 3" xfId="16273"/>
    <cellStyle name="Normal 16 4" xfId="16274"/>
    <cellStyle name="Normal 16 5" xfId="16275"/>
    <cellStyle name="Normal 16 6" xfId="16276"/>
    <cellStyle name="Normal 17" xfId="430"/>
    <cellStyle name="Normal 17 2" xfId="431"/>
    <cellStyle name="Normal 17 2 2" xfId="432"/>
    <cellStyle name="Normal 17 2 2 2" xfId="433"/>
    <cellStyle name="Normal 17 2 2 2 2" xfId="779"/>
    <cellStyle name="Normal 17 2 2 2 2 2" xfId="34009"/>
    <cellStyle name="Normal 17 2 2 2 3" xfId="34008"/>
    <cellStyle name="Normal 17 2 2 3" xfId="434"/>
    <cellStyle name="Normal 17 2 2 3 2" xfId="780"/>
    <cellStyle name="Normal 17 2 2 3 2 2" xfId="34011"/>
    <cellStyle name="Normal 17 2 2 3 3" xfId="34010"/>
    <cellStyle name="Normal 17 2 2 4" xfId="781"/>
    <cellStyle name="Normal 17 2 2 4 2" xfId="34012"/>
    <cellStyle name="Normal 17 2 2 5" xfId="34007"/>
    <cellStyle name="Normal 17 2 3" xfId="435"/>
    <cellStyle name="Normal 17 2 3 2" xfId="782"/>
    <cellStyle name="Normal 17 2 3 2 2" xfId="34014"/>
    <cellStyle name="Normal 17 2 3 3" xfId="34013"/>
    <cellStyle name="Normal 17 2 4" xfId="436"/>
    <cellStyle name="Normal 17 2 4 2" xfId="783"/>
    <cellStyle name="Normal 17 2 4 2 2" xfId="34016"/>
    <cellStyle name="Normal 17 2 4 3" xfId="34015"/>
    <cellStyle name="Normal 17 2 5" xfId="784"/>
    <cellStyle name="Normal 17 2 5 2" xfId="34017"/>
    <cellStyle name="Normal 17 2 6" xfId="34006"/>
    <cellStyle name="Normal 17 3" xfId="437"/>
    <cellStyle name="Normal 17 3 2" xfId="438"/>
    <cellStyle name="Normal 17 3 2 2" xfId="439"/>
    <cellStyle name="Normal 17 3 2 2 2" xfId="785"/>
    <cellStyle name="Normal 17 3 2 2 2 2" xfId="34021"/>
    <cellStyle name="Normal 17 3 2 2 3" xfId="34020"/>
    <cellStyle name="Normal 17 3 2 3" xfId="440"/>
    <cellStyle name="Normal 17 3 2 3 2" xfId="786"/>
    <cellStyle name="Normal 17 3 2 3 2 2" xfId="34023"/>
    <cellStyle name="Normal 17 3 2 3 3" xfId="34022"/>
    <cellStyle name="Normal 17 3 2 4" xfId="787"/>
    <cellStyle name="Normal 17 3 2 4 2" xfId="34024"/>
    <cellStyle name="Normal 17 3 2 5" xfId="34019"/>
    <cellStyle name="Normal 17 3 3" xfId="441"/>
    <cellStyle name="Normal 17 3 3 2" xfId="788"/>
    <cellStyle name="Normal 17 3 3 2 2" xfId="34026"/>
    <cellStyle name="Normal 17 3 3 3" xfId="34025"/>
    <cellStyle name="Normal 17 3 4" xfId="442"/>
    <cellStyle name="Normal 17 3 4 2" xfId="789"/>
    <cellStyle name="Normal 17 3 4 2 2" xfId="34028"/>
    <cellStyle name="Normal 17 3 4 3" xfId="34027"/>
    <cellStyle name="Normal 17 3 5" xfId="790"/>
    <cellStyle name="Normal 17 3 5 2" xfId="34029"/>
    <cellStyle name="Normal 17 3 6" xfId="34018"/>
    <cellStyle name="Normal 17 4" xfId="443"/>
    <cellStyle name="Normal 17 4 2" xfId="444"/>
    <cellStyle name="Normal 17 4 2 2" xfId="791"/>
    <cellStyle name="Normal 17 4 2 2 2" xfId="34032"/>
    <cellStyle name="Normal 17 4 2 3" xfId="34031"/>
    <cellStyle name="Normal 17 4 3" xfId="445"/>
    <cellStyle name="Normal 17 4 3 2" xfId="792"/>
    <cellStyle name="Normal 17 4 3 2 2" xfId="34034"/>
    <cellStyle name="Normal 17 4 3 3" xfId="34033"/>
    <cellStyle name="Normal 17 4 4" xfId="793"/>
    <cellStyle name="Normal 17 4 4 2" xfId="34035"/>
    <cellStyle name="Normal 17 4 5" xfId="34030"/>
    <cellStyle name="Normal 17 5" xfId="446"/>
    <cellStyle name="Normal 17 5 2" xfId="794"/>
    <cellStyle name="Normal 17 5 2 2" xfId="34037"/>
    <cellStyle name="Normal 17 5 3" xfId="34036"/>
    <cellStyle name="Normal 17 6" xfId="447"/>
    <cellStyle name="Normal 17 6 2" xfId="795"/>
    <cellStyle name="Normal 17 6 2 2" xfId="34039"/>
    <cellStyle name="Normal 17 6 3" xfId="34038"/>
    <cellStyle name="Normal 17 7" xfId="796"/>
    <cellStyle name="Normal 17 7 2" xfId="34040"/>
    <cellStyle name="Normal 17 8" xfId="34005"/>
    <cellStyle name="Normal 18" xfId="448"/>
    <cellStyle name="Normal 18 2" xfId="449"/>
    <cellStyle name="Normal 18 2 2" xfId="16277"/>
    <cellStyle name="Normal 18 3" xfId="16278"/>
    <cellStyle name="Normal 18 4" xfId="16279"/>
    <cellStyle name="Normal 19" xfId="450"/>
    <cellStyle name="Normal 19 2" xfId="797"/>
    <cellStyle name="Normal 19 2 2" xfId="16280"/>
    <cellStyle name="Normal 19 3" xfId="798"/>
    <cellStyle name="Normal 19 4" xfId="16281"/>
    <cellStyle name="Normal 19 5" xfId="16282"/>
    <cellStyle name="Normal 2" xfId="24"/>
    <cellStyle name="Normal 2 10" xfId="618"/>
    <cellStyle name="Normal 2 11" xfId="16283"/>
    <cellStyle name="Normal 2 11 2" xfId="34041"/>
    <cellStyle name="Normal 2 12" xfId="16284"/>
    <cellStyle name="Normal 2 2" xfId="145"/>
    <cellStyle name="Normal 2 2 2" xfId="275"/>
    <cellStyle name="Normal 2 2 2 2" xfId="16285"/>
    <cellStyle name="Normal 2 2 2 3" xfId="16286"/>
    <cellStyle name="Normal 2 2 3" xfId="451"/>
    <cellStyle name="Normal 2 2 3 2" xfId="16287"/>
    <cellStyle name="Normal 2 2 4" xfId="452"/>
    <cellStyle name="Normal 2 2 4 2" xfId="16288"/>
    <cellStyle name="Normal 2 2 5" xfId="453"/>
    <cellStyle name="Normal 2 2 6" xfId="799"/>
    <cellStyle name="Normal 2 3" xfId="146"/>
    <cellStyle name="Normal 2 3 2" xfId="214"/>
    <cellStyle name="Normal 2 3 2 2" xfId="16289"/>
    <cellStyle name="Normal 2 3 2 3" xfId="16290"/>
    <cellStyle name="Normal 2 3 3" xfId="16291"/>
    <cellStyle name="Normal 2 3 4" xfId="16292"/>
    <cellStyle name="Normal 2 3_29(d) - Gas extensions -tariffs" xfId="293"/>
    <cellStyle name="Normal 2 4" xfId="213"/>
    <cellStyle name="Normal 2 4 2" xfId="454"/>
    <cellStyle name="Normal 2 4 2 2" xfId="16293"/>
    <cellStyle name="Normal 2 4 3" xfId="455"/>
    <cellStyle name="Normal 2 4 4" xfId="16294"/>
    <cellStyle name="Normal 2 5" xfId="276"/>
    <cellStyle name="Normal 2 5 2" xfId="16295"/>
    <cellStyle name="Normal 2 5 3" xfId="16296"/>
    <cellStyle name="Normal 2 6" xfId="619"/>
    <cellStyle name="Normal 2 7" xfId="620"/>
    <cellStyle name="Normal 2 7 2" xfId="16297"/>
    <cellStyle name="Normal 2 7 2 2" xfId="16298"/>
    <cellStyle name="Normal 2 7 2 2 2" xfId="34043"/>
    <cellStyle name="Normal 2 7 2 3" xfId="34042"/>
    <cellStyle name="Normal 2 7 3" xfId="16299"/>
    <cellStyle name="Normal 2 7 3 2" xfId="34044"/>
    <cellStyle name="Normal 2 8" xfId="621"/>
    <cellStyle name="Normal 2 8 2" xfId="16300"/>
    <cellStyle name="Normal 2 8 2 2" xfId="34045"/>
    <cellStyle name="Normal 2 9" xfId="622"/>
    <cellStyle name="Normal 2_29(d) - Gas extensions -tariffs" xfId="292"/>
    <cellStyle name="Normal 20" xfId="456"/>
    <cellStyle name="Normal 20 2" xfId="457"/>
    <cellStyle name="Normal 20 2 2" xfId="458"/>
    <cellStyle name="Normal 20 2 2 2" xfId="800"/>
    <cellStyle name="Normal 20 2 2 2 2" xfId="34049"/>
    <cellStyle name="Normal 20 2 2 3" xfId="34048"/>
    <cellStyle name="Normal 20 2 3" xfId="801"/>
    <cellStyle name="Normal 20 2 3 2" xfId="34050"/>
    <cellStyle name="Normal 20 2 4" xfId="34047"/>
    <cellStyle name="Normal 20 3" xfId="459"/>
    <cellStyle name="Normal 20 3 2" xfId="802"/>
    <cellStyle name="Normal 20 3 2 2" xfId="34052"/>
    <cellStyle name="Normal 20 3 3" xfId="34051"/>
    <cellStyle name="Normal 20 4" xfId="460"/>
    <cellStyle name="Normal 20 4 2" xfId="803"/>
    <cellStyle name="Normal 20 4 2 2" xfId="34054"/>
    <cellStyle name="Normal 20 4 3" xfId="34053"/>
    <cellStyle name="Normal 20 5" xfId="804"/>
    <cellStyle name="Normal 20 5 2" xfId="34055"/>
    <cellStyle name="Normal 20 6" xfId="34046"/>
    <cellStyle name="Normal 21" xfId="461"/>
    <cellStyle name="Normal 21 2" xfId="462"/>
    <cellStyle name="Normal 21 2 2" xfId="805"/>
    <cellStyle name="Normal 21 2 2 2" xfId="34058"/>
    <cellStyle name="Normal 21 2 3" xfId="34057"/>
    <cellStyle name="Normal 21 3" xfId="463"/>
    <cellStyle name="Normal 21 3 2" xfId="806"/>
    <cellStyle name="Normal 21 3 2 2" xfId="34060"/>
    <cellStyle name="Normal 21 3 3" xfId="34059"/>
    <cellStyle name="Normal 21 4" xfId="807"/>
    <cellStyle name="Normal 21 4 2" xfId="34061"/>
    <cellStyle name="Normal 21 5" xfId="34056"/>
    <cellStyle name="Normal 22" xfId="464"/>
    <cellStyle name="Normal 22 2" xfId="16301"/>
    <cellStyle name="Normal 22 3" xfId="16302"/>
    <cellStyle name="Normal 22 4" xfId="16303"/>
    <cellStyle name="Normal 23" xfId="465"/>
    <cellStyle name="Normal 23 2" xfId="466"/>
    <cellStyle name="Normal 23 2 2" xfId="467"/>
    <cellStyle name="Normal 23 2 2 2" xfId="808"/>
    <cellStyle name="Normal 23 2 2 2 2" xfId="34065"/>
    <cellStyle name="Normal 23 2 2 3" xfId="34064"/>
    <cellStyle name="Normal 23 2 3" xfId="809"/>
    <cellStyle name="Normal 23 2 3 2" xfId="34066"/>
    <cellStyle name="Normal 23 2 4" xfId="34063"/>
    <cellStyle name="Normal 23 3" xfId="468"/>
    <cellStyle name="Normal 23 3 2" xfId="810"/>
    <cellStyle name="Normal 23 3 2 2" xfId="34068"/>
    <cellStyle name="Normal 23 3 3" xfId="34067"/>
    <cellStyle name="Normal 23 4" xfId="469"/>
    <cellStyle name="Normal 23 4 2" xfId="811"/>
    <cellStyle name="Normal 23 4 2 2" xfId="34070"/>
    <cellStyle name="Normal 23 4 3" xfId="34069"/>
    <cellStyle name="Normal 23 5" xfId="812"/>
    <cellStyle name="Normal 23 5 2" xfId="34071"/>
    <cellStyle name="Normal 23 6" xfId="34062"/>
    <cellStyle name="Normal 24" xfId="470"/>
    <cellStyle name="Normal 24 10" xfId="34072"/>
    <cellStyle name="Normal 24 2" xfId="471"/>
    <cellStyle name="Normal 24 2 2" xfId="472"/>
    <cellStyle name="Normal 24 2 2 2" xfId="813"/>
    <cellStyle name="Normal 24 2 2 2 2" xfId="16304"/>
    <cellStyle name="Normal 24 2 2 2 2 2" xfId="16305"/>
    <cellStyle name="Normal 24 2 2 2 2 2 2" xfId="16306"/>
    <cellStyle name="Normal 24 2 2 2 2 2 2 2" xfId="34078"/>
    <cellStyle name="Normal 24 2 2 2 2 2 3" xfId="34077"/>
    <cellStyle name="Normal 24 2 2 2 2 3" xfId="16307"/>
    <cellStyle name="Normal 24 2 2 2 2 3 2" xfId="34079"/>
    <cellStyle name="Normal 24 2 2 2 2 4" xfId="34076"/>
    <cellStyle name="Normal 24 2 2 2 3" xfId="16308"/>
    <cellStyle name="Normal 24 2 2 2 3 2" xfId="16309"/>
    <cellStyle name="Normal 24 2 2 2 3 2 2" xfId="34081"/>
    <cellStyle name="Normal 24 2 2 2 3 3" xfId="34080"/>
    <cellStyle name="Normal 24 2 2 2 4" xfId="16310"/>
    <cellStyle name="Normal 24 2 2 2 4 2" xfId="34082"/>
    <cellStyle name="Normal 24 2 2 2 5" xfId="34075"/>
    <cellStyle name="Normal 24 2 2 3" xfId="16311"/>
    <cellStyle name="Normal 24 2 2 3 2" xfId="16312"/>
    <cellStyle name="Normal 24 2 2 3 2 2" xfId="16313"/>
    <cellStyle name="Normal 24 2 2 3 2 2 2" xfId="16314"/>
    <cellStyle name="Normal 24 2 2 3 2 2 2 2" xfId="34086"/>
    <cellStyle name="Normal 24 2 2 3 2 2 3" xfId="34085"/>
    <cellStyle name="Normal 24 2 2 3 2 3" xfId="16315"/>
    <cellStyle name="Normal 24 2 2 3 2 3 2" xfId="34087"/>
    <cellStyle name="Normal 24 2 2 3 2 4" xfId="34084"/>
    <cellStyle name="Normal 24 2 2 3 3" xfId="16316"/>
    <cellStyle name="Normal 24 2 2 3 3 2" xfId="16317"/>
    <cellStyle name="Normal 24 2 2 3 3 2 2" xfId="34089"/>
    <cellStyle name="Normal 24 2 2 3 3 3" xfId="34088"/>
    <cellStyle name="Normal 24 2 2 3 4" xfId="16318"/>
    <cellStyle name="Normal 24 2 2 3 4 2" xfId="34090"/>
    <cellStyle name="Normal 24 2 2 3 5" xfId="34083"/>
    <cellStyle name="Normal 24 2 2 4" xfId="16319"/>
    <cellStyle name="Normal 24 2 2 4 2" xfId="16320"/>
    <cellStyle name="Normal 24 2 2 4 2 2" xfId="16321"/>
    <cellStyle name="Normal 24 2 2 4 2 2 2" xfId="34093"/>
    <cellStyle name="Normal 24 2 2 4 2 3" xfId="34092"/>
    <cellStyle name="Normal 24 2 2 4 3" xfId="16322"/>
    <cellStyle name="Normal 24 2 2 4 3 2" xfId="34094"/>
    <cellStyle name="Normal 24 2 2 4 4" xfId="34091"/>
    <cellStyle name="Normal 24 2 2 5" xfId="16323"/>
    <cellStyle name="Normal 24 2 2 5 2" xfId="16324"/>
    <cellStyle name="Normal 24 2 2 5 2 2" xfId="34096"/>
    <cellStyle name="Normal 24 2 2 5 3" xfId="34095"/>
    <cellStyle name="Normal 24 2 2 6" xfId="16325"/>
    <cellStyle name="Normal 24 2 2 6 2" xfId="34097"/>
    <cellStyle name="Normal 24 2 2 7" xfId="16326"/>
    <cellStyle name="Normal 24 2 2 7 2" xfId="34098"/>
    <cellStyle name="Normal 24 2 2 8" xfId="34074"/>
    <cellStyle name="Normal 24 2 3" xfId="814"/>
    <cellStyle name="Normal 24 2 3 2" xfId="16327"/>
    <cellStyle name="Normal 24 2 3 2 2" xfId="16328"/>
    <cellStyle name="Normal 24 2 3 2 2 2" xfId="16329"/>
    <cellStyle name="Normal 24 2 3 2 2 2 2" xfId="34102"/>
    <cellStyle name="Normal 24 2 3 2 2 3" xfId="34101"/>
    <cellStyle name="Normal 24 2 3 2 3" xfId="16330"/>
    <cellStyle name="Normal 24 2 3 2 3 2" xfId="34103"/>
    <cellStyle name="Normal 24 2 3 2 4" xfId="34100"/>
    <cellStyle name="Normal 24 2 3 3" xfId="16331"/>
    <cellStyle name="Normal 24 2 3 3 2" xfId="16332"/>
    <cellStyle name="Normal 24 2 3 3 2 2" xfId="34105"/>
    <cellStyle name="Normal 24 2 3 3 3" xfId="34104"/>
    <cellStyle name="Normal 24 2 3 4" xfId="16333"/>
    <cellStyle name="Normal 24 2 3 4 2" xfId="34106"/>
    <cellStyle name="Normal 24 2 3 5" xfId="34099"/>
    <cellStyle name="Normal 24 2 4" xfId="16334"/>
    <cellStyle name="Normal 24 2 4 2" xfId="16335"/>
    <cellStyle name="Normal 24 2 4 2 2" xfId="16336"/>
    <cellStyle name="Normal 24 2 4 2 2 2" xfId="16337"/>
    <cellStyle name="Normal 24 2 4 2 2 2 2" xfId="34110"/>
    <cellStyle name="Normal 24 2 4 2 2 3" xfId="34109"/>
    <cellStyle name="Normal 24 2 4 2 3" xfId="16338"/>
    <cellStyle name="Normal 24 2 4 2 3 2" xfId="34111"/>
    <cellStyle name="Normal 24 2 4 2 4" xfId="34108"/>
    <cellStyle name="Normal 24 2 4 3" xfId="16339"/>
    <cellStyle name="Normal 24 2 4 3 2" xfId="16340"/>
    <cellStyle name="Normal 24 2 4 3 2 2" xfId="34113"/>
    <cellStyle name="Normal 24 2 4 3 3" xfId="34112"/>
    <cellStyle name="Normal 24 2 4 4" xfId="16341"/>
    <cellStyle name="Normal 24 2 4 4 2" xfId="34114"/>
    <cellStyle name="Normal 24 2 4 5" xfId="34107"/>
    <cellStyle name="Normal 24 2 5" xfId="16342"/>
    <cellStyle name="Normal 24 2 5 2" xfId="16343"/>
    <cellStyle name="Normal 24 2 5 2 2" xfId="16344"/>
    <cellStyle name="Normal 24 2 5 2 2 2" xfId="34117"/>
    <cellStyle name="Normal 24 2 5 2 3" xfId="34116"/>
    <cellStyle name="Normal 24 2 5 3" xfId="16345"/>
    <cellStyle name="Normal 24 2 5 3 2" xfId="34118"/>
    <cellStyle name="Normal 24 2 5 4" xfId="34115"/>
    <cellStyle name="Normal 24 2 6" xfId="16346"/>
    <cellStyle name="Normal 24 2 6 2" xfId="16347"/>
    <cellStyle name="Normal 24 2 6 2 2" xfId="34120"/>
    <cellStyle name="Normal 24 2 6 3" xfId="34119"/>
    <cellStyle name="Normal 24 2 7" xfId="16348"/>
    <cellStyle name="Normal 24 2 7 2" xfId="34121"/>
    <cellStyle name="Normal 24 2 8" xfId="16349"/>
    <cellStyle name="Normal 24 2 8 2" xfId="34122"/>
    <cellStyle name="Normal 24 2 9" xfId="34073"/>
    <cellStyle name="Normal 24 3" xfId="473"/>
    <cellStyle name="Normal 24 3 2" xfId="815"/>
    <cellStyle name="Normal 24 3 2 2" xfId="16350"/>
    <cellStyle name="Normal 24 3 2 2 2" xfId="16351"/>
    <cellStyle name="Normal 24 3 2 2 2 2" xfId="16352"/>
    <cellStyle name="Normal 24 3 2 2 2 2 2" xfId="34127"/>
    <cellStyle name="Normal 24 3 2 2 2 3" xfId="34126"/>
    <cellStyle name="Normal 24 3 2 2 3" xfId="16353"/>
    <cellStyle name="Normal 24 3 2 2 3 2" xfId="34128"/>
    <cellStyle name="Normal 24 3 2 2 4" xfId="34125"/>
    <cellStyle name="Normal 24 3 2 3" xfId="16354"/>
    <cellStyle name="Normal 24 3 2 3 2" xfId="16355"/>
    <cellStyle name="Normal 24 3 2 3 2 2" xfId="34130"/>
    <cellStyle name="Normal 24 3 2 3 3" xfId="34129"/>
    <cellStyle name="Normal 24 3 2 4" xfId="16356"/>
    <cellStyle name="Normal 24 3 2 4 2" xfId="34131"/>
    <cellStyle name="Normal 24 3 2 5" xfId="34124"/>
    <cellStyle name="Normal 24 3 3" xfId="16357"/>
    <cellStyle name="Normal 24 3 3 2" xfId="16358"/>
    <cellStyle name="Normal 24 3 3 2 2" xfId="16359"/>
    <cellStyle name="Normal 24 3 3 2 2 2" xfId="16360"/>
    <cellStyle name="Normal 24 3 3 2 2 2 2" xfId="34135"/>
    <cellStyle name="Normal 24 3 3 2 2 3" xfId="34134"/>
    <cellStyle name="Normal 24 3 3 2 3" xfId="16361"/>
    <cellStyle name="Normal 24 3 3 2 3 2" xfId="34136"/>
    <cellStyle name="Normal 24 3 3 2 4" xfId="34133"/>
    <cellStyle name="Normal 24 3 3 3" xfId="16362"/>
    <cellStyle name="Normal 24 3 3 3 2" xfId="16363"/>
    <cellStyle name="Normal 24 3 3 3 2 2" xfId="34138"/>
    <cellStyle name="Normal 24 3 3 3 3" xfId="34137"/>
    <cellStyle name="Normal 24 3 3 4" xfId="16364"/>
    <cellStyle name="Normal 24 3 3 4 2" xfId="34139"/>
    <cellStyle name="Normal 24 3 3 5" xfId="34132"/>
    <cellStyle name="Normal 24 3 4" xfId="16365"/>
    <cellStyle name="Normal 24 3 4 2" xfId="16366"/>
    <cellStyle name="Normal 24 3 4 2 2" xfId="16367"/>
    <cellStyle name="Normal 24 3 4 2 2 2" xfId="34142"/>
    <cellStyle name="Normal 24 3 4 2 3" xfId="34141"/>
    <cellStyle name="Normal 24 3 4 3" xfId="16368"/>
    <cellStyle name="Normal 24 3 4 3 2" xfId="34143"/>
    <cellStyle name="Normal 24 3 4 4" xfId="34140"/>
    <cellStyle name="Normal 24 3 5" xfId="16369"/>
    <cellStyle name="Normal 24 3 5 2" xfId="16370"/>
    <cellStyle name="Normal 24 3 5 2 2" xfId="34145"/>
    <cellStyle name="Normal 24 3 5 3" xfId="34144"/>
    <cellStyle name="Normal 24 3 6" xfId="16371"/>
    <cellStyle name="Normal 24 3 6 2" xfId="34146"/>
    <cellStyle name="Normal 24 3 7" xfId="16372"/>
    <cellStyle name="Normal 24 3 7 2" xfId="34147"/>
    <cellStyle name="Normal 24 3 8" xfId="34123"/>
    <cellStyle name="Normal 24 4" xfId="474"/>
    <cellStyle name="Normal 24 4 2" xfId="816"/>
    <cellStyle name="Normal 24 4 2 2" xfId="16373"/>
    <cellStyle name="Normal 24 4 2 2 2" xfId="16374"/>
    <cellStyle name="Normal 24 4 2 2 2 2" xfId="34151"/>
    <cellStyle name="Normal 24 4 2 2 3" xfId="34150"/>
    <cellStyle name="Normal 24 4 2 3" xfId="16375"/>
    <cellStyle name="Normal 24 4 2 3 2" xfId="34152"/>
    <cellStyle name="Normal 24 4 2 4" xfId="34149"/>
    <cellStyle name="Normal 24 4 3" xfId="16376"/>
    <cellStyle name="Normal 24 4 3 2" xfId="16377"/>
    <cellStyle name="Normal 24 4 3 2 2" xfId="34154"/>
    <cellStyle name="Normal 24 4 3 3" xfId="34153"/>
    <cellStyle name="Normal 24 4 4" xfId="16378"/>
    <cellStyle name="Normal 24 4 4 2" xfId="34155"/>
    <cellStyle name="Normal 24 4 5" xfId="16379"/>
    <cellStyle name="Normal 24 4 5 2" xfId="34156"/>
    <cellStyle name="Normal 24 4 6" xfId="34148"/>
    <cellStyle name="Normal 24 5" xfId="817"/>
    <cellStyle name="Normal 24 5 2" xfId="16380"/>
    <cellStyle name="Normal 24 5 2 2" xfId="16381"/>
    <cellStyle name="Normal 24 5 2 2 2" xfId="16382"/>
    <cellStyle name="Normal 24 5 2 2 2 2" xfId="34160"/>
    <cellStyle name="Normal 24 5 2 2 3" xfId="34159"/>
    <cellStyle name="Normal 24 5 2 3" xfId="16383"/>
    <cellStyle name="Normal 24 5 2 3 2" xfId="34161"/>
    <cellStyle name="Normal 24 5 2 4" xfId="34158"/>
    <cellStyle name="Normal 24 5 3" xfId="16384"/>
    <cellStyle name="Normal 24 5 3 2" xfId="16385"/>
    <cellStyle name="Normal 24 5 3 2 2" xfId="34163"/>
    <cellStyle name="Normal 24 5 3 3" xfId="34162"/>
    <cellStyle name="Normal 24 5 4" xfId="16386"/>
    <cellStyle name="Normal 24 5 4 2" xfId="34164"/>
    <cellStyle name="Normal 24 5 5" xfId="34157"/>
    <cellStyle name="Normal 24 6" xfId="16387"/>
    <cellStyle name="Normal 24 6 2" xfId="16388"/>
    <cellStyle name="Normal 24 6 2 2" xfId="16389"/>
    <cellStyle name="Normal 24 6 2 2 2" xfId="34167"/>
    <cellStyle name="Normal 24 6 2 3" xfId="34166"/>
    <cellStyle name="Normal 24 6 3" xfId="16390"/>
    <cellStyle name="Normal 24 6 3 2" xfId="34168"/>
    <cellStyle name="Normal 24 6 4" xfId="34165"/>
    <cellStyle name="Normal 24 7" xfId="16391"/>
    <cellStyle name="Normal 24 7 2" xfId="16392"/>
    <cellStyle name="Normal 24 7 2 2" xfId="34170"/>
    <cellStyle name="Normal 24 7 3" xfId="34169"/>
    <cellStyle name="Normal 24 8" xfId="16393"/>
    <cellStyle name="Normal 24 8 2" xfId="34171"/>
    <cellStyle name="Normal 24 9" xfId="16394"/>
    <cellStyle name="Normal 24 9 2" xfId="34172"/>
    <cellStyle name="Normal 25" xfId="475"/>
    <cellStyle name="Normal 25 2" xfId="476"/>
    <cellStyle name="Normal 25 2 2" xfId="477"/>
    <cellStyle name="Normal 25 2 2 2" xfId="818"/>
    <cellStyle name="Normal 25 2 2 2 2" xfId="34176"/>
    <cellStyle name="Normal 25 2 2 3" xfId="34175"/>
    <cellStyle name="Normal 25 2 3" xfId="819"/>
    <cellStyle name="Normal 25 2 3 2" xfId="34177"/>
    <cellStyle name="Normal 25 2 4" xfId="34174"/>
    <cellStyle name="Normal 25 3" xfId="478"/>
    <cellStyle name="Normal 25 3 2" xfId="820"/>
    <cellStyle name="Normal 25 3 2 2" xfId="34179"/>
    <cellStyle name="Normal 25 3 3" xfId="16395"/>
    <cellStyle name="Normal 25 3 4" xfId="34178"/>
    <cellStyle name="Normal 25 4" xfId="479"/>
    <cellStyle name="Normal 25 4 2" xfId="821"/>
    <cellStyle name="Normal 25 4 2 2" xfId="34181"/>
    <cellStyle name="Normal 25 4 3" xfId="34180"/>
    <cellStyle name="Normal 25 5" xfId="822"/>
    <cellStyle name="Normal 25 5 2" xfId="34182"/>
    <cellStyle name="Normal 25 6" xfId="34173"/>
    <cellStyle name="Normal 26" xfId="480"/>
    <cellStyle name="Normal 26 2" xfId="481"/>
    <cellStyle name="Normal 26 2 2" xfId="482"/>
    <cellStyle name="Normal 26 2 2 2" xfId="823"/>
    <cellStyle name="Normal 26 2 2 2 2" xfId="16396"/>
    <cellStyle name="Normal 26 2 2 2 2 2" xfId="16397"/>
    <cellStyle name="Normal 26 2 2 2 2 2 2" xfId="34188"/>
    <cellStyle name="Normal 26 2 2 2 2 3" xfId="34187"/>
    <cellStyle name="Normal 26 2 2 2 3" xfId="16398"/>
    <cellStyle name="Normal 26 2 2 2 3 2" xfId="34189"/>
    <cellStyle name="Normal 26 2 2 2 4" xfId="34186"/>
    <cellStyle name="Normal 26 2 2 3" xfId="16399"/>
    <cellStyle name="Normal 26 2 2 3 2" xfId="16400"/>
    <cellStyle name="Normal 26 2 2 3 2 2" xfId="34191"/>
    <cellStyle name="Normal 26 2 2 3 3" xfId="34190"/>
    <cellStyle name="Normal 26 2 2 4" xfId="16401"/>
    <cellStyle name="Normal 26 2 2 4 2" xfId="34192"/>
    <cellStyle name="Normal 26 2 2 5" xfId="16402"/>
    <cellStyle name="Normal 26 2 2 5 2" xfId="34193"/>
    <cellStyle name="Normal 26 2 2 6" xfId="34185"/>
    <cellStyle name="Normal 26 2 3" xfId="824"/>
    <cellStyle name="Normal 26 2 3 2" xfId="16403"/>
    <cellStyle name="Normal 26 2 3 2 2" xfId="16404"/>
    <cellStyle name="Normal 26 2 3 2 2 2" xfId="16405"/>
    <cellStyle name="Normal 26 2 3 2 2 2 2" xfId="34197"/>
    <cellStyle name="Normal 26 2 3 2 2 3" xfId="34196"/>
    <cellStyle name="Normal 26 2 3 2 3" xfId="16406"/>
    <cellStyle name="Normal 26 2 3 2 3 2" xfId="34198"/>
    <cellStyle name="Normal 26 2 3 2 4" xfId="34195"/>
    <cellStyle name="Normal 26 2 3 3" xfId="16407"/>
    <cellStyle name="Normal 26 2 3 3 2" xfId="16408"/>
    <cellStyle name="Normal 26 2 3 3 2 2" xfId="34200"/>
    <cellStyle name="Normal 26 2 3 3 3" xfId="34199"/>
    <cellStyle name="Normal 26 2 3 4" xfId="16409"/>
    <cellStyle name="Normal 26 2 3 4 2" xfId="34201"/>
    <cellStyle name="Normal 26 2 3 5" xfId="34194"/>
    <cellStyle name="Normal 26 2 4" xfId="16410"/>
    <cellStyle name="Normal 26 2 4 2" xfId="16411"/>
    <cellStyle name="Normal 26 2 4 2 2" xfId="16412"/>
    <cellStyle name="Normal 26 2 4 2 2 2" xfId="34204"/>
    <cellStyle name="Normal 26 2 4 2 3" xfId="34203"/>
    <cellStyle name="Normal 26 2 4 3" xfId="16413"/>
    <cellStyle name="Normal 26 2 4 3 2" xfId="34205"/>
    <cellStyle name="Normal 26 2 4 4" xfId="34202"/>
    <cellStyle name="Normal 26 2 5" xfId="16414"/>
    <cellStyle name="Normal 26 2 5 2" xfId="16415"/>
    <cellStyle name="Normal 26 2 5 2 2" xfId="34207"/>
    <cellStyle name="Normal 26 2 5 3" xfId="34206"/>
    <cellStyle name="Normal 26 2 6" xfId="16416"/>
    <cellStyle name="Normal 26 2 6 2" xfId="34208"/>
    <cellStyle name="Normal 26 2 7" xfId="16417"/>
    <cellStyle name="Normal 26 2 7 2" xfId="34209"/>
    <cellStyle name="Normal 26 2 8" xfId="34184"/>
    <cellStyle name="Normal 26 3" xfId="483"/>
    <cellStyle name="Normal 26 3 2" xfId="825"/>
    <cellStyle name="Normal 26 3 2 2" xfId="16418"/>
    <cellStyle name="Normal 26 3 2 2 2" xfId="16419"/>
    <cellStyle name="Normal 26 3 2 2 2 2" xfId="34213"/>
    <cellStyle name="Normal 26 3 2 2 3" xfId="34212"/>
    <cellStyle name="Normal 26 3 2 3" xfId="16420"/>
    <cellStyle name="Normal 26 3 2 3 2" xfId="34214"/>
    <cellStyle name="Normal 26 3 2 4" xfId="34211"/>
    <cellStyle name="Normal 26 3 3" xfId="16421"/>
    <cellStyle name="Normal 26 3 3 2" xfId="16422"/>
    <cellStyle name="Normal 26 3 3 2 2" xfId="34216"/>
    <cellStyle name="Normal 26 3 3 3" xfId="34215"/>
    <cellStyle name="Normal 26 3 4" xfId="16423"/>
    <cellStyle name="Normal 26 3 4 2" xfId="34217"/>
    <cellStyle name="Normal 26 3 5" xfId="16424"/>
    <cellStyle name="Normal 26 3 5 2" xfId="34218"/>
    <cellStyle name="Normal 26 3 6" xfId="34210"/>
    <cellStyle name="Normal 26 4" xfId="484"/>
    <cellStyle name="Normal 26 4 2" xfId="826"/>
    <cellStyle name="Normal 26 4 2 2" xfId="16425"/>
    <cellStyle name="Normal 26 4 2 2 2" xfId="16426"/>
    <cellStyle name="Normal 26 4 2 2 2 2" xfId="34222"/>
    <cellStyle name="Normal 26 4 2 2 3" xfId="34221"/>
    <cellStyle name="Normal 26 4 2 3" xfId="16427"/>
    <cellStyle name="Normal 26 4 2 3 2" xfId="34223"/>
    <cellStyle name="Normal 26 4 2 4" xfId="34220"/>
    <cellStyle name="Normal 26 4 3" xfId="16428"/>
    <cellStyle name="Normal 26 4 3 2" xfId="16429"/>
    <cellStyle name="Normal 26 4 3 2 2" xfId="34225"/>
    <cellStyle name="Normal 26 4 3 3" xfId="34224"/>
    <cellStyle name="Normal 26 4 4" xfId="16430"/>
    <cellStyle name="Normal 26 4 4 2" xfId="34226"/>
    <cellStyle name="Normal 26 4 5" xfId="16431"/>
    <cellStyle name="Normal 26 4 5 2" xfId="34227"/>
    <cellStyle name="Normal 26 4 6" xfId="34219"/>
    <cellStyle name="Normal 26 5" xfId="827"/>
    <cellStyle name="Normal 26 5 2" xfId="16432"/>
    <cellStyle name="Normal 26 5 2 2" xfId="16433"/>
    <cellStyle name="Normal 26 5 2 2 2" xfId="34230"/>
    <cellStyle name="Normal 26 5 2 3" xfId="34229"/>
    <cellStyle name="Normal 26 5 3" xfId="16434"/>
    <cellStyle name="Normal 26 5 3 2" xfId="34231"/>
    <cellStyle name="Normal 26 5 4" xfId="34228"/>
    <cellStyle name="Normal 26 6" xfId="16435"/>
    <cellStyle name="Normal 26 6 2" xfId="16436"/>
    <cellStyle name="Normal 26 6 2 2" xfId="34233"/>
    <cellStyle name="Normal 26 6 3" xfId="34232"/>
    <cellStyle name="Normal 26 7" xfId="16437"/>
    <cellStyle name="Normal 26 7 2" xfId="34234"/>
    <cellStyle name="Normal 26 8" xfId="16438"/>
    <cellStyle name="Normal 26 8 2" xfId="34235"/>
    <cellStyle name="Normal 26 9" xfId="34183"/>
    <cellStyle name="Normal 27" xfId="485"/>
    <cellStyle name="Normal 27 2" xfId="16439"/>
    <cellStyle name="Normal 27 2 2" xfId="16440"/>
    <cellStyle name="Normal 27 2 2 2" xfId="16441"/>
    <cellStyle name="Normal 27 2 2 2 2" xfId="16442"/>
    <cellStyle name="Normal 27 2 2 2 2 2" xfId="34239"/>
    <cellStyle name="Normal 27 2 2 2 3" xfId="34238"/>
    <cellStyle name="Normal 27 2 2 3" xfId="16443"/>
    <cellStyle name="Normal 27 2 2 3 2" xfId="34240"/>
    <cellStyle name="Normal 27 2 2 4" xfId="34237"/>
    <cellStyle name="Normal 27 2 3" xfId="16444"/>
    <cellStyle name="Normal 27 2 3 2" xfId="16445"/>
    <cellStyle name="Normal 27 2 3 2 2" xfId="34242"/>
    <cellStyle name="Normal 27 2 3 3" xfId="34241"/>
    <cellStyle name="Normal 27 2 4" xfId="16446"/>
    <cellStyle name="Normal 27 2 4 2" xfId="34243"/>
    <cellStyle name="Normal 27 2 5" xfId="34236"/>
    <cellStyle name="Normal 27 3" xfId="16447"/>
    <cellStyle name="Normal 27 3 2" xfId="16448"/>
    <cellStyle name="Normal 27 3 2 2" xfId="16449"/>
    <cellStyle name="Normal 27 3 2 2 2" xfId="16450"/>
    <cellStyle name="Normal 27 3 2 2 2 2" xfId="34247"/>
    <cellStyle name="Normal 27 3 2 2 3" xfId="34246"/>
    <cellStyle name="Normal 27 3 2 3" xfId="16451"/>
    <cellStyle name="Normal 27 3 2 3 2" xfId="34248"/>
    <cellStyle name="Normal 27 3 2 4" xfId="34245"/>
    <cellStyle name="Normal 27 3 3" xfId="16452"/>
    <cellStyle name="Normal 27 3 3 2" xfId="16453"/>
    <cellStyle name="Normal 27 3 3 2 2" xfId="34250"/>
    <cellStyle name="Normal 27 3 3 3" xfId="34249"/>
    <cellStyle name="Normal 27 3 4" xfId="16454"/>
    <cellStyle name="Normal 27 3 4 2" xfId="34251"/>
    <cellStyle name="Normal 27 3 5" xfId="34244"/>
    <cellStyle name="Normal 27 4" xfId="16455"/>
    <cellStyle name="Normal 27 4 2" xfId="16456"/>
    <cellStyle name="Normal 27 4 2 2" xfId="16457"/>
    <cellStyle name="Normal 27 4 2 2 2" xfId="34254"/>
    <cellStyle name="Normal 27 4 2 3" xfId="34253"/>
    <cellStyle name="Normal 27 4 3" xfId="16458"/>
    <cellStyle name="Normal 27 4 3 2" xfId="34255"/>
    <cellStyle name="Normal 27 4 4" xfId="34252"/>
    <cellStyle name="Normal 27 5" xfId="16459"/>
    <cellStyle name="Normal 27 5 2" xfId="16460"/>
    <cellStyle name="Normal 27 5 2 2" xfId="34257"/>
    <cellStyle name="Normal 27 5 3" xfId="34256"/>
    <cellStyle name="Normal 27 6" xfId="16461"/>
    <cellStyle name="Normal 27 6 2" xfId="34258"/>
    <cellStyle name="Normal 27 7" xfId="16462"/>
    <cellStyle name="Normal 27 7 2" xfId="34259"/>
    <cellStyle name="Normal 28" xfId="309"/>
    <cellStyle name="Normal 28 2" xfId="828"/>
    <cellStyle name="Normal 28 2 2" xfId="34261"/>
    <cellStyle name="Normal 28 3" xfId="16463"/>
    <cellStyle name="Normal 28 4" xfId="34260"/>
    <cellStyle name="Normal 29" xfId="486"/>
    <cellStyle name="Normal 29 2" xfId="16464"/>
    <cellStyle name="Normal 29 2 2" xfId="16465"/>
    <cellStyle name="Normal 29 2 2 2" xfId="16466"/>
    <cellStyle name="Normal 29 2 2 2 2" xfId="34264"/>
    <cellStyle name="Normal 29 2 2 3" xfId="34263"/>
    <cellStyle name="Normal 29 2 3" xfId="16467"/>
    <cellStyle name="Normal 29 2 3 2" xfId="34265"/>
    <cellStyle name="Normal 29 2 4" xfId="34262"/>
    <cellStyle name="Normal 29 3" xfId="16468"/>
    <cellStyle name="Normal 29 3 2" xfId="16469"/>
    <cellStyle name="Normal 29 3 2 2" xfId="34267"/>
    <cellStyle name="Normal 29 3 3" xfId="34266"/>
    <cellStyle name="Normal 29 4" xfId="16470"/>
    <cellStyle name="Normal 29 4 2" xfId="34268"/>
    <cellStyle name="Normal 29 5" xfId="16471"/>
    <cellStyle name="Normal 29 5 2" xfId="34269"/>
    <cellStyle name="Normal 3" xfId="147"/>
    <cellStyle name="Normal 3 2" xfId="215"/>
    <cellStyle name="Normal 3 2 2" xfId="16472"/>
    <cellStyle name="Normal 3 2 3" xfId="16473"/>
    <cellStyle name="Normal 3 2 3 2" xfId="16474"/>
    <cellStyle name="Normal 3 2 3 2 2" xfId="34271"/>
    <cellStyle name="Normal 3 2 3 3" xfId="34270"/>
    <cellStyle name="Normal 3 2 4" xfId="16475"/>
    <cellStyle name="Normal 3 2 4 2" xfId="34272"/>
    <cellStyle name="Normal 3 2 5" xfId="16476"/>
    <cellStyle name="Normal 3 2 5 2" xfId="34273"/>
    <cellStyle name="Normal 3 2 6" xfId="16477"/>
    <cellStyle name="Normal 3 2 6 2" xfId="34274"/>
    <cellStyle name="Normal 3 2 7" xfId="16478"/>
    <cellStyle name="Normal 3 3" xfId="487"/>
    <cellStyle name="Normal 3 3 2" xfId="488"/>
    <cellStyle name="Normal 3 3 2 2" xfId="16479"/>
    <cellStyle name="Normal 3 3 3" xfId="489"/>
    <cellStyle name="Normal 3 4" xfId="490"/>
    <cellStyle name="Normal 3 4 2" xfId="16480"/>
    <cellStyle name="Normal 3 5" xfId="491"/>
    <cellStyle name="Normal 3 5 2" xfId="492"/>
    <cellStyle name="Normal 3 5 2 2" xfId="829"/>
    <cellStyle name="Normal 3 5 2 2 2" xfId="34277"/>
    <cellStyle name="Normal 3 5 2 3" xfId="34276"/>
    <cellStyle name="Normal 3 5 3" xfId="493"/>
    <cellStyle name="Normal 3 5 3 2" xfId="830"/>
    <cellStyle name="Normal 3 5 3 2 2" xfId="34279"/>
    <cellStyle name="Normal 3 5 3 3" xfId="34278"/>
    <cellStyle name="Normal 3 5 4" xfId="831"/>
    <cellStyle name="Normal 3 5 4 2" xfId="34280"/>
    <cellStyle name="Normal 3 5 5" xfId="34275"/>
    <cellStyle name="Normal 3 6" xfId="832"/>
    <cellStyle name="Normal 3 7" xfId="833"/>
    <cellStyle name="Normal 3 8" xfId="16481"/>
    <cellStyle name="Normal 3 8 2" xfId="34281"/>
    <cellStyle name="Normal 3_29(d) - Gas extensions -tariffs" xfId="294"/>
    <cellStyle name="Normal 30" xfId="494"/>
    <cellStyle name="Normal 30 2" xfId="16482"/>
    <cellStyle name="Normal 30 2 2" xfId="16483"/>
    <cellStyle name="Normal 30 2 2 2" xfId="16484"/>
    <cellStyle name="Normal 30 2 2 2 2" xfId="34284"/>
    <cellStyle name="Normal 30 2 2 3" xfId="34283"/>
    <cellStyle name="Normal 30 2 3" xfId="16485"/>
    <cellStyle name="Normal 30 2 3 2" xfId="34285"/>
    <cellStyle name="Normal 30 2 4" xfId="34282"/>
    <cellStyle name="Normal 30 3" xfId="16486"/>
    <cellStyle name="Normal 30 3 2" xfId="16487"/>
    <cellStyle name="Normal 30 3 2 2" xfId="34287"/>
    <cellStyle name="Normal 30 3 3" xfId="34286"/>
    <cellStyle name="Normal 30 4" xfId="16488"/>
    <cellStyle name="Normal 30 4 2" xfId="34288"/>
    <cellStyle name="Normal 30 5" xfId="16489"/>
    <cellStyle name="Normal 30 5 2" xfId="34289"/>
    <cellStyle name="Normal 31" xfId="495"/>
    <cellStyle name="Normal 31 2" xfId="16490"/>
    <cellStyle name="Normal 31 3" xfId="16491"/>
    <cellStyle name="Normal 32" xfId="307"/>
    <cellStyle name="Normal 32 2" xfId="834"/>
    <cellStyle name="Normal 32 2 2" xfId="34291"/>
    <cellStyle name="Normal 32 3" xfId="16492"/>
    <cellStyle name="Normal 32 4" xfId="34290"/>
    <cellStyle name="Normal 33" xfId="496"/>
    <cellStyle name="Normal 33 2" xfId="835"/>
    <cellStyle name="Normal 33 2 2" xfId="34293"/>
    <cellStyle name="Normal 33 3" xfId="16493"/>
    <cellStyle name="Normal 33 4" xfId="34292"/>
    <cellStyle name="Normal 34" xfId="497"/>
    <cellStyle name="Normal 34 2" xfId="16494"/>
    <cellStyle name="Normal 34 3" xfId="16495"/>
    <cellStyle name="Normal 35" xfId="623"/>
    <cellStyle name="Normal 35 2" xfId="16496"/>
    <cellStyle name="Normal 36" xfId="624"/>
    <cellStyle name="Normal 36 2" xfId="16497"/>
    <cellStyle name="Normal 37" xfId="625"/>
    <cellStyle name="Normal 37 2" xfId="16498"/>
    <cellStyle name="Normal 38" xfId="148"/>
    <cellStyle name="Normal 38 2" xfId="216"/>
    <cellStyle name="Normal 38_29(d) - Gas extensions -tariffs" xfId="295"/>
    <cellStyle name="Normal 39" xfId="626"/>
    <cellStyle name="Normal 39 2" xfId="836"/>
    <cellStyle name="Normal 39 2 2" xfId="16499"/>
    <cellStyle name="Normal 39 2 2 2" xfId="34295"/>
    <cellStyle name="Normal 39 2 3" xfId="34294"/>
    <cellStyle name="Normal 39 3" xfId="16500"/>
    <cellStyle name="Normal 39 3 2" xfId="34296"/>
    <cellStyle name="Normal 4" xfId="149"/>
    <cellStyle name="Normal 4 2" xfId="217"/>
    <cellStyle name="Normal 4 2 2" xfId="498"/>
    <cellStyle name="Normal 4 2 2 2" xfId="499"/>
    <cellStyle name="Normal 4 2 2 2 2" xfId="500"/>
    <cellStyle name="Normal 4 2 2 2 2 2" xfId="837"/>
    <cellStyle name="Normal 4 2 2 2 2 2 2" xfId="34300"/>
    <cellStyle name="Normal 4 2 2 2 2 3" xfId="34299"/>
    <cellStyle name="Normal 4 2 2 2 3" xfId="501"/>
    <cellStyle name="Normal 4 2 2 2 3 2" xfId="838"/>
    <cellStyle name="Normal 4 2 2 2 3 2 2" xfId="34302"/>
    <cellStyle name="Normal 4 2 2 2 3 3" xfId="34301"/>
    <cellStyle name="Normal 4 2 2 2 4" xfId="839"/>
    <cellStyle name="Normal 4 2 2 2 4 2" xfId="34303"/>
    <cellStyle name="Normal 4 2 2 2 5" xfId="34298"/>
    <cellStyle name="Normal 4 2 2 3" xfId="502"/>
    <cellStyle name="Normal 4 2 2 3 2" xfId="840"/>
    <cellStyle name="Normal 4 2 2 3 2 2" xfId="34305"/>
    <cellStyle name="Normal 4 2 2 3 3" xfId="34304"/>
    <cellStyle name="Normal 4 2 2 4" xfId="503"/>
    <cellStyle name="Normal 4 2 2 4 2" xfId="841"/>
    <cellStyle name="Normal 4 2 2 4 2 2" xfId="34307"/>
    <cellStyle name="Normal 4 2 2 4 3" xfId="34306"/>
    <cellStyle name="Normal 4 2 2 5" xfId="842"/>
    <cellStyle name="Normal 4 2 2 5 2" xfId="34308"/>
    <cellStyle name="Normal 4 2 2 6" xfId="34297"/>
    <cellStyle name="Normal 4 2 3" xfId="504"/>
    <cellStyle name="Normal 4 2 3 2" xfId="505"/>
    <cellStyle name="Normal 4 2 3 2 2" xfId="506"/>
    <cellStyle name="Normal 4 2 3 2 2 2" xfId="843"/>
    <cellStyle name="Normal 4 2 3 2 2 2 2" xfId="34312"/>
    <cellStyle name="Normal 4 2 3 2 2 3" xfId="34311"/>
    <cellStyle name="Normal 4 2 3 2 3" xfId="507"/>
    <cellStyle name="Normal 4 2 3 2 3 2" xfId="844"/>
    <cellStyle name="Normal 4 2 3 2 3 2 2" xfId="34314"/>
    <cellStyle name="Normal 4 2 3 2 3 3" xfId="34313"/>
    <cellStyle name="Normal 4 2 3 2 4" xfId="845"/>
    <cellStyle name="Normal 4 2 3 2 4 2" xfId="34315"/>
    <cellStyle name="Normal 4 2 3 2 5" xfId="34310"/>
    <cellStyle name="Normal 4 2 3 3" xfId="508"/>
    <cellStyle name="Normal 4 2 3 3 2" xfId="846"/>
    <cellStyle name="Normal 4 2 3 3 2 2" xfId="34317"/>
    <cellStyle name="Normal 4 2 3 3 3" xfId="34316"/>
    <cellStyle name="Normal 4 2 3 4" xfId="509"/>
    <cellStyle name="Normal 4 2 3 4 2" xfId="847"/>
    <cellStyle name="Normal 4 2 3 4 2 2" xfId="34319"/>
    <cellStyle name="Normal 4 2 3 4 3" xfId="34318"/>
    <cellStyle name="Normal 4 2 3 5" xfId="848"/>
    <cellStyle name="Normal 4 2 3 5 2" xfId="34320"/>
    <cellStyle name="Normal 4 2 3 6" xfId="34309"/>
    <cellStyle name="Normal 4 2 4" xfId="627"/>
    <cellStyle name="Normal 4 2 4 2" xfId="34321"/>
    <cellStyle name="Normal 4 2 5" xfId="16501"/>
    <cellStyle name="Normal 4 2 5 2" xfId="34322"/>
    <cellStyle name="Normal 4 2 6" xfId="16502"/>
    <cellStyle name="Normal 4 3" xfId="277"/>
    <cellStyle name="Normal 4 3 2" xfId="510"/>
    <cellStyle name="Normal 4 3 2 2" xfId="511"/>
    <cellStyle name="Normal 4 3 2 2 2" xfId="849"/>
    <cellStyle name="Normal 4 3 2 2 2 2" xfId="34326"/>
    <cellStyle name="Normal 4 3 2 2 3" xfId="34325"/>
    <cellStyle name="Normal 4 3 2 3" xfId="512"/>
    <cellStyle name="Normal 4 3 2 3 2" xfId="850"/>
    <cellStyle name="Normal 4 3 2 3 2 2" xfId="34328"/>
    <cellStyle name="Normal 4 3 2 3 3" xfId="34327"/>
    <cellStyle name="Normal 4 3 2 4" xfId="851"/>
    <cellStyle name="Normal 4 3 2 4 2" xfId="34329"/>
    <cellStyle name="Normal 4 3 2 5" xfId="34324"/>
    <cellStyle name="Normal 4 3 3" xfId="513"/>
    <cellStyle name="Normal 4 3 3 2" xfId="514"/>
    <cellStyle name="Normal 4 3 3 2 2" xfId="852"/>
    <cellStyle name="Normal 4 3 3 2 2 2" xfId="34332"/>
    <cellStyle name="Normal 4 3 3 2 3" xfId="34331"/>
    <cellStyle name="Normal 4 3 3 3" xfId="853"/>
    <cellStyle name="Normal 4 3 3 3 2" xfId="34333"/>
    <cellStyle name="Normal 4 3 3 4" xfId="34330"/>
    <cellStyle name="Normal 4 3 4" xfId="515"/>
    <cellStyle name="Normal 4 3 4 2" xfId="854"/>
    <cellStyle name="Normal 4 3 4 2 2" xfId="34335"/>
    <cellStyle name="Normal 4 3 4 3" xfId="34334"/>
    <cellStyle name="Normal 4 3 5" xfId="628"/>
    <cellStyle name="Normal 4 3 5 2" xfId="34336"/>
    <cellStyle name="Normal 4 3 6" xfId="34323"/>
    <cellStyle name="Normal 4 4" xfId="516"/>
    <cellStyle name="Normal 4 4 2" xfId="16503"/>
    <cellStyle name="Normal 4 5" xfId="517"/>
    <cellStyle name="Normal 4 6" xfId="518"/>
    <cellStyle name="Normal 4 6 2" xfId="855"/>
    <cellStyle name="Normal 4 6 2 2" xfId="34338"/>
    <cellStyle name="Normal 4 6 3" xfId="34337"/>
    <cellStyle name="Normal 4 7" xfId="629"/>
    <cellStyle name="Normal 4 7 2" xfId="34339"/>
    <cellStyle name="Normal 4_29(d) - Gas extensions -tariffs" xfId="296"/>
    <cellStyle name="Normal 40" xfId="150"/>
    <cellStyle name="Normal 40 2" xfId="218"/>
    <cellStyle name="Normal 40 2 2" xfId="16504"/>
    <cellStyle name="Normal 40 3" xfId="16505"/>
    <cellStyle name="Normal 40_29(d) - Gas extensions -tariffs" xfId="297"/>
    <cellStyle name="Normal 41" xfId="630"/>
    <cellStyle name="Normal 41 2" xfId="856"/>
    <cellStyle name="Normal 41 2 2" xfId="34340"/>
    <cellStyle name="Normal 42" xfId="631"/>
    <cellStyle name="Normal 42 2" xfId="16506"/>
    <cellStyle name="Normal 43" xfId="632"/>
    <cellStyle name="Normal 43 2" xfId="16507"/>
    <cellStyle name="Normal 44" xfId="633"/>
    <cellStyle name="Normal 44 2" xfId="16508"/>
    <cellStyle name="Normal 45" xfId="634"/>
    <cellStyle name="Normal 45 2" xfId="16509"/>
    <cellStyle name="Normal 46" xfId="635"/>
    <cellStyle name="Normal 46 2" xfId="16510"/>
    <cellStyle name="Normal 47" xfId="636"/>
    <cellStyle name="Normal 47 2" xfId="16511"/>
    <cellStyle name="Normal 48" xfId="637"/>
    <cellStyle name="Normal 48 2" xfId="16512"/>
    <cellStyle name="Normal 49" xfId="638"/>
    <cellStyle name="Normal 49 2" xfId="16513"/>
    <cellStyle name="Normal 5" xfId="151"/>
    <cellStyle name="Normal 5 2" xfId="278"/>
    <cellStyle name="Normal 5 2 2" xfId="16514"/>
    <cellStyle name="Normal 5 2 3" xfId="16515"/>
    <cellStyle name="Normal 5 3" xfId="519"/>
    <cellStyle name="Normal 5 3 2" xfId="16516"/>
    <cellStyle name="Normal 5 4" xfId="16517"/>
    <cellStyle name="Normal 5 5" xfId="16518"/>
    <cellStyle name="Normal 50" xfId="639"/>
    <cellStyle name="Normal 50 2" xfId="16519"/>
    <cellStyle name="Normal 51" xfId="640"/>
    <cellStyle name="Normal 51 2" xfId="16520"/>
    <cellStyle name="Normal 52" xfId="641"/>
    <cellStyle name="Normal 52 2" xfId="16521"/>
    <cellStyle name="Normal 53" xfId="642"/>
    <cellStyle name="Normal 53 2" xfId="16522"/>
    <cellStyle name="Normal 54" xfId="643"/>
    <cellStyle name="Normal 54 2" xfId="16523"/>
    <cellStyle name="Normal 55" xfId="644"/>
    <cellStyle name="Normal 55 2" xfId="16524"/>
    <cellStyle name="Normal 56" xfId="645"/>
    <cellStyle name="Normal 56 2" xfId="16525"/>
    <cellStyle name="Normal 57" xfId="16526"/>
    <cellStyle name="Normal 57 2" xfId="16527"/>
    <cellStyle name="Normal 58" xfId="16528"/>
    <cellStyle name="Normal 58 2" xfId="16529"/>
    <cellStyle name="Normal 59" xfId="16530"/>
    <cellStyle name="Normal 59 2" xfId="16531"/>
    <cellStyle name="Normal 59 2 2" xfId="16532"/>
    <cellStyle name="Normal 59 2 2 2" xfId="34343"/>
    <cellStyle name="Normal 59 2 3" xfId="34342"/>
    <cellStyle name="Normal 59 3" xfId="16533"/>
    <cellStyle name="Normal 59 3 2" xfId="34344"/>
    <cellStyle name="Normal 59 4" xfId="34341"/>
    <cellStyle name="Normal 6" xfId="152"/>
    <cellStyle name="Normal 6 2" xfId="279"/>
    <cellStyle name="Normal 6 2 2" xfId="520"/>
    <cellStyle name="Normal 6 2 3" xfId="16534"/>
    <cellStyle name="Normal 6 3" xfId="16535"/>
    <cellStyle name="Normal 6 4" xfId="16536"/>
    <cellStyle name="Normal 6 5" xfId="16537"/>
    <cellStyle name="Normal 60" xfId="16538"/>
    <cellStyle name="Normal 60 2" xfId="16539"/>
    <cellStyle name="Normal 61" xfId="16540"/>
    <cellStyle name="Normal 61 2" xfId="16541"/>
    <cellStyle name="Normal 62" xfId="16542"/>
    <cellStyle name="Normal 62 2" xfId="16543"/>
    <cellStyle name="Normal 63" xfId="16544"/>
    <cellStyle name="Normal 63 2" xfId="16545"/>
    <cellStyle name="Normal 64" xfId="16546"/>
    <cellStyle name="Normal 64 2" xfId="16547"/>
    <cellStyle name="Normal 65" xfId="16548"/>
    <cellStyle name="Normal 65 2" xfId="16549"/>
    <cellStyle name="Normal 66" xfId="16550"/>
    <cellStyle name="Normal 66 2" xfId="16551"/>
    <cellStyle name="Normal 67" xfId="16552"/>
    <cellStyle name="Normal 67 2" xfId="16553"/>
    <cellStyle name="Normal 68" xfId="16554"/>
    <cellStyle name="Normal 68 2" xfId="16555"/>
    <cellStyle name="Normal 69" xfId="16556"/>
    <cellStyle name="Normal 69 2" xfId="16557"/>
    <cellStyle name="Normal 7" xfId="196"/>
    <cellStyle name="Normal 7 2" xfId="280"/>
    <cellStyle name="Normal 7 2 2" xfId="521"/>
    <cellStyle name="Normal 7 2 2 2" xfId="522"/>
    <cellStyle name="Normal 7 2 2 2 2" xfId="857"/>
    <cellStyle name="Normal 7 2 2 2 2 2" xfId="34348"/>
    <cellStyle name="Normal 7 2 2 2 3" xfId="34347"/>
    <cellStyle name="Normal 7 2 2 3" xfId="523"/>
    <cellStyle name="Normal 7 2 2 3 2" xfId="858"/>
    <cellStyle name="Normal 7 2 2 3 2 2" xfId="34350"/>
    <cellStyle name="Normal 7 2 2 3 3" xfId="34349"/>
    <cellStyle name="Normal 7 2 2 4" xfId="859"/>
    <cellStyle name="Normal 7 2 2 4 2" xfId="34351"/>
    <cellStyle name="Normal 7 2 2 5" xfId="34346"/>
    <cellStyle name="Normal 7 2 3" xfId="524"/>
    <cellStyle name="Normal 7 2 3 2" xfId="860"/>
    <cellStyle name="Normal 7 2 3 2 2" xfId="34353"/>
    <cellStyle name="Normal 7 2 3 3" xfId="34352"/>
    <cellStyle name="Normal 7 2 4" xfId="525"/>
    <cellStyle name="Normal 7 2 4 2" xfId="861"/>
    <cellStyle name="Normal 7 2 4 2 2" xfId="34355"/>
    <cellStyle name="Normal 7 2 4 3" xfId="34354"/>
    <cellStyle name="Normal 7 2 5" xfId="646"/>
    <cellStyle name="Normal 7 2 5 2" xfId="34356"/>
    <cellStyle name="Normal 7 2 6" xfId="34345"/>
    <cellStyle name="Normal 7 3" xfId="647"/>
    <cellStyle name="Normal 7 3 2" xfId="34357"/>
    <cellStyle name="Normal 7 4" xfId="16558"/>
    <cellStyle name="Normal 7 5" xfId="16559"/>
    <cellStyle name="Normal 70" xfId="16560"/>
    <cellStyle name="Normal 70 2" xfId="16561"/>
    <cellStyle name="Normal 70 2 2" xfId="16562"/>
    <cellStyle name="Normal 70 2 2 2" xfId="34360"/>
    <cellStyle name="Normal 70 2 3" xfId="34359"/>
    <cellStyle name="Normal 70 3" xfId="16563"/>
    <cellStyle name="Normal 70 3 2" xfId="34361"/>
    <cellStyle name="Normal 70 4" xfId="34358"/>
    <cellStyle name="Normal 71" xfId="16564"/>
    <cellStyle name="Normal 71 2" xfId="16565"/>
    <cellStyle name="Normal 72" xfId="16566"/>
    <cellStyle name="Normal 72 2" xfId="16567"/>
    <cellStyle name="Normal 73" xfId="16568"/>
    <cellStyle name="Normal 73 2" xfId="16569"/>
    <cellStyle name="Normal 73 2 2" xfId="34363"/>
    <cellStyle name="Normal 73 3" xfId="34362"/>
    <cellStyle name="Normal 74" xfId="16570"/>
    <cellStyle name="Normal 75" xfId="16571"/>
    <cellStyle name="Normal 75 2" xfId="34364"/>
    <cellStyle name="Normal 76" xfId="16572"/>
    <cellStyle name="Normal 76 2" xfId="34365"/>
    <cellStyle name="Normal 77" xfId="16573"/>
    <cellStyle name="Normal 77 2" xfId="34366"/>
    <cellStyle name="Normal 78" xfId="16574"/>
    <cellStyle name="Normal 79" xfId="16575"/>
    <cellStyle name="Normal 8" xfId="233"/>
    <cellStyle name="Normal 8 2" xfId="526"/>
    <cellStyle name="Normal 8 2 2" xfId="527"/>
    <cellStyle name="Normal 8 2 3" xfId="528"/>
    <cellStyle name="Normal 8 2 3 2" xfId="529"/>
    <cellStyle name="Normal 8 2 3 2 2" xfId="862"/>
    <cellStyle name="Normal 8 2 3 2 2 2" xfId="34370"/>
    <cellStyle name="Normal 8 2 3 2 3" xfId="34369"/>
    <cellStyle name="Normal 8 2 3 3" xfId="530"/>
    <cellStyle name="Normal 8 2 3 3 2" xfId="863"/>
    <cellStyle name="Normal 8 2 3 3 2 2" xfId="34372"/>
    <cellStyle name="Normal 8 2 3 3 3" xfId="34371"/>
    <cellStyle name="Normal 8 2 3 4" xfId="864"/>
    <cellStyle name="Normal 8 2 3 4 2" xfId="34373"/>
    <cellStyle name="Normal 8 2 3 5" xfId="34368"/>
    <cellStyle name="Normal 8 2 4" xfId="531"/>
    <cellStyle name="Normal 8 2 4 2" xfId="865"/>
    <cellStyle name="Normal 8 2 4 2 2" xfId="34375"/>
    <cellStyle name="Normal 8 2 4 3" xfId="34374"/>
    <cellStyle name="Normal 8 2 5" xfId="866"/>
    <cellStyle name="Normal 8 2 5 2" xfId="34376"/>
    <cellStyle name="Normal 8 2 6" xfId="34367"/>
    <cellStyle name="Normal 8 3" xfId="648"/>
    <cellStyle name="Normal 8 3 2" xfId="34377"/>
    <cellStyle name="Normal 8 4" xfId="16576"/>
    <cellStyle name="Normal 8 5" xfId="16577"/>
    <cellStyle name="Normal 80" xfId="16578"/>
    <cellStyle name="Normal 81" xfId="16579"/>
    <cellStyle name="Normal 81 2" xfId="34378"/>
    <cellStyle name="Normal 82" xfId="16580"/>
    <cellStyle name="Normal 83" xfId="16581"/>
    <cellStyle name="Normal 84" xfId="16582"/>
    <cellStyle name="Normal 85" xfId="16583"/>
    <cellStyle name="Normal 86" xfId="16584"/>
    <cellStyle name="Normal 87" xfId="16585"/>
    <cellStyle name="Normal 88" xfId="16586"/>
    <cellStyle name="Normal 89" xfId="16587"/>
    <cellStyle name="Normal 9" xfId="281"/>
    <cellStyle name="Normal 9 2" xfId="532"/>
    <cellStyle name="Normal 9 2 2" xfId="16588"/>
    <cellStyle name="Normal 9 3" xfId="16589"/>
    <cellStyle name="Normal 9 4" xfId="16590"/>
    <cellStyle name="Normal 90" xfId="16591"/>
    <cellStyle name="Normal 91" xfId="16592"/>
    <cellStyle name="Normal 92" xfId="16593"/>
    <cellStyle name="Normal 93" xfId="16594"/>
    <cellStyle name="Normal 94" xfId="16595"/>
    <cellStyle name="Normal 95" xfId="16596"/>
    <cellStyle name="Normal 96" xfId="16597"/>
    <cellStyle name="Normal 97" xfId="16598"/>
    <cellStyle name="Normal 98" xfId="16599"/>
    <cellStyle name="Normal 99" xfId="16600"/>
    <cellStyle name="Normal_2010 06 22 - IE - Scheme Template for data collection 2" xfId="533"/>
    <cellStyle name="Normal_2010 07 28 - AA - Template for data collection 2" xfId="308"/>
    <cellStyle name="Note" xfId="42" builtinId="10" customBuiltin="1"/>
    <cellStyle name="Note 10" xfId="16601"/>
    <cellStyle name="Note 10 2" xfId="16602"/>
    <cellStyle name="Note 10 2 2" xfId="16603"/>
    <cellStyle name="Note 10 2 2 2" xfId="16604"/>
    <cellStyle name="Note 10 2 2 2 2" xfId="34382"/>
    <cellStyle name="Note 10 2 2 3" xfId="34381"/>
    <cellStyle name="Note 10 2 3" xfId="16605"/>
    <cellStyle name="Note 10 2 3 2" xfId="34383"/>
    <cellStyle name="Note 10 2 4" xfId="34380"/>
    <cellStyle name="Note 10 3" xfId="16606"/>
    <cellStyle name="Note 10 3 2" xfId="16607"/>
    <cellStyle name="Note 10 3 2 2" xfId="34385"/>
    <cellStyle name="Note 10 3 3" xfId="34384"/>
    <cellStyle name="Note 10 4" xfId="16608"/>
    <cellStyle name="Note 10 4 2" xfId="34386"/>
    <cellStyle name="Note 10 5" xfId="34379"/>
    <cellStyle name="Note 11" xfId="16609"/>
    <cellStyle name="Note 11 2" xfId="16610"/>
    <cellStyle name="Note 11 2 2" xfId="16611"/>
    <cellStyle name="Note 11 2 2 2" xfId="16612"/>
    <cellStyle name="Note 11 2 2 2 2" xfId="34390"/>
    <cellStyle name="Note 11 2 2 3" xfId="34389"/>
    <cellStyle name="Note 11 2 3" xfId="16613"/>
    <cellStyle name="Note 11 2 3 2" xfId="34391"/>
    <cellStyle name="Note 11 2 4" xfId="34388"/>
    <cellStyle name="Note 11 3" xfId="16614"/>
    <cellStyle name="Note 11 3 2" xfId="16615"/>
    <cellStyle name="Note 11 3 2 2" xfId="34393"/>
    <cellStyle name="Note 11 3 3" xfId="34392"/>
    <cellStyle name="Note 11 4" xfId="16616"/>
    <cellStyle name="Note 11 4 2" xfId="34394"/>
    <cellStyle name="Note 11 5" xfId="34387"/>
    <cellStyle name="Note 12" xfId="16617"/>
    <cellStyle name="Note 12 2" xfId="16618"/>
    <cellStyle name="Note 12 2 2" xfId="16619"/>
    <cellStyle name="Note 12 2 2 2" xfId="16620"/>
    <cellStyle name="Note 12 2 2 2 2" xfId="34398"/>
    <cellStyle name="Note 12 2 2 3" xfId="34397"/>
    <cellStyle name="Note 12 2 3" xfId="16621"/>
    <cellStyle name="Note 12 2 3 2" xfId="34399"/>
    <cellStyle name="Note 12 2 4" xfId="34396"/>
    <cellStyle name="Note 12 3" xfId="16622"/>
    <cellStyle name="Note 12 3 2" xfId="16623"/>
    <cellStyle name="Note 12 3 2 2" xfId="34401"/>
    <cellStyle name="Note 12 3 3" xfId="34400"/>
    <cellStyle name="Note 12 4" xfId="16624"/>
    <cellStyle name="Note 12 4 2" xfId="34402"/>
    <cellStyle name="Note 12 5" xfId="34395"/>
    <cellStyle name="Note 13" xfId="16625"/>
    <cellStyle name="Note 14" xfId="16626"/>
    <cellStyle name="Note 14 2" xfId="16627"/>
    <cellStyle name="Note 14 2 2" xfId="16628"/>
    <cellStyle name="Note 14 2 2 2" xfId="34405"/>
    <cellStyle name="Note 14 2 3" xfId="34404"/>
    <cellStyle name="Note 14 3" xfId="16629"/>
    <cellStyle name="Note 14 3 2" xfId="34406"/>
    <cellStyle name="Note 14 4" xfId="34403"/>
    <cellStyle name="Note 15" xfId="16630"/>
    <cellStyle name="Note 15 2" xfId="16631"/>
    <cellStyle name="Note 15 2 2" xfId="16632"/>
    <cellStyle name="Note 15 2 2 2" xfId="34409"/>
    <cellStyle name="Note 15 2 3" xfId="34408"/>
    <cellStyle name="Note 15 3" xfId="16633"/>
    <cellStyle name="Note 15 3 2" xfId="34410"/>
    <cellStyle name="Note 15 4" xfId="34407"/>
    <cellStyle name="Note 16" xfId="16634"/>
    <cellStyle name="Note 16 2" xfId="16635"/>
    <cellStyle name="Note 16 2 2" xfId="16636"/>
    <cellStyle name="Note 16 2 2 2" xfId="34413"/>
    <cellStyle name="Note 16 2 3" xfId="34412"/>
    <cellStyle name="Note 16 3" xfId="16637"/>
    <cellStyle name="Note 16 3 2" xfId="34414"/>
    <cellStyle name="Note 16 4" xfId="34411"/>
    <cellStyle name="Note 17" xfId="16638"/>
    <cellStyle name="Note 17 2" xfId="16639"/>
    <cellStyle name="Note 17 2 2" xfId="16640"/>
    <cellStyle name="Note 17 2 2 2" xfId="34417"/>
    <cellStyle name="Note 17 2 3" xfId="34416"/>
    <cellStyle name="Note 17 3" xfId="16641"/>
    <cellStyle name="Note 17 3 2" xfId="34418"/>
    <cellStyle name="Note 17 4" xfId="34415"/>
    <cellStyle name="Note 18" xfId="16642"/>
    <cellStyle name="Note 18 2" xfId="16643"/>
    <cellStyle name="Note 18 2 2" xfId="16644"/>
    <cellStyle name="Note 18 2 2 2" xfId="34421"/>
    <cellStyle name="Note 18 2 3" xfId="34420"/>
    <cellStyle name="Note 18 3" xfId="16645"/>
    <cellStyle name="Note 18 3 2" xfId="34422"/>
    <cellStyle name="Note 18 4" xfId="34419"/>
    <cellStyle name="Note 19" xfId="16646"/>
    <cellStyle name="Note 19 2" xfId="16647"/>
    <cellStyle name="Note 19 2 2" xfId="16648"/>
    <cellStyle name="Note 19 2 2 2" xfId="34425"/>
    <cellStyle name="Note 19 2 3" xfId="34424"/>
    <cellStyle name="Note 19 3" xfId="16649"/>
    <cellStyle name="Note 19 3 2" xfId="34426"/>
    <cellStyle name="Note 19 4" xfId="34423"/>
    <cellStyle name="Note 2" xfId="75"/>
    <cellStyle name="Note 2 2" xfId="534"/>
    <cellStyle name="Note 2 2 2" xfId="16650"/>
    <cellStyle name="Note 2 2 3" xfId="16651"/>
    <cellStyle name="Note 2 3" xfId="535"/>
    <cellStyle name="Note 2 3 2" xfId="16652"/>
    <cellStyle name="Note 2 3 3" xfId="16653"/>
    <cellStyle name="Note 2 3 3 2" xfId="16654"/>
    <cellStyle name="Note 2 3 3 2 2" xfId="16655"/>
    <cellStyle name="Note 2 3 3 2 2 2" xfId="34429"/>
    <cellStyle name="Note 2 3 3 2 3" xfId="34428"/>
    <cellStyle name="Note 2 3 3 3" xfId="16656"/>
    <cellStyle name="Note 2 3 3 3 2" xfId="34430"/>
    <cellStyle name="Note 2 3 3 4" xfId="34427"/>
    <cellStyle name="Note 2 3 4" xfId="16657"/>
    <cellStyle name="Note 2 4" xfId="16658"/>
    <cellStyle name="Note 2 5" xfId="16659"/>
    <cellStyle name="Note 20" xfId="16660"/>
    <cellStyle name="Note 20 2" xfId="16661"/>
    <cellStyle name="Note 20 2 2" xfId="16662"/>
    <cellStyle name="Note 20 2 2 2" xfId="34433"/>
    <cellStyle name="Note 20 2 3" xfId="34432"/>
    <cellStyle name="Note 20 3" xfId="16663"/>
    <cellStyle name="Note 20 3 2" xfId="34434"/>
    <cellStyle name="Note 20 4" xfId="34431"/>
    <cellStyle name="Note 21" xfId="16664"/>
    <cellStyle name="Note 21 2" xfId="16665"/>
    <cellStyle name="Note 21 2 2" xfId="16666"/>
    <cellStyle name="Note 21 2 2 2" xfId="34437"/>
    <cellStyle name="Note 21 2 3" xfId="34436"/>
    <cellStyle name="Note 21 3" xfId="16667"/>
    <cellStyle name="Note 21 3 2" xfId="34438"/>
    <cellStyle name="Note 21 4" xfId="34435"/>
    <cellStyle name="Note 22" xfId="16668"/>
    <cellStyle name="Note 23" xfId="16669"/>
    <cellStyle name="Note 23 2" xfId="16670"/>
    <cellStyle name="Note 23 2 2" xfId="34440"/>
    <cellStyle name="Note 23 3" xfId="34439"/>
    <cellStyle name="Note 24" xfId="16671"/>
    <cellStyle name="Note 25" xfId="16672"/>
    <cellStyle name="Note 25 2" xfId="34441"/>
    <cellStyle name="Note 26" xfId="16673"/>
    <cellStyle name="Note 26 2" xfId="34442"/>
    <cellStyle name="Note 27" xfId="16674"/>
    <cellStyle name="Note 27 2" xfId="34443"/>
    <cellStyle name="Note 28" xfId="16675"/>
    <cellStyle name="Note 28 2" xfId="34444"/>
    <cellStyle name="Note 29" xfId="16676"/>
    <cellStyle name="Note 29 2" xfId="34445"/>
    <cellStyle name="Note 3" xfId="536"/>
    <cellStyle name="Note 3 10" xfId="16677"/>
    <cellStyle name="Note 3 10 2" xfId="34446"/>
    <cellStyle name="Note 3 11" xfId="16678"/>
    <cellStyle name="Note 3 11 2" xfId="34447"/>
    <cellStyle name="Note 3 12" xfId="16679"/>
    <cellStyle name="Note 3 12 2" xfId="34448"/>
    <cellStyle name="Note 3 13" xfId="16680"/>
    <cellStyle name="Note 3 13 2" xfId="34449"/>
    <cellStyle name="Note 3 2" xfId="537"/>
    <cellStyle name="Note 3 2 2" xfId="16681"/>
    <cellStyle name="Note 3 2 2 2" xfId="16682"/>
    <cellStyle name="Note 3 2 2 2 2" xfId="16683"/>
    <cellStyle name="Note 3 2 2 2 2 2" xfId="16684"/>
    <cellStyle name="Note 3 2 2 2 2 2 2" xfId="16685"/>
    <cellStyle name="Note 3 2 2 2 2 2 2 2" xfId="16686"/>
    <cellStyle name="Note 3 2 2 2 2 2 2 2 2" xfId="34455"/>
    <cellStyle name="Note 3 2 2 2 2 2 2 3" xfId="34454"/>
    <cellStyle name="Note 3 2 2 2 2 2 3" xfId="16687"/>
    <cellStyle name="Note 3 2 2 2 2 2 3 2" xfId="34456"/>
    <cellStyle name="Note 3 2 2 2 2 2 4" xfId="34453"/>
    <cellStyle name="Note 3 2 2 2 2 3" xfId="16688"/>
    <cellStyle name="Note 3 2 2 2 2 3 2" xfId="16689"/>
    <cellStyle name="Note 3 2 2 2 2 3 2 2" xfId="34458"/>
    <cellStyle name="Note 3 2 2 2 2 3 3" xfId="34457"/>
    <cellStyle name="Note 3 2 2 2 2 4" xfId="16690"/>
    <cellStyle name="Note 3 2 2 2 2 4 2" xfId="34459"/>
    <cellStyle name="Note 3 2 2 2 2 5" xfId="34452"/>
    <cellStyle name="Note 3 2 2 2 3" xfId="16691"/>
    <cellStyle name="Note 3 2 2 2 3 2" xfId="16692"/>
    <cellStyle name="Note 3 2 2 2 3 2 2" xfId="16693"/>
    <cellStyle name="Note 3 2 2 2 3 2 2 2" xfId="16694"/>
    <cellStyle name="Note 3 2 2 2 3 2 2 2 2" xfId="34463"/>
    <cellStyle name="Note 3 2 2 2 3 2 2 3" xfId="34462"/>
    <cellStyle name="Note 3 2 2 2 3 2 3" xfId="16695"/>
    <cellStyle name="Note 3 2 2 2 3 2 3 2" xfId="34464"/>
    <cellStyle name="Note 3 2 2 2 3 2 4" xfId="34461"/>
    <cellStyle name="Note 3 2 2 2 3 3" xfId="16696"/>
    <cellStyle name="Note 3 2 2 2 3 3 2" xfId="16697"/>
    <cellStyle name="Note 3 2 2 2 3 3 2 2" xfId="34466"/>
    <cellStyle name="Note 3 2 2 2 3 3 3" xfId="34465"/>
    <cellStyle name="Note 3 2 2 2 3 4" xfId="16698"/>
    <cellStyle name="Note 3 2 2 2 3 4 2" xfId="34467"/>
    <cellStyle name="Note 3 2 2 2 3 5" xfId="34460"/>
    <cellStyle name="Note 3 2 2 2 4" xfId="16699"/>
    <cellStyle name="Note 3 2 2 2 4 2" xfId="16700"/>
    <cellStyle name="Note 3 2 2 2 4 2 2" xfId="16701"/>
    <cellStyle name="Note 3 2 2 2 4 2 2 2" xfId="34470"/>
    <cellStyle name="Note 3 2 2 2 4 2 3" xfId="34469"/>
    <cellStyle name="Note 3 2 2 2 4 3" xfId="16702"/>
    <cellStyle name="Note 3 2 2 2 4 3 2" xfId="34471"/>
    <cellStyle name="Note 3 2 2 2 4 4" xfId="34468"/>
    <cellStyle name="Note 3 2 2 2 5" xfId="16703"/>
    <cellStyle name="Note 3 2 2 2 5 2" xfId="16704"/>
    <cellStyle name="Note 3 2 2 2 5 2 2" xfId="34473"/>
    <cellStyle name="Note 3 2 2 2 5 3" xfId="34472"/>
    <cellStyle name="Note 3 2 2 2 6" xfId="16705"/>
    <cellStyle name="Note 3 2 2 2 6 2" xfId="34474"/>
    <cellStyle name="Note 3 2 2 2 7" xfId="34451"/>
    <cellStyle name="Note 3 2 2 3" xfId="16706"/>
    <cellStyle name="Note 3 2 2 3 2" xfId="16707"/>
    <cellStyle name="Note 3 2 2 3 2 2" xfId="16708"/>
    <cellStyle name="Note 3 2 2 3 2 2 2" xfId="16709"/>
    <cellStyle name="Note 3 2 2 3 2 2 2 2" xfId="34478"/>
    <cellStyle name="Note 3 2 2 3 2 2 3" xfId="34477"/>
    <cellStyle name="Note 3 2 2 3 2 3" xfId="16710"/>
    <cellStyle name="Note 3 2 2 3 2 3 2" xfId="34479"/>
    <cellStyle name="Note 3 2 2 3 2 4" xfId="34476"/>
    <cellStyle name="Note 3 2 2 3 3" xfId="16711"/>
    <cellStyle name="Note 3 2 2 3 3 2" xfId="16712"/>
    <cellStyle name="Note 3 2 2 3 3 2 2" xfId="34481"/>
    <cellStyle name="Note 3 2 2 3 3 3" xfId="34480"/>
    <cellStyle name="Note 3 2 2 3 4" xfId="16713"/>
    <cellStyle name="Note 3 2 2 3 4 2" xfId="34482"/>
    <cellStyle name="Note 3 2 2 3 5" xfId="34475"/>
    <cellStyle name="Note 3 2 2 4" xfId="16714"/>
    <cellStyle name="Note 3 2 2 4 2" xfId="16715"/>
    <cellStyle name="Note 3 2 2 4 2 2" xfId="16716"/>
    <cellStyle name="Note 3 2 2 4 2 2 2" xfId="16717"/>
    <cellStyle name="Note 3 2 2 4 2 2 2 2" xfId="34486"/>
    <cellStyle name="Note 3 2 2 4 2 2 3" xfId="34485"/>
    <cellStyle name="Note 3 2 2 4 2 3" xfId="16718"/>
    <cellStyle name="Note 3 2 2 4 2 3 2" xfId="34487"/>
    <cellStyle name="Note 3 2 2 4 2 4" xfId="34484"/>
    <cellStyle name="Note 3 2 2 4 3" xfId="16719"/>
    <cellStyle name="Note 3 2 2 4 3 2" xfId="16720"/>
    <cellStyle name="Note 3 2 2 4 3 2 2" xfId="34489"/>
    <cellStyle name="Note 3 2 2 4 3 3" xfId="34488"/>
    <cellStyle name="Note 3 2 2 4 4" xfId="16721"/>
    <cellStyle name="Note 3 2 2 4 4 2" xfId="34490"/>
    <cellStyle name="Note 3 2 2 4 5" xfId="34483"/>
    <cellStyle name="Note 3 2 2 5" xfId="16722"/>
    <cellStyle name="Note 3 2 2 5 2" xfId="16723"/>
    <cellStyle name="Note 3 2 2 5 2 2" xfId="16724"/>
    <cellStyle name="Note 3 2 2 5 2 2 2" xfId="34493"/>
    <cellStyle name="Note 3 2 2 5 2 3" xfId="34492"/>
    <cellStyle name="Note 3 2 2 5 3" xfId="16725"/>
    <cellStyle name="Note 3 2 2 5 3 2" xfId="34494"/>
    <cellStyle name="Note 3 2 2 5 4" xfId="34491"/>
    <cellStyle name="Note 3 2 2 6" xfId="16726"/>
    <cellStyle name="Note 3 2 2 6 2" xfId="16727"/>
    <cellStyle name="Note 3 2 2 6 2 2" xfId="34496"/>
    <cellStyle name="Note 3 2 2 6 3" xfId="34495"/>
    <cellStyle name="Note 3 2 2 7" xfId="16728"/>
    <cellStyle name="Note 3 2 2 7 2" xfId="34497"/>
    <cellStyle name="Note 3 2 2 8" xfId="34450"/>
    <cellStyle name="Note 3 2 3" xfId="16729"/>
    <cellStyle name="Note 3 2 3 2" xfId="16730"/>
    <cellStyle name="Note 3 2 3 2 2" xfId="16731"/>
    <cellStyle name="Note 3 2 3 2 2 2" xfId="16732"/>
    <cellStyle name="Note 3 2 3 2 2 2 2" xfId="16733"/>
    <cellStyle name="Note 3 2 3 2 2 2 2 2" xfId="34502"/>
    <cellStyle name="Note 3 2 3 2 2 2 3" xfId="34501"/>
    <cellStyle name="Note 3 2 3 2 2 3" xfId="16734"/>
    <cellStyle name="Note 3 2 3 2 2 3 2" xfId="34503"/>
    <cellStyle name="Note 3 2 3 2 2 4" xfId="34500"/>
    <cellStyle name="Note 3 2 3 2 3" xfId="16735"/>
    <cellStyle name="Note 3 2 3 2 3 2" xfId="16736"/>
    <cellStyle name="Note 3 2 3 2 3 2 2" xfId="34505"/>
    <cellStyle name="Note 3 2 3 2 3 3" xfId="34504"/>
    <cellStyle name="Note 3 2 3 2 4" xfId="16737"/>
    <cellStyle name="Note 3 2 3 2 4 2" xfId="34506"/>
    <cellStyle name="Note 3 2 3 2 5" xfId="34499"/>
    <cellStyle name="Note 3 2 3 3" xfId="16738"/>
    <cellStyle name="Note 3 2 3 3 2" xfId="16739"/>
    <cellStyle name="Note 3 2 3 3 2 2" xfId="16740"/>
    <cellStyle name="Note 3 2 3 3 2 2 2" xfId="16741"/>
    <cellStyle name="Note 3 2 3 3 2 2 2 2" xfId="34510"/>
    <cellStyle name="Note 3 2 3 3 2 2 3" xfId="34509"/>
    <cellStyle name="Note 3 2 3 3 2 3" xfId="16742"/>
    <cellStyle name="Note 3 2 3 3 2 3 2" xfId="34511"/>
    <cellStyle name="Note 3 2 3 3 2 4" xfId="34508"/>
    <cellStyle name="Note 3 2 3 3 3" xfId="16743"/>
    <cellStyle name="Note 3 2 3 3 3 2" xfId="16744"/>
    <cellStyle name="Note 3 2 3 3 3 2 2" xfId="34513"/>
    <cellStyle name="Note 3 2 3 3 3 3" xfId="34512"/>
    <cellStyle name="Note 3 2 3 3 4" xfId="16745"/>
    <cellStyle name="Note 3 2 3 3 4 2" xfId="34514"/>
    <cellStyle name="Note 3 2 3 3 5" xfId="34507"/>
    <cellStyle name="Note 3 2 3 4" xfId="16746"/>
    <cellStyle name="Note 3 2 3 4 2" xfId="16747"/>
    <cellStyle name="Note 3 2 3 4 2 2" xfId="16748"/>
    <cellStyle name="Note 3 2 3 4 2 2 2" xfId="34517"/>
    <cellStyle name="Note 3 2 3 4 2 3" xfId="34516"/>
    <cellStyle name="Note 3 2 3 4 3" xfId="16749"/>
    <cellStyle name="Note 3 2 3 4 3 2" xfId="34518"/>
    <cellStyle name="Note 3 2 3 4 4" xfId="34515"/>
    <cellStyle name="Note 3 2 3 5" xfId="16750"/>
    <cellStyle name="Note 3 2 3 5 2" xfId="16751"/>
    <cellStyle name="Note 3 2 3 5 2 2" xfId="34520"/>
    <cellStyle name="Note 3 2 3 5 3" xfId="34519"/>
    <cellStyle name="Note 3 2 3 6" xfId="16752"/>
    <cellStyle name="Note 3 2 3 6 2" xfId="34521"/>
    <cellStyle name="Note 3 2 3 7" xfId="34498"/>
    <cellStyle name="Note 3 2 4" xfId="16753"/>
    <cellStyle name="Note 3 2 4 2" xfId="16754"/>
    <cellStyle name="Note 3 2 4 2 2" xfId="16755"/>
    <cellStyle name="Note 3 2 4 2 2 2" xfId="16756"/>
    <cellStyle name="Note 3 2 4 2 2 2 2" xfId="34525"/>
    <cellStyle name="Note 3 2 4 2 2 3" xfId="34524"/>
    <cellStyle name="Note 3 2 4 2 3" xfId="16757"/>
    <cellStyle name="Note 3 2 4 2 3 2" xfId="34526"/>
    <cellStyle name="Note 3 2 4 2 4" xfId="34523"/>
    <cellStyle name="Note 3 2 4 3" xfId="16758"/>
    <cellStyle name="Note 3 2 4 3 2" xfId="16759"/>
    <cellStyle name="Note 3 2 4 3 2 2" xfId="34528"/>
    <cellStyle name="Note 3 2 4 3 3" xfId="34527"/>
    <cellStyle name="Note 3 2 4 4" xfId="16760"/>
    <cellStyle name="Note 3 2 4 4 2" xfId="34529"/>
    <cellStyle name="Note 3 2 4 5" xfId="34522"/>
    <cellStyle name="Note 3 2 5" xfId="16761"/>
    <cellStyle name="Note 3 2 5 2" xfId="16762"/>
    <cellStyle name="Note 3 2 5 2 2" xfId="16763"/>
    <cellStyle name="Note 3 2 5 2 2 2" xfId="16764"/>
    <cellStyle name="Note 3 2 5 2 2 2 2" xfId="34533"/>
    <cellStyle name="Note 3 2 5 2 2 3" xfId="34532"/>
    <cellStyle name="Note 3 2 5 2 3" xfId="16765"/>
    <cellStyle name="Note 3 2 5 2 3 2" xfId="34534"/>
    <cellStyle name="Note 3 2 5 2 4" xfId="34531"/>
    <cellStyle name="Note 3 2 5 3" xfId="16766"/>
    <cellStyle name="Note 3 2 5 3 2" xfId="16767"/>
    <cellStyle name="Note 3 2 5 3 2 2" xfId="34536"/>
    <cellStyle name="Note 3 2 5 3 3" xfId="34535"/>
    <cellStyle name="Note 3 2 5 4" xfId="16768"/>
    <cellStyle name="Note 3 2 5 4 2" xfId="34537"/>
    <cellStyle name="Note 3 2 5 5" xfId="34530"/>
    <cellStyle name="Note 3 2 6" xfId="16769"/>
    <cellStyle name="Note 3 2 6 2" xfId="16770"/>
    <cellStyle name="Note 3 2 6 2 2" xfId="16771"/>
    <cellStyle name="Note 3 2 6 2 2 2" xfId="34540"/>
    <cellStyle name="Note 3 2 6 2 3" xfId="34539"/>
    <cellStyle name="Note 3 2 6 3" xfId="16772"/>
    <cellStyle name="Note 3 2 6 3 2" xfId="34541"/>
    <cellStyle name="Note 3 2 6 4" xfId="34538"/>
    <cellStyle name="Note 3 2 7" xfId="16773"/>
    <cellStyle name="Note 3 2 7 2" xfId="16774"/>
    <cellStyle name="Note 3 2 7 2 2" xfId="34543"/>
    <cellStyle name="Note 3 2 7 3" xfId="34542"/>
    <cellStyle name="Note 3 2 8" xfId="16775"/>
    <cellStyle name="Note 3 2 8 2" xfId="34544"/>
    <cellStyle name="Note 3 2 9" xfId="16776"/>
    <cellStyle name="Note 3 2 9 2" xfId="34545"/>
    <cellStyle name="Note 3 3" xfId="538"/>
    <cellStyle name="Note 3 3 2" xfId="16777"/>
    <cellStyle name="Note 3 3 2 2" xfId="16778"/>
    <cellStyle name="Note 3 3 2 2 2" xfId="16779"/>
    <cellStyle name="Note 3 3 2 2 2 2" xfId="16780"/>
    <cellStyle name="Note 3 3 2 2 2 2 2" xfId="16781"/>
    <cellStyle name="Note 3 3 2 2 2 2 2 2" xfId="34550"/>
    <cellStyle name="Note 3 3 2 2 2 2 3" xfId="34549"/>
    <cellStyle name="Note 3 3 2 2 2 3" xfId="16782"/>
    <cellStyle name="Note 3 3 2 2 2 3 2" xfId="34551"/>
    <cellStyle name="Note 3 3 2 2 2 4" xfId="34548"/>
    <cellStyle name="Note 3 3 2 2 3" xfId="16783"/>
    <cellStyle name="Note 3 3 2 2 3 2" xfId="16784"/>
    <cellStyle name="Note 3 3 2 2 3 2 2" xfId="34553"/>
    <cellStyle name="Note 3 3 2 2 3 3" xfId="34552"/>
    <cellStyle name="Note 3 3 2 2 4" xfId="16785"/>
    <cellStyle name="Note 3 3 2 2 4 2" xfId="34554"/>
    <cellStyle name="Note 3 3 2 2 5" xfId="34547"/>
    <cellStyle name="Note 3 3 2 3" xfId="16786"/>
    <cellStyle name="Note 3 3 2 3 2" xfId="16787"/>
    <cellStyle name="Note 3 3 2 3 2 2" xfId="16788"/>
    <cellStyle name="Note 3 3 2 3 2 2 2" xfId="16789"/>
    <cellStyle name="Note 3 3 2 3 2 2 2 2" xfId="34558"/>
    <cellStyle name="Note 3 3 2 3 2 2 3" xfId="34557"/>
    <cellStyle name="Note 3 3 2 3 2 3" xfId="16790"/>
    <cellStyle name="Note 3 3 2 3 2 3 2" xfId="34559"/>
    <cellStyle name="Note 3 3 2 3 2 4" xfId="34556"/>
    <cellStyle name="Note 3 3 2 3 3" xfId="16791"/>
    <cellStyle name="Note 3 3 2 3 3 2" xfId="16792"/>
    <cellStyle name="Note 3 3 2 3 3 2 2" xfId="34561"/>
    <cellStyle name="Note 3 3 2 3 3 3" xfId="34560"/>
    <cellStyle name="Note 3 3 2 3 4" xfId="16793"/>
    <cellStyle name="Note 3 3 2 3 4 2" xfId="34562"/>
    <cellStyle name="Note 3 3 2 3 5" xfId="34555"/>
    <cellStyle name="Note 3 3 2 4" xfId="16794"/>
    <cellStyle name="Note 3 3 2 4 2" xfId="16795"/>
    <cellStyle name="Note 3 3 2 4 2 2" xfId="16796"/>
    <cellStyle name="Note 3 3 2 4 2 2 2" xfId="34565"/>
    <cellStyle name="Note 3 3 2 4 2 3" xfId="34564"/>
    <cellStyle name="Note 3 3 2 4 3" xfId="16797"/>
    <cellStyle name="Note 3 3 2 4 3 2" xfId="34566"/>
    <cellStyle name="Note 3 3 2 4 4" xfId="34563"/>
    <cellStyle name="Note 3 3 2 5" xfId="16798"/>
    <cellStyle name="Note 3 3 2 5 2" xfId="16799"/>
    <cellStyle name="Note 3 3 2 5 2 2" xfId="34568"/>
    <cellStyle name="Note 3 3 2 5 3" xfId="34567"/>
    <cellStyle name="Note 3 3 2 6" xfId="16800"/>
    <cellStyle name="Note 3 3 2 6 2" xfId="34569"/>
    <cellStyle name="Note 3 3 2 7" xfId="34546"/>
    <cellStyle name="Note 3 3 3" xfId="16801"/>
    <cellStyle name="Note 3 3 3 2" xfId="16802"/>
    <cellStyle name="Note 3 3 3 2 2" xfId="16803"/>
    <cellStyle name="Note 3 3 3 2 2 2" xfId="16804"/>
    <cellStyle name="Note 3 3 3 2 2 2 2" xfId="34573"/>
    <cellStyle name="Note 3 3 3 2 2 3" xfId="34572"/>
    <cellStyle name="Note 3 3 3 2 3" xfId="16805"/>
    <cellStyle name="Note 3 3 3 2 3 2" xfId="34574"/>
    <cellStyle name="Note 3 3 3 2 4" xfId="34571"/>
    <cellStyle name="Note 3 3 3 3" xfId="16806"/>
    <cellStyle name="Note 3 3 3 3 2" xfId="16807"/>
    <cellStyle name="Note 3 3 3 3 2 2" xfId="34576"/>
    <cellStyle name="Note 3 3 3 3 3" xfId="34575"/>
    <cellStyle name="Note 3 3 3 4" xfId="16808"/>
    <cellStyle name="Note 3 3 3 4 2" xfId="34577"/>
    <cellStyle name="Note 3 3 3 5" xfId="34570"/>
    <cellStyle name="Note 3 3 4" xfId="16809"/>
    <cellStyle name="Note 3 3 4 2" xfId="16810"/>
    <cellStyle name="Note 3 3 4 2 2" xfId="16811"/>
    <cellStyle name="Note 3 3 4 2 2 2" xfId="16812"/>
    <cellStyle name="Note 3 3 4 2 2 2 2" xfId="34581"/>
    <cellStyle name="Note 3 3 4 2 2 3" xfId="34580"/>
    <cellStyle name="Note 3 3 4 2 3" xfId="16813"/>
    <cellStyle name="Note 3 3 4 2 3 2" xfId="34582"/>
    <cellStyle name="Note 3 3 4 2 4" xfId="34579"/>
    <cellStyle name="Note 3 3 4 3" xfId="16814"/>
    <cellStyle name="Note 3 3 4 3 2" xfId="16815"/>
    <cellStyle name="Note 3 3 4 3 2 2" xfId="34584"/>
    <cellStyle name="Note 3 3 4 3 3" xfId="34583"/>
    <cellStyle name="Note 3 3 4 4" xfId="16816"/>
    <cellStyle name="Note 3 3 4 4 2" xfId="34585"/>
    <cellStyle name="Note 3 3 4 5" xfId="34578"/>
    <cellStyle name="Note 3 3 5" xfId="16817"/>
    <cellStyle name="Note 3 3 5 2" xfId="16818"/>
    <cellStyle name="Note 3 3 5 2 2" xfId="16819"/>
    <cellStyle name="Note 3 3 5 2 2 2" xfId="34588"/>
    <cellStyle name="Note 3 3 5 2 3" xfId="34587"/>
    <cellStyle name="Note 3 3 5 3" xfId="16820"/>
    <cellStyle name="Note 3 3 5 3 2" xfId="34589"/>
    <cellStyle name="Note 3 3 5 4" xfId="34586"/>
    <cellStyle name="Note 3 3 6" xfId="16821"/>
    <cellStyle name="Note 3 3 6 2" xfId="16822"/>
    <cellStyle name="Note 3 3 6 2 2" xfId="34591"/>
    <cellStyle name="Note 3 3 6 3" xfId="34590"/>
    <cellStyle name="Note 3 3 7" xfId="16823"/>
    <cellStyle name="Note 3 3 7 2" xfId="34592"/>
    <cellStyle name="Note 3 3 8" xfId="16824"/>
    <cellStyle name="Note 3 3 8 2" xfId="34593"/>
    <cellStyle name="Note 3 4" xfId="16825"/>
    <cellStyle name="Note 3 4 2" xfId="16826"/>
    <cellStyle name="Note 3 4 2 2" xfId="16827"/>
    <cellStyle name="Note 3 4 2 2 2" xfId="16828"/>
    <cellStyle name="Note 3 4 2 2 2 2" xfId="16829"/>
    <cellStyle name="Note 3 4 2 2 2 2 2" xfId="34598"/>
    <cellStyle name="Note 3 4 2 2 2 3" xfId="34597"/>
    <cellStyle name="Note 3 4 2 2 3" xfId="16830"/>
    <cellStyle name="Note 3 4 2 2 3 2" xfId="34599"/>
    <cellStyle name="Note 3 4 2 2 4" xfId="34596"/>
    <cellStyle name="Note 3 4 2 3" xfId="16831"/>
    <cellStyle name="Note 3 4 2 3 2" xfId="16832"/>
    <cellStyle name="Note 3 4 2 3 2 2" xfId="34601"/>
    <cellStyle name="Note 3 4 2 3 3" xfId="34600"/>
    <cellStyle name="Note 3 4 2 4" xfId="16833"/>
    <cellStyle name="Note 3 4 2 4 2" xfId="34602"/>
    <cellStyle name="Note 3 4 2 5" xfId="34595"/>
    <cellStyle name="Note 3 4 3" xfId="16834"/>
    <cellStyle name="Note 3 4 3 2" xfId="16835"/>
    <cellStyle name="Note 3 4 3 2 2" xfId="16836"/>
    <cellStyle name="Note 3 4 3 2 2 2" xfId="16837"/>
    <cellStyle name="Note 3 4 3 2 2 2 2" xfId="34606"/>
    <cellStyle name="Note 3 4 3 2 2 3" xfId="34605"/>
    <cellStyle name="Note 3 4 3 2 3" xfId="16838"/>
    <cellStyle name="Note 3 4 3 2 3 2" xfId="34607"/>
    <cellStyle name="Note 3 4 3 2 4" xfId="34604"/>
    <cellStyle name="Note 3 4 3 3" xfId="16839"/>
    <cellStyle name="Note 3 4 3 3 2" xfId="16840"/>
    <cellStyle name="Note 3 4 3 3 2 2" xfId="34609"/>
    <cellStyle name="Note 3 4 3 3 3" xfId="34608"/>
    <cellStyle name="Note 3 4 3 4" xfId="16841"/>
    <cellStyle name="Note 3 4 3 4 2" xfId="34610"/>
    <cellStyle name="Note 3 4 3 5" xfId="34603"/>
    <cellStyle name="Note 3 4 4" xfId="16842"/>
    <cellStyle name="Note 3 4 4 2" xfId="16843"/>
    <cellStyle name="Note 3 4 4 2 2" xfId="16844"/>
    <cellStyle name="Note 3 4 4 2 2 2" xfId="34613"/>
    <cellStyle name="Note 3 4 4 2 3" xfId="34612"/>
    <cellStyle name="Note 3 4 4 3" xfId="16845"/>
    <cellStyle name="Note 3 4 4 3 2" xfId="34614"/>
    <cellStyle name="Note 3 4 4 4" xfId="34611"/>
    <cellStyle name="Note 3 4 5" xfId="16846"/>
    <cellStyle name="Note 3 4 5 2" xfId="16847"/>
    <cellStyle name="Note 3 4 5 2 2" xfId="34616"/>
    <cellStyle name="Note 3 4 5 3" xfId="34615"/>
    <cellStyle name="Note 3 4 6" xfId="16848"/>
    <cellStyle name="Note 3 4 6 2" xfId="34617"/>
    <cellStyle name="Note 3 4 7" xfId="34594"/>
    <cellStyle name="Note 3 5" xfId="16849"/>
    <cellStyle name="Note 3 5 2" xfId="16850"/>
    <cellStyle name="Note 3 5 2 2" xfId="16851"/>
    <cellStyle name="Note 3 5 2 2 2" xfId="16852"/>
    <cellStyle name="Note 3 5 2 2 2 2" xfId="34621"/>
    <cellStyle name="Note 3 5 2 2 3" xfId="34620"/>
    <cellStyle name="Note 3 5 2 3" xfId="16853"/>
    <cellStyle name="Note 3 5 2 3 2" xfId="34622"/>
    <cellStyle name="Note 3 5 2 4" xfId="34619"/>
    <cellStyle name="Note 3 5 3" xfId="16854"/>
    <cellStyle name="Note 3 5 3 2" xfId="16855"/>
    <cellStyle name="Note 3 5 3 2 2" xfId="34624"/>
    <cellStyle name="Note 3 5 3 3" xfId="34623"/>
    <cellStyle name="Note 3 5 4" xfId="16856"/>
    <cellStyle name="Note 3 5 4 2" xfId="34625"/>
    <cellStyle name="Note 3 5 5" xfId="34618"/>
    <cellStyle name="Note 3 6" xfId="16857"/>
    <cellStyle name="Note 3 6 2" xfId="16858"/>
    <cellStyle name="Note 3 6 2 2" xfId="16859"/>
    <cellStyle name="Note 3 6 2 2 2" xfId="16860"/>
    <cellStyle name="Note 3 6 2 2 2 2" xfId="34629"/>
    <cellStyle name="Note 3 6 2 2 3" xfId="34628"/>
    <cellStyle name="Note 3 6 2 3" xfId="16861"/>
    <cellStyle name="Note 3 6 2 3 2" xfId="34630"/>
    <cellStyle name="Note 3 6 2 4" xfId="34627"/>
    <cellStyle name="Note 3 6 3" xfId="16862"/>
    <cellStyle name="Note 3 6 3 2" xfId="16863"/>
    <cellStyle name="Note 3 6 3 2 2" xfId="34632"/>
    <cellStyle name="Note 3 6 3 3" xfId="34631"/>
    <cellStyle name="Note 3 6 4" xfId="16864"/>
    <cellStyle name="Note 3 6 4 2" xfId="34633"/>
    <cellStyle name="Note 3 6 5" xfId="34626"/>
    <cellStyle name="Note 3 7" xfId="16865"/>
    <cellStyle name="Note 3 7 2" xfId="16866"/>
    <cellStyle name="Note 3 7 2 2" xfId="16867"/>
    <cellStyle name="Note 3 7 2 2 2" xfId="34636"/>
    <cellStyle name="Note 3 7 2 3" xfId="34635"/>
    <cellStyle name="Note 3 7 3" xfId="16868"/>
    <cellStyle name="Note 3 7 3 2" xfId="34637"/>
    <cellStyle name="Note 3 7 4" xfId="34634"/>
    <cellStyle name="Note 3 8" xfId="16869"/>
    <cellStyle name="Note 3 8 2" xfId="16870"/>
    <cellStyle name="Note 3 8 2 2" xfId="34639"/>
    <cellStyle name="Note 3 8 3" xfId="34638"/>
    <cellStyle name="Note 3 9" xfId="16871"/>
    <cellStyle name="Note 3 9 2" xfId="34640"/>
    <cellStyle name="Note 30" xfId="16872"/>
    <cellStyle name="Note 4" xfId="539"/>
    <cellStyle name="Note 4 10" xfId="16873"/>
    <cellStyle name="Note 4 10 2" xfId="34641"/>
    <cellStyle name="Note 4 2" xfId="540"/>
    <cellStyle name="Note 4 2 2" xfId="16874"/>
    <cellStyle name="Note 4 2 2 2" xfId="16875"/>
    <cellStyle name="Note 4 2 2 2 2" xfId="16876"/>
    <cellStyle name="Note 4 2 2 2 2 2" xfId="16877"/>
    <cellStyle name="Note 4 2 2 2 2 2 2" xfId="16878"/>
    <cellStyle name="Note 4 2 2 2 2 2 2 2" xfId="16879"/>
    <cellStyle name="Note 4 2 2 2 2 2 2 2 2" xfId="34647"/>
    <cellStyle name="Note 4 2 2 2 2 2 2 3" xfId="34646"/>
    <cellStyle name="Note 4 2 2 2 2 2 3" xfId="16880"/>
    <cellStyle name="Note 4 2 2 2 2 2 3 2" xfId="34648"/>
    <cellStyle name="Note 4 2 2 2 2 2 4" xfId="34645"/>
    <cellStyle name="Note 4 2 2 2 2 3" xfId="16881"/>
    <cellStyle name="Note 4 2 2 2 2 3 2" xfId="16882"/>
    <cellStyle name="Note 4 2 2 2 2 3 2 2" xfId="34650"/>
    <cellStyle name="Note 4 2 2 2 2 3 3" xfId="34649"/>
    <cellStyle name="Note 4 2 2 2 2 4" xfId="16883"/>
    <cellStyle name="Note 4 2 2 2 2 4 2" xfId="34651"/>
    <cellStyle name="Note 4 2 2 2 2 5" xfId="34644"/>
    <cellStyle name="Note 4 2 2 2 3" xfId="16884"/>
    <cellStyle name="Note 4 2 2 2 3 2" xfId="16885"/>
    <cellStyle name="Note 4 2 2 2 3 2 2" xfId="16886"/>
    <cellStyle name="Note 4 2 2 2 3 2 2 2" xfId="16887"/>
    <cellStyle name="Note 4 2 2 2 3 2 2 2 2" xfId="34655"/>
    <cellStyle name="Note 4 2 2 2 3 2 2 3" xfId="34654"/>
    <cellStyle name="Note 4 2 2 2 3 2 3" xfId="16888"/>
    <cellStyle name="Note 4 2 2 2 3 2 3 2" xfId="34656"/>
    <cellStyle name="Note 4 2 2 2 3 2 4" xfId="34653"/>
    <cellStyle name="Note 4 2 2 2 3 3" xfId="16889"/>
    <cellStyle name="Note 4 2 2 2 3 3 2" xfId="16890"/>
    <cellStyle name="Note 4 2 2 2 3 3 2 2" xfId="34658"/>
    <cellStyle name="Note 4 2 2 2 3 3 3" xfId="34657"/>
    <cellStyle name="Note 4 2 2 2 3 4" xfId="16891"/>
    <cellStyle name="Note 4 2 2 2 3 4 2" xfId="34659"/>
    <cellStyle name="Note 4 2 2 2 3 5" xfId="34652"/>
    <cellStyle name="Note 4 2 2 2 4" xfId="16892"/>
    <cellStyle name="Note 4 2 2 2 4 2" xfId="16893"/>
    <cellStyle name="Note 4 2 2 2 4 2 2" xfId="16894"/>
    <cellStyle name="Note 4 2 2 2 4 2 2 2" xfId="34662"/>
    <cellStyle name="Note 4 2 2 2 4 2 3" xfId="34661"/>
    <cellStyle name="Note 4 2 2 2 4 3" xfId="16895"/>
    <cellStyle name="Note 4 2 2 2 4 3 2" xfId="34663"/>
    <cellStyle name="Note 4 2 2 2 4 4" xfId="34660"/>
    <cellStyle name="Note 4 2 2 2 5" xfId="16896"/>
    <cellStyle name="Note 4 2 2 2 5 2" xfId="16897"/>
    <cellStyle name="Note 4 2 2 2 5 2 2" xfId="34665"/>
    <cellStyle name="Note 4 2 2 2 5 3" xfId="34664"/>
    <cellStyle name="Note 4 2 2 2 6" xfId="16898"/>
    <cellStyle name="Note 4 2 2 2 6 2" xfId="34666"/>
    <cellStyle name="Note 4 2 2 2 7" xfId="34643"/>
    <cellStyle name="Note 4 2 2 3" xfId="16899"/>
    <cellStyle name="Note 4 2 2 3 2" xfId="16900"/>
    <cellStyle name="Note 4 2 2 3 2 2" xfId="16901"/>
    <cellStyle name="Note 4 2 2 3 2 2 2" xfId="16902"/>
    <cellStyle name="Note 4 2 2 3 2 2 2 2" xfId="34670"/>
    <cellStyle name="Note 4 2 2 3 2 2 3" xfId="34669"/>
    <cellStyle name="Note 4 2 2 3 2 3" xfId="16903"/>
    <cellStyle name="Note 4 2 2 3 2 3 2" xfId="34671"/>
    <cellStyle name="Note 4 2 2 3 2 4" xfId="34668"/>
    <cellStyle name="Note 4 2 2 3 3" xfId="16904"/>
    <cellStyle name="Note 4 2 2 3 3 2" xfId="16905"/>
    <cellStyle name="Note 4 2 2 3 3 2 2" xfId="34673"/>
    <cellStyle name="Note 4 2 2 3 3 3" xfId="34672"/>
    <cellStyle name="Note 4 2 2 3 4" xfId="16906"/>
    <cellStyle name="Note 4 2 2 3 4 2" xfId="34674"/>
    <cellStyle name="Note 4 2 2 3 5" xfId="34667"/>
    <cellStyle name="Note 4 2 2 4" xfId="16907"/>
    <cellStyle name="Note 4 2 2 4 2" xfId="16908"/>
    <cellStyle name="Note 4 2 2 4 2 2" xfId="16909"/>
    <cellStyle name="Note 4 2 2 4 2 2 2" xfId="16910"/>
    <cellStyle name="Note 4 2 2 4 2 2 2 2" xfId="34678"/>
    <cellStyle name="Note 4 2 2 4 2 2 3" xfId="34677"/>
    <cellStyle name="Note 4 2 2 4 2 3" xfId="16911"/>
    <cellStyle name="Note 4 2 2 4 2 3 2" xfId="34679"/>
    <cellStyle name="Note 4 2 2 4 2 4" xfId="34676"/>
    <cellStyle name="Note 4 2 2 4 3" xfId="16912"/>
    <cellStyle name="Note 4 2 2 4 3 2" xfId="16913"/>
    <cellStyle name="Note 4 2 2 4 3 2 2" xfId="34681"/>
    <cellStyle name="Note 4 2 2 4 3 3" xfId="34680"/>
    <cellStyle name="Note 4 2 2 4 4" xfId="16914"/>
    <cellStyle name="Note 4 2 2 4 4 2" xfId="34682"/>
    <cellStyle name="Note 4 2 2 4 5" xfId="34675"/>
    <cellStyle name="Note 4 2 2 5" xfId="16915"/>
    <cellStyle name="Note 4 2 2 5 2" xfId="16916"/>
    <cellStyle name="Note 4 2 2 5 2 2" xfId="16917"/>
    <cellStyle name="Note 4 2 2 5 2 2 2" xfId="34685"/>
    <cellStyle name="Note 4 2 2 5 2 3" xfId="34684"/>
    <cellStyle name="Note 4 2 2 5 3" xfId="16918"/>
    <cellStyle name="Note 4 2 2 5 3 2" xfId="34686"/>
    <cellStyle name="Note 4 2 2 5 4" xfId="34683"/>
    <cellStyle name="Note 4 2 2 6" xfId="16919"/>
    <cellStyle name="Note 4 2 2 6 2" xfId="16920"/>
    <cellStyle name="Note 4 2 2 6 2 2" xfId="34688"/>
    <cellStyle name="Note 4 2 2 6 3" xfId="34687"/>
    <cellStyle name="Note 4 2 2 7" xfId="16921"/>
    <cellStyle name="Note 4 2 2 7 2" xfId="34689"/>
    <cellStyle name="Note 4 2 2 8" xfId="34642"/>
    <cellStyle name="Note 4 2 3" xfId="16922"/>
    <cellStyle name="Note 4 2 3 2" xfId="16923"/>
    <cellStyle name="Note 4 2 3 2 2" xfId="16924"/>
    <cellStyle name="Note 4 2 3 2 2 2" xfId="16925"/>
    <cellStyle name="Note 4 2 3 2 2 2 2" xfId="16926"/>
    <cellStyle name="Note 4 2 3 2 2 2 2 2" xfId="34694"/>
    <cellStyle name="Note 4 2 3 2 2 2 3" xfId="34693"/>
    <cellStyle name="Note 4 2 3 2 2 3" xfId="16927"/>
    <cellStyle name="Note 4 2 3 2 2 3 2" xfId="34695"/>
    <cellStyle name="Note 4 2 3 2 2 4" xfId="34692"/>
    <cellStyle name="Note 4 2 3 2 3" xfId="16928"/>
    <cellStyle name="Note 4 2 3 2 3 2" xfId="16929"/>
    <cellStyle name="Note 4 2 3 2 3 2 2" xfId="34697"/>
    <cellStyle name="Note 4 2 3 2 3 3" xfId="34696"/>
    <cellStyle name="Note 4 2 3 2 4" xfId="16930"/>
    <cellStyle name="Note 4 2 3 2 4 2" xfId="34698"/>
    <cellStyle name="Note 4 2 3 2 5" xfId="34691"/>
    <cellStyle name="Note 4 2 3 3" xfId="16931"/>
    <cellStyle name="Note 4 2 3 3 2" xfId="16932"/>
    <cellStyle name="Note 4 2 3 3 2 2" xfId="16933"/>
    <cellStyle name="Note 4 2 3 3 2 2 2" xfId="16934"/>
    <cellStyle name="Note 4 2 3 3 2 2 2 2" xfId="34702"/>
    <cellStyle name="Note 4 2 3 3 2 2 3" xfId="34701"/>
    <cellStyle name="Note 4 2 3 3 2 3" xfId="16935"/>
    <cellStyle name="Note 4 2 3 3 2 3 2" xfId="34703"/>
    <cellStyle name="Note 4 2 3 3 2 4" xfId="34700"/>
    <cellStyle name="Note 4 2 3 3 3" xfId="16936"/>
    <cellStyle name="Note 4 2 3 3 3 2" xfId="16937"/>
    <cellStyle name="Note 4 2 3 3 3 2 2" xfId="34705"/>
    <cellStyle name="Note 4 2 3 3 3 3" xfId="34704"/>
    <cellStyle name="Note 4 2 3 3 4" xfId="16938"/>
    <cellStyle name="Note 4 2 3 3 4 2" xfId="34706"/>
    <cellStyle name="Note 4 2 3 3 5" xfId="34699"/>
    <cellStyle name="Note 4 2 3 4" xfId="16939"/>
    <cellStyle name="Note 4 2 3 4 2" xfId="16940"/>
    <cellStyle name="Note 4 2 3 4 2 2" xfId="16941"/>
    <cellStyle name="Note 4 2 3 4 2 2 2" xfId="34709"/>
    <cellStyle name="Note 4 2 3 4 2 3" xfId="34708"/>
    <cellStyle name="Note 4 2 3 4 3" xfId="16942"/>
    <cellStyle name="Note 4 2 3 4 3 2" xfId="34710"/>
    <cellStyle name="Note 4 2 3 4 4" xfId="34707"/>
    <cellStyle name="Note 4 2 3 5" xfId="16943"/>
    <cellStyle name="Note 4 2 3 5 2" xfId="16944"/>
    <cellStyle name="Note 4 2 3 5 2 2" xfId="34712"/>
    <cellStyle name="Note 4 2 3 5 3" xfId="34711"/>
    <cellStyle name="Note 4 2 3 6" xfId="16945"/>
    <cellStyle name="Note 4 2 3 6 2" xfId="34713"/>
    <cellStyle name="Note 4 2 3 7" xfId="34690"/>
    <cellStyle name="Note 4 2 4" xfId="16946"/>
    <cellStyle name="Note 4 2 4 2" xfId="16947"/>
    <cellStyle name="Note 4 2 4 2 2" xfId="16948"/>
    <cellStyle name="Note 4 2 4 2 2 2" xfId="16949"/>
    <cellStyle name="Note 4 2 4 2 2 2 2" xfId="34717"/>
    <cellStyle name="Note 4 2 4 2 2 3" xfId="34716"/>
    <cellStyle name="Note 4 2 4 2 3" xfId="16950"/>
    <cellStyle name="Note 4 2 4 2 3 2" xfId="34718"/>
    <cellStyle name="Note 4 2 4 2 4" xfId="34715"/>
    <cellStyle name="Note 4 2 4 3" xfId="16951"/>
    <cellStyle name="Note 4 2 4 3 2" xfId="16952"/>
    <cellStyle name="Note 4 2 4 3 2 2" xfId="34720"/>
    <cellStyle name="Note 4 2 4 3 3" xfId="34719"/>
    <cellStyle name="Note 4 2 4 4" xfId="16953"/>
    <cellStyle name="Note 4 2 4 4 2" xfId="34721"/>
    <cellStyle name="Note 4 2 4 5" xfId="34714"/>
    <cellStyle name="Note 4 2 5" xfId="16954"/>
    <cellStyle name="Note 4 2 5 2" xfId="16955"/>
    <cellStyle name="Note 4 2 5 2 2" xfId="16956"/>
    <cellStyle name="Note 4 2 5 2 2 2" xfId="16957"/>
    <cellStyle name="Note 4 2 5 2 2 2 2" xfId="34725"/>
    <cellStyle name="Note 4 2 5 2 2 3" xfId="34724"/>
    <cellStyle name="Note 4 2 5 2 3" xfId="16958"/>
    <cellStyle name="Note 4 2 5 2 3 2" xfId="34726"/>
    <cellStyle name="Note 4 2 5 2 4" xfId="34723"/>
    <cellStyle name="Note 4 2 5 3" xfId="16959"/>
    <cellStyle name="Note 4 2 5 3 2" xfId="16960"/>
    <cellStyle name="Note 4 2 5 3 2 2" xfId="34728"/>
    <cellStyle name="Note 4 2 5 3 3" xfId="34727"/>
    <cellStyle name="Note 4 2 5 4" xfId="16961"/>
    <cellStyle name="Note 4 2 5 4 2" xfId="34729"/>
    <cellStyle name="Note 4 2 5 5" xfId="34722"/>
    <cellStyle name="Note 4 2 6" xfId="16962"/>
    <cellStyle name="Note 4 2 6 2" xfId="16963"/>
    <cellStyle name="Note 4 2 6 2 2" xfId="16964"/>
    <cellStyle name="Note 4 2 6 2 2 2" xfId="34732"/>
    <cellStyle name="Note 4 2 6 2 3" xfId="34731"/>
    <cellStyle name="Note 4 2 6 3" xfId="16965"/>
    <cellStyle name="Note 4 2 6 3 2" xfId="34733"/>
    <cellStyle name="Note 4 2 6 4" xfId="34730"/>
    <cellStyle name="Note 4 2 7" xfId="16966"/>
    <cellStyle name="Note 4 2 7 2" xfId="16967"/>
    <cellStyle name="Note 4 2 7 2 2" xfId="34735"/>
    <cellStyle name="Note 4 2 7 3" xfId="34734"/>
    <cellStyle name="Note 4 2 8" xfId="16968"/>
    <cellStyle name="Note 4 2 8 2" xfId="34736"/>
    <cellStyle name="Note 4 2 9" xfId="16969"/>
    <cellStyle name="Note 4 2 9 2" xfId="34737"/>
    <cellStyle name="Note 4 3" xfId="541"/>
    <cellStyle name="Note 4 3 2" xfId="16970"/>
    <cellStyle name="Note 4 3 2 2" xfId="16971"/>
    <cellStyle name="Note 4 3 2 2 2" xfId="16972"/>
    <cellStyle name="Note 4 3 2 2 2 2" xfId="16973"/>
    <cellStyle name="Note 4 3 2 2 2 2 2" xfId="16974"/>
    <cellStyle name="Note 4 3 2 2 2 2 2 2" xfId="34742"/>
    <cellStyle name="Note 4 3 2 2 2 2 3" xfId="34741"/>
    <cellStyle name="Note 4 3 2 2 2 3" xfId="16975"/>
    <cellStyle name="Note 4 3 2 2 2 3 2" xfId="34743"/>
    <cellStyle name="Note 4 3 2 2 2 4" xfId="34740"/>
    <cellStyle name="Note 4 3 2 2 3" xfId="16976"/>
    <cellStyle name="Note 4 3 2 2 3 2" xfId="16977"/>
    <cellStyle name="Note 4 3 2 2 3 2 2" xfId="34745"/>
    <cellStyle name="Note 4 3 2 2 3 3" xfId="34744"/>
    <cellStyle name="Note 4 3 2 2 4" xfId="16978"/>
    <cellStyle name="Note 4 3 2 2 4 2" xfId="34746"/>
    <cellStyle name="Note 4 3 2 2 5" xfId="34739"/>
    <cellStyle name="Note 4 3 2 3" xfId="16979"/>
    <cellStyle name="Note 4 3 2 3 2" xfId="16980"/>
    <cellStyle name="Note 4 3 2 3 2 2" xfId="16981"/>
    <cellStyle name="Note 4 3 2 3 2 2 2" xfId="16982"/>
    <cellStyle name="Note 4 3 2 3 2 2 2 2" xfId="34750"/>
    <cellStyle name="Note 4 3 2 3 2 2 3" xfId="34749"/>
    <cellStyle name="Note 4 3 2 3 2 3" xfId="16983"/>
    <cellStyle name="Note 4 3 2 3 2 3 2" xfId="34751"/>
    <cellStyle name="Note 4 3 2 3 2 4" xfId="34748"/>
    <cellStyle name="Note 4 3 2 3 3" xfId="16984"/>
    <cellStyle name="Note 4 3 2 3 3 2" xfId="16985"/>
    <cellStyle name="Note 4 3 2 3 3 2 2" xfId="34753"/>
    <cellStyle name="Note 4 3 2 3 3 3" xfId="34752"/>
    <cellStyle name="Note 4 3 2 3 4" xfId="16986"/>
    <cellStyle name="Note 4 3 2 3 4 2" xfId="34754"/>
    <cellStyle name="Note 4 3 2 3 5" xfId="34747"/>
    <cellStyle name="Note 4 3 2 4" xfId="16987"/>
    <cellStyle name="Note 4 3 2 4 2" xfId="16988"/>
    <cellStyle name="Note 4 3 2 4 2 2" xfId="16989"/>
    <cellStyle name="Note 4 3 2 4 2 2 2" xfId="34757"/>
    <cellStyle name="Note 4 3 2 4 2 3" xfId="34756"/>
    <cellStyle name="Note 4 3 2 4 3" xfId="16990"/>
    <cellStyle name="Note 4 3 2 4 3 2" xfId="34758"/>
    <cellStyle name="Note 4 3 2 4 4" xfId="34755"/>
    <cellStyle name="Note 4 3 2 5" xfId="16991"/>
    <cellStyle name="Note 4 3 2 5 2" xfId="16992"/>
    <cellStyle name="Note 4 3 2 5 2 2" xfId="34760"/>
    <cellStyle name="Note 4 3 2 5 3" xfId="34759"/>
    <cellStyle name="Note 4 3 2 6" xfId="16993"/>
    <cellStyle name="Note 4 3 2 6 2" xfId="34761"/>
    <cellStyle name="Note 4 3 2 7" xfId="34738"/>
    <cellStyle name="Note 4 3 3" xfId="16994"/>
    <cellStyle name="Note 4 3 3 2" xfId="16995"/>
    <cellStyle name="Note 4 3 3 2 2" xfId="16996"/>
    <cellStyle name="Note 4 3 3 2 2 2" xfId="16997"/>
    <cellStyle name="Note 4 3 3 2 2 2 2" xfId="34765"/>
    <cellStyle name="Note 4 3 3 2 2 3" xfId="34764"/>
    <cellStyle name="Note 4 3 3 2 3" xfId="16998"/>
    <cellStyle name="Note 4 3 3 2 3 2" xfId="34766"/>
    <cellStyle name="Note 4 3 3 2 4" xfId="34763"/>
    <cellStyle name="Note 4 3 3 3" xfId="16999"/>
    <cellStyle name="Note 4 3 3 3 2" xfId="17000"/>
    <cellStyle name="Note 4 3 3 3 2 2" xfId="34768"/>
    <cellStyle name="Note 4 3 3 3 3" xfId="34767"/>
    <cellStyle name="Note 4 3 3 4" xfId="17001"/>
    <cellStyle name="Note 4 3 3 4 2" xfId="34769"/>
    <cellStyle name="Note 4 3 3 5" xfId="34762"/>
    <cellStyle name="Note 4 3 4" xfId="17002"/>
    <cellStyle name="Note 4 3 4 2" xfId="17003"/>
    <cellStyle name="Note 4 3 4 2 2" xfId="17004"/>
    <cellStyle name="Note 4 3 4 2 2 2" xfId="17005"/>
    <cellStyle name="Note 4 3 4 2 2 2 2" xfId="34773"/>
    <cellStyle name="Note 4 3 4 2 2 3" xfId="34772"/>
    <cellStyle name="Note 4 3 4 2 3" xfId="17006"/>
    <cellStyle name="Note 4 3 4 2 3 2" xfId="34774"/>
    <cellStyle name="Note 4 3 4 2 4" xfId="34771"/>
    <cellStyle name="Note 4 3 4 3" xfId="17007"/>
    <cellStyle name="Note 4 3 4 3 2" xfId="17008"/>
    <cellStyle name="Note 4 3 4 3 2 2" xfId="34776"/>
    <cellStyle name="Note 4 3 4 3 3" xfId="34775"/>
    <cellStyle name="Note 4 3 4 4" xfId="17009"/>
    <cellStyle name="Note 4 3 4 4 2" xfId="34777"/>
    <cellStyle name="Note 4 3 4 5" xfId="34770"/>
    <cellStyle name="Note 4 3 5" xfId="17010"/>
    <cellStyle name="Note 4 3 5 2" xfId="17011"/>
    <cellStyle name="Note 4 3 5 2 2" xfId="17012"/>
    <cellStyle name="Note 4 3 5 2 2 2" xfId="34780"/>
    <cellStyle name="Note 4 3 5 2 3" xfId="34779"/>
    <cellStyle name="Note 4 3 5 3" xfId="17013"/>
    <cellStyle name="Note 4 3 5 3 2" xfId="34781"/>
    <cellStyle name="Note 4 3 5 4" xfId="34778"/>
    <cellStyle name="Note 4 3 6" xfId="17014"/>
    <cellStyle name="Note 4 3 6 2" xfId="17015"/>
    <cellStyle name="Note 4 3 6 2 2" xfId="34783"/>
    <cellStyle name="Note 4 3 6 3" xfId="34782"/>
    <cellStyle name="Note 4 3 7" xfId="17016"/>
    <cellStyle name="Note 4 3 7 2" xfId="34784"/>
    <cellStyle name="Note 4 3 8" xfId="17017"/>
    <cellStyle name="Note 4 3 8 2" xfId="34785"/>
    <cellStyle name="Note 4 4" xfId="17018"/>
    <cellStyle name="Note 4 4 2" xfId="17019"/>
    <cellStyle name="Note 4 4 2 2" xfId="17020"/>
    <cellStyle name="Note 4 4 2 2 2" xfId="17021"/>
    <cellStyle name="Note 4 4 2 2 2 2" xfId="17022"/>
    <cellStyle name="Note 4 4 2 2 2 2 2" xfId="34790"/>
    <cellStyle name="Note 4 4 2 2 2 3" xfId="34789"/>
    <cellStyle name="Note 4 4 2 2 3" xfId="17023"/>
    <cellStyle name="Note 4 4 2 2 3 2" xfId="34791"/>
    <cellStyle name="Note 4 4 2 2 4" xfId="34788"/>
    <cellStyle name="Note 4 4 2 3" xfId="17024"/>
    <cellStyle name="Note 4 4 2 3 2" xfId="17025"/>
    <cellStyle name="Note 4 4 2 3 2 2" xfId="34793"/>
    <cellStyle name="Note 4 4 2 3 3" xfId="34792"/>
    <cellStyle name="Note 4 4 2 4" xfId="17026"/>
    <cellStyle name="Note 4 4 2 4 2" xfId="34794"/>
    <cellStyle name="Note 4 4 2 5" xfId="34787"/>
    <cellStyle name="Note 4 4 3" xfId="17027"/>
    <cellStyle name="Note 4 4 3 2" xfId="17028"/>
    <cellStyle name="Note 4 4 3 2 2" xfId="17029"/>
    <cellStyle name="Note 4 4 3 2 2 2" xfId="17030"/>
    <cellStyle name="Note 4 4 3 2 2 2 2" xfId="34798"/>
    <cellStyle name="Note 4 4 3 2 2 3" xfId="34797"/>
    <cellStyle name="Note 4 4 3 2 3" xfId="17031"/>
    <cellStyle name="Note 4 4 3 2 3 2" xfId="34799"/>
    <cellStyle name="Note 4 4 3 2 4" xfId="34796"/>
    <cellStyle name="Note 4 4 3 3" xfId="17032"/>
    <cellStyle name="Note 4 4 3 3 2" xfId="17033"/>
    <cellStyle name="Note 4 4 3 3 2 2" xfId="34801"/>
    <cellStyle name="Note 4 4 3 3 3" xfId="34800"/>
    <cellStyle name="Note 4 4 3 4" xfId="17034"/>
    <cellStyle name="Note 4 4 3 4 2" xfId="34802"/>
    <cellStyle name="Note 4 4 3 5" xfId="34795"/>
    <cellStyle name="Note 4 4 4" xfId="17035"/>
    <cellStyle name="Note 4 4 4 2" xfId="17036"/>
    <cellStyle name="Note 4 4 4 2 2" xfId="17037"/>
    <cellStyle name="Note 4 4 4 2 2 2" xfId="34805"/>
    <cellStyle name="Note 4 4 4 2 3" xfId="34804"/>
    <cellStyle name="Note 4 4 4 3" xfId="17038"/>
    <cellStyle name="Note 4 4 4 3 2" xfId="34806"/>
    <cellStyle name="Note 4 4 4 4" xfId="34803"/>
    <cellStyle name="Note 4 4 5" xfId="17039"/>
    <cellStyle name="Note 4 4 5 2" xfId="17040"/>
    <cellStyle name="Note 4 4 5 2 2" xfId="34808"/>
    <cellStyle name="Note 4 4 5 3" xfId="34807"/>
    <cellStyle name="Note 4 4 6" xfId="17041"/>
    <cellStyle name="Note 4 4 6 2" xfId="34809"/>
    <cellStyle name="Note 4 4 7" xfId="34786"/>
    <cellStyle name="Note 4 5" xfId="17042"/>
    <cellStyle name="Note 4 5 2" xfId="17043"/>
    <cellStyle name="Note 4 5 2 2" xfId="17044"/>
    <cellStyle name="Note 4 5 2 2 2" xfId="17045"/>
    <cellStyle name="Note 4 5 2 2 2 2" xfId="34813"/>
    <cellStyle name="Note 4 5 2 2 3" xfId="34812"/>
    <cellStyle name="Note 4 5 2 3" xfId="17046"/>
    <cellStyle name="Note 4 5 2 3 2" xfId="34814"/>
    <cellStyle name="Note 4 5 2 4" xfId="34811"/>
    <cellStyle name="Note 4 5 3" xfId="17047"/>
    <cellStyle name="Note 4 5 3 2" xfId="17048"/>
    <cellStyle name="Note 4 5 3 2 2" xfId="34816"/>
    <cellStyle name="Note 4 5 3 3" xfId="34815"/>
    <cellStyle name="Note 4 5 4" xfId="17049"/>
    <cellStyle name="Note 4 5 4 2" xfId="34817"/>
    <cellStyle name="Note 4 5 5" xfId="34810"/>
    <cellStyle name="Note 4 6" xfId="17050"/>
    <cellStyle name="Note 4 6 2" xfId="17051"/>
    <cellStyle name="Note 4 6 2 2" xfId="17052"/>
    <cellStyle name="Note 4 6 2 2 2" xfId="17053"/>
    <cellStyle name="Note 4 6 2 2 2 2" xfId="34821"/>
    <cellStyle name="Note 4 6 2 2 3" xfId="34820"/>
    <cellStyle name="Note 4 6 2 3" xfId="17054"/>
    <cellStyle name="Note 4 6 2 3 2" xfId="34822"/>
    <cellStyle name="Note 4 6 2 4" xfId="34819"/>
    <cellStyle name="Note 4 6 3" xfId="17055"/>
    <cellStyle name="Note 4 6 3 2" xfId="17056"/>
    <cellStyle name="Note 4 6 3 2 2" xfId="34824"/>
    <cellStyle name="Note 4 6 3 3" xfId="34823"/>
    <cellStyle name="Note 4 6 4" xfId="17057"/>
    <cellStyle name="Note 4 6 4 2" xfId="34825"/>
    <cellStyle name="Note 4 6 5" xfId="34818"/>
    <cellStyle name="Note 4 7" xfId="17058"/>
    <cellStyle name="Note 4 7 2" xfId="17059"/>
    <cellStyle name="Note 4 7 2 2" xfId="17060"/>
    <cellStyle name="Note 4 7 2 2 2" xfId="34828"/>
    <cellStyle name="Note 4 7 2 3" xfId="34827"/>
    <cellStyle name="Note 4 7 3" xfId="17061"/>
    <cellStyle name="Note 4 7 3 2" xfId="34829"/>
    <cellStyle name="Note 4 7 4" xfId="34826"/>
    <cellStyle name="Note 4 8" xfId="17062"/>
    <cellStyle name="Note 4 8 2" xfId="17063"/>
    <cellStyle name="Note 4 8 2 2" xfId="34831"/>
    <cellStyle name="Note 4 8 3" xfId="34830"/>
    <cellStyle name="Note 4 9" xfId="17064"/>
    <cellStyle name="Note 4 9 2" xfId="34832"/>
    <cellStyle name="Note 5" xfId="867"/>
    <cellStyle name="Note 5 2" xfId="17065"/>
    <cellStyle name="Note 5 2 2" xfId="17066"/>
    <cellStyle name="Note 5 2 2 2" xfId="17067"/>
    <cellStyle name="Note 5 2 2 2 2" xfId="17068"/>
    <cellStyle name="Note 5 2 2 2 2 2" xfId="17069"/>
    <cellStyle name="Note 5 2 2 2 2 2 2" xfId="17070"/>
    <cellStyle name="Note 5 2 2 2 2 2 2 2" xfId="17071"/>
    <cellStyle name="Note 5 2 2 2 2 2 2 2 2" xfId="34839"/>
    <cellStyle name="Note 5 2 2 2 2 2 2 3" xfId="34838"/>
    <cellStyle name="Note 5 2 2 2 2 2 3" xfId="17072"/>
    <cellStyle name="Note 5 2 2 2 2 2 3 2" xfId="34840"/>
    <cellStyle name="Note 5 2 2 2 2 2 4" xfId="34837"/>
    <cellStyle name="Note 5 2 2 2 2 3" xfId="17073"/>
    <cellStyle name="Note 5 2 2 2 2 3 2" xfId="17074"/>
    <cellStyle name="Note 5 2 2 2 2 3 2 2" xfId="34842"/>
    <cellStyle name="Note 5 2 2 2 2 3 3" xfId="34841"/>
    <cellStyle name="Note 5 2 2 2 2 4" xfId="17075"/>
    <cellStyle name="Note 5 2 2 2 2 4 2" xfId="34843"/>
    <cellStyle name="Note 5 2 2 2 2 5" xfId="34836"/>
    <cellStyle name="Note 5 2 2 2 3" xfId="17076"/>
    <cellStyle name="Note 5 2 2 2 3 2" xfId="17077"/>
    <cellStyle name="Note 5 2 2 2 3 2 2" xfId="17078"/>
    <cellStyle name="Note 5 2 2 2 3 2 2 2" xfId="17079"/>
    <cellStyle name="Note 5 2 2 2 3 2 2 2 2" xfId="34847"/>
    <cellStyle name="Note 5 2 2 2 3 2 2 3" xfId="34846"/>
    <cellStyle name="Note 5 2 2 2 3 2 3" xfId="17080"/>
    <cellStyle name="Note 5 2 2 2 3 2 3 2" xfId="34848"/>
    <cellStyle name="Note 5 2 2 2 3 2 4" xfId="34845"/>
    <cellStyle name="Note 5 2 2 2 3 3" xfId="17081"/>
    <cellStyle name="Note 5 2 2 2 3 3 2" xfId="17082"/>
    <cellStyle name="Note 5 2 2 2 3 3 2 2" xfId="34850"/>
    <cellStyle name="Note 5 2 2 2 3 3 3" xfId="34849"/>
    <cellStyle name="Note 5 2 2 2 3 4" xfId="17083"/>
    <cellStyle name="Note 5 2 2 2 3 4 2" xfId="34851"/>
    <cellStyle name="Note 5 2 2 2 3 5" xfId="34844"/>
    <cellStyle name="Note 5 2 2 2 4" xfId="17084"/>
    <cellStyle name="Note 5 2 2 2 4 2" xfId="17085"/>
    <cellStyle name="Note 5 2 2 2 4 2 2" xfId="17086"/>
    <cellStyle name="Note 5 2 2 2 4 2 2 2" xfId="34854"/>
    <cellStyle name="Note 5 2 2 2 4 2 3" xfId="34853"/>
    <cellStyle name="Note 5 2 2 2 4 3" xfId="17087"/>
    <cellStyle name="Note 5 2 2 2 4 3 2" xfId="34855"/>
    <cellStyle name="Note 5 2 2 2 4 4" xfId="34852"/>
    <cellStyle name="Note 5 2 2 2 5" xfId="17088"/>
    <cellStyle name="Note 5 2 2 2 5 2" xfId="17089"/>
    <cellStyle name="Note 5 2 2 2 5 2 2" xfId="34857"/>
    <cellStyle name="Note 5 2 2 2 5 3" xfId="34856"/>
    <cellStyle name="Note 5 2 2 2 6" xfId="17090"/>
    <cellStyle name="Note 5 2 2 2 6 2" xfId="34858"/>
    <cellStyle name="Note 5 2 2 2 7" xfId="34835"/>
    <cellStyle name="Note 5 2 2 3" xfId="17091"/>
    <cellStyle name="Note 5 2 2 3 2" xfId="17092"/>
    <cellStyle name="Note 5 2 2 3 2 2" xfId="17093"/>
    <cellStyle name="Note 5 2 2 3 2 2 2" xfId="17094"/>
    <cellStyle name="Note 5 2 2 3 2 2 2 2" xfId="34862"/>
    <cellStyle name="Note 5 2 2 3 2 2 3" xfId="34861"/>
    <cellStyle name="Note 5 2 2 3 2 3" xfId="17095"/>
    <cellStyle name="Note 5 2 2 3 2 3 2" xfId="34863"/>
    <cellStyle name="Note 5 2 2 3 2 4" xfId="34860"/>
    <cellStyle name="Note 5 2 2 3 3" xfId="17096"/>
    <cellStyle name="Note 5 2 2 3 3 2" xfId="17097"/>
    <cellStyle name="Note 5 2 2 3 3 2 2" xfId="34865"/>
    <cellStyle name="Note 5 2 2 3 3 3" xfId="34864"/>
    <cellStyle name="Note 5 2 2 3 4" xfId="17098"/>
    <cellStyle name="Note 5 2 2 3 4 2" xfId="34866"/>
    <cellStyle name="Note 5 2 2 3 5" xfId="34859"/>
    <cellStyle name="Note 5 2 2 4" xfId="17099"/>
    <cellStyle name="Note 5 2 2 4 2" xfId="17100"/>
    <cellStyle name="Note 5 2 2 4 2 2" xfId="17101"/>
    <cellStyle name="Note 5 2 2 4 2 2 2" xfId="17102"/>
    <cellStyle name="Note 5 2 2 4 2 2 2 2" xfId="34870"/>
    <cellStyle name="Note 5 2 2 4 2 2 3" xfId="34869"/>
    <cellStyle name="Note 5 2 2 4 2 3" xfId="17103"/>
    <cellStyle name="Note 5 2 2 4 2 3 2" xfId="34871"/>
    <cellStyle name="Note 5 2 2 4 2 4" xfId="34868"/>
    <cellStyle name="Note 5 2 2 4 3" xfId="17104"/>
    <cellStyle name="Note 5 2 2 4 3 2" xfId="17105"/>
    <cellStyle name="Note 5 2 2 4 3 2 2" xfId="34873"/>
    <cellStyle name="Note 5 2 2 4 3 3" xfId="34872"/>
    <cellStyle name="Note 5 2 2 4 4" xfId="17106"/>
    <cellStyle name="Note 5 2 2 4 4 2" xfId="34874"/>
    <cellStyle name="Note 5 2 2 4 5" xfId="34867"/>
    <cellStyle name="Note 5 2 2 5" xfId="17107"/>
    <cellStyle name="Note 5 2 2 5 2" xfId="17108"/>
    <cellStyle name="Note 5 2 2 5 2 2" xfId="17109"/>
    <cellStyle name="Note 5 2 2 5 2 2 2" xfId="34877"/>
    <cellStyle name="Note 5 2 2 5 2 3" xfId="34876"/>
    <cellStyle name="Note 5 2 2 5 3" xfId="17110"/>
    <cellStyle name="Note 5 2 2 5 3 2" xfId="34878"/>
    <cellStyle name="Note 5 2 2 5 4" xfId="34875"/>
    <cellStyle name="Note 5 2 2 6" xfId="17111"/>
    <cellStyle name="Note 5 2 2 6 2" xfId="17112"/>
    <cellStyle name="Note 5 2 2 6 2 2" xfId="34880"/>
    <cellStyle name="Note 5 2 2 6 3" xfId="34879"/>
    <cellStyle name="Note 5 2 2 7" xfId="17113"/>
    <cellStyle name="Note 5 2 2 7 2" xfId="34881"/>
    <cellStyle name="Note 5 2 2 8" xfId="34834"/>
    <cellStyle name="Note 5 2 3" xfId="17114"/>
    <cellStyle name="Note 5 2 3 2" xfId="17115"/>
    <cellStyle name="Note 5 2 3 2 2" xfId="17116"/>
    <cellStyle name="Note 5 2 3 2 2 2" xfId="17117"/>
    <cellStyle name="Note 5 2 3 2 2 2 2" xfId="17118"/>
    <cellStyle name="Note 5 2 3 2 2 2 2 2" xfId="34886"/>
    <cellStyle name="Note 5 2 3 2 2 2 3" xfId="34885"/>
    <cellStyle name="Note 5 2 3 2 2 3" xfId="17119"/>
    <cellStyle name="Note 5 2 3 2 2 3 2" xfId="34887"/>
    <cellStyle name="Note 5 2 3 2 2 4" xfId="34884"/>
    <cellStyle name="Note 5 2 3 2 3" xfId="17120"/>
    <cellStyle name="Note 5 2 3 2 3 2" xfId="17121"/>
    <cellStyle name="Note 5 2 3 2 3 2 2" xfId="34889"/>
    <cellStyle name="Note 5 2 3 2 3 3" xfId="34888"/>
    <cellStyle name="Note 5 2 3 2 4" xfId="17122"/>
    <cellStyle name="Note 5 2 3 2 4 2" xfId="34890"/>
    <cellStyle name="Note 5 2 3 2 5" xfId="34883"/>
    <cellStyle name="Note 5 2 3 3" xfId="17123"/>
    <cellStyle name="Note 5 2 3 3 2" xfId="17124"/>
    <cellStyle name="Note 5 2 3 3 2 2" xfId="17125"/>
    <cellStyle name="Note 5 2 3 3 2 2 2" xfId="17126"/>
    <cellStyle name="Note 5 2 3 3 2 2 2 2" xfId="34894"/>
    <cellStyle name="Note 5 2 3 3 2 2 3" xfId="34893"/>
    <cellStyle name="Note 5 2 3 3 2 3" xfId="17127"/>
    <cellStyle name="Note 5 2 3 3 2 3 2" xfId="34895"/>
    <cellStyle name="Note 5 2 3 3 2 4" xfId="34892"/>
    <cellStyle name="Note 5 2 3 3 3" xfId="17128"/>
    <cellStyle name="Note 5 2 3 3 3 2" xfId="17129"/>
    <cellStyle name="Note 5 2 3 3 3 2 2" xfId="34897"/>
    <cellStyle name="Note 5 2 3 3 3 3" xfId="34896"/>
    <cellStyle name="Note 5 2 3 3 4" xfId="17130"/>
    <cellStyle name="Note 5 2 3 3 4 2" xfId="34898"/>
    <cellStyle name="Note 5 2 3 3 5" xfId="34891"/>
    <cellStyle name="Note 5 2 3 4" xfId="17131"/>
    <cellStyle name="Note 5 2 3 4 2" xfId="17132"/>
    <cellStyle name="Note 5 2 3 4 2 2" xfId="17133"/>
    <cellStyle name="Note 5 2 3 4 2 2 2" xfId="34901"/>
    <cellStyle name="Note 5 2 3 4 2 3" xfId="34900"/>
    <cellStyle name="Note 5 2 3 4 3" xfId="17134"/>
    <cellStyle name="Note 5 2 3 4 3 2" xfId="34902"/>
    <cellStyle name="Note 5 2 3 4 4" xfId="34899"/>
    <cellStyle name="Note 5 2 3 5" xfId="17135"/>
    <cellStyle name="Note 5 2 3 5 2" xfId="17136"/>
    <cellStyle name="Note 5 2 3 5 2 2" xfId="34904"/>
    <cellStyle name="Note 5 2 3 5 3" xfId="34903"/>
    <cellStyle name="Note 5 2 3 6" xfId="17137"/>
    <cellStyle name="Note 5 2 3 6 2" xfId="34905"/>
    <cellStyle name="Note 5 2 3 7" xfId="34882"/>
    <cellStyle name="Note 5 2 4" xfId="17138"/>
    <cellStyle name="Note 5 2 4 2" xfId="17139"/>
    <cellStyle name="Note 5 2 4 2 2" xfId="17140"/>
    <cellStyle name="Note 5 2 4 2 2 2" xfId="17141"/>
    <cellStyle name="Note 5 2 4 2 2 2 2" xfId="34909"/>
    <cellStyle name="Note 5 2 4 2 2 3" xfId="34908"/>
    <cellStyle name="Note 5 2 4 2 3" xfId="17142"/>
    <cellStyle name="Note 5 2 4 2 3 2" xfId="34910"/>
    <cellStyle name="Note 5 2 4 2 4" xfId="34907"/>
    <cellStyle name="Note 5 2 4 3" xfId="17143"/>
    <cellStyle name="Note 5 2 4 3 2" xfId="17144"/>
    <cellStyle name="Note 5 2 4 3 2 2" xfId="34912"/>
    <cellStyle name="Note 5 2 4 3 3" xfId="34911"/>
    <cellStyle name="Note 5 2 4 4" xfId="17145"/>
    <cellStyle name="Note 5 2 4 4 2" xfId="34913"/>
    <cellStyle name="Note 5 2 4 5" xfId="34906"/>
    <cellStyle name="Note 5 2 5" xfId="17146"/>
    <cellStyle name="Note 5 2 5 2" xfId="17147"/>
    <cellStyle name="Note 5 2 5 2 2" xfId="17148"/>
    <cellStyle name="Note 5 2 5 2 2 2" xfId="17149"/>
    <cellStyle name="Note 5 2 5 2 2 2 2" xfId="34917"/>
    <cellStyle name="Note 5 2 5 2 2 3" xfId="34916"/>
    <cellStyle name="Note 5 2 5 2 3" xfId="17150"/>
    <cellStyle name="Note 5 2 5 2 3 2" xfId="34918"/>
    <cellStyle name="Note 5 2 5 2 4" xfId="34915"/>
    <cellStyle name="Note 5 2 5 3" xfId="17151"/>
    <cellStyle name="Note 5 2 5 3 2" xfId="17152"/>
    <cellStyle name="Note 5 2 5 3 2 2" xfId="34920"/>
    <cellStyle name="Note 5 2 5 3 3" xfId="34919"/>
    <cellStyle name="Note 5 2 5 4" xfId="17153"/>
    <cellStyle name="Note 5 2 5 4 2" xfId="34921"/>
    <cellStyle name="Note 5 2 5 5" xfId="34914"/>
    <cellStyle name="Note 5 2 6" xfId="17154"/>
    <cellStyle name="Note 5 2 6 2" xfId="17155"/>
    <cellStyle name="Note 5 2 6 2 2" xfId="17156"/>
    <cellStyle name="Note 5 2 6 2 2 2" xfId="34924"/>
    <cellStyle name="Note 5 2 6 2 3" xfId="34923"/>
    <cellStyle name="Note 5 2 6 3" xfId="17157"/>
    <cellStyle name="Note 5 2 6 3 2" xfId="34925"/>
    <cellStyle name="Note 5 2 6 4" xfId="34922"/>
    <cellStyle name="Note 5 2 7" xfId="17158"/>
    <cellStyle name="Note 5 2 7 2" xfId="17159"/>
    <cellStyle name="Note 5 2 7 2 2" xfId="34927"/>
    <cellStyle name="Note 5 2 7 3" xfId="34926"/>
    <cellStyle name="Note 5 2 8" xfId="17160"/>
    <cellStyle name="Note 5 2 8 2" xfId="34928"/>
    <cellStyle name="Note 5 2 9" xfId="34833"/>
    <cellStyle name="Note 5 3" xfId="17161"/>
    <cellStyle name="Note 5 3 2" xfId="17162"/>
    <cellStyle name="Note 5 3 2 2" xfId="17163"/>
    <cellStyle name="Note 5 3 2 2 2" xfId="17164"/>
    <cellStyle name="Note 5 3 2 2 2 2" xfId="17165"/>
    <cellStyle name="Note 5 3 2 2 2 2 2" xfId="17166"/>
    <cellStyle name="Note 5 3 2 2 2 2 2 2" xfId="34934"/>
    <cellStyle name="Note 5 3 2 2 2 2 3" xfId="34933"/>
    <cellStyle name="Note 5 3 2 2 2 3" xfId="17167"/>
    <cellStyle name="Note 5 3 2 2 2 3 2" xfId="34935"/>
    <cellStyle name="Note 5 3 2 2 2 4" xfId="34932"/>
    <cellStyle name="Note 5 3 2 2 3" xfId="17168"/>
    <cellStyle name="Note 5 3 2 2 3 2" xfId="17169"/>
    <cellStyle name="Note 5 3 2 2 3 2 2" xfId="34937"/>
    <cellStyle name="Note 5 3 2 2 3 3" xfId="34936"/>
    <cellStyle name="Note 5 3 2 2 4" xfId="17170"/>
    <cellStyle name="Note 5 3 2 2 4 2" xfId="34938"/>
    <cellStyle name="Note 5 3 2 2 5" xfId="34931"/>
    <cellStyle name="Note 5 3 2 3" xfId="17171"/>
    <cellStyle name="Note 5 3 2 3 2" xfId="17172"/>
    <cellStyle name="Note 5 3 2 3 2 2" xfId="17173"/>
    <cellStyle name="Note 5 3 2 3 2 2 2" xfId="17174"/>
    <cellStyle name="Note 5 3 2 3 2 2 2 2" xfId="34942"/>
    <cellStyle name="Note 5 3 2 3 2 2 3" xfId="34941"/>
    <cellStyle name="Note 5 3 2 3 2 3" xfId="17175"/>
    <cellStyle name="Note 5 3 2 3 2 3 2" xfId="34943"/>
    <cellStyle name="Note 5 3 2 3 2 4" xfId="34940"/>
    <cellStyle name="Note 5 3 2 3 3" xfId="17176"/>
    <cellStyle name="Note 5 3 2 3 3 2" xfId="17177"/>
    <cellStyle name="Note 5 3 2 3 3 2 2" xfId="34945"/>
    <cellStyle name="Note 5 3 2 3 3 3" xfId="34944"/>
    <cellStyle name="Note 5 3 2 3 4" xfId="17178"/>
    <cellStyle name="Note 5 3 2 3 4 2" xfId="34946"/>
    <cellStyle name="Note 5 3 2 3 5" xfId="34939"/>
    <cellStyle name="Note 5 3 2 4" xfId="17179"/>
    <cellStyle name="Note 5 3 2 4 2" xfId="17180"/>
    <cellStyle name="Note 5 3 2 4 2 2" xfId="17181"/>
    <cellStyle name="Note 5 3 2 4 2 2 2" xfId="34949"/>
    <cellStyle name="Note 5 3 2 4 2 3" xfId="34948"/>
    <cellStyle name="Note 5 3 2 4 3" xfId="17182"/>
    <cellStyle name="Note 5 3 2 4 3 2" xfId="34950"/>
    <cellStyle name="Note 5 3 2 4 4" xfId="34947"/>
    <cellStyle name="Note 5 3 2 5" xfId="17183"/>
    <cellStyle name="Note 5 3 2 5 2" xfId="17184"/>
    <cellStyle name="Note 5 3 2 5 2 2" xfId="34952"/>
    <cellStyle name="Note 5 3 2 5 3" xfId="34951"/>
    <cellStyle name="Note 5 3 2 6" xfId="17185"/>
    <cellStyle name="Note 5 3 2 6 2" xfId="34953"/>
    <cellStyle name="Note 5 3 2 7" xfId="34930"/>
    <cellStyle name="Note 5 3 3" xfId="17186"/>
    <cellStyle name="Note 5 3 3 2" xfId="17187"/>
    <cellStyle name="Note 5 3 3 2 2" xfId="17188"/>
    <cellStyle name="Note 5 3 3 2 2 2" xfId="17189"/>
    <cellStyle name="Note 5 3 3 2 2 2 2" xfId="34957"/>
    <cellStyle name="Note 5 3 3 2 2 3" xfId="34956"/>
    <cellStyle name="Note 5 3 3 2 3" xfId="17190"/>
    <cellStyle name="Note 5 3 3 2 3 2" xfId="34958"/>
    <cellStyle name="Note 5 3 3 2 4" xfId="34955"/>
    <cellStyle name="Note 5 3 3 3" xfId="17191"/>
    <cellStyle name="Note 5 3 3 3 2" xfId="17192"/>
    <cellStyle name="Note 5 3 3 3 2 2" xfId="34960"/>
    <cellStyle name="Note 5 3 3 3 3" xfId="34959"/>
    <cellStyle name="Note 5 3 3 4" xfId="17193"/>
    <cellStyle name="Note 5 3 3 4 2" xfId="34961"/>
    <cellStyle name="Note 5 3 3 5" xfId="34954"/>
    <cellStyle name="Note 5 3 4" xfId="17194"/>
    <cellStyle name="Note 5 3 4 2" xfId="17195"/>
    <cellStyle name="Note 5 3 4 2 2" xfId="17196"/>
    <cellStyle name="Note 5 3 4 2 2 2" xfId="17197"/>
    <cellStyle name="Note 5 3 4 2 2 2 2" xfId="34965"/>
    <cellStyle name="Note 5 3 4 2 2 3" xfId="34964"/>
    <cellStyle name="Note 5 3 4 2 3" xfId="17198"/>
    <cellStyle name="Note 5 3 4 2 3 2" xfId="34966"/>
    <cellStyle name="Note 5 3 4 2 4" xfId="34963"/>
    <cellStyle name="Note 5 3 4 3" xfId="17199"/>
    <cellStyle name="Note 5 3 4 3 2" xfId="17200"/>
    <cellStyle name="Note 5 3 4 3 2 2" xfId="34968"/>
    <cellStyle name="Note 5 3 4 3 3" xfId="34967"/>
    <cellStyle name="Note 5 3 4 4" xfId="17201"/>
    <cellStyle name="Note 5 3 4 4 2" xfId="34969"/>
    <cellStyle name="Note 5 3 4 5" xfId="34962"/>
    <cellStyle name="Note 5 3 5" xfId="17202"/>
    <cellStyle name="Note 5 3 5 2" xfId="17203"/>
    <cellStyle name="Note 5 3 5 2 2" xfId="17204"/>
    <cellStyle name="Note 5 3 5 2 2 2" xfId="34972"/>
    <cellStyle name="Note 5 3 5 2 3" xfId="34971"/>
    <cellStyle name="Note 5 3 5 3" xfId="17205"/>
    <cellStyle name="Note 5 3 5 3 2" xfId="34973"/>
    <cellStyle name="Note 5 3 5 4" xfId="34970"/>
    <cellStyle name="Note 5 3 6" xfId="17206"/>
    <cellStyle name="Note 5 3 6 2" xfId="17207"/>
    <cellStyle name="Note 5 3 6 2 2" xfId="34975"/>
    <cellStyle name="Note 5 3 6 3" xfId="34974"/>
    <cellStyle name="Note 5 3 7" xfId="17208"/>
    <cellStyle name="Note 5 3 7 2" xfId="34976"/>
    <cellStyle name="Note 5 3 8" xfId="34929"/>
    <cellStyle name="Note 5 4" xfId="17209"/>
    <cellStyle name="Note 5 4 2" xfId="17210"/>
    <cellStyle name="Note 5 4 2 2" xfId="17211"/>
    <cellStyle name="Note 5 4 2 2 2" xfId="17212"/>
    <cellStyle name="Note 5 4 2 2 2 2" xfId="17213"/>
    <cellStyle name="Note 5 4 2 2 2 2 2" xfId="34981"/>
    <cellStyle name="Note 5 4 2 2 2 3" xfId="34980"/>
    <cellStyle name="Note 5 4 2 2 3" xfId="17214"/>
    <cellStyle name="Note 5 4 2 2 3 2" xfId="34982"/>
    <cellStyle name="Note 5 4 2 2 4" xfId="34979"/>
    <cellStyle name="Note 5 4 2 3" xfId="17215"/>
    <cellStyle name="Note 5 4 2 3 2" xfId="17216"/>
    <cellStyle name="Note 5 4 2 3 2 2" xfId="34984"/>
    <cellStyle name="Note 5 4 2 3 3" xfId="34983"/>
    <cellStyle name="Note 5 4 2 4" xfId="17217"/>
    <cellStyle name="Note 5 4 2 4 2" xfId="34985"/>
    <cellStyle name="Note 5 4 2 5" xfId="34978"/>
    <cellStyle name="Note 5 4 3" xfId="17218"/>
    <cellStyle name="Note 5 4 3 2" xfId="17219"/>
    <cellStyle name="Note 5 4 3 2 2" xfId="17220"/>
    <cellStyle name="Note 5 4 3 2 2 2" xfId="17221"/>
    <cellStyle name="Note 5 4 3 2 2 2 2" xfId="34989"/>
    <cellStyle name="Note 5 4 3 2 2 3" xfId="34988"/>
    <cellStyle name="Note 5 4 3 2 3" xfId="17222"/>
    <cellStyle name="Note 5 4 3 2 3 2" xfId="34990"/>
    <cellStyle name="Note 5 4 3 2 4" xfId="34987"/>
    <cellStyle name="Note 5 4 3 3" xfId="17223"/>
    <cellStyle name="Note 5 4 3 3 2" xfId="17224"/>
    <cellStyle name="Note 5 4 3 3 2 2" xfId="34992"/>
    <cellStyle name="Note 5 4 3 3 3" xfId="34991"/>
    <cellStyle name="Note 5 4 3 4" xfId="17225"/>
    <cellStyle name="Note 5 4 3 4 2" xfId="34993"/>
    <cellStyle name="Note 5 4 3 5" xfId="34986"/>
    <cellStyle name="Note 5 4 4" xfId="17226"/>
    <cellStyle name="Note 5 4 4 2" xfId="17227"/>
    <cellStyle name="Note 5 4 4 2 2" xfId="17228"/>
    <cellStyle name="Note 5 4 4 2 2 2" xfId="34996"/>
    <cellStyle name="Note 5 4 4 2 3" xfId="34995"/>
    <cellStyle name="Note 5 4 4 3" xfId="17229"/>
    <cellStyle name="Note 5 4 4 3 2" xfId="34997"/>
    <cellStyle name="Note 5 4 4 4" xfId="34994"/>
    <cellStyle name="Note 5 4 5" xfId="17230"/>
    <cellStyle name="Note 5 4 5 2" xfId="17231"/>
    <cellStyle name="Note 5 4 5 2 2" xfId="34999"/>
    <cellStyle name="Note 5 4 5 3" xfId="34998"/>
    <cellStyle name="Note 5 4 6" xfId="17232"/>
    <cellStyle name="Note 5 4 6 2" xfId="35000"/>
    <cellStyle name="Note 5 4 7" xfId="34977"/>
    <cellStyle name="Note 5 5" xfId="17233"/>
    <cellStyle name="Note 5 5 2" xfId="17234"/>
    <cellStyle name="Note 5 5 2 2" xfId="17235"/>
    <cellStyle name="Note 5 5 2 2 2" xfId="17236"/>
    <cellStyle name="Note 5 5 2 2 2 2" xfId="35004"/>
    <cellStyle name="Note 5 5 2 2 3" xfId="35003"/>
    <cellStyle name="Note 5 5 2 3" xfId="17237"/>
    <cellStyle name="Note 5 5 2 3 2" xfId="35005"/>
    <cellStyle name="Note 5 5 2 4" xfId="35002"/>
    <cellStyle name="Note 5 5 3" xfId="17238"/>
    <cellStyle name="Note 5 5 3 2" xfId="17239"/>
    <cellStyle name="Note 5 5 3 2 2" xfId="35007"/>
    <cellStyle name="Note 5 5 3 3" xfId="35006"/>
    <cellStyle name="Note 5 5 4" xfId="17240"/>
    <cellStyle name="Note 5 5 4 2" xfId="35008"/>
    <cellStyle name="Note 5 5 5" xfId="35001"/>
    <cellStyle name="Note 5 6" xfId="17241"/>
    <cellStyle name="Note 5 6 2" xfId="17242"/>
    <cellStyle name="Note 5 6 2 2" xfId="17243"/>
    <cellStyle name="Note 5 6 2 2 2" xfId="17244"/>
    <cellStyle name="Note 5 6 2 2 2 2" xfId="35012"/>
    <cellStyle name="Note 5 6 2 2 3" xfId="35011"/>
    <cellStyle name="Note 5 6 2 3" xfId="17245"/>
    <cellStyle name="Note 5 6 2 3 2" xfId="35013"/>
    <cellStyle name="Note 5 6 2 4" xfId="35010"/>
    <cellStyle name="Note 5 6 3" xfId="17246"/>
    <cellStyle name="Note 5 6 3 2" xfId="17247"/>
    <cellStyle name="Note 5 6 3 2 2" xfId="35015"/>
    <cellStyle name="Note 5 6 3 3" xfId="35014"/>
    <cellStyle name="Note 5 6 4" xfId="17248"/>
    <cellStyle name="Note 5 6 4 2" xfId="35016"/>
    <cellStyle name="Note 5 6 5" xfId="35009"/>
    <cellStyle name="Note 5 7" xfId="17249"/>
    <cellStyle name="Note 5 7 2" xfId="17250"/>
    <cellStyle name="Note 5 7 2 2" xfId="17251"/>
    <cellStyle name="Note 5 7 2 2 2" xfId="35019"/>
    <cellStyle name="Note 5 7 2 3" xfId="35018"/>
    <cellStyle name="Note 5 7 3" xfId="17252"/>
    <cellStyle name="Note 5 7 3 2" xfId="35020"/>
    <cellStyle name="Note 5 7 4" xfId="35017"/>
    <cellStyle name="Note 5 8" xfId="17253"/>
    <cellStyle name="Note 5 8 2" xfId="17254"/>
    <cellStyle name="Note 5 8 2 2" xfId="35022"/>
    <cellStyle name="Note 5 8 3" xfId="35021"/>
    <cellStyle name="Note 5 9" xfId="17255"/>
    <cellStyle name="Note 5 9 2" xfId="35023"/>
    <cellStyle name="Note 6" xfId="17256"/>
    <cellStyle name="Note 6 10" xfId="35024"/>
    <cellStyle name="Note 6 2" xfId="17257"/>
    <cellStyle name="Note 6 2 2" xfId="17258"/>
    <cellStyle name="Note 6 2 2 2" xfId="17259"/>
    <cellStyle name="Note 6 2 2 2 2" xfId="17260"/>
    <cellStyle name="Note 6 2 2 2 2 2" xfId="17261"/>
    <cellStyle name="Note 6 2 2 2 2 2 2" xfId="17262"/>
    <cellStyle name="Note 6 2 2 2 2 2 2 2" xfId="17263"/>
    <cellStyle name="Note 6 2 2 2 2 2 2 2 2" xfId="35031"/>
    <cellStyle name="Note 6 2 2 2 2 2 2 3" xfId="35030"/>
    <cellStyle name="Note 6 2 2 2 2 2 3" xfId="17264"/>
    <cellStyle name="Note 6 2 2 2 2 2 3 2" xfId="35032"/>
    <cellStyle name="Note 6 2 2 2 2 2 4" xfId="35029"/>
    <cellStyle name="Note 6 2 2 2 2 3" xfId="17265"/>
    <cellStyle name="Note 6 2 2 2 2 3 2" xfId="17266"/>
    <cellStyle name="Note 6 2 2 2 2 3 2 2" xfId="35034"/>
    <cellStyle name="Note 6 2 2 2 2 3 3" xfId="35033"/>
    <cellStyle name="Note 6 2 2 2 2 4" xfId="17267"/>
    <cellStyle name="Note 6 2 2 2 2 4 2" xfId="35035"/>
    <cellStyle name="Note 6 2 2 2 2 5" xfId="35028"/>
    <cellStyle name="Note 6 2 2 2 3" xfId="17268"/>
    <cellStyle name="Note 6 2 2 2 3 2" xfId="17269"/>
    <cellStyle name="Note 6 2 2 2 3 2 2" xfId="17270"/>
    <cellStyle name="Note 6 2 2 2 3 2 2 2" xfId="17271"/>
    <cellStyle name="Note 6 2 2 2 3 2 2 2 2" xfId="35039"/>
    <cellStyle name="Note 6 2 2 2 3 2 2 3" xfId="35038"/>
    <cellStyle name="Note 6 2 2 2 3 2 3" xfId="17272"/>
    <cellStyle name="Note 6 2 2 2 3 2 3 2" xfId="35040"/>
    <cellStyle name="Note 6 2 2 2 3 2 4" xfId="35037"/>
    <cellStyle name="Note 6 2 2 2 3 3" xfId="17273"/>
    <cellStyle name="Note 6 2 2 2 3 3 2" xfId="17274"/>
    <cellStyle name="Note 6 2 2 2 3 3 2 2" xfId="35042"/>
    <cellStyle name="Note 6 2 2 2 3 3 3" xfId="35041"/>
    <cellStyle name="Note 6 2 2 2 3 4" xfId="17275"/>
    <cellStyle name="Note 6 2 2 2 3 4 2" xfId="35043"/>
    <cellStyle name="Note 6 2 2 2 3 5" xfId="35036"/>
    <cellStyle name="Note 6 2 2 2 4" xfId="17276"/>
    <cellStyle name="Note 6 2 2 2 4 2" xfId="17277"/>
    <cellStyle name="Note 6 2 2 2 4 2 2" xfId="17278"/>
    <cellStyle name="Note 6 2 2 2 4 2 2 2" xfId="35046"/>
    <cellStyle name="Note 6 2 2 2 4 2 3" xfId="35045"/>
    <cellStyle name="Note 6 2 2 2 4 3" xfId="17279"/>
    <cellStyle name="Note 6 2 2 2 4 3 2" xfId="35047"/>
    <cellStyle name="Note 6 2 2 2 4 4" xfId="35044"/>
    <cellStyle name="Note 6 2 2 2 5" xfId="17280"/>
    <cellStyle name="Note 6 2 2 2 5 2" xfId="17281"/>
    <cellStyle name="Note 6 2 2 2 5 2 2" xfId="35049"/>
    <cellStyle name="Note 6 2 2 2 5 3" xfId="35048"/>
    <cellStyle name="Note 6 2 2 2 6" xfId="17282"/>
    <cellStyle name="Note 6 2 2 2 6 2" xfId="35050"/>
    <cellStyle name="Note 6 2 2 2 7" xfId="35027"/>
    <cellStyle name="Note 6 2 2 3" xfId="17283"/>
    <cellStyle name="Note 6 2 2 3 2" xfId="17284"/>
    <cellStyle name="Note 6 2 2 3 2 2" xfId="17285"/>
    <cellStyle name="Note 6 2 2 3 2 2 2" xfId="17286"/>
    <cellStyle name="Note 6 2 2 3 2 2 2 2" xfId="35054"/>
    <cellStyle name="Note 6 2 2 3 2 2 3" xfId="35053"/>
    <cellStyle name="Note 6 2 2 3 2 3" xfId="17287"/>
    <cellStyle name="Note 6 2 2 3 2 3 2" xfId="35055"/>
    <cellStyle name="Note 6 2 2 3 2 4" xfId="35052"/>
    <cellStyle name="Note 6 2 2 3 3" xfId="17288"/>
    <cellStyle name="Note 6 2 2 3 3 2" xfId="17289"/>
    <cellStyle name="Note 6 2 2 3 3 2 2" xfId="35057"/>
    <cellStyle name="Note 6 2 2 3 3 3" xfId="35056"/>
    <cellStyle name="Note 6 2 2 3 4" xfId="17290"/>
    <cellStyle name="Note 6 2 2 3 4 2" xfId="35058"/>
    <cellStyle name="Note 6 2 2 3 5" xfId="35051"/>
    <cellStyle name="Note 6 2 2 4" xfId="17291"/>
    <cellStyle name="Note 6 2 2 4 2" xfId="17292"/>
    <cellStyle name="Note 6 2 2 4 2 2" xfId="17293"/>
    <cellStyle name="Note 6 2 2 4 2 2 2" xfId="17294"/>
    <cellStyle name="Note 6 2 2 4 2 2 2 2" xfId="35062"/>
    <cellStyle name="Note 6 2 2 4 2 2 3" xfId="35061"/>
    <cellStyle name="Note 6 2 2 4 2 3" xfId="17295"/>
    <cellStyle name="Note 6 2 2 4 2 3 2" xfId="35063"/>
    <cellStyle name="Note 6 2 2 4 2 4" xfId="35060"/>
    <cellStyle name="Note 6 2 2 4 3" xfId="17296"/>
    <cellStyle name="Note 6 2 2 4 3 2" xfId="17297"/>
    <cellStyle name="Note 6 2 2 4 3 2 2" xfId="35065"/>
    <cellStyle name="Note 6 2 2 4 3 3" xfId="35064"/>
    <cellStyle name="Note 6 2 2 4 4" xfId="17298"/>
    <cellStyle name="Note 6 2 2 4 4 2" xfId="35066"/>
    <cellStyle name="Note 6 2 2 4 5" xfId="35059"/>
    <cellStyle name="Note 6 2 2 5" xfId="17299"/>
    <cellStyle name="Note 6 2 2 5 2" xfId="17300"/>
    <cellStyle name="Note 6 2 2 5 2 2" xfId="17301"/>
    <cellStyle name="Note 6 2 2 5 2 2 2" xfId="35069"/>
    <cellStyle name="Note 6 2 2 5 2 3" xfId="35068"/>
    <cellStyle name="Note 6 2 2 5 3" xfId="17302"/>
    <cellStyle name="Note 6 2 2 5 3 2" xfId="35070"/>
    <cellStyle name="Note 6 2 2 5 4" xfId="35067"/>
    <cellStyle name="Note 6 2 2 6" xfId="17303"/>
    <cellStyle name="Note 6 2 2 6 2" xfId="17304"/>
    <cellStyle name="Note 6 2 2 6 2 2" xfId="35072"/>
    <cellStyle name="Note 6 2 2 6 3" xfId="35071"/>
    <cellStyle name="Note 6 2 2 7" xfId="17305"/>
    <cellStyle name="Note 6 2 2 7 2" xfId="35073"/>
    <cellStyle name="Note 6 2 2 8" xfId="35026"/>
    <cellStyle name="Note 6 2 3" xfId="17306"/>
    <cellStyle name="Note 6 2 3 2" xfId="17307"/>
    <cellStyle name="Note 6 2 3 2 2" xfId="17308"/>
    <cellStyle name="Note 6 2 3 2 2 2" xfId="17309"/>
    <cellStyle name="Note 6 2 3 2 2 2 2" xfId="17310"/>
    <cellStyle name="Note 6 2 3 2 2 2 2 2" xfId="35078"/>
    <cellStyle name="Note 6 2 3 2 2 2 3" xfId="35077"/>
    <cellStyle name="Note 6 2 3 2 2 3" xfId="17311"/>
    <cellStyle name="Note 6 2 3 2 2 3 2" xfId="35079"/>
    <cellStyle name="Note 6 2 3 2 2 4" xfId="35076"/>
    <cellStyle name="Note 6 2 3 2 3" xfId="17312"/>
    <cellStyle name="Note 6 2 3 2 3 2" xfId="17313"/>
    <cellStyle name="Note 6 2 3 2 3 2 2" xfId="35081"/>
    <cellStyle name="Note 6 2 3 2 3 3" xfId="35080"/>
    <cellStyle name="Note 6 2 3 2 4" xfId="17314"/>
    <cellStyle name="Note 6 2 3 2 4 2" xfId="35082"/>
    <cellStyle name="Note 6 2 3 2 5" xfId="35075"/>
    <cellStyle name="Note 6 2 3 3" xfId="17315"/>
    <cellStyle name="Note 6 2 3 3 2" xfId="17316"/>
    <cellStyle name="Note 6 2 3 3 2 2" xfId="17317"/>
    <cellStyle name="Note 6 2 3 3 2 2 2" xfId="17318"/>
    <cellStyle name="Note 6 2 3 3 2 2 2 2" xfId="35086"/>
    <cellStyle name="Note 6 2 3 3 2 2 3" xfId="35085"/>
    <cellStyle name="Note 6 2 3 3 2 3" xfId="17319"/>
    <cellStyle name="Note 6 2 3 3 2 3 2" xfId="35087"/>
    <cellStyle name="Note 6 2 3 3 2 4" xfId="35084"/>
    <cellStyle name="Note 6 2 3 3 3" xfId="17320"/>
    <cellStyle name="Note 6 2 3 3 3 2" xfId="17321"/>
    <cellStyle name="Note 6 2 3 3 3 2 2" xfId="35089"/>
    <cellStyle name="Note 6 2 3 3 3 3" xfId="35088"/>
    <cellStyle name="Note 6 2 3 3 4" xfId="17322"/>
    <cellStyle name="Note 6 2 3 3 4 2" xfId="35090"/>
    <cellStyle name="Note 6 2 3 3 5" xfId="35083"/>
    <cellStyle name="Note 6 2 3 4" xfId="17323"/>
    <cellStyle name="Note 6 2 3 4 2" xfId="17324"/>
    <cellStyle name="Note 6 2 3 4 2 2" xfId="17325"/>
    <cellStyle name="Note 6 2 3 4 2 2 2" xfId="35093"/>
    <cellStyle name="Note 6 2 3 4 2 3" xfId="35092"/>
    <cellStyle name="Note 6 2 3 4 3" xfId="17326"/>
    <cellStyle name="Note 6 2 3 4 3 2" xfId="35094"/>
    <cellStyle name="Note 6 2 3 4 4" xfId="35091"/>
    <cellStyle name="Note 6 2 3 5" xfId="17327"/>
    <cellStyle name="Note 6 2 3 5 2" xfId="17328"/>
    <cellStyle name="Note 6 2 3 5 2 2" xfId="35096"/>
    <cellStyle name="Note 6 2 3 5 3" xfId="35095"/>
    <cellStyle name="Note 6 2 3 6" xfId="17329"/>
    <cellStyle name="Note 6 2 3 6 2" xfId="35097"/>
    <cellStyle name="Note 6 2 3 7" xfId="35074"/>
    <cellStyle name="Note 6 2 4" xfId="17330"/>
    <cellStyle name="Note 6 2 4 2" xfId="17331"/>
    <cellStyle name="Note 6 2 4 2 2" xfId="17332"/>
    <cellStyle name="Note 6 2 4 2 2 2" xfId="17333"/>
    <cellStyle name="Note 6 2 4 2 2 2 2" xfId="35101"/>
    <cellStyle name="Note 6 2 4 2 2 3" xfId="35100"/>
    <cellStyle name="Note 6 2 4 2 3" xfId="17334"/>
    <cellStyle name="Note 6 2 4 2 3 2" xfId="35102"/>
    <cellStyle name="Note 6 2 4 2 4" xfId="35099"/>
    <cellStyle name="Note 6 2 4 3" xfId="17335"/>
    <cellStyle name="Note 6 2 4 3 2" xfId="17336"/>
    <cellStyle name="Note 6 2 4 3 2 2" xfId="35104"/>
    <cellStyle name="Note 6 2 4 3 3" xfId="35103"/>
    <cellStyle name="Note 6 2 4 4" xfId="17337"/>
    <cellStyle name="Note 6 2 4 4 2" xfId="35105"/>
    <cellStyle name="Note 6 2 4 5" xfId="35098"/>
    <cellStyle name="Note 6 2 5" xfId="17338"/>
    <cellStyle name="Note 6 2 5 2" xfId="17339"/>
    <cellStyle name="Note 6 2 5 2 2" xfId="17340"/>
    <cellStyle name="Note 6 2 5 2 2 2" xfId="17341"/>
    <cellStyle name="Note 6 2 5 2 2 2 2" xfId="35109"/>
    <cellStyle name="Note 6 2 5 2 2 3" xfId="35108"/>
    <cellStyle name="Note 6 2 5 2 3" xfId="17342"/>
    <cellStyle name="Note 6 2 5 2 3 2" xfId="35110"/>
    <cellStyle name="Note 6 2 5 2 4" xfId="35107"/>
    <cellStyle name="Note 6 2 5 3" xfId="17343"/>
    <cellStyle name="Note 6 2 5 3 2" xfId="17344"/>
    <cellStyle name="Note 6 2 5 3 2 2" xfId="35112"/>
    <cellStyle name="Note 6 2 5 3 3" xfId="35111"/>
    <cellStyle name="Note 6 2 5 4" xfId="17345"/>
    <cellStyle name="Note 6 2 5 4 2" xfId="35113"/>
    <cellStyle name="Note 6 2 5 5" xfId="35106"/>
    <cellStyle name="Note 6 2 6" xfId="17346"/>
    <cellStyle name="Note 6 2 6 2" xfId="17347"/>
    <cellStyle name="Note 6 2 6 2 2" xfId="17348"/>
    <cellStyle name="Note 6 2 6 2 2 2" xfId="35116"/>
    <cellStyle name="Note 6 2 6 2 3" xfId="35115"/>
    <cellStyle name="Note 6 2 6 3" xfId="17349"/>
    <cellStyle name="Note 6 2 6 3 2" xfId="35117"/>
    <cellStyle name="Note 6 2 6 4" xfId="35114"/>
    <cellStyle name="Note 6 2 7" xfId="17350"/>
    <cellStyle name="Note 6 2 7 2" xfId="17351"/>
    <cellStyle name="Note 6 2 7 2 2" xfId="35119"/>
    <cellStyle name="Note 6 2 7 3" xfId="35118"/>
    <cellStyle name="Note 6 2 8" xfId="17352"/>
    <cellStyle name="Note 6 2 8 2" xfId="35120"/>
    <cellStyle name="Note 6 2 9" xfId="35025"/>
    <cellStyle name="Note 6 3" xfId="17353"/>
    <cellStyle name="Note 6 3 2" xfId="17354"/>
    <cellStyle name="Note 6 3 2 2" xfId="17355"/>
    <cellStyle name="Note 6 3 2 2 2" xfId="17356"/>
    <cellStyle name="Note 6 3 2 2 2 2" xfId="17357"/>
    <cellStyle name="Note 6 3 2 2 2 2 2" xfId="17358"/>
    <cellStyle name="Note 6 3 2 2 2 2 2 2" xfId="35126"/>
    <cellStyle name="Note 6 3 2 2 2 2 3" xfId="35125"/>
    <cellStyle name="Note 6 3 2 2 2 3" xfId="17359"/>
    <cellStyle name="Note 6 3 2 2 2 3 2" xfId="35127"/>
    <cellStyle name="Note 6 3 2 2 2 4" xfId="35124"/>
    <cellStyle name="Note 6 3 2 2 3" xfId="17360"/>
    <cellStyle name="Note 6 3 2 2 3 2" xfId="17361"/>
    <cellStyle name="Note 6 3 2 2 3 2 2" xfId="35129"/>
    <cellStyle name="Note 6 3 2 2 3 3" xfId="35128"/>
    <cellStyle name="Note 6 3 2 2 4" xfId="17362"/>
    <cellStyle name="Note 6 3 2 2 4 2" xfId="35130"/>
    <cellStyle name="Note 6 3 2 2 5" xfId="35123"/>
    <cellStyle name="Note 6 3 2 3" xfId="17363"/>
    <cellStyle name="Note 6 3 2 3 2" xfId="17364"/>
    <cellStyle name="Note 6 3 2 3 2 2" xfId="17365"/>
    <cellStyle name="Note 6 3 2 3 2 2 2" xfId="17366"/>
    <cellStyle name="Note 6 3 2 3 2 2 2 2" xfId="35134"/>
    <cellStyle name="Note 6 3 2 3 2 2 3" xfId="35133"/>
    <cellStyle name="Note 6 3 2 3 2 3" xfId="17367"/>
    <cellStyle name="Note 6 3 2 3 2 3 2" xfId="35135"/>
    <cellStyle name="Note 6 3 2 3 2 4" xfId="35132"/>
    <cellStyle name="Note 6 3 2 3 3" xfId="17368"/>
    <cellStyle name="Note 6 3 2 3 3 2" xfId="17369"/>
    <cellStyle name="Note 6 3 2 3 3 2 2" xfId="35137"/>
    <cellStyle name="Note 6 3 2 3 3 3" xfId="35136"/>
    <cellStyle name="Note 6 3 2 3 4" xfId="17370"/>
    <cellStyle name="Note 6 3 2 3 4 2" xfId="35138"/>
    <cellStyle name="Note 6 3 2 3 5" xfId="35131"/>
    <cellStyle name="Note 6 3 2 4" xfId="17371"/>
    <cellStyle name="Note 6 3 2 4 2" xfId="17372"/>
    <cellStyle name="Note 6 3 2 4 2 2" xfId="17373"/>
    <cellStyle name="Note 6 3 2 4 2 2 2" xfId="35141"/>
    <cellStyle name="Note 6 3 2 4 2 3" xfId="35140"/>
    <cellStyle name="Note 6 3 2 4 3" xfId="17374"/>
    <cellStyle name="Note 6 3 2 4 3 2" xfId="35142"/>
    <cellStyle name="Note 6 3 2 4 4" xfId="35139"/>
    <cellStyle name="Note 6 3 2 5" xfId="17375"/>
    <cellStyle name="Note 6 3 2 5 2" xfId="17376"/>
    <cellStyle name="Note 6 3 2 5 2 2" xfId="35144"/>
    <cellStyle name="Note 6 3 2 5 3" xfId="35143"/>
    <cellStyle name="Note 6 3 2 6" xfId="17377"/>
    <cellStyle name="Note 6 3 2 6 2" xfId="35145"/>
    <cellStyle name="Note 6 3 2 7" xfId="35122"/>
    <cellStyle name="Note 6 3 3" xfId="17378"/>
    <cellStyle name="Note 6 3 3 2" xfId="17379"/>
    <cellStyle name="Note 6 3 3 2 2" xfId="17380"/>
    <cellStyle name="Note 6 3 3 2 2 2" xfId="17381"/>
    <cellStyle name="Note 6 3 3 2 2 2 2" xfId="35149"/>
    <cellStyle name="Note 6 3 3 2 2 3" xfId="35148"/>
    <cellStyle name="Note 6 3 3 2 3" xfId="17382"/>
    <cellStyle name="Note 6 3 3 2 3 2" xfId="35150"/>
    <cellStyle name="Note 6 3 3 2 4" xfId="35147"/>
    <cellStyle name="Note 6 3 3 3" xfId="17383"/>
    <cellStyle name="Note 6 3 3 3 2" xfId="17384"/>
    <cellStyle name="Note 6 3 3 3 2 2" xfId="35152"/>
    <cellStyle name="Note 6 3 3 3 3" xfId="35151"/>
    <cellStyle name="Note 6 3 3 4" xfId="17385"/>
    <cellStyle name="Note 6 3 3 4 2" xfId="35153"/>
    <cellStyle name="Note 6 3 3 5" xfId="35146"/>
    <cellStyle name="Note 6 3 4" xfId="17386"/>
    <cellStyle name="Note 6 3 4 2" xfId="17387"/>
    <cellStyle name="Note 6 3 4 2 2" xfId="17388"/>
    <cellStyle name="Note 6 3 4 2 2 2" xfId="17389"/>
    <cellStyle name="Note 6 3 4 2 2 2 2" xfId="35157"/>
    <cellStyle name="Note 6 3 4 2 2 3" xfId="35156"/>
    <cellStyle name="Note 6 3 4 2 3" xfId="17390"/>
    <cellStyle name="Note 6 3 4 2 3 2" xfId="35158"/>
    <cellStyle name="Note 6 3 4 2 4" xfId="35155"/>
    <cellStyle name="Note 6 3 4 3" xfId="17391"/>
    <cellStyle name="Note 6 3 4 3 2" xfId="17392"/>
    <cellStyle name="Note 6 3 4 3 2 2" xfId="35160"/>
    <cellStyle name="Note 6 3 4 3 3" xfId="35159"/>
    <cellStyle name="Note 6 3 4 4" xfId="17393"/>
    <cellStyle name="Note 6 3 4 4 2" xfId="35161"/>
    <cellStyle name="Note 6 3 4 5" xfId="35154"/>
    <cellStyle name="Note 6 3 5" xfId="17394"/>
    <cellStyle name="Note 6 3 5 2" xfId="17395"/>
    <cellStyle name="Note 6 3 5 2 2" xfId="17396"/>
    <cellStyle name="Note 6 3 5 2 2 2" xfId="35164"/>
    <cellStyle name="Note 6 3 5 2 3" xfId="35163"/>
    <cellStyle name="Note 6 3 5 3" xfId="17397"/>
    <cellStyle name="Note 6 3 5 3 2" xfId="35165"/>
    <cellStyle name="Note 6 3 5 4" xfId="35162"/>
    <cellStyle name="Note 6 3 6" xfId="17398"/>
    <cellStyle name="Note 6 3 6 2" xfId="17399"/>
    <cellStyle name="Note 6 3 6 2 2" xfId="35167"/>
    <cellStyle name="Note 6 3 6 3" xfId="35166"/>
    <cellStyle name="Note 6 3 7" xfId="17400"/>
    <cellStyle name="Note 6 3 7 2" xfId="35168"/>
    <cellStyle name="Note 6 3 8" xfId="35121"/>
    <cellStyle name="Note 6 4" xfId="17401"/>
    <cellStyle name="Note 6 4 2" xfId="17402"/>
    <cellStyle name="Note 6 4 2 2" xfId="17403"/>
    <cellStyle name="Note 6 4 2 2 2" xfId="17404"/>
    <cellStyle name="Note 6 4 2 2 2 2" xfId="17405"/>
    <cellStyle name="Note 6 4 2 2 2 2 2" xfId="35173"/>
    <cellStyle name="Note 6 4 2 2 2 3" xfId="35172"/>
    <cellStyle name="Note 6 4 2 2 3" xfId="17406"/>
    <cellStyle name="Note 6 4 2 2 3 2" xfId="35174"/>
    <cellStyle name="Note 6 4 2 2 4" xfId="35171"/>
    <cellStyle name="Note 6 4 2 3" xfId="17407"/>
    <cellStyle name="Note 6 4 2 3 2" xfId="17408"/>
    <cellStyle name="Note 6 4 2 3 2 2" xfId="35176"/>
    <cellStyle name="Note 6 4 2 3 3" xfId="35175"/>
    <cellStyle name="Note 6 4 2 4" xfId="17409"/>
    <cellStyle name="Note 6 4 2 4 2" xfId="35177"/>
    <cellStyle name="Note 6 4 2 5" xfId="35170"/>
    <cellStyle name="Note 6 4 3" xfId="17410"/>
    <cellStyle name="Note 6 4 3 2" xfId="17411"/>
    <cellStyle name="Note 6 4 3 2 2" xfId="17412"/>
    <cellStyle name="Note 6 4 3 2 2 2" xfId="17413"/>
    <cellStyle name="Note 6 4 3 2 2 2 2" xfId="35181"/>
    <cellStyle name="Note 6 4 3 2 2 3" xfId="35180"/>
    <cellStyle name="Note 6 4 3 2 3" xfId="17414"/>
    <cellStyle name="Note 6 4 3 2 3 2" xfId="35182"/>
    <cellStyle name="Note 6 4 3 2 4" xfId="35179"/>
    <cellStyle name="Note 6 4 3 3" xfId="17415"/>
    <cellStyle name="Note 6 4 3 3 2" xfId="17416"/>
    <cellStyle name="Note 6 4 3 3 2 2" xfId="35184"/>
    <cellStyle name="Note 6 4 3 3 3" xfId="35183"/>
    <cellStyle name="Note 6 4 3 4" xfId="17417"/>
    <cellStyle name="Note 6 4 3 4 2" xfId="35185"/>
    <cellStyle name="Note 6 4 3 5" xfId="35178"/>
    <cellStyle name="Note 6 4 4" xfId="17418"/>
    <cellStyle name="Note 6 4 4 2" xfId="17419"/>
    <cellStyle name="Note 6 4 4 2 2" xfId="17420"/>
    <cellStyle name="Note 6 4 4 2 2 2" xfId="35188"/>
    <cellStyle name="Note 6 4 4 2 3" xfId="35187"/>
    <cellStyle name="Note 6 4 4 3" xfId="17421"/>
    <cellStyle name="Note 6 4 4 3 2" xfId="35189"/>
    <cellStyle name="Note 6 4 4 4" xfId="35186"/>
    <cellStyle name="Note 6 4 5" xfId="17422"/>
    <cellStyle name="Note 6 4 5 2" xfId="17423"/>
    <cellStyle name="Note 6 4 5 2 2" xfId="35191"/>
    <cellStyle name="Note 6 4 5 3" xfId="35190"/>
    <cellStyle name="Note 6 4 6" xfId="17424"/>
    <cellStyle name="Note 6 4 6 2" xfId="35192"/>
    <cellStyle name="Note 6 4 7" xfId="35169"/>
    <cellStyle name="Note 6 5" xfId="17425"/>
    <cellStyle name="Note 6 5 2" xfId="17426"/>
    <cellStyle name="Note 6 5 2 2" xfId="17427"/>
    <cellStyle name="Note 6 5 2 2 2" xfId="17428"/>
    <cellStyle name="Note 6 5 2 2 2 2" xfId="35196"/>
    <cellStyle name="Note 6 5 2 2 3" xfId="35195"/>
    <cellStyle name="Note 6 5 2 3" xfId="17429"/>
    <cellStyle name="Note 6 5 2 3 2" xfId="35197"/>
    <cellStyle name="Note 6 5 2 4" xfId="35194"/>
    <cellStyle name="Note 6 5 3" xfId="17430"/>
    <cellStyle name="Note 6 5 3 2" xfId="17431"/>
    <cellStyle name="Note 6 5 3 2 2" xfId="35199"/>
    <cellStyle name="Note 6 5 3 3" xfId="35198"/>
    <cellStyle name="Note 6 5 4" xfId="17432"/>
    <cellStyle name="Note 6 5 4 2" xfId="35200"/>
    <cellStyle name="Note 6 5 5" xfId="35193"/>
    <cellStyle name="Note 6 6" xfId="17433"/>
    <cellStyle name="Note 6 6 2" xfId="17434"/>
    <cellStyle name="Note 6 6 2 2" xfId="17435"/>
    <cellStyle name="Note 6 6 2 2 2" xfId="17436"/>
    <cellStyle name="Note 6 6 2 2 2 2" xfId="35204"/>
    <cellStyle name="Note 6 6 2 2 3" xfId="35203"/>
    <cellStyle name="Note 6 6 2 3" xfId="17437"/>
    <cellStyle name="Note 6 6 2 3 2" xfId="35205"/>
    <cellStyle name="Note 6 6 2 4" xfId="35202"/>
    <cellStyle name="Note 6 6 3" xfId="17438"/>
    <cellStyle name="Note 6 6 3 2" xfId="17439"/>
    <cellStyle name="Note 6 6 3 2 2" xfId="35207"/>
    <cellStyle name="Note 6 6 3 3" xfId="35206"/>
    <cellStyle name="Note 6 6 4" xfId="17440"/>
    <cellStyle name="Note 6 6 4 2" xfId="35208"/>
    <cellStyle name="Note 6 6 5" xfId="35201"/>
    <cellStyle name="Note 6 7" xfId="17441"/>
    <cellStyle name="Note 6 7 2" xfId="17442"/>
    <cellStyle name="Note 6 7 2 2" xfId="17443"/>
    <cellStyle name="Note 6 7 2 2 2" xfId="35211"/>
    <cellStyle name="Note 6 7 2 3" xfId="35210"/>
    <cellStyle name="Note 6 7 3" xfId="17444"/>
    <cellStyle name="Note 6 7 3 2" xfId="35212"/>
    <cellStyle name="Note 6 7 4" xfId="35209"/>
    <cellStyle name="Note 6 8" xfId="17445"/>
    <cellStyle name="Note 6 8 2" xfId="17446"/>
    <cellStyle name="Note 6 8 2 2" xfId="35214"/>
    <cellStyle name="Note 6 8 3" xfId="35213"/>
    <cellStyle name="Note 6 9" xfId="17447"/>
    <cellStyle name="Note 6 9 2" xfId="35215"/>
    <cellStyle name="Note 7" xfId="17448"/>
    <cellStyle name="Note 7 10" xfId="35216"/>
    <cellStyle name="Note 7 2" xfId="17449"/>
    <cellStyle name="Note 7 2 2" xfId="17450"/>
    <cellStyle name="Note 7 2 2 2" xfId="17451"/>
    <cellStyle name="Note 7 2 2 2 2" xfId="17452"/>
    <cellStyle name="Note 7 2 2 2 2 2" xfId="17453"/>
    <cellStyle name="Note 7 2 2 2 2 2 2" xfId="17454"/>
    <cellStyle name="Note 7 2 2 2 2 2 2 2" xfId="17455"/>
    <cellStyle name="Note 7 2 2 2 2 2 2 2 2" xfId="35223"/>
    <cellStyle name="Note 7 2 2 2 2 2 2 3" xfId="35222"/>
    <cellStyle name="Note 7 2 2 2 2 2 3" xfId="17456"/>
    <cellStyle name="Note 7 2 2 2 2 2 3 2" xfId="35224"/>
    <cellStyle name="Note 7 2 2 2 2 2 4" xfId="35221"/>
    <cellStyle name="Note 7 2 2 2 2 3" xfId="17457"/>
    <cellStyle name="Note 7 2 2 2 2 3 2" xfId="17458"/>
    <cellStyle name="Note 7 2 2 2 2 3 2 2" xfId="35226"/>
    <cellStyle name="Note 7 2 2 2 2 3 3" xfId="35225"/>
    <cellStyle name="Note 7 2 2 2 2 4" xfId="17459"/>
    <cellStyle name="Note 7 2 2 2 2 4 2" xfId="35227"/>
    <cellStyle name="Note 7 2 2 2 2 5" xfId="35220"/>
    <cellStyle name="Note 7 2 2 2 3" xfId="17460"/>
    <cellStyle name="Note 7 2 2 2 3 2" xfId="17461"/>
    <cellStyle name="Note 7 2 2 2 3 2 2" xfId="17462"/>
    <cellStyle name="Note 7 2 2 2 3 2 2 2" xfId="17463"/>
    <cellStyle name="Note 7 2 2 2 3 2 2 2 2" xfId="35231"/>
    <cellStyle name="Note 7 2 2 2 3 2 2 3" xfId="35230"/>
    <cellStyle name="Note 7 2 2 2 3 2 3" xfId="17464"/>
    <cellStyle name="Note 7 2 2 2 3 2 3 2" xfId="35232"/>
    <cellStyle name="Note 7 2 2 2 3 2 4" xfId="35229"/>
    <cellStyle name="Note 7 2 2 2 3 3" xfId="17465"/>
    <cellStyle name="Note 7 2 2 2 3 3 2" xfId="17466"/>
    <cellStyle name="Note 7 2 2 2 3 3 2 2" xfId="35234"/>
    <cellStyle name="Note 7 2 2 2 3 3 3" xfId="35233"/>
    <cellStyle name="Note 7 2 2 2 3 4" xfId="17467"/>
    <cellStyle name="Note 7 2 2 2 3 4 2" xfId="35235"/>
    <cellStyle name="Note 7 2 2 2 3 5" xfId="35228"/>
    <cellStyle name="Note 7 2 2 2 4" xfId="17468"/>
    <cellStyle name="Note 7 2 2 2 4 2" xfId="17469"/>
    <cellStyle name="Note 7 2 2 2 4 2 2" xfId="17470"/>
    <cellStyle name="Note 7 2 2 2 4 2 2 2" xfId="35238"/>
    <cellStyle name="Note 7 2 2 2 4 2 3" xfId="35237"/>
    <cellStyle name="Note 7 2 2 2 4 3" xfId="17471"/>
    <cellStyle name="Note 7 2 2 2 4 3 2" xfId="35239"/>
    <cellStyle name="Note 7 2 2 2 4 4" xfId="35236"/>
    <cellStyle name="Note 7 2 2 2 5" xfId="17472"/>
    <cellStyle name="Note 7 2 2 2 5 2" xfId="17473"/>
    <cellStyle name="Note 7 2 2 2 5 2 2" xfId="35241"/>
    <cellStyle name="Note 7 2 2 2 5 3" xfId="35240"/>
    <cellStyle name="Note 7 2 2 2 6" xfId="17474"/>
    <cellStyle name="Note 7 2 2 2 6 2" xfId="35242"/>
    <cellStyle name="Note 7 2 2 2 7" xfId="35219"/>
    <cellStyle name="Note 7 2 2 3" xfId="17475"/>
    <cellStyle name="Note 7 2 2 3 2" xfId="17476"/>
    <cellStyle name="Note 7 2 2 3 2 2" xfId="17477"/>
    <cellStyle name="Note 7 2 2 3 2 2 2" xfId="17478"/>
    <cellStyle name="Note 7 2 2 3 2 2 2 2" xfId="35246"/>
    <cellStyle name="Note 7 2 2 3 2 2 3" xfId="35245"/>
    <cellStyle name="Note 7 2 2 3 2 3" xfId="17479"/>
    <cellStyle name="Note 7 2 2 3 2 3 2" xfId="35247"/>
    <cellStyle name="Note 7 2 2 3 2 4" xfId="35244"/>
    <cellStyle name="Note 7 2 2 3 3" xfId="17480"/>
    <cellStyle name="Note 7 2 2 3 3 2" xfId="17481"/>
    <cellStyle name="Note 7 2 2 3 3 2 2" xfId="35249"/>
    <cellStyle name="Note 7 2 2 3 3 3" xfId="35248"/>
    <cellStyle name="Note 7 2 2 3 4" xfId="17482"/>
    <cellStyle name="Note 7 2 2 3 4 2" xfId="35250"/>
    <cellStyle name="Note 7 2 2 3 5" xfId="35243"/>
    <cellStyle name="Note 7 2 2 4" xfId="17483"/>
    <cellStyle name="Note 7 2 2 4 2" xfId="17484"/>
    <cellStyle name="Note 7 2 2 4 2 2" xfId="17485"/>
    <cellStyle name="Note 7 2 2 4 2 2 2" xfId="17486"/>
    <cellStyle name="Note 7 2 2 4 2 2 2 2" xfId="35254"/>
    <cellStyle name="Note 7 2 2 4 2 2 3" xfId="35253"/>
    <cellStyle name="Note 7 2 2 4 2 3" xfId="17487"/>
    <cellStyle name="Note 7 2 2 4 2 3 2" xfId="35255"/>
    <cellStyle name="Note 7 2 2 4 2 4" xfId="35252"/>
    <cellStyle name="Note 7 2 2 4 3" xfId="17488"/>
    <cellStyle name="Note 7 2 2 4 3 2" xfId="17489"/>
    <cellStyle name="Note 7 2 2 4 3 2 2" xfId="35257"/>
    <cellStyle name="Note 7 2 2 4 3 3" xfId="35256"/>
    <cellStyle name="Note 7 2 2 4 4" xfId="17490"/>
    <cellStyle name="Note 7 2 2 4 4 2" xfId="35258"/>
    <cellStyle name="Note 7 2 2 4 5" xfId="35251"/>
    <cellStyle name="Note 7 2 2 5" xfId="17491"/>
    <cellStyle name="Note 7 2 2 5 2" xfId="17492"/>
    <cellStyle name="Note 7 2 2 5 2 2" xfId="17493"/>
    <cellStyle name="Note 7 2 2 5 2 2 2" xfId="35261"/>
    <cellStyle name="Note 7 2 2 5 2 3" xfId="35260"/>
    <cellStyle name="Note 7 2 2 5 3" xfId="17494"/>
    <cellStyle name="Note 7 2 2 5 3 2" xfId="35262"/>
    <cellStyle name="Note 7 2 2 5 4" xfId="35259"/>
    <cellStyle name="Note 7 2 2 6" xfId="17495"/>
    <cellStyle name="Note 7 2 2 6 2" xfId="17496"/>
    <cellStyle name="Note 7 2 2 6 2 2" xfId="35264"/>
    <cellStyle name="Note 7 2 2 6 3" xfId="35263"/>
    <cellStyle name="Note 7 2 2 7" xfId="17497"/>
    <cellStyle name="Note 7 2 2 7 2" xfId="35265"/>
    <cellStyle name="Note 7 2 2 8" xfId="35218"/>
    <cellStyle name="Note 7 2 3" xfId="17498"/>
    <cellStyle name="Note 7 2 3 2" xfId="17499"/>
    <cellStyle name="Note 7 2 3 2 2" xfId="17500"/>
    <cellStyle name="Note 7 2 3 2 2 2" xfId="17501"/>
    <cellStyle name="Note 7 2 3 2 2 2 2" xfId="17502"/>
    <cellStyle name="Note 7 2 3 2 2 2 2 2" xfId="35270"/>
    <cellStyle name="Note 7 2 3 2 2 2 3" xfId="35269"/>
    <cellStyle name="Note 7 2 3 2 2 3" xfId="17503"/>
    <cellStyle name="Note 7 2 3 2 2 3 2" xfId="35271"/>
    <cellStyle name="Note 7 2 3 2 2 4" xfId="35268"/>
    <cellStyle name="Note 7 2 3 2 3" xfId="17504"/>
    <cellStyle name="Note 7 2 3 2 3 2" xfId="17505"/>
    <cellStyle name="Note 7 2 3 2 3 2 2" xfId="35273"/>
    <cellStyle name="Note 7 2 3 2 3 3" xfId="35272"/>
    <cellStyle name="Note 7 2 3 2 4" xfId="17506"/>
    <cellStyle name="Note 7 2 3 2 4 2" xfId="35274"/>
    <cellStyle name="Note 7 2 3 2 5" xfId="35267"/>
    <cellStyle name="Note 7 2 3 3" xfId="17507"/>
    <cellStyle name="Note 7 2 3 3 2" xfId="17508"/>
    <cellStyle name="Note 7 2 3 3 2 2" xfId="17509"/>
    <cellStyle name="Note 7 2 3 3 2 2 2" xfId="17510"/>
    <cellStyle name="Note 7 2 3 3 2 2 2 2" xfId="35278"/>
    <cellStyle name="Note 7 2 3 3 2 2 3" xfId="35277"/>
    <cellStyle name="Note 7 2 3 3 2 3" xfId="17511"/>
    <cellStyle name="Note 7 2 3 3 2 3 2" xfId="35279"/>
    <cellStyle name="Note 7 2 3 3 2 4" xfId="35276"/>
    <cellStyle name="Note 7 2 3 3 3" xfId="17512"/>
    <cellStyle name="Note 7 2 3 3 3 2" xfId="17513"/>
    <cellStyle name="Note 7 2 3 3 3 2 2" xfId="35281"/>
    <cellStyle name="Note 7 2 3 3 3 3" xfId="35280"/>
    <cellStyle name="Note 7 2 3 3 4" xfId="17514"/>
    <cellStyle name="Note 7 2 3 3 4 2" xfId="35282"/>
    <cellStyle name="Note 7 2 3 3 5" xfId="35275"/>
    <cellStyle name="Note 7 2 3 4" xfId="17515"/>
    <cellStyle name="Note 7 2 3 4 2" xfId="17516"/>
    <cellStyle name="Note 7 2 3 4 2 2" xfId="17517"/>
    <cellStyle name="Note 7 2 3 4 2 2 2" xfId="35285"/>
    <cellStyle name="Note 7 2 3 4 2 3" xfId="35284"/>
    <cellStyle name="Note 7 2 3 4 3" xfId="17518"/>
    <cellStyle name="Note 7 2 3 4 3 2" xfId="35286"/>
    <cellStyle name="Note 7 2 3 4 4" xfId="35283"/>
    <cellStyle name="Note 7 2 3 5" xfId="17519"/>
    <cellStyle name="Note 7 2 3 5 2" xfId="17520"/>
    <cellStyle name="Note 7 2 3 5 2 2" xfId="35288"/>
    <cellStyle name="Note 7 2 3 5 3" xfId="35287"/>
    <cellStyle name="Note 7 2 3 6" xfId="17521"/>
    <cellStyle name="Note 7 2 3 6 2" xfId="35289"/>
    <cellStyle name="Note 7 2 3 7" xfId="35266"/>
    <cellStyle name="Note 7 2 4" xfId="17522"/>
    <cellStyle name="Note 7 2 4 2" xfId="17523"/>
    <cellStyle name="Note 7 2 4 2 2" xfId="17524"/>
    <cellStyle name="Note 7 2 4 2 2 2" xfId="17525"/>
    <cellStyle name="Note 7 2 4 2 2 2 2" xfId="35293"/>
    <cellStyle name="Note 7 2 4 2 2 3" xfId="35292"/>
    <cellStyle name="Note 7 2 4 2 3" xfId="17526"/>
    <cellStyle name="Note 7 2 4 2 3 2" xfId="35294"/>
    <cellStyle name="Note 7 2 4 2 4" xfId="35291"/>
    <cellStyle name="Note 7 2 4 3" xfId="17527"/>
    <cellStyle name="Note 7 2 4 3 2" xfId="17528"/>
    <cellStyle name="Note 7 2 4 3 2 2" xfId="35296"/>
    <cellStyle name="Note 7 2 4 3 3" xfId="35295"/>
    <cellStyle name="Note 7 2 4 4" xfId="17529"/>
    <cellStyle name="Note 7 2 4 4 2" xfId="35297"/>
    <cellStyle name="Note 7 2 4 5" xfId="35290"/>
    <cellStyle name="Note 7 2 5" xfId="17530"/>
    <cellStyle name="Note 7 2 5 2" xfId="17531"/>
    <cellStyle name="Note 7 2 5 2 2" xfId="17532"/>
    <cellStyle name="Note 7 2 5 2 2 2" xfId="17533"/>
    <cellStyle name="Note 7 2 5 2 2 2 2" xfId="35301"/>
    <cellStyle name="Note 7 2 5 2 2 3" xfId="35300"/>
    <cellStyle name="Note 7 2 5 2 3" xfId="17534"/>
    <cellStyle name="Note 7 2 5 2 3 2" xfId="35302"/>
    <cellStyle name="Note 7 2 5 2 4" xfId="35299"/>
    <cellStyle name="Note 7 2 5 3" xfId="17535"/>
    <cellStyle name="Note 7 2 5 3 2" xfId="17536"/>
    <cellStyle name="Note 7 2 5 3 2 2" xfId="35304"/>
    <cellStyle name="Note 7 2 5 3 3" xfId="35303"/>
    <cellStyle name="Note 7 2 5 4" xfId="17537"/>
    <cellStyle name="Note 7 2 5 4 2" xfId="35305"/>
    <cellStyle name="Note 7 2 5 5" xfId="35298"/>
    <cellStyle name="Note 7 2 6" xfId="17538"/>
    <cellStyle name="Note 7 2 6 2" xfId="17539"/>
    <cellStyle name="Note 7 2 6 2 2" xfId="17540"/>
    <cellStyle name="Note 7 2 6 2 2 2" xfId="35308"/>
    <cellStyle name="Note 7 2 6 2 3" xfId="35307"/>
    <cellStyle name="Note 7 2 6 3" xfId="17541"/>
    <cellStyle name="Note 7 2 6 3 2" xfId="35309"/>
    <cellStyle name="Note 7 2 6 4" xfId="35306"/>
    <cellStyle name="Note 7 2 7" xfId="17542"/>
    <cellStyle name="Note 7 2 7 2" xfId="17543"/>
    <cellStyle name="Note 7 2 7 2 2" xfId="35311"/>
    <cellStyle name="Note 7 2 7 3" xfId="35310"/>
    <cellStyle name="Note 7 2 8" xfId="17544"/>
    <cellStyle name="Note 7 2 8 2" xfId="35312"/>
    <cellStyle name="Note 7 2 9" xfId="35217"/>
    <cellStyle name="Note 7 3" xfId="17545"/>
    <cellStyle name="Note 7 3 2" xfId="17546"/>
    <cellStyle name="Note 7 3 2 2" xfId="17547"/>
    <cellStyle name="Note 7 3 2 2 2" xfId="17548"/>
    <cellStyle name="Note 7 3 2 2 2 2" xfId="17549"/>
    <cellStyle name="Note 7 3 2 2 2 2 2" xfId="17550"/>
    <cellStyle name="Note 7 3 2 2 2 2 2 2" xfId="35318"/>
    <cellStyle name="Note 7 3 2 2 2 2 3" xfId="35317"/>
    <cellStyle name="Note 7 3 2 2 2 3" xfId="17551"/>
    <cellStyle name="Note 7 3 2 2 2 3 2" xfId="35319"/>
    <cellStyle name="Note 7 3 2 2 2 4" xfId="35316"/>
    <cellStyle name="Note 7 3 2 2 3" xfId="17552"/>
    <cellStyle name="Note 7 3 2 2 3 2" xfId="17553"/>
    <cellStyle name="Note 7 3 2 2 3 2 2" xfId="35321"/>
    <cellStyle name="Note 7 3 2 2 3 3" xfId="35320"/>
    <cellStyle name="Note 7 3 2 2 4" xfId="17554"/>
    <cellStyle name="Note 7 3 2 2 4 2" xfId="35322"/>
    <cellStyle name="Note 7 3 2 2 5" xfId="35315"/>
    <cellStyle name="Note 7 3 2 3" xfId="17555"/>
    <cellStyle name="Note 7 3 2 3 2" xfId="17556"/>
    <cellStyle name="Note 7 3 2 3 2 2" xfId="17557"/>
    <cellStyle name="Note 7 3 2 3 2 2 2" xfId="17558"/>
    <cellStyle name="Note 7 3 2 3 2 2 2 2" xfId="35326"/>
    <cellStyle name="Note 7 3 2 3 2 2 3" xfId="35325"/>
    <cellStyle name="Note 7 3 2 3 2 3" xfId="17559"/>
    <cellStyle name="Note 7 3 2 3 2 3 2" xfId="35327"/>
    <cellStyle name="Note 7 3 2 3 2 4" xfId="35324"/>
    <cellStyle name="Note 7 3 2 3 3" xfId="17560"/>
    <cellStyle name="Note 7 3 2 3 3 2" xfId="17561"/>
    <cellStyle name="Note 7 3 2 3 3 2 2" xfId="35329"/>
    <cellStyle name="Note 7 3 2 3 3 3" xfId="35328"/>
    <cellStyle name="Note 7 3 2 3 4" xfId="17562"/>
    <cellStyle name="Note 7 3 2 3 4 2" xfId="35330"/>
    <cellStyle name="Note 7 3 2 3 5" xfId="35323"/>
    <cellStyle name="Note 7 3 2 4" xfId="17563"/>
    <cellStyle name="Note 7 3 2 4 2" xfId="17564"/>
    <cellStyle name="Note 7 3 2 4 2 2" xfId="17565"/>
    <cellStyle name="Note 7 3 2 4 2 2 2" xfId="35333"/>
    <cellStyle name="Note 7 3 2 4 2 3" xfId="35332"/>
    <cellStyle name="Note 7 3 2 4 3" xfId="17566"/>
    <cellStyle name="Note 7 3 2 4 3 2" xfId="35334"/>
    <cellStyle name="Note 7 3 2 4 4" xfId="35331"/>
    <cellStyle name="Note 7 3 2 5" xfId="17567"/>
    <cellStyle name="Note 7 3 2 5 2" xfId="17568"/>
    <cellStyle name="Note 7 3 2 5 2 2" xfId="35336"/>
    <cellStyle name="Note 7 3 2 5 3" xfId="35335"/>
    <cellStyle name="Note 7 3 2 6" xfId="17569"/>
    <cellStyle name="Note 7 3 2 6 2" xfId="35337"/>
    <cellStyle name="Note 7 3 2 7" xfId="35314"/>
    <cellStyle name="Note 7 3 3" xfId="17570"/>
    <cellStyle name="Note 7 3 3 2" xfId="17571"/>
    <cellStyle name="Note 7 3 3 2 2" xfId="17572"/>
    <cellStyle name="Note 7 3 3 2 2 2" xfId="17573"/>
    <cellStyle name="Note 7 3 3 2 2 2 2" xfId="35341"/>
    <cellStyle name="Note 7 3 3 2 2 3" xfId="35340"/>
    <cellStyle name="Note 7 3 3 2 3" xfId="17574"/>
    <cellStyle name="Note 7 3 3 2 3 2" xfId="35342"/>
    <cellStyle name="Note 7 3 3 2 4" xfId="35339"/>
    <cellStyle name="Note 7 3 3 3" xfId="17575"/>
    <cellStyle name="Note 7 3 3 3 2" xfId="17576"/>
    <cellStyle name="Note 7 3 3 3 2 2" xfId="35344"/>
    <cellStyle name="Note 7 3 3 3 3" xfId="35343"/>
    <cellStyle name="Note 7 3 3 4" xfId="17577"/>
    <cellStyle name="Note 7 3 3 4 2" xfId="35345"/>
    <cellStyle name="Note 7 3 3 5" xfId="35338"/>
    <cellStyle name="Note 7 3 4" xfId="17578"/>
    <cellStyle name="Note 7 3 4 2" xfId="17579"/>
    <cellStyle name="Note 7 3 4 2 2" xfId="17580"/>
    <cellStyle name="Note 7 3 4 2 2 2" xfId="17581"/>
    <cellStyle name="Note 7 3 4 2 2 2 2" xfId="35349"/>
    <cellStyle name="Note 7 3 4 2 2 3" xfId="35348"/>
    <cellStyle name="Note 7 3 4 2 3" xfId="17582"/>
    <cellStyle name="Note 7 3 4 2 3 2" xfId="35350"/>
    <cellStyle name="Note 7 3 4 2 4" xfId="35347"/>
    <cellStyle name="Note 7 3 4 3" xfId="17583"/>
    <cellStyle name="Note 7 3 4 3 2" xfId="17584"/>
    <cellStyle name="Note 7 3 4 3 2 2" xfId="35352"/>
    <cellStyle name="Note 7 3 4 3 3" xfId="35351"/>
    <cellStyle name="Note 7 3 4 4" xfId="17585"/>
    <cellStyle name="Note 7 3 4 4 2" xfId="35353"/>
    <cellStyle name="Note 7 3 4 5" xfId="35346"/>
    <cellStyle name="Note 7 3 5" xfId="17586"/>
    <cellStyle name="Note 7 3 5 2" xfId="17587"/>
    <cellStyle name="Note 7 3 5 2 2" xfId="17588"/>
    <cellStyle name="Note 7 3 5 2 2 2" xfId="35356"/>
    <cellStyle name="Note 7 3 5 2 3" xfId="35355"/>
    <cellStyle name="Note 7 3 5 3" xfId="17589"/>
    <cellStyle name="Note 7 3 5 3 2" xfId="35357"/>
    <cellStyle name="Note 7 3 5 4" xfId="35354"/>
    <cellStyle name="Note 7 3 6" xfId="17590"/>
    <cellStyle name="Note 7 3 6 2" xfId="17591"/>
    <cellStyle name="Note 7 3 6 2 2" xfId="35359"/>
    <cellStyle name="Note 7 3 6 3" xfId="35358"/>
    <cellStyle name="Note 7 3 7" xfId="17592"/>
    <cellStyle name="Note 7 3 7 2" xfId="35360"/>
    <cellStyle name="Note 7 3 8" xfId="35313"/>
    <cellStyle name="Note 7 4" xfId="17593"/>
    <cellStyle name="Note 7 4 2" xfId="17594"/>
    <cellStyle name="Note 7 4 2 2" xfId="17595"/>
    <cellStyle name="Note 7 4 2 2 2" xfId="17596"/>
    <cellStyle name="Note 7 4 2 2 2 2" xfId="17597"/>
    <cellStyle name="Note 7 4 2 2 2 2 2" xfId="35365"/>
    <cellStyle name="Note 7 4 2 2 2 3" xfId="35364"/>
    <cellStyle name="Note 7 4 2 2 3" xfId="17598"/>
    <cellStyle name="Note 7 4 2 2 3 2" xfId="35366"/>
    <cellStyle name="Note 7 4 2 2 4" xfId="35363"/>
    <cellStyle name="Note 7 4 2 3" xfId="17599"/>
    <cellStyle name="Note 7 4 2 3 2" xfId="17600"/>
    <cellStyle name="Note 7 4 2 3 2 2" xfId="35368"/>
    <cellStyle name="Note 7 4 2 3 3" xfId="35367"/>
    <cellStyle name="Note 7 4 2 4" xfId="17601"/>
    <cellStyle name="Note 7 4 2 4 2" xfId="35369"/>
    <cellStyle name="Note 7 4 2 5" xfId="35362"/>
    <cellStyle name="Note 7 4 3" xfId="17602"/>
    <cellStyle name="Note 7 4 3 2" xfId="17603"/>
    <cellStyle name="Note 7 4 3 2 2" xfId="17604"/>
    <cellStyle name="Note 7 4 3 2 2 2" xfId="17605"/>
    <cellStyle name="Note 7 4 3 2 2 2 2" xfId="35373"/>
    <cellStyle name="Note 7 4 3 2 2 3" xfId="35372"/>
    <cellStyle name="Note 7 4 3 2 3" xfId="17606"/>
    <cellStyle name="Note 7 4 3 2 3 2" xfId="35374"/>
    <cellStyle name="Note 7 4 3 2 4" xfId="35371"/>
    <cellStyle name="Note 7 4 3 3" xfId="17607"/>
    <cellStyle name="Note 7 4 3 3 2" xfId="17608"/>
    <cellStyle name="Note 7 4 3 3 2 2" xfId="35376"/>
    <cellStyle name="Note 7 4 3 3 3" xfId="35375"/>
    <cellStyle name="Note 7 4 3 4" xfId="17609"/>
    <cellStyle name="Note 7 4 3 4 2" xfId="35377"/>
    <cellStyle name="Note 7 4 3 5" xfId="35370"/>
    <cellStyle name="Note 7 4 4" xfId="17610"/>
    <cellStyle name="Note 7 4 4 2" xfId="17611"/>
    <cellStyle name="Note 7 4 4 2 2" xfId="17612"/>
    <cellStyle name="Note 7 4 4 2 2 2" xfId="35380"/>
    <cellStyle name="Note 7 4 4 2 3" xfId="35379"/>
    <cellStyle name="Note 7 4 4 3" xfId="17613"/>
    <cellStyle name="Note 7 4 4 3 2" xfId="35381"/>
    <cellStyle name="Note 7 4 4 4" xfId="35378"/>
    <cellStyle name="Note 7 4 5" xfId="17614"/>
    <cellStyle name="Note 7 4 5 2" xfId="17615"/>
    <cellStyle name="Note 7 4 5 2 2" xfId="35383"/>
    <cellStyle name="Note 7 4 5 3" xfId="35382"/>
    <cellStyle name="Note 7 4 6" xfId="17616"/>
    <cellStyle name="Note 7 4 6 2" xfId="35384"/>
    <cellStyle name="Note 7 4 7" xfId="35361"/>
    <cellStyle name="Note 7 5" xfId="17617"/>
    <cellStyle name="Note 7 5 2" xfId="17618"/>
    <cellStyle name="Note 7 5 2 2" xfId="17619"/>
    <cellStyle name="Note 7 5 2 2 2" xfId="17620"/>
    <cellStyle name="Note 7 5 2 2 2 2" xfId="35388"/>
    <cellStyle name="Note 7 5 2 2 3" xfId="35387"/>
    <cellStyle name="Note 7 5 2 3" xfId="17621"/>
    <cellStyle name="Note 7 5 2 3 2" xfId="35389"/>
    <cellStyle name="Note 7 5 2 4" xfId="35386"/>
    <cellStyle name="Note 7 5 3" xfId="17622"/>
    <cellStyle name="Note 7 5 3 2" xfId="17623"/>
    <cellStyle name="Note 7 5 3 2 2" xfId="35391"/>
    <cellStyle name="Note 7 5 3 3" xfId="35390"/>
    <cellStyle name="Note 7 5 4" xfId="17624"/>
    <cellStyle name="Note 7 5 4 2" xfId="35392"/>
    <cellStyle name="Note 7 5 5" xfId="35385"/>
    <cellStyle name="Note 7 6" xfId="17625"/>
    <cellStyle name="Note 7 6 2" xfId="17626"/>
    <cellStyle name="Note 7 6 2 2" xfId="17627"/>
    <cellStyle name="Note 7 6 2 2 2" xfId="17628"/>
    <cellStyle name="Note 7 6 2 2 2 2" xfId="35396"/>
    <cellStyle name="Note 7 6 2 2 3" xfId="35395"/>
    <cellStyle name="Note 7 6 2 3" xfId="17629"/>
    <cellStyle name="Note 7 6 2 3 2" xfId="35397"/>
    <cellStyle name="Note 7 6 2 4" xfId="35394"/>
    <cellStyle name="Note 7 6 3" xfId="17630"/>
    <cellStyle name="Note 7 6 3 2" xfId="17631"/>
    <cellStyle name="Note 7 6 3 2 2" xfId="35399"/>
    <cellStyle name="Note 7 6 3 3" xfId="35398"/>
    <cellStyle name="Note 7 6 4" xfId="17632"/>
    <cellStyle name="Note 7 6 4 2" xfId="35400"/>
    <cellStyle name="Note 7 6 5" xfId="35393"/>
    <cellStyle name="Note 7 7" xfId="17633"/>
    <cellStyle name="Note 7 7 2" xfId="17634"/>
    <cellStyle name="Note 7 7 2 2" xfId="17635"/>
    <cellStyle name="Note 7 7 2 2 2" xfId="35403"/>
    <cellStyle name="Note 7 7 2 3" xfId="35402"/>
    <cellStyle name="Note 7 7 3" xfId="17636"/>
    <cellStyle name="Note 7 7 3 2" xfId="35404"/>
    <cellStyle name="Note 7 7 4" xfId="35401"/>
    <cellStyle name="Note 7 8" xfId="17637"/>
    <cellStyle name="Note 7 8 2" xfId="17638"/>
    <cellStyle name="Note 7 8 2 2" xfId="35406"/>
    <cellStyle name="Note 7 8 3" xfId="35405"/>
    <cellStyle name="Note 7 9" xfId="17639"/>
    <cellStyle name="Note 7 9 2" xfId="35407"/>
    <cellStyle name="Note 8" xfId="17640"/>
    <cellStyle name="Note 8 10" xfId="35408"/>
    <cellStyle name="Note 8 2" xfId="17641"/>
    <cellStyle name="Note 8 2 2" xfId="17642"/>
    <cellStyle name="Note 8 2 2 2" xfId="17643"/>
    <cellStyle name="Note 8 2 2 2 2" xfId="17644"/>
    <cellStyle name="Note 8 2 2 2 2 2" xfId="17645"/>
    <cellStyle name="Note 8 2 2 2 2 2 2" xfId="17646"/>
    <cellStyle name="Note 8 2 2 2 2 2 2 2" xfId="17647"/>
    <cellStyle name="Note 8 2 2 2 2 2 2 2 2" xfId="35415"/>
    <cellStyle name="Note 8 2 2 2 2 2 2 3" xfId="35414"/>
    <cellStyle name="Note 8 2 2 2 2 2 3" xfId="17648"/>
    <cellStyle name="Note 8 2 2 2 2 2 3 2" xfId="35416"/>
    <cellStyle name="Note 8 2 2 2 2 2 4" xfId="35413"/>
    <cellStyle name="Note 8 2 2 2 2 3" xfId="17649"/>
    <cellStyle name="Note 8 2 2 2 2 3 2" xfId="17650"/>
    <cellStyle name="Note 8 2 2 2 2 3 2 2" xfId="35418"/>
    <cellStyle name="Note 8 2 2 2 2 3 3" xfId="35417"/>
    <cellStyle name="Note 8 2 2 2 2 4" xfId="17651"/>
    <cellStyle name="Note 8 2 2 2 2 4 2" xfId="35419"/>
    <cellStyle name="Note 8 2 2 2 2 5" xfId="35412"/>
    <cellStyle name="Note 8 2 2 2 3" xfId="17652"/>
    <cellStyle name="Note 8 2 2 2 3 2" xfId="17653"/>
    <cellStyle name="Note 8 2 2 2 3 2 2" xfId="17654"/>
    <cellStyle name="Note 8 2 2 2 3 2 2 2" xfId="17655"/>
    <cellStyle name="Note 8 2 2 2 3 2 2 2 2" xfId="35423"/>
    <cellStyle name="Note 8 2 2 2 3 2 2 3" xfId="35422"/>
    <cellStyle name="Note 8 2 2 2 3 2 3" xfId="17656"/>
    <cellStyle name="Note 8 2 2 2 3 2 3 2" xfId="35424"/>
    <cellStyle name="Note 8 2 2 2 3 2 4" xfId="35421"/>
    <cellStyle name="Note 8 2 2 2 3 3" xfId="17657"/>
    <cellStyle name="Note 8 2 2 2 3 3 2" xfId="17658"/>
    <cellStyle name="Note 8 2 2 2 3 3 2 2" xfId="35426"/>
    <cellStyle name="Note 8 2 2 2 3 3 3" xfId="35425"/>
    <cellStyle name="Note 8 2 2 2 3 4" xfId="17659"/>
    <cellStyle name="Note 8 2 2 2 3 4 2" xfId="35427"/>
    <cellStyle name="Note 8 2 2 2 3 5" xfId="35420"/>
    <cellStyle name="Note 8 2 2 2 4" xfId="17660"/>
    <cellStyle name="Note 8 2 2 2 4 2" xfId="17661"/>
    <cellStyle name="Note 8 2 2 2 4 2 2" xfId="17662"/>
    <cellStyle name="Note 8 2 2 2 4 2 2 2" xfId="35430"/>
    <cellStyle name="Note 8 2 2 2 4 2 3" xfId="35429"/>
    <cellStyle name="Note 8 2 2 2 4 3" xfId="17663"/>
    <cellStyle name="Note 8 2 2 2 4 3 2" xfId="35431"/>
    <cellStyle name="Note 8 2 2 2 4 4" xfId="35428"/>
    <cellStyle name="Note 8 2 2 2 5" xfId="17664"/>
    <cellStyle name="Note 8 2 2 2 5 2" xfId="17665"/>
    <cellStyle name="Note 8 2 2 2 5 2 2" xfId="35433"/>
    <cellStyle name="Note 8 2 2 2 5 3" xfId="35432"/>
    <cellStyle name="Note 8 2 2 2 6" xfId="17666"/>
    <cellStyle name="Note 8 2 2 2 6 2" xfId="35434"/>
    <cellStyle name="Note 8 2 2 2 7" xfId="35411"/>
    <cellStyle name="Note 8 2 2 3" xfId="17667"/>
    <cellStyle name="Note 8 2 2 3 2" xfId="17668"/>
    <cellStyle name="Note 8 2 2 3 2 2" xfId="17669"/>
    <cellStyle name="Note 8 2 2 3 2 2 2" xfId="17670"/>
    <cellStyle name="Note 8 2 2 3 2 2 2 2" xfId="35438"/>
    <cellStyle name="Note 8 2 2 3 2 2 3" xfId="35437"/>
    <cellStyle name="Note 8 2 2 3 2 3" xfId="17671"/>
    <cellStyle name="Note 8 2 2 3 2 3 2" xfId="35439"/>
    <cellStyle name="Note 8 2 2 3 2 4" xfId="35436"/>
    <cellStyle name="Note 8 2 2 3 3" xfId="17672"/>
    <cellStyle name="Note 8 2 2 3 3 2" xfId="17673"/>
    <cellStyle name="Note 8 2 2 3 3 2 2" xfId="35441"/>
    <cellStyle name="Note 8 2 2 3 3 3" xfId="35440"/>
    <cellStyle name="Note 8 2 2 3 4" xfId="17674"/>
    <cellStyle name="Note 8 2 2 3 4 2" xfId="35442"/>
    <cellStyle name="Note 8 2 2 3 5" xfId="35435"/>
    <cellStyle name="Note 8 2 2 4" xfId="17675"/>
    <cellStyle name="Note 8 2 2 4 2" xfId="17676"/>
    <cellStyle name="Note 8 2 2 4 2 2" xfId="17677"/>
    <cellStyle name="Note 8 2 2 4 2 2 2" xfId="17678"/>
    <cellStyle name="Note 8 2 2 4 2 2 2 2" xfId="35446"/>
    <cellStyle name="Note 8 2 2 4 2 2 3" xfId="35445"/>
    <cellStyle name="Note 8 2 2 4 2 3" xfId="17679"/>
    <cellStyle name="Note 8 2 2 4 2 3 2" xfId="35447"/>
    <cellStyle name="Note 8 2 2 4 2 4" xfId="35444"/>
    <cellStyle name="Note 8 2 2 4 3" xfId="17680"/>
    <cellStyle name="Note 8 2 2 4 3 2" xfId="17681"/>
    <cellStyle name="Note 8 2 2 4 3 2 2" xfId="35449"/>
    <cellStyle name="Note 8 2 2 4 3 3" xfId="35448"/>
    <cellStyle name="Note 8 2 2 4 4" xfId="17682"/>
    <cellStyle name="Note 8 2 2 4 4 2" xfId="35450"/>
    <cellStyle name="Note 8 2 2 4 5" xfId="35443"/>
    <cellStyle name="Note 8 2 2 5" xfId="17683"/>
    <cellStyle name="Note 8 2 2 5 2" xfId="17684"/>
    <cellStyle name="Note 8 2 2 5 2 2" xfId="17685"/>
    <cellStyle name="Note 8 2 2 5 2 2 2" xfId="35453"/>
    <cellStyle name="Note 8 2 2 5 2 3" xfId="35452"/>
    <cellStyle name="Note 8 2 2 5 3" xfId="17686"/>
    <cellStyle name="Note 8 2 2 5 3 2" xfId="35454"/>
    <cellStyle name="Note 8 2 2 5 4" xfId="35451"/>
    <cellStyle name="Note 8 2 2 6" xfId="17687"/>
    <cellStyle name="Note 8 2 2 6 2" xfId="17688"/>
    <cellStyle name="Note 8 2 2 6 2 2" xfId="35456"/>
    <cellStyle name="Note 8 2 2 6 3" xfId="35455"/>
    <cellStyle name="Note 8 2 2 7" xfId="17689"/>
    <cellStyle name="Note 8 2 2 7 2" xfId="35457"/>
    <cellStyle name="Note 8 2 2 8" xfId="35410"/>
    <cellStyle name="Note 8 2 3" xfId="17690"/>
    <cellStyle name="Note 8 2 3 2" xfId="17691"/>
    <cellStyle name="Note 8 2 3 2 2" xfId="17692"/>
    <cellStyle name="Note 8 2 3 2 2 2" xfId="17693"/>
    <cellStyle name="Note 8 2 3 2 2 2 2" xfId="17694"/>
    <cellStyle name="Note 8 2 3 2 2 2 2 2" xfId="35462"/>
    <cellStyle name="Note 8 2 3 2 2 2 3" xfId="35461"/>
    <cellStyle name="Note 8 2 3 2 2 3" xfId="17695"/>
    <cellStyle name="Note 8 2 3 2 2 3 2" xfId="35463"/>
    <cellStyle name="Note 8 2 3 2 2 4" xfId="35460"/>
    <cellStyle name="Note 8 2 3 2 3" xfId="17696"/>
    <cellStyle name="Note 8 2 3 2 3 2" xfId="17697"/>
    <cellStyle name="Note 8 2 3 2 3 2 2" xfId="35465"/>
    <cellStyle name="Note 8 2 3 2 3 3" xfId="35464"/>
    <cellStyle name="Note 8 2 3 2 4" xfId="17698"/>
    <cellStyle name="Note 8 2 3 2 4 2" xfId="35466"/>
    <cellStyle name="Note 8 2 3 2 5" xfId="35459"/>
    <cellStyle name="Note 8 2 3 3" xfId="17699"/>
    <cellStyle name="Note 8 2 3 3 2" xfId="17700"/>
    <cellStyle name="Note 8 2 3 3 2 2" xfId="17701"/>
    <cellStyle name="Note 8 2 3 3 2 2 2" xfId="17702"/>
    <cellStyle name="Note 8 2 3 3 2 2 2 2" xfId="35470"/>
    <cellStyle name="Note 8 2 3 3 2 2 3" xfId="35469"/>
    <cellStyle name="Note 8 2 3 3 2 3" xfId="17703"/>
    <cellStyle name="Note 8 2 3 3 2 3 2" xfId="35471"/>
    <cellStyle name="Note 8 2 3 3 2 4" xfId="35468"/>
    <cellStyle name="Note 8 2 3 3 3" xfId="17704"/>
    <cellStyle name="Note 8 2 3 3 3 2" xfId="17705"/>
    <cellStyle name="Note 8 2 3 3 3 2 2" xfId="35473"/>
    <cellStyle name="Note 8 2 3 3 3 3" xfId="35472"/>
    <cellStyle name="Note 8 2 3 3 4" xfId="17706"/>
    <cellStyle name="Note 8 2 3 3 4 2" xfId="35474"/>
    <cellStyle name="Note 8 2 3 3 5" xfId="35467"/>
    <cellStyle name="Note 8 2 3 4" xfId="17707"/>
    <cellStyle name="Note 8 2 3 4 2" xfId="17708"/>
    <cellStyle name="Note 8 2 3 4 2 2" xfId="17709"/>
    <cellStyle name="Note 8 2 3 4 2 2 2" xfId="35477"/>
    <cellStyle name="Note 8 2 3 4 2 3" xfId="35476"/>
    <cellStyle name="Note 8 2 3 4 3" xfId="17710"/>
    <cellStyle name="Note 8 2 3 4 3 2" xfId="35478"/>
    <cellStyle name="Note 8 2 3 4 4" xfId="35475"/>
    <cellStyle name="Note 8 2 3 5" xfId="17711"/>
    <cellStyle name="Note 8 2 3 5 2" xfId="17712"/>
    <cellStyle name="Note 8 2 3 5 2 2" xfId="35480"/>
    <cellStyle name="Note 8 2 3 5 3" xfId="35479"/>
    <cellStyle name="Note 8 2 3 6" xfId="17713"/>
    <cellStyle name="Note 8 2 3 6 2" xfId="35481"/>
    <cellStyle name="Note 8 2 3 7" xfId="35458"/>
    <cellStyle name="Note 8 2 4" xfId="17714"/>
    <cellStyle name="Note 8 2 4 2" xfId="17715"/>
    <cellStyle name="Note 8 2 4 2 2" xfId="17716"/>
    <cellStyle name="Note 8 2 4 2 2 2" xfId="17717"/>
    <cellStyle name="Note 8 2 4 2 2 2 2" xfId="35485"/>
    <cellStyle name="Note 8 2 4 2 2 3" xfId="35484"/>
    <cellStyle name="Note 8 2 4 2 3" xfId="17718"/>
    <cellStyle name="Note 8 2 4 2 3 2" xfId="35486"/>
    <cellStyle name="Note 8 2 4 2 4" xfId="35483"/>
    <cellStyle name="Note 8 2 4 3" xfId="17719"/>
    <cellStyle name="Note 8 2 4 3 2" xfId="17720"/>
    <cellStyle name="Note 8 2 4 3 2 2" xfId="35488"/>
    <cellStyle name="Note 8 2 4 3 3" xfId="35487"/>
    <cellStyle name="Note 8 2 4 4" xfId="17721"/>
    <cellStyle name="Note 8 2 4 4 2" xfId="35489"/>
    <cellStyle name="Note 8 2 4 5" xfId="35482"/>
    <cellStyle name="Note 8 2 5" xfId="17722"/>
    <cellStyle name="Note 8 2 5 2" xfId="17723"/>
    <cellStyle name="Note 8 2 5 2 2" xfId="17724"/>
    <cellStyle name="Note 8 2 5 2 2 2" xfId="17725"/>
    <cellStyle name="Note 8 2 5 2 2 2 2" xfId="35493"/>
    <cellStyle name="Note 8 2 5 2 2 3" xfId="35492"/>
    <cellStyle name="Note 8 2 5 2 3" xfId="17726"/>
    <cellStyle name="Note 8 2 5 2 3 2" xfId="35494"/>
    <cellStyle name="Note 8 2 5 2 4" xfId="35491"/>
    <cellStyle name="Note 8 2 5 3" xfId="17727"/>
    <cellStyle name="Note 8 2 5 3 2" xfId="17728"/>
    <cellStyle name="Note 8 2 5 3 2 2" xfId="35496"/>
    <cellStyle name="Note 8 2 5 3 3" xfId="35495"/>
    <cellStyle name="Note 8 2 5 4" xfId="17729"/>
    <cellStyle name="Note 8 2 5 4 2" xfId="35497"/>
    <cellStyle name="Note 8 2 5 5" xfId="35490"/>
    <cellStyle name="Note 8 2 6" xfId="17730"/>
    <cellStyle name="Note 8 2 6 2" xfId="17731"/>
    <cellStyle name="Note 8 2 6 2 2" xfId="17732"/>
    <cellStyle name="Note 8 2 6 2 2 2" xfId="35500"/>
    <cellStyle name="Note 8 2 6 2 3" xfId="35499"/>
    <cellStyle name="Note 8 2 6 3" xfId="17733"/>
    <cellStyle name="Note 8 2 6 3 2" xfId="35501"/>
    <cellStyle name="Note 8 2 6 4" xfId="35498"/>
    <cellStyle name="Note 8 2 7" xfId="17734"/>
    <cellStyle name="Note 8 2 7 2" xfId="17735"/>
    <cellStyle name="Note 8 2 7 2 2" xfId="35503"/>
    <cellStyle name="Note 8 2 7 3" xfId="35502"/>
    <cellStyle name="Note 8 2 8" xfId="17736"/>
    <cellStyle name="Note 8 2 8 2" xfId="35504"/>
    <cellStyle name="Note 8 2 9" xfId="35409"/>
    <cellStyle name="Note 8 3" xfId="17737"/>
    <cellStyle name="Note 8 3 2" xfId="17738"/>
    <cellStyle name="Note 8 3 2 2" xfId="17739"/>
    <cellStyle name="Note 8 3 2 2 2" xfId="17740"/>
    <cellStyle name="Note 8 3 2 2 2 2" xfId="17741"/>
    <cellStyle name="Note 8 3 2 2 2 2 2" xfId="17742"/>
    <cellStyle name="Note 8 3 2 2 2 2 2 2" xfId="35510"/>
    <cellStyle name="Note 8 3 2 2 2 2 3" xfId="35509"/>
    <cellStyle name="Note 8 3 2 2 2 3" xfId="17743"/>
    <cellStyle name="Note 8 3 2 2 2 3 2" xfId="35511"/>
    <cellStyle name="Note 8 3 2 2 2 4" xfId="35508"/>
    <cellStyle name="Note 8 3 2 2 3" xfId="17744"/>
    <cellStyle name="Note 8 3 2 2 3 2" xfId="17745"/>
    <cellStyle name="Note 8 3 2 2 3 2 2" xfId="35513"/>
    <cellStyle name="Note 8 3 2 2 3 3" xfId="35512"/>
    <cellStyle name="Note 8 3 2 2 4" xfId="17746"/>
    <cellStyle name="Note 8 3 2 2 4 2" xfId="35514"/>
    <cellStyle name="Note 8 3 2 2 5" xfId="35507"/>
    <cellStyle name="Note 8 3 2 3" xfId="17747"/>
    <cellStyle name="Note 8 3 2 3 2" xfId="17748"/>
    <cellStyle name="Note 8 3 2 3 2 2" xfId="17749"/>
    <cellStyle name="Note 8 3 2 3 2 2 2" xfId="17750"/>
    <cellStyle name="Note 8 3 2 3 2 2 2 2" xfId="35518"/>
    <cellStyle name="Note 8 3 2 3 2 2 3" xfId="35517"/>
    <cellStyle name="Note 8 3 2 3 2 3" xfId="17751"/>
    <cellStyle name="Note 8 3 2 3 2 3 2" xfId="35519"/>
    <cellStyle name="Note 8 3 2 3 2 4" xfId="35516"/>
    <cellStyle name="Note 8 3 2 3 3" xfId="17752"/>
    <cellStyle name="Note 8 3 2 3 3 2" xfId="17753"/>
    <cellStyle name="Note 8 3 2 3 3 2 2" xfId="35521"/>
    <cellStyle name="Note 8 3 2 3 3 3" xfId="35520"/>
    <cellStyle name="Note 8 3 2 3 4" xfId="17754"/>
    <cellStyle name="Note 8 3 2 3 4 2" xfId="35522"/>
    <cellStyle name="Note 8 3 2 3 5" xfId="35515"/>
    <cellStyle name="Note 8 3 2 4" xfId="17755"/>
    <cellStyle name="Note 8 3 2 4 2" xfId="17756"/>
    <cellStyle name="Note 8 3 2 4 2 2" xfId="17757"/>
    <cellStyle name="Note 8 3 2 4 2 2 2" xfId="35525"/>
    <cellStyle name="Note 8 3 2 4 2 3" xfId="35524"/>
    <cellStyle name="Note 8 3 2 4 3" xfId="17758"/>
    <cellStyle name="Note 8 3 2 4 3 2" xfId="35526"/>
    <cellStyle name="Note 8 3 2 4 4" xfId="35523"/>
    <cellStyle name="Note 8 3 2 5" xfId="17759"/>
    <cellStyle name="Note 8 3 2 5 2" xfId="17760"/>
    <cellStyle name="Note 8 3 2 5 2 2" xfId="35528"/>
    <cellStyle name="Note 8 3 2 5 3" xfId="35527"/>
    <cellStyle name="Note 8 3 2 6" xfId="17761"/>
    <cellStyle name="Note 8 3 2 6 2" xfId="35529"/>
    <cellStyle name="Note 8 3 2 7" xfId="35506"/>
    <cellStyle name="Note 8 3 3" xfId="17762"/>
    <cellStyle name="Note 8 3 3 2" xfId="17763"/>
    <cellStyle name="Note 8 3 3 2 2" xfId="17764"/>
    <cellStyle name="Note 8 3 3 2 2 2" xfId="17765"/>
    <cellStyle name="Note 8 3 3 2 2 2 2" xfId="35533"/>
    <cellStyle name="Note 8 3 3 2 2 3" xfId="35532"/>
    <cellStyle name="Note 8 3 3 2 3" xfId="17766"/>
    <cellStyle name="Note 8 3 3 2 3 2" xfId="35534"/>
    <cellStyle name="Note 8 3 3 2 4" xfId="35531"/>
    <cellStyle name="Note 8 3 3 3" xfId="17767"/>
    <cellStyle name="Note 8 3 3 3 2" xfId="17768"/>
    <cellStyle name="Note 8 3 3 3 2 2" xfId="35536"/>
    <cellStyle name="Note 8 3 3 3 3" xfId="35535"/>
    <cellStyle name="Note 8 3 3 4" xfId="17769"/>
    <cellStyle name="Note 8 3 3 4 2" xfId="35537"/>
    <cellStyle name="Note 8 3 3 5" xfId="35530"/>
    <cellStyle name="Note 8 3 4" xfId="17770"/>
    <cellStyle name="Note 8 3 4 2" xfId="17771"/>
    <cellStyle name="Note 8 3 4 2 2" xfId="17772"/>
    <cellStyle name="Note 8 3 4 2 2 2" xfId="17773"/>
    <cellStyle name="Note 8 3 4 2 2 2 2" xfId="35541"/>
    <cellStyle name="Note 8 3 4 2 2 3" xfId="35540"/>
    <cellStyle name="Note 8 3 4 2 3" xfId="17774"/>
    <cellStyle name="Note 8 3 4 2 3 2" xfId="35542"/>
    <cellStyle name="Note 8 3 4 2 4" xfId="35539"/>
    <cellStyle name="Note 8 3 4 3" xfId="17775"/>
    <cellStyle name="Note 8 3 4 3 2" xfId="17776"/>
    <cellStyle name="Note 8 3 4 3 2 2" xfId="35544"/>
    <cellStyle name="Note 8 3 4 3 3" xfId="35543"/>
    <cellStyle name="Note 8 3 4 4" xfId="17777"/>
    <cellStyle name="Note 8 3 4 4 2" xfId="35545"/>
    <cellStyle name="Note 8 3 4 5" xfId="35538"/>
    <cellStyle name="Note 8 3 5" xfId="17778"/>
    <cellStyle name="Note 8 3 5 2" xfId="17779"/>
    <cellStyle name="Note 8 3 5 2 2" xfId="17780"/>
    <cellStyle name="Note 8 3 5 2 2 2" xfId="35548"/>
    <cellStyle name="Note 8 3 5 2 3" xfId="35547"/>
    <cellStyle name="Note 8 3 5 3" xfId="17781"/>
    <cellStyle name="Note 8 3 5 3 2" xfId="35549"/>
    <cellStyle name="Note 8 3 5 4" xfId="35546"/>
    <cellStyle name="Note 8 3 6" xfId="17782"/>
    <cellStyle name="Note 8 3 6 2" xfId="17783"/>
    <cellStyle name="Note 8 3 6 2 2" xfId="35551"/>
    <cellStyle name="Note 8 3 6 3" xfId="35550"/>
    <cellStyle name="Note 8 3 7" xfId="17784"/>
    <cellStyle name="Note 8 3 7 2" xfId="35552"/>
    <cellStyle name="Note 8 3 8" xfId="35505"/>
    <cellStyle name="Note 8 4" xfId="17785"/>
    <cellStyle name="Note 8 4 2" xfId="17786"/>
    <cellStyle name="Note 8 4 2 2" xfId="17787"/>
    <cellStyle name="Note 8 4 2 2 2" xfId="17788"/>
    <cellStyle name="Note 8 4 2 2 2 2" xfId="17789"/>
    <cellStyle name="Note 8 4 2 2 2 2 2" xfId="35557"/>
    <cellStyle name="Note 8 4 2 2 2 3" xfId="35556"/>
    <cellStyle name="Note 8 4 2 2 3" xfId="17790"/>
    <cellStyle name="Note 8 4 2 2 3 2" xfId="35558"/>
    <cellStyle name="Note 8 4 2 2 4" xfId="35555"/>
    <cellStyle name="Note 8 4 2 3" xfId="17791"/>
    <cellStyle name="Note 8 4 2 3 2" xfId="17792"/>
    <cellStyle name="Note 8 4 2 3 2 2" xfId="35560"/>
    <cellStyle name="Note 8 4 2 3 3" xfId="35559"/>
    <cellStyle name="Note 8 4 2 4" xfId="17793"/>
    <cellStyle name="Note 8 4 2 4 2" xfId="35561"/>
    <cellStyle name="Note 8 4 2 5" xfId="35554"/>
    <cellStyle name="Note 8 4 3" xfId="17794"/>
    <cellStyle name="Note 8 4 3 2" xfId="17795"/>
    <cellStyle name="Note 8 4 3 2 2" xfId="17796"/>
    <cellStyle name="Note 8 4 3 2 2 2" xfId="17797"/>
    <cellStyle name="Note 8 4 3 2 2 2 2" xfId="35565"/>
    <cellStyle name="Note 8 4 3 2 2 3" xfId="35564"/>
    <cellStyle name="Note 8 4 3 2 3" xfId="17798"/>
    <cellStyle name="Note 8 4 3 2 3 2" xfId="35566"/>
    <cellStyle name="Note 8 4 3 2 4" xfId="35563"/>
    <cellStyle name="Note 8 4 3 3" xfId="17799"/>
    <cellStyle name="Note 8 4 3 3 2" xfId="17800"/>
    <cellStyle name="Note 8 4 3 3 2 2" xfId="35568"/>
    <cellStyle name="Note 8 4 3 3 3" xfId="35567"/>
    <cellStyle name="Note 8 4 3 4" xfId="17801"/>
    <cellStyle name="Note 8 4 3 4 2" xfId="35569"/>
    <cellStyle name="Note 8 4 3 5" xfId="35562"/>
    <cellStyle name="Note 8 4 4" xfId="17802"/>
    <cellStyle name="Note 8 4 4 2" xfId="17803"/>
    <cellStyle name="Note 8 4 4 2 2" xfId="17804"/>
    <cellStyle name="Note 8 4 4 2 2 2" xfId="35572"/>
    <cellStyle name="Note 8 4 4 2 3" xfId="35571"/>
    <cellStyle name="Note 8 4 4 3" xfId="17805"/>
    <cellStyle name="Note 8 4 4 3 2" xfId="35573"/>
    <cellStyle name="Note 8 4 4 4" xfId="35570"/>
    <cellStyle name="Note 8 4 5" xfId="17806"/>
    <cellStyle name="Note 8 4 5 2" xfId="17807"/>
    <cellStyle name="Note 8 4 5 2 2" xfId="35575"/>
    <cellStyle name="Note 8 4 5 3" xfId="35574"/>
    <cellStyle name="Note 8 4 6" xfId="17808"/>
    <cellStyle name="Note 8 4 6 2" xfId="35576"/>
    <cellStyle name="Note 8 4 7" xfId="35553"/>
    <cellStyle name="Note 8 5" xfId="17809"/>
    <cellStyle name="Note 8 5 2" xfId="17810"/>
    <cellStyle name="Note 8 5 2 2" xfId="17811"/>
    <cellStyle name="Note 8 5 2 2 2" xfId="17812"/>
    <cellStyle name="Note 8 5 2 2 2 2" xfId="35580"/>
    <cellStyle name="Note 8 5 2 2 3" xfId="35579"/>
    <cellStyle name="Note 8 5 2 3" xfId="17813"/>
    <cellStyle name="Note 8 5 2 3 2" xfId="35581"/>
    <cellStyle name="Note 8 5 2 4" xfId="35578"/>
    <cellStyle name="Note 8 5 3" xfId="17814"/>
    <cellStyle name="Note 8 5 3 2" xfId="17815"/>
    <cellStyle name="Note 8 5 3 2 2" xfId="35583"/>
    <cellStyle name="Note 8 5 3 3" xfId="35582"/>
    <cellStyle name="Note 8 5 4" xfId="17816"/>
    <cellStyle name="Note 8 5 4 2" xfId="35584"/>
    <cellStyle name="Note 8 5 5" xfId="35577"/>
    <cellStyle name="Note 8 6" xfId="17817"/>
    <cellStyle name="Note 8 6 2" xfId="17818"/>
    <cellStyle name="Note 8 6 2 2" xfId="17819"/>
    <cellStyle name="Note 8 6 2 2 2" xfId="17820"/>
    <cellStyle name="Note 8 6 2 2 2 2" xfId="35588"/>
    <cellStyle name="Note 8 6 2 2 3" xfId="35587"/>
    <cellStyle name="Note 8 6 2 3" xfId="17821"/>
    <cellStyle name="Note 8 6 2 3 2" xfId="35589"/>
    <cellStyle name="Note 8 6 2 4" xfId="35586"/>
    <cellStyle name="Note 8 6 3" xfId="17822"/>
    <cellStyle name="Note 8 6 3 2" xfId="17823"/>
    <cellStyle name="Note 8 6 3 2 2" xfId="35591"/>
    <cellStyle name="Note 8 6 3 3" xfId="35590"/>
    <cellStyle name="Note 8 6 4" xfId="17824"/>
    <cellStyle name="Note 8 6 4 2" xfId="35592"/>
    <cellStyle name="Note 8 6 5" xfId="35585"/>
    <cellStyle name="Note 8 7" xfId="17825"/>
    <cellStyle name="Note 8 7 2" xfId="17826"/>
    <cellStyle name="Note 8 7 2 2" xfId="17827"/>
    <cellStyle name="Note 8 7 2 2 2" xfId="35595"/>
    <cellStyle name="Note 8 7 2 3" xfId="35594"/>
    <cellStyle name="Note 8 7 3" xfId="17828"/>
    <cellStyle name="Note 8 7 3 2" xfId="35596"/>
    <cellStyle name="Note 8 7 4" xfId="35593"/>
    <cellStyle name="Note 8 8" xfId="17829"/>
    <cellStyle name="Note 8 8 2" xfId="17830"/>
    <cellStyle name="Note 8 8 2 2" xfId="35598"/>
    <cellStyle name="Note 8 8 3" xfId="35597"/>
    <cellStyle name="Note 8 9" xfId="17831"/>
    <cellStyle name="Note 8 9 2" xfId="35599"/>
    <cellStyle name="Note 9" xfId="17832"/>
    <cellStyle name="Note 9 2" xfId="17833"/>
    <cellStyle name="Note 9 2 2" xfId="17834"/>
    <cellStyle name="Note 9 2 2 2" xfId="17835"/>
    <cellStyle name="Note 9 2 2 2 2" xfId="35603"/>
    <cellStyle name="Note 9 2 2 3" xfId="35602"/>
    <cellStyle name="Note 9 2 3" xfId="17836"/>
    <cellStyle name="Note 9 2 3 2" xfId="35604"/>
    <cellStyle name="Note 9 2 4" xfId="35601"/>
    <cellStyle name="Note 9 3" xfId="17837"/>
    <cellStyle name="Note 9 3 2" xfId="17838"/>
    <cellStyle name="Note 9 3 2 2" xfId="35606"/>
    <cellStyle name="Note 9 3 3" xfId="35605"/>
    <cellStyle name="Note 9 4" xfId="17839"/>
    <cellStyle name="Note 9 4 2" xfId="35607"/>
    <cellStyle name="Note 9 5" xfId="35600"/>
    <cellStyle name="Output" xfId="43" builtinId="21" customBuiltin="1"/>
    <cellStyle name="Output 2" xfId="76"/>
    <cellStyle name="Output 2 2" xfId="542"/>
    <cellStyle name="Output 2 2 2" xfId="17840"/>
    <cellStyle name="Output 2 2 3" xfId="17841"/>
    <cellStyle name="Output 2 3" xfId="543"/>
    <cellStyle name="Output 2 3 2" xfId="17842"/>
    <cellStyle name="Output 2 3 3" xfId="17843"/>
    <cellStyle name="Output 2 3 4" xfId="17844"/>
    <cellStyle name="Output 2 4" xfId="17845"/>
    <cellStyle name="Output 2 5" xfId="17846"/>
    <cellStyle name="Output 3" xfId="868"/>
    <cellStyle name="Output 4" xfId="17847"/>
    <cellStyle name="Output 5" xfId="17848"/>
    <cellStyle name="Output 6" xfId="17849"/>
    <cellStyle name="Output 7" xfId="17850"/>
    <cellStyle name="Output Amounts" xfId="17851"/>
    <cellStyle name="Percent" xfId="44" builtinId="5"/>
    <cellStyle name="Percent [2]" xfId="153"/>
    <cellStyle name="Percent [2] 2" xfId="219"/>
    <cellStyle name="Percent [2]_29(d) - Gas extensions -tariffs" xfId="298"/>
    <cellStyle name="Percent 10" xfId="869"/>
    <cellStyle name="Percent 10 2" xfId="870"/>
    <cellStyle name="Percent 10 2 2" xfId="17852"/>
    <cellStyle name="Percent 10 2 2 2" xfId="17853"/>
    <cellStyle name="Percent 10 2 2 2 2" xfId="17854"/>
    <cellStyle name="Percent 10 2 2 2 2 2" xfId="35612"/>
    <cellStyle name="Percent 10 2 2 2 3" xfId="35611"/>
    <cellStyle name="Percent 10 2 2 3" xfId="17855"/>
    <cellStyle name="Percent 10 2 2 3 2" xfId="35613"/>
    <cellStyle name="Percent 10 2 2 4" xfId="35610"/>
    <cellStyle name="Percent 10 2 3" xfId="17856"/>
    <cellStyle name="Percent 10 2 3 2" xfId="17857"/>
    <cellStyle name="Percent 10 2 3 2 2" xfId="35615"/>
    <cellStyle name="Percent 10 2 3 3" xfId="35614"/>
    <cellStyle name="Percent 10 2 4" xfId="17858"/>
    <cellStyle name="Percent 10 2 4 2" xfId="35616"/>
    <cellStyle name="Percent 10 2 5" xfId="35609"/>
    <cellStyle name="Percent 10 3" xfId="17859"/>
    <cellStyle name="Percent 10 3 2" xfId="17860"/>
    <cellStyle name="Percent 10 3 2 2" xfId="17861"/>
    <cellStyle name="Percent 10 3 2 2 2" xfId="17862"/>
    <cellStyle name="Percent 10 3 2 2 2 2" xfId="35620"/>
    <cellStyle name="Percent 10 3 2 2 3" xfId="35619"/>
    <cellStyle name="Percent 10 3 2 3" xfId="17863"/>
    <cellStyle name="Percent 10 3 2 3 2" xfId="35621"/>
    <cellStyle name="Percent 10 3 2 4" xfId="35618"/>
    <cellStyle name="Percent 10 3 3" xfId="17864"/>
    <cellStyle name="Percent 10 3 3 2" xfId="17865"/>
    <cellStyle name="Percent 10 3 3 2 2" xfId="35623"/>
    <cellStyle name="Percent 10 3 3 3" xfId="35622"/>
    <cellStyle name="Percent 10 3 4" xfId="17866"/>
    <cellStyle name="Percent 10 3 4 2" xfId="35624"/>
    <cellStyle name="Percent 10 3 5" xfId="35617"/>
    <cellStyle name="Percent 10 4" xfId="17867"/>
    <cellStyle name="Percent 10 4 2" xfId="17868"/>
    <cellStyle name="Percent 10 4 2 2" xfId="17869"/>
    <cellStyle name="Percent 10 4 2 2 2" xfId="35627"/>
    <cellStyle name="Percent 10 4 2 3" xfId="35626"/>
    <cellStyle name="Percent 10 4 3" xfId="17870"/>
    <cellStyle name="Percent 10 4 3 2" xfId="35628"/>
    <cellStyle name="Percent 10 4 4" xfId="35625"/>
    <cellStyle name="Percent 10 5" xfId="17871"/>
    <cellStyle name="Percent 10 5 2" xfId="17872"/>
    <cellStyle name="Percent 10 5 2 2" xfId="35630"/>
    <cellStyle name="Percent 10 5 3" xfId="35629"/>
    <cellStyle name="Percent 10 6" xfId="17873"/>
    <cellStyle name="Percent 10 6 2" xfId="35631"/>
    <cellStyle name="Percent 10 7" xfId="17874"/>
    <cellStyle name="Percent 10 7 2" xfId="35632"/>
    <cellStyle name="Percent 10 8" xfId="35608"/>
    <cellStyle name="Percent 11" xfId="871"/>
    <cellStyle name="Percent 11 2" xfId="17875"/>
    <cellStyle name="Percent 11 2 2" xfId="17876"/>
    <cellStyle name="Percent 11 2 2 2" xfId="17877"/>
    <cellStyle name="Percent 11 2 2 2 2" xfId="35635"/>
    <cellStyle name="Percent 11 2 2 3" xfId="35634"/>
    <cellStyle name="Percent 11 2 3" xfId="17878"/>
    <cellStyle name="Percent 11 2 3 2" xfId="35636"/>
    <cellStyle name="Percent 11 2 4" xfId="35633"/>
    <cellStyle name="Percent 11 3" xfId="17879"/>
    <cellStyle name="Percent 11 3 2" xfId="17880"/>
    <cellStyle name="Percent 11 3 2 2" xfId="35638"/>
    <cellStyle name="Percent 11 3 3" xfId="35637"/>
    <cellStyle name="Percent 11 4" xfId="17881"/>
    <cellStyle name="Percent 11 4 2" xfId="35639"/>
    <cellStyle name="Percent 11 5" xfId="17882"/>
    <cellStyle name="Percent 11 5 2" xfId="35640"/>
    <cellStyle name="Percent 12" xfId="544"/>
    <cellStyle name="Percent 12 2" xfId="545"/>
    <cellStyle name="Percent 12 2 2" xfId="546"/>
    <cellStyle name="Percent 12 2 2 2" xfId="872"/>
    <cellStyle name="Percent 12 2 2 2 2" xfId="35644"/>
    <cellStyle name="Percent 12 2 2 3" xfId="17883"/>
    <cellStyle name="Percent 12 2 2 3 2" xfId="35645"/>
    <cellStyle name="Percent 12 2 2 4" xfId="35643"/>
    <cellStyle name="Percent 12 2 3" xfId="873"/>
    <cellStyle name="Percent 12 2 3 2" xfId="35646"/>
    <cellStyle name="Percent 12 2 4" xfId="17884"/>
    <cellStyle name="Percent 12 2 4 2" xfId="35647"/>
    <cellStyle name="Percent 12 2 5" xfId="35642"/>
    <cellStyle name="Percent 12 3" xfId="547"/>
    <cellStyle name="Percent 12 3 2" xfId="874"/>
    <cellStyle name="Percent 12 3 2 2" xfId="35649"/>
    <cellStyle name="Percent 12 3 3" xfId="17885"/>
    <cellStyle name="Percent 12 3 3 2" xfId="35650"/>
    <cellStyle name="Percent 12 3 4" xfId="35648"/>
    <cellStyle name="Percent 12 4" xfId="548"/>
    <cellStyle name="Percent 12 4 2" xfId="875"/>
    <cellStyle name="Percent 12 4 2 2" xfId="35652"/>
    <cellStyle name="Percent 12 4 3" xfId="35651"/>
    <cellStyle name="Percent 12 5" xfId="876"/>
    <cellStyle name="Percent 12 5 2" xfId="35653"/>
    <cellStyle name="Percent 12 6" xfId="35641"/>
    <cellStyle name="Percent 13" xfId="877"/>
    <cellStyle name="Percent 13 2" xfId="17886"/>
    <cellStyle name="Percent 13 3" xfId="17887"/>
    <cellStyle name="Percent 14" xfId="878"/>
    <cellStyle name="Percent 14 2" xfId="17888"/>
    <cellStyle name="Percent 14 2 2" xfId="17889"/>
    <cellStyle name="Percent 14 2 2 2" xfId="35656"/>
    <cellStyle name="Percent 14 2 3" xfId="35655"/>
    <cellStyle name="Percent 14 3" xfId="17890"/>
    <cellStyle name="Percent 14 3 2" xfId="35657"/>
    <cellStyle name="Percent 14 4" xfId="17891"/>
    <cellStyle name="Percent 14 4 2" xfId="35658"/>
    <cellStyle name="Percent 14 5" xfId="35654"/>
    <cellStyle name="Percent 15" xfId="879"/>
    <cellStyle name="Percent 15 2" xfId="17892"/>
    <cellStyle name="Percent 15 3" xfId="17893"/>
    <cellStyle name="Percent 15 4" xfId="35659"/>
    <cellStyle name="Percent 16" xfId="880"/>
    <cellStyle name="Percent 16 2" xfId="17894"/>
    <cellStyle name="Percent 16 3" xfId="17895"/>
    <cellStyle name="Percent 16 4" xfId="35660"/>
    <cellStyle name="Percent 17" xfId="881"/>
    <cellStyle name="Percent 17 2" xfId="17896"/>
    <cellStyle name="Percent 17 3" xfId="35661"/>
    <cellStyle name="Percent 18" xfId="882"/>
    <cellStyle name="Percent 18 2" xfId="17897"/>
    <cellStyle name="Percent 18 3" xfId="35662"/>
    <cellStyle name="Percent 19" xfId="883"/>
    <cellStyle name="Percent 19 2" xfId="35663"/>
    <cellStyle name="Percent 2" xfId="154"/>
    <cellStyle name="Percent 2 2" xfId="220"/>
    <cellStyle name="Percent 2 2 2" xfId="549"/>
    <cellStyle name="Percent 2 2 2 2" xfId="550"/>
    <cellStyle name="Percent 2 2 2 2 2" xfId="551"/>
    <cellStyle name="Percent 2 2 2 2 2 2" xfId="884"/>
    <cellStyle name="Percent 2 2 2 2 2 2 2" xfId="35667"/>
    <cellStyle name="Percent 2 2 2 2 2 3" xfId="35666"/>
    <cellStyle name="Percent 2 2 2 2 3" xfId="552"/>
    <cellStyle name="Percent 2 2 2 2 3 2" xfId="885"/>
    <cellStyle name="Percent 2 2 2 2 3 2 2" xfId="35669"/>
    <cellStyle name="Percent 2 2 2 2 3 3" xfId="35668"/>
    <cellStyle name="Percent 2 2 2 2 4" xfId="886"/>
    <cellStyle name="Percent 2 2 2 2 4 2" xfId="35670"/>
    <cellStyle name="Percent 2 2 2 2 5" xfId="35665"/>
    <cellStyle name="Percent 2 2 2 3" xfId="553"/>
    <cellStyle name="Percent 2 2 2 3 2" xfId="887"/>
    <cellStyle name="Percent 2 2 2 3 2 2" xfId="35672"/>
    <cellStyle name="Percent 2 2 2 3 3" xfId="35671"/>
    <cellStyle name="Percent 2 2 2 4" xfId="554"/>
    <cellStyle name="Percent 2 2 2 4 2" xfId="888"/>
    <cellStyle name="Percent 2 2 2 4 2 2" xfId="35674"/>
    <cellStyle name="Percent 2 2 2 4 3" xfId="35673"/>
    <cellStyle name="Percent 2 2 2 5" xfId="889"/>
    <cellStyle name="Percent 2 2 2 5 2" xfId="35675"/>
    <cellStyle name="Percent 2 2 2 6" xfId="35664"/>
    <cellStyle name="Percent 2 2 3" xfId="555"/>
    <cellStyle name="Percent 2 2 3 2" xfId="556"/>
    <cellStyle name="Percent 2 2 3 2 2" xfId="557"/>
    <cellStyle name="Percent 2 2 3 2 2 2" xfId="890"/>
    <cellStyle name="Percent 2 2 3 2 2 2 2" xfId="35679"/>
    <cellStyle name="Percent 2 2 3 2 2 3" xfId="35678"/>
    <cellStyle name="Percent 2 2 3 2 3" xfId="558"/>
    <cellStyle name="Percent 2 2 3 2 3 2" xfId="891"/>
    <cellStyle name="Percent 2 2 3 2 3 2 2" xfId="35681"/>
    <cellStyle name="Percent 2 2 3 2 3 3" xfId="35680"/>
    <cellStyle name="Percent 2 2 3 2 4" xfId="892"/>
    <cellStyle name="Percent 2 2 3 2 4 2" xfId="35682"/>
    <cellStyle name="Percent 2 2 3 2 5" xfId="35677"/>
    <cellStyle name="Percent 2 2 3 3" xfId="559"/>
    <cellStyle name="Percent 2 2 3 3 2" xfId="893"/>
    <cellStyle name="Percent 2 2 3 3 2 2" xfId="35684"/>
    <cellStyle name="Percent 2 2 3 3 3" xfId="35683"/>
    <cellStyle name="Percent 2 2 3 4" xfId="560"/>
    <cellStyle name="Percent 2 2 3 4 2" xfId="894"/>
    <cellStyle name="Percent 2 2 3 4 2 2" xfId="35686"/>
    <cellStyle name="Percent 2 2 3 4 3" xfId="35685"/>
    <cellStyle name="Percent 2 2 3 5" xfId="895"/>
    <cellStyle name="Percent 2 2 3 5 2" xfId="35687"/>
    <cellStyle name="Percent 2 2 3 6" xfId="35676"/>
    <cellStyle name="Percent 2 3" xfId="561"/>
    <cellStyle name="Percent 2 3 2" xfId="562"/>
    <cellStyle name="Percent 2 3 2 2" xfId="563"/>
    <cellStyle name="Percent 2 3 2 2 2" xfId="896"/>
    <cellStyle name="Percent 2 3 2 2 2 2" xfId="35691"/>
    <cellStyle name="Percent 2 3 2 2 3" xfId="35690"/>
    <cellStyle name="Percent 2 3 2 3" xfId="564"/>
    <cellStyle name="Percent 2 3 2 3 2" xfId="897"/>
    <cellStyle name="Percent 2 3 2 3 2 2" xfId="35693"/>
    <cellStyle name="Percent 2 3 2 3 3" xfId="35692"/>
    <cellStyle name="Percent 2 3 2 4" xfId="898"/>
    <cellStyle name="Percent 2 3 2 4 2" xfId="35694"/>
    <cellStyle name="Percent 2 3 2 5" xfId="35689"/>
    <cellStyle name="Percent 2 3 3" xfId="565"/>
    <cellStyle name="Percent 2 3 3 2" xfId="899"/>
    <cellStyle name="Percent 2 3 3 2 2" xfId="35696"/>
    <cellStyle name="Percent 2 3 3 3" xfId="35695"/>
    <cellStyle name="Percent 2 3 4" xfId="566"/>
    <cellStyle name="Percent 2 3 4 2" xfId="900"/>
    <cellStyle name="Percent 2 3 4 2 2" xfId="35698"/>
    <cellStyle name="Percent 2 3 4 3" xfId="35697"/>
    <cellStyle name="Percent 2 3 5" xfId="901"/>
    <cellStyle name="Percent 2 3 5 2" xfId="35699"/>
    <cellStyle name="Percent 2 3 6" xfId="35688"/>
    <cellStyle name="Percent 2 4" xfId="567"/>
    <cellStyle name="Percent 2 4 2" xfId="568"/>
    <cellStyle name="Percent 2 4 2 2" xfId="569"/>
    <cellStyle name="Percent 2 4 2 2 2" xfId="902"/>
    <cellStyle name="Percent 2 4 2 2 2 2" xfId="35703"/>
    <cellStyle name="Percent 2 4 2 2 3" xfId="35702"/>
    <cellStyle name="Percent 2 4 2 3" xfId="570"/>
    <cellStyle name="Percent 2 4 2 3 2" xfId="903"/>
    <cellStyle name="Percent 2 4 2 3 2 2" xfId="35705"/>
    <cellStyle name="Percent 2 4 2 3 3" xfId="35704"/>
    <cellStyle name="Percent 2 4 2 4" xfId="904"/>
    <cellStyle name="Percent 2 4 2 4 2" xfId="35706"/>
    <cellStyle name="Percent 2 4 2 5" xfId="35701"/>
    <cellStyle name="Percent 2 4 3" xfId="571"/>
    <cellStyle name="Percent 2 4 3 2" xfId="905"/>
    <cellStyle name="Percent 2 4 3 2 2" xfId="35708"/>
    <cellStyle name="Percent 2 4 3 3" xfId="35707"/>
    <cellStyle name="Percent 2 4 4" xfId="572"/>
    <cellStyle name="Percent 2 4 4 2" xfId="906"/>
    <cellStyle name="Percent 2 4 4 2 2" xfId="35710"/>
    <cellStyle name="Percent 2 4 4 3" xfId="35709"/>
    <cellStyle name="Percent 2 4 5" xfId="907"/>
    <cellStyle name="Percent 2 4 5 2" xfId="35711"/>
    <cellStyle name="Percent 2 4 6" xfId="35700"/>
    <cellStyle name="Percent 2 5" xfId="908"/>
    <cellStyle name="Percent 2 6" xfId="909"/>
    <cellStyle name="Percent 20" xfId="17898"/>
    <cellStyle name="Percent 21" xfId="17899"/>
    <cellStyle name="Percent 22" xfId="17900"/>
    <cellStyle name="Percent 3" xfId="155"/>
    <cellStyle name="Percent 3 2" xfId="221"/>
    <cellStyle name="Percent 3 3" xfId="17901"/>
    <cellStyle name="Percent 3 4" xfId="573"/>
    <cellStyle name="Percent 3 4 2" xfId="574"/>
    <cellStyle name="Percent 3 4 2 2" xfId="910"/>
    <cellStyle name="Percent 3 4 2 2 2" xfId="35714"/>
    <cellStyle name="Percent 3 4 2 3" xfId="35713"/>
    <cellStyle name="Percent 3 4 3" xfId="575"/>
    <cellStyle name="Percent 3 4 3 2" xfId="911"/>
    <cellStyle name="Percent 3 4 3 2 2" xfId="35716"/>
    <cellStyle name="Percent 3 4 3 3" xfId="35715"/>
    <cellStyle name="Percent 3 4 4" xfId="912"/>
    <cellStyle name="Percent 3 4 4 2" xfId="35717"/>
    <cellStyle name="Percent 3 4 5" xfId="35712"/>
    <cellStyle name="Percent 4" xfId="282"/>
    <cellStyle name="Percent 4 2" xfId="17902"/>
    <cellStyle name="Percent 4 3" xfId="17903"/>
    <cellStyle name="Percent 4 4" xfId="17904"/>
    <cellStyle name="Percent 5" xfId="576"/>
    <cellStyle name="Percent 5 2" xfId="577"/>
    <cellStyle name="Percent 5 2 2" xfId="913"/>
    <cellStyle name="Percent 5 2 2 2" xfId="35720"/>
    <cellStyle name="Percent 5 2 3" xfId="35719"/>
    <cellStyle name="Percent 5 3" xfId="578"/>
    <cellStyle name="Percent 5 3 2" xfId="914"/>
    <cellStyle name="Percent 5 3 2 2" xfId="35722"/>
    <cellStyle name="Percent 5 3 3" xfId="35721"/>
    <cellStyle name="Percent 5 4" xfId="915"/>
    <cellStyle name="Percent 5 4 2" xfId="35723"/>
    <cellStyle name="Percent 5 5" xfId="35718"/>
    <cellStyle name="Percent 6" xfId="579"/>
    <cellStyle name="Percent 6 2" xfId="916"/>
    <cellStyle name="Percent 6 2 2" xfId="35725"/>
    <cellStyle name="Percent 6 3" xfId="17905"/>
    <cellStyle name="Percent 6 4" xfId="17906"/>
    <cellStyle name="Percent 6 4 2" xfId="35726"/>
    <cellStyle name="Percent 6 5" xfId="17907"/>
    <cellStyle name="Percent 6 5 2" xfId="35727"/>
    <cellStyle name="Percent 6 6" xfId="17908"/>
    <cellStyle name="Percent 6 6 2" xfId="35728"/>
    <cellStyle name="Percent 6 7" xfId="17909"/>
    <cellStyle name="Percent 6 8" xfId="35724"/>
    <cellStyle name="Percent 7" xfId="289"/>
    <cellStyle name="Percent 7 10" xfId="17910"/>
    <cellStyle name="Percent 7 10 2" xfId="35729"/>
    <cellStyle name="Percent 7 2" xfId="17911"/>
    <cellStyle name="Percent 7 2 2" xfId="17912"/>
    <cellStyle name="Percent 7 2 2 2" xfId="17913"/>
    <cellStyle name="Percent 7 2 2 2 2" xfId="17914"/>
    <cellStyle name="Percent 7 2 2 2 2 2" xfId="17915"/>
    <cellStyle name="Percent 7 2 2 2 2 2 2" xfId="17916"/>
    <cellStyle name="Percent 7 2 2 2 2 2 2 2" xfId="35735"/>
    <cellStyle name="Percent 7 2 2 2 2 2 3" xfId="35734"/>
    <cellStyle name="Percent 7 2 2 2 2 3" xfId="17917"/>
    <cellStyle name="Percent 7 2 2 2 2 3 2" xfId="35736"/>
    <cellStyle name="Percent 7 2 2 2 2 4" xfId="35733"/>
    <cellStyle name="Percent 7 2 2 2 3" xfId="17918"/>
    <cellStyle name="Percent 7 2 2 2 3 2" xfId="17919"/>
    <cellStyle name="Percent 7 2 2 2 3 2 2" xfId="35738"/>
    <cellStyle name="Percent 7 2 2 2 3 3" xfId="35737"/>
    <cellStyle name="Percent 7 2 2 2 4" xfId="17920"/>
    <cellStyle name="Percent 7 2 2 2 4 2" xfId="35739"/>
    <cellStyle name="Percent 7 2 2 2 5" xfId="35732"/>
    <cellStyle name="Percent 7 2 2 3" xfId="17921"/>
    <cellStyle name="Percent 7 2 2 3 2" xfId="17922"/>
    <cellStyle name="Percent 7 2 2 3 2 2" xfId="17923"/>
    <cellStyle name="Percent 7 2 2 3 2 2 2" xfId="17924"/>
    <cellStyle name="Percent 7 2 2 3 2 2 2 2" xfId="35743"/>
    <cellStyle name="Percent 7 2 2 3 2 2 3" xfId="35742"/>
    <cellStyle name="Percent 7 2 2 3 2 3" xfId="17925"/>
    <cellStyle name="Percent 7 2 2 3 2 3 2" xfId="35744"/>
    <cellStyle name="Percent 7 2 2 3 2 4" xfId="35741"/>
    <cellStyle name="Percent 7 2 2 3 3" xfId="17926"/>
    <cellStyle name="Percent 7 2 2 3 3 2" xfId="17927"/>
    <cellStyle name="Percent 7 2 2 3 3 2 2" xfId="35746"/>
    <cellStyle name="Percent 7 2 2 3 3 3" xfId="35745"/>
    <cellStyle name="Percent 7 2 2 3 4" xfId="17928"/>
    <cellStyle name="Percent 7 2 2 3 4 2" xfId="35747"/>
    <cellStyle name="Percent 7 2 2 3 5" xfId="35740"/>
    <cellStyle name="Percent 7 2 2 4" xfId="17929"/>
    <cellStyle name="Percent 7 2 2 4 2" xfId="17930"/>
    <cellStyle name="Percent 7 2 2 4 2 2" xfId="17931"/>
    <cellStyle name="Percent 7 2 2 4 2 2 2" xfId="35750"/>
    <cellStyle name="Percent 7 2 2 4 2 3" xfId="35749"/>
    <cellStyle name="Percent 7 2 2 4 3" xfId="17932"/>
    <cellStyle name="Percent 7 2 2 4 3 2" xfId="35751"/>
    <cellStyle name="Percent 7 2 2 4 4" xfId="35748"/>
    <cellStyle name="Percent 7 2 2 5" xfId="17933"/>
    <cellStyle name="Percent 7 2 2 5 2" xfId="17934"/>
    <cellStyle name="Percent 7 2 2 5 2 2" xfId="35753"/>
    <cellStyle name="Percent 7 2 2 5 3" xfId="35752"/>
    <cellStyle name="Percent 7 2 2 6" xfId="17935"/>
    <cellStyle name="Percent 7 2 2 6 2" xfId="35754"/>
    <cellStyle name="Percent 7 2 2 7" xfId="35731"/>
    <cellStyle name="Percent 7 2 3" xfId="17936"/>
    <cellStyle name="Percent 7 2 3 2" xfId="17937"/>
    <cellStyle name="Percent 7 2 3 2 2" xfId="17938"/>
    <cellStyle name="Percent 7 2 3 2 2 2" xfId="17939"/>
    <cellStyle name="Percent 7 2 3 2 2 2 2" xfId="35758"/>
    <cellStyle name="Percent 7 2 3 2 2 3" xfId="35757"/>
    <cellStyle name="Percent 7 2 3 2 3" xfId="17940"/>
    <cellStyle name="Percent 7 2 3 2 3 2" xfId="35759"/>
    <cellStyle name="Percent 7 2 3 2 4" xfId="35756"/>
    <cellStyle name="Percent 7 2 3 3" xfId="17941"/>
    <cellStyle name="Percent 7 2 3 3 2" xfId="17942"/>
    <cellStyle name="Percent 7 2 3 3 2 2" xfId="35761"/>
    <cellStyle name="Percent 7 2 3 3 3" xfId="35760"/>
    <cellStyle name="Percent 7 2 3 4" xfId="17943"/>
    <cellStyle name="Percent 7 2 3 4 2" xfId="35762"/>
    <cellStyle name="Percent 7 2 3 5" xfId="35755"/>
    <cellStyle name="Percent 7 2 4" xfId="17944"/>
    <cellStyle name="Percent 7 2 4 2" xfId="17945"/>
    <cellStyle name="Percent 7 2 4 2 2" xfId="17946"/>
    <cellStyle name="Percent 7 2 4 2 2 2" xfId="17947"/>
    <cellStyle name="Percent 7 2 4 2 2 2 2" xfId="35766"/>
    <cellStyle name="Percent 7 2 4 2 2 3" xfId="35765"/>
    <cellStyle name="Percent 7 2 4 2 3" xfId="17948"/>
    <cellStyle name="Percent 7 2 4 2 3 2" xfId="35767"/>
    <cellStyle name="Percent 7 2 4 2 4" xfId="35764"/>
    <cellStyle name="Percent 7 2 4 3" xfId="17949"/>
    <cellStyle name="Percent 7 2 4 3 2" xfId="17950"/>
    <cellStyle name="Percent 7 2 4 3 2 2" xfId="35769"/>
    <cellStyle name="Percent 7 2 4 3 3" xfId="35768"/>
    <cellStyle name="Percent 7 2 4 4" xfId="17951"/>
    <cellStyle name="Percent 7 2 4 4 2" xfId="35770"/>
    <cellStyle name="Percent 7 2 4 5" xfId="35763"/>
    <cellStyle name="Percent 7 2 5" xfId="17952"/>
    <cellStyle name="Percent 7 2 5 2" xfId="17953"/>
    <cellStyle name="Percent 7 2 5 2 2" xfId="17954"/>
    <cellStyle name="Percent 7 2 5 2 2 2" xfId="35773"/>
    <cellStyle name="Percent 7 2 5 2 3" xfId="35772"/>
    <cellStyle name="Percent 7 2 5 3" xfId="17955"/>
    <cellStyle name="Percent 7 2 5 3 2" xfId="35774"/>
    <cellStyle name="Percent 7 2 5 4" xfId="35771"/>
    <cellStyle name="Percent 7 2 6" xfId="17956"/>
    <cellStyle name="Percent 7 2 6 2" xfId="17957"/>
    <cellStyle name="Percent 7 2 6 2 2" xfId="35776"/>
    <cellStyle name="Percent 7 2 6 3" xfId="35775"/>
    <cellStyle name="Percent 7 2 7" xfId="17958"/>
    <cellStyle name="Percent 7 2 7 2" xfId="35777"/>
    <cellStyle name="Percent 7 2 8" xfId="35730"/>
    <cellStyle name="Percent 7 3" xfId="17959"/>
    <cellStyle name="Percent 7 3 2" xfId="17960"/>
    <cellStyle name="Percent 7 3 2 2" xfId="17961"/>
    <cellStyle name="Percent 7 3 2 2 2" xfId="17962"/>
    <cellStyle name="Percent 7 3 2 2 2 2" xfId="17963"/>
    <cellStyle name="Percent 7 3 2 2 2 2 2" xfId="35782"/>
    <cellStyle name="Percent 7 3 2 2 2 3" xfId="35781"/>
    <cellStyle name="Percent 7 3 2 2 3" xfId="17964"/>
    <cellStyle name="Percent 7 3 2 2 3 2" xfId="35783"/>
    <cellStyle name="Percent 7 3 2 2 4" xfId="35780"/>
    <cellStyle name="Percent 7 3 2 3" xfId="17965"/>
    <cellStyle name="Percent 7 3 2 3 2" xfId="17966"/>
    <cellStyle name="Percent 7 3 2 3 2 2" xfId="35785"/>
    <cellStyle name="Percent 7 3 2 3 3" xfId="35784"/>
    <cellStyle name="Percent 7 3 2 4" xfId="17967"/>
    <cellStyle name="Percent 7 3 2 4 2" xfId="35786"/>
    <cellStyle name="Percent 7 3 2 5" xfId="35779"/>
    <cellStyle name="Percent 7 3 3" xfId="17968"/>
    <cellStyle name="Percent 7 3 3 2" xfId="17969"/>
    <cellStyle name="Percent 7 3 3 2 2" xfId="17970"/>
    <cellStyle name="Percent 7 3 3 2 2 2" xfId="17971"/>
    <cellStyle name="Percent 7 3 3 2 2 2 2" xfId="35790"/>
    <cellStyle name="Percent 7 3 3 2 2 3" xfId="35789"/>
    <cellStyle name="Percent 7 3 3 2 3" xfId="17972"/>
    <cellStyle name="Percent 7 3 3 2 3 2" xfId="35791"/>
    <cellStyle name="Percent 7 3 3 2 4" xfId="35788"/>
    <cellStyle name="Percent 7 3 3 3" xfId="17973"/>
    <cellStyle name="Percent 7 3 3 3 2" xfId="17974"/>
    <cellStyle name="Percent 7 3 3 3 2 2" xfId="35793"/>
    <cellStyle name="Percent 7 3 3 3 3" xfId="35792"/>
    <cellStyle name="Percent 7 3 3 4" xfId="17975"/>
    <cellStyle name="Percent 7 3 3 4 2" xfId="35794"/>
    <cellStyle name="Percent 7 3 3 5" xfId="35787"/>
    <cellStyle name="Percent 7 3 4" xfId="17976"/>
    <cellStyle name="Percent 7 3 4 2" xfId="17977"/>
    <cellStyle name="Percent 7 3 4 2 2" xfId="17978"/>
    <cellStyle name="Percent 7 3 4 2 2 2" xfId="35797"/>
    <cellStyle name="Percent 7 3 4 2 3" xfId="35796"/>
    <cellStyle name="Percent 7 3 4 3" xfId="17979"/>
    <cellStyle name="Percent 7 3 4 3 2" xfId="35798"/>
    <cellStyle name="Percent 7 3 4 4" xfId="35795"/>
    <cellStyle name="Percent 7 3 5" xfId="17980"/>
    <cellStyle name="Percent 7 3 5 2" xfId="17981"/>
    <cellStyle name="Percent 7 3 5 2 2" xfId="35800"/>
    <cellStyle name="Percent 7 3 5 3" xfId="35799"/>
    <cellStyle name="Percent 7 3 6" xfId="17982"/>
    <cellStyle name="Percent 7 3 6 2" xfId="35801"/>
    <cellStyle name="Percent 7 3 7" xfId="35778"/>
    <cellStyle name="Percent 7 4" xfId="17983"/>
    <cellStyle name="Percent 7 4 2" xfId="17984"/>
    <cellStyle name="Percent 7 4 2 2" xfId="17985"/>
    <cellStyle name="Percent 7 4 2 2 2" xfId="17986"/>
    <cellStyle name="Percent 7 4 2 2 2 2" xfId="35805"/>
    <cellStyle name="Percent 7 4 2 2 3" xfId="35804"/>
    <cellStyle name="Percent 7 4 2 3" xfId="17987"/>
    <cellStyle name="Percent 7 4 2 3 2" xfId="35806"/>
    <cellStyle name="Percent 7 4 2 4" xfId="35803"/>
    <cellStyle name="Percent 7 4 3" xfId="17988"/>
    <cellStyle name="Percent 7 4 3 2" xfId="17989"/>
    <cellStyle name="Percent 7 4 3 2 2" xfId="35808"/>
    <cellStyle name="Percent 7 4 3 3" xfId="35807"/>
    <cellStyle name="Percent 7 4 4" xfId="17990"/>
    <cellStyle name="Percent 7 4 4 2" xfId="35809"/>
    <cellStyle name="Percent 7 4 5" xfId="35802"/>
    <cellStyle name="Percent 7 5" xfId="17991"/>
    <cellStyle name="Percent 7 5 2" xfId="17992"/>
    <cellStyle name="Percent 7 5 2 2" xfId="17993"/>
    <cellStyle name="Percent 7 5 2 2 2" xfId="17994"/>
    <cellStyle name="Percent 7 5 2 2 2 2" xfId="35813"/>
    <cellStyle name="Percent 7 5 2 2 3" xfId="35812"/>
    <cellStyle name="Percent 7 5 2 3" xfId="17995"/>
    <cellStyle name="Percent 7 5 2 3 2" xfId="35814"/>
    <cellStyle name="Percent 7 5 2 4" xfId="35811"/>
    <cellStyle name="Percent 7 5 3" xfId="17996"/>
    <cellStyle name="Percent 7 5 3 2" xfId="17997"/>
    <cellStyle name="Percent 7 5 3 2 2" xfId="35816"/>
    <cellStyle name="Percent 7 5 3 3" xfId="35815"/>
    <cellStyle name="Percent 7 5 4" xfId="17998"/>
    <cellStyle name="Percent 7 5 4 2" xfId="35817"/>
    <cellStyle name="Percent 7 5 5" xfId="35810"/>
    <cellStyle name="Percent 7 6" xfId="17999"/>
    <cellStyle name="Percent 7 6 2" xfId="18000"/>
    <cellStyle name="Percent 7 6 2 2" xfId="18001"/>
    <cellStyle name="Percent 7 6 2 2 2" xfId="35820"/>
    <cellStyle name="Percent 7 6 2 3" xfId="35819"/>
    <cellStyle name="Percent 7 6 3" xfId="18002"/>
    <cellStyle name="Percent 7 6 3 2" xfId="35821"/>
    <cellStyle name="Percent 7 6 4" xfId="35818"/>
    <cellStyle name="Percent 7 7" xfId="18003"/>
    <cellStyle name="Percent 7 7 2" xfId="18004"/>
    <cellStyle name="Percent 7 7 2 2" xfId="35823"/>
    <cellStyle name="Percent 7 7 3" xfId="35822"/>
    <cellStyle name="Percent 7 8" xfId="18005"/>
    <cellStyle name="Percent 7 8 2" xfId="35824"/>
    <cellStyle name="Percent 7 9" xfId="18006"/>
    <cellStyle name="Percent 8" xfId="580"/>
    <cellStyle name="Percent 8 2" xfId="18007"/>
    <cellStyle name="Percent 8 2 2" xfId="18008"/>
    <cellStyle name="Percent 8 2 2 2" xfId="18009"/>
    <cellStyle name="Percent 8 2 2 2 2" xfId="18010"/>
    <cellStyle name="Percent 8 2 2 2 2 2" xfId="18011"/>
    <cellStyle name="Percent 8 2 2 2 2 2 2" xfId="35829"/>
    <cellStyle name="Percent 8 2 2 2 2 3" xfId="35828"/>
    <cellStyle name="Percent 8 2 2 2 3" xfId="18012"/>
    <cellStyle name="Percent 8 2 2 2 3 2" xfId="35830"/>
    <cellStyle name="Percent 8 2 2 2 4" xfId="35827"/>
    <cellStyle name="Percent 8 2 2 3" xfId="18013"/>
    <cellStyle name="Percent 8 2 2 3 2" xfId="18014"/>
    <cellStyle name="Percent 8 2 2 3 2 2" xfId="35832"/>
    <cellStyle name="Percent 8 2 2 3 3" xfId="35831"/>
    <cellStyle name="Percent 8 2 2 4" xfId="18015"/>
    <cellStyle name="Percent 8 2 2 4 2" xfId="35833"/>
    <cellStyle name="Percent 8 2 2 5" xfId="35826"/>
    <cellStyle name="Percent 8 2 3" xfId="18016"/>
    <cellStyle name="Percent 8 2 3 2" xfId="18017"/>
    <cellStyle name="Percent 8 2 3 2 2" xfId="18018"/>
    <cellStyle name="Percent 8 2 3 2 2 2" xfId="18019"/>
    <cellStyle name="Percent 8 2 3 2 2 2 2" xfId="35837"/>
    <cellStyle name="Percent 8 2 3 2 2 3" xfId="35836"/>
    <cellStyle name="Percent 8 2 3 2 3" xfId="18020"/>
    <cellStyle name="Percent 8 2 3 2 3 2" xfId="35838"/>
    <cellStyle name="Percent 8 2 3 2 4" xfId="35835"/>
    <cellStyle name="Percent 8 2 3 3" xfId="18021"/>
    <cellStyle name="Percent 8 2 3 3 2" xfId="18022"/>
    <cellStyle name="Percent 8 2 3 3 2 2" xfId="35840"/>
    <cellStyle name="Percent 8 2 3 3 3" xfId="35839"/>
    <cellStyle name="Percent 8 2 3 4" xfId="18023"/>
    <cellStyle name="Percent 8 2 3 4 2" xfId="35841"/>
    <cellStyle name="Percent 8 2 3 5" xfId="35834"/>
    <cellStyle name="Percent 8 2 4" xfId="18024"/>
    <cellStyle name="Percent 8 2 4 2" xfId="18025"/>
    <cellStyle name="Percent 8 2 4 2 2" xfId="18026"/>
    <cellStyle name="Percent 8 2 4 2 2 2" xfId="35844"/>
    <cellStyle name="Percent 8 2 4 2 3" xfId="35843"/>
    <cellStyle name="Percent 8 2 4 3" xfId="18027"/>
    <cellStyle name="Percent 8 2 4 3 2" xfId="35845"/>
    <cellStyle name="Percent 8 2 4 4" xfId="35842"/>
    <cellStyle name="Percent 8 2 5" xfId="18028"/>
    <cellStyle name="Percent 8 2 5 2" xfId="18029"/>
    <cellStyle name="Percent 8 2 5 2 2" xfId="35847"/>
    <cellStyle name="Percent 8 2 5 3" xfId="35846"/>
    <cellStyle name="Percent 8 2 6" xfId="18030"/>
    <cellStyle name="Percent 8 2 6 2" xfId="35848"/>
    <cellStyle name="Percent 8 2 7" xfId="35825"/>
    <cellStyle name="Percent 8 3" xfId="18031"/>
    <cellStyle name="Percent 8 3 2" xfId="18032"/>
    <cellStyle name="Percent 8 3 2 2" xfId="18033"/>
    <cellStyle name="Percent 8 3 2 2 2" xfId="18034"/>
    <cellStyle name="Percent 8 3 2 2 2 2" xfId="35852"/>
    <cellStyle name="Percent 8 3 2 2 3" xfId="35851"/>
    <cellStyle name="Percent 8 3 2 3" xfId="18035"/>
    <cellStyle name="Percent 8 3 2 3 2" xfId="35853"/>
    <cellStyle name="Percent 8 3 2 4" xfId="35850"/>
    <cellStyle name="Percent 8 3 3" xfId="18036"/>
    <cellStyle name="Percent 8 3 3 2" xfId="18037"/>
    <cellStyle name="Percent 8 3 3 2 2" xfId="35855"/>
    <cellStyle name="Percent 8 3 3 3" xfId="35854"/>
    <cellStyle name="Percent 8 3 4" xfId="18038"/>
    <cellStyle name="Percent 8 3 4 2" xfId="35856"/>
    <cellStyle name="Percent 8 3 5" xfId="35849"/>
    <cellStyle name="Percent 8 4" xfId="18039"/>
    <cellStyle name="Percent 8 4 2" xfId="18040"/>
    <cellStyle name="Percent 8 4 2 2" xfId="18041"/>
    <cellStyle name="Percent 8 4 2 2 2" xfId="18042"/>
    <cellStyle name="Percent 8 4 2 2 2 2" xfId="35860"/>
    <cellStyle name="Percent 8 4 2 2 3" xfId="35859"/>
    <cellStyle name="Percent 8 4 2 3" xfId="18043"/>
    <cellStyle name="Percent 8 4 2 3 2" xfId="35861"/>
    <cellStyle name="Percent 8 4 2 4" xfId="35858"/>
    <cellStyle name="Percent 8 4 3" xfId="18044"/>
    <cellStyle name="Percent 8 4 3 2" xfId="18045"/>
    <cellStyle name="Percent 8 4 3 2 2" xfId="35863"/>
    <cellStyle name="Percent 8 4 3 3" xfId="35862"/>
    <cellStyle name="Percent 8 4 4" xfId="18046"/>
    <cellStyle name="Percent 8 4 4 2" xfId="35864"/>
    <cellStyle name="Percent 8 4 5" xfId="35857"/>
    <cellStyle name="Percent 8 5" xfId="18047"/>
    <cellStyle name="Percent 8 5 2" xfId="18048"/>
    <cellStyle name="Percent 8 5 2 2" xfId="18049"/>
    <cellStyle name="Percent 8 5 2 2 2" xfId="35867"/>
    <cellStyle name="Percent 8 5 2 3" xfId="35866"/>
    <cellStyle name="Percent 8 5 3" xfId="18050"/>
    <cellStyle name="Percent 8 5 3 2" xfId="35868"/>
    <cellStyle name="Percent 8 5 4" xfId="35865"/>
    <cellStyle name="Percent 8 6" xfId="18051"/>
    <cellStyle name="Percent 8 6 2" xfId="18052"/>
    <cellStyle name="Percent 8 6 2 2" xfId="35870"/>
    <cellStyle name="Percent 8 6 3" xfId="35869"/>
    <cellStyle name="Percent 8 7" xfId="18053"/>
    <cellStyle name="Percent 8 7 2" xfId="35871"/>
    <cellStyle name="Percent 8 8" xfId="18054"/>
    <cellStyle name="Percent 8 8 2" xfId="35872"/>
    <cellStyle name="Percent 9" xfId="917"/>
    <cellStyle name="Percent 9 2" xfId="918"/>
    <cellStyle name="Percent 9 2 2" xfId="35874"/>
    <cellStyle name="Percent 9 3" xfId="18055"/>
    <cellStyle name="Percent 9 3 2" xfId="18056"/>
    <cellStyle name="Percent 9 4" xfId="18057"/>
    <cellStyle name="Percent 9 5" xfId="35873"/>
    <cellStyle name="Percentage" xfId="156"/>
    <cellStyle name="Period Title" xfId="157"/>
    <cellStyle name="Period Title 2" xfId="18058"/>
    <cellStyle name="PSChar" xfId="158"/>
    <cellStyle name="PSChar 2" xfId="18059"/>
    <cellStyle name="PSChar 2 2" xfId="18060"/>
    <cellStyle name="PSDate" xfId="159"/>
    <cellStyle name="PSDate 2" xfId="18061"/>
    <cellStyle name="PSDate 2 2" xfId="18062"/>
    <cellStyle name="PSDec" xfId="160"/>
    <cellStyle name="PSDec 2" xfId="18063"/>
    <cellStyle name="PSDec 2 2" xfId="18064"/>
    <cellStyle name="PSDetail" xfId="161"/>
    <cellStyle name="PSHeading" xfId="162"/>
    <cellStyle name="PSHeading 2" xfId="581"/>
    <cellStyle name="PSHeading 2 2" xfId="582"/>
    <cellStyle name="PSHeading 2 2 2" xfId="18065"/>
    <cellStyle name="PSHeading 2 2 2 2" xfId="18066"/>
    <cellStyle name="PSHeading 2 2 2 2 2" xfId="18067"/>
    <cellStyle name="PSHeading 2 2 2 2 2 2" xfId="18068"/>
    <cellStyle name="PSHeading 2 2 2 2 2 2 2" xfId="18069"/>
    <cellStyle name="PSHeading 2 2 2 2 2 2 2 2" xfId="35882"/>
    <cellStyle name="PSHeading 2 2 2 2 2 2 3" xfId="35881"/>
    <cellStyle name="PSHeading 2 2 2 2 2 3" xfId="18070"/>
    <cellStyle name="PSHeading 2 2 2 2 2 3 2" xfId="18071"/>
    <cellStyle name="PSHeading 2 2 2 2 2 3 2 2" xfId="35884"/>
    <cellStyle name="PSHeading 2 2 2 2 2 3 3" xfId="35883"/>
    <cellStyle name="PSHeading 2 2 2 2 2 4" xfId="35880"/>
    <cellStyle name="PSHeading 2 2 2 2 3" xfId="18072"/>
    <cellStyle name="PSHeading 2 2 2 2 3 2" xfId="18073"/>
    <cellStyle name="PSHeading 2 2 2 2 3 2 2" xfId="18074"/>
    <cellStyle name="PSHeading 2 2 2 2 3 2 2 2" xfId="35887"/>
    <cellStyle name="PSHeading 2 2 2 2 3 2 3" xfId="35886"/>
    <cellStyle name="PSHeading 2 2 2 2 3 3" xfId="18075"/>
    <cellStyle name="PSHeading 2 2 2 2 3 3 2" xfId="18076"/>
    <cellStyle name="PSHeading 2 2 2 2 3 3 2 2" xfId="35889"/>
    <cellStyle name="PSHeading 2 2 2 2 3 3 3" xfId="35888"/>
    <cellStyle name="PSHeading 2 2 2 2 3 4" xfId="35885"/>
    <cellStyle name="PSHeading 2 2 2 2 4" xfId="18077"/>
    <cellStyle name="PSHeading 2 2 2 2 4 2" xfId="35890"/>
    <cellStyle name="PSHeading 2 2 2 2 5" xfId="35879"/>
    <cellStyle name="PSHeading 2 2 2 3" xfId="18078"/>
    <cellStyle name="PSHeading 2 2 2 3 2" xfId="18079"/>
    <cellStyle name="PSHeading 2 2 2 3 2 2" xfId="18080"/>
    <cellStyle name="PSHeading 2 2 2 3 2 2 2" xfId="35893"/>
    <cellStyle name="PSHeading 2 2 2 3 2 3" xfId="35892"/>
    <cellStyle name="PSHeading 2 2 2 3 3" xfId="18081"/>
    <cellStyle name="PSHeading 2 2 2 3 3 2" xfId="18082"/>
    <cellStyle name="PSHeading 2 2 2 3 3 2 2" xfId="35895"/>
    <cellStyle name="PSHeading 2 2 2 3 3 3" xfId="35894"/>
    <cellStyle name="PSHeading 2 2 2 3 4" xfId="35891"/>
    <cellStyle name="PSHeading 2 2 2 4" xfId="18083"/>
    <cellStyle name="PSHeading 2 2 2 4 2" xfId="18084"/>
    <cellStyle name="PSHeading 2 2 2 4 2 2" xfId="18085"/>
    <cellStyle name="PSHeading 2 2 2 4 2 2 2" xfId="35898"/>
    <cellStyle name="PSHeading 2 2 2 4 2 3" xfId="35897"/>
    <cellStyle name="PSHeading 2 2 2 4 3" xfId="18086"/>
    <cellStyle name="PSHeading 2 2 2 4 3 2" xfId="18087"/>
    <cellStyle name="PSHeading 2 2 2 4 3 2 2" xfId="35900"/>
    <cellStyle name="PSHeading 2 2 2 4 3 3" xfId="35899"/>
    <cellStyle name="PSHeading 2 2 2 4 4" xfId="35896"/>
    <cellStyle name="PSHeading 2 2 2 5" xfId="18088"/>
    <cellStyle name="PSHeading 2 2 2 5 2" xfId="35901"/>
    <cellStyle name="PSHeading 2 2 2 6" xfId="35878"/>
    <cellStyle name="PSHeading 2 2 3" xfId="18089"/>
    <cellStyle name="PSHeading 2 2 3 2" xfId="18090"/>
    <cellStyle name="PSHeading 2 2 3 2 2" xfId="18091"/>
    <cellStyle name="PSHeading 2 2 3 2 2 2" xfId="18092"/>
    <cellStyle name="PSHeading 2 2 3 2 2 2 2" xfId="18093"/>
    <cellStyle name="PSHeading 2 2 3 2 2 2 2 2" xfId="35906"/>
    <cellStyle name="PSHeading 2 2 3 2 2 2 3" xfId="35905"/>
    <cellStyle name="PSHeading 2 2 3 2 2 3" xfId="18094"/>
    <cellStyle name="PSHeading 2 2 3 2 2 3 2" xfId="18095"/>
    <cellStyle name="PSHeading 2 2 3 2 2 3 2 2" xfId="35908"/>
    <cellStyle name="PSHeading 2 2 3 2 2 3 3" xfId="35907"/>
    <cellStyle name="PSHeading 2 2 3 2 2 4" xfId="35904"/>
    <cellStyle name="PSHeading 2 2 3 2 3" xfId="18096"/>
    <cellStyle name="PSHeading 2 2 3 2 3 2" xfId="18097"/>
    <cellStyle name="PSHeading 2 2 3 2 3 2 2" xfId="18098"/>
    <cellStyle name="PSHeading 2 2 3 2 3 2 2 2" xfId="35911"/>
    <cellStyle name="PSHeading 2 2 3 2 3 2 3" xfId="35910"/>
    <cellStyle name="PSHeading 2 2 3 2 3 3" xfId="18099"/>
    <cellStyle name="PSHeading 2 2 3 2 3 3 2" xfId="18100"/>
    <cellStyle name="PSHeading 2 2 3 2 3 3 2 2" xfId="35913"/>
    <cellStyle name="PSHeading 2 2 3 2 3 3 3" xfId="35912"/>
    <cellStyle name="PSHeading 2 2 3 2 3 4" xfId="35909"/>
    <cellStyle name="PSHeading 2 2 3 2 4" xfId="18101"/>
    <cellStyle name="PSHeading 2 2 3 2 4 2" xfId="35914"/>
    <cellStyle name="PSHeading 2 2 3 2 5" xfId="35903"/>
    <cellStyle name="PSHeading 2 2 3 3" xfId="18102"/>
    <cellStyle name="PSHeading 2 2 3 3 2" xfId="18103"/>
    <cellStyle name="PSHeading 2 2 3 3 2 2" xfId="18104"/>
    <cellStyle name="PSHeading 2 2 3 3 2 2 2" xfId="35917"/>
    <cellStyle name="PSHeading 2 2 3 3 2 3" xfId="35916"/>
    <cellStyle name="PSHeading 2 2 3 3 3" xfId="18105"/>
    <cellStyle name="PSHeading 2 2 3 3 3 2" xfId="18106"/>
    <cellStyle name="PSHeading 2 2 3 3 3 2 2" xfId="35919"/>
    <cellStyle name="PSHeading 2 2 3 3 3 3" xfId="35918"/>
    <cellStyle name="PSHeading 2 2 3 3 4" xfId="35915"/>
    <cellStyle name="PSHeading 2 2 3 4" xfId="18107"/>
    <cellStyle name="PSHeading 2 2 3 4 2" xfId="18108"/>
    <cellStyle name="PSHeading 2 2 3 4 2 2" xfId="18109"/>
    <cellStyle name="PSHeading 2 2 3 4 2 2 2" xfId="35922"/>
    <cellStyle name="PSHeading 2 2 3 4 2 3" xfId="35921"/>
    <cellStyle name="PSHeading 2 2 3 4 3" xfId="18110"/>
    <cellStyle name="PSHeading 2 2 3 4 3 2" xfId="18111"/>
    <cellStyle name="PSHeading 2 2 3 4 3 2 2" xfId="35924"/>
    <cellStyle name="PSHeading 2 2 3 4 3 3" xfId="35923"/>
    <cellStyle name="PSHeading 2 2 3 4 4" xfId="35920"/>
    <cellStyle name="PSHeading 2 2 3 5" xfId="18112"/>
    <cellStyle name="PSHeading 2 2 3 5 2" xfId="35925"/>
    <cellStyle name="PSHeading 2 2 3 6" xfId="35902"/>
    <cellStyle name="PSHeading 2 2 4" xfId="18113"/>
    <cellStyle name="PSHeading 2 2 4 2" xfId="18114"/>
    <cellStyle name="PSHeading 2 2 4 2 2" xfId="18115"/>
    <cellStyle name="PSHeading 2 2 4 2 2 2" xfId="18116"/>
    <cellStyle name="PSHeading 2 2 4 2 2 2 2" xfId="35929"/>
    <cellStyle name="PSHeading 2 2 4 2 2 3" xfId="35928"/>
    <cellStyle name="PSHeading 2 2 4 2 3" xfId="18117"/>
    <cellStyle name="PSHeading 2 2 4 2 3 2" xfId="18118"/>
    <cellStyle name="PSHeading 2 2 4 2 3 2 2" xfId="35931"/>
    <cellStyle name="PSHeading 2 2 4 2 3 3" xfId="35930"/>
    <cellStyle name="PSHeading 2 2 4 2 4" xfId="35927"/>
    <cellStyle name="PSHeading 2 2 4 3" xfId="18119"/>
    <cellStyle name="PSHeading 2 2 4 3 2" xfId="18120"/>
    <cellStyle name="PSHeading 2 2 4 3 2 2" xfId="18121"/>
    <cellStyle name="PSHeading 2 2 4 3 2 2 2" xfId="35934"/>
    <cellStyle name="PSHeading 2 2 4 3 2 3" xfId="35933"/>
    <cellStyle name="PSHeading 2 2 4 3 3" xfId="18122"/>
    <cellStyle name="PSHeading 2 2 4 3 3 2" xfId="18123"/>
    <cellStyle name="PSHeading 2 2 4 3 3 2 2" xfId="35936"/>
    <cellStyle name="PSHeading 2 2 4 3 3 3" xfId="35935"/>
    <cellStyle name="PSHeading 2 2 4 3 4" xfId="35932"/>
    <cellStyle name="PSHeading 2 2 4 4" xfId="18124"/>
    <cellStyle name="PSHeading 2 2 4 4 2" xfId="35937"/>
    <cellStyle name="PSHeading 2 2 4 5" xfId="35926"/>
    <cellStyle name="PSHeading 2 2 5" xfId="18125"/>
    <cellStyle name="PSHeading 2 2 5 2" xfId="18126"/>
    <cellStyle name="PSHeading 2 2 5 2 2" xfId="18127"/>
    <cellStyle name="PSHeading 2 2 5 2 2 2" xfId="18128"/>
    <cellStyle name="PSHeading 2 2 5 2 2 2 2" xfId="18129"/>
    <cellStyle name="PSHeading 2 2 5 2 2 2 2 2" xfId="35942"/>
    <cellStyle name="PSHeading 2 2 5 2 2 2 3" xfId="35941"/>
    <cellStyle name="PSHeading 2 2 5 2 2 3" xfId="18130"/>
    <cellStyle name="PSHeading 2 2 5 2 2 3 2" xfId="18131"/>
    <cellStyle name="PSHeading 2 2 5 2 2 3 2 2" xfId="35944"/>
    <cellStyle name="PSHeading 2 2 5 2 2 3 3" xfId="35943"/>
    <cellStyle name="PSHeading 2 2 5 2 2 4" xfId="35940"/>
    <cellStyle name="PSHeading 2 2 5 2 3" xfId="18132"/>
    <cellStyle name="PSHeading 2 2 5 2 3 2" xfId="18133"/>
    <cellStyle name="PSHeading 2 2 5 2 3 2 2" xfId="18134"/>
    <cellStyle name="PSHeading 2 2 5 2 3 2 2 2" xfId="35947"/>
    <cellStyle name="PSHeading 2 2 5 2 3 2 3" xfId="35946"/>
    <cellStyle name="PSHeading 2 2 5 2 3 3" xfId="18135"/>
    <cellStyle name="PSHeading 2 2 5 2 3 3 2" xfId="18136"/>
    <cellStyle name="PSHeading 2 2 5 2 3 3 2 2" xfId="35949"/>
    <cellStyle name="PSHeading 2 2 5 2 3 3 3" xfId="35948"/>
    <cellStyle name="PSHeading 2 2 5 2 3 4" xfId="35945"/>
    <cellStyle name="PSHeading 2 2 5 2 4" xfId="18137"/>
    <cellStyle name="PSHeading 2 2 5 2 4 2" xfId="35950"/>
    <cellStyle name="PSHeading 2 2 5 2 5" xfId="35939"/>
    <cellStyle name="PSHeading 2 2 5 3" xfId="18138"/>
    <cellStyle name="PSHeading 2 2 5 3 2" xfId="18139"/>
    <cellStyle name="PSHeading 2 2 5 3 2 2" xfId="18140"/>
    <cellStyle name="PSHeading 2 2 5 3 2 2 2" xfId="18141"/>
    <cellStyle name="PSHeading 2 2 5 3 2 2 2 2" xfId="35954"/>
    <cellStyle name="PSHeading 2 2 5 3 2 2 3" xfId="35953"/>
    <cellStyle name="PSHeading 2 2 5 3 2 3" xfId="18142"/>
    <cellStyle name="PSHeading 2 2 5 3 2 3 2" xfId="18143"/>
    <cellStyle name="PSHeading 2 2 5 3 2 3 2 2" xfId="35956"/>
    <cellStyle name="PSHeading 2 2 5 3 2 3 3" xfId="35955"/>
    <cellStyle name="PSHeading 2 2 5 3 2 4" xfId="35952"/>
    <cellStyle name="PSHeading 2 2 5 3 3" xfId="18144"/>
    <cellStyle name="PSHeading 2 2 5 3 3 2" xfId="18145"/>
    <cellStyle name="PSHeading 2 2 5 3 3 2 2" xfId="35958"/>
    <cellStyle name="PSHeading 2 2 5 3 3 3" xfId="35957"/>
    <cellStyle name="PSHeading 2 2 5 3 4" xfId="18146"/>
    <cellStyle name="PSHeading 2 2 5 3 4 2" xfId="18147"/>
    <cellStyle name="PSHeading 2 2 5 3 4 2 2" xfId="35960"/>
    <cellStyle name="PSHeading 2 2 5 3 4 3" xfId="35959"/>
    <cellStyle name="PSHeading 2 2 5 3 5" xfId="35951"/>
    <cellStyle name="PSHeading 2 2 5 4" xfId="18148"/>
    <cellStyle name="PSHeading 2 2 5 4 2" xfId="35961"/>
    <cellStyle name="PSHeading 2 2 5 5" xfId="35938"/>
    <cellStyle name="PSHeading 2 2 6" xfId="18149"/>
    <cellStyle name="PSHeading 2 2 6 2" xfId="18150"/>
    <cellStyle name="PSHeading 2 2 6 2 2" xfId="18151"/>
    <cellStyle name="PSHeading 2 2 6 2 2 2" xfId="35964"/>
    <cellStyle name="PSHeading 2 2 6 2 3" xfId="35963"/>
    <cellStyle name="PSHeading 2 2 6 3" xfId="18152"/>
    <cellStyle name="PSHeading 2 2 6 3 2" xfId="18153"/>
    <cellStyle name="PSHeading 2 2 6 3 2 2" xfId="35966"/>
    <cellStyle name="PSHeading 2 2 6 3 3" xfId="35965"/>
    <cellStyle name="PSHeading 2 2 6 4" xfId="35962"/>
    <cellStyle name="PSHeading 2 2 7" xfId="18154"/>
    <cellStyle name="PSHeading 2 2 7 2" xfId="18155"/>
    <cellStyle name="PSHeading 2 2 7 2 2" xfId="35968"/>
    <cellStyle name="PSHeading 2 2 7 3" xfId="35967"/>
    <cellStyle name="PSHeading 2 2 8" xfId="35877"/>
    <cellStyle name="PSHeading 2 3" xfId="18156"/>
    <cellStyle name="PSHeading 2 3 2" xfId="18157"/>
    <cellStyle name="PSHeading 2 3 2 2" xfId="18158"/>
    <cellStyle name="PSHeading 2 3 2 2 2" xfId="18159"/>
    <cellStyle name="PSHeading 2 3 2 2 2 2" xfId="18160"/>
    <cellStyle name="PSHeading 2 3 2 2 2 2 2" xfId="18161"/>
    <cellStyle name="PSHeading 2 3 2 2 2 2 2 2" xfId="35974"/>
    <cellStyle name="PSHeading 2 3 2 2 2 2 3" xfId="35973"/>
    <cellStyle name="PSHeading 2 3 2 2 2 3" xfId="18162"/>
    <cellStyle name="PSHeading 2 3 2 2 2 3 2" xfId="18163"/>
    <cellStyle name="PSHeading 2 3 2 2 2 3 2 2" xfId="35976"/>
    <cellStyle name="PSHeading 2 3 2 2 2 3 3" xfId="35975"/>
    <cellStyle name="PSHeading 2 3 2 2 2 4" xfId="35972"/>
    <cellStyle name="PSHeading 2 3 2 2 3" xfId="18164"/>
    <cellStyle name="PSHeading 2 3 2 2 3 2" xfId="18165"/>
    <cellStyle name="PSHeading 2 3 2 2 3 2 2" xfId="18166"/>
    <cellStyle name="PSHeading 2 3 2 2 3 2 2 2" xfId="35979"/>
    <cellStyle name="PSHeading 2 3 2 2 3 2 3" xfId="35978"/>
    <cellStyle name="PSHeading 2 3 2 2 3 3" xfId="18167"/>
    <cellStyle name="PSHeading 2 3 2 2 3 3 2" xfId="18168"/>
    <cellStyle name="PSHeading 2 3 2 2 3 3 2 2" xfId="35981"/>
    <cellStyle name="PSHeading 2 3 2 2 3 3 3" xfId="35980"/>
    <cellStyle name="PSHeading 2 3 2 2 3 4" xfId="35977"/>
    <cellStyle name="PSHeading 2 3 2 2 4" xfId="18169"/>
    <cellStyle name="PSHeading 2 3 2 2 4 2" xfId="35982"/>
    <cellStyle name="PSHeading 2 3 2 2 5" xfId="35971"/>
    <cellStyle name="PSHeading 2 3 2 3" xfId="18170"/>
    <cellStyle name="PSHeading 2 3 2 3 2" xfId="18171"/>
    <cellStyle name="PSHeading 2 3 2 3 2 2" xfId="18172"/>
    <cellStyle name="PSHeading 2 3 2 3 2 2 2" xfId="35985"/>
    <cellStyle name="PSHeading 2 3 2 3 2 3" xfId="35984"/>
    <cellStyle name="PSHeading 2 3 2 3 3" xfId="18173"/>
    <cellStyle name="PSHeading 2 3 2 3 3 2" xfId="18174"/>
    <cellStyle name="PSHeading 2 3 2 3 3 2 2" xfId="35987"/>
    <cellStyle name="PSHeading 2 3 2 3 3 3" xfId="35986"/>
    <cellStyle name="PSHeading 2 3 2 3 4" xfId="35983"/>
    <cellStyle name="PSHeading 2 3 2 4" xfId="18175"/>
    <cellStyle name="PSHeading 2 3 2 4 2" xfId="18176"/>
    <cellStyle name="PSHeading 2 3 2 4 2 2" xfId="18177"/>
    <cellStyle name="PSHeading 2 3 2 4 2 2 2" xfId="35990"/>
    <cellStyle name="PSHeading 2 3 2 4 2 3" xfId="35989"/>
    <cellStyle name="PSHeading 2 3 2 4 3" xfId="18178"/>
    <cellStyle name="PSHeading 2 3 2 4 3 2" xfId="18179"/>
    <cellStyle name="PSHeading 2 3 2 4 3 2 2" xfId="35992"/>
    <cellStyle name="PSHeading 2 3 2 4 3 3" xfId="35991"/>
    <cellStyle name="PSHeading 2 3 2 4 4" xfId="35988"/>
    <cellStyle name="PSHeading 2 3 2 5" xfId="18180"/>
    <cellStyle name="PSHeading 2 3 2 5 2" xfId="35993"/>
    <cellStyle name="PSHeading 2 3 2 6" xfId="35970"/>
    <cellStyle name="PSHeading 2 3 3" xfId="18181"/>
    <cellStyle name="PSHeading 2 3 3 2" xfId="18182"/>
    <cellStyle name="PSHeading 2 3 3 2 2" xfId="18183"/>
    <cellStyle name="PSHeading 2 3 3 2 2 2" xfId="18184"/>
    <cellStyle name="PSHeading 2 3 3 2 2 2 2" xfId="18185"/>
    <cellStyle name="PSHeading 2 3 3 2 2 2 2 2" xfId="35998"/>
    <cellStyle name="PSHeading 2 3 3 2 2 2 3" xfId="35997"/>
    <cellStyle name="PSHeading 2 3 3 2 2 3" xfId="18186"/>
    <cellStyle name="PSHeading 2 3 3 2 2 3 2" xfId="18187"/>
    <cellStyle name="PSHeading 2 3 3 2 2 3 2 2" xfId="36000"/>
    <cellStyle name="PSHeading 2 3 3 2 2 3 3" xfId="35999"/>
    <cellStyle name="PSHeading 2 3 3 2 2 4" xfId="35996"/>
    <cellStyle name="PSHeading 2 3 3 2 3" xfId="18188"/>
    <cellStyle name="PSHeading 2 3 3 2 3 2" xfId="18189"/>
    <cellStyle name="PSHeading 2 3 3 2 3 2 2" xfId="18190"/>
    <cellStyle name="PSHeading 2 3 3 2 3 2 2 2" xfId="36003"/>
    <cellStyle name="PSHeading 2 3 3 2 3 2 3" xfId="36002"/>
    <cellStyle name="PSHeading 2 3 3 2 3 3" xfId="18191"/>
    <cellStyle name="PSHeading 2 3 3 2 3 3 2" xfId="18192"/>
    <cellStyle name="PSHeading 2 3 3 2 3 3 2 2" xfId="36005"/>
    <cellStyle name="PSHeading 2 3 3 2 3 3 3" xfId="36004"/>
    <cellStyle name="PSHeading 2 3 3 2 3 4" xfId="36001"/>
    <cellStyle name="PSHeading 2 3 3 2 4" xfId="18193"/>
    <cellStyle name="PSHeading 2 3 3 2 4 2" xfId="36006"/>
    <cellStyle name="PSHeading 2 3 3 2 5" xfId="35995"/>
    <cellStyle name="PSHeading 2 3 3 3" xfId="18194"/>
    <cellStyle name="PSHeading 2 3 3 3 2" xfId="18195"/>
    <cellStyle name="PSHeading 2 3 3 3 2 2" xfId="18196"/>
    <cellStyle name="PSHeading 2 3 3 3 2 2 2" xfId="36009"/>
    <cellStyle name="PSHeading 2 3 3 3 2 3" xfId="36008"/>
    <cellStyle name="PSHeading 2 3 3 3 3" xfId="18197"/>
    <cellStyle name="PSHeading 2 3 3 3 3 2" xfId="18198"/>
    <cellStyle name="PSHeading 2 3 3 3 3 2 2" xfId="36011"/>
    <cellStyle name="PSHeading 2 3 3 3 3 3" xfId="36010"/>
    <cellStyle name="PSHeading 2 3 3 3 4" xfId="36007"/>
    <cellStyle name="PSHeading 2 3 3 4" xfId="18199"/>
    <cellStyle name="PSHeading 2 3 3 4 2" xfId="18200"/>
    <cellStyle name="PSHeading 2 3 3 4 2 2" xfId="18201"/>
    <cellStyle name="PSHeading 2 3 3 4 2 2 2" xfId="36014"/>
    <cellStyle name="PSHeading 2 3 3 4 2 3" xfId="36013"/>
    <cellStyle name="PSHeading 2 3 3 4 3" xfId="18202"/>
    <cellStyle name="PSHeading 2 3 3 4 3 2" xfId="18203"/>
    <cellStyle name="PSHeading 2 3 3 4 3 2 2" xfId="36016"/>
    <cellStyle name="PSHeading 2 3 3 4 3 3" xfId="36015"/>
    <cellStyle name="PSHeading 2 3 3 4 4" xfId="36012"/>
    <cellStyle name="PSHeading 2 3 3 5" xfId="18204"/>
    <cellStyle name="PSHeading 2 3 3 5 2" xfId="36017"/>
    <cellStyle name="PSHeading 2 3 3 6" xfId="35994"/>
    <cellStyle name="PSHeading 2 3 4" xfId="18205"/>
    <cellStyle name="PSHeading 2 3 4 2" xfId="18206"/>
    <cellStyle name="PSHeading 2 3 4 2 2" xfId="18207"/>
    <cellStyle name="PSHeading 2 3 4 2 2 2" xfId="18208"/>
    <cellStyle name="PSHeading 2 3 4 2 2 2 2" xfId="36021"/>
    <cellStyle name="PSHeading 2 3 4 2 2 3" xfId="36020"/>
    <cellStyle name="PSHeading 2 3 4 2 3" xfId="18209"/>
    <cellStyle name="PSHeading 2 3 4 2 3 2" xfId="18210"/>
    <cellStyle name="PSHeading 2 3 4 2 3 2 2" xfId="36023"/>
    <cellStyle name="PSHeading 2 3 4 2 3 3" xfId="36022"/>
    <cellStyle name="PSHeading 2 3 4 2 4" xfId="36019"/>
    <cellStyle name="PSHeading 2 3 4 3" xfId="18211"/>
    <cellStyle name="PSHeading 2 3 4 3 2" xfId="18212"/>
    <cellStyle name="PSHeading 2 3 4 3 2 2" xfId="18213"/>
    <cellStyle name="PSHeading 2 3 4 3 2 2 2" xfId="36026"/>
    <cellStyle name="PSHeading 2 3 4 3 2 3" xfId="36025"/>
    <cellStyle name="PSHeading 2 3 4 3 3" xfId="18214"/>
    <cellStyle name="PSHeading 2 3 4 3 3 2" xfId="18215"/>
    <cellStyle name="PSHeading 2 3 4 3 3 2 2" xfId="36028"/>
    <cellStyle name="PSHeading 2 3 4 3 3 3" xfId="36027"/>
    <cellStyle name="PSHeading 2 3 4 3 4" xfId="36024"/>
    <cellStyle name="PSHeading 2 3 4 4" xfId="18216"/>
    <cellStyle name="PSHeading 2 3 4 4 2" xfId="36029"/>
    <cellStyle name="PSHeading 2 3 4 5" xfId="36018"/>
    <cellStyle name="PSHeading 2 3 5" xfId="18217"/>
    <cellStyle name="PSHeading 2 3 5 2" xfId="18218"/>
    <cellStyle name="PSHeading 2 3 5 2 2" xfId="18219"/>
    <cellStyle name="PSHeading 2 3 5 2 2 2" xfId="18220"/>
    <cellStyle name="PSHeading 2 3 5 2 2 2 2" xfId="36033"/>
    <cellStyle name="PSHeading 2 3 5 2 2 3" xfId="36032"/>
    <cellStyle name="PSHeading 2 3 5 2 3" xfId="18221"/>
    <cellStyle name="PSHeading 2 3 5 2 3 2" xfId="18222"/>
    <cellStyle name="PSHeading 2 3 5 2 3 2 2" xfId="36035"/>
    <cellStyle name="PSHeading 2 3 5 2 3 3" xfId="36034"/>
    <cellStyle name="PSHeading 2 3 5 2 4" xfId="36031"/>
    <cellStyle name="PSHeading 2 3 5 3" xfId="18223"/>
    <cellStyle name="PSHeading 2 3 5 3 2" xfId="18224"/>
    <cellStyle name="PSHeading 2 3 5 3 2 2" xfId="18225"/>
    <cellStyle name="PSHeading 2 3 5 3 2 2 2" xfId="36038"/>
    <cellStyle name="PSHeading 2 3 5 3 2 3" xfId="36037"/>
    <cellStyle name="PSHeading 2 3 5 3 3" xfId="18226"/>
    <cellStyle name="PSHeading 2 3 5 3 3 2" xfId="18227"/>
    <cellStyle name="PSHeading 2 3 5 3 3 2 2" xfId="36040"/>
    <cellStyle name="PSHeading 2 3 5 3 3 3" xfId="36039"/>
    <cellStyle name="PSHeading 2 3 5 3 4" xfId="36036"/>
    <cellStyle name="PSHeading 2 3 5 4" xfId="18228"/>
    <cellStyle name="PSHeading 2 3 5 4 2" xfId="36041"/>
    <cellStyle name="PSHeading 2 3 5 5" xfId="36030"/>
    <cellStyle name="PSHeading 2 3 6" xfId="18229"/>
    <cellStyle name="PSHeading 2 3 6 2" xfId="18230"/>
    <cellStyle name="PSHeading 2 3 6 2 2" xfId="18231"/>
    <cellStyle name="PSHeading 2 3 6 2 2 2" xfId="18232"/>
    <cellStyle name="PSHeading 2 3 6 2 2 2 2" xfId="18233"/>
    <cellStyle name="PSHeading 2 3 6 2 2 2 2 2" xfId="36046"/>
    <cellStyle name="PSHeading 2 3 6 2 2 2 3" xfId="36045"/>
    <cellStyle name="PSHeading 2 3 6 2 2 3" xfId="18234"/>
    <cellStyle name="PSHeading 2 3 6 2 2 3 2" xfId="18235"/>
    <cellStyle name="PSHeading 2 3 6 2 2 3 2 2" xfId="36048"/>
    <cellStyle name="PSHeading 2 3 6 2 2 3 3" xfId="36047"/>
    <cellStyle name="PSHeading 2 3 6 2 2 4" xfId="36044"/>
    <cellStyle name="PSHeading 2 3 6 2 3" xfId="18236"/>
    <cellStyle name="PSHeading 2 3 6 2 3 2" xfId="18237"/>
    <cellStyle name="PSHeading 2 3 6 2 3 2 2" xfId="18238"/>
    <cellStyle name="PSHeading 2 3 6 2 3 2 2 2" xfId="36051"/>
    <cellStyle name="PSHeading 2 3 6 2 3 2 3" xfId="36050"/>
    <cellStyle name="PSHeading 2 3 6 2 3 3" xfId="18239"/>
    <cellStyle name="PSHeading 2 3 6 2 3 3 2" xfId="18240"/>
    <cellStyle name="PSHeading 2 3 6 2 3 3 2 2" xfId="36053"/>
    <cellStyle name="PSHeading 2 3 6 2 3 3 3" xfId="36052"/>
    <cellStyle name="PSHeading 2 3 6 2 3 4" xfId="36049"/>
    <cellStyle name="PSHeading 2 3 6 2 4" xfId="18241"/>
    <cellStyle name="PSHeading 2 3 6 2 4 2" xfId="36054"/>
    <cellStyle name="PSHeading 2 3 6 2 5" xfId="36043"/>
    <cellStyle name="PSHeading 2 3 6 3" xfId="18242"/>
    <cellStyle name="PSHeading 2 3 6 3 2" xfId="18243"/>
    <cellStyle name="PSHeading 2 3 6 3 2 2" xfId="18244"/>
    <cellStyle name="PSHeading 2 3 6 3 2 2 2" xfId="18245"/>
    <cellStyle name="PSHeading 2 3 6 3 2 2 2 2" xfId="36058"/>
    <cellStyle name="PSHeading 2 3 6 3 2 2 3" xfId="36057"/>
    <cellStyle name="PSHeading 2 3 6 3 2 3" xfId="18246"/>
    <cellStyle name="PSHeading 2 3 6 3 2 3 2" xfId="18247"/>
    <cellStyle name="PSHeading 2 3 6 3 2 3 2 2" xfId="36060"/>
    <cellStyle name="PSHeading 2 3 6 3 2 3 3" xfId="36059"/>
    <cellStyle name="PSHeading 2 3 6 3 2 4" xfId="36056"/>
    <cellStyle name="PSHeading 2 3 6 3 3" xfId="18248"/>
    <cellStyle name="PSHeading 2 3 6 3 3 2" xfId="18249"/>
    <cellStyle name="PSHeading 2 3 6 3 3 2 2" xfId="36062"/>
    <cellStyle name="PSHeading 2 3 6 3 3 3" xfId="36061"/>
    <cellStyle name="PSHeading 2 3 6 3 4" xfId="18250"/>
    <cellStyle name="PSHeading 2 3 6 3 4 2" xfId="18251"/>
    <cellStyle name="PSHeading 2 3 6 3 4 2 2" xfId="36064"/>
    <cellStyle name="PSHeading 2 3 6 3 4 3" xfId="36063"/>
    <cellStyle name="PSHeading 2 3 6 3 5" xfId="36055"/>
    <cellStyle name="PSHeading 2 3 6 4" xfId="18252"/>
    <cellStyle name="PSHeading 2 3 6 4 2" xfId="36065"/>
    <cellStyle name="PSHeading 2 3 6 5" xfId="36042"/>
    <cellStyle name="PSHeading 2 3 7" xfId="18253"/>
    <cellStyle name="PSHeading 2 3 7 2" xfId="18254"/>
    <cellStyle name="PSHeading 2 3 7 2 2" xfId="18255"/>
    <cellStyle name="PSHeading 2 3 7 2 2 2" xfId="36068"/>
    <cellStyle name="PSHeading 2 3 7 2 3" xfId="36067"/>
    <cellStyle name="PSHeading 2 3 7 3" xfId="18256"/>
    <cellStyle name="PSHeading 2 3 7 3 2" xfId="18257"/>
    <cellStyle name="PSHeading 2 3 7 3 2 2" xfId="36070"/>
    <cellStyle name="PSHeading 2 3 7 3 3" xfId="36069"/>
    <cellStyle name="PSHeading 2 3 7 4" xfId="36066"/>
    <cellStyle name="PSHeading 2 3 8" xfId="18258"/>
    <cellStyle name="PSHeading 2 3 8 2" xfId="18259"/>
    <cellStyle name="PSHeading 2 3 8 2 2" xfId="36072"/>
    <cellStyle name="PSHeading 2 3 8 3" xfId="36071"/>
    <cellStyle name="PSHeading 2 3 9" xfId="35969"/>
    <cellStyle name="PSHeading 2 4" xfId="18260"/>
    <cellStyle name="PSHeading 2 4 2" xfId="18261"/>
    <cellStyle name="PSHeading 2 4 2 2" xfId="18262"/>
    <cellStyle name="PSHeading 2 4 2 2 2" xfId="18263"/>
    <cellStyle name="PSHeading 2 4 2 2 2 2" xfId="18264"/>
    <cellStyle name="PSHeading 2 4 2 2 2 2 2" xfId="18265"/>
    <cellStyle name="PSHeading 2 4 2 2 2 2 2 2" xfId="36078"/>
    <cellStyle name="PSHeading 2 4 2 2 2 2 3" xfId="36077"/>
    <cellStyle name="PSHeading 2 4 2 2 2 3" xfId="18266"/>
    <cellStyle name="PSHeading 2 4 2 2 2 3 2" xfId="18267"/>
    <cellStyle name="PSHeading 2 4 2 2 2 3 2 2" xfId="36080"/>
    <cellStyle name="PSHeading 2 4 2 2 2 3 3" xfId="36079"/>
    <cellStyle name="PSHeading 2 4 2 2 2 4" xfId="36076"/>
    <cellStyle name="PSHeading 2 4 2 2 3" xfId="18268"/>
    <cellStyle name="PSHeading 2 4 2 2 3 2" xfId="18269"/>
    <cellStyle name="PSHeading 2 4 2 2 3 2 2" xfId="18270"/>
    <cellStyle name="PSHeading 2 4 2 2 3 2 2 2" xfId="36083"/>
    <cellStyle name="PSHeading 2 4 2 2 3 2 3" xfId="36082"/>
    <cellStyle name="PSHeading 2 4 2 2 3 3" xfId="18271"/>
    <cellStyle name="PSHeading 2 4 2 2 3 3 2" xfId="18272"/>
    <cellStyle name="PSHeading 2 4 2 2 3 3 2 2" xfId="36085"/>
    <cellStyle name="PSHeading 2 4 2 2 3 3 3" xfId="36084"/>
    <cellStyle name="PSHeading 2 4 2 2 3 4" xfId="36081"/>
    <cellStyle name="PSHeading 2 4 2 2 4" xfId="18273"/>
    <cellStyle name="PSHeading 2 4 2 2 4 2" xfId="36086"/>
    <cellStyle name="PSHeading 2 4 2 2 5" xfId="36075"/>
    <cellStyle name="PSHeading 2 4 2 3" xfId="18274"/>
    <cellStyle name="PSHeading 2 4 2 3 2" xfId="18275"/>
    <cellStyle name="PSHeading 2 4 2 3 2 2" xfId="18276"/>
    <cellStyle name="PSHeading 2 4 2 3 2 2 2" xfId="36089"/>
    <cellStyle name="PSHeading 2 4 2 3 2 3" xfId="36088"/>
    <cellStyle name="PSHeading 2 4 2 3 3" xfId="18277"/>
    <cellStyle name="PSHeading 2 4 2 3 3 2" xfId="18278"/>
    <cellStyle name="PSHeading 2 4 2 3 3 2 2" xfId="36091"/>
    <cellStyle name="PSHeading 2 4 2 3 3 3" xfId="36090"/>
    <cellStyle name="PSHeading 2 4 2 3 4" xfId="36087"/>
    <cellStyle name="PSHeading 2 4 2 4" xfId="18279"/>
    <cellStyle name="PSHeading 2 4 2 4 2" xfId="18280"/>
    <cellStyle name="PSHeading 2 4 2 4 2 2" xfId="18281"/>
    <cellStyle name="PSHeading 2 4 2 4 2 2 2" xfId="36094"/>
    <cellStyle name="PSHeading 2 4 2 4 2 3" xfId="36093"/>
    <cellStyle name="PSHeading 2 4 2 4 3" xfId="18282"/>
    <cellStyle name="PSHeading 2 4 2 4 3 2" xfId="18283"/>
    <cellStyle name="PSHeading 2 4 2 4 3 2 2" xfId="36096"/>
    <cellStyle name="PSHeading 2 4 2 4 3 3" xfId="36095"/>
    <cellStyle name="PSHeading 2 4 2 4 4" xfId="36092"/>
    <cellStyle name="PSHeading 2 4 2 5" xfId="18284"/>
    <cellStyle name="PSHeading 2 4 2 5 2" xfId="36097"/>
    <cellStyle name="PSHeading 2 4 2 6" xfId="36074"/>
    <cellStyle name="PSHeading 2 4 3" xfId="18285"/>
    <cellStyle name="PSHeading 2 4 3 2" xfId="18286"/>
    <cellStyle name="PSHeading 2 4 3 2 2" xfId="18287"/>
    <cellStyle name="PSHeading 2 4 3 2 2 2" xfId="18288"/>
    <cellStyle name="PSHeading 2 4 3 2 2 2 2" xfId="36101"/>
    <cellStyle name="PSHeading 2 4 3 2 2 3" xfId="36100"/>
    <cellStyle name="PSHeading 2 4 3 2 3" xfId="18289"/>
    <cellStyle name="PSHeading 2 4 3 2 3 2" xfId="18290"/>
    <cellStyle name="PSHeading 2 4 3 2 3 2 2" xfId="36103"/>
    <cellStyle name="PSHeading 2 4 3 2 3 3" xfId="36102"/>
    <cellStyle name="PSHeading 2 4 3 2 4" xfId="36099"/>
    <cellStyle name="PSHeading 2 4 3 3" xfId="18291"/>
    <cellStyle name="PSHeading 2 4 3 3 2" xfId="18292"/>
    <cellStyle name="PSHeading 2 4 3 3 2 2" xfId="18293"/>
    <cellStyle name="PSHeading 2 4 3 3 2 2 2" xfId="36106"/>
    <cellStyle name="PSHeading 2 4 3 3 2 3" xfId="36105"/>
    <cellStyle name="PSHeading 2 4 3 3 3" xfId="18294"/>
    <cellStyle name="PSHeading 2 4 3 3 3 2" xfId="18295"/>
    <cellStyle name="PSHeading 2 4 3 3 3 2 2" xfId="36108"/>
    <cellStyle name="PSHeading 2 4 3 3 3 3" xfId="36107"/>
    <cellStyle name="PSHeading 2 4 3 3 4" xfId="36104"/>
    <cellStyle name="PSHeading 2 4 3 4" xfId="18296"/>
    <cellStyle name="PSHeading 2 4 3 4 2" xfId="36109"/>
    <cellStyle name="PSHeading 2 4 3 5" xfId="36098"/>
    <cellStyle name="PSHeading 2 4 4" xfId="18297"/>
    <cellStyle name="PSHeading 2 4 4 2" xfId="18298"/>
    <cellStyle name="PSHeading 2 4 4 2 2" xfId="18299"/>
    <cellStyle name="PSHeading 2 4 4 2 2 2" xfId="18300"/>
    <cellStyle name="PSHeading 2 4 4 2 2 2 2" xfId="36113"/>
    <cellStyle name="PSHeading 2 4 4 2 2 3" xfId="36112"/>
    <cellStyle name="PSHeading 2 4 4 2 3" xfId="18301"/>
    <cellStyle name="PSHeading 2 4 4 2 3 2" xfId="18302"/>
    <cellStyle name="PSHeading 2 4 4 2 3 2 2" xfId="36115"/>
    <cellStyle name="PSHeading 2 4 4 2 3 3" xfId="36114"/>
    <cellStyle name="PSHeading 2 4 4 2 4" xfId="36111"/>
    <cellStyle name="PSHeading 2 4 4 3" xfId="18303"/>
    <cellStyle name="PSHeading 2 4 4 3 2" xfId="18304"/>
    <cellStyle name="PSHeading 2 4 4 3 2 2" xfId="18305"/>
    <cellStyle name="PSHeading 2 4 4 3 2 2 2" xfId="36118"/>
    <cellStyle name="PSHeading 2 4 4 3 2 3" xfId="36117"/>
    <cellStyle name="PSHeading 2 4 4 3 3" xfId="18306"/>
    <cellStyle name="PSHeading 2 4 4 3 3 2" xfId="18307"/>
    <cellStyle name="PSHeading 2 4 4 3 3 2 2" xfId="36120"/>
    <cellStyle name="PSHeading 2 4 4 3 3 3" xfId="36119"/>
    <cellStyle name="PSHeading 2 4 4 3 4" xfId="36116"/>
    <cellStyle name="PSHeading 2 4 4 4" xfId="18308"/>
    <cellStyle name="PSHeading 2 4 4 4 2" xfId="36121"/>
    <cellStyle name="PSHeading 2 4 4 5" xfId="36110"/>
    <cellStyle name="PSHeading 2 4 5" xfId="18309"/>
    <cellStyle name="PSHeading 2 4 5 2" xfId="18310"/>
    <cellStyle name="PSHeading 2 4 5 2 2" xfId="18311"/>
    <cellStyle name="PSHeading 2 4 5 2 2 2" xfId="18312"/>
    <cellStyle name="PSHeading 2 4 5 2 2 2 2" xfId="18313"/>
    <cellStyle name="PSHeading 2 4 5 2 2 2 2 2" xfId="36126"/>
    <cellStyle name="PSHeading 2 4 5 2 2 2 3" xfId="36125"/>
    <cellStyle name="PSHeading 2 4 5 2 2 3" xfId="18314"/>
    <cellStyle name="PSHeading 2 4 5 2 2 3 2" xfId="18315"/>
    <cellStyle name="PSHeading 2 4 5 2 2 3 2 2" xfId="36128"/>
    <cellStyle name="PSHeading 2 4 5 2 2 3 3" xfId="36127"/>
    <cellStyle name="PSHeading 2 4 5 2 2 4" xfId="36124"/>
    <cellStyle name="PSHeading 2 4 5 2 3" xfId="18316"/>
    <cellStyle name="PSHeading 2 4 5 2 3 2" xfId="18317"/>
    <cellStyle name="PSHeading 2 4 5 2 3 2 2" xfId="18318"/>
    <cellStyle name="PSHeading 2 4 5 2 3 2 2 2" xfId="36131"/>
    <cellStyle name="PSHeading 2 4 5 2 3 2 3" xfId="36130"/>
    <cellStyle name="PSHeading 2 4 5 2 3 3" xfId="18319"/>
    <cellStyle name="PSHeading 2 4 5 2 3 3 2" xfId="18320"/>
    <cellStyle name="PSHeading 2 4 5 2 3 3 2 2" xfId="36133"/>
    <cellStyle name="PSHeading 2 4 5 2 3 3 3" xfId="36132"/>
    <cellStyle name="PSHeading 2 4 5 2 3 4" xfId="36129"/>
    <cellStyle name="PSHeading 2 4 5 2 4" xfId="18321"/>
    <cellStyle name="PSHeading 2 4 5 2 4 2" xfId="36134"/>
    <cellStyle name="PSHeading 2 4 5 2 5" xfId="36123"/>
    <cellStyle name="PSHeading 2 4 5 3" xfId="18322"/>
    <cellStyle name="PSHeading 2 4 5 3 2" xfId="18323"/>
    <cellStyle name="PSHeading 2 4 5 3 2 2" xfId="18324"/>
    <cellStyle name="PSHeading 2 4 5 3 2 2 2" xfId="18325"/>
    <cellStyle name="PSHeading 2 4 5 3 2 2 2 2" xfId="36138"/>
    <cellStyle name="PSHeading 2 4 5 3 2 2 3" xfId="36137"/>
    <cellStyle name="PSHeading 2 4 5 3 2 3" xfId="18326"/>
    <cellStyle name="PSHeading 2 4 5 3 2 3 2" xfId="18327"/>
    <cellStyle name="PSHeading 2 4 5 3 2 3 2 2" xfId="36140"/>
    <cellStyle name="PSHeading 2 4 5 3 2 3 3" xfId="36139"/>
    <cellStyle name="PSHeading 2 4 5 3 2 4" xfId="36136"/>
    <cellStyle name="PSHeading 2 4 5 3 3" xfId="18328"/>
    <cellStyle name="PSHeading 2 4 5 3 3 2" xfId="18329"/>
    <cellStyle name="PSHeading 2 4 5 3 3 2 2" xfId="36142"/>
    <cellStyle name="PSHeading 2 4 5 3 3 3" xfId="36141"/>
    <cellStyle name="PSHeading 2 4 5 3 4" xfId="18330"/>
    <cellStyle name="PSHeading 2 4 5 3 4 2" xfId="18331"/>
    <cellStyle name="PSHeading 2 4 5 3 4 2 2" xfId="36144"/>
    <cellStyle name="PSHeading 2 4 5 3 4 3" xfId="36143"/>
    <cellStyle name="PSHeading 2 4 5 3 5" xfId="36135"/>
    <cellStyle name="PSHeading 2 4 5 4" xfId="18332"/>
    <cellStyle name="PSHeading 2 4 5 4 2" xfId="36145"/>
    <cellStyle name="PSHeading 2 4 5 5" xfId="36122"/>
    <cellStyle name="PSHeading 2 4 6" xfId="18333"/>
    <cellStyle name="PSHeading 2 4 6 2" xfId="18334"/>
    <cellStyle name="PSHeading 2 4 6 2 2" xfId="18335"/>
    <cellStyle name="PSHeading 2 4 6 2 2 2" xfId="36148"/>
    <cellStyle name="PSHeading 2 4 6 2 3" xfId="36147"/>
    <cellStyle name="PSHeading 2 4 6 3" xfId="18336"/>
    <cellStyle name="PSHeading 2 4 6 3 2" xfId="18337"/>
    <cellStyle name="PSHeading 2 4 6 3 2 2" xfId="36150"/>
    <cellStyle name="PSHeading 2 4 6 3 3" xfId="36149"/>
    <cellStyle name="PSHeading 2 4 6 4" xfId="36146"/>
    <cellStyle name="PSHeading 2 4 7" xfId="18338"/>
    <cellStyle name="PSHeading 2 4 7 2" xfId="18339"/>
    <cellStyle name="PSHeading 2 4 7 2 2" xfId="36152"/>
    <cellStyle name="PSHeading 2 4 7 3" xfId="36151"/>
    <cellStyle name="PSHeading 2 4 8" xfId="36073"/>
    <cellStyle name="PSHeading 2 5" xfId="18340"/>
    <cellStyle name="PSHeading 2 5 2" xfId="18341"/>
    <cellStyle name="PSHeading 2 5 2 2" xfId="18342"/>
    <cellStyle name="PSHeading 2 5 2 2 2" xfId="18343"/>
    <cellStyle name="PSHeading 2 5 2 2 2 2" xfId="18344"/>
    <cellStyle name="PSHeading 2 5 2 2 2 2 2" xfId="36157"/>
    <cellStyle name="PSHeading 2 5 2 2 2 3" xfId="36156"/>
    <cellStyle name="PSHeading 2 5 2 2 3" xfId="18345"/>
    <cellStyle name="PSHeading 2 5 2 2 3 2" xfId="18346"/>
    <cellStyle name="PSHeading 2 5 2 2 3 2 2" xfId="36159"/>
    <cellStyle name="PSHeading 2 5 2 2 3 3" xfId="36158"/>
    <cellStyle name="PSHeading 2 5 2 2 4" xfId="36155"/>
    <cellStyle name="PSHeading 2 5 2 3" xfId="18347"/>
    <cellStyle name="PSHeading 2 5 2 3 2" xfId="18348"/>
    <cellStyle name="PSHeading 2 5 2 3 2 2" xfId="18349"/>
    <cellStyle name="PSHeading 2 5 2 3 2 2 2" xfId="36162"/>
    <cellStyle name="PSHeading 2 5 2 3 2 3" xfId="36161"/>
    <cellStyle name="PSHeading 2 5 2 3 3" xfId="18350"/>
    <cellStyle name="PSHeading 2 5 2 3 3 2" xfId="18351"/>
    <cellStyle name="PSHeading 2 5 2 3 3 2 2" xfId="36164"/>
    <cellStyle name="PSHeading 2 5 2 3 3 3" xfId="36163"/>
    <cellStyle name="PSHeading 2 5 2 3 4" xfId="36160"/>
    <cellStyle name="PSHeading 2 5 2 4" xfId="18352"/>
    <cellStyle name="PSHeading 2 5 2 4 2" xfId="36165"/>
    <cellStyle name="PSHeading 2 5 2 5" xfId="36154"/>
    <cellStyle name="PSHeading 2 5 3" xfId="18353"/>
    <cellStyle name="PSHeading 2 5 3 2" xfId="18354"/>
    <cellStyle name="PSHeading 2 5 3 2 2" xfId="18355"/>
    <cellStyle name="PSHeading 2 5 3 2 2 2" xfId="36168"/>
    <cellStyle name="PSHeading 2 5 3 2 3" xfId="36167"/>
    <cellStyle name="PSHeading 2 5 3 3" xfId="18356"/>
    <cellStyle name="PSHeading 2 5 3 3 2" xfId="18357"/>
    <cellStyle name="PSHeading 2 5 3 3 2 2" xfId="36170"/>
    <cellStyle name="PSHeading 2 5 3 3 3" xfId="36169"/>
    <cellStyle name="PSHeading 2 5 3 4" xfId="36166"/>
    <cellStyle name="PSHeading 2 5 4" xfId="18358"/>
    <cellStyle name="PSHeading 2 5 4 2" xfId="18359"/>
    <cellStyle name="PSHeading 2 5 4 2 2" xfId="18360"/>
    <cellStyle name="PSHeading 2 5 4 2 2 2" xfId="36173"/>
    <cellStyle name="PSHeading 2 5 4 2 3" xfId="36172"/>
    <cellStyle name="PSHeading 2 5 4 3" xfId="18361"/>
    <cellStyle name="PSHeading 2 5 4 3 2" xfId="18362"/>
    <cellStyle name="PSHeading 2 5 4 3 2 2" xfId="36175"/>
    <cellStyle name="PSHeading 2 5 4 3 3" xfId="36174"/>
    <cellStyle name="PSHeading 2 5 4 4" xfId="36171"/>
    <cellStyle name="PSHeading 2 5 5" xfId="18363"/>
    <cellStyle name="PSHeading 2 5 5 2" xfId="36176"/>
    <cellStyle name="PSHeading 2 5 6" xfId="36153"/>
    <cellStyle name="PSHeading 2 6" xfId="18364"/>
    <cellStyle name="PSHeading 2 6 2" xfId="18365"/>
    <cellStyle name="PSHeading 2 6 2 2" xfId="18366"/>
    <cellStyle name="PSHeading 2 6 2 2 2" xfId="18367"/>
    <cellStyle name="PSHeading 2 6 2 2 2 2" xfId="36180"/>
    <cellStyle name="PSHeading 2 6 2 2 3" xfId="36179"/>
    <cellStyle name="PSHeading 2 6 2 3" xfId="18368"/>
    <cellStyle name="PSHeading 2 6 2 3 2" xfId="18369"/>
    <cellStyle name="PSHeading 2 6 2 3 2 2" xfId="36182"/>
    <cellStyle name="PSHeading 2 6 2 3 3" xfId="36181"/>
    <cellStyle name="PSHeading 2 6 2 4" xfId="36178"/>
    <cellStyle name="PSHeading 2 6 3" xfId="18370"/>
    <cellStyle name="PSHeading 2 6 3 2" xfId="18371"/>
    <cellStyle name="PSHeading 2 6 3 2 2" xfId="18372"/>
    <cellStyle name="PSHeading 2 6 3 2 2 2" xfId="36185"/>
    <cellStyle name="PSHeading 2 6 3 2 3" xfId="36184"/>
    <cellStyle name="PSHeading 2 6 3 3" xfId="18373"/>
    <cellStyle name="PSHeading 2 6 3 3 2" xfId="18374"/>
    <cellStyle name="PSHeading 2 6 3 3 2 2" xfId="36187"/>
    <cellStyle name="PSHeading 2 6 3 3 3" xfId="36186"/>
    <cellStyle name="PSHeading 2 6 3 4" xfId="36183"/>
    <cellStyle name="PSHeading 2 6 4" xfId="18375"/>
    <cellStyle name="PSHeading 2 6 4 2" xfId="36188"/>
    <cellStyle name="PSHeading 2 6 5" xfId="36177"/>
    <cellStyle name="PSHeading 2 7" xfId="18376"/>
    <cellStyle name="PSHeading 2 7 2" xfId="36189"/>
    <cellStyle name="PSHeading 2 8" xfId="18377"/>
    <cellStyle name="PSHeading 2 8 2" xfId="36190"/>
    <cellStyle name="PSHeading 2 9" xfId="35876"/>
    <cellStyle name="PSHeading 3" xfId="583"/>
    <cellStyle name="PSHeading 3 10" xfId="18378"/>
    <cellStyle name="PSHeading 3 10 2" xfId="18379"/>
    <cellStyle name="PSHeading 3 10 2 2" xfId="36193"/>
    <cellStyle name="PSHeading 3 10 3" xfId="36192"/>
    <cellStyle name="PSHeading 3 11" xfId="36191"/>
    <cellStyle name="PSHeading 3 2" xfId="584"/>
    <cellStyle name="PSHeading 3 2 2" xfId="585"/>
    <cellStyle name="PSHeading 3 2 2 2" xfId="18380"/>
    <cellStyle name="PSHeading 3 2 2 2 2" xfId="18381"/>
    <cellStyle name="PSHeading 3 2 2 2 2 2" xfId="18382"/>
    <cellStyle name="PSHeading 3 2 2 2 2 2 2" xfId="18383"/>
    <cellStyle name="PSHeading 3 2 2 2 2 2 2 2" xfId="36199"/>
    <cellStyle name="PSHeading 3 2 2 2 2 2 3" xfId="36198"/>
    <cellStyle name="PSHeading 3 2 2 2 2 3" xfId="18384"/>
    <cellStyle name="PSHeading 3 2 2 2 2 3 2" xfId="18385"/>
    <cellStyle name="PSHeading 3 2 2 2 2 3 2 2" xfId="36201"/>
    <cellStyle name="PSHeading 3 2 2 2 2 3 3" xfId="36200"/>
    <cellStyle name="PSHeading 3 2 2 2 2 4" xfId="36197"/>
    <cellStyle name="PSHeading 3 2 2 2 3" xfId="18386"/>
    <cellStyle name="PSHeading 3 2 2 2 3 2" xfId="18387"/>
    <cellStyle name="PSHeading 3 2 2 2 3 2 2" xfId="18388"/>
    <cellStyle name="PSHeading 3 2 2 2 3 2 2 2" xfId="36204"/>
    <cellStyle name="PSHeading 3 2 2 2 3 2 3" xfId="36203"/>
    <cellStyle name="PSHeading 3 2 2 2 3 3" xfId="18389"/>
    <cellStyle name="PSHeading 3 2 2 2 3 3 2" xfId="18390"/>
    <cellStyle name="PSHeading 3 2 2 2 3 3 2 2" xfId="36206"/>
    <cellStyle name="PSHeading 3 2 2 2 3 3 3" xfId="36205"/>
    <cellStyle name="PSHeading 3 2 2 2 3 4" xfId="36202"/>
    <cellStyle name="PSHeading 3 2 2 2 4" xfId="18391"/>
    <cellStyle name="PSHeading 3 2 2 2 4 2" xfId="36207"/>
    <cellStyle name="PSHeading 3 2 2 2 5" xfId="36196"/>
    <cellStyle name="PSHeading 3 2 2 3" xfId="18392"/>
    <cellStyle name="PSHeading 3 2 2 3 2" xfId="18393"/>
    <cellStyle name="PSHeading 3 2 2 3 2 2" xfId="18394"/>
    <cellStyle name="PSHeading 3 2 2 3 2 2 2" xfId="36210"/>
    <cellStyle name="PSHeading 3 2 2 3 2 3" xfId="36209"/>
    <cellStyle name="PSHeading 3 2 2 3 3" xfId="18395"/>
    <cellStyle name="PSHeading 3 2 2 3 3 2" xfId="18396"/>
    <cellStyle name="PSHeading 3 2 2 3 3 2 2" xfId="36212"/>
    <cellStyle name="PSHeading 3 2 2 3 3 3" xfId="36211"/>
    <cellStyle name="PSHeading 3 2 2 3 4" xfId="36208"/>
    <cellStyle name="PSHeading 3 2 2 4" xfId="18397"/>
    <cellStyle name="PSHeading 3 2 2 4 2" xfId="18398"/>
    <cellStyle name="PSHeading 3 2 2 4 2 2" xfId="18399"/>
    <cellStyle name="PSHeading 3 2 2 4 2 2 2" xfId="36215"/>
    <cellStyle name="PSHeading 3 2 2 4 2 3" xfId="36214"/>
    <cellStyle name="PSHeading 3 2 2 4 3" xfId="18400"/>
    <cellStyle name="PSHeading 3 2 2 4 3 2" xfId="18401"/>
    <cellStyle name="PSHeading 3 2 2 4 3 2 2" xfId="36217"/>
    <cellStyle name="PSHeading 3 2 2 4 3 3" xfId="36216"/>
    <cellStyle name="PSHeading 3 2 2 4 4" xfId="36213"/>
    <cellStyle name="PSHeading 3 2 2 5" xfId="18402"/>
    <cellStyle name="PSHeading 3 2 2 5 2" xfId="36218"/>
    <cellStyle name="PSHeading 3 2 2 6" xfId="18403"/>
    <cellStyle name="PSHeading 3 2 2 6 2" xfId="36219"/>
    <cellStyle name="PSHeading 3 2 2 7" xfId="36195"/>
    <cellStyle name="PSHeading 3 2 3" xfId="18404"/>
    <cellStyle name="PSHeading 3 2 3 2" xfId="18405"/>
    <cellStyle name="PSHeading 3 2 3 2 2" xfId="18406"/>
    <cellStyle name="PSHeading 3 2 3 2 2 2" xfId="18407"/>
    <cellStyle name="PSHeading 3 2 3 2 2 2 2" xfId="18408"/>
    <cellStyle name="PSHeading 3 2 3 2 2 2 2 2" xfId="36224"/>
    <cellStyle name="PSHeading 3 2 3 2 2 2 3" xfId="36223"/>
    <cellStyle name="PSHeading 3 2 3 2 2 3" xfId="18409"/>
    <cellStyle name="PSHeading 3 2 3 2 2 3 2" xfId="18410"/>
    <cellStyle name="PSHeading 3 2 3 2 2 3 2 2" xfId="36226"/>
    <cellStyle name="PSHeading 3 2 3 2 2 3 3" xfId="36225"/>
    <cellStyle name="PSHeading 3 2 3 2 2 4" xfId="36222"/>
    <cellStyle name="PSHeading 3 2 3 2 3" xfId="18411"/>
    <cellStyle name="PSHeading 3 2 3 2 3 2" xfId="18412"/>
    <cellStyle name="PSHeading 3 2 3 2 3 2 2" xfId="18413"/>
    <cellStyle name="PSHeading 3 2 3 2 3 2 2 2" xfId="36229"/>
    <cellStyle name="PSHeading 3 2 3 2 3 2 3" xfId="36228"/>
    <cellStyle name="PSHeading 3 2 3 2 3 3" xfId="18414"/>
    <cellStyle name="PSHeading 3 2 3 2 3 3 2" xfId="18415"/>
    <cellStyle name="PSHeading 3 2 3 2 3 3 2 2" xfId="36231"/>
    <cellStyle name="PSHeading 3 2 3 2 3 3 3" xfId="36230"/>
    <cellStyle name="PSHeading 3 2 3 2 3 4" xfId="36227"/>
    <cellStyle name="PSHeading 3 2 3 2 4" xfId="18416"/>
    <cellStyle name="PSHeading 3 2 3 2 4 2" xfId="36232"/>
    <cellStyle name="PSHeading 3 2 3 2 5" xfId="36221"/>
    <cellStyle name="PSHeading 3 2 3 3" xfId="18417"/>
    <cellStyle name="PSHeading 3 2 3 3 2" xfId="18418"/>
    <cellStyle name="PSHeading 3 2 3 3 2 2" xfId="18419"/>
    <cellStyle name="PSHeading 3 2 3 3 2 2 2" xfId="36235"/>
    <cellStyle name="PSHeading 3 2 3 3 2 3" xfId="36234"/>
    <cellStyle name="PSHeading 3 2 3 3 3" xfId="18420"/>
    <cellStyle name="PSHeading 3 2 3 3 3 2" xfId="18421"/>
    <cellStyle name="PSHeading 3 2 3 3 3 2 2" xfId="36237"/>
    <cellStyle name="PSHeading 3 2 3 3 3 3" xfId="36236"/>
    <cellStyle name="PSHeading 3 2 3 3 4" xfId="36233"/>
    <cellStyle name="PSHeading 3 2 3 4" xfId="18422"/>
    <cellStyle name="PSHeading 3 2 3 4 2" xfId="18423"/>
    <cellStyle name="PSHeading 3 2 3 4 2 2" xfId="18424"/>
    <cellStyle name="PSHeading 3 2 3 4 2 2 2" xfId="36240"/>
    <cellStyle name="PSHeading 3 2 3 4 2 3" xfId="36239"/>
    <cellStyle name="PSHeading 3 2 3 4 3" xfId="18425"/>
    <cellStyle name="PSHeading 3 2 3 4 3 2" xfId="18426"/>
    <cellStyle name="PSHeading 3 2 3 4 3 2 2" xfId="36242"/>
    <cellStyle name="PSHeading 3 2 3 4 3 3" xfId="36241"/>
    <cellStyle name="PSHeading 3 2 3 4 4" xfId="36238"/>
    <cellStyle name="PSHeading 3 2 3 5" xfId="18427"/>
    <cellStyle name="PSHeading 3 2 3 5 2" xfId="36243"/>
    <cellStyle name="PSHeading 3 2 3 6" xfId="36220"/>
    <cellStyle name="PSHeading 3 2 4" xfId="18428"/>
    <cellStyle name="PSHeading 3 2 4 2" xfId="18429"/>
    <cellStyle name="PSHeading 3 2 4 2 2" xfId="18430"/>
    <cellStyle name="PSHeading 3 2 4 2 2 2" xfId="18431"/>
    <cellStyle name="PSHeading 3 2 4 2 2 2 2" xfId="36247"/>
    <cellStyle name="PSHeading 3 2 4 2 2 3" xfId="36246"/>
    <cellStyle name="PSHeading 3 2 4 2 3" xfId="18432"/>
    <cellStyle name="PSHeading 3 2 4 2 3 2" xfId="18433"/>
    <cellStyle name="PSHeading 3 2 4 2 3 2 2" xfId="36249"/>
    <cellStyle name="PSHeading 3 2 4 2 3 3" xfId="36248"/>
    <cellStyle name="PSHeading 3 2 4 2 4" xfId="36245"/>
    <cellStyle name="PSHeading 3 2 4 3" xfId="18434"/>
    <cellStyle name="PSHeading 3 2 4 3 2" xfId="18435"/>
    <cellStyle name="PSHeading 3 2 4 3 2 2" xfId="18436"/>
    <cellStyle name="PSHeading 3 2 4 3 2 2 2" xfId="36252"/>
    <cellStyle name="PSHeading 3 2 4 3 2 3" xfId="36251"/>
    <cellStyle name="PSHeading 3 2 4 3 3" xfId="18437"/>
    <cellStyle name="PSHeading 3 2 4 3 3 2" xfId="18438"/>
    <cellStyle name="PSHeading 3 2 4 3 3 2 2" xfId="36254"/>
    <cellStyle name="PSHeading 3 2 4 3 3 3" xfId="36253"/>
    <cellStyle name="PSHeading 3 2 4 3 4" xfId="36250"/>
    <cellStyle name="PSHeading 3 2 4 4" xfId="18439"/>
    <cellStyle name="PSHeading 3 2 4 4 2" xfId="36255"/>
    <cellStyle name="PSHeading 3 2 4 5" xfId="36244"/>
    <cellStyle name="PSHeading 3 2 5" xfId="18440"/>
    <cellStyle name="PSHeading 3 2 5 2" xfId="18441"/>
    <cellStyle name="PSHeading 3 2 5 2 2" xfId="18442"/>
    <cellStyle name="PSHeading 3 2 5 2 2 2" xfId="18443"/>
    <cellStyle name="PSHeading 3 2 5 2 2 2 2" xfId="18444"/>
    <cellStyle name="PSHeading 3 2 5 2 2 2 2 2" xfId="36260"/>
    <cellStyle name="PSHeading 3 2 5 2 2 2 3" xfId="36259"/>
    <cellStyle name="PSHeading 3 2 5 2 2 3" xfId="18445"/>
    <cellStyle name="PSHeading 3 2 5 2 2 3 2" xfId="18446"/>
    <cellStyle name="PSHeading 3 2 5 2 2 3 2 2" xfId="36262"/>
    <cellStyle name="PSHeading 3 2 5 2 2 3 3" xfId="36261"/>
    <cellStyle name="PSHeading 3 2 5 2 2 4" xfId="36258"/>
    <cellStyle name="PSHeading 3 2 5 2 3" xfId="18447"/>
    <cellStyle name="PSHeading 3 2 5 2 3 2" xfId="18448"/>
    <cellStyle name="PSHeading 3 2 5 2 3 2 2" xfId="18449"/>
    <cellStyle name="PSHeading 3 2 5 2 3 2 2 2" xfId="36265"/>
    <cellStyle name="PSHeading 3 2 5 2 3 2 3" xfId="36264"/>
    <cellStyle name="PSHeading 3 2 5 2 3 3" xfId="18450"/>
    <cellStyle name="PSHeading 3 2 5 2 3 3 2" xfId="18451"/>
    <cellStyle name="PSHeading 3 2 5 2 3 3 2 2" xfId="36267"/>
    <cellStyle name="PSHeading 3 2 5 2 3 3 3" xfId="36266"/>
    <cellStyle name="PSHeading 3 2 5 2 3 4" xfId="36263"/>
    <cellStyle name="PSHeading 3 2 5 2 4" xfId="18452"/>
    <cellStyle name="PSHeading 3 2 5 2 4 2" xfId="36268"/>
    <cellStyle name="PSHeading 3 2 5 2 5" xfId="36257"/>
    <cellStyle name="PSHeading 3 2 5 3" xfId="18453"/>
    <cellStyle name="PSHeading 3 2 5 3 2" xfId="18454"/>
    <cellStyle name="PSHeading 3 2 5 3 2 2" xfId="18455"/>
    <cellStyle name="PSHeading 3 2 5 3 2 2 2" xfId="18456"/>
    <cellStyle name="PSHeading 3 2 5 3 2 2 2 2" xfId="36272"/>
    <cellStyle name="PSHeading 3 2 5 3 2 2 3" xfId="36271"/>
    <cellStyle name="PSHeading 3 2 5 3 2 3" xfId="18457"/>
    <cellStyle name="PSHeading 3 2 5 3 2 3 2" xfId="18458"/>
    <cellStyle name="PSHeading 3 2 5 3 2 3 2 2" xfId="36274"/>
    <cellStyle name="PSHeading 3 2 5 3 2 3 3" xfId="36273"/>
    <cellStyle name="PSHeading 3 2 5 3 2 4" xfId="36270"/>
    <cellStyle name="PSHeading 3 2 5 3 3" xfId="18459"/>
    <cellStyle name="PSHeading 3 2 5 3 3 2" xfId="18460"/>
    <cellStyle name="PSHeading 3 2 5 3 3 2 2" xfId="36276"/>
    <cellStyle name="PSHeading 3 2 5 3 3 3" xfId="36275"/>
    <cellStyle name="PSHeading 3 2 5 3 4" xfId="18461"/>
    <cellStyle name="PSHeading 3 2 5 3 4 2" xfId="18462"/>
    <cellStyle name="PSHeading 3 2 5 3 4 2 2" xfId="36278"/>
    <cellStyle name="PSHeading 3 2 5 3 4 3" xfId="36277"/>
    <cellStyle name="PSHeading 3 2 5 3 5" xfId="36269"/>
    <cellStyle name="PSHeading 3 2 5 4" xfId="18463"/>
    <cellStyle name="PSHeading 3 2 5 4 2" xfId="36279"/>
    <cellStyle name="PSHeading 3 2 5 5" xfId="36256"/>
    <cellStyle name="PSHeading 3 2 6" xfId="18464"/>
    <cellStyle name="PSHeading 3 2 6 2" xfId="18465"/>
    <cellStyle name="PSHeading 3 2 6 2 2" xfId="18466"/>
    <cellStyle name="PSHeading 3 2 6 2 2 2" xfId="36282"/>
    <cellStyle name="PSHeading 3 2 6 2 3" xfId="36281"/>
    <cellStyle name="PSHeading 3 2 6 3" xfId="18467"/>
    <cellStyle name="PSHeading 3 2 6 3 2" xfId="18468"/>
    <cellStyle name="PSHeading 3 2 6 3 2 2" xfId="36284"/>
    <cellStyle name="PSHeading 3 2 6 3 3" xfId="36283"/>
    <cellStyle name="PSHeading 3 2 6 4" xfId="36280"/>
    <cellStyle name="PSHeading 3 2 7" xfId="18469"/>
    <cellStyle name="PSHeading 3 2 7 2" xfId="18470"/>
    <cellStyle name="PSHeading 3 2 7 2 2" xfId="36286"/>
    <cellStyle name="PSHeading 3 2 7 3" xfId="36285"/>
    <cellStyle name="PSHeading 3 2 8" xfId="36194"/>
    <cellStyle name="PSHeading 3 3" xfId="18471"/>
    <cellStyle name="PSHeading 3 3 2" xfId="18472"/>
    <cellStyle name="PSHeading 3 3 2 2" xfId="18473"/>
    <cellStyle name="PSHeading 3 3 2 2 2" xfId="18474"/>
    <cellStyle name="PSHeading 3 3 2 2 2 2" xfId="18475"/>
    <cellStyle name="PSHeading 3 3 2 2 2 2 2" xfId="18476"/>
    <cellStyle name="PSHeading 3 3 2 2 2 2 2 2" xfId="36292"/>
    <cellStyle name="PSHeading 3 3 2 2 2 2 3" xfId="36291"/>
    <cellStyle name="PSHeading 3 3 2 2 2 3" xfId="18477"/>
    <cellStyle name="PSHeading 3 3 2 2 2 3 2" xfId="18478"/>
    <cellStyle name="PSHeading 3 3 2 2 2 3 2 2" xfId="36294"/>
    <cellStyle name="PSHeading 3 3 2 2 2 3 3" xfId="36293"/>
    <cellStyle name="PSHeading 3 3 2 2 2 4" xfId="36290"/>
    <cellStyle name="PSHeading 3 3 2 2 3" xfId="18479"/>
    <cellStyle name="PSHeading 3 3 2 2 3 2" xfId="18480"/>
    <cellStyle name="PSHeading 3 3 2 2 3 2 2" xfId="18481"/>
    <cellStyle name="PSHeading 3 3 2 2 3 2 2 2" xfId="36297"/>
    <cellStyle name="PSHeading 3 3 2 2 3 2 3" xfId="36296"/>
    <cellStyle name="PSHeading 3 3 2 2 3 3" xfId="18482"/>
    <cellStyle name="PSHeading 3 3 2 2 3 3 2" xfId="18483"/>
    <cellStyle name="PSHeading 3 3 2 2 3 3 2 2" xfId="36299"/>
    <cellStyle name="PSHeading 3 3 2 2 3 3 3" xfId="36298"/>
    <cellStyle name="PSHeading 3 3 2 2 3 4" xfId="36295"/>
    <cellStyle name="PSHeading 3 3 2 2 4" xfId="18484"/>
    <cellStyle name="PSHeading 3 3 2 2 4 2" xfId="36300"/>
    <cellStyle name="PSHeading 3 3 2 2 5" xfId="36289"/>
    <cellStyle name="PSHeading 3 3 2 3" xfId="18485"/>
    <cellStyle name="PSHeading 3 3 2 3 2" xfId="18486"/>
    <cellStyle name="PSHeading 3 3 2 3 2 2" xfId="18487"/>
    <cellStyle name="PSHeading 3 3 2 3 2 2 2" xfId="36303"/>
    <cellStyle name="PSHeading 3 3 2 3 2 3" xfId="36302"/>
    <cellStyle name="PSHeading 3 3 2 3 3" xfId="18488"/>
    <cellStyle name="PSHeading 3 3 2 3 3 2" xfId="18489"/>
    <cellStyle name="PSHeading 3 3 2 3 3 2 2" xfId="36305"/>
    <cellStyle name="PSHeading 3 3 2 3 3 3" xfId="36304"/>
    <cellStyle name="PSHeading 3 3 2 3 4" xfId="36301"/>
    <cellStyle name="PSHeading 3 3 2 4" xfId="18490"/>
    <cellStyle name="PSHeading 3 3 2 4 2" xfId="18491"/>
    <cellStyle name="PSHeading 3 3 2 4 2 2" xfId="18492"/>
    <cellStyle name="PSHeading 3 3 2 4 2 2 2" xfId="36308"/>
    <cellStyle name="PSHeading 3 3 2 4 2 3" xfId="36307"/>
    <cellStyle name="PSHeading 3 3 2 4 3" xfId="18493"/>
    <cellStyle name="PSHeading 3 3 2 4 3 2" xfId="18494"/>
    <cellStyle name="PSHeading 3 3 2 4 3 2 2" xfId="36310"/>
    <cellStyle name="PSHeading 3 3 2 4 3 3" xfId="36309"/>
    <cellStyle name="PSHeading 3 3 2 4 4" xfId="36306"/>
    <cellStyle name="PSHeading 3 3 2 5" xfId="18495"/>
    <cellStyle name="PSHeading 3 3 2 5 2" xfId="36311"/>
    <cellStyle name="PSHeading 3 3 2 6" xfId="36288"/>
    <cellStyle name="PSHeading 3 3 3" xfId="18496"/>
    <cellStyle name="PSHeading 3 3 3 2" xfId="18497"/>
    <cellStyle name="PSHeading 3 3 3 2 2" xfId="18498"/>
    <cellStyle name="PSHeading 3 3 3 2 2 2" xfId="18499"/>
    <cellStyle name="PSHeading 3 3 3 2 2 2 2" xfId="18500"/>
    <cellStyle name="PSHeading 3 3 3 2 2 2 2 2" xfId="36316"/>
    <cellStyle name="PSHeading 3 3 3 2 2 2 3" xfId="36315"/>
    <cellStyle name="PSHeading 3 3 3 2 2 3" xfId="18501"/>
    <cellStyle name="PSHeading 3 3 3 2 2 3 2" xfId="18502"/>
    <cellStyle name="PSHeading 3 3 3 2 2 3 2 2" xfId="36318"/>
    <cellStyle name="PSHeading 3 3 3 2 2 3 3" xfId="36317"/>
    <cellStyle name="PSHeading 3 3 3 2 2 4" xfId="36314"/>
    <cellStyle name="PSHeading 3 3 3 2 3" xfId="18503"/>
    <cellStyle name="PSHeading 3 3 3 2 3 2" xfId="18504"/>
    <cellStyle name="PSHeading 3 3 3 2 3 2 2" xfId="18505"/>
    <cellStyle name="PSHeading 3 3 3 2 3 2 2 2" xfId="36321"/>
    <cellStyle name="PSHeading 3 3 3 2 3 2 3" xfId="36320"/>
    <cellStyle name="PSHeading 3 3 3 2 3 3" xfId="18506"/>
    <cellStyle name="PSHeading 3 3 3 2 3 3 2" xfId="18507"/>
    <cellStyle name="PSHeading 3 3 3 2 3 3 2 2" xfId="36323"/>
    <cellStyle name="PSHeading 3 3 3 2 3 3 3" xfId="36322"/>
    <cellStyle name="PSHeading 3 3 3 2 3 4" xfId="36319"/>
    <cellStyle name="PSHeading 3 3 3 2 4" xfId="18508"/>
    <cellStyle name="PSHeading 3 3 3 2 4 2" xfId="36324"/>
    <cellStyle name="PSHeading 3 3 3 2 5" xfId="36313"/>
    <cellStyle name="PSHeading 3 3 3 3" xfId="18509"/>
    <cellStyle name="PSHeading 3 3 3 3 2" xfId="18510"/>
    <cellStyle name="PSHeading 3 3 3 3 2 2" xfId="18511"/>
    <cellStyle name="PSHeading 3 3 3 3 2 2 2" xfId="36327"/>
    <cellStyle name="PSHeading 3 3 3 3 2 3" xfId="36326"/>
    <cellStyle name="PSHeading 3 3 3 3 3" xfId="18512"/>
    <cellStyle name="PSHeading 3 3 3 3 3 2" xfId="18513"/>
    <cellStyle name="PSHeading 3 3 3 3 3 2 2" xfId="36329"/>
    <cellStyle name="PSHeading 3 3 3 3 3 3" xfId="36328"/>
    <cellStyle name="PSHeading 3 3 3 3 4" xfId="36325"/>
    <cellStyle name="PSHeading 3 3 3 4" xfId="18514"/>
    <cellStyle name="PSHeading 3 3 3 4 2" xfId="18515"/>
    <cellStyle name="PSHeading 3 3 3 4 2 2" xfId="18516"/>
    <cellStyle name="PSHeading 3 3 3 4 2 2 2" xfId="36332"/>
    <cellStyle name="PSHeading 3 3 3 4 2 3" xfId="36331"/>
    <cellStyle name="PSHeading 3 3 3 4 3" xfId="18517"/>
    <cellStyle name="PSHeading 3 3 3 4 3 2" xfId="18518"/>
    <cellStyle name="PSHeading 3 3 3 4 3 2 2" xfId="36334"/>
    <cellStyle name="PSHeading 3 3 3 4 3 3" xfId="36333"/>
    <cellStyle name="PSHeading 3 3 3 4 4" xfId="36330"/>
    <cellStyle name="PSHeading 3 3 3 5" xfId="18519"/>
    <cellStyle name="PSHeading 3 3 3 5 2" xfId="36335"/>
    <cellStyle name="PSHeading 3 3 3 6" xfId="36312"/>
    <cellStyle name="PSHeading 3 3 4" xfId="18520"/>
    <cellStyle name="PSHeading 3 3 4 2" xfId="18521"/>
    <cellStyle name="PSHeading 3 3 4 2 2" xfId="18522"/>
    <cellStyle name="PSHeading 3 3 4 2 2 2" xfId="18523"/>
    <cellStyle name="PSHeading 3 3 4 2 2 2 2" xfId="36339"/>
    <cellStyle name="PSHeading 3 3 4 2 2 3" xfId="36338"/>
    <cellStyle name="PSHeading 3 3 4 2 3" xfId="18524"/>
    <cellStyle name="PSHeading 3 3 4 2 3 2" xfId="18525"/>
    <cellStyle name="PSHeading 3 3 4 2 3 2 2" xfId="36341"/>
    <cellStyle name="PSHeading 3 3 4 2 3 3" xfId="36340"/>
    <cellStyle name="PSHeading 3 3 4 2 4" xfId="36337"/>
    <cellStyle name="PSHeading 3 3 4 3" xfId="18526"/>
    <cellStyle name="PSHeading 3 3 4 3 2" xfId="18527"/>
    <cellStyle name="PSHeading 3 3 4 3 2 2" xfId="18528"/>
    <cellStyle name="PSHeading 3 3 4 3 2 2 2" xfId="36344"/>
    <cellStyle name="PSHeading 3 3 4 3 2 3" xfId="36343"/>
    <cellStyle name="PSHeading 3 3 4 3 3" xfId="18529"/>
    <cellStyle name="PSHeading 3 3 4 3 3 2" xfId="18530"/>
    <cellStyle name="PSHeading 3 3 4 3 3 2 2" xfId="36346"/>
    <cellStyle name="PSHeading 3 3 4 3 3 3" xfId="36345"/>
    <cellStyle name="PSHeading 3 3 4 3 4" xfId="36342"/>
    <cellStyle name="PSHeading 3 3 4 4" xfId="18531"/>
    <cellStyle name="PSHeading 3 3 4 4 2" xfId="36347"/>
    <cellStyle name="PSHeading 3 3 4 5" xfId="36336"/>
    <cellStyle name="PSHeading 3 3 5" xfId="18532"/>
    <cellStyle name="PSHeading 3 3 5 2" xfId="18533"/>
    <cellStyle name="PSHeading 3 3 5 2 2" xfId="18534"/>
    <cellStyle name="PSHeading 3 3 5 2 2 2" xfId="18535"/>
    <cellStyle name="PSHeading 3 3 5 2 2 2 2" xfId="36351"/>
    <cellStyle name="PSHeading 3 3 5 2 2 3" xfId="36350"/>
    <cellStyle name="PSHeading 3 3 5 2 3" xfId="18536"/>
    <cellStyle name="PSHeading 3 3 5 2 3 2" xfId="18537"/>
    <cellStyle name="PSHeading 3 3 5 2 3 2 2" xfId="36353"/>
    <cellStyle name="PSHeading 3 3 5 2 3 3" xfId="36352"/>
    <cellStyle name="PSHeading 3 3 5 2 4" xfId="36349"/>
    <cellStyle name="PSHeading 3 3 5 3" xfId="18538"/>
    <cellStyle name="PSHeading 3 3 5 3 2" xfId="18539"/>
    <cellStyle name="PSHeading 3 3 5 3 2 2" xfId="18540"/>
    <cellStyle name="PSHeading 3 3 5 3 2 2 2" xfId="36356"/>
    <cellStyle name="PSHeading 3 3 5 3 2 3" xfId="36355"/>
    <cellStyle name="PSHeading 3 3 5 3 3" xfId="18541"/>
    <cellStyle name="PSHeading 3 3 5 3 3 2" xfId="18542"/>
    <cellStyle name="PSHeading 3 3 5 3 3 2 2" xfId="36358"/>
    <cellStyle name="PSHeading 3 3 5 3 3 3" xfId="36357"/>
    <cellStyle name="PSHeading 3 3 5 3 4" xfId="36354"/>
    <cellStyle name="PSHeading 3 3 5 4" xfId="18543"/>
    <cellStyle name="PSHeading 3 3 5 4 2" xfId="36359"/>
    <cellStyle name="PSHeading 3 3 5 5" xfId="36348"/>
    <cellStyle name="PSHeading 3 3 6" xfId="18544"/>
    <cellStyle name="PSHeading 3 3 6 2" xfId="18545"/>
    <cellStyle name="PSHeading 3 3 6 2 2" xfId="18546"/>
    <cellStyle name="PSHeading 3 3 6 2 2 2" xfId="18547"/>
    <cellStyle name="PSHeading 3 3 6 2 2 2 2" xfId="18548"/>
    <cellStyle name="PSHeading 3 3 6 2 2 2 2 2" xfId="36364"/>
    <cellStyle name="PSHeading 3 3 6 2 2 2 3" xfId="36363"/>
    <cellStyle name="PSHeading 3 3 6 2 2 3" xfId="18549"/>
    <cellStyle name="PSHeading 3 3 6 2 2 3 2" xfId="18550"/>
    <cellStyle name="PSHeading 3 3 6 2 2 3 2 2" xfId="36366"/>
    <cellStyle name="PSHeading 3 3 6 2 2 3 3" xfId="36365"/>
    <cellStyle name="PSHeading 3 3 6 2 2 4" xfId="36362"/>
    <cellStyle name="PSHeading 3 3 6 2 3" xfId="18551"/>
    <cellStyle name="PSHeading 3 3 6 2 3 2" xfId="18552"/>
    <cellStyle name="PSHeading 3 3 6 2 3 2 2" xfId="18553"/>
    <cellStyle name="PSHeading 3 3 6 2 3 2 2 2" xfId="36369"/>
    <cellStyle name="PSHeading 3 3 6 2 3 2 3" xfId="36368"/>
    <cellStyle name="PSHeading 3 3 6 2 3 3" xfId="18554"/>
    <cellStyle name="PSHeading 3 3 6 2 3 3 2" xfId="18555"/>
    <cellStyle name="PSHeading 3 3 6 2 3 3 2 2" xfId="36371"/>
    <cellStyle name="PSHeading 3 3 6 2 3 3 3" xfId="36370"/>
    <cellStyle name="PSHeading 3 3 6 2 3 4" xfId="36367"/>
    <cellStyle name="PSHeading 3 3 6 2 4" xfId="18556"/>
    <cellStyle name="PSHeading 3 3 6 2 4 2" xfId="36372"/>
    <cellStyle name="PSHeading 3 3 6 2 5" xfId="36361"/>
    <cellStyle name="PSHeading 3 3 6 3" xfId="18557"/>
    <cellStyle name="PSHeading 3 3 6 3 2" xfId="18558"/>
    <cellStyle name="PSHeading 3 3 6 3 2 2" xfId="18559"/>
    <cellStyle name="PSHeading 3 3 6 3 2 2 2" xfId="18560"/>
    <cellStyle name="PSHeading 3 3 6 3 2 2 2 2" xfId="36376"/>
    <cellStyle name="PSHeading 3 3 6 3 2 2 3" xfId="36375"/>
    <cellStyle name="PSHeading 3 3 6 3 2 3" xfId="18561"/>
    <cellStyle name="PSHeading 3 3 6 3 2 3 2" xfId="18562"/>
    <cellStyle name="PSHeading 3 3 6 3 2 3 2 2" xfId="36378"/>
    <cellStyle name="PSHeading 3 3 6 3 2 3 3" xfId="36377"/>
    <cellStyle name="PSHeading 3 3 6 3 2 4" xfId="36374"/>
    <cellStyle name="PSHeading 3 3 6 3 3" xfId="18563"/>
    <cellStyle name="PSHeading 3 3 6 3 3 2" xfId="18564"/>
    <cellStyle name="PSHeading 3 3 6 3 3 2 2" xfId="36380"/>
    <cellStyle name="PSHeading 3 3 6 3 3 3" xfId="36379"/>
    <cellStyle name="PSHeading 3 3 6 3 4" xfId="18565"/>
    <cellStyle name="PSHeading 3 3 6 3 4 2" xfId="18566"/>
    <cellStyle name="PSHeading 3 3 6 3 4 2 2" xfId="36382"/>
    <cellStyle name="PSHeading 3 3 6 3 4 3" xfId="36381"/>
    <cellStyle name="PSHeading 3 3 6 3 5" xfId="36373"/>
    <cellStyle name="PSHeading 3 3 6 4" xfId="18567"/>
    <cellStyle name="PSHeading 3 3 6 4 2" xfId="36383"/>
    <cellStyle name="PSHeading 3 3 6 5" xfId="36360"/>
    <cellStyle name="PSHeading 3 3 7" xfId="18568"/>
    <cellStyle name="PSHeading 3 3 7 2" xfId="18569"/>
    <cellStyle name="PSHeading 3 3 7 2 2" xfId="18570"/>
    <cellStyle name="PSHeading 3 3 7 2 2 2" xfId="36386"/>
    <cellStyle name="PSHeading 3 3 7 2 3" xfId="36385"/>
    <cellStyle name="PSHeading 3 3 7 3" xfId="18571"/>
    <cellStyle name="PSHeading 3 3 7 3 2" xfId="18572"/>
    <cellStyle name="PSHeading 3 3 7 3 2 2" xfId="36388"/>
    <cellStyle name="PSHeading 3 3 7 3 3" xfId="36387"/>
    <cellStyle name="PSHeading 3 3 7 4" xfId="36384"/>
    <cellStyle name="PSHeading 3 3 8" xfId="18573"/>
    <cellStyle name="PSHeading 3 3 8 2" xfId="18574"/>
    <cellStyle name="PSHeading 3 3 8 2 2" xfId="36390"/>
    <cellStyle name="PSHeading 3 3 8 3" xfId="36389"/>
    <cellStyle name="PSHeading 3 3 9" xfId="36287"/>
    <cellStyle name="PSHeading 3 4" xfId="18575"/>
    <cellStyle name="PSHeading 3 4 2" xfId="18576"/>
    <cellStyle name="PSHeading 3 4 2 2" xfId="18577"/>
    <cellStyle name="PSHeading 3 4 2 2 2" xfId="18578"/>
    <cellStyle name="PSHeading 3 4 2 2 2 2" xfId="18579"/>
    <cellStyle name="PSHeading 3 4 2 2 2 2 2" xfId="18580"/>
    <cellStyle name="PSHeading 3 4 2 2 2 2 2 2" xfId="36396"/>
    <cellStyle name="PSHeading 3 4 2 2 2 2 3" xfId="36395"/>
    <cellStyle name="PSHeading 3 4 2 2 2 3" xfId="18581"/>
    <cellStyle name="PSHeading 3 4 2 2 2 3 2" xfId="18582"/>
    <cellStyle name="PSHeading 3 4 2 2 2 3 2 2" xfId="36398"/>
    <cellStyle name="PSHeading 3 4 2 2 2 3 3" xfId="36397"/>
    <cellStyle name="PSHeading 3 4 2 2 2 4" xfId="36394"/>
    <cellStyle name="PSHeading 3 4 2 2 3" xfId="18583"/>
    <cellStyle name="PSHeading 3 4 2 2 3 2" xfId="18584"/>
    <cellStyle name="PSHeading 3 4 2 2 3 2 2" xfId="18585"/>
    <cellStyle name="PSHeading 3 4 2 2 3 2 2 2" xfId="36401"/>
    <cellStyle name="PSHeading 3 4 2 2 3 2 3" xfId="36400"/>
    <cellStyle name="PSHeading 3 4 2 2 3 3" xfId="18586"/>
    <cellStyle name="PSHeading 3 4 2 2 3 3 2" xfId="18587"/>
    <cellStyle name="PSHeading 3 4 2 2 3 3 2 2" xfId="36403"/>
    <cellStyle name="PSHeading 3 4 2 2 3 3 3" xfId="36402"/>
    <cellStyle name="PSHeading 3 4 2 2 3 4" xfId="36399"/>
    <cellStyle name="PSHeading 3 4 2 2 4" xfId="18588"/>
    <cellStyle name="PSHeading 3 4 2 2 4 2" xfId="36404"/>
    <cellStyle name="PSHeading 3 4 2 2 5" xfId="36393"/>
    <cellStyle name="PSHeading 3 4 2 3" xfId="18589"/>
    <cellStyle name="PSHeading 3 4 2 3 2" xfId="18590"/>
    <cellStyle name="PSHeading 3 4 2 3 2 2" xfId="18591"/>
    <cellStyle name="PSHeading 3 4 2 3 2 2 2" xfId="36407"/>
    <cellStyle name="PSHeading 3 4 2 3 2 3" xfId="36406"/>
    <cellStyle name="PSHeading 3 4 2 3 3" xfId="18592"/>
    <cellStyle name="PSHeading 3 4 2 3 3 2" xfId="18593"/>
    <cellStyle name="PSHeading 3 4 2 3 3 2 2" xfId="36409"/>
    <cellStyle name="PSHeading 3 4 2 3 3 3" xfId="36408"/>
    <cellStyle name="PSHeading 3 4 2 3 4" xfId="36405"/>
    <cellStyle name="PSHeading 3 4 2 4" xfId="18594"/>
    <cellStyle name="PSHeading 3 4 2 4 2" xfId="18595"/>
    <cellStyle name="PSHeading 3 4 2 4 2 2" xfId="18596"/>
    <cellStyle name="PSHeading 3 4 2 4 2 2 2" xfId="36412"/>
    <cellStyle name="PSHeading 3 4 2 4 2 3" xfId="36411"/>
    <cellStyle name="PSHeading 3 4 2 4 3" xfId="18597"/>
    <cellStyle name="PSHeading 3 4 2 4 3 2" xfId="18598"/>
    <cellStyle name="PSHeading 3 4 2 4 3 2 2" xfId="36414"/>
    <cellStyle name="PSHeading 3 4 2 4 3 3" xfId="36413"/>
    <cellStyle name="PSHeading 3 4 2 4 4" xfId="36410"/>
    <cellStyle name="PSHeading 3 4 2 5" xfId="18599"/>
    <cellStyle name="PSHeading 3 4 2 5 2" xfId="36415"/>
    <cellStyle name="PSHeading 3 4 2 6" xfId="36392"/>
    <cellStyle name="PSHeading 3 4 3" xfId="18600"/>
    <cellStyle name="PSHeading 3 4 3 2" xfId="18601"/>
    <cellStyle name="PSHeading 3 4 3 2 2" xfId="18602"/>
    <cellStyle name="PSHeading 3 4 3 2 2 2" xfId="18603"/>
    <cellStyle name="PSHeading 3 4 3 2 2 2 2" xfId="18604"/>
    <cellStyle name="PSHeading 3 4 3 2 2 2 2 2" xfId="36420"/>
    <cellStyle name="PSHeading 3 4 3 2 2 2 3" xfId="36419"/>
    <cellStyle name="PSHeading 3 4 3 2 2 3" xfId="18605"/>
    <cellStyle name="PSHeading 3 4 3 2 2 3 2" xfId="18606"/>
    <cellStyle name="PSHeading 3 4 3 2 2 3 2 2" xfId="36422"/>
    <cellStyle name="PSHeading 3 4 3 2 2 3 3" xfId="36421"/>
    <cellStyle name="PSHeading 3 4 3 2 2 4" xfId="36418"/>
    <cellStyle name="PSHeading 3 4 3 2 3" xfId="18607"/>
    <cellStyle name="PSHeading 3 4 3 2 3 2" xfId="18608"/>
    <cellStyle name="PSHeading 3 4 3 2 3 2 2" xfId="18609"/>
    <cellStyle name="PSHeading 3 4 3 2 3 2 2 2" xfId="36425"/>
    <cellStyle name="PSHeading 3 4 3 2 3 2 3" xfId="36424"/>
    <cellStyle name="PSHeading 3 4 3 2 3 3" xfId="18610"/>
    <cellStyle name="PSHeading 3 4 3 2 3 3 2" xfId="18611"/>
    <cellStyle name="PSHeading 3 4 3 2 3 3 2 2" xfId="36427"/>
    <cellStyle name="PSHeading 3 4 3 2 3 3 3" xfId="36426"/>
    <cellStyle name="PSHeading 3 4 3 2 3 4" xfId="36423"/>
    <cellStyle name="PSHeading 3 4 3 2 4" xfId="18612"/>
    <cellStyle name="PSHeading 3 4 3 2 4 2" xfId="36428"/>
    <cellStyle name="PSHeading 3 4 3 2 5" xfId="36417"/>
    <cellStyle name="PSHeading 3 4 3 3" xfId="18613"/>
    <cellStyle name="PSHeading 3 4 3 3 2" xfId="18614"/>
    <cellStyle name="PSHeading 3 4 3 3 2 2" xfId="18615"/>
    <cellStyle name="PSHeading 3 4 3 3 2 2 2" xfId="36431"/>
    <cellStyle name="PSHeading 3 4 3 3 2 3" xfId="36430"/>
    <cellStyle name="PSHeading 3 4 3 3 3" xfId="18616"/>
    <cellStyle name="PSHeading 3 4 3 3 3 2" xfId="18617"/>
    <cellStyle name="PSHeading 3 4 3 3 3 2 2" xfId="36433"/>
    <cellStyle name="PSHeading 3 4 3 3 3 3" xfId="36432"/>
    <cellStyle name="PSHeading 3 4 3 3 4" xfId="36429"/>
    <cellStyle name="PSHeading 3 4 3 4" xfId="18618"/>
    <cellStyle name="PSHeading 3 4 3 4 2" xfId="18619"/>
    <cellStyle name="PSHeading 3 4 3 4 2 2" xfId="18620"/>
    <cellStyle name="PSHeading 3 4 3 4 2 2 2" xfId="36436"/>
    <cellStyle name="PSHeading 3 4 3 4 2 3" xfId="36435"/>
    <cellStyle name="PSHeading 3 4 3 4 3" xfId="18621"/>
    <cellStyle name="PSHeading 3 4 3 4 3 2" xfId="18622"/>
    <cellStyle name="PSHeading 3 4 3 4 3 2 2" xfId="36438"/>
    <cellStyle name="PSHeading 3 4 3 4 3 3" xfId="36437"/>
    <cellStyle name="PSHeading 3 4 3 4 4" xfId="36434"/>
    <cellStyle name="PSHeading 3 4 3 5" xfId="18623"/>
    <cellStyle name="PSHeading 3 4 3 5 2" xfId="36439"/>
    <cellStyle name="PSHeading 3 4 3 6" xfId="36416"/>
    <cellStyle name="PSHeading 3 4 4" xfId="18624"/>
    <cellStyle name="PSHeading 3 4 4 2" xfId="18625"/>
    <cellStyle name="PSHeading 3 4 4 2 2" xfId="18626"/>
    <cellStyle name="PSHeading 3 4 4 2 2 2" xfId="18627"/>
    <cellStyle name="PSHeading 3 4 4 2 2 2 2" xfId="36443"/>
    <cellStyle name="PSHeading 3 4 4 2 2 3" xfId="36442"/>
    <cellStyle name="PSHeading 3 4 4 2 3" xfId="18628"/>
    <cellStyle name="PSHeading 3 4 4 2 3 2" xfId="18629"/>
    <cellStyle name="PSHeading 3 4 4 2 3 2 2" xfId="36445"/>
    <cellStyle name="PSHeading 3 4 4 2 3 3" xfId="36444"/>
    <cellStyle name="PSHeading 3 4 4 2 4" xfId="36441"/>
    <cellStyle name="PSHeading 3 4 4 3" xfId="18630"/>
    <cellStyle name="PSHeading 3 4 4 3 2" xfId="18631"/>
    <cellStyle name="PSHeading 3 4 4 3 2 2" xfId="18632"/>
    <cellStyle name="PSHeading 3 4 4 3 2 2 2" xfId="36448"/>
    <cellStyle name="PSHeading 3 4 4 3 2 3" xfId="36447"/>
    <cellStyle name="PSHeading 3 4 4 3 3" xfId="18633"/>
    <cellStyle name="PSHeading 3 4 4 3 3 2" xfId="18634"/>
    <cellStyle name="PSHeading 3 4 4 3 3 2 2" xfId="36450"/>
    <cellStyle name="PSHeading 3 4 4 3 3 3" xfId="36449"/>
    <cellStyle name="PSHeading 3 4 4 3 4" xfId="36446"/>
    <cellStyle name="PSHeading 3 4 4 4" xfId="18635"/>
    <cellStyle name="PSHeading 3 4 4 4 2" xfId="36451"/>
    <cellStyle name="PSHeading 3 4 4 5" xfId="36440"/>
    <cellStyle name="PSHeading 3 4 5" xfId="18636"/>
    <cellStyle name="PSHeading 3 4 5 2" xfId="18637"/>
    <cellStyle name="PSHeading 3 4 5 2 2" xfId="18638"/>
    <cellStyle name="PSHeading 3 4 5 2 2 2" xfId="18639"/>
    <cellStyle name="PSHeading 3 4 5 2 2 2 2" xfId="36455"/>
    <cellStyle name="PSHeading 3 4 5 2 2 3" xfId="36454"/>
    <cellStyle name="PSHeading 3 4 5 2 3" xfId="18640"/>
    <cellStyle name="PSHeading 3 4 5 2 3 2" xfId="18641"/>
    <cellStyle name="PSHeading 3 4 5 2 3 2 2" xfId="36457"/>
    <cellStyle name="PSHeading 3 4 5 2 3 3" xfId="36456"/>
    <cellStyle name="PSHeading 3 4 5 2 4" xfId="36453"/>
    <cellStyle name="PSHeading 3 4 5 3" xfId="18642"/>
    <cellStyle name="PSHeading 3 4 5 3 2" xfId="18643"/>
    <cellStyle name="PSHeading 3 4 5 3 2 2" xfId="18644"/>
    <cellStyle name="PSHeading 3 4 5 3 2 2 2" xfId="36460"/>
    <cellStyle name="PSHeading 3 4 5 3 2 3" xfId="36459"/>
    <cellStyle name="PSHeading 3 4 5 3 3" xfId="18645"/>
    <cellStyle name="PSHeading 3 4 5 3 3 2" xfId="18646"/>
    <cellStyle name="PSHeading 3 4 5 3 3 2 2" xfId="36462"/>
    <cellStyle name="PSHeading 3 4 5 3 3 3" xfId="36461"/>
    <cellStyle name="PSHeading 3 4 5 3 4" xfId="36458"/>
    <cellStyle name="PSHeading 3 4 5 4" xfId="18647"/>
    <cellStyle name="PSHeading 3 4 5 4 2" xfId="36463"/>
    <cellStyle name="PSHeading 3 4 5 5" xfId="36452"/>
    <cellStyle name="PSHeading 3 4 6" xfId="18648"/>
    <cellStyle name="PSHeading 3 4 6 2" xfId="18649"/>
    <cellStyle name="PSHeading 3 4 6 2 2" xfId="18650"/>
    <cellStyle name="PSHeading 3 4 6 2 2 2" xfId="18651"/>
    <cellStyle name="PSHeading 3 4 6 2 2 2 2" xfId="18652"/>
    <cellStyle name="PSHeading 3 4 6 2 2 2 2 2" xfId="36468"/>
    <cellStyle name="PSHeading 3 4 6 2 2 2 3" xfId="36467"/>
    <cellStyle name="PSHeading 3 4 6 2 2 3" xfId="18653"/>
    <cellStyle name="PSHeading 3 4 6 2 2 3 2" xfId="18654"/>
    <cellStyle name="PSHeading 3 4 6 2 2 3 2 2" xfId="36470"/>
    <cellStyle name="PSHeading 3 4 6 2 2 3 3" xfId="36469"/>
    <cellStyle name="PSHeading 3 4 6 2 2 4" xfId="36466"/>
    <cellStyle name="PSHeading 3 4 6 2 3" xfId="18655"/>
    <cellStyle name="PSHeading 3 4 6 2 3 2" xfId="18656"/>
    <cellStyle name="PSHeading 3 4 6 2 3 2 2" xfId="18657"/>
    <cellStyle name="PSHeading 3 4 6 2 3 2 2 2" xfId="36473"/>
    <cellStyle name="PSHeading 3 4 6 2 3 2 3" xfId="36472"/>
    <cellStyle name="PSHeading 3 4 6 2 3 3" xfId="18658"/>
    <cellStyle name="PSHeading 3 4 6 2 3 3 2" xfId="18659"/>
    <cellStyle name="PSHeading 3 4 6 2 3 3 2 2" xfId="36475"/>
    <cellStyle name="PSHeading 3 4 6 2 3 3 3" xfId="36474"/>
    <cellStyle name="PSHeading 3 4 6 2 3 4" xfId="36471"/>
    <cellStyle name="PSHeading 3 4 6 2 4" xfId="18660"/>
    <cellStyle name="PSHeading 3 4 6 2 4 2" xfId="36476"/>
    <cellStyle name="PSHeading 3 4 6 2 5" xfId="36465"/>
    <cellStyle name="PSHeading 3 4 6 3" xfId="18661"/>
    <cellStyle name="PSHeading 3 4 6 3 2" xfId="18662"/>
    <cellStyle name="PSHeading 3 4 6 3 2 2" xfId="18663"/>
    <cellStyle name="PSHeading 3 4 6 3 2 2 2" xfId="18664"/>
    <cellStyle name="PSHeading 3 4 6 3 2 2 2 2" xfId="36480"/>
    <cellStyle name="PSHeading 3 4 6 3 2 2 3" xfId="36479"/>
    <cellStyle name="PSHeading 3 4 6 3 2 3" xfId="18665"/>
    <cellStyle name="PSHeading 3 4 6 3 2 3 2" xfId="18666"/>
    <cellStyle name="PSHeading 3 4 6 3 2 3 2 2" xfId="36482"/>
    <cellStyle name="PSHeading 3 4 6 3 2 3 3" xfId="36481"/>
    <cellStyle name="PSHeading 3 4 6 3 2 4" xfId="36478"/>
    <cellStyle name="PSHeading 3 4 6 3 3" xfId="18667"/>
    <cellStyle name="PSHeading 3 4 6 3 3 2" xfId="18668"/>
    <cellStyle name="PSHeading 3 4 6 3 3 2 2" xfId="36484"/>
    <cellStyle name="PSHeading 3 4 6 3 3 3" xfId="36483"/>
    <cellStyle name="PSHeading 3 4 6 3 4" xfId="18669"/>
    <cellStyle name="PSHeading 3 4 6 3 4 2" xfId="18670"/>
    <cellStyle name="PSHeading 3 4 6 3 4 2 2" xfId="36486"/>
    <cellStyle name="PSHeading 3 4 6 3 4 3" xfId="36485"/>
    <cellStyle name="PSHeading 3 4 6 3 5" xfId="36477"/>
    <cellStyle name="PSHeading 3 4 6 4" xfId="18671"/>
    <cellStyle name="PSHeading 3 4 6 4 2" xfId="36487"/>
    <cellStyle name="PSHeading 3 4 6 5" xfId="36464"/>
    <cellStyle name="PSHeading 3 4 7" xfId="18672"/>
    <cellStyle name="PSHeading 3 4 7 2" xfId="18673"/>
    <cellStyle name="PSHeading 3 4 7 2 2" xfId="18674"/>
    <cellStyle name="PSHeading 3 4 7 2 2 2" xfId="36490"/>
    <cellStyle name="PSHeading 3 4 7 2 3" xfId="36489"/>
    <cellStyle name="PSHeading 3 4 7 3" xfId="18675"/>
    <cellStyle name="PSHeading 3 4 7 3 2" xfId="18676"/>
    <cellStyle name="PSHeading 3 4 7 3 2 2" xfId="36492"/>
    <cellStyle name="PSHeading 3 4 7 3 3" xfId="36491"/>
    <cellStyle name="PSHeading 3 4 7 4" xfId="36488"/>
    <cellStyle name="PSHeading 3 4 8" xfId="18677"/>
    <cellStyle name="PSHeading 3 4 8 2" xfId="18678"/>
    <cellStyle name="PSHeading 3 4 8 2 2" xfId="36494"/>
    <cellStyle name="PSHeading 3 4 8 3" xfId="36493"/>
    <cellStyle name="PSHeading 3 4 9" xfId="36391"/>
    <cellStyle name="PSHeading 3 5" xfId="18679"/>
    <cellStyle name="PSHeading 3 5 2" xfId="18680"/>
    <cellStyle name="PSHeading 3 5 2 2" xfId="18681"/>
    <cellStyle name="PSHeading 3 5 2 2 2" xfId="18682"/>
    <cellStyle name="PSHeading 3 5 2 2 2 2" xfId="18683"/>
    <cellStyle name="PSHeading 3 5 2 2 2 2 2" xfId="36499"/>
    <cellStyle name="PSHeading 3 5 2 2 2 3" xfId="36498"/>
    <cellStyle name="PSHeading 3 5 2 2 3" xfId="18684"/>
    <cellStyle name="PSHeading 3 5 2 2 3 2" xfId="18685"/>
    <cellStyle name="PSHeading 3 5 2 2 3 2 2" xfId="36501"/>
    <cellStyle name="PSHeading 3 5 2 2 3 3" xfId="36500"/>
    <cellStyle name="PSHeading 3 5 2 2 4" xfId="36497"/>
    <cellStyle name="PSHeading 3 5 2 3" xfId="18686"/>
    <cellStyle name="PSHeading 3 5 2 3 2" xfId="18687"/>
    <cellStyle name="PSHeading 3 5 2 3 2 2" xfId="18688"/>
    <cellStyle name="PSHeading 3 5 2 3 2 2 2" xfId="36504"/>
    <cellStyle name="PSHeading 3 5 2 3 2 3" xfId="36503"/>
    <cellStyle name="PSHeading 3 5 2 3 3" xfId="18689"/>
    <cellStyle name="PSHeading 3 5 2 3 3 2" xfId="18690"/>
    <cellStyle name="PSHeading 3 5 2 3 3 2 2" xfId="36506"/>
    <cellStyle name="PSHeading 3 5 2 3 3 3" xfId="36505"/>
    <cellStyle name="PSHeading 3 5 2 3 4" xfId="36502"/>
    <cellStyle name="PSHeading 3 5 2 4" xfId="18691"/>
    <cellStyle name="PSHeading 3 5 2 4 2" xfId="36507"/>
    <cellStyle name="PSHeading 3 5 2 5" xfId="36496"/>
    <cellStyle name="PSHeading 3 5 3" xfId="18692"/>
    <cellStyle name="PSHeading 3 5 3 2" xfId="18693"/>
    <cellStyle name="PSHeading 3 5 3 2 2" xfId="18694"/>
    <cellStyle name="PSHeading 3 5 3 2 2 2" xfId="36510"/>
    <cellStyle name="PSHeading 3 5 3 2 3" xfId="36509"/>
    <cellStyle name="PSHeading 3 5 3 3" xfId="18695"/>
    <cellStyle name="PSHeading 3 5 3 3 2" xfId="18696"/>
    <cellStyle name="PSHeading 3 5 3 3 2 2" xfId="36512"/>
    <cellStyle name="PSHeading 3 5 3 3 3" xfId="36511"/>
    <cellStyle name="PSHeading 3 5 3 4" xfId="36508"/>
    <cellStyle name="PSHeading 3 5 4" xfId="18697"/>
    <cellStyle name="PSHeading 3 5 4 2" xfId="18698"/>
    <cellStyle name="PSHeading 3 5 4 2 2" xfId="18699"/>
    <cellStyle name="PSHeading 3 5 4 2 2 2" xfId="36515"/>
    <cellStyle name="PSHeading 3 5 4 2 3" xfId="36514"/>
    <cellStyle name="PSHeading 3 5 4 3" xfId="18700"/>
    <cellStyle name="PSHeading 3 5 4 3 2" xfId="18701"/>
    <cellStyle name="PSHeading 3 5 4 3 2 2" xfId="36517"/>
    <cellStyle name="PSHeading 3 5 4 3 3" xfId="36516"/>
    <cellStyle name="PSHeading 3 5 4 4" xfId="36513"/>
    <cellStyle name="PSHeading 3 5 5" xfId="18702"/>
    <cellStyle name="PSHeading 3 5 5 2" xfId="36518"/>
    <cellStyle name="PSHeading 3 5 6" xfId="36495"/>
    <cellStyle name="PSHeading 3 6" xfId="18703"/>
    <cellStyle name="PSHeading 3 6 2" xfId="18704"/>
    <cellStyle name="PSHeading 3 6 2 2" xfId="18705"/>
    <cellStyle name="PSHeading 3 6 2 2 2" xfId="18706"/>
    <cellStyle name="PSHeading 3 6 2 2 2 2" xfId="18707"/>
    <cellStyle name="PSHeading 3 6 2 2 2 2 2" xfId="36523"/>
    <cellStyle name="PSHeading 3 6 2 2 2 3" xfId="36522"/>
    <cellStyle name="PSHeading 3 6 2 2 3" xfId="18708"/>
    <cellStyle name="PSHeading 3 6 2 2 3 2" xfId="18709"/>
    <cellStyle name="PSHeading 3 6 2 2 3 2 2" xfId="36525"/>
    <cellStyle name="PSHeading 3 6 2 2 3 3" xfId="36524"/>
    <cellStyle name="PSHeading 3 6 2 2 4" xfId="36521"/>
    <cellStyle name="PSHeading 3 6 2 3" xfId="18710"/>
    <cellStyle name="PSHeading 3 6 2 3 2" xfId="18711"/>
    <cellStyle name="PSHeading 3 6 2 3 2 2" xfId="18712"/>
    <cellStyle name="PSHeading 3 6 2 3 2 2 2" xfId="36528"/>
    <cellStyle name="PSHeading 3 6 2 3 2 3" xfId="36527"/>
    <cellStyle name="PSHeading 3 6 2 3 3" xfId="18713"/>
    <cellStyle name="PSHeading 3 6 2 3 3 2" xfId="18714"/>
    <cellStyle name="PSHeading 3 6 2 3 3 2 2" xfId="36530"/>
    <cellStyle name="PSHeading 3 6 2 3 3 3" xfId="36529"/>
    <cellStyle name="PSHeading 3 6 2 3 4" xfId="36526"/>
    <cellStyle name="PSHeading 3 6 2 4" xfId="18715"/>
    <cellStyle name="PSHeading 3 6 2 4 2" xfId="36531"/>
    <cellStyle name="PSHeading 3 6 2 5" xfId="36520"/>
    <cellStyle name="PSHeading 3 6 3" xfId="18716"/>
    <cellStyle name="PSHeading 3 6 3 2" xfId="18717"/>
    <cellStyle name="PSHeading 3 6 3 2 2" xfId="18718"/>
    <cellStyle name="PSHeading 3 6 3 2 2 2" xfId="36534"/>
    <cellStyle name="PSHeading 3 6 3 2 3" xfId="36533"/>
    <cellStyle name="PSHeading 3 6 3 3" xfId="18719"/>
    <cellStyle name="PSHeading 3 6 3 3 2" xfId="18720"/>
    <cellStyle name="PSHeading 3 6 3 3 2 2" xfId="36536"/>
    <cellStyle name="PSHeading 3 6 3 3 3" xfId="36535"/>
    <cellStyle name="PSHeading 3 6 3 4" xfId="36532"/>
    <cellStyle name="PSHeading 3 6 4" xfId="18721"/>
    <cellStyle name="PSHeading 3 6 4 2" xfId="18722"/>
    <cellStyle name="PSHeading 3 6 4 2 2" xfId="18723"/>
    <cellStyle name="PSHeading 3 6 4 2 2 2" xfId="36539"/>
    <cellStyle name="PSHeading 3 6 4 2 3" xfId="36538"/>
    <cellStyle name="PSHeading 3 6 4 3" xfId="18724"/>
    <cellStyle name="PSHeading 3 6 4 3 2" xfId="18725"/>
    <cellStyle name="PSHeading 3 6 4 3 2 2" xfId="36541"/>
    <cellStyle name="PSHeading 3 6 4 3 3" xfId="36540"/>
    <cellStyle name="PSHeading 3 6 4 4" xfId="36537"/>
    <cellStyle name="PSHeading 3 6 5" xfId="18726"/>
    <cellStyle name="PSHeading 3 6 5 2" xfId="36542"/>
    <cellStyle name="PSHeading 3 6 6" xfId="36519"/>
    <cellStyle name="PSHeading 3 7" xfId="18727"/>
    <cellStyle name="PSHeading 3 7 2" xfId="18728"/>
    <cellStyle name="PSHeading 3 7 2 2" xfId="18729"/>
    <cellStyle name="PSHeading 3 7 2 2 2" xfId="18730"/>
    <cellStyle name="PSHeading 3 7 2 2 2 2" xfId="36546"/>
    <cellStyle name="PSHeading 3 7 2 2 3" xfId="36545"/>
    <cellStyle name="PSHeading 3 7 2 3" xfId="18731"/>
    <cellStyle name="PSHeading 3 7 2 3 2" xfId="18732"/>
    <cellStyle name="PSHeading 3 7 2 3 2 2" xfId="36548"/>
    <cellStyle name="PSHeading 3 7 2 3 3" xfId="36547"/>
    <cellStyle name="PSHeading 3 7 2 4" xfId="36544"/>
    <cellStyle name="PSHeading 3 7 3" xfId="18733"/>
    <cellStyle name="PSHeading 3 7 3 2" xfId="18734"/>
    <cellStyle name="PSHeading 3 7 3 2 2" xfId="18735"/>
    <cellStyle name="PSHeading 3 7 3 2 2 2" xfId="36551"/>
    <cellStyle name="PSHeading 3 7 3 2 3" xfId="36550"/>
    <cellStyle name="PSHeading 3 7 3 3" xfId="18736"/>
    <cellStyle name="PSHeading 3 7 3 3 2" xfId="18737"/>
    <cellStyle name="PSHeading 3 7 3 3 2 2" xfId="36553"/>
    <cellStyle name="PSHeading 3 7 3 3 3" xfId="36552"/>
    <cellStyle name="PSHeading 3 7 3 4" xfId="36549"/>
    <cellStyle name="PSHeading 3 7 4" xfId="18738"/>
    <cellStyle name="PSHeading 3 7 4 2" xfId="36554"/>
    <cellStyle name="PSHeading 3 7 5" xfId="36543"/>
    <cellStyle name="PSHeading 3 8" xfId="18739"/>
    <cellStyle name="PSHeading 3 8 2" xfId="18740"/>
    <cellStyle name="PSHeading 3 8 2 2" xfId="18741"/>
    <cellStyle name="PSHeading 3 8 2 2 2" xfId="18742"/>
    <cellStyle name="PSHeading 3 8 2 2 2 2" xfId="18743"/>
    <cellStyle name="PSHeading 3 8 2 2 2 2 2" xfId="36559"/>
    <cellStyle name="PSHeading 3 8 2 2 2 3" xfId="36558"/>
    <cellStyle name="PSHeading 3 8 2 2 3" xfId="18744"/>
    <cellStyle name="PSHeading 3 8 2 2 3 2" xfId="18745"/>
    <cellStyle name="PSHeading 3 8 2 2 3 2 2" xfId="36561"/>
    <cellStyle name="PSHeading 3 8 2 2 3 3" xfId="36560"/>
    <cellStyle name="PSHeading 3 8 2 2 4" xfId="36557"/>
    <cellStyle name="PSHeading 3 8 2 3" xfId="18746"/>
    <cellStyle name="PSHeading 3 8 2 3 2" xfId="18747"/>
    <cellStyle name="PSHeading 3 8 2 3 2 2" xfId="18748"/>
    <cellStyle name="PSHeading 3 8 2 3 2 2 2" xfId="36564"/>
    <cellStyle name="PSHeading 3 8 2 3 2 3" xfId="36563"/>
    <cellStyle name="PSHeading 3 8 2 3 3" xfId="18749"/>
    <cellStyle name="PSHeading 3 8 2 3 3 2" xfId="18750"/>
    <cellStyle name="PSHeading 3 8 2 3 3 2 2" xfId="36566"/>
    <cellStyle name="PSHeading 3 8 2 3 3 3" xfId="36565"/>
    <cellStyle name="PSHeading 3 8 2 3 4" xfId="36562"/>
    <cellStyle name="PSHeading 3 8 2 4" xfId="18751"/>
    <cellStyle name="PSHeading 3 8 2 4 2" xfId="36567"/>
    <cellStyle name="PSHeading 3 8 2 5" xfId="36556"/>
    <cellStyle name="PSHeading 3 8 3" xfId="18752"/>
    <cellStyle name="PSHeading 3 8 3 2" xfId="18753"/>
    <cellStyle name="PSHeading 3 8 3 2 2" xfId="18754"/>
    <cellStyle name="PSHeading 3 8 3 2 2 2" xfId="18755"/>
    <cellStyle name="PSHeading 3 8 3 2 2 2 2" xfId="36571"/>
    <cellStyle name="PSHeading 3 8 3 2 2 3" xfId="36570"/>
    <cellStyle name="PSHeading 3 8 3 2 3" xfId="18756"/>
    <cellStyle name="PSHeading 3 8 3 2 3 2" xfId="18757"/>
    <cellStyle name="PSHeading 3 8 3 2 3 2 2" xfId="36573"/>
    <cellStyle name="PSHeading 3 8 3 2 3 3" xfId="36572"/>
    <cellStyle name="PSHeading 3 8 3 2 4" xfId="36569"/>
    <cellStyle name="PSHeading 3 8 3 3" xfId="18758"/>
    <cellStyle name="PSHeading 3 8 3 3 2" xfId="18759"/>
    <cellStyle name="PSHeading 3 8 3 3 2 2" xfId="36575"/>
    <cellStyle name="PSHeading 3 8 3 3 3" xfId="36574"/>
    <cellStyle name="PSHeading 3 8 3 4" xfId="18760"/>
    <cellStyle name="PSHeading 3 8 3 4 2" xfId="18761"/>
    <cellStyle name="PSHeading 3 8 3 4 2 2" xfId="36577"/>
    <cellStyle name="PSHeading 3 8 3 4 3" xfId="36576"/>
    <cellStyle name="PSHeading 3 8 3 5" xfId="36568"/>
    <cellStyle name="PSHeading 3 8 4" xfId="18762"/>
    <cellStyle name="PSHeading 3 8 4 2" xfId="36578"/>
    <cellStyle name="PSHeading 3 8 5" xfId="36555"/>
    <cellStyle name="PSHeading 3 9" xfId="18763"/>
    <cellStyle name="PSHeading 3 9 2" xfId="18764"/>
    <cellStyle name="PSHeading 3 9 2 2" xfId="18765"/>
    <cellStyle name="PSHeading 3 9 2 2 2" xfId="36581"/>
    <cellStyle name="PSHeading 3 9 2 3" xfId="36580"/>
    <cellStyle name="PSHeading 3 9 3" xfId="18766"/>
    <cellStyle name="PSHeading 3 9 3 2" xfId="18767"/>
    <cellStyle name="PSHeading 3 9 3 2 2" xfId="36583"/>
    <cellStyle name="PSHeading 3 9 3 3" xfId="36582"/>
    <cellStyle name="PSHeading 3 9 4" xfId="36579"/>
    <cellStyle name="PSHeading 4" xfId="586"/>
    <cellStyle name="PSHeading 4 2" xfId="18768"/>
    <cellStyle name="PSHeading 4 2 2" xfId="18769"/>
    <cellStyle name="PSHeading 4 2 2 2" xfId="18770"/>
    <cellStyle name="PSHeading 4 2 2 2 2" xfId="18771"/>
    <cellStyle name="PSHeading 4 2 2 2 2 2" xfId="18772"/>
    <cellStyle name="PSHeading 4 2 2 2 2 2 2" xfId="36589"/>
    <cellStyle name="PSHeading 4 2 2 2 2 3" xfId="36588"/>
    <cellStyle name="PSHeading 4 2 2 2 3" xfId="18773"/>
    <cellStyle name="PSHeading 4 2 2 2 3 2" xfId="18774"/>
    <cellStyle name="PSHeading 4 2 2 2 3 2 2" xfId="36591"/>
    <cellStyle name="PSHeading 4 2 2 2 3 3" xfId="36590"/>
    <cellStyle name="PSHeading 4 2 2 2 4" xfId="36587"/>
    <cellStyle name="PSHeading 4 2 2 3" xfId="18775"/>
    <cellStyle name="PSHeading 4 2 2 3 2" xfId="18776"/>
    <cellStyle name="PSHeading 4 2 2 3 2 2" xfId="18777"/>
    <cellStyle name="PSHeading 4 2 2 3 2 2 2" xfId="36594"/>
    <cellStyle name="PSHeading 4 2 2 3 2 3" xfId="36593"/>
    <cellStyle name="PSHeading 4 2 2 3 3" xfId="18778"/>
    <cellStyle name="PSHeading 4 2 2 3 3 2" xfId="18779"/>
    <cellStyle name="PSHeading 4 2 2 3 3 2 2" xfId="36596"/>
    <cellStyle name="PSHeading 4 2 2 3 3 3" xfId="36595"/>
    <cellStyle name="PSHeading 4 2 2 3 4" xfId="36592"/>
    <cellStyle name="PSHeading 4 2 2 4" xfId="18780"/>
    <cellStyle name="PSHeading 4 2 2 4 2" xfId="36597"/>
    <cellStyle name="PSHeading 4 2 2 5" xfId="36586"/>
    <cellStyle name="PSHeading 4 2 3" xfId="18781"/>
    <cellStyle name="PSHeading 4 2 3 2" xfId="18782"/>
    <cellStyle name="PSHeading 4 2 3 2 2" xfId="18783"/>
    <cellStyle name="PSHeading 4 2 3 2 2 2" xfId="36600"/>
    <cellStyle name="PSHeading 4 2 3 2 3" xfId="36599"/>
    <cellStyle name="PSHeading 4 2 3 3" xfId="18784"/>
    <cellStyle name="PSHeading 4 2 3 3 2" xfId="18785"/>
    <cellStyle name="PSHeading 4 2 3 3 2 2" xfId="36602"/>
    <cellStyle name="PSHeading 4 2 3 3 3" xfId="36601"/>
    <cellStyle name="PSHeading 4 2 3 4" xfId="36598"/>
    <cellStyle name="PSHeading 4 2 4" xfId="18786"/>
    <cellStyle name="PSHeading 4 2 4 2" xfId="18787"/>
    <cellStyle name="PSHeading 4 2 4 2 2" xfId="18788"/>
    <cellStyle name="PSHeading 4 2 4 2 2 2" xfId="36605"/>
    <cellStyle name="PSHeading 4 2 4 2 3" xfId="36604"/>
    <cellStyle name="PSHeading 4 2 4 3" xfId="18789"/>
    <cellStyle name="PSHeading 4 2 4 3 2" xfId="18790"/>
    <cellStyle name="PSHeading 4 2 4 3 2 2" xfId="36607"/>
    <cellStyle name="PSHeading 4 2 4 3 3" xfId="36606"/>
    <cellStyle name="PSHeading 4 2 4 4" xfId="36603"/>
    <cellStyle name="PSHeading 4 2 5" xfId="18791"/>
    <cellStyle name="PSHeading 4 2 5 2" xfId="36608"/>
    <cellStyle name="PSHeading 4 2 6" xfId="36585"/>
    <cellStyle name="PSHeading 4 3" xfId="18792"/>
    <cellStyle name="PSHeading 4 3 2" xfId="18793"/>
    <cellStyle name="PSHeading 4 3 2 2" xfId="18794"/>
    <cellStyle name="PSHeading 4 3 2 2 2" xfId="18795"/>
    <cellStyle name="PSHeading 4 3 2 2 2 2" xfId="18796"/>
    <cellStyle name="PSHeading 4 3 2 2 2 2 2" xfId="36613"/>
    <cellStyle name="PSHeading 4 3 2 2 2 3" xfId="36612"/>
    <cellStyle name="PSHeading 4 3 2 2 3" xfId="18797"/>
    <cellStyle name="PSHeading 4 3 2 2 3 2" xfId="18798"/>
    <cellStyle name="PSHeading 4 3 2 2 3 2 2" xfId="36615"/>
    <cellStyle name="PSHeading 4 3 2 2 3 3" xfId="36614"/>
    <cellStyle name="PSHeading 4 3 2 2 4" xfId="36611"/>
    <cellStyle name="PSHeading 4 3 2 3" xfId="18799"/>
    <cellStyle name="PSHeading 4 3 2 3 2" xfId="18800"/>
    <cellStyle name="PSHeading 4 3 2 3 2 2" xfId="18801"/>
    <cellStyle name="PSHeading 4 3 2 3 2 2 2" xfId="36618"/>
    <cellStyle name="PSHeading 4 3 2 3 2 3" xfId="36617"/>
    <cellStyle name="PSHeading 4 3 2 3 3" xfId="18802"/>
    <cellStyle name="PSHeading 4 3 2 3 3 2" xfId="18803"/>
    <cellStyle name="PSHeading 4 3 2 3 3 2 2" xfId="36620"/>
    <cellStyle name="PSHeading 4 3 2 3 3 3" xfId="36619"/>
    <cellStyle name="PSHeading 4 3 2 3 4" xfId="36616"/>
    <cellStyle name="PSHeading 4 3 2 4" xfId="18804"/>
    <cellStyle name="PSHeading 4 3 2 4 2" xfId="36621"/>
    <cellStyle name="PSHeading 4 3 2 5" xfId="36610"/>
    <cellStyle name="PSHeading 4 3 3" xfId="18805"/>
    <cellStyle name="PSHeading 4 3 3 2" xfId="18806"/>
    <cellStyle name="PSHeading 4 3 3 2 2" xfId="18807"/>
    <cellStyle name="PSHeading 4 3 3 2 2 2" xfId="36624"/>
    <cellStyle name="PSHeading 4 3 3 2 3" xfId="36623"/>
    <cellStyle name="PSHeading 4 3 3 3" xfId="18808"/>
    <cellStyle name="PSHeading 4 3 3 3 2" xfId="18809"/>
    <cellStyle name="PSHeading 4 3 3 3 2 2" xfId="36626"/>
    <cellStyle name="PSHeading 4 3 3 3 3" xfId="36625"/>
    <cellStyle name="PSHeading 4 3 3 4" xfId="36622"/>
    <cellStyle name="PSHeading 4 3 4" xfId="18810"/>
    <cellStyle name="PSHeading 4 3 4 2" xfId="18811"/>
    <cellStyle name="PSHeading 4 3 4 2 2" xfId="18812"/>
    <cellStyle name="PSHeading 4 3 4 2 2 2" xfId="36629"/>
    <cellStyle name="PSHeading 4 3 4 2 3" xfId="36628"/>
    <cellStyle name="PSHeading 4 3 4 3" xfId="18813"/>
    <cellStyle name="PSHeading 4 3 4 3 2" xfId="18814"/>
    <cellStyle name="PSHeading 4 3 4 3 2 2" xfId="36631"/>
    <cellStyle name="PSHeading 4 3 4 3 3" xfId="36630"/>
    <cellStyle name="PSHeading 4 3 4 4" xfId="36627"/>
    <cellStyle name="PSHeading 4 3 5" xfId="18815"/>
    <cellStyle name="PSHeading 4 3 5 2" xfId="36632"/>
    <cellStyle name="PSHeading 4 3 6" xfId="36609"/>
    <cellStyle name="PSHeading 4 4" xfId="18816"/>
    <cellStyle name="PSHeading 4 4 2" xfId="18817"/>
    <cellStyle name="PSHeading 4 4 2 2" xfId="18818"/>
    <cellStyle name="PSHeading 4 4 2 2 2" xfId="18819"/>
    <cellStyle name="PSHeading 4 4 2 2 2 2" xfId="36636"/>
    <cellStyle name="PSHeading 4 4 2 2 3" xfId="36635"/>
    <cellStyle name="PSHeading 4 4 2 3" xfId="18820"/>
    <cellStyle name="PSHeading 4 4 2 3 2" xfId="18821"/>
    <cellStyle name="PSHeading 4 4 2 3 2 2" xfId="36638"/>
    <cellStyle name="PSHeading 4 4 2 3 3" xfId="36637"/>
    <cellStyle name="PSHeading 4 4 2 4" xfId="36634"/>
    <cellStyle name="PSHeading 4 4 3" xfId="18822"/>
    <cellStyle name="PSHeading 4 4 3 2" xfId="18823"/>
    <cellStyle name="PSHeading 4 4 3 2 2" xfId="18824"/>
    <cellStyle name="PSHeading 4 4 3 2 2 2" xfId="36641"/>
    <cellStyle name="PSHeading 4 4 3 2 3" xfId="36640"/>
    <cellStyle name="PSHeading 4 4 3 3" xfId="18825"/>
    <cellStyle name="PSHeading 4 4 3 3 2" xfId="18826"/>
    <cellStyle name="PSHeading 4 4 3 3 2 2" xfId="36643"/>
    <cellStyle name="PSHeading 4 4 3 3 3" xfId="36642"/>
    <cellStyle name="PSHeading 4 4 3 4" xfId="36639"/>
    <cellStyle name="PSHeading 4 4 4" xfId="18827"/>
    <cellStyle name="PSHeading 4 4 4 2" xfId="36644"/>
    <cellStyle name="PSHeading 4 4 5" xfId="36633"/>
    <cellStyle name="PSHeading 4 5" xfId="18828"/>
    <cellStyle name="PSHeading 4 5 2" xfId="18829"/>
    <cellStyle name="PSHeading 4 5 2 2" xfId="18830"/>
    <cellStyle name="PSHeading 4 5 2 2 2" xfId="18831"/>
    <cellStyle name="PSHeading 4 5 2 2 2 2" xfId="36648"/>
    <cellStyle name="PSHeading 4 5 2 2 3" xfId="36647"/>
    <cellStyle name="PSHeading 4 5 2 3" xfId="18832"/>
    <cellStyle name="PSHeading 4 5 2 3 2" xfId="18833"/>
    <cellStyle name="PSHeading 4 5 2 3 2 2" xfId="36650"/>
    <cellStyle name="PSHeading 4 5 2 3 3" xfId="36649"/>
    <cellStyle name="PSHeading 4 5 2 4" xfId="36646"/>
    <cellStyle name="PSHeading 4 5 3" xfId="18834"/>
    <cellStyle name="PSHeading 4 5 3 2" xfId="18835"/>
    <cellStyle name="PSHeading 4 5 3 2 2" xfId="18836"/>
    <cellStyle name="PSHeading 4 5 3 2 2 2" xfId="36653"/>
    <cellStyle name="PSHeading 4 5 3 2 3" xfId="36652"/>
    <cellStyle name="PSHeading 4 5 3 3" xfId="18837"/>
    <cellStyle name="PSHeading 4 5 3 3 2" xfId="18838"/>
    <cellStyle name="PSHeading 4 5 3 3 2 2" xfId="36655"/>
    <cellStyle name="PSHeading 4 5 3 3 3" xfId="36654"/>
    <cellStyle name="PSHeading 4 5 3 4" xfId="36651"/>
    <cellStyle name="PSHeading 4 5 4" xfId="18839"/>
    <cellStyle name="PSHeading 4 5 4 2" xfId="36656"/>
    <cellStyle name="PSHeading 4 5 5" xfId="36645"/>
    <cellStyle name="PSHeading 4 6" xfId="18840"/>
    <cellStyle name="PSHeading 4 6 2" xfId="18841"/>
    <cellStyle name="PSHeading 4 6 2 2" xfId="18842"/>
    <cellStyle name="PSHeading 4 6 2 2 2" xfId="18843"/>
    <cellStyle name="PSHeading 4 6 2 2 2 2" xfId="18844"/>
    <cellStyle name="PSHeading 4 6 2 2 2 2 2" xfId="36661"/>
    <cellStyle name="PSHeading 4 6 2 2 2 3" xfId="36660"/>
    <cellStyle name="PSHeading 4 6 2 2 3" xfId="18845"/>
    <cellStyle name="PSHeading 4 6 2 2 3 2" xfId="18846"/>
    <cellStyle name="PSHeading 4 6 2 2 3 2 2" xfId="36663"/>
    <cellStyle name="PSHeading 4 6 2 2 3 3" xfId="36662"/>
    <cellStyle name="PSHeading 4 6 2 2 4" xfId="36659"/>
    <cellStyle name="PSHeading 4 6 2 3" xfId="18847"/>
    <cellStyle name="PSHeading 4 6 2 3 2" xfId="18848"/>
    <cellStyle name="PSHeading 4 6 2 3 2 2" xfId="18849"/>
    <cellStyle name="PSHeading 4 6 2 3 2 2 2" xfId="36666"/>
    <cellStyle name="PSHeading 4 6 2 3 2 3" xfId="36665"/>
    <cellStyle name="PSHeading 4 6 2 3 3" xfId="18850"/>
    <cellStyle name="PSHeading 4 6 2 3 3 2" xfId="18851"/>
    <cellStyle name="PSHeading 4 6 2 3 3 2 2" xfId="36668"/>
    <cellStyle name="PSHeading 4 6 2 3 3 3" xfId="36667"/>
    <cellStyle name="PSHeading 4 6 2 3 4" xfId="36664"/>
    <cellStyle name="PSHeading 4 6 2 4" xfId="18852"/>
    <cellStyle name="PSHeading 4 6 2 4 2" xfId="36669"/>
    <cellStyle name="PSHeading 4 6 2 5" xfId="36658"/>
    <cellStyle name="PSHeading 4 6 3" xfId="18853"/>
    <cellStyle name="PSHeading 4 6 3 2" xfId="18854"/>
    <cellStyle name="PSHeading 4 6 3 2 2" xfId="18855"/>
    <cellStyle name="PSHeading 4 6 3 2 2 2" xfId="18856"/>
    <cellStyle name="PSHeading 4 6 3 2 2 2 2" xfId="36673"/>
    <cellStyle name="PSHeading 4 6 3 2 2 3" xfId="36672"/>
    <cellStyle name="PSHeading 4 6 3 2 3" xfId="18857"/>
    <cellStyle name="PSHeading 4 6 3 2 3 2" xfId="18858"/>
    <cellStyle name="PSHeading 4 6 3 2 3 2 2" xfId="36675"/>
    <cellStyle name="PSHeading 4 6 3 2 3 3" xfId="36674"/>
    <cellStyle name="PSHeading 4 6 3 2 4" xfId="36671"/>
    <cellStyle name="PSHeading 4 6 3 3" xfId="18859"/>
    <cellStyle name="PSHeading 4 6 3 3 2" xfId="18860"/>
    <cellStyle name="PSHeading 4 6 3 3 2 2" xfId="36677"/>
    <cellStyle name="PSHeading 4 6 3 3 3" xfId="36676"/>
    <cellStyle name="PSHeading 4 6 3 4" xfId="18861"/>
    <cellStyle name="PSHeading 4 6 3 4 2" xfId="18862"/>
    <cellStyle name="PSHeading 4 6 3 4 2 2" xfId="36679"/>
    <cellStyle name="PSHeading 4 6 3 4 3" xfId="36678"/>
    <cellStyle name="PSHeading 4 6 3 5" xfId="36670"/>
    <cellStyle name="PSHeading 4 6 4" xfId="18863"/>
    <cellStyle name="PSHeading 4 6 4 2" xfId="36680"/>
    <cellStyle name="PSHeading 4 6 5" xfId="36657"/>
    <cellStyle name="PSHeading 4 7" xfId="18864"/>
    <cellStyle name="PSHeading 4 7 2" xfId="18865"/>
    <cellStyle name="PSHeading 4 7 2 2" xfId="18866"/>
    <cellStyle name="PSHeading 4 7 2 2 2" xfId="36683"/>
    <cellStyle name="PSHeading 4 7 2 3" xfId="36682"/>
    <cellStyle name="PSHeading 4 7 3" xfId="18867"/>
    <cellStyle name="PSHeading 4 7 3 2" xfId="18868"/>
    <cellStyle name="PSHeading 4 7 3 2 2" xfId="36685"/>
    <cellStyle name="PSHeading 4 7 3 3" xfId="36684"/>
    <cellStyle name="PSHeading 4 7 4" xfId="36681"/>
    <cellStyle name="PSHeading 4 8" xfId="18869"/>
    <cellStyle name="PSHeading 4 8 2" xfId="18870"/>
    <cellStyle name="PSHeading 4 8 2 2" xfId="36687"/>
    <cellStyle name="PSHeading 4 8 3" xfId="36686"/>
    <cellStyle name="PSHeading 4 9" xfId="36584"/>
    <cellStyle name="PSHeading 5" xfId="919"/>
    <cellStyle name="PSHeading 5 2" xfId="18871"/>
    <cellStyle name="PSHeading 5 2 2" xfId="18872"/>
    <cellStyle name="PSHeading 5 2 2 2" xfId="18873"/>
    <cellStyle name="PSHeading 5 2 2 2 2" xfId="18874"/>
    <cellStyle name="PSHeading 5 2 2 2 2 2" xfId="36692"/>
    <cellStyle name="PSHeading 5 2 2 2 3" xfId="36691"/>
    <cellStyle name="PSHeading 5 2 2 3" xfId="18875"/>
    <cellStyle name="PSHeading 5 2 2 3 2" xfId="18876"/>
    <cellStyle name="PSHeading 5 2 2 3 2 2" xfId="36694"/>
    <cellStyle name="PSHeading 5 2 2 3 3" xfId="36693"/>
    <cellStyle name="PSHeading 5 2 2 4" xfId="36690"/>
    <cellStyle name="PSHeading 5 2 3" xfId="18877"/>
    <cellStyle name="PSHeading 5 2 3 2" xfId="18878"/>
    <cellStyle name="PSHeading 5 2 3 2 2" xfId="18879"/>
    <cellStyle name="PSHeading 5 2 3 2 2 2" xfId="36697"/>
    <cellStyle name="PSHeading 5 2 3 2 3" xfId="36696"/>
    <cellStyle name="PSHeading 5 2 3 3" xfId="18880"/>
    <cellStyle name="PSHeading 5 2 3 3 2" xfId="18881"/>
    <cellStyle name="PSHeading 5 2 3 3 2 2" xfId="36699"/>
    <cellStyle name="PSHeading 5 2 3 3 3" xfId="36698"/>
    <cellStyle name="PSHeading 5 2 3 4" xfId="36695"/>
    <cellStyle name="PSHeading 5 2 4" xfId="18882"/>
    <cellStyle name="PSHeading 5 2 4 2" xfId="36700"/>
    <cellStyle name="PSHeading 5 2 5" xfId="36689"/>
    <cellStyle name="PSHeading 5 3" xfId="18883"/>
    <cellStyle name="PSHeading 5 3 2" xfId="18884"/>
    <cellStyle name="PSHeading 5 3 2 2" xfId="18885"/>
    <cellStyle name="PSHeading 5 3 2 2 2" xfId="36703"/>
    <cellStyle name="PSHeading 5 3 2 3" xfId="36702"/>
    <cellStyle name="PSHeading 5 3 3" xfId="18886"/>
    <cellStyle name="PSHeading 5 3 3 2" xfId="18887"/>
    <cellStyle name="PSHeading 5 3 3 2 2" xfId="36705"/>
    <cellStyle name="PSHeading 5 3 3 3" xfId="36704"/>
    <cellStyle name="PSHeading 5 3 4" xfId="36701"/>
    <cellStyle name="PSHeading 5 4" xfId="18888"/>
    <cellStyle name="PSHeading 5 4 2" xfId="18889"/>
    <cellStyle name="PSHeading 5 4 2 2" xfId="18890"/>
    <cellStyle name="PSHeading 5 4 2 2 2" xfId="36708"/>
    <cellStyle name="PSHeading 5 4 2 3" xfId="36707"/>
    <cellStyle name="PSHeading 5 4 3" xfId="18891"/>
    <cellStyle name="PSHeading 5 4 3 2" xfId="18892"/>
    <cellStyle name="PSHeading 5 4 3 2 2" xfId="36710"/>
    <cellStyle name="PSHeading 5 4 3 3" xfId="36709"/>
    <cellStyle name="PSHeading 5 4 4" xfId="36706"/>
    <cellStyle name="PSHeading 5 5" xfId="18893"/>
    <cellStyle name="PSHeading 5 5 2" xfId="36711"/>
    <cellStyle name="PSHeading 5 6" xfId="36688"/>
    <cellStyle name="PSHeading 6" xfId="920"/>
    <cellStyle name="PSHeading 6 2" xfId="18894"/>
    <cellStyle name="PSHeading 6 2 2" xfId="18895"/>
    <cellStyle name="PSHeading 6 2 2 2" xfId="18896"/>
    <cellStyle name="PSHeading 6 2 2 2 2" xfId="36715"/>
    <cellStyle name="PSHeading 6 2 2 3" xfId="36714"/>
    <cellStyle name="PSHeading 6 2 3" xfId="18897"/>
    <cellStyle name="PSHeading 6 2 3 2" xfId="18898"/>
    <cellStyle name="PSHeading 6 2 3 2 2" xfId="36717"/>
    <cellStyle name="PSHeading 6 2 3 3" xfId="36716"/>
    <cellStyle name="PSHeading 6 2 4" xfId="36713"/>
    <cellStyle name="PSHeading 6 3" xfId="18899"/>
    <cellStyle name="PSHeading 6 3 2" xfId="18900"/>
    <cellStyle name="PSHeading 6 3 2 2" xfId="18901"/>
    <cellStyle name="PSHeading 6 3 2 2 2" xfId="36720"/>
    <cellStyle name="PSHeading 6 3 2 3" xfId="36719"/>
    <cellStyle name="PSHeading 6 3 3" xfId="18902"/>
    <cellStyle name="PSHeading 6 3 3 2" xfId="18903"/>
    <cellStyle name="PSHeading 6 3 3 2 2" xfId="36722"/>
    <cellStyle name="PSHeading 6 3 3 3" xfId="36721"/>
    <cellStyle name="PSHeading 6 3 4" xfId="36718"/>
    <cellStyle name="PSHeading 6 4" xfId="18904"/>
    <cellStyle name="PSHeading 6 4 2" xfId="36723"/>
    <cellStyle name="PSHeading 6 5" xfId="36712"/>
    <cellStyle name="PSHeading 7" xfId="18905"/>
    <cellStyle name="PSHeading 7 2" xfId="36724"/>
    <cellStyle name="PSHeading 8" xfId="35875"/>
    <cellStyle name="PSInt" xfId="163"/>
    <cellStyle name="PSInt 2" xfId="18906"/>
    <cellStyle name="PSInt 2 2" xfId="18907"/>
    <cellStyle name="PSSpacer" xfId="164"/>
    <cellStyle name="PSSpacer 2" xfId="18908"/>
    <cellStyle name="PSSpacer 2 2" xfId="18909"/>
    <cellStyle name="Ratio" xfId="165"/>
    <cellStyle name="Ratio 2" xfId="222"/>
    <cellStyle name="Ratio_29(d) - Gas extensions -tariffs" xfId="299"/>
    <cellStyle name="Right Currency" xfId="18910"/>
    <cellStyle name="Right Date" xfId="166"/>
    <cellStyle name="Right Date 2" xfId="18911"/>
    <cellStyle name="Right Multiple" xfId="18912"/>
    <cellStyle name="Right Number" xfId="167"/>
    <cellStyle name="Right Number 2" xfId="18913"/>
    <cellStyle name="Right Number 2 2" xfId="18914"/>
    <cellStyle name="Right Number 3" xfId="18915"/>
    <cellStyle name="Right Number 4" xfId="18916"/>
    <cellStyle name="Right Percentage" xfId="18917"/>
    <cellStyle name="Right Year" xfId="168"/>
    <cellStyle name="RIN_Input$_3dp" xfId="587"/>
    <cellStyle name="SAPBorder" xfId="921"/>
    <cellStyle name="SAPDataCell" xfId="922"/>
    <cellStyle name="SAPDataTotalCell" xfId="923"/>
    <cellStyle name="SAPDimensionCell" xfId="924"/>
    <cellStyle name="SAPEditableDataCell" xfId="925"/>
    <cellStyle name="SAPEditableDataTotalCell" xfId="926"/>
    <cellStyle name="SAPEmphasized" xfId="927"/>
    <cellStyle name="SAPEmphasizedEditableDataCell" xfId="928"/>
    <cellStyle name="SAPEmphasizedEditableDataTotalCell" xfId="929"/>
    <cellStyle name="SAPEmphasizedLockedDataCell" xfId="930"/>
    <cellStyle name="SAPEmphasizedLockedDataTotalCell" xfId="931"/>
    <cellStyle name="SAPEmphasizedReadonlyDataCell" xfId="932"/>
    <cellStyle name="SAPEmphasizedReadonlyDataTotalCell" xfId="933"/>
    <cellStyle name="SAPEmphasizedTotal" xfId="934"/>
    <cellStyle name="SAPError" xfId="169"/>
    <cellStyle name="SAPError 2" xfId="223"/>
    <cellStyle name="SAPExceptionLevel1" xfId="935"/>
    <cellStyle name="SAPExceptionLevel2" xfId="936"/>
    <cellStyle name="SAPExceptionLevel3" xfId="937"/>
    <cellStyle name="SAPExceptionLevel4" xfId="938"/>
    <cellStyle name="SAPExceptionLevel5" xfId="939"/>
    <cellStyle name="SAPExceptionLevel6" xfId="940"/>
    <cellStyle name="SAPExceptionLevel7" xfId="941"/>
    <cellStyle name="SAPExceptionLevel8" xfId="942"/>
    <cellStyle name="SAPExceptionLevel9" xfId="943"/>
    <cellStyle name="SAPHierarchyCell0" xfId="944"/>
    <cellStyle name="SAPHierarchyCell1" xfId="945"/>
    <cellStyle name="SAPHierarchyCell2" xfId="946"/>
    <cellStyle name="SAPHierarchyCell3" xfId="947"/>
    <cellStyle name="SAPHierarchyCell4" xfId="948"/>
    <cellStyle name="SAPKey" xfId="170"/>
    <cellStyle name="SAPKey 2" xfId="224"/>
    <cellStyle name="SAPLocked" xfId="171"/>
    <cellStyle name="SAPLocked 2" xfId="225"/>
    <cellStyle name="SAPLockedDataCell" xfId="949"/>
    <cellStyle name="SAPLockedDataTotalCell" xfId="950"/>
    <cellStyle name="SAPMemberCell" xfId="951"/>
    <cellStyle name="SAPMemberTotalCell" xfId="952"/>
    <cellStyle name="SAPOutput" xfId="172"/>
    <cellStyle name="SAPOutput 2" xfId="226"/>
    <cellStyle name="SAPReadonlyDataCell" xfId="953"/>
    <cellStyle name="SAPReadonlyDataTotalCell" xfId="954"/>
    <cellStyle name="SAPSpace" xfId="173"/>
    <cellStyle name="SAPSpace 2" xfId="227"/>
    <cellStyle name="SAPText" xfId="174"/>
    <cellStyle name="SAPText 2" xfId="228"/>
    <cellStyle name="SAPUnLocked" xfId="175"/>
    <cellStyle name="SAPUnLocked 2" xfId="229"/>
    <cellStyle name="Section Number" xfId="18918"/>
    <cellStyle name="Sheet Title" xfId="176"/>
    <cellStyle name="Sheet Title 2" xfId="18919"/>
    <cellStyle name="Sheet Title 2 2" xfId="18920"/>
    <cellStyle name="Sheet Title 3" xfId="18921"/>
    <cellStyle name="Sheet Title 4" xfId="18922"/>
    <cellStyle name="SheetHeader1" xfId="588"/>
    <cellStyle name="Style 1" xfId="177"/>
    <cellStyle name="Style 1 2" xfId="230"/>
    <cellStyle name="Style 1 2 2" xfId="589"/>
    <cellStyle name="Style 1 3" xfId="590"/>
    <cellStyle name="Style 1 3 2" xfId="591"/>
    <cellStyle name="Style 1 3 3" xfId="592"/>
    <cellStyle name="Style 1 4" xfId="593"/>
    <cellStyle name="Style 1_29(d) - Gas extensions -tariffs" xfId="300"/>
    <cellStyle name="Style2" xfId="178"/>
    <cellStyle name="Style3" xfId="179"/>
    <cellStyle name="Style4" xfId="180"/>
    <cellStyle name="Style4 2" xfId="231"/>
    <cellStyle name="Style4_29(d) - Gas extensions -tariffs" xfId="301"/>
    <cellStyle name="Style5" xfId="181"/>
    <cellStyle name="Style5 2" xfId="232"/>
    <cellStyle name="Style5_29(d) - Gas extensions -tariffs" xfId="302"/>
    <cellStyle name="Table Head Green" xfId="182"/>
    <cellStyle name="Table Head_pldt" xfId="183"/>
    <cellStyle name="Table Source" xfId="184"/>
    <cellStyle name="Table Units" xfId="185"/>
    <cellStyle name="TableLvl2" xfId="594"/>
    <cellStyle name="TableLvl3" xfId="595"/>
    <cellStyle name="Text" xfId="186"/>
    <cellStyle name="Text 2" xfId="187"/>
    <cellStyle name="Text 3" xfId="234"/>
    <cellStyle name="Text Head 1" xfId="188"/>
    <cellStyle name="Text Head 2" xfId="189"/>
    <cellStyle name="Text Indent 2" xfId="190"/>
    <cellStyle name="Theirs" xfId="191"/>
    <cellStyle name="Title" xfId="45" builtinId="15" customBuiltin="1"/>
    <cellStyle name="Title 2" xfId="283"/>
    <cellStyle name="Title 2 2" xfId="18923"/>
    <cellStyle name="Title 2 2 2" xfId="18924"/>
    <cellStyle name="Title 2 3" xfId="18925"/>
    <cellStyle name="Title 2 4" xfId="18926"/>
    <cellStyle name="Title 2 5" xfId="18927"/>
    <cellStyle name="Title 3" xfId="955"/>
    <cellStyle name="Title 4" xfId="18928"/>
    <cellStyle name="Title 5" xfId="18929"/>
    <cellStyle name="Title 6" xfId="18930"/>
    <cellStyle name="TOC 1" xfId="192"/>
    <cellStyle name="TOC 2" xfId="193"/>
    <cellStyle name="TOC 3" xfId="194"/>
    <cellStyle name="Total" xfId="46" builtinId="25" customBuiltin="1"/>
    <cellStyle name="Total 2" xfId="77"/>
    <cellStyle name="Total 2 2" xfId="596"/>
    <cellStyle name="Total 2 2 2" xfId="18931"/>
    <cellStyle name="Total 2 2 3" xfId="18932"/>
    <cellStyle name="Total 2 3" xfId="597"/>
    <cellStyle name="Total 2 3 2" xfId="18933"/>
    <cellStyle name="Total 2 3 3" xfId="18934"/>
    <cellStyle name="Total 2 3 4" xfId="18935"/>
    <cellStyle name="Total 2 4" xfId="18936"/>
    <cellStyle name="Total 2 5" xfId="18937"/>
    <cellStyle name="Total 3" xfId="956"/>
    <cellStyle name="Total 4" xfId="18938"/>
    <cellStyle name="Total 5" xfId="18939"/>
    <cellStyle name="Total 6" xfId="18940"/>
    <cellStyle name="Total 7" xfId="18941"/>
    <cellStyle name="Warning Text" xfId="47" builtinId="11" customBuiltin="1"/>
    <cellStyle name="Warning Text 2" xfId="284"/>
    <cellStyle name="Warning Text 2 2" xfId="18942"/>
    <cellStyle name="Warning Text 2 2 2" xfId="18943"/>
    <cellStyle name="Warning Text 2 3" xfId="18944"/>
    <cellStyle name="Warning Text 2 3 2" xfId="18945"/>
    <cellStyle name="Warning Text 2 3 3" xfId="18946"/>
    <cellStyle name="Warning Text 2 4" xfId="18947"/>
    <cellStyle name="Warning Text 3" xfId="957"/>
    <cellStyle name="Warning Text 4" xfId="18948"/>
    <cellStyle name="Warning Text 5" xfId="18949"/>
    <cellStyle name="Warning Text 6" xfId="18950"/>
    <cellStyle name="year" xfId="195"/>
    <cellStyle name="year 2" xfId="235"/>
    <cellStyle name="year_29(d) - Gas extensions -tariffs" xfId="303"/>
  </cellStyles>
  <dxfs count="31">
    <dxf>
      <font>
        <b/>
        <i val="0"/>
        <color rgb="FFFF0000"/>
      </font>
    </dxf>
    <dxf>
      <font>
        <b/>
        <i val="0"/>
        <color rgb="FFFF0000"/>
      </font>
    </dxf>
    <dxf>
      <font>
        <color theme="0" tint="-0.34998626667073579"/>
      </font>
    </dxf>
    <dxf>
      <font>
        <color theme="0" tint="-0.34998626667073579"/>
      </font>
    </dxf>
    <dxf>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alignment horizontal="general" vertical="center" textRotation="0" wrapText="0" indent="0" justifyLastLine="0" shrinkToFit="0" readingOrder="0"/>
      <border diagonalUp="0" diagonalDown="0" outline="0">
        <left/>
        <right style="thin">
          <color theme="0" tint="-0.24994659260841701"/>
        </right>
        <top style="thin">
          <color theme="0" tint="-0.24994659260841701"/>
        </top>
        <bottom style="thin">
          <color theme="0" tint="-0.24994659260841701"/>
        </bottom>
      </border>
    </dxf>
    <dxf>
      <numFmt numFmtId="30" formatCode="@"/>
      <alignment horizontal="general" vertical="center" textRotation="0" wrapText="0" indent="0" justifyLastLine="0" shrinkToFit="0" readingOrder="0"/>
      <border diagonalUp="0" diagonalDown="0" outline="0">
        <left style="thin">
          <color theme="0" tint="-0.24994659260841701"/>
        </left>
        <right/>
        <top style="thin">
          <color theme="0" tint="-0.24994659260841701"/>
        </top>
        <bottom style="thin">
          <color theme="0" tint="-0.24994659260841701"/>
        </bottom>
      </border>
    </dxf>
    <dxf>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alignment horizontal="general"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alignment horizontal="general"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alignment horizontal="general" vertical="center" textRotation="0" wrapText="0" indent="0" justifyLastLine="0" shrinkToFit="0" readingOrder="0"/>
      <border diagonalUp="0" diagonalDown="0">
        <left style="medium">
          <color auto="1"/>
        </left>
        <right style="thin">
          <color theme="0" tint="-0.24994659260841701"/>
        </right>
        <top style="thin">
          <color theme="0" tint="-0.24994659260841701"/>
        </top>
        <bottom style="thin">
          <color theme="0" tint="-0.24994659260841701"/>
        </bottom>
        <vertical/>
        <horizontal/>
      </border>
    </dxf>
    <dxf>
      <numFmt numFmtId="30" formatCode="@"/>
      <alignment horizontal="general" vertical="center" textRotation="0" wrapText="0" indent="0" justifyLastLine="0" shrinkToFit="0" readingOrder="0"/>
      <border diagonalUp="0" diagonalDown="0">
        <left style="thin">
          <color theme="0" tint="-0.24994659260841701"/>
        </left>
        <right/>
        <top style="thin">
          <color theme="0" tint="-0.24994659260841701"/>
        </top>
        <bottom style="thin">
          <color theme="0" tint="-0.24994659260841701"/>
        </bottom>
        <vertical/>
        <horizontal/>
      </border>
    </dxf>
    <dxf>
      <font>
        <b val="0"/>
        <i val="0"/>
        <strike val="0"/>
        <condense val="0"/>
        <extend val="0"/>
        <outline val="0"/>
        <shadow val="0"/>
        <u val="none"/>
        <vertAlign val="baseline"/>
        <sz val="10"/>
        <color auto="1"/>
        <name val="Arial"/>
        <scheme val="none"/>
      </font>
      <alignment horizontal="general"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alignment horizontal="general"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alignment horizontal="general"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alignment horizontal="general" vertical="center" textRotation="0" wrapText="0" indent="0" justifyLastLine="0" shrinkToFit="0" readingOrder="0"/>
      <border diagonalUp="0" diagonalDown="0">
        <left style="medium">
          <color auto="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10"/>
        <color auto="1"/>
        <name val="Arial"/>
        <scheme val="none"/>
      </font>
      <alignment horizontal="general" vertical="top" textRotation="0" wrapText="0" indent="0" justifyLastLine="0" shrinkToFit="0" readingOrder="0"/>
      <border diagonalUp="0" diagonalDown="0">
        <left style="thin">
          <color theme="0" tint="-0.24994659260841701"/>
        </left>
        <right/>
        <top style="thin">
          <color theme="0" tint="-0.24994659260841701"/>
        </top>
        <bottom style="thin">
          <color theme="0" tint="-0.24994659260841701"/>
        </bottom>
        <vertical/>
        <horizontal/>
      </border>
    </dxf>
    <dxf>
      <font>
        <b val="0"/>
        <i val="0"/>
        <strike val="0"/>
        <condense val="0"/>
        <extend val="0"/>
        <outline val="0"/>
        <shadow val="0"/>
        <u val="none"/>
        <vertAlign val="baseline"/>
        <sz val="10"/>
        <color auto="1"/>
        <name val="Arial"/>
        <scheme val="none"/>
      </font>
      <alignment horizontal="center" vertical="top" textRotation="0" wrapText="0" indent="0" justifyLastLine="0" shrinkToFit="0" readingOrder="0"/>
      <border diagonalUp="0" diagonalDown="0">
        <left style="medium">
          <color indexed="64"/>
        </left>
        <right style="thin">
          <color theme="0" tint="-0.24994659260841701"/>
        </right>
        <top style="thin">
          <color theme="0" tint="-0.24994659260841701"/>
        </top>
        <bottom style="thin">
          <color theme="0" tint="-0.24994659260841701"/>
        </bottom>
        <vertical/>
        <horizontal/>
      </border>
    </dxf>
    <dxf>
      <numFmt numFmtId="1" formatCode="0"/>
      <alignment horizontal="center" vertical="top" textRotation="0" wrapText="0" indent="0" justifyLastLine="0" shrinkToFit="0" readingOrder="0"/>
      <border diagonalUp="0" diagonalDown="0">
        <left style="thin">
          <color theme="0" tint="-0.24994659260841701"/>
        </left>
        <right/>
        <top style="thin">
          <color theme="0" tint="-0.24994659260841701"/>
        </top>
        <bottom style="thin">
          <color theme="0" tint="-0.24994659260841701"/>
        </bottom>
        <vertical/>
        <horizontal/>
      </border>
    </dxf>
    <dxf>
      <alignment horizontal="center" vertical="top"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10"/>
        <color theme="1"/>
        <name val="Arial"/>
        <scheme val="none"/>
      </font>
      <fill>
        <patternFill patternType="solid">
          <fgColor indexed="64"/>
          <bgColor theme="0"/>
        </patternFill>
      </fill>
      <alignment horizontal="general" vertical="top"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10"/>
        <color theme="1"/>
        <name val="Arial"/>
        <scheme val="none"/>
      </font>
      <fill>
        <patternFill patternType="solid">
          <fgColor indexed="64"/>
          <bgColor theme="0"/>
        </patternFill>
      </fill>
      <alignment horizontal="center" vertical="top"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10"/>
        <color theme="1"/>
        <name val="Arial"/>
        <scheme val="none"/>
      </font>
      <fill>
        <patternFill patternType="solid">
          <fgColor indexed="64"/>
          <bgColor theme="0"/>
        </patternFill>
      </fill>
      <alignment horizontal="general" vertical="top"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10"/>
        <color auto="1"/>
        <name val="Arial"/>
        <scheme val="none"/>
      </font>
      <alignment horizontal="general" vertical="top"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10"/>
        <color auto="1"/>
        <name val="Arial"/>
        <scheme val="none"/>
      </font>
      <alignment horizontal="general" vertical="top"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10"/>
        <color auto="1"/>
        <name val="Arial"/>
        <scheme val="none"/>
      </font>
      <alignment horizontal="general" vertical="top" textRotation="0" wrapText="0" indent="0" justifyLastLine="0" shrinkToFit="0" readingOrder="0"/>
      <border diagonalUp="0" diagonalDown="0">
        <left style="medium">
          <color indexed="64"/>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10"/>
        <color auto="1"/>
        <name val="Arial"/>
        <scheme val="none"/>
      </font>
      <numFmt numFmtId="179" formatCode="##\ ###\ ###\ ###\ ##0"/>
      <fill>
        <patternFill patternType="solid">
          <fgColor indexed="64"/>
          <bgColor theme="0"/>
        </patternFill>
      </fill>
      <alignment horizontal="left" vertical="top" textRotation="0" wrapText="0" indent="0" justifyLastLine="0" shrinkToFit="0" readingOrder="0"/>
      <border diagonalUp="0" diagonalDown="0">
        <left style="thin">
          <color theme="0" tint="-0.34998626667073579"/>
        </left>
        <right/>
        <top style="thin">
          <color theme="0" tint="-0.34998626667073579"/>
        </top>
        <bottom style="thin">
          <color theme="0" tint="-0.34998626667073579"/>
        </bottom>
        <vertical/>
        <horizontal/>
      </border>
      <protection locked="1" hidden="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general" vertical="top" textRotation="0" wrapText="0" indent="0" justifyLastLine="0" shrinkToFit="0" readingOrder="0"/>
      <border diagonalUp="0" diagonalDown="0">
        <left style="medium">
          <color indexed="64"/>
        </left>
        <right style="thin">
          <color theme="0" tint="-0.34998626667073579"/>
        </right>
        <top style="thin">
          <color theme="0" tint="-0.34998626667073579"/>
        </top>
        <bottom style="thin">
          <color theme="0" tint="-0.34998626667073579"/>
        </bottom>
        <vertical/>
        <horizontal/>
      </border>
      <protection locked="1" hidden="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general" vertical="top" textRotation="0" wrapText="0" indent="0" justifyLastLine="0" shrinkToFit="0" readingOrder="0"/>
      <border diagonalUp="0" diagonalDown="0">
        <left/>
        <right style="thin">
          <color theme="0" tint="-0.34998626667073579"/>
        </right>
        <top style="thin">
          <color theme="0" tint="-0.34998626667073579"/>
        </top>
        <bottom style="thin">
          <color theme="0" tint="-0.34998626667073579"/>
        </bottom>
        <vertical/>
        <horizontal/>
      </border>
      <protection locked="1" hidden="0"/>
    </dxf>
    <dxf>
      <border outline="0">
        <left style="medium">
          <color indexed="64"/>
        </left>
        <top style="medium">
          <color indexed="64"/>
        </top>
        <bottom style="medium">
          <color auto="1"/>
        </bottom>
      </border>
    </dxf>
    <dxf>
      <font>
        <b/>
        <i val="0"/>
        <strike val="0"/>
        <condense val="0"/>
        <extend val="0"/>
        <outline val="0"/>
        <shadow val="0"/>
        <u val="none"/>
        <vertAlign val="baseline"/>
        <sz val="10"/>
        <color auto="1"/>
        <name val="Arial"/>
        <scheme val="none"/>
      </font>
      <fill>
        <patternFill patternType="solid">
          <fgColor indexed="64"/>
          <bgColor theme="8" tint="0.59999389629810485"/>
        </patternFill>
      </fill>
      <alignment horizontal="general" vertical="center" textRotation="0" wrapText="1" indent="0" justifyLastLine="0" shrinkToFit="0" readingOrder="0"/>
      <border diagonalUp="0" diagonalDown="0" outline="0">
        <left style="thin">
          <color theme="0" tint="-0.24994659260841701"/>
        </left>
        <right style="thin">
          <color theme="0" tint="-0.24994659260841701"/>
        </right>
        <top/>
        <bottom/>
      </border>
    </dxf>
  </dxfs>
  <tableStyles count="0" defaultTableStyle="TableStyleMedium2" defaultPivotStyle="PivotStyleLight16"/>
  <colors>
    <mruColors>
      <color rgb="FFFF3399"/>
      <color rgb="FFFFFFCC"/>
      <color rgb="FFCCFFFF"/>
      <color rgb="FF333399"/>
      <color rgb="FFFFCC00"/>
      <color rgb="FF99FF99"/>
      <color rgb="FFCC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externalLink" Target="externalLinks/externalLink5.xml"/><Relationship Id="rId55" Type="http://schemas.openxmlformats.org/officeDocument/2006/relationships/externalLink" Target="externalLinks/externalLink10.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9.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8.xml"/><Relationship Id="rId58" Type="http://schemas.openxmlformats.org/officeDocument/2006/relationships/externalLink" Target="externalLinks/externalLink1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57" Type="http://schemas.openxmlformats.org/officeDocument/2006/relationships/externalLink" Target="externalLinks/externalLink12.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7.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56" Type="http://schemas.openxmlformats.org/officeDocument/2006/relationships/externalLink" Target="externalLinks/externalLink11.xml"/><Relationship Id="rId8" Type="http://schemas.openxmlformats.org/officeDocument/2006/relationships/worksheet" Target="worksheets/sheet8.xml"/><Relationship Id="rId51" Type="http://schemas.openxmlformats.org/officeDocument/2006/relationships/externalLink" Target="externalLinks/externalLink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59" Type="http://schemas.openxmlformats.org/officeDocument/2006/relationships/externalLink" Target="externalLinks/externalLink14.xml"/></Relationships>
</file>

<file path=xl/drawings/_rels/drawing10.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8" Type="http://schemas.openxmlformats.org/officeDocument/2006/relationships/hyperlink" Target="#'23.2 Opex excl. RPM'!A1"/><Relationship Id="rId13" Type="http://schemas.openxmlformats.org/officeDocument/2006/relationships/hyperlink" Target="#Instructions!A1"/><Relationship Id="rId18" Type="http://schemas.openxmlformats.org/officeDocument/2006/relationships/hyperlink" Target="#'6. Mains replacement'!A1"/><Relationship Id="rId26" Type="http://schemas.openxmlformats.org/officeDocument/2006/relationships/hyperlink" Target="#'27. Customer numbers'!A1"/><Relationship Id="rId3" Type="http://schemas.openxmlformats.org/officeDocument/2006/relationships/hyperlink" Target="#'16. Capex allocation'!A1"/><Relationship Id="rId21" Type="http://schemas.openxmlformats.org/officeDocument/2006/relationships/hyperlink" Target="#'9. Other capex'!A1"/><Relationship Id="rId34" Type="http://schemas.openxmlformats.org/officeDocument/2006/relationships/hyperlink" Target="#'20. Changes in provisions'!A1"/><Relationship Id="rId7" Type="http://schemas.openxmlformats.org/officeDocument/2006/relationships/hyperlink" Target="#'23.1 Opex incl. RPM'!A1"/><Relationship Id="rId12" Type="http://schemas.openxmlformats.org/officeDocument/2006/relationships/hyperlink" Target="#'15. Related party transactions'!A1"/><Relationship Id="rId17" Type="http://schemas.openxmlformats.org/officeDocument/2006/relationships/hyperlink" Target="#'5. Mains augmentation'!A1"/><Relationship Id="rId25" Type="http://schemas.openxmlformats.org/officeDocument/2006/relationships/hyperlink" Target="#'26. Allocation of total revenue'!A1"/><Relationship Id="rId33" Type="http://schemas.openxmlformats.org/officeDocument/2006/relationships/hyperlink" Target="#'30. Network characteristics'!A1"/><Relationship Id="rId2" Type="http://schemas.openxmlformats.org/officeDocument/2006/relationships/hyperlink" Target="#'14. Overheads'!A1"/><Relationship Id="rId16" Type="http://schemas.openxmlformats.org/officeDocument/2006/relationships/hyperlink" Target="#'4. Connections market expansn'!A1"/><Relationship Id="rId20" Type="http://schemas.openxmlformats.org/officeDocument/2006/relationships/hyperlink" Target="#'8. Meter replacement'!A1"/><Relationship Id="rId29" Type="http://schemas.openxmlformats.org/officeDocument/2006/relationships/hyperlink" Target="#'29.3 Gas extensions - demand'!A1"/><Relationship Id="rId1" Type="http://schemas.openxmlformats.org/officeDocument/2006/relationships/image" Target="../media/image1.png"/><Relationship Id="rId6" Type="http://schemas.openxmlformats.org/officeDocument/2006/relationships/hyperlink" Target="#'22. WACC Inputs'!A1"/><Relationship Id="rId11" Type="http://schemas.openxmlformats.org/officeDocument/2006/relationships/hyperlink" Target="#'24. Cost category matrix'!A1"/><Relationship Id="rId24" Type="http://schemas.openxmlformats.org/officeDocument/2006/relationships/hyperlink" Target="#'25. ARS'!A1"/><Relationship Id="rId32" Type="http://schemas.openxmlformats.org/officeDocument/2006/relationships/hyperlink" Target="#'31 - Pass throughs'!A1"/><Relationship Id="rId5" Type="http://schemas.openxmlformats.org/officeDocument/2006/relationships/hyperlink" Target="#'21 - Indicative bill impacts'!A1"/><Relationship Id="rId15" Type="http://schemas.openxmlformats.org/officeDocument/2006/relationships/hyperlink" Target="#'2. Escalators'!A1"/><Relationship Id="rId23" Type="http://schemas.openxmlformats.org/officeDocument/2006/relationships/hyperlink" Target="#'Business &amp; other details'!A1"/><Relationship Id="rId28" Type="http://schemas.openxmlformats.org/officeDocument/2006/relationships/hyperlink" Target="#'29.1 Gas extenstions ($)'!A1"/><Relationship Id="rId10" Type="http://schemas.openxmlformats.org/officeDocument/2006/relationships/hyperlink" Target="#'23.4 Opex incentive mechanism'!A1"/><Relationship Id="rId19" Type="http://schemas.openxmlformats.org/officeDocument/2006/relationships/hyperlink" Target="#'7. Telemetry'!A1"/><Relationship Id="rId31" Type="http://schemas.openxmlformats.org/officeDocument/2006/relationships/hyperlink" Target="#'29.2 Gas extenstions cust no'!A1"/><Relationship Id="rId4" Type="http://schemas.openxmlformats.org/officeDocument/2006/relationships/hyperlink" Target="#'17. Gross Capex '!A1"/><Relationship Id="rId9" Type="http://schemas.openxmlformats.org/officeDocument/2006/relationships/hyperlink" Target="#'23.3 Opex rate-of-change'!A1"/><Relationship Id="rId14" Type="http://schemas.openxmlformats.org/officeDocument/2006/relationships/hyperlink" Target="#'1. CPI'!A1"/><Relationship Id="rId22" Type="http://schemas.openxmlformats.org/officeDocument/2006/relationships/hyperlink" Target="#'12. IT'!A1"/><Relationship Id="rId27" Type="http://schemas.openxmlformats.org/officeDocument/2006/relationships/hyperlink" Target="#'28. Consumption and demand'!A1"/><Relationship Id="rId30" Type="http://schemas.openxmlformats.org/officeDocument/2006/relationships/hyperlink" Target="#'29.4 Gas extensions - tariffs'!A1"/></Relationships>
</file>

<file path=xl/drawings/_rels/drawing20.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3" Type="http://schemas.openxmlformats.org/officeDocument/2006/relationships/hyperlink" Target="#'1.1 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33.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34.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35.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40.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42</xdr:col>
      <xdr:colOff>155864</xdr:colOff>
      <xdr:row>6</xdr:row>
      <xdr:rowOff>294409</xdr:rowOff>
    </xdr:from>
    <xdr:to>
      <xdr:col>52</xdr:col>
      <xdr:colOff>77847</xdr:colOff>
      <xdr:row>12</xdr:row>
      <xdr:rowOff>37246</xdr:rowOff>
    </xdr:to>
    <xdr:grpSp>
      <xdr:nvGrpSpPr>
        <xdr:cNvPr id="2" name="Group 1"/>
        <xdr:cNvGrpSpPr/>
      </xdr:nvGrpSpPr>
      <xdr:grpSpPr>
        <a:xfrm>
          <a:off x="63320221" y="1546266"/>
          <a:ext cx="6045197" cy="1035516"/>
          <a:chOff x="6257924" y="76200"/>
          <a:chExt cx="5973778" cy="1034035"/>
        </a:xfrm>
      </xdr:grpSpPr>
      <xdr:grpSp>
        <xdr:nvGrpSpPr>
          <xdr:cNvPr id="3" name="Group 2"/>
          <xdr:cNvGrpSpPr/>
        </xdr:nvGrpSpPr>
        <xdr:grpSpPr>
          <a:xfrm>
            <a:off x="6257924" y="94034"/>
            <a:ext cx="1753561" cy="971060"/>
            <a:chOff x="11448892" y="2483864"/>
            <a:chExt cx="1750813" cy="517167"/>
          </a:xfrm>
        </xdr:grpSpPr>
        <xdr:sp macro="[0]!MarkConfidential" textlink="">
          <xdr:nvSpPr>
            <xdr:cNvPr id="10" name="Rounded Rectangle 9"/>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1" name="Rounded Rectangle 10"/>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4" name="Group 3"/>
          <xdr:cNvGrpSpPr/>
        </xdr:nvGrpSpPr>
        <xdr:grpSpPr>
          <a:xfrm>
            <a:off x="9047916" y="76200"/>
            <a:ext cx="3183786" cy="1034035"/>
            <a:chOff x="8959453" y="47625"/>
            <a:chExt cx="3191911" cy="1037397"/>
          </a:xfrm>
        </xdr:grpSpPr>
        <xdr:sp macro="" textlink="">
          <xdr:nvSpPr>
            <xdr:cNvPr id="5" name="Rounded Rectangle 4"/>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6" name="Group 5"/>
            <xdr:cNvGrpSpPr/>
          </xdr:nvGrpSpPr>
          <xdr:grpSpPr>
            <a:xfrm>
              <a:off x="10422881" y="79536"/>
              <a:ext cx="1576451" cy="972629"/>
              <a:chOff x="24351211" y="420304"/>
              <a:chExt cx="1935032" cy="711040"/>
            </a:xfrm>
          </xdr:grpSpPr>
          <xdr:sp macro="[0]!dms_ReturnNonAmended" textlink="">
            <xdr:nvSpPr>
              <xdr:cNvPr id="8" name="Rounded Rectangle 7"/>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9" name="Rounded Rectangle 8"/>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7" name="Rounded Rectangle 6"/>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425800</xdr:colOff>
      <xdr:row>0</xdr:row>
      <xdr:rowOff>74686</xdr:rowOff>
    </xdr:from>
    <xdr:to>
      <xdr:col>3</xdr:col>
      <xdr:colOff>1171386</xdr:colOff>
      <xdr:row>3</xdr:row>
      <xdr:rowOff>289903</xdr:rowOff>
    </xdr:to>
    <xdr:grpSp>
      <xdr:nvGrpSpPr>
        <xdr:cNvPr id="7" name="Group 6"/>
        <xdr:cNvGrpSpPr/>
      </xdr:nvGrpSpPr>
      <xdr:grpSpPr>
        <a:xfrm>
          <a:off x="425800" y="74686"/>
          <a:ext cx="745586" cy="1129617"/>
          <a:chOff x="0" y="1560739"/>
          <a:chExt cx="762000" cy="931132"/>
        </a:xfrm>
      </xdr:grpSpPr>
      <xdr:pic>
        <xdr:nvPicPr>
          <xdr:cNvPr id="8"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9"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10"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13</xdr:col>
      <xdr:colOff>51954</xdr:colOff>
      <xdr:row>0</xdr:row>
      <xdr:rowOff>138545</xdr:rowOff>
    </xdr:from>
    <xdr:to>
      <xdr:col>15</xdr:col>
      <xdr:colOff>633053</xdr:colOff>
      <xdr:row>2</xdr:row>
      <xdr:rowOff>183761</xdr:rowOff>
    </xdr:to>
    <xdr:grpSp>
      <xdr:nvGrpSpPr>
        <xdr:cNvPr id="6" name="Group 5"/>
        <xdr:cNvGrpSpPr/>
      </xdr:nvGrpSpPr>
      <xdr:grpSpPr>
        <a:xfrm>
          <a:off x="17920854" y="138545"/>
          <a:ext cx="3171899" cy="654816"/>
          <a:chOff x="7608794" y="145676"/>
          <a:chExt cx="3047258" cy="652342"/>
        </a:xfrm>
      </xdr:grpSpPr>
      <xdr:sp macro="[0]!MarkConfidential" textlink="">
        <xdr:nvSpPr>
          <xdr:cNvPr id="11" name="Rounded Rectangle 10"/>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2" name="Rounded Rectangle 11"/>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268940</xdr:colOff>
      <xdr:row>0</xdr:row>
      <xdr:rowOff>44823</xdr:rowOff>
    </xdr:from>
    <xdr:to>
      <xdr:col>3</xdr:col>
      <xdr:colOff>1277469</xdr:colOff>
      <xdr:row>3</xdr:row>
      <xdr:rowOff>156882</xdr:rowOff>
    </xdr:to>
    <xdr:grpSp>
      <xdr:nvGrpSpPr>
        <xdr:cNvPr id="9" name="Group 8"/>
        <xdr:cNvGrpSpPr/>
      </xdr:nvGrpSpPr>
      <xdr:grpSpPr>
        <a:xfrm>
          <a:off x="268940" y="44823"/>
          <a:ext cx="1008529" cy="1026459"/>
          <a:chOff x="0" y="1560739"/>
          <a:chExt cx="762000" cy="931132"/>
        </a:xfrm>
      </xdr:grpSpPr>
      <xdr:pic>
        <xdr:nvPicPr>
          <xdr:cNvPr id="10"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1"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12"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10</xdr:col>
      <xdr:colOff>217714</xdr:colOff>
      <xdr:row>0</xdr:row>
      <xdr:rowOff>136071</xdr:rowOff>
    </xdr:from>
    <xdr:to>
      <xdr:col>13</xdr:col>
      <xdr:colOff>184017</xdr:colOff>
      <xdr:row>2</xdr:row>
      <xdr:rowOff>206028</xdr:rowOff>
    </xdr:to>
    <xdr:grpSp>
      <xdr:nvGrpSpPr>
        <xdr:cNvPr id="6" name="Group 5"/>
        <xdr:cNvGrpSpPr/>
      </xdr:nvGrpSpPr>
      <xdr:grpSpPr>
        <a:xfrm>
          <a:off x="13720354" y="136071"/>
          <a:ext cx="3212423" cy="679557"/>
          <a:chOff x="7608794" y="145676"/>
          <a:chExt cx="3047258" cy="652342"/>
        </a:xfrm>
      </xdr:grpSpPr>
      <xdr:sp macro="[0]!MarkConfidential" textlink="">
        <xdr:nvSpPr>
          <xdr:cNvPr id="7" name="Rounded Rectangle 6"/>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8" name="Rounded Rectangle 7"/>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168087</xdr:colOff>
      <xdr:row>0</xdr:row>
      <xdr:rowOff>44823</xdr:rowOff>
    </xdr:from>
    <xdr:to>
      <xdr:col>0</xdr:col>
      <xdr:colOff>987237</xdr:colOff>
      <xdr:row>3</xdr:row>
      <xdr:rowOff>156882</xdr:rowOff>
    </xdr:to>
    <xdr:grpSp>
      <xdr:nvGrpSpPr>
        <xdr:cNvPr id="2" name="Group 1"/>
        <xdr:cNvGrpSpPr/>
      </xdr:nvGrpSpPr>
      <xdr:grpSpPr>
        <a:xfrm>
          <a:off x="168087" y="44823"/>
          <a:ext cx="819150" cy="1016934"/>
          <a:chOff x="0" y="1560739"/>
          <a:chExt cx="762000" cy="931132"/>
        </a:xfrm>
      </xdr:grpSpPr>
      <xdr:pic>
        <xdr:nvPicPr>
          <xdr:cNvPr id="3"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5"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8</xdr:col>
      <xdr:colOff>13608</xdr:colOff>
      <xdr:row>0</xdr:row>
      <xdr:rowOff>163286</xdr:rowOff>
    </xdr:from>
    <xdr:to>
      <xdr:col>10</xdr:col>
      <xdr:colOff>1027661</xdr:colOff>
      <xdr:row>2</xdr:row>
      <xdr:rowOff>233243</xdr:rowOff>
    </xdr:to>
    <xdr:grpSp>
      <xdr:nvGrpSpPr>
        <xdr:cNvPr id="6" name="Group 5"/>
        <xdr:cNvGrpSpPr/>
      </xdr:nvGrpSpPr>
      <xdr:grpSpPr>
        <a:xfrm>
          <a:off x="11507108" y="163286"/>
          <a:ext cx="3109553" cy="673207"/>
          <a:chOff x="7608794" y="145676"/>
          <a:chExt cx="3047258" cy="652342"/>
        </a:xfrm>
      </xdr:grpSpPr>
      <xdr:sp macro="[0]!MarkConfidential" textlink="">
        <xdr:nvSpPr>
          <xdr:cNvPr id="7" name="Rounded Rectangle 6"/>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8" name="Rounded Rectangle 7"/>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112058</xdr:colOff>
      <xdr:row>0</xdr:row>
      <xdr:rowOff>123264</xdr:rowOff>
    </xdr:from>
    <xdr:to>
      <xdr:col>3</xdr:col>
      <xdr:colOff>806262</xdr:colOff>
      <xdr:row>3</xdr:row>
      <xdr:rowOff>159123</xdr:rowOff>
    </xdr:to>
    <xdr:grpSp>
      <xdr:nvGrpSpPr>
        <xdr:cNvPr id="2" name="Group 1"/>
        <xdr:cNvGrpSpPr/>
      </xdr:nvGrpSpPr>
      <xdr:grpSpPr>
        <a:xfrm>
          <a:off x="112058" y="123264"/>
          <a:ext cx="694204" cy="940734"/>
          <a:chOff x="0" y="1560739"/>
          <a:chExt cx="762000" cy="931132"/>
        </a:xfrm>
      </xdr:grpSpPr>
      <xdr:pic>
        <xdr:nvPicPr>
          <xdr:cNvPr id="3"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5"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13</xdr:col>
      <xdr:colOff>432955</xdr:colOff>
      <xdr:row>0</xdr:row>
      <xdr:rowOff>155864</xdr:rowOff>
    </xdr:from>
    <xdr:to>
      <xdr:col>16</xdr:col>
      <xdr:colOff>252053</xdr:colOff>
      <xdr:row>2</xdr:row>
      <xdr:rowOff>201080</xdr:rowOff>
    </xdr:to>
    <xdr:grpSp>
      <xdr:nvGrpSpPr>
        <xdr:cNvPr id="6" name="Group 5"/>
        <xdr:cNvGrpSpPr/>
      </xdr:nvGrpSpPr>
      <xdr:grpSpPr>
        <a:xfrm>
          <a:off x="16228580" y="155864"/>
          <a:ext cx="3089348" cy="648466"/>
          <a:chOff x="7608794" y="145676"/>
          <a:chExt cx="3047258" cy="652342"/>
        </a:xfrm>
      </xdr:grpSpPr>
      <xdr:sp macro="[0]!MarkConfidential" textlink="">
        <xdr:nvSpPr>
          <xdr:cNvPr id="7" name="Rounded Rectangle 6"/>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8" name="Rounded Rectangle 7"/>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112058</xdr:colOff>
      <xdr:row>0</xdr:row>
      <xdr:rowOff>123264</xdr:rowOff>
    </xdr:from>
    <xdr:to>
      <xdr:col>3</xdr:col>
      <xdr:colOff>806262</xdr:colOff>
      <xdr:row>3</xdr:row>
      <xdr:rowOff>159123</xdr:rowOff>
    </xdr:to>
    <xdr:grpSp>
      <xdr:nvGrpSpPr>
        <xdr:cNvPr id="2" name="Group 1"/>
        <xdr:cNvGrpSpPr/>
      </xdr:nvGrpSpPr>
      <xdr:grpSpPr>
        <a:xfrm>
          <a:off x="112058" y="123264"/>
          <a:ext cx="694204" cy="933930"/>
          <a:chOff x="0" y="1560739"/>
          <a:chExt cx="762000" cy="931132"/>
        </a:xfrm>
      </xdr:grpSpPr>
      <xdr:pic>
        <xdr:nvPicPr>
          <xdr:cNvPr id="3"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5"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11</xdr:col>
      <xdr:colOff>163286</xdr:colOff>
      <xdr:row>0</xdr:row>
      <xdr:rowOff>95249</xdr:rowOff>
    </xdr:from>
    <xdr:to>
      <xdr:col>14</xdr:col>
      <xdr:colOff>129589</xdr:colOff>
      <xdr:row>2</xdr:row>
      <xdr:rowOff>165206</xdr:rowOff>
    </xdr:to>
    <xdr:grpSp>
      <xdr:nvGrpSpPr>
        <xdr:cNvPr id="6" name="Group 5"/>
        <xdr:cNvGrpSpPr/>
      </xdr:nvGrpSpPr>
      <xdr:grpSpPr>
        <a:xfrm>
          <a:off x="12831536" y="95249"/>
          <a:ext cx="3109553" cy="668671"/>
          <a:chOff x="7608794" y="145676"/>
          <a:chExt cx="3047258" cy="652342"/>
        </a:xfrm>
      </xdr:grpSpPr>
      <xdr:sp macro="[0]!MarkConfidential" textlink="">
        <xdr:nvSpPr>
          <xdr:cNvPr id="7" name="Rounded Rectangle 6"/>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8" name="Rounded Rectangle 7"/>
          <xdr:cNvSpPr/>
        </xdr:nvSpPr>
        <xdr:spPr>
          <a:xfrm>
            <a:off x="7608794" y="517036"/>
            <a:ext cx="3036935" cy="280982"/>
          </a:xfrm>
          <a:prstGeom prst="roundRect">
            <a:avLst/>
          </a:prstGeom>
          <a:solidFill>
            <a:srgbClr val="FFFFCC"/>
          </a:solidFill>
          <a:ln>
            <a:solidFill>
              <a:srgbClr val="FFFFCC"/>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112058</xdr:colOff>
      <xdr:row>0</xdr:row>
      <xdr:rowOff>123264</xdr:rowOff>
    </xdr:from>
    <xdr:to>
      <xdr:col>0</xdr:col>
      <xdr:colOff>806262</xdr:colOff>
      <xdr:row>3</xdr:row>
      <xdr:rowOff>159123</xdr:rowOff>
    </xdr:to>
    <xdr:grpSp>
      <xdr:nvGrpSpPr>
        <xdr:cNvPr id="2" name="Group 1"/>
        <xdr:cNvGrpSpPr/>
      </xdr:nvGrpSpPr>
      <xdr:grpSpPr>
        <a:xfrm>
          <a:off x="112058" y="123264"/>
          <a:ext cx="694204" cy="933930"/>
          <a:chOff x="0" y="1560739"/>
          <a:chExt cx="762000" cy="931132"/>
        </a:xfrm>
      </xdr:grpSpPr>
      <xdr:pic>
        <xdr:nvPicPr>
          <xdr:cNvPr id="3"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5"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6</xdr:col>
      <xdr:colOff>163286</xdr:colOff>
      <xdr:row>0</xdr:row>
      <xdr:rowOff>122464</xdr:rowOff>
    </xdr:from>
    <xdr:to>
      <xdr:col>9</xdr:col>
      <xdr:colOff>129589</xdr:colOff>
      <xdr:row>2</xdr:row>
      <xdr:rowOff>192421</xdr:rowOff>
    </xdr:to>
    <xdr:grpSp>
      <xdr:nvGrpSpPr>
        <xdr:cNvPr id="6" name="Group 5"/>
        <xdr:cNvGrpSpPr/>
      </xdr:nvGrpSpPr>
      <xdr:grpSpPr>
        <a:xfrm>
          <a:off x="11430000" y="122464"/>
          <a:ext cx="3109553" cy="668671"/>
          <a:chOff x="7608794" y="145676"/>
          <a:chExt cx="3047258" cy="652342"/>
        </a:xfrm>
      </xdr:grpSpPr>
      <xdr:sp macro="[0]!MarkConfidential" textlink="">
        <xdr:nvSpPr>
          <xdr:cNvPr id="7" name="Rounded Rectangle 6"/>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8" name="Rounded Rectangle 7"/>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112058</xdr:colOff>
      <xdr:row>0</xdr:row>
      <xdr:rowOff>123264</xdr:rowOff>
    </xdr:from>
    <xdr:to>
      <xdr:col>0</xdr:col>
      <xdr:colOff>806262</xdr:colOff>
      <xdr:row>3</xdr:row>
      <xdr:rowOff>140073</xdr:rowOff>
    </xdr:to>
    <xdr:grpSp>
      <xdr:nvGrpSpPr>
        <xdr:cNvPr id="2" name="Group 1"/>
        <xdr:cNvGrpSpPr/>
      </xdr:nvGrpSpPr>
      <xdr:grpSpPr>
        <a:xfrm>
          <a:off x="112058" y="123264"/>
          <a:ext cx="694204" cy="921684"/>
          <a:chOff x="0" y="1560739"/>
          <a:chExt cx="762000" cy="931132"/>
        </a:xfrm>
      </xdr:grpSpPr>
      <xdr:pic>
        <xdr:nvPicPr>
          <xdr:cNvPr id="3"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5"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6</xdr:col>
      <xdr:colOff>201705</xdr:colOff>
      <xdr:row>0</xdr:row>
      <xdr:rowOff>134471</xdr:rowOff>
    </xdr:from>
    <xdr:to>
      <xdr:col>7</xdr:col>
      <xdr:colOff>801141</xdr:colOff>
      <xdr:row>2</xdr:row>
      <xdr:rowOff>198024</xdr:rowOff>
    </xdr:to>
    <xdr:grpSp>
      <xdr:nvGrpSpPr>
        <xdr:cNvPr id="6" name="Group 5"/>
        <xdr:cNvGrpSpPr/>
      </xdr:nvGrpSpPr>
      <xdr:grpSpPr>
        <a:xfrm>
          <a:off x="11139580" y="134471"/>
          <a:ext cx="3107686" cy="666803"/>
          <a:chOff x="7608794" y="145676"/>
          <a:chExt cx="3047258" cy="652342"/>
        </a:xfrm>
      </xdr:grpSpPr>
      <xdr:sp macro="[0]!MarkConfidential" textlink="">
        <xdr:nvSpPr>
          <xdr:cNvPr id="7" name="Rounded Rectangle 6"/>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8" name="Rounded Rectangle 7"/>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112058</xdr:colOff>
      <xdr:row>0</xdr:row>
      <xdr:rowOff>123264</xdr:rowOff>
    </xdr:from>
    <xdr:to>
      <xdr:col>0</xdr:col>
      <xdr:colOff>806262</xdr:colOff>
      <xdr:row>3</xdr:row>
      <xdr:rowOff>140073</xdr:rowOff>
    </xdr:to>
    <xdr:grpSp>
      <xdr:nvGrpSpPr>
        <xdr:cNvPr id="2" name="Group 1"/>
        <xdr:cNvGrpSpPr/>
      </xdr:nvGrpSpPr>
      <xdr:grpSpPr>
        <a:xfrm>
          <a:off x="112058" y="123264"/>
          <a:ext cx="694204" cy="924485"/>
          <a:chOff x="0" y="1560739"/>
          <a:chExt cx="762000" cy="931132"/>
        </a:xfrm>
      </xdr:grpSpPr>
      <xdr:pic>
        <xdr:nvPicPr>
          <xdr:cNvPr id="3"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5"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8</xdr:col>
      <xdr:colOff>217715</xdr:colOff>
      <xdr:row>0</xdr:row>
      <xdr:rowOff>163285</xdr:rowOff>
    </xdr:from>
    <xdr:to>
      <xdr:col>11</xdr:col>
      <xdr:colOff>184018</xdr:colOff>
      <xdr:row>2</xdr:row>
      <xdr:rowOff>233242</xdr:rowOff>
    </xdr:to>
    <xdr:grpSp>
      <xdr:nvGrpSpPr>
        <xdr:cNvPr id="6" name="Group 5"/>
        <xdr:cNvGrpSpPr/>
      </xdr:nvGrpSpPr>
      <xdr:grpSpPr>
        <a:xfrm>
          <a:off x="10717627" y="163285"/>
          <a:ext cx="3126362" cy="675075"/>
          <a:chOff x="7608794" y="145676"/>
          <a:chExt cx="3047258" cy="652342"/>
        </a:xfrm>
      </xdr:grpSpPr>
      <xdr:sp macro="[0]!MarkConfidential" textlink="">
        <xdr:nvSpPr>
          <xdr:cNvPr id="7" name="Rounded Rectangle 6"/>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8" name="Rounded Rectangle 7"/>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112058</xdr:colOff>
      <xdr:row>0</xdr:row>
      <xdr:rowOff>123264</xdr:rowOff>
    </xdr:from>
    <xdr:to>
      <xdr:col>0</xdr:col>
      <xdr:colOff>806262</xdr:colOff>
      <xdr:row>3</xdr:row>
      <xdr:rowOff>140073</xdr:rowOff>
    </xdr:to>
    <xdr:grpSp>
      <xdr:nvGrpSpPr>
        <xdr:cNvPr id="2" name="Group 1"/>
        <xdr:cNvGrpSpPr/>
      </xdr:nvGrpSpPr>
      <xdr:grpSpPr>
        <a:xfrm>
          <a:off x="112058" y="123264"/>
          <a:ext cx="694204" cy="914880"/>
          <a:chOff x="0" y="1560739"/>
          <a:chExt cx="762000" cy="931132"/>
        </a:xfrm>
      </xdr:grpSpPr>
      <xdr:pic>
        <xdr:nvPicPr>
          <xdr:cNvPr id="3"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5"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8</xdr:col>
      <xdr:colOff>544286</xdr:colOff>
      <xdr:row>0</xdr:row>
      <xdr:rowOff>149678</xdr:rowOff>
    </xdr:from>
    <xdr:to>
      <xdr:col>11</xdr:col>
      <xdr:colOff>510589</xdr:colOff>
      <xdr:row>2</xdr:row>
      <xdr:rowOff>219635</xdr:rowOff>
    </xdr:to>
    <xdr:grpSp>
      <xdr:nvGrpSpPr>
        <xdr:cNvPr id="6" name="Group 5"/>
        <xdr:cNvGrpSpPr/>
      </xdr:nvGrpSpPr>
      <xdr:grpSpPr>
        <a:xfrm>
          <a:off x="11389179" y="149678"/>
          <a:ext cx="3109553" cy="668671"/>
          <a:chOff x="7608794" y="145676"/>
          <a:chExt cx="3047258" cy="652342"/>
        </a:xfrm>
      </xdr:grpSpPr>
      <xdr:sp macro="[0]!MarkConfidential" textlink="">
        <xdr:nvSpPr>
          <xdr:cNvPr id="7" name="Rounded Rectangle 6"/>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8" name="Rounded Rectangle 7"/>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112058</xdr:colOff>
      <xdr:row>0</xdr:row>
      <xdr:rowOff>123264</xdr:rowOff>
    </xdr:from>
    <xdr:to>
      <xdr:col>0</xdr:col>
      <xdr:colOff>806262</xdr:colOff>
      <xdr:row>3</xdr:row>
      <xdr:rowOff>140073</xdr:rowOff>
    </xdr:to>
    <xdr:grpSp>
      <xdr:nvGrpSpPr>
        <xdr:cNvPr id="2" name="Group 1"/>
        <xdr:cNvGrpSpPr/>
      </xdr:nvGrpSpPr>
      <xdr:grpSpPr>
        <a:xfrm>
          <a:off x="112058" y="123264"/>
          <a:ext cx="694204" cy="931209"/>
          <a:chOff x="0" y="1560739"/>
          <a:chExt cx="762000" cy="931132"/>
        </a:xfrm>
      </xdr:grpSpPr>
      <xdr:pic>
        <xdr:nvPicPr>
          <xdr:cNvPr id="3"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5"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3</xdr:col>
      <xdr:colOff>114300</xdr:colOff>
      <xdr:row>0</xdr:row>
      <xdr:rowOff>114300</xdr:rowOff>
    </xdr:from>
    <xdr:to>
      <xdr:col>6</xdr:col>
      <xdr:colOff>80603</xdr:colOff>
      <xdr:row>2</xdr:row>
      <xdr:rowOff>173371</xdr:rowOff>
    </xdr:to>
    <xdr:grpSp>
      <xdr:nvGrpSpPr>
        <xdr:cNvPr id="6" name="Group 5"/>
        <xdr:cNvGrpSpPr/>
      </xdr:nvGrpSpPr>
      <xdr:grpSpPr>
        <a:xfrm>
          <a:off x="5800725" y="114300"/>
          <a:ext cx="3109553" cy="668671"/>
          <a:chOff x="7608794" y="145676"/>
          <a:chExt cx="3047258" cy="652342"/>
        </a:xfrm>
      </xdr:grpSpPr>
      <xdr:sp macro="[0]!MarkConfidential" textlink="">
        <xdr:nvSpPr>
          <xdr:cNvPr id="7" name="Rounded Rectangle 6"/>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8" name="Rounded Rectangle 7"/>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616884</xdr:colOff>
      <xdr:row>3</xdr:row>
      <xdr:rowOff>268381</xdr:rowOff>
    </xdr:from>
    <xdr:to>
      <xdr:col>12</xdr:col>
      <xdr:colOff>456080</xdr:colOff>
      <xdr:row>6</xdr:row>
      <xdr:rowOff>12887</xdr:rowOff>
    </xdr:to>
    <xdr:pic>
      <xdr:nvPicPr>
        <xdr:cNvPr id="105546" name="Picture 7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43590" y="739028"/>
          <a:ext cx="1139078" cy="7082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314325</xdr:colOff>
      <xdr:row>40</xdr:row>
      <xdr:rowOff>71437</xdr:rowOff>
    </xdr:from>
    <xdr:ext cx="2815200" cy="352800"/>
    <xdr:sp macro="" textlink="">
      <xdr:nvSpPr>
        <xdr:cNvPr id="62" name="Label13"/>
        <xdr:cNvSpPr txBox="1"/>
      </xdr:nvSpPr>
      <xdr:spPr>
        <a:xfrm>
          <a:off x="3095625" y="7843837"/>
          <a:ext cx="2815200" cy="352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lang="en-AU" sz="1100"/>
            <a:t>10 - Meter renewal &amp; upgrade</a:t>
          </a:r>
        </a:p>
      </xdr:txBody>
    </xdr:sp>
    <xdr:clientData/>
  </xdr:oneCellAnchor>
  <xdr:twoCellAnchor>
    <xdr:from>
      <xdr:col>6</xdr:col>
      <xdr:colOff>332977</xdr:colOff>
      <xdr:row>10</xdr:row>
      <xdr:rowOff>9525</xdr:rowOff>
    </xdr:from>
    <xdr:to>
      <xdr:col>8</xdr:col>
      <xdr:colOff>746634</xdr:colOff>
      <xdr:row>12</xdr:row>
      <xdr:rowOff>39462</xdr:rowOff>
    </xdr:to>
    <xdr:sp macro="" textlink="">
      <xdr:nvSpPr>
        <xdr:cNvPr id="63" name="Rounded Rectangle 62">
          <a:hlinkClick xmlns:r="http://schemas.openxmlformats.org/officeDocument/2006/relationships" r:id="rId2"/>
        </xdr:cNvPr>
        <xdr:cNvSpPr/>
      </xdr:nvSpPr>
      <xdr:spPr>
        <a:xfrm>
          <a:off x="6790927" y="2924175"/>
          <a:ext cx="2813957" cy="35378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lvl="0" algn="l"/>
          <a:r>
            <a:rPr lang="en-AU" sz="1200" b="1">
              <a:solidFill>
                <a:schemeClr val="tx1"/>
              </a:solidFill>
            </a:rPr>
            <a:t>14. Overheads</a:t>
          </a:r>
        </a:p>
      </xdr:txBody>
    </xdr:sp>
    <xdr:clientData/>
  </xdr:twoCellAnchor>
  <xdr:twoCellAnchor>
    <xdr:from>
      <xdr:col>6</xdr:col>
      <xdr:colOff>332355</xdr:colOff>
      <xdr:row>16</xdr:row>
      <xdr:rowOff>139633</xdr:rowOff>
    </xdr:from>
    <xdr:to>
      <xdr:col>8</xdr:col>
      <xdr:colOff>747255</xdr:colOff>
      <xdr:row>19</xdr:row>
      <xdr:rowOff>6658</xdr:rowOff>
    </xdr:to>
    <xdr:sp macro="" textlink="">
      <xdr:nvSpPr>
        <xdr:cNvPr id="64" name="Rounded Rectangle 63">
          <a:hlinkClick xmlns:r="http://schemas.openxmlformats.org/officeDocument/2006/relationships" r:id="rId3"/>
        </xdr:cNvPr>
        <xdr:cNvSpPr/>
      </xdr:nvSpPr>
      <xdr:spPr>
        <a:xfrm>
          <a:off x="6790305" y="4025833"/>
          <a:ext cx="2815200" cy="352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lvl="0" algn="l"/>
          <a:r>
            <a:rPr lang="en-AU" sz="1200" b="1">
              <a:solidFill>
                <a:schemeClr val="tx1"/>
              </a:solidFill>
            </a:rPr>
            <a:t>16. Capex allocation</a:t>
          </a:r>
          <a:endParaRPr lang="en-AU" sz="1100" b="1">
            <a:solidFill>
              <a:schemeClr val="tx1"/>
            </a:solidFill>
          </a:endParaRPr>
        </a:p>
      </xdr:txBody>
    </xdr:sp>
    <xdr:clientData/>
  </xdr:twoCellAnchor>
  <xdr:twoCellAnchor>
    <xdr:from>
      <xdr:col>6</xdr:col>
      <xdr:colOff>332355</xdr:colOff>
      <xdr:row>20</xdr:row>
      <xdr:rowOff>34042</xdr:rowOff>
    </xdr:from>
    <xdr:to>
      <xdr:col>8</xdr:col>
      <xdr:colOff>747255</xdr:colOff>
      <xdr:row>22</xdr:row>
      <xdr:rowOff>62992</xdr:rowOff>
    </xdr:to>
    <xdr:sp macro="" textlink="">
      <xdr:nvSpPr>
        <xdr:cNvPr id="65" name="Rounded Rectangle 64">
          <a:hlinkClick xmlns:r="http://schemas.openxmlformats.org/officeDocument/2006/relationships" r:id="rId4"/>
        </xdr:cNvPr>
        <xdr:cNvSpPr/>
      </xdr:nvSpPr>
      <xdr:spPr>
        <a:xfrm>
          <a:off x="6790305" y="4567942"/>
          <a:ext cx="2815200" cy="352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lvl="0" algn="l"/>
          <a:r>
            <a:rPr lang="en-AU" sz="1200" b="1">
              <a:solidFill>
                <a:schemeClr val="tx1"/>
              </a:solidFill>
            </a:rPr>
            <a:t>17. Gross</a:t>
          </a:r>
          <a:r>
            <a:rPr lang="en-AU" sz="1200" b="1" baseline="0">
              <a:solidFill>
                <a:schemeClr val="tx1"/>
              </a:solidFill>
            </a:rPr>
            <a:t> capex</a:t>
          </a:r>
          <a:endParaRPr lang="en-AU" sz="1100" b="1">
            <a:solidFill>
              <a:schemeClr val="tx1"/>
            </a:solidFill>
          </a:endParaRPr>
        </a:p>
      </xdr:txBody>
    </xdr:sp>
    <xdr:clientData/>
  </xdr:twoCellAnchor>
  <xdr:twoCellAnchor>
    <xdr:from>
      <xdr:col>6</xdr:col>
      <xdr:colOff>332355</xdr:colOff>
      <xdr:row>26</xdr:row>
      <xdr:rowOff>146710</xdr:rowOff>
    </xdr:from>
    <xdr:to>
      <xdr:col>8</xdr:col>
      <xdr:colOff>747255</xdr:colOff>
      <xdr:row>29</xdr:row>
      <xdr:rowOff>13735</xdr:rowOff>
    </xdr:to>
    <xdr:sp macro="" textlink="">
      <xdr:nvSpPr>
        <xdr:cNvPr id="66" name="Rounded Rectangle 65">
          <a:hlinkClick xmlns:r="http://schemas.openxmlformats.org/officeDocument/2006/relationships" r:id="rId5"/>
        </xdr:cNvPr>
        <xdr:cNvSpPr/>
      </xdr:nvSpPr>
      <xdr:spPr>
        <a:xfrm>
          <a:off x="6790305" y="5652160"/>
          <a:ext cx="2815200" cy="352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lvl="0" algn="l"/>
          <a:r>
            <a:rPr lang="en-AU" sz="1200" b="1">
              <a:solidFill>
                <a:schemeClr val="tx1"/>
              </a:solidFill>
            </a:rPr>
            <a:t>21. Indicative bill impacts</a:t>
          </a:r>
          <a:endParaRPr lang="en-AU" sz="1100" b="1">
            <a:solidFill>
              <a:schemeClr val="tx1"/>
            </a:solidFill>
          </a:endParaRPr>
        </a:p>
      </xdr:txBody>
    </xdr:sp>
    <xdr:clientData/>
  </xdr:twoCellAnchor>
  <xdr:twoCellAnchor>
    <xdr:from>
      <xdr:col>6</xdr:col>
      <xdr:colOff>332355</xdr:colOff>
      <xdr:row>30</xdr:row>
      <xdr:rowOff>41120</xdr:rowOff>
    </xdr:from>
    <xdr:to>
      <xdr:col>8</xdr:col>
      <xdr:colOff>747255</xdr:colOff>
      <xdr:row>32</xdr:row>
      <xdr:rowOff>70070</xdr:rowOff>
    </xdr:to>
    <xdr:sp macro="" textlink="">
      <xdr:nvSpPr>
        <xdr:cNvPr id="67" name="Rounded Rectangle 66">
          <a:hlinkClick xmlns:r="http://schemas.openxmlformats.org/officeDocument/2006/relationships" r:id="rId6"/>
        </xdr:cNvPr>
        <xdr:cNvSpPr/>
      </xdr:nvSpPr>
      <xdr:spPr>
        <a:xfrm>
          <a:off x="6790305" y="6194270"/>
          <a:ext cx="2815200" cy="352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lvl="0" algn="l"/>
          <a:r>
            <a:rPr lang="en-AU" sz="1200" b="1">
              <a:solidFill>
                <a:schemeClr val="tx1"/>
              </a:solidFill>
            </a:rPr>
            <a:t>22. WACC inputs</a:t>
          </a:r>
          <a:endParaRPr lang="en-AU" sz="1100" b="1">
            <a:solidFill>
              <a:schemeClr val="tx1"/>
            </a:solidFill>
          </a:endParaRPr>
        </a:p>
      </xdr:txBody>
    </xdr:sp>
    <xdr:clientData/>
  </xdr:twoCellAnchor>
  <xdr:twoCellAnchor>
    <xdr:from>
      <xdr:col>6</xdr:col>
      <xdr:colOff>332355</xdr:colOff>
      <xdr:row>33</xdr:row>
      <xdr:rowOff>97455</xdr:rowOff>
    </xdr:from>
    <xdr:to>
      <xdr:col>8</xdr:col>
      <xdr:colOff>747255</xdr:colOff>
      <xdr:row>35</xdr:row>
      <xdr:rowOff>126405</xdr:rowOff>
    </xdr:to>
    <xdr:sp macro="" textlink="">
      <xdr:nvSpPr>
        <xdr:cNvPr id="68" name="Rounded Rectangle 67">
          <a:hlinkClick xmlns:r="http://schemas.openxmlformats.org/officeDocument/2006/relationships" r:id="rId7"/>
        </xdr:cNvPr>
        <xdr:cNvSpPr/>
      </xdr:nvSpPr>
      <xdr:spPr>
        <a:xfrm>
          <a:off x="6790305" y="6736380"/>
          <a:ext cx="2815200" cy="352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lvl="0" algn="l"/>
          <a:r>
            <a:rPr lang="en-AU" sz="1200" b="1">
              <a:solidFill>
                <a:schemeClr val="tx1"/>
              </a:solidFill>
            </a:rPr>
            <a:t>23.1 Opex including RPM</a:t>
          </a:r>
          <a:endParaRPr lang="en-AU" sz="1100" b="1">
            <a:solidFill>
              <a:schemeClr val="tx1"/>
            </a:solidFill>
          </a:endParaRPr>
        </a:p>
      </xdr:txBody>
    </xdr:sp>
    <xdr:clientData/>
  </xdr:twoCellAnchor>
  <xdr:twoCellAnchor>
    <xdr:from>
      <xdr:col>6</xdr:col>
      <xdr:colOff>332355</xdr:colOff>
      <xdr:row>36</xdr:row>
      <xdr:rowOff>151748</xdr:rowOff>
    </xdr:from>
    <xdr:to>
      <xdr:col>8</xdr:col>
      <xdr:colOff>747255</xdr:colOff>
      <xdr:row>39</xdr:row>
      <xdr:rowOff>18773</xdr:rowOff>
    </xdr:to>
    <xdr:sp macro="" textlink="">
      <xdr:nvSpPr>
        <xdr:cNvPr id="69" name="Rounded Rectangle 68">
          <a:hlinkClick xmlns:r="http://schemas.openxmlformats.org/officeDocument/2006/relationships" r:id="rId8"/>
        </xdr:cNvPr>
        <xdr:cNvSpPr/>
      </xdr:nvSpPr>
      <xdr:spPr>
        <a:xfrm>
          <a:off x="6790305" y="7276448"/>
          <a:ext cx="2815200" cy="352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lvl="0" algn="l"/>
          <a:r>
            <a:rPr lang="en-AU" sz="1200" b="1">
              <a:solidFill>
                <a:schemeClr val="tx1"/>
              </a:solidFill>
            </a:rPr>
            <a:t>23.2 Opex excluding RPM</a:t>
          </a:r>
          <a:endParaRPr lang="en-AU" sz="1100" b="1">
            <a:solidFill>
              <a:schemeClr val="tx1"/>
            </a:solidFill>
          </a:endParaRPr>
        </a:p>
      </xdr:txBody>
    </xdr:sp>
    <xdr:clientData/>
  </xdr:twoCellAnchor>
  <xdr:twoCellAnchor>
    <xdr:from>
      <xdr:col>6</xdr:col>
      <xdr:colOff>332355</xdr:colOff>
      <xdr:row>40</xdr:row>
      <xdr:rowOff>52779</xdr:rowOff>
    </xdr:from>
    <xdr:to>
      <xdr:col>8</xdr:col>
      <xdr:colOff>747255</xdr:colOff>
      <xdr:row>42</xdr:row>
      <xdr:rowOff>81729</xdr:rowOff>
    </xdr:to>
    <xdr:sp macro="" textlink="">
      <xdr:nvSpPr>
        <xdr:cNvPr id="70" name="Rounded Rectangle 69">
          <a:hlinkClick xmlns:r="http://schemas.openxmlformats.org/officeDocument/2006/relationships" r:id="rId9"/>
        </xdr:cNvPr>
        <xdr:cNvSpPr/>
      </xdr:nvSpPr>
      <xdr:spPr>
        <a:xfrm>
          <a:off x="6790305" y="7825179"/>
          <a:ext cx="2815200" cy="352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lvl="0" algn="l"/>
          <a:r>
            <a:rPr lang="en-AU" sz="1200" b="1">
              <a:solidFill>
                <a:schemeClr val="tx1"/>
              </a:solidFill>
            </a:rPr>
            <a:t>23.3 Opex</a:t>
          </a:r>
          <a:r>
            <a:rPr lang="en-AU" sz="1200" b="1" baseline="0">
              <a:solidFill>
                <a:schemeClr val="tx1"/>
              </a:solidFill>
            </a:rPr>
            <a:t> base-step-trend</a:t>
          </a:r>
          <a:endParaRPr lang="en-AU" sz="1100" b="1">
            <a:solidFill>
              <a:schemeClr val="tx1"/>
            </a:solidFill>
          </a:endParaRPr>
        </a:p>
      </xdr:txBody>
    </xdr:sp>
    <xdr:clientData/>
  </xdr:twoCellAnchor>
  <xdr:twoCellAnchor>
    <xdr:from>
      <xdr:col>6</xdr:col>
      <xdr:colOff>332355</xdr:colOff>
      <xdr:row>43</xdr:row>
      <xdr:rowOff>102496</xdr:rowOff>
    </xdr:from>
    <xdr:to>
      <xdr:col>8</xdr:col>
      <xdr:colOff>747255</xdr:colOff>
      <xdr:row>45</xdr:row>
      <xdr:rowOff>131446</xdr:rowOff>
    </xdr:to>
    <xdr:sp macro="" textlink="">
      <xdr:nvSpPr>
        <xdr:cNvPr id="71" name="Rounded Rectangle 70">
          <a:hlinkClick xmlns:r="http://schemas.openxmlformats.org/officeDocument/2006/relationships" r:id="rId10"/>
        </xdr:cNvPr>
        <xdr:cNvSpPr/>
      </xdr:nvSpPr>
      <xdr:spPr>
        <a:xfrm>
          <a:off x="6790305" y="8360671"/>
          <a:ext cx="2815200" cy="352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lvl="0" algn="l"/>
          <a:r>
            <a:rPr lang="en-AU" sz="1200" b="1">
              <a:solidFill>
                <a:schemeClr val="tx1"/>
              </a:solidFill>
            </a:rPr>
            <a:t>23.4 Opex incentive mechanism</a:t>
          </a:r>
          <a:endParaRPr lang="en-AU" sz="1100" b="1">
            <a:solidFill>
              <a:schemeClr val="tx1"/>
            </a:solidFill>
          </a:endParaRPr>
        </a:p>
      </xdr:txBody>
    </xdr:sp>
    <xdr:clientData/>
  </xdr:twoCellAnchor>
  <xdr:twoCellAnchor>
    <xdr:from>
      <xdr:col>10</xdr:col>
      <xdr:colOff>365634</xdr:colOff>
      <xdr:row>10</xdr:row>
      <xdr:rowOff>9525</xdr:rowOff>
    </xdr:from>
    <xdr:to>
      <xdr:col>13</xdr:col>
      <xdr:colOff>283991</xdr:colOff>
      <xdr:row>12</xdr:row>
      <xdr:rowOff>39462</xdr:rowOff>
    </xdr:to>
    <xdr:sp macro="" textlink="">
      <xdr:nvSpPr>
        <xdr:cNvPr id="72" name="Rounded Rectangle 71">
          <a:hlinkClick xmlns:r="http://schemas.openxmlformats.org/officeDocument/2006/relationships" r:id="rId11"/>
        </xdr:cNvPr>
        <xdr:cNvSpPr/>
      </xdr:nvSpPr>
      <xdr:spPr>
        <a:xfrm>
          <a:off x="10652634" y="2924175"/>
          <a:ext cx="2813957" cy="35378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lvl="0" algn="l"/>
          <a:r>
            <a:rPr lang="en-AU" sz="1200" b="1">
              <a:solidFill>
                <a:schemeClr val="tx1"/>
              </a:solidFill>
            </a:rPr>
            <a:t>24. Cost category matrix</a:t>
          </a:r>
          <a:endParaRPr lang="en-AU" sz="1100" b="1">
            <a:solidFill>
              <a:schemeClr val="tx1"/>
            </a:solidFill>
          </a:endParaRPr>
        </a:p>
      </xdr:txBody>
    </xdr:sp>
    <xdr:clientData/>
  </xdr:twoCellAnchor>
  <xdr:twoCellAnchor>
    <xdr:from>
      <xdr:col>6</xdr:col>
      <xdr:colOff>332355</xdr:colOff>
      <xdr:row>13</xdr:row>
      <xdr:rowOff>75335</xdr:rowOff>
    </xdr:from>
    <xdr:to>
      <xdr:col>8</xdr:col>
      <xdr:colOff>747255</xdr:colOff>
      <xdr:row>15</xdr:row>
      <xdr:rowOff>104285</xdr:rowOff>
    </xdr:to>
    <xdr:sp macro="" textlink="">
      <xdr:nvSpPr>
        <xdr:cNvPr id="73" name="Rounded Rectangle 72">
          <a:hlinkClick xmlns:r="http://schemas.openxmlformats.org/officeDocument/2006/relationships" r:id="rId12"/>
        </xdr:cNvPr>
        <xdr:cNvSpPr/>
      </xdr:nvSpPr>
      <xdr:spPr>
        <a:xfrm>
          <a:off x="6790305" y="3475760"/>
          <a:ext cx="2815200" cy="352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lvl="0" algn="l"/>
          <a:r>
            <a:rPr lang="en-AU" sz="1200" b="1">
              <a:solidFill>
                <a:schemeClr val="tx1"/>
              </a:solidFill>
            </a:rPr>
            <a:t>15. Related</a:t>
          </a:r>
          <a:r>
            <a:rPr lang="en-AU" sz="1200" b="1" baseline="0">
              <a:solidFill>
                <a:schemeClr val="tx1"/>
              </a:solidFill>
            </a:rPr>
            <a:t> party transactions</a:t>
          </a:r>
          <a:endParaRPr lang="en-AU" sz="1100" b="1">
            <a:solidFill>
              <a:schemeClr val="tx1"/>
            </a:solidFill>
          </a:endParaRPr>
        </a:p>
      </xdr:txBody>
    </xdr:sp>
    <xdr:clientData/>
  </xdr:twoCellAnchor>
  <xdr:twoCellAnchor>
    <xdr:from>
      <xdr:col>1</xdr:col>
      <xdr:colOff>314325</xdr:colOff>
      <xdr:row>10</xdr:row>
      <xdr:rowOff>14287</xdr:rowOff>
    </xdr:from>
    <xdr:to>
      <xdr:col>4</xdr:col>
      <xdr:colOff>881625</xdr:colOff>
      <xdr:row>12</xdr:row>
      <xdr:rowOff>43237</xdr:rowOff>
    </xdr:to>
    <xdr:sp macro="" textlink="">
      <xdr:nvSpPr>
        <xdr:cNvPr id="74" name="Rounded Rectangle 73">
          <a:hlinkClick xmlns:r="http://schemas.openxmlformats.org/officeDocument/2006/relationships" r:id="rId13"/>
        </xdr:cNvPr>
        <xdr:cNvSpPr/>
      </xdr:nvSpPr>
      <xdr:spPr>
        <a:xfrm>
          <a:off x="3095625" y="2928937"/>
          <a:ext cx="2815200" cy="352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lvl="1" algn="l"/>
          <a:r>
            <a:rPr lang="en-AU" sz="1200" b="1">
              <a:solidFill>
                <a:schemeClr val="tx1"/>
              </a:solidFill>
            </a:rPr>
            <a:t>Instructions</a:t>
          </a:r>
          <a:endParaRPr lang="en-AU" sz="1100" b="1">
            <a:solidFill>
              <a:schemeClr val="tx1"/>
            </a:solidFill>
          </a:endParaRPr>
        </a:p>
      </xdr:txBody>
    </xdr:sp>
    <xdr:clientData/>
  </xdr:twoCellAnchor>
  <xdr:twoCellAnchor>
    <xdr:from>
      <xdr:col>1</xdr:col>
      <xdr:colOff>314325</xdr:colOff>
      <xdr:row>16</xdr:row>
      <xdr:rowOff>139633</xdr:rowOff>
    </xdr:from>
    <xdr:to>
      <xdr:col>4</xdr:col>
      <xdr:colOff>881625</xdr:colOff>
      <xdr:row>19</xdr:row>
      <xdr:rowOff>6658</xdr:rowOff>
    </xdr:to>
    <xdr:sp macro="" textlink="">
      <xdr:nvSpPr>
        <xdr:cNvPr id="75" name="Rounded Rectangle 74">
          <a:hlinkClick xmlns:r="http://schemas.openxmlformats.org/officeDocument/2006/relationships" r:id="rId14"/>
        </xdr:cNvPr>
        <xdr:cNvSpPr/>
      </xdr:nvSpPr>
      <xdr:spPr>
        <a:xfrm>
          <a:off x="3095625" y="4025833"/>
          <a:ext cx="2815200" cy="352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lvl="0" algn="l"/>
          <a:r>
            <a:rPr lang="en-AU" sz="1200" b="1">
              <a:solidFill>
                <a:schemeClr val="tx1"/>
              </a:solidFill>
            </a:rPr>
            <a:t>1. CPI</a:t>
          </a:r>
          <a:endParaRPr lang="en-AU" sz="1100" b="1">
            <a:solidFill>
              <a:schemeClr val="tx1"/>
            </a:solidFill>
          </a:endParaRPr>
        </a:p>
      </xdr:txBody>
    </xdr:sp>
    <xdr:clientData/>
  </xdr:twoCellAnchor>
  <xdr:twoCellAnchor>
    <xdr:from>
      <xdr:col>1</xdr:col>
      <xdr:colOff>314325</xdr:colOff>
      <xdr:row>20</xdr:row>
      <xdr:rowOff>34042</xdr:rowOff>
    </xdr:from>
    <xdr:to>
      <xdr:col>4</xdr:col>
      <xdr:colOff>881625</xdr:colOff>
      <xdr:row>22</xdr:row>
      <xdr:rowOff>62992</xdr:rowOff>
    </xdr:to>
    <xdr:sp macro="" textlink="">
      <xdr:nvSpPr>
        <xdr:cNvPr id="76" name="Rounded Rectangle 75">
          <a:hlinkClick xmlns:r="http://schemas.openxmlformats.org/officeDocument/2006/relationships" r:id="rId15"/>
        </xdr:cNvPr>
        <xdr:cNvSpPr/>
      </xdr:nvSpPr>
      <xdr:spPr>
        <a:xfrm>
          <a:off x="3095625" y="4567942"/>
          <a:ext cx="2815200" cy="352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lvl="0" algn="l"/>
          <a:r>
            <a:rPr lang="en-AU" sz="1200" b="1">
              <a:solidFill>
                <a:schemeClr val="tx1"/>
              </a:solidFill>
            </a:rPr>
            <a:t>2.</a:t>
          </a:r>
          <a:r>
            <a:rPr lang="en-AU" sz="1200" b="1" baseline="0">
              <a:solidFill>
                <a:schemeClr val="tx1"/>
              </a:solidFill>
            </a:rPr>
            <a:t> Escalators</a:t>
          </a:r>
          <a:endParaRPr lang="en-AU" sz="1100" b="1">
            <a:solidFill>
              <a:schemeClr val="tx1"/>
            </a:solidFill>
          </a:endParaRPr>
        </a:p>
      </xdr:txBody>
    </xdr:sp>
    <xdr:clientData/>
  </xdr:twoCellAnchor>
  <xdr:twoCellAnchor>
    <xdr:from>
      <xdr:col>1</xdr:col>
      <xdr:colOff>314325</xdr:colOff>
      <xdr:row>23</xdr:row>
      <xdr:rowOff>80851</xdr:rowOff>
    </xdr:from>
    <xdr:to>
      <xdr:col>4</xdr:col>
      <xdr:colOff>881625</xdr:colOff>
      <xdr:row>25</xdr:row>
      <xdr:rowOff>109801</xdr:rowOff>
    </xdr:to>
    <xdr:sp macro="" textlink="">
      <xdr:nvSpPr>
        <xdr:cNvPr id="77" name="Rounded Rectangle 76">
          <a:hlinkClick xmlns:r="http://schemas.openxmlformats.org/officeDocument/2006/relationships" r:id="rId16"/>
        </xdr:cNvPr>
        <xdr:cNvSpPr/>
      </xdr:nvSpPr>
      <xdr:spPr>
        <a:xfrm>
          <a:off x="3095625" y="5100526"/>
          <a:ext cx="2815200" cy="352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lvl="0" algn="l"/>
          <a:r>
            <a:rPr lang="en-AU" sz="1200" b="1">
              <a:solidFill>
                <a:schemeClr val="tx1"/>
              </a:solidFill>
            </a:rPr>
            <a:t>4.</a:t>
          </a:r>
          <a:r>
            <a:rPr lang="en-AU" sz="1200" b="1" baseline="0">
              <a:solidFill>
                <a:schemeClr val="tx1"/>
              </a:solidFill>
            </a:rPr>
            <a:t> Connections market expansion</a:t>
          </a:r>
          <a:endParaRPr lang="en-AU" sz="1200" b="1">
            <a:solidFill>
              <a:schemeClr val="tx1"/>
            </a:solidFill>
          </a:endParaRPr>
        </a:p>
      </xdr:txBody>
    </xdr:sp>
    <xdr:clientData/>
  </xdr:twoCellAnchor>
  <xdr:twoCellAnchor>
    <xdr:from>
      <xdr:col>1</xdr:col>
      <xdr:colOff>314325</xdr:colOff>
      <xdr:row>26</xdr:row>
      <xdr:rowOff>146710</xdr:rowOff>
    </xdr:from>
    <xdr:to>
      <xdr:col>4</xdr:col>
      <xdr:colOff>881625</xdr:colOff>
      <xdr:row>29</xdr:row>
      <xdr:rowOff>13735</xdr:rowOff>
    </xdr:to>
    <xdr:sp macro="" textlink="">
      <xdr:nvSpPr>
        <xdr:cNvPr id="78" name="Rounded Rectangle 77">
          <a:hlinkClick xmlns:r="http://schemas.openxmlformats.org/officeDocument/2006/relationships" r:id="rId17"/>
        </xdr:cNvPr>
        <xdr:cNvSpPr/>
      </xdr:nvSpPr>
      <xdr:spPr>
        <a:xfrm>
          <a:off x="3095625" y="5652160"/>
          <a:ext cx="2815200" cy="352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lvl="0" algn="l"/>
          <a:r>
            <a:rPr lang="en-AU" sz="1200" b="1">
              <a:solidFill>
                <a:schemeClr val="tx1"/>
              </a:solidFill>
            </a:rPr>
            <a:t>5.</a:t>
          </a:r>
          <a:r>
            <a:rPr lang="en-AU" sz="1200" b="1" baseline="0">
              <a:solidFill>
                <a:schemeClr val="tx1"/>
              </a:solidFill>
            </a:rPr>
            <a:t> Mains augmentation</a:t>
          </a:r>
          <a:endParaRPr lang="en-AU" sz="1100" b="1">
            <a:solidFill>
              <a:schemeClr val="tx1"/>
            </a:solidFill>
          </a:endParaRPr>
        </a:p>
      </xdr:txBody>
    </xdr:sp>
    <xdr:clientData/>
  </xdr:twoCellAnchor>
  <xdr:twoCellAnchor>
    <xdr:from>
      <xdr:col>1</xdr:col>
      <xdr:colOff>314325</xdr:colOff>
      <xdr:row>30</xdr:row>
      <xdr:rowOff>41120</xdr:rowOff>
    </xdr:from>
    <xdr:to>
      <xdr:col>4</xdr:col>
      <xdr:colOff>881625</xdr:colOff>
      <xdr:row>32</xdr:row>
      <xdr:rowOff>70070</xdr:rowOff>
    </xdr:to>
    <xdr:sp macro="" textlink="">
      <xdr:nvSpPr>
        <xdr:cNvPr id="79" name="Rounded Rectangle 78">
          <a:hlinkClick xmlns:r="http://schemas.openxmlformats.org/officeDocument/2006/relationships" r:id="rId18"/>
        </xdr:cNvPr>
        <xdr:cNvSpPr/>
      </xdr:nvSpPr>
      <xdr:spPr>
        <a:xfrm>
          <a:off x="3095625" y="6194270"/>
          <a:ext cx="2815200" cy="352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lvl="0" algn="l"/>
          <a:r>
            <a:rPr lang="en-AU" sz="1200" b="1">
              <a:solidFill>
                <a:schemeClr val="tx1"/>
              </a:solidFill>
            </a:rPr>
            <a:t>6. Mains replacement</a:t>
          </a:r>
          <a:endParaRPr lang="en-AU" sz="1100" b="1">
            <a:solidFill>
              <a:schemeClr val="tx1"/>
            </a:solidFill>
          </a:endParaRPr>
        </a:p>
      </xdr:txBody>
    </xdr:sp>
    <xdr:clientData/>
  </xdr:twoCellAnchor>
  <xdr:twoCellAnchor>
    <xdr:from>
      <xdr:col>1</xdr:col>
      <xdr:colOff>314325</xdr:colOff>
      <xdr:row>33</xdr:row>
      <xdr:rowOff>97455</xdr:rowOff>
    </xdr:from>
    <xdr:to>
      <xdr:col>4</xdr:col>
      <xdr:colOff>881625</xdr:colOff>
      <xdr:row>35</xdr:row>
      <xdr:rowOff>126405</xdr:rowOff>
    </xdr:to>
    <xdr:sp macro="" textlink="">
      <xdr:nvSpPr>
        <xdr:cNvPr id="80" name="Rounded Rectangle 79">
          <a:hlinkClick xmlns:r="http://schemas.openxmlformats.org/officeDocument/2006/relationships" r:id="rId19"/>
        </xdr:cNvPr>
        <xdr:cNvSpPr/>
      </xdr:nvSpPr>
      <xdr:spPr>
        <a:xfrm>
          <a:off x="3095625" y="6736380"/>
          <a:ext cx="2815200" cy="352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lvl="0" algn="l"/>
          <a:r>
            <a:rPr lang="en-AU" sz="1200" b="1">
              <a:solidFill>
                <a:schemeClr val="tx1"/>
              </a:solidFill>
            </a:rPr>
            <a:t>7. Telemetry</a:t>
          </a:r>
          <a:endParaRPr lang="en-AU" sz="1100" b="1">
            <a:solidFill>
              <a:schemeClr val="tx1"/>
            </a:solidFill>
          </a:endParaRPr>
        </a:p>
      </xdr:txBody>
    </xdr:sp>
    <xdr:clientData/>
  </xdr:twoCellAnchor>
  <xdr:twoCellAnchor>
    <xdr:from>
      <xdr:col>1</xdr:col>
      <xdr:colOff>314325</xdr:colOff>
      <xdr:row>36</xdr:row>
      <xdr:rowOff>151748</xdr:rowOff>
    </xdr:from>
    <xdr:to>
      <xdr:col>4</xdr:col>
      <xdr:colOff>881625</xdr:colOff>
      <xdr:row>39</xdr:row>
      <xdr:rowOff>18773</xdr:rowOff>
    </xdr:to>
    <xdr:sp macro="" textlink="">
      <xdr:nvSpPr>
        <xdr:cNvPr id="81" name="Rounded Rectangle 80">
          <a:hlinkClick xmlns:r="http://schemas.openxmlformats.org/officeDocument/2006/relationships" r:id="rId20"/>
        </xdr:cNvPr>
        <xdr:cNvSpPr/>
      </xdr:nvSpPr>
      <xdr:spPr>
        <a:xfrm>
          <a:off x="3095625" y="7276448"/>
          <a:ext cx="2815200" cy="352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lvl="0" algn="l"/>
          <a:r>
            <a:rPr lang="en-AU" sz="1200" b="1">
              <a:solidFill>
                <a:schemeClr val="tx1"/>
              </a:solidFill>
            </a:rPr>
            <a:t>8. Meter replacement</a:t>
          </a:r>
          <a:endParaRPr lang="en-AU" sz="1100" b="1">
            <a:solidFill>
              <a:schemeClr val="tx1"/>
            </a:solidFill>
          </a:endParaRPr>
        </a:p>
      </xdr:txBody>
    </xdr:sp>
    <xdr:clientData/>
  </xdr:twoCellAnchor>
  <xdr:twoCellAnchor>
    <xdr:from>
      <xdr:col>1</xdr:col>
      <xdr:colOff>314325</xdr:colOff>
      <xdr:row>40</xdr:row>
      <xdr:rowOff>52779</xdr:rowOff>
    </xdr:from>
    <xdr:to>
      <xdr:col>4</xdr:col>
      <xdr:colOff>881625</xdr:colOff>
      <xdr:row>42</xdr:row>
      <xdr:rowOff>81729</xdr:rowOff>
    </xdr:to>
    <xdr:sp macro="" textlink="">
      <xdr:nvSpPr>
        <xdr:cNvPr id="82" name="Rounded Rectangle 81">
          <a:hlinkClick xmlns:r="http://schemas.openxmlformats.org/officeDocument/2006/relationships" r:id="rId21"/>
        </xdr:cNvPr>
        <xdr:cNvSpPr/>
      </xdr:nvSpPr>
      <xdr:spPr>
        <a:xfrm>
          <a:off x="3095625" y="7825179"/>
          <a:ext cx="2815200" cy="352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lvl="0" algn="l"/>
          <a:r>
            <a:rPr lang="en-AU" sz="1200" b="1">
              <a:solidFill>
                <a:schemeClr val="tx1"/>
              </a:solidFill>
            </a:rPr>
            <a:t>9. Other capex</a:t>
          </a:r>
          <a:endParaRPr lang="en-AU" sz="1100" b="1">
            <a:solidFill>
              <a:schemeClr val="tx1"/>
            </a:solidFill>
          </a:endParaRPr>
        </a:p>
      </xdr:txBody>
    </xdr:sp>
    <xdr:clientData/>
  </xdr:twoCellAnchor>
  <xdr:twoCellAnchor>
    <xdr:from>
      <xdr:col>1</xdr:col>
      <xdr:colOff>314325</xdr:colOff>
      <xdr:row>43</xdr:row>
      <xdr:rowOff>102496</xdr:rowOff>
    </xdr:from>
    <xdr:to>
      <xdr:col>4</xdr:col>
      <xdr:colOff>881625</xdr:colOff>
      <xdr:row>45</xdr:row>
      <xdr:rowOff>131446</xdr:rowOff>
    </xdr:to>
    <xdr:sp macro="" textlink="">
      <xdr:nvSpPr>
        <xdr:cNvPr id="83" name="Rounded Rectangle 82">
          <a:hlinkClick xmlns:r="http://schemas.openxmlformats.org/officeDocument/2006/relationships" r:id="rId22"/>
        </xdr:cNvPr>
        <xdr:cNvSpPr/>
      </xdr:nvSpPr>
      <xdr:spPr>
        <a:xfrm>
          <a:off x="3095625" y="8360671"/>
          <a:ext cx="2815200" cy="352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lvl="0" algn="l"/>
          <a:r>
            <a:rPr lang="en-AU" sz="1200" b="1">
              <a:solidFill>
                <a:schemeClr val="tx1"/>
              </a:solidFill>
            </a:rPr>
            <a:t>12. IT</a:t>
          </a:r>
          <a:endParaRPr lang="en-AU" sz="1100" b="1">
            <a:solidFill>
              <a:schemeClr val="tx1"/>
            </a:solidFill>
          </a:endParaRPr>
        </a:p>
      </xdr:txBody>
    </xdr:sp>
    <xdr:clientData/>
  </xdr:twoCellAnchor>
  <xdr:twoCellAnchor>
    <xdr:from>
      <xdr:col>1</xdr:col>
      <xdr:colOff>314325</xdr:colOff>
      <xdr:row>13</xdr:row>
      <xdr:rowOff>75335</xdr:rowOff>
    </xdr:from>
    <xdr:to>
      <xdr:col>4</xdr:col>
      <xdr:colOff>881625</xdr:colOff>
      <xdr:row>15</xdr:row>
      <xdr:rowOff>104285</xdr:rowOff>
    </xdr:to>
    <xdr:sp macro="" textlink="">
      <xdr:nvSpPr>
        <xdr:cNvPr id="84" name="Rounded Rectangle 83">
          <a:hlinkClick xmlns:r="http://schemas.openxmlformats.org/officeDocument/2006/relationships" r:id="rId23"/>
        </xdr:cNvPr>
        <xdr:cNvSpPr/>
      </xdr:nvSpPr>
      <xdr:spPr>
        <a:xfrm>
          <a:off x="3095625" y="3475760"/>
          <a:ext cx="2815200" cy="352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lvl="0" algn="l"/>
          <a:r>
            <a:rPr lang="en-AU" sz="1200" b="1">
              <a:solidFill>
                <a:schemeClr val="tx1"/>
              </a:solidFill>
            </a:rPr>
            <a:t>Business</a:t>
          </a:r>
          <a:r>
            <a:rPr lang="en-AU" sz="1200" b="1" baseline="0">
              <a:solidFill>
                <a:schemeClr val="tx1"/>
              </a:solidFill>
            </a:rPr>
            <a:t> &amp; other details</a:t>
          </a:r>
          <a:endParaRPr lang="en-AU" sz="1100" b="1">
            <a:solidFill>
              <a:schemeClr val="tx1"/>
            </a:solidFill>
          </a:endParaRPr>
        </a:p>
      </xdr:txBody>
    </xdr:sp>
    <xdr:clientData/>
  </xdr:twoCellAnchor>
  <xdr:twoCellAnchor>
    <xdr:from>
      <xdr:col>10</xdr:col>
      <xdr:colOff>365012</xdr:colOff>
      <xdr:row>13</xdr:row>
      <xdr:rowOff>75335</xdr:rowOff>
    </xdr:from>
    <xdr:to>
      <xdr:col>13</xdr:col>
      <xdr:colOff>284612</xdr:colOff>
      <xdr:row>15</xdr:row>
      <xdr:rowOff>104285</xdr:rowOff>
    </xdr:to>
    <xdr:sp macro="" textlink="">
      <xdr:nvSpPr>
        <xdr:cNvPr id="85" name="Rounded Rectangle 84">
          <a:hlinkClick xmlns:r="http://schemas.openxmlformats.org/officeDocument/2006/relationships" r:id="rId24"/>
        </xdr:cNvPr>
        <xdr:cNvSpPr/>
      </xdr:nvSpPr>
      <xdr:spPr>
        <a:xfrm>
          <a:off x="10652012" y="3475760"/>
          <a:ext cx="2815200" cy="352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lvl="0" algn="l"/>
          <a:r>
            <a:rPr lang="en-AU" sz="1200" b="1">
              <a:solidFill>
                <a:schemeClr val="tx1"/>
              </a:solidFill>
            </a:rPr>
            <a:t>25. Ancilliary reference services</a:t>
          </a:r>
          <a:endParaRPr lang="en-AU" sz="1100" b="1">
            <a:solidFill>
              <a:schemeClr val="tx1"/>
            </a:solidFill>
          </a:endParaRPr>
        </a:p>
      </xdr:txBody>
    </xdr:sp>
    <xdr:clientData/>
  </xdr:twoCellAnchor>
  <xdr:twoCellAnchor>
    <xdr:from>
      <xdr:col>10</xdr:col>
      <xdr:colOff>365012</xdr:colOff>
      <xdr:row>16</xdr:row>
      <xdr:rowOff>139633</xdr:rowOff>
    </xdr:from>
    <xdr:to>
      <xdr:col>13</xdr:col>
      <xdr:colOff>284612</xdr:colOff>
      <xdr:row>19</xdr:row>
      <xdr:rowOff>6658</xdr:rowOff>
    </xdr:to>
    <xdr:sp macro="" textlink="">
      <xdr:nvSpPr>
        <xdr:cNvPr id="86" name="Rounded Rectangle 85">
          <a:hlinkClick xmlns:r="http://schemas.openxmlformats.org/officeDocument/2006/relationships" r:id="rId25"/>
        </xdr:cNvPr>
        <xdr:cNvSpPr/>
      </xdr:nvSpPr>
      <xdr:spPr>
        <a:xfrm>
          <a:off x="10652012" y="4025833"/>
          <a:ext cx="2815200" cy="352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lvl="0" algn="l"/>
          <a:r>
            <a:rPr lang="en-AU" sz="1200" b="1">
              <a:solidFill>
                <a:schemeClr val="tx1"/>
              </a:solidFill>
            </a:rPr>
            <a:t>26. Allocation</a:t>
          </a:r>
          <a:r>
            <a:rPr lang="en-AU" sz="1200" b="1" baseline="0">
              <a:solidFill>
                <a:schemeClr val="tx1"/>
              </a:solidFill>
            </a:rPr>
            <a:t> of total revenue</a:t>
          </a:r>
          <a:endParaRPr lang="en-AU" sz="1100" b="1">
            <a:solidFill>
              <a:schemeClr val="tx1"/>
            </a:solidFill>
          </a:endParaRPr>
        </a:p>
      </xdr:txBody>
    </xdr:sp>
    <xdr:clientData/>
  </xdr:twoCellAnchor>
  <xdr:twoCellAnchor>
    <xdr:from>
      <xdr:col>10</xdr:col>
      <xdr:colOff>365012</xdr:colOff>
      <xdr:row>20</xdr:row>
      <xdr:rowOff>34042</xdr:rowOff>
    </xdr:from>
    <xdr:to>
      <xdr:col>13</xdr:col>
      <xdr:colOff>284612</xdr:colOff>
      <xdr:row>22</xdr:row>
      <xdr:rowOff>62992</xdr:rowOff>
    </xdr:to>
    <xdr:sp macro="" textlink="">
      <xdr:nvSpPr>
        <xdr:cNvPr id="87" name="Rounded Rectangle 86">
          <a:hlinkClick xmlns:r="http://schemas.openxmlformats.org/officeDocument/2006/relationships" r:id="rId26"/>
        </xdr:cNvPr>
        <xdr:cNvSpPr/>
      </xdr:nvSpPr>
      <xdr:spPr>
        <a:xfrm>
          <a:off x="10652012" y="4567942"/>
          <a:ext cx="2815200" cy="352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lvl="0" algn="l"/>
          <a:r>
            <a:rPr lang="en-AU" sz="1200" b="1">
              <a:solidFill>
                <a:schemeClr val="tx1"/>
              </a:solidFill>
            </a:rPr>
            <a:t>27. Customer numbers</a:t>
          </a:r>
          <a:endParaRPr lang="en-AU" sz="1100" b="1">
            <a:solidFill>
              <a:schemeClr val="tx1"/>
            </a:solidFill>
          </a:endParaRPr>
        </a:p>
      </xdr:txBody>
    </xdr:sp>
    <xdr:clientData/>
  </xdr:twoCellAnchor>
  <xdr:twoCellAnchor>
    <xdr:from>
      <xdr:col>10</xdr:col>
      <xdr:colOff>365012</xdr:colOff>
      <xdr:row>23</xdr:row>
      <xdr:rowOff>80851</xdr:rowOff>
    </xdr:from>
    <xdr:to>
      <xdr:col>13</xdr:col>
      <xdr:colOff>284612</xdr:colOff>
      <xdr:row>25</xdr:row>
      <xdr:rowOff>109801</xdr:rowOff>
    </xdr:to>
    <xdr:sp macro="" textlink="">
      <xdr:nvSpPr>
        <xdr:cNvPr id="88" name="Rounded Rectangle 87">
          <a:hlinkClick xmlns:r="http://schemas.openxmlformats.org/officeDocument/2006/relationships" r:id="rId27"/>
        </xdr:cNvPr>
        <xdr:cNvSpPr/>
      </xdr:nvSpPr>
      <xdr:spPr>
        <a:xfrm>
          <a:off x="10652012" y="5100526"/>
          <a:ext cx="2815200" cy="352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lvl="0" algn="l"/>
          <a:r>
            <a:rPr lang="en-AU" sz="1200" b="1">
              <a:solidFill>
                <a:schemeClr val="tx1"/>
              </a:solidFill>
            </a:rPr>
            <a:t>28. Consumption and demand</a:t>
          </a:r>
          <a:endParaRPr lang="en-AU" sz="1100" b="1">
            <a:solidFill>
              <a:schemeClr val="tx1"/>
            </a:solidFill>
          </a:endParaRPr>
        </a:p>
      </xdr:txBody>
    </xdr:sp>
    <xdr:clientData/>
  </xdr:twoCellAnchor>
  <xdr:twoCellAnchor>
    <xdr:from>
      <xdr:col>10</xdr:col>
      <xdr:colOff>365012</xdr:colOff>
      <xdr:row>26</xdr:row>
      <xdr:rowOff>146710</xdr:rowOff>
    </xdr:from>
    <xdr:to>
      <xdr:col>13</xdr:col>
      <xdr:colOff>284612</xdr:colOff>
      <xdr:row>29</xdr:row>
      <xdr:rowOff>13735</xdr:rowOff>
    </xdr:to>
    <xdr:sp macro="" textlink="">
      <xdr:nvSpPr>
        <xdr:cNvPr id="89" name="Rounded Rectangle 88">
          <a:hlinkClick xmlns:r="http://schemas.openxmlformats.org/officeDocument/2006/relationships" r:id="rId28"/>
        </xdr:cNvPr>
        <xdr:cNvSpPr/>
      </xdr:nvSpPr>
      <xdr:spPr>
        <a:xfrm>
          <a:off x="10652012" y="5652160"/>
          <a:ext cx="2815200" cy="352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lvl="0" algn="l"/>
          <a:r>
            <a:rPr lang="en-AU" sz="1200" b="1">
              <a:solidFill>
                <a:schemeClr val="tx1"/>
              </a:solidFill>
            </a:rPr>
            <a:t>29.1 Gas extensions - ($)</a:t>
          </a:r>
          <a:endParaRPr lang="en-AU" sz="1100" b="1">
            <a:solidFill>
              <a:schemeClr val="tx1"/>
            </a:solidFill>
          </a:endParaRPr>
        </a:p>
      </xdr:txBody>
    </xdr:sp>
    <xdr:clientData/>
  </xdr:twoCellAnchor>
  <xdr:twoCellAnchor>
    <xdr:from>
      <xdr:col>10</xdr:col>
      <xdr:colOff>365012</xdr:colOff>
      <xdr:row>33</xdr:row>
      <xdr:rowOff>97455</xdr:rowOff>
    </xdr:from>
    <xdr:to>
      <xdr:col>13</xdr:col>
      <xdr:colOff>284612</xdr:colOff>
      <xdr:row>35</xdr:row>
      <xdr:rowOff>126405</xdr:rowOff>
    </xdr:to>
    <xdr:sp macro="" textlink="">
      <xdr:nvSpPr>
        <xdr:cNvPr id="90" name="Rounded Rectangle 89">
          <a:hlinkClick xmlns:r="http://schemas.openxmlformats.org/officeDocument/2006/relationships" r:id="rId29"/>
        </xdr:cNvPr>
        <xdr:cNvSpPr/>
      </xdr:nvSpPr>
      <xdr:spPr>
        <a:xfrm>
          <a:off x="10652012" y="6736380"/>
          <a:ext cx="2815200" cy="352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lvl="0" algn="l"/>
          <a:r>
            <a:rPr lang="en-AU" sz="1200" b="1">
              <a:solidFill>
                <a:schemeClr val="tx1"/>
              </a:solidFill>
            </a:rPr>
            <a:t>29.3 Gas extensions - demand</a:t>
          </a:r>
          <a:endParaRPr lang="en-AU" sz="1100" b="1">
            <a:solidFill>
              <a:schemeClr val="tx1"/>
            </a:solidFill>
          </a:endParaRPr>
        </a:p>
      </xdr:txBody>
    </xdr:sp>
    <xdr:clientData/>
  </xdr:twoCellAnchor>
  <xdr:twoCellAnchor>
    <xdr:from>
      <xdr:col>10</xdr:col>
      <xdr:colOff>365012</xdr:colOff>
      <xdr:row>36</xdr:row>
      <xdr:rowOff>151748</xdr:rowOff>
    </xdr:from>
    <xdr:to>
      <xdr:col>13</xdr:col>
      <xdr:colOff>284612</xdr:colOff>
      <xdr:row>39</xdr:row>
      <xdr:rowOff>18773</xdr:rowOff>
    </xdr:to>
    <xdr:sp macro="" textlink="">
      <xdr:nvSpPr>
        <xdr:cNvPr id="91" name="Rounded Rectangle 90">
          <a:hlinkClick xmlns:r="http://schemas.openxmlformats.org/officeDocument/2006/relationships" r:id="rId30"/>
        </xdr:cNvPr>
        <xdr:cNvSpPr/>
      </xdr:nvSpPr>
      <xdr:spPr>
        <a:xfrm>
          <a:off x="10652012" y="7276448"/>
          <a:ext cx="2815200" cy="352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lvl="0" algn="l"/>
          <a:r>
            <a:rPr lang="en-AU" sz="1200" b="1">
              <a:solidFill>
                <a:schemeClr val="tx1"/>
              </a:solidFill>
            </a:rPr>
            <a:t>29.4 Gas extensions</a:t>
          </a:r>
          <a:r>
            <a:rPr lang="en-AU" sz="1200" b="1" baseline="0">
              <a:solidFill>
                <a:schemeClr val="tx1"/>
              </a:solidFill>
            </a:rPr>
            <a:t> - tariffs</a:t>
          </a:r>
          <a:endParaRPr lang="en-AU" sz="1100" b="1">
            <a:solidFill>
              <a:schemeClr val="tx1"/>
            </a:solidFill>
          </a:endParaRPr>
        </a:p>
      </xdr:txBody>
    </xdr:sp>
    <xdr:clientData/>
  </xdr:twoCellAnchor>
  <xdr:twoCellAnchor>
    <xdr:from>
      <xdr:col>10</xdr:col>
      <xdr:colOff>365012</xdr:colOff>
      <xdr:row>30</xdr:row>
      <xdr:rowOff>41120</xdr:rowOff>
    </xdr:from>
    <xdr:to>
      <xdr:col>13</xdr:col>
      <xdr:colOff>284612</xdr:colOff>
      <xdr:row>32</xdr:row>
      <xdr:rowOff>70070</xdr:rowOff>
    </xdr:to>
    <xdr:sp macro="" textlink="">
      <xdr:nvSpPr>
        <xdr:cNvPr id="92" name="Rounded Rectangle 91">
          <a:hlinkClick xmlns:r="http://schemas.openxmlformats.org/officeDocument/2006/relationships" r:id="rId31"/>
        </xdr:cNvPr>
        <xdr:cNvSpPr/>
      </xdr:nvSpPr>
      <xdr:spPr>
        <a:xfrm>
          <a:off x="10652012" y="6194270"/>
          <a:ext cx="2815200" cy="352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lvl="0" algn="l"/>
          <a:r>
            <a:rPr lang="en-AU" sz="1200" b="1">
              <a:solidFill>
                <a:schemeClr val="tx1"/>
              </a:solidFill>
            </a:rPr>
            <a:t>29.2 Gas extensions</a:t>
          </a:r>
          <a:r>
            <a:rPr lang="en-AU" sz="1200" b="1" baseline="0">
              <a:solidFill>
                <a:schemeClr val="tx1"/>
              </a:solidFill>
            </a:rPr>
            <a:t> -customer numbers</a:t>
          </a:r>
          <a:endParaRPr lang="en-AU" sz="1100" b="1">
            <a:solidFill>
              <a:schemeClr val="tx1"/>
            </a:solidFill>
          </a:endParaRPr>
        </a:p>
      </xdr:txBody>
    </xdr:sp>
    <xdr:clientData/>
  </xdr:twoCellAnchor>
  <xdr:twoCellAnchor>
    <xdr:from>
      <xdr:col>10</xdr:col>
      <xdr:colOff>365012</xdr:colOff>
      <xdr:row>43</xdr:row>
      <xdr:rowOff>102496</xdr:rowOff>
    </xdr:from>
    <xdr:to>
      <xdr:col>13</xdr:col>
      <xdr:colOff>284612</xdr:colOff>
      <xdr:row>45</xdr:row>
      <xdr:rowOff>131446</xdr:rowOff>
    </xdr:to>
    <xdr:sp macro="" textlink="">
      <xdr:nvSpPr>
        <xdr:cNvPr id="93" name="Rounded Rectangle 92">
          <a:hlinkClick xmlns:r="http://schemas.openxmlformats.org/officeDocument/2006/relationships" r:id="rId32"/>
        </xdr:cNvPr>
        <xdr:cNvSpPr/>
      </xdr:nvSpPr>
      <xdr:spPr>
        <a:xfrm>
          <a:off x="10652012" y="8360671"/>
          <a:ext cx="2815200" cy="352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lvl="0" algn="l"/>
          <a:r>
            <a:rPr lang="en-AU" sz="1200" b="1">
              <a:solidFill>
                <a:schemeClr val="tx1"/>
              </a:solidFill>
            </a:rPr>
            <a:t>31. Pass throughs</a:t>
          </a:r>
          <a:endParaRPr lang="en-AU" sz="1100" b="1">
            <a:solidFill>
              <a:schemeClr val="tx1"/>
            </a:solidFill>
          </a:endParaRPr>
        </a:p>
      </xdr:txBody>
    </xdr:sp>
    <xdr:clientData/>
  </xdr:twoCellAnchor>
  <xdr:twoCellAnchor>
    <xdr:from>
      <xdr:col>10</xdr:col>
      <xdr:colOff>365012</xdr:colOff>
      <xdr:row>40</xdr:row>
      <xdr:rowOff>52779</xdr:rowOff>
    </xdr:from>
    <xdr:to>
      <xdr:col>13</xdr:col>
      <xdr:colOff>284612</xdr:colOff>
      <xdr:row>42</xdr:row>
      <xdr:rowOff>81729</xdr:rowOff>
    </xdr:to>
    <xdr:sp macro="" textlink="">
      <xdr:nvSpPr>
        <xdr:cNvPr id="94" name="Rounded Rectangle 93">
          <a:hlinkClick xmlns:r="http://schemas.openxmlformats.org/officeDocument/2006/relationships" r:id="rId33"/>
        </xdr:cNvPr>
        <xdr:cNvSpPr/>
      </xdr:nvSpPr>
      <xdr:spPr>
        <a:xfrm>
          <a:off x="10652012" y="7825179"/>
          <a:ext cx="2815200" cy="352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lvl="0" algn="l"/>
          <a:r>
            <a:rPr lang="en-AU" sz="1200" b="1">
              <a:solidFill>
                <a:schemeClr val="tx1"/>
              </a:solidFill>
            </a:rPr>
            <a:t>30. Network characteristics</a:t>
          </a:r>
          <a:endParaRPr lang="en-AU" sz="1100" b="1">
            <a:solidFill>
              <a:schemeClr val="tx1"/>
            </a:solidFill>
          </a:endParaRPr>
        </a:p>
      </xdr:txBody>
    </xdr:sp>
    <xdr:clientData/>
  </xdr:twoCellAnchor>
  <xdr:twoCellAnchor>
    <xdr:from>
      <xdr:col>6</xdr:col>
      <xdr:colOff>332355</xdr:colOff>
      <xdr:row>23</xdr:row>
      <xdr:rowOff>80851</xdr:rowOff>
    </xdr:from>
    <xdr:to>
      <xdr:col>8</xdr:col>
      <xdr:colOff>747255</xdr:colOff>
      <xdr:row>25</xdr:row>
      <xdr:rowOff>109801</xdr:rowOff>
    </xdr:to>
    <xdr:sp macro="" textlink="">
      <xdr:nvSpPr>
        <xdr:cNvPr id="95" name="Rounded Rectangle 94">
          <a:hlinkClick xmlns:r="http://schemas.openxmlformats.org/officeDocument/2006/relationships" r:id="rId34"/>
        </xdr:cNvPr>
        <xdr:cNvSpPr/>
      </xdr:nvSpPr>
      <xdr:spPr>
        <a:xfrm>
          <a:off x="6790305" y="5100526"/>
          <a:ext cx="2815200" cy="352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lvl="0" algn="l"/>
          <a:r>
            <a:rPr lang="en-AU" sz="1200" b="1">
              <a:solidFill>
                <a:schemeClr val="tx1"/>
              </a:solidFill>
            </a:rPr>
            <a:t>20.</a:t>
          </a:r>
          <a:r>
            <a:rPr lang="en-AU" sz="1200" b="1" baseline="0">
              <a:solidFill>
                <a:schemeClr val="tx1"/>
              </a:solidFill>
            </a:rPr>
            <a:t> Changes in provisions</a:t>
          </a:r>
          <a:endParaRPr lang="en-AU" sz="1100" b="1">
            <a:solidFill>
              <a:schemeClr val="tx1"/>
            </a:solidFill>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112058</xdr:colOff>
      <xdr:row>0</xdr:row>
      <xdr:rowOff>123264</xdr:rowOff>
    </xdr:from>
    <xdr:to>
      <xdr:col>1</xdr:col>
      <xdr:colOff>806262</xdr:colOff>
      <xdr:row>3</xdr:row>
      <xdr:rowOff>140073</xdr:rowOff>
    </xdr:to>
    <xdr:grpSp>
      <xdr:nvGrpSpPr>
        <xdr:cNvPr id="2" name="Group 1"/>
        <xdr:cNvGrpSpPr/>
      </xdr:nvGrpSpPr>
      <xdr:grpSpPr>
        <a:xfrm>
          <a:off x="112058" y="123264"/>
          <a:ext cx="694204" cy="931209"/>
          <a:chOff x="0" y="1560739"/>
          <a:chExt cx="762000" cy="931132"/>
        </a:xfrm>
      </xdr:grpSpPr>
      <xdr:pic>
        <xdr:nvPicPr>
          <xdr:cNvPr id="3"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5"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7</xdr:col>
      <xdr:colOff>33618</xdr:colOff>
      <xdr:row>0</xdr:row>
      <xdr:rowOff>89647</xdr:rowOff>
    </xdr:from>
    <xdr:to>
      <xdr:col>9</xdr:col>
      <xdr:colOff>655465</xdr:colOff>
      <xdr:row>2</xdr:row>
      <xdr:rowOff>153200</xdr:rowOff>
    </xdr:to>
    <xdr:grpSp>
      <xdr:nvGrpSpPr>
        <xdr:cNvPr id="6" name="Group 5"/>
        <xdr:cNvGrpSpPr/>
      </xdr:nvGrpSpPr>
      <xdr:grpSpPr>
        <a:xfrm>
          <a:off x="10434918" y="89647"/>
          <a:ext cx="3117397" cy="673153"/>
          <a:chOff x="7608794" y="145676"/>
          <a:chExt cx="3047258" cy="652342"/>
        </a:xfrm>
      </xdr:grpSpPr>
      <xdr:sp macro="[0]!MarkConfidential" textlink="">
        <xdr:nvSpPr>
          <xdr:cNvPr id="7" name="Rounded Rectangle 6"/>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8" name="Rounded Rectangle 7"/>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316165</xdr:colOff>
      <xdr:row>0</xdr:row>
      <xdr:rowOff>109657</xdr:rowOff>
    </xdr:from>
    <xdr:to>
      <xdr:col>0</xdr:col>
      <xdr:colOff>1010369</xdr:colOff>
      <xdr:row>3</xdr:row>
      <xdr:rowOff>126466</xdr:rowOff>
    </xdr:to>
    <xdr:grpSp>
      <xdr:nvGrpSpPr>
        <xdr:cNvPr id="5" name="Group 4"/>
        <xdr:cNvGrpSpPr/>
      </xdr:nvGrpSpPr>
      <xdr:grpSpPr>
        <a:xfrm>
          <a:off x="316165" y="109657"/>
          <a:ext cx="694204" cy="931209"/>
          <a:chOff x="0" y="1560739"/>
          <a:chExt cx="762000" cy="931132"/>
        </a:xfrm>
      </xdr:grpSpPr>
      <xdr:pic>
        <xdr:nvPicPr>
          <xdr:cNvPr id="6"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8"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2</xdr:col>
      <xdr:colOff>742950</xdr:colOff>
      <xdr:row>0</xdr:row>
      <xdr:rowOff>133350</xdr:rowOff>
    </xdr:from>
    <xdr:to>
      <xdr:col>4</xdr:col>
      <xdr:colOff>709253</xdr:colOff>
      <xdr:row>2</xdr:row>
      <xdr:rowOff>192421</xdr:rowOff>
    </xdr:to>
    <xdr:grpSp>
      <xdr:nvGrpSpPr>
        <xdr:cNvPr id="9" name="Group 8"/>
        <xdr:cNvGrpSpPr/>
      </xdr:nvGrpSpPr>
      <xdr:grpSpPr>
        <a:xfrm>
          <a:off x="6305550" y="133350"/>
          <a:ext cx="3109553" cy="668671"/>
          <a:chOff x="7608794" y="145676"/>
          <a:chExt cx="3047258" cy="652342"/>
        </a:xfrm>
      </xdr:grpSpPr>
      <xdr:sp macro="[0]!MarkConfidential" textlink="">
        <xdr:nvSpPr>
          <xdr:cNvPr id="10" name="Rounded Rectangle 9"/>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1" name="Rounded Rectangle 10"/>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421822</xdr:colOff>
      <xdr:row>0</xdr:row>
      <xdr:rowOff>81643</xdr:rowOff>
    </xdr:from>
    <xdr:to>
      <xdr:col>8</xdr:col>
      <xdr:colOff>388125</xdr:colOff>
      <xdr:row>2</xdr:row>
      <xdr:rowOff>178814</xdr:rowOff>
    </xdr:to>
    <xdr:grpSp>
      <xdr:nvGrpSpPr>
        <xdr:cNvPr id="10" name="Group 9"/>
        <xdr:cNvGrpSpPr/>
      </xdr:nvGrpSpPr>
      <xdr:grpSpPr>
        <a:xfrm>
          <a:off x="11762922" y="81643"/>
          <a:ext cx="3204803" cy="681371"/>
          <a:chOff x="7608794" y="145676"/>
          <a:chExt cx="3047258" cy="652342"/>
        </a:xfrm>
      </xdr:grpSpPr>
      <xdr:sp macro="[0]!MarkConfidential" textlink="">
        <xdr:nvSpPr>
          <xdr:cNvPr id="11" name="Rounded Rectangle 10"/>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2" name="Rounded Rectangle 11"/>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twoCellAnchor>
    <xdr:from>
      <xdr:col>0</xdr:col>
      <xdr:colOff>216833</xdr:colOff>
      <xdr:row>0</xdr:row>
      <xdr:rowOff>113739</xdr:rowOff>
    </xdr:from>
    <xdr:to>
      <xdr:col>0</xdr:col>
      <xdr:colOff>1152525</xdr:colOff>
      <xdr:row>3</xdr:row>
      <xdr:rowOff>130548</xdr:rowOff>
    </xdr:to>
    <xdr:grpSp>
      <xdr:nvGrpSpPr>
        <xdr:cNvPr id="17" name="Group 16"/>
        <xdr:cNvGrpSpPr/>
      </xdr:nvGrpSpPr>
      <xdr:grpSpPr>
        <a:xfrm>
          <a:off x="216833" y="113739"/>
          <a:ext cx="935692" cy="893109"/>
          <a:chOff x="0" y="1560739"/>
          <a:chExt cx="762000" cy="931132"/>
        </a:xfrm>
      </xdr:grpSpPr>
      <xdr:pic>
        <xdr:nvPicPr>
          <xdr:cNvPr id="18"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9"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20"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112058</xdr:colOff>
      <xdr:row>0</xdr:row>
      <xdr:rowOff>123264</xdr:rowOff>
    </xdr:from>
    <xdr:to>
      <xdr:col>0</xdr:col>
      <xdr:colOff>806262</xdr:colOff>
      <xdr:row>3</xdr:row>
      <xdr:rowOff>140073</xdr:rowOff>
    </xdr:to>
    <xdr:grpSp>
      <xdr:nvGrpSpPr>
        <xdr:cNvPr id="2" name="Group 1"/>
        <xdr:cNvGrpSpPr/>
      </xdr:nvGrpSpPr>
      <xdr:grpSpPr>
        <a:xfrm>
          <a:off x="112058" y="123264"/>
          <a:ext cx="694204" cy="885489"/>
          <a:chOff x="0" y="1560739"/>
          <a:chExt cx="762000" cy="931132"/>
        </a:xfrm>
      </xdr:grpSpPr>
      <xdr:pic>
        <xdr:nvPicPr>
          <xdr:cNvPr id="3"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5"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5</xdr:col>
      <xdr:colOff>421822</xdr:colOff>
      <xdr:row>0</xdr:row>
      <xdr:rowOff>81643</xdr:rowOff>
    </xdr:from>
    <xdr:to>
      <xdr:col>8</xdr:col>
      <xdr:colOff>388125</xdr:colOff>
      <xdr:row>2</xdr:row>
      <xdr:rowOff>178814</xdr:rowOff>
    </xdr:to>
    <xdr:grpSp>
      <xdr:nvGrpSpPr>
        <xdr:cNvPr id="6" name="Group 5"/>
        <xdr:cNvGrpSpPr/>
      </xdr:nvGrpSpPr>
      <xdr:grpSpPr>
        <a:xfrm>
          <a:off x="14473102" y="81643"/>
          <a:ext cx="3212423" cy="676291"/>
          <a:chOff x="7608794" y="145676"/>
          <a:chExt cx="3047258" cy="652342"/>
        </a:xfrm>
      </xdr:grpSpPr>
      <xdr:sp macro="[0]!MarkConfidential" textlink="">
        <xdr:nvSpPr>
          <xdr:cNvPr id="7" name="Rounded Rectangle 6"/>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8" name="Rounded Rectangle 7"/>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112058</xdr:colOff>
      <xdr:row>0</xdr:row>
      <xdr:rowOff>123264</xdr:rowOff>
    </xdr:from>
    <xdr:to>
      <xdr:col>0</xdr:col>
      <xdr:colOff>806262</xdr:colOff>
      <xdr:row>3</xdr:row>
      <xdr:rowOff>140073</xdr:rowOff>
    </xdr:to>
    <xdr:grpSp>
      <xdr:nvGrpSpPr>
        <xdr:cNvPr id="2" name="Group 1"/>
        <xdr:cNvGrpSpPr/>
      </xdr:nvGrpSpPr>
      <xdr:grpSpPr>
        <a:xfrm>
          <a:off x="112058" y="123264"/>
          <a:ext cx="694204" cy="958103"/>
          <a:chOff x="0" y="1560739"/>
          <a:chExt cx="762000" cy="931132"/>
        </a:xfrm>
      </xdr:grpSpPr>
      <xdr:pic>
        <xdr:nvPicPr>
          <xdr:cNvPr id="3"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5"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5</xdr:col>
      <xdr:colOff>44823</xdr:colOff>
      <xdr:row>0</xdr:row>
      <xdr:rowOff>145677</xdr:rowOff>
    </xdr:from>
    <xdr:to>
      <xdr:col>7</xdr:col>
      <xdr:colOff>1047670</xdr:colOff>
      <xdr:row>2</xdr:row>
      <xdr:rowOff>186819</xdr:rowOff>
    </xdr:to>
    <xdr:grpSp>
      <xdr:nvGrpSpPr>
        <xdr:cNvPr id="6" name="Group 5"/>
        <xdr:cNvGrpSpPr/>
      </xdr:nvGrpSpPr>
      <xdr:grpSpPr>
        <a:xfrm>
          <a:off x="10282517" y="145677"/>
          <a:ext cx="3154377" cy="668671"/>
          <a:chOff x="7608794" y="145676"/>
          <a:chExt cx="3047258" cy="652342"/>
        </a:xfrm>
      </xdr:grpSpPr>
      <xdr:sp macro="[3]!MarkConfidential" textlink="">
        <xdr:nvSpPr>
          <xdr:cNvPr id="7" name="Rounded Rectangle 6"/>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3]!MarkNonConfidential" textlink="">
        <xdr:nvSpPr>
          <xdr:cNvPr id="8" name="Rounded Rectangle 7"/>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179294</xdr:colOff>
      <xdr:row>0</xdr:row>
      <xdr:rowOff>1</xdr:rowOff>
    </xdr:from>
    <xdr:to>
      <xdr:col>1</xdr:col>
      <xdr:colOff>1243853</xdr:colOff>
      <xdr:row>4</xdr:row>
      <xdr:rowOff>179294</xdr:rowOff>
    </xdr:to>
    <xdr:grpSp>
      <xdr:nvGrpSpPr>
        <xdr:cNvPr id="2" name="Group 1"/>
        <xdr:cNvGrpSpPr>
          <a:grpSpLocks/>
        </xdr:cNvGrpSpPr>
      </xdr:nvGrpSpPr>
      <xdr:grpSpPr bwMode="auto">
        <a:xfrm>
          <a:off x="179294" y="1"/>
          <a:ext cx="1064559" cy="1420754"/>
          <a:chOff x="0" y="0"/>
          <a:chExt cx="78" cy="103"/>
        </a:xfrm>
      </xdr:grpSpPr>
      <xdr:grpSp>
        <xdr:nvGrpSpPr>
          <xdr:cNvPr id="3" name="Group 2"/>
          <xdr:cNvGrpSpPr>
            <a:grpSpLocks/>
          </xdr:cNvGrpSpPr>
        </xdr:nvGrpSpPr>
        <xdr:grpSpPr bwMode="auto">
          <a:xfrm>
            <a:off x="0" y="0"/>
            <a:ext cx="78" cy="103"/>
            <a:chOff x="64" y="0"/>
            <a:chExt cx="78" cy="103"/>
          </a:xfrm>
        </xdr:grpSpPr>
        <xdr:sp macro="" textlink="">
          <xdr:nvSpPr>
            <xdr:cNvPr id="6" name="Rectangle 3"/>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7" name="Picture 4"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xdr:cNvPr>
          <xdr:cNvSpPr>
            <a:spLocks noChangeArrowheads="1"/>
          </xdr:cNvSpPr>
        </xdr:nvSpPr>
        <xdr:spPr bwMode="auto">
          <a:xfrm>
            <a:off x="4" y="54"/>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5" name="AutoShape 6">
            <a:hlinkClick xmlns:r="http://schemas.openxmlformats.org/officeDocument/2006/relationships" r:id="rId3"/>
          </xdr:cNvPr>
          <xdr:cNvSpPr>
            <a:spLocks noChangeArrowheads="1"/>
          </xdr:cNvSpPr>
        </xdr:nvSpPr>
        <xdr:spPr bwMode="auto">
          <a:xfrm>
            <a:off x="4" y="75"/>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twoCellAnchor>
    <xdr:from>
      <xdr:col>11</xdr:col>
      <xdr:colOff>56830</xdr:colOff>
      <xdr:row>0</xdr:row>
      <xdr:rowOff>145676</xdr:rowOff>
    </xdr:from>
    <xdr:to>
      <xdr:col>14</xdr:col>
      <xdr:colOff>108858</xdr:colOff>
      <xdr:row>2</xdr:row>
      <xdr:rowOff>212911</xdr:rowOff>
    </xdr:to>
    <xdr:grpSp>
      <xdr:nvGrpSpPr>
        <xdr:cNvPr id="8" name="Group 7"/>
        <xdr:cNvGrpSpPr/>
      </xdr:nvGrpSpPr>
      <xdr:grpSpPr>
        <a:xfrm>
          <a:off x="16452673" y="145676"/>
          <a:ext cx="3211331" cy="657999"/>
          <a:chOff x="7608794" y="145676"/>
          <a:chExt cx="3047258" cy="652342"/>
        </a:xfrm>
      </xdr:grpSpPr>
      <xdr:sp macro="[0]!MarkConfidential" textlink="">
        <xdr:nvSpPr>
          <xdr:cNvPr id="9" name="Rounded Rectangle 8"/>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0" name="Rounded Rectangle 9"/>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112058</xdr:colOff>
      <xdr:row>0</xdr:row>
      <xdr:rowOff>123264</xdr:rowOff>
    </xdr:from>
    <xdr:to>
      <xdr:col>0</xdr:col>
      <xdr:colOff>806262</xdr:colOff>
      <xdr:row>3</xdr:row>
      <xdr:rowOff>140073</xdr:rowOff>
    </xdr:to>
    <xdr:grpSp>
      <xdr:nvGrpSpPr>
        <xdr:cNvPr id="2" name="Group 1"/>
        <xdr:cNvGrpSpPr/>
      </xdr:nvGrpSpPr>
      <xdr:grpSpPr>
        <a:xfrm>
          <a:off x="112058" y="123264"/>
          <a:ext cx="694204" cy="963866"/>
          <a:chOff x="0" y="1560739"/>
          <a:chExt cx="762000" cy="931132"/>
        </a:xfrm>
      </xdr:grpSpPr>
      <xdr:pic>
        <xdr:nvPicPr>
          <xdr:cNvPr id="3"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5"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8</xdr:col>
      <xdr:colOff>272143</xdr:colOff>
      <xdr:row>0</xdr:row>
      <xdr:rowOff>136071</xdr:rowOff>
    </xdr:from>
    <xdr:to>
      <xdr:col>11</xdr:col>
      <xdr:colOff>238446</xdr:colOff>
      <xdr:row>2</xdr:row>
      <xdr:rowOff>178813</xdr:rowOff>
    </xdr:to>
    <xdr:grpSp>
      <xdr:nvGrpSpPr>
        <xdr:cNvPr id="6" name="Group 5"/>
        <xdr:cNvGrpSpPr/>
      </xdr:nvGrpSpPr>
      <xdr:grpSpPr>
        <a:xfrm>
          <a:off x="11691257" y="136071"/>
          <a:ext cx="3199360" cy="674113"/>
          <a:chOff x="7608794" y="145676"/>
          <a:chExt cx="3047258" cy="652342"/>
        </a:xfrm>
      </xdr:grpSpPr>
      <xdr:sp macro="[0]!MarkConfidential" textlink="">
        <xdr:nvSpPr>
          <xdr:cNvPr id="7" name="Rounded Rectangle 6"/>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8" name="Rounded Rectangle 7"/>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112058</xdr:colOff>
      <xdr:row>0</xdr:row>
      <xdr:rowOff>123264</xdr:rowOff>
    </xdr:from>
    <xdr:to>
      <xdr:col>0</xdr:col>
      <xdr:colOff>806262</xdr:colOff>
      <xdr:row>3</xdr:row>
      <xdr:rowOff>140073</xdr:rowOff>
    </xdr:to>
    <xdr:grpSp>
      <xdr:nvGrpSpPr>
        <xdr:cNvPr id="2" name="Group 1"/>
        <xdr:cNvGrpSpPr/>
      </xdr:nvGrpSpPr>
      <xdr:grpSpPr>
        <a:xfrm>
          <a:off x="112058" y="123264"/>
          <a:ext cx="694204" cy="963866"/>
          <a:chOff x="0" y="1560739"/>
          <a:chExt cx="762000" cy="931132"/>
        </a:xfrm>
      </xdr:grpSpPr>
      <xdr:pic>
        <xdr:nvPicPr>
          <xdr:cNvPr id="3"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5"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10</xdr:col>
      <xdr:colOff>381001</xdr:colOff>
      <xdr:row>0</xdr:row>
      <xdr:rowOff>156883</xdr:rowOff>
    </xdr:from>
    <xdr:to>
      <xdr:col>13</xdr:col>
      <xdr:colOff>666671</xdr:colOff>
      <xdr:row>2</xdr:row>
      <xdr:rowOff>198025</xdr:rowOff>
    </xdr:to>
    <xdr:grpSp>
      <xdr:nvGrpSpPr>
        <xdr:cNvPr id="6" name="Group 5"/>
        <xdr:cNvGrpSpPr/>
      </xdr:nvGrpSpPr>
      <xdr:grpSpPr>
        <a:xfrm>
          <a:off x="11212287" y="156883"/>
          <a:ext cx="2898241" cy="672513"/>
          <a:chOff x="7608794" y="145676"/>
          <a:chExt cx="3047258" cy="652342"/>
        </a:xfrm>
      </xdr:grpSpPr>
      <xdr:sp macro="[0]!MarkConfidential" textlink="">
        <xdr:nvSpPr>
          <xdr:cNvPr id="7" name="Rounded Rectangle 6"/>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8" name="Rounded Rectangle 7"/>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384201</xdr:colOff>
      <xdr:row>0</xdr:row>
      <xdr:rowOff>136871</xdr:rowOff>
    </xdr:from>
    <xdr:to>
      <xdr:col>0</xdr:col>
      <xdr:colOff>1078405</xdr:colOff>
      <xdr:row>3</xdr:row>
      <xdr:rowOff>153680</xdr:rowOff>
    </xdr:to>
    <xdr:grpSp>
      <xdr:nvGrpSpPr>
        <xdr:cNvPr id="2" name="Group 1"/>
        <xdr:cNvGrpSpPr/>
      </xdr:nvGrpSpPr>
      <xdr:grpSpPr>
        <a:xfrm>
          <a:off x="384201" y="136871"/>
          <a:ext cx="694204" cy="984997"/>
          <a:chOff x="0" y="1560739"/>
          <a:chExt cx="762000" cy="931132"/>
        </a:xfrm>
      </xdr:grpSpPr>
      <xdr:pic>
        <xdr:nvPicPr>
          <xdr:cNvPr id="3"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5"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6</xdr:col>
      <xdr:colOff>493060</xdr:colOff>
      <xdr:row>0</xdr:row>
      <xdr:rowOff>179292</xdr:rowOff>
    </xdr:from>
    <xdr:to>
      <xdr:col>8</xdr:col>
      <xdr:colOff>1114907</xdr:colOff>
      <xdr:row>2</xdr:row>
      <xdr:rowOff>198022</xdr:rowOff>
    </xdr:to>
    <xdr:grpSp>
      <xdr:nvGrpSpPr>
        <xdr:cNvPr id="6" name="Group 5"/>
        <xdr:cNvGrpSpPr/>
      </xdr:nvGrpSpPr>
      <xdr:grpSpPr>
        <a:xfrm>
          <a:off x="10829366" y="179292"/>
          <a:ext cx="2625459" cy="664189"/>
          <a:chOff x="7608794" y="145676"/>
          <a:chExt cx="3047258" cy="652342"/>
        </a:xfrm>
      </xdr:grpSpPr>
      <xdr:sp macro="[0]!MarkConfidential" textlink="">
        <xdr:nvSpPr>
          <xdr:cNvPr id="7" name="Rounded Rectangle 6"/>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8" name="Rounded Rectangle 7"/>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112058</xdr:colOff>
      <xdr:row>0</xdr:row>
      <xdr:rowOff>123264</xdr:rowOff>
    </xdr:from>
    <xdr:to>
      <xdr:col>0</xdr:col>
      <xdr:colOff>806262</xdr:colOff>
      <xdr:row>3</xdr:row>
      <xdr:rowOff>140073</xdr:rowOff>
    </xdr:to>
    <xdr:grpSp>
      <xdr:nvGrpSpPr>
        <xdr:cNvPr id="5" name="Group 4"/>
        <xdr:cNvGrpSpPr/>
      </xdr:nvGrpSpPr>
      <xdr:grpSpPr>
        <a:xfrm>
          <a:off x="112058" y="123264"/>
          <a:ext cx="694204" cy="958103"/>
          <a:chOff x="0" y="1560739"/>
          <a:chExt cx="762000" cy="931132"/>
        </a:xfrm>
      </xdr:grpSpPr>
      <xdr:pic>
        <xdr:nvPicPr>
          <xdr:cNvPr id="6"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8"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8</xdr:col>
      <xdr:colOff>952500</xdr:colOff>
      <xdr:row>0</xdr:row>
      <xdr:rowOff>136071</xdr:rowOff>
    </xdr:from>
    <xdr:to>
      <xdr:col>11</xdr:col>
      <xdr:colOff>918803</xdr:colOff>
      <xdr:row>2</xdr:row>
      <xdr:rowOff>178813</xdr:rowOff>
    </xdr:to>
    <xdr:grpSp>
      <xdr:nvGrpSpPr>
        <xdr:cNvPr id="9" name="Group 8"/>
        <xdr:cNvGrpSpPr/>
      </xdr:nvGrpSpPr>
      <xdr:grpSpPr>
        <a:xfrm>
          <a:off x="14767112" y="136071"/>
          <a:ext cx="3193597" cy="670271"/>
          <a:chOff x="7608794" y="145676"/>
          <a:chExt cx="3047258" cy="652342"/>
        </a:xfrm>
      </xdr:grpSpPr>
      <xdr:sp macro="[0]!MarkConfidential" textlink="">
        <xdr:nvSpPr>
          <xdr:cNvPr id="10" name="Rounded Rectangle 9"/>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1" name="Rounded Rectangle 10"/>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2892368</xdr:colOff>
      <xdr:row>13</xdr:row>
      <xdr:rowOff>101546</xdr:rowOff>
    </xdr:from>
    <xdr:to>
      <xdr:col>4</xdr:col>
      <xdr:colOff>4142959</xdr:colOff>
      <xdr:row>13</xdr:row>
      <xdr:rowOff>280616</xdr:rowOff>
    </xdr:to>
    <xdr:sp macro="" textlink="">
      <xdr:nvSpPr>
        <xdr:cNvPr id="101379" name="Rectangle 22"/>
        <xdr:cNvSpPr>
          <a:spLocks noChangeArrowheads="1"/>
        </xdr:cNvSpPr>
      </xdr:nvSpPr>
      <xdr:spPr bwMode="auto">
        <a:xfrm>
          <a:off x="5509672" y="2694003"/>
          <a:ext cx="1250591" cy="179070"/>
        </a:xfrm>
        <a:prstGeom prst="rect">
          <a:avLst/>
        </a:prstGeom>
        <a:solidFill>
          <a:srgbClr val="FFFFCC"/>
        </a:solidFill>
        <a:ln w="9525" algn="ctr">
          <a:solidFill>
            <a:srgbClr val="000000"/>
          </a:solidFill>
          <a:miter lim="800000"/>
          <a:headEnd/>
          <a:tailEnd/>
        </a:ln>
      </xdr:spPr>
    </xdr:sp>
    <xdr:clientData/>
  </xdr:twoCellAnchor>
  <xdr:twoCellAnchor>
    <xdr:from>
      <xdr:col>1</xdr:col>
      <xdr:colOff>60814</xdr:colOff>
      <xdr:row>0</xdr:row>
      <xdr:rowOff>54219</xdr:rowOff>
    </xdr:from>
    <xdr:to>
      <xdr:col>2</xdr:col>
      <xdr:colOff>213214</xdr:colOff>
      <xdr:row>4</xdr:row>
      <xdr:rowOff>111650</xdr:rowOff>
    </xdr:to>
    <xdr:grpSp>
      <xdr:nvGrpSpPr>
        <xdr:cNvPr id="2" name="Group 1"/>
        <xdr:cNvGrpSpPr/>
      </xdr:nvGrpSpPr>
      <xdr:grpSpPr>
        <a:xfrm>
          <a:off x="540874" y="54219"/>
          <a:ext cx="762000" cy="727991"/>
          <a:chOff x="0" y="171450"/>
          <a:chExt cx="762000" cy="709527"/>
        </a:xfrm>
      </xdr:grpSpPr>
      <xdr:pic>
        <xdr:nvPicPr>
          <xdr:cNvPr id="101380"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1450"/>
            <a:ext cx="7620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0]!goToPage1" textlink="">
        <xdr:nvSpPr>
          <xdr:cNvPr id="9" name="AutoShape 4">
            <a:hlinkClick xmlns:r="http://schemas.openxmlformats.org/officeDocument/2006/relationships" r:id="rId2"/>
          </xdr:cNvPr>
          <xdr:cNvSpPr>
            <a:spLocks noChangeArrowheads="1"/>
          </xdr:cNvSpPr>
        </xdr:nvSpPr>
        <xdr:spPr bwMode="auto">
          <a:xfrm>
            <a:off x="19050" y="647700"/>
            <a:ext cx="736671" cy="233277"/>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257734</xdr:colOff>
      <xdr:row>0</xdr:row>
      <xdr:rowOff>134470</xdr:rowOff>
    </xdr:from>
    <xdr:to>
      <xdr:col>0</xdr:col>
      <xdr:colOff>951938</xdr:colOff>
      <xdr:row>3</xdr:row>
      <xdr:rowOff>151279</xdr:rowOff>
    </xdr:to>
    <xdr:grpSp>
      <xdr:nvGrpSpPr>
        <xdr:cNvPr id="5" name="Group 4"/>
        <xdr:cNvGrpSpPr/>
      </xdr:nvGrpSpPr>
      <xdr:grpSpPr>
        <a:xfrm>
          <a:off x="257734" y="134470"/>
          <a:ext cx="694204" cy="963866"/>
          <a:chOff x="0" y="1560739"/>
          <a:chExt cx="762000" cy="931132"/>
        </a:xfrm>
      </xdr:grpSpPr>
      <xdr:pic>
        <xdr:nvPicPr>
          <xdr:cNvPr id="6"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8"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7</xdr:col>
      <xdr:colOff>993322</xdr:colOff>
      <xdr:row>0</xdr:row>
      <xdr:rowOff>163285</xdr:rowOff>
    </xdr:from>
    <xdr:to>
      <xdr:col>10</xdr:col>
      <xdr:colOff>959625</xdr:colOff>
      <xdr:row>2</xdr:row>
      <xdr:rowOff>206027</xdr:rowOff>
    </xdr:to>
    <xdr:grpSp>
      <xdr:nvGrpSpPr>
        <xdr:cNvPr id="9" name="Group 8"/>
        <xdr:cNvGrpSpPr/>
      </xdr:nvGrpSpPr>
      <xdr:grpSpPr>
        <a:xfrm>
          <a:off x="13011151" y="163285"/>
          <a:ext cx="3199360" cy="674113"/>
          <a:chOff x="7608794" y="145676"/>
          <a:chExt cx="3047258" cy="652342"/>
        </a:xfrm>
      </xdr:grpSpPr>
      <xdr:sp macro="[0]!MarkConfidential" textlink="">
        <xdr:nvSpPr>
          <xdr:cNvPr id="10" name="Rounded Rectangle 9"/>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1" name="Rounded Rectangle 10"/>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112058</xdr:colOff>
      <xdr:row>0</xdr:row>
      <xdr:rowOff>123264</xdr:rowOff>
    </xdr:from>
    <xdr:to>
      <xdr:col>0</xdr:col>
      <xdr:colOff>806262</xdr:colOff>
      <xdr:row>3</xdr:row>
      <xdr:rowOff>140073</xdr:rowOff>
    </xdr:to>
    <xdr:grpSp>
      <xdr:nvGrpSpPr>
        <xdr:cNvPr id="2" name="Group 1"/>
        <xdr:cNvGrpSpPr/>
      </xdr:nvGrpSpPr>
      <xdr:grpSpPr>
        <a:xfrm>
          <a:off x="112058" y="123264"/>
          <a:ext cx="694204" cy="963866"/>
          <a:chOff x="0" y="1560739"/>
          <a:chExt cx="762000" cy="931132"/>
        </a:xfrm>
      </xdr:grpSpPr>
      <xdr:pic>
        <xdr:nvPicPr>
          <xdr:cNvPr id="3"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5"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10</xdr:col>
      <xdr:colOff>353785</xdr:colOff>
      <xdr:row>0</xdr:row>
      <xdr:rowOff>136071</xdr:rowOff>
    </xdr:from>
    <xdr:to>
      <xdr:col>13</xdr:col>
      <xdr:colOff>524196</xdr:colOff>
      <xdr:row>2</xdr:row>
      <xdr:rowOff>178813</xdr:rowOff>
    </xdr:to>
    <xdr:grpSp>
      <xdr:nvGrpSpPr>
        <xdr:cNvPr id="6" name="Group 5"/>
        <xdr:cNvGrpSpPr/>
      </xdr:nvGrpSpPr>
      <xdr:grpSpPr>
        <a:xfrm>
          <a:off x="13884728" y="136071"/>
          <a:ext cx="3174868" cy="674113"/>
          <a:chOff x="7608794" y="145676"/>
          <a:chExt cx="3047258" cy="652342"/>
        </a:xfrm>
      </xdr:grpSpPr>
      <xdr:sp macro="[12]!MarkConfidential" textlink="">
        <xdr:nvSpPr>
          <xdr:cNvPr id="7" name="Rounded Rectangle 6"/>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12]!MarkNonConfidential" textlink="">
        <xdr:nvSpPr>
          <xdr:cNvPr id="8" name="Rounded Rectangle 7"/>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112058</xdr:colOff>
      <xdr:row>0</xdr:row>
      <xdr:rowOff>123264</xdr:rowOff>
    </xdr:from>
    <xdr:to>
      <xdr:col>0</xdr:col>
      <xdr:colOff>806262</xdr:colOff>
      <xdr:row>3</xdr:row>
      <xdr:rowOff>140073</xdr:rowOff>
    </xdr:to>
    <xdr:grpSp>
      <xdr:nvGrpSpPr>
        <xdr:cNvPr id="2" name="Group 1"/>
        <xdr:cNvGrpSpPr/>
      </xdr:nvGrpSpPr>
      <xdr:grpSpPr>
        <a:xfrm>
          <a:off x="112058" y="123264"/>
          <a:ext cx="694204" cy="955702"/>
          <a:chOff x="0" y="1560739"/>
          <a:chExt cx="762000" cy="931132"/>
        </a:xfrm>
      </xdr:grpSpPr>
      <xdr:pic>
        <xdr:nvPicPr>
          <xdr:cNvPr id="3"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5"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10</xdr:col>
      <xdr:colOff>353785</xdr:colOff>
      <xdr:row>0</xdr:row>
      <xdr:rowOff>136071</xdr:rowOff>
    </xdr:from>
    <xdr:to>
      <xdr:col>13</xdr:col>
      <xdr:colOff>524196</xdr:colOff>
      <xdr:row>2</xdr:row>
      <xdr:rowOff>178813</xdr:rowOff>
    </xdr:to>
    <xdr:grpSp>
      <xdr:nvGrpSpPr>
        <xdr:cNvPr id="6" name="Group 5"/>
        <xdr:cNvGrpSpPr/>
      </xdr:nvGrpSpPr>
      <xdr:grpSpPr>
        <a:xfrm>
          <a:off x="13552714" y="136071"/>
          <a:ext cx="3109553" cy="668671"/>
          <a:chOff x="7608794" y="145676"/>
          <a:chExt cx="3047258" cy="652342"/>
        </a:xfrm>
      </xdr:grpSpPr>
      <xdr:sp macro="[12]!MarkConfidential" textlink="">
        <xdr:nvSpPr>
          <xdr:cNvPr id="7" name="Rounded Rectangle 6"/>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12]!MarkNonConfidential" textlink="">
        <xdr:nvSpPr>
          <xdr:cNvPr id="8" name="Rounded Rectangle 7"/>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112058</xdr:colOff>
      <xdr:row>0</xdr:row>
      <xdr:rowOff>123264</xdr:rowOff>
    </xdr:from>
    <xdr:to>
      <xdr:col>0</xdr:col>
      <xdr:colOff>806262</xdr:colOff>
      <xdr:row>3</xdr:row>
      <xdr:rowOff>140073</xdr:rowOff>
    </xdr:to>
    <xdr:grpSp>
      <xdr:nvGrpSpPr>
        <xdr:cNvPr id="2" name="Group 1"/>
        <xdr:cNvGrpSpPr/>
      </xdr:nvGrpSpPr>
      <xdr:grpSpPr>
        <a:xfrm>
          <a:off x="112058" y="123264"/>
          <a:ext cx="694204" cy="955702"/>
          <a:chOff x="0" y="1560739"/>
          <a:chExt cx="762000" cy="931132"/>
        </a:xfrm>
      </xdr:grpSpPr>
      <xdr:pic>
        <xdr:nvPicPr>
          <xdr:cNvPr id="3"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5"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10</xdr:col>
      <xdr:colOff>353785</xdr:colOff>
      <xdr:row>0</xdr:row>
      <xdr:rowOff>136071</xdr:rowOff>
    </xdr:from>
    <xdr:to>
      <xdr:col>13</xdr:col>
      <xdr:colOff>524196</xdr:colOff>
      <xdr:row>2</xdr:row>
      <xdr:rowOff>178813</xdr:rowOff>
    </xdr:to>
    <xdr:grpSp>
      <xdr:nvGrpSpPr>
        <xdr:cNvPr id="6" name="Group 5"/>
        <xdr:cNvGrpSpPr/>
      </xdr:nvGrpSpPr>
      <xdr:grpSpPr>
        <a:xfrm>
          <a:off x="13552714" y="136071"/>
          <a:ext cx="3109553" cy="668671"/>
          <a:chOff x="7608794" y="145676"/>
          <a:chExt cx="3047258" cy="652342"/>
        </a:xfrm>
      </xdr:grpSpPr>
      <xdr:sp macro="[12]!MarkConfidential" textlink="">
        <xdr:nvSpPr>
          <xdr:cNvPr id="7" name="Rounded Rectangle 6"/>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12]!MarkNonConfidential" textlink="">
        <xdr:nvSpPr>
          <xdr:cNvPr id="8" name="Rounded Rectangle 7"/>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112058</xdr:colOff>
      <xdr:row>0</xdr:row>
      <xdr:rowOff>123264</xdr:rowOff>
    </xdr:from>
    <xdr:to>
      <xdr:col>0</xdr:col>
      <xdr:colOff>806262</xdr:colOff>
      <xdr:row>3</xdr:row>
      <xdr:rowOff>140073</xdr:rowOff>
    </xdr:to>
    <xdr:grpSp>
      <xdr:nvGrpSpPr>
        <xdr:cNvPr id="2" name="Group 1"/>
        <xdr:cNvGrpSpPr/>
      </xdr:nvGrpSpPr>
      <xdr:grpSpPr>
        <a:xfrm>
          <a:off x="112058" y="123264"/>
          <a:ext cx="694204" cy="955702"/>
          <a:chOff x="0" y="1560739"/>
          <a:chExt cx="762000" cy="931132"/>
        </a:xfrm>
      </xdr:grpSpPr>
      <xdr:pic>
        <xdr:nvPicPr>
          <xdr:cNvPr id="3"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5"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10</xdr:col>
      <xdr:colOff>353785</xdr:colOff>
      <xdr:row>0</xdr:row>
      <xdr:rowOff>136071</xdr:rowOff>
    </xdr:from>
    <xdr:to>
      <xdr:col>13</xdr:col>
      <xdr:colOff>524196</xdr:colOff>
      <xdr:row>2</xdr:row>
      <xdr:rowOff>178813</xdr:rowOff>
    </xdr:to>
    <xdr:grpSp>
      <xdr:nvGrpSpPr>
        <xdr:cNvPr id="6" name="Group 5"/>
        <xdr:cNvGrpSpPr/>
      </xdr:nvGrpSpPr>
      <xdr:grpSpPr>
        <a:xfrm>
          <a:off x="13552714" y="136071"/>
          <a:ext cx="3109553" cy="668671"/>
          <a:chOff x="7608794" y="145676"/>
          <a:chExt cx="3047258" cy="652342"/>
        </a:xfrm>
      </xdr:grpSpPr>
      <xdr:sp macro="[12]!MarkConfidential" textlink="">
        <xdr:nvSpPr>
          <xdr:cNvPr id="7" name="Rounded Rectangle 6"/>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12]!MarkNonConfidential" textlink="">
        <xdr:nvSpPr>
          <xdr:cNvPr id="8" name="Rounded Rectangle 7"/>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112058</xdr:colOff>
      <xdr:row>0</xdr:row>
      <xdr:rowOff>123264</xdr:rowOff>
    </xdr:from>
    <xdr:to>
      <xdr:col>0</xdr:col>
      <xdr:colOff>806262</xdr:colOff>
      <xdr:row>3</xdr:row>
      <xdr:rowOff>140073</xdr:rowOff>
    </xdr:to>
    <xdr:grpSp>
      <xdr:nvGrpSpPr>
        <xdr:cNvPr id="2" name="Group 1"/>
        <xdr:cNvGrpSpPr/>
      </xdr:nvGrpSpPr>
      <xdr:grpSpPr>
        <a:xfrm>
          <a:off x="112058" y="123264"/>
          <a:ext cx="694204" cy="958103"/>
          <a:chOff x="0" y="1560739"/>
          <a:chExt cx="762000" cy="931132"/>
        </a:xfrm>
      </xdr:grpSpPr>
      <xdr:pic>
        <xdr:nvPicPr>
          <xdr:cNvPr id="3"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5"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11</xdr:col>
      <xdr:colOff>830036</xdr:colOff>
      <xdr:row>0</xdr:row>
      <xdr:rowOff>190500</xdr:rowOff>
    </xdr:from>
    <xdr:to>
      <xdr:col>15</xdr:col>
      <xdr:colOff>565018</xdr:colOff>
      <xdr:row>2</xdr:row>
      <xdr:rowOff>233242</xdr:rowOff>
    </xdr:to>
    <xdr:grpSp>
      <xdr:nvGrpSpPr>
        <xdr:cNvPr id="6" name="Group 5"/>
        <xdr:cNvGrpSpPr/>
      </xdr:nvGrpSpPr>
      <xdr:grpSpPr>
        <a:xfrm>
          <a:off x="16446554" y="190500"/>
          <a:ext cx="3213288" cy="670271"/>
          <a:chOff x="7608794" y="145676"/>
          <a:chExt cx="3047258" cy="652342"/>
        </a:xfrm>
      </xdr:grpSpPr>
      <xdr:sp macro="[14]!MarkConfidential" textlink="">
        <xdr:nvSpPr>
          <xdr:cNvPr id="7" name="Rounded Rectangle 6"/>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14]!MarkNonConfidential" textlink="">
        <xdr:nvSpPr>
          <xdr:cNvPr id="8" name="Rounded Rectangle 7"/>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112058</xdr:colOff>
      <xdr:row>0</xdr:row>
      <xdr:rowOff>123264</xdr:rowOff>
    </xdr:from>
    <xdr:to>
      <xdr:col>0</xdr:col>
      <xdr:colOff>806262</xdr:colOff>
      <xdr:row>3</xdr:row>
      <xdr:rowOff>140073</xdr:rowOff>
    </xdr:to>
    <xdr:grpSp>
      <xdr:nvGrpSpPr>
        <xdr:cNvPr id="2" name="Group 1"/>
        <xdr:cNvGrpSpPr/>
      </xdr:nvGrpSpPr>
      <xdr:grpSpPr>
        <a:xfrm>
          <a:off x="112058" y="123264"/>
          <a:ext cx="694204" cy="958103"/>
          <a:chOff x="0" y="1560739"/>
          <a:chExt cx="762000" cy="931132"/>
        </a:xfrm>
      </xdr:grpSpPr>
      <xdr:pic>
        <xdr:nvPicPr>
          <xdr:cNvPr id="3"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5"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11</xdr:col>
      <xdr:colOff>830036</xdr:colOff>
      <xdr:row>0</xdr:row>
      <xdr:rowOff>190500</xdr:rowOff>
    </xdr:from>
    <xdr:to>
      <xdr:col>15</xdr:col>
      <xdr:colOff>565018</xdr:colOff>
      <xdr:row>2</xdr:row>
      <xdr:rowOff>233242</xdr:rowOff>
    </xdr:to>
    <xdr:grpSp>
      <xdr:nvGrpSpPr>
        <xdr:cNvPr id="6" name="Group 5"/>
        <xdr:cNvGrpSpPr/>
      </xdr:nvGrpSpPr>
      <xdr:grpSpPr>
        <a:xfrm>
          <a:off x="16446554" y="190500"/>
          <a:ext cx="3213288" cy="670271"/>
          <a:chOff x="7608794" y="145676"/>
          <a:chExt cx="3047258" cy="652342"/>
        </a:xfrm>
      </xdr:grpSpPr>
      <xdr:sp macro="[14]!MarkConfidential" textlink="">
        <xdr:nvSpPr>
          <xdr:cNvPr id="7" name="Rounded Rectangle 6"/>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14]!MarkNonConfidential" textlink="">
        <xdr:nvSpPr>
          <xdr:cNvPr id="8" name="Rounded Rectangle 7"/>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112058</xdr:colOff>
      <xdr:row>0</xdr:row>
      <xdr:rowOff>123264</xdr:rowOff>
    </xdr:from>
    <xdr:to>
      <xdr:col>0</xdr:col>
      <xdr:colOff>806262</xdr:colOff>
      <xdr:row>3</xdr:row>
      <xdr:rowOff>140073</xdr:rowOff>
    </xdr:to>
    <xdr:grpSp>
      <xdr:nvGrpSpPr>
        <xdr:cNvPr id="2" name="Group 1"/>
        <xdr:cNvGrpSpPr/>
      </xdr:nvGrpSpPr>
      <xdr:grpSpPr>
        <a:xfrm>
          <a:off x="112058" y="123264"/>
          <a:ext cx="694204" cy="931209"/>
          <a:chOff x="0" y="1560739"/>
          <a:chExt cx="762000" cy="931132"/>
        </a:xfrm>
      </xdr:grpSpPr>
      <xdr:pic>
        <xdr:nvPicPr>
          <xdr:cNvPr id="3"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5"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11</xdr:col>
      <xdr:colOff>830036</xdr:colOff>
      <xdr:row>0</xdr:row>
      <xdr:rowOff>190500</xdr:rowOff>
    </xdr:from>
    <xdr:to>
      <xdr:col>15</xdr:col>
      <xdr:colOff>565018</xdr:colOff>
      <xdr:row>2</xdr:row>
      <xdr:rowOff>233242</xdr:rowOff>
    </xdr:to>
    <xdr:grpSp>
      <xdr:nvGrpSpPr>
        <xdr:cNvPr id="6" name="Group 5"/>
        <xdr:cNvGrpSpPr/>
      </xdr:nvGrpSpPr>
      <xdr:grpSpPr>
        <a:xfrm>
          <a:off x="16508186" y="190500"/>
          <a:ext cx="3240182" cy="652342"/>
          <a:chOff x="7608794" y="145676"/>
          <a:chExt cx="3047258" cy="652342"/>
        </a:xfrm>
      </xdr:grpSpPr>
      <xdr:sp macro="[14]!MarkConfidential" textlink="">
        <xdr:nvSpPr>
          <xdr:cNvPr id="7" name="Rounded Rectangle 6"/>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14]!MarkNonConfidential" textlink="">
        <xdr:nvSpPr>
          <xdr:cNvPr id="8" name="Rounded Rectangle 7"/>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112058</xdr:colOff>
      <xdr:row>0</xdr:row>
      <xdr:rowOff>123264</xdr:rowOff>
    </xdr:from>
    <xdr:to>
      <xdr:col>0</xdr:col>
      <xdr:colOff>806262</xdr:colOff>
      <xdr:row>3</xdr:row>
      <xdr:rowOff>140073</xdr:rowOff>
    </xdr:to>
    <xdr:grpSp>
      <xdr:nvGrpSpPr>
        <xdr:cNvPr id="2" name="Group 1"/>
        <xdr:cNvGrpSpPr/>
      </xdr:nvGrpSpPr>
      <xdr:grpSpPr>
        <a:xfrm>
          <a:off x="112058" y="123264"/>
          <a:ext cx="694204" cy="963866"/>
          <a:chOff x="0" y="1560739"/>
          <a:chExt cx="762000" cy="931132"/>
        </a:xfrm>
      </xdr:grpSpPr>
      <xdr:pic>
        <xdr:nvPicPr>
          <xdr:cNvPr id="3"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5"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11</xdr:col>
      <xdr:colOff>830036</xdr:colOff>
      <xdr:row>0</xdr:row>
      <xdr:rowOff>190500</xdr:rowOff>
    </xdr:from>
    <xdr:to>
      <xdr:col>15</xdr:col>
      <xdr:colOff>565018</xdr:colOff>
      <xdr:row>2</xdr:row>
      <xdr:rowOff>233242</xdr:rowOff>
    </xdr:to>
    <xdr:grpSp>
      <xdr:nvGrpSpPr>
        <xdr:cNvPr id="6" name="Group 5"/>
        <xdr:cNvGrpSpPr/>
      </xdr:nvGrpSpPr>
      <xdr:grpSpPr>
        <a:xfrm>
          <a:off x="16461922" y="190500"/>
          <a:ext cx="3218410" cy="674113"/>
          <a:chOff x="7608794" y="145676"/>
          <a:chExt cx="3047258" cy="652342"/>
        </a:xfrm>
      </xdr:grpSpPr>
      <xdr:sp macro="[14]!MarkConfidential" textlink="">
        <xdr:nvSpPr>
          <xdr:cNvPr id="7" name="Rounded Rectangle 6"/>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14]!MarkNonConfidential" textlink="">
        <xdr:nvSpPr>
          <xdr:cNvPr id="8" name="Rounded Rectangle 7"/>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112058</xdr:colOff>
      <xdr:row>0</xdr:row>
      <xdr:rowOff>123264</xdr:rowOff>
    </xdr:from>
    <xdr:to>
      <xdr:col>0</xdr:col>
      <xdr:colOff>806262</xdr:colOff>
      <xdr:row>3</xdr:row>
      <xdr:rowOff>140073</xdr:rowOff>
    </xdr:to>
    <xdr:grpSp>
      <xdr:nvGrpSpPr>
        <xdr:cNvPr id="2" name="Group 1"/>
        <xdr:cNvGrpSpPr/>
      </xdr:nvGrpSpPr>
      <xdr:grpSpPr>
        <a:xfrm>
          <a:off x="112058" y="123264"/>
          <a:ext cx="694204" cy="963866"/>
          <a:chOff x="0" y="1560739"/>
          <a:chExt cx="762000" cy="931132"/>
        </a:xfrm>
      </xdr:grpSpPr>
      <xdr:pic>
        <xdr:nvPicPr>
          <xdr:cNvPr id="3"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5"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12</xdr:col>
      <xdr:colOff>277091</xdr:colOff>
      <xdr:row>0</xdr:row>
      <xdr:rowOff>138545</xdr:rowOff>
    </xdr:from>
    <xdr:to>
      <xdr:col>15</xdr:col>
      <xdr:colOff>217417</xdr:colOff>
      <xdr:row>2</xdr:row>
      <xdr:rowOff>183761</xdr:rowOff>
    </xdr:to>
    <xdr:grpSp>
      <xdr:nvGrpSpPr>
        <xdr:cNvPr id="6" name="Group 5"/>
        <xdr:cNvGrpSpPr/>
      </xdr:nvGrpSpPr>
      <xdr:grpSpPr>
        <a:xfrm>
          <a:off x="17813977" y="138545"/>
          <a:ext cx="3173383" cy="676587"/>
          <a:chOff x="7608794" y="145676"/>
          <a:chExt cx="3047258" cy="652342"/>
        </a:xfrm>
      </xdr:grpSpPr>
      <xdr:sp macro="[14]!MarkConfidential" textlink="">
        <xdr:nvSpPr>
          <xdr:cNvPr id="7" name="Rounded Rectangle 6"/>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14]!MarkNonConfidential" textlink="">
        <xdr:nvSpPr>
          <xdr:cNvPr id="8" name="Rounded Rectangle 7"/>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997323</xdr:colOff>
      <xdr:row>0</xdr:row>
      <xdr:rowOff>22412</xdr:rowOff>
    </xdr:from>
    <xdr:to>
      <xdr:col>0</xdr:col>
      <xdr:colOff>2151529</xdr:colOff>
      <xdr:row>3</xdr:row>
      <xdr:rowOff>291353</xdr:rowOff>
    </xdr:to>
    <xdr:grpSp>
      <xdr:nvGrpSpPr>
        <xdr:cNvPr id="2" name="Group 1"/>
        <xdr:cNvGrpSpPr/>
      </xdr:nvGrpSpPr>
      <xdr:grpSpPr>
        <a:xfrm>
          <a:off x="997323" y="22412"/>
          <a:ext cx="1154206" cy="1176617"/>
          <a:chOff x="165320" y="2985326"/>
          <a:chExt cx="963805" cy="1410158"/>
        </a:xfrm>
      </xdr:grpSpPr>
      <xdr:grpSp>
        <xdr:nvGrpSpPr>
          <xdr:cNvPr id="3" name="Group 2"/>
          <xdr:cNvGrpSpPr>
            <a:grpSpLocks/>
          </xdr:cNvGrpSpPr>
        </xdr:nvGrpSpPr>
        <xdr:grpSpPr bwMode="auto">
          <a:xfrm>
            <a:off x="165320" y="2985326"/>
            <a:ext cx="963805" cy="1410158"/>
            <a:chOff x="59" y="246"/>
            <a:chExt cx="78" cy="119"/>
          </a:xfrm>
        </xdr:grpSpPr>
        <xdr:sp macro="" textlink="">
          <xdr:nvSpPr>
            <xdr:cNvPr id="6" name="Rectangle 3"/>
            <xdr:cNvSpPr>
              <a:spLocks noChangeArrowheads="1"/>
            </xdr:cNvSpPr>
          </xdr:nvSpPr>
          <xdr:spPr bwMode="auto">
            <a:xfrm>
              <a:off x="59" y="246"/>
              <a:ext cx="78" cy="119"/>
            </a:xfrm>
            <a:prstGeom prst="rect">
              <a:avLst/>
            </a:prstGeom>
            <a:solidFill>
              <a:srgbClr val="FFFFCC">
                <a:alpha val="89803"/>
              </a:srgbClr>
            </a:solidFill>
            <a:ln w="25400" algn="ctr">
              <a:solidFill>
                <a:srgbClr val="000080"/>
              </a:solidFill>
              <a:miter lim="800000"/>
              <a:headEnd/>
              <a:tailEnd/>
            </a:ln>
          </xdr:spPr>
        </xdr:sp>
        <xdr:pic>
          <xdr:nvPicPr>
            <xdr:cNvPr id="7" name="Picture 4"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 y="246"/>
              <a:ext cx="78" cy="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xdr:cNvPr>
          <xdr:cNvSpPr>
            <a:spLocks noChangeArrowheads="1"/>
          </xdr:cNvSpPr>
        </xdr:nvSpPr>
        <xdr:spPr bwMode="auto">
          <a:xfrm>
            <a:off x="251103" y="3794769"/>
            <a:ext cx="827884" cy="22486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5" name="AutoShape 5">
            <a:hlinkClick xmlns:r="http://schemas.openxmlformats.org/officeDocument/2006/relationships" r:id="rId3"/>
          </xdr:cNvPr>
          <xdr:cNvSpPr>
            <a:spLocks noChangeArrowheads="1"/>
          </xdr:cNvSpPr>
        </xdr:nvSpPr>
        <xdr:spPr bwMode="auto">
          <a:xfrm>
            <a:off x="251103" y="4082535"/>
            <a:ext cx="827884" cy="224368"/>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112058</xdr:colOff>
      <xdr:row>0</xdr:row>
      <xdr:rowOff>123264</xdr:rowOff>
    </xdr:from>
    <xdr:to>
      <xdr:col>0</xdr:col>
      <xdr:colOff>806262</xdr:colOff>
      <xdr:row>3</xdr:row>
      <xdr:rowOff>140073</xdr:rowOff>
    </xdr:to>
    <xdr:grpSp>
      <xdr:nvGrpSpPr>
        <xdr:cNvPr id="2" name="Group 1"/>
        <xdr:cNvGrpSpPr/>
      </xdr:nvGrpSpPr>
      <xdr:grpSpPr>
        <a:xfrm>
          <a:off x="112058" y="123264"/>
          <a:ext cx="694204" cy="963866"/>
          <a:chOff x="0" y="1560739"/>
          <a:chExt cx="762000" cy="931132"/>
        </a:xfrm>
      </xdr:grpSpPr>
      <xdr:pic>
        <xdr:nvPicPr>
          <xdr:cNvPr id="3"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5"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12</xdr:col>
      <xdr:colOff>277091</xdr:colOff>
      <xdr:row>0</xdr:row>
      <xdr:rowOff>138545</xdr:rowOff>
    </xdr:from>
    <xdr:to>
      <xdr:col>15</xdr:col>
      <xdr:colOff>217417</xdr:colOff>
      <xdr:row>2</xdr:row>
      <xdr:rowOff>183761</xdr:rowOff>
    </xdr:to>
    <xdr:grpSp>
      <xdr:nvGrpSpPr>
        <xdr:cNvPr id="6" name="Group 5"/>
        <xdr:cNvGrpSpPr/>
      </xdr:nvGrpSpPr>
      <xdr:grpSpPr>
        <a:xfrm>
          <a:off x="17813977" y="138545"/>
          <a:ext cx="3173383" cy="676587"/>
          <a:chOff x="7608794" y="145676"/>
          <a:chExt cx="3047258" cy="652342"/>
        </a:xfrm>
      </xdr:grpSpPr>
      <xdr:sp macro="[14]!MarkConfidential" textlink="">
        <xdr:nvSpPr>
          <xdr:cNvPr id="7" name="Rounded Rectangle 6"/>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14]!MarkNonConfidential" textlink="">
        <xdr:nvSpPr>
          <xdr:cNvPr id="8" name="Rounded Rectangle 7"/>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112058</xdr:colOff>
      <xdr:row>0</xdr:row>
      <xdr:rowOff>123264</xdr:rowOff>
    </xdr:from>
    <xdr:to>
      <xdr:col>0</xdr:col>
      <xdr:colOff>806262</xdr:colOff>
      <xdr:row>3</xdr:row>
      <xdr:rowOff>140073</xdr:rowOff>
    </xdr:to>
    <xdr:grpSp>
      <xdr:nvGrpSpPr>
        <xdr:cNvPr id="2" name="Group 1"/>
        <xdr:cNvGrpSpPr/>
      </xdr:nvGrpSpPr>
      <xdr:grpSpPr>
        <a:xfrm>
          <a:off x="112058" y="123264"/>
          <a:ext cx="694204" cy="963866"/>
          <a:chOff x="0" y="1560739"/>
          <a:chExt cx="762000" cy="931132"/>
        </a:xfrm>
      </xdr:grpSpPr>
      <xdr:pic>
        <xdr:nvPicPr>
          <xdr:cNvPr id="3"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5"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12</xdr:col>
      <xdr:colOff>277091</xdr:colOff>
      <xdr:row>0</xdr:row>
      <xdr:rowOff>138545</xdr:rowOff>
    </xdr:from>
    <xdr:to>
      <xdr:col>15</xdr:col>
      <xdr:colOff>217417</xdr:colOff>
      <xdr:row>2</xdr:row>
      <xdr:rowOff>183761</xdr:rowOff>
    </xdr:to>
    <xdr:grpSp>
      <xdr:nvGrpSpPr>
        <xdr:cNvPr id="6" name="Group 5"/>
        <xdr:cNvGrpSpPr/>
      </xdr:nvGrpSpPr>
      <xdr:grpSpPr>
        <a:xfrm>
          <a:off x="17813977" y="138545"/>
          <a:ext cx="3173383" cy="676587"/>
          <a:chOff x="7608794" y="145676"/>
          <a:chExt cx="3047258" cy="652342"/>
        </a:xfrm>
      </xdr:grpSpPr>
      <xdr:sp macro="[14]!MarkConfidential" textlink="">
        <xdr:nvSpPr>
          <xdr:cNvPr id="7" name="Rounded Rectangle 6"/>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14]!MarkNonConfidential" textlink="">
        <xdr:nvSpPr>
          <xdr:cNvPr id="8" name="Rounded Rectangle 7"/>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112058</xdr:colOff>
      <xdr:row>0</xdr:row>
      <xdr:rowOff>123264</xdr:rowOff>
    </xdr:from>
    <xdr:to>
      <xdr:col>0</xdr:col>
      <xdr:colOff>806262</xdr:colOff>
      <xdr:row>3</xdr:row>
      <xdr:rowOff>140073</xdr:rowOff>
    </xdr:to>
    <xdr:grpSp>
      <xdr:nvGrpSpPr>
        <xdr:cNvPr id="2" name="Group 1"/>
        <xdr:cNvGrpSpPr/>
      </xdr:nvGrpSpPr>
      <xdr:grpSpPr>
        <a:xfrm>
          <a:off x="112058" y="123264"/>
          <a:ext cx="694204" cy="951991"/>
          <a:chOff x="0" y="1560739"/>
          <a:chExt cx="762000" cy="931132"/>
        </a:xfrm>
      </xdr:grpSpPr>
      <xdr:pic>
        <xdr:nvPicPr>
          <xdr:cNvPr id="3"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5"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12</xdr:col>
      <xdr:colOff>277091</xdr:colOff>
      <xdr:row>0</xdr:row>
      <xdr:rowOff>138545</xdr:rowOff>
    </xdr:from>
    <xdr:to>
      <xdr:col>15</xdr:col>
      <xdr:colOff>217417</xdr:colOff>
      <xdr:row>2</xdr:row>
      <xdr:rowOff>183761</xdr:rowOff>
    </xdr:to>
    <xdr:grpSp>
      <xdr:nvGrpSpPr>
        <xdr:cNvPr id="6" name="Group 5"/>
        <xdr:cNvGrpSpPr/>
      </xdr:nvGrpSpPr>
      <xdr:grpSpPr>
        <a:xfrm>
          <a:off x="17387455" y="138545"/>
          <a:ext cx="3109553" cy="668671"/>
          <a:chOff x="7608794" y="145676"/>
          <a:chExt cx="3047258" cy="652342"/>
        </a:xfrm>
      </xdr:grpSpPr>
      <xdr:sp macro="[14]!MarkConfidential" textlink="">
        <xdr:nvSpPr>
          <xdr:cNvPr id="7" name="Rounded Rectangle 6"/>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14]!MarkNonConfidential" textlink="">
        <xdr:nvSpPr>
          <xdr:cNvPr id="8" name="Rounded Rectangle 7"/>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112058</xdr:colOff>
      <xdr:row>0</xdr:row>
      <xdr:rowOff>123264</xdr:rowOff>
    </xdr:from>
    <xdr:to>
      <xdr:col>0</xdr:col>
      <xdr:colOff>806262</xdr:colOff>
      <xdr:row>3</xdr:row>
      <xdr:rowOff>140073</xdr:rowOff>
    </xdr:to>
    <xdr:grpSp>
      <xdr:nvGrpSpPr>
        <xdr:cNvPr id="8" name="Group 7"/>
        <xdr:cNvGrpSpPr/>
      </xdr:nvGrpSpPr>
      <xdr:grpSpPr>
        <a:xfrm>
          <a:off x="112058" y="123264"/>
          <a:ext cx="694204" cy="955702"/>
          <a:chOff x="0" y="1560739"/>
          <a:chExt cx="762000" cy="931132"/>
        </a:xfrm>
      </xdr:grpSpPr>
      <xdr:pic>
        <xdr:nvPicPr>
          <xdr:cNvPr id="9"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0"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11"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6</xdr:col>
      <xdr:colOff>324971</xdr:colOff>
      <xdr:row>0</xdr:row>
      <xdr:rowOff>145677</xdr:rowOff>
    </xdr:from>
    <xdr:to>
      <xdr:col>9</xdr:col>
      <xdr:colOff>274465</xdr:colOff>
      <xdr:row>2</xdr:row>
      <xdr:rowOff>186819</xdr:rowOff>
    </xdr:to>
    <xdr:grpSp>
      <xdr:nvGrpSpPr>
        <xdr:cNvPr id="6" name="Group 5"/>
        <xdr:cNvGrpSpPr/>
      </xdr:nvGrpSpPr>
      <xdr:grpSpPr>
        <a:xfrm>
          <a:off x="12367292" y="145677"/>
          <a:ext cx="3092744" cy="667071"/>
          <a:chOff x="7608794" y="145676"/>
          <a:chExt cx="3047258" cy="652342"/>
        </a:xfrm>
      </xdr:grpSpPr>
      <xdr:sp macro="[0]!MarkConfidential" textlink="">
        <xdr:nvSpPr>
          <xdr:cNvPr id="7" name="Rounded Rectangle 6"/>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2" name="Rounded Rectangle 11"/>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112058</xdr:colOff>
      <xdr:row>0</xdr:row>
      <xdr:rowOff>123264</xdr:rowOff>
    </xdr:from>
    <xdr:to>
      <xdr:col>0</xdr:col>
      <xdr:colOff>806262</xdr:colOff>
      <xdr:row>3</xdr:row>
      <xdr:rowOff>140073</xdr:rowOff>
    </xdr:to>
    <xdr:grpSp>
      <xdr:nvGrpSpPr>
        <xdr:cNvPr id="2" name="Group 1"/>
        <xdr:cNvGrpSpPr/>
      </xdr:nvGrpSpPr>
      <xdr:grpSpPr>
        <a:xfrm>
          <a:off x="112058" y="123264"/>
          <a:ext cx="694204" cy="969309"/>
          <a:chOff x="0" y="1560739"/>
          <a:chExt cx="762000" cy="931132"/>
        </a:xfrm>
      </xdr:grpSpPr>
      <xdr:pic>
        <xdr:nvPicPr>
          <xdr:cNvPr id="3"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5"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10</xdr:col>
      <xdr:colOff>40821</xdr:colOff>
      <xdr:row>0</xdr:row>
      <xdr:rowOff>136071</xdr:rowOff>
    </xdr:from>
    <xdr:to>
      <xdr:col>13</xdr:col>
      <xdr:colOff>7124</xdr:colOff>
      <xdr:row>2</xdr:row>
      <xdr:rowOff>178813</xdr:rowOff>
    </xdr:to>
    <xdr:grpSp>
      <xdr:nvGrpSpPr>
        <xdr:cNvPr id="6" name="Group 5"/>
        <xdr:cNvGrpSpPr/>
      </xdr:nvGrpSpPr>
      <xdr:grpSpPr>
        <a:xfrm>
          <a:off x="11877221" y="136071"/>
          <a:ext cx="3204803" cy="677742"/>
          <a:chOff x="7608794" y="145676"/>
          <a:chExt cx="3047258" cy="652342"/>
        </a:xfrm>
      </xdr:grpSpPr>
      <xdr:sp macro="[4]!MarkConfidential" textlink="">
        <xdr:nvSpPr>
          <xdr:cNvPr id="7" name="Rounded Rectangle 6"/>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4]!MarkNonConfidential" textlink="">
        <xdr:nvSpPr>
          <xdr:cNvPr id="8" name="Rounded Rectangle 7"/>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112058</xdr:colOff>
      <xdr:row>0</xdr:row>
      <xdr:rowOff>123264</xdr:rowOff>
    </xdr:from>
    <xdr:to>
      <xdr:col>0</xdr:col>
      <xdr:colOff>806262</xdr:colOff>
      <xdr:row>3</xdr:row>
      <xdr:rowOff>140073</xdr:rowOff>
    </xdr:to>
    <xdr:grpSp>
      <xdr:nvGrpSpPr>
        <xdr:cNvPr id="2" name="Group 1"/>
        <xdr:cNvGrpSpPr/>
      </xdr:nvGrpSpPr>
      <xdr:grpSpPr>
        <a:xfrm>
          <a:off x="112058" y="123264"/>
          <a:ext cx="694204" cy="969309"/>
          <a:chOff x="0" y="1560739"/>
          <a:chExt cx="762000" cy="931132"/>
        </a:xfrm>
      </xdr:grpSpPr>
      <xdr:pic>
        <xdr:nvPicPr>
          <xdr:cNvPr id="3"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5"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8</xdr:col>
      <xdr:colOff>134471</xdr:colOff>
      <xdr:row>0</xdr:row>
      <xdr:rowOff>179294</xdr:rowOff>
    </xdr:from>
    <xdr:to>
      <xdr:col>11</xdr:col>
      <xdr:colOff>83965</xdr:colOff>
      <xdr:row>2</xdr:row>
      <xdr:rowOff>220436</xdr:rowOff>
    </xdr:to>
    <xdr:grpSp>
      <xdr:nvGrpSpPr>
        <xdr:cNvPr id="6" name="Group 5"/>
        <xdr:cNvGrpSpPr/>
      </xdr:nvGrpSpPr>
      <xdr:grpSpPr>
        <a:xfrm>
          <a:off x="10472271" y="179294"/>
          <a:ext cx="3187994" cy="676142"/>
          <a:chOff x="7608794" y="145676"/>
          <a:chExt cx="3047258" cy="652342"/>
        </a:xfrm>
      </xdr:grpSpPr>
      <xdr:sp macro="[0]!MarkConfidential" textlink="">
        <xdr:nvSpPr>
          <xdr:cNvPr id="7" name="Rounded Rectangle 6"/>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8" name="Rounded Rectangle 7"/>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119743</xdr:colOff>
      <xdr:row>0</xdr:row>
      <xdr:rowOff>146957</xdr:rowOff>
    </xdr:from>
    <xdr:to>
      <xdr:col>1</xdr:col>
      <xdr:colOff>990600</xdr:colOff>
      <xdr:row>3</xdr:row>
      <xdr:rowOff>180018</xdr:rowOff>
    </xdr:to>
    <xdr:grpSp>
      <xdr:nvGrpSpPr>
        <xdr:cNvPr id="2" name="Group 1"/>
        <xdr:cNvGrpSpPr/>
      </xdr:nvGrpSpPr>
      <xdr:grpSpPr>
        <a:xfrm>
          <a:off x="747272" y="146957"/>
          <a:ext cx="870857" cy="947461"/>
          <a:chOff x="0" y="1560739"/>
          <a:chExt cx="762000" cy="931132"/>
        </a:xfrm>
      </xdr:grpSpPr>
      <xdr:pic>
        <xdr:nvPicPr>
          <xdr:cNvPr id="3"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5"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176893</xdr:colOff>
      <xdr:row>0</xdr:row>
      <xdr:rowOff>118382</xdr:rowOff>
    </xdr:from>
    <xdr:to>
      <xdr:col>0</xdr:col>
      <xdr:colOff>938893</xdr:colOff>
      <xdr:row>3</xdr:row>
      <xdr:rowOff>151443</xdr:rowOff>
    </xdr:to>
    <xdr:grpSp>
      <xdr:nvGrpSpPr>
        <xdr:cNvPr id="2" name="Group 1"/>
        <xdr:cNvGrpSpPr/>
      </xdr:nvGrpSpPr>
      <xdr:grpSpPr>
        <a:xfrm>
          <a:off x="176893" y="118382"/>
          <a:ext cx="762000" cy="947461"/>
          <a:chOff x="0" y="1560739"/>
          <a:chExt cx="762000" cy="931132"/>
        </a:xfrm>
      </xdr:grpSpPr>
      <xdr:pic>
        <xdr:nvPicPr>
          <xdr:cNvPr id="3"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5"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6</xdr:col>
      <xdr:colOff>0</xdr:colOff>
      <xdr:row>0</xdr:row>
      <xdr:rowOff>171450</xdr:rowOff>
    </xdr:from>
    <xdr:to>
      <xdr:col>9</xdr:col>
      <xdr:colOff>252053</xdr:colOff>
      <xdr:row>2</xdr:row>
      <xdr:rowOff>230521</xdr:rowOff>
    </xdr:to>
    <xdr:grpSp>
      <xdr:nvGrpSpPr>
        <xdr:cNvPr id="6" name="Group 5"/>
        <xdr:cNvGrpSpPr/>
      </xdr:nvGrpSpPr>
      <xdr:grpSpPr>
        <a:xfrm>
          <a:off x="9637059" y="171450"/>
          <a:ext cx="3210406" cy="668671"/>
          <a:chOff x="7608794" y="145676"/>
          <a:chExt cx="3047258" cy="652342"/>
        </a:xfrm>
      </xdr:grpSpPr>
      <xdr:sp macro="[2]!MarkConfidential" textlink="">
        <xdr:nvSpPr>
          <xdr:cNvPr id="7" name="Rounded Rectangle 6"/>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2]!MarkNonConfidential" textlink="">
        <xdr:nvSpPr>
          <xdr:cNvPr id="8" name="Rounded Rectangle 7"/>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4</xdr:row>
      <xdr:rowOff>0</xdr:rowOff>
    </xdr:from>
    <xdr:to>
      <xdr:col>1</xdr:col>
      <xdr:colOff>3781425</xdr:colOff>
      <xdr:row>4</xdr:row>
      <xdr:rowOff>0</xdr:rowOff>
    </xdr:to>
    <xdr:sp macro="" textlink="">
      <xdr:nvSpPr>
        <xdr:cNvPr id="2" name="Text Box 58"/>
        <xdr:cNvSpPr txBox="1">
          <a:spLocks noChangeArrowheads="1"/>
        </xdr:cNvSpPr>
      </xdr:nvSpPr>
      <xdr:spPr bwMode="auto">
        <a:xfrm>
          <a:off x="2209800" y="1219200"/>
          <a:ext cx="3781425"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0" bIns="0" anchor="t" upright="1"/>
        <a:lstStyle/>
        <a:p>
          <a:pPr algn="l" rtl="0">
            <a:defRPr sz="1000"/>
          </a:pPr>
          <a:r>
            <a:rPr lang="en-AU" sz="1600" b="1" i="0" u="none" strike="noStrike" baseline="0">
              <a:solidFill>
                <a:srgbClr val="FFFFFF"/>
              </a:solidFill>
              <a:latin typeface="Arial"/>
              <a:cs typeface="Arial"/>
            </a:rPr>
            <a:t>Non-Demand Capital Expenditure Including Related Party Margins</a:t>
          </a:r>
        </a:p>
        <a:p>
          <a:pPr algn="l" rtl="0">
            <a:defRPr sz="1000"/>
          </a:pPr>
          <a:endParaRPr lang="en-AU" sz="1600" b="1" i="0" u="none" strike="noStrike" baseline="0">
            <a:solidFill>
              <a:srgbClr val="FFFFFF"/>
            </a:solidFill>
            <a:latin typeface="Arial"/>
            <a:cs typeface="Arial"/>
          </a:endParaRPr>
        </a:p>
      </xdr:txBody>
    </xdr:sp>
    <xdr:clientData/>
  </xdr:twoCellAnchor>
  <xdr:twoCellAnchor>
    <xdr:from>
      <xdr:col>1</xdr:col>
      <xdr:colOff>0</xdr:colOff>
      <xdr:row>4</xdr:row>
      <xdr:rowOff>0</xdr:rowOff>
    </xdr:from>
    <xdr:to>
      <xdr:col>1</xdr:col>
      <xdr:colOff>4410075</xdr:colOff>
      <xdr:row>4</xdr:row>
      <xdr:rowOff>0</xdr:rowOff>
    </xdr:to>
    <xdr:sp macro="" textlink="">
      <xdr:nvSpPr>
        <xdr:cNvPr id="3" name="Text Box 59"/>
        <xdr:cNvSpPr txBox="1">
          <a:spLocks noChangeArrowheads="1"/>
        </xdr:cNvSpPr>
      </xdr:nvSpPr>
      <xdr:spPr bwMode="auto">
        <a:xfrm>
          <a:off x="2209800" y="1219200"/>
          <a:ext cx="4410075"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89807</xdr:colOff>
      <xdr:row>0</xdr:row>
      <xdr:rowOff>191522</xdr:rowOff>
    </xdr:from>
    <xdr:to>
      <xdr:col>0</xdr:col>
      <xdr:colOff>794657</xdr:colOff>
      <xdr:row>4</xdr:row>
      <xdr:rowOff>62658</xdr:rowOff>
    </xdr:to>
    <xdr:grpSp>
      <xdr:nvGrpSpPr>
        <xdr:cNvPr id="4" name="Group 3"/>
        <xdr:cNvGrpSpPr/>
      </xdr:nvGrpSpPr>
      <xdr:grpSpPr>
        <a:xfrm>
          <a:off x="89807" y="191522"/>
          <a:ext cx="704850" cy="1118045"/>
          <a:chOff x="0" y="1560739"/>
          <a:chExt cx="762000" cy="931132"/>
        </a:xfrm>
      </xdr:grpSpPr>
      <xdr:pic>
        <xdr:nvPicPr>
          <xdr:cNvPr id="5"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7"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68036</xdr:colOff>
      <xdr:row>0</xdr:row>
      <xdr:rowOff>131990</xdr:rowOff>
    </xdr:from>
    <xdr:to>
      <xdr:col>0</xdr:col>
      <xdr:colOff>985157</xdr:colOff>
      <xdr:row>4</xdr:row>
      <xdr:rowOff>0</xdr:rowOff>
    </xdr:to>
    <xdr:grpSp>
      <xdr:nvGrpSpPr>
        <xdr:cNvPr id="2" name="Group 1"/>
        <xdr:cNvGrpSpPr/>
      </xdr:nvGrpSpPr>
      <xdr:grpSpPr>
        <a:xfrm>
          <a:off x="68036" y="131990"/>
          <a:ext cx="917121" cy="934810"/>
          <a:chOff x="0" y="1560739"/>
          <a:chExt cx="762000" cy="931132"/>
        </a:xfrm>
      </xdr:grpSpPr>
      <xdr:pic>
        <xdr:nvPicPr>
          <xdr:cNvPr id="3"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5"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7</xdr:col>
      <xdr:colOff>895350</xdr:colOff>
      <xdr:row>0</xdr:row>
      <xdr:rowOff>114300</xdr:rowOff>
    </xdr:from>
    <xdr:to>
      <xdr:col>11</xdr:col>
      <xdr:colOff>347303</xdr:colOff>
      <xdr:row>2</xdr:row>
      <xdr:rowOff>192421</xdr:rowOff>
    </xdr:to>
    <xdr:grpSp>
      <xdr:nvGrpSpPr>
        <xdr:cNvPr id="6" name="Group 5"/>
        <xdr:cNvGrpSpPr/>
      </xdr:nvGrpSpPr>
      <xdr:grpSpPr>
        <a:xfrm>
          <a:off x="11410950" y="114300"/>
          <a:ext cx="4023953" cy="611521"/>
          <a:chOff x="7608794" y="145676"/>
          <a:chExt cx="3047258" cy="652342"/>
        </a:xfrm>
      </xdr:grpSpPr>
      <xdr:sp macro="[0]!MarkConfidential" textlink="">
        <xdr:nvSpPr>
          <xdr:cNvPr id="7" name="Rounded Rectangle 6"/>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8" name="Rounded Rectangle 7"/>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227006</xdr:colOff>
      <xdr:row>0</xdr:row>
      <xdr:rowOff>21348</xdr:rowOff>
    </xdr:from>
    <xdr:to>
      <xdr:col>3</xdr:col>
      <xdr:colOff>1383418</xdr:colOff>
      <xdr:row>3</xdr:row>
      <xdr:rowOff>236565</xdr:rowOff>
    </xdr:to>
    <xdr:grpSp>
      <xdr:nvGrpSpPr>
        <xdr:cNvPr id="6" name="Group 5"/>
        <xdr:cNvGrpSpPr/>
      </xdr:nvGrpSpPr>
      <xdr:grpSpPr>
        <a:xfrm>
          <a:off x="227006" y="21348"/>
          <a:ext cx="1156412" cy="1031646"/>
          <a:chOff x="0" y="1560739"/>
          <a:chExt cx="762000" cy="931132"/>
        </a:xfrm>
      </xdr:grpSpPr>
      <xdr:pic>
        <xdr:nvPicPr>
          <xdr:cNvPr id="7"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9"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11</xdr:col>
      <xdr:colOff>69273</xdr:colOff>
      <xdr:row>0</xdr:row>
      <xdr:rowOff>173181</xdr:rowOff>
    </xdr:from>
    <xdr:to>
      <xdr:col>14</xdr:col>
      <xdr:colOff>9599</xdr:colOff>
      <xdr:row>2</xdr:row>
      <xdr:rowOff>218397</xdr:rowOff>
    </xdr:to>
    <xdr:grpSp>
      <xdr:nvGrpSpPr>
        <xdr:cNvPr id="10" name="Group 9"/>
        <xdr:cNvGrpSpPr/>
      </xdr:nvGrpSpPr>
      <xdr:grpSpPr>
        <a:xfrm>
          <a:off x="14667016" y="173181"/>
          <a:ext cx="3173383" cy="589502"/>
          <a:chOff x="7608794" y="145676"/>
          <a:chExt cx="3047258" cy="652342"/>
        </a:xfrm>
      </xdr:grpSpPr>
      <xdr:sp macro="[0]!MarkConfidential" textlink="">
        <xdr:nvSpPr>
          <xdr:cNvPr id="11" name="Rounded Rectangle 10"/>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2" name="Rounded Rectangle 11"/>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AER\DMT\TEMPLATES\RIN%20Templates\Benchmarking\Benchmarking%202015-16\DNSP%20-%20Benchmarking%20RIN%20-%202015-16%20blank%20template%20(unlocked)%20@%2020160329.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lburridg\AppData\Local\Microsoft\Windows\Temporary%20Internet%20Files\Content.Outlook\O9OU2YN4\23.%20Opex\Final%20RIN%20&#8211;%20AusNet%20GAAR%202018-22%20-%20Opex%20and%20Escalators%20and%20pass%20through%20011216.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lburridg\AppData\Local\Microsoft\Windows\Temporary%20Internet%20Files\Content.Outlook\O9OU2YN4\28.%20Consumption%20and%20Demand\Vic%20GAAR%202018-22%20Draft%20RIN%20regulatory%20templates%20-%20AusNet%20-%2020161118%20DEMAND%20MKTG.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lburridg\AppData\Local\Microsoft\Windows\Temporary%20Internet%20Files\Content.Outlook\O9OU2YN4\29.1%20Gas%20extensions%20($)\Vic%20GAAR%202018-22%20Draft%20RIN%20regulatory%20templates%20-%20AusNet%20-%20jd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Regulation\Price%20Review\2018-22%20GAAR\6.0%202018%20GAAR%20-%20External%20Advise%20&amp;%20Consultants\Demand%20forecasts\3.0%20Original%20proposal\3.2%20Final%20forecasts\Usage%20forecasting%20model%20v17.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lburridg\AppData\Local\Microsoft\Windows\Temporary%20Internet%20Files\Content.Outlook\O9OU2YN4\29.2-29.3%20Gas%20extensions%20x%204%20(cust.%20nos%20&amp;%20demand)\Vic%20GAAR%202018-22%20Draft%20RIN%20regulatory%20templates%20-%20AusNet%20-%2020161118%20DEMAND%20MKT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lburridg\AppData\Local\Microsoft\Windows\Temporary%20Internet%20Files\Content.Outlook\O9OU2YN4\2.%20Escalators\Final%20RIN%20&#8211;%20AusNet%20GAAR%202018-22%20-%20Opex%20and%20Escalators%20MP%202111201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trimdata\TRIM\TEMP\HPTRIM.8940\D16%20119079%20%20Vic%20GAAR%202018-22%20preliminary%20draft%20RIN%20templates%20-%20AusNet%20-%202016090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lburridg\AppData\Local\Microsoft\Windows\Temporary%20Internet%20Files\Content.Outlook\O9OU2YN4\30.%20Network%20characteristics\MH%20Vic%20GAAR%202018-22%20Draft%20RIN%20regulatory%20templates%20-%20AusNet%20-%2020160922%20-%20RIN%203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lburridg\AppData\Local\Microsoft\Windows\Temporary%20Internet%20Files\Content.Outlook\O9OU2YN4\12.%20ICT%20Capex\12.%20IT%20v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Price%20Review\2018-22%20GAAR\9.0%202018%20GAAR%20-%20Modelling\Capex%20forecast%20model\2018-22%20GAAR%20Capex%20Forecast%20Model%20-%20FINA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egulatory%20Finance\Other\GAAR\2008-15%20GAAR%20Overhead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lburridg\AppData\Local\Microsoft\Windows\Temporary%20Internet%20Files\Content.Outlook\O9OU2YN4\15.%20Related%20Party\RIN%2015%20Related%20Party%20(on%20AER%20draft%20RIN%20of%2022Sep16)%20updated%2025Nov16.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mpapas\AppData\Local\Microsoft\Windows\Temporary%20Internet%20Files\Content.Outlook\I00E0C28\23.%20Opex\Final%20RIN%20&#8211;%20AusNet%20GAAR%202018-22%20-%20Opex%20and%20Escalators%20and%20pass%20through%200112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only"/>
      <sheetName val="Instructions"/>
      <sheetName val="Contents"/>
      <sheetName val="Business &amp; other details"/>
      <sheetName val="3.1 Revenue"/>
      <sheetName val="3.2 Operating expenditure"/>
      <sheetName val="3.2.3 Provisions"/>
      <sheetName val="3.3 Assets (RAB)"/>
      <sheetName val="3.4 Operational data"/>
      <sheetName val="3.5 Physical assets"/>
      <sheetName val="3.6 Quality of service"/>
      <sheetName val="3.7 Operating environment"/>
      <sheetName val="Unlocked worksheet"/>
    </sheetNames>
    <sheetDataSet>
      <sheetData sheetId="0">
        <row r="12">
          <cell r="G12" t="str">
            <v>dms_Segment_List</v>
          </cell>
        </row>
        <row r="13">
          <cell r="G13" t="str">
            <v>Distribution</v>
          </cell>
        </row>
        <row r="14">
          <cell r="G14" t="str">
            <v>Distribution</v>
          </cell>
        </row>
        <row r="15">
          <cell r="G15" t="str">
            <v>Distribution</v>
          </cell>
        </row>
        <row r="16">
          <cell r="G16" t="str">
            <v>Distribution</v>
          </cell>
        </row>
        <row r="17">
          <cell r="G17" t="str">
            <v>Distribution</v>
          </cell>
        </row>
        <row r="18">
          <cell r="G18" t="str">
            <v>Distribution</v>
          </cell>
        </row>
        <row r="19">
          <cell r="G19" t="str">
            <v>Transmission</v>
          </cell>
        </row>
        <row r="20">
          <cell r="G20" t="str">
            <v>Distribution</v>
          </cell>
        </row>
        <row r="21">
          <cell r="G21" t="str">
            <v>Transmission</v>
          </cell>
        </row>
        <row r="22">
          <cell r="G22" t="str">
            <v>Distribution</v>
          </cell>
        </row>
        <row r="23">
          <cell r="G23" t="str">
            <v>Transmission</v>
          </cell>
        </row>
        <row r="24">
          <cell r="G24" t="str">
            <v>Transmission</v>
          </cell>
        </row>
        <row r="25">
          <cell r="G25" t="str">
            <v>Distribution</v>
          </cell>
        </row>
        <row r="26">
          <cell r="G26" t="str">
            <v>Distribution</v>
          </cell>
        </row>
        <row r="27">
          <cell r="G27" t="str">
            <v>Distribution</v>
          </cell>
        </row>
        <row r="28">
          <cell r="G28" t="str">
            <v>Distribution</v>
          </cell>
        </row>
        <row r="29">
          <cell r="G29" t="str">
            <v>Distribution</v>
          </cell>
        </row>
        <row r="30">
          <cell r="G30" t="str">
            <v>Transmission</v>
          </cell>
        </row>
        <row r="31">
          <cell r="G31" t="str">
            <v>Distribution</v>
          </cell>
        </row>
        <row r="32">
          <cell r="G32" t="str">
            <v>Transmission</v>
          </cell>
        </row>
        <row r="33">
          <cell r="G33" t="str">
            <v>Distribution</v>
          </cell>
        </row>
        <row r="34">
          <cell r="G34" t="str">
            <v>Distribution</v>
          </cell>
        </row>
        <row r="35">
          <cell r="G35" t="str">
            <v>Distribution</v>
          </cell>
        </row>
        <row r="36">
          <cell r="G36" t="str">
            <v>Transmission</v>
          </cell>
        </row>
        <row r="37">
          <cell r="G37" t="str">
            <v>Transmission</v>
          </cell>
        </row>
        <row r="38">
          <cell r="G38" t="str">
            <v>Distribution</v>
          </cell>
        </row>
        <row r="39">
          <cell r="G39" t="str">
            <v>Distribution</v>
          </cell>
        </row>
        <row r="40">
          <cell r="G40" t="str">
            <v>Distribution</v>
          </cell>
        </row>
        <row r="41">
          <cell r="G41" t="str">
            <v>Distribution</v>
          </cell>
        </row>
        <row r="42">
          <cell r="G42" t="str">
            <v>Transmission</v>
          </cell>
        </row>
        <row r="58">
          <cell r="G58" t="str">
            <v>dms_CRCPlength_Num_List</v>
          </cell>
        </row>
        <row r="59">
          <cell r="G59">
            <v>1</v>
          </cell>
        </row>
        <row r="60">
          <cell r="G60">
            <v>2</v>
          </cell>
        </row>
        <row r="61">
          <cell r="G61">
            <v>3</v>
          </cell>
        </row>
        <row r="62">
          <cell r="G62">
            <v>4</v>
          </cell>
        </row>
        <row r="63">
          <cell r="G63">
            <v>5</v>
          </cell>
        </row>
        <row r="64">
          <cell r="G64">
            <v>6</v>
          </cell>
        </row>
        <row r="65">
          <cell r="G65">
            <v>7</v>
          </cell>
        </row>
        <row r="66">
          <cell r="G66">
            <v>8</v>
          </cell>
        </row>
        <row r="67">
          <cell r="G67">
            <v>9</v>
          </cell>
        </row>
        <row r="68">
          <cell r="G68">
            <v>10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only"/>
      <sheetName val="Contents"/>
      <sheetName val="Instructions"/>
      <sheetName val="Business &amp; other details"/>
      <sheetName val="1. CPI"/>
      <sheetName val="2. Escalators"/>
      <sheetName val="3 - Capex summary"/>
      <sheetName val="4. Connections market expansn"/>
      <sheetName val="5. Mains augmentation"/>
      <sheetName val="6. Mains replacement"/>
      <sheetName val="7. Telemetry"/>
      <sheetName val="8. Meter replacement"/>
      <sheetName val="9. Other capex"/>
      <sheetName val="12. IT"/>
      <sheetName val="14. Overheads"/>
      <sheetName val="15. Related party transactions"/>
      <sheetName val="16. Capex allocation"/>
      <sheetName val="17. Gross Capex "/>
      <sheetName val="20. Changes in provisions"/>
      <sheetName val="21 - Indicative bill impacts"/>
      <sheetName val="22. WACC Inputs"/>
      <sheetName val="23.1 Opex incl. RPM"/>
      <sheetName val="23.2 Opex excl. RPM"/>
      <sheetName val="23.3 Opex base-step-trend"/>
      <sheetName val="23.4 Opex incentive mechanism"/>
      <sheetName val="24. Cost category matrix"/>
      <sheetName val="25. ARS"/>
      <sheetName val="26. Allocation of total revenue"/>
      <sheetName val="27. Customer numbers"/>
      <sheetName val="28. Consumption and demand"/>
      <sheetName val="29.1 Gas extenstions ($)"/>
      <sheetName val="29.2 Gas extenstions cust no"/>
      <sheetName val="29.3 Gas extensions - demand"/>
      <sheetName val="29.4 Gas extensions - tariffs"/>
      <sheetName val="30. Network characteristics"/>
      <sheetName val="31 - Pass through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90">
          <cell r="C90">
            <v>56401.047860123101</v>
          </cell>
          <cell r="D90">
            <v>56634.835883826301</v>
          </cell>
          <cell r="E90">
            <v>57613.477158376001</v>
          </cell>
          <cell r="F90">
            <v>58609.244655230301</v>
          </cell>
          <cell r="G90">
            <v>60068.433287116502</v>
          </cell>
          <cell r="H90">
            <v>67098.279485570107</v>
          </cell>
          <cell r="I90">
            <v>58272.295399353599</v>
          </cell>
          <cell r="J90">
            <v>62330.447995296301</v>
          </cell>
          <cell r="K90">
            <v>55846.5606736474</v>
          </cell>
          <cell r="L90">
            <v>58651.468223030002</v>
          </cell>
        </row>
      </sheetData>
      <sheetData sheetId="22">
        <row r="24">
          <cell r="C24">
            <v>14576</v>
          </cell>
        </row>
      </sheetData>
      <sheetData sheetId="23">
        <row r="34">
          <cell r="E34">
            <v>4370</v>
          </cell>
          <cell r="F34">
            <v>4370</v>
          </cell>
          <cell r="G34">
            <v>4370</v>
          </cell>
          <cell r="H34">
            <v>4370</v>
          </cell>
          <cell r="I34">
            <v>4370</v>
          </cell>
        </row>
        <row r="35">
          <cell r="E35">
            <v>0</v>
          </cell>
          <cell r="H35">
            <v>409</v>
          </cell>
        </row>
        <row r="45">
          <cell r="E45">
            <v>791.37777899509194</v>
          </cell>
          <cell r="F45">
            <v>804.64238552166103</v>
          </cell>
          <cell r="G45">
            <v>821.45940079680395</v>
          </cell>
          <cell r="H45">
            <v>835.61071448057805</v>
          </cell>
          <cell r="I45">
            <v>844.96156165867501</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only"/>
      <sheetName val="Contents"/>
      <sheetName val="Instructions"/>
      <sheetName val="Business &amp; other details"/>
      <sheetName val="1. CPI"/>
      <sheetName val="2. Escalators"/>
      <sheetName val="3 - Capex summary"/>
      <sheetName val="4. Connections market expansn"/>
      <sheetName val="5. Mains augmentation"/>
      <sheetName val="6. Mains replacement"/>
      <sheetName val="7. Telemetry"/>
      <sheetName val="8. Meter replacement"/>
      <sheetName val="9. Other capex"/>
      <sheetName val="12. IT"/>
      <sheetName val="14. Overheads"/>
      <sheetName val="15. Related party transactions"/>
      <sheetName val="16. Capex allocation"/>
      <sheetName val="17. Gross Capex "/>
      <sheetName val="20. Changes in provisions"/>
      <sheetName val="21 - Indicative bill impacts"/>
      <sheetName val="22. WACC Inputs"/>
      <sheetName val="23.1 Opex incl. RPM"/>
      <sheetName val="23.2 Opex excl. RPM"/>
      <sheetName val="23.3 Opex base-step-trend"/>
      <sheetName val="23.4 Opex incentive mechanism"/>
      <sheetName val="24. Cost category matrix"/>
      <sheetName val="25. ARS"/>
      <sheetName val="26. Allocation of total revenue"/>
      <sheetName val="27. Customer numbers"/>
      <sheetName val="28. Consumption and demand"/>
      <sheetName val="29.1 Gas extenstions ($)"/>
      <sheetName val="29.2.1 Gas extenstions cust no"/>
      <sheetName val="29.3.1 Gas extensions - demand"/>
      <sheetName val="29.2.2 Gas extenstions cust no"/>
      <sheetName val="29.3.2 Gas extensions - demand"/>
      <sheetName val="29.2.3 Gas extenstions cust no"/>
      <sheetName val="29.3.3 Gas extensions - demand"/>
      <sheetName val="29.2.4 Gas extenstions cust no"/>
      <sheetName val="29.3.4 Gas extensions - demand"/>
      <sheetName val="29.4 Gas extensions - tariffs"/>
      <sheetName val="30. Network characteristics"/>
      <sheetName val="31 - Pass through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20">
          <cell r="B20" t="str">
            <v>Central</v>
          </cell>
        </row>
        <row r="21">
          <cell r="B21" t="str">
            <v>Tariff V</v>
          </cell>
        </row>
        <row r="24">
          <cell r="B24" t="str">
            <v>Residential customers</v>
          </cell>
        </row>
        <row r="30">
          <cell r="B30" t="str">
            <v>Commercial customers</v>
          </cell>
        </row>
        <row r="38">
          <cell r="B38" t="str">
            <v>West</v>
          </cell>
        </row>
        <row r="39">
          <cell r="B39" t="str">
            <v>Tariff V</v>
          </cell>
        </row>
        <row r="42">
          <cell r="B42" t="str">
            <v>Residential customers</v>
          </cell>
        </row>
        <row r="48">
          <cell r="B48" t="str">
            <v>Commercial customers</v>
          </cell>
        </row>
        <row r="56">
          <cell r="B56" t="str">
            <v>Adjoining central</v>
          </cell>
        </row>
        <row r="57">
          <cell r="B57" t="str">
            <v>Tariff V</v>
          </cell>
        </row>
        <row r="60">
          <cell r="B60" t="str">
            <v>Residential customers</v>
          </cell>
        </row>
        <row r="66">
          <cell r="B66" t="str">
            <v>Commercial customers</v>
          </cell>
        </row>
        <row r="74">
          <cell r="B74" t="str">
            <v>Adjoining West</v>
          </cell>
        </row>
        <row r="75">
          <cell r="B75" t="str">
            <v>Tariff V</v>
          </cell>
        </row>
        <row r="78">
          <cell r="B78" t="str">
            <v>Residential customers</v>
          </cell>
        </row>
        <row r="84">
          <cell r="B84" t="str">
            <v>Commercial customers</v>
          </cell>
        </row>
        <row r="92">
          <cell r="B92" t="str">
            <v>Central and West</v>
          </cell>
        </row>
        <row r="93">
          <cell r="B93" t="str">
            <v>MHQ customers</v>
          </cell>
        </row>
        <row r="96">
          <cell r="B96" t="str">
            <v>Tariff D</v>
          </cell>
        </row>
        <row r="102">
          <cell r="B102" t="str">
            <v>Tariff M</v>
          </cell>
        </row>
        <row r="110">
          <cell r="B110" t="str">
            <v>Adjoining Central and Adjoining West</v>
          </cell>
        </row>
        <row r="111">
          <cell r="B111" t="str">
            <v>MHQ customers</v>
          </cell>
        </row>
        <row r="114">
          <cell r="B114" t="str">
            <v>Tariff D</v>
          </cell>
        </row>
        <row r="120">
          <cell r="B120" t="str">
            <v>Tariff M</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only"/>
      <sheetName val="Contents"/>
      <sheetName val="Instructions"/>
      <sheetName val="Business &amp; other details"/>
      <sheetName val="1. CPI"/>
      <sheetName val="2. Escalators"/>
      <sheetName val="3 - Capex summary"/>
      <sheetName val="4. Connections market expansn"/>
      <sheetName val="5. Mains augmentation"/>
      <sheetName val="6. Mains replacement"/>
      <sheetName val="7. Telemetry"/>
      <sheetName val="8. Meter replacement"/>
      <sheetName val="9. Other capex"/>
      <sheetName val="12. IT"/>
      <sheetName val="14. Overheads"/>
      <sheetName val="15. Related party transactions"/>
      <sheetName val="16. Capex allocation"/>
      <sheetName val="17. Gross Capex "/>
      <sheetName val="20. Changes in provisions"/>
      <sheetName val="21 - Indicative bill impacts"/>
      <sheetName val="22. WACC Inputs"/>
      <sheetName val="23.1 Opex incl. RPM"/>
      <sheetName val="23.2 Opex excl. RPM"/>
      <sheetName val="23.3 Opex base-step-trend"/>
      <sheetName val="23.4 Opex incentive mechanism"/>
      <sheetName val="24. Cost category matrix"/>
      <sheetName val="25. ARS"/>
      <sheetName val="26. Allocation of total revenue"/>
      <sheetName val="27. Customer numbers"/>
      <sheetName val="28. Consumption and demand"/>
      <sheetName val="29.1.1 Gas extenstions ($)"/>
      <sheetName val="29.1.2 Gas extenstions ($)"/>
      <sheetName val="29.1.3 Gas extenstions ($)"/>
      <sheetName val="29.1.4 Gas extenstions ($)"/>
      <sheetName val="29.2 Gas extenstions cust no"/>
      <sheetName val="29.3 Gas extensions - demand"/>
      <sheetName val="29.4 Gas extensions - tariffs"/>
      <sheetName val="30. Network characteristics"/>
      <sheetName val="31 - Pass throughs"/>
      <sheetName val="Vic GAAR 2018-22 Draft RIN regu"/>
    </sheetNames>
    <definedNames>
      <definedName name="MarkConfidential"/>
      <definedName name="MarkNonConfidentia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amples"/>
      <sheetName val="Contents"/>
      <sheetName val="Outputs - PM-adjusted"/>
      <sheetName val="Outputs - tariff volumes"/>
      <sheetName val="Outputs - customer numbers"/>
      <sheetName val="Outputs - CNs by postcode"/>
      <sheetName val="Outputs - Sensitivity"/>
      <sheetName val="Calc - constant price revenue"/>
      <sheetName val="Calc - weather normalised"/>
      <sheetName val="Calc - usage existing"/>
      <sheetName val="Calc - usage new"/>
      <sheetName val="Calc - tariff D MHQ"/>
      <sheetName val="Inputs - drivers"/>
      <sheetName val="Inputs - assumptions"/>
      <sheetName val="Inputs - coefficients"/>
      <sheetName val="Data - usage raw"/>
      <sheetName val="Data - forecasts of drivers"/>
      <sheetName val="Report charts"/>
      <sheetName val="Report tables"/>
      <sheetName val="Calc - residential CNs"/>
      <sheetName val="Calc - commercial CNs"/>
      <sheetName val="Calc - Res CNs"/>
      <sheetName val="Calc - LGA to PC_Res"/>
      <sheetName val="Calc - LGA to PC_Comm"/>
      <sheetName val="Calc - NNew Res CNs"/>
      <sheetName val="Calc - NNew Comm CNs"/>
      <sheetName val="Calc - NNew Dwellings_1"/>
      <sheetName val="Calc - NNew Dwellings_2"/>
      <sheetName val="Calc - NNew Dwellings_2A"/>
      <sheetName val="Calc - Comm CNs"/>
      <sheetName val="Calc - Dwellings_1"/>
      <sheetName val="Calc - Dwellings_2"/>
      <sheetName val="Calc - Dwellings_2A"/>
      <sheetName val="Calc - Dwelling Approvals"/>
      <sheetName val="Data - AusNet_Cust Numbers"/>
      <sheetName val="Data - AusNet_Disconnections M"/>
      <sheetName val="Data - 1270_PCLGA"/>
      <sheetName val="Data - ERP_HH_Dw_LGAs_VIF 15"/>
      <sheetName val="Data - ERP_HH_Dw_LGAs_VIF 16"/>
      <sheetName val="Data - 2006 Census Dwell Type"/>
      <sheetName val="Data - 2011 Census Dwell Type"/>
      <sheetName val="Data - 2011_CensusPC_DType"/>
      <sheetName val="Data - 8731_0910"/>
      <sheetName val="Data - 8731_1011"/>
      <sheetName val="Data - 8731_1112"/>
      <sheetName val="Data - 8731_1213"/>
      <sheetName val="Data - 8731_1314"/>
      <sheetName val="Data - 8731_1415"/>
      <sheetName val="Data - 8731_1314 AFYTD"/>
      <sheetName val="Data - 8731_1415 AFYTD"/>
      <sheetName val="Data - 8731_1516 AFYTD"/>
      <sheetName val="Data - 8731_total"/>
      <sheetName val="Data - 8752 comm_total"/>
      <sheetName val="Data - 8752 compl_total"/>
    </sheetNames>
    <sheetDataSet>
      <sheetData sheetId="0"/>
      <sheetData sheetId="1"/>
      <sheetData sheetId="2"/>
      <sheetData sheetId="3">
        <row r="4">
          <cell r="M4">
            <v>4402250.4709999999</v>
          </cell>
        </row>
      </sheetData>
      <sheetData sheetId="4">
        <row r="2">
          <cell r="Q2">
            <v>486958.22938668792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44">
          <cell r="Q44">
            <v>148.27117166204982</v>
          </cell>
          <cell r="R44">
            <v>259.47455040858722</v>
          </cell>
          <cell r="S44">
            <v>342.87708446849024</v>
          </cell>
          <cell r="T44">
            <v>405.4289850134175</v>
          </cell>
          <cell r="U44">
            <v>452.34291042211294</v>
          </cell>
          <cell r="V44">
            <v>487.52835447863453</v>
          </cell>
        </row>
        <row r="45">
          <cell r="Q45">
            <v>0</v>
          </cell>
          <cell r="R45">
            <v>368.20674296075708</v>
          </cell>
          <cell r="S45">
            <v>644.36180018132495</v>
          </cell>
          <cell r="T45">
            <v>851.47809309675085</v>
          </cell>
          <cell r="U45">
            <v>1006.8153127833202</v>
          </cell>
          <cell r="V45">
            <v>1123.3182275482473</v>
          </cell>
        </row>
        <row r="46">
          <cell r="Q46">
            <v>160.62710263388732</v>
          </cell>
          <cell r="R46">
            <v>281.09742960930282</v>
          </cell>
          <cell r="S46">
            <v>371.45017484086441</v>
          </cell>
          <cell r="T46">
            <v>439.21473376453559</v>
          </cell>
          <cell r="U46">
            <v>490.03815295728901</v>
          </cell>
          <cell r="V46">
            <v>528.15571735185404</v>
          </cell>
        </row>
        <row r="255">
          <cell r="Y255">
            <v>600</v>
          </cell>
        </row>
        <row r="256">
          <cell r="Y256">
            <v>1490</v>
          </cell>
        </row>
        <row r="257">
          <cell r="Y257">
            <v>650</v>
          </cell>
        </row>
      </sheetData>
      <sheetData sheetId="20">
        <row r="44">
          <cell r="Q44">
            <v>1.7288283379501763</v>
          </cell>
          <cell r="R44">
            <v>3.0254495914128086</v>
          </cell>
          <cell r="S44">
            <v>3.9979155315097756</v>
          </cell>
          <cell r="T44">
            <v>4.7272649865825045</v>
          </cell>
          <cell r="U44">
            <v>5.2742770778870494</v>
          </cell>
          <cell r="V44">
            <v>5.6845361463654598</v>
          </cell>
        </row>
        <row r="45">
          <cell r="Q45">
            <v>0</v>
          </cell>
          <cell r="R45">
            <v>4.293257039242917</v>
          </cell>
          <cell r="S45">
            <v>7.5131998186751048</v>
          </cell>
          <cell r="T45">
            <v>9.9281569032492598</v>
          </cell>
          <cell r="U45">
            <v>11.739374716679862</v>
          </cell>
          <cell r="V45">
            <v>13.097788076752821</v>
          </cell>
        </row>
        <row r="46">
          <cell r="Q46">
            <v>1.8728973661126815</v>
          </cell>
          <cell r="R46">
            <v>3.2775703906971927</v>
          </cell>
          <cell r="S46">
            <v>4.3310751591355796</v>
          </cell>
          <cell r="T46">
            <v>5.1212037354643627</v>
          </cell>
          <cell r="U46">
            <v>5.7138001677109571</v>
          </cell>
          <cell r="V46">
            <v>6.1582474918958994</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only"/>
      <sheetName val="Contents"/>
      <sheetName val="Instructions"/>
      <sheetName val="Business &amp; other details"/>
      <sheetName val="1. CPI"/>
      <sheetName val="2. Escalators"/>
      <sheetName val="3 - Capex summary"/>
      <sheetName val="4. Connections market expansn"/>
      <sheetName val="5. Mains augmentation"/>
      <sheetName val="6. Mains replacement"/>
      <sheetName val="7. Telemetry"/>
      <sheetName val="8. Meter replacement"/>
      <sheetName val="9. Other capex"/>
      <sheetName val="12. IT"/>
      <sheetName val="14. Overheads"/>
      <sheetName val="15. Related party transactions"/>
      <sheetName val="16. Capex allocation"/>
      <sheetName val="17. Gross Capex "/>
      <sheetName val="20. Changes in provisions"/>
      <sheetName val="21 - Indicative bill impacts"/>
      <sheetName val="22. WACC Inputs"/>
      <sheetName val="23.1 Opex incl. RPM"/>
      <sheetName val="23.2 Opex excl. RPM"/>
      <sheetName val="23.3 Opex base-step-trend"/>
      <sheetName val="23.4 Opex incentive mechanism"/>
      <sheetName val="24. Cost category matrix"/>
      <sheetName val="25. ARS"/>
      <sheetName val="26. Allocation of total revenue"/>
      <sheetName val="27. Customer numbers"/>
      <sheetName val="28. Consumption and demand"/>
      <sheetName val="29.1 Gas extenstions ($)"/>
      <sheetName val="29.2.1 Gas extenstions cust no"/>
      <sheetName val="29.3.1 Gas extensions - demand"/>
      <sheetName val="29.2.2 Gas extenstions cust no"/>
      <sheetName val="29.3.2 Gas extensions - demand"/>
      <sheetName val="29.2.3 Gas extenstions cust no"/>
      <sheetName val="29.3.3 Gas extensions - demand"/>
      <sheetName val="29.2.4 Gas extenstions cust no"/>
      <sheetName val="29.3.4 Gas extensions - demand"/>
      <sheetName val="29.4 Gas extensions - tariffs"/>
      <sheetName val="30. Network characteristics"/>
      <sheetName val="31 - Pass throughs"/>
      <sheetName val="Vic GAAR 2018-22 Draft RIN regu"/>
    </sheetNames>
    <definedNames>
      <definedName name="MarkConfidential"/>
      <definedName name="MarkNonConfidential"/>
    </definedNames>
    <sheetDataSet>
      <sheetData sheetId="0">
        <row r="8">
          <cell r="B8" t="str">
            <v>ActewAGL Distribution</v>
          </cell>
        </row>
      </sheetData>
      <sheetData sheetId="1" refreshError="1"/>
      <sheetData sheetId="2" refreshError="1"/>
      <sheetData sheetId="3">
        <row r="1">
          <cell r="B1" t="str">
            <v>REGULATORY REPORTING STATEMENT</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68">
          <cell r="O68">
            <v>1822.9677859651274</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ow r="23">
          <cell r="B23" t="str">
            <v>Declining block tariff</v>
          </cell>
        </row>
      </sheetData>
      <sheetData sheetId="38" refreshError="1"/>
      <sheetData sheetId="39" refreshError="1"/>
      <sheetData sheetId="40" refreshError="1"/>
      <sheetData sheetId="41" refreshError="1"/>
      <sheetData sheetId="4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only"/>
      <sheetName val="Contents"/>
      <sheetName val="Instructions"/>
      <sheetName val="Business &amp; other details"/>
      <sheetName val="1. CPI"/>
      <sheetName val="2. Escalators"/>
      <sheetName val="3 - Capex summary"/>
      <sheetName val="4. Connections market expansn"/>
      <sheetName val="5. Mains augmentation"/>
      <sheetName val="6. Mains replacement"/>
      <sheetName val="7. Telemetry"/>
      <sheetName val="8. Meter replacement"/>
      <sheetName val="9. Other capex"/>
      <sheetName val="12. IT"/>
      <sheetName val="14. Overheads"/>
      <sheetName val="15. Related party transactions"/>
      <sheetName val="16. Capex allocation"/>
      <sheetName val="17. Gross Capex "/>
      <sheetName val="20. Changes in provisions"/>
      <sheetName val="21 - Indicative bill impacts"/>
      <sheetName val="22. WACC Inputs"/>
      <sheetName val="23.1 Opex incl. RPM"/>
      <sheetName val="23.2 Opex excl. RPM"/>
      <sheetName val="23.3 Opex base-step-trend"/>
      <sheetName val="23.4 Opex incentive mechanism"/>
      <sheetName val="24. Cost category matrix"/>
      <sheetName val="25. ARS"/>
      <sheetName val="26. Allocation of total revenue"/>
      <sheetName val="27. Customer numbers"/>
      <sheetName val="28. Consumption and demand"/>
      <sheetName val="29.1 Gas extenstions ($)"/>
      <sheetName val="29.2 Gas extenstions cust no"/>
      <sheetName val="29.3 Gas extensions - demand"/>
      <sheetName val="29.4 Gas extensions - tariffs"/>
      <sheetName val="30. Network characteristics"/>
      <sheetName val="31 - Pass throughs"/>
      <sheetName val="Final RIN – AusNet GAAR 2018-22"/>
    </sheetNames>
    <definedNames>
      <definedName name="MarkConfidential"/>
      <definedName name="MarkNonConfidential"/>
    </definedNames>
    <sheetDataSet>
      <sheetData sheetId="0">
        <row r="8">
          <cell r="B8" t="str">
            <v>ActewAGL Distribution</v>
          </cell>
          <cell r="C8" t="str">
            <v>ActewAGL Distribution</v>
          </cell>
        </row>
        <row r="9">
          <cell r="B9" t="str">
            <v>ActewAGL Distribution (Tx Assets)</v>
          </cell>
          <cell r="C9" t="str">
            <v>ActewAGL Distribution (Tx Assets)</v>
          </cell>
        </row>
        <row r="10">
          <cell r="B10" t="str">
            <v>ActewAGL Gas</v>
          </cell>
          <cell r="C10" t="str">
            <v>ActewAGL Gas</v>
          </cell>
        </row>
        <row r="11">
          <cell r="B11" t="str">
            <v>AGN (SA)</v>
          </cell>
          <cell r="C11" t="str">
            <v>AGN (SA)</v>
          </cell>
        </row>
        <row r="12">
          <cell r="B12" t="str">
            <v>AGN (Victoria)</v>
          </cell>
          <cell r="C12" t="str">
            <v>Australian Gas Networks Limited</v>
          </cell>
        </row>
        <row r="13">
          <cell r="B13" t="str">
            <v>Amadeus</v>
          </cell>
          <cell r="C13" t="str">
            <v>APT Pipelines (NT) Pty Ltd</v>
          </cell>
        </row>
        <row r="14">
          <cell r="B14" t="str">
            <v>APA GasNet</v>
          </cell>
          <cell r="C14" t="str">
            <v>APA VTS Australia Limited</v>
          </cell>
        </row>
        <row r="15">
          <cell r="B15" t="str">
            <v>Ausgrid</v>
          </cell>
          <cell r="C15" t="str">
            <v>Ausgrid</v>
          </cell>
        </row>
        <row r="16">
          <cell r="B16" t="str">
            <v>Ausgrid (Tx Assets)</v>
          </cell>
          <cell r="C16" t="str">
            <v>Ausgrid (Tx Assets)</v>
          </cell>
        </row>
        <row r="17">
          <cell r="B17" t="str">
            <v>AusNet (D)</v>
          </cell>
          <cell r="C17" t="str">
            <v>AusNet Services (D)</v>
          </cell>
        </row>
        <row r="18">
          <cell r="B18" t="str">
            <v>AusNet (Gas)</v>
          </cell>
          <cell r="C18" t="str">
            <v>AusNet Gas Services</v>
          </cell>
        </row>
        <row r="19">
          <cell r="B19" t="str">
            <v>AusNet (T)</v>
          </cell>
          <cell r="C19" t="str">
            <v>AusNet (T)</v>
          </cell>
        </row>
        <row r="20">
          <cell r="B20" t="str">
            <v>Australian Distribution Co.</v>
          </cell>
          <cell r="C20" t="str">
            <v>Australian Distribution Co.</v>
          </cell>
        </row>
        <row r="21">
          <cell r="B21" t="str">
            <v>Australian Transmission Co.</v>
          </cell>
          <cell r="C21" t="str">
            <v>Australian Transmission Co.</v>
          </cell>
        </row>
        <row r="22">
          <cell r="B22" t="str">
            <v>CitiPower</v>
          </cell>
          <cell r="C22" t="str">
            <v>CitiPower</v>
          </cell>
        </row>
        <row r="23">
          <cell r="B23" t="str">
            <v>Directlink</v>
          </cell>
          <cell r="C23" t="str">
            <v>Directlink</v>
          </cell>
        </row>
        <row r="24">
          <cell r="B24" t="str">
            <v>ElectraNet</v>
          </cell>
          <cell r="C24" t="str">
            <v>ElectraNet</v>
          </cell>
        </row>
        <row r="25">
          <cell r="B25" t="str">
            <v>Endeavour Energy</v>
          </cell>
          <cell r="C25" t="str">
            <v>Endeavour Energy</v>
          </cell>
        </row>
        <row r="26">
          <cell r="B26" t="str">
            <v>Energex</v>
          </cell>
          <cell r="C26" t="str">
            <v>Energex</v>
          </cell>
        </row>
        <row r="27">
          <cell r="B27" t="str">
            <v>Ergon Energy</v>
          </cell>
          <cell r="C27" t="str">
            <v>Ergon Energy</v>
          </cell>
        </row>
        <row r="28">
          <cell r="B28" t="str">
            <v>Essential Energy</v>
          </cell>
          <cell r="C28" t="str">
            <v>Essential Energy</v>
          </cell>
        </row>
        <row r="29">
          <cell r="B29" t="str">
            <v>Jemena Electricity</v>
          </cell>
          <cell r="C29" t="str">
            <v>Jemena Electricity</v>
          </cell>
        </row>
        <row r="30">
          <cell r="B30" t="str">
            <v>JGN</v>
          </cell>
          <cell r="C30" t="str">
            <v>Jemena Gas Networks</v>
          </cell>
        </row>
        <row r="31">
          <cell r="B31" t="str">
            <v>Multinet Gas</v>
          </cell>
          <cell r="C31" t="str">
            <v>Multinet Gas (DB No.1) Pty Ltd (ACN 086 026 986), Multinet Gas (DB No.2) Pty Ltd (ACN 086 230 122)</v>
          </cell>
        </row>
        <row r="32">
          <cell r="B32" t="str">
            <v>Murraylink</v>
          </cell>
          <cell r="C32" t="str">
            <v>Murraylink</v>
          </cell>
        </row>
        <row r="33">
          <cell r="B33" t="str">
            <v>Powercor Australia</v>
          </cell>
          <cell r="C33" t="str">
            <v>Powercor Australia</v>
          </cell>
        </row>
        <row r="34">
          <cell r="B34" t="str">
            <v>Powerlink</v>
          </cell>
          <cell r="C34" t="str">
            <v>Queensland Electricity Transmission Corporation Limited trading as Powerlink Queensland</v>
          </cell>
        </row>
        <row r="35">
          <cell r="B35" t="str">
            <v>Roma to Brisbane Pipeline</v>
          </cell>
          <cell r="C35" t="str">
            <v>APT Petroleum Pipelines Limited t/a Roma to Brisbane Pipeline</v>
          </cell>
        </row>
        <row r="36">
          <cell r="B36" t="str">
            <v>SA Power Networks</v>
          </cell>
          <cell r="C36" t="str">
            <v>SA Power Networks</v>
          </cell>
        </row>
        <row r="37">
          <cell r="B37" t="str">
            <v>TasNetworks (D)</v>
          </cell>
          <cell r="C37" t="str">
            <v>TasNetworks (D)</v>
          </cell>
        </row>
        <row r="38">
          <cell r="B38" t="str">
            <v>TasNetworks (T)</v>
          </cell>
          <cell r="C38" t="str">
            <v>TasNetworks (T)</v>
          </cell>
        </row>
        <row r="39">
          <cell r="B39" t="str">
            <v>TransGrid</v>
          </cell>
          <cell r="C39" t="str">
            <v>TransGrid</v>
          </cell>
        </row>
        <row r="40">
          <cell r="B40" t="str">
            <v>United Energy</v>
          </cell>
          <cell r="C40" t="str">
            <v>United Energy</v>
          </cell>
        </row>
        <row r="41">
          <cell r="B41" t="str">
            <v>Western Power (D)</v>
          </cell>
          <cell r="C41" t="str">
            <v>Western Power (D)</v>
          </cell>
        </row>
        <row r="42">
          <cell r="B42" t="str">
            <v>Western Power (T)</v>
          </cell>
          <cell r="C42" t="str">
            <v>Western Power (T)</v>
          </cell>
        </row>
        <row r="48">
          <cell r="B48" t="str">
            <v>ARR</v>
          </cell>
          <cell r="C48" t="str">
            <v>ANNUAL REPORTING STATEMENT</v>
          </cell>
        </row>
        <row r="49">
          <cell r="B49" t="str">
            <v>CA</v>
          </cell>
          <cell r="C49" t="str">
            <v>CATEGORY ANALYSIS</v>
          </cell>
        </row>
        <row r="50">
          <cell r="B50" t="str">
            <v>CPI</v>
          </cell>
          <cell r="C50" t="str">
            <v>CPI</v>
          </cell>
        </row>
        <row r="51">
          <cell r="B51" t="str">
            <v>EB</v>
          </cell>
          <cell r="C51" t="str">
            <v>ECONOMIC BENCHMARKING</v>
          </cell>
        </row>
        <row r="52">
          <cell r="B52" t="str">
            <v>PTRM</v>
          </cell>
          <cell r="C52" t="str">
            <v>POST TAX REVENUE MODEL</v>
          </cell>
        </row>
        <row r="53">
          <cell r="B53" t="str">
            <v>Reset</v>
          </cell>
          <cell r="C53" t="str">
            <v>REGULATORY REPORTING STATEMENT</v>
          </cell>
        </row>
        <row r="54">
          <cell r="B54" t="str">
            <v>RFM</v>
          </cell>
          <cell r="C54" t="str">
            <v>ROLL FORWARD MODEL</v>
          </cell>
        </row>
        <row r="55">
          <cell r="B55" t="str">
            <v>WACC</v>
          </cell>
          <cell r="C55" t="str">
            <v>WEIGHTED AVERAGE COST OF CAPITAL</v>
          </cell>
        </row>
        <row r="66">
          <cell r="I66" t="str">
            <v>2018</v>
          </cell>
          <cell r="K66">
            <v>2017</v>
          </cell>
        </row>
        <row r="67">
          <cell r="I67">
            <v>2019</v>
          </cell>
          <cell r="K67">
            <v>2016</v>
          </cell>
        </row>
        <row r="68">
          <cell r="I68">
            <v>2020</v>
          </cell>
          <cell r="K68">
            <v>2015</v>
          </cell>
        </row>
        <row r="69">
          <cell r="I69">
            <v>2021</v>
          </cell>
          <cell r="K69">
            <v>2014</v>
          </cell>
        </row>
        <row r="70">
          <cell r="I70">
            <v>2022</v>
          </cell>
          <cell r="K70">
            <v>2013</v>
          </cell>
        </row>
        <row r="71">
          <cell r="I71">
            <v>2023</v>
          </cell>
          <cell r="K71">
            <v>2012</v>
          </cell>
        </row>
        <row r="72">
          <cell r="I72">
            <v>2024</v>
          </cell>
          <cell r="K72">
            <v>2011</v>
          </cell>
        </row>
        <row r="73">
          <cell r="I73">
            <v>2025</v>
          </cell>
          <cell r="K73">
            <v>2010</v>
          </cell>
        </row>
        <row r="74">
          <cell r="I74">
            <v>2026</v>
          </cell>
          <cell r="K74">
            <v>2009</v>
          </cell>
        </row>
        <row r="75">
          <cell r="I75">
            <v>2027</v>
          </cell>
          <cell r="K75">
            <v>2008</v>
          </cell>
        </row>
        <row r="76">
          <cell r="I76">
            <v>2028</v>
          </cell>
          <cell r="K76">
            <v>2007</v>
          </cell>
        </row>
        <row r="77">
          <cell r="I77">
            <v>2029</v>
          </cell>
          <cell r="K77">
            <v>2006</v>
          </cell>
        </row>
        <row r="78">
          <cell r="I78">
            <v>2030</v>
          </cell>
          <cell r="K78">
            <v>2005</v>
          </cell>
        </row>
        <row r="79">
          <cell r="I79">
            <v>2031</v>
          </cell>
          <cell r="K79">
            <v>2004</v>
          </cell>
        </row>
      </sheetData>
      <sheetData sheetId="1" refreshError="1"/>
      <sheetData sheetId="2" refreshError="1"/>
      <sheetData sheetId="3">
        <row r="1">
          <cell r="B1" t="str">
            <v>REGULATORY REPORTING STATEMENT</v>
          </cell>
        </row>
        <row r="3">
          <cell r="B3" t="str">
            <v>2018 to 2022</v>
          </cell>
        </row>
        <row r="14">
          <cell r="C14" t="str">
            <v>AusNet (Gas)</v>
          </cell>
        </row>
        <row r="35">
          <cell r="C35" t="str">
            <v>2018</v>
          </cell>
          <cell r="D35">
            <v>2019</v>
          </cell>
          <cell r="E35">
            <v>2020</v>
          </cell>
          <cell r="F35">
            <v>2021</v>
          </cell>
          <cell r="G35">
            <v>2022</v>
          </cell>
        </row>
        <row r="38">
          <cell r="C38">
            <v>2013</v>
          </cell>
          <cell r="D38">
            <v>2014</v>
          </cell>
          <cell r="E38">
            <v>2015</v>
          </cell>
          <cell r="F38">
            <v>2016</v>
          </cell>
          <cell r="G38">
            <v>2017</v>
          </cell>
          <cell r="H38">
            <v>2018</v>
          </cell>
          <cell r="I38">
            <v>2019</v>
          </cell>
          <cell r="J38">
            <v>2020</v>
          </cell>
          <cell r="K38">
            <v>2021</v>
          </cell>
        </row>
        <row r="41">
          <cell r="C41">
            <v>2008</v>
          </cell>
          <cell r="D41">
            <v>2009</v>
          </cell>
          <cell r="E41">
            <v>2010</v>
          </cell>
          <cell r="F41">
            <v>2011</v>
          </cell>
          <cell r="G41">
            <v>2012</v>
          </cell>
        </row>
        <row r="51">
          <cell r="C51" t="str">
            <v>Consolidated</v>
          </cell>
        </row>
        <row r="58">
          <cell r="C58" t="str">
            <v>Calendar</v>
          </cell>
        </row>
        <row r="59">
          <cell r="C59" t="str">
            <v>Reset</v>
          </cell>
        </row>
        <row r="62">
          <cell r="C62" t="str">
            <v>December</v>
          </cell>
        </row>
        <row r="63">
          <cell r="C63" t="str">
            <v>December 2017</v>
          </cell>
        </row>
        <row r="67">
          <cell r="C67">
            <v>0</v>
          </cell>
        </row>
        <row r="68">
          <cell r="C68">
            <v>2013</v>
          </cell>
        </row>
        <row r="69">
          <cell r="C69">
            <v>0</v>
          </cell>
        </row>
        <row r="70">
          <cell r="C70">
            <v>0</v>
          </cell>
        </row>
        <row r="71">
          <cell r="C71">
            <v>0</v>
          </cell>
        </row>
        <row r="72">
          <cell r="C72" t="str">
            <v>CRY</v>
          </cell>
        </row>
        <row r="73">
          <cell r="C73" t="e">
            <v>#REF!</v>
          </cell>
        </row>
        <row r="74">
          <cell r="C74">
            <v>5</v>
          </cell>
        </row>
        <row r="75">
          <cell r="C75" t="str">
            <v>dms_FRCP_y5</v>
          </cell>
        </row>
        <row r="76">
          <cell r="C76">
            <v>2022</v>
          </cell>
        </row>
        <row r="77">
          <cell r="C77">
            <v>5</v>
          </cell>
        </row>
        <row r="79">
          <cell r="C79">
            <v>2013</v>
          </cell>
        </row>
        <row r="80">
          <cell r="C80">
            <v>2017</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only"/>
      <sheetName val="Contents"/>
      <sheetName val="Instructions"/>
      <sheetName val="Business &amp; other details"/>
      <sheetName val="1. CPI"/>
      <sheetName val="2. Escalators"/>
      <sheetName val="3 - Capex summary"/>
      <sheetName val="4. Connections market expansn"/>
      <sheetName val="5. Mains augmentation"/>
      <sheetName val="6. Mains replacement"/>
      <sheetName val="7. Telemetry"/>
      <sheetName val="8. Meter replacement"/>
      <sheetName val="9. Other capex"/>
      <sheetName val="12. IT"/>
      <sheetName val="14. Overheads"/>
      <sheetName val="15. Related party transactions"/>
      <sheetName val="16. Capex allocation"/>
      <sheetName val="17. Gross Capex "/>
      <sheetName val="20. Changes in provisions"/>
      <sheetName val="21 - Indicative bill impacts"/>
      <sheetName val="22. WACC Inputs"/>
      <sheetName val="23.1 Opex incl. RPM"/>
      <sheetName val="23.2 Opex excl. RPM"/>
      <sheetName val="23.3 Opex - base step trend"/>
      <sheetName val="23.4 Opex incentive mechanism"/>
      <sheetName val="24. Cost category matrix"/>
      <sheetName val="25. ARS"/>
      <sheetName val="26. Allocation of total revenue"/>
      <sheetName val="27. Customer numbers"/>
      <sheetName val="28. Consumption and demand"/>
      <sheetName val="29.1 Gas extenstions ($)"/>
      <sheetName val="29.2 Gas extenstions cust no"/>
      <sheetName val="29.3 Gas extensions - demand"/>
      <sheetName val="29.4 Gas extensions - tariffs"/>
      <sheetName val="30. Network characteristics"/>
      <sheetName val="31 - Pass throughs"/>
      <sheetName val="D16 119079  Vic GAAR 2018-22 pr"/>
    </sheetNames>
    <definedNames>
      <definedName name="MarkConfidential"/>
      <definedName name="MarkNonConfidential"/>
    </definedNames>
    <sheetDataSet>
      <sheetData sheetId="0" refreshError="1">
        <row r="8">
          <cell r="B8" t="str">
            <v>ActewAGL Distribution</v>
          </cell>
          <cell r="C8" t="str">
            <v>ActewAGL Distribution</v>
          </cell>
        </row>
        <row r="9">
          <cell r="B9" t="str">
            <v>ActewAGL Distribution (Tx Assets)</v>
          </cell>
          <cell r="C9" t="str">
            <v>ActewAGL Distribution (Tx Assets)</v>
          </cell>
        </row>
        <row r="10">
          <cell r="B10" t="str">
            <v>ActewAGL Gas</v>
          </cell>
          <cell r="C10" t="str">
            <v>ActewAGL Gas</v>
          </cell>
        </row>
        <row r="11">
          <cell r="B11" t="str">
            <v>AGN (SA)</v>
          </cell>
          <cell r="C11" t="str">
            <v>AGN (SA)</v>
          </cell>
        </row>
        <row r="12">
          <cell r="B12" t="str">
            <v>AGN (Victoria)</v>
          </cell>
          <cell r="C12" t="str">
            <v>Australian Gas Networks Limited</v>
          </cell>
        </row>
        <row r="13">
          <cell r="B13" t="str">
            <v>Amadeus</v>
          </cell>
          <cell r="C13" t="str">
            <v>APT Pipelines (NT) Pty Ltd</v>
          </cell>
        </row>
        <row r="14">
          <cell r="B14" t="str">
            <v>APA GasNet</v>
          </cell>
          <cell r="C14" t="str">
            <v>APA VTS Australia Limited</v>
          </cell>
        </row>
        <row r="15">
          <cell r="B15" t="str">
            <v>Ausgrid</v>
          </cell>
          <cell r="C15" t="str">
            <v>Ausgrid</v>
          </cell>
        </row>
        <row r="16">
          <cell r="B16" t="str">
            <v>Ausgrid (Tx Assets)</v>
          </cell>
          <cell r="C16" t="str">
            <v>Ausgrid (Tx Assets)</v>
          </cell>
        </row>
        <row r="17">
          <cell r="B17" t="str">
            <v>AusNet (D)</v>
          </cell>
          <cell r="C17" t="str">
            <v>AusNet Services (D)</v>
          </cell>
        </row>
        <row r="18">
          <cell r="B18" t="str">
            <v>AusNet (Gas)</v>
          </cell>
          <cell r="C18" t="str">
            <v>AusNet Gas Services</v>
          </cell>
        </row>
        <row r="19">
          <cell r="B19" t="str">
            <v>AusNet (T)</v>
          </cell>
          <cell r="C19" t="str">
            <v>AusNet (T)</v>
          </cell>
        </row>
        <row r="20">
          <cell r="B20" t="str">
            <v>Australian Distribution Co.</v>
          </cell>
          <cell r="C20" t="str">
            <v>Australian Distribution Co.</v>
          </cell>
        </row>
        <row r="21">
          <cell r="B21" t="str">
            <v>Australian Transmission Co.</v>
          </cell>
          <cell r="C21" t="str">
            <v>Australian Transmission Co.</v>
          </cell>
        </row>
        <row r="22">
          <cell r="B22" t="str">
            <v>CitiPower</v>
          </cell>
          <cell r="C22" t="str">
            <v>CitiPower</v>
          </cell>
        </row>
        <row r="23">
          <cell r="B23" t="str">
            <v>Directlink</v>
          </cell>
          <cell r="C23" t="str">
            <v>Directlink</v>
          </cell>
        </row>
        <row r="24">
          <cell r="B24" t="str">
            <v>ElectraNet</v>
          </cell>
          <cell r="C24" t="str">
            <v>ElectraNet</v>
          </cell>
        </row>
        <row r="25">
          <cell r="B25" t="str">
            <v>Endeavour Energy</v>
          </cell>
          <cell r="C25" t="str">
            <v>Endeavour Energy</v>
          </cell>
        </row>
        <row r="26">
          <cell r="B26" t="str">
            <v>Energex</v>
          </cell>
          <cell r="C26" t="str">
            <v>Energex</v>
          </cell>
        </row>
        <row r="27">
          <cell r="B27" t="str">
            <v>Ergon Energy</v>
          </cell>
          <cell r="C27" t="str">
            <v>Ergon Energy</v>
          </cell>
        </row>
        <row r="28">
          <cell r="B28" t="str">
            <v>Essential Energy</v>
          </cell>
          <cell r="C28" t="str">
            <v>Essential Energy</v>
          </cell>
        </row>
        <row r="29">
          <cell r="B29" t="str">
            <v>Jemena Electricity</v>
          </cell>
          <cell r="C29" t="str">
            <v>Jemena Electricity</v>
          </cell>
        </row>
        <row r="30">
          <cell r="B30" t="str">
            <v>JGN</v>
          </cell>
          <cell r="C30" t="str">
            <v>Jemena Gas Networks</v>
          </cell>
        </row>
        <row r="31">
          <cell r="B31" t="str">
            <v>Multinet Gas</v>
          </cell>
          <cell r="C31" t="str">
            <v>Multinet Gas (DB No.1) Pty Ltd (ACN 086 026 986), Multinet Gas (DB No.2) Pty Ltd (ACN 086 230 122)</v>
          </cell>
        </row>
        <row r="32">
          <cell r="B32" t="str">
            <v>Murraylink</v>
          </cell>
          <cell r="C32" t="str">
            <v>Murraylink</v>
          </cell>
        </row>
        <row r="33">
          <cell r="B33" t="str">
            <v>Powercor Australia</v>
          </cell>
          <cell r="C33" t="str">
            <v>Powercor Australia</v>
          </cell>
        </row>
        <row r="34">
          <cell r="B34" t="str">
            <v>Powerlink</v>
          </cell>
          <cell r="C34" t="str">
            <v>Queensland Electricity Transmission Corporation Limited trading as Powerlink Queensland</v>
          </cell>
        </row>
        <row r="35">
          <cell r="B35" t="str">
            <v>Roma to Brisbane Pipeline</v>
          </cell>
          <cell r="C35" t="str">
            <v>APT Petroleum Pipelines Limited t/a Roma to Brisbane Pipeline</v>
          </cell>
        </row>
        <row r="36">
          <cell r="B36" t="str">
            <v>SA Power Networks</v>
          </cell>
          <cell r="C36" t="str">
            <v>SA Power Networks</v>
          </cell>
        </row>
        <row r="37">
          <cell r="B37" t="str">
            <v>TasNetworks (D)</v>
          </cell>
          <cell r="C37" t="str">
            <v>TasNetworks (D)</v>
          </cell>
        </row>
        <row r="38">
          <cell r="B38" t="str">
            <v>TasNetworks (T)</v>
          </cell>
          <cell r="C38" t="str">
            <v>TasNetworks (T)</v>
          </cell>
        </row>
        <row r="39">
          <cell r="B39" t="str">
            <v>TransGrid</v>
          </cell>
          <cell r="C39" t="str">
            <v>TransGrid</v>
          </cell>
        </row>
        <row r="40">
          <cell r="B40" t="str">
            <v>United Energy</v>
          </cell>
          <cell r="C40" t="str">
            <v>United Energy</v>
          </cell>
        </row>
        <row r="41">
          <cell r="B41" t="str">
            <v>Western Power (D)</v>
          </cell>
          <cell r="C41" t="str">
            <v>Western Power (D)</v>
          </cell>
        </row>
        <row r="42">
          <cell r="B42" t="str">
            <v>Western Power (T)</v>
          </cell>
          <cell r="C42" t="str">
            <v>Western Power (T)</v>
          </cell>
        </row>
        <row r="48">
          <cell r="B48" t="str">
            <v>ARR</v>
          </cell>
          <cell r="C48" t="str">
            <v>ANNUAL REPORTING STATEMENT</v>
          </cell>
        </row>
        <row r="49">
          <cell r="B49" t="str">
            <v>CA</v>
          </cell>
          <cell r="C49" t="str">
            <v>CATEGORY ANALYSIS</v>
          </cell>
        </row>
        <row r="50">
          <cell r="B50" t="str">
            <v>CPI</v>
          </cell>
          <cell r="C50" t="str">
            <v>CPI</v>
          </cell>
        </row>
        <row r="51">
          <cell r="B51" t="str">
            <v>EB</v>
          </cell>
          <cell r="C51" t="str">
            <v>ECONOMIC BENCHMARKING</v>
          </cell>
        </row>
        <row r="52">
          <cell r="B52" t="str">
            <v>PTRM</v>
          </cell>
          <cell r="C52" t="str">
            <v>POST TAX REVENUE MODEL</v>
          </cell>
        </row>
        <row r="53">
          <cell r="B53" t="str">
            <v>Reset</v>
          </cell>
          <cell r="C53" t="str">
            <v>REGULATORY REPORTING STATEMENT</v>
          </cell>
        </row>
        <row r="54">
          <cell r="B54" t="str">
            <v>RFM</v>
          </cell>
          <cell r="C54" t="str">
            <v>ROLL FORWARD MODEL</v>
          </cell>
        </row>
        <row r="55">
          <cell r="B55" t="str">
            <v>WACC</v>
          </cell>
          <cell r="C55" t="str">
            <v>WEIGHTED AVERAGE COST OF CAPITAL</v>
          </cell>
        </row>
        <row r="66">
          <cell r="I66" t="str">
            <v>2018</v>
          </cell>
          <cell r="K66">
            <v>2017</v>
          </cell>
        </row>
        <row r="67">
          <cell r="I67">
            <v>2019</v>
          </cell>
          <cell r="K67">
            <v>2016</v>
          </cell>
        </row>
        <row r="68">
          <cell r="I68">
            <v>2020</v>
          </cell>
          <cell r="K68">
            <v>2015</v>
          </cell>
        </row>
        <row r="69">
          <cell r="I69">
            <v>2021</v>
          </cell>
          <cell r="K69">
            <v>2014</v>
          </cell>
        </row>
        <row r="70">
          <cell r="I70">
            <v>2022</v>
          </cell>
          <cell r="K70">
            <v>2013</v>
          </cell>
        </row>
        <row r="71">
          <cell r="I71">
            <v>2023</v>
          </cell>
          <cell r="K71">
            <v>2012</v>
          </cell>
        </row>
        <row r="72">
          <cell r="I72">
            <v>2024</v>
          </cell>
          <cell r="K72">
            <v>2011</v>
          </cell>
        </row>
        <row r="73">
          <cell r="I73">
            <v>2025</v>
          </cell>
          <cell r="K73">
            <v>2010</v>
          </cell>
        </row>
        <row r="74">
          <cell r="I74">
            <v>2026</v>
          </cell>
          <cell r="K74">
            <v>2009</v>
          </cell>
        </row>
        <row r="75">
          <cell r="I75">
            <v>2027</v>
          </cell>
          <cell r="K75">
            <v>2008</v>
          </cell>
        </row>
        <row r="76">
          <cell r="I76">
            <v>2028</v>
          </cell>
          <cell r="K76">
            <v>2007</v>
          </cell>
        </row>
        <row r="77">
          <cell r="I77">
            <v>2029</v>
          </cell>
          <cell r="K77">
            <v>2006</v>
          </cell>
        </row>
        <row r="78">
          <cell r="I78">
            <v>2030</v>
          </cell>
          <cell r="K78">
            <v>2005</v>
          </cell>
        </row>
        <row r="79">
          <cell r="I79">
            <v>2031</v>
          </cell>
          <cell r="K79">
            <v>2004</v>
          </cell>
        </row>
      </sheetData>
      <sheetData sheetId="1" refreshError="1"/>
      <sheetData sheetId="2" refreshError="1"/>
      <sheetData sheetId="3" refreshError="1">
        <row r="1">
          <cell r="B1" t="str">
            <v>REGULATORY REPORTING STATEMENT</v>
          </cell>
        </row>
        <row r="3">
          <cell r="B3" t="str">
            <v>2018 to 2022</v>
          </cell>
        </row>
        <row r="14">
          <cell r="C14" t="str">
            <v>AusNet (Gas)</v>
          </cell>
        </row>
        <row r="35">
          <cell r="C35" t="str">
            <v>2018</v>
          </cell>
          <cell r="D35">
            <v>2019</v>
          </cell>
          <cell r="E35">
            <v>2020</v>
          </cell>
          <cell r="F35">
            <v>2021</v>
          </cell>
          <cell r="G35">
            <v>2022</v>
          </cell>
        </row>
        <row r="38">
          <cell r="C38">
            <v>2013</v>
          </cell>
          <cell r="D38">
            <v>2014</v>
          </cell>
          <cell r="E38">
            <v>2015</v>
          </cell>
          <cell r="F38">
            <v>2016</v>
          </cell>
          <cell r="G38">
            <v>2017</v>
          </cell>
          <cell r="H38">
            <v>2018</v>
          </cell>
          <cell r="I38">
            <v>2019</v>
          </cell>
          <cell r="J38">
            <v>2020</v>
          </cell>
          <cell r="K38">
            <v>2021</v>
          </cell>
        </row>
        <row r="41">
          <cell r="C41">
            <v>2008</v>
          </cell>
          <cell r="D41">
            <v>2009</v>
          </cell>
          <cell r="E41">
            <v>2010</v>
          </cell>
          <cell r="F41">
            <v>2011</v>
          </cell>
          <cell r="G41">
            <v>2012</v>
          </cell>
        </row>
        <row r="51">
          <cell r="C51" t="str">
            <v>Consolidated</v>
          </cell>
        </row>
        <row r="58">
          <cell r="C58" t="str">
            <v>Calendar</v>
          </cell>
        </row>
        <row r="59">
          <cell r="C59" t="str">
            <v>Reset</v>
          </cell>
        </row>
        <row r="62">
          <cell r="C62" t="str">
            <v>December</v>
          </cell>
        </row>
        <row r="63">
          <cell r="C63" t="str">
            <v>December 2017</v>
          </cell>
        </row>
        <row r="67">
          <cell r="C67">
            <v>0</v>
          </cell>
        </row>
        <row r="68">
          <cell r="C68">
            <v>2013</v>
          </cell>
        </row>
        <row r="69">
          <cell r="C69">
            <v>0</v>
          </cell>
        </row>
        <row r="70">
          <cell r="C70">
            <v>0</v>
          </cell>
        </row>
        <row r="71">
          <cell r="C71">
            <v>0</v>
          </cell>
        </row>
        <row r="72">
          <cell r="C72" t="str">
            <v>CRY</v>
          </cell>
        </row>
        <row r="73">
          <cell r="C73" t="e">
            <v>#REF!</v>
          </cell>
        </row>
        <row r="74">
          <cell r="C74">
            <v>5</v>
          </cell>
        </row>
        <row r="75">
          <cell r="C75" t="str">
            <v>dms_FRCP_y5</v>
          </cell>
        </row>
        <row r="76">
          <cell r="C76">
            <v>2022</v>
          </cell>
        </row>
        <row r="77">
          <cell r="C77">
            <v>5</v>
          </cell>
        </row>
        <row r="79">
          <cell r="C79">
            <v>2013</v>
          </cell>
        </row>
        <row r="80">
          <cell r="C80">
            <v>2017</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only"/>
      <sheetName val="Contents"/>
      <sheetName val="Instructions"/>
      <sheetName val="Business &amp; other details"/>
      <sheetName val="1. CPI"/>
      <sheetName val="2. Escalators"/>
      <sheetName val="3 - Capex summary"/>
      <sheetName val="4. Connections market expansn"/>
      <sheetName val="5. Mains augmentation"/>
      <sheetName val="6. Mains replacement"/>
      <sheetName val="7. Telemetry"/>
      <sheetName val="8. Meter replacement"/>
      <sheetName val="9. Other capex"/>
      <sheetName val="12. IT"/>
      <sheetName val="14. Overheads"/>
      <sheetName val="15. Related party transactions"/>
      <sheetName val="16. Capex allocation"/>
      <sheetName val="17. Gross Capex "/>
      <sheetName val="20. Changes in provisions"/>
      <sheetName val="21 - Indicative bill impacts"/>
      <sheetName val="22. WACC Inputs"/>
      <sheetName val="23.1 Opex incl. RPM"/>
      <sheetName val="23.2 Opex excl. RPM"/>
      <sheetName val="23.3 Opex base-step-trend"/>
      <sheetName val="23.4 Opex incentive mechanism"/>
      <sheetName val="24. Cost category matrix"/>
      <sheetName val="25. ARS"/>
      <sheetName val="26. Allocation of total revenue"/>
      <sheetName val="27. Customer numbers"/>
      <sheetName val="28. Consumption and demand"/>
      <sheetName val="29.1 Gas extenstions ($)"/>
      <sheetName val="29.2 Gas extenstions cust no"/>
      <sheetName val="29.3 Gas extensions - demand"/>
      <sheetName val="29.4 Gas extensions - tariffs"/>
      <sheetName val="30. Network characteristics"/>
      <sheetName val="31 - Pass throughs"/>
      <sheetName val="MH Vic GAAR 2018-22 Draft RIN r"/>
    </sheetNames>
    <definedNames>
      <definedName name="MarkConfidential"/>
      <definedName name="MarkNonConfidential"/>
    </definedNames>
    <sheetDataSet>
      <sheetData sheetId="0">
        <row r="8">
          <cell r="B8" t="str">
            <v>ActewAGL Distribution</v>
          </cell>
          <cell r="C8" t="str">
            <v>ActewAGL Distribution</v>
          </cell>
        </row>
        <row r="9">
          <cell r="B9" t="str">
            <v>ActewAGL Distribution (Tx Assets)</v>
          </cell>
          <cell r="C9" t="str">
            <v>ActewAGL Distribution (Tx Assets)</v>
          </cell>
        </row>
        <row r="10">
          <cell r="B10" t="str">
            <v>ActewAGL Gas</v>
          </cell>
          <cell r="C10" t="str">
            <v>ActewAGL Gas</v>
          </cell>
        </row>
        <row r="11">
          <cell r="B11" t="str">
            <v>AGN (SA)</v>
          </cell>
          <cell r="C11" t="str">
            <v>AGN (SA)</v>
          </cell>
        </row>
        <row r="12">
          <cell r="B12" t="str">
            <v>AGN (Victoria)</v>
          </cell>
          <cell r="C12" t="str">
            <v>Australian Gas Networks Limited</v>
          </cell>
        </row>
        <row r="13">
          <cell r="B13" t="str">
            <v>Amadeus</v>
          </cell>
          <cell r="C13" t="str">
            <v>APT Pipelines (NT) Pty Ltd</v>
          </cell>
        </row>
        <row r="14">
          <cell r="B14" t="str">
            <v>APA GasNet</v>
          </cell>
          <cell r="C14" t="str">
            <v>APA VTS Australia Limited</v>
          </cell>
        </row>
        <row r="15">
          <cell r="B15" t="str">
            <v>Ausgrid</v>
          </cell>
          <cell r="C15" t="str">
            <v>Ausgrid</v>
          </cell>
        </row>
        <row r="16">
          <cell r="B16" t="str">
            <v>Ausgrid (Tx Assets)</v>
          </cell>
          <cell r="C16" t="str">
            <v>Ausgrid (Tx Assets)</v>
          </cell>
        </row>
        <row r="17">
          <cell r="B17" t="str">
            <v>AusNet (D)</v>
          </cell>
          <cell r="C17" t="str">
            <v>AusNet Services (D)</v>
          </cell>
        </row>
        <row r="18">
          <cell r="B18" t="str">
            <v>AusNet (Gas)</v>
          </cell>
          <cell r="C18" t="str">
            <v>AusNet Gas Services</v>
          </cell>
        </row>
        <row r="19">
          <cell r="B19" t="str">
            <v>AusNet (T)</v>
          </cell>
          <cell r="C19" t="str">
            <v>AusNet (T)</v>
          </cell>
        </row>
        <row r="20">
          <cell r="B20" t="str">
            <v>Australian Distribution Co.</v>
          </cell>
          <cell r="C20" t="str">
            <v>Australian Distribution Co.</v>
          </cell>
        </row>
        <row r="21">
          <cell r="B21" t="str">
            <v>Australian Transmission Co.</v>
          </cell>
          <cell r="C21" t="str">
            <v>Australian Transmission Co.</v>
          </cell>
        </row>
        <row r="22">
          <cell r="B22" t="str">
            <v>CitiPower</v>
          </cell>
          <cell r="C22" t="str">
            <v>CitiPower</v>
          </cell>
        </row>
        <row r="23">
          <cell r="B23" t="str">
            <v>Directlink</v>
          </cell>
          <cell r="C23" t="str">
            <v>Directlink</v>
          </cell>
        </row>
        <row r="24">
          <cell r="B24" t="str">
            <v>ElectraNet</v>
          </cell>
          <cell r="C24" t="str">
            <v>ElectraNet</v>
          </cell>
        </row>
        <row r="25">
          <cell r="B25" t="str">
            <v>Endeavour Energy</v>
          </cell>
          <cell r="C25" t="str">
            <v>Endeavour Energy</v>
          </cell>
        </row>
        <row r="26">
          <cell r="B26" t="str">
            <v>Energex</v>
          </cell>
          <cell r="C26" t="str">
            <v>Energex</v>
          </cell>
        </row>
        <row r="27">
          <cell r="B27" t="str">
            <v>Ergon Energy</v>
          </cell>
          <cell r="C27" t="str">
            <v>Ergon Energy</v>
          </cell>
        </row>
        <row r="28">
          <cell r="B28" t="str">
            <v>Essential Energy</v>
          </cell>
          <cell r="C28" t="str">
            <v>Essential Energy</v>
          </cell>
        </row>
        <row r="29">
          <cell r="B29" t="str">
            <v>Jemena Electricity</v>
          </cell>
          <cell r="C29" t="str">
            <v>Jemena Electricity</v>
          </cell>
        </row>
        <row r="30">
          <cell r="B30" t="str">
            <v>JGN</v>
          </cell>
          <cell r="C30" t="str">
            <v>Jemena Gas Networks</v>
          </cell>
        </row>
        <row r="31">
          <cell r="B31" t="str">
            <v>Multinet Gas</v>
          </cell>
          <cell r="C31" t="str">
            <v>Multinet Gas (DB No.1) Pty Ltd (ACN 086 026 986), Multinet Gas (DB No.2) Pty Ltd (ACN 086 230 122)</v>
          </cell>
        </row>
        <row r="32">
          <cell r="B32" t="str">
            <v>Murraylink</v>
          </cell>
          <cell r="C32" t="str">
            <v>Murraylink</v>
          </cell>
        </row>
        <row r="33">
          <cell r="B33" t="str">
            <v>Powercor Australia</v>
          </cell>
          <cell r="C33" t="str">
            <v>Powercor Australia</v>
          </cell>
        </row>
        <row r="34">
          <cell r="B34" t="str">
            <v>Powerlink</v>
          </cell>
          <cell r="C34" t="str">
            <v>Queensland Electricity Transmission Corporation Limited trading as Powerlink Queensland</v>
          </cell>
        </row>
        <row r="35">
          <cell r="B35" t="str">
            <v>Roma to Brisbane Pipeline</v>
          </cell>
          <cell r="C35" t="str">
            <v>APT Petroleum Pipelines Limited t/a Roma to Brisbane Pipeline</v>
          </cell>
        </row>
        <row r="36">
          <cell r="B36" t="str">
            <v>SA Power Networks</v>
          </cell>
          <cell r="C36" t="str">
            <v>SA Power Networks</v>
          </cell>
        </row>
        <row r="37">
          <cell r="B37" t="str">
            <v>TasNetworks (D)</v>
          </cell>
          <cell r="C37" t="str">
            <v>TasNetworks (D)</v>
          </cell>
        </row>
        <row r="38">
          <cell r="B38" t="str">
            <v>TasNetworks (T)</v>
          </cell>
          <cell r="C38" t="str">
            <v>TasNetworks (T)</v>
          </cell>
        </row>
        <row r="39">
          <cell r="B39" t="str">
            <v>TransGrid</v>
          </cell>
          <cell r="C39" t="str">
            <v>TransGrid</v>
          </cell>
        </row>
        <row r="40">
          <cell r="B40" t="str">
            <v>United Energy</v>
          </cell>
          <cell r="C40" t="str">
            <v>United Energy</v>
          </cell>
        </row>
        <row r="41">
          <cell r="B41" t="str">
            <v>Western Power (D)</v>
          </cell>
          <cell r="C41" t="str">
            <v>Western Power (D)</v>
          </cell>
        </row>
        <row r="42">
          <cell r="B42" t="str">
            <v>Western Power (T)</v>
          </cell>
          <cell r="C42" t="str">
            <v>Western Power (T)</v>
          </cell>
        </row>
        <row r="48">
          <cell r="B48" t="str">
            <v>ARR</v>
          </cell>
          <cell r="C48" t="str">
            <v>ANNUAL REPORTING STATEMENT</v>
          </cell>
        </row>
        <row r="49">
          <cell r="B49" t="str">
            <v>CA</v>
          </cell>
          <cell r="C49" t="str">
            <v>CATEGORY ANALYSIS</v>
          </cell>
        </row>
        <row r="50">
          <cell r="B50" t="str">
            <v>CPI</v>
          </cell>
          <cell r="C50" t="str">
            <v>CPI</v>
          </cell>
        </row>
        <row r="51">
          <cell r="B51" t="str">
            <v>EB</v>
          </cell>
          <cell r="C51" t="str">
            <v>ECONOMIC BENCHMARKING</v>
          </cell>
        </row>
        <row r="52">
          <cell r="B52" t="str">
            <v>PTRM</v>
          </cell>
          <cell r="C52" t="str">
            <v>POST TAX REVENUE MODEL</v>
          </cell>
        </row>
        <row r="53">
          <cell r="B53" t="str">
            <v>Reset</v>
          </cell>
          <cell r="C53" t="str">
            <v>REGULATORY REPORTING STATEMENT</v>
          </cell>
        </row>
        <row r="54">
          <cell r="B54" t="str">
            <v>RFM</v>
          </cell>
          <cell r="C54" t="str">
            <v>ROLL FORWARD MODEL</v>
          </cell>
        </row>
        <row r="55">
          <cell r="B55" t="str">
            <v>WACC</v>
          </cell>
          <cell r="C55" t="str">
            <v>WEIGHTED AVERAGE COST OF CAPITAL</v>
          </cell>
        </row>
        <row r="66">
          <cell r="I66" t="str">
            <v>2018</v>
          </cell>
          <cell r="K66">
            <v>2017</v>
          </cell>
        </row>
        <row r="67">
          <cell r="I67">
            <v>2019</v>
          </cell>
          <cell r="K67">
            <v>2016</v>
          </cell>
        </row>
        <row r="68">
          <cell r="I68">
            <v>2020</v>
          </cell>
          <cell r="K68">
            <v>2015</v>
          </cell>
        </row>
        <row r="69">
          <cell r="I69">
            <v>2021</v>
          </cell>
          <cell r="K69">
            <v>2014</v>
          </cell>
        </row>
        <row r="70">
          <cell r="I70">
            <v>2022</v>
          </cell>
          <cell r="K70">
            <v>2013</v>
          </cell>
        </row>
        <row r="71">
          <cell r="I71">
            <v>2023</v>
          </cell>
          <cell r="K71">
            <v>2012</v>
          </cell>
        </row>
        <row r="72">
          <cell r="I72">
            <v>2024</v>
          </cell>
          <cell r="K72">
            <v>2011</v>
          </cell>
        </row>
        <row r="73">
          <cell r="I73">
            <v>2025</v>
          </cell>
          <cell r="K73">
            <v>2010</v>
          </cell>
        </row>
        <row r="74">
          <cell r="I74">
            <v>2026</v>
          </cell>
          <cell r="K74">
            <v>2009</v>
          </cell>
        </row>
        <row r="75">
          <cell r="I75">
            <v>2027</v>
          </cell>
          <cell r="K75">
            <v>2008</v>
          </cell>
        </row>
        <row r="76">
          <cell r="I76">
            <v>2028</v>
          </cell>
          <cell r="K76">
            <v>2007</v>
          </cell>
        </row>
        <row r="77">
          <cell r="I77">
            <v>2029</v>
          </cell>
          <cell r="K77">
            <v>2006</v>
          </cell>
        </row>
        <row r="78">
          <cell r="I78">
            <v>2030</v>
          </cell>
          <cell r="K78">
            <v>2005</v>
          </cell>
        </row>
        <row r="79">
          <cell r="I79">
            <v>2031</v>
          </cell>
          <cell r="K79">
            <v>2004</v>
          </cell>
        </row>
      </sheetData>
      <sheetData sheetId="1" refreshError="1"/>
      <sheetData sheetId="2" refreshError="1"/>
      <sheetData sheetId="3">
        <row r="1">
          <cell r="B1" t="str">
            <v>REGULATORY REPORTING STATEMENT</v>
          </cell>
        </row>
        <row r="3">
          <cell r="B3" t="str">
            <v>2018 to 2022</v>
          </cell>
        </row>
        <row r="14">
          <cell r="C14" t="str">
            <v>AusNet (Gas)</v>
          </cell>
        </row>
        <row r="35">
          <cell r="C35" t="str">
            <v>2018</v>
          </cell>
          <cell r="D35">
            <v>2019</v>
          </cell>
          <cell r="E35">
            <v>2020</v>
          </cell>
          <cell r="F35">
            <v>2021</v>
          </cell>
          <cell r="G35">
            <v>2022</v>
          </cell>
        </row>
        <row r="38">
          <cell r="C38">
            <v>2013</v>
          </cell>
          <cell r="D38">
            <v>2014</v>
          </cell>
          <cell r="E38">
            <v>2015</v>
          </cell>
          <cell r="F38">
            <v>2016</v>
          </cell>
          <cell r="G38">
            <v>2017</v>
          </cell>
          <cell r="H38">
            <v>2018</v>
          </cell>
          <cell r="I38">
            <v>2019</v>
          </cell>
          <cell r="J38">
            <v>2020</v>
          </cell>
          <cell r="K38">
            <v>2021</v>
          </cell>
        </row>
        <row r="41">
          <cell r="C41">
            <v>2008</v>
          </cell>
          <cell r="D41">
            <v>2009</v>
          </cell>
          <cell r="E41">
            <v>2010</v>
          </cell>
          <cell r="F41">
            <v>2011</v>
          </cell>
          <cell r="G41">
            <v>2012</v>
          </cell>
        </row>
        <row r="51">
          <cell r="C51" t="str">
            <v>Consolidated</v>
          </cell>
        </row>
        <row r="58">
          <cell r="C58" t="str">
            <v>Calendar</v>
          </cell>
        </row>
        <row r="59">
          <cell r="C59" t="str">
            <v>Reset</v>
          </cell>
        </row>
        <row r="62">
          <cell r="C62" t="str">
            <v>December</v>
          </cell>
        </row>
        <row r="63">
          <cell r="C63" t="str">
            <v>December 2017</v>
          </cell>
        </row>
        <row r="67">
          <cell r="C67">
            <v>0</v>
          </cell>
        </row>
        <row r="68">
          <cell r="C68">
            <v>2013</v>
          </cell>
        </row>
        <row r="69">
          <cell r="C69">
            <v>0</v>
          </cell>
        </row>
        <row r="70">
          <cell r="C70">
            <v>0</v>
          </cell>
        </row>
        <row r="71">
          <cell r="C71">
            <v>0</v>
          </cell>
        </row>
        <row r="72">
          <cell r="C72" t="str">
            <v>CRY</v>
          </cell>
        </row>
        <row r="73">
          <cell r="C73" t="e">
            <v>#REF!</v>
          </cell>
        </row>
        <row r="74">
          <cell r="C74">
            <v>5</v>
          </cell>
        </row>
        <row r="75">
          <cell r="C75" t="str">
            <v>dms_FRCP_y5</v>
          </cell>
        </row>
        <row r="76">
          <cell r="C76">
            <v>2022</v>
          </cell>
        </row>
        <row r="77">
          <cell r="C77">
            <v>5</v>
          </cell>
        </row>
        <row r="79">
          <cell r="C79">
            <v>2013</v>
          </cell>
        </row>
        <row r="80">
          <cell r="C80">
            <v>2017</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only"/>
      <sheetName val="Contents"/>
      <sheetName val="Instructions"/>
      <sheetName val="Business &amp; other details"/>
      <sheetName val="1. CPI"/>
      <sheetName val="2. Escalators"/>
      <sheetName val="3 - Capex summary"/>
      <sheetName val="4. Connections market expansn"/>
      <sheetName val="5. Mains augmentation"/>
      <sheetName val="6. Mains replacement"/>
      <sheetName val="7. Telemetry"/>
      <sheetName val="8. Meter replacement"/>
      <sheetName val="9. Other capex"/>
      <sheetName val="12. IT"/>
      <sheetName val="14. Overheads"/>
      <sheetName val="15. Related party transactions"/>
      <sheetName val="16. Capex allocation"/>
      <sheetName val="17. Gross Capex "/>
      <sheetName val="20. Changes in provisions"/>
      <sheetName val="21 - Indicative bill impacts"/>
      <sheetName val="22. WACC Inputs"/>
      <sheetName val="23.1 Opex incl. RPM"/>
      <sheetName val="23.2 Opex excl. RPM"/>
      <sheetName val="23.3 Opex base-step-trend"/>
      <sheetName val="23.4 Opex incentive mechanism"/>
      <sheetName val="24. Cost category matrix"/>
      <sheetName val="25. ARS"/>
      <sheetName val="26. Allocation of total revenue"/>
      <sheetName val="27. Customer numbers"/>
      <sheetName val="28. Consumption and demand"/>
      <sheetName val="29.1 Gas extenstions ($)"/>
      <sheetName val="29.2 Gas extenstions cust no"/>
      <sheetName val="29.3 Gas extensions - demand"/>
      <sheetName val="29.4 Gas extensions - tariffs"/>
      <sheetName val="30. Network characteristics"/>
      <sheetName val="31 - Pass throughs"/>
      <sheetName val="IT capitalised overheads"/>
      <sheetName val="ICT capex allowan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7">
          <cell r="C7">
            <v>9.7602648836198971E-2</v>
          </cell>
          <cell r="E7">
            <v>3.5499695133050964E-2</v>
          </cell>
          <cell r="F7">
            <v>4.597042685987663E-2</v>
          </cell>
          <cell r="G7">
            <v>4.7079870931979927E-2</v>
          </cell>
          <cell r="H7">
            <v>4.8974843707655216E-2</v>
          </cell>
          <cell r="I7">
            <v>7.4515921275201194E-2</v>
          </cell>
          <cell r="J7">
            <v>6.6756874158144672E-2</v>
          </cell>
          <cell r="K7">
            <v>9.5980481716207489E-2</v>
          </cell>
          <cell r="L7">
            <v>5.8693230910711831E-2</v>
          </cell>
          <cell r="M7">
            <v>5.5650278247545017E-2</v>
          </cell>
          <cell r="N7">
            <v>5.1392489926473932E-2</v>
          </cell>
          <cell r="O7">
            <v>6.0139805995940154E-2</v>
          </cell>
          <cell r="P7">
            <v>7.0685495491340553E-2</v>
          </cell>
          <cell r="Q7">
            <v>0.11240290700133333</v>
          </cell>
        </row>
      </sheetData>
      <sheetData sheetId="37">
        <row r="10">
          <cell r="D10">
            <v>8552613.9088729005</v>
          </cell>
          <cell r="E10">
            <v>19007266.187050361</v>
          </cell>
          <cell r="F10">
            <v>9510191.846522782</v>
          </cell>
          <cell r="G10">
            <v>1521630.6954436451</v>
          </cell>
          <cell r="H10">
            <v>5050239.8081534775</v>
          </cell>
          <cell r="I10">
            <v>14939804.949014165</v>
          </cell>
          <cell r="J10">
            <v>14257097.41720403</v>
          </cell>
          <cell r="K10">
            <v>7529057.1162766377</v>
          </cell>
          <cell r="L10">
            <v>8260252.4025400998</v>
          </cell>
          <cell r="M10">
            <v>8336651.241281135</v>
          </cell>
        </row>
        <row r="11">
          <cell r="D11">
            <v>915129.68824940047</v>
          </cell>
          <cell r="E11">
            <v>2033777.4820143885</v>
          </cell>
          <cell r="F11">
            <v>1017590.5275779376</v>
          </cell>
          <cell r="G11">
            <v>162814.48441247002</v>
          </cell>
          <cell r="H11">
            <v>540375.65947242209</v>
          </cell>
          <cell r="I11">
            <v>1927884.3358591644</v>
          </cell>
          <cell r="J11">
            <v>1786265.6868501874</v>
          </cell>
          <cell r="K11">
            <v>1007804.7056654167</v>
          </cell>
          <cell r="L11">
            <v>1229956.3063447813</v>
          </cell>
          <cell r="M11">
            <v>1265109.4139012573</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M input"/>
      <sheetName val="Cover page"/>
      <sheetName val="Contents"/>
      <sheetName val="Forecast summary"/>
      <sheetName val="General assumptions"/>
      <sheetName val="Capex forecast - 3001"/>
      <sheetName val="Capex forecast - 3002"/>
      <sheetName val="Capex forecast - 3003"/>
      <sheetName val="Capex forecast - 3004"/>
      <sheetName val="Capex forecast - 3005"/>
      <sheetName val="Capex forecast - 3006"/>
      <sheetName val="Capex forecast - 3007"/>
      <sheetName val="Capex forecast - 3008"/>
      <sheetName val="Capex forecast - 3009"/>
      <sheetName val="Capex forecast - 3010"/>
      <sheetName val="Capex forecast - 3011"/>
      <sheetName val="Capex forecast - 3012"/>
      <sheetName val="Capex forecast - 3013"/>
      <sheetName val="Capex forecast - 3014"/>
      <sheetName val="Capex forecast - 3015"/>
      <sheetName val="Capex forecast - 3016"/>
      <sheetName val="Capex forecast - 3017"/>
      <sheetName val="Capex forecast - 3018"/>
      <sheetName val="Capex forecast - 3019"/>
      <sheetName val="Capex forecast - 3020"/>
      <sheetName val="Capex forecast - 3021"/>
      <sheetName val="Capex forecast - 3022"/>
      <sheetName val="Capex forecast - 3023"/>
      <sheetName val="Capex forecast - 3024"/>
      <sheetName val="Capex forecast - 3025"/>
      <sheetName val="Capex forecast - IT"/>
      <sheetName val="Capex forecast - other non-IT"/>
      <sheetName val="Capex forecast - work code"/>
      <sheetName val="Capex forecast - RAB"/>
      <sheetName val="Capex forecast - driver"/>
      <sheetName val="Capex forecast - tax"/>
      <sheetName val="Capex forecast - input type"/>
      <sheetName val="Overheads forecast"/>
      <sheetName val="Labour price forecast"/>
      <sheetName val="Contributions analysis"/>
      <sheetName val="Overheads reclass analysis"/>
      <sheetName val="Gas marketing impact"/>
      <sheetName val="AMP input (25 Oct) &gt;&gt; "/>
      <sheetName val="Replacement"/>
      <sheetName val="Augmentation"/>
      <sheetName val="Customer Connections"/>
      <sheetName val="IT, Security, Legal"/>
      <sheetName val="Actual capex &gt;&gt;"/>
      <sheetName val="Actual 2008-15 capex"/>
      <sheetName val="Expected 2016 capex"/>
      <sheetName val="2016 Jan-Sep capex"/>
      <sheetName val="Figures and tables &gt;&gt;"/>
      <sheetName val="2008-17 capex"/>
      <sheetName val="2013-22 capex"/>
      <sheetName val="2013-22 capex by driver"/>
      <sheetName val="Mains"/>
      <sheetName val="MRP unit rates"/>
      <sheetName val="Connections"/>
      <sheetName val="Connections - OHDs reclassified"/>
      <sheetName val="Meters"/>
      <sheetName val="Meters - OHDs reclassified"/>
      <sheetName val="Aug"/>
      <sheetName val="IT"/>
      <sheetName val="Other"/>
      <sheetName val="Customer contributions"/>
      <sheetName val="Overheads"/>
      <sheetName val="Escalators"/>
      <sheetName val="Capex per custom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27">
          <cell r="I27">
            <v>6942378.2001150176</v>
          </cell>
        </row>
      </sheetData>
      <sheetData sheetId="35"/>
      <sheetData sheetId="36"/>
      <sheetData sheetId="37">
        <row r="14">
          <cell r="P14">
            <v>9.5980481716207489E-2</v>
          </cell>
        </row>
      </sheetData>
      <sheetData sheetId="38"/>
      <sheetData sheetId="39"/>
      <sheetData sheetId="40"/>
      <sheetData sheetId="41"/>
      <sheetData sheetId="42"/>
      <sheetData sheetId="43"/>
      <sheetData sheetId="44"/>
      <sheetData sheetId="45"/>
      <sheetData sheetId="46"/>
      <sheetData sheetId="47"/>
      <sheetData sheetId="48">
        <row r="137">
          <cell r="H137">
            <v>13351.207795588754</v>
          </cell>
        </row>
      </sheetData>
      <sheetData sheetId="49">
        <row r="97">
          <cell r="D97">
            <v>6974378.9308659127</v>
          </cell>
        </row>
      </sheetData>
      <sheetData sheetId="50"/>
      <sheetData sheetId="51"/>
      <sheetData sheetId="52"/>
      <sheetData sheetId="53"/>
      <sheetData sheetId="54"/>
      <sheetData sheetId="55"/>
      <sheetData sheetId="56"/>
      <sheetData sheetId="57"/>
      <sheetData sheetId="58"/>
      <sheetData sheetId="59"/>
      <sheetData sheetId="60"/>
      <sheetData sheetId="61"/>
      <sheetData sheetId="62">
        <row r="40">
          <cell r="G40">
            <v>15764.141540873796</v>
          </cell>
          <cell r="H40">
            <v>60486.952591137961</v>
          </cell>
          <cell r="I40">
            <v>138741.80937883444</v>
          </cell>
          <cell r="J40">
            <v>206996.52765836008</v>
          </cell>
          <cell r="K40">
            <v>217725.96873371303</v>
          </cell>
          <cell r="L40">
            <v>225294.24150178116</v>
          </cell>
        </row>
      </sheetData>
      <sheetData sheetId="63"/>
      <sheetData sheetId="64"/>
      <sheetData sheetId="65"/>
      <sheetData sheetId="66"/>
      <sheetData sheetId="6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8"/>
      <sheetName val="2009"/>
      <sheetName val="2010"/>
      <sheetName val="2011"/>
      <sheetName val="2012"/>
      <sheetName val="2013"/>
      <sheetName val="2014"/>
      <sheetName val="2015"/>
    </sheetNames>
    <sheetDataSet>
      <sheetData sheetId="0">
        <row r="4">
          <cell r="N4">
            <v>21240.369076031911</v>
          </cell>
        </row>
        <row r="9">
          <cell r="N9">
            <v>2506.4866719333472</v>
          </cell>
        </row>
        <row r="10">
          <cell r="N10">
            <v>9836.853056703414</v>
          </cell>
        </row>
      </sheetData>
      <sheetData sheetId="1">
        <row r="4">
          <cell r="N4">
            <v>19010.704374045526</v>
          </cell>
        </row>
        <row r="9">
          <cell r="N9">
            <v>1177.6789317753096</v>
          </cell>
        </row>
        <row r="10">
          <cell r="N10">
            <v>8863.0574119445992</v>
          </cell>
        </row>
      </sheetData>
      <sheetData sheetId="2">
        <row r="4">
          <cell r="N4">
            <v>15866.0122284729</v>
          </cell>
        </row>
        <row r="9">
          <cell r="N9">
            <v>1144.7085015375951</v>
          </cell>
        </row>
        <row r="10">
          <cell r="N10">
            <v>7991.2589551655165</v>
          </cell>
        </row>
      </sheetData>
      <sheetData sheetId="3">
        <row r="4">
          <cell r="N4">
            <v>19733.051547869487</v>
          </cell>
        </row>
        <row r="9">
          <cell r="N9">
            <v>2902.4739679030763</v>
          </cell>
        </row>
        <row r="10">
          <cell r="N10">
            <v>10132.412984602521</v>
          </cell>
        </row>
      </sheetData>
      <sheetData sheetId="4">
        <row r="4">
          <cell r="N4">
            <v>20812.206627868589</v>
          </cell>
        </row>
        <row r="9">
          <cell r="N9">
            <v>3878.0975307207245</v>
          </cell>
        </row>
        <row r="10">
          <cell r="N10">
            <v>11536.374586944765</v>
          </cell>
        </row>
      </sheetData>
      <sheetData sheetId="5">
        <row r="4">
          <cell r="M4">
            <v>18396.40585793776</v>
          </cell>
        </row>
        <row r="9">
          <cell r="M9">
            <v>1997.0782626030316</v>
          </cell>
        </row>
        <row r="15">
          <cell r="M15">
            <v>16592.168417661163</v>
          </cell>
        </row>
      </sheetData>
      <sheetData sheetId="6">
        <row r="4">
          <cell r="M4">
            <v>21120.963215655593</v>
          </cell>
        </row>
        <row r="9">
          <cell r="M9">
            <v>1595.3603146816845</v>
          </cell>
        </row>
        <row r="15">
          <cell r="M15">
            <v>17929.302754362889</v>
          </cell>
        </row>
      </sheetData>
      <sheetData sheetId="7">
        <row r="4">
          <cell r="M4">
            <v>21624.734092684499</v>
          </cell>
        </row>
        <row r="9">
          <cell r="M9">
            <v>736.24364308227496</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 Related party transactions"/>
      <sheetName val="JAM 2011 v2"/>
      <sheetName val="JAM 2011"/>
      <sheetName val="CLM 2012"/>
      <sheetName val="CLM 2013"/>
      <sheetName val="CLM 2014"/>
    </sheetNames>
    <sheetDataSet>
      <sheetData sheetId="0" refreshError="1">
        <row r="51">
          <cell r="H51" t="str">
            <v>Connections growth</v>
          </cell>
        </row>
        <row r="52">
          <cell r="H52" t="str">
            <v>Mains augmentation</v>
          </cell>
        </row>
        <row r="53">
          <cell r="H53" t="str">
            <v>Mains replacement</v>
          </cell>
        </row>
        <row r="54">
          <cell r="H54" t="str">
            <v>Telemetry</v>
          </cell>
        </row>
        <row r="55">
          <cell r="H55" t="str">
            <v>Meter replacement</v>
          </cell>
        </row>
        <row r="56">
          <cell r="H56" t="str">
            <v>Other distribution system</v>
          </cell>
        </row>
        <row r="57">
          <cell r="H57" t="str">
            <v>Other non-distribution system</v>
          </cell>
        </row>
        <row r="58">
          <cell r="H58" t="str">
            <v>IT</v>
          </cell>
        </row>
        <row r="80">
          <cell r="I80">
            <v>0</v>
          </cell>
          <cell r="J80">
            <v>1.1951049428832744E-2</v>
          </cell>
          <cell r="K80">
            <v>1.1272710132287284E-2</v>
          </cell>
          <cell r="L80">
            <v>1.2378567079651476E-2</v>
          </cell>
          <cell r="M80">
            <v>1.1898076726630371E-2</v>
          </cell>
          <cell r="N80">
            <v>1.4090269322571609E-2</v>
          </cell>
          <cell r="O80">
            <v>1.6776109918062267E-3</v>
          </cell>
          <cell r="P80">
            <v>0</v>
          </cell>
        </row>
        <row r="81">
          <cell r="I81">
            <v>1.4802209417274309E-2</v>
          </cell>
          <cell r="J81">
            <v>1.1951049428832744E-2</v>
          </cell>
          <cell r="K81">
            <v>1.1272710132287285E-2</v>
          </cell>
          <cell r="L81">
            <v>9.1835834845577488E-2</v>
          </cell>
          <cell r="M81">
            <v>4.2490857812392646E-2</v>
          </cell>
          <cell r="N81">
            <v>2.8951497134396209E-2</v>
          </cell>
          <cell r="O81">
            <v>2.766423255879506E-3</v>
          </cell>
          <cell r="P81">
            <v>0</v>
          </cell>
        </row>
        <row r="82">
          <cell r="I82">
            <v>1.4802209417274311E-2</v>
          </cell>
          <cell r="J82">
            <v>1.1951049428832744E-2</v>
          </cell>
          <cell r="K82">
            <v>1.1272710132287284E-2</v>
          </cell>
          <cell r="L82">
            <v>1.275683627697992E-2</v>
          </cell>
          <cell r="M82">
            <v>1.1898076726630371E-2</v>
          </cell>
          <cell r="N82">
            <v>5.1780438581403999E-2</v>
          </cell>
          <cell r="O82">
            <v>1.6776109918062267E-3</v>
          </cell>
          <cell r="P82">
            <v>0</v>
          </cell>
        </row>
        <row r="83">
          <cell r="I83">
            <v>1.4802209417274309E-2</v>
          </cell>
          <cell r="J83">
            <v>1.1951049428832742E-2</v>
          </cell>
          <cell r="K83">
            <v>0</v>
          </cell>
          <cell r="L83">
            <v>1.2378567079651475E-2</v>
          </cell>
          <cell r="M83">
            <v>0.14956513100769725</v>
          </cell>
          <cell r="N83">
            <v>0.24395707943698697</v>
          </cell>
          <cell r="O83">
            <v>0.40943036777023395</v>
          </cell>
          <cell r="P83">
            <v>0</v>
          </cell>
        </row>
        <row r="84">
          <cell r="I84">
            <v>1.4802209417274311E-2</v>
          </cell>
          <cell r="J84">
            <v>1.1951049428832745E-2</v>
          </cell>
          <cell r="K84">
            <v>1.1272710132287284E-2</v>
          </cell>
          <cell r="L84">
            <v>4.7909081202738645E-2</v>
          </cell>
          <cell r="M84">
            <v>0.33998160673081801</v>
          </cell>
          <cell r="N84">
            <v>0.55842200537293329</v>
          </cell>
          <cell r="O84">
            <v>0.30643947593577481</v>
          </cell>
          <cell r="P84">
            <v>0</v>
          </cell>
        </row>
        <row r="85">
          <cell r="I85">
            <v>1.4802209417274313E-2</v>
          </cell>
          <cell r="J85">
            <v>1.1951049428832745E-2</v>
          </cell>
          <cell r="K85">
            <v>1.1272710132287284E-2</v>
          </cell>
          <cell r="L85">
            <v>1.2378567079651476E-2</v>
          </cell>
          <cell r="M85">
            <v>1.1898076726630371E-2</v>
          </cell>
          <cell r="N85">
            <v>1.4090269322571606E-2</v>
          </cell>
          <cell r="O85">
            <v>1.6776109918062267E-3</v>
          </cell>
          <cell r="P85">
            <v>0</v>
          </cell>
        </row>
        <row r="86">
          <cell r="I86">
            <v>1.4802209417274309E-2</v>
          </cell>
          <cell r="J86">
            <v>1.1951049428832745E-2</v>
          </cell>
          <cell r="K86">
            <v>1.1272710132287284E-2</v>
          </cell>
          <cell r="L86">
            <v>1.2378567079651475E-2</v>
          </cell>
          <cell r="M86">
            <v>0.10803787652871118</v>
          </cell>
          <cell r="N86">
            <v>0.1176519822377529</v>
          </cell>
          <cell r="O86">
            <v>4.5639886196883084E-2</v>
          </cell>
          <cell r="P86">
            <v>0</v>
          </cell>
        </row>
        <row r="87">
          <cell r="I87">
            <v>0</v>
          </cell>
          <cell r="J87">
            <v>0</v>
          </cell>
          <cell r="K87">
            <v>0</v>
          </cell>
          <cell r="L87">
            <v>0</v>
          </cell>
          <cell r="M87">
            <v>0</v>
          </cell>
          <cell r="N87">
            <v>0</v>
          </cell>
          <cell r="O87">
            <v>0</v>
          </cell>
          <cell r="P87">
            <v>0</v>
          </cell>
        </row>
        <row r="88">
          <cell r="I88">
            <v>0</v>
          </cell>
          <cell r="J88">
            <v>0.31096031628000981</v>
          </cell>
          <cell r="K88">
            <v>0.28832611793305146</v>
          </cell>
          <cell r="L88">
            <v>0.58160019634665028</v>
          </cell>
          <cell r="M88">
            <v>0.13437029444566018</v>
          </cell>
          <cell r="N88">
            <v>9.4305158051144991E-2</v>
          </cell>
          <cell r="O88">
            <v>2.893206134012909E-2</v>
          </cell>
          <cell r="P88">
            <v>0</v>
          </cell>
        </row>
        <row r="89">
          <cell r="I89">
            <v>0</v>
          </cell>
          <cell r="J89">
            <v>0</v>
          </cell>
          <cell r="K89">
            <v>0</v>
          </cell>
          <cell r="L89">
            <v>0</v>
          </cell>
          <cell r="M89">
            <v>0</v>
          </cell>
          <cell r="N89">
            <v>0</v>
          </cell>
          <cell r="O89">
            <v>0</v>
          </cell>
          <cell r="P89">
            <v>0</v>
          </cell>
        </row>
        <row r="90">
          <cell r="I90">
            <v>0</v>
          </cell>
          <cell r="J90">
            <v>0</v>
          </cell>
          <cell r="K90">
            <v>0</v>
          </cell>
          <cell r="L90">
            <v>0</v>
          </cell>
          <cell r="M90">
            <v>0</v>
          </cell>
          <cell r="N90">
            <v>0</v>
          </cell>
          <cell r="O90">
            <v>0</v>
          </cell>
          <cell r="P90">
            <v>0</v>
          </cell>
        </row>
      </sheetData>
      <sheetData sheetId="1" refreshError="1"/>
      <sheetData sheetId="2" refreshError="1"/>
      <sheetData sheetId="3" refreshError="1"/>
      <sheetData sheetId="4" refreshError="1"/>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only"/>
      <sheetName val="Contents"/>
      <sheetName val="Instructions"/>
      <sheetName val="Business &amp; other details"/>
      <sheetName val="1. CPI"/>
      <sheetName val="2. Escalators"/>
      <sheetName val="3 - Capex summary"/>
      <sheetName val="4. Connections market expansn"/>
      <sheetName val="5. Mains augmentation"/>
      <sheetName val="6. Mains replacement"/>
      <sheetName val="7. Telemetry"/>
      <sheetName val="8. Meter replacement"/>
      <sheetName val="9. Other capex"/>
      <sheetName val="12. IT"/>
      <sheetName val="14. Overheads"/>
      <sheetName val="15. Related party transactions"/>
      <sheetName val="16. Capex allocation"/>
      <sheetName val="17. Gross Capex "/>
      <sheetName val="20. Changes in provisions"/>
      <sheetName val="21 - Indicative bill impacts"/>
      <sheetName val="22. WACC Inputs"/>
      <sheetName val="23.1 Opex incl. RPM"/>
      <sheetName val="23.2 Opex excl. RPM"/>
      <sheetName val="23.3 Opex base-step-trend"/>
      <sheetName val="23.4 Opex incentive mechanism"/>
      <sheetName val="24. Cost category matrix"/>
      <sheetName val="25. ARS"/>
      <sheetName val="26. Allocation of total revenue"/>
      <sheetName val="27. Customer numbers"/>
      <sheetName val="28. Consumption and demand"/>
      <sheetName val="29.1 Gas extenstions ($)"/>
      <sheetName val="29.2 Gas extenstions cust no"/>
      <sheetName val="29.3 Gas extensions - demand"/>
      <sheetName val="29.4 Gas extensions - tariffs"/>
      <sheetName val="30. Network characteristics"/>
      <sheetName val="31 - Pass through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55">
          <cell r="K55">
            <v>2246.8285763207973</v>
          </cell>
          <cell r="L55">
            <v>2218.0757426201653</v>
          </cell>
          <cell r="M55">
            <v>2182.071561849647</v>
          </cell>
          <cell r="N55">
            <v>2146.6518070335928</v>
          </cell>
          <cell r="O55">
            <v>2111.806991671021</v>
          </cell>
          <cell r="P55">
            <v>2077.5277832474385</v>
          </cell>
          <cell r="Q55">
            <v>2043.8050007353058</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tables/table1.xml><?xml version="1.0" encoding="utf-8"?>
<table xmlns="http://schemas.openxmlformats.org/spreadsheetml/2006/main" id="1" name="Table1" displayName="Table1" ref="B7:AA42" totalsRowShown="0" headerRowDxfId="30" tableBorderDxfId="29" headerRowCellStyle="Normal 10">
  <autoFilter ref="B7:AA42"/>
  <tableColumns count="26">
    <tableColumn id="1" name="dms_TradingName_List" dataDxfId="28" dataCellStyle="Normal 2 2 2"/>
    <tableColumn id="2" name="dms_TradingNameFull_List" dataDxfId="27" dataCellStyle="Normal 10"/>
    <tableColumn id="3" name="dms_ABN_List" dataDxfId="26" dataCellStyle="Normal 2 2 2"/>
    <tableColumn id="4" name="dms_JurisdictionList" dataDxfId="25" dataCellStyle="Normal 13 2"/>
    <tableColumn id="5" name="dms_Sector_List" dataDxfId="24" dataCellStyle="Normal 2 2 2"/>
    <tableColumn id="6" name="dms_Segment_List" dataDxfId="23" dataCellStyle="Normal 2 2 2"/>
    <tableColumn id="7" name="dms_FormControl_List" dataDxfId="22" dataCellStyle="Normal 2 2 2"/>
    <tableColumn id="8" name="dms_RPT_List" dataDxfId="21" dataCellStyle="Normal 2 2 2"/>
    <tableColumn id="9" name="dms_RPTMonth_List" dataDxfId="20" dataCellStyle="Normal 2 2 2"/>
    <tableColumn id="10" name="dms_CRCPlength_List" dataDxfId="19" dataCellStyle="Normal 2 2 2"/>
    <tableColumn id="11" name="dms_FRCPlength_List" dataDxfId="18" dataCellStyle="Normal 2 2 2"/>
    <tableColumn id="12" name="dms_663_List" dataDxfId="17" dataCellStyle="Normal 13 2"/>
    <tableColumn id="13" name="dms_DeterminationRef_List" dataDxfId="16" dataCellStyle="Normal 2 2 2"/>
    <tableColumn id="14" name="dms_Addr1_List" dataDxfId="15" dataCellStyle="Normal 2 2 2"/>
    <tableColumn id="15" name="dms_Addr2_List" dataDxfId="14" dataCellStyle="Normal 2 2 2"/>
    <tableColumn id="16" name="dms_Suburb_List" dataDxfId="13" dataCellStyle="Normal 2 2 2"/>
    <tableColumn id="17" name="dms_State_List" dataDxfId="12" dataCellStyle="Normal 13 2"/>
    <tableColumn id="18" name="dms_PostCode_List" dataDxfId="11" dataCellStyle="Normal 2 2 2"/>
    <tableColumn id="19" name="dms_PAddr1_List" dataDxfId="10" dataCellStyle="Normal 2 2 2"/>
    <tableColumn id="20" name="dms_PAddr2_List" dataDxfId="9" dataCellStyle="Normal 2 2 2"/>
    <tableColumn id="21" name="dms_PSuburb_List" dataDxfId="8" dataCellStyle="Normal 2 2 2"/>
    <tableColumn id="22" name="dms_PState_List" dataDxfId="7" dataCellStyle="Normal 2 2 2"/>
    <tableColumn id="23" name="dms_PPostCode_List" dataDxfId="6" dataCellStyle="Normal 2 2 2"/>
    <tableColumn id="24" name="dms_ContactName1_List" dataDxfId="5" dataCellStyle="Normal 2 2 2"/>
    <tableColumn id="25" name="dms_ContactPh1_List" dataDxfId="4" dataCellStyle="Normal 2 2 2"/>
    <tableColumn id="26" name="dms_ContactEmail_List"/>
  </tableColumns>
  <tableStyleInfo name="TableStyleLight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table" Target="../tables/table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customProperty" Target="../customProperty19.bin"/><Relationship Id="rId1" Type="http://schemas.openxmlformats.org/officeDocument/2006/relationships/printerSettings" Target="../printerSettings/printerSettings19.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ustomProperty" Target="../customProperty20.bin"/><Relationship Id="rId2" Type="http://schemas.openxmlformats.org/officeDocument/2006/relationships/printerSettings" Target="../printerSettings/printerSettings20.bin"/><Relationship Id="rId1" Type="http://schemas.openxmlformats.org/officeDocument/2006/relationships/hyperlink" Target="https://www.industry.gov.au/Energy/Energy-information/Documents/Gas-Price-Trends-Report.pdf" TargetMode="External"/><Relationship Id="rId4"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customProperty" Target="../customProperty3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customProperty" Target="../customProperty31.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customProperty" Target="../customProperty32.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customProperty" Target="../customProperty33.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customProperty" Target="../customProperty34.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customProperty" Target="../customProperty35.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customProperty" Target="../customProperty36.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customProperty" Target="../customProperty37.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customProperty" Target="../customProperty38.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customProperty" Target="../customProperty39.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customProperty" Target="../customProperty40.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customProperty" Target="../customProperty41.bin"/><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customProperty" Target="../customProperty42.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43.xml"/><Relationship Id="rId2" Type="http://schemas.openxmlformats.org/officeDocument/2006/relationships/customProperty" Target="../customProperty43.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customProperty" Target="../customProperty44.bin"/><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customProperty" Target="../customProperty45.bin"/><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AN132"/>
  <sheetViews>
    <sheetView showGridLines="0" zoomScale="70" zoomScaleNormal="70" workbookViewId="0">
      <selection activeCell="F12" sqref="F12"/>
    </sheetView>
  </sheetViews>
  <sheetFormatPr defaultColWidth="9.140625" defaultRowHeight="15"/>
  <cols>
    <col min="1" max="1" width="23.140625" style="2146" customWidth="1"/>
    <col min="2" max="2" width="33.85546875" style="2159" bestFit="1" customWidth="1"/>
    <col min="3" max="3" width="53.85546875" style="2159" customWidth="1"/>
    <col min="4" max="4" width="19.85546875" style="2146" customWidth="1"/>
    <col min="5" max="5" width="25.140625" style="1836" customWidth="1"/>
    <col min="6" max="6" width="21" style="2146" customWidth="1"/>
    <col min="7" max="7" width="23" style="2146" customWidth="1"/>
    <col min="8" max="8" width="27.5703125" style="2159" customWidth="1"/>
    <col min="9" max="9" width="19" style="2160" customWidth="1"/>
    <col min="10" max="10" width="25.5703125" style="2159" customWidth="1"/>
    <col min="11" max="11" width="27" style="2159" customWidth="1"/>
    <col min="12" max="12" width="26.7109375" style="2161" customWidth="1"/>
    <col min="13" max="13" width="18.140625" style="2146" customWidth="1"/>
    <col min="14" max="14" width="36.28515625" style="2146" customWidth="1"/>
    <col min="15" max="15" width="19.85546875" style="2147" customWidth="1"/>
    <col min="16" max="16" width="20.140625" style="2147" customWidth="1"/>
    <col min="17" max="17" width="21.28515625" style="2147" customWidth="1"/>
    <col min="18" max="18" width="19.5703125" style="2147" customWidth="1"/>
    <col min="19" max="19" width="24.7109375" style="2147" customWidth="1"/>
    <col min="20" max="20" width="21.42578125" style="2147" customWidth="1"/>
    <col min="21" max="21" width="21.85546875" style="2147" customWidth="1"/>
    <col min="22" max="22" width="22.85546875" style="2147" customWidth="1"/>
    <col min="23" max="23" width="21.28515625" style="2147" customWidth="1"/>
    <col min="24" max="24" width="26.28515625" style="2146" customWidth="1"/>
    <col min="25" max="25" width="29.140625" style="2146" customWidth="1"/>
    <col min="26" max="26" width="26.140625" style="2146" customWidth="1"/>
    <col min="27" max="27" width="47.140625" style="2146" customWidth="1"/>
    <col min="28" max="28" width="3.42578125" style="2148" customWidth="1"/>
    <col min="29" max="29" width="12.140625" style="2148" bestFit="1" customWidth="1"/>
    <col min="30" max="30" width="13.140625" style="2146" bestFit="1" customWidth="1"/>
    <col min="31" max="31" width="13.5703125" style="2146" bestFit="1" customWidth="1"/>
    <col min="32" max="32" width="12.42578125" style="2146" bestFit="1" customWidth="1"/>
    <col min="33" max="33" width="16.7109375" style="2146" bestFit="1" customWidth="1"/>
    <col min="34" max="34" width="16.7109375" style="2146" customWidth="1"/>
    <col min="35" max="35" width="18" style="2146" customWidth="1"/>
    <col min="36" max="36" width="28.85546875" style="2146" customWidth="1"/>
    <col min="37" max="37" width="28.5703125" style="2146" customWidth="1"/>
    <col min="38" max="38" width="14.28515625" style="2146" bestFit="1" customWidth="1"/>
    <col min="39" max="39" width="12.42578125" style="2146" bestFit="1" customWidth="1"/>
    <col min="40" max="40" width="37" style="2146" customWidth="1"/>
    <col min="41" max="16384" width="9.140625" style="2146"/>
  </cols>
  <sheetData>
    <row r="1" spans="2:40" ht="18">
      <c r="B1" s="3879" t="s">
        <v>740</v>
      </c>
      <c r="C1" s="3879"/>
      <c r="D1" s="3879"/>
      <c r="E1" s="3879"/>
      <c r="F1" s="3879"/>
      <c r="G1" s="3879"/>
      <c r="H1" s="3879"/>
      <c r="I1" s="3879"/>
      <c r="J1" s="3879"/>
      <c r="K1" s="3879"/>
      <c r="L1" s="3879"/>
    </row>
    <row r="2" spans="2:40" ht="18">
      <c r="B2" s="2149" t="s">
        <v>645</v>
      </c>
      <c r="C2" s="2150">
        <v>42590</v>
      </c>
      <c r="D2" s="2151" t="s">
        <v>741</v>
      </c>
      <c r="E2" s="2151"/>
      <c r="F2" s="2152"/>
      <c r="G2" s="2152"/>
      <c r="H2" s="2153"/>
      <c r="I2" s="2154"/>
      <c r="J2" s="2153"/>
      <c r="K2" s="2153"/>
      <c r="L2" s="2155"/>
    </row>
    <row r="3" spans="2:40">
      <c r="B3" s="2156"/>
      <c r="C3" s="2157"/>
      <c r="D3" s="2151"/>
      <c r="E3" s="2151"/>
      <c r="F3" s="2152"/>
      <c r="G3" s="2152"/>
      <c r="H3" s="2153"/>
      <c r="I3" s="2154"/>
      <c r="J3" s="2153"/>
      <c r="K3" s="2153"/>
      <c r="L3" s="2155"/>
    </row>
    <row r="4" spans="2:40" ht="16.5" thickBot="1">
      <c r="B4" s="2153"/>
      <c r="C4" s="2158"/>
      <c r="D4" s="2152"/>
      <c r="E4" s="2151"/>
      <c r="F4" s="2152"/>
      <c r="G4" s="2152"/>
      <c r="H4" s="2153"/>
      <c r="I4" s="2154"/>
      <c r="J4" s="2153"/>
      <c r="K4" s="2153"/>
      <c r="L4" s="2155"/>
      <c r="AC4" s="3880" t="s">
        <v>742</v>
      </c>
      <c r="AD4" s="3880"/>
      <c r="AE4" s="3880"/>
      <c r="AF4" s="3880"/>
      <c r="AG4" s="3880"/>
      <c r="AH4" s="3880"/>
      <c r="AI4" s="3880"/>
      <c r="AJ4" s="3880"/>
      <c r="AK4" s="3880"/>
      <c r="AL4" s="3880"/>
      <c r="AM4" s="3880"/>
    </row>
    <row r="5" spans="2:40">
      <c r="AC5" s="3881" t="s">
        <v>743</v>
      </c>
      <c r="AD5" s="3882"/>
      <c r="AE5" s="3882"/>
      <c r="AF5" s="3882"/>
      <c r="AG5" s="2162" t="s">
        <v>303</v>
      </c>
      <c r="AH5" s="2163" t="s">
        <v>744</v>
      </c>
      <c r="AI5" s="3883" t="s">
        <v>745</v>
      </c>
      <c r="AJ5" s="3884"/>
      <c r="AK5" s="3884"/>
      <c r="AL5" s="3884"/>
      <c r="AM5" s="3885"/>
    </row>
    <row r="6" spans="2:40" ht="15.75" thickBot="1">
      <c r="C6" s="2164"/>
      <c r="AC6" s="2165" t="s">
        <v>746</v>
      </c>
      <c r="AD6" s="2166" t="s">
        <v>747</v>
      </c>
      <c r="AE6" s="2166" t="s">
        <v>748</v>
      </c>
      <c r="AF6" s="2166" t="s">
        <v>749</v>
      </c>
      <c r="AG6" s="2167" t="s">
        <v>750</v>
      </c>
      <c r="AH6" s="2168"/>
      <c r="AI6" s="2169"/>
      <c r="AJ6" s="2170"/>
      <c r="AK6" s="2170"/>
      <c r="AL6" s="2170"/>
      <c r="AM6" s="2171"/>
    </row>
    <row r="7" spans="2:40" ht="26.25" thickBot="1">
      <c r="B7" s="2172" t="s">
        <v>751</v>
      </c>
      <c r="C7" s="2173" t="s">
        <v>752</v>
      </c>
      <c r="D7" s="2174" t="s">
        <v>646</v>
      </c>
      <c r="E7" s="2175" t="s">
        <v>753</v>
      </c>
      <c r="F7" s="2176" t="s">
        <v>648</v>
      </c>
      <c r="G7" s="2176" t="s">
        <v>649</v>
      </c>
      <c r="H7" s="2176" t="s">
        <v>754</v>
      </c>
      <c r="I7" s="2176" t="s">
        <v>755</v>
      </c>
      <c r="J7" s="2176" t="s">
        <v>756</v>
      </c>
      <c r="K7" s="2176" t="s">
        <v>757</v>
      </c>
      <c r="L7" s="2177" t="s">
        <v>758</v>
      </c>
      <c r="M7" s="2178" t="s">
        <v>759</v>
      </c>
      <c r="N7" s="2179" t="s">
        <v>760</v>
      </c>
      <c r="O7" s="2180" t="s">
        <v>761</v>
      </c>
      <c r="P7" s="2181" t="s">
        <v>762</v>
      </c>
      <c r="Q7" s="2181" t="s">
        <v>763</v>
      </c>
      <c r="R7" s="2181" t="s">
        <v>647</v>
      </c>
      <c r="S7" s="2181" t="s">
        <v>764</v>
      </c>
      <c r="T7" s="2182" t="s">
        <v>765</v>
      </c>
      <c r="U7" s="2182" t="s">
        <v>766</v>
      </c>
      <c r="V7" s="2182" t="s">
        <v>767</v>
      </c>
      <c r="W7" s="2182" t="s">
        <v>768</v>
      </c>
      <c r="X7" s="2183" t="s">
        <v>769</v>
      </c>
      <c r="Y7" s="2184" t="s">
        <v>770</v>
      </c>
      <c r="Z7" s="2184" t="s">
        <v>771</v>
      </c>
      <c r="AA7" s="2185" t="s">
        <v>772</v>
      </c>
      <c r="AC7" s="2186" t="s">
        <v>773</v>
      </c>
      <c r="AD7" s="2187" t="s">
        <v>774</v>
      </c>
      <c r="AE7" s="2188" t="s">
        <v>775</v>
      </c>
      <c r="AF7" s="2189" t="s">
        <v>776</v>
      </c>
      <c r="AG7" s="2188" t="s">
        <v>777</v>
      </c>
      <c r="AH7" s="2190" t="s">
        <v>778</v>
      </c>
      <c r="AI7" s="2191" t="s">
        <v>779</v>
      </c>
      <c r="AJ7" s="2192" t="s">
        <v>780</v>
      </c>
      <c r="AK7" s="2192" t="s">
        <v>781</v>
      </c>
      <c r="AL7" s="2192" t="s">
        <v>782</v>
      </c>
      <c r="AM7" s="2193" t="s">
        <v>783</v>
      </c>
    </row>
    <row r="8" spans="2:40">
      <c r="B8" s="2194" t="s">
        <v>271</v>
      </c>
      <c r="C8" s="2195" t="s">
        <v>271</v>
      </c>
      <c r="D8" s="2196">
        <v>76670568688</v>
      </c>
      <c r="E8" s="2197" t="s">
        <v>651</v>
      </c>
      <c r="F8" s="2198" t="s">
        <v>652</v>
      </c>
      <c r="G8" s="2198" t="s">
        <v>309</v>
      </c>
      <c r="H8" s="2199" t="s">
        <v>655</v>
      </c>
      <c r="I8" s="2200" t="s">
        <v>784</v>
      </c>
      <c r="J8" s="2199" t="s">
        <v>785</v>
      </c>
      <c r="K8" s="2201">
        <v>5</v>
      </c>
      <c r="L8" s="2202">
        <v>5</v>
      </c>
      <c r="M8" s="2203">
        <v>5</v>
      </c>
      <c r="N8" s="2204" t="s">
        <v>786</v>
      </c>
      <c r="O8" s="2205" t="s">
        <v>787</v>
      </c>
      <c r="P8" s="2206"/>
      <c r="Q8" s="2207" t="s">
        <v>788</v>
      </c>
      <c r="R8" s="2208" t="s">
        <v>651</v>
      </c>
      <c r="S8" s="2209" t="s">
        <v>789</v>
      </c>
      <c r="T8" s="2210" t="s">
        <v>790</v>
      </c>
      <c r="U8" s="2206"/>
      <c r="V8" s="2206" t="s">
        <v>788</v>
      </c>
      <c r="W8" s="2206" t="s">
        <v>651</v>
      </c>
      <c r="X8" s="2211">
        <v>2601</v>
      </c>
      <c r="Y8" s="2210" t="s">
        <v>791</v>
      </c>
      <c r="Z8" s="2206" t="s">
        <v>792</v>
      </c>
      <c r="AA8" s="2212" t="s">
        <v>793</v>
      </c>
      <c r="AC8" s="2213" t="s">
        <v>794</v>
      </c>
      <c r="AD8" s="2214" t="s">
        <v>795</v>
      </c>
      <c r="AE8" s="2214" t="s">
        <v>795</v>
      </c>
      <c r="AF8" s="2215" t="s">
        <v>794</v>
      </c>
      <c r="AG8" s="2216" t="s">
        <v>794</v>
      </c>
      <c r="AH8" s="2217"/>
      <c r="AI8" s="2218" t="s">
        <v>746</v>
      </c>
      <c r="AJ8" s="2219" t="s">
        <v>747</v>
      </c>
      <c r="AK8" s="2219" t="s">
        <v>748</v>
      </c>
      <c r="AL8" s="2220" t="s">
        <v>796</v>
      </c>
      <c r="AM8" s="2221"/>
      <c r="AN8" s="2222" t="s">
        <v>271</v>
      </c>
    </row>
    <row r="9" spans="2:40">
      <c r="B9" s="2194" t="s">
        <v>654</v>
      </c>
      <c r="C9" s="2195" t="s">
        <v>654</v>
      </c>
      <c r="D9" s="2196">
        <v>76670568688</v>
      </c>
      <c r="E9" s="2223" t="s">
        <v>651</v>
      </c>
      <c r="F9" s="2224" t="s">
        <v>652</v>
      </c>
      <c r="G9" s="2224" t="s">
        <v>309</v>
      </c>
      <c r="H9" s="2225" t="s">
        <v>655</v>
      </c>
      <c r="I9" s="2226" t="s">
        <v>784</v>
      </c>
      <c r="J9" s="2225" t="s">
        <v>785</v>
      </c>
      <c r="K9" s="2227">
        <v>5</v>
      </c>
      <c r="L9" s="2228">
        <v>5</v>
      </c>
      <c r="M9" s="2229">
        <v>5</v>
      </c>
      <c r="N9" s="2230" t="s">
        <v>797</v>
      </c>
      <c r="O9" s="2231" t="s">
        <v>787</v>
      </c>
      <c r="P9" s="2232"/>
      <c r="Q9" s="2233" t="s">
        <v>788</v>
      </c>
      <c r="R9" s="2234" t="s">
        <v>651</v>
      </c>
      <c r="S9" s="2235" t="s">
        <v>789</v>
      </c>
      <c r="T9" s="2236" t="s">
        <v>790</v>
      </c>
      <c r="U9" s="2232"/>
      <c r="V9" s="2232" t="s">
        <v>788</v>
      </c>
      <c r="W9" s="2232" t="s">
        <v>651</v>
      </c>
      <c r="X9" s="2237">
        <v>2601</v>
      </c>
      <c r="Y9" s="2236" t="s">
        <v>791</v>
      </c>
      <c r="Z9" s="2232" t="s">
        <v>792</v>
      </c>
      <c r="AA9" s="2238" t="s">
        <v>793</v>
      </c>
      <c r="AC9" s="2239"/>
      <c r="AD9" s="2240"/>
      <c r="AE9" s="2240"/>
      <c r="AF9" s="2240"/>
      <c r="AG9" s="2241"/>
      <c r="AH9" s="2242"/>
      <c r="AI9" s="2239" t="s">
        <v>746</v>
      </c>
      <c r="AJ9" s="2240" t="s">
        <v>747</v>
      </c>
      <c r="AK9" s="2240" t="s">
        <v>748</v>
      </c>
      <c r="AL9" s="2243" t="s">
        <v>796</v>
      </c>
      <c r="AM9" s="2241"/>
      <c r="AN9" s="2244" t="s">
        <v>654</v>
      </c>
    </row>
    <row r="10" spans="2:40">
      <c r="B10" s="2245" t="s">
        <v>798</v>
      </c>
      <c r="C10" s="2246" t="s">
        <v>798</v>
      </c>
      <c r="D10" s="2196">
        <v>76670568688</v>
      </c>
      <c r="E10" s="2223" t="s">
        <v>651</v>
      </c>
      <c r="F10" s="2224" t="s">
        <v>306</v>
      </c>
      <c r="G10" s="2224" t="s">
        <v>309</v>
      </c>
      <c r="H10" s="2225" t="s">
        <v>664</v>
      </c>
      <c r="I10" s="2226" t="s">
        <v>784</v>
      </c>
      <c r="J10" s="2225" t="s">
        <v>785</v>
      </c>
      <c r="K10" s="2227">
        <v>5</v>
      </c>
      <c r="L10" s="2228">
        <v>5</v>
      </c>
      <c r="M10" s="2229" t="s">
        <v>799</v>
      </c>
      <c r="N10" s="2230"/>
      <c r="O10" s="2231" t="s">
        <v>787</v>
      </c>
      <c r="P10" s="2232"/>
      <c r="Q10" s="2233" t="s">
        <v>788</v>
      </c>
      <c r="R10" s="2234" t="s">
        <v>651</v>
      </c>
      <c r="S10" s="2235" t="s">
        <v>789</v>
      </c>
      <c r="T10" s="2236" t="s">
        <v>790</v>
      </c>
      <c r="U10" s="2232"/>
      <c r="V10" s="2232" t="s">
        <v>788</v>
      </c>
      <c r="W10" s="2232" t="s">
        <v>651</v>
      </c>
      <c r="X10" s="2237">
        <v>2601</v>
      </c>
      <c r="Y10" s="2236" t="s">
        <v>800</v>
      </c>
      <c r="Z10" s="2232" t="s">
        <v>801</v>
      </c>
      <c r="AA10" s="2238" t="s">
        <v>802</v>
      </c>
      <c r="AC10" s="2239"/>
      <c r="AD10" s="2240"/>
      <c r="AE10" s="2240"/>
      <c r="AF10" s="2240"/>
      <c r="AG10" s="2241"/>
      <c r="AH10" s="2242"/>
      <c r="AI10" s="2239"/>
      <c r="AJ10" s="2240"/>
      <c r="AK10" s="2240"/>
      <c r="AL10" s="2243"/>
      <c r="AM10" s="2241"/>
      <c r="AN10" s="2247" t="s">
        <v>798</v>
      </c>
    </row>
    <row r="11" spans="2:40">
      <c r="B11" s="2248" t="s">
        <v>803</v>
      </c>
      <c r="C11" s="2249" t="s">
        <v>803</v>
      </c>
      <c r="D11" s="2250">
        <v>78551685</v>
      </c>
      <c r="E11" s="2223" t="s">
        <v>656</v>
      </c>
      <c r="F11" s="2224" t="s">
        <v>306</v>
      </c>
      <c r="G11" s="2224" t="s">
        <v>309</v>
      </c>
      <c r="H11" s="2225" t="s">
        <v>655</v>
      </c>
      <c r="I11" s="2226" t="s">
        <v>784</v>
      </c>
      <c r="J11" s="2225" t="s">
        <v>785</v>
      </c>
      <c r="K11" s="2227">
        <v>5</v>
      </c>
      <c r="L11" s="2228">
        <v>5</v>
      </c>
      <c r="M11" s="2229">
        <v>5</v>
      </c>
      <c r="N11" s="2230" t="s">
        <v>797</v>
      </c>
      <c r="O11" s="2236"/>
      <c r="P11" s="2232"/>
      <c r="Q11" s="2232"/>
      <c r="R11" s="2251" t="s">
        <v>656</v>
      </c>
      <c r="S11" s="2235"/>
      <c r="T11" s="2236"/>
      <c r="U11" s="2232"/>
      <c r="V11" s="2232"/>
      <c r="W11" s="2232"/>
      <c r="X11" s="2235"/>
      <c r="Y11" s="2236"/>
      <c r="Z11" s="2232"/>
      <c r="AA11" s="2238"/>
      <c r="AC11" s="2239"/>
      <c r="AD11" s="2240"/>
      <c r="AE11" s="2240"/>
      <c r="AF11" s="2240"/>
      <c r="AG11" s="2241"/>
      <c r="AH11" s="2242"/>
      <c r="AI11" s="2239" t="s">
        <v>746</v>
      </c>
      <c r="AJ11" s="2240" t="s">
        <v>747</v>
      </c>
      <c r="AK11" s="2240" t="s">
        <v>748</v>
      </c>
      <c r="AL11" s="2243" t="s">
        <v>796</v>
      </c>
      <c r="AM11" s="2241"/>
      <c r="AN11" s="2252" t="s">
        <v>803</v>
      </c>
    </row>
    <row r="12" spans="2:40">
      <c r="B12" s="2248" t="s">
        <v>804</v>
      </c>
      <c r="C12" s="2249" t="s">
        <v>805</v>
      </c>
      <c r="D12" s="2250">
        <v>19078551685</v>
      </c>
      <c r="E12" s="2223" t="s">
        <v>659</v>
      </c>
      <c r="F12" s="2224" t="s">
        <v>306</v>
      </c>
      <c r="G12" s="2224" t="s">
        <v>309</v>
      </c>
      <c r="H12" s="2253" t="s">
        <v>664</v>
      </c>
      <c r="I12" s="2254" t="s">
        <v>739</v>
      </c>
      <c r="J12" s="2224" t="s">
        <v>806</v>
      </c>
      <c r="K12" s="2227">
        <v>5</v>
      </c>
      <c r="L12" s="2228">
        <v>5</v>
      </c>
      <c r="M12" s="2229" t="s">
        <v>799</v>
      </c>
      <c r="N12" s="2255"/>
      <c r="O12" s="2236" t="s">
        <v>807</v>
      </c>
      <c r="P12" s="2232" t="s">
        <v>808</v>
      </c>
      <c r="Q12" s="2232" t="s">
        <v>809</v>
      </c>
      <c r="R12" s="2232" t="s">
        <v>656</v>
      </c>
      <c r="S12" s="2235" t="s">
        <v>810</v>
      </c>
      <c r="T12" s="2236"/>
      <c r="U12" s="2232"/>
      <c r="V12" s="2232"/>
      <c r="W12" s="2232"/>
      <c r="X12" s="2237"/>
      <c r="Y12" s="2239"/>
      <c r="Z12" s="2240" t="s">
        <v>811</v>
      </c>
      <c r="AA12" s="2241"/>
      <c r="AC12" s="2256"/>
      <c r="AD12" s="2257"/>
      <c r="AE12" s="2257"/>
      <c r="AF12" s="2257"/>
      <c r="AG12" s="2258"/>
      <c r="AH12" s="2259"/>
      <c r="AI12" s="2239"/>
      <c r="AJ12" s="2240"/>
      <c r="AK12" s="2240"/>
      <c r="AL12" s="2243"/>
      <c r="AM12" s="2241"/>
      <c r="AN12" s="2252" t="s">
        <v>804</v>
      </c>
    </row>
    <row r="13" spans="2:40">
      <c r="B13" s="2248" t="s">
        <v>812</v>
      </c>
      <c r="C13" s="2249" t="s">
        <v>813</v>
      </c>
      <c r="D13" s="2250">
        <v>39009737393</v>
      </c>
      <c r="E13" s="2223" t="s">
        <v>814</v>
      </c>
      <c r="F13" s="2224" t="s">
        <v>306</v>
      </c>
      <c r="G13" s="2224" t="s">
        <v>660</v>
      </c>
      <c r="H13" s="2225" t="s">
        <v>664</v>
      </c>
      <c r="I13" s="2226" t="s">
        <v>784</v>
      </c>
      <c r="J13" s="2225" t="s">
        <v>785</v>
      </c>
      <c r="K13" s="2227">
        <v>5</v>
      </c>
      <c r="L13" s="2228">
        <v>5</v>
      </c>
      <c r="M13" s="2229" t="s">
        <v>799</v>
      </c>
      <c r="N13" s="2230" t="s">
        <v>815</v>
      </c>
      <c r="O13" s="2236" t="s">
        <v>816</v>
      </c>
      <c r="P13" s="2232" t="s">
        <v>817</v>
      </c>
      <c r="Q13" s="2232" t="s">
        <v>818</v>
      </c>
      <c r="R13" s="2251" t="s">
        <v>657</v>
      </c>
      <c r="S13" s="2235" t="s">
        <v>819</v>
      </c>
      <c r="T13" s="2236" t="s">
        <v>816</v>
      </c>
      <c r="U13" s="2232" t="s">
        <v>817</v>
      </c>
      <c r="V13" s="2232" t="s">
        <v>818</v>
      </c>
      <c r="W13" s="2251" t="s">
        <v>657</v>
      </c>
      <c r="X13" s="2235" t="s">
        <v>819</v>
      </c>
      <c r="Y13" s="2236" t="s">
        <v>820</v>
      </c>
      <c r="Z13" s="2232" t="s">
        <v>821</v>
      </c>
      <c r="AA13" s="2238" t="s">
        <v>822</v>
      </c>
      <c r="AC13" s="2239"/>
      <c r="AD13" s="2240"/>
      <c r="AE13" s="2240"/>
      <c r="AF13" s="2240"/>
      <c r="AG13" s="2241"/>
      <c r="AH13" s="2242"/>
      <c r="AI13" s="2239"/>
      <c r="AJ13" s="2240"/>
      <c r="AK13" s="2240"/>
      <c r="AL13" s="2243"/>
      <c r="AM13" s="2241"/>
      <c r="AN13" s="2252" t="s">
        <v>812</v>
      </c>
    </row>
    <row r="14" spans="2:40">
      <c r="B14" s="2248" t="s">
        <v>823</v>
      </c>
      <c r="C14" s="2249" t="s">
        <v>824</v>
      </c>
      <c r="D14" s="2250">
        <v>79096457868</v>
      </c>
      <c r="E14" s="2223" t="s">
        <v>659</v>
      </c>
      <c r="F14" s="2224" t="s">
        <v>306</v>
      </c>
      <c r="G14" s="2224" t="s">
        <v>660</v>
      </c>
      <c r="H14" s="2253" t="s">
        <v>664</v>
      </c>
      <c r="I14" s="2226" t="s">
        <v>739</v>
      </c>
      <c r="J14" s="2225" t="s">
        <v>806</v>
      </c>
      <c r="K14" s="2227">
        <v>5</v>
      </c>
      <c r="L14" s="2260">
        <v>5</v>
      </c>
      <c r="M14" s="2229" t="s">
        <v>799</v>
      </c>
      <c r="N14" s="2230"/>
      <c r="O14" s="2236" t="s">
        <v>816</v>
      </c>
      <c r="P14" s="2232" t="s">
        <v>817</v>
      </c>
      <c r="Q14" s="2232" t="s">
        <v>818</v>
      </c>
      <c r="R14" s="2251" t="s">
        <v>657</v>
      </c>
      <c r="S14" s="2235" t="s">
        <v>819</v>
      </c>
      <c r="T14" s="2236" t="s">
        <v>825</v>
      </c>
      <c r="U14" s="2232"/>
      <c r="V14" s="2232" t="s">
        <v>826</v>
      </c>
      <c r="W14" s="2251" t="s">
        <v>657</v>
      </c>
      <c r="X14" s="2235" t="s">
        <v>827</v>
      </c>
      <c r="Y14" s="2236"/>
      <c r="Z14" s="2232" t="s">
        <v>828</v>
      </c>
      <c r="AA14" s="2238"/>
      <c r="AC14" s="2239"/>
      <c r="AD14" s="2240"/>
      <c r="AE14" s="2240"/>
      <c r="AF14" s="2240"/>
      <c r="AG14" s="2241"/>
      <c r="AH14" s="2242"/>
      <c r="AI14" s="2239"/>
      <c r="AJ14" s="2240"/>
      <c r="AK14" s="2240"/>
      <c r="AL14" s="2243"/>
      <c r="AM14" s="2241"/>
      <c r="AN14" s="2252" t="s">
        <v>823</v>
      </c>
    </row>
    <row r="15" spans="2:40">
      <c r="B15" s="2261" t="s">
        <v>289</v>
      </c>
      <c r="C15" s="2249" t="s">
        <v>289</v>
      </c>
      <c r="D15" s="2250">
        <v>67505337385</v>
      </c>
      <c r="E15" s="2223" t="s">
        <v>657</v>
      </c>
      <c r="F15" s="2224" t="s">
        <v>652</v>
      </c>
      <c r="G15" s="2224" t="s">
        <v>309</v>
      </c>
      <c r="H15" s="2225" t="s">
        <v>655</v>
      </c>
      <c r="I15" s="2226" t="s">
        <v>784</v>
      </c>
      <c r="J15" s="2225" t="s">
        <v>785</v>
      </c>
      <c r="K15" s="2227">
        <v>5</v>
      </c>
      <c r="L15" s="2228">
        <v>5</v>
      </c>
      <c r="M15" s="2229">
        <v>5</v>
      </c>
      <c r="N15" s="2255" t="s">
        <v>786</v>
      </c>
      <c r="O15" s="2236" t="s">
        <v>829</v>
      </c>
      <c r="P15" s="2232"/>
      <c r="Q15" s="2232" t="s">
        <v>818</v>
      </c>
      <c r="R15" s="2251" t="s">
        <v>657</v>
      </c>
      <c r="S15" s="2235">
        <v>2000</v>
      </c>
      <c r="T15" s="2236"/>
      <c r="U15" s="2232"/>
      <c r="V15" s="2232"/>
      <c r="W15" s="2232"/>
      <c r="X15" s="2235"/>
      <c r="Y15" s="2236" t="s">
        <v>830</v>
      </c>
      <c r="Z15" s="2232" t="s">
        <v>831</v>
      </c>
      <c r="AA15" s="2238" t="s">
        <v>832</v>
      </c>
      <c r="AC15" s="2262" t="s">
        <v>795</v>
      </c>
      <c r="AD15" s="2257" t="s">
        <v>795</v>
      </c>
      <c r="AE15" s="2257" t="s">
        <v>795</v>
      </c>
      <c r="AF15" s="2257" t="s">
        <v>795</v>
      </c>
      <c r="AG15" s="2258" t="s">
        <v>794</v>
      </c>
      <c r="AH15" s="2263"/>
      <c r="AI15" s="2239" t="s">
        <v>746</v>
      </c>
      <c r="AJ15" s="2240" t="s">
        <v>747</v>
      </c>
      <c r="AK15" s="2240" t="s">
        <v>748</v>
      </c>
      <c r="AL15" s="2243" t="s">
        <v>796</v>
      </c>
      <c r="AM15" s="2241"/>
      <c r="AN15" s="2264" t="s">
        <v>289</v>
      </c>
    </row>
    <row r="16" spans="2:40">
      <c r="B16" s="2261" t="s">
        <v>658</v>
      </c>
      <c r="C16" s="2249" t="s">
        <v>658</v>
      </c>
      <c r="D16" s="2196">
        <v>67505337385</v>
      </c>
      <c r="E16" s="2223" t="s">
        <v>657</v>
      </c>
      <c r="F16" s="2224" t="s">
        <v>652</v>
      </c>
      <c r="G16" s="2224" t="s">
        <v>309</v>
      </c>
      <c r="H16" s="2225" t="s">
        <v>655</v>
      </c>
      <c r="I16" s="2226" t="s">
        <v>784</v>
      </c>
      <c r="J16" s="2225" t="s">
        <v>785</v>
      </c>
      <c r="K16" s="2227">
        <v>5</v>
      </c>
      <c r="L16" s="2228">
        <v>5</v>
      </c>
      <c r="M16" s="2229">
        <v>5</v>
      </c>
      <c r="N16" s="2230" t="s">
        <v>797</v>
      </c>
      <c r="O16" s="2236"/>
      <c r="P16" s="2232"/>
      <c r="Q16" s="2232"/>
      <c r="R16" s="2251" t="s">
        <v>657</v>
      </c>
      <c r="S16" s="2235"/>
      <c r="T16" s="2236"/>
      <c r="U16" s="2232"/>
      <c r="V16" s="2232"/>
      <c r="W16" s="2232"/>
      <c r="X16" s="2235"/>
      <c r="Y16" s="2236"/>
      <c r="Z16" s="2232"/>
      <c r="AA16" s="2238"/>
      <c r="AC16" s="2239"/>
      <c r="AD16" s="2240"/>
      <c r="AE16" s="2240"/>
      <c r="AF16" s="2240"/>
      <c r="AG16" s="2241"/>
      <c r="AH16" s="2242"/>
      <c r="AI16" s="2239" t="s">
        <v>746</v>
      </c>
      <c r="AJ16" s="2240" t="s">
        <v>747</v>
      </c>
      <c r="AK16" s="2240" t="s">
        <v>748</v>
      </c>
      <c r="AL16" s="2243" t="s">
        <v>796</v>
      </c>
      <c r="AM16" s="2241"/>
      <c r="AN16" s="2264" t="s">
        <v>658</v>
      </c>
    </row>
    <row r="17" spans="2:40" ht="15" customHeight="1">
      <c r="B17" s="2261" t="s">
        <v>290</v>
      </c>
      <c r="C17" s="2249" t="s">
        <v>833</v>
      </c>
      <c r="D17" s="2250">
        <v>91064651118</v>
      </c>
      <c r="E17" s="2223" t="s">
        <v>659</v>
      </c>
      <c r="F17" s="2224" t="s">
        <v>652</v>
      </c>
      <c r="G17" s="2224" t="s">
        <v>309</v>
      </c>
      <c r="H17" s="2225" t="s">
        <v>655</v>
      </c>
      <c r="I17" s="2226" t="s">
        <v>739</v>
      </c>
      <c r="J17" s="2225" t="s">
        <v>806</v>
      </c>
      <c r="K17" s="2227">
        <v>5</v>
      </c>
      <c r="L17" s="2228">
        <v>5</v>
      </c>
      <c r="M17" s="2229">
        <v>2</v>
      </c>
      <c r="N17" s="2255" t="s">
        <v>834</v>
      </c>
      <c r="O17" s="2236" t="s">
        <v>835</v>
      </c>
      <c r="P17" s="2232" t="s">
        <v>836</v>
      </c>
      <c r="Q17" s="2232" t="s">
        <v>837</v>
      </c>
      <c r="R17" s="2232" t="s">
        <v>659</v>
      </c>
      <c r="S17" s="2235" t="s">
        <v>838</v>
      </c>
      <c r="T17" s="2265" t="s">
        <v>839</v>
      </c>
      <c r="U17" s="2232"/>
      <c r="V17" s="2232" t="s">
        <v>840</v>
      </c>
      <c r="W17" s="2232" t="s">
        <v>841</v>
      </c>
      <c r="X17" s="2235">
        <v>8001</v>
      </c>
      <c r="Y17" s="2236" t="s">
        <v>842</v>
      </c>
      <c r="Z17" s="2266" t="s">
        <v>843</v>
      </c>
      <c r="AA17" s="2267" t="s">
        <v>844</v>
      </c>
      <c r="AC17" s="2256"/>
      <c r="AD17" s="2257" t="s">
        <v>795</v>
      </c>
      <c r="AE17" s="2257" t="s">
        <v>795</v>
      </c>
      <c r="AF17" s="2257" t="s">
        <v>795</v>
      </c>
      <c r="AG17" s="2258" t="s">
        <v>794</v>
      </c>
      <c r="AH17" s="2263"/>
      <c r="AI17" s="2239" t="s">
        <v>746</v>
      </c>
      <c r="AJ17" s="2240" t="s">
        <v>747</v>
      </c>
      <c r="AK17" s="2240" t="s">
        <v>748</v>
      </c>
      <c r="AL17" s="2243" t="s">
        <v>796</v>
      </c>
      <c r="AM17" s="2241"/>
      <c r="AN17" s="2264" t="s">
        <v>290</v>
      </c>
    </row>
    <row r="18" spans="2:40" ht="15" customHeight="1">
      <c r="B18" s="2248" t="s">
        <v>845</v>
      </c>
      <c r="C18" s="2249" t="s">
        <v>846</v>
      </c>
      <c r="D18" s="2250" t="s">
        <v>1320</v>
      </c>
      <c r="E18" s="2223" t="s">
        <v>659</v>
      </c>
      <c r="F18" s="2224" t="s">
        <v>306</v>
      </c>
      <c r="G18" s="2224" t="s">
        <v>309</v>
      </c>
      <c r="H18" s="2253" t="s">
        <v>664</v>
      </c>
      <c r="I18" s="2226" t="s">
        <v>739</v>
      </c>
      <c r="J18" s="2225" t="s">
        <v>806</v>
      </c>
      <c r="K18" s="2227">
        <v>5</v>
      </c>
      <c r="L18" s="2228">
        <v>5</v>
      </c>
      <c r="M18" s="2229" t="s">
        <v>847</v>
      </c>
      <c r="N18" s="2255"/>
      <c r="O18" s="2236"/>
      <c r="P18" s="2232"/>
      <c r="Q18" s="2232"/>
      <c r="R18" s="2232"/>
      <c r="S18" s="2235"/>
      <c r="T18" s="2265"/>
      <c r="U18" s="2232"/>
      <c r="V18" s="2232"/>
      <c r="W18" s="2232"/>
      <c r="X18" s="2235"/>
      <c r="Y18" s="2236"/>
      <c r="Z18" s="2266"/>
      <c r="AA18" s="2267"/>
      <c r="AC18" s="2256"/>
      <c r="AD18" s="2257"/>
      <c r="AE18" s="2257"/>
      <c r="AF18" s="2257"/>
      <c r="AG18" s="2258"/>
      <c r="AH18" s="2242"/>
      <c r="AI18" s="2239"/>
      <c r="AJ18" s="2240"/>
      <c r="AK18" s="2240"/>
      <c r="AL18" s="2243"/>
      <c r="AM18" s="2241"/>
      <c r="AN18" s="2252" t="s">
        <v>845</v>
      </c>
    </row>
    <row r="19" spans="2:40">
      <c r="B19" s="2261" t="s">
        <v>291</v>
      </c>
      <c r="C19" s="2249" t="s">
        <v>291</v>
      </c>
      <c r="D19" s="2268">
        <v>78079798173</v>
      </c>
      <c r="E19" s="2223" t="s">
        <v>659</v>
      </c>
      <c r="F19" s="2224" t="s">
        <v>652</v>
      </c>
      <c r="G19" s="2224" t="s">
        <v>660</v>
      </c>
      <c r="H19" s="2225" t="s">
        <v>655</v>
      </c>
      <c r="I19" s="2226" t="s">
        <v>784</v>
      </c>
      <c r="J19" s="2225" t="s">
        <v>848</v>
      </c>
      <c r="K19" s="2227">
        <v>5</v>
      </c>
      <c r="L19" s="2269">
        <v>5</v>
      </c>
      <c r="M19" s="2229">
        <v>2</v>
      </c>
      <c r="N19" s="2230" t="s">
        <v>849</v>
      </c>
      <c r="O19" s="2236" t="s">
        <v>835</v>
      </c>
      <c r="P19" s="2232" t="s">
        <v>836</v>
      </c>
      <c r="Q19" s="2232" t="s">
        <v>837</v>
      </c>
      <c r="R19" s="2232" t="s">
        <v>659</v>
      </c>
      <c r="S19" s="2235" t="s">
        <v>838</v>
      </c>
      <c r="T19" s="2236" t="s">
        <v>839</v>
      </c>
      <c r="U19" s="2232"/>
      <c r="V19" s="2232" t="s">
        <v>840</v>
      </c>
      <c r="W19" s="2232" t="s">
        <v>659</v>
      </c>
      <c r="X19" s="2235" t="s">
        <v>850</v>
      </c>
      <c r="Y19" s="2236" t="s">
        <v>851</v>
      </c>
      <c r="Z19" s="2266" t="s">
        <v>852</v>
      </c>
      <c r="AA19" s="2267" t="s">
        <v>853</v>
      </c>
      <c r="AC19" s="2239"/>
      <c r="AD19" s="2240"/>
      <c r="AE19" s="2240"/>
      <c r="AF19" s="2240"/>
      <c r="AG19" s="2241"/>
      <c r="AH19" s="2242"/>
      <c r="AI19" s="2239" t="s">
        <v>746</v>
      </c>
      <c r="AJ19" s="2240" t="s">
        <v>747</v>
      </c>
      <c r="AK19" s="2240" t="s">
        <v>748</v>
      </c>
      <c r="AL19" s="2243" t="s">
        <v>796</v>
      </c>
      <c r="AM19" s="2241"/>
      <c r="AN19" s="2264" t="s">
        <v>291</v>
      </c>
    </row>
    <row r="20" spans="2:40">
      <c r="B20" s="2270" t="s">
        <v>661</v>
      </c>
      <c r="C20" s="2271" t="s">
        <v>661</v>
      </c>
      <c r="D20" s="2272">
        <v>11222333444</v>
      </c>
      <c r="E20" s="2273" t="s">
        <v>854</v>
      </c>
      <c r="F20" s="2274" t="s">
        <v>652</v>
      </c>
      <c r="G20" s="2274" t="s">
        <v>309</v>
      </c>
      <c r="H20" s="2274" t="s">
        <v>655</v>
      </c>
      <c r="I20" s="2275" t="s">
        <v>784</v>
      </c>
      <c r="J20" s="2274" t="s">
        <v>785</v>
      </c>
      <c r="K20" s="2276">
        <v>5</v>
      </c>
      <c r="L20" s="2277">
        <v>5</v>
      </c>
      <c r="M20" s="2278">
        <v>2</v>
      </c>
      <c r="N20" s="2279" t="s">
        <v>797</v>
      </c>
      <c r="O20" s="2280" t="s">
        <v>855</v>
      </c>
      <c r="P20" s="2281"/>
      <c r="Q20" s="2281" t="s">
        <v>818</v>
      </c>
      <c r="R20" s="2282" t="s">
        <v>657</v>
      </c>
      <c r="S20" s="2283" t="s">
        <v>819</v>
      </c>
      <c r="T20" s="2280" t="s">
        <v>856</v>
      </c>
      <c r="U20" s="2281"/>
      <c r="V20" s="2281" t="s">
        <v>818</v>
      </c>
      <c r="W20" s="2281" t="s">
        <v>657</v>
      </c>
      <c r="X20" s="2283">
        <v>2000</v>
      </c>
      <c r="Y20" s="2280" t="s">
        <v>857</v>
      </c>
      <c r="Z20" s="2281" t="s">
        <v>858</v>
      </c>
      <c r="AA20" s="2284" t="s">
        <v>859</v>
      </c>
      <c r="AC20" s="2239"/>
      <c r="AD20" s="2240"/>
      <c r="AE20" s="2240"/>
      <c r="AF20" s="2240"/>
      <c r="AG20" s="2241"/>
      <c r="AH20" s="2242"/>
      <c r="AI20" s="2239" t="s">
        <v>746</v>
      </c>
      <c r="AJ20" s="2240" t="s">
        <v>747</v>
      </c>
      <c r="AK20" s="2240" t="s">
        <v>748</v>
      </c>
      <c r="AL20" s="2243" t="s">
        <v>796</v>
      </c>
      <c r="AM20" s="2241"/>
      <c r="AN20" s="2285" t="s">
        <v>661</v>
      </c>
    </row>
    <row r="21" spans="2:40">
      <c r="B21" s="2270" t="s">
        <v>662</v>
      </c>
      <c r="C21" s="2271" t="s">
        <v>662</v>
      </c>
      <c r="D21" s="2272">
        <v>11222333444</v>
      </c>
      <c r="E21" s="2273" t="s">
        <v>854</v>
      </c>
      <c r="F21" s="2274" t="s">
        <v>652</v>
      </c>
      <c r="G21" s="2274" t="s">
        <v>660</v>
      </c>
      <c r="H21" s="2286" t="s">
        <v>655</v>
      </c>
      <c r="I21" s="2287" t="s">
        <v>784</v>
      </c>
      <c r="J21" s="2286" t="s">
        <v>785</v>
      </c>
      <c r="K21" s="2288">
        <v>5</v>
      </c>
      <c r="L21" s="2289">
        <v>5</v>
      </c>
      <c r="M21" s="2278">
        <v>5</v>
      </c>
      <c r="N21" s="2279" t="s">
        <v>849</v>
      </c>
      <c r="O21" s="2280" t="s">
        <v>855</v>
      </c>
      <c r="P21" s="2281"/>
      <c r="Q21" s="2281" t="s">
        <v>818</v>
      </c>
      <c r="R21" s="2282" t="s">
        <v>657</v>
      </c>
      <c r="S21" s="2283" t="s">
        <v>819</v>
      </c>
      <c r="T21" s="2280" t="s">
        <v>856</v>
      </c>
      <c r="U21" s="2281"/>
      <c r="V21" s="2281" t="s">
        <v>818</v>
      </c>
      <c r="W21" s="2281" t="s">
        <v>657</v>
      </c>
      <c r="X21" s="2283">
        <v>2000</v>
      </c>
      <c r="Y21" s="2280" t="s">
        <v>857</v>
      </c>
      <c r="Z21" s="2281" t="s">
        <v>858</v>
      </c>
      <c r="AA21" s="2284" t="s">
        <v>859</v>
      </c>
      <c r="AC21" s="2239"/>
      <c r="AD21" s="2240"/>
      <c r="AE21" s="2240"/>
      <c r="AF21" s="2240"/>
      <c r="AG21" s="2241"/>
      <c r="AH21" s="2242"/>
      <c r="AI21" s="2239" t="s">
        <v>746</v>
      </c>
      <c r="AJ21" s="2240" t="s">
        <v>747</v>
      </c>
      <c r="AK21" s="2240" t="s">
        <v>748</v>
      </c>
      <c r="AL21" s="2243" t="s">
        <v>796</v>
      </c>
      <c r="AM21" s="2241"/>
      <c r="AN21" s="2285" t="s">
        <v>662</v>
      </c>
    </row>
    <row r="22" spans="2:40">
      <c r="B22" s="2261" t="s">
        <v>663</v>
      </c>
      <c r="C22" s="2249" t="s">
        <v>663</v>
      </c>
      <c r="D22" s="2250">
        <v>76064651056</v>
      </c>
      <c r="E22" s="2223" t="s">
        <v>659</v>
      </c>
      <c r="F22" s="2224" t="s">
        <v>652</v>
      </c>
      <c r="G22" s="2224" t="s">
        <v>309</v>
      </c>
      <c r="H22" s="2225" t="s">
        <v>655</v>
      </c>
      <c r="I22" s="2226" t="s">
        <v>739</v>
      </c>
      <c r="J22" s="2225" t="s">
        <v>806</v>
      </c>
      <c r="K22" s="2227">
        <v>5</v>
      </c>
      <c r="L22" s="2228">
        <v>5</v>
      </c>
      <c r="M22" s="2229">
        <v>2</v>
      </c>
      <c r="N22" s="2255" t="s">
        <v>834</v>
      </c>
      <c r="O22" s="2236" t="s">
        <v>860</v>
      </c>
      <c r="P22" s="2232"/>
      <c r="Q22" s="2232" t="s">
        <v>861</v>
      </c>
      <c r="R22" s="2232" t="s">
        <v>659</v>
      </c>
      <c r="S22" s="2235" t="s">
        <v>862</v>
      </c>
      <c r="T22" s="2236" t="s">
        <v>863</v>
      </c>
      <c r="U22" s="2232"/>
      <c r="V22" s="2232" t="s">
        <v>861</v>
      </c>
      <c r="W22" s="2232" t="s">
        <v>841</v>
      </c>
      <c r="X22" s="2237">
        <v>8001</v>
      </c>
      <c r="Y22" s="2236" t="s">
        <v>842</v>
      </c>
      <c r="Z22" s="2232" t="s">
        <v>843</v>
      </c>
      <c r="AA22" s="2238" t="s">
        <v>844</v>
      </c>
      <c r="AC22" s="2262" t="s">
        <v>795</v>
      </c>
      <c r="AD22" s="2257" t="s">
        <v>795</v>
      </c>
      <c r="AE22" s="2290" t="s">
        <v>794</v>
      </c>
      <c r="AF22" s="2290" t="s">
        <v>794</v>
      </c>
      <c r="AG22" s="2258" t="s">
        <v>794</v>
      </c>
      <c r="AH22" s="2259"/>
      <c r="AI22" s="2239" t="s">
        <v>746</v>
      </c>
      <c r="AJ22" s="2240" t="s">
        <v>747</v>
      </c>
      <c r="AK22" s="2240" t="s">
        <v>748</v>
      </c>
      <c r="AL22" s="2243" t="s">
        <v>796</v>
      </c>
      <c r="AM22" s="2241"/>
      <c r="AN22" s="2264" t="s">
        <v>663</v>
      </c>
    </row>
    <row r="23" spans="2:40">
      <c r="B23" s="2261" t="s">
        <v>665</v>
      </c>
      <c r="C23" s="2249" t="s">
        <v>665</v>
      </c>
      <c r="D23" s="2250">
        <v>16779340889</v>
      </c>
      <c r="E23" s="2223" t="s">
        <v>666</v>
      </c>
      <c r="F23" s="2224" t="s">
        <v>652</v>
      </c>
      <c r="G23" s="2224" t="s">
        <v>660</v>
      </c>
      <c r="H23" s="2225" t="s">
        <v>655</v>
      </c>
      <c r="I23" s="2226" t="s">
        <v>784</v>
      </c>
      <c r="J23" s="2225" t="s">
        <v>785</v>
      </c>
      <c r="K23" s="2227">
        <v>9</v>
      </c>
      <c r="L23" s="2269">
        <v>5</v>
      </c>
      <c r="M23" s="2229">
        <v>5</v>
      </c>
      <c r="N23" s="2230" t="s">
        <v>849</v>
      </c>
      <c r="O23" s="2236"/>
      <c r="P23" s="2232"/>
      <c r="Q23" s="2232"/>
      <c r="R23" s="2291" t="s">
        <v>657</v>
      </c>
      <c r="S23" s="2235"/>
      <c r="T23" s="2236"/>
      <c r="U23" s="2232"/>
      <c r="V23" s="2232"/>
      <c r="W23" s="2232"/>
      <c r="X23" s="2235"/>
      <c r="Y23" s="2236"/>
      <c r="Z23" s="2232"/>
      <c r="AA23" s="2238"/>
      <c r="AC23" s="2239"/>
      <c r="AD23" s="2240"/>
      <c r="AE23" s="2240"/>
      <c r="AF23" s="2240"/>
      <c r="AG23" s="2241"/>
      <c r="AH23" s="2242"/>
      <c r="AI23" s="2239" t="s">
        <v>746</v>
      </c>
      <c r="AJ23" s="2240" t="s">
        <v>747</v>
      </c>
      <c r="AK23" s="2240" t="s">
        <v>748</v>
      </c>
      <c r="AL23" s="2243" t="s">
        <v>796</v>
      </c>
      <c r="AM23" s="2241"/>
      <c r="AN23" s="2264" t="s">
        <v>665</v>
      </c>
    </row>
    <row r="24" spans="2:40">
      <c r="B24" s="2261" t="s">
        <v>667</v>
      </c>
      <c r="C24" s="2249" t="s">
        <v>667</v>
      </c>
      <c r="D24" s="2250">
        <v>41094482416</v>
      </c>
      <c r="E24" s="2223" t="s">
        <v>656</v>
      </c>
      <c r="F24" s="2224" t="s">
        <v>652</v>
      </c>
      <c r="G24" s="2224" t="s">
        <v>660</v>
      </c>
      <c r="H24" s="2225" t="s">
        <v>655</v>
      </c>
      <c r="I24" s="2226" t="s">
        <v>784</v>
      </c>
      <c r="J24" s="2225" t="s">
        <v>785</v>
      </c>
      <c r="K24" s="2227">
        <v>5</v>
      </c>
      <c r="L24" s="2269">
        <v>5</v>
      </c>
      <c r="M24" s="2229">
        <v>5</v>
      </c>
      <c r="N24" s="2230" t="s">
        <v>849</v>
      </c>
      <c r="O24" s="2236" t="s">
        <v>864</v>
      </c>
      <c r="P24" s="2232" t="s">
        <v>865</v>
      </c>
      <c r="Q24" s="2232" t="s">
        <v>809</v>
      </c>
      <c r="R24" s="2251" t="s">
        <v>656</v>
      </c>
      <c r="S24" s="2235" t="s">
        <v>810</v>
      </c>
      <c r="T24" s="2236" t="s">
        <v>866</v>
      </c>
      <c r="U24" s="2232" t="s">
        <v>867</v>
      </c>
      <c r="V24" s="2232" t="s">
        <v>809</v>
      </c>
      <c r="W24" s="2232" t="s">
        <v>656</v>
      </c>
      <c r="X24" s="2237">
        <v>5000</v>
      </c>
      <c r="Y24" s="2236" t="s">
        <v>868</v>
      </c>
      <c r="Z24" s="2232" t="s">
        <v>869</v>
      </c>
      <c r="AA24" s="2238" t="s">
        <v>870</v>
      </c>
      <c r="AC24" s="2239"/>
      <c r="AD24" s="2240"/>
      <c r="AE24" s="2240"/>
      <c r="AF24" s="2240"/>
      <c r="AG24" s="2241"/>
      <c r="AH24" s="2242"/>
      <c r="AI24" s="2239" t="s">
        <v>746</v>
      </c>
      <c r="AJ24" s="2240" t="s">
        <v>747</v>
      </c>
      <c r="AK24" s="2240" t="s">
        <v>748</v>
      </c>
      <c r="AL24" s="2243" t="s">
        <v>796</v>
      </c>
      <c r="AM24" s="2241"/>
      <c r="AN24" s="2264" t="s">
        <v>667</v>
      </c>
    </row>
    <row r="25" spans="2:40">
      <c r="B25" s="2261" t="s">
        <v>292</v>
      </c>
      <c r="C25" s="2249" t="s">
        <v>292</v>
      </c>
      <c r="D25" s="2250">
        <v>59253130878</v>
      </c>
      <c r="E25" s="2223" t="s">
        <v>657</v>
      </c>
      <c r="F25" s="2224" t="s">
        <v>652</v>
      </c>
      <c r="G25" s="2224" t="s">
        <v>309</v>
      </c>
      <c r="H25" s="2225" t="s">
        <v>655</v>
      </c>
      <c r="I25" s="2226" t="s">
        <v>784</v>
      </c>
      <c r="J25" s="2225" t="s">
        <v>785</v>
      </c>
      <c r="K25" s="2227">
        <v>5</v>
      </c>
      <c r="L25" s="2228">
        <v>5</v>
      </c>
      <c r="M25" s="2229">
        <v>5</v>
      </c>
      <c r="N25" s="2255" t="s">
        <v>786</v>
      </c>
      <c r="O25" s="2236" t="s">
        <v>871</v>
      </c>
      <c r="P25" s="2232"/>
      <c r="Q25" s="2232" t="s">
        <v>872</v>
      </c>
      <c r="R25" s="2251" t="s">
        <v>657</v>
      </c>
      <c r="S25" s="2235" t="s">
        <v>873</v>
      </c>
      <c r="T25" s="2236" t="s">
        <v>874</v>
      </c>
      <c r="U25" s="2232"/>
      <c r="V25" s="2232" t="s">
        <v>875</v>
      </c>
      <c r="W25" s="2232" t="s">
        <v>657</v>
      </c>
      <c r="X25" s="2237" t="s">
        <v>876</v>
      </c>
      <c r="Y25" s="2236" t="s">
        <v>877</v>
      </c>
      <c r="Z25" s="2266" t="s">
        <v>878</v>
      </c>
      <c r="AA25" s="2267" t="s">
        <v>879</v>
      </c>
      <c r="AC25" s="2256" t="s">
        <v>794</v>
      </c>
      <c r="AD25" s="2257" t="s">
        <v>795</v>
      </c>
      <c r="AE25" s="2257" t="s">
        <v>795</v>
      </c>
      <c r="AF25" s="2257" t="s">
        <v>795</v>
      </c>
      <c r="AG25" s="2258" t="s">
        <v>794</v>
      </c>
      <c r="AH25" s="2259"/>
      <c r="AI25" s="2239" t="s">
        <v>746</v>
      </c>
      <c r="AJ25" s="2240" t="s">
        <v>747</v>
      </c>
      <c r="AK25" s="2240" t="s">
        <v>748</v>
      </c>
      <c r="AL25" s="2243" t="s">
        <v>796</v>
      </c>
      <c r="AM25" s="2241"/>
      <c r="AN25" s="2264" t="s">
        <v>292</v>
      </c>
    </row>
    <row r="26" spans="2:40">
      <c r="B26" s="2261" t="s">
        <v>293</v>
      </c>
      <c r="C26" s="2249" t="s">
        <v>293</v>
      </c>
      <c r="D26" s="2250">
        <v>40078849055</v>
      </c>
      <c r="E26" s="2223" t="s">
        <v>666</v>
      </c>
      <c r="F26" s="2224" t="s">
        <v>652</v>
      </c>
      <c r="G26" s="2224" t="s">
        <v>309</v>
      </c>
      <c r="H26" s="2224" t="s">
        <v>655</v>
      </c>
      <c r="I26" s="2254" t="s">
        <v>784</v>
      </c>
      <c r="J26" s="2224" t="s">
        <v>785</v>
      </c>
      <c r="K26" s="2227">
        <v>5</v>
      </c>
      <c r="L26" s="2228">
        <v>5</v>
      </c>
      <c r="M26" s="2229">
        <v>5</v>
      </c>
      <c r="N26" s="2255" t="s">
        <v>880</v>
      </c>
      <c r="O26" s="2236" t="s">
        <v>881</v>
      </c>
      <c r="P26" s="2232"/>
      <c r="Q26" s="2232" t="s">
        <v>882</v>
      </c>
      <c r="R26" s="2232" t="s">
        <v>666</v>
      </c>
      <c r="S26" s="2235" t="s">
        <v>883</v>
      </c>
      <c r="T26" s="2236" t="s">
        <v>881</v>
      </c>
      <c r="U26" s="2232"/>
      <c r="V26" s="2232" t="s">
        <v>882</v>
      </c>
      <c r="W26" s="2232" t="s">
        <v>884</v>
      </c>
      <c r="X26" s="2237" t="s">
        <v>883</v>
      </c>
      <c r="Y26" s="2236" t="s">
        <v>885</v>
      </c>
      <c r="Z26" s="2232" t="s">
        <v>886</v>
      </c>
      <c r="AA26" s="2238" t="s">
        <v>887</v>
      </c>
      <c r="AC26" s="2262" t="s">
        <v>795</v>
      </c>
      <c r="AD26" s="2257" t="s">
        <v>795</v>
      </c>
      <c r="AE26" s="2257" t="s">
        <v>795</v>
      </c>
      <c r="AF26" s="2290" t="s">
        <v>794</v>
      </c>
      <c r="AG26" s="2258" t="s">
        <v>794</v>
      </c>
      <c r="AH26" s="2259"/>
      <c r="AI26" s="2239" t="s">
        <v>746</v>
      </c>
      <c r="AJ26" s="2240" t="s">
        <v>747</v>
      </c>
      <c r="AK26" s="2240" t="s">
        <v>748</v>
      </c>
      <c r="AL26" s="2243" t="s">
        <v>796</v>
      </c>
      <c r="AM26" s="2241"/>
      <c r="AN26" s="2264" t="s">
        <v>293</v>
      </c>
    </row>
    <row r="27" spans="2:40">
      <c r="B27" s="2261" t="s">
        <v>295</v>
      </c>
      <c r="C27" s="2249" t="s">
        <v>295</v>
      </c>
      <c r="D27" s="2250">
        <v>50087646062</v>
      </c>
      <c r="E27" s="2223" t="s">
        <v>666</v>
      </c>
      <c r="F27" s="2224" t="s">
        <v>652</v>
      </c>
      <c r="G27" s="2224" t="s">
        <v>309</v>
      </c>
      <c r="H27" s="2224" t="s">
        <v>655</v>
      </c>
      <c r="I27" s="2254" t="s">
        <v>784</v>
      </c>
      <c r="J27" s="2224" t="s">
        <v>785</v>
      </c>
      <c r="K27" s="2227">
        <v>5</v>
      </c>
      <c r="L27" s="2228">
        <v>5</v>
      </c>
      <c r="M27" s="2229">
        <v>5</v>
      </c>
      <c r="N27" s="2255" t="s">
        <v>880</v>
      </c>
      <c r="O27" s="2236" t="s">
        <v>888</v>
      </c>
      <c r="P27" s="2232"/>
      <c r="Q27" s="2232" t="s">
        <v>889</v>
      </c>
      <c r="R27" s="2232" t="s">
        <v>666</v>
      </c>
      <c r="S27" s="2235" t="s">
        <v>890</v>
      </c>
      <c r="T27" s="2236" t="s">
        <v>891</v>
      </c>
      <c r="U27" s="2232"/>
      <c r="V27" s="2232" t="s">
        <v>892</v>
      </c>
      <c r="W27" s="2232" t="s">
        <v>884</v>
      </c>
      <c r="X27" s="2237">
        <v>4006</v>
      </c>
      <c r="Y27" s="2236" t="s">
        <v>893</v>
      </c>
      <c r="Z27" s="2232" t="s">
        <v>894</v>
      </c>
      <c r="AA27" s="2241" t="s">
        <v>895</v>
      </c>
      <c r="AC27" s="2256" t="s">
        <v>794</v>
      </c>
      <c r="AD27" s="2257" t="s">
        <v>795</v>
      </c>
      <c r="AE27" s="2257" t="s">
        <v>795</v>
      </c>
      <c r="AF27" s="2257" t="s">
        <v>795</v>
      </c>
      <c r="AG27" s="2258" t="s">
        <v>794</v>
      </c>
      <c r="AH27" s="2259"/>
      <c r="AI27" s="2239" t="s">
        <v>746</v>
      </c>
      <c r="AJ27" s="2240" t="s">
        <v>747</v>
      </c>
      <c r="AK27" s="2240" t="s">
        <v>748</v>
      </c>
      <c r="AL27" s="2243" t="s">
        <v>796</v>
      </c>
      <c r="AM27" s="2241"/>
      <c r="AN27" s="2264" t="s">
        <v>295</v>
      </c>
    </row>
    <row r="28" spans="2:40">
      <c r="B28" s="2261" t="s">
        <v>296</v>
      </c>
      <c r="C28" s="2249" t="s">
        <v>296</v>
      </c>
      <c r="D28" s="2250">
        <v>37428185226</v>
      </c>
      <c r="E28" s="2223" t="s">
        <v>657</v>
      </c>
      <c r="F28" s="2224" t="s">
        <v>652</v>
      </c>
      <c r="G28" s="2224" t="s">
        <v>309</v>
      </c>
      <c r="H28" s="2224" t="s">
        <v>655</v>
      </c>
      <c r="I28" s="2254" t="s">
        <v>784</v>
      </c>
      <c r="J28" s="2224" t="s">
        <v>785</v>
      </c>
      <c r="K28" s="2227">
        <v>5</v>
      </c>
      <c r="L28" s="2228">
        <v>5</v>
      </c>
      <c r="M28" s="2229">
        <v>5</v>
      </c>
      <c r="N28" s="2255" t="s">
        <v>786</v>
      </c>
      <c r="O28" s="2236" t="s">
        <v>896</v>
      </c>
      <c r="P28" s="2232"/>
      <c r="Q28" s="2232" t="s">
        <v>897</v>
      </c>
      <c r="R28" s="2251" t="s">
        <v>657</v>
      </c>
      <c r="S28" s="2235" t="s">
        <v>898</v>
      </c>
      <c r="T28" s="2236" t="s">
        <v>899</v>
      </c>
      <c r="U28" s="2232"/>
      <c r="V28" s="2232" t="s">
        <v>897</v>
      </c>
      <c r="W28" s="2232" t="s">
        <v>657</v>
      </c>
      <c r="X28" s="2237" t="s">
        <v>898</v>
      </c>
      <c r="Y28" s="2236" t="s">
        <v>900</v>
      </c>
      <c r="Z28" s="2232" t="s">
        <v>901</v>
      </c>
      <c r="AA28" s="2238" t="s">
        <v>902</v>
      </c>
      <c r="AC28" s="2256"/>
      <c r="AD28" s="2257"/>
      <c r="AE28" s="2257" t="s">
        <v>795</v>
      </c>
      <c r="AF28" s="2257" t="s">
        <v>795</v>
      </c>
      <c r="AG28" s="2258" t="s">
        <v>794</v>
      </c>
      <c r="AH28" s="2259"/>
      <c r="AI28" s="2239" t="s">
        <v>746</v>
      </c>
      <c r="AJ28" s="2240" t="s">
        <v>747</v>
      </c>
      <c r="AK28" s="2240" t="s">
        <v>748</v>
      </c>
      <c r="AL28" s="2243" t="s">
        <v>796</v>
      </c>
      <c r="AM28" s="2241"/>
      <c r="AN28" s="2264" t="s">
        <v>296</v>
      </c>
    </row>
    <row r="29" spans="2:40">
      <c r="B29" s="2261" t="s">
        <v>297</v>
      </c>
      <c r="C29" s="2249" t="s">
        <v>297</v>
      </c>
      <c r="D29" s="2250">
        <v>82064651083</v>
      </c>
      <c r="E29" s="2223" t="s">
        <v>659</v>
      </c>
      <c r="F29" s="2224" t="s">
        <v>652</v>
      </c>
      <c r="G29" s="2224" t="s">
        <v>309</v>
      </c>
      <c r="H29" s="2225" t="s">
        <v>655</v>
      </c>
      <c r="I29" s="2226" t="s">
        <v>739</v>
      </c>
      <c r="J29" s="2225" t="s">
        <v>806</v>
      </c>
      <c r="K29" s="2227">
        <v>5</v>
      </c>
      <c r="L29" s="2228">
        <v>5</v>
      </c>
      <c r="M29" s="2229">
        <v>2</v>
      </c>
      <c r="N29" s="2255" t="s">
        <v>834</v>
      </c>
      <c r="O29" s="2236" t="s">
        <v>903</v>
      </c>
      <c r="P29" s="2232" t="s">
        <v>904</v>
      </c>
      <c r="Q29" s="2232" t="s">
        <v>861</v>
      </c>
      <c r="R29" s="2251" t="s">
        <v>841</v>
      </c>
      <c r="S29" s="2235" t="s">
        <v>862</v>
      </c>
      <c r="T29" s="2236" t="s">
        <v>905</v>
      </c>
      <c r="U29" s="2232"/>
      <c r="V29" s="2232" t="s">
        <v>861</v>
      </c>
      <c r="W29" s="2232" t="s">
        <v>841</v>
      </c>
      <c r="X29" s="2237">
        <v>8001</v>
      </c>
      <c r="Y29" s="2236" t="s">
        <v>906</v>
      </c>
      <c r="Z29" s="2232" t="s">
        <v>907</v>
      </c>
      <c r="AA29" s="2238" t="s">
        <v>908</v>
      </c>
      <c r="AC29" s="2256"/>
      <c r="AD29" s="2257"/>
      <c r="AE29" s="2257" t="s">
        <v>795</v>
      </c>
      <c r="AF29" s="2290" t="s">
        <v>794</v>
      </c>
      <c r="AG29" s="2258" t="s">
        <v>794</v>
      </c>
      <c r="AH29" s="2259"/>
      <c r="AI29" s="2239" t="s">
        <v>746</v>
      </c>
      <c r="AJ29" s="2240" t="s">
        <v>747</v>
      </c>
      <c r="AK29" s="2240" t="s">
        <v>748</v>
      </c>
      <c r="AL29" s="2243" t="s">
        <v>796</v>
      </c>
      <c r="AM29" s="2241"/>
      <c r="AN29" s="2264" t="s">
        <v>297</v>
      </c>
    </row>
    <row r="30" spans="2:40">
      <c r="B30" s="2248" t="s">
        <v>909</v>
      </c>
      <c r="C30" s="2249" t="s">
        <v>910</v>
      </c>
      <c r="D30" s="2250"/>
      <c r="E30" s="2223" t="s">
        <v>657</v>
      </c>
      <c r="F30" s="2224" t="s">
        <v>306</v>
      </c>
      <c r="G30" s="2224" t="s">
        <v>309</v>
      </c>
      <c r="H30" s="2253" t="s">
        <v>664</v>
      </c>
      <c r="I30" s="2226" t="s">
        <v>784</v>
      </c>
      <c r="J30" s="2225" t="s">
        <v>785</v>
      </c>
      <c r="K30" s="2227">
        <v>5</v>
      </c>
      <c r="L30" s="2228">
        <v>5</v>
      </c>
      <c r="M30" s="2229"/>
      <c r="N30" s="2255"/>
      <c r="O30" s="2236"/>
      <c r="P30" s="2232"/>
      <c r="Q30" s="2232"/>
      <c r="R30" s="2251"/>
      <c r="S30" s="2235"/>
      <c r="T30" s="2236"/>
      <c r="U30" s="2232"/>
      <c r="V30" s="2232"/>
      <c r="W30" s="2232"/>
      <c r="X30" s="2237"/>
      <c r="Y30" s="2236"/>
      <c r="Z30" s="2232"/>
      <c r="AA30" s="2238"/>
      <c r="AC30" s="2256"/>
      <c r="AD30" s="2257"/>
      <c r="AE30" s="2257"/>
      <c r="AF30" s="2290"/>
      <c r="AG30" s="2258"/>
      <c r="AH30" s="2259"/>
      <c r="AI30" s="2239"/>
      <c r="AJ30" s="2240"/>
      <c r="AK30" s="2240"/>
      <c r="AL30" s="2243"/>
      <c r="AM30" s="2241"/>
      <c r="AN30" s="2252" t="s">
        <v>909</v>
      </c>
    </row>
    <row r="31" spans="2:40">
      <c r="B31" s="2248" t="s">
        <v>911</v>
      </c>
      <c r="C31" s="2249" t="s">
        <v>912</v>
      </c>
      <c r="D31" s="2250">
        <v>86026986</v>
      </c>
      <c r="E31" s="2223" t="s">
        <v>659</v>
      </c>
      <c r="F31" s="2224" t="s">
        <v>306</v>
      </c>
      <c r="G31" s="2224" t="s">
        <v>309</v>
      </c>
      <c r="H31" s="2253" t="s">
        <v>664</v>
      </c>
      <c r="I31" s="2226" t="s">
        <v>739</v>
      </c>
      <c r="J31" s="2225" t="s">
        <v>806</v>
      </c>
      <c r="K31" s="2227">
        <v>5</v>
      </c>
      <c r="L31" s="2228">
        <v>5</v>
      </c>
      <c r="M31" s="2229" t="s">
        <v>799</v>
      </c>
      <c r="N31" s="2255"/>
      <c r="O31" s="2236"/>
      <c r="P31" s="2232"/>
      <c r="Q31" s="2232"/>
      <c r="R31" s="2251"/>
      <c r="S31" s="2235"/>
      <c r="T31" s="2236"/>
      <c r="U31" s="2232"/>
      <c r="V31" s="2232"/>
      <c r="W31" s="2232"/>
      <c r="X31" s="2237"/>
      <c r="Y31" s="2236"/>
      <c r="Z31" s="2232"/>
      <c r="AA31" s="2238"/>
      <c r="AC31" s="2256"/>
      <c r="AD31" s="2257"/>
      <c r="AE31" s="2257"/>
      <c r="AF31" s="2290"/>
      <c r="AG31" s="2258"/>
      <c r="AH31" s="2242"/>
      <c r="AI31" s="2239"/>
      <c r="AJ31" s="2240"/>
      <c r="AK31" s="2240"/>
      <c r="AL31" s="2243"/>
      <c r="AM31" s="2241"/>
      <c r="AN31" s="2252" t="s">
        <v>911</v>
      </c>
    </row>
    <row r="32" spans="2:40">
      <c r="B32" s="2261" t="s">
        <v>668</v>
      </c>
      <c r="C32" s="2249" t="s">
        <v>668</v>
      </c>
      <c r="D32" s="2250">
        <v>79181207909</v>
      </c>
      <c r="E32" s="2223" t="s">
        <v>656</v>
      </c>
      <c r="F32" s="2224" t="s">
        <v>652</v>
      </c>
      <c r="G32" s="2224" t="s">
        <v>660</v>
      </c>
      <c r="H32" s="2225" t="s">
        <v>655</v>
      </c>
      <c r="I32" s="2226" t="s">
        <v>784</v>
      </c>
      <c r="J32" s="2225" t="s">
        <v>785</v>
      </c>
      <c r="K32" s="2227">
        <v>5</v>
      </c>
      <c r="L32" s="2269">
        <v>5</v>
      </c>
      <c r="M32" s="2229">
        <v>5</v>
      </c>
      <c r="N32" s="2230" t="s">
        <v>849</v>
      </c>
      <c r="O32" s="2236"/>
      <c r="P32" s="2232"/>
      <c r="Q32" s="2232"/>
      <c r="R32" s="2291"/>
      <c r="S32" s="2235"/>
      <c r="T32" s="2236"/>
      <c r="U32" s="2232"/>
      <c r="V32" s="2232"/>
      <c r="W32" s="2232"/>
      <c r="X32" s="2235"/>
      <c r="Y32" s="2236"/>
      <c r="Z32" s="2232"/>
      <c r="AA32" s="2238"/>
      <c r="AC32" s="2239"/>
      <c r="AD32" s="2240"/>
      <c r="AE32" s="2240"/>
      <c r="AF32" s="2240"/>
      <c r="AG32" s="2241"/>
      <c r="AH32" s="2242"/>
      <c r="AI32" s="2239" t="s">
        <v>746</v>
      </c>
      <c r="AJ32" s="2240" t="s">
        <v>747</v>
      </c>
      <c r="AK32" s="2240" t="s">
        <v>748</v>
      </c>
      <c r="AL32" s="2243" t="s">
        <v>796</v>
      </c>
      <c r="AM32" s="2241"/>
      <c r="AN32" s="2264" t="s">
        <v>668</v>
      </c>
    </row>
    <row r="33" spans="2:40">
      <c r="B33" s="2261" t="s">
        <v>299</v>
      </c>
      <c r="C33" s="2249" t="s">
        <v>299</v>
      </c>
      <c r="D33" s="2250">
        <v>89064651109</v>
      </c>
      <c r="E33" s="2223" t="s">
        <v>659</v>
      </c>
      <c r="F33" s="2224" t="s">
        <v>652</v>
      </c>
      <c r="G33" s="2224" t="s">
        <v>309</v>
      </c>
      <c r="H33" s="2225" t="s">
        <v>655</v>
      </c>
      <c r="I33" s="2226" t="s">
        <v>739</v>
      </c>
      <c r="J33" s="2225" t="s">
        <v>806</v>
      </c>
      <c r="K33" s="2227">
        <v>5</v>
      </c>
      <c r="L33" s="2228">
        <v>5</v>
      </c>
      <c r="M33" s="2229">
        <v>2</v>
      </c>
      <c r="N33" s="2255" t="s">
        <v>834</v>
      </c>
      <c r="O33" s="2236" t="s">
        <v>860</v>
      </c>
      <c r="P33" s="2232"/>
      <c r="Q33" s="2232" t="s">
        <v>861</v>
      </c>
      <c r="R33" s="2251" t="s">
        <v>659</v>
      </c>
      <c r="S33" s="2235" t="s">
        <v>862</v>
      </c>
      <c r="T33" s="2236" t="s">
        <v>913</v>
      </c>
      <c r="U33" s="2232"/>
      <c r="V33" s="2232" t="s">
        <v>861</v>
      </c>
      <c r="W33" s="2232" t="s">
        <v>841</v>
      </c>
      <c r="X33" s="2235">
        <v>8001</v>
      </c>
      <c r="Y33" s="2236" t="s">
        <v>842</v>
      </c>
      <c r="Z33" s="2232" t="s">
        <v>843</v>
      </c>
      <c r="AA33" s="2238" t="s">
        <v>844</v>
      </c>
      <c r="AC33" s="2256"/>
      <c r="AD33" s="2257"/>
      <c r="AE33" s="2257" t="s">
        <v>795</v>
      </c>
      <c r="AF33" s="2257" t="s">
        <v>795</v>
      </c>
      <c r="AG33" s="2258" t="s">
        <v>794</v>
      </c>
      <c r="AH33" s="2263"/>
      <c r="AI33" s="2239" t="s">
        <v>746</v>
      </c>
      <c r="AJ33" s="2240" t="s">
        <v>747</v>
      </c>
      <c r="AK33" s="2240" t="s">
        <v>748</v>
      </c>
      <c r="AL33" s="2243" t="s">
        <v>796</v>
      </c>
      <c r="AM33" s="2241"/>
      <c r="AN33" s="2264" t="s">
        <v>299</v>
      </c>
    </row>
    <row r="34" spans="2:40" ht="28.5">
      <c r="B34" s="2261" t="s">
        <v>300</v>
      </c>
      <c r="C34" s="2292" t="s">
        <v>914</v>
      </c>
      <c r="D34" s="2250">
        <v>82078849233</v>
      </c>
      <c r="E34" s="2223" t="s">
        <v>666</v>
      </c>
      <c r="F34" s="2224" t="s">
        <v>652</v>
      </c>
      <c r="G34" s="2224" t="s">
        <v>660</v>
      </c>
      <c r="H34" s="2225" t="s">
        <v>655</v>
      </c>
      <c r="I34" s="2226" t="s">
        <v>784</v>
      </c>
      <c r="J34" s="2225" t="s">
        <v>785</v>
      </c>
      <c r="K34" s="2227">
        <v>5</v>
      </c>
      <c r="L34" s="2269">
        <v>5</v>
      </c>
      <c r="M34" s="2229">
        <v>5</v>
      </c>
      <c r="N34" s="2230" t="s">
        <v>849</v>
      </c>
      <c r="O34" s="2236" t="s">
        <v>915</v>
      </c>
      <c r="P34" s="2232"/>
      <c r="Q34" s="2232" t="s">
        <v>916</v>
      </c>
      <c r="R34" s="2232" t="s">
        <v>666</v>
      </c>
      <c r="S34" s="2235" t="s">
        <v>917</v>
      </c>
      <c r="T34" s="2236" t="s">
        <v>918</v>
      </c>
      <c r="U34" s="2232"/>
      <c r="V34" s="2232" t="s">
        <v>916</v>
      </c>
      <c r="W34" s="2232" t="s">
        <v>884</v>
      </c>
      <c r="X34" s="2235">
        <v>4014</v>
      </c>
      <c r="Y34" s="2236" t="s">
        <v>919</v>
      </c>
      <c r="Z34" s="2232" t="s">
        <v>920</v>
      </c>
      <c r="AA34" s="2238" t="s">
        <v>921</v>
      </c>
      <c r="AC34" s="2239"/>
      <c r="AD34" s="2240"/>
      <c r="AE34" s="2240"/>
      <c r="AF34" s="2240"/>
      <c r="AG34" s="2241"/>
      <c r="AH34" s="2242"/>
      <c r="AI34" s="2239" t="s">
        <v>746</v>
      </c>
      <c r="AJ34" s="2240" t="s">
        <v>747</v>
      </c>
      <c r="AK34" s="2240" t="s">
        <v>748</v>
      </c>
      <c r="AL34" s="2243" t="s">
        <v>796</v>
      </c>
      <c r="AM34" s="2241"/>
      <c r="AN34" s="2264" t="s">
        <v>300</v>
      </c>
    </row>
    <row r="35" spans="2:40">
      <c r="B35" s="2248" t="s">
        <v>922</v>
      </c>
      <c r="C35" s="2249" t="s">
        <v>923</v>
      </c>
      <c r="D35" s="2293" t="s">
        <v>924</v>
      </c>
      <c r="E35" s="2223" t="s">
        <v>666</v>
      </c>
      <c r="F35" s="2224" t="s">
        <v>306</v>
      </c>
      <c r="G35" s="2224" t="s">
        <v>660</v>
      </c>
      <c r="H35" s="2253" t="s">
        <v>655</v>
      </c>
      <c r="I35" s="2226" t="s">
        <v>784</v>
      </c>
      <c r="J35" s="2225" t="s">
        <v>785</v>
      </c>
      <c r="K35" s="2227">
        <v>5</v>
      </c>
      <c r="L35" s="2228">
        <v>5</v>
      </c>
      <c r="M35" s="2229" t="s">
        <v>799</v>
      </c>
      <c r="N35" s="2255" t="s">
        <v>815</v>
      </c>
      <c r="O35" s="2236"/>
      <c r="P35" s="2232"/>
      <c r="Q35" s="2232"/>
      <c r="R35" s="2232"/>
      <c r="S35" s="2294"/>
      <c r="T35" s="2236"/>
      <c r="U35" s="2232"/>
      <c r="V35" s="2232"/>
      <c r="W35" s="2232"/>
      <c r="X35" s="2235"/>
      <c r="Y35" s="2236"/>
      <c r="Z35" s="2232"/>
      <c r="AA35" s="2238"/>
      <c r="AC35" s="2239"/>
      <c r="AD35" s="2240"/>
      <c r="AE35" s="2240"/>
      <c r="AF35" s="2240"/>
      <c r="AG35" s="2241"/>
      <c r="AH35" s="2242"/>
      <c r="AI35" s="2239" t="s">
        <v>746</v>
      </c>
      <c r="AJ35" s="2240" t="s">
        <v>747</v>
      </c>
      <c r="AK35" s="2240" t="s">
        <v>748</v>
      </c>
      <c r="AL35" s="2243" t="s">
        <v>796</v>
      </c>
      <c r="AM35" s="2241"/>
      <c r="AN35" s="2252" t="s">
        <v>922</v>
      </c>
    </row>
    <row r="36" spans="2:40">
      <c r="B36" s="2261" t="s">
        <v>302</v>
      </c>
      <c r="C36" s="2249" t="s">
        <v>302</v>
      </c>
      <c r="D36" s="2250">
        <v>13332330749</v>
      </c>
      <c r="E36" s="2223" t="s">
        <v>656</v>
      </c>
      <c r="F36" s="2224" t="s">
        <v>652</v>
      </c>
      <c r="G36" s="2224" t="s">
        <v>309</v>
      </c>
      <c r="H36" s="2225" t="s">
        <v>655</v>
      </c>
      <c r="I36" s="2226" t="s">
        <v>784</v>
      </c>
      <c r="J36" s="2225" t="s">
        <v>785</v>
      </c>
      <c r="K36" s="2227">
        <v>5</v>
      </c>
      <c r="L36" s="2228">
        <v>5</v>
      </c>
      <c r="M36" s="2229">
        <v>5</v>
      </c>
      <c r="N36" s="2255" t="s">
        <v>880</v>
      </c>
      <c r="O36" s="2236" t="s">
        <v>925</v>
      </c>
      <c r="P36" s="2232"/>
      <c r="Q36" s="2232" t="s">
        <v>926</v>
      </c>
      <c r="R36" s="2232" t="s">
        <v>656</v>
      </c>
      <c r="S36" s="2294" t="s">
        <v>927</v>
      </c>
      <c r="T36" s="2236" t="s">
        <v>928</v>
      </c>
      <c r="U36" s="2232"/>
      <c r="V36" s="2232" t="s">
        <v>809</v>
      </c>
      <c r="W36" s="2232" t="s">
        <v>656</v>
      </c>
      <c r="X36" s="2235" t="s">
        <v>810</v>
      </c>
      <c r="Y36" s="2236" t="s">
        <v>929</v>
      </c>
      <c r="Z36" s="2232" t="s">
        <v>930</v>
      </c>
      <c r="AA36" s="2238" t="s">
        <v>931</v>
      </c>
      <c r="AC36" s="2262"/>
      <c r="AD36" s="2257"/>
      <c r="AE36" s="2257" t="s">
        <v>795</v>
      </c>
      <c r="AF36" s="2257" t="s">
        <v>795</v>
      </c>
      <c r="AG36" s="2258" t="s">
        <v>794</v>
      </c>
      <c r="AH36" s="2263"/>
      <c r="AI36" s="2239" t="s">
        <v>746</v>
      </c>
      <c r="AJ36" s="2240" t="s">
        <v>747</v>
      </c>
      <c r="AK36" s="2240" t="s">
        <v>748</v>
      </c>
      <c r="AL36" s="2243" t="s">
        <v>796</v>
      </c>
      <c r="AM36" s="2241"/>
      <c r="AN36" s="2264" t="s">
        <v>302</v>
      </c>
    </row>
    <row r="37" spans="2:40" ht="25.5">
      <c r="B37" s="2261" t="s">
        <v>303</v>
      </c>
      <c r="C37" s="2295" t="s">
        <v>303</v>
      </c>
      <c r="D37" s="2250">
        <v>24167357299</v>
      </c>
      <c r="E37" s="2223" t="s">
        <v>669</v>
      </c>
      <c r="F37" s="2224" t="s">
        <v>652</v>
      </c>
      <c r="G37" s="2224" t="s">
        <v>309</v>
      </c>
      <c r="H37" s="2225" t="s">
        <v>655</v>
      </c>
      <c r="I37" s="2226" t="s">
        <v>784</v>
      </c>
      <c r="J37" s="2225" t="s">
        <v>785</v>
      </c>
      <c r="K37" s="2227">
        <v>5</v>
      </c>
      <c r="L37" s="2228">
        <v>5</v>
      </c>
      <c r="M37" s="2229">
        <v>5</v>
      </c>
      <c r="N37" s="2230" t="s">
        <v>797</v>
      </c>
      <c r="O37" s="2236" t="s">
        <v>932</v>
      </c>
      <c r="P37" s="2232"/>
      <c r="Q37" s="2232" t="s">
        <v>933</v>
      </c>
      <c r="R37" s="2251" t="s">
        <v>669</v>
      </c>
      <c r="S37" s="2235" t="s">
        <v>934</v>
      </c>
      <c r="T37" s="2236" t="s">
        <v>935</v>
      </c>
      <c r="U37" s="2232"/>
      <c r="V37" s="2232" t="s">
        <v>933</v>
      </c>
      <c r="W37" s="2232" t="s">
        <v>669</v>
      </c>
      <c r="X37" s="2235" t="s">
        <v>934</v>
      </c>
      <c r="Y37" s="2236" t="s">
        <v>936</v>
      </c>
      <c r="Z37" s="2232" t="s">
        <v>937</v>
      </c>
      <c r="AA37" s="2238" t="s">
        <v>938</v>
      </c>
      <c r="AC37" s="2262"/>
      <c r="AD37" s="2257"/>
      <c r="AE37" s="2257" t="s">
        <v>795</v>
      </c>
      <c r="AF37" s="2257" t="s">
        <v>795</v>
      </c>
      <c r="AG37" s="2296" t="s">
        <v>795</v>
      </c>
      <c r="AH37" s="2263"/>
      <c r="AI37" s="2297" t="s">
        <v>939</v>
      </c>
      <c r="AJ37" s="2298" t="s">
        <v>940</v>
      </c>
      <c r="AK37" s="2298" t="s">
        <v>747</v>
      </c>
      <c r="AL37" s="2298" t="s">
        <v>941</v>
      </c>
      <c r="AM37" s="2299" t="s">
        <v>942</v>
      </c>
      <c r="AN37" s="2264" t="s">
        <v>303</v>
      </c>
    </row>
    <row r="38" spans="2:40">
      <c r="B38" s="2261" t="s">
        <v>304</v>
      </c>
      <c r="C38" s="2249" t="s">
        <v>304</v>
      </c>
      <c r="D38" s="2250">
        <v>24167357299</v>
      </c>
      <c r="E38" s="2223" t="s">
        <v>669</v>
      </c>
      <c r="F38" s="2224" t="s">
        <v>652</v>
      </c>
      <c r="G38" s="2224" t="s">
        <v>660</v>
      </c>
      <c r="H38" s="2225" t="s">
        <v>655</v>
      </c>
      <c r="I38" s="2226" t="s">
        <v>784</v>
      </c>
      <c r="J38" s="2225" t="s">
        <v>848</v>
      </c>
      <c r="K38" s="2227">
        <v>5</v>
      </c>
      <c r="L38" s="2269">
        <v>5</v>
      </c>
      <c r="M38" s="2229">
        <v>5</v>
      </c>
      <c r="N38" s="2230" t="s">
        <v>849</v>
      </c>
      <c r="O38" s="2236" t="s">
        <v>943</v>
      </c>
      <c r="P38" s="2232"/>
      <c r="Q38" s="2232" t="s">
        <v>944</v>
      </c>
      <c r="R38" s="2251" t="s">
        <v>669</v>
      </c>
      <c r="S38" s="2294" t="s">
        <v>945</v>
      </c>
      <c r="T38" s="2236" t="s">
        <v>946</v>
      </c>
      <c r="U38" s="2232"/>
      <c r="V38" s="2232" t="s">
        <v>947</v>
      </c>
      <c r="W38" s="2232" t="s">
        <v>669</v>
      </c>
      <c r="X38" s="2235" t="s">
        <v>948</v>
      </c>
      <c r="Y38" s="2236" t="s">
        <v>949</v>
      </c>
      <c r="Z38" s="2232" t="s">
        <v>950</v>
      </c>
      <c r="AA38" s="2238" t="s">
        <v>951</v>
      </c>
      <c r="AC38" s="2239"/>
      <c r="AD38" s="2240"/>
      <c r="AE38" s="2240"/>
      <c r="AF38" s="2240"/>
      <c r="AG38" s="2241"/>
      <c r="AH38" s="2242"/>
      <c r="AI38" s="2239" t="s">
        <v>746</v>
      </c>
      <c r="AJ38" s="2240" t="s">
        <v>747</v>
      </c>
      <c r="AK38" s="2240" t="s">
        <v>748</v>
      </c>
      <c r="AL38" s="2243" t="s">
        <v>796</v>
      </c>
      <c r="AM38" s="2241"/>
      <c r="AN38" s="2264" t="s">
        <v>304</v>
      </c>
    </row>
    <row r="39" spans="2:40">
      <c r="B39" s="2261" t="s">
        <v>307</v>
      </c>
      <c r="C39" s="2249" t="s">
        <v>307</v>
      </c>
      <c r="D39" s="2250">
        <v>19622755774</v>
      </c>
      <c r="E39" s="2223" t="s">
        <v>657</v>
      </c>
      <c r="F39" s="2224" t="s">
        <v>652</v>
      </c>
      <c r="G39" s="2224" t="s">
        <v>660</v>
      </c>
      <c r="H39" s="2225" t="s">
        <v>655</v>
      </c>
      <c r="I39" s="2226" t="s">
        <v>784</v>
      </c>
      <c r="J39" s="2225" t="s">
        <v>785</v>
      </c>
      <c r="K39" s="2227">
        <v>5</v>
      </c>
      <c r="L39" s="2269">
        <v>4</v>
      </c>
      <c r="M39" s="2229">
        <v>5</v>
      </c>
      <c r="N39" s="2230" t="s">
        <v>849</v>
      </c>
      <c r="O39" s="2236" t="s">
        <v>952</v>
      </c>
      <c r="P39" s="2232"/>
      <c r="Q39" s="2232" t="s">
        <v>953</v>
      </c>
      <c r="R39" s="2251" t="s">
        <v>657</v>
      </c>
      <c r="S39" s="2235" t="s">
        <v>819</v>
      </c>
      <c r="T39" s="2236" t="s">
        <v>954</v>
      </c>
      <c r="U39" s="2232"/>
      <c r="V39" s="2232" t="s">
        <v>955</v>
      </c>
      <c r="W39" s="2232" t="s">
        <v>657</v>
      </c>
      <c r="X39" s="2235" t="s">
        <v>956</v>
      </c>
      <c r="Y39" s="2236" t="s">
        <v>957</v>
      </c>
      <c r="Z39" s="2266" t="s">
        <v>958</v>
      </c>
      <c r="AA39" s="2267" t="s">
        <v>959</v>
      </c>
      <c r="AC39" s="2239"/>
      <c r="AD39" s="2240"/>
      <c r="AE39" s="2240"/>
      <c r="AF39" s="2240"/>
      <c r="AG39" s="2241"/>
      <c r="AH39" s="2242"/>
      <c r="AI39" s="2239" t="s">
        <v>746</v>
      </c>
      <c r="AJ39" s="2240" t="s">
        <v>747</v>
      </c>
      <c r="AK39" s="2240" t="s">
        <v>748</v>
      </c>
      <c r="AL39" s="2243" t="s">
        <v>796</v>
      </c>
      <c r="AM39" s="2241"/>
      <c r="AN39" s="2264" t="s">
        <v>307</v>
      </c>
    </row>
    <row r="40" spans="2:40">
      <c r="B40" s="2261" t="s">
        <v>310</v>
      </c>
      <c r="C40" s="2249" t="s">
        <v>310</v>
      </c>
      <c r="D40" s="2250">
        <v>70064651029</v>
      </c>
      <c r="E40" s="2223" t="s">
        <v>659</v>
      </c>
      <c r="F40" s="2224" t="s">
        <v>652</v>
      </c>
      <c r="G40" s="2224" t="s">
        <v>309</v>
      </c>
      <c r="H40" s="2225" t="s">
        <v>655</v>
      </c>
      <c r="I40" s="2226" t="s">
        <v>739</v>
      </c>
      <c r="J40" s="2225" t="s">
        <v>806</v>
      </c>
      <c r="K40" s="2227">
        <v>5</v>
      </c>
      <c r="L40" s="2228">
        <v>5</v>
      </c>
      <c r="M40" s="2229">
        <v>2</v>
      </c>
      <c r="N40" s="2255" t="s">
        <v>834</v>
      </c>
      <c r="O40" s="2236" t="s">
        <v>960</v>
      </c>
      <c r="P40" s="2232" t="s">
        <v>961</v>
      </c>
      <c r="Q40" s="2232" t="s">
        <v>962</v>
      </c>
      <c r="R40" s="2232" t="s">
        <v>659</v>
      </c>
      <c r="S40" s="2235" t="s">
        <v>963</v>
      </c>
      <c r="T40" s="2236" t="s">
        <v>964</v>
      </c>
      <c r="U40" s="2232"/>
      <c r="V40" s="2232" t="s">
        <v>965</v>
      </c>
      <c r="W40" s="2232" t="s">
        <v>841</v>
      </c>
      <c r="X40" s="2235">
        <v>3170</v>
      </c>
      <c r="Y40" s="2236" t="s">
        <v>966</v>
      </c>
      <c r="Z40" s="2232" t="s">
        <v>967</v>
      </c>
      <c r="AA40" s="2238" t="s">
        <v>968</v>
      </c>
      <c r="AC40" s="2256"/>
      <c r="AD40" s="2257"/>
      <c r="AE40" s="2257" t="s">
        <v>795</v>
      </c>
      <c r="AF40" s="2290" t="s">
        <v>794</v>
      </c>
      <c r="AG40" s="2258" t="s">
        <v>794</v>
      </c>
      <c r="AH40" s="2263"/>
      <c r="AI40" s="2239" t="s">
        <v>746</v>
      </c>
      <c r="AJ40" s="2240" t="s">
        <v>747</v>
      </c>
      <c r="AK40" s="2240" t="s">
        <v>748</v>
      </c>
      <c r="AL40" s="2243" t="s">
        <v>796</v>
      </c>
      <c r="AM40" s="2241"/>
      <c r="AN40" s="2264" t="s">
        <v>310</v>
      </c>
    </row>
    <row r="41" spans="2:40">
      <c r="B41" s="2261" t="s">
        <v>969</v>
      </c>
      <c r="C41" s="2249" t="s">
        <v>969</v>
      </c>
      <c r="D41" s="2250">
        <v>18540492861</v>
      </c>
      <c r="E41" s="2223" t="s">
        <v>970</v>
      </c>
      <c r="F41" s="2224" t="s">
        <v>652</v>
      </c>
      <c r="G41" s="2224" t="s">
        <v>309</v>
      </c>
      <c r="H41" s="2225" t="s">
        <v>655</v>
      </c>
      <c r="I41" s="2226" t="s">
        <v>784</v>
      </c>
      <c r="J41" s="2225" t="s">
        <v>785</v>
      </c>
      <c r="K41" s="2227">
        <v>12</v>
      </c>
      <c r="L41" s="2269">
        <v>4</v>
      </c>
      <c r="M41" s="2229" t="s">
        <v>799</v>
      </c>
      <c r="N41" s="2230" t="s">
        <v>797</v>
      </c>
      <c r="O41" s="2236" t="s">
        <v>971</v>
      </c>
      <c r="P41" s="2232"/>
      <c r="Q41" s="2232" t="s">
        <v>972</v>
      </c>
      <c r="R41" s="2251" t="s">
        <v>970</v>
      </c>
      <c r="S41" s="2235" t="s">
        <v>973</v>
      </c>
      <c r="T41" s="2236" t="s">
        <v>974</v>
      </c>
      <c r="U41" s="2232"/>
      <c r="V41" s="2232" t="s">
        <v>972</v>
      </c>
      <c r="W41" s="2232" t="s">
        <v>970</v>
      </c>
      <c r="X41" s="2235">
        <v>6842</v>
      </c>
      <c r="Y41" s="2236" t="s">
        <v>975</v>
      </c>
      <c r="Z41" s="2266" t="s">
        <v>976</v>
      </c>
      <c r="AA41" s="2300" t="s">
        <v>977</v>
      </c>
      <c r="AC41" s="2262"/>
      <c r="AD41" s="2257"/>
      <c r="AE41" s="2257" t="s">
        <v>795</v>
      </c>
      <c r="AF41" s="2257" t="s">
        <v>795</v>
      </c>
      <c r="AG41" s="2258" t="s">
        <v>794</v>
      </c>
      <c r="AH41" s="2301" t="s">
        <v>794</v>
      </c>
      <c r="AI41" s="2239" t="s">
        <v>746</v>
      </c>
      <c r="AJ41" s="2240" t="s">
        <v>747</v>
      </c>
      <c r="AK41" s="2240" t="s">
        <v>748</v>
      </c>
      <c r="AL41" s="2243" t="s">
        <v>796</v>
      </c>
      <c r="AM41" s="2241"/>
      <c r="AN41" s="2264" t="s">
        <v>969</v>
      </c>
    </row>
    <row r="42" spans="2:40" ht="15.75" thickBot="1">
      <c r="B42" s="2302" t="s">
        <v>978</v>
      </c>
      <c r="C42" s="2303" t="s">
        <v>978</v>
      </c>
      <c r="D42" s="2304">
        <v>18540492861</v>
      </c>
      <c r="E42" s="2305" t="s">
        <v>970</v>
      </c>
      <c r="F42" s="2306" t="s">
        <v>652</v>
      </c>
      <c r="G42" s="2306" t="s">
        <v>660</v>
      </c>
      <c r="H42" s="2307" t="s">
        <v>655</v>
      </c>
      <c r="I42" s="2308" t="s">
        <v>784</v>
      </c>
      <c r="J42" s="2307" t="s">
        <v>785</v>
      </c>
      <c r="K42" s="2309">
        <v>12</v>
      </c>
      <c r="L42" s="2310">
        <v>4</v>
      </c>
      <c r="M42" s="2311" t="s">
        <v>799</v>
      </c>
      <c r="N42" s="2312" t="s">
        <v>849</v>
      </c>
      <c r="O42" s="2313" t="s">
        <v>971</v>
      </c>
      <c r="P42" s="2314"/>
      <c r="Q42" s="2314" t="s">
        <v>972</v>
      </c>
      <c r="R42" s="2315" t="s">
        <v>970</v>
      </c>
      <c r="S42" s="2316" t="s">
        <v>973</v>
      </c>
      <c r="T42" s="2313" t="s">
        <v>974</v>
      </c>
      <c r="U42" s="2314"/>
      <c r="V42" s="2314" t="s">
        <v>972</v>
      </c>
      <c r="W42" s="2314" t="s">
        <v>970</v>
      </c>
      <c r="X42" s="2316">
        <v>6842</v>
      </c>
      <c r="Y42" s="2313" t="s">
        <v>975</v>
      </c>
      <c r="Z42" s="2317" t="s">
        <v>976</v>
      </c>
      <c r="AA42" s="2318" t="s">
        <v>977</v>
      </c>
      <c r="AC42" s="2319"/>
      <c r="AD42" s="2320"/>
      <c r="AE42" s="2320" t="s">
        <v>795</v>
      </c>
      <c r="AF42" s="2320" t="s">
        <v>795</v>
      </c>
      <c r="AG42" s="2321" t="s">
        <v>794</v>
      </c>
      <c r="AH42" s="2322"/>
      <c r="AI42" s="2323" t="s">
        <v>746</v>
      </c>
      <c r="AJ42" s="2324" t="s">
        <v>747</v>
      </c>
      <c r="AK42" s="2324" t="s">
        <v>748</v>
      </c>
      <c r="AL42" s="2325" t="s">
        <v>796</v>
      </c>
      <c r="AM42" s="2326"/>
      <c r="AN42" s="2327" t="s">
        <v>978</v>
      </c>
    </row>
    <row r="43" spans="2:40">
      <c r="C43" s="2164"/>
    </row>
    <row r="44" spans="2:40" ht="15.75" thickBot="1">
      <c r="C44" s="2164"/>
    </row>
    <row r="45" spans="2:40" ht="15.75" thickBot="1">
      <c r="W45" s="3886" t="s">
        <v>979</v>
      </c>
      <c r="X45" s="3887"/>
      <c r="Y45" s="3887"/>
      <c r="Z45" s="3887"/>
      <c r="AA45" s="3888"/>
    </row>
    <row r="46" spans="2:40" ht="53.25" customHeight="1" thickBot="1">
      <c r="B46" s="3889" t="s">
        <v>980</v>
      </c>
      <c r="C46" s="3890"/>
      <c r="D46" s="3890"/>
      <c r="E46" s="3890"/>
      <c r="F46" s="3891"/>
      <c r="G46" s="2146">
        <f>IF(dms_RPT="financial",VALUE(LEFT(CRCP_y1,4)-1)&amp;"-"&amp;TEXT(VALUE(RIGHT(CRCP_y1,2)-1),"00"),VALUE(LEFT(CRCP_y1,4)-1))</f>
        <v>2012</v>
      </c>
      <c r="N46" s="2328" t="s">
        <v>981</v>
      </c>
      <c r="O46" s="3892" t="s">
        <v>982</v>
      </c>
      <c r="P46" s="3892"/>
      <c r="Q46" s="3892"/>
      <c r="R46" s="3892"/>
      <c r="S46" s="3892"/>
      <c r="T46" s="3892"/>
      <c r="U46" s="3892"/>
      <c r="V46" s="3892"/>
      <c r="W46" s="3893" t="s">
        <v>983</v>
      </c>
      <c r="X46" s="3894"/>
      <c r="Y46" s="3894"/>
      <c r="Z46" s="3894"/>
      <c r="AA46" s="3895"/>
      <c r="AI46" s="2329" t="s">
        <v>984</v>
      </c>
      <c r="AJ46" s="2330" t="s">
        <v>985</v>
      </c>
      <c r="AK46" s="2331" t="s">
        <v>986</v>
      </c>
      <c r="AL46" s="2148"/>
    </row>
    <row r="47" spans="2:40" s="2147" customFormat="1" ht="42" customHeight="1" thickBot="1">
      <c r="B47" s="2332" t="s">
        <v>987</v>
      </c>
      <c r="C47" s="3896" t="s">
        <v>988</v>
      </c>
      <c r="D47" s="3896"/>
      <c r="E47" s="2333" t="s">
        <v>989</v>
      </c>
      <c r="F47" s="2333"/>
      <c r="G47" s="2334"/>
      <c r="H47" s="2335"/>
      <c r="I47" s="2336"/>
      <c r="J47" s="2337"/>
      <c r="K47" s="2337"/>
      <c r="L47" s="2338"/>
      <c r="N47" s="2339" t="s">
        <v>990</v>
      </c>
      <c r="O47" s="2340" t="s">
        <v>991</v>
      </c>
      <c r="P47" s="2341" t="s">
        <v>992</v>
      </c>
      <c r="Q47" s="2341" t="s">
        <v>993</v>
      </c>
      <c r="R47" s="2341" t="s">
        <v>994</v>
      </c>
      <c r="S47" s="2341" t="s">
        <v>995</v>
      </c>
      <c r="T47" s="2341" t="s">
        <v>996</v>
      </c>
      <c r="U47" s="2341" t="s">
        <v>997</v>
      </c>
      <c r="V47" s="2342" t="s">
        <v>998</v>
      </c>
      <c r="W47" s="2343" t="s">
        <v>999</v>
      </c>
      <c r="X47" s="2344" t="s">
        <v>1000</v>
      </c>
      <c r="Y47" s="2344" t="s">
        <v>1001</v>
      </c>
      <c r="Z47" s="2344" t="s">
        <v>1002</v>
      </c>
      <c r="AA47" s="2345" t="s">
        <v>1003</v>
      </c>
      <c r="AB47" s="2148"/>
      <c r="AC47" s="2346"/>
      <c r="AI47" s="3897" t="s">
        <v>1004</v>
      </c>
      <c r="AJ47" s="2347" t="s">
        <v>1005</v>
      </c>
      <c r="AK47" s="2348" t="s">
        <v>1004</v>
      </c>
      <c r="AL47" s="2148"/>
    </row>
    <row r="48" spans="2:40" ht="30">
      <c r="B48" s="2349" t="s">
        <v>1006</v>
      </c>
      <c r="C48" s="2350" t="s">
        <v>1007</v>
      </c>
      <c r="D48" s="2351"/>
      <c r="E48" s="2352" t="e">
        <f ca="1">LEFT(dms_SingleYear_FinalYear_Result,2)&amp;RIGHT(dms_SingleYear_FinalYear_Result,2)</f>
        <v>#REF!</v>
      </c>
      <c r="F48" s="2353" t="s">
        <v>1008</v>
      </c>
      <c r="G48" s="2354"/>
      <c r="H48" s="2355" t="s">
        <v>1009</v>
      </c>
      <c r="I48" s="2356"/>
      <c r="N48" s="2357" t="s">
        <v>1010</v>
      </c>
      <c r="O48" s="2358" t="s">
        <v>1011</v>
      </c>
      <c r="P48" s="2359" t="s">
        <v>337</v>
      </c>
      <c r="Q48" s="2359" t="s">
        <v>337</v>
      </c>
      <c r="R48" s="2359" t="s">
        <v>337</v>
      </c>
      <c r="S48" s="2359" t="s">
        <v>337</v>
      </c>
      <c r="T48" s="2360" t="s">
        <v>337</v>
      </c>
      <c r="U48" s="2361" t="s">
        <v>337</v>
      </c>
      <c r="V48" s="2362" t="s">
        <v>1012</v>
      </c>
      <c r="W48" s="2363" t="s">
        <v>1013</v>
      </c>
      <c r="X48" s="2364" t="s">
        <v>1013</v>
      </c>
      <c r="Y48" s="2365" t="s">
        <v>1014</v>
      </c>
      <c r="Z48" s="2365" t="s">
        <v>112</v>
      </c>
      <c r="AA48" s="2366" t="s">
        <v>1015</v>
      </c>
      <c r="AI48" s="3898"/>
      <c r="AJ48" s="2367" t="s">
        <v>1016</v>
      </c>
      <c r="AK48" s="2368" t="s">
        <v>1017</v>
      </c>
      <c r="AL48" s="2148"/>
    </row>
    <row r="49" spans="2:38" ht="30.75" thickBot="1">
      <c r="B49" s="2369" t="s">
        <v>273</v>
      </c>
      <c r="C49" s="2370" t="s">
        <v>274</v>
      </c>
      <c r="D49" s="2371"/>
      <c r="E49" s="2372" t="e">
        <f ca="1">LEFT(dms_SingleYear_FinalYear_Result,2)&amp;RIGHT(dms_SingleYear_FinalYear_Result,2)</f>
        <v>#REF!</v>
      </c>
      <c r="F49" s="2373" t="s">
        <v>1008</v>
      </c>
      <c r="G49" s="2354"/>
      <c r="H49" s="2355" t="s">
        <v>1009</v>
      </c>
      <c r="I49" s="2356"/>
      <c r="N49" s="2374" t="s">
        <v>1018</v>
      </c>
      <c r="O49" s="2375" t="s">
        <v>1011</v>
      </c>
      <c r="P49" s="2376" t="s">
        <v>337</v>
      </c>
      <c r="Q49" s="2376" t="s">
        <v>337</v>
      </c>
      <c r="R49" s="2376" t="s">
        <v>337</v>
      </c>
      <c r="S49" s="2376" t="s">
        <v>337</v>
      </c>
      <c r="T49" s="2377" t="s">
        <v>337</v>
      </c>
      <c r="U49" s="2378" t="s">
        <v>337</v>
      </c>
      <c r="V49" s="2379" t="s">
        <v>337</v>
      </c>
      <c r="W49" s="2363" t="s">
        <v>1013</v>
      </c>
      <c r="X49" s="2364" t="s">
        <v>1013</v>
      </c>
      <c r="Y49" s="2380" t="s">
        <v>1019</v>
      </c>
      <c r="Z49" s="2380" t="s">
        <v>1020</v>
      </c>
      <c r="AA49" s="2381"/>
      <c r="AI49" s="3899"/>
      <c r="AJ49" s="2382" t="s">
        <v>62</v>
      </c>
      <c r="AK49" s="2368" t="s">
        <v>62</v>
      </c>
      <c r="AL49" s="2148"/>
    </row>
    <row r="50" spans="2:38" ht="30">
      <c r="B50" s="2369" t="s">
        <v>276</v>
      </c>
      <c r="C50" s="2370" t="s">
        <v>276</v>
      </c>
      <c r="D50" s="2371"/>
      <c r="E50" s="2383"/>
      <c r="F50" s="2384"/>
      <c r="G50" s="2354"/>
      <c r="H50" s="2354"/>
      <c r="I50" s="2356"/>
      <c r="J50" s="2146"/>
      <c r="N50" s="2374" t="s">
        <v>1021</v>
      </c>
      <c r="O50" s="2375" t="s">
        <v>1011</v>
      </c>
      <c r="P50" s="2376" t="s">
        <v>1022</v>
      </c>
      <c r="Q50" s="2376" t="s">
        <v>1022</v>
      </c>
      <c r="R50" s="2376" t="s">
        <v>1022</v>
      </c>
      <c r="S50" s="2376" t="s">
        <v>1022</v>
      </c>
      <c r="T50" s="2377" t="s">
        <v>337</v>
      </c>
      <c r="U50" s="2378" t="s">
        <v>337</v>
      </c>
      <c r="V50" s="2379" t="s">
        <v>1023</v>
      </c>
      <c r="W50" s="2363" t="s">
        <v>1024</v>
      </c>
      <c r="X50" s="2364" t="s">
        <v>1024</v>
      </c>
      <c r="Y50" s="2380" t="s">
        <v>1025</v>
      </c>
      <c r="Z50" s="2380" t="s">
        <v>1020</v>
      </c>
      <c r="AA50" s="2381"/>
      <c r="AI50" s="3897" t="s">
        <v>1017</v>
      </c>
      <c r="AJ50" s="2385" t="s">
        <v>1026</v>
      </c>
      <c r="AK50" s="2368" t="s">
        <v>1027</v>
      </c>
      <c r="AL50" s="1836"/>
    </row>
    <row r="51" spans="2:38" ht="30.75" thickBot="1">
      <c r="B51" s="2369" t="s">
        <v>278</v>
      </c>
      <c r="C51" s="2370" t="s">
        <v>279</v>
      </c>
      <c r="D51" s="2371"/>
      <c r="E51" s="2372" t="e">
        <f ca="1">LEFT(dms_SingleYear_FinalYear_Result,2)&amp;RIGHT(dms_SingleYear_FinalYear_Result,2)</f>
        <v>#REF!</v>
      </c>
      <c r="F51" s="2373" t="s">
        <v>1008</v>
      </c>
      <c r="G51" s="2354"/>
      <c r="H51" s="2355" t="s">
        <v>1009</v>
      </c>
      <c r="I51" s="2356"/>
      <c r="J51" s="2146"/>
      <c r="N51" s="2374" t="s">
        <v>1028</v>
      </c>
      <c r="O51" s="2375" t="s">
        <v>1011</v>
      </c>
      <c r="P51" s="2376" t="s">
        <v>337</v>
      </c>
      <c r="Q51" s="2376" t="s">
        <v>337</v>
      </c>
      <c r="R51" s="2376" t="s">
        <v>337</v>
      </c>
      <c r="S51" s="2376" t="s">
        <v>337</v>
      </c>
      <c r="T51" s="2377" t="s">
        <v>337</v>
      </c>
      <c r="U51" s="2378" t="s">
        <v>1023</v>
      </c>
      <c r="V51" s="2379" t="s">
        <v>337</v>
      </c>
      <c r="W51" s="2363" t="s">
        <v>1024</v>
      </c>
      <c r="X51" s="2386" t="s">
        <v>1024</v>
      </c>
      <c r="Y51" s="2266"/>
      <c r="Z51" s="2380" t="s">
        <v>1020</v>
      </c>
      <c r="AA51" s="2381"/>
      <c r="AI51" s="3898"/>
      <c r="AJ51" s="2367" t="s">
        <v>1029</v>
      </c>
      <c r="AK51" s="2368" t="s">
        <v>1030</v>
      </c>
      <c r="AL51" s="1836"/>
    </row>
    <row r="52" spans="2:38">
      <c r="B52" s="2369" t="s">
        <v>281</v>
      </c>
      <c r="C52" s="2387" t="s">
        <v>282</v>
      </c>
      <c r="D52" s="2371"/>
      <c r="E52" s="2372" t="str">
        <f ca="1">LEFT(dms_MultiYear_FinalYear_Result,2)&amp;RIGHT(dms_MultiYear_FinalYear_Result,2)</f>
        <v>2022</v>
      </c>
      <c r="F52" s="2373" t="s">
        <v>1031</v>
      </c>
      <c r="G52" s="2354"/>
      <c r="H52" s="2354"/>
      <c r="I52" s="2356"/>
      <c r="J52" s="2146"/>
      <c r="N52" s="2374" t="s">
        <v>1032</v>
      </c>
      <c r="O52" s="2388" t="s">
        <v>1033</v>
      </c>
      <c r="P52" s="2376" t="s">
        <v>1034</v>
      </c>
      <c r="Q52" s="2376" t="s">
        <v>1034</v>
      </c>
      <c r="R52" s="2376" t="s">
        <v>1034</v>
      </c>
      <c r="S52" s="2376" t="s">
        <v>1034</v>
      </c>
      <c r="T52" s="2377" t="s">
        <v>1035</v>
      </c>
      <c r="U52" s="2389"/>
      <c r="V52" s="2390"/>
      <c r="W52" s="2391"/>
      <c r="X52" s="2266"/>
      <c r="Y52" s="2266"/>
      <c r="Z52" s="2380" t="s">
        <v>1020</v>
      </c>
      <c r="AA52" s="2381"/>
      <c r="AI52" s="3898"/>
      <c r="AJ52" s="2367" t="s">
        <v>1036</v>
      </c>
      <c r="AK52" s="2368" t="s">
        <v>1037</v>
      </c>
      <c r="AL52" s="1836"/>
    </row>
    <row r="53" spans="2:38">
      <c r="B53" s="2369" t="s">
        <v>283</v>
      </c>
      <c r="C53" s="2370" t="s">
        <v>275</v>
      </c>
      <c r="D53" s="2371"/>
      <c r="E53" s="2372" t="str">
        <f ca="1">LEFT(dms_MultiYear_FinalYear_Result,2)&amp;RIGHT(dms_MultiYear_FinalYear_Result,2)</f>
        <v>2022</v>
      </c>
      <c r="F53" s="2373" t="s">
        <v>1031</v>
      </c>
      <c r="G53" s="2354"/>
      <c r="H53" s="2355" t="s">
        <v>1009</v>
      </c>
      <c r="I53" s="2356"/>
      <c r="J53" s="2146"/>
      <c r="N53" s="2374" t="s">
        <v>1038</v>
      </c>
      <c r="O53" s="2388" t="s">
        <v>1033</v>
      </c>
      <c r="P53" s="2376" t="s">
        <v>1039</v>
      </c>
      <c r="Q53" s="2376" t="s">
        <v>1039</v>
      </c>
      <c r="R53" s="2376" t="s">
        <v>1039</v>
      </c>
      <c r="S53" s="2376" t="s">
        <v>1039</v>
      </c>
      <c r="T53" s="2392"/>
      <c r="U53" s="2389"/>
      <c r="V53" s="2390"/>
      <c r="W53" s="2391"/>
      <c r="X53" s="2266"/>
      <c r="Y53" s="2266"/>
      <c r="Z53" s="2380" t="s">
        <v>1040</v>
      </c>
      <c r="AA53" s="2381"/>
      <c r="AI53" s="3898"/>
      <c r="AJ53" s="2367" t="s">
        <v>1041</v>
      </c>
      <c r="AK53" s="2368" t="s">
        <v>1042</v>
      </c>
      <c r="AL53" s="1836"/>
    </row>
    <row r="54" spans="2:38" ht="15.75" thickBot="1">
      <c r="B54" s="2369" t="s">
        <v>284</v>
      </c>
      <c r="C54" s="2370" t="s">
        <v>285</v>
      </c>
      <c r="D54" s="2371"/>
      <c r="E54" s="2372" t="str">
        <f>LEFT(dms_CRCP_FinalYear_Result,2)&amp;RIGHT(dms_CRCP_FinalYear_Result,2)</f>
        <v>2017</v>
      </c>
      <c r="F54" s="2373" t="s">
        <v>1043</v>
      </c>
      <c r="G54" s="2354"/>
      <c r="H54" s="2354"/>
      <c r="I54" s="2356"/>
      <c r="J54" s="2146"/>
      <c r="N54" s="2374" t="s">
        <v>1044</v>
      </c>
      <c r="O54" s="2388" t="s">
        <v>1033</v>
      </c>
      <c r="P54" s="2376" t="s">
        <v>1034</v>
      </c>
      <c r="Q54" s="2376" t="s">
        <v>1034</v>
      </c>
      <c r="R54" s="2376" t="s">
        <v>1034</v>
      </c>
      <c r="S54" s="2376" t="s">
        <v>1034</v>
      </c>
      <c r="T54" s="2392"/>
      <c r="U54" s="2389"/>
      <c r="V54" s="2390"/>
      <c r="W54" s="2391"/>
      <c r="X54" s="2266"/>
      <c r="Y54" s="2266"/>
      <c r="Z54" s="2380" t="s">
        <v>1040</v>
      </c>
      <c r="AA54" s="2381"/>
      <c r="AI54" s="3899"/>
      <c r="AJ54" s="2393" t="s">
        <v>1045</v>
      </c>
      <c r="AK54" s="2368" t="s">
        <v>1046</v>
      </c>
      <c r="AL54" s="1836"/>
    </row>
    <row r="55" spans="2:38" ht="15.75" thickBot="1">
      <c r="B55" s="2394" t="s">
        <v>286</v>
      </c>
      <c r="C55" s="2395" t="s">
        <v>287</v>
      </c>
      <c r="D55" s="2396"/>
      <c r="E55" s="2397" t="str">
        <f ca="1">LEFT(dms_MultiYear_FinalYear_Result,2)&amp;RIGHT(dms_MultiYear_FinalYear_Result,2)</f>
        <v>2022</v>
      </c>
      <c r="F55" s="2398" t="s">
        <v>1031</v>
      </c>
      <c r="G55" s="2354"/>
      <c r="H55" s="2354"/>
      <c r="I55" s="2356"/>
      <c r="J55" s="2146"/>
      <c r="N55" s="2399" t="s">
        <v>62</v>
      </c>
      <c r="O55" s="2400"/>
      <c r="P55" s="2376" t="s">
        <v>1039</v>
      </c>
      <c r="Q55" s="2376" t="s">
        <v>1039</v>
      </c>
      <c r="R55" s="2376" t="s">
        <v>1039</v>
      </c>
      <c r="S55" s="2376" t="s">
        <v>1039</v>
      </c>
      <c r="T55" s="2392"/>
      <c r="U55" s="2389"/>
      <c r="V55" s="2390"/>
      <c r="W55" s="2401"/>
      <c r="X55" s="2266"/>
      <c r="Y55" s="2266"/>
      <c r="Z55" s="2380" t="s">
        <v>1047</v>
      </c>
      <c r="AA55" s="2381"/>
      <c r="AI55" s="2402" t="s">
        <v>62</v>
      </c>
      <c r="AJ55" s="2403" t="s">
        <v>1048</v>
      </c>
      <c r="AK55" s="2368" t="s">
        <v>1049</v>
      </c>
      <c r="AL55" s="1836"/>
    </row>
    <row r="56" spans="2:38">
      <c r="C56" s="2164"/>
      <c r="H56" s="2146"/>
      <c r="I56" s="2356"/>
      <c r="J56" s="2146"/>
      <c r="O56" s="2400"/>
      <c r="P56" s="2376" t="s">
        <v>1034</v>
      </c>
      <c r="Q56" s="2376" t="s">
        <v>1034</v>
      </c>
      <c r="R56" s="2376" t="s">
        <v>1034</v>
      </c>
      <c r="S56" s="2376" t="s">
        <v>1034</v>
      </c>
      <c r="T56" s="2392"/>
      <c r="U56" s="2389"/>
      <c r="V56" s="2390"/>
      <c r="W56" s="2401"/>
      <c r="X56" s="2266"/>
      <c r="Y56" s="2266"/>
      <c r="Z56" s="2380" t="s">
        <v>1047</v>
      </c>
      <c r="AA56" s="2381"/>
      <c r="AI56" s="2402" t="s">
        <v>1027</v>
      </c>
      <c r="AJ56" s="2404" t="s">
        <v>854</v>
      </c>
      <c r="AK56" s="2368" t="s">
        <v>1050</v>
      </c>
      <c r="AL56" s="1836"/>
    </row>
    <row r="57" spans="2:38" ht="15.75" thickBot="1">
      <c r="C57" s="2164"/>
      <c r="O57" s="2400"/>
      <c r="P57" s="2376" t="s">
        <v>337</v>
      </c>
      <c r="Q57" s="2392"/>
      <c r="R57" s="2376" t="s">
        <v>1023</v>
      </c>
      <c r="S57" s="2392"/>
      <c r="T57" s="2392"/>
      <c r="U57" s="2389"/>
      <c r="V57" s="2390"/>
      <c r="W57" s="2401"/>
      <c r="X57" s="2266"/>
      <c r="Y57" s="2266"/>
      <c r="Z57" s="2380" t="s">
        <v>1051</v>
      </c>
      <c r="AA57" s="2381"/>
      <c r="AI57" s="2402" t="s">
        <v>1030</v>
      </c>
      <c r="AJ57" s="2405" t="s">
        <v>854</v>
      </c>
      <c r="AK57" s="2368" t="s">
        <v>1052</v>
      </c>
      <c r="AL57" s="1836"/>
    </row>
    <row r="58" spans="2:38">
      <c r="C58" s="2164"/>
      <c r="O58" s="2400"/>
      <c r="P58" s="2376" t="s">
        <v>337</v>
      </c>
      <c r="Q58" s="2392"/>
      <c r="R58" s="2392"/>
      <c r="S58" s="2392"/>
      <c r="T58" s="2392"/>
      <c r="U58" s="2389"/>
      <c r="V58" s="2390"/>
      <c r="W58" s="2401"/>
      <c r="X58" s="2266"/>
      <c r="Y58" s="2266"/>
      <c r="Z58" s="2380" t="s">
        <v>1051</v>
      </c>
      <c r="AA58" s="2381"/>
      <c r="AI58" s="3897" t="s">
        <v>1037</v>
      </c>
      <c r="AJ58" s="2406" t="s">
        <v>1053</v>
      </c>
      <c r="AK58" s="2368" t="s">
        <v>1054</v>
      </c>
      <c r="AL58" s="1836"/>
    </row>
    <row r="59" spans="2:38" ht="15.75" thickBot="1">
      <c r="C59" s="2164"/>
      <c r="O59" s="2400"/>
      <c r="P59" s="2376" t="s">
        <v>337</v>
      </c>
      <c r="Q59" s="2392"/>
      <c r="R59" s="2392"/>
      <c r="S59" s="2392"/>
      <c r="T59" s="2392"/>
      <c r="U59" s="2389"/>
      <c r="V59" s="2390"/>
      <c r="W59" s="2401"/>
      <c r="X59" s="2266"/>
      <c r="Y59" s="2266"/>
      <c r="Z59" s="2380" t="s">
        <v>1055</v>
      </c>
      <c r="AA59" s="2381"/>
      <c r="AI59" s="3898"/>
      <c r="AJ59" s="2407" t="s">
        <v>1056</v>
      </c>
      <c r="AK59" s="2368" t="s">
        <v>1057</v>
      </c>
      <c r="AL59" s="1836"/>
    </row>
    <row r="60" spans="2:38" ht="15.75" thickBot="1">
      <c r="C60" s="2164"/>
      <c r="O60" s="2408"/>
      <c r="P60" s="2409" t="s">
        <v>1023</v>
      </c>
      <c r="Q60" s="2410"/>
      <c r="R60" s="2410"/>
      <c r="S60" s="2410"/>
      <c r="T60" s="2410"/>
      <c r="U60" s="2411"/>
      <c r="V60" s="2412"/>
      <c r="W60" s="2401"/>
      <c r="X60" s="2266"/>
      <c r="Y60" s="2266"/>
      <c r="Z60" s="2380" t="s">
        <v>1015</v>
      </c>
      <c r="AA60" s="2381"/>
      <c r="AI60" s="2413" t="s">
        <v>1042</v>
      </c>
      <c r="AJ60" s="2385" t="s">
        <v>1058</v>
      </c>
      <c r="AK60" s="2368" t="s">
        <v>1059</v>
      </c>
      <c r="AL60" s="1836"/>
    </row>
    <row r="61" spans="2:38" ht="15.75" thickBot="1">
      <c r="C61" s="2164"/>
      <c r="T61" s="2414"/>
      <c r="W61" s="2415"/>
      <c r="X61" s="2416"/>
      <c r="Y61" s="2416"/>
      <c r="Z61" s="2417" t="s">
        <v>1055</v>
      </c>
      <c r="AA61" s="2418"/>
      <c r="AD61" s="2146" t="s">
        <v>1060</v>
      </c>
      <c r="AI61" s="2419"/>
      <c r="AJ61" s="2420" t="s">
        <v>62</v>
      </c>
      <c r="AK61" s="2368" t="s">
        <v>1061</v>
      </c>
      <c r="AL61" s="1836"/>
    </row>
    <row r="62" spans="2:38" ht="15.75" thickBot="1">
      <c r="C62" s="2164"/>
      <c r="T62" s="2421"/>
      <c r="W62" s="2422"/>
      <c r="X62" s="2423"/>
      <c r="Y62" s="2423"/>
      <c r="Z62" s="2423"/>
      <c r="AA62" s="2424"/>
      <c r="AI62" s="2419"/>
      <c r="AJ62" s="2420" t="s">
        <v>1062</v>
      </c>
      <c r="AK62" s="2425" t="s">
        <v>1063</v>
      </c>
      <c r="AL62" s="1836"/>
    </row>
    <row r="63" spans="2:38" ht="15.75" thickBot="1">
      <c r="C63" s="2164"/>
      <c r="T63" s="2426"/>
      <c r="W63" s="2422"/>
      <c r="X63" s="2423"/>
      <c r="Y63" s="2423"/>
      <c r="Z63" s="2423"/>
      <c r="AA63" s="2424"/>
      <c r="AI63" s="2419"/>
      <c r="AJ63" s="2420" t="s">
        <v>1064</v>
      </c>
      <c r="AK63" s="2427"/>
      <c r="AL63" s="1836"/>
    </row>
    <row r="64" spans="2:38" ht="58.5" customHeight="1" thickBot="1">
      <c r="B64" s="2428" t="s">
        <v>1065</v>
      </c>
      <c r="C64" s="2428" t="s">
        <v>1066</v>
      </c>
      <c r="E64" s="1836" t="s">
        <v>1067</v>
      </c>
      <c r="T64" s="2429"/>
      <c r="W64" s="3900" t="s">
        <v>1068</v>
      </c>
      <c r="X64" s="3901"/>
      <c r="Y64" s="3901"/>
      <c r="Z64" s="3902"/>
      <c r="AA64" s="2424"/>
      <c r="AI64" s="2430"/>
      <c r="AJ64" s="2431" t="s">
        <v>1069</v>
      </c>
      <c r="AK64" s="2427"/>
      <c r="AL64" s="1836"/>
    </row>
    <row r="65" spans="2:38" ht="30.75" thickBot="1">
      <c r="B65" s="2432" t="s">
        <v>1070</v>
      </c>
      <c r="C65" s="2432" t="s">
        <v>1071</v>
      </c>
      <c r="E65" s="2433" t="s">
        <v>1072</v>
      </c>
      <c r="F65" s="2434" t="s">
        <v>1073</v>
      </c>
      <c r="G65" s="2433" t="s">
        <v>1074</v>
      </c>
      <c r="H65" s="2434" t="s">
        <v>1075</v>
      </c>
      <c r="I65" s="2435" t="s">
        <v>1076</v>
      </c>
      <c r="J65" s="2436"/>
      <c r="K65" s="2437" t="s">
        <v>1077</v>
      </c>
      <c r="L65" s="2437"/>
      <c r="M65" s="2438" t="s">
        <v>1078</v>
      </c>
      <c r="T65" s="2439"/>
      <c r="W65" s="2440" t="s">
        <v>999</v>
      </c>
      <c r="X65" s="2441"/>
      <c r="Y65" s="2442" t="s">
        <v>1001</v>
      </c>
      <c r="Z65" s="2443" t="s">
        <v>1002</v>
      </c>
      <c r="AA65" s="2424"/>
      <c r="AI65" s="2402" t="s">
        <v>1046</v>
      </c>
      <c r="AJ65" s="2444" t="s">
        <v>1046</v>
      </c>
      <c r="AK65" s="2427"/>
      <c r="AL65" s="1836"/>
    </row>
    <row r="66" spans="2:38">
      <c r="B66" s="2445" t="s">
        <v>673</v>
      </c>
      <c r="C66" s="2446" t="s">
        <v>655</v>
      </c>
      <c r="E66" s="2447">
        <v>1</v>
      </c>
      <c r="F66" s="2448" t="s">
        <v>1079</v>
      </c>
      <c r="G66" s="2447">
        <v>1</v>
      </c>
      <c r="H66" s="2448" t="s">
        <v>1080</v>
      </c>
      <c r="I66" s="2449" t="str">
        <f>FRCP_y1</f>
        <v>2018</v>
      </c>
      <c r="J66" s="2450" t="s">
        <v>1079</v>
      </c>
      <c r="K66" s="2451">
        <f>IF(dms_RPT="financial",VALUE(LEFT(dms_FRCP_y1,4)-1)&amp;"-"&amp;TEXT(VALUE(MID(dms_FRCP_y1,3,2)),"00"),VALUE(LEFT(dms_FRCP_y1,4)-1))</f>
        <v>2017</v>
      </c>
      <c r="L66" s="2452" t="s">
        <v>1081</v>
      </c>
      <c r="M66" s="2453">
        <v>1</v>
      </c>
      <c r="W66" s="2454" t="s">
        <v>112</v>
      </c>
      <c r="X66" s="2455"/>
      <c r="Y66" s="2456" t="s">
        <v>1020</v>
      </c>
      <c r="Z66" s="2457" t="s">
        <v>1015</v>
      </c>
      <c r="AA66" s="2424"/>
      <c r="AI66" s="2458" t="s">
        <v>1049</v>
      </c>
      <c r="AJ66" s="2406" t="s">
        <v>1082</v>
      </c>
      <c r="AK66" s="2427"/>
      <c r="AL66" s="1836"/>
    </row>
    <row r="67" spans="2:38">
      <c r="B67" s="2459" t="s">
        <v>671</v>
      </c>
      <c r="C67" s="2460" t="s">
        <v>653</v>
      </c>
      <c r="E67" s="2461">
        <v>2</v>
      </c>
      <c r="F67" s="2462" t="s">
        <v>1083</v>
      </c>
      <c r="G67" s="2461">
        <v>2</v>
      </c>
      <c r="H67" s="2462" t="s">
        <v>1084</v>
      </c>
      <c r="I67" s="2463">
        <f>IF(dms_RPT="financial",VALUE(LEFT(dms_FRCP_y1,4)+1)&amp;"-"&amp;TEXT(VALUE(RIGHT(dms_FRCP_y1,2)+1),"00"),VALUE(LEFT(dms_FRCP_y1,4)+1))</f>
        <v>2019</v>
      </c>
      <c r="J67" s="2464" t="s">
        <v>1083</v>
      </c>
      <c r="K67" s="2465">
        <f>IF(dms_RPT="financial",VALUE(LEFT(dms_CRCP_yZ,4)-1)&amp;"-"&amp;TEXT(VALUE(MID(dms_CRCP_yZ,3,2)),"00"),VALUE(LEFT(dms_CRCP_yZ,4)-1))</f>
        <v>2016</v>
      </c>
      <c r="L67" s="2466" t="s">
        <v>1085</v>
      </c>
      <c r="M67" s="2467">
        <v>2</v>
      </c>
      <c r="W67" s="2468" t="s">
        <v>1086</v>
      </c>
      <c r="X67" s="2266"/>
      <c r="Y67" s="2380" t="s">
        <v>1040</v>
      </c>
      <c r="Z67" s="2469" t="s">
        <v>112</v>
      </c>
      <c r="AA67" s="2424"/>
      <c r="AI67" s="2470"/>
      <c r="AJ67" s="2420" t="s">
        <v>1087</v>
      </c>
      <c r="AK67" s="2427"/>
      <c r="AL67" s="1836"/>
    </row>
    <row r="68" spans="2:38" ht="15.75" thickBot="1">
      <c r="B68" s="2459" t="s">
        <v>672</v>
      </c>
      <c r="C68" s="2471" t="s">
        <v>664</v>
      </c>
      <c r="E68" s="2461">
        <v>3</v>
      </c>
      <c r="F68" s="2462" t="s">
        <v>1088</v>
      </c>
      <c r="G68" s="2461">
        <v>3</v>
      </c>
      <c r="H68" s="2462" t="s">
        <v>1089</v>
      </c>
      <c r="I68" s="2463">
        <f>IF(dms_RPT="financial",VALUE(LEFT(dms_FRCP_y2,4)+1)&amp;"-"&amp;TEXT(VALUE(RIGHT(dms_FRCP_y2,2)+1),"00"),VALUE(LEFT(dms_FRCP_y2,4)+1))</f>
        <v>2020</v>
      </c>
      <c r="J68" s="2464" t="s">
        <v>1088</v>
      </c>
      <c r="K68" s="2465">
        <f>IF(dms_RPT="financial",VALUE(LEFT(dms_CRCP_yY,4)-1)&amp;"-"&amp;TEXT(VALUE(MID(dms_CRCP_yY,3,2)),"00"),VALUE(LEFT(dms_CRCP_yY,4)-1))</f>
        <v>2015</v>
      </c>
      <c r="L68" s="2466" t="s">
        <v>1090</v>
      </c>
      <c r="M68" s="2467">
        <v>3</v>
      </c>
      <c r="W68" s="2468" t="s">
        <v>1086</v>
      </c>
      <c r="X68" s="2266"/>
      <c r="Y68" s="2380" t="s">
        <v>1047</v>
      </c>
      <c r="Z68" s="2469" t="s">
        <v>1015</v>
      </c>
      <c r="AA68" s="2424"/>
      <c r="AI68" s="2470"/>
      <c r="AJ68" s="2420" t="s">
        <v>1091</v>
      </c>
      <c r="AK68" s="2427"/>
      <c r="AL68" s="1836"/>
    </row>
    <row r="69" spans="2:38" ht="15.75" thickBot="1">
      <c r="B69" s="2459" t="s">
        <v>1092</v>
      </c>
      <c r="C69" s="2146"/>
      <c r="E69" s="2461">
        <v>4</v>
      </c>
      <c r="F69" s="2462" t="s">
        <v>1093</v>
      </c>
      <c r="G69" s="2461">
        <v>4</v>
      </c>
      <c r="H69" s="2462" t="s">
        <v>1094</v>
      </c>
      <c r="I69" s="2463">
        <f>IF(dms_RPT="financial",VALUE(LEFT(dms_FRCP_y3,4)+1)&amp;"-"&amp;TEXT(VALUE(RIGHT(dms_FRCP_y3,2)+1),"00"),VALUE(LEFT(dms_FRCP_y3,4)+1))</f>
        <v>2021</v>
      </c>
      <c r="J69" s="2464" t="s">
        <v>1093</v>
      </c>
      <c r="K69" s="2465">
        <f>IF(dms_RPT="financial",VALUE(LEFT(dms_CRCP_yX,4)-1)&amp;"-"&amp;TEXT(VALUE(MID(dms_CRCP_yX,3,2)),"00"),VALUE(LEFT(dms_CRCP_yX,4)-1))</f>
        <v>2014</v>
      </c>
      <c r="L69" s="2466" t="s">
        <v>1095</v>
      </c>
      <c r="M69" s="2467">
        <v>4</v>
      </c>
      <c r="W69" s="2468" t="s">
        <v>112</v>
      </c>
      <c r="X69" s="2266"/>
      <c r="Y69" s="2380" t="s">
        <v>1051</v>
      </c>
      <c r="Z69" s="2469" t="s">
        <v>1086</v>
      </c>
      <c r="AA69" s="2424"/>
      <c r="AI69" s="2470"/>
      <c r="AJ69" s="2431" t="s">
        <v>1096</v>
      </c>
      <c r="AK69" s="2427"/>
      <c r="AL69" s="1836"/>
    </row>
    <row r="70" spans="2:38">
      <c r="B70" s="2459" t="s">
        <v>1097</v>
      </c>
      <c r="E70" s="2461">
        <v>5</v>
      </c>
      <c r="F70" s="2462" t="s">
        <v>1098</v>
      </c>
      <c r="G70" s="2461">
        <v>5</v>
      </c>
      <c r="H70" s="2462" t="s">
        <v>1099</v>
      </c>
      <c r="I70" s="2463">
        <f>IF(dms_RPT="financial",VALUE(LEFT(dms_FRCP_y4,4)+1)&amp;"-"&amp;TEXT(VALUE(RIGHT(dms_FRCP_y4,2)+1),"00"),VALUE(LEFT(dms_FRCP_y4,4)+1))</f>
        <v>2022</v>
      </c>
      <c r="J70" s="2464" t="s">
        <v>1098</v>
      </c>
      <c r="K70" s="2465">
        <f>IF(dms_RPT="financial",VALUE(LEFT(dms_CRCP_yW,4)-1)&amp;"-"&amp;TEXT(VALUE(MID(dms_CRCP_yW,3,2)),"00"),VALUE(LEFT(dms_CRCP_yW,4)-1))</f>
        <v>2013</v>
      </c>
      <c r="L70" s="2466" t="s">
        <v>1100</v>
      </c>
      <c r="M70" s="2467">
        <v>5</v>
      </c>
      <c r="W70" s="2468" t="s">
        <v>1086</v>
      </c>
      <c r="X70" s="2266"/>
      <c r="Y70" s="2380" t="s">
        <v>1020</v>
      </c>
      <c r="Z70" s="2267"/>
      <c r="AA70" s="2424"/>
      <c r="AI70" s="2472" t="s">
        <v>1050</v>
      </c>
      <c r="AJ70" s="2148"/>
      <c r="AK70" s="2427"/>
      <c r="AL70" s="1836"/>
    </row>
    <row r="71" spans="2:38">
      <c r="B71" s="2459" t="s">
        <v>1101</v>
      </c>
      <c r="E71" s="2461">
        <v>6</v>
      </c>
      <c r="F71" s="2462" t="s">
        <v>1102</v>
      </c>
      <c r="G71" s="2461">
        <v>6</v>
      </c>
      <c r="H71" s="2462" t="s">
        <v>1103</v>
      </c>
      <c r="I71" s="2463">
        <f>IF(dms_RPT="financial",VALUE(LEFT(dms_FRCP_y5,4)+1)&amp;"-"&amp;TEXT(VALUE(RIGHT(dms_FRCP_y5,2)+1),"00"),VALUE(LEFT(dms_FRCP_y5,4)+1))</f>
        <v>2023</v>
      </c>
      <c r="J71" s="2464" t="s">
        <v>1102</v>
      </c>
      <c r="K71" s="2465">
        <f>IF(dms_RPT="financial",VALUE(LEFT(dms_CRCP_yV,4)-1)&amp;"-"&amp;TEXT(VALUE(MID(dms_CRCP_yV,3,2)),"00"),VALUE(LEFT(dms_CRCP_yV,4)-1))</f>
        <v>2012</v>
      </c>
      <c r="L71" s="2466" t="s">
        <v>1104</v>
      </c>
      <c r="M71" s="2467">
        <v>6</v>
      </c>
      <c r="W71" s="2468" t="s">
        <v>1086</v>
      </c>
      <c r="X71" s="2266"/>
      <c r="Y71" s="2380" t="s">
        <v>1015</v>
      </c>
      <c r="Z71" s="2267"/>
      <c r="AA71" s="2424"/>
      <c r="AI71" s="2473" t="s">
        <v>1052</v>
      </c>
      <c r="AJ71" s="2148"/>
      <c r="AK71" s="2427"/>
      <c r="AL71" s="1836"/>
    </row>
    <row r="72" spans="2:38">
      <c r="B72" s="2459" t="s">
        <v>1105</v>
      </c>
      <c r="E72" s="2461">
        <v>7</v>
      </c>
      <c r="F72" s="2462" t="s">
        <v>1106</v>
      </c>
      <c r="G72" s="2461">
        <v>7</v>
      </c>
      <c r="H72" s="2462" t="s">
        <v>1107</v>
      </c>
      <c r="I72" s="2463">
        <f>IF(dms_RPT="financial",VALUE(LEFT(dms_FRCP_y6,4)+1)&amp;"-"&amp;TEXT(VALUE(RIGHT(dms_FRCP_y6,2)+1),"00"),VALUE(LEFT(dms_FRCP_y6,4)+1))</f>
        <v>2024</v>
      </c>
      <c r="J72" s="2464" t="s">
        <v>1106</v>
      </c>
      <c r="K72" s="2465">
        <f>IF(dms_RPT="financial",VALUE(LEFT(dms_CRCP_yU,4)-1)&amp;"-"&amp;TEXT(VALUE(MID(dms_CRCP_yU,3,2)),"00"),VALUE(LEFT(dms_CRCP_yU,4)-1))</f>
        <v>2011</v>
      </c>
      <c r="L72" s="2466" t="s">
        <v>1108</v>
      </c>
      <c r="M72" s="2467">
        <v>7</v>
      </c>
      <c r="W72" s="2468" t="s">
        <v>112</v>
      </c>
      <c r="X72" s="2266"/>
      <c r="Y72" s="2380" t="s">
        <v>1015</v>
      </c>
      <c r="Z72" s="2267"/>
      <c r="AA72" s="2424"/>
      <c r="AI72" s="2474" t="s">
        <v>1054</v>
      </c>
      <c r="AJ72" s="2148"/>
      <c r="AK72" s="2148"/>
      <c r="AL72" s="1836"/>
    </row>
    <row r="73" spans="2:38">
      <c r="B73" s="2459" t="s">
        <v>1109</v>
      </c>
      <c r="E73" s="2461">
        <v>8</v>
      </c>
      <c r="F73" s="2462" t="s">
        <v>1110</v>
      </c>
      <c r="G73" s="2461">
        <v>8</v>
      </c>
      <c r="H73" s="2462" t="s">
        <v>1111</v>
      </c>
      <c r="I73" s="2463">
        <f>IF(dms_RPT="financial",VALUE(LEFT(dms_FRCP_y7,4)+1)&amp;"-"&amp;TEXT(VALUE(RIGHT(dms_FRCP_y7,2)+1),"00"),VALUE(LEFT(dms_FRCP_y7,4)+1))</f>
        <v>2025</v>
      </c>
      <c r="J73" s="2464" t="s">
        <v>1110</v>
      </c>
      <c r="K73" s="2465">
        <f>IF(dms_RPT="financial",VALUE(LEFT(dms_CRCP_yT,4)-1)&amp;"-"&amp;TEXT(VALUE(MID(dms_CRCP_yT,3,2)),"00"),VALUE(LEFT(dms_CRCP_yT,4)-1))</f>
        <v>2010</v>
      </c>
      <c r="L73" s="2466" t="s">
        <v>1112</v>
      </c>
      <c r="M73" s="2467">
        <v>8</v>
      </c>
      <c r="W73" s="2468" t="s">
        <v>1086</v>
      </c>
      <c r="X73" s="2266"/>
      <c r="Y73" s="2380" t="s">
        <v>1020</v>
      </c>
      <c r="Z73" s="2267"/>
      <c r="AA73" s="2424"/>
      <c r="AI73" s="2474" t="s">
        <v>1057</v>
      </c>
      <c r="AJ73" s="2148"/>
      <c r="AK73" s="2148"/>
      <c r="AL73" s="1836"/>
    </row>
    <row r="74" spans="2:38">
      <c r="B74" s="2459" t="s">
        <v>1113</v>
      </c>
      <c r="E74" s="2461">
        <v>9</v>
      </c>
      <c r="F74" s="2462" t="s">
        <v>1114</v>
      </c>
      <c r="G74" s="2461">
        <v>9</v>
      </c>
      <c r="H74" s="2462" t="s">
        <v>1115</v>
      </c>
      <c r="I74" s="2463">
        <f>IF(dms_RPT="financial",VALUE(LEFT(dms_FRCP_y8,4)+1)&amp;"-"&amp;TEXT(VALUE(RIGHT(dms_FRCP_y8,2)+1),"00"),VALUE(LEFT(dms_FRCP_y8,4)+1))</f>
        <v>2026</v>
      </c>
      <c r="J74" s="2464" t="s">
        <v>1114</v>
      </c>
      <c r="K74" s="2465">
        <f>IF(dms_RPT="financial",VALUE(LEFT(dms_CRCP_yS,4)-1)&amp;"-"&amp;TEXT(VALUE(MID(dms_CRCP_yS,3,2)),"00"),VALUE(LEFT(dms_CRCP_yS,4)-1))</f>
        <v>2009</v>
      </c>
      <c r="L74" s="2466" t="s">
        <v>1116</v>
      </c>
      <c r="M74" s="2467">
        <v>9</v>
      </c>
      <c r="W74" s="2468" t="s">
        <v>1086</v>
      </c>
      <c r="X74" s="2266"/>
      <c r="Y74" s="2266"/>
      <c r="Z74" s="2267"/>
      <c r="AA74" s="2424"/>
      <c r="AI74" s="2474" t="s">
        <v>1059</v>
      </c>
      <c r="AJ74" s="2148"/>
      <c r="AK74" s="2148"/>
      <c r="AL74" s="1836"/>
    </row>
    <row r="75" spans="2:38">
      <c r="B75" s="2459" t="s">
        <v>1117</v>
      </c>
      <c r="E75" s="2475">
        <v>10</v>
      </c>
      <c r="F75" s="2476" t="s">
        <v>1118</v>
      </c>
      <c r="G75" s="2475">
        <v>10</v>
      </c>
      <c r="H75" s="2476" t="s">
        <v>1119</v>
      </c>
      <c r="I75" s="2463">
        <f>IF(dms_RPT="financial",VALUE(LEFT(dms_FRCP_y9,4)+1)&amp;"-"&amp;TEXT(VALUE(RIGHT(dms_FRCP_y9,2)+1),"00"),VALUE(LEFT(dms_FRCP_y9,4)+1))</f>
        <v>2027</v>
      </c>
      <c r="J75" s="2464" t="s">
        <v>1118</v>
      </c>
      <c r="K75" s="2465">
        <f>IF(dms_RPT="financial",VALUE(LEFT(dms_CRCP_yR,4)-1)&amp;"-"&amp;TEXT(VALUE(MID(dms_CRCP_yR,3,2)),"00"),VALUE(LEFT(dms_CRCP_yR,4)-1))</f>
        <v>2008</v>
      </c>
      <c r="L75" s="2466" t="s">
        <v>1120</v>
      </c>
      <c r="M75" s="2467">
        <v>10</v>
      </c>
      <c r="W75" s="2468" t="s">
        <v>112</v>
      </c>
      <c r="X75" s="2266"/>
      <c r="Y75" s="2266"/>
      <c r="Z75" s="2267"/>
      <c r="AA75" s="2424"/>
      <c r="AI75" s="2474" t="s">
        <v>1061</v>
      </c>
      <c r="AJ75" s="2148"/>
      <c r="AK75" s="2148"/>
      <c r="AL75" s="1836"/>
    </row>
    <row r="76" spans="2:38" ht="15.75" thickBot="1">
      <c r="B76" s="2459" t="s">
        <v>312</v>
      </c>
      <c r="E76" s="2461">
        <v>11</v>
      </c>
      <c r="F76" s="2476" t="s">
        <v>1121</v>
      </c>
      <c r="G76" s="2461">
        <v>11</v>
      </c>
      <c r="H76" s="2476" t="s">
        <v>1122</v>
      </c>
      <c r="I76" s="2463">
        <f>IF(dms_RPT="financial",VALUE(LEFT(dms_FRCP_y10,4)+1)&amp;"-"&amp;TEXT(VALUE(RIGHT(dms_FRCP_y10,2)+1),"00"),VALUE(LEFT(dms_FRCP_y10,4)+1))</f>
        <v>2028</v>
      </c>
      <c r="J76" s="2464" t="s">
        <v>1121</v>
      </c>
      <c r="K76" s="2465">
        <f>IF(dms_RPT="financial",VALUE(LEFT(dms_CRCP_yQ,4)-1)&amp;"-"&amp;TEXT(VALUE(MID(dms_CRCP_yQ,3,2)),"00"),VALUE(LEFT(dms_CRCP_yQ,4)-1))</f>
        <v>2007</v>
      </c>
      <c r="L76" s="2466" t="s">
        <v>1123</v>
      </c>
      <c r="M76" s="2467">
        <v>11</v>
      </c>
      <c r="W76" s="2468" t="s">
        <v>1086</v>
      </c>
      <c r="X76" s="2266"/>
      <c r="Y76" s="2266"/>
      <c r="Z76" s="2267"/>
      <c r="AA76" s="2424"/>
      <c r="AI76" s="2477" t="s">
        <v>1063</v>
      </c>
      <c r="AJ76" s="2148"/>
      <c r="AK76" s="2148"/>
      <c r="AL76" s="1836"/>
    </row>
    <row r="77" spans="2:38">
      <c r="B77" s="2478" t="s">
        <v>1124</v>
      </c>
      <c r="E77" s="2461">
        <v>12</v>
      </c>
      <c r="F77" s="2476" t="s">
        <v>1125</v>
      </c>
      <c r="G77" s="2461">
        <v>12</v>
      </c>
      <c r="H77" s="2476" t="s">
        <v>1126</v>
      </c>
      <c r="I77" s="2463">
        <f>IF(dms_RPT="financial",VALUE(LEFT(dms_FRCP_y11,4)+1)&amp;"-"&amp;TEXT(VALUE(RIGHT(dms_FRCP_y11,2)+1),"00"),VALUE(LEFT(dms_FRCP_y11,4)+1))</f>
        <v>2029</v>
      </c>
      <c r="J77" s="2464" t="s">
        <v>1125</v>
      </c>
      <c r="K77" s="2465">
        <f>IF(dms_RPT="financial",VALUE(LEFT(dms_CRCP_yP,4)-1)&amp;"-"&amp;TEXT(VALUE(MID(dms_CRCP_yP,3,2)),"00"),VALUE(LEFT(dms_CRCP_yP,4)-1))</f>
        <v>2006</v>
      </c>
      <c r="L77" s="2466" t="s">
        <v>1127</v>
      </c>
      <c r="M77" s="2467">
        <v>12</v>
      </c>
      <c r="W77" s="2468" t="s">
        <v>112</v>
      </c>
      <c r="X77" s="2266"/>
      <c r="Y77" s="2266"/>
      <c r="Z77" s="2267"/>
      <c r="AA77" s="2424"/>
    </row>
    <row r="78" spans="2:38" ht="15.75" thickBot="1">
      <c r="B78" s="2479" t="s">
        <v>670</v>
      </c>
      <c r="E78" s="2475">
        <v>13</v>
      </c>
      <c r="F78" s="2476" t="s">
        <v>1128</v>
      </c>
      <c r="G78" s="2475">
        <v>13</v>
      </c>
      <c r="H78" s="2476" t="s">
        <v>1129</v>
      </c>
      <c r="I78" s="2463">
        <f>IF(dms_RPT="financial",VALUE(LEFT(dms_FRCP_y12,4)+1)&amp;"-"&amp;TEXT(VALUE(RIGHT(dms_FRCP_y12,2)+1),"00"),VALUE(LEFT(dms_FRCP_y12,4)+1))</f>
        <v>2030</v>
      </c>
      <c r="J78" s="2464" t="s">
        <v>1128</v>
      </c>
      <c r="K78" s="2465">
        <f>IF(dms_RPT="financial",VALUE(LEFT(dms_CRCP_yO,4)-1)&amp;"-"&amp;TEXT(VALUE(MID(dms_CRCP_yO,3,2)),"00"),VALUE(LEFT(dms_CRCP_yO,4)-1))</f>
        <v>2005</v>
      </c>
      <c r="L78" s="2466" t="s">
        <v>1130</v>
      </c>
      <c r="M78" s="2467">
        <v>13</v>
      </c>
      <c r="W78" s="2468" t="s">
        <v>1086</v>
      </c>
      <c r="X78" s="2266"/>
      <c r="Y78" s="2266"/>
      <c r="Z78" s="2267"/>
      <c r="AA78" s="2424"/>
    </row>
    <row r="79" spans="2:38">
      <c r="B79" s="2148"/>
      <c r="E79" s="2461">
        <v>14</v>
      </c>
      <c r="F79" s="2476" t="s">
        <v>1131</v>
      </c>
      <c r="G79" s="2461">
        <v>14</v>
      </c>
      <c r="H79" s="2476" t="s">
        <v>1132</v>
      </c>
      <c r="I79" s="2463">
        <f>IF(dms_RPT="financial",VALUE(LEFT(dms_FRCP_y13,4)+1)&amp;"-"&amp;TEXT(VALUE(RIGHT(dms_FRCP_y13,2)+1),"00"),VALUE(LEFT(dms_FRCP_y13,4)+1))</f>
        <v>2031</v>
      </c>
      <c r="J79" s="2464" t="s">
        <v>1131</v>
      </c>
      <c r="K79" s="2465">
        <f>IF(dms_RPT="financial",VALUE(LEFT(dms_CRCP_yN,4)-1)&amp;"-"&amp;TEXT(VALUE(MID(dms_CRCP_yN,3,2)),"00"),VALUE(LEFT(dms_CRCP_yN,4)-1))</f>
        <v>2004</v>
      </c>
      <c r="L79" s="2466" t="s">
        <v>1133</v>
      </c>
      <c r="M79" s="2467">
        <v>14</v>
      </c>
      <c r="W79" s="2468" t="s">
        <v>112</v>
      </c>
      <c r="X79" s="2266"/>
      <c r="Y79" s="2266"/>
      <c r="Z79" s="2267"/>
      <c r="AA79" s="2424"/>
    </row>
    <row r="80" spans="2:38" ht="15.75" thickBot="1">
      <c r="B80" s="2148"/>
      <c r="E80" s="2461">
        <v>15</v>
      </c>
      <c r="F80" s="2476" t="s">
        <v>1134</v>
      </c>
      <c r="G80" s="2461">
        <v>15</v>
      </c>
      <c r="H80" s="2476" t="s">
        <v>1135</v>
      </c>
      <c r="I80" s="2463">
        <f>IF(dms_RPT="financial",VALUE(LEFT(dms_FRCP_y14,4)+1)&amp;"-"&amp;TEXT(VALUE(RIGHT(dms_FRCP_y14,2)+1),"00"),VALUE(LEFT(dms_FRCP_y14,4)+1))</f>
        <v>2032</v>
      </c>
      <c r="J80" s="2464" t="s">
        <v>1134</v>
      </c>
      <c r="K80" s="2465">
        <f>IF(dms_RPT="financial",VALUE(LEFT(dms_CRCP_yM,4)-1)&amp;"-"&amp;TEXT(VALUE(MID(dms_CRCP_yM,3,2)),"00"),VALUE(LEFT(dms_CRCP_yM,4)-1))</f>
        <v>2003</v>
      </c>
      <c r="L80" s="2466" t="s">
        <v>1136</v>
      </c>
      <c r="M80" s="2467">
        <v>15</v>
      </c>
      <c r="W80" s="2480" t="s">
        <v>1086</v>
      </c>
      <c r="X80" s="2481"/>
      <c r="Y80" s="2481"/>
      <c r="Z80" s="2482"/>
      <c r="AA80" s="2483"/>
    </row>
    <row r="81" spans="1:13">
      <c r="B81" s="2148"/>
      <c r="E81" s="2484"/>
      <c r="F81" s="2485"/>
      <c r="G81" s="2485"/>
      <c r="H81" s="2486"/>
      <c r="I81" s="2487"/>
      <c r="J81" s="2486"/>
      <c r="K81" s="2486"/>
      <c r="L81" s="2488"/>
      <c r="M81" s="2485"/>
    </row>
    <row r="82" spans="1:13" ht="15.75" thickBot="1">
      <c r="E82" s="3878" t="s">
        <v>1137</v>
      </c>
      <c r="F82" s="3878"/>
      <c r="G82" s="3878"/>
      <c r="H82" s="3878"/>
      <c r="I82" s="3878"/>
      <c r="J82" s="3878"/>
      <c r="K82" s="3878"/>
      <c r="L82" s="3878"/>
      <c r="M82" s="2485"/>
    </row>
    <row r="83" spans="1:13" ht="15.75" customHeight="1" thickBot="1">
      <c r="A83" s="2148"/>
      <c r="B83" s="2489" t="s">
        <v>1138</v>
      </c>
      <c r="C83" s="2148"/>
      <c r="E83" s="2490" t="s">
        <v>1139</v>
      </c>
      <c r="F83" s="2491" t="s">
        <v>1140</v>
      </c>
      <c r="G83" s="2491" t="s">
        <v>1141</v>
      </c>
      <c r="H83" s="2491" t="s">
        <v>1142</v>
      </c>
      <c r="I83" s="2492" t="s">
        <v>1143</v>
      </c>
      <c r="J83" s="2493" t="s">
        <v>1144</v>
      </c>
      <c r="K83" s="2494" t="s">
        <v>1145</v>
      </c>
      <c r="L83" s="2494" t="s">
        <v>1146</v>
      </c>
      <c r="M83" s="2485"/>
    </row>
    <row r="84" spans="1:13">
      <c r="A84" s="2148"/>
      <c r="B84" s="2495" t="s">
        <v>54</v>
      </c>
      <c r="C84" s="2148"/>
      <c r="E84" s="2496" t="s">
        <v>1147</v>
      </c>
      <c r="F84" s="2497" t="s">
        <v>96</v>
      </c>
      <c r="G84" s="2498">
        <v>2007</v>
      </c>
      <c r="H84" s="2499" t="s">
        <v>1148</v>
      </c>
      <c r="I84" s="2500" t="s">
        <v>1149</v>
      </c>
      <c r="J84" s="2501" t="s">
        <v>106</v>
      </c>
      <c r="K84" s="2502" t="s">
        <v>733</v>
      </c>
      <c r="L84" s="2503" t="s">
        <v>1150</v>
      </c>
      <c r="M84" s="2485"/>
    </row>
    <row r="85" spans="1:13">
      <c r="A85" s="2148"/>
      <c r="B85" s="2504" t="s">
        <v>390</v>
      </c>
      <c r="C85" s="2148"/>
      <c r="E85" s="2505" t="s">
        <v>1151</v>
      </c>
      <c r="F85" s="2497" t="s">
        <v>97</v>
      </c>
      <c r="G85" s="2498" t="s">
        <v>734</v>
      </c>
      <c r="H85" s="2506" t="s">
        <v>1152</v>
      </c>
      <c r="I85" s="2507" t="s">
        <v>1153</v>
      </c>
      <c r="J85" s="2508" t="s">
        <v>107</v>
      </c>
      <c r="K85" s="2502" t="s">
        <v>725</v>
      </c>
      <c r="L85" s="2509" t="s">
        <v>1154</v>
      </c>
      <c r="M85" s="2485"/>
    </row>
    <row r="86" spans="1:13">
      <c r="A86" s="2148"/>
      <c r="B86" s="2504" t="s">
        <v>317</v>
      </c>
      <c r="C86" s="2148"/>
      <c r="E86" s="2510" t="s">
        <v>1155</v>
      </c>
      <c r="F86" s="2497" t="s">
        <v>98</v>
      </c>
      <c r="G86" s="2498" t="s">
        <v>735</v>
      </c>
      <c r="H86" s="2499" t="s">
        <v>1156</v>
      </c>
      <c r="I86" s="2511" t="s">
        <v>1157</v>
      </c>
      <c r="J86" s="2508" t="s">
        <v>108</v>
      </c>
      <c r="K86" s="2502" t="s">
        <v>726</v>
      </c>
      <c r="L86" s="2503" t="s">
        <v>1158</v>
      </c>
      <c r="M86" s="2485"/>
    </row>
    <row r="87" spans="1:13">
      <c r="A87" s="2148"/>
      <c r="B87" s="2504" t="s">
        <v>1159</v>
      </c>
      <c r="C87" s="2148"/>
      <c r="E87" s="2505" t="s">
        <v>1160</v>
      </c>
      <c r="F87" s="2497" t="s">
        <v>99</v>
      </c>
      <c r="G87" s="2498" t="s">
        <v>736</v>
      </c>
      <c r="H87" s="2506" t="s">
        <v>1161</v>
      </c>
      <c r="I87" s="2507" t="s">
        <v>1162</v>
      </c>
      <c r="J87" s="2508" t="s">
        <v>109</v>
      </c>
      <c r="K87" s="2502" t="s">
        <v>727</v>
      </c>
      <c r="L87" s="2509" t="s">
        <v>1163</v>
      </c>
      <c r="M87" s="2485"/>
    </row>
    <row r="88" spans="1:13" ht="15.75" thickBot="1">
      <c r="A88" s="2148"/>
      <c r="B88" s="2512" t="s">
        <v>1164</v>
      </c>
      <c r="C88" s="2148"/>
      <c r="E88" s="2510" t="s">
        <v>1165</v>
      </c>
      <c r="F88" s="2497" t="s">
        <v>100</v>
      </c>
      <c r="G88" s="2498" t="s">
        <v>737</v>
      </c>
      <c r="H88" s="2499" t="s">
        <v>1166</v>
      </c>
      <c r="I88" s="2511" t="s">
        <v>1167</v>
      </c>
      <c r="J88" s="2508" t="s">
        <v>207</v>
      </c>
      <c r="K88" s="2502" t="s">
        <v>728</v>
      </c>
      <c r="L88" s="2503" t="s">
        <v>1168</v>
      </c>
      <c r="M88" s="2485"/>
    </row>
    <row r="89" spans="1:13">
      <c r="A89" s="2148"/>
      <c r="B89" s="2148"/>
      <c r="C89" s="2148"/>
      <c r="D89" s="2148"/>
      <c r="E89" s="2505" t="s">
        <v>1169</v>
      </c>
      <c r="F89" s="2497" t="s">
        <v>101</v>
      </c>
      <c r="G89" s="2498" t="s">
        <v>738</v>
      </c>
      <c r="H89" s="2506" t="s">
        <v>1170</v>
      </c>
      <c r="I89" s="2507" t="s">
        <v>1171</v>
      </c>
      <c r="J89" s="2508" t="s">
        <v>1172</v>
      </c>
      <c r="K89" s="2502" t="s">
        <v>729</v>
      </c>
      <c r="L89" s="2509" t="s">
        <v>1173</v>
      </c>
      <c r="M89" s="2485"/>
    </row>
    <row r="90" spans="1:13">
      <c r="A90" s="2148"/>
      <c r="B90" s="2148"/>
      <c r="C90" s="2148"/>
      <c r="D90" s="2148"/>
      <c r="E90" s="2510" t="s">
        <v>1174</v>
      </c>
      <c r="F90" s="2497" t="s">
        <v>102</v>
      </c>
      <c r="G90" s="2498" t="s">
        <v>1175</v>
      </c>
      <c r="H90" s="2499" t="s">
        <v>1176</v>
      </c>
      <c r="I90" s="2511" t="s">
        <v>1177</v>
      </c>
      <c r="J90" s="2508" t="s">
        <v>1178</v>
      </c>
      <c r="K90" s="2502" t="s">
        <v>1179</v>
      </c>
      <c r="L90" s="2503" t="s">
        <v>1180</v>
      </c>
      <c r="M90" s="2485"/>
    </row>
    <row r="91" spans="1:13">
      <c r="A91" s="2148"/>
      <c r="B91" s="2148"/>
      <c r="C91" s="2148"/>
      <c r="D91" s="2148"/>
      <c r="E91" s="2505" t="s">
        <v>1181</v>
      </c>
      <c r="F91" s="2497" t="s">
        <v>103</v>
      </c>
      <c r="G91" s="2498" t="s">
        <v>730</v>
      </c>
      <c r="H91" s="2506" t="s">
        <v>1182</v>
      </c>
      <c r="I91" s="2507" t="s">
        <v>1183</v>
      </c>
      <c r="J91" s="2508" t="s">
        <v>1184</v>
      </c>
      <c r="K91" s="2502" t="s">
        <v>1185</v>
      </c>
      <c r="L91" s="2509" t="s">
        <v>1186</v>
      </c>
      <c r="M91" s="2485"/>
    </row>
    <row r="92" spans="1:13">
      <c r="A92" s="2148"/>
      <c r="B92" s="2148"/>
      <c r="C92" s="2148"/>
      <c r="D92" s="2148"/>
      <c r="E92" s="2510" t="s">
        <v>1187</v>
      </c>
      <c r="F92" s="2497" t="s">
        <v>104</v>
      </c>
      <c r="G92" s="2498" t="s">
        <v>731</v>
      </c>
      <c r="H92" s="2499" t="s">
        <v>1188</v>
      </c>
      <c r="I92" s="2511" t="s">
        <v>1189</v>
      </c>
      <c r="J92" s="2508" t="s">
        <v>1190</v>
      </c>
      <c r="K92" s="2502" t="s">
        <v>1191</v>
      </c>
      <c r="L92" s="2503" t="s">
        <v>1192</v>
      </c>
      <c r="M92" s="2485"/>
    </row>
    <row r="93" spans="1:13">
      <c r="A93" s="2148"/>
      <c r="B93" s="2148"/>
      <c r="C93" s="2148"/>
      <c r="D93" s="2148"/>
      <c r="E93" s="2505" t="s">
        <v>1193</v>
      </c>
      <c r="F93" s="2497" t="s">
        <v>105</v>
      </c>
      <c r="G93" s="2498" t="s">
        <v>732</v>
      </c>
      <c r="H93" s="2506" t="s">
        <v>1194</v>
      </c>
      <c r="I93" s="2507" t="s">
        <v>1195</v>
      </c>
      <c r="J93" s="2508" t="s">
        <v>1196</v>
      </c>
      <c r="K93" s="2502" t="s">
        <v>1197</v>
      </c>
      <c r="L93" s="2509" t="s">
        <v>1198</v>
      </c>
      <c r="M93" s="2485"/>
    </row>
    <row r="94" spans="1:13">
      <c r="A94" s="2148"/>
      <c r="B94" s="2148"/>
      <c r="C94" s="2148"/>
      <c r="D94" s="2148"/>
      <c r="E94" s="2510" t="s">
        <v>1199</v>
      </c>
      <c r="F94" s="2497" t="s">
        <v>106</v>
      </c>
      <c r="G94" s="2498" t="s">
        <v>733</v>
      </c>
      <c r="H94" s="2499" t="s">
        <v>1200</v>
      </c>
      <c r="I94" s="2511" t="s">
        <v>1201</v>
      </c>
      <c r="J94" s="2508" t="s">
        <v>1202</v>
      </c>
      <c r="K94" s="2502" t="s">
        <v>1203</v>
      </c>
      <c r="L94" s="2503" t="s">
        <v>1204</v>
      </c>
      <c r="M94" s="2485"/>
    </row>
    <row r="95" spans="1:13">
      <c r="A95" s="2148"/>
      <c r="B95" s="2148"/>
      <c r="C95" s="2148"/>
      <c r="D95" s="2148"/>
      <c r="E95" s="2505" t="s">
        <v>1205</v>
      </c>
      <c r="F95" s="2497" t="s">
        <v>107</v>
      </c>
      <c r="G95" s="2498" t="s">
        <v>725</v>
      </c>
      <c r="H95" s="2506" t="s">
        <v>1206</v>
      </c>
      <c r="I95" s="2507" t="s">
        <v>1207</v>
      </c>
      <c r="J95" s="2508" t="s">
        <v>1208</v>
      </c>
      <c r="K95" s="2502" t="s">
        <v>1209</v>
      </c>
      <c r="L95" s="2509" t="s">
        <v>1210</v>
      </c>
      <c r="M95" s="2485"/>
    </row>
    <row r="96" spans="1:13">
      <c r="A96" s="2148"/>
      <c r="B96" s="2148"/>
      <c r="C96" s="2148"/>
      <c r="D96" s="2148"/>
      <c r="E96" s="2510" t="s">
        <v>1211</v>
      </c>
      <c r="F96" s="2497" t="s">
        <v>108</v>
      </c>
      <c r="G96" s="2498">
        <v>2019</v>
      </c>
      <c r="H96" s="2499" t="s">
        <v>1212</v>
      </c>
      <c r="I96" s="2511" t="s">
        <v>1213</v>
      </c>
      <c r="J96" s="2508" t="s">
        <v>1214</v>
      </c>
      <c r="K96" s="2502" t="s">
        <v>1215</v>
      </c>
      <c r="L96" s="2503" t="s">
        <v>1216</v>
      </c>
      <c r="M96" s="2485"/>
    </row>
    <row r="97" spans="1:13">
      <c r="A97" s="2148"/>
      <c r="B97" s="2148"/>
      <c r="C97" s="2148"/>
      <c r="D97" s="2148"/>
      <c r="E97" s="2505" t="s">
        <v>1217</v>
      </c>
      <c r="F97" s="2497" t="s">
        <v>109</v>
      </c>
      <c r="G97" s="2498" t="s">
        <v>727</v>
      </c>
      <c r="H97" s="2506" t="s">
        <v>1218</v>
      </c>
      <c r="I97" s="2507" t="s">
        <v>1219</v>
      </c>
      <c r="J97" s="2508" t="s">
        <v>1220</v>
      </c>
      <c r="K97" s="2502" t="s">
        <v>1221</v>
      </c>
      <c r="L97" s="2509" t="s">
        <v>1222</v>
      </c>
      <c r="M97" s="2485"/>
    </row>
    <row r="98" spans="1:13" ht="15.75" thickBot="1">
      <c r="A98" s="2148"/>
      <c r="B98" s="2148"/>
      <c r="C98" s="2148"/>
      <c r="D98" s="2148"/>
      <c r="E98" s="2513" t="s">
        <v>1223</v>
      </c>
      <c r="F98" s="2514" t="s">
        <v>207</v>
      </c>
      <c r="G98" s="2515" t="s">
        <v>728</v>
      </c>
      <c r="H98" s="2516" t="s">
        <v>1224</v>
      </c>
      <c r="I98" s="2517" t="s">
        <v>1225</v>
      </c>
      <c r="J98" s="2518" t="s">
        <v>1226</v>
      </c>
      <c r="K98" s="2519" t="s">
        <v>1227</v>
      </c>
      <c r="L98" s="2520" t="s">
        <v>1228</v>
      </c>
      <c r="M98" s="2485"/>
    </row>
    <row r="99" spans="1:13">
      <c r="A99" s="2148"/>
      <c r="B99" s="2148"/>
      <c r="C99" s="2148"/>
      <c r="D99" s="2148"/>
      <c r="E99" s="2521"/>
      <c r="F99" s="2485"/>
      <c r="G99" s="2485"/>
      <c r="H99" s="2486"/>
      <c r="I99" s="2487"/>
      <c r="J99" s="2486"/>
      <c r="K99" s="2486"/>
      <c r="L99" s="2488"/>
      <c r="M99" s="2485"/>
    </row>
    <row r="100" spans="1:13">
      <c r="A100" s="2148"/>
      <c r="B100" s="2148"/>
      <c r="C100" s="2146"/>
      <c r="E100" s="2146"/>
      <c r="K100" s="2148"/>
      <c r="L100" s="2148"/>
      <c r="M100" s="2148"/>
    </row>
    <row r="101" spans="1:13">
      <c r="A101" s="2148"/>
      <c r="B101" s="2148"/>
      <c r="C101" s="2146"/>
      <c r="E101" s="2146"/>
      <c r="K101" s="2148"/>
      <c r="L101" s="2148"/>
      <c r="M101" s="2148"/>
    </row>
    <row r="102" spans="1:13">
      <c r="A102" s="2148"/>
      <c r="B102" s="2146"/>
      <c r="C102" s="2146"/>
      <c r="E102" s="2146"/>
      <c r="H102" s="2148"/>
      <c r="K102" s="2148"/>
      <c r="L102" s="2148"/>
      <c r="M102" s="2148"/>
    </row>
    <row r="103" spans="1:13">
      <c r="A103" s="2148"/>
      <c r="B103" s="2146"/>
      <c r="C103" s="2146"/>
      <c r="E103" s="2146"/>
      <c r="H103" s="2148"/>
      <c r="K103" s="2148"/>
      <c r="L103" s="2148"/>
      <c r="M103" s="2148"/>
    </row>
    <row r="104" spans="1:13">
      <c r="A104" s="2148"/>
      <c r="B104" s="2146"/>
      <c r="C104" s="2146"/>
      <c r="E104" s="2146"/>
      <c r="K104" s="2148"/>
      <c r="L104" s="2148"/>
      <c r="M104" s="2148"/>
    </row>
    <row r="105" spans="1:13">
      <c r="B105" s="2146"/>
      <c r="C105" s="2146"/>
      <c r="E105" s="2146"/>
    </row>
    <row r="106" spans="1:13">
      <c r="B106" s="2146"/>
      <c r="C106" s="2146"/>
      <c r="E106" s="2146"/>
    </row>
    <row r="107" spans="1:13">
      <c r="B107" s="2146"/>
      <c r="C107" s="2146"/>
      <c r="E107" s="2146"/>
    </row>
    <row r="108" spans="1:13">
      <c r="B108" s="2146"/>
      <c r="C108" s="2146"/>
      <c r="E108" s="2146"/>
    </row>
    <row r="109" spans="1:13">
      <c r="B109" s="2146"/>
      <c r="C109" s="2146"/>
      <c r="E109" s="2146"/>
    </row>
    <row r="110" spans="1:13">
      <c r="B110" s="2146"/>
      <c r="C110" s="2146"/>
      <c r="E110" s="2146"/>
    </row>
    <row r="111" spans="1:13">
      <c r="B111" s="2146"/>
      <c r="C111" s="2146"/>
      <c r="E111" s="2146"/>
    </row>
    <row r="112" spans="1:13">
      <c r="B112" s="2146"/>
      <c r="C112" s="2146"/>
      <c r="E112" s="2146"/>
    </row>
    <row r="113" spans="2:5">
      <c r="B113" s="2146"/>
      <c r="C113" s="2146"/>
      <c r="E113" s="2146"/>
    </row>
    <row r="114" spans="2:5">
      <c r="B114" s="2146"/>
      <c r="C114" s="2146"/>
      <c r="E114" s="2146"/>
    </row>
    <row r="115" spans="2:5">
      <c r="B115" s="2146"/>
      <c r="C115" s="2146"/>
      <c r="E115" s="2146"/>
    </row>
    <row r="116" spans="2:5">
      <c r="B116" s="2146"/>
      <c r="C116" s="2146"/>
      <c r="E116" s="2146"/>
    </row>
    <row r="117" spans="2:5">
      <c r="B117" s="2146"/>
      <c r="C117" s="2146"/>
      <c r="E117" s="2146"/>
    </row>
    <row r="118" spans="2:5">
      <c r="B118" s="2146"/>
      <c r="C118" s="2146"/>
      <c r="E118" s="2146"/>
    </row>
    <row r="119" spans="2:5">
      <c r="B119" s="2146"/>
      <c r="C119" s="2146"/>
      <c r="E119" s="2146"/>
    </row>
    <row r="120" spans="2:5">
      <c r="B120" s="2146"/>
      <c r="C120" s="2146"/>
      <c r="E120" s="2146"/>
    </row>
    <row r="121" spans="2:5">
      <c r="B121" s="2146"/>
      <c r="C121" s="2146"/>
      <c r="E121" s="2146"/>
    </row>
    <row r="122" spans="2:5">
      <c r="B122" s="2146"/>
      <c r="C122" s="2146"/>
      <c r="E122" s="2146"/>
    </row>
    <row r="123" spans="2:5">
      <c r="B123" s="2146"/>
      <c r="C123" s="2146"/>
      <c r="E123" s="2146"/>
    </row>
    <row r="124" spans="2:5">
      <c r="B124" s="2146"/>
      <c r="C124" s="2146"/>
      <c r="E124" s="2146"/>
    </row>
    <row r="125" spans="2:5">
      <c r="B125" s="2146"/>
      <c r="C125" s="2146"/>
      <c r="E125" s="2146"/>
    </row>
    <row r="126" spans="2:5">
      <c r="B126" s="2146"/>
      <c r="C126" s="2146"/>
      <c r="E126" s="2146"/>
    </row>
    <row r="127" spans="2:5">
      <c r="B127" s="2146"/>
      <c r="C127" s="2146"/>
      <c r="E127" s="2146"/>
    </row>
    <row r="128" spans="2:5">
      <c r="B128" s="2146"/>
      <c r="C128" s="2146"/>
      <c r="E128" s="2146"/>
    </row>
    <row r="129" spans="2:5">
      <c r="B129" s="2146"/>
      <c r="C129" s="2146"/>
      <c r="E129" s="2146"/>
    </row>
    <row r="130" spans="2:5">
      <c r="B130" s="2146"/>
      <c r="C130" s="2146"/>
    </row>
    <row r="131" spans="2:5">
      <c r="B131" s="2146"/>
    </row>
    <row r="132" spans="2:5">
      <c r="B132" s="2146"/>
    </row>
  </sheetData>
  <mergeCells count="14">
    <mergeCell ref="E82:L82"/>
    <mergeCell ref="B1:L1"/>
    <mergeCell ref="AC4:AM4"/>
    <mergeCell ref="AC5:AF5"/>
    <mergeCell ref="AI5:AM5"/>
    <mergeCell ref="W45:AA45"/>
    <mergeCell ref="B46:F46"/>
    <mergeCell ref="O46:V46"/>
    <mergeCell ref="W46:AA46"/>
    <mergeCell ref="C47:D47"/>
    <mergeCell ref="AI47:AI49"/>
    <mergeCell ref="AI50:AI54"/>
    <mergeCell ref="AI58:AI59"/>
    <mergeCell ref="W64:Z64"/>
  </mergeCells>
  <dataValidations count="1">
    <dataValidation type="textLength" operator="greaterThan" showInputMessage="1" showErrorMessage="1" sqref="Q15 O15">
      <formula1>1</formula1>
    </dataValidation>
  </dataValidations>
  <pageMargins left="0.7" right="0.7" top="0.75" bottom="0.75" header="0.3" footer="0.3"/>
  <pageSetup paperSize="9" orientation="portrait" r:id="rId1"/>
  <customProperties>
    <customPr name="_pios_id" r:id="rId2"/>
  </customProperties>
  <drawing r:id="rId3"/>
  <legacyDrawing r:id="rId4"/>
  <tableParts count="1">
    <tablePart r:id="rId5"/>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autoPageBreaks="0"/>
  </sheetPr>
  <dimension ref="A1:BS906"/>
  <sheetViews>
    <sheetView showGridLines="0" topLeftCell="D806" zoomScale="60" zoomScaleNormal="60" workbookViewId="0">
      <selection activeCell="G847" sqref="G847:N847"/>
    </sheetView>
  </sheetViews>
  <sheetFormatPr defaultColWidth="9.140625" defaultRowHeight="12.75"/>
  <cols>
    <col min="1" max="3" width="13.28515625" style="88" hidden="1" customWidth="1"/>
    <col min="4" max="4" width="20.5703125" style="88" customWidth="1"/>
    <col min="5" max="5" width="58" style="88" customWidth="1"/>
    <col min="6" max="6" width="62.140625" style="88" customWidth="1"/>
    <col min="7" max="7" width="15.7109375" style="88" customWidth="1"/>
    <col min="8" max="9" width="15.28515625" style="88" customWidth="1"/>
    <col min="10" max="10" width="21.85546875" style="88" customWidth="1"/>
    <col min="11" max="11" width="15.28515625" style="88" customWidth="1"/>
    <col min="12" max="12" width="18.140625" style="88" bestFit="1" customWidth="1"/>
    <col min="13" max="13" width="18.140625" style="88" customWidth="1"/>
    <col min="14" max="14" width="19.7109375" style="88" customWidth="1"/>
    <col min="15" max="16" width="18.140625" style="88" customWidth="1"/>
    <col min="17" max="21" width="15.7109375" style="88" customWidth="1"/>
    <col min="22" max="22" width="12.28515625" customWidth="1"/>
    <col min="23" max="27" width="15.7109375" style="88" customWidth="1"/>
    <col min="28" max="28" width="17.42578125" style="399" customWidth="1"/>
    <col min="29" max="33" width="15.7109375" style="88" customWidth="1"/>
    <col min="34" max="34" width="17.7109375" style="399" customWidth="1"/>
    <col min="35" max="35" width="8.7109375"/>
    <col min="36" max="37" width="9.140625" style="106"/>
    <col min="38" max="38" width="15.7109375" style="474" customWidth="1"/>
    <col min="39" max="42" width="15.28515625" style="474" customWidth="1"/>
    <col min="43" max="43" width="18.140625" style="474" bestFit="1" customWidth="1"/>
    <col min="44" max="44" width="18.140625" style="474" customWidth="1"/>
    <col min="45" max="45" width="19.7109375" style="474" customWidth="1"/>
    <col min="46" max="71" width="9.140625" style="106"/>
    <col min="72" max="16384" width="9.140625" style="88"/>
  </cols>
  <sheetData>
    <row r="1" spans="1:71" s="177" customFormat="1" ht="24" customHeight="1">
      <c r="E1" s="2522" t="str">
        <f>IF(dms_DataQuality="backcast",INDEX(dms_Worksheet_List,MATCH(dms_Model,dms_Model_List))&amp;" BACKCAST",INDEX(dms_Worksheet_List,MATCH(dms_Model,dms_Model_List)))</f>
        <v>REGULATORY REPORTING STATEMENT</v>
      </c>
      <c r="F1" s="179"/>
      <c r="G1" s="179"/>
      <c r="H1" s="179"/>
      <c r="I1" s="179"/>
      <c r="J1" s="179"/>
      <c r="K1" s="179"/>
      <c r="L1" s="179"/>
      <c r="M1" s="179"/>
      <c r="N1" s="179"/>
      <c r="O1" s="179"/>
      <c r="P1" s="179"/>
      <c r="Q1" s="179"/>
      <c r="R1" s="179"/>
      <c r="S1" s="179"/>
      <c r="T1" s="179"/>
      <c r="U1" s="179"/>
      <c r="V1" s="179"/>
      <c r="W1" s="179"/>
      <c r="X1" s="179"/>
      <c r="Y1" s="157"/>
      <c r="Z1" s="157"/>
      <c r="AA1" s="157"/>
      <c r="AB1" s="157"/>
      <c r="AC1" s="157"/>
      <c r="AD1" s="157"/>
      <c r="AE1" s="157"/>
      <c r="AF1" s="157"/>
      <c r="AG1" s="157"/>
      <c r="AH1" s="157"/>
      <c r="AI1" s="179"/>
      <c r="AJ1" s="179"/>
      <c r="AK1" s="179"/>
      <c r="AL1" s="179"/>
      <c r="AM1" s="179"/>
      <c r="AN1" s="179"/>
      <c r="AO1" s="179"/>
      <c r="AP1" s="179"/>
      <c r="AQ1" s="179"/>
      <c r="AR1" s="179"/>
      <c r="AS1" s="179"/>
    </row>
    <row r="2" spans="1:71" s="177" customFormat="1" ht="24" customHeight="1">
      <c r="E2" s="2526" t="str">
        <f>INDEX(dms_TradingNameFull_List,MATCH(dms_TradingName,dms_TradingName_List))</f>
        <v>AusNet Gas Services</v>
      </c>
      <c r="F2" s="179"/>
      <c r="G2" s="179"/>
      <c r="H2" s="179"/>
      <c r="I2" s="179"/>
      <c r="J2" s="179"/>
      <c r="K2" s="179"/>
      <c r="L2" s="179"/>
      <c r="M2" s="179"/>
      <c r="N2" s="179"/>
      <c r="O2" s="179"/>
      <c r="P2" s="179"/>
      <c r="Q2" s="179"/>
      <c r="R2" s="179"/>
      <c r="S2" s="179"/>
      <c r="T2" s="179"/>
      <c r="U2" s="179"/>
      <c r="V2" s="179"/>
      <c r="W2" s="179"/>
      <c r="X2" s="179"/>
      <c r="Y2" s="157"/>
      <c r="Z2" s="157"/>
      <c r="AA2" s="157"/>
      <c r="AB2" s="157"/>
      <c r="AC2" s="157"/>
      <c r="AD2" s="157"/>
      <c r="AE2" s="157"/>
      <c r="AF2" s="157"/>
      <c r="AG2" s="157"/>
      <c r="AH2" s="157"/>
      <c r="AI2" s="179"/>
      <c r="AJ2" s="179"/>
      <c r="AK2" s="179"/>
      <c r="AL2" s="179"/>
      <c r="AM2" s="179"/>
      <c r="AN2" s="179"/>
      <c r="AO2" s="179"/>
      <c r="AP2" s="179"/>
      <c r="AQ2" s="179"/>
      <c r="AR2" s="179"/>
      <c r="AS2" s="179"/>
    </row>
    <row r="3" spans="1:71" s="177" customFormat="1" ht="24" customHeight="1">
      <c r="E3" s="2526" t="str">
        <f ca="1">IF(SUM(dms_SingleYear_Model)&gt;0,CRY,CONCATENATE(FRCP_y1," to ",dms_MultiYear_FinalYear_Result))</f>
        <v>2018 to 2022</v>
      </c>
      <c r="F3" s="182" t="str">
        <f>CONCATENATE(LEFT(FRCP_y1,4),"-",LEFT(FRCP_y5,2),RIGHT(FRCP_y5,2))</f>
        <v>2018-2022</v>
      </c>
      <c r="G3" s="181"/>
      <c r="H3" s="181"/>
      <c r="I3" s="181"/>
      <c r="J3" s="181"/>
      <c r="K3" s="181"/>
      <c r="L3" s="181"/>
      <c r="M3" s="181"/>
      <c r="N3" s="181"/>
      <c r="O3" s="181"/>
      <c r="P3" s="181"/>
      <c r="Q3" s="181"/>
      <c r="R3" s="181"/>
      <c r="S3" s="181"/>
      <c r="T3" s="181"/>
      <c r="U3" s="181"/>
      <c r="V3" s="181"/>
      <c r="W3" s="181"/>
      <c r="X3" s="181"/>
      <c r="Y3" s="161"/>
      <c r="Z3" s="161"/>
      <c r="AA3" s="161"/>
      <c r="AB3" s="161"/>
      <c r="AC3" s="161"/>
      <c r="AD3" s="161"/>
      <c r="AE3" s="161"/>
      <c r="AF3" s="161"/>
      <c r="AG3" s="161"/>
      <c r="AH3" s="161"/>
      <c r="AI3" s="1171"/>
      <c r="AJ3" s="1171"/>
      <c r="AK3" s="1171"/>
      <c r="AL3" s="1171"/>
      <c r="AM3" s="1171"/>
      <c r="AN3" s="1171"/>
      <c r="AO3" s="1171"/>
      <c r="AP3" s="1171"/>
      <c r="AQ3" s="1171"/>
      <c r="AR3" s="1171"/>
      <c r="AS3" s="1171"/>
    </row>
    <row r="4" spans="1:71" s="159" customFormat="1" ht="24" customHeight="1">
      <c r="B4" s="10"/>
      <c r="C4" s="12"/>
      <c r="D4"/>
      <c r="E4" s="12" t="s">
        <v>430</v>
      </c>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row>
    <row r="5" spans="1:71" s="65" customFormat="1" ht="39.75" customHeight="1">
      <c r="A5" s="242"/>
      <c r="B5" s="242"/>
      <c r="C5" s="242"/>
      <c r="D5" s="242"/>
      <c r="E5" s="242"/>
      <c r="F5" s="242"/>
      <c r="G5" s="242"/>
      <c r="H5" s="242"/>
      <c r="I5" s="242"/>
      <c r="J5" s="1174"/>
      <c r="K5" s="1174"/>
      <c r="L5" s="1174"/>
      <c r="M5" s="1174"/>
      <c r="N5" s="1174"/>
      <c r="O5" s="1174"/>
      <c r="P5" s="1174"/>
      <c r="Q5" s="1174"/>
      <c r="R5" s="1174"/>
      <c r="S5" s="1174"/>
      <c r="T5" s="1174"/>
      <c r="U5" s="1174"/>
      <c r="V5" s="1174"/>
      <c r="W5" s="1174"/>
      <c r="X5" s="1174"/>
      <c r="Y5" s="1174"/>
      <c r="Z5" s="1174"/>
      <c r="AA5" s="1174"/>
      <c r="AB5" s="15"/>
      <c r="AC5" s="1174"/>
      <c r="AD5" s="1174"/>
      <c r="AE5" s="1174"/>
      <c r="AF5" s="1174"/>
      <c r="AG5" s="1174"/>
      <c r="AH5" s="15"/>
      <c r="AI5"/>
      <c r="AL5"/>
      <c r="AM5"/>
      <c r="AN5"/>
      <c r="AO5"/>
      <c r="AP5"/>
      <c r="AQ5"/>
      <c r="AR5"/>
      <c r="AS5" s="1174"/>
    </row>
    <row r="6" spans="1:71" s="90" customFormat="1" ht="12.75" customHeight="1" thickBot="1">
      <c r="A6" s="108" t="s">
        <v>184</v>
      </c>
      <c r="B6" s="77"/>
      <c r="E6" s="101" t="s">
        <v>59</v>
      </c>
      <c r="F6" s="101"/>
      <c r="G6" s="101"/>
      <c r="H6" s="101"/>
      <c r="I6" s="101"/>
      <c r="J6" s="1174"/>
      <c r="K6" s="1174"/>
      <c r="L6" s="1174"/>
      <c r="M6" s="1174"/>
      <c r="N6" s="1174"/>
      <c r="O6" s="1174"/>
      <c r="P6" s="1174"/>
      <c r="Q6" s="483"/>
      <c r="R6" s="483"/>
      <c r="S6" s="262"/>
      <c r="T6" s="262"/>
      <c r="U6" s="262"/>
      <c r="V6" s="1174"/>
      <c r="W6" s="262"/>
      <c r="X6" s="262"/>
      <c r="Y6" s="262"/>
      <c r="Z6" s="262"/>
      <c r="AA6" s="262"/>
      <c r="AB6" s="5"/>
      <c r="AC6" s="262"/>
      <c r="AD6" s="262"/>
      <c r="AE6" s="262"/>
      <c r="AF6" s="262"/>
      <c r="AG6" s="262"/>
      <c r="AH6" s="5"/>
      <c r="AI6"/>
      <c r="AJ6" s="106"/>
      <c r="AK6" s="106"/>
      <c r="AL6"/>
      <c r="AM6"/>
      <c r="AN6"/>
      <c r="AO6"/>
      <c r="AP6"/>
      <c r="AQ6"/>
      <c r="AR6"/>
      <c r="AS6" s="1174"/>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row>
    <row r="7" spans="1:71" s="90" customFormat="1" ht="12.75" customHeight="1">
      <c r="A7" s="898" t="s">
        <v>186</v>
      </c>
      <c r="B7" s="901" t="s">
        <v>192</v>
      </c>
      <c r="E7" s="152" t="s">
        <v>432</v>
      </c>
      <c r="F7" s="152"/>
      <c r="G7" s="152"/>
      <c r="H7" s="152"/>
      <c r="I7" s="152"/>
      <c r="J7" s="1174"/>
      <c r="K7" s="1174"/>
      <c r="L7" s="1174"/>
      <c r="M7" s="1174"/>
      <c r="N7" s="1174"/>
      <c r="O7" s="1174"/>
      <c r="P7" s="1174"/>
      <c r="Q7" s="483"/>
      <c r="R7" s="483"/>
      <c r="S7" s="262"/>
      <c r="T7" s="262"/>
      <c r="U7" s="262"/>
      <c r="V7" s="1174"/>
      <c r="W7" s="262"/>
      <c r="X7" s="262"/>
      <c r="Y7" s="262"/>
      <c r="Z7" s="262"/>
      <c r="AA7" s="262"/>
      <c r="AB7" s="5"/>
      <c r="AC7" s="262"/>
      <c r="AD7" s="262"/>
      <c r="AE7" s="262"/>
      <c r="AF7" s="262"/>
      <c r="AG7" s="262"/>
      <c r="AH7" s="5"/>
      <c r="AI7"/>
      <c r="AJ7" s="106"/>
      <c r="AK7" s="106"/>
      <c r="AL7"/>
      <c r="AM7"/>
      <c r="AN7"/>
      <c r="AO7"/>
      <c r="AP7"/>
      <c r="AQ7"/>
      <c r="AR7"/>
      <c r="AS7" s="1174"/>
      <c r="AT7" s="106"/>
      <c r="AU7" s="106"/>
      <c r="AV7" s="106"/>
      <c r="AW7" s="106"/>
      <c r="AX7" s="106"/>
      <c r="AY7" s="106"/>
      <c r="AZ7" s="106"/>
      <c r="BA7" s="106"/>
      <c r="BB7" s="106"/>
      <c r="BC7" s="106"/>
      <c r="BD7" s="106"/>
      <c r="BE7" s="106"/>
      <c r="BF7" s="106"/>
      <c r="BG7" s="106"/>
      <c r="BH7" s="106"/>
      <c r="BI7" s="106"/>
      <c r="BJ7" s="106"/>
      <c r="BK7" s="106"/>
      <c r="BL7" s="106"/>
      <c r="BM7" s="106"/>
      <c r="BN7" s="106"/>
      <c r="BO7" s="106"/>
      <c r="BP7" s="106"/>
      <c r="BQ7" s="106"/>
      <c r="BR7" s="106"/>
      <c r="BS7" s="106"/>
    </row>
    <row r="8" spans="1:71" s="90" customFormat="1" ht="36" customHeight="1">
      <c r="A8" s="899" t="s">
        <v>261</v>
      </c>
      <c r="B8" s="902" t="s">
        <v>255</v>
      </c>
      <c r="E8" s="4089" t="str">
        <f>CONCATENATE("As set out in cl.6.1 of the ", dms_TradingName, " RIN, for tables 6.1.1 to 6.1.3, where the requested data is captured in the ", dms_TradingName, " capex model it is not required to be reentered in the RIN template tables.  If the requested data has not been provided in the ", dms_TradingName, " capex model please enter into the tables below. This may require the insertion of new lines in each table.")</f>
        <v>As set out in cl.6.1 of the AusNet (Gas) RIN, for tables 6.1.1 to 6.1.3, where the requested data is captured in the AusNet (Gas) capex model it is not required to be reentered in the RIN template tables.  If the requested data has not been provided in the AusNet (Gas) capex model please enter into the tables below. This may require the insertion of new lines in each table.</v>
      </c>
      <c r="F8" s="4090"/>
      <c r="G8" s="4090"/>
      <c r="H8" s="4091"/>
      <c r="I8" s="4091"/>
      <c r="J8" s="1174"/>
      <c r="K8" s="1174"/>
      <c r="L8" s="1174"/>
      <c r="M8" s="1174"/>
      <c r="N8" s="1174"/>
      <c r="O8" s="1174"/>
      <c r="P8" s="1174"/>
      <c r="Q8" s="262"/>
      <c r="R8" s="262"/>
      <c r="S8" s="262"/>
      <c r="T8" s="262"/>
      <c r="U8" s="262"/>
      <c r="V8" s="1174"/>
      <c r="W8" s="262"/>
      <c r="X8" s="262"/>
      <c r="Y8" s="262"/>
      <c r="Z8" s="262"/>
      <c r="AA8" s="262"/>
      <c r="AB8" s="5"/>
      <c r="AC8" s="262"/>
      <c r="AD8" s="262"/>
      <c r="AE8" s="262"/>
      <c r="AF8" s="262"/>
      <c r="AG8" s="262"/>
      <c r="AH8" s="5"/>
      <c r="AI8"/>
      <c r="AJ8" s="106"/>
      <c r="AK8" s="106"/>
      <c r="AL8"/>
      <c r="AM8"/>
      <c r="AN8"/>
      <c r="AO8"/>
      <c r="AP8"/>
      <c r="AQ8"/>
      <c r="AR8"/>
      <c r="AS8" s="1174"/>
      <c r="AT8" s="106"/>
      <c r="AU8" s="106"/>
      <c r="AV8" s="106"/>
      <c r="AW8" s="106"/>
      <c r="AX8" s="106"/>
      <c r="AY8" s="106"/>
      <c r="AZ8" s="106"/>
      <c r="BA8" s="106"/>
      <c r="BB8" s="106"/>
      <c r="BC8" s="106"/>
      <c r="BD8" s="106"/>
      <c r="BE8" s="106"/>
      <c r="BF8" s="106"/>
      <c r="BG8" s="106"/>
      <c r="BH8" s="106"/>
      <c r="BI8" s="106"/>
      <c r="BJ8" s="106"/>
      <c r="BK8" s="106"/>
      <c r="BL8" s="106"/>
      <c r="BM8" s="106"/>
      <c r="BN8" s="106"/>
      <c r="BO8" s="106"/>
      <c r="BP8" s="106"/>
      <c r="BQ8" s="106"/>
      <c r="BR8" s="106"/>
      <c r="BS8" s="106"/>
    </row>
    <row r="9" spans="1:71" s="78" customFormat="1" ht="42" customHeight="1">
      <c r="A9" s="899" t="s">
        <v>185</v>
      </c>
      <c r="B9" s="902" t="s">
        <v>191</v>
      </c>
      <c r="E9" s="4089" t="s">
        <v>424</v>
      </c>
      <c r="F9" s="4090"/>
      <c r="G9" s="4090"/>
      <c r="H9" s="4091"/>
      <c r="I9" s="4091"/>
      <c r="J9" s="508"/>
      <c r="K9" s="482"/>
      <c r="L9" s="483"/>
      <c r="M9" s="482"/>
      <c r="N9" s="483"/>
      <c r="O9" s="483"/>
      <c r="P9" s="483"/>
      <c r="Q9" s="508"/>
      <c r="R9" s="508"/>
      <c r="S9" s="508"/>
      <c r="T9" s="262"/>
      <c r="U9" s="262"/>
      <c r="V9" s="1174"/>
      <c r="W9" s="262"/>
      <c r="X9" s="262"/>
      <c r="Y9" s="262"/>
      <c r="Z9" s="262"/>
      <c r="AA9" s="262"/>
      <c r="AB9" s="5"/>
      <c r="AC9" s="262"/>
      <c r="AD9" s="262"/>
      <c r="AE9" s="262"/>
      <c r="AF9" s="262"/>
      <c r="AG9" s="262"/>
      <c r="AH9" s="5"/>
      <c r="AI9"/>
      <c r="AJ9" s="129"/>
      <c r="AK9" s="129"/>
      <c r="AL9" s="129"/>
      <c r="AM9" s="129"/>
      <c r="AN9" s="129"/>
      <c r="AO9" s="508"/>
      <c r="AP9" s="842"/>
      <c r="AQ9" s="483"/>
      <c r="AR9" s="842"/>
      <c r="AS9" s="483"/>
      <c r="AT9" s="129"/>
      <c r="AU9" s="129"/>
      <c r="AV9" s="129"/>
      <c r="AW9" s="129"/>
      <c r="AX9" s="129"/>
      <c r="AY9" s="129"/>
      <c r="AZ9" s="129"/>
      <c r="BA9" s="129"/>
      <c r="BB9" s="129"/>
      <c r="BC9" s="129"/>
      <c r="BD9" s="129"/>
      <c r="BE9" s="129"/>
      <c r="BF9" s="129"/>
      <c r="BG9" s="129"/>
      <c r="BH9" s="129"/>
      <c r="BI9" s="129"/>
      <c r="BJ9" s="129"/>
      <c r="BK9" s="129"/>
      <c r="BL9" s="129"/>
      <c r="BM9" s="129"/>
      <c r="BN9" s="129"/>
      <c r="BO9" s="129"/>
      <c r="BP9" s="129"/>
      <c r="BQ9" s="129"/>
      <c r="BR9" s="129"/>
      <c r="BS9" s="129"/>
    </row>
    <row r="10" spans="1:71" s="78" customFormat="1" ht="36" customHeight="1">
      <c r="A10" s="899" t="s">
        <v>263</v>
      </c>
      <c r="B10" s="902" t="s">
        <v>264</v>
      </c>
      <c r="E10" s="4089" t="str">
        <f>CONCATENATE("Subject to cl.7.1 of the ", dms_TradingName, " RIN, where linked/adjustable overhead expenditure and related party margin expenditure is not provided in the ", dms_TradingName, " capex model, overhead expenditure and related party margin expenditure should be linked to allocations derived in tabs '14. Overheads' and '15. Related party transactions'.")</f>
        <v>Subject to cl.7.1 of the AusNet (Gas) RIN, where linked/adjustable overhead expenditure and related party margin expenditure is not provided in the AusNet (Gas) capex model, overhead expenditure and related party margin expenditure should be linked to allocations derived in tabs '14. Overheads' and '15. Related party transactions'.</v>
      </c>
      <c r="F10" s="4090"/>
      <c r="G10" s="4090"/>
      <c r="H10" s="4091"/>
      <c r="I10" s="4091"/>
      <c r="J10" s="508"/>
      <c r="K10" s="482"/>
      <c r="L10" s="483"/>
      <c r="M10" s="482"/>
      <c r="N10" s="483"/>
      <c r="O10" s="483"/>
      <c r="P10" s="483"/>
      <c r="Q10" s="508"/>
      <c r="R10" s="508"/>
      <c r="S10" s="508"/>
      <c r="T10" s="262"/>
      <c r="U10" s="262"/>
      <c r="V10" s="1174"/>
      <c r="W10" s="262"/>
      <c r="X10" s="262"/>
      <c r="Y10" s="262"/>
      <c r="Z10" s="262"/>
      <c r="AA10" s="262"/>
      <c r="AB10" s="5"/>
      <c r="AC10" s="262"/>
      <c r="AD10" s="262"/>
      <c r="AE10" s="262"/>
      <c r="AF10" s="262"/>
      <c r="AG10" s="262"/>
      <c r="AH10" s="5"/>
      <c r="AI10"/>
      <c r="AJ10" s="129"/>
      <c r="AK10" s="129"/>
      <c r="AL10" s="129"/>
      <c r="AM10" s="129"/>
      <c r="AN10" s="129"/>
      <c r="AO10" s="508"/>
      <c r="AP10" s="842"/>
      <c r="AQ10" s="483"/>
      <c r="AR10" s="842"/>
      <c r="AS10" s="483"/>
      <c r="AT10" s="129"/>
      <c r="AU10" s="129"/>
      <c r="AV10" s="129"/>
      <c r="AW10" s="129"/>
      <c r="AX10" s="129"/>
      <c r="AY10" s="129"/>
      <c r="AZ10" s="129"/>
      <c r="BA10" s="129"/>
      <c r="BB10" s="129"/>
      <c r="BC10" s="129"/>
      <c r="BD10" s="129"/>
      <c r="BE10" s="129"/>
      <c r="BF10" s="129"/>
      <c r="BG10" s="129"/>
      <c r="BH10" s="129"/>
      <c r="BI10" s="129"/>
      <c r="BJ10" s="129"/>
      <c r="BK10" s="129"/>
      <c r="BL10" s="129"/>
      <c r="BM10" s="129"/>
      <c r="BN10" s="129"/>
      <c r="BO10" s="129"/>
      <c r="BP10" s="129"/>
      <c r="BQ10" s="129"/>
      <c r="BR10" s="129"/>
      <c r="BS10" s="129"/>
    </row>
    <row r="11" spans="1:71" s="78" customFormat="1" ht="35.25" customHeight="1" thickBot="1">
      <c r="A11" s="900" t="s">
        <v>265</v>
      </c>
      <c r="B11" s="903" t="s">
        <v>597</v>
      </c>
      <c r="E11" s="4089" t="s">
        <v>153</v>
      </c>
      <c r="F11" s="4090"/>
      <c r="G11" s="4090"/>
      <c r="H11" s="4091"/>
      <c r="I11" s="4091"/>
      <c r="J11" s="508"/>
      <c r="K11" s="482"/>
      <c r="L11" s="483"/>
      <c r="M11" s="482"/>
      <c r="N11" s="483"/>
      <c r="O11" s="483"/>
      <c r="P11" s="483"/>
      <c r="Q11" s="508"/>
      <c r="R11" s="508"/>
      <c r="S11" s="508"/>
      <c r="T11" s="262"/>
      <c r="U11" s="262"/>
      <c r="V11" s="1174"/>
      <c r="W11" s="262"/>
      <c r="X11" s="262"/>
      <c r="Y11" s="262"/>
      <c r="Z11" s="262"/>
      <c r="AA11" s="262"/>
      <c r="AB11" s="5"/>
      <c r="AC11" s="262"/>
      <c r="AD11" s="262"/>
      <c r="AE11" s="262"/>
      <c r="AF11" s="262"/>
      <c r="AG11" s="262"/>
      <c r="AH11" s="5"/>
      <c r="AI11"/>
      <c r="AJ11" s="129"/>
      <c r="AK11" s="129"/>
      <c r="AL11" s="129"/>
      <c r="AM11" s="129"/>
      <c r="AN11" s="129"/>
      <c r="AO11" s="508"/>
      <c r="AP11" s="842"/>
      <c r="AQ11" s="483"/>
      <c r="AR11" s="842"/>
      <c r="AS11" s="483"/>
      <c r="AT11" s="129"/>
      <c r="AU11" s="129"/>
      <c r="AV11" s="129"/>
      <c r="AW11" s="129"/>
      <c r="AX11" s="129"/>
      <c r="AY11" s="129"/>
      <c r="AZ11" s="129"/>
      <c r="BA11" s="129"/>
      <c r="BB11" s="129"/>
      <c r="BC11" s="129"/>
      <c r="BD11" s="129"/>
      <c r="BE11" s="129"/>
      <c r="BF11" s="129"/>
      <c r="BG11" s="129"/>
      <c r="BH11" s="129"/>
      <c r="BI11" s="129"/>
      <c r="BJ11" s="129"/>
      <c r="BK11" s="129"/>
      <c r="BL11" s="129"/>
      <c r="BM11" s="129"/>
      <c r="BN11" s="129"/>
      <c r="BO11" s="129"/>
      <c r="BP11" s="129"/>
      <c r="BQ11" s="129"/>
      <c r="BR11" s="129"/>
      <c r="BS11" s="129"/>
    </row>
    <row r="12" spans="1:71" s="90" customFormat="1" ht="20.25">
      <c r="E12" s="91"/>
      <c r="F12" s="91"/>
      <c r="G12" s="91"/>
      <c r="H12" s="91"/>
      <c r="I12" s="91"/>
      <c r="J12" s="1198"/>
      <c r="K12" s="1198"/>
      <c r="L12" s="489"/>
      <c r="M12" s="489"/>
      <c r="N12" s="489"/>
      <c r="O12" s="489"/>
      <c r="P12" s="489"/>
      <c r="Q12" s="489"/>
      <c r="R12" s="489"/>
      <c r="S12" s="489"/>
      <c r="T12" s="489"/>
      <c r="U12" s="489"/>
      <c r="V12" s="1174"/>
      <c r="W12" s="489"/>
      <c r="X12" s="489"/>
      <c r="Y12" s="489"/>
      <c r="Z12" s="489"/>
      <c r="AA12" s="489"/>
      <c r="AB12" s="6"/>
      <c r="AC12" s="489"/>
      <c r="AD12" s="489"/>
      <c r="AE12" s="489"/>
      <c r="AF12" s="489"/>
      <c r="AG12" s="489"/>
      <c r="AH12" s="6"/>
      <c r="AI12"/>
      <c r="AJ12" s="106"/>
      <c r="AK12" s="106"/>
      <c r="AL12" s="184"/>
      <c r="AM12" s="184"/>
      <c r="AN12" s="184"/>
      <c r="AO12" s="1198"/>
      <c r="AP12" s="1198"/>
      <c r="AQ12" s="489"/>
      <c r="AR12" s="489"/>
      <c r="AS12" s="489"/>
      <c r="AT12" s="106"/>
      <c r="AU12" s="106"/>
      <c r="AV12" s="106"/>
      <c r="AW12" s="106"/>
      <c r="AX12" s="106"/>
      <c r="AY12" s="106"/>
      <c r="AZ12" s="106"/>
      <c r="BA12" s="106"/>
      <c r="BB12" s="106"/>
      <c r="BC12" s="106"/>
      <c r="BD12" s="106"/>
      <c r="BE12" s="106"/>
      <c r="BF12" s="106"/>
      <c r="BG12" s="106"/>
      <c r="BH12" s="106"/>
      <c r="BI12" s="106"/>
      <c r="BJ12" s="106"/>
      <c r="BK12" s="106"/>
      <c r="BL12" s="106"/>
      <c r="BM12" s="106"/>
      <c r="BN12" s="106"/>
      <c r="BO12" s="106"/>
      <c r="BP12" s="106"/>
      <c r="BQ12" s="106"/>
      <c r="BR12" s="106"/>
      <c r="BS12" s="106"/>
    </row>
    <row r="13" spans="1:71" s="395" customFormat="1">
      <c r="J13" s="7"/>
      <c r="K13" s="7"/>
      <c r="L13" s="7"/>
      <c r="M13" s="7"/>
      <c r="N13" s="7"/>
      <c r="O13" s="7"/>
      <c r="P13" s="7"/>
      <c r="Q13" s="7"/>
      <c r="R13" s="7"/>
      <c r="S13" s="7"/>
      <c r="T13" s="7"/>
      <c r="U13" s="7"/>
      <c r="V13" s="1174"/>
      <c r="W13" s="1174"/>
      <c r="X13" s="7"/>
      <c r="Y13" s="7"/>
      <c r="Z13" s="7"/>
      <c r="AA13" s="7"/>
      <c r="AB13" s="11"/>
      <c r="AC13" s="11"/>
      <c r="AD13" s="7"/>
      <c r="AE13" s="7"/>
      <c r="AF13" s="7"/>
      <c r="AG13" s="7"/>
      <c r="AH13" s="11"/>
      <c r="AI13"/>
      <c r="AJ13" s="394"/>
      <c r="AO13" s="7"/>
      <c r="AP13" s="7"/>
      <c r="AQ13" s="7"/>
      <c r="AR13" s="7"/>
      <c r="AS13" s="7"/>
    </row>
    <row r="14" spans="1:71" s="395" customFormat="1" ht="13.5" thickBot="1">
      <c r="V14"/>
      <c r="W14" s="65"/>
      <c r="AB14" s="396"/>
      <c r="AC14" s="396"/>
      <c r="AH14" s="396"/>
      <c r="AI14"/>
      <c r="AJ14" s="394"/>
    </row>
    <row r="15" spans="1:71" s="393" customFormat="1" ht="28.5" customHeight="1" thickBot="1">
      <c r="E15" s="735" t="s">
        <v>482</v>
      </c>
      <c r="F15" s="735"/>
      <c r="G15" s="735"/>
      <c r="H15" s="735"/>
      <c r="I15" s="735"/>
      <c r="J15" s="735"/>
      <c r="K15" s="735"/>
      <c r="L15" s="735"/>
      <c r="M15" s="735"/>
      <c r="N15" s="735"/>
      <c r="O15" s="735"/>
      <c r="P15" s="735"/>
      <c r="Q15" s="735"/>
      <c r="R15" s="735"/>
      <c r="S15" s="735"/>
      <c r="T15" s="735"/>
      <c r="U15" s="735"/>
      <c r="V15" s="1172"/>
      <c r="W15" s="735"/>
      <c r="X15" s="735"/>
      <c r="Y15" s="735"/>
      <c r="Z15" s="735"/>
      <c r="AA15" s="735"/>
      <c r="AB15" s="735"/>
      <c r="AC15" s="735"/>
      <c r="AD15" s="735"/>
      <c r="AE15" s="735"/>
      <c r="AF15" s="735"/>
      <c r="AG15" s="735"/>
      <c r="AH15" s="735"/>
      <c r="AI15" s="1172"/>
      <c r="AL15" s="735" t="s">
        <v>642</v>
      </c>
      <c r="AM15" s="735"/>
      <c r="AN15" s="735"/>
      <c r="AO15" s="735"/>
      <c r="AP15" s="735"/>
      <c r="AQ15" s="735"/>
      <c r="AR15" s="735"/>
      <c r="AS15" s="1201"/>
    </row>
    <row r="16" spans="1:71" s="393" customFormat="1" ht="28.5" customHeight="1" thickBot="1">
      <c r="E16" s="1258" t="s">
        <v>639</v>
      </c>
      <c r="F16" s="1261"/>
      <c r="G16" s="1261"/>
      <c r="H16" s="1261"/>
      <c r="I16" s="1261"/>
      <c r="J16" s="1261"/>
      <c r="K16" s="1261"/>
      <c r="L16" s="1261"/>
      <c r="M16" s="1261"/>
      <c r="N16" s="1261"/>
      <c r="O16" s="1261"/>
      <c r="P16" s="1261"/>
      <c r="Q16" s="1261"/>
      <c r="R16" s="1261"/>
      <c r="S16" s="1261"/>
      <c r="T16" s="1261"/>
      <c r="U16" s="1261"/>
      <c r="V16" s="449"/>
      <c r="W16" s="1261"/>
      <c r="X16" s="1261"/>
      <c r="Y16" s="1261"/>
      <c r="Z16" s="1261"/>
      <c r="AA16" s="1261"/>
      <c r="AB16" s="1261"/>
      <c r="AC16" s="1261"/>
      <c r="AD16" s="1261"/>
      <c r="AE16" s="1261"/>
      <c r="AF16" s="1261"/>
      <c r="AG16" s="1261"/>
      <c r="AH16" s="1262"/>
      <c r="AI16"/>
      <c r="AL16" s="1660"/>
      <c r="AM16" s="1261"/>
      <c r="AN16" s="1261"/>
      <c r="AO16" s="1261"/>
      <c r="AP16" s="1261"/>
      <c r="AQ16" s="1261"/>
      <c r="AR16" s="1261"/>
      <c r="AS16" s="1262"/>
    </row>
    <row r="17" spans="5:45" s="395" customFormat="1" ht="24" customHeight="1" thickBot="1">
      <c r="E17" s="252" t="s">
        <v>638</v>
      </c>
      <c r="F17" s="269"/>
      <c r="G17" s="454"/>
      <c r="H17" s="454"/>
      <c r="I17" s="454"/>
      <c r="J17" s="454"/>
      <c r="K17" s="454"/>
      <c r="L17" s="454"/>
      <c r="M17" s="454"/>
      <c r="N17" s="454"/>
      <c r="O17" s="454"/>
      <c r="P17" s="454"/>
      <c r="Q17" s="454"/>
      <c r="R17" s="454"/>
      <c r="S17" s="454"/>
      <c r="T17" s="454"/>
      <c r="U17" s="424"/>
      <c r="V17"/>
      <c r="W17" s="252"/>
      <c r="X17" s="269"/>
      <c r="Y17" s="269"/>
      <c r="Z17" s="269"/>
      <c r="AA17" s="269"/>
      <c r="AB17" s="271"/>
      <c r="AC17" s="269"/>
      <c r="AD17" s="269"/>
      <c r="AE17" s="269"/>
      <c r="AF17" s="269"/>
      <c r="AG17" s="269"/>
      <c r="AH17" s="272"/>
      <c r="AI17"/>
      <c r="AL17" s="454"/>
      <c r="AM17" s="454"/>
      <c r="AN17" s="454"/>
      <c r="AO17" s="454"/>
      <c r="AP17" s="454"/>
      <c r="AQ17" s="454"/>
      <c r="AR17" s="454"/>
      <c r="AS17" s="454"/>
    </row>
    <row r="18" spans="5:45" s="65" customFormat="1" ht="18">
      <c r="E18" s="4092"/>
      <c r="F18" s="4093"/>
      <c r="G18" s="4098" t="s">
        <v>36</v>
      </c>
      <c r="H18" s="3997"/>
      <c r="I18" s="3997"/>
      <c r="J18" s="3997"/>
      <c r="K18" s="3997"/>
      <c r="L18" s="4074" t="s">
        <v>37</v>
      </c>
      <c r="M18" s="4075"/>
      <c r="N18" s="4075"/>
      <c r="O18" s="4075"/>
      <c r="P18" s="4075"/>
      <c r="Q18" s="3960" t="s">
        <v>73</v>
      </c>
      <c r="R18" s="3960"/>
      <c r="S18" s="3960"/>
      <c r="T18" s="3960"/>
      <c r="U18" s="4099"/>
      <c r="V18"/>
      <c r="W18" s="4098" t="s">
        <v>36</v>
      </c>
      <c r="X18" s="4102"/>
      <c r="Y18" s="4102"/>
      <c r="Z18" s="4102"/>
      <c r="AA18" s="4102"/>
      <c r="AB18" s="4103"/>
      <c r="AC18" s="4074" t="s">
        <v>37</v>
      </c>
      <c r="AD18" s="4100"/>
      <c r="AE18" s="4100"/>
      <c r="AF18" s="4100"/>
      <c r="AG18" s="4100"/>
      <c r="AH18" s="4101"/>
      <c r="AI18"/>
      <c r="AL18" s="4073" t="s">
        <v>36</v>
      </c>
      <c r="AM18" s="3997"/>
      <c r="AN18" s="3997"/>
      <c r="AO18" s="3997"/>
      <c r="AP18" s="3997"/>
      <c r="AQ18" s="4074" t="s">
        <v>37</v>
      </c>
      <c r="AR18" s="4075"/>
      <c r="AS18" s="4082"/>
    </row>
    <row r="19" spans="5:45" s="65" customFormat="1" ht="15" customHeight="1">
      <c r="E19" s="4094"/>
      <c r="F19" s="4095"/>
      <c r="G19" s="3985" t="s">
        <v>543</v>
      </c>
      <c r="H19" s="3986"/>
      <c r="I19" s="3986"/>
      <c r="J19" s="3986"/>
      <c r="K19" s="3986"/>
      <c r="L19" s="3986"/>
      <c r="M19" s="3986"/>
      <c r="N19" s="3987"/>
      <c r="O19" s="3988" t="str">
        <f>CONCATENATE("$0's, real ",dms_DollarReal)</f>
        <v>$0's, real December 2017</v>
      </c>
      <c r="P19" s="3989"/>
      <c r="Q19" s="3989"/>
      <c r="R19" s="3989"/>
      <c r="S19" s="3989"/>
      <c r="T19" s="3989"/>
      <c r="U19" s="3990"/>
      <c r="V19"/>
      <c r="W19" s="3991" t="str">
        <f>CONCATENATE("$0's, real ",dms_DollarReal)</f>
        <v>$0's, real December 2017</v>
      </c>
      <c r="X19" s="3992"/>
      <c r="Y19" s="3992"/>
      <c r="Z19" s="3992"/>
      <c r="AA19" s="3992"/>
      <c r="AB19" s="405" t="s">
        <v>114</v>
      </c>
      <c r="AC19" s="3993" t="str">
        <f>CONCATENATE("$0's, real ",dms_DollarReal)</f>
        <v>$0's, real December 2017</v>
      </c>
      <c r="AD19" s="3993"/>
      <c r="AE19" s="3993"/>
      <c r="AF19" s="3993"/>
      <c r="AG19" s="3993"/>
      <c r="AH19" s="404" t="s">
        <v>114</v>
      </c>
      <c r="AI19"/>
      <c r="AL19" s="3985" t="str">
        <f>CONCATENATE("$0's, real ",dms_DollarReal)</f>
        <v>$0's, real December 2017</v>
      </c>
      <c r="AM19" s="3986"/>
      <c r="AN19" s="3986"/>
      <c r="AO19" s="3986"/>
      <c r="AP19" s="3986"/>
      <c r="AQ19" s="3986"/>
      <c r="AR19" s="3986"/>
      <c r="AS19" s="4030"/>
    </row>
    <row r="20" spans="5:45" s="65" customFormat="1" ht="25.5">
      <c r="E20" s="4094"/>
      <c r="F20" s="4095"/>
      <c r="G20" s="3985" t="s">
        <v>54</v>
      </c>
      <c r="H20" s="3986"/>
      <c r="I20" s="3986"/>
      <c r="J20" s="3986"/>
      <c r="K20" s="3986"/>
      <c r="L20" s="3986"/>
      <c r="M20" s="3986"/>
      <c r="N20" s="3987"/>
      <c r="O20" s="3988" t="s">
        <v>55</v>
      </c>
      <c r="P20" s="3989"/>
      <c r="Q20" s="3989"/>
      <c r="R20" s="3989"/>
      <c r="S20" s="3989"/>
      <c r="T20" s="3989"/>
      <c r="U20" s="3990"/>
      <c r="V20"/>
      <c r="W20" s="3991" t="s">
        <v>74</v>
      </c>
      <c r="X20" s="3992"/>
      <c r="Y20" s="3992"/>
      <c r="Z20" s="3992"/>
      <c r="AA20" s="3992"/>
      <c r="AB20" s="352" t="s">
        <v>113</v>
      </c>
      <c r="AC20" s="3993" t="s">
        <v>74</v>
      </c>
      <c r="AD20" s="3993"/>
      <c r="AE20" s="3993"/>
      <c r="AF20" s="3993"/>
      <c r="AG20" s="3993"/>
      <c r="AH20" s="352" t="s">
        <v>113</v>
      </c>
      <c r="AI20"/>
      <c r="AL20" s="3985" t="s">
        <v>54</v>
      </c>
      <c r="AM20" s="3986"/>
      <c r="AN20" s="3986"/>
      <c r="AO20" s="3986"/>
      <c r="AP20" s="3986"/>
      <c r="AQ20" s="3986"/>
      <c r="AR20" s="3986"/>
      <c r="AS20" s="4030"/>
    </row>
    <row r="21" spans="5:45" s="65" customFormat="1" ht="15.75" thickBot="1">
      <c r="E21" s="4096"/>
      <c r="F21" s="4097"/>
      <c r="G21" s="343">
        <f t="array" ref="G21:K21">PRCP</f>
        <v>2008</v>
      </c>
      <c r="H21" s="342">
        <v>2009</v>
      </c>
      <c r="I21" s="342">
        <v>2010</v>
      </c>
      <c r="J21" s="342">
        <v>2011</v>
      </c>
      <c r="K21" s="342">
        <v>2012</v>
      </c>
      <c r="L21" s="344">
        <f>CRCP_y1</f>
        <v>2013</v>
      </c>
      <c r="M21" s="344">
        <f>CRCP_y2</f>
        <v>2014</v>
      </c>
      <c r="N21" s="344">
        <f>CRCP_y3</f>
        <v>2015</v>
      </c>
      <c r="O21" s="344">
        <f>CRCP_y4</f>
        <v>2016</v>
      </c>
      <c r="P21" s="344">
        <f>CRCP_y5</f>
        <v>2017</v>
      </c>
      <c r="Q21" s="342" t="str">
        <f t="array" ref="Q21:U21">FRCP</f>
        <v>2018</v>
      </c>
      <c r="R21" s="342">
        <v>2019</v>
      </c>
      <c r="S21" s="342">
        <v>2020</v>
      </c>
      <c r="T21" s="342">
        <v>2021</v>
      </c>
      <c r="U21" s="443">
        <v>2022</v>
      </c>
      <c r="V21"/>
      <c r="W21" s="343">
        <f t="array" ref="W21:AA21">PRCP</f>
        <v>2008</v>
      </c>
      <c r="X21" s="342">
        <v>2009</v>
      </c>
      <c r="Y21" s="342">
        <v>2010</v>
      </c>
      <c r="Z21" s="342">
        <v>2011</v>
      </c>
      <c r="AA21" s="342">
        <v>2012</v>
      </c>
      <c r="AB21" s="16" t="s">
        <v>112</v>
      </c>
      <c r="AC21" s="344">
        <f>CRCP_y1</f>
        <v>2013</v>
      </c>
      <c r="AD21" s="344">
        <f>CRCP_y2</f>
        <v>2014</v>
      </c>
      <c r="AE21" s="344">
        <f>CRCP_y3</f>
        <v>2015</v>
      </c>
      <c r="AF21" s="344">
        <f>CRCP_y4</f>
        <v>2016</v>
      </c>
      <c r="AG21" s="344">
        <f>CRCP_y5</f>
        <v>2017</v>
      </c>
      <c r="AH21" s="16" t="s">
        <v>112</v>
      </c>
      <c r="AI21"/>
      <c r="AL21" s="1438">
        <f t="array" ref="AL21:AP21">PRCP</f>
        <v>2008</v>
      </c>
      <c r="AM21" s="342">
        <v>2009</v>
      </c>
      <c r="AN21" s="342">
        <v>2010</v>
      </c>
      <c r="AO21" s="342">
        <v>2011</v>
      </c>
      <c r="AP21" s="342">
        <v>2012</v>
      </c>
      <c r="AQ21" s="344">
        <f>CRCP_y1</f>
        <v>2013</v>
      </c>
      <c r="AR21" s="344">
        <f>CRCP_y2</f>
        <v>2014</v>
      </c>
      <c r="AS21" s="542">
        <f>CRCP_y3</f>
        <v>2015</v>
      </c>
    </row>
    <row r="22" spans="5:45" ht="12.75" customHeight="1">
      <c r="E22" s="4107" t="s">
        <v>1477</v>
      </c>
      <c r="F22" s="433" t="s">
        <v>111</v>
      </c>
      <c r="G22" s="1077"/>
      <c r="H22" s="1078"/>
      <c r="I22" s="1078"/>
      <c r="J22" s="1078"/>
      <c r="K22" s="1079"/>
      <c r="L22" s="1566"/>
      <c r="M22" s="421"/>
      <c r="N22" s="421"/>
      <c r="O22" s="421"/>
      <c r="P22" s="1044"/>
      <c r="Q22" s="1080"/>
      <c r="R22" s="1081"/>
      <c r="S22" s="1081"/>
      <c r="T22" s="1081"/>
      <c r="U22" s="1082"/>
      <c r="W22" s="1043"/>
      <c r="X22" s="421"/>
      <c r="Y22" s="421"/>
      <c r="Z22" s="421"/>
      <c r="AA22" s="1044"/>
      <c r="AB22" s="1045"/>
      <c r="AC22" s="1043"/>
      <c r="AD22" s="421"/>
      <c r="AE22" s="421"/>
      <c r="AF22" s="421"/>
      <c r="AG22" s="421"/>
      <c r="AH22" s="1046"/>
      <c r="AI22" s="65"/>
      <c r="AL22" s="1077"/>
      <c r="AM22" s="1078"/>
      <c r="AN22" s="1078"/>
      <c r="AO22" s="1078"/>
      <c r="AP22" s="1079"/>
      <c r="AQ22" s="1566"/>
      <c r="AR22" s="421"/>
      <c r="AS22" s="1044"/>
    </row>
    <row r="23" spans="5:45" ht="12.75" customHeight="1">
      <c r="E23" s="4108"/>
      <c r="F23" s="1374" t="s">
        <v>588</v>
      </c>
      <c r="G23" s="1083"/>
      <c r="H23" s="1084"/>
      <c r="I23" s="1084"/>
      <c r="J23" s="1084"/>
      <c r="K23" s="1085"/>
      <c r="L23" s="255">
        <v>6307</v>
      </c>
      <c r="M23" s="461"/>
      <c r="N23" s="461"/>
      <c r="O23" s="461"/>
      <c r="P23" s="281"/>
      <c r="Q23" s="956"/>
      <c r="R23" s="461"/>
      <c r="S23" s="461"/>
      <c r="T23" s="461"/>
      <c r="U23" s="281"/>
      <c r="W23" s="255">
        <v>90000</v>
      </c>
      <c r="X23" s="461">
        <v>90000</v>
      </c>
      <c r="Y23" s="461">
        <v>90000</v>
      </c>
      <c r="Z23" s="461">
        <v>90000</v>
      </c>
      <c r="AA23" s="281">
        <v>90000</v>
      </c>
      <c r="AB23" s="1041">
        <f t="shared" ref="AB23" si="0">SUM(G23:K23)/SUM(W23:AA23)-1</f>
        <v>-1</v>
      </c>
      <c r="AC23" s="255">
        <v>90000</v>
      </c>
      <c r="AD23" s="461">
        <v>90000</v>
      </c>
      <c r="AE23" s="461">
        <v>90000</v>
      </c>
      <c r="AF23" s="461">
        <v>90000</v>
      </c>
      <c r="AG23" s="461">
        <v>90000</v>
      </c>
      <c r="AH23" s="1047">
        <v>-0.98598444444444444</v>
      </c>
      <c r="AI23" s="65"/>
      <c r="AL23" s="1083"/>
      <c r="AM23" s="1084"/>
      <c r="AN23" s="1084"/>
      <c r="AO23" s="1084"/>
      <c r="AP23" s="1085"/>
      <c r="AQ23" s="259"/>
      <c r="AR23" s="466"/>
      <c r="AS23" s="283"/>
    </row>
    <row r="24" spans="5:45" ht="12.75" customHeight="1">
      <c r="E24" s="4108"/>
      <c r="F24" s="1374" t="s">
        <v>589</v>
      </c>
      <c r="G24" s="1083"/>
      <c r="H24" s="1084"/>
      <c r="I24" s="1084"/>
      <c r="J24" s="1084"/>
      <c r="K24" s="1085"/>
      <c r="L24" s="255"/>
      <c r="M24" s="461"/>
      <c r="N24" s="461"/>
      <c r="O24" s="461"/>
      <c r="P24" s="281"/>
      <c r="Q24" s="956"/>
      <c r="R24" s="461"/>
      <c r="S24" s="461"/>
      <c r="T24" s="461"/>
      <c r="U24" s="281"/>
      <c r="W24" s="255"/>
      <c r="X24" s="461"/>
      <c r="Y24" s="461"/>
      <c r="Z24" s="461"/>
      <c r="AA24" s="281"/>
      <c r="AB24" s="1041"/>
      <c r="AC24" s="255"/>
      <c r="AD24" s="461"/>
      <c r="AE24" s="461"/>
      <c r="AF24" s="461"/>
      <c r="AG24" s="461"/>
      <c r="AH24" s="1047"/>
      <c r="AI24" s="65"/>
      <c r="AL24" s="1083"/>
      <c r="AM24" s="1084"/>
      <c r="AN24" s="1084"/>
      <c r="AO24" s="1084"/>
      <c r="AP24" s="1085"/>
      <c r="AQ24" s="259"/>
      <c r="AR24" s="466"/>
      <c r="AS24" s="283"/>
    </row>
    <row r="25" spans="5:45" ht="12.75" customHeight="1">
      <c r="E25" s="4108"/>
      <c r="F25" s="1374" t="s">
        <v>590</v>
      </c>
      <c r="G25" s="1083"/>
      <c r="H25" s="1084"/>
      <c r="I25" s="1084"/>
      <c r="J25" s="1084"/>
      <c r="K25" s="1085"/>
      <c r="L25" s="255"/>
      <c r="M25" s="461"/>
      <c r="N25" s="461"/>
      <c r="O25" s="461"/>
      <c r="P25" s="281"/>
      <c r="Q25" s="956"/>
      <c r="R25" s="461"/>
      <c r="S25" s="461"/>
      <c r="T25" s="461"/>
      <c r="U25" s="281"/>
      <c r="W25" s="255"/>
      <c r="X25" s="461"/>
      <c r="Y25" s="461"/>
      <c r="Z25" s="461"/>
      <c r="AA25" s="281"/>
      <c r="AB25" s="1041"/>
      <c r="AC25" s="255"/>
      <c r="AD25" s="461"/>
      <c r="AE25" s="461"/>
      <c r="AF25" s="461"/>
      <c r="AG25" s="461"/>
      <c r="AH25" s="1047"/>
      <c r="AI25" s="65"/>
      <c r="AL25" s="1083"/>
      <c r="AM25" s="1084"/>
      <c r="AN25" s="1084"/>
      <c r="AO25" s="1084"/>
      <c r="AP25" s="1085"/>
      <c r="AQ25" s="259"/>
      <c r="AR25" s="466"/>
      <c r="AS25" s="283"/>
    </row>
    <row r="26" spans="5:45" ht="12.75" customHeight="1">
      <c r="E26" s="4108"/>
      <c r="F26" s="1374" t="s">
        <v>591</v>
      </c>
      <c r="G26" s="1083"/>
      <c r="H26" s="1084"/>
      <c r="I26" s="1084"/>
      <c r="J26" s="1084"/>
      <c r="K26" s="1085"/>
      <c r="L26" s="255"/>
      <c r="M26" s="461"/>
      <c r="N26" s="461"/>
      <c r="O26" s="461"/>
      <c r="P26" s="281"/>
      <c r="Q26" s="956"/>
      <c r="R26" s="461"/>
      <c r="S26" s="461"/>
      <c r="T26" s="461"/>
      <c r="U26" s="281"/>
      <c r="W26" s="255"/>
      <c r="X26" s="461"/>
      <c r="Y26" s="461"/>
      <c r="Z26" s="461"/>
      <c r="AA26" s="281"/>
      <c r="AB26" s="1041"/>
      <c r="AC26" s="255"/>
      <c r="AD26" s="461"/>
      <c r="AE26" s="461"/>
      <c r="AF26" s="461"/>
      <c r="AG26" s="461"/>
      <c r="AH26" s="1047"/>
      <c r="AI26" s="65"/>
      <c r="AL26" s="1083"/>
      <c r="AM26" s="1084"/>
      <c r="AN26" s="1084"/>
      <c r="AO26" s="1084"/>
      <c r="AP26" s="1085"/>
      <c r="AQ26" s="259"/>
      <c r="AR26" s="466"/>
      <c r="AS26" s="283"/>
    </row>
    <row r="27" spans="5:45" ht="12.75" customHeight="1">
      <c r="E27" s="4108"/>
      <c r="F27" s="1374" t="s">
        <v>592</v>
      </c>
      <c r="G27" s="1083"/>
      <c r="H27" s="1084"/>
      <c r="I27" s="1084"/>
      <c r="J27" s="1084"/>
      <c r="K27" s="1085"/>
      <c r="L27" s="207"/>
      <c r="M27" s="456"/>
      <c r="N27" s="456"/>
      <c r="O27" s="456"/>
      <c r="P27" s="457"/>
      <c r="Q27" s="224"/>
      <c r="R27" s="456"/>
      <c r="S27" s="456"/>
      <c r="T27" s="456"/>
      <c r="U27" s="457"/>
      <c r="W27" s="207"/>
      <c r="X27" s="456"/>
      <c r="Y27" s="456"/>
      <c r="Z27" s="456"/>
      <c r="AA27" s="457"/>
      <c r="AB27" s="1041"/>
      <c r="AC27" s="207"/>
      <c r="AD27" s="456"/>
      <c r="AE27" s="456"/>
      <c r="AF27" s="456"/>
      <c r="AG27" s="456"/>
      <c r="AH27" s="1048"/>
      <c r="AI27" s="65"/>
      <c r="AL27" s="1083"/>
      <c r="AM27" s="1084"/>
      <c r="AN27" s="1084"/>
      <c r="AO27" s="1084"/>
      <c r="AP27" s="1085"/>
      <c r="AQ27" s="207">
        <f>SUM(AQ22:AQ26)</f>
        <v>0</v>
      </c>
      <c r="AR27" s="456">
        <f t="shared" ref="AR27" si="1">SUM(AR22:AR26)</f>
        <v>0</v>
      </c>
      <c r="AS27" s="457"/>
    </row>
    <row r="28" spans="5:45">
      <c r="E28" s="4108"/>
      <c r="F28" s="1375" t="s">
        <v>587</v>
      </c>
      <c r="G28" s="1086"/>
      <c r="H28" s="1087"/>
      <c r="I28" s="1087"/>
      <c r="J28" s="1087"/>
      <c r="K28" s="1088"/>
      <c r="L28" s="258">
        <f>SUM(L23:L27)</f>
        <v>6307</v>
      </c>
      <c r="M28" s="465">
        <f t="shared" ref="M28:U28" si="2">SUM(M23:M27)</f>
        <v>0</v>
      </c>
      <c r="N28" s="465">
        <f t="shared" si="2"/>
        <v>0</v>
      </c>
      <c r="O28" s="465">
        <f t="shared" si="2"/>
        <v>0</v>
      </c>
      <c r="P28" s="282">
        <f t="shared" si="2"/>
        <v>0</v>
      </c>
      <c r="Q28" s="965">
        <f t="shared" si="2"/>
        <v>0</v>
      </c>
      <c r="R28" s="465">
        <f t="shared" si="2"/>
        <v>0</v>
      </c>
      <c r="S28" s="465">
        <f t="shared" si="2"/>
        <v>0</v>
      </c>
      <c r="T28" s="465">
        <f t="shared" si="2"/>
        <v>0</v>
      </c>
      <c r="U28" s="282">
        <f t="shared" si="2"/>
        <v>0</v>
      </c>
      <c r="W28" s="258">
        <f t="shared" ref="W28:AG28" si="3">SUM(W23:W27)</f>
        <v>90000</v>
      </c>
      <c r="X28" s="465">
        <f t="shared" si="3"/>
        <v>90000</v>
      </c>
      <c r="Y28" s="465">
        <f t="shared" si="3"/>
        <v>90000</v>
      </c>
      <c r="Z28" s="465">
        <f t="shared" si="3"/>
        <v>90000</v>
      </c>
      <c r="AA28" s="282">
        <f t="shared" si="3"/>
        <v>90000</v>
      </c>
      <c r="AB28" s="992"/>
      <c r="AC28" s="258">
        <f t="shared" si="3"/>
        <v>90000</v>
      </c>
      <c r="AD28" s="465">
        <f t="shared" si="3"/>
        <v>90000</v>
      </c>
      <c r="AE28" s="465">
        <f t="shared" si="3"/>
        <v>90000</v>
      </c>
      <c r="AF28" s="465">
        <f t="shared" si="3"/>
        <v>90000</v>
      </c>
      <c r="AG28" s="465">
        <f t="shared" si="3"/>
        <v>90000</v>
      </c>
      <c r="AH28" s="1049">
        <f t="shared" ref="AH28" si="4">SUM(L28:P28)/SUM(AC28:AG28)-1</f>
        <v>-0.98598444444444444</v>
      </c>
      <c r="AI28" s="65"/>
      <c r="AL28" s="1086"/>
      <c r="AM28" s="1087"/>
      <c r="AN28" s="1087"/>
      <c r="AO28" s="1087"/>
      <c r="AP28" s="1088"/>
      <c r="AQ28" s="258"/>
      <c r="AR28" s="465"/>
      <c r="AS28" s="282"/>
    </row>
    <row r="29" spans="5:45">
      <c r="E29" s="4108"/>
      <c r="F29" s="1376" t="s">
        <v>593</v>
      </c>
      <c r="G29" s="1083"/>
      <c r="H29" s="1084"/>
      <c r="I29" s="1084"/>
      <c r="J29" s="1084"/>
      <c r="K29" s="1085"/>
      <c r="L29" s="255"/>
      <c r="M29" s="461"/>
      <c r="N29" s="461"/>
      <c r="O29" s="461"/>
      <c r="P29" s="281"/>
      <c r="Q29" s="956"/>
      <c r="R29" s="461"/>
      <c r="S29" s="461"/>
      <c r="T29" s="461"/>
      <c r="U29" s="281"/>
      <c r="W29" s="255"/>
      <c r="X29" s="461"/>
      <c r="Y29" s="461"/>
      <c r="Z29" s="461"/>
      <c r="AA29" s="281"/>
      <c r="AB29" s="1041"/>
      <c r="AC29" s="255"/>
      <c r="AD29" s="461"/>
      <c r="AE29" s="461"/>
      <c r="AF29" s="461"/>
      <c r="AG29" s="461"/>
      <c r="AH29" s="1047"/>
      <c r="AI29" s="65"/>
      <c r="AL29" s="1083"/>
      <c r="AM29" s="1084"/>
      <c r="AN29" s="1084"/>
      <c r="AO29" s="1084"/>
      <c r="AP29" s="1085"/>
      <c r="AQ29" s="259"/>
      <c r="AR29" s="466"/>
      <c r="AS29" s="283"/>
    </row>
    <row r="30" spans="5:45">
      <c r="E30" s="4108"/>
      <c r="F30" s="431" t="s">
        <v>558</v>
      </c>
      <c r="G30" s="1083"/>
      <c r="H30" s="1084"/>
      <c r="I30" s="1084"/>
      <c r="J30" s="1084"/>
      <c r="K30" s="1085"/>
      <c r="L30" s="255">
        <v>963362.28000000014</v>
      </c>
      <c r="M30" s="461"/>
      <c r="N30" s="461"/>
      <c r="O30" s="461"/>
      <c r="P30" s="281"/>
      <c r="Q30" s="956"/>
      <c r="R30" s="461"/>
      <c r="S30" s="461"/>
      <c r="T30" s="461"/>
      <c r="U30" s="281"/>
      <c r="W30" s="255"/>
      <c r="X30" s="461"/>
      <c r="Y30" s="461"/>
      <c r="Z30" s="461"/>
      <c r="AA30" s="281"/>
      <c r="AB30" s="1041"/>
      <c r="AC30" s="255"/>
      <c r="AD30" s="461"/>
      <c r="AE30" s="461"/>
      <c r="AF30" s="461"/>
      <c r="AG30" s="461"/>
      <c r="AH30" s="1047"/>
      <c r="AI30" s="65"/>
      <c r="AL30" s="1083"/>
      <c r="AM30" s="1084"/>
      <c r="AN30" s="1084"/>
      <c r="AO30" s="1084"/>
      <c r="AP30" s="1085"/>
      <c r="AQ30" s="259"/>
      <c r="AR30" s="466"/>
      <c r="AS30" s="283"/>
    </row>
    <row r="31" spans="5:45">
      <c r="E31" s="4108"/>
      <c r="F31" s="431" t="s">
        <v>559</v>
      </c>
      <c r="G31" s="1083"/>
      <c r="H31" s="1084"/>
      <c r="I31" s="1084"/>
      <c r="J31" s="1084"/>
      <c r="K31" s="1085"/>
      <c r="L31" s="255"/>
      <c r="M31" s="461"/>
      <c r="N31" s="461"/>
      <c r="O31" s="461"/>
      <c r="P31" s="281"/>
      <c r="Q31" s="956"/>
      <c r="R31" s="461"/>
      <c r="S31" s="461"/>
      <c r="T31" s="461"/>
      <c r="U31" s="281"/>
      <c r="W31" s="255"/>
      <c r="X31" s="461"/>
      <c r="Y31" s="461"/>
      <c r="Z31" s="461"/>
      <c r="AA31" s="281"/>
      <c r="AB31" s="1041"/>
      <c r="AC31" s="255"/>
      <c r="AD31" s="461"/>
      <c r="AE31" s="461"/>
      <c r="AF31" s="461"/>
      <c r="AG31" s="461"/>
      <c r="AH31" s="1047"/>
      <c r="AI31" s="65"/>
      <c r="AL31" s="1083"/>
      <c r="AM31" s="1084"/>
      <c r="AN31" s="1084"/>
      <c r="AO31" s="1084"/>
      <c r="AP31" s="1085"/>
      <c r="AQ31" s="259"/>
      <c r="AR31" s="466"/>
      <c r="AS31" s="283"/>
    </row>
    <row r="32" spans="5:45">
      <c r="E32" s="4108"/>
      <c r="F32" s="431" t="s">
        <v>578</v>
      </c>
      <c r="G32" s="1089"/>
      <c r="H32" s="1090"/>
      <c r="I32" s="1090"/>
      <c r="J32" s="1090"/>
      <c r="K32" s="1091"/>
      <c r="L32" s="259"/>
      <c r="M32" s="456"/>
      <c r="N32" s="456"/>
      <c r="O32" s="456"/>
      <c r="P32" s="457"/>
      <c r="Q32" s="224"/>
      <c r="R32" s="456"/>
      <c r="S32" s="456"/>
      <c r="T32" s="456"/>
      <c r="U32" s="457"/>
      <c r="W32" s="207">
        <v>14328943.634734375</v>
      </c>
      <c r="X32" s="456">
        <v>14655045.471958956</v>
      </c>
      <c r="Y32" s="456">
        <v>14988568.819865137</v>
      </c>
      <c r="Z32" s="456">
        <v>15329682.579129057</v>
      </c>
      <c r="AA32" s="457">
        <v>15678559.494312506</v>
      </c>
      <c r="AB32" s="1041"/>
      <c r="AC32" s="207">
        <v>17674.411688936965</v>
      </c>
      <c r="AD32" s="456">
        <v>19448.797544402096</v>
      </c>
      <c r="AE32" s="456">
        <v>20025.17089588517</v>
      </c>
      <c r="AF32" s="456">
        <v>20364.850766322896</v>
      </c>
      <c r="AG32" s="456">
        <v>12125.394085923263</v>
      </c>
      <c r="AH32" s="1048"/>
      <c r="AI32" s="65"/>
      <c r="AL32" s="1089"/>
      <c r="AM32" s="1090"/>
      <c r="AN32" s="1090"/>
      <c r="AO32" s="1090"/>
      <c r="AP32" s="1091"/>
      <c r="AQ32" s="259"/>
      <c r="AR32" s="456"/>
      <c r="AS32" s="457"/>
    </row>
    <row r="33" spans="5:70">
      <c r="E33" s="4108"/>
      <c r="F33" s="1377" t="s">
        <v>579</v>
      </c>
      <c r="G33" s="1086"/>
      <c r="H33" s="1087"/>
      <c r="I33" s="1087"/>
      <c r="J33" s="1087"/>
      <c r="K33" s="1088"/>
      <c r="L33" s="258">
        <f>SUM(L29:L32)</f>
        <v>963362.28000000014</v>
      </c>
      <c r="M33" s="465">
        <f t="shared" ref="M33:AA33" si="5">SUM(M29:M32)</f>
        <v>0</v>
      </c>
      <c r="N33" s="465">
        <f t="shared" si="5"/>
        <v>0</v>
      </c>
      <c r="O33" s="465">
        <f t="shared" si="5"/>
        <v>0</v>
      </c>
      <c r="P33" s="282">
        <f t="shared" si="5"/>
        <v>0</v>
      </c>
      <c r="Q33" s="965">
        <f t="shared" si="5"/>
        <v>0</v>
      </c>
      <c r="R33" s="465">
        <f t="shared" si="5"/>
        <v>0</v>
      </c>
      <c r="S33" s="465">
        <f t="shared" si="5"/>
        <v>0</v>
      </c>
      <c r="T33" s="465">
        <f t="shared" si="5"/>
        <v>0</v>
      </c>
      <c r="U33" s="282">
        <f t="shared" si="5"/>
        <v>0</v>
      </c>
      <c r="W33" s="258">
        <f t="shared" si="5"/>
        <v>14328943.634734375</v>
      </c>
      <c r="X33" s="465">
        <f t="shared" si="5"/>
        <v>14655045.471958956</v>
      </c>
      <c r="Y33" s="465">
        <f t="shared" si="5"/>
        <v>14988568.819865137</v>
      </c>
      <c r="Z33" s="465">
        <f t="shared" si="5"/>
        <v>15329682.579129057</v>
      </c>
      <c r="AA33" s="282">
        <f t="shared" si="5"/>
        <v>15678559.494312506</v>
      </c>
      <c r="AB33" s="992">
        <f>SUM(G33:K33)/SUM(W33:AA33)-1</f>
        <v>-1</v>
      </c>
      <c r="AC33" s="258">
        <f t="shared" ref="AC33" si="6">SUM(AC29:AC32)</f>
        <v>17674.411688936965</v>
      </c>
      <c r="AD33" s="465">
        <f t="shared" ref="AD33" si="7">SUM(AD29:AD32)</f>
        <v>19448.797544402096</v>
      </c>
      <c r="AE33" s="465">
        <f t="shared" ref="AE33" si="8">SUM(AE29:AE32)</f>
        <v>20025.17089588517</v>
      </c>
      <c r="AF33" s="465">
        <f t="shared" ref="AF33" si="9">SUM(AF29:AF32)</f>
        <v>20364.850766322896</v>
      </c>
      <c r="AG33" s="465">
        <f t="shared" ref="AG33" si="10">SUM(AG29:AG32)</f>
        <v>12125.394085923263</v>
      </c>
      <c r="AH33" s="1049">
        <f>SUM(L33:P33)/SUM(AC33:AG33)-1</f>
        <v>9.7471782415129766</v>
      </c>
      <c r="AI33" s="65"/>
      <c r="AL33" s="1086"/>
      <c r="AM33" s="1087"/>
      <c r="AN33" s="1087"/>
      <c r="AO33" s="1087"/>
      <c r="AP33" s="1088"/>
      <c r="AQ33" s="258">
        <f>SUM(AQ30:AQ32)</f>
        <v>0</v>
      </c>
      <c r="AR33" s="465">
        <f t="shared" ref="AR33" si="11">SUM(AR30:AR32)</f>
        <v>0</v>
      </c>
      <c r="AS33" s="282"/>
    </row>
    <row r="34" spans="5:70" ht="13.5" thickBot="1">
      <c r="E34" s="4108"/>
      <c r="F34" s="1035" t="s">
        <v>583</v>
      </c>
      <c r="G34" s="255"/>
      <c r="H34" s="461"/>
      <c r="I34" s="461"/>
      <c r="J34" s="461"/>
      <c r="K34" s="281"/>
      <c r="L34" s="207"/>
      <c r="M34" s="456"/>
      <c r="N34" s="456"/>
      <c r="O34" s="456"/>
      <c r="P34" s="457"/>
      <c r="Q34" s="224"/>
      <c r="R34" s="456"/>
      <c r="S34" s="456"/>
      <c r="T34" s="456"/>
      <c r="U34" s="457"/>
      <c r="W34" s="1603"/>
      <c r="X34" s="1604"/>
      <c r="Y34" s="1604"/>
      <c r="Z34" s="1604"/>
      <c r="AA34" s="1605"/>
      <c r="AB34" s="1606"/>
      <c r="AC34" s="1603"/>
      <c r="AD34" s="1607"/>
      <c r="AE34" s="1607"/>
      <c r="AF34" s="1607"/>
      <c r="AG34" s="1607"/>
      <c r="AH34" s="1608"/>
      <c r="AI34" s="65"/>
      <c r="AL34" s="259"/>
      <c r="AM34" s="466"/>
      <c r="AN34" s="466"/>
      <c r="AO34" s="466"/>
      <c r="AP34" s="283"/>
      <c r="AQ34" s="259"/>
      <c r="AR34" s="466"/>
      <c r="AS34" s="283"/>
    </row>
    <row r="35" spans="5:70" ht="13.5" thickBot="1">
      <c r="E35" s="4108"/>
      <c r="F35" s="1380" t="s">
        <v>581</v>
      </c>
      <c r="G35" s="1599"/>
      <c r="H35" s="1600"/>
      <c r="I35" s="1600"/>
      <c r="J35" s="1600"/>
      <c r="K35" s="1601"/>
      <c r="L35" s="1599"/>
      <c r="M35" s="1600"/>
      <c r="N35" s="1600"/>
      <c r="O35" s="1600"/>
      <c r="P35" s="1601"/>
      <c r="Q35" s="1602"/>
      <c r="R35" s="1600"/>
      <c r="S35" s="1600"/>
      <c r="T35" s="1600"/>
      <c r="U35" s="1601"/>
      <c r="W35" s="1614"/>
      <c r="X35" s="1615"/>
      <c r="Y35" s="1615"/>
      <c r="Z35" s="1615"/>
      <c r="AA35" s="1615"/>
      <c r="AB35" s="1615"/>
      <c r="AC35" s="1615"/>
      <c r="AD35" s="1615"/>
      <c r="AE35" s="1615"/>
      <c r="AF35" s="1615"/>
      <c r="AG35" s="1615"/>
      <c r="AH35" s="1616"/>
      <c r="AI35" s="65"/>
      <c r="AL35" s="259"/>
      <c r="AM35" s="466"/>
      <c r="AN35" s="466"/>
      <c r="AO35" s="466"/>
      <c r="AP35" s="283"/>
      <c r="AQ35" s="259"/>
      <c r="AR35" s="466"/>
      <c r="AS35" s="283"/>
    </row>
    <row r="36" spans="5:70">
      <c r="E36" s="4108"/>
      <c r="F36" s="1378" t="s">
        <v>584</v>
      </c>
      <c r="G36" s="1050">
        <v>0</v>
      </c>
      <c r="H36" s="1051">
        <v>0</v>
      </c>
      <c r="I36" s="1051">
        <v>0</v>
      </c>
      <c r="J36" s="1051">
        <v>0</v>
      </c>
      <c r="K36" s="1052">
        <v>0</v>
      </c>
      <c r="L36" s="1050">
        <f>SUM(L33:L35)</f>
        <v>963362.28000000014</v>
      </c>
      <c r="M36" s="1051">
        <f t="shared" ref="M36:U36" si="12">SUM(M33:M35)</f>
        <v>0</v>
      </c>
      <c r="N36" s="1051">
        <f t="shared" si="12"/>
        <v>0</v>
      </c>
      <c r="O36" s="1051">
        <f t="shared" si="12"/>
        <v>0</v>
      </c>
      <c r="P36" s="1052">
        <f t="shared" si="12"/>
        <v>0</v>
      </c>
      <c r="Q36" s="1092">
        <f t="shared" si="12"/>
        <v>0</v>
      </c>
      <c r="R36" s="1051">
        <f t="shared" si="12"/>
        <v>0</v>
      </c>
      <c r="S36" s="1051">
        <f t="shared" si="12"/>
        <v>0</v>
      </c>
      <c r="T36" s="1051">
        <f t="shared" si="12"/>
        <v>0</v>
      </c>
      <c r="U36" s="1052">
        <f t="shared" si="12"/>
        <v>0</v>
      </c>
      <c r="W36" s="1609">
        <f t="shared" ref="W36:AA36" si="13">SUM(W33:W35)</f>
        <v>14328943.634734375</v>
      </c>
      <c r="X36" s="1610">
        <f t="shared" si="13"/>
        <v>14655045.471958956</v>
      </c>
      <c r="Y36" s="1610">
        <f t="shared" si="13"/>
        <v>14988568.819865137</v>
      </c>
      <c r="Z36" s="1610">
        <f t="shared" si="13"/>
        <v>15329682.579129057</v>
      </c>
      <c r="AA36" s="1611">
        <f t="shared" si="13"/>
        <v>15678559.494312506</v>
      </c>
      <c r="AB36" s="3632">
        <f>SUM(G36:K36)/SUM(W36:AA36)-1</f>
        <v>-1</v>
      </c>
      <c r="AC36" s="1609">
        <f t="shared" ref="AC36:AG36" si="14">SUM(AC33:AC35)</f>
        <v>17674.411688936965</v>
      </c>
      <c r="AD36" s="1610">
        <f t="shared" si="14"/>
        <v>19448.797544402096</v>
      </c>
      <c r="AE36" s="1610">
        <f t="shared" si="14"/>
        <v>20025.17089588517</v>
      </c>
      <c r="AF36" s="1610">
        <f t="shared" si="14"/>
        <v>20364.850766322896</v>
      </c>
      <c r="AG36" s="1610">
        <f t="shared" si="14"/>
        <v>12125.394085923263</v>
      </c>
      <c r="AH36" s="3632">
        <f>SUM(L36:P36)/SUM(AC36:AG36)-1</f>
        <v>9.7471782415129766</v>
      </c>
      <c r="AI36" s="65"/>
      <c r="AJ36" s="130"/>
      <c r="AK36" s="130"/>
      <c r="AL36" s="1050">
        <f t="shared" ref="AL36:AR36" si="15">SUM(AL34:AL35)</f>
        <v>0</v>
      </c>
      <c r="AM36" s="1051">
        <f t="shared" si="15"/>
        <v>0</v>
      </c>
      <c r="AN36" s="1051">
        <f t="shared" si="15"/>
        <v>0</v>
      </c>
      <c r="AO36" s="1051">
        <f t="shared" si="15"/>
        <v>0</v>
      </c>
      <c r="AP36" s="1052">
        <f t="shared" si="15"/>
        <v>0</v>
      </c>
      <c r="AQ36" s="1050">
        <f t="shared" si="15"/>
        <v>0</v>
      </c>
      <c r="AR36" s="1051">
        <f t="shared" si="15"/>
        <v>0</v>
      </c>
      <c r="AS36" s="1052"/>
      <c r="AT36" s="130"/>
      <c r="AU36" s="130"/>
      <c r="AV36" s="130"/>
      <c r="AW36" s="130"/>
      <c r="AX36" s="130"/>
      <c r="AY36" s="130"/>
      <c r="AZ36" s="130"/>
      <c r="BA36" s="130"/>
      <c r="BB36" s="130"/>
      <c r="BC36" s="130"/>
      <c r="BD36" s="130"/>
      <c r="BE36" s="130"/>
      <c r="BF36" s="130"/>
      <c r="BG36" s="130"/>
      <c r="BH36" s="130"/>
      <c r="BI36" s="130"/>
      <c r="BJ36" s="130"/>
      <c r="BK36" s="130"/>
      <c r="BL36" s="130"/>
      <c r="BM36" s="130"/>
      <c r="BN36" s="130"/>
      <c r="BO36" s="130"/>
      <c r="BP36" s="130"/>
      <c r="BQ36" s="130"/>
      <c r="BR36" s="130"/>
    </row>
    <row r="37" spans="5:70">
      <c r="E37" s="4108"/>
      <c r="F37" s="1389" t="s">
        <v>35</v>
      </c>
      <c r="G37" s="255"/>
      <c r="H37" s="461"/>
      <c r="I37" s="461"/>
      <c r="J37" s="461"/>
      <c r="K37" s="281"/>
      <c r="L37" s="255"/>
      <c r="M37" s="461"/>
      <c r="N37" s="461"/>
      <c r="O37" s="461"/>
      <c r="P37" s="281"/>
      <c r="Q37" s="956"/>
      <c r="R37" s="461"/>
      <c r="S37" s="461"/>
      <c r="T37" s="461"/>
      <c r="U37" s="281"/>
      <c r="W37" s="255"/>
      <c r="X37" s="461"/>
      <c r="Y37" s="461"/>
      <c r="Z37" s="461"/>
      <c r="AA37" s="281"/>
      <c r="AB37" s="1004"/>
      <c r="AC37" s="255"/>
      <c r="AD37" s="461"/>
      <c r="AE37" s="461"/>
      <c r="AF37" s="461"/>
      <c r="AG37" s="461"/>
      <c r="AH37" s="1047"/>
      <c r="AI37" s="65"/>
      <c r="AL37" s="259"/>
      <c r="AM37" s="466"/>
      <c r="AN37" s="466"/>
      <c r="AO37" s="466"/>
      <c r="AP37" s="283"/>
      <c r="AQ37" s="259"/>
      <c r="AR37" s="466"/>
      <c r="AS37" s="283"/>
    </row>
    <row r="38" spans="5:70" ht="13.5" thickBot="1">
      <c r="E38" s="4109"/>
      <c r="F38" s="1387" t="s">
        <v>585</v>
      </c>
      <c r="G38" s="1055">
        <v>0</v>
      </c>
      <c r="H38" s="1056">
        <v>0</v>
      </c>
      <c r="I38" s="1056">
        <v>0</v>
      </c>
      <c r="J38" s="1056">
        <v>0</v>
      </c>
      <c r="K38" s="1057">
        <v>0</v>
      </c>
      <c r="L38" s="1567">
        <f>L36-L37</f>
        <v>963362.28000000014</v>
      </c>
      <c r="M38" s="1056">
        <f t="shared" ref="M38:U38" si="16">M36-M37</f>
        <v>0</v>
      </c>
      <c r="N38" s="1056">
        <f t="shared" si="16"/>
        <v>0</v>
      </c>
      <c r="O38" s="1056">
        <f t="shared" si="16"/>
        <v>0</v>
      </c>
      <c r="P38" s="1057">
        <f t="shared" si="16"/>
        <v>0</v>
      </c>
      <c r="Q38" s="1093">
        <f t="shared" si="16"/>
        <v>0</v>
      </c>
      <c r="R38" s="1056">
        <f t="shared" si="16"/>
        <v>0</v>
      </c>
      <c r="S38" s="1056">
        <f t="shared" si="16"/>
        <v>0</v>
      </c>
      <c r="T38" s="1056">
        <f t="shared" si="16"/>
        <v>0</v>
      </c>
      <c r="U38" s="1057">
        <f t="shared" si="16"/>
        <v>0</v>
      </c>
      <c r="W38" s="1055">
        <f t="shared" ref="W38" si="17">W36-W37</f>
        <v>14328943.634734375</v>
      </c>
      <c r="X38" s="1056">
        <f t="shared" ref="X38" si="18">X36-X37</f>
        <v>14655045.471958956</v>
      </c>
      <c r="Y38" s="1056">
        <f t="shared" ref="Y38" si="19">Y36-Y37</f>
        <v>14988568.819865137</v>
      </c>
      <c r="Z38" s="1056">
        <f t="shared" ref="Z38" si="20">Z36-Z37</f>
        <v>15329682.579129057</v>
      </c>
      <c r="AA38" s="1057">
        <f t="shared" ref="AA38" si="21">AA36-AA37</f>
        <v>15678559.494312506</v>
      </c>
      <c r="AB38" s="3633">
        <f t="shared" ref="AB38" si="22">SUM(G38:K38)/SUM(W38:AA38)-1</f>
        <v>-1</v>
      </c>
      <c r="AC38" s="1055">
        <f t="shared" ref="AC38" si="23">AC36-AC37</f>
        <v>17674.411688936965</v>
      </c>
      <c r="AD38" s="1056">
        <f t="shared" ref="AD38" si="24">AD36-AD37</f>
        <v>19448.797544402096</v>
      </c>
      <c r="AE38" s="1056">
        <f t="shared" ref="AE38" si="25">AE36-AE37</f>
        <v>20025.17089588517</v>
      </c>
      <c r="AF38" s="1056">
        <f t="shared" ref="AF38" si="26">AF36-AF37</f>
        <v>20364.850766322896</v>
      </c>
      <c r="AG38" s="1056">
        <f t="shared" ref="AG38" si="27">AG36-AG37</f>
        <v>12125.394085923263</v>
      </c>
      <c r="AH38" s="3634">
        <f t="shared" ref="AH38" si="28">SUM(L38:P38)/SUM(AC38:AG38)-1</f>
        <v>9.7471782415129766</v>
      </c>
      <c r="AI38" s="65"/>
      <c r="AL38" s="1567">
        <f>AL36-AL37</f>
        <v>0</v>
      </c>
      <c r="AM38" s="1056">
        <f t="shared" ref="AM38:AR38" si="29">AM36-AM37</f>
        <v>0</v>
      </c>
      <c r="AN38" s="1056">
        <f t="shared" si="29"/>
        <v>0</v>
      </c>
      <c r="AO38" s="1056">
        <f t="shared" si="29"/>
        <v>0</v>
      </c>
      <c r="AP38" s="1057">
        <f t="shared" si="29"/>
        <v>0</v>
      </c>
      <c r="AQ38" s="1567">
        <f t="shared" si="29"/>
        <v>0</v>
      </c>
      <c r="AR38" s="1056">
        <f t="shared" si="29"/>
        <v>0</v>
      </c>
      <c r="AS38" s="1057"/>
    </row>
    <row r="39" spans="5:70" ht="12.75" customHeight="1">
      <c r="E39" s="4107" t="s">
        <v>1478</v>
      </c>
      <c r="F39" s="433" t="s">
        <v>111</v>
      </c>
      <c r="G39" s="1086"/>
      <c r="H39" s="1087"/>
      <c r="I39" s="1087"/>
      <c r="J39" s="1087"/>
      <c r="K39" s="1088"/>
      <c r="L39" s="258"/>
      <c r="M39" s="465"/>
      <c r="N39" s="465"/>
      <c r="O39" s="465"/>
      <c r="P39" s="282"/>
      <c r="Q39" s="965"/>
      <c r="R39" s="465"/>
      <c r="S39" s="465"/>
      <c r="T39" s="465"/>
      <c r="U39" s="1044"/>
      <c r="W39" s="1043"/>
      <c r="X39" s="421"/>
      <c r="Y39" s="421"/>
      <c r="Z39" s="421"/>
      <c r="AA39" s="1044"/>
      <c r="AB39" s="1045"/>
      <c r="AC39" s="1043"/>
      <c r="AD39" s="421"/>
      <c r="AE39" s="421"/>
      <c r="AF39" s="421"/>
      <c r="AG39" s="421"/>
      <c r="AH39" s="1046"/>
      <c r="AI39" s="65"/>
      <c r="AL39" s="1086"/>
      <c r="AM39" s="1087"/>
      <c r="AN39" s="1087"/>
      <c r="AO39" s="1087"/>
      <c r="AP39" s="1088"/>
      <c r="AQ39" s="258"/>
      <c r="AR39" s="465"/>
      <c r="AS39" s="282"/>
    </row>
    <row r="40" spans="5:70" ht="12.75" customHeight="1">
      <c r="E40" s="4108"/>
      <c r="F40" s="1374" t="s">
        <v>588</v>
      </c>
      <c r="G40" s="1083"/>
      <c r="H40" s="1084"/>
      <c r="I40" s="1084"/>
      <c r="J40" s="1084"/>
      <c r="K40" s="1085"/>
      <c r="L40" s="255">
        <v>3369</v>
      </c>
      <c r="M40" s="461"/>
      <c r="N40" s="461"/>
      <c r="O40" s="461"/>
      <c r="P40" s="281"/>
      <c r="Q40" s="956"/>
      <c r="R40" s="461"/>
      <c r="S40" s="461"/>
      <c r="T40" s="461"/>
      <c r="U40" s="281"/>
      <c r="W40" s="255"/>
      <c r="X40" s="461"/>
      <c r="Y40" s="461"/>
      <c r="Z40" s="461"/>
      <c r="AA40" s="281"/>
      <c r="AB40" s="1041"/>
      <c r="AC40" s="255"/>
      <c r="AD40" s="461"/>
      <c r="AE40" s="461"/>
      <c r="AF40" s="461"/>
      <c r="AG40" s="461"/>
      <c r="AH40" s="1047"/>
      <c r="AI40" s="65"/>
      <c r="AL40" s="1083"/>
      <c r="AM40" s="1084"/>
      <c r="AN40" s="1084"/>
      <c r="AO40" s="1084"/>
      <c r="AP40" s="1085"/>
      <c r="AQ40" s="259"/>
      <c r="AR40" s="466"/>
      <c r="AS40" s="283"/>
    </row>
    <row r="41" spans="5:70" ht="12.75" customHeight="1">
      <c r="E41" s="4108"/>
      <c r="F41" s="1374" t="s">
        <v>589</v>
      </c>
      <c r="G41" s="1083"/>
      <c r="H41" s="1084"/>
      <c r="I41" s="1084"/>
      <c r="J41" s="1084"/>
      <c r="K41" s="1085"/>
      <c r="L41" s="255"/>
      <c r="M41" s="461"/>
      <c r="N41" s="461"/>
      <c r="O41" s="461"/>
      <c r="P41" s="281"/>
      <c r="Q41" s="956"/>
      <c r="R41" s="461"/>
      <c r="S41" s="461"/>
      <c r="T41" s="461"/>
      <c r="U41" s="281"/>
      <c r="W41" s="255"/>
      <c r="X41" s="461"/>
      <c r="Y41" s="461"/>
      <c r="Z41" s="461"/>
      <c r="AA41" s="281"/>
      <c r="AB41" s="1041"/>
      <c r="AC41" s="255"/>
      <c r="AD41" s="461"/>
      <c r="AE41" s="461"/>
      <c r="AF41" s="461"/>
      <c r="AG41" s="461"/>
      <c r="AH41" s="1047"/>
      <c r="AI41" s="65"/>
      <c r="AL41" s="1083"/>
      <c r="AM41" s="1084"/>
      <c r="AN41" s="1084"/>
      <c r="AO41" s="1084"/>
      <c r="AP41" s="1085"/>
      <c r="AQ41" s="259"/>
      <c r="AR41" s="466"/>
      <c r="AS41" s="283"/>
    </row>
    <row r="42" spans="5:70" ht="12.75" customHeight="1">
      <c r="E42" s="4108"/>
      <c r="F42" s="1374" t="s">
        <v>590</v>
      </c>
      <c r="G42" s="1083"/>
      <c r="H42" s="1084"/>
      <c r="I42" s="1084"/>
      <c r="J42" s="1084"/>
      <c r="K42" s="1085"/>
      <c r="L42" s="255"/>
      <c r="M42" s="461"/>
      <c r="N42" s="461"/>
      <c r="O42" s="461"/>
      <c r="P42" s="281"/>
      <c r="Q42" s="956"/>
      <c r="R42" s="461"/>
      <c r="S42" s="461"/>
      <c r="T42" s="461"/>
      <c r="U42" s="281"/>
      <c r="W42" s="255"/>
      <c r="X42" s="461"/>
      <c r="Y42" s="461"/>
      <c r="Z42" s="461"/>
      <c r="AA42" s="281"/>
      <c r="AB42" s="1041"/>
      <c r="AC42" s="255"/>
      <c r="AD42" s="461"/>
      <c r="AE42" s="461"/>
      <c r="AF42" s="461"/>
      <c r="AG42" s="461"/>
      <c r="AH42" s="1047"/>
      <c r="AI42" s="65"/>
      <c r="AL42" s="1083"/>
      <c r="AM42" s="1084"/>
      <c r="AN42" s="1084"/>
      <c r="AO42" s="1084"/>
      <c r="AP42" s="1085"/>
      <c r="AQ42" s="259"/>
      <c r="AR42" s="466"/>
      <c r="AS42" s="283"/>
    </row>
    <row r="43" spans="5:70" ht="12.75" customHeight="1">
      <c r="E43" s="4108"/>
      <c r="F43" s="1374" t="s">
        <v>591</v>
      </c>
      <c r="G43" s="1083"/>
      <c r="H43" s="1084"/>
      <c r="I43" s="1084"/>
      <c r="J43" s="1084"/>
      <c r="K43" s="1085"/>
      <c r="L43" s="255"/>
      <c r="M43" s="461"/>
      <c r="N43" s="461"/>
      <c r="O43" s="461"/>
      <c r="P43" s="281"/>
      <c r="Q43" s="956"/>
      <c r="R43" s="461"/>
      <c r="S43" s="461"/>
      <c r="T43" s="461"/>
      <c r="U43" s="281"/>
      <c r="W43" s="255"/>
      <c r="X43" s="461"/>
      <c r="Y43" s="461"/>
      <c r="Z43" s="461"/>
      <c r="AA43" s="281"/>
      <c r="AB43" s="1041"/>
      <c r="AC43" s="255"/>
      <c r="AD43" s="461"/>
      <c r="AE43" s="461"/>
      <c r="AF43" s="461"/>
      <c r="AG43" s="461"/>
      <c r="AH43" s="1047"/>
      <c r="AI43" s="65"/>
      <c r="AL43" s="1083"/>
      <c r="AM43" s="1084"/>
      <c r="AN43" s="1084"/>
      <c r="AO43" s="1084"/>
      <c r="AP43" s="1085"/>
      <c r="AQ43" s="259"/>
      <c r="AR43" s="466"/>
      <c r="AS43" s="283"/>
    </row>
    <row r="44" spans="5:70" ht="12.75" customHeight="1">
      <c r="E44" s="4108"/>
      <c r="F44" s="1374" t="s">
        <v>592</v>
      </c>
      <c r="G44" s="1083"/>
      <c r="H44" s="1084"/>
      <c r="I44" s="1084"/>
      <c r="J44" s="1084"/>
      <c r="K44" s="1085"/>
      <c r="L44" s="207"/>
      <c r="M44" s="456"/>
      <c r="N44" s="456"/>
      <c r="O44" s="456"/>
      <c r="P44" s="457"/>
      <c r="Q44" s="224"/>
      <c r="R44" s="456"/>
      <c r="S44" s="456"/>
      <c r="T44" s="456"/>
      <c r="U44" s="457"/>
      <c r="W44" s="207">
        <v>0</v>
      </c>
      <c r="X44" s="456">
        <v>0</v>
      </c>
      <c r="Y44" s="456">
        <v>0</v>
      </c>
      <c r="Z44" s="456">
        <v>0</v>
      </c>
      <c r="AA44" s="457">
        <v>0</v>
      </c>
      <c r="AB44" s="1041"/>
      <c r="AC44" s="207">
        <v>25467.463521639998</v>
      </c>
      <c r="AD44" s="456">
        <v>12068.194516470001</v>
      </c>
      <c r="AE44" s="456">
        <v>30993.732629478993</v>
      </c>
      <c r="AF44" s="456">
        <v>7022.2903488100001</v>
      </c>
      <c r="AG44" s="456">
        <v>6941.8641770500008</v>
      </c>
      <c r="AH44" s="1048">
        <v>-1</v>
      </c>
      <c r="AI44" s="65"/>
      <c r="AL44" s="1083"/>
      <c r="AM44" s="1084"/>
      <c r="AN44" s="1084"/>
      <c r="AO44" s="1084"/>
      <c r="AP44" s="1085"/>
      <c r="AQ44" s="207">
        <f>SUM(AQ39:AQ43)</f>
        <v>0</v>
      </c>
      <c r="AR44" s="456">
        <f t="shared" ref="AR44" si="30">SUM(AR39:AR43)</f>
        <v>0</v>
      </c>
      <c r="AS44" s="457"/>
    </row>
    <row r="45" spans="5:70">
      <c r="E45" s="4108"/>
      <c r="F45" s="1375" t="s">
        <v>587</v>
      </c>
      <c r="G45" s="1086"/>
      <c r="H45" s="1087"/>
      <c r="I45" s="1087"/>
      <c r="J45" s="1087"/>
      <c r="K45" s="1088"/>
      <c r="L45" s="258">
        <f>SUM(L40:L44)</f>
        <v>3369</v>
      </c>
      <c r="M45" s="465">
        <f t="shared" ref="M45" si="31">SUM(M40:M44)</f>
        <v>0</v>
      </c>
      <c r="N45" s="465">
        <f t="shared" ref="N45" si="32">SUM(N40:N44)</f>
        <v>0</v>
      </c>
      <c r="O45" s="465">
        <f t="shared" ref="O45" si="33">SUM(O40:O44)</f>
        <v>0</v>
      </c>
      <c r="P45" s="282">
        <f t="shared" ref="P45" si="34">SUM(P40:P44)</f>
        <v>0</v>
      </c>
      <c r="Q45" s="965">
        <f t="shared" ref="Q45" si="35">SUM(Q40:Q44)</f>
        <v>0</v>
      </c>
      <c r="R45" s="465">
        <f t="shared" ref="R45" si="36">SUM(R40:R44)</f>
        <v>0</v>
      </c>
      <c r="S45" s="465">
        <f t="shared" ref="S45" si="37">SUM(S40:S44)</f>
        <v>0</v>
      </c>
      <c r="T45" s="465">
        <f t="shared" ref="T45" si="38">SUM(T40:T44)</f>
        <v>0</v>
      </c>
      <c r="U45" s="282">
        <f t="shared" ref="U45" si="39">SUM(U40:U44)</f>
        <v>0</v>
      </c>
      <c r="W45" s="258">
        <f t="shared" ref="W45" si="40">SUM(W40:W44)</f>
        <v>0</v>
      </c>
      <c r="X45" s="465">
        <f t="shared" ref="X45" si="41">SUM(X40:X44)</f>
        <v>0</v>
      </c>
      <c r="Y45" s="465">
        <f t="shared" ref="Y45" si="42">SUM(Y40:Y44)</f>
        <v>0</v>
      </c>
      <c r="Z45" s="465">
        <f t="shared" ref="Z45" si="43">SUM(Z40:Z44)</f>
        <v>0</v>
      </c>
      <c r="AA45" s="282">
        <f t="shared" ref="AA45" si="44">SUM(AA40:AA44)</f>
        <v>0</v>
      </c>
      <c r="AB45" s="992"/>
      <c r="AC45" s="258">
        <f t="shared" ref="AC45" si="45">SUM(AC40:AC44)</f>
        <v>25467.463521639998</v>
      </c>
      <c r="AD45" s="465">
        <f t="shared" ref="AD45" si="46">SUM(AD40:AD44)</f>
        <v>12068.194516470001</v>
      </c>
      <c r="AE45" s="465">
        <f t="shared" ref="AE45" si="47">SUM(AE40:AE44)</f>
        <v>30993.732629478993</v>
      </c>
      <c r="AF45" s="465">
        <f t="shared" ref="AF45" si="48">SUM(AF40:AF44)</f>
        <v>7022.2903488100001</v>
      </c>
      <c r="AG45" s="465">
        <f t="shared" ref="AG45" si="49">SUM(AG40:AG44)</f>
        <v>6941.8641770500008</v>
      </c>
      <c r="AH45" s="1049">
        <f t="shared" ref="AH45" si="50">SUM(L45:P45)/SUM(AC45:AG45)-1</f>
        <v>-0.95916044107330301</v>
      </c>
      <c r="AI45" s="65"/>
      <c r="AL45" s="1086"/>
      <c r="AM45" s="1087"/>
      <c r="AN45" s="1087"/>
      <c r="AO45" s="1087"/>
      <c r="AP45" s="1088"/>
      <c r="AQ45" s="258"/>
      <c r="AR45" s="465"/>
      <c r="AS45" s="282"/>
    </row>
    <row r="46" spans="5:70">
      <c r="E46" s="4108"/>
      <c r="F46" s="1376" t="s">
        <v>593</v>
      </c>
      <c r="G46" s="1083"/>
      <c r="H46" s="1084"/>
      <c r="I46" s="1084"/>
      <c r="J46" s="1084"/>
      <c r="K46" s="1085"/>
      <c r="L46" s="255"/>
      <c r="M46" s="461"/>
      <c r="N46" s="461"/>
      <c r="O46" s="461"/>
      <c r="P46" s="281"/>
      <c r="Q46" s="956"/>
      <c r="R46" s="461"/>
      <c r="S46" s="461"/>
      <c r="T46" s="461"/>
      <c r="U46" s="281"/>
      <c r="W46" s="255"/>
      <c r="X46" s="461"/>
      <c r="Y46" s="461"/>
      <c r="Z46" s="461"/>
      <c r="AA46" s="281"/>
      <c r="AB46" s="1041"/>
      <c r="AC46" s="255"/>
      <c r="AD46" s="461"/>
      <c r="AE46" s="461"/>
      <c r="AF46" s="461"/>
      <c r="AG46" s="461"/>
      <c r="AH46" s="1047"/>
      <c r="AI46" s="65"/>
      <c r="AL46" s="1083"/>
      <c r="AM46" s="1084"/>
      <c r="AN46" s="1084"/>
      <c r="AO46" s="1084"/>
      <c r="AP46" s="1085"/>
      <c r="AQ46" s="259"/>
      <c r="AR46" s="466"/>
      <c r="AS46" s="283"/>
    </row>
    <row r="47" spans="5:70">
      <c r="E47" s="4108"/>
      <c r="F47" s="431" t="s">
        <v>558</v>
      </c>
      <c r="G47" s="1083"/>
      <c r="H47" s="1084"/>
      <c r="I47" s="1084"/>
      <c r="J47" s="1084"/>
      <c r="K47" s="1085"/>
      <c r="L47" s="255">
        <v>715289.93</v>
      </c>
      <c r="M47" s="461"/>
      <c r="N47" s="461"/>
      <c r="O47" s="461"/>
      <c r="P47" s="281"/>
      <c r="Q47" s="956"/>
      <c r="R47" s="461"/>
      <c r="S47" s="461"/>
      <c r="T47" s="461"/>
      <c r="U47" s="281"/>
      <c r="W47" s="255"/>
      <c r="X47" s="461"/>
      <c r="Y47" s="461"/>
      <c r="Z47" s="461"/>
      <c r="AA47" s="281"/>
      <c r="AB47" s="1041"/>
      <c r="AC47" s="255"/>
      <c r="AD47" s="461"/>
      <c r="AE47" s="461"/>
      <c r="AF47" s="461"/>
      <c r="AG47" s="461"/>
      <c r="AH47" s="1047"/>
      <c r="AI47" s="65"/>
      <c r="AL47" s="1083"/>
      <c r="AM47" s="1084"/>
      <c r="AN47" s="1084"/>
      <c r="AO47" s="1084"/>
      <c r="AP47" s="1085"/>
      <c r="AQ47" s="259"/>
      <c r="AR47" s="466"/>
      <c r="AS47" s="283"/>
    </row>
    <row r="48" spans="5:70">
      <c r="E48" s="4108"/>
      <c r="F48" s="431" t="s">
        <v>559</v>
      </c>
      <c r="G48" s="1083"/>
      <c r="H48" s="1084"/>
      <c r="I48" s="1084"/>
      <c r="J48" s="1084"/>
      <c r="K48" s="1085"/>
      <c r="L48" s="255"/>
      <c r="M48" s="461"/>
      <c r="N48" s="461"/>
      <c r="O48" s="461"/>
      <c r="P48" s="281"/>
      <c r="Q48" s="956"/>
      <c r="R48" s="461"/>
      <c r="S48" s="461"/>
      <c r="T48" s="461"/>
      <c r="U48" s="281"/>
      <c r="W48" s="255"/>
      <c r="X48" s="461"/>
      <c r="Y48" s="461"/>
      <c r="Z48" s="461"/>
      <c r="AA48" s="281"/>
      <c r="AB48" s="1041"/>
      <c r="AC48" s="255"/>
      <c r="AD48" s="461"/>
      <c r="AE48" s="461"/>
      <c r="AF48" s="461"/>
      <c r="AG48" s="461"/>
      <c r="AH48" s="1047"/>
      <c r="AI48" s="65"/>
      <c r="AL48" s="1083"/>
      <c r="AM48" s="1084"/>
      <c r="AN48" s="1084"/>
      <c r="AO48" s="1084"/>
      <c r="AP48" s="1085"/>
      <c r="AQ48" s="259"/>
      <c r="AR48" s="466"/>
      <c r="AS48" s="283"/>
    </row>
    <row r="49" spans="5:70">
      <c r="E49" s="4108"/>
      <c r="F49" s="431" t="s">
        <v>578</v>
      </c>
      <c r="G49" s="1089"/>
      <c r="H49" s="1090"/>
      <c r="I49" s="1090"/>
      <c r="J49" s="1090"/>
      <c r="K49" s="1091"/>
      <c r="L49" s="259"/>
      <c r="M49" s="456"/>
      <c r="N49" s="456"/>
      <c r="O49" s="456"/>
      <c r="P49" s="457"/>
      <c r="Q49" s="224"/>
      <c r="R49" s="456"/>
      <c r="S49" s="456"/>
      <c r="T49" s="456"/>
      <c r="U49" s="457"/>
      <c r="W49" s="207"/>
      <c r="X49" s="456"/>
      <c r="Y49" s="456"/>
      <c r="Z49" s="456"/>
      <c r="AA49" s="457"/>
      <c r="AB49" s="1041"/>
      <c r="AC49" s="207">
        <v>6174.1077847480456</v>
      </c>
      <c r="AD49" s="456">
        <v>5383.9052904048776</v>
      </c>
      <c r="AE49" s="456">
        <v>7789.6159803369237</v>
      </c>
      <c r="AF49" s="456">
        <v>3262.1330516257867</v>
      </c>
      <c r="AG49" s="456">
        <v>3025.7079823634995</v>
      </c>
      <c r="AH49" s="1048"/>
      <c r="AI49" s="65"/>
      <c r="AL49" s="1089"/>
      <c r="AM49" s="1090"/>
      <c r="AN49" s="1090"/>
      <c r="AO49" s="1090"/>
      <c r="AP49" s="1091"/>
      <c r="AQ49" s="259"/>
      <c r="AR49" s="466"/>
      <c r="AS49" s="283"/>
    </row>
    <row r="50" spans="5:70">
      <c r="E50" s="4108"/>
      <c r="F50" s="1377" t="s">
        <v>579</v>
      </c>
      <c r="G50" s="1086"/>
      <c r="H50" s="1087"/>
      <c r="I50" s="1087"/>
      <c r="J50" s="1087"/>
      <c r="K50" s="1088"/>
      <c r="L50" s="258">
        <f>SUM(L46:L49)</f>
        <v>715289.93</v>
      </c>
      <c r="M50" s="465">
        <f t="shared" ref="M50" si="51">SUM(M46:M49)</f>
        <v>0</v>
      </c>
      <c r="N50" s="465">
        <f t="shared" ref="N50" si="52">SUM(N46:N49)</f>
        <v>0</v>
      </c>
      <c r="O50" s="465">
        <f t="shared" ref="O50" si="53">SUM(O46:O49)</f>
        <v>0</v>
      </c>
      <c r="P50" s="282">
        <f t="shared" ref="P50" si="54">SUM(P46:P49)</f>
        <v>0</v>
      </c>
      <c r="Q50" s="965">
        <f t="shared" ref="Q50" si="55">SUM(Q46:Q49)</f>
        <v>0</v>
      </c>
      <c r="R50" s="465">
        <f t="shared" ref="R50" si="56">SUM(R46:R49)</f>
        <v>0</v>
      </c>
      <c r="S50" s="465">
        <f t="shared" ref="S50" si="57">SUM(S46:S49)</f>
        <v>0</v>
      </c>
      <c r="T50" s="465">
        <f t="shared" ref="T50" si="58">SUM(T46:T49)</f>
        <v>0</v>
      </c>
      <c r="U50" s="282">
        <f t="shared" ref="U50" si="59">SUM(U46:U49)</f>
        <v>0</v>
      </c>
      <c r="W50" s="258">
        <f t="shared" ref="W50" si="60">SUM(W46:W49)</f>
        <v>0</v>
      </c>
      <c r="X50" s="465">
        <f t="shared" ref="X50" si="61">SUM(X46:X49)</f>
        <v>0</v>
      </c>
      <c r="Y50" s="465">
        <f t="shared" ref="Y50" si="62">SUM(Y46:Y49)</f>
        <v>0</v>
      </c>
      <c r="Z50" s="465">
        <f t="shared" ref="Z50" si="63">SUM(Z46:Z49)</f>
        <v>0</v>
      </c>
      <c r="AA50" s="282">
        <f t="shared" ref="AA50" si="64">SUM(AA46:AA49)</f>
        <v>0</v>
      </c>
      <c r="AB50" s="992"/>
      <c r="AC50" s="258">
        <f t="shared" ref="AC50" si="65">SUM(AC46:AC49)</f>
        <v>6174.1077847480456</v>
      </c>
      <c r="AD50" s="465">
        <f t="shared" ref="AD50" si="66">SUM(AD46:AD49)</f>
        <v>5383.9052904048776</v>
      </c>
      <c r="AE50" s="465">
        <f t="shared" ref="AE50" si="67">SUM(AE46:AE49)</f>
        <v>7789.6159803369237</v>
      </c>
      <c r="AF50" s="465">
        <f t="shared" ref="AF50" si="68">SUM(AF46:AF49)</f>
        <v>3262.1330516257867</v>
      </c>
      <c r="AG50" s="465">
        <f t="shared" ref="AG50" si="69">SUM(AG46:AG49)</f>
        <v>3025.7079823634995</v>
      </c>
      <c r="AH50" s="1049">
        <f>SUM(L50:P50)/SUM(AC50:AG50)-1</f>
        <v>26.90235277540539</v>
      </c>
      <c r="AI50" s="65"/>
      <c r="AL50" s="1086"/>
      <c r="AM50" s="1087"/>
      <c r="AN50" s="1087"/>
      <c r="AO50" s="1087"/>
      <c r="AP50" s="1088"/>
      <c r="AQ50" s="258">
        <f>SUM(AQ47:AQ49)</f>
        <v>0</v>
      </c>
      <c r="AR50" s="465">
        <f t="shared" ref="AR50" si="70">SUM(AR47:AR49)</f>
        <v>0</v>
      </c>
      <c r="AS50" s="282"/>
    </row>
    <row r="51" spans="5:70" ht="13.5" thickBot="1">
      <c r="E51" s="4108"/>
      <c r="F51" s="1035" t="s">
        <v>583</v>
      </c>
      <c r="G51" s="255"/>
      <c r="H51" s="461"/>
      <c r="I51" s="461"/>
      <c r="J51" s="461"/>
      <c r="K51" s="281"/>
      <c r="L51" s="207"/>
      <c r="M51" s="456"/>
      <c r="N51" s="456"/>
      <c r="O51" s="456"/>
      <c r="P51" s="457"/>
      <c r="Q51" s="224"/>
      <c r="R51" s="456"/>
      <c r="S51" s="456"/>
      <c r="T51" s="456"/>
      <c r="U51" s="457"/>
      <c r="W51" s="207"/>
      <c r="X51" s="461"/>
      <c r="Y51" s="461"/>
      <c r="Z51" s="461"/>
      <c r="AA51" s="281"/>
      <c r="AB51" s="1041"/>
      <c r="AC51" s="207"/>
      <c r="AD51" s="456"/>
      <c r="AE51" s="456"/>
      <c r="AF51" s="456"/>
      <c r="AG51" s="456"/>
      <c r="AH51" s="1048"/>
      <c r="AI51" s="65"/>
      <c r="AL51" s="259"/>
      <c r="AM51" s="466"/>
      <c r="AN51" s="466"/>
      <c r="AO51" s="466"/>
      <c r="AP51" s="283"/>
      <c r="AQ51" s="259"/>
      <c r="AR51" s="466"/>
      <c r="AS51" s="283"/>
    </row>
    <row r="52" spans="5:70" ht="13.5" thickBot="1">
      <c r="E52" s="4108"/>
      <c r="F52" s="1380" t="s">
        <v>581</v>
      </c>
      <c r="G52" s="1599"/>
      <c r="H52" s="1600"/>
      <c r="I52" s="1600"/>
      <c r="J52" s="1600"/>
      <c r="K52" s="1601"/>
      <c r="L52" s="1599"/>
      <c r="M52" s="1600"/>
      <c r="N52" s="1600"/>
      <c r="O52" s="1600"/>
      <c r="P52" s="1601"/>
      <c r="Q52" s="1602"/>
      <c r="R52" s="1600"/>
      <c r="S52" s="1600"/>
      <c r="T52" s="1600"/>
      <c r="U52" s="1601"/>
      <c r="V52" s="1172"/>
      <c r="W52" s="1614"/>
      <c r="X52" s="1615"/>
      <c r="Y52" s="1615"/>
      <c r="Z52" s="1615"/>
      <c r="AA52" s="1615"/>
      <c r="AB52" s="1615"/>
      <c r="AC52" s="1615"/>
      <c r="AD52" s="1615"/>
      <c r="AE52" s="1615"/>
      <c r="AF52" s="1615"/>
      <c r="AG52" s="1615"/>
      <c r="AH52" s="1616"/>
      <c r="AI52" s="65"/>
      <c r="AL52" s="259"/>
      <c r="AM52" s="466"/>
      <c r="AN52" s="466"/>
      <c r="AO52" s="466"/>
      <c r="AP52" s="283"/>
      <c r="AQ52" s="259"/>
      <c r="AR52" s="466"/>
      <c r="AS52" s="283"/>
    </row>
    <row r="53" spans="5:70">
      <c r="E53" s="4108"/>
      <c r="F53" s="1378" t="s">
        <v>584</v>
      </c>
      <c r="G53" s="1050">
        <v>0</v>
      </c>
      <c r="H53" s="1051">
        <v>0</v>
      </c>
      <c r="I53" s="1051">
        <v>0</v>
      </c>
      <c r="J53" s="1051">
        <v>0</v>
      </c>
      <c r="K53" s="1052">
        <v>0</v>
      </c>
      <c r="L53" s="1050">
        <f>SUM(L50:L52)</f>
        <v>715289.93</v>
      </c>
      <c r="M53" s="1051">
        <f t="shared" ref="M53" si="71">SUM(M50:M52)</f>
        <v>0</v>
      </c>
      <c r="N53" s="1051">
        <f t="shared" ref="N53" si="72">SUM(N50:N52)</f>
        <v>0</v>
      </c>
      <c r="O53" s="1051">
        <f t="shared" ref="O53" si="73">SUM(O50:O52)</f>
        <v>0</v>
      </c>
      <c r="P53" s="1052">
        <f t="shared" ref="P53" si="74">SUM(P50:P52)</f>
        <v>0</v>
      </c>
      <c r="Q53" s="1092">
        <f t="shared" ref="Q53" si="75">SUM(Q50:Q52)</f>
        <v>0</v>
      </c>
      <c r="R53" s="1051">
        <f t="shared" ref="R53" si="76">SUM(R50:R52)</f>
        <v>0</v>
      </c>
      <c r="S53" s="1051">
        <f t="shared" ref="S53" si="77">SUM(S50:S52)</f>
        <v>0</v>
      </c>
      <c r="T53" s="1051">
        <f t="shared" ref="T53" si="78">SUM(T50:T52)</f>
        <v>0</v>
      </c>
      <c r="U53" s="1052">
        <f t="shared" ref="U53" si="79">SUM(U50:U52)</f>
        <v>0</v>
      </c>
      <c r="W53" s="1050">
        <f t="shared" ref="W53" si="80">SUM(W50:W52)</f>
        <v>0</v>
      </c>
      <c r="X53" s="1051">
        <f t="shared" ref="X53" si="81">SUM(X50:X52)</f>
        <v>0</v>
      </c>
      <c r="Y53" s="1051">
        <f t="shared" ref="Y53" si="82">SUM(Y50:Y52)</f>
        <v>0</v>
      </c>
      <c r="Z53" s="1051">
        <f t="shared" ref="Z53" si="83">SUM(Z50:Z52)</f>
        <v>0</v>
      </c>
      <c r="AA53" s="1052">
        <f t="shared" ref="AA53" si="84">SUM(AA50:AA52)</f>
        <v>0</v>
      </c>
      <c r="AB53" s="1053"/>
      <c r="AC53" s="1050">
        <f t="shared" ref="AC53" si="85">SUM(AC50:AC52)</f>
        <v>6174.1077847480456</v>
      </c>
      <c r="AD53" s="1051">
        <f t="shared" ref="AD53" si="86">SUM(AD50:AD52)</f>
        <v>5383.9052904048776</v>
      </c>
      <c r="AE53" s="1051">
        <f t="shared" ref="AE53" si="87">SUM(AE50:AE52)</f>
        <v>7789.6159803369237</v>
      </c>
      <c r="AF53" s="1051">
        <f t="shared" ref="AF53" si="88">SUM(AF50:AF52)</f>
        <v>3262.1330516257867</v>
      </c>
      <c r="AG53" s="1051">
        <f t="shared" ref="AG53" si="89">SUM(AG50:AG52)</f>
        <v>3025.7079823634995</v>
      </c>
      <c r="AH53" s="1054">
        <f>SUM(L53:P53)/SUM(AC53:AG53)-1</f>
        <v>26.90235277540539</v>
      </c>
      <c r="AI53" s="65"/>
      <c r="AJ53" s="130"/>
      <c r="AK53" s="130"/>
      <c r="AL53" s="1050">
        <f t="shared" ref="AL53:AR53" si="90">SUM(AL51:AL52)</f>
        <v>0</v>
      </c>
      <c r="AM53" s="1051">
        <f t="shared" si="90"/>
        <v>0</v>
      </c>
      <c r="AN53" s="1051">
        <f t="shared" si="90"/>
        <v>0</v>
      </c>
      <c r="AO53" s="1051">
        <f t="shared" si="90"/>
        <v>0</v>
      </c>
      <c r="AP53" s="1052">
        <f t="shared" si="90"/>
        <v>0</v>
      </c>
      <c r="AQ53" s="1050">
        <f t="shared" si="90"/>
        <v>0</v>
      </c>
      <c r="AR53" s="1051">
        <f t="shared" si="90"/>
        <v>0</v>
      </c>
      <c r="AS53" s="1052"/>
      <c r="AT53" s="130"/>
      <c r="AU53" s="130"/>
      <c r="AV53" s="130"/>
      <c r="AW53" s="130"/>
      <c r="AX53" s="130"/>
      <c r="AY53" s="130"/>
      <c r="AZ53" s="130"/>
      <c r="BA53" s="130"/>
      <c r="BB53" s="130"/>
      <c r="BC53" s="130"/>
      <c r="BD53" s="130"/>
      <c r="BE53" s="130"/>
      <c r="BF53" s="130"/>
      <c r="BG53" s="130"/>
      <c r="BH53" s="130"/>
      <c r="BI53" s="130"/>
      <c r="BJ53" s="130"/>
      <c r="BK53" s="130"/>
      <c r="BL53" s="130"/>
      <c r="BM53" s="130"/>
      <c r="BN53" s="130"/>
      <c r="BO53" s="130"/>
      <c r="BP53" s="130"/>
      <c r="BQ53" s="130"/>
      <c r="BR53" s="130"/>
    </row>
    <row r="54" spans="5:70">
      <c r="E54" s="4108"/>
      <c r="F54" s="1389" t="s">
        <v>35</v>
      </c>
      <c r="G54" s="255"/>
      <c r="H54" s="461"/>
      <c r="I54" s="461"/>
      <c r="J54" s="461"/>
      <c r="K54" s="281"/>
      <c r="L54" s="255"/>
      <c r="M54" s="461"/>
      <c r="N54" s="461"/>
      <c r="O54" s="461"/>
      <c r="P54" s="281"/>
      <c r="Q54" s="956"/>
      <c r="R54" s="461"/>
      <c r="S54" s="461"/>
      <c r="T54" s="461"/>
      <c r="U54" s="281"/>
      <c r="W54" s="255"/>
      <c r="X54" s="461"/>
      <c r="Y54" s="461"/>
      <c r="Z54" s="461"/>
      <c r="AA54" s="281"/>
      <c r="AB54" s="1004"/>
      <c r="AC54" s="255"/>
      <c r="AD54" s="461"/>
      <c r="AE54" s="461"/>
      <c r="AF54" s="461"/>
      <c r="AG54" s="461"/>
      <c r="AH54" s="1047"/>
      <c r="AI54" s="65"/>
      <c r="AL54" s="259"/>
      <c r="AM54" s="466"/>
      <c r="AN54" s="466"/>
      <c r="AO54" s="466"/>
      <c r="AP54" s="283"/>
      <c r="AQ54" s="259"/>
      <c r="AR54" s="466"/>
      <c r="AS54" s="283"/>
    </row>
    <row r="55" spans="5:70" ht="13.5" thickBot="1">
      <c r="E55" s="4109"/>
      <c r="F55" s="1387" t="s">
        <v>585</v>
      </c>
      <c r="G55" s="1055">
        <v>0</v>
      </c>
      <c r="H55" s="1056">
        <v>0</v>
      </c>
      <c r="I55" s="1056">
        <v>0</v>
      </c>
      <c r="J55" s="1056">
        <v>0</v>
      </c>
      <c r="K55" s="1057">
        <v>0</v>
      </c>
      <c r="L55" s="1567">
        <f>L53-L54</f>
        <v>715289.93</v>
      </c>
      <c r="M55" s="1056">
        <f t="shared" ref="M55" si="91">M53-M54</f>
        <v>0</v>
      </c>
      <c r="N55" s="1056">
        <f t="shared" ref="N55" si="92">N53-N54</f>
        <v>0</v>
      </c>
      <c r="O55" s="1056">
        <f t="shared" ref="O55" si="93">O53-O54</f>
        <v>0</v>
      </c>
      <c r="P55" s="1057">
        <f t="shared" ref="P55" si="94">P53-P54</f>
        <v>0</v>
      </c>
      <c r="Q55" s="1093">
        <f t="shared" ref="Q55" si="95">Q53-Q54</f>
        <v>0</v>
      </c>
      <c r="R55" s="1056">
        <f t="shared" ref="R55" si="96">R53-R54</f>
        <v>0</v>
      </c>
      <c r="S55" s="1056">
        <f t="shared" ref="S55" si="97">S53-S54</f>
        <v>0</v>
      </c>
      <c r="T55" s="1056">
        <f t="shared" ref="T55" si="98">T53-T54</f>
        <v>0</v>
      </c>
      <c r="U55" s="1057">
        <f t="shared" ref="U55" si="99">U53-U54</f>
        <v>0</v>
      </c>
      <c r="W55" s="1055">
        <f t="shared" ref="W55" si="100">W53-W54</f>
        <v>0</v>
      </c>
      <c r="X55" s="1056">
        <f t="shared" ref="X55" si="101">X53-X54</f>
        <v>0</v>
      </c>
      <c r="Y55" s="1056">
        <f t="shared" ref="Y55" si="102">Y53-Y54</f>
        <v>0</v>
      </c>
      <c r="Z55" s="1056">
        <f t="shared" ref="Z55" si="103">Z53-Z54</f>
        <v>0</v>
      </c>
      <c r="AA55" s="1057">
        <f t="shared" ref="AA55" si="104">AA53-AA54</f>
        <v>0</v>
      </c>
      <c r="AB55" s="1058"/>
      <c r="AC55" s="1055">
        <f t="shared" ref="AC55" si="105">AC53-AC54</f>
        <v>6174.1077847480456</v>
      </c>
      <c r="AD55" s="1056">
        <f t="shared" ref="AD55" si="106">AD53-AD54</f>
        <v>5383.9052904048776</v>
      </c>
      <c r="AE55" s="1056">
        <f t="shared" ref="AE55" si="107">AE53-AE54</f>
        <v>7789.6159803369237</v>
      </c>
      <c r="AF55" s="1056">
        <f t="shared" ref="AF55" si="108">AF53-AF54</f>
        <v>3262.1330516257867</v>
      </c>
      <c r="AG55" s="1056">
        <f t="shared" ref="AG55" si="109">AG53-AG54</f>
        <v>3025.7079823634995</v>
      </c>
      <c r="AH55" s="1059">
        <f t="shared" ref="AH55" si="110">SUM(L55:P55)/SUM(AC55:AG55)-1</f>
        <v>26.90235277540539</v>
      </c>
      <c r="AI55" s="65"/>
      <c r="AL55" s="1567">
        <f>AL53-AL54</f>
        <v>0</v>
      </c>
      <c r="AM55" s="1056">
        <f t="shared" ref="AM55:AR55" si="111">AM53-AM54</f>
        <v>0</v>
      </c>
      <c r="AN55" s="1056">
        <f t="shared" si="111"/>
        <v>0</v>
      </c>
      <c r="AO55" s="1056">
        <f t="shared" si="111"/>
        <v>0</v>
      </c>
      <c r="AP55" s="1057">
        <f t="shared" si="111"/>
        <v>0</v>
      </c>
      <c r="AQ55" s="1567">
        <f t="shared" si="111"/>
        <v>0</v>
      </c>
      <c r="AR55" s="1056">
        <f t="shared" si="111"/>
        <v>0</v>
      </c>
      <c r="AS55" s="1057"/>
    </row>
    <row r="56" spans="5:70" ht="12.75" customHeight="1">
      <c r="E56" s="4107" t="s">
        <v>1479</v>
      </c>
      <c r="F56" s="433" t="s">
        <v>111</v>
      </c>
      <c r="G56" s="1086"/>
      <c r="H56" s="1087"/>
      <c r="I56" s="1087"/>
      <c r="J56" s="1087"/>
      <c r="K56" s="1088"/>
      <c r="L56" s="258"/>
      <c r="M56" s="465"/>
      <c r="N56" s="465"/>
      <c r="O56" s="465"/>
      <c r="P56" s="282"/>
      <c r="Q56" s="965"/>
      <c r="R56" s="465"/>
      <c r="S56" s="465"/>
      <c r="T56" s="465"/>
      <c r="U56" s="282"/>
      <c r="W56" s="1043"/>
      <c r="X56" s="421"/>
      <c r="Y56" s="421"/>
      <c r="Z56" s="421"/>
      <c r="AA56" s="1044"/>
      <c r="AB56" s="1045"/>
      <c r="AC56" s="1043"/>
      <c r="AD56" s="421"/>
      <c r="AE56" s="421"/>
      <c r="AF56" s="421"/>
      <c r="AG56" s="421"/>
      <c r="AH56" s="1046"/>
      <c r="AI56" s="65"/>
      <c r="AL56" s="1086"/>
      <c r="AM56" s="1087"/>
      <c r="AN56" s="1087"/>
      <c r="AO56" s="1087"/>
      <c r="AP56" s="1088"/>
      <c r="AQ56" s="258"/>
      <c r="AR56" s="465"/>
      <c r="AS56" s="282"/>
    </row>
    <row r="57" spans="5:70" ht="12.75" customHeight="1">
      <c r="E57" s="4108"/>
      <c r="F57" s="1374" t="s">
        <v>588</v>
      </c>
      <c r="G57" s="1083"/>
      <c r="H57" s="1084"/>
      <c r="I57" s="1084"/>
      <c r="J57" s="1084"/>
      <c r="K57" s="1085"/>
      <c r="L57" s="255">
        <v>1830</v>
      </c>
      <c r="M57" s="461"/>
      <c r="N57" s="461"/>
      <c r="O57" s="461"/>
      <c r="P57" s="281"/>
      <c r="Q57" s="956"/>
      <c r="R57" s="461"/>
      <c r="S57" s="461"/>
      <c r="T57" s="461"/>
      <c r="U57" s="281"/>
      <c r="W57" s="255"/>
      <c r="X57" s="461"/>
      <c r="Y57" s="461"/>
      <c r="Z57" s="461"/>
      <c r="AA57" s="281"/>
      <c r="AB57" s="1041"/>
      <c r="AC57" s="255"/>
      <c r="AD57" s="461"/>
      <c r="AE57" s="461"/>
      <c r="AF57" s="461"/>
      <c r="AG57" s="461"/>
      <c r="AH57" s="1047"/>
      <c r="AI57" s="65"/>
      <c r="AL57" s="1083"/>
      <c r="AM57" s="1084"/>
      <c r="AN57" s="1084"/>
      <c r="AO57" s="1084"/>
      <c r="AP57" s="1085"/>
      <c r="AQ57" s="259"/>
      <c r="AR57" s="466"/>
      <c r="AS57" s="283"/>
    </row>
    <row r="58" spans="5:70" ht="12.75" customHeight="1">
      <c r="E58" s="4108"/>
      <c r="F58" s="1374" t="s">
        <v>589</v>
      </c>
      <c r="G58" s="1083"/>
      <c r="H58" s="1084"/>
      <c r="I58" s="1084"/>
      <c r="J58" s="1084"/>
      <c r="K58" s="1085"/>
      <c r="L58" s="255"/>
      <c r="M58" s="461"/>
      <c r="N58" s="461"/>
      <c r="O58" s="461"/>
      <c r="P58" s="281"/>
      <c r="Q58" s="956"/>
      <c r="R58" s="461"/>
      <c r="S58" s="461"/>
      <c r="T58" s="461"/>
      <c r="U58" s="281"/>
      <c r="W58" s="255"/>
      <c r="X58" s="461"/>
      <c r="Y58" s="461"/>
      <c r="Z58" s="461"/>
      <c r="AA58" s="281"/>
      <c r="AB58" s="1041"/>
      <c r="AC58" s="255"/>
      <c r="AD58" s="461"/>
      <c r="AE58" s="461"/>
      <c r="AF58" s="461"/>
      <c r="AG58" s="461"/>
      <c r="AH58" s="1047"/>
      <c r="AI58" s="65"/>
      <c r="AL58" s="1083"/>
      <c r="AM58" s="1084"/>
      <c r="AN58" s="1084"/>
      <c r="AO58" s="1084"/>
      <c r="AP58" s="1085"/>
      <c r="AQ58" s="259"/>
      <c r="AR58" s="466"/>
      <c r="AS58" s="283"/>
    </row>
    <row r="59" spans="5:70" ht="12.75" customHeight="1">
      <c r="E59" s="4108"/>
      <c r="F59" s="1374" t="s">
        <v>590</v>
      </c>
      <c r="G59" s="1083"/>
      <c r="H59" s="1084"/>
      <c r="I59" s="1084"/>
      <c r="J59" s="1084"/>
      <c r="K59" s="1085"/>
      <c r="L59" s="255"/>
      <c r="M59" s="461"/>
      <c r="N59" s="461"/>
      <c r="O59" s="461"/>
      <c r="P59" s="281"/>
      <c r="Q59" s="956"/>
      <c r="R59" s="461"/>
      <c r="S59" s="461"/>
      <c r="T59" s="461"/>
      <c r="U59" s="281"/>
      <c r="W59" s="255"/>
      <c r="X59" s="461"/>
      <c r="Y59" s="461"/>
      <c r="Z59" s="461"/>
      <c r="AA59" s="281"/>
      <c r="AB59" s="1041"/>
      <c r="AC59" s="255"/>
      <c r="AD59" s="461"/>
      <c r="AE59" s="461"/>
      <c r="AF59" s="461"/>
      <c r="AG59" s="461"/>
      <c r="AH59" s="1047"/>
      <c r="AI59" s="65"/>
      <c r="AL59" s="1083"/>
      <c r="AM59" s="1084"/>
      <c r="AN59" s="1084"/>
      <c r="AO59" s="1084"/>
      <c r="AP59" s="1085"/>
      <c r="AQ59" s="259"/>
      <c r="AR59" s="466"/>
      <c r="AS59" s="283"/>
    </row>
    <row r="60" spans="5:70" ht="12.75" customHeight="1">
      <c r="E60" s="4108"/>
      <c r="F60" s="1374" t="s">
        <v>591</v>
      </c>
      <c r="G60" s="1083"/>
      <c r="H60" s="1084"/>
      <c r="I60" s="1084"/>
      <c r="J60" s="1084"/>
      <c r="K60" s="1085"/>
      <c r="L60" s="255"/>
      <c r="M60" s="461"/>
      <c r="N60" s="461"/>
      <c r="O60" s="461"/>
      <c r="P60" s="281"/>
      <c r="Q60" s="956"/>
      <c r="R60" s="461"/>
      <c r="S60" s="461"/>
      <c r="T60" s="461"/>
      <c r="U60" s="281"/>
      <c r="W60" s="255"/>
      <c r="X60" s="461"/>
      <c r="Y60" s="461"/>
      <c r="Z60" s="461"/>
      <c r="AA60" s="281"/>
      <c r="AB60" s="1041"/>
      <c r="AC60" s="255"/>
      <c r="AD60" s="461"/>
      <c r="AE60" s="461"/>
      <c r="AF60" s="461"/>
      <c r="AG60" s="461"/>
      <c r="AH60" s="1047"/>
      <c r="AI60" s="65"/>
      <c r="AL60" s="1083"/>
      <c r="AM60" s="1084"/>
      <c r="AN60" s="1084"/>
      <c r="AO60" s="1084"/>
      <c r="AP60" s="1085"/>
      <c r="AQ60" s="259"/>
      <c r="AR60" s="466"/>
      <c r="AS60" s="283"/>
    </row>
    <row r="61" spans="5:70" ht="12.75" customHeight="1">
      <c r="E61" s="4108"/>
      <c r="F61" s="1374" t="s">
        <v>592</v>
      </c>
      <c r="G61" s="1083"/>
      <c r="H61" s="1084"/>
      <c r="I61" s="1084"/>
      <c r="J61" s="1084"/>
      <c r="K61" s="1085"/>
      <c r="L61" s="207"/>
      <c r="M61" s="456"/>
      <c r="N61" s="456"/>
      <c r="O61" s="456"/>
      <c r="P61" s="457"/>
      <c r="Q61" s="224"/>
      <c r="R61" s="456"/>
      <c r="S61" s="456"/>
      <c r="T61" s="456"/>
      <c r="U61" s="457"/>
      <c r="W61" s="207">
        <v>0</v>
      </c>
      <c r="X61" s="456">
        <v>0</v>
      </c>
      <c r="Y61" s="456">
        <v>0</v>
      </c>
      <c r="Z61" s="456">
        <v>0</v>
      </c>
      <c r="AA61" s="457">
        <v>0</v>
      </c>
      <c r="AB61" s="1041"/>
      <c r="AC61" s="207">
        <v>0</v>
      </c>
      <c r="AD61" s="456">
        <v>0</v>
      </c>
      <c r="AE61" s="456">
        <v>0</v>
      </c>
      <c r="AF61" s="456">
        <v>0</v>
      </c>
      <c r="AG61" s="456">
        <v>0</v>
      </c>
      <c r="AH61" s="1048"/>
      <c r="AI61" s="65"/>
      <c r="AL61" s="1083"/>
      <c r="AM61" s="1084"/>
      <c r="AN61" s="1084"/>
      <c r="AO61" s="1084"/>
      <c r="AP61" s="1085"/>
      <c r="AQ61" s="207">
        <f>SUM(AQ56:AQ60)</f>
        <v>0</v>
      </c>
      <c r="AR61" s="456">
        <f t="shared" ref="AR61" si="112">SUM(AR56:AR60)</f>
        <v>0</v>
      </c>
      <c r="AS61" s="457"/>
    </row>
    <row r="62" spans="5:70">
      <c r="E62" s="4108"/>
      <c r="F62" s="1375" t="s">
        <v>587</v>
      </c>
      <c r="G62" s="1086"/>
      <c r="H62" s="1087"/>
      <c r="I62" s="1087"/>
      <c r="J62" s="1087"/>
      <c r="K62" s="1088"/>
      <c r="L62" s="258">
        <f>SUM(L57:L61)</f>
        <v>1830</v>
      </c>
      <c r="M62" s="465">
        <f t="shared" ref="M62" si="113">SUM(M57:M61)</f>
        <v>0</v>
      </c>
      <c r="N62" s="465">
        <f t="shared" ref="N62" si="114">SUM(N57:N61)</f>
        <v>0</v>
      </c>
      <c r="O62" s="465">
        <f t="shared" ref="O62" si="115">SUM(O57:O61)</f>
        <v>0</v>
      </c>
      <c r="P62" s="282">
        <f t="shared" ref="P62" si="116">SUM(P57:P61)</f>
        <v>0</v>
      </c>
      <c r="Q62" s="965">
        <f t="shared" ref="Q62" si="117">SUM(Q57:Q61)</f>
        <v>0</v>
      </c>
      <c r="R62" s="465">
        <f t="shared" ref="R62" si="118">SUM(R57:R61)</f>
        <v>0</v>
      </c>
      <c r="S62" s="465">
        <f t="shared" ref="S62" si="119">SUM(S57:S61)</f>
        <v>0</v>
      </c>
      <c r="T62" s="465">
        <f t="shared" ref="T62" si="120">SUM(T57:T61)</f>
        <v>0</v>
      </c>
      <c r="U62" s="282">
        <f t="shared" ref="U62" si="121">SUM(U57:U61)</f>
        <v>0</v>
      </c>
      <c r="W62" s="258">
        <f t="shared" ref="W62" si="122">SUM(W57:W61)</f>
        <v>0</v>
      </c>
      <c r="X62" s="465">
        <f t="shared" ref="X62" si="123">SUM(X57:X61)</f>
        <v>0</v>
      </c>
      <c r="Y62" s="465">
        <f t="shared" ref="Y62" si="124">SUM(Y57:Y61)</f>
        <v>0</v>
      </c>
      <c r="Z62" s="465">
        <f t="shared" ref="Z62" si="125">SUM(Z57:Z61)</f>
        <v>0</v>
      </c>
      <c r="AA62" s="282">
        <f t="shared" ref="AA62" si="126">SUM(AA57:AA61)</f>
        <v>0</v>
      </c>
      <c r="AB62" s="992"/>
      <c r="AC62" s="258">
        <f t="shared" ref="AC62" si="127">SUM(AC57:AC61)</f>
        <v>0</v>
      </c>
      <c r="AD62" s="465">
        <f t="shared" ref="AD62" si="128">SUM(AD57:AD61)</f>
        <v>0</v>
      </c>
      <c r="AE62" s="465">
        <f t="shared" ref="AE62" si="129">SUM(AE57:AE61)</f>
        <v>0</v>
      </c>
      <c r="AF62" s="465">
        <f t="shared" ref="AF62" si="130">SUM(AF57:AF61)</f>
        <v>0</v>
      </c>
      <c r="AG62" s="465">
        <f t="shared" ref="AG62" si="131">SUM(AG57:AG61)</f>
        <v>0</v>
      </c>
      <c r="AH62" s="1049"/>
      <c r="AI62" s="65"/>
      <c r="AL62" s="1086"/>
      <c r="AM62" s="1087"/>
      <c r="AN62" s="1087"/>
      <c r="AO62" s="1087"/>
      <c r="AP62" s="1088"/>
      <c r="AQ62" s="258"/>
      <c r="AR62" s="465"/>
      <c r="AS62" s="282"/>
    </row>
    <row r="63" spans="5:70">
      <c r="E63" s="4108"/>
      <c r="F63" s="1376" t="s">
        <v>593</v>
      </c>
      <c r="G63" s="1083"/>
      <c r="H63" s="1084"/>
      <c r="I63" s="1084"/>
      <c r="J63" s="1084"/>
      <c r="K63" s="1085"/>
      <c r="L63" s="255"/>
      <c r="M63" s="461"/>
      <c r="N63" s="461"/>
      <c r="O63" s="461"/>
      <c r="P63" s="281"/>
      <c r="Q63" s="956"/>
      <c r="R63" s="461"/>
      <c r="S63" s="461"/>
      <c r="T63" s="461"/>
      <c r="U63" s="281"/>
      <c r="W63" s="255"/>
      <c r="X63" s="461"/>
      <c r="Y63" s="461"/>
      <c r="Z63" s="461"/>
      <c r="AA63" s="281"/>
      <c r="AB63" s="1041"/>
      <c r="AC63" s="255"/>
      <c r="AD63" s="461"/>
      <c r="AE63" s="461"/>
      <c r="AF63" s="461"/>
      <c r="AG63" s="461"/>
      <c r="AH63" s="1047"/>
      <c r="AI63" s="65"/>
      <c r="AL63" s="1083"/>
      <c r="AM63" s="1084"/>
      <c r="AN63" s="1084"/>
      <c r="AO63" s="1084"/>
      <c r="AP63" s="1085"/>
      <c r="AQ63" s="259"/>
      <c r="AR63" s="466"/>
      <c r="AS63" s="283"/>
    </row>
    <row r="64" spans="5:70">
      <c r="E64" s="4108"/>
      <c r="F64" s="431" t="s">
        <v>558</v>
      </c>
      <c r="G64" s="1083"/>
      <c r="H64" s="1084"/>
      <c r="I64" s="1084"/>
      <c r="J64" s="1084"/>
      <c r="K64" s="1085"/>
      <c r="L64" s="255">
        <v>383366.05</v>
      </c>
      <c r="M64" s="461"/>
      <c r="N64" s="461"/>
      <c r="O64" s="461"/>
      <c r="P64" s="281"/>
      <c r="Q64" s="956"/>
      <c r="R64" s="461"/>
      <c r="S64" s="461"/>
      <c r="T64" s="461"/>
      <c r="U64" s="281"/>
      <c r="W64" s="255"/>
      <c r="X64" s="461"/>
      <c r="Y64" s="461"/>
      <c r="Z64" s="461"/>
      <c r="AA64" s="281"/>
      <c r="AB64" s="1041"/>
      <c r="AC64" s="255"/>
      <c r="AD64" s="461"/>
      <c r="AE64" s="461"/>
      <c r="AF64" s="461"/>
      <c r="AG64" s="461"/>
      <c r="AH64" s="1047"/>
      <c r="AI64" s="65"/>
      <c r="AL64" s="1083"/>
      <c r="AM64" s="1084"/>
      <c r="AN64" s="1084"/>
      <c r="AO64" s="1084"/>
      <c r="AP64" s="1085"/>
      <c r="AQ64" s="259"/>
      <c r="AR64" s="466"/>
      <c r="AS64" s="283"/>
    </row>
    <row r="65" spans="5:70">
      <c r="E65" s="4108"/>
      <c r="F65" s="431" t="s">
        <v>559</v>
      </c>
      <c r="G65" s="1083"/>
      <c r="H65" s="1084"/>
      <c r="I65" s="1084"/>
      <c r="J65" s="1084"/>
      <c r="K65" s="1085"/>
      <c r="L65" s="255"/>
      <c r="M65" s="461"/>
      <c r="N65" s="461"/>
      <c r="O65" s="461"/>
      <c r="P65" s="281"/>
      <c r="Q65" s="956"/>
      <c r="R65" s="461"/>
      <c r="S65" s="461"/>
      <c r="T65" s="461"/>
      <c r="U65" s="281"/>
      <c r="W65" s="255"/>
      <c r="X65" s="461"/>
      <c r="Y65" s="461"/>
      <c r="Z65" s="461"/>
      <c r="AA65" s="281"/>
      <c r="AB65" s="1041"/>
      <c r="AC65" s="255"/>
      <c r="AD65" s="461"/>
      <c r="AE65" s="461"/>
      <c r="AF65" s="461"/>
      <c r="AG65" s="461"/>
      <c r="AH65" s="1047"/>
      <c r="AI65" s="65"/>
      <c r="AL65" s="1083"/>
      <c r="AM65" s="1084"/>
      <c r="AN65" s="1084"/>
      <c r="AO65" s="1084"/>
      <c r="AP65" s="1085"/>
      <c r="AQ65" s="259"/>
      <c r="AR65" s="466"/>
      <c r="AS65" s="283"/>
    </row>
    <row r="66" spans="5:70">
      <c r="E66" s="4108"/>
      <c r="F66" s="431" t="s">
        <v>578</v>
      </c>
      <c r="G66" s="1089"/>
      <c r="H66" s="1090"/>
      <c r="I66" s="1090"/>
      <c r="J66" s="1090"/>
      <c r="K66" s="1091"/>
      <c r="L66" s="259"/>
      <c r="M66" s="456"/>
      <c r="N66" s="456"/>
      <c r="O66" s="456"/>
      <c r="P66" s="457"/>
      <c r="Q66" s="224"/>
      <c r="R66" s="456"/>
      <c r="S66" s="456"/>
      <c r="T66" s="456"/>
      <c r="U66" s="457"/>
      <c r="W66" s="207"/>
      <c r="X66" s="456"/>
      <c r="Y66" s="456"/>
      <c r="Z66" s="456"/>
      <c r="AA66" s="457"/>
      <c r="AB66" s="1041"/>
      <c r="AC66" s="207"/>
      <c r="AD66" s="456"/>
      <c r="AE66" s="456"/>
      <c r="AF66" s="456"/>
      <c r="AG66" s="456"/>
      <c r="AH66" s="1048"/>
      <c r="AI66" s="65"/>
      <c r="AL66" s="1089"/>
      <c r="AM66" s="1090"/>
      <c r="AN66" s="1090"/>
      <c r="AO66" s="1090"/>
      <c r="AP66" s="1091"/>
      <c r="AQ66" s="259"/>
      <c r="AR66" s="456"/>
      <c r="AS66" s="457"/>
    </row>
    <row r="67" spans="5:70">
      <c r="E67" s="4108"/>
      <c r="F67" s="1377" t="s">
        <v>579</v>
      </c>
      <c r="G67" s="1086"/>
      <c r="H67" s="1087"/>
      <c r="I67" s="1087"/>
      <c r="J67" s="1087"/>
      <c r="K67" s="1088"/>
      <c r="L67" s="258">
        <f>SUM(L63:L66)</f>
        <v>383366.05</v>
      </c>
      <c r="M67" s="465">
        <f t="shared" ref="M67" si="132">SUM(M63:M66)</f>
        <v>0</v>
      </c>
      <c r="N67" s="465">
        <f t="shared" ref="N67" si="133">SUM(N63:N66)</f>
        <v>0</v>
      </c>
      <c r="O67" s="465">
        <f t="shared" ref="O67" si="134">SUM(O63:O66)</f>
        <v>0</v>
      </c>
      <c r="P67" s="282">
        <f t="shared" ref="P67" si="135">SUM(P63:P66)</f>
        <v>0</v>
      </c>
      <c r="Q67" s="965">
        <f t="shared" ref="Q67" si="136">SUM(Q63:Q66)</f>
        <v>0</v>
      </c>
      <c r="R67" s="465">
        <f t="shared" ref="R67" si="137">SUM(R63:R66)</f>
        <v>0</v>
      </c>
      <c r="S67" s="465">
        <f t="shared" ref="S67" si="138">SUM(S63:S66)</f>
        <v>0</v>
      </c>
      <c r="T67" s="465">
        <f t="shared" ref="T67" si="139">SUM(T63:T66)</f>
        <v>0</v>
      </c>
      <c r="U67" s="282">
        <f t="shared" ref="U67" si="140">SUM(U63:U66)</f>
        <v>0</v>
      </c>
      <c r="W67" s="258">
        <f t="shared" ref="W67" si="141">SUM(W63:W66)</f>
        <v>0</v>
      </c>
      <c r="X67" s="465">
        <f t="shared" ref="X67" si="142">SUM(X63:X66)</f>
        <v>0</v>
      </c>
      <c r="Y67" s="465">
        <f t="shared" ref="Y67" si="143">SUM(Y63:Y66)</f>
        <v>0</v>
      </c>
      <c r="Z67" s="465">
        <f t="shared" ref="Z67" si="144">SUM(Z63:Z66)</f>
        <v>0</v>
      </c>
      <c r="AA67" s="282">
        <f t="shared" ref="AA67" si="145">SUM(AA63:AA66)</f>
        <v>0</v>
      </c>
      <c r="AB67" s="992"/>
      <c r="AC67" s="258">
        <f t="shared" ref="AC67" si="146">SUM(AC63:AC66)</f>
        <v>0</v>
      </c>
      <c r="AD67" s="465">
        <f t="shared" ref="AD67" si="147">SUM(AD63:AD66)</f>
        <v>0</v>
      </c>
      <c r="AE67" s="465">
        <f t="shared" ref="AE67" si="148">SUM(AE63:AE66)</f>
        <v>0</v>
      </c>
      <c r="AF67" s="465">
        <f t="shared" ref="AF67" si="149">SUM(AF63:AF66)</f>
        <v>0</v>
      </c>
      <c r="AG67" s="465">
        <f t="shared" ref="AG67" si="150">SUM(AG63:AG66)</f>
        <v>0</v>
      </c>
      <c r="AH67" s="1049"/>
      <c r="AI67" s="65"/>
      <c r="AL67" s="1086"/>
      <c r="AM67" s="1087"/>
      <c r="AN67" s="1087"/>
      <c r="AO67" s="1087"/>
      <c r="AP67" s="1088"/>
      <c r="AQ67" s="258">
        <f>SUM(AQ64:AQ66)</f>
        <v>0</v>
      </c>
      <c r="AR67" s="465">
        <f t="shared" ref="AR67" si="151">SUM(AR64:AR66)</f>
        <v>0</v>
      </c>
      <c r="AS67" s="282"/>
    </row>
    <row r="68" spans="5:70" ht="13.5" thickBot="1">
      <c r="E68" s="4109"/>
      <c r="F68" s="1385" t="s">
        <v>583</v>
      </c>
      <c r="G68" s="255"/>
      <c r="H68" s="461"/>
      <c r="I68" s="461"/>
      <c r="J68" s="461"/>
      <c r="K68" s="281"/>
      <c r="L68" s="207"/>
      <c r="M68" s="456"/>
      <c r="N68" s="456"/>
      <c r="O68" s="456"/>
      <c r="P68" s="457"/>
      <c r="Q68" s="224"/>
      <c r="R68" s="456"/>
      <c r="S68" s="456"/>
      <c r="T68" s="456"/>
      <c r="U68" s="457"/>
      <c r="W68" s="207"/>
      <c r="X68" s="461"/>
      <c r="Y68" s="461"/>
      <c r="Z68" s="461"/>
      <c r="AA68" s="281"/>
      <c r="AB68" s="1041"/>
      <c r="AC68" s="207"/>
      <c r="AD68" s="456"/>
      <c r="AE68" s="456"/>
      <c r="AF68" s="456"/>
      <c r="AG68" s="456"/>
      <c r="AH68" s="1048"/>
      <c r="AI68" s="65"/>
      <c r="AL68" s="259"/>
      <c r="AM68" s="466"/>
      <c r="AN68" s="466"/>
      <c r="AO68" s="466"/>
      <c r="AP68" s="283"/>
      <c r="AQ68" s="259"/>
      <c r="AR68" s="466"/>
      <c r="AS68" s="283"/>
    </row>
    <row r="69" spans="5:70" ht="13.5" thickBot="1">
      <c r="E69" s="4109"/>
      <c r="F69" s="1384" t="s">
        <v>581</v>
      </c>
      <c r="G69" s="1599"/>
      <c r="H69" s="1600"/>
      <c r="I69" s="1600"/>
      <c r="J69" s="1600"/>
      <c r="K69" s="1601"/>
      <c r="L69" s="1599"/>
      <c r="M69" s="1600"/>
      <c r="N69" s="1600"/>
      <c r="O69" s="1600"/>
      <c r="P69" s="1601"/>
      <c r="Q69" s="1602"/>
      <c r="R69" s="1600"/>
      <c r="S69" s="1600"/>
      <c r="T69" s="1600"/>
      <c r="U69" s="1601"/>
      <c r="V69" s="1172"/>
      <c r="W69" s="1614"/>
      <c r="X69" s="1615"/>
      <c r="Y69" s="1615"/>
      <c r="Z69" s="1615"/>
      <c r="AA69" s="1615"/>
      <c r="AB69" s="1615"/>
      <c r="AC69" s="1615"/>
      <c r="AD69" s="1615"/>
      <c r="AE69" s="1615"/>
      <c r="AF69" s="1615"/>
      <c r="AG69" s="1615"/>
      <c r="AH69" s="1616"/>
      <c r="AI69" s="65"/>
      <c r="AL69" s="259"/>
      <c r="AM69" s="466"/>
      <c r="AN69" s="466"/>
      <c r="AO69" s="466"/>
      <c r="AP69" s="283"/>
      <c r="AQ69" s="259"/>
      <c r="AR69" s="466"/>
      <c r="AS69" s="283"/>
    </row>
    <row r="70" spans="5:70">
      <c r="E70" s="4109"/>
      <c r="F70" s="1386" t="s">
        <v>584</v>
      </c>
      <c r="G70" s="1050">
        <v>0</v>
      </c>
      <c r="H70" s="1051">
        <v>0</v>
      </c>
      <c r="I70" s="1051">
        <v>0</v>
      </c>
      <c r="J70" s="1051">
        <v>0</v>
      </c>
      <c r="K70" s="1052">
        <v>0</v>
      </c>
      <c r="L70" s="1050">
        <f>SUM(L67:L69)</f>
        <v>383366.05</v>
      </c>
      <c r="M70" s="1051">
        <f t="shared" ref="M70" si="152">SUM(M67:M69)</f>
        <v>0</v>
      </c>
      <c r="N70" s="1051">
        <f t="shared" ref="N70" si="153">SUM(N67:N69)</f>
        <v>0</v>
      </c>
      <c r="O70" s="1051">
        <f t="shared" ref="O70" si="154">SUM(O67:O69)</f>
        <v>0</v>
      </c>
      <c r="P70" s="1052">
        <f t="shared" ref="P70" si="155">SUM(P67:P69)</f>
        <v>0</v>
      </c>
      <c r="Q70" s="1092">
        <f t="shared" ref="Q70" si="156">SUM(Q67:Q69)</f>
        <v>0</v>
      </c>
      <c r="R70" s="1051">
        <f t="shared" ref="R70" si="157">SUM(R67:R69)</f>
        <v>0</v>
      </c>
      <c r="S70" s="1051">
        <f t="shared" ref="S70" si="158">SUM(S67:S69)</f>
        <v>0</v>
      </c>
      <c r="T70" s="1051">
        <f t="shared" ref="T70" si="159">SUM(T67:T69)</f>
        <v>0</v>
      </c>
      <c r="U70" s="1052">
        <f t="shared" ref="U70" si="160">SUM(U67:U69)</f>
        <v>0</v>
      </c>
      <c r="W70" s="1050">
        <f t="shared" ref="W70" si="161">SUM(W67:W69)</f>
        <v>0</v>
      </c>
      <c r="X70" s="1051">
        <f t="shared" ref="X70" si="162">SUM(X67:X69)</f>
        <v>0</v>
      </c>
      <c r="Y70" s="1051">
        <f t="shared" ref="Y70" si="163">SUM(Y67:Y69)</f>
        <v>0</v>
      </c>
      <c r="Z70" s="1051">
        <f t="shared" ref="Z70" si="164">SUM(Z67:Z69)</f>
        <v>0</v>
      </c>
      <c r="AA70" s="1052">
        <f t="shared" ref="AA70" si="165">SUM(AA67:AA69)</f>
        <v>0</v>
      </c>
      <c r="AB70" s="1053"/>
      <c r="AC70" s="1050">
        <f t="shared" ref="AC70" si="166">SUM(AC67:AC69)</f>
        <v>0</v>
      </c>
      <c r="AD70" s="1051">
        <f t="shared" ref="AD70" si="167">SUM(AD67:AD69)</f>
        <v>0</v>
      </c>
      <c r="AE70" s="1051">
        <f t="shared" ref="AE70" si="168">SUM(AE67:AE69)</f>
        <v>0</v>
      </c>
      <c r="AF70" s="1051">
        <f t="shared" ref="AF70" si="169">SUM(AF67:AF69)</f>
        <v>0</v>
      </c>
      <c r="AG70" s="1051">
        <f t="shared" ref="AG70" si="170">SUM(AG67:AG69)</f>
        <v>0</v>
      </c>
      <c r="AH70" s="1054"/>
      <c r="AI70" s="65"/>
      <c r="AJ70" s="130"/>
      <c r="AK70" s="130"/>
      <c r="AL70" s="1050">
        <f t="shared" ref="AL70:AR70" si="171">SUM(AL68:AL69)</f>
        <v>0</v>
      </c>
      <c r="AM70" s="1051">
        <f t="shared" si="171"/>
        <v>0</v>
      </c>
      <c r="AN70" s="1051">
        <f t="shared" si="171"/>
        <v>0</v>
      </c>
      <c r="AO70" s="1051">
        <f t="shared" si="171"/>
        <v>0</v>
      </c>
      <c r="AP70" s="1052">
        <f t="shared" si="171"/>
        <v>0</v>
      </c>
      <c r="AQ70" s="1050">
        <f t="shared" si="171"/>
        <v>0</v>
      </c>
      <c r="AR70" s="1051">
        <f t="shared" si="171"/>
        <v>0</v>
      </c>
      <c r="AS70" s="1052"/>
      <c r="AT70" s="130"/>
      <c r="AU70" s="130"/>
      <c r="AV70" s="130"/>
      <c r="AW70" s="130"/>
      <c r="AX70" s="130"/>
      <c r="AY70" s="130"/>
      <c r="AZ70" s="130"/>
      <c r="BA70" s="130"/>
      <c r="BB70" s="130"/>
      <c r="BC70" s="130"/>
      <c r="BD70" s="130"/>
      <c r="BE70" s="130"/>
      <c r="BF70" s="130"/>
      <c r="BG70" s="130"/>
      <c r="BH70" s="130"/>
      <c r="BI70" s="130"/>
      <c r="BJ70" s="130"/>
      <c r="BK70" s="130"/>
      <c r="BL70" s="130"/>
      <c r="BM70" s="130"/>
      <c r="BN70" s="130"/>
      <c r="BO70" s="130"/>
      <c r="BP70" s="130"/>
      <c r="BQ70" s="130"/>
      <c r="BR70" s="130"/>
    </row>
    <row r="71" spans="5:70">
      <c r="E71" s="4109"/>
      <c r="F71" s="1388" t="s">
        <v>35</v>
      </c>
      <c r="G71" s="255"/>
      <c r="H71" s="461"/>
      <c r="I71" s="461"/>
      <c r="J71" s="461"/>
      <c r="K71" s="281"/>
      <c r="L71" s="255"/>
      <c r="M71" s="461"/>
      <c r="N71" s="461"/>
      <c r="O71" s="461"/>
      <c r="P71" s="281"/>
      <c r="Q71" s="956"/>
      <c r="R71" s="461"/>
      <c r="S71" s="461"/>
      <c r="T71" s="461"/>
      <c r="U71" s="281"/>
      <c r="W71" s="255"/>
      <c r="X71" s="461"/>
      <c r="Y71" s="461"/>
      <c r="Z71" s="461"/>
      <c r="AA71" s="281"/>
      <c r="AB71" s="1004"/>
      <c r="AC71" s="255"/>
      <c r="AD71" s="461"/>
      <c r="AE71" s="461"/>
      <c r="AF71" s="461"/>
      <c r="AG71" s="461"/>
      <c r="AH71" s="1047"/>
      <c r="AI71" s="65"/>
      <c r="AL71" s="259"/>
      <c r="AM71" s="466"/>
      <c r="AN71" s="466"/>
      <c r="AO71" s="466"/>
      <c r="AP71" s="283"/>
      <c r="AQ71" s="259"/>
      <c r="AR71" s="466"/>
      <c r="AS71" s="283"/>
    </row>
    <row r="72" spans="5:70" ht="13.5" thickBot="1">
      <c r="E72" s="4109"/>
      <c r="F72" s="1387" t="s">
        <v>585</v>
      </c>
      <c r="G72" s="1055">
        <v>0</v>
      </c>
      <c r="H72" s="1056">
        <v>0</v>
      </c>
      <c r="I72" s="1056">
        <v>0</v>
      </c>
      <c r="J72" s="1056">
        <v>0</v>
      </c>
      <c r="K72" s="1057">
        <v>0</v>
      </c>
      <c r="L72" s="1567">
        <f>L70-L71</f>
        <v>383366.05</v>
      </c>
      <c r="M72" s="1056">
        <f t="shared" ref="M72" si="172">M70-M71</f>
        <v>0</v>
      </c>
      <c r="N72" s="1056">
        <f t="shared" ref="N72" si="173">N70-N71</f>
        <v>0</v>
      </c>
      <c r="O72" s="1056">
        <f t="shared" ref="O72" si="174">O70-O71</f>
        <v>0</v>
      </c>
      <c r="P72" s="1057">
        <f t="shared" ref="P72" si="175">P70-P71</f>
        <v>0</v>
      </c>
      <c r="Q72" s="1093">
        <f t="shared" ref="Q72" si="176">Q70-Q71</f>
        <v>0</v>
      </c>
      <c r="R72" s="1056">
        <f t="shared" ref="R72" si="177">R70-R71</f>
        <v>0</v>
      </c>
      <c r="S72" s="1056">
        <f t="shared" ref="S72" si="178">S70-S71</f>
        <v>0</v>
      </c>
      <c r="T72" s="1056">
        <f t="shared" ref="T72" si="179">T70-T71</f>
        <v>0</v>
      </c>
      <c r="U72" s="1057">
        <f t="shared" ref="U72" si="180">U70-U71</f>
        <v>0</v>
      </c>
      <c r="W72" s="1055">
        <f t="shared" ref="W72" si="181">W70-W71</f>
        <v>0</v>
      </c>
      <c r="X72" s="1056">
        <f t="shared" ref="X72" si="182">X70-X71</f>
        <v>0</v>
      </c>
      <c r="Y72" s="1056">
        <f t="shared" ref="Y72" si="183">Y70-Y71</f>
        <v>0</v>
      </c>
      <c r="Z72" s="1056">
        <f t="shared" ref="Z72" si="184">Z70-Z71</f>
        <v>0</v>
      </c>
      <c r="AA72" s="1057">
        <f t="shared" ref="AA72" si="185">AA70-AA71</f>
        <v>0</v>
      </c>
      <c r="AB72" s="1058"/>
      <c r="AC72" s="1055">
        <f t="shared" ref="AC72" si="186">AC70-AC71</f>
        <v>0</v>
      </c>
      <c r="AD72" s="1056">
        <f t="shared" ref="AD72" si="187">AD70-AD71</f>
        <v>0</v>
      </c>
      <c r="AE72" s="1056">
        <f t="shared" ref="AE72" si="188">AE70-AE71</f>
        <v>0</v>
      </c>
      <c r="AF72" s="1056">
        <f t="shared" ref="AF72" si="189">AF70-AF71</f>
        <v>0</v>
      </c>
      <c r="AG72" s="1056">
        <f t="shared" ref="AG72" si="190">AG70-AG71</f>
        <v>0</v>
      </c>
      <c r="AH72" s="1059"/>
      <c r="AI72" s="65"/>
      <c r="AL72" s="1567">
        <f>AL70-AL71</f>
        <v>0</v>
      </c>
      <c r="AM72" s="1056">
        <f t="shared" ref="AM72:AR72" si="191">AM70-AM71</f>
        <v>0</v>
      </c>
      <c r="AN72" s="1056">
        <f t="shared" si="191"/>
        <v>0</v>
      </c>
      <c r="AO72" s="1056">
        <f t="shared" si="191"/>
        <v>0</v>
      </c>
      <c r="AP72" s="1057">
        <f t="shared" si="191"/>
        <v>0</v>
      </c>
      <c r="AQ72" s="1567">
        <f t="shared" si="191"/>
        <v>0</v>
      </c>
      <c r="AR72" s="1056">
        <f t="shared" si="191"/>
        <v>0</v>
      </c>
      <c r="AS72" s="1057"/>
    </row>
    <row r="73" spans="5:70" ht="12.75" customHeight="1">
      <c r="E73" s="4107" t="s">
        <v>1480</v>
      </c>
      <c r="F73" s="433" t="s">
        <v>111</v>
      </c>
      <c r="G73" s="1086"/>
      <c r="H73" s="1087"/>
      <c r="I73" s="1087"/>
      <c r="J73" s="1087"/>
      <c r="K73" s="1088"/>
      <c r="L73" s="258"/>
      <c r="M73" s="465"/>
      <c r="N73" s="465"/>
      <c r="O73" s="465"/>
      <c r="P73" s="282"/>
      <c r="Q73" s="1566"/>
      <c r="R73" s="421"/>
      <c r="S73" s="421"/>
      <c r="T73" s="421"/>
      <c r="U73" s="1044"/>
      <c r="W73" s="1043"/>
      <c r="X73" s="421"/>
      <c r="Y73" s="421"/>
      <c r="Z73" s="421"/>
      <c r="AA73" s="1044"/>
      <c r="AB73" s="1045"/>
      <c r="AC73" s="1043"/>
      <c r="AD73" s="421"/>
      <c r="AE73" s="421"/>
      <c r="AF73" s="421"/>
      <c r="AG73" s="421"/>
      <c r="AH73" s="1046"/>
      <c r="AL73" s="1086"/>
      <c r="AM73" s="1087"/>
      <c r="AN73" s="1087"/>
      <c r="AO73" s="1087"/>
      <c r="AP73" s="1088"/>
      <c r="AQ73" s="258"/>
      <c r="AR73" s="465"/>
      <c r="AS73" s="282"/>
    </row>
    <row r="74" spans="5:70" ht="12.75" customHeight="1">
      <c r="E74" s="4108"/>
      <c r="F74" s="1374" t="s">
        <v>588</v>
      </c>
      <c r="G74" s="1083"/>
      <c r="H74" s="1084"/>
      <c r="I74" s="1084"/>
      <c r="J74" s="1084"/>
      <c r="K74" s="1085"/>
      <c r="L74" s="255">
        <v>5390</v>
      </c>
      <c r="M74" s="461"/>
      <c r="N74" s="461"/>
      <c r="O74" s="461"/>
      <c r="P74" s="281"/>
      <c r="Q74" s="255"/>
      <c r="R74" s="461"/>
      <c r="S74" s="461"/>
      <c r="T74" s="461"/>
      <c r="U74" s="281"/>
      <c r="W74" s="255"/>
      <c r="X74" s="461"/>
      <c r="Y74" s="461"/>
      <c r="Z74" s="461"/>
      <c r="AA74" s="281"/>
      <c r="AB74" s="1041"/>
      <c r="AC74" s="255"/>
      <c r="AD74" s="461"/>
      <c r="AE74" s="461"/>
      <c r="AF74" s="461"/>
      <c r="AG74" s="461"/>
      <c r="AH74" s="1047"/>
      <c r="AL74" s="1083"/>
      <c r="AM74" s="1084"/>
      <c r="AN74" s="1084"/>
      <c r="AO74" s="1084"/>
      <c r="AP74" s="1085"/>
      <c r="AQ74" s="259"/>
      <c r="AR74" s="466"/>
      <c r="AS74" s="283"/>
    </row>
    <row r="75" spans="5:70" ht="12.75" customHeight="1">
      <c r="E75" s="4108"/>
      <c r="F75" s="1374" t="s">
        <v>589</v>
      </c>
      <c r="G75" s="1083"/>
      <c r="H75" s="1084"/>
      <c r="I75" s="1084"/>
      <c r="J75" s="1084"/>
      <c r="K75" s="1085"/>
      <c r="L75" s="255"/>
      <c r="M75" s="461"/>
      <c r="N75" s="461"/>
      <c r="O75" s="461"/>
      <c r="P75" s="281"/>
      <c r="Q75" s="255"/>
      <c r="R75" s="461"/>
      <c r="S75" s="461"/>
      <c r="T75" s="461"/>
      <c r="U75" s="281"/>
      <c r="W75" s="255"/>
      <c r="X75" s="461"/>
      <c r="Y75" s="461"/>
      <c r="Z75" s="461"/>
      <c r="AA75" s="281"/>
      <c r="AB75" s="1041"/>
      <c r="AC75" s="255"/>
      <c r="AD75" s="461"/>
      <c r="AE75" s="461"/>
      <c r="AF75" s="461"/>
      <c r="AG75" s="461"/>
      <c r="AH75" s="1047"/>
      <c r="AL75" s="1083"/>
      <c r="AM75" s="1084"/>
      <c r="AN75" s="1084"/>
      <c r="AO75" s="1084"/>
      <c r="AP75" s="1085"/>
      <c r="AQ75" s="259"/>
      <c r="AR75" s="466"/>
      <c r="AS75" s="283"/>
    </row>
    <row r="76" spans="5:70" ht="12.75" customHeight="1">
      <c r="E76" s="4108"/>
      <c r="F76" s="1374" t="s">
        <v>590</v>
      </c>
      <c r="G76" s="1083"/>
      <c r="H76" s="1084"/>
      <c r="I76" s="1084"/>
      <c r="J76" s="1084"/>
      <c r="K76" s="1085"/>
      <c r="L76" s="255"/>
      <c r="M76" s="461"/>
      <c r="N76" s="461"/>
      <c r="O76" s="461"/>
      <c r="P76" s="281"/>
      <c r="Q76" s="255"/>
      <c r="R76" s="461"/>
      <c r="S76" s="461"/>
      <c r="T76" s="461"/>
      <c r="U76" s="281"/>
      <c r="W76" s="255"/>
      <c r="X76" s="461"/>
      <c r="Y76" s="461"/>
      <c r="Z76" s="461"/>
      <c r="AA76" s="281"/>
      <c r="AB76" s="1041"/>
      <c r="AC76" s="255"/>
      <c r="AD76" s="461"/>
      <c r="AE76" s="461"/>
      <c r="AF76" s="461"/>
      <c r="AG76" s="461"/>
      <c r="AH76" s="1047"/>
      <c r="AL76" s="1083"/>
      <c r="AM76" s="1084"/>
      <c r="AN76" s="1084"/>
      <c r="AO76" s="1084"/>
      <c r="AP76" s="1085"/>
      <c r="AQ76" s="259"/>
      <c r="AR76" s="466"/>
      <c r="AS76" s="283"/>
    </row>
    <row r="77" spans="5:70" ht="12.75" customHeight="1">
      <c r="E77" s="4108"/>
      <c r="F77" s="1374" t="s">
        <v>591</v>
      </c>
      <c r="G77" s="1083"/>
      <c r="H77" s="1084"/>
      <c r="I77" s="1084"/>
      <c r="J77" s="1084"/>
      <c r="K77" s="1085"/>
      <c r="L77" s="255"/>
      <c r="M77" s="461"/>
      <c r="N77" s="461"/>
      <c r="O77" s="461"/>
      <c r="P77" s="281"/>
      <c r="Q77" s="255"/>
      <c r="R77" s="461"/>
      <c r="S77" s="461"/>
      <c r="T77" s="461"/>
      <c r="U77" s="281"/>
      <c r="W77" s="255"/>
      <c r="X77" s="461"/>
      <c r="Y77" s="461"/>
      <c r="Z77" s="461"/>
      <c r="AA77" s="281"/>
      <c r="AB77" s="1041"/>
      <c r="AC77" s="255"/>
      <c r="AD77" s="461"/>
      <c r="AE77" s="461"/>
      <c r="AF77" s="461"/>
      <c r="AG77" s="461"/>
      <c r="AH77" s="1047"/>
      <c r="AL77" s="1083"/>
      <c r="AM77" s="1084"/>
      <c r="AN77" s="1084"/>
      <c r="AO77" s="1084"/>
      <c r="AP77" s="1085"/>
      <c r="AQ77" s="259"/>
      <c r="AR77" s="466"/>
      <c r="AS77" s="283"/>
    </row>
    <row r="78" spans="5:70" ht="12.75" customHeight="1">
      <c r="E78" s="4108"/>
      <c r="F78" s="1374" t="s">
        <v>592</v>
      </c>
      <c r="G78" s="1083"/>
      <c r="H78" s="1084"/>
      <c r="I78" s="1084"/>
      <c r="J78" s="1084"/>
      <c r="K78" s="1085"/>
      <c r="L78" s="207"/>
      <c r="M78" s="456"/>
      <c r="N78" s="456"/>
      <c r="O78" s="456"/>
      <c r="P78" s="457"/>
      <c r="Q78" s="207"/>
      <c r="R78" s="456"/>
      <c r="S78" s="456"/>
      <c r="T78" s="456"/>
      <c r="U78" s="457"/>
      <c r="W78" s="207">
        <v>0</v>
      </c>
      <c r="X78" s="456">
        <v>0</v>
      </c>
      <c r="Y78" s="456">
        <v>0</v>
      </c>
      <c r="Z78" s="456">
        <v>0</v>
      </c>
      <c r="AA78" s="457">
        <v>0</v>
      </c>
      <c r="AB78" s="1041"/>
      <c r="AC78" s="207">
        <v>0</v>
      </c>
      <c r="AD78" s="456">
        <v>0</v>
      </c>
      <c r="AE78" s="456">
        <v>0</v>
      </c>
      <c r="AF78" s="456">
        <v>0</v>
      </c>
      <c r="AG78" s="456">
        <v>0</v>
      </c>
      <c r="AH78" s="1048"/>
      <c r="AL78" s="1083"/>
      <c r="AM78" s="1084"/>
      <c r="AN78" s="1084"/>
      <c r="AO78" s="1084"/>
      <c r="AP78" s="1085"/>
      <c r="AQ78" s="207">
        <f>SUM(AQ73:AQ77)</f>
        <v>0</v>
      </c>
      <c r="AR78" s="456">
        <f t="shared" ref="AR78" si="192">SUM(AR73:AR77)</f>
        <v>0</v>
      </c>
      <c r="AS78" s="457"/>
    </row>
    <row r="79" spans="5:70">
      <c r="E79" s="4108"/>
      <c r="F79" s="1375" t="s">
        <v>587</v>
      </c>
      <c r="G79" s="1086"/>
      <c r="H79" s="1087"/>
      <c r="I79" s="1087"/>
      <c r="J79" s="1087"/>
      <c r="K79" s="1088"/>
      <c r="L79" s="258">
        <f>SUM(L74:L78)</f>
        <v>5390</v>
      </c>
      <c r="M79" s="465">
        <f t="shared" ref="M79" si="193">SUM(M74:M78)</f>
        <v>0</v>
      </c>
      <c r="N79" s="465">
        <f t="shared" ref="N79" si="194">SUM(N74:N78)</f>
        <v>0</v>
      </c>
      <c r="O79" s="465">
        <f t="shared" ref="O79" si="195">SUM(O74:O78)</f>
        <v>0</v>
      </c>
      <c r="P79" s="282">
        <f t="shared" ref="P79" si="196">SUM(P74:P78)</f>
        <v>0</v>
      </c>
      <c r="Q79" s="258">
        <f t="shared" ref="Q79" si="197">SUM(Q74:Q78)</f>
        <v>0</v>
      </c>
      <c r="R79" s="465">
        <f t="shared" ref="R79" si="198">SUM(R74:R78)</f>
        <v>0</v>
      </c>
      <c r="S79" s="465">
        <f t="shared" ref="S79" si="199">SUM(S74:S78)</f>
        <v>0</v>
      </c>
      <c r="T79" s="465">
        <f t="shared" ref="T79" si="200">SUM(T74:T78)</f>
        <v>0</v>
      </c>
      <c r="U79" s="282">
        <f t="shared" ref="U79" si="201">SUM(U74:U78)</f>
        <v>0</v>
      </c>
      <c r="W79" s="258">
        <f t="shared" ref="W79" si="202">SUM(W74:W78)</f>
        <v>0</v>
      </c>
      <c r="X79" s="465">
        <f t="shared" ref="X79" si="203">SUM(X74:X78)</f>
        <v>0</v>
      </c>
      <c r="Y79" s="465">
        <f t="shared" ref="Y79" si="204">SUM(Y74:Y78)</f>
        <v>0</v>
      </c>
      <c r="Z79" s="465">
        <f t="shared" ref="Z79" si="205">SUM(Z74:Z78)</f>
        <v>0</v>
      </c>
      <c r="AA79" s="282">
        <f t="shared" ref="AA79" si="206">SUM(AA74:AA78)</f>
        <v>0</v>
      </c>
      <c r="AB79" s="992"/>
      <c r="AC79" s="258">
        <f t="shared" ref="AC79" si="207">SUM(AC74:AC78)</f>
        <v>0</v>
      </c>
      <c r="AD79" s="465">
        <f t="shared" ref="AD79" si="208">SUM(AD74:AD78)</f>
        <v>0</v>
      </c>
      <c r="AE79" s="465">
        <f t="shared" ref="AE79" si="209">SUM(AE74:AE78)</f>
        <v>0</v>
      </c>
      <c r="AF79" s="465">
        <f t="shared" ref="AF79" si="210">SUM(AF74:AF78)</f>
        <v>0</v>
      </c>
      <c r="AG79" s="465">
        <f t="shared" ref="AG79" si="211">SUM(AG74:AG78)</f>
        <v>0</v>
      </c>
      <c r="AH79" s="1049"/>
      <c r="AL79" s="1086"/>
      <c r="AM79" s="1087"/>
      <c r="AN79" s="1087"/>
      <c r="AO79" s="1087"/>
      <c r="AP79" s="1088"/>
      <c r="AQ79" s="258"/>
      <c r="AR79" s="465"/>
      <c r="AS79" s="282"/>
    </row>
    <row r="80" spans="5:70">
      <c r="E80" s="4108"/>
      <c r="F80" s="1376" t="s">
        <v>593</v>
      </c>
      <c r="G80" s="1083"/>
      <c r="H80" s="1084"/>
      <c r="I80" s="1084"/>
      <c r="J80" s="1084"/>
      <c r="K80" s="1085"/>
      <c r="L80" s="255"/>
      <c r="M80" s="461"/>
      <c r="N80" s="461"/>
      <c r="O80" s="461"/>
      <c r="P80" s="281"/>
      <c r="Q80" s="255"/>
      <c r="R80" s="461"/>
      <c r="S80" s="461"/>
      <c r="T80" s="461"/>
      <c r="U80" s="281"/>
      <c r="W80" s="255"/>
      <c r="X80" s="461"/>
      <c r="Y80" s="461"/>
      <c r="Z80" s="461"/>
      <c r="AA80" s="281"/>
      <c r="AB80" s="1041"/>
      <c r="AC80" s="255"/>
      <c r="AD80" s="461"/>
      <c r="AE80" s="461"/>
      <c r="AF80" s="461"/>
      <c r="AG80" s="461"/>
      <c r="AH80" s="1047"/>
      <c r="AL80" s="1083"/>
      <c r="AM80" s="1084"/>
      <c r="AN80" s="1084"/>
      <c r="AO80" s="1084"/>
      <c r="AP80" s="1085"/>
      <c r="AQ80" s="259"/>
      <c r="AR80" s="466"/>
      <c r="AS80" s="283"/>
    </row>
    <row r="81" spans="5:71">
      <c r="E81" s="4108"/>
      <c r="F81" s="431" t="s">
        <v>558</v>
      </c>
      <c r="G81" s="1083"/>
      <c r="H81" s="1084"/>
      <c r="I81" s="1084"/>
      <c r="J81" s="1084"/>
      <c r="K81" s="1085"/>
      <c r="L81" s="255">
        <v>998339.73</v>
      </c>
      <c r="M81" s="461"/>
      <c r="N81" s="461"/>
      <c r="O81" s="461"/>
      <c r="P81" s="281"/>
      <c r="Q81" s="255"/>
      <c r="R81" s="461"/>
      <c r="S81" s="461"/>
      <c r="T81" s="461"/>
      <c r="U81" s="281"/>
      <c r="W81" s="255"/>
      <c r="X81" s="461"/>
      <c r="Y81" s="461"/>
      <c r="Z81" s="461"/>
      <c r="AA81" s="281"/>
      <c r="AB81" s="1041"/>
      <c r="AC81" s="255"/>
      <c r="AD81" s="461"/>
      <c r="AE81" s="461"/>
      <c r="AF81" s="461"/>
      <c r="AG81" s="461"/>
      <c r="AH81" s="1047"/>
      <c r="AL81" s="1083"/>
      <c r="AM81" s="1084"/>
      <c r="AN81" s="1084"/>
      <c r="AO81" s="1084"/>
      <c r="AP81" s="1085"/>
      <c r="AQ81" s="259"/>
      <c r="AR81" s="466"/>
      <c r="AS81" s="283"/>
    </row>
    <row r="82" spans="5:71">
      <c r="E82" s="4108"/>
      <c r="F82" s="431" t="s">
        <v>559</v>
      </c>
      <c r="G82" s="1083"/>
      <c r="H82" s="1084"/>
      <c r="I82" s="1084"/>
      <c r="J82" s="1084"/>
      <c r="K82" s="1085"/>
      <c r="L82" s="255"/>
      <c r="M82" s="461"/>
      <c r="N82" s="461"/>
      <c r="O82" s="461"/>
      <c r="P82" s="281"/>
      <c r="Q82" s="255"/>
      <c r="R82" s="461"/>
      <c r="S82" s="461"/>
      <c r="T82" s="461"/>
      <c r="U82" s="281"/>
      <c r="W82" s="255"/>
      <c r="X82" s="461"/>
      <c r="Y82" s="461"/>
      <c r="Z82" s="461"/>
      <c r="AA82" s="281"/>
      <c r="AB82" s="1041"/>
      <c r="AC82" s="255"/>
      <c r="AD82" s="461"/>
      <c r="AE82" s="461"/>
      <c r="AF82" s="461"/>
      <c r="AG82" s="461"/>
      <c r="AH82" s="1047"/>
      <c r="AL82" s="1083"/>
      <c r="AM82" s="1084"/>
      <c r="AN82" s="1084"/>
      <c r="AO82" s="1084"/>
      <c r="AP82" s="1085"/>
      <c r="AQ82" s="259"/>
      <c r="AR82" s="466"/>
      <c r="AS82" s="283"/>
    </row>
    <row r="83" spans="5:71">
      <c r="E83" s="4108"/>
      <c r="F83" s="431" t="s">
        <v>578</v>
      </c>
      <c r="G83" s="1089"/>
      <c r="H83" s="1090"/>
      <c r="I83" s="1090"/>
      <c r="J83" s="1090"/>
      <c r="K83" s="1091"/>
      <c r="L83" s="259"/>
      <c r="M83" s="456"/>
      <c r="N83" s="456"/>
      <c r="O83" s="456"/>
      <c r="P83" s="457"/>
      <c r="Q83" s="207"/>
      <c r="R83" s="456"/>
      <c r="S83" s="456"/>
      <c r="T83" s="456"/>
      <c r="U83" s="457"/>
      <c r="W83" s="207"/>
      <c r="X83" s="456"/>
      <c r="Y83" s="456"/>
      <c r="Z83" s="456"/>
      <c r="AA83" s="457"/>
      <c r="AB83" s="1041"/>
      <c r="AC83" s="207"/>
      <c r="AD83" s="456"/>
      <c r="AE83" s="456"/>
      <c r="AF83" s="456"/>
      <c r="AG83" s="456"/>
      <c r="AH83" s="1048"/>
      <c r="AL83" s="1089"/>
      <c r="AM83" s="1090"/>
      <c r="AN83" s="1090"/>
      <c r="AO83" s="1090"/>
      <c r="AP83" s="1091"/>
      <c r="AQ83" s="259"/>
      <c r="AR83" s="456"/>
      <c r="AS83" s="457"/>
    </row>
    <row r="84" spans="5:71">
      <c r="E84" s="4108"/>
      <c r="F84" s="1377" t="s">
        <v>579</v>
      </c>
      <c r="G84" s="1086"/>
      <c r="H84" s="1087"/>
      <c r="I84" s="1087"/>
      <c r="J84" s="1087"/>
      <c r="K84" s="1088"/>
      <c r="L84" s="258">
        <f>SUM(L80:L83)</f>
        <v>998339.73</v>
      </c>
      <c r="M84" s="465">
        <f t="shared" ref="M84" si="212">SUM(M80:M83)</f>
        <v>0</v>
      </c>
      <c r="N84" s="465">
        <f t="shared" ref="N84" si="213">SUM(N80:N83)</f>
        <v>0</v>
      </c>
      <c r="O84" s="465">
        <f t="shared" ref="O84" si="214">SUM(O80:O83)</f>
        <v>0</v>
      </c>
      <c r="P84" s="282">
        <f t="shared" ref="P84" si="215">SUM(P80:P83)</f>
        <v>0</v>
      </c>
      <c r="Q84" s="258">
        <f t="shared" ref="Q84" si="216">SUM(Q80:Q83)</f>
        <v>0</v>
      </c>
      <c r="R84" s="465">
        <f t="shared" ref="R84" si="217">SUM(R80:R83)</f>
        <v>0</v>
      </c>
      <c r="S84" s="465">
        <f t="shared" ref="S84" si="218">SUM(S80:S83)</f>
        <v>0</v>
      </c>
      <c r="T84" s="465">
        <f t="shared" ref="T84" si="219">SUM(T80:T83)</f>
        <v>0</v>
      </c>
      <c r="U84" s="282">
        <f t="shared" ref="U84" si="220">SUM(U80:U83)</f>
        <v>0</v>
      </c>
      <c r="W84" s="258">
        <f t="shared" ref="W84" si="221">SUM(W80:W83)</f>
        <v>0</v>
      </c>
      <c r="X84" s="465">
        <f t="shared" ref="X84" si="222">SUM(X80:X83)</f>
        <v>0</v>
      </c>
      <c r="Y84" s="465">
        <f t="shared" ref="Y84" si="223">SUM(Y80:Y83)</f>
        <v>0</v>
      </c>
      <c r="Z84" s="465">
        <f t="shared" ref="Z84" si="224">SUM(Z80:Z83)</f>
        <v>0</v>
      </c>
      <c r="AA84" s="282">
        <f t="shared" ref="AA84" si="225">SUM(AA80:AA83)</f>
        <v>0</v>
      </c>
      <c r="AB84" s="992"/>
      <c r="AC84" s="258">
        <f t="shared" ref="AC84" si="226">SUM(AC80:AC83)</f>
        <v>0</v>
      </c>
      <c r="AD84" s="465">
        <f t="shared" ref="AD84" si="227">SUM(AD80:AD83)</f>
        <v>0</v>
      </c>
      <c r="AE84" s="465">
        <f t="shared" ref="AE84" si="228">SUM(AE80:AE83)</f>
        <v>0</v>
      </c>
      <c r="AF84" s="465">
        <f t="shared" ref="AF84" si="229">SUM(AF80:AF83)</f>
        <v>0</v>
      </c>
      <c r="AG84" s="465">
        <f t="shared" ref="AG84" si="230">SUM(AG80:AG83)</f>
        <v>0</v>
      </c>
      <c r="AH84" s="1049"/>
      <c r="AL84" s="1086"/>
      <c r="AM84" s="1087"/>
      <c r="AN84" s="1087"/>
      <c r="AO84" s="1087"/>
      <c r="AP84" s="1088"/>
      <c r="AQ84" s="258">
        <f>SUM(AQ81:AQ83)</f>
        <v>0</v>
      </c>
      <c r="AR84" s="465">
        <f t="shared" ref="AR84" si="231">SUM(AR81:AR83)</f>
        <v>0</v>
      </c>
      <c r="AS84" s="282"/>
    </row>
    <row r="85" spans="5:71" ht="13.5" thickBot="1">
      <c r="E85" s="4108"/>
      <c r="F85" s="1035" t="s">
        <v>583</v>
      </c>
      <c r="G85" s="255"/>
      <c r="H85" s="461"/>
      <c r="I85" s="461"/>
      <c r="J85" s="461"/>
      <c r="K85" s="281"/>
      <c r="L85" s="207"/>
      <c r="M85" s="456"/>
      <c r="N85" s="456"/>
      <c r="O85" s="456"/>
      <c r="P85" s="457"/>
      <c r="Q85" s="207"/>
      <c r="R85" s="456"/>
      <c r="S85" s="456"/>
      <c r="T85" s="456"/>
      <c r="U85" s="457"/>
      <c r="W85" s="207"/>
      <c r="X85" s="461"/>
      <c r="Y85" s="461"/>
      <c r="Z85" s="461"/>
      <c r="AA85" s="281"/>
      <c r="AB85" s="1041"/>
      <c r="AC85" s="207"/>
      <c r="AD85" s="456"/>
      <c r="AE85" s="456"/>
      <c r="AF85" s="456"/>
      <c r="AG85" s="456"/>
      <c r="AH85" s="1048"/>
      <c r="AL85" s="259"/>
      <c r="AM85" s="466"/>
      <c r="AN85" s="466"/>
      <c r="AO85" s="466"/>
      <c r="AP85" s="283"/>
      <c r="AQ85" s="207"/>
      <c r="AR85" s="456"/>
      <c r="AS85" s="457"/>
    </row>
    <row r="86" spans="5:71" ht="13.5" thickBot="1">
      <c r="E86" s="4108"/>
      <c r="F86" s="1380" t="s">
        <v>581</v>
      </c>
      <c r="G86" s="1599"/>
      <c r="H86" s="1600"/>
      <c r="I86" s="1600"/>
      <c r="J86" s="1600"/>
      <c r="K86" s="1601"/>
      <c r="L86" s="1599"/>
      <c r="M86" s="1600"/>
      <c r="N86" s="1600"/>
      <c r="O86" s="1600"/>
      <c r="P86" s="1601"/>
      <c r="Q86" s="1599"/>
      <c r="R86" s="1600"/>
      <c r="S86" s="1600"/>
      <c r="T86" s="1600"/>
      <c r="U86" s="1601"/>
      <c r="V86" s="1172"/>
      <c r="W86" s="1614"/>
      <c r="X86" s="1615"/>
      <c r="Y86" s="1615"/>
      <c r="Z86" s="1615"/>
      <c r="AA86" s="1615"/>
      <c r="AB86" s="1615"/>
      <c r="AC86" s="1615"/>
      <c r="AD86" s="1615"/>
      <c r="AE86" s="1615"/>
      <c r="AF86" s="1615"/>
      <c r="AG86" s="1615"/>
      <c r="AH86" s="1616"/>
      <c r="AL86" s="259"/>
      <c r="AM86" s="466"/>
      <c r="AN86" s="466"/>
      <c r="AO86" s="466"/>
      <c r="AP86" s="283"/>
      <c r="AQ86" s="259"/>
      <c r="AR86" s="466"/>
      <c r="AS86" s="283"/>
    </row>
    <row r="87" spans="5:71">
      <c r="E87" s="4108"/>
      <c r="F87" s="1378" t="s">
        <v>584</v>
      </c>
      <c r="G87" s="1050">
        <v>0</v>
      </c>
      <c r="H87" s="1051">
        <v>0</v>
      </c>
      <c r="I87" s="1051">
        <v>0</v>
      </c>
      <c r="J87" s="1051">
        <v>0</v>
      </c>
      <c r="K87" s="1052">
        <v>0</v>
      </c>
      <c r="L87" s="1050">
        <f>SUM(L84:L86)</f>
        <v>998339.73</v>
      </c>
      <c r="M87" s="1051">
        <f t="shared" ref="M87" si="232">SUM(M84:M86)</f>
        <v>0</v>
      </c>
      <c r="N87" s="1051">
        <f t="shared" ref="N87" si="233">SUM(N84:N86)</f>
        <v>0</v>
      </c>
      <c r="O87" s="1051">
        <f t="shared" ref="O87" si="234">SUM(O84:O86)</f>
        <v>0</v>
      </c>
      <c r="P87" s="1052">
        <f t="shared" ref="P87" si="235">SUM(P84:P86)</f>
        <v>0</v>
      </c>
      <c r="Q87" s="1050">
        <f t="shared" ref="Q87" si="236">SUM(Q84:Q86)</f>
        <v>0</v>
      </c>
      <c r="R87" s="1051">
        <f t="shared" ref="R87" si="237">SUM(R84:R86)</f>
        <v>0</v>
      </c>
      <c r="S87" s="1051">
        <f t="shared" ref="S87" si="238">SUM(S84:S86)</f>
        <v>0</v>
      </c>
      <c r="T87" s="1051">
        <f t="shared" ref="T87" si="239">SUM(T84:T86)</f>
        <v>0</v>
      </c>
      <c r="U87" s="1052">
        <f t="shared" ref="U87" si="240">SUM(U84:U86)</f>
        <v>0</v>
      </c>
      <c r="W87" s="1050">
        <f t="shared" ref="W87" si="241">SUM(W84:W86)</f>
        <v>0</v>
      </c>
      <c r="X87" s="1051">
        <f t="shared" ref="X87" si="242">SUM(X84:X86)</f>
        <v>0</v>
      </c>
      <c r="Y87" s="1051">
        <f t="shared" ref="Y87" si="243">SUM(Y84:Y86)</f>
        <v>0</v>
      </c>
      <c r="Z87" s="1051">
        <f t="shared" ref="Z87" si="244">SUM(Z84:Z86)</f>
        <v>0</v>
      </c>
      <c r="AA87" s="1052">
        <f t="shared" ref="AA87" si="245">SUM(AA84:AA86)</f>
        <v>0</v>
      </c>
      <c r="AB87" s="1053"/>
      <c r="AC87" s="1050">
        <f t="shared" ref="AC87" si="246">SUM(AC84:AC86)</f>
        <v>0</v>
      </c>
      <c r="AD87" s="1051">
        <f t="shared" ref="AD87" si="247">SUM(AD84:AD86)</f>
        <v>0</v>
      </c>
      <c r="AE87" s="1051">
        <f t="shared" ref="AE87" si="248">SUM(AE84:AE86)</f>
        <v>0</v>
      </c>
      <c r="AF87" s="1051">
        <f t="shared" ref="AF87" si="249">SUM(AF84:AF86)</f>
        <v>0</v>
      </c>
      <c r="AG87" s="1051">
        <f t="shared" ref="AG87" si="250">SUM(AG84:AG86)</f>
        <v>0</v>
      </c>
      <c r="AH87" s="1054"/>
      <c r="AJ87" s="130"/>
      <c r="AK87" s="130"/>
      <c r="AL87" s="1050">
        <f t="shared" ref="AL87:AR87" si="251">SUM(AL85:AL86)</f>
        <v>0</v>
      </c>
      <c r="AM87" s="1051">
        <f t="shared" si="251"/>
        <v>0</v>
      </c>
      <c r="AN87" s="1051">
        <f t="shared" si="251"/>
        <v>0</v>
      </c>
      <c r="AO87" s="1051">
        <f t="shared" si="251"/>
        <v>0</v>
      </c>
      <c r="AP87" s="1052">
        <f t="shared" si="251"/>
        <v>0</v>
      </c>
      <c r="AQ87" s="1050">
        <f t="shared" si="251"/>
        <v>0</v>
      </c>
      <c r="AR87" s="1051">
        <f t="shared" si="251"/>
        <v>0</v>
      </c>
      <c r="AS87" s="1052"/>
      <c r="AT87" s="130"/>
      <c r="AU87" s="130"/>
      <c r="AV87" s="130"/>
      <c r="AW87" s="130"/>
      <c r="AX87" s="130"/>
      <c r="AY87" s="130"/>
      <c r="AZ87" s="130"/>
      <c r="BA87" s="130"/>
      <c r="BB87" s="130"/>
      <c r="BC87" s="130"/>
      <c r="BD87" s="130"/>
      <c r="BE87" s="130"/>
      <c r="BF87" s="130"/>
      <c r="BG87" s="130"/>
      <c r="BH87" s="130"/>
      <c r="BI87" s="130"/>
      <c r="BJ87" s="130"/>
      <c r="BK87" s="130"/>
      <c r="BL87" s="130"/>
      <c r="BM87" s="130"/>
      <c r="BN87" s="130"/>
      <c r="BO87" s="130"/>
      <c r="BP87" s="130"/>
      <c r="BQ87" s="130"/>
      <c r="BR87" s="130"/>
    </row>
    <row r="88" spans="5:71">
      <c r="E88" s="4108"/>
      <c r="F88" s="1389" t="s">
        <v>35</v>
      </c>
      <c r="G88" s="255"/>
      <c r="H88" s="461"/>
      <c r="I88" s="461"/>
      <c r="J88" s="461"/>
      <c r="K88" s="281"/>
      <c r="L88" s="255"/>
      <c r="M88" s="461"/>
      <c r="N88" s="461"/>
      <c r="O88" s="461"/>
      <c r="P88" s="281"/>
      <c r="Q88" s="255"/>
      <c r="R88" s="461"/>
      <c r="S88" s="461"/>
      <c r="T88" s="461"/>
      <c r="U88" s="281"/>
      <c r="W88" s="255"/>
      <c r="X88" s="461"/>
      <c r="Y88" s="461"/>
      <c r="Z88" s="461"/>
      <c r="AA88" s="281"/>
      <c r="AB88" s="1004"/>
      <c r="AC88" s="255"/>
      <c r="AD88" s="461"/>
      <c r="AE88" s="461"/>
      <c r="AF88" s="461"/>
      <c r="AG88" s="461"/>
      <c r="AH88" s="1047"/>
      <c r="AL88" s="259"/>
      <c r="AM88" s="466"/>
      <c r="AN88" s="466"/>
      <c r="AO88" s="466"/>
      <c r="AP88" s="283"/>
      <c r="AQ88" s="259"/>
      <c r="AR88" s="466"/>
      <c r="AS88" s="283"/>
    </row>
    <row r="89" spans="5:71" ht="13.5" thickBot="1">
      <c r="E89" s="4109"/>
      <c r="F89" s="1379" t="s">
        <v>585</v>
      </c>
      <c r="G89" s="1094">
        <v>0</v>
      </c>
      <c r="H89" s="1095">
        <v>0</v>
      </c>
      <c r="I89" s="1095">
        <v>0</v>
      </c>
      <c r="J89" s="1095">
        <v>0</v>
      </c>
      <c r="K89" s="1096">
        <v>0</v>
      </c>
      <c r="L89" s="1094">
        <f>L87-L88</f>
        <v>998339.73</v>
      </c>
      <c r="M89" s="1095">
        <f t="shared" ref="M89" si="252">M87-M88</f>
        <v>0</v>
      </c>
      <c r="N89" s="1095">
        <f t="shared" ref="N89" si="253">N87-N88</f>
        <v>0</v>
      </c>
      <c r="O89" s="1095">
        <f t="shared" ref="O89" si="254">O87-O88</f>
        <v>0</v>
      </c>
      <c r="P89" s="1096">
        <f t="shared" ref="P89" si="255">P87-P88</f>
        <v>0</v>
      </c>
      <c r="Q89" s="1567">
        <f t="shared" ref="Q89" si="256">Q87-Q88</f>
        <v>0</v>
      </c>
      <c r="R89" s="1056">
        <f t="shared" ref="R89" si="257">R87-R88</f>
        <v>0</v>
      </c>
      <c r="S89" s="1056">
        <f t="shared" ref="S89" si="258">S87-S88</f>
        <v>0</v>
      </c>
      <c r="T89" s="1056">
        <f t="shared" ref="T89" si="259">T87-T88</f>
        <v>0</v>
      </c>
      <c r="U89" s="1057">
        <f t="shared" ref="U89" si="260">U87-U88</f>
        <v>0</v>
      </c>
      <c r="W89" s="1055">
        <f t="shared" ref="W89" si="261">W87-W88</f>
        <v>0</v>
      </c>
      <c r="X89" s="1056">
        <f t="shared" ref="X89" si="262">X87-X88</f>
        <v>0</v>
      </c>
      <c r="Y89" s="1056">
        <f t="shared" ref="Y89" si="263">Y87-Y88</f>
        <v>0</v>
      </c>
      <c r="Z89" s="1056">
        <f t="shared" ref="Z89" si="264">Z87-Z88</f>
        <v>0</v>
      </c>
      <c r="AA89" s="1057">
        <f t="shared" ref="AA89" si="265">AA87-AA88</f>
        <v>0</v>
      </c>
      <c r="AB89" s="1058"/>
      <c r="AC89" s="1055">
        <f t="shared" ref="AC89" si="266">AC87-AC88</f>
        <v>0</v>
      </c>
      <c r="AD89" s="1056">
        <f t="shared" ref="AD89" si="267">AD87-AD88</f>
        <v>0</v>
      </c>
      <c r="AE89" s="1056">
        <f t="shared" ref="AE89" si="268">AE87-AE88</f>
        <v>0</v>
      </c>
      <c r="AF89" s="1056">
        <f t="shared" ref="AF89" si="269">AF87-AF88</f>
        <v>0</v>
      </c>
      <c r="AG89" s="1056">
        <f t="shared" ref="AG89" si="270">AG87-AG88</f>
        <v>0</v>
      </c>
      <c r="AH89" s="1059"/>
      <c r="AL89" s="1094">
        <f>AL87-AL88</f>
        <v>0</v>
      </c>
      <c r="AM89" s="1095">
        <f t="shared" ref="AM89:AR89" si="271">AM87-AM88</f>
        <v>0</v>
      </c>
      <c r="AN89" s="1095">
        <f t="shared" si="271"/>
        <v>0</v>
      </c>
      <c r="AO89" s="1095">
        <f t="shared" si="271"/>
        <v>0</v>
      </c>
      <c r="AP89" s="1096">
        <f t="shared" si="271"/>
        <v>0</v>
      </c>
      <c r="AQ89" s="1094">
        <f t="shared" si="271"/>
        <v>0</v>
      </c>
      <c r="AR89" s="1095">
        <f t="shared" si="271"/>
        <v>0</v>
      </c>
      <c r="AS89" s="1096"/>
    </row>
    <row r="90" spans="5:71" s="474" customFormat="1" ht="12.75" customHeight="1">
      <c r="E90" s="4107" t="s">
        <v>1481</v>
      </c>
      <c r="F90" s="433" t="s">
        <v>111</v>
      </c>
      <c r="G90" s="1077"/>
      <c r="H90" s="1078"/>
      <c r="I90" s="1078"/>
      <c r="J90" s="1078"/>
      <c r="K90" s="1079"/>
      <c r="L90" s="1566"/>
      <c r="M90" s="421"/>
      <c r="N90" s="421"/>
      <c r="O90" s="421"/>
      <c r="P90" s="1044"/>
      <c r="Q90" s="1080"/>
      <c r="R90" s="1081"/>
      <c r="S90" s="1081"/>
      <c r="T90" s="1081"/>
      <c r="U90" s="1082"/>
      <c r="V90" s="1172"/>
      <c r="W90" s="1043"/>
      <c r="X90" s="421"/>
      <c r="Y90" s="421"/>
      <c r="Z90" s="421"/>
      <c r="AA90" s="1044"/>
      <c r="AB90" s="1045"/>
      <c r="AC90" s="1043"/>
      <c r="AD90" s="421"/>
      <c r="AE90" s="421"/>
      <c r="AF90" s="421"/>
      <c r="AG90" s="421"/>
      <c r="AH90" s="1046"/>
      <c r="AI90" s="1172"/>
      <c r="AJ90" s="1155"/>
      <c r="AK90" s="1155"/>
      <c r="AL90" s="1077"/>
      <c r="AM90" s="1078"/>
      <c r="AN90" s="1078"/>
      <c r="AO90" s="1078"/>
      <c r="AP90" s="1079"/>
      <c r="AQ90" s="1566"/>
      <c r="AR90" s="421"/>
      <c r="AS90" s="1044"/>
      <c r="AT90" s="1155"/>
      <c r="AU90" s="1155"/>
      <c r="AV90" s="1155"/>
      <c r="AW90" s="1155"/>
      <c r="AX90" s="1155"/>
      <c r="AY90" s="1155"/>
      <c r="AZ90" s="1155"/>
      <c r="BA90" s="1155"/>
      <c r="BB90" s="1155"/>
      <c r="BC90" s="1155"/>
      <c r="BD90" s="1155"/>
      <c r="BE90" s="1155"/>
      <c r="BF90" s="1155"/>
      <c r="BG90" s="1155"/>
      <c r="BH90" s="1155"/>
      <c r="BI90" s="1155"/>
      <c r="BJ90" s="1155"/>
      <c r="BK90" s="1155"/>
      <c r="BL90" s="1155"/>
      <c r="BM90" s="1155"/>
      <c r="BN90" s="1155"/>
      <c r="BO90" s="1155"/>
      <c r="BP90" s="1155"/>
      <c r="BQ90" s="1155"/>
      <c r="BR90" s="1155"/>
      <c r="BS90" s="1155"/>
    </row>
    <row r="91" spans="5:71" s="474" customFormat="1" ht="12.75" customHeight="1">
      <c r="E91" s="4108"/>
      <c r="F91" s="1374" t="s">
        <v>588</v>
      </c>
      <c r="G91" s="1083"/>
      <c r="H91" s="1084"/>
      <c r="I91" s="1084"/>
      <c r="J91" s="1084"/>
      <c r="K91" s="1085"/>
      <c r="L91" s="255">
        <v>25339</v>
      </c>
      <c r="M91" s="461"/>
      <c r="N91" s="461"/>
      <c r="O91" s="461"/>
      <c r="P91" s="281"/>
      <c r="Q91" s="956"/>
      <c r="R91" s="461"/>
      <c r="S91" s="461"/>
      <c r="T91" s="461"/>
      <c r="U91" s="281"/>
      <c r="V91" s="1172"/>
      <c r="W91" s="255"/>
      <c r="X91" s="461"/>
      <c r="Y91" s="461"/>
      <c r="Z91" s="461"/>
      <c r="AA91" s="281"/>
      <c r="AB91" s="1041"/>
      <c r="AC91" s="255"/>
      <c r="AD91" s="461"/>
      <c r="AE91" s="461"/>
      <c r="AF91" s="461"/>
      <c r="AG91" s="461"/>
      <c r="AH91" s="1047"/>
      <c r="AI91" s="1172"/>
      <c r="AJ91" s="1155"/>
      <c r="AK91" s="1155"/>
      <c r="AL91" s="1083"/>
      <c r="AM91" s="1084"/>
      <c r="AN91" s="1084"/>
      <c r="AO91" s="1084"/>
      <c r="AP91" s="1085"/>
      <c r="AQ91" s="259"/>
      <c r="AR91" s="466"/>
      <c r="AS91" s="283"/>
      <c r="AT91" s="1155"/>
      <c r="AU91" s="1155"/>
      <c r="AV91" s="1155"/>
      <c r="AW91" s="1155"/>
      <c r="AX91" s="1155"/>
      <c r="AY91" s="1155"/>
      <c r="AZ91" s="1155"/>
      <c r="BA91" s="1155"/>
      <c r="BB91" s="1155"/>
      <c r="BC91" s="1155"/>
      <c r="BD91" s="1155"/>
      <c r="BE91" s="1155"/>
      <c r="BF91" s="1155"/>
      <c r="BG91" s="1155"/>
      <c r="BH91" s="1155"/>
      <c r="BI91" s="1155"/>
      <c r="BJ91" s="1155"/>
      <c r="BK91" s="1155"/>
      <c r="BL91" s="1155"/>
      <c r="BM91" s="1155"/>
      <c r="BN91" s="1155"/>
      <c r="BO91" s="1155"/>
      <c r="BP91" s="1155"/>
      <c r="BQ91" s="1155"/>
      <c r="BR91" s="1155"/>
      <c r="BS91" s="1155"/>
    </row>
    <row r="92" spans="5:71" s="474" customFormat="1" ht="12.75" customHeight="1">
      <c r="E92" s="4108"/>
      <c r="F92" s="1374" t="s">
        <v>589</v>
      </c>
      <c r="G92" s="1083"/>
      <c r="H92" s="1084"/>
      <c r="I92" s="1084"/>
      <c r="J92" s="1084"/>
      <c r="K92" s="1085"/>
      <c r="L92" s="255"/>
      <c r="M92" s="461"/>
      <c r="N92" s="461"/>
      <c r="O92" s="461"/>
      <c r="P92" s="281"/>
      <c r="Q92" s="956"/>
      <c r="R92" s="461"/>
      <c r="S92" s="461"/>
      <c r="T92" s="461"/>
      <c r="U92" s="281"/>
      <c r="V92" s="1172"/>
      <c r="W92" s="255"/>
      <c r="X92" s="461"/>
      <c r="Y92" s="461"/>
      <c r="Z92" s="461"/>
      <c r="AA92" s="281"/>
      <c r="AB92" s="1041"/>
      <c r="AC92" s="255"/>
      <c r="AD92" s="461"/>
      <c r="AE92" s="461"/>
      <c r="AF92" s="461"/>
      <c r="AG92" s="461"/>
      <c r="AH92" s="1047"/>
      <c r="AI92" s="1172"/>
      <c r="AJ92" s="1155"/>
      <c r="AK92" s="1155"/>
      <c r="AL92" s="1083"/>
      <c r="AM92" s="1084"/>
      <c r="AN92" s="1084"/>
      <c r="AO92" s="1084"/>
      <c r="AP92" s="1085"/>
      <c r="AQ92" s="259"/>
      <c r="AR92" s="466"/>
      <c r="AS92" s="283"/>
      <c r="AT92" s="1155"/>
      <c r="AU92" s="1155"/>
      <c r="AV92" s="1155"/>
      <c r="AW92" s="1155"/>
      <c r="AX92" s="1155"/>
      <c r="AY92" s="1155"/>
      <c r="AZ92" s="1155"/>
      <c r="BA92" s="1155"/>
      <c r="BB92" s="1155"/>
      <c r="BC92" s="1155"/>
      <c r="BD92" s="1155"/>
      <c r="BE92" s="1155"/>
      <c r="BF92" s="1155"/>
      <c r="BG92" s="1155"/>
      <c r="BH92" s="1155"/>
      <c r="BI92" s="1155"/>
      <c r="BJ92" s="1155"/>
      <c r="BK92" s="1155"/>
      <c r="BL92" s="1155"/>
      <c r="BM92" s="1155"/>
      <c r="BN92" s="1155"/>
      <c r="BO92" s="1155"/>
      <c r="BP92" s="1155"/>
      <c r="BQ92" s="1155"/>
      <c r="BR92" s="1155"/>
      <c r="BS92" s="1155"/>
    </row>
    <row r="93" spans="5:71" s="474" customFormat="1" ht="12.75" customHeight="1">
      <c r="E93" s="4108"/>
      <c r="F93" s="1374" t="s">
        <v>590</v>
      </c>
      <c r="G93" s="1083"/>
      <c r="H93" s="1084"/>
      <c r="I93" s="1084"/>
      <c r="J93" s="1084"/>
      <c r="K93" s="1085"/>
      <c r="L93" s="255"/>
      <c r="M93" s="461"/>
      <c r="N93" s="461"/>
      <c r="O93" s="461"/>
      <c r="P93" s="281"/>
      <c r="Q93" s="956"/>
      <c r="R93" s="461"/>
      <c r="S93" s="461"/>
      <c r="T93" s="461"/>
      <c r="U93" s="281"/>
      <c r="V93" s="1172"/>
      <c r="W93" s="255"/>
      <c r="X93" s="461"/>
      <c r="Y93" s="461"/>
      <c r="Z93" s="461"/>
      <c r="AA93" s="281"/>
      <c r="AB93" s="1041"/>
      <c r="AC93" s="255"/>
      <c r="AD93" s="461"/>
      <c r="AE93" s="461"/>
      <c r="AF93" s="461"/>
      <c r="AG93" s="461"/>
      <c r="AH93" s="1047"/>
      <c r="AI93" s="1172"/>
      <c r="AJ93" s="1155"/>
      <c r="AK93" s="1155"/>
      <c r="AL93" s="1083"/>
      <c r="AM93" s="1084"/>
      <c r="AN93" s="1084"/>
      <c r="AO93" s="1084"/>
      <c r="AP93" s="1085"/>
      <c r="AQ93" s="259"/>
      <c r="AR93" s="466"/>
      <c r="AS93" s="283"/>
      <c r="AT93" s="1155"/>
      <c r="AU93" s="1155"/>
      <c r="AV93" s="1155"/>
      <c r="AW93" s="1155"/>
      <c r="AX93" s="1155"/>
      <c r="AY93" s="1155"/>
      <c r="AZ93" s="1155"/>
      <c r="BA93" s="1155"/>
      <c r="BB93" s="1155"/>
      <c r="BC93" s="1155"/>
      <c r="BD93" s="1155"/>
      <c r="BE93" s="1155"/>
      <c r="BF93" s="1155"/>
      <c r="BG93" s="1155"/>
      <c r="BH93" s="1155"/>
      <c r="BI93" s="1155"/>
      <c r="BJ93" s="1155"/>
      <c r="BK93" s="1155"/>
      <c r="BL93" s="1155"/>
      <c r="BM93" s="1155"/>
      <c r="BN93" s="1155"/>
      <c r="BO93" s="1155"/>
      <c r="BP93" s="1155"/>
      <c r="BQ93" s="1155"/>
      <c r="BR93" s="1155"/>
      <c r="BS93" s="1155"/>
    </row>
    <row r="94" spans="5:71" s="474" customFormat="1" ht="12.75" customHeight="1">
      <c r="E94" s="4108"/>
      <c r="F94" s="1374" t="s">
        <v>591</v>
      </c>
      <c r="G94" s="1083"/>
      <c r="H94" s="1084"/>
      <c r="I94" s="1084"/>
      <c r="J94" s="1084"/>
      <c r="K94" s="1085"/>
      <c r="L94" s="255"/>
      <c r="M94" s="461"/>
      <c r="N94" s="461"/>
      <c r="O94" s="461"/>
      <c r="P94" s="281"/>
      <c r="Q94" s="956"/>
      <c r="R94" s="461"/>
      <c r="S94" s="461"/>
      <c r="T94" s="461"/>
      <c r="U94" s="281"/>
      <c r="V94" s="1172"/>
      <c r="W94" s="255"/>
      <c r="X94" s="461"/>
      <c r="Y94" s="461"/>
      <c r="Z94" s="461"/>
      <c r="AA94" s="281"/>
      <c r="AB94" s="1041"/>
      <c r="AC94" s="255"/>
      <c r="AD94" s="461"/>
      <c r="AE94" s="461"/>
      <c r="AF94" s="461"/>
      <c r="AG94" s="461"/>
      <c r="AH94" s="1047"/>
      <c r="AI94" s="1172"/>
      <c r="AJ94" s="1155"/>
      <c r="AK94" s="1155"/>
      <c r="AL94" s="1083"/>
      <c r="AM94" s="1084"/>
      <c r="AN94" s="1084"/>
      <c r="AO94" s="1084"/>
      <c r="AP94" s="1085"/>
      <c r="AQ94" s="259"/>
      <c r="AR94" s="466"/>
      <c r="AS94" s="283"/>
      <c r="AT94" s="1155"/>
      <c r="AU94" s="1155"/>
      <c r="AV94" s="1155"/>
      <c r="AW94" s="1155"/>
      <c r="AX94" s="1155"/>
      <c r="AY94" s="1155"/>
      <c r="AZ94" s="1155"/>
      <c r="BA94" s="1155"/>
      <c r="BB94" s="1155"/>
      <c r="BC94" s="1155"/>
      <c r="BD94" s="1155"/>
      <c r="BE94" s="1155"/>
      <c r="BF94" s="1155"/>
      <c r="BG94" s="1155"/>
      <c r="BH94" s="1155"/>
      <c r="BI94" s="1155"/>
      <c r="BJ94" s="1155"/>
      <c r="BK94" s="1155"/>
      <c r="BL94" s="1155"/>
      <c r="BM94" s="1155"/>
      <c r="BN94" s="1155"/>
      <c r="BO94" s="1155"/>
      <c r="BP94" s="1155"/>
      <c r="BQ94" s="1155"/>
      <c r="BR94" s="1155"/>
      <c r="BS94" s="1155"/>
    </row>
    <row r="95" spans="5:71" s="474" customFormat="1" ht="12.75" customHeight="1">
      <c r="E95" s="4108"/>
      <c r="F95" s="1374" t="s">
        <v>592</v>
      </c>
      <c r="G95" s="1083"/>
      <c r="H95" s="1084"/>
      <c r="I95" s="1084"/>
      <c r="J95" s="1084"/>
      <c r="K95" s="1085"/>
      <c r="L95" s="207"/>
      <c r="M95" s="456"/>
      <c r="N95" s="456"/>
      <c r="O95" s="456"/>
      <c r="P95" s="457"/>
      <c r="Q95" s="224"/>
      <c r="R95" s="456"/>
      <c r="S95" s="456"/>
      <c r="T95" s="456"/>
      <c r="U95" s="457"/>
      <c r="V95" s="1172"/>
      <c r="W95" s="207">
        <v>0</v>
      </c>
      <c r="X95" s="456">
        <v>0</v>
      </c>
      <c r="Y95" s="456">
        <v>0</v>
      </c>
      <c r="Z95" s="456">
        <v>0</v>
      </c>
      <c r="AA95" s="457">
        <v>0</v>
      </c>
      <c r="AB95" s="1041"/>
      <c r="AC95" s="207">
        <v>0</v>
      </c>
      <c r="AD95" s="456">
        <v>0</v>
      </c>
      <c r="AE95" s="456">
        <v>0</v>
      </c>
      <c r="AF95" s="456">
        <v>0</v>
      </c>
      <c r="AG95" s="456">
        <v>0</v>
      </c>
      <c r="AH95" s="1048"/>
      <c r="AI95" s="1172"/>
      <c r="AJ95" s="1155"/>
      <c r="AK95" s="1155"/>
      <c r="AL95" s="1083"/>
      <c r="AM95" s="1084"/>
      <c r="AN95" s="1084"/>
      <c r="AO95" s="1084"/>
      <c r="AP95" s="1085"/>
      <c r="AQ95" s="207">
        <f>SUM(AQ90:AQ94)</f>
        <v>0</v>
      </c>
      <c r="AR95" s="456">
        <f t="shared" ref="AR95" si="272">SUM(AR90:AR94)</f>
        <v>0</v>
      </c>
      <c r="AS95" s="457"/>
      <c r="AT95" s="1155"/>
      <c r="AU95" s="1155"/>
      <c r="AV95" s="1155"/>
      <c r="AW95" s="1155"/>
      <c r="AX95" s="1155"/>
      <c r="AY95" s="1155"/>
      <c r="AZ95" s="1155"/>
      <c r="BA95" s="1155"/>
      <c r="BB95" s="1155"/>
      <c r="BC95" s="1155"/>
      <c r="BD95" s="1155"/>
      <c r="BE95" s="1155"/>
      <c r="BF95" s="1155"/>
      <c r="BG95" s="1155"/>
      <c r="BH95" s="1155"/>
      <c r="BI95" s="1155"/>
      <c r="BJ95" s="1155"/>
      <c r="BK95" s="1155"/>
      <c r="BL95" s="1155"/>
      <c r="BM95" s="1155"/>
      <c r="BN95" s="1155"/>
      <c r="BO95" s="1155"/>
      <c r="BP95" s="1155"/>
      <c r="BQ95" s="1155"/>
      <c r="BR95" s="1155"/>
      <c r="BS95" s="1155"/>
    </row>
    <row r="96" spans="5:71" s="474" customFormat="1">
      <c r="E96" s="4108"/>
      <c r="F96" s="1375" t="s">
        <v>587</v>
      </c>
      <c r="G96" s="1086"/>
      <c r="H96" s="1087"/>
      <c r="I96" s="1087"/>
      <c r="J96" s="1087"/>
      <c r="K96" s="1088"/>
      <c r="L96" s="258">
        <f>SUM(L91:L95)</f>
        <v>25339</v>
      </c>
      <c r="M96" s="465">
        <f t="shared" ref="M96" si="273">SUM(M91:M95)</f>
        <v>0</v>
      </c>
      <c r="N96" s="465">
        <f t="shared" ref="N96" si="274">SUM(N91:N95)</f>
        <v>0</v>
      </c>
      <c r="O96" s="465">
        <f t="shared" ref="O96" si="275">SUM(O91:O95)</f>
        <v>0</v>
      </c>
      <c r="P96" s="282">
        <f t="shared" ref="P96" si="276">SUM(P91:P95)</f>
        <v>0</v>
      </c>
      <c r="Q96" s="965">
        <f t="shared" ref="Q96" si="277">SUM(Q91:Q95)</f>
        <v>0</v>
      </c>
      <c r="R96" s="465">
        <f t="shared" ref="R96" si="278">SUM(R91:R95)</f>
        <v>0</v>
      </c>
      <c r="S96" s="465">
        <f t="shared" ref="S96" si="279">SUM(S91:S95)</f>
        <v>0</v>
      </c>
      <c r="T96" s="465">
        <f t="shared" ref="T96" si="280">SUM(T91:T95)</f>
        <v>0</v>
      </c>
      <c r="U96" s="282">
        <f t="shared" ref="U96" si="281">SUM(U91:U95)</f>
        <v>0</v>
      </c>
      <c r="V96" s="1172"/>
      <c r="W96" s="258">
        <f t="shared" ref="W96" si="282">SUM(W91:W95)</f>
        <v>0</v>
      </c>
      <c r="X96" s="465">
        <f t="shared" ref="X96" si="283">SUM(X91:X95)</f>
        <v>0</v>
      </c>
      <c r="Y96" s="465">
        <f t="shared" ref="Y96" si="284">SUM(Y91:Y95)</f>
        <v>0</v>
      </c>
      <c r="Z96" s="465">
        <f t="shared" ref="Z96" si="285">SUM(Z91:Z95)</f>
        <v>0</v>
      </c>
      <c r="AA96" s="282">
        <f t="shared" ref="AA96" si="286">SUM(AA91:AA95)</f>
        <v>0</v>
      </c>
      <c r="AB96" s="992"/>
      <c r="AC96" s="258">
        <f t="shared" ref="AC96" si="287">SUM(AC91:AC95)</f>
        <v>0</v>
      </c>
      <c r="AD96" s="465">
        <f t="shared" ref="AD96" si="288">SUM(AD91:AD95)</f>
        <v>0</v>
      </c>
      <c r="AE96" s="465">
        <f t="shared" ref="AE96" si="289">SUM(AE91:AE95)</f>
        <v>0</v>
      </c>
      <c r="AF96" s="465">
        <f t="shared" ref="AF96" si="290">SUM(AF91:AF95)</f>
        <v>0</v>
      </c>
      <c r="AG96" s="465">
        <f t="shared" ref="AG96" si="291">SUM(AG91:AG95)</f>
        <v>0</v>
      </c>
      <c r="AH96" s="1049"/>
      <c r="AI96" s="1172"/>
      <c r="AJ96" s="1155"/>
      <c r="AK96" s="1155"/>
      <c r="AL96" s="1086"/>
      <c r="AM96" s="1087"/>
      <c r="AN96" s="1087"/>
      <c r="AO96" s="1087"/>
      <c r="AP96" s="1088"/>
      <c r="AQ96" s="258"/>
      <c r="AR96" s="465"/>
      <c r="AS96" s="282"/>
      <c r="AT96" s="1155"/>
      <c r="AU96" s="1155"/>
      <c r="AV96" s="1155"/>
      <c r="AW96" s="1155"/>
      <c r="AX96" s="1155"/>
      <c r="AY96" s="1155"/>
      <c r="AZ96" s="1155"/>
      <c r="BA96" s="1155"/>
      <c r="BB96" s="1155"/>
      <c r="BC96" s="1155"/>
      <c r="BD96" s="1155"/>
      <c r="BE96" s="1155"/>
      <c r="BF96" s="1155"/>
      <c r="BG96" s="1155"/>
      <c r="BH96" s="1155"/>
      <c r="BI96" s="1155"/>
      <c r="BJ96" s="1155"/>
      <c r="BK96" s="1155"/>
      <c r="BL96" s="1155"/>
      <c r="BM96" s="1155"/>
      <c r="BN96" s="1155"/>
      <c r="BO96" s="1155"/>
      <c r="BP96" s="1155"/>
      <c r="BQ96" s="1155"/>
      <c r="BR96" s="1155"/>
      <c r="BS96" s="1155"/>
    </row>
    <row r="97" spans="5:71" s="474" customFormat="1">
      <c r="E97" s="4108"/>
      <c r="F97" s="1376" t="s">
        <v>593</v>
      </c>
      <c r="G97" s="1083"/>
      <c r="H97" s="1084"/>
      <c r="I97" s="1084"/>
      <c r="J97" s="1084"/>
      <c r="K97" s="1085"/>
      <c r="L97" s="255"/>
      <c r="M97" s="461"/>
      <c r="N97" s="461"/>
      <c r="O97" s="461"/>
      <c r="P97" s="281"/>
      <c r="Q97" s="956"/>
      <c r="R97" s="461"/>
      <c r="S97" s="461"/>
      <c r="T97" s="461"/>
      <c r="U97" s="281"/>
      <c r="V97" s="1172"/>
      <c r="W97" s="255"/>
      <c r="X97" s="461"/>
      <c r="Y97" s="461"/>
      <c r="Z97" s="461"/>
      <c r="AA97" s="281"/>
      <c r="AB97" s="1041"/>
      <c r="AC97" s="255"/>
      <c r="AD97" s="461"/>
      <c r="AE97" s="461"/>
      <c r="AF97" s="461"/>
      <c r="AG97" s="461"/>
      <c r="AH97" s="1047"/>
      <c r="AI97" s="1172"/>
      <c r="AJ97" s="1155"/>
      <c r="AK97" s="1155"/>
      <c r="AL97" s="1083"/>
      <c r="AM97" s="1084"/>
      <c r="AN97" s="1084"/>
      <c r="AO97" s="1084"/>
      <c r="AP97" s="1085"/>
      <c r="AQ97" s="259"/>
      <c r="AR97" s="466"/>
      <c r="AS97" s="283"/>
      <c r="AT97" s="1155"/>
      <c r="AU97" s="1155"/>
      <c r="AV97" s="1155"/>
      <c r="AW97" s="1155"/>
      <c r="AX97" s="1155"/>
      <c r="AY97" s="1155"/>
      <c r="AZ97" s="1155"/>
      <c r="BA97" s="1155"/>
      <c r="BB97" s="1155"/>
      <c r="BC97" s="1155"/>
      <c r="BD97" s="1155"/>
      <c r="BE97" s="1155"/>
      <c r="BF97" s="1155"/>
      <c r="BG97" s="1155"/>
      <c r="BH97" s="1155"/>
      <c r="BI97" s="1155"/>
      <c r="BJ97" s="1155"/>
      <c r="BK97" s="1155"/>
      <c r="BL97" s="1155"/>
      <c r="BM97" s="1155"/>
      <c r="BN97" s="1155"/>
      <c r="BO97" s="1155"/>
      <c r="BP97" s="1155"/>
      <c r="BQ97" s="1155"/>
      <c r="BR97" s="1155"/>
      <c r="BS97" s="1155"/>
    </row>
    <row r="98" spans="5:71" s="474" customFormat="1">
      <c r="E98" s="4108"/>
      <c r="F98" s="431" t="s">
        <v>558</v>
      </c>
      <c r="G98" s="1083"/>
      <c r="H98" s="1084"/>
      <c r="I98" s="1084"/>
      <c r="J98" s="1084"/>
      <c r="K98" s="1085"/>
      <c r="L98" s="255">
        <v>3278831.9200000004</v>
      </c>
      <c r="M98" s="461"/>
      <c r="N98" s="461"/>
      <c r="O98" s="461"/>
      <c r="P98" s="281"/>
      <c r="Q98" s="956"/>
      <c r="R98" s="461"/>
      <c r="S98" s="461"/>
      <c r="T98" s="461"/>
      <c r="U98" s="281"/>
      <c r="V98" s="1172"/>
      <c r="W98" s="255"/>
      <c r="X98" s="461"/>
      <c r="Y98" s="461"/>
      <c r="Z98" s="461"/>
      <c r="AA98" s="281"/>
      <c r="AB98" s="1041"/>
      <c r="AC98" s="255"/>
      <c r="AD98" s="461"/>
      <c r="AE98" s="461"/>
      <c r="AF98" s="461"/>
      <c r="AG98" s="461"/>
      <c r="AH98" s="1047"/>
      <c r="AI98" s="1172"/>
      <c r="AJ98" s="1155"/>
      <c r="AK98" s="1155"/>
      <c r="AL98" s="1083"/>
      <c r="AM98" s="1084"/>
      <c r="AN98" s="1084"/>
      <c r="AO98" s="1084"/>
      <c r="AP98" s="1085"/>
      <c r="AQ98" s="259"/>
      <c r="AR98" s="466"/>
      <c r="AS98" s="283"/>
      <c r="AT98" s="1155"/>
      <c r="AU98" s="1155"/>
      <c r="AV98" s="1155"/>
      <c r="AW98" s="1155"/>
      <c r="AX98" s="1155"/>
      <c r="AY98" s="1155"/>
      <c r="AZ98" s="1155"/>
      <c r="BA98" s="1155"/>
      <c r="BB98" s="1155"/>
      <c r="BC98" s="1155"/>
      <c r="BD98" s="1155"/>
      <c r="BE98" s="1155"/>
      <c r="BF98" s="1155"/>
      <c r="BG98" s="1155"/>
      <c r="BH98" s="1155"/>
      <c r="BI98" s="1155"/>
      <c r="BJ98" s="1155"/>
      <c r="BK98" s="1155"/>
      <c r="BL98" s="1155"/>
      <c r="BM98" s="1155"/>
      <c r="BN98" s="1155"/>
      <c r="BO98" s="1155"/>
      <c r="BP98" s="1155"/>
      <c r="BQ98" s="1155"/>
      <c r="BR98" s="1155"/>
      <c r="BS98" s="1155"/>
    </row>
    <row r="99" spans="5:71" s="474" customFormat="1">
      <c r="E99" s="4108"/>
      <c r="F99" s="431" t="s">
        <v>559</v>
      </c>
      <c r="G99" s="1083"/>
      <c r="H99" s="1084"/>
      <c r="I99" s="1084"/>
      <c r="J99" s="1084"/>
      <c r="K99" s="1085"/>
      <c r="L99" s="255"/>
      <c r="M99" s="461"/>
      <c r="N99" s="461"/>
      <c r="O99" s="461"/>
      <c r="P99" s="281"/>
      <c r="Q99" s="956"/>
      <c r="R99" s="461"/>
      <c r="S99" s="461"/>
      <c r="T99" s="461"/>
      <c r="U99" s="281"/>
      <c r="V99" s="1172"/>
      <c r="W99" s="255"/>
      <c r="X99" s="461"/>
      <c r="Y99" s="461"/>
      <c r="Z99" s="461"/>
      <c r="AA99" s="281"/>
      <c r="AB99" s="1041"/>
      <c r="AC99" s="255"/>
      <c r="AD99" s="461"/>
      <c r="AE99" s="461"/>
      <c r="AF99" s="461"/>
      <c r="AG99" s="461"/>
      <c r="AH99" s="1047"/>
      <c r="AI99" s="1172"/>
      <c r="AJ99" s="1155"/>
      <c r="AK99" s="1155"/>
      <c r="AL99" s="1083"/>
      <c r="AM99" s="1084"/>
      <c r="AN99" s="1084"/>
      <c r="AO99" s="1084"/>
      <c r="AP99" s="1085"/>
      <c r="AQ99" s="259"/>
      <c r="AR99" s="466"/>
      <c r="AS99" s="283"/>
      <c r="AT99" s="1155"/>
      <c r="AU99" s="1155"/>
      <c r="AV99" s="1155"/>
      <c r="AW99" s="1155"/>
      <c r="AX99" s="1155"/>
      <c r="AY99" s="1155"/>
      <c r="AZ99" s="1155"/>
      <c r="BA99" s="1155"/>
      <c r="BB99" s="1155"/>
      <c r="BC99" s="1155"/>
      <c r="BD99" s="1155"/>
      <c r="BE99" s="1155"/>
      <c r="BF99" s="1155"/>
      <c r="BG99" s="1155"/>
      <c r="BH99" s="1155"/>
      <c r="BI99" s="1155"/>
      <c r="BJ99" s="1155"/>
      <c r="BK99" s="1155"/>
      <c r="BL99" s="1155"/>
      <c r="BM99" s="1155"/>
      <c r="BN99" s="1155"/>
      <c r="BO99" s="1155"/>
      <c r="BP99" s="1155"/>
      <c r="BQ99" s="1155"/>
      <c r="BR99" s="1155"/>
      <c r="BS99" s="1155"/>
    </row>
    <row r="100" spans="5:71" s="474" customFormat="1">
      <c r="E100" s="4108"/>
      <c r="F100" s="431" t="s">
        <v>578</v>
      </c>
      <c r="G100" s="1089"/>
      <c r="H100" s="1090"/>
      <c r="I100" s="1090"/>
      <c r="J100" s="1090"/>
      <c r="K100" s="1091"/>
      <c r="L100" s="259"/>
      <c r="M100" s="456"/>
      <c r="N100" s="456"/>
      <c r="O100" s="456"/>
      <c r="P100" s="457"/>
      <c r="Q100" s="224"/>
      <c r="R100" s="456"/>
      <c r="S100" s="456"/>
      <c r="T100" s="456"/>
      <c r="U100" s="457"/>
      <c r="V100" s="1172"/>
      <c r="W100" s="207"/>
      <c r="X100" s="456"/>
      <c r="Y100" s="456"/>
      <c r="Z100" s="456"/>
      <c r="AA100" s="457"/>
      <c r="AB100" s="1041"/>
      <c r="AC100" s="207"/>
      <c r="AD100" s="456"/>
      <c r="AE100" s="456"/>
      <c r="AF100" s="456"/>
      <c r="AG100" s="456"/>
      <c r="AH100" s="1048"/>
      <c r="AI100" s="1172"/>
      <c r="AJ100" s="1155"/>
      <c r="AK100" s="1155"/>
      <c r="AL100" s="1089"/>
      <c r="AM100" s="1090"/>
      <c r="AN100" s="1090"/>
      <c r="AO100" s="1090"/>
      <c r="AP100" s="1091"/>
      <c r="AQ100" s="259"/>
      <c r="AR100" s="456"/>
      <c r="AS100" s="457"/>
      <c r="AT100" s="1155"/>
      <c r="AU100" s="1155"/>
      <c r="AV100" s="1155"/>
      <c r="AW100" s="1155"/>
      <c r="AX100" s="1155"/>
      <c r="AY100" s="1155"/>
      <c r="AZ100" s="1155"/>
      <c r="BA100" s="1155"/>
      <c r="BB100" s="1155"/>
      <c r="BC100" s="1155"/>
      <c r="BD100" s="1155"/>
      <c r="BE100" s="1155"/>
      <c r="BF100" s="1155"/>
      <c r="BG100" s="1155"/>
      <c r="BH100" s="1155"/>
      <c r="BI100" s="1155"/>
      <c r="BJ100" s="1155"/>
      <c r="BK100" s="1155"/>
      <c r="BL100" s="1155"/>
      <c r="BM100" s="1155"/>
      <c r="BN100" s="1155"/>
      <c r="BO100" s="1155"/>
      <c r="BP100" s="1155"/>
      <c r="BQ100" s="1155"/>
      <c r="BR100" s="1155"/>
      <c r="BS100" s="1155"/>
    </row>
    <row r="101" spans="5:71" s="474" customFormat="1">
      <c r="E101" s="4108"/>
      <c r="F101" s="1377" t="s">
        <v>579</v>
      </c>
      <c r="G101" s="1086"/>
      <c r="H101" s="1087"/>
      <c r="I101" s="1087"/>
      <c r="J101" s="1087"/>
      <c r="K101" s="1088"/>
      <c r="L101" s="258">
        <f>SUM(L97:L100)</f>
        <v>3278831.9200000004</v>
      </c>
      <c r="M101" s="465">
        <f t="shared" ref="M101" si="292">SUM(M97:M100)</f>
        <v>0</v>
      </c>
      <c r="N101" s="465">
        <f t="shared" ref="N101" si="293">SUM(N97:N100)</f>
        <v>0</v>
      </c>
      <c r="O101" s="465">
        <f t="shared" ref="O101" si="294">SUM(O97:O100)</f>
        <v>0</v>
      </c>
      <c r="P101" s="282">
        <f t="shared" ref="P101" si="295">SUM(P97:P100)</f>
        <v>0</v>
      </c>
      <c r="Q101" s="965">
        <f t="shared" ref="Q101" si="296">SUM(Q97:Q100)</f>
        <v>0</v>
      </c>
      <c r="R101" s="465">
        <f t="shared" ref="R101" si="297">SUM(R97:R100)</f>
        <v>0</v>
      </c>
      <c r="S101" s="465">
        <f t="shared" ref="S101" si="298">SUM(S97:S100)</f>
        <v>0</v>
      </c>
      <c r="T101" s="465">
        <f t="shared" ref="T101" si="299">SUM(T97:T100)</f>
        <v>0</v>
      </c>
      <c r="U101" s="282">
        <f t="shared" ref="U101" si="300">SUM(U97:U100)</f>
        <v>0</v>
      </c>
      <c r="V101" s="1172"/>
      <c r="W101" s="258">
        <f t="shared" ref="W101" si="301">SUM(W97:W100)</f>
        <v>0</v>
      </c>
      <c r="X101" s="465">
        <f t="shared" ref="X101" si="302">SUM(X97:X100)</f>
        <v>0</v>
      </c>
      <c r="Y101" s="465">
        <f t="shared" ref="Y101" si="303">SUM(Y97:Y100)</f>
        <v>0</v>
      </c>
      <c r="Z101" s="465">
        <f t="shared" ref="Z101" si="304">SUM(Z97:Z100)</f>
        <v>0</v>
      </c>
      <c r="AA101" s="282">
        <f t="shared" ref="AA101" si="305">SUM(AA97:AA100)</f>
        <v>0</v>
      </c>
      <c r="AB101" s="992"/>
      <c r="AC101" s="258">
        <f t="shared" ref="AC101" si="306">SUM(AC97:AC100)</f>
        <v>0</v>
      </c>
      <c r="AD101" s="465">
        <f t="shared" ref="AD101" si="307">SUM(AD97:AD100)</f>
        <v>0</v>
      </c>
      <c r="AE101" s="465">
        <f t="shared" ref="AE101" si="308">SUM(AE97:AE100)</f>
        <v>0</v>
      </c>
      <c r="AF101" s="465">
        <f t="shared" ref="AF101" si="309">SUM(AF97:AF100)</f>
        <v>0</v>
      </c>
      <c r="AG101" s="465">
        <f t="shared" ref="AG101" si="310">SUM(AG97:AG100)</f>
        <v>0</v>
      </c>
      <c r="AH101" s="1049"/>
      <c r="AI101" s="1172"/>
      <c r="AJ101" s="1155"/>
      <c r="AK101" s="1155"/>
      <c r="AL101" s="1086"/>
      <c r="AM101" s="1087"/>
      <c r="AN101" s="1087"/>
      <c r="AO101" s="1087"/>
      <c r="AP101" s="1088"/>
      <c r="AQ101" s="258">
        <f>SUM(AQ98:AQ100)</f>
        <v>0</v>
      </c>
      <c r="AR101" s="465">
        <f t="shared" ref="AR101" si="311">SUM(AR98:AR100)</f>
        <v>0</v>
      </c>
      <c r="AS101" s="282"/>
      <c r="AT101" s="1155"/>
      <c r="AU101" s="1155"/>
      <c r="AV101" s="1155"/>
      <c r="AW101" s="1155"/>
      <c r="AX101" s="1155"/>
      <c r="AY101" s="1155"/>
      <c r="AZ101" s="1155"/>
      <c r="BA101" s="1155"/>
      <c r="BB101" s="1155"/>
      <c r="BC101" s="1155"/>
      <c r="BD101" s="1155"/>
      <c r="BE101" s="1155"/>
      <c r="BF101" s="1155"/>
      <c r="BG101" s="1155"/>
      <c r="BH101" s="1155"/>
      <c r="BI101" s="1155"/>
      <c r="BJ101" s="1155"/>
      <c r="BK101" s="1155"/>
      <c r="BL101" s="1155"/>
      <c r="BM101" s="1155"/>
      <c r="BN101" s="1155"/>
      <c r="BO101" s="1155"/>
      <c r="BP101" s="1155"/>
      <c r="BQ101" s="1155"/>
      <c r="BR101" s="1155"/>
      <c r="BS101" s="1155"/>
    </row>
    <row r="102" spans="5:71" s="474" customFormat="1" ht="13.5" thickBot="1">
      <c r="E102" s="4108"/>
      <c r="F102" s="1035" t="s">
        <v>583</v>
      </c>
      <c r="G102" s="255"/>
      <c r="H102" s="461"/>
      <c r="I102" s="461"/>
      <c r="J102" s="461"/>
      <c r="K102" s="281"/>
      <c r="L102" s="207"/>
      <c r="M102" s="456"/>
      <c r="N102" s="456"/>
      <c r="O102" s="456"/>
      <c r="P102" s="457"/>
      <c r="Q102" s="224"/>
      <c r="R102" s="456"/>
      <c r="S102" s="456"/>
      <c r="T102" s="456"/>
      <c r="U102" s="457"/>
      <c r="V102" s="1172"/>
      <c r="W102" s="1603"/>
      <c r="X102" s="1604"/>
      <c r="Y102" s="1604"/>
      <c r="Z102" s="1604"/>
      <c r="AA102" s="1605"/>
      <c r="AB102" s="1606"/>
      <c r="AC102" s="1603"/>
      <c r="AD102" s="1607"/>
      <c r="AE102" s="1607"/>
      <c r="AF102" s="1607"/>
      <c r="AG102" s="1607"/>
      <c r="AH102" s="1608"/>
      <c r="AI102" s="1172"/>
      <c r="AJ102" s="1155"/>
      <c r="AK102" s="1155"/>
      <c r="AL102" s="259"/>
      <c r="AM102" s="466"/>
      <c r="AN102" s="466"/>
      <c r="AO102" s="466"/>
      <c r="AP102" s="283"/>
      <c r="AQ102" s="259"/>
      <c r="AR102" s="466"/>
      <c r="AS102" s="283"/>
      <c r="AT102" s="1155"/>
      <c r="AU102" s="1155"/>
      <c r="AV102" s="1155"/>
      <c r="AW102" s="1155"/>
      <c r="AX102" s="1155"/>
      <c r="AY102" s="1155"/>
      <c r="AZ102" s="1155"/>
      <c r="BA102" s="1155"/>
      <c r="BB102" s="1155"/>
      <c r="BC102" s="1155"/>
      <c r="BD102" s="1155"/>
      <c r="BE102" s="1155"/>
      <c r="BF102" s="1155"/>
      <c r="BG102" s="1155"/>
      <c r="BH102" s="1155"/>
      <c r="BI102" s="1155"/>
      <c r="BJ102" s="1155"/>
      <c r="BK102" s="1155"/>
      <c r="BL102" s="1155"/>
      <c r="BM102" s="1155"/>
      <c r="BN102" s="1155"/>
      <c r="BO102" s="1155"/>
      <c r="BP102" s="1155"/>
      <c r="BQ102" s="1155"/>
      <c r="BR102" s="1155"/>
      <c r="BS102" s="1155"/>
    </row>
    <row r="103" spans="5:71" s="474" customFormat="1" ht="13.5" thickBot="1">
      <c r="E103" s="4108"/>
      <c r="F103" s="1380" t="s">
        <v>581</v>
      </c>
      <c r="G103" s="1599"/>
      <c r="H103" s="1600"/>
      <c r="I103" s="1600"/>
      <c r="J103" s="1600"/>
      <c r="K103" s="1601"/>
      <c r="L103" s="1599"/>
      <c r="M103" s="1600"/>
      <c r="N103" s="1600"/>
      <c r="O103" s="1600"/>
      <c r="P103" s="1601"/>
      <c r="Q103" s="1602"/>
      <c r="R103" s="1600"/>
      <c r="S103" s="1600"/>
      <c r="T103" s="1600"/>
      <c r="U103" s="1601"/>
      <c r="V103" s="1172"/>
      <c r="W103" s="1614"/>
      <c r="X103" s="1615"/>
      <c r="Y103" s="1615"/>
      <c r="Z103" s="1615"/>
      <c r="AA103" s="1615"/>
      <c r="AB103" s="1615"/>
      <c r="AC103" s="1615"/>
      <c r="AD103" s="1615"/>
      <c r="AE103" s="1615"/>
      <c r="AF103" s="1615"/>
      <c r="AG103" s="1615"/>
      <c r="AH103" s="1616"/>
      <c r="AI103" s="1172"/>
      <c r="AJ103" s="1155"/>
      <c r="AK103" s="1155"/>
      <c r="AL103" s="259"/>
      <c r="AM103" s="466"/>
      <c r="AN103" s="466"/>
      <c r="AO103" s="466"/>
      <c r="AP103" s="283"/>
      <c r="AQ103" s="259"/>
      <c r="AR103" s="466"/>
      <c r="AS103" s="283"/>
      <c r="AT103" s="1155"/>
      <c r="AU103" s="1155"/>
      <c r="AV103" s="1155"/>
      <c r="AW103" s="1155"/>
      <c r="AX103" s="1155"/>
      <c r="AY103" s="1155"/>
      <c r="AZ103" s="1155"/>
      <c r="BA103" s="1155"/>
      <c r="BB103" s="1155"/>
      <c r="BC103" s="1155"/>
      <c r="BD103" s="1155"/>
      <c r="BE103" s="1155"/>
      <c r="BF103" s="1155"/>
      <c r="BG103" s="1155"/>
      <c r="BH103" s="1155"/>
      <c r="BI103" s="1155"/>
      <c r="BJ103" s="1155"/>
      <c r="BK103" s="1155"/>
      <c r="BL103" s="1155"/>
      <c r="BM103" s="1155"/>
      <c r="BN103" s="1155"/>
      <c r="BO103" s="1155"/>
      <c r="BP103" s="1155"/>
      <c r="BQ103" s="1155"/>
      <c r="BR103" s="1155"/>
      <c r="BS103" s="1155"/>
    </row>
    <row r="104" spans="5:71" s="474" customFormat="1">
      <c r="E104" s="4108"/>
      <c r="F104" s="1378" t="s">
        <v>584</v>
      </c>
      <c r="G104" s="1050">
        <v>0</v>
      </c>
      <c r="H104" s="1051">
        <v>0</v>
      </c>
      <c r="I104" s="1051">
        <v>0</v>
      </c>
      <c r="J104" s="1051">
        <v>0</v>
      </c>
      <c r="K104" s="1052">
        <v>0</v>
      </c>
      <c r="L104" s="1050">
        <f>SUM(L101:L103)</f>
        <v>3278831.9200000004</v>
      </c>
      <c r="M104" s="1051">
        <f t="shared" ref="M104" si="312">SUM(M101:M103)</f>
        <v>0</v>
      </c>
      <c r="N104" s="1051">
        <f t="shared" ref="N104" si="313">SUM(N101:N103)</f>
        <v>0</v>
      </c>
      <c r="O104" s="1051">
        <f t="shared" ref="O104" si="314">SUM(O101:O103)</f>
        <v>0</v>
      </c>
      <c r="P104" s="1052">
        <f t="shared" ref="P104" si="315">SUM(P101:P103)</f>
        <v>0</v>
      </c>
      <c r="Q104" s="1092">
        <f t="shared" ref="Q104" si="316">SUM(Q101:Q103)</f>
        <v>0</v>
      </c>
      <c r="R104" s="1051">
        <f t="shared" ref="R104" si="317">SUM(R101:R103)</f>
        <v>0</v>
      </c>
      <c r="S104" s="1051">
        <f t="shared" ref="S104" si="318">SUM(S101:S103)</f>
        <v>0</v>
      </c>
      <c r="T104" s="1051">
        <f t="shared" ref="T104" si="319">SUM(T101:T103)</f>
        <v>0</v>
      </c>
      <c r="U104" s="1052">
        <f t="shared" ref="U104" si="320">SUM(U101:U103)</f>
        <v>0</v>
      </c>
      <c r="V104" s="1172"/>
      <c r="W104" s="1609">
        <f t="shared" ref="W104" si="321">SUM(W101:W103)</f>
        <v>0</v>
      </c>
      <c r="X104" s="1610">
        <f t="shared" ref="X104" si="322">SUM(X101:X103)</f>
        <v>0</v>
      </c>
      <c r="Y104" s="1610">
        <f t="shared" ref="Y104" si="323">SUM(Y101:Y103)</f>
        <v>0</v>
      </c>
      <c r="Z104" s="1610">
        <f t="shared" ref="Z104" si="324">SUM(Z101:Z103)</f>
        <v>0</v>
      </c>
      <c r="AA104" s="1611">
        <f t="shared" ref="AA104" si="325">SUM(AA101:AA103)</f>
        <v>0</v>
      </c>
      <c r="AB104" s="1612"/>
      <c r="AC104" s="1609">
        <f t="shared" ref="AC104" si="326">SUM(AC101:AC103)</f>
        <v>0</v>
      </c>
      <c r="AD104" s="1610">
        <f t="shared" ref="AD104" si="327">SUM(AD101:AD103)</f>
        <v>0</v>
      </c>
      <c r="AE104" s="1610">
        <f t="shared" ref="AE104" si="328">SUM(AE101:AE103)</f>
        <v>0</v>
      </c>
      <c r="AF104" s="1610">
        <f t="shared" ref="AF104" si="329">SUM(AF101:AF103)</f>
        <v>0</v>
      </c>
      <c r="AG104" s="1610">
        <f t="shared" ref="AG104" si="330">SUM(AG101:AG103)</f>
        <v>0</v>
      </c>
      <c r="AH104" s="1613"/>
      <c r="AI104" s="1172"/>
      <c r="AJ104" s="130"/>
      <c r="AK104" s="130"/>
      <c r="AL104" s="1050">
        <f t="shared" ref="AL104:AR104" si="331">SUM(AL102:AL103)</f>
        <v>0</v>
      </c>
      <c r="AM104" s="1051">
        <f t="shared" si="331"/>
        <v>0</v>
      </c>
      <c r="AN104" s="1051">
        <f t="shared" si="331"/>
        <v>0</v>
      </c>
      <c r="AO104" s="1051">
        <f t="shared" si="331"/>
        <v>0</v>
      </c>
      <c r="AP104" s="1052">
        <f t="shared" si="331"/>
        <v>0</v>
      </c>
      <c r="AQ104" s="1050">
        <f t="shared" si="331"/>
        <v>0</v>
      </c>
      <c r="AR104" s="1051">
        <f t="shared" si="331"/>
        <v>0</v>
      </c>
      <c r="AS104" s="1052"/>
      <c r="AT104" s="130"/>
      <c r="AU104" s="130"/>
      <c r="AV104" s="130"/>
      <c r="AW104" s="130"/>
      <c r="AX104" s="130"/>
      <c r="AY104" s="130"/>
      <c r="AZ104" s="130"/>
      <c r="BA104" s="130"/>
      <c r="BB104" s="130"/>
      <c r="BC104" s="130"/>
      <c r="BD104" s="130"/>
      <c r="BE104" s="130"/>
      <c r="BF104" s="130"/>
      <c r="BG104" s="130"/>
      <c r="BH104" s="130"/>
      <c r="BI104" s="130"/>
      <c r="BJ104" s="130"/>
      <c r="BK104" s="130"/>
      <c r="BL104" s="130"/>
      <c r="BM104" s="130"/>
      <c r="BN104" s="130"/>
      <c r="BO104" s="130"/>
      <c r="BP104" s="130"/>
      <c r="BQ104" s="130"/>
      <c r="BR104" s="130"/>
      <c r="BS104" s="1155"/>
    </row>
    <row r="105" spans="5:71" s="474" customFormat="1">
      <c r="E105" s="4108"/>
      <c r="F105" s="1389" t="s">
        <v>35</v>
      </c>
      <c r="G105" s="255"/>
      <c r="H105" s="461"/>
      <c r="I105" s="461"/>
      <c r="J105" s="461"/>
      <c r="K105" s="281"/>
      <c r="L105" s="255"/>
      <c r="M105" s="461"/>
      <c r="N105" s="461"/>
      <c r="O105" s="461"/>
      <c r="P105" s="281"/>
      <c r="Q105" s="956"/>
      <c r="R105" s="461"/>
      <c r="S105" s="461"/>
      <c r="T105" s="461"/>
      <c r="U105" s="281"/>
      <c r="V105" s="1172"/>
      <c r="W105" s="255"/>
      <c r="X105" s="461"/>
      <c r="Y105" s="461"/>
      <c r="Z105" s="461"/>
      <c r="AA105" s="281"/>
      <c r="AB105" s="1004"/>
      <c r="AC105" s="255"/>
      <c r="AD105" s="461"/>
      <c r="AE105" s="461"/>
      <c r="AF105" s="461"/>
      <c r="AG105" s="461"/>
      <c r="AH105" s="1047"/>
      <c r="AI105" s="1172"/>
      <c r="AJ105" s="1155"/>
      <c r="AK105" s="1155"/>
      <c r="AL105" s="259"/>
      <c r="AM105" s="466"/>
      <c r="AN105" s="466"/>
      <c r="AO105" s="466"/>
      <c r="AP105" s="283"/>
      <c r="AQ105" s="259"/>
      <c r="AR105" s="466"/>
      <c r="AS105" s="283"/>
      <c r="AT105" s="1155"/>
      <c r="AU105" s="1155"/>
      <c r="AV105" s="1155"/>
      <c r="AW105" s="1155"/>
      <c r="AX105" s="1155"/>
      <c r="AY105" s="1155"/>
      <c r="AZ105" s="1155"/>
      <c r="BA105" s="1155"/>
      <c r="BB105" s="1155"/>
      <c r="BC105" s="1155"/>
      <c r="BD105" s="1155"/>
      <c r="BE105" s="1155"/>
      <c r="BF105" s="1155"/>
      <c r="BG105" s="1155"/>
      <c r="BH105" s="1155"/>
      <c r="BI105" s="1155"/>
      <c r="BJ105" s="1155"/>
      <c r="BK105" s="1155"/>
      <c r="BL105" s="1155"/>
      <c r="BM105" s="1155"/>
      <c r="BN105" s="1155"/>
      <c r="BO105" s="1155"/>
      <c r="BP105" s="1155"/>
      <c r="BQ105" s="1155"/>
      <c r="BR105" s="1155"/>
      <c r="BS105" s="1155"/>
    </row>
    <row r="106" spans="5:71" s="474" customFormat="1" ht="13.5" thickBot="1">
      <c r="E106" s="4109"/>
      <c r="F106" s="1387" t="s">
        <v>585</v>
      </c>
      <c r="G106" s="1055">
        <v>0</v>
      </c>
      <c r="H106" s="1056">
        <v>0</v>
      </c>
      <c r="I106" s="1056">
        <v>0</v>
      </c>
      <c r="J106" s="1056">
        <v>0</v>
      </c>
      <c r="K106" s="1057">
        <v>0</v>
      </c>
      <c r="L106" s="1567">
        <f>L104-L105</f>
        <v>3278831.9200000004</v>
      </c>
      <c r="M106" s="1056">
        <f t="shared" ref="M106" si="332">M104-M105</f>
        <v>0</v>
      </c>
      <c r="N106" s="1056">
        <f t="shared" ref="N106" si="333">N104-N105</f>
        <v>0</v>
      </c>
      <c r="O106" s="1056">
        <f t="shared" ref="O106" si="334">O104-O105</f>
        <v>0</v>
      </c>
      <c r="P106" s="1057">
        <f t="shared" ref="P106" si="335">P104-P105</f>
        <v>0</v>
      </c>
      <c r="Q106" s="1093">
        <f t="shared" ref="Q106" si="336">Q104-Q105</f>
        <v>0</v>
      </c>
      <c r="R106" s="1056">
        <f t="shared" ref="R106" si="337">R104-R105</f>
        <v>0</v>
      </c>
      <c r="S106" s="1056">
        <f t="shared" ref="S106" si="338">S104-S105</f>
        <v>0</v>
      </c>
      <c r="T106" s="1056">
        <f t="shared" ref="T106" si="339">T104-T105</f>
        <v>0</v>
      </c>
      <c r="U106" s="1057">
        <f t="shared" ref="U106" si="340">U104-U105</f>
        <v>0</v>
      </c>
      <c r="V106" s="1172"/>
      <c r="W106" s="1055">
        <f t="shared" ref="W106" si="341">W104-W105</f>
        <v>0</v>
      </c>
      <c r="X106" s="1056">
        <f t="shared" ref="X106" si="342">X104-X105</f>
        <v>0</v>
      </c>
      <c r="Y106" s="1056">
        <f t="shared" ref="Y106" si="343">Y104-Y105</f>
        <v>0</v>
      </c>
      <c r="Z106" s="1056">
        <f t="shared" ref="Z106" si="344">Z104-Z105</f>
        <v>0</v>
      </c>
      <c r="AA106" s="1057">
        <f t="shared" ref="AA106" si="345">AA104-AA105</f>
        <v>0</v>
      </c>
      <c r="AB106" s="1075"/>
      <c r="AC106" s="1055">
        <f t="shared" ref="AC106" si="346">AC104-AC105</f>
        <v>0</v>
      </c>
      <c r="AD106" s="1056">
        <f t="shared" ref="AD106" si="347">AD104-AD105</f>
        <v>0</v>
      </c>
      <c r="AE106" s="1056">
        <f t="shared" ref="AE106" si="348">AE104-AE105</f>
        <v>0</v>
      </c>
      <c r="AF106" s="1056">
        <f t="shared" ref="AF106" si="349">AF104-AF105</f>
        <v>0</v>
      </c>
      <c r="AG106" s="1056">
        <f t="shared" ref="AG106" si="350">AG104-AG105</f>
        <v>0</v>
      </c>
      <c r="AH106" s="1059"/>
      <c r="AI106" s="1172"/>
      <c r="AJ106" s="1155"/>
      <c r="AK106" s="1155"/>
      <c r="AL106" s="1567">
        <f>AL104-AL105</f>
        <v>0</v>
      </c>
      <c r="AM106" s="1056">
        <f t="shared" ref="AM106:AR106" si="351">AM104-AM105</f>
        <v>0</v>
      </c>
      <c r="AN106" s="1056">
        <f t="shared" si="351"/>
        <v>0</v>
      </c>
      <c r="AO106" s="1056">
        <f t="shared" si="351"/>
        <v>0</v>
      </c>
      <c r="AP106" s="1057">
        <f t="shared" si="351"/>
        <v>0</v>
      </c>
      <c r="AQ106" s="1567">
        <f t="shared" si="351"/>
        <v>0</v>
      </c>
      <c r="AR106" s="1056">
        <f t="shared" si="351"/>
        <v>0</v>
      </c>
      <c r="AS106" s="1057"/>
      <c r="AT106" s="1155"/>
      <c r="AU106" s="1155"/>
      <c r="AV106" s="1155"/>
      <c r="AW106" s="1155"/>
      <c r="AX106" s="1155"/>
      <c r="AY106" s="1155"/>
      <c r="AZ106" s="1155"/>
      <c r="BA106" s="1155"/>
      <c r="BB106" s="1155"/>
      <c r="BC106" s="1155"/>
      <c r="BD106" s="1155"/>
      <c r="BE106" s="1155"/>
      <c r="BF106" s="1155"/>
      <c r="BG106" s="1155"/>
      <c r="BH106" s="1155"/>
      <c r="BI106" s="1155"/>
      <c r="BJ106" s="1155"/>
      <c r="BK106" s="1155"/>
      <c r="BL106" s="1155"/>
      <c r="BM106" s="1155"/>
      <c r="BN106" s="1155"/>
      <c r="BO106" s="1155"/>
      <c r="BP106" s="1155"/>
      <c r="BQ106" s="1155"/>
      <c r="BR106" s="1155"/>
      <c r="BS106" s="1155"/>
    </row>
    <row r="107" spans="5:71" s="474" customFormat="1" ht="12.75" customHeight="1">
      <c r="E107" s="4107" t="s">
        <v>1482</v>
      </c>
      <c r="F107" s="433" t="s">
        <v>111</v>
      </c>
      <c r="G107" s="1086"/>
      <c r="H107" s="1087"/>
      <c r="I107" s="1087"/>
      <c r="J107" s="1087"/>
      <c r="K107" s="1088"/>
      <c r="L107" s="258"/>
      <c r="M107" s="465"/>
      <c r="N107" s="465"/>
      <c r="O107" s="465"/>
      <c r="P107" s="282"/>
      <c r="Q107" s="965"/>
      <c r="R107" s="465"/>
      <c r="S107" s="465"/>
      <c r="T107" s="465"/>
      <c r="U107" s="1044"/>
      <c r="V107" s="1172"/>
      <c r="W107" s="1043"/>
      <c r="X107" s="421"/>
      <c r="Y107" s="421"/>
      <c r="Z107" s="421"/>
      <c r="AA107" s="1044"/>
      <c r="AB107" s="1045"/>
      <c r="AC107" s="1043"/>
      <c r="AD107" s="421"/>
      <c r="AE107" s="421"/>
      <c r="AF107" s="421"/>
      <c r="AG107" s="421"/>
      <c r="AH107" s="1046"/>
      <c r="AI107" s="1172"/>
      <c r="AJ107" s="1155"/>
      <c r="AK107" s="1155"/>
      <c r="AL107" s="1086"/>
      <c r="AM107" s="1087"/>
      <c r="AN107" s="1087"/>
      <c r="AO107" s="1087"/>
      <c r="AP107" s="1088"/>
      <c r="AQ107" s="258"/>
      <c r="AR107" s="465"/>
      <c r="AS107" s="282"/>
      <c r="AT107" s="1155"/>
      <c r="AU107" s="1155"/>
      <c r="AV107" s="1155"/>
      <c r="AW107" s="1155"/>
      <c r="AX107" s="1155"/>
      <c r="AY107" s="1155"/>
      <c r="AZ107" s="1155"/>
      <c r="BA107" s="1155"/>
      <c r="BB107" s="1155"/>
      <c r="BC107" s="1155"/>
      <c r="BD107" s="1155"/>
      <c r="BE107" s="1155"/>
      <c r="BF107" s="1155"/>
      <c r="BG107" s="1155"/>
      <c r="BH107" s="1155"/>
      <c r="BI107" s="1155"/>
      <c r="BJ107" s="1155"/>
      <c r="BK107" s="1155"/>
      <c r="BL107" s="1155"/>
      <c r="BM107" s="1155"/>
      <c r="BN107" s="1155"/>
      <c r="BO107" s="1155"/>
      <c r="BP107" s="1155"/>
      <c r="BQ107" s="1155"/>
      <c r="BR107" s="1155"/>
      <c r="BS107" s="1155"/>
    </row>
    <row r="108" spans="5:71" s="474" customFormat="1" ht="12.75" customHeight="1">
      <c r="E108" s="4108"/>
      <c r="F108" s="1374" t="s">
        <v>588</v>
      </c>
      <c r="G108" s="1083"/>
      <c r="H108" s="1084"/>
      <c r="I108" s="1084"/>
      <c r="J108" s="1084"/>
      <c r="K108" s="1085"/>
      <c r="L108" s="255">
        <v>17533</v>
      </c>
      <c r="M108" s="461"/>
      <c r="N108" s="461"/>
      <c r="O108" s="461"/>
      <c r="P108" s="281"/>
      <c r="Q108" s="956"/>
      <c r="R108" s="461"/>
      <c r="S108" s="461"/>
      <c r="T108" s="461"/>
      <c r="U108" s="281"/>
      <c r="V108" s="1172"/>
      <c r="W108" s="255"/>
      <c r="X108" s="461"/>
      <c r="Y108" s="461"/>
      <c r="Z108" s="461"/>
      <c r="AA108" s="281"/>
      <c r="AB108" s="1041"/>
      <c r="AC108" s="255"/>
      <c r="AD108" s="461"/>
      <c r="AE108" s="461"/>
      <c r="AF108" s="461"/>
      <c r="AG108" s="461"/>
      <c r="AH108" s="1047"/>
      <c r="AI108" s="1172"/>
      <c r="AJ108" s="1155"/>
      <c r="AK108" s="1155"/>
      <c r="AL108" s="1083"/>
      <c r="AM108" s="1084"/>
      <c r="AN108" s="1084"/>
      <c r="AO108" s="1084"/>
      <c r="AP108" s="1085"/>
      <c r="AQ108" s="259"/>
      <c r="AR108" s="466"/>
      <c r="AS108" s="283"/>
      <c r="AT108" s="1155"/>
      <c r="AU108" s="1155"/>
      <c r="AV108" s="1155"/>
      <c r="AW108" s="1155"/>
      <c r="AX108" s="1155"/>
      <c r="AY108" s="1155"/>
      <c r="AZ108" s="1155"/>
      <c r="BA108" s="1155"/>
      <c r="BB108" s="1155"/>
      <c r="BC108" s="1155"/>
      <c r="BD108" s="1155"/>
      <c r="BE108" s="1155"/>
      <c r="BF108" s="1155"/>
      <c r="BG108" s="1155"/>
      <c r="BH108" s="1155"/>
      <c r="BI108" s="1155"/>
      <c r="BJ108" s="1155"/>
      <c r="BK108" s="1155"/>
      <c r="BL108" s="1155"/>
      <c r="BM108" s="1155"/>
      <c r="BN108" s="1155"/>
      <c r="BO108" s="1155"/>
      <c r="BP108" s="1155"/>
      <c r="BQ108" s="1155"/>
      <c r="BR108" s="1155"/>
      <c r="BS108" s="1155"/>
    </row>
    <row r="109" spans="5:71" s="474" customFormat="1" ht="12.75" customHeight="1">
      <c r="E109" s="4108"/>
      <c r="F109" s="1374" t="s">
        <v>589</v>
      </c>
      <c r="G109" s="1083"/>
      <c r="H109" s="1084"/>
      <c r="I109" s="1084"/>
      <c r="J109" s="1084"/>
      <c r="K109" s="1085"/>
      <c r="L109" s="255"/>
      <c r="M109" s="461"/>
      <c r="N109" s="461"/>
      <c r="O109" s="461"/>
      <c r="P109" s="281"/>
      <c r="Q109" s="956"/>
      <c r="R109" s="461"/>
      <c r="S109" s="461"/>
      <c r="T109" s="461"/>
      <c r="U109" s="281"/>
      <c r="V109" s="1172"/>
      <c r="W109" s="255"/>
      <c r="X109" s="461"/>
      <c r="Y109" s="461"/>
      <c r="Z109" s="461"/>
      <c r="AA109" s="281"/>
      <c r="AB109" s="1041"/>
      <c r="AC109" s="255"/>
      <c r="AD109" s="461"/>
      <c r="AE109" s="461"/>
      <c r="AF109" s="461"/>
      <c r="AG109" s="461"/>
      <c r="AH109" s="1047"/>
      <c r="AI109" s="1172"/>
      <c r="AJ109" s="1155"/>
      <c r="AK109" s="1155"/>
      <c r="AL109" s="1083"/>
      <c r="AM109" s="1084"/>
      <c r="AN109" s="1084"/>
      <c r="AO109" s="1084"/>
      <c r="AP109" s="1085"/>
      <c r="AQ109" s="259"/>
      <c r="AR109" s="466"/>
      <c r="AS109" s="283"/>
      <c r="AT109" s="1155"/>
      <c r="AU109" s="1155"/>
      <c r="AV109" s="1155"/>
      <c r="AW109" s="1155"/>
      <c r="AX109" s="1155"/>
      <c r="AY109" s="1155"/>
      <c r="AZ109" s="1155"/>
      <c r="BA109" s="1155"/>
      <c r="BB109" s="1155"/>
      <c r="BC109" s="1155"/>
      <c r="BD109" s="1155"/>
      <c r="BE109" s="1155"/>
      <c r="BF109" s="1155"/>
      <c r="BG109" s="1155"/>
      <c r="BH109" s="1155"/>
      <c r="BI109" s="1155"/>
      <c r="BJ109" s="1155"/>
      <c r="BK109" s="1155"/>
      <c r="BL109" s="1155"/>
      <c r="BM109" s="1155"/>
      <c r="BN109" s="1155"/>
      <c r="BO109" s="1155"/>
      <c r="BP109" s="1155"/>
      <c r="BQ109" s="1155"/>
      <c r="BR109" s="1155"/>
      <c r="BS109" s="1155"/>
    </row>
    <row r="110" spans="5:71" s="474" customFormat="1" ht="12.75" customHeight="1">
      <c r="E110" s="4108"/>
      <c r="F110" s="1374" t="s">
        <v>590</v>
      </c>
      <c r="G110" s="1083"/>
      <c r="H110" s="1084"/>
      <c r="I110" s="1084"/>
      <c r="J110" s="1084"/>
      <c r="K110" s="1085"/>
      <c r="L110" s="255"/>
      <c r="M110" s="461"/>
      <c r="N110" s="461"/>
      <c r="O110" s="461"/>
      <c r="P110" s="281"/>
      <c r="Q110" s="956"/>
      <c r="R110" s="461"/>
      <c r="S110" s="461"/>
      <c r="T110" s="461"/>
      <c r="U110" s="281"/>
      <c r="V110" s="1172"/>
      <c r="W110" s="255"/>
      <c r="X110" s="461"/>
      <c r="Y110" s="461"/>
      <c r="Z110" s="461"/>
      <c r="AA110" s="281"/>
      <c r="AB110" s="1041"/>
      <c r="AC110" s="255"/>
      <c r="AD110" s="461"/>
      <c r="AE110" s="461"/>
      <c r="AF110" s="461"/>
      <c r="AG110" s="461"/>
      <c r="AH110" s="1047"/>
      <c r="AI110" s="1172"/>
      <c r="AJ110" s="1155"/>
      <c r="AK110" s="1155"/>
      <c r="AL110" s="1083"/>
      <c r="AM110" s="1084"/>
      <c r="AN110" s="1084"/>
      <c r="AO110" s="1084"/>
      <c r="AP110" s="1085"/>
      <c r="AQ110" s="259"/>
      <c r="AR110" s="466"/>
      <c r="AS110" s="283"/>
      <c r="AT110" s="1155"/>
      <c r="AU110" s="1155"/>
      <c r="AV110" s="1155"/>
      <c r="AW110" s="1155"/>
      <c r="AX110" s="1155"/>
      <c r="AY110" s="1155"/>
      <c r="AZ110" s="1155"/>
      <c r="BA110" s="1155"/>
      <c r="BB110" s="1155"/>
      <c r="BC110" s="1155"/>
      <c r="BD110" s="1155"/>
      <c r="BE110" s="1155"/>
      <c r="BF110" s="1155"/>
      <c r="BG110" s="1155"/>
      <c r="BH110" s="1155"/>
      <c r="BI110" s="1155"/>
      <c r="BJ110" s="1155"/>
      <c r="BK110" s="1155"/>
      <c r="BL110" s="1155"/>
      <c r="BM110" s="1155"/>
      <c r="BN110" s="1155"/>
      <c r="BO110" s="1155"/>
      <c r="BP110" s="1155"/>
      <c r="BQ110" s="1155"/>
      <c r="BR110" s="1155"/>
      <c r="BS110" s="1155"/>
    </row>
    <row r="111" spans="5:71" s="474" customFormat="1" ht="12.75" customHeight="1">
      <c r="E111" s="4108"/>
      <c r="F111" s="1374" t="s">
        <v>591</v>
      </c>
      <c r="G111" s="1083"/>
      <c r="H111" s="1084"/>
      <c r="I111" s="1084"/>
      <c r="J111" s="1084"/>
      <c r="K111" s="1085"/>
      <c r="L111" s="255"/>
      <c r="M111" s="461"/>
      <c r="N111" s="461"/>
      <c r="O111" s="461"/>
      <c r="P111" s="281"/>
      <c r="Q111" s="956"/>
      <c r="R111" s="461"/>
      <c r="S111" s="461"/>
      <c r="T111" s="461"/>
      <c r="U111" s="281"/>
      <c r="V111" s="1172"/>
      <c r="W111" s="255"/>
      <c r="X111" s="461"/>
      <c r="Y111" s="461"/>
      <c r="Z111" s="461"/>
      <c r="AA111" s="281"/>
      <c r="AB111" s="1041"/>
      <c r="AC111" s="255"/>
      <c r="AD111" s="461"/>
      <c r="AE111" s="461"/>
      <c r="AF111" s="461"/>
      <c r="AG111" s="461"/>
      <c r="AH111" s="1047"/>
      <c r="AI111" s="1172"/>
      <c r="AJ111" s="1155"/>
      <c r="AK111" s="1155"/>
      <c r="AL111" s="1083"/>
      <c r="AM111" s="1084"/>
      <c r="AN111" s="1084"/>
      <c r="AO111" s="1084"/>
      <c r="AP111" s="1085"/>
      <c r="AQ111" s="259"/>
      <c r="AR111" s="466"/>
      <c r="AS111" s="283"/>
      <c r="AT111" s="1155"/>
      <c r="AU111" s="1155"/>
      <c r="AV111" s="1155"/>
      <c r="AW111" s="1155"/>
      <c r="AX111" s="1155"/>
      <c r="AY111" s="1155"/>
      <c r="AZ111" s="1155"/>
      <c r="BA111" s="1155"/>
      <c r="BB111" s="1155"/>
      <c r="BC111" s="1155"/>
      <c r="BD111" s="1155"/>
      <c r="BE111" s="1155"/>
      <c r="BF111" s="1155"/>
      <c r="BG111" s="1155"/>
      <c r="BH111" s="1155"/>
      <c r="BI111" s="1155"/>
      <c r="BJ111" s="1155"/>
      <c r="BK111" s="1155"/>
      <c r="BL111" s="1155"/>
      <c r="BM111" s="1155"/>
      <c r="BN111" s="1155"/>
      <c r="BO111" s="1155"/>
      <c r="BP111" s="1155"/>
      <c r="BQ111" s="1155"/>
      <c r="BR111" s="1155"/>
      <c r="BS111" s="1155"/>
    </row>
    <row r="112" spans="5:71" s="474" customFormat="1" ht="12.75" customHeight="1">
      <c r="E112" s="4108"/>
      <c r="F112" s="1374" t="s">
        <v>592</v>
      </c>
      <c r="G112" s="1083"/>
      <c r="H112" s="1084"/>
      <c r="I112" s="1084"/>
      <c r="J112" s="1084"/>
      <c r="K112" s="1085"/>
      <c r="L112" s="207"/>
      <c r="M112" s="456"/>
      <c r="N112" s="456"/>
      <c r="O112" s="456"/>
      <c r="P112" s="457"/>
      <c r="Q112" s="224"/>
      <c r="R112" s="456"/>
      <c r="S112" s="456"/>
      <c r="T112" s="456"/>
      <c r="U112" s="457"/>
      <c r="V112" s="1172"/>
      <c r="W112" s="207">
        <v>0</v>
      </c>
      <c r="X112" s="456">
        <v>0</v>
      </c>
      <c r="Y112" s="456">
        <v>0</v>
      </c>
      <c r="Z112" s="456">
        <v>0</v>
      </c>
      <c r="AA112" s="457">
        <v>0</v>
      </c>
      <c r="AB112" s="1041"/>
      <c r="AC112" s="207">
        <v>0</v>
      </c>
      <c r="AD112" s="456">
        <v>0</v>
      </c>
      <c r="AE112" s="456">
        <v>0</v>
      </c>
      <c r="AF112" s="456">
        <v>0</v>
      </c>
      <c r="AG112" s="456">
        <v>0</v>
      </c>
      <c r="AH112" s="1048"/>
      <c r="AI112" s="1172"/>
      <c r="AJ112" s="1155"/>
      <c r="AK112" s="1155"/>
      <c r="AL112" s="1083"/>
      <c r="AM112" s="1084"/>
      <c r="AN112" s="1084"/>
      <c r="AO112" s="1084"/>
      <c r="AP112" s="1085"/>
      <c r="AQ112" s="207">
        <f>SUM(AQ107:AQ111)</f>
        <v>0</v>
      </c>
      <c r="AR112" s="456">
        <f t="shared" ref="AR112" si="352">SUM(AR107:AR111)</f>
        <v>0</v>
      </c>
      <c r="AS112" s="457"/>
      <c r="AT112" s="1155"/>
      <c r="AU112" s="1155"/>
      <c r="AV112" s="1155"/>
      <c r="AW112" s="1155"/>
      <c r="AX112" s="1155"/>
      <c r="AY112" s="1155"/>
      <c r="AZ112" s="1155"/>
      <c r="BA112" s="1155"/>
      <c r="BB112" s="1155"/>
      <c r="BC112" s="1155"/>
      <c r="BD112" s="1155"/>
      <c r="BE112" s="1155"/>
      <c r="BF112" s="1155"/>
      <c r="BG112" s="1155"/>
      <c r="BH112" s="1155"/>
      <c r="BI112" s="1155"/>
      <c r="BJ112" s="1155"/>
      <c r="BK112" s="1155"/>
      <c r="BL112" s="1155"/>
      <c r="BM112" s="1155"/>
      <c r="BN112" s="1155"/>
      <c r="BO112" s="1155"/>
      <c r="BP112" s="1155"/>
      <c r="BQ112" s="1155"/>
      <c r="BR112" s="1155"/>
      <c r="BS112" s="1155"/>
    </row>
    <row r="113" spans="5:71" s="474" customFormat="1">
      <c r="E113" s="4108"/>
      <c r="F113" s="1375" t="s">
        <v>587</v>
      </c>
      <c r="G113" s="1086"/>
      <c r="H113" s="1087"/>
      <c r="I113" s="1087"/>
      <c r="J113" s="1087"/>
      <c r="K113" s="1088"/>
      <c r="L113" s="258">
        <f>SUM(L108:L112)</f>
        <v>17533</v>
      </c>
      <c r="M113" s="465">
        <f t="shared" ref="M113" si="353">SUM(M108:M112)</f>
        <v>0</v>
      </c>
      <c r="N113" s="465">
        <f t="shared" ref="N113" si="354">SUM(N108:N112)</f>
        <v>0</v>
      </c>
      <c r="O113" s="465">
        <f t="shared" ref="O113" si="355">SUM(O108:O112)</f>
        <v>0</v>
      </c>
      <c r="P113" s="282">
        <f t="shared" ref="P113" si="356">SUM(P108:P112)</f>
        <v>0</v>
      </c>
      <c r="Q113" s="965">
        <f t="shared" ref="Q113" si="357">SUM(Q108:Q112)</f>
        <v>0</v>
      </c>
      <c r="R113" s="465">
        <f t="shared" ref="R113" si="358">SUM(R108:R112)</f>
        <v>0</v>
      </c>
      <c r="S113" s="465">
        <f t="shared" ref="S113" si="359">SUM(S108:S112)</f>
        <v>0</v>
      </c>
      <c r="T113" s="465">
        <f t="shared" ref="T113" si="360">SUM(T108:T112)</f>
        <v>0</v>
      </c>
      <c r="U113" s="282">
        <f t="shared" ref="U113" si="361">SUM(U108:U112)</f>
        <v>0</v>
      </c>
      <c r="V113" s="1172"/>
      <c r="W113" s="258">
        <f t="shared" ref="W113" si="362">SUM(W108:W112)</f>
        <v>0</v>
      </c>
      <c r="X113" s="465">
        <f t="shared" ref="X113" si="363">SUM(X108:X112)</f>
        <v>0</v>
      </c>
      <c r="Y113" s="465">
        <f t="shared" ref="Y113" si="364">SUM(Y108:Y112)</f>
        <v>0</v>
      </c>
      <c r="Z113" s="465">
        <f t="shared" ref="Z113" si="365">SUM(Z108:Z112)</f>
        <v>0</v>
      </c>
      <c r="AA113" s="282">
        <f t="shared" ref="AA113" si="366">SUM(AA108:AA112)</f>
        <v>0</v>
      </c>
      <c r="AB113" s="992"/>
      <c r="AC113" s="258">
        <f t="shared" ref="AC113" si="367">SUM(AC108:AC112)</f>
        <v>0</v>
      </c>
      <c r="AD113" s="465">
        <f t="shared" ref="AD113" si="368">SUM(AD108:AD112)</f>
        <v>0</v>
      </c>
      <c r="AE113" s="465">
        <f t="shared" ref="AE113" si="369">SUM(AE108:AE112)</f>
        <v>0</v>
      </c>
      <c r="AF113" s="465">
        <f t="shared" ref="AF113" si="370">SUM(AF108:AF112)</f>
        <v>0</v>
      </c>
      <c r="AG113" s="465">
        <f t="shared" ref="AG113" si="371">SUM(AG108:AG112)</f>
        <v>0</v>
      </c>
      <c r="AH113" s="1049"/>
      <c r="AI113" s="1172"/>
      <c r="AJ113" s="1155"/>
      <c r="AK113" s="1155"/>
      <c r="AL113" s="1086"/>
      <c r="AM113" s="1087"/>
      <c r="AN113" s="1087"/>
      <c r="AO113" s="1087"/>
      <c r="AP113" s="1088"/>
      <c r="AQ113" s="258"/>
      <c r="AR113" s="465"/>
      <c r="AS113" s="282"/>
      <c r="AT113" s="1155"/>
      <c r="AU113" s="1155"/>
      <c r="AV113" s="1155"/>
      <c r="AW113" s="1155"/>
      <c r="AX113" s="1155"/>
      <c r="AY113" s="1155"/>
      <c r="AZ113" s="1155"/>
      <c r="BA113" s="1155"/>
      <c r="BB113" s="1155"/>
      <c r="BC113" s="1155"/>
      <c r="BD113" s="1155"/>
      <c r="BE113" s="1155"/>
      <c r="BF113" s="1155"/>
      <c r="BG113" s="1155"/>
      <c r="BH113" s="1155"/>
      <c r="BI113" s="1155"/>
      <c r="BJ113" s="1155"/>
      <c r="BK113" s="1155"/>
      <c r="BL113" s="1155"/>
      <c r="BM113" s="1155"/>
      <c r="BN113" s="1155"/>
      <c r="BO113" s="1155"/>
      <c r="BP113" s="1155"/>
      <c r="BQ113" s="1155"/>
      <c r="BR113" s="1155"/>
      <c r="BS113" s="1155"/>
    </row>
    <row r="114" spans="5:71" s="474" customFormat="1">
      <c r="E114" s="4108"/>
      <c r="F114" s="1376" t="s">
        <v>593</v>
      </c>
      <c r="G114" s="1083"/>
      <c r="H114" s="1084"/>
      <c r="I114" s="1084"/>
      <c r="J114" s="1084"/>
      <c r="K114" s="1085"/>
      <c r="L114" s="255"/>
      <c r="M114" s="461"/>
      <c r="N114" s="461"/>
      <c r="O114" s="461"/>
      <c r="P114" s="281"/>
      <c r="Q114" s="956"/>
      <c r="R114" s="461"/>
      <c r="S114" s="461"/>
      <c r="T114" s="461"/>
      <c r="U114" s="281"/>
      <c r="V114" s="1172"/>
      <c r="W114" s="255"/>
      <c r="X114" s="461"/>
      <c r="Y114" s="461"/>
      <c r="Z114" s="461"/>
      <c r="AA114" s="281"/>
      <c r="AB114" s="1041"/>
      <c r="AC114" s="255"/>
      <c r="AD114" s="461"/>
      <c r="AE114" s="461"/>
      <c r="AF114" s="461"/>
      <c r="AG114" s="461"/>
      <c r="AH114" s="1047"/>
      <c r="AI114" s="1172"/>
      <c r="AJ114" s="1155"/>
      <c r="AK114" s="1155"/>
      <c r="AL114" s="1083"/>
      <c r="AM114" s="1084"/>
      <c r="AN114" s="1084"/>
      <c r="AO114" s="1084"/>
      <c r="AP114" s="1085"/>
      <c r="AQ114" s="259"/>
      <c r="AR114" s="466"/>
      <c r="AS114" s="283"/>
      <c r="AT114" s="1155"/>
      <c r="AU114" s="1155"/>
      <c r="AV114" s="1155"/>
      <c r="AW114" s="1155"/>
      <c r="AX114" s="1155"/>
      <c r="AY114" s="1155"/>
      <c r="AZ114" s="1155"/>
      <c r="BA114" s="1155"/>
      <c r="BB114" s="1155"/>
      <c r="BC114" s="1155"/>
      <c r="BD114" s="1155"/>
      <c r="BE114" s="1155"/>
      <c r="BF114" s="1155"/>
      <c r="BG114" s="1155"/>
      <c r="BH114" s="1155"/>
      <c r="BI114" s="1155"/>
      <c r="BJ114" s="1155"/>
      <c r="BK114" s="1155"/>
      <c r="BL114" s="1155"/>
      <c r="BM114" s="1155"/>
      <c r="BN114" s="1155"/>
      <c r="BO114" s="1155"/>
      <c r="BP114" s="1155"/>
      <c r="BQ114" s="1155"/>
      <c r="BR114" s="1155"/>
      <c r="BS114" s="1155"/>
    </row>
    <row r="115" spans="5:71" s="474" customFormat="1">
      <c r="E115" s="4108"/>
      <c r="F115" s="431" t="s">
        <v>558</v>
      </c>
      <c r="G115" s="1083"/>
      <c r="H115" s="1084"/>
      <c r="I115" s="1084"/>
      <c r="J115" s="1084"/>
      <c r="K115" s="1085"/>
      <c r="L115" s="255">
        <v>2844769.3099999991</v>
      </c>
      <c r="M115" s="461"/>
      <c r="N115" s="461"/>
      <c r="O115" s="461"/>
      <c r="P115" s="281"/>
      <c r="Q115" s="956"/>
      <c r="R115" s="461"/>
      <c r="S115" s="461"/>
      <c r="T115" s="461"/>
      <c r="U115" s="281"/>
      <c r="V115" s="1172"/>
      <c r="W115" s="255"/>
      <c r="X115" s="461"/>
      <c r="Y115" s="461"/>
      <c r="Z115" s="461"/>
      <c r="AA115" s="281"/>
      <c r="AB115" s="1041"/>
      <c r="AC115" s="255"/>
      <c r="AD115" s="461"/>
      <c r="AE115" s="461"/>
      <c r="AF115" s="461"/>
      <c r="AG115" s="461"/>
      <c r="AH115" s="1047"/>
      <c r="AI115" s="1172"/>
      <c r="AJ115" s="1155"/>
      <c r="AK115" s="1155"/>
      <c r="AL115" s="1083"/>
      <c r="AM115" s="1084"/>
      <c r="AN115" s="1084"/>
      <c r="AO115" s="1084"/>
      <c r="AP115" s="1085"/>
      <c r="AQ115" s="259"/>
      <c r="AR115" s="466"/>
      <c r="AS115" s="283"/>
      <c r="AT115" s="1155"/>
      <c r="AU115" s="1155"/>
      <c r="AV115" s="1155"/>
      <c r="AW115" s="1155"/>
      <c r="AX115" s="1155"/>
      <c r="AY115" s="1155"/>
      <c r="AZ115" s="1155"/>
      <c r="BA115" s="1155"/>
      <c r="BB115" s="1155"/>
      <c r="BC115" s="1155"/>
      <c r="BD115" s="1155"/>
      <c r="BE115" s="1155"/>
      <c r="BF115" s="1155"/>
      <c r="BG115" s="1155"/>
      <c r="BH115" s="1155"/>
      <c r="BI115" s="1155"/>
      <c r="BJ115" s="1155"/>
      <c r="BK115" s="1155"/>
      <c r="BL115" s="1155"/>
      <c r="BM115" s="1155"/>
      <c r="BN115" s="1155"/>
      <c r="BO115" s="1155"/>
      <c r="BP115" s="1155"/>
      <c r="BQ115" s="1155"/>
      <c r="BR115" s="1155"/>
      <c r="BS115" s="1155"/>
    </row>
    <row r="116" spans="5:71" s="474" customFormat="1">
      <c r="E116" s="4108"/>
      <c r="F116" s="431" t="s">
        <v>559</v>
      </c>
      <c r="G116" s="1083"/>
      <c r="H116" s="1084"/>
      <c r="I116" s="1084"/>
      <c r="J116" s="1084"/>
      <c r="K116" s="1085"/>
      <c r="L116" s="255"/>
      <c r="M116" s="461"/>
      <c r="N116" s="461"/>
      <c r="O116" s="461"/>
      <c r="P116" s="281"/>
      <c r="Q116" s="956"/>
      <c r="R116" s="461"/>
      <c r="S116" s="461"/>
      <c r="T116" s="461"/>
      <c r="U116" s="281"/>
      <c r="V116" s="1172"/>
      <c r="W116" s="255"/>
      <c r="X116" s="461"/>
      <c r="Y116" s="461"/>
      <c r="Z116" s="461"/>
      <c r="AA116" s="281"/>
      <c r="AB116" s="1041"/>
      <c r="AC116" s="255"/>
      <c r="AD116" s="461"/>
      <c r="AE116" s="461"/>
      <c r="AF116" s="461"/>
      <c r="AG116" s="461"/>
      <c r="AH116" s="1047"/>
      <c r="AI116" s="1172"/>
      <c r="AJ116" s="1155"/>
      <c r="AK116" s="1155"/>
      <c r="AL116" s="1083"/>
      <c r="AM116" s="1084"/>
      <c r="AN116" s="1084"/>
      <c r="AO116" s="1084"/>
      <c r="AP116" s="1085"/>
      <c r="AQ116" s="259"/>
      <c r="AR116" s="466"/>
      <c r="AS116" s="283"/>
      <c r="AT116" s="1155"/>
      <c r="AU116" s="1155"/>
      <c r="AV116" s="1155"/>
      <c r="AW116" s="1155"/>
      <c r="AX116" s="1155"/>
      <c r="AY116" s="1155"/>
      <c r="AZ116" s="1155"/>
      <c r="BA116" s="1155"/>
      <c r="BB116" s="1155"/>
      <c r="BC116" s="1155"/>
      <c r="BD116" s="1155"/>
      <c r="BE116" s="1155"/>
      <c r="BF116" s="1155"/>
      <c r="BG116" s="1155"/>
      <c r="BH116" s="1155"/>
      <c r="BI116" s="1155"/>
      <c r="BJ116" s="1155"/>
      <c r="BK116" s="1155"/>
      <c r="BL116" s="1155"/>
      <c r="BM116" s="1155"/>
      <c r="BN116" s="1155"/>
      <c r="BO116" s="1155"/>
      <c r="BP116" s="1155"/>
      <c r="BQ116" s="1155"/>
      <c r="BR116" s="1155"/>
      <c r="BS116" s="1155"/>
    </row>
    <row r="117" spans="5:71" s="474" customFormat="1">
      <c r="E117" s="4108"/>
      <c r="F117" s="431" t="s">
        <v>578</v>
      </c>
      <c r="G117" s="1089"/>
      <c r="H117" s="1090"/>
      <c r="I117" s="1090"/>
      <c r="J117" s="1090"/>
      <c r="K117" s="1091"/>
      <c r="L117" s="259"/>
      <c r="M117" s="456"/>
      <c r="N117" s="456"/>
      <c r="O117" s="456"/>
      <c r="P117" s="457"/>
      <c r="Q117" s="224"/>
      <c r="R117" s="456"/>
      <c r="S117" s="456"/>
      <c r="T117" s="456"/>
      <c r="U117" s="457"/>
      <c r="V117" s="1172"/>
      <c r="W117" s="207"/>
      <c r="X117" s="456"/>
      <c r="Y117" s="456"/>
      <c r="Z117" s="456"/>
      <c r="AA117" s="457"/>
      <c r="AB117" s="1041"/>
      <c r="AC117" s="207"/>
      <c r="AD117" s="456"/>
      <c r="AE117" s="456"/>
      <c r="AF117" s="456"/>
      <c r="AG117" s="456"/>
      <c r="AH117" s="1048"/>
      <c r="AI117" s="1172"/>
      <c r="AJ117" s="1155"/>
      <c r="AK117" s="1155"/>
      <c r="AL117" s="1089"/>
      <c r="AM117" s="1090"/>
      <c r="AN117" s="1090"/>
      <c r="AO117" s="1090"/>
      <c r="AP117" s="1091"/>
      <c r="AQ117" s="259"/>
      <c r="AR117" s="466"/>
      <c r="AS117" s="283"/>
      <c r="AT117" s="1155"/>
      <c r="AU117" s="1155"/>
      <c r="AV117" s="1155"/>
      <c r="AW117" s="1155"/>
      <c r="AX117" s="1155"/>
      <c r="AY117" s="1155"/>
      <c r="AZ117" s="1155"/>
      <c r="BA117" s="1155"/>
      <c r="BB117" s="1155"/>
      <c r="BC117" s="1155"/>
      <c r="BD117" s="1155"/>
      <c r="BE117" s="1155"/>
      <c r="BF117" s="1155"/>
      <c r="BG117" s="1155"/>
      <c r="BH117" s="1155"/>
      <c r="BI117" s="1155"/>
      <c r="BJ117" s="1155"/>
      <c r="BK117" s="1155"/>
      <c r="BL117" s="1155"/>
      <c r="BM117" s="1155"/>
      <c r="BN117" s="1155"/>
      <c r="BO117" s="1155"/>
      <c r="BP117" s="1155"/>
      <c r="BQ117" s="1155"/>
      <c r="BR117" s="1155"/>
      <c r="BS117" s="1155"/>
    </row>
    <row r="118" spans="5:71" s="474" customFormat="1">
      <c r="E118" s="4108"/>
      <c r="F118" s="1377" t="s">
        <v>579</v>
      </c>
      <c r="G118" s="1086"/>
      <c r="H118" s="1087"/>
      <c r="I118" s="1087"/>
      <c r="J118" s="1087"/>
      <c r="K118" s="1088"/>
      <c r="L118" s="258">
        <f>SUM(L114:L117)</f>
        <v>2844769.3099999991</v>
      </c>
      <c r="M118" s="465">
        <f t="shared" ref="M118" si="372">SUM(M114:M117)</f>
        <v>0</v>
      </c>
      <c r="N118" s="465">
        <f t="shared" ref="N118" si="373">SUM(N114:N117)</f>
        <v>0</v>
      </c>
      <c r="O118" s="465">
        <f t="shared" ref="O118" si="374">SUM(O114:O117)</f>
        <v>0</v>
      </c>
      <c r="P118" s="282">
        <f t="shared" ref="P118" si="375">SUM(P114:P117)</f>
        <v>0</v>
      </c>
      <c r="Q118" s="965">
        <f t="shared" ref="Q118" si="376">SUM(Q114:Q117)</f>
        <v>0</v>
      </c>
      <c r="R118" s="465">
        <f t="shared" ref="R118" si="377">SUM(R114:R117)</f>
        <v>0</v>
      </c>
      <c r="S118" s="465">
        <f t="shared" ref="S118" si="378">SUM(S114:S117)</f>
        <v>0</v>
      </c>
      <c r="T118" s="465">
        <f t="shared" ref="T118" si="379">SUM(T114:T117)</f>
        <v>0</v>
      </c>
      <c r="U118" s="282">
        <f t="shared" ref="U118" si="380">SUM(U114:U117)</f>
        <v>0</v>
      </c>
      <c r="V118" s="1172"/>
      <c r="W118" s="258">
        <f t="shared" ref="W118" si="381">SUM(W114:W117)</f>
        <v>0</v>
      </c>
      <c r="X118" s="465">
        <f t="shared" ref="X118" si="382">SUM(X114:X117)</f>
        <v>0</v>
      </c>
      <c r="Y118" s="465">
        <f t="shared" ref="Y118" si="383">SUM(Y114:Y117)</f>
        <v>0</v>
      </c>
      <c r="Z118" s="465">
        <f t="shared" ref="Z118" si="384">SUM(Z114:Z117)</f>
        <v>0</v>
      </c>
      <c r="AA118" s="282">
        <f t="shared" ref="AA118" si="385">SUM(AA114:AA117)</f>
        <v>0</v>
      </c>
      <c r="AB118" s="992"/>
      <c r="AC118" s="258">
        <f t="shared" ref="AC118" si="386">SUM(AC114:AC117)</f>
        <v>0</v>
      </c>
      <c r="AD118" s="465">
        <f t="shared" ref="AD118" si="387">SUM(AD114:AD117)</f>
        <v>0</v>
      </c>
      <c r="AE118" s="465">
        <f t="shared" ref="AE118" si="388">SUM(AE114:AE117)</f>
        <v>0</v>
      </c>
      <c r="AF118" s="465">
        <f t="shared" ref="AF118" si="389">SUM(AF114:AF117)</f>
        <v>0</v>
      </c>
      <c r="AG118" s="465">
        <f t="shared" ref="AG118" si="390">SUM(AG114:AG117)</f>
        <v>0</v>
      </c>
      <c r="AH118" s="1049"/>
      <c r="AI118" s="1172"/>
      <c r="AJ118" s="1155"/>
      <c r="AK118" s="1155"/>
      <c r="AL118" s="1086"/>
      <c r="AM118" s="1087"/>
      <c r="AN118" s="1087"/>
      <c r="AO118" s="1087"/>
      <c r="AP118" s="1088"/>
      <c r="AQ118" s="258">
        <f>SUM(AQ115:AQ117)</f>
        <v>0</v>
      </c>
      <c r="AR118" s="465">
        <f t="shared" ref="AR118" si="391">SUM(AR115:AR117)</f>
        <v>0</v>
      </c>
      <c r="AS118" s="282"/>
      <c r="AT118" s="1155"/>
      <c r="AU118" s="1155"/>
      <c r="AV118" s="1155"/>
      <c r="AW118" s="1155"/>
      <c r="AX118" s="1155"/>
      <c r="AY118" s="1155"/>
      <c r="AZ118" s="1155"/>
      <c r="BA118" s="1155"/>
      <c r="BB118" s="1155"/>
      <c r="BC118" s="1155"/>
      <c r="BD118" s="1155"/>
      <c r="BE118" s="1155"/>
      <c r="BF118" s="1155"/>
      <c r="BG118" s="1155"/>
      <c r="BH118" s="1155"/>
      <c r="BI118" s="1155"/>
      <c r="BJ118" s="1155"/>
      <c r="BK118" s="1155"/>
      <c r="BL118" s="1155"/>
      <c r="BM118" s="1155"/>
      <c r="BN118" s="1155"/>
      <c r="BO118" s="1155"/>
      <c r="BP118" s="1155"/>
      <c r="BQ118" s="1155"/>
      <c r="BR118" s="1155"/>
      <c r="BS118" s="1155"/>
    </row>
    <row r="119" spans="5:71" s="474" customFormat="1" ht="13.5" thickBot="1">
      <c r="E119" s="4108"/>
      <c r="F119" s="1035" t="s">
        <v>583</v>
      </c>
      <c r="G119" s="255"/>
      <c r="H119" s="461"/>
      <c r="I119" s="461"/>
      <c r="J119" s="461"/>
      <c r="K119" s="281"/>
      <c r="L119" s="207"/>
      <c r="M119" s="456"/>
      <c r="N119" s="456"/>
      <c r="O119" s="456"/>
      <c r="P119" s="457"/>
      <c r="Q119" s="224"/>
      <c r="R119" s="456"/>
      <c r="S119" s="456"/>
      <c r="T119" s="456"/>
      <c r="U119" s="457"/>
      <c r="V119" s="1172"/>
      <c r="W119" s="207"/>
      <c r="X119" s="461"/>
      <c r="Y119" s="461"/>
      <c r="Z119" s="461"/>
      <c r="AA119" s="281"/>
      <c r="AB119" s="1041"/>
      <c r="AC119" s="207"/>
      <c r="AD119" s="456"/>
      <c r="AE119" s="456"/>
      <c r="AF119" s="456"/>
      <c r="AG119" s="456"/>
      <c r="AH119" s="1048"/>
      <c r="AI119" s="1172"/>
      <c r="AJ119" s="1155"/>
      <c r="AK119" s="1155"/>
      <c r="AL119" s="259"/>
      <c r="AM119" s="466"/>
      <c r="AN119" s="466"/>
      <c r="AO119" s="466"/>
      <c r="AP119" s="283"/>
      <c r="AQ119" s="259"/>
      <c r="AR119" s="466"/>
      <c r="AS119" s="283"/>
      <c r="AT119" s="1155"/>
      <c r="AU119" s="1155"/>
      <c r="AV119" s="1155"/>
      <c r="AW119" s="1155"/>
      <c r="AX119" s="1155"/>
      <c r="AY119" s="1155"/>
      <c r="AZ119" s="1155"/>
      <c r="BA119" s="1155"/>
      <c r="BB119" s="1155"/>
      <c r="BC119" s="1155"/>
      <c r="BD119" s="1155"/>
      <c r="BE119" s="1155"/>
      <c r="BF119" s="1155"/>
      <c r="BG119" s="1155"/>
      <c r="BH119" s="1155"/>
      <c r="BI119" s="1155"/>
      <c r="BJ119" s="1155"/>
      <c r="BK119" s="1155"/>
      <c r="BL119" s="1155"/>
      <c r="BM119" s="1155"/>
      <c r="BN119" s="1155"/>
      <c r="BO119" s="1155"/>
      <c r="BP119" s="1155"/>
      <c r="BQ119" s="1155"/>
      <c r="BR119" s="1155"/>
      <c r="BS119" s="1155"/>
    </row>
    <row r="120" spans="5:71" s="474" customFormat="1" ht="13.5" thickBot="1">
      <c r="E120" s="4108"/>
      <c r="F120" s="1380" t="s">
        <v>581</v>
      </c>
      <c r="G120" s="1599"/>
      <c r="H120" s="1600"/>
      <c r="I120" s="1600"/>
      <c r="J120" s="1600"/>
      <c r="K120" s="1601"/>
      <c r="L120" s="1599"/>
      <c r="M120" s="1600"/>
      <c r="N120" s="1600"/>
      <c r="O120" s="1600"/>
      <c r="P120" s="1601"/>
      <c r="Q120" s="1602"/>
      <c r="R120" s="1600"/>
      <c r="S120" s="1600"/>
      <c r="T120" s="1600"/>
      <c r="U120" s="1601"/>
      <c r="V120" s="1172"/>
      <c r="W120" s="1614"/>
      <c r="X120" s="1615"/>
      <c r="Y120" s="1615"/>
      <c r="Z120" s="1615"/>
      <c r="AA120" s="1615"/>
      <c r="AB120" s="1615"/>
      <c r="AC120" s="1615"/>
      <c r="AD120" s="1615"/>
      <c r="AE120" s="1615"/>
      <c r="AF120" s="1615"/>
      <c r="AG120" s="1615"/>
      <c r="AH120" s="1616"/>
      <c r="AI120" s="1172"/>
      <c r="AJ120" s="1155"/>
      <c r="AK120" s="1155"/>
      <c r="AL120" s="259"/>
      <c r="AM120" s="466"/>
      <c r="AN120" s="466"/>
      <c r="AO120" s="466"/>
      <c r="AP120" s="283"/>
      <c r="AQ120" s="259"/>
      <c r="AR120" s="466"/>
      <c r="AS120" s="283"/>
      <c r="AT120" s="1155"/>
      <c r="AU120" s="1155"/>
      <c r="AV120" s="1155"/>
      <c r="AW120" s="1155"/>
      <c r="AX120" s="1155"/>
      <c r="AY120" s="1155"/>
      <c r="AZ120" s="1155"/>
      <c r="BA120" s="1155"/>
      <c r="BB120" s="1155"/>
      <c r="BC120" s="1155"/>
      <c r="BD120" s="1155"/>
      <c r="BE120" s="1155"/>
      <c r="BF120" s="1155"/>
      <c r="BG120" s="1155"/>
      <c r="BH120" s="1155"/>
      <c r="BI120" s="1155"/>
      <c r="BJ120" s="1155"/>
      <c r="BK120" s="1155"/>
      <c r="BL120" s="1155"/>
      <c r="BM120" s="1155"/>
      <c r="BN120" s="1155"/>
      <c r="BO120" s="1155"/>
      <c r="BP120" s="1155"/>
      <c r="BQ120" s="1155"/>
      <c r="BR120" s="1155"/>
      <c r="BS120" s="1155"/>
    </row>
    <row r="121" spans="5:71" s="474" customFormat="1">
      <c r="E121" s="4108"/>
      <c r="F121" s="1378" t="s">
        <v>584</v>
      </c>
      <c r="G121" s="1050">
        <v>0</v>
      </c>
      <c r="H121" s="1051">
        <v>0</v>
      </c>
      <c r="I121" s="1051">
        <v>0</v>
      </c>
      <c r="J121" s="1051">
        <v>0</v>
      </c>
      <c r="K121" s="1052">
        <v>0</v>
      </c>
      <c r="L121" s="1050">
        <f>SUM(L118:L120)</f>
        <v>2844769.3099999991</v>
      </c>
      <c r="M121" s="1051">
        <f t="shared" ref="M121" si="392">SUM(M118:M120)</f>
        <v>0</v>
      </c>
      <c r="N121" s="1051">
        <f t="shared" ref="N121" si="393">SUM(N118:N120)</f>
        <v>0</v>
      </c>
      <c r="O121" s="1051">
        <f t="shared" ref="O121" si="394">SUM(O118:O120)</f>
        <v>0</v>
      </c>
      <c r="P121" s="1052">
        <f t="shared" ref="P121" si="395">SUM(P118:P120)</f>
        <v>0</v>
      </c>
      <c r="Q121" s="1092">
        <f t="shared" ref="Q121" si="396">SUM(Q118:Q120)</f>
        <v>0</v>
      </c>
      <c r="R121" s="1051">
        <f t="shared" ref="R121" si="397">SUM(R118:R120)</f>
        <v>0</v>
      </c>
      <c r="S121" s="1051">
        <f t="shared" ref="S121" si="398">SUM(S118:S120)</f>
        <v>0</v>
      </c>
      <c r="T121" s="1051">
        <f t="shared" ref="T121" si="399">SUM(T118:T120)</f>
        <v>0</v>
      </c>
      <c r="U121" s="1052">
        <f t="shared" ref="U121" si="400">SUM(U118:U120)</f>
        <v>0</v>
      </c>
      <c r="V121" s="1172"/>
      <c r="W121" s="1050">
        <f t="shared" ref="W121" si="401">SUM(W118:W120)</f>
        <v>0</v>
      </c>
      <c r="X121" s="1051">
        <f t="shared" ref="X121" si="402">SUM(X118:X120)</f>
        <v>0</v>
      </c>
      <c r="Y121" s="1051">
        <f t="shared" ref="Y121" si="403">SUM(Y118:Y120)</f>
        <v>0</v>
      </c>
      <c r="Z121" s="1051">
        <f t="shared" ref="Z121" si="404">SUM(Z118:Z120)</f>
        <v>0</v>
      </c>
      <c r="AA121" s="1052">
        <f t="shared" ref="AA121" si="405">SUM(AA118:AA120)</f>
        <v>0</v>
      </c>
      <c r="AB121" s="1053"/>
      <c r="AC121" s="1050">
        <f t="shared" ref="AC121" si="406">SUM(AC118:AC120)</f>
        <v>0</v>
      </c>
      <c r="AD121" s="1051">
        <f t="shared" ref="AD121" si="407">SUM(AD118:AD120)</f>
        <v>0</v>
      </c>
      <c r="AE121" s="1051">
        <f t="shared" ref="AE121" si="408">SUM(AE118:AE120)</f>
        <v>0</v>
      </c>
      <c r="AF121" s="1051">
        <f t="shared" ref="AF121" si="409">SUM(AF118:AF120)</f>
        <v>0</v>
      </c>
      <c r="AG121" s="1051">
        <f t="shared" ref="AG121" si="410">SUM(AG118:AG120)</f>
        <v>0</v>
      </c>
      <c r="AH121" s="1054"/>
      <c r="AI121" s="1172"/>
      <c r="AJ121" s="130"/>
      <c r="AK121" s="130"/>
      <c r="AL121" s="1050">
        <f t="shared" ref="AL121:AR121" si="411">SUM(AL119:AL120)</f>
        <v>0</v>
      </c>
      <c r="AM121" s="1051">
        <f t="shared" si="411"/>
        <v>0</v>
      </c>
      <c r="AN121" s="1051">
        <f t="shared" si="411"/>
        <v>0</v>
      </c>
      <c r="AO121" s="1051">
        <f t="shared" si="411"/>
        <v>0</v>
      </c>
      <c r="AP121" s="1052">
        <f t="shared" si="411"/>
        <v>0</v>
      </c>
      <c r="AQ121" s="1050">
        <f t="shared" si="411"/>
        <v>0</v>
      </c>
      <c r="AR121" s="1051">
        <f t="shared" si="411"/>
        <v>0</v>
      </c>
      <c r="AS121" s="1052"/>
      <c r="AT121" s="130"/>
      <c r="AU121" s="130"/>
      <c r="AV121" s="130"/>
      <c r="AW121" s="130"/>
      <c r="AX121" s="130"/>
      <c r="AY121" s="130"/>
      <c r="AZ121" s="130"/>
      <c r="BA121" s="130"/>
      <c r="BB121" s="130"/>
      <c r="BC121" s="130"/>
      <c r="BD121" s="130"/>
      <c r="BE121" s="130"/>
      <c r="BF121" s="130"/>
      <c r="BG121" s="130"/>
      <c r="BH121" s="130"/>
      <c r="BI121" s="130"/>
      <c r="BJ121" s="130"/>
      <c r="BK121" s="130"/>
      <c r="BL121" s="130"/>
      <c r="BM121" s="130"/>
      <c r="BN121" s="130"/>
      <c r="BO121" s="130"/>
      <c r="BP121" s="130"/>
      <c r="BQ121" s="130"/>
      <c r="BR121" s="130"/>
      <c r="BS121" s="1155"/>
    </row>
    <row r="122" spans="5:71" s="474" customFormat="1">
      <c r="E122" s="4108"/>
      <c r="F122" s="1389" t="s">
        <v>35</v>
      </c>
      <c r="G122" s="255"/>
      <c r="H122" s="461"/>
      <c r="I122" s="461"/>
      <c r="J122" s="461"/>
      <c r="K122" s="281"/>
      <c r="L122" s="255"/>
      <c r="M122" s="461"/>
      <c r="N122" s="461"/>
      <c r="O122" s="461"/>
      <c r="P122" s="281"/>
      <c r="Q122" s="956"/>
      <c r="R122" s="461"/>
      <c r="S122" s="461"/>
      <c r="T122" s="461"/>
      <c r="U122" s="281"/>
      <c r="V122" s="1172"/>
      <c r="W122" s="255"/>
      <c r="X122" s="461"/>
      <c r="Y122" s="461"/>
      <c r="Z122" s="461"/>
      <c r="AA122" s="281"/>
      <c r="AB122" s="1004"/>
      <c r="AC122" s="255"/>
      <c r="AD122" s="461"/>
      <c r="AE122" s="461"/>
      <c r="AF122" s="461"/>
      <c r="AG122" s="461"/>
      <c r="AH122" s="1047"/>
      <c r="AI122" s="1172"/>
      <c r="AJ122" s="1155"/>
      <c r="AK122" s="1155"/>
      <c r="AL122" s="259"/>
      <c r="AM122" s="466"/>
      <c r="AN122" s="466"/>
      <c r="AO122" s="466"/>
      <c r="AP122" s="283"/>
      <c r="AQ122" s="259"/>
      <c r="AR122" s="466"/>
      <c r="AS122" s="283"/>
      <c r="AT122" s="1155"/>
      <c r="AU122" s="1155"/>
      <c r="AV122" s="1155"/>
      <c r="AW122" s="1155"/>
      <c r="AX122" s="1155"/>
      <c r="AY122" s="1155"/>
      <c r="AZ122" s="1155"/>
      <c r="BA122" s="1155"/>
      <c r="BB122" s="1155"/>
      <c r="BC122" s="1155"/>
      <c r="BD122" s="1155"/>
      <c r="BE122" s="1155"/>
      <c r="BF122" s="1155"/>
      <c r="BG122" s="1155"/>
      <c r="BH122" s="1155"/>
      <c r="BI122" s="1155"/>
      <c r="BJ122" s="1155"/>
      <c r="BK122" s="1155"/>
      <c r="BL122" s="1155"/>
      <c r="BM122" s="1155"/>
      <c r="BN122" s="1155"/>
      <c r="BO122" s="1155"/>
      <c r="BP122" s="1155"/>
      <c r="BQ122" s="1155"/>
      <c r="BR122" s="1155"/>
      <c r="BS122" s="1155"/>
    </row>
    <row r="123" spans="5:71" s="474" customFormat="1" ht="13.5" thickBot="1">
      <c r="E123" s="4109"/>
      <c r="F123" s="1387" t="s">
        <v>585</v>
      </c>
      <c r="G123" s="1055">
        <v>0</v>
      </c>
      <c r="H123" s="1056">
        <v>0</v>
      </c>
      <c r="I123" s="1056">
        <v>0</v>
      </c>
      <c r="J123" s="1056">
        <v>0</v>
      </c>
      <c r="K123" s="1057">
        <v>0</v>
      </c>
      <c r="L123" s="1567">
        <f>L121-L122</f>
        <v>2844769.3099999991</v>
      </c>
      <c r="M123" s="1056">
        <f t="shared" ref="M123" si="412">M121-M122</f>
        <v>0</v>
      </c>
      <c r="N123" s="1056">
        <f t="shared" ref="N123" si="413">N121-N122</f>
        <v>0</v>
      </c>
      <c r="O123" s="1056">
        <f t="shared" ref="O123" si="414">O121-O122</f>
        <v>0</v>
      </c>
      <c r="P123" s="1057">
        <f t="shared" ref="P123" si="415">P121-P122</f>
        <v>0</v>
      </c>
      <c r="Q123" s="1093">
        <f t="shared" ref="Q123" si="416">Q121-Q122</f>
        <v>0</v>
      </c>
      <c r="R123" s="1056">
        <f t="shared" ref="R123" si="417">R121-R122</f>
        <v>0</v>
      </c>
      <c r="S123" s="1056">
        <f t="shared" ref="S123" si="418">S121-S122</f>
        <v>0</v>
      </c>
      <c r="T123" s="1056">
        <f t="shared" ref="T123" si="419">T121-T122</f>
        <v>0</v>
      </c>
      <c r="U123" s="1057">
        <f t="shared" ref="U123" si="420">U121-U122</f>
        <v>0</v>
      </c>
      <c r="V123" s="1172"/>
      <c r="W123" s="1055">
        <f t="shared" ref="W123" si="421">W121-W122</f>
        <v>0</v>
      </c>
      <c r="X123" s="1056">
        <f t="shared" ref="X123" si="422">X121-X122</f>
        <v>0</v>
      </c>
      <c r="Y123" s="1056">
        <f t="shared" ref="Y123" si="423">Y121-Y122</f>
        <v>0</v>
      </c>
      <c r="Z123" s="1056">
        <f t="shared" ref="Z123" si="424">Z121-Z122</f>
        <v>0</v>
      </c>
      <c r="AA123" s="1057">
        <f t="shared" ref="AA123" si="425">AA121-AA122</f>
        <v>0</v>
      </c>
      <c r="AB123" s="1075"/>
      <c r="AC123" s="1055">
        <f t="shared" ref="AC123" si="426">AC121-AC122</f>
        <v>0</v>
      </c>
      <c r="AD123" s="1056">
        <f t="shared" ref="AD123" si="427">AD121-AD122</f>
        <v>0</v>
      </c>
      <c r="AE123" s="1056">
        <f t="shared" ref="AE123" si="428">AE121-AE122</f>
        <v>0</v>
      </c>
      <c r="AF123" s="1056">
        <f t="shared" ref="AF123" si="429">AF121-AF122</f>
        <v>0</v>
      </c>
      <c r="AG123" s="1056">
        <f t="shared" ref="AG123" si="430">AG121-AG122</f>
        <v>0</v>
      </c>
      <c r="AH123" s="1059"/>
      <c r="AI123" s="1172"/>
      <c r="AJ123" s="1155"/>
      <c r="AK123" s="1155"/>
      <c r="AL123" s="1567">
        <f>AL121-AL122</f>
        <v>0</v>
      </c>
      <c r="AM123" s="1056">
        <f t="shared" ref="AM123:AR123" si="431">AM121-AM122</f>
        <v>0</v>
      </c>
      <c r="AN123" s="1056">
        <f t="shared" si="431"/>
        <v>0</v>
      </c>
      <c r="AO123" s="1056">
        <f t="shared" si="431"/>
        <v>0</v>
      </c>
      <c r="AP123" s="1057">
        <f t="shared" si="431"/>
        <v>0</v>
      </c>
      <c r="AQ123" s="1567">
        <f t="shared" si="431"/>
        <v>0</v>
      </c>
      <c r="AR123" s="1056">
        <f t="shared" si="431"/>
        <v>0</v>
      </c>
      <c r="AS123" s="1057"/>
      <c r="AT123" s="1155"/>
      <c r="AU123" s="1155"/>
      <c r="AV123" s="1155"/>
      <c r="AW123" s="1155"/>
      <c r="AX123" s="1155"/>
      <c r="AY123" s="1155"/>
      <c r="AZ123" s="1155"/>
      <c r="BA123" s="1155"/>
      <c r="BB123" s="1155"/>
      <c r="BC123" s="1155"/>
      <c r="BD123" s="1155"/>
      <c r="BE123" s="1155"/>
      <c r="BF123" s="1155"/>
      <c r="BG123" s="1155"/>
      <c r="BH123" s="1155"/>
      <c r="BI123" s="1155"/>
      <c r="BJ123" s="1155"/>
      <c r="BK123" s="1155"/>
      <c r="BL123" s="1155"/>
      <c r="BM123" s="1155"/>
      <c r="BN123" s="1155"/>
      <c r="BO123" s="1155"/>
      <c r="BP123" s="1155"/>
      <c r="BQ123" s="1155"/>
      <c r="BR123" s="1155"/>
      <c r="BS123" s="1155"/>
    </row>
    <row r="124" spans="5:71" s="474" customFormat="1" ht="12.75" customHeight="1">
      <c r="E124" s="4107" t="s">
        <v>1483</v>
      </c>
      <c r="F124" s="433" t="s">
        <v>111</v>
      </c>
      <c r="G124" s="1086"/>
      <c r="H124" s="1087"/>
      <c r="I124" s="1087"/>
      <c r="J124" s="1087"/>
      <c r="K124" s="1088"/>
      <c r="L124" s="258"/>
      <c r="M124" s="465"/>
      <c r="N124" s="465"/>
      <c r="O124" s="465"/>
      <c r="P124" s="282"/>
      <c r="Q124" s="965"/>
      <c r="R124" s="465"/>
      <c r="S124" s="465"/>
      <c r="T124" s="465"/>
      <c r="U124" s="282"/>
      <c r="V124" s="1172"/>
      <c r="W124" s="1043"/>
      <c r="X124" s="421"/>
      <c r="Y124" s="421"/>
      <c r="Z124" s="421"/>
      <c r="AA124" s="1044"/>
      <c r="AB124" s="1045"/>
      <c r="AC124" s="1043"/>
      <c r="AD124" s="421"/>
      <c r="AE124" s="421"/>
      <c r="AF124" s="421"/>
      <c r="AG124" s="421"/>
      <c r="AH124" s="1046"/>
      <c r="AI124" s="1172"/>
      <c r="AJ124" s="1155"/>
      <c r="AK124" s="1155"/>
      <c r="AL124" s="1086"/>
      <c r="AM124" s="1087"/>
      <c r="AN124" s="1087"/>
      <c r="AO124" s="1087"/>
      <c r="AP124" s="1088"/>
      <c r="AQ124" s="258"/>
      <c r="AR124" s="465"/>
      <c r="AS124" s="282"/>
      <c r="AT124" s="1155"/>
      <c r="AU124" s="1155"/>
      <c r="AV124" s="1155"/>
      <c r="AW124" s="1155"/>
      <c r="AX124" s="1155"/>
      <c r="AY124" s="1155"/>
      <c r="AZ124" s="1155"/>
      <c r="BA124" s="1155"/>
      <c r="BB124" s="1155"/>
      <c r="BC124" s="1155"/>
      <c r="BD124" s="1155"/>
      <c r="BE124" s="1155"/>
      <c r="BF124" s="1155"/>
      <c r="BG124" s="1155"/>
      <c r="BH124" s="1155"/>
      <c r="BI124" s="1155"/>
      <c r="BJ124" s="1155"/>
      <c r="BK124" s="1155"/>
      <c r="BL124" s="1155"/>
      <c r="BM124" s="1155"/>
      <c r="BN124" s="1155"/>
      <c r="BO124" s="1155"/>
      <c r="BP124" s="1155"/>
      <c r="BQ124" s="1155"/>
      <c r="BR124" s="1155"/>
      <c r="BS124" s="1155"/>
    </row>
    <row r="125" spans="5:71" s="474" customFormat="1" ht="12.75" customHeight="1">
      <c r="E125" s="4108"/>
      <c r="F125" s="1374" t="s">
        <v>588</v>
      </c>
      <c r="G125" s="1083"/>
      <c r="H125" s="1084"/>
      <c r="I125" s="1084"/>
      <c r="J125" s="1084"/>
      <c r="K125" s="1085"/>
      <c r="L125" s="255">
        <v>11879</v>
      </c>
      <c r="M125" s="461"/>
      <c r="N125" s="461"/>
      <c r="O125" s="461"/>
      <c r="P125" s="281"/>
      <c r="Q125" s="956"/>
      <c r="R125" s="461"/>
      <c r="S125" s="461"/>
      <c r="T125" s="461"/>
      <c r="U125" s="281"/>
      <c r="V125" s="1172"/>
      <c r="W125" s="255"/>
      <c r="X125" s="461"/>
      <c r="Y125" s="461"/>
      <c r="Z125" s="461"/>
      <c r="AA125" s="281"/>
      <c r="AB125" s="1041"/>
      <c r="AC125" s="255"/>
      <c r="AD125" s="461"/>
      <c r="AE125" s="461"/>
      <c r="AF125" s="461"/>
      <c r="AG125" s="461"/>
      <c r="AH125" s="1047"/>
      <c r="AI125" s="1172"/>
      <c r="AJ125" s="1155"/>
      <c r="AK125" s="1155"/>
      <c r="AL125" s="1083"/>
      <c r="AM125" s="1084"/>
      <c r="AN125" s="1084"/>
      <c r="AO125" s="1084"/>
      <c r="AP125" s="1085"/>
      <c r="AQ125" s="259"/>
      <c r="AR125" s="466"/>
      <c r="AS125" s="283"/>
      <c r="AT125" s="1155"/>
      <c r="AU125" s="1155"/>
      <c r="AV125" s="1155"/>
      <c r="AW125" s="1155"/>
      <c r="AX125" s="1155"/>
      <c r="AY125" s="1155"/>
      <c r="AZ125" s="1155"/>
      <c r="BA125" s="1155"/>
      <c r="BB125" s="1155"/>
      <c r="BC125" s="1155"/>
      <c r="BD125" s="1155"/>
      <c r="BE125" s="1155"/>
      <c r="BF125" s="1155"/>
      <c r="BG125" s="1155"/>
      <c r="BH125" s="1155"/>
      <c r="BI125" s="1155"/>
      <c r="BJ125" s="1155"/>
      <c r="BK125" s="1155"/>
      <c r="BL125" s="1155"/>
      <c r="BM125" s="1155"/>
      <c r="BN125" s="1155"/>
      <c r="BO125" s="1155"/>
      <c r="BP125" s="1155"/>
      <c r="BQ125" s="1155"/>
      <c r="BR125" s="1155"/>
      <c r="BS125" s="1155"/>
    </row>
    <row r="126" spans="5:71" s="474" customFormat="1" ht="12.75" customHeight="1">
      <c r="E126" s="4108"/>
      <c r="F126" s="1374" t="s">
        <v>589</v>
      </c>
      <c r="G126" s="1083"/>
      <c r="H126" s="1084"/>
      <c r="I126" s="1084"/>
      <c r="J126" s="1084"/>
      <c r="K126" s="1085"/>
      <c r="L126" s="255"/>
      <c r="M126" s="461"/>
      <c r="N126" s="461"/>
      <c r="O126" s="461"/>
      <c r="P126" s="281"/>
      <c r="Q126" s="956"/>
      <c r="R126" s="461"/>
      <c r="S126" s="461"/>
      <c r="T126" s="461"/>
      <c r="U126" s="281"/>
      <c r="V126" s="1172"/>
      <c r="W126" s="255"/>
      <c r="X126" s="461"/>
      <c r="Y126" s="461"/>
      <c r="Z126" s="461"/>
      <c r="AA126" s="281"/>
      <c r="AB126" s="1041"/>
      <c r="AC126" s="255"/>
      <c r="AD126" s="461"/>
      <c r="AE126" s="461"/>
      <c r="AF126" s="461"/>
      <c r="AG126" s="461"/>
      <c r="AH126" s="1047"/>
      <c r="AI126" s="1172"/>
      <c r="AJ126" s="1155"/>
      <c r="AK126" s="1155"/>
      <c r="AL126" s="1083"/>
      <c r="AM126" s="1084"/>
      <c r="AN126" s="1084"/>
      <c r="AO126" s="1084"/>
      <c r="AP126" s="1085"/>
      <c r="AQ126" s="259"/>
      <c r="AR126" s="466"/>
      <c r="AS126" s="283"/>
      <c r="AT126" s="1155"/>
      <c r="AU126" s="1155"/>
      <c r="AV126" s="1155"/>
      <c r="AW126" s="1155"/>
      <c r="AX126" s="1155"/>
      <c r="AY126" s="1155"/>
      <c r="AZ126" s="1155"/>
      <c r="BA126" s="1155"/>
      <c r="BB126" s="1155"/>
      <c r="BC126" s="1155"/>
      <c r="BD126" s="1155"/>
      <c r="BE126" s="1155"/>
      <c r="BF126" s="1155"/>
      <c r="BG126" s="1155"/>
      <c r="BH126" s="1155"/>
      <c r="BI126" s="1155"/>
      <c r="BJ126" s="1155"/>
      <c r="BK126" s="1155"/>
      <c r="BL126" s="1155"/>
      <c r="BM126" s="1155"/>
      <c r="BN126" s="1155"/>
      <c r="BO126" s="1155"/>
      <c r="BP126" s="1155"/>
      <c r="BQ126" s="1155"/>
      <c r="BR126" s="1155"/>
      <c r="BS126" s="1155"/>
    </row>
    <row r="127" spans="5:71" s="474" customFormat="1" ht="12.75" customHeight="1">
      <c r="E127" s="4108"/>
      <c r="F127" s="1374" t="s">
        <v>590</v>
      </c>
      <c r="G127" s="1083"/>
      <c r="H127" s="1084"/>
      <c r="I127" s="1084"/>
      <c r="J127" s="1084"/>
      <c r="K127" s="1085"/>
      <c r="L127" s="255"/>
      <c r="M127" s="461"/>
      <c r="N127" s="461"/>
      <c r="O127" s="461"/>
      <c r="P127" s="281"/>
      <c r="Q127" s="956"/>
      <c r="R127" s="461"/>
      <c r="S127" s="461"/>
      <c r="T127" s="461"/>
      <c r="U127" s="281"/>
      <c r="V127" s="1172"/>
      <c r="W127" s="255"/>
      <c r="X127" s="461"/>
      <c r="Y127" s="461"/>
      <c r="Z127" s="461"/>
      <c r="AA127" s="281"/>
      <c r="AB127" s="1041"/>
      <c r="AC127" s="255"/>
      <c r="AD127" s="461"/>
      <c r="AE127" s="461"/>
      <c r="AF127" s="461"/>
      <c r="AG127" s="461"/>
      <c r="AH127" s="1047"/>
      <c r="AI127" s="1172"/>
      <c r="AJ127" s="1155"/>
      <c r="AK127" s="1155"/>
      <c r="AL127" s="1083"/>
      <c r="AM127" s="1084"/>
      <c r="AN127" s="1084"/>
      <c r="AO127" s="1084"/>
      <c r="AP127" s="1085"/>
      <c r="AQ127" s="259"/>
      <c r="AR127" s="466"/>
      <c r="AS127" s="283"/>
      <c r="AT127" s="1155"/>
      <c r="AU127" s="1155"/>
      <c r="AV127" s="1155"/>
      <c r="AW127" s="1155"/>
      <c r="AX127" s="1155"/>
      <c r="AY127" s="1155"/>
      <c r="AZ127" s="1155"/>
      <c r="BA127" s="1155"/>
      <c r="BB127" s="1155"/>
      <c r="BC127" s="1155"/>
      <c r="BD127" s="1155"/>
      <c r="BE127" s="1155"/>
      <c r="BF127" s="1155"/>
      <c r="BG127" s="1155"/>
      <c r="BH127" s="1155"/>
      <c r="BI127" s="1155"/>
      <c r="BJ127" s="1155"/>
      <c r="BK127" s="1155"/>
      <c r="BL127" s="1155"/>
      <c r="BM127" s="1155"/>
      <c r="BN127" s="1155"/>
      <c r="BO127" s="1155"/>
      <c r="BP127" s="1155"/>
      <c r="BQ127" s="1155"/>
      <c r="BR127" s="1155"/>
      <c r="BS127" s="1155"/>
    </row>
    <row r="128" spans="5:71" s="474" customFormat="1" ht="12.75" customHeight="1">
      <c r="E128" s="4108"/>
      <c r="F128" s="1374" t="s">
        <v>591</v>
      </c>
      <c r="G128" s="1083"/>
      <c r="H128" s="1084"/>
      <c r="I128" s="1084"/>
      <c r="J128" s="1084"/>
      <c r="K128" s="1085"/>
      <c r="L128" s="255"/>
      <c r="M128" s="461"/>
      <c r="N128" s="461"/>
      <c r="O128" s="461"/>
      <c r="P128" s="281"/>
      <c r="Q128" s="956"/>
      <c r="R128" s="461"/>
      <c r="S128" s="461"/>
      <c r="T128" s="461"/>
      <c r="U128" s="281"/>
      <c r="V128" s="1172"/>
      <c r="W128" s="255"/>
      <c r="X128" s="461"/>
      <c r="Y128" s="461"/>
      <c r="Z128" s="461"/>
      <c r="AA128" s="281"/>
      <c r="AB128" s="1041"/>
      <c r="AC128" s="255"/>
      <c r="AD128" s="461"/>
      <c r="AE128" s="461"/>
      <c r="AF128" s="461"/>
      <c r="AG128" s="461"/>
      <c r="AH128" s="1047"/>
      <c r="AI128" s="1172"/>
      <c r="AJ128" s="1155"/>
      <c r="AK128" s="1155"/>
      <c r="AL128" s="1083"/>
      <c r="AM128" s="1084"/>
      <c r="AN128" s="1084"/>
      <c r="AO128" s="1084"/>
      <c r="AP128" s="1085"/>
      <c r="AQ128" s="259"/>
      <c r="AR128" s="466"/>
      <c r="AS128" s="283"/>
      <c r="AT128" s="1155"/>
      <c r="AU128" s="1155"/>
      <c r="AV128" s="1155"/>
      <c r="AW128" s="1155"/>
      <c r="AX128" s="1155"/>
      <c r="AY128" s="1155"/>
      <c r="AZ128" s="1155"/>
      <c r="BA128" s="1155"/>
      <c r="BB128" s="1155"/>
      <c r="BC128" s="1155"/>
      <c r="BD128" s="1155"/>
      <c r="BE128" s="1155"/>
      <c r="BF128" s="1155"/>
      <c r="BG128" s="1155"/>
      <c r="BH128" s="1155"/>
      <c r="BI128" s="1155"/>
      <c r="BJ128" s="1155"/>
      <c r="BK128" s="1155"/>
      <c r="BL128" s="1155"/>
      <c r="BM128" s="1155"/>
      <c r="BN128" s="1155"/>
      <c r="BO128" s="1155"/>
      <c r="BP128" s="1155"/>
      <c r="BQ128" s="1155"/>
      <c r="BR128" s="1155"/>
      <c r="BS128" s="1155"/>
    </row>
    <row r="129" spans="5:71" s="474" customFormat="1" ht="12.75" customHeight="1">
      <c r="E129" s="4108"/>
      <c r="F129" s="1374" t="s">
        <v>592</v>
      </c>
      <c r="G129" s="1083"/>
      <c r="H129" s="1084"/>
      <c r="I129" s="1084"/>
      <c r="J129" s="1084"/>
      <c r="K129" s="1085"/>
      <c r="L129" s="207"/>
      <c r="M129" s="456"/>
      <c r="N129" s="456"/>
      <c r="O129" s="456"/>
      <c r="P129" s="457"/>
      <c r="Q129" s="224"/>
      <c r="R129" s="456"/>
      <c r="S129" s="456"/>
      <c r="T129" s="456"/>
      <c r="U129" s="457"/>
      <c r="V129" s="1172"/>
      <c r="W129" s="207">
        <v>0</v>
      </c>
      <c r="X129" s="456">
        <v>0</v>
      </c>
      <c r="Y129" s="456">
        <v>0</v>
      </c>
      <c r="Z129" s="456">
        <v>0</v>
      </c>
      <c r="AA129" s="457">
        <v>0</v>
      </c>
      <c r="AB129" s="1041"/>
      <c r="AC129" s="207">
        <v>0</v>
      </c>
      <c r="AD129" s="456">
        <v>0</v>
      </c>
      <c r="AE129" s="456">
        <v>0</v>
      </c>
      <c r="AF129" s="456">
        <v>0</v>
      </c>
      <c r="AG129" s="456">
        <v>0</v>
      </c>
      <c r="AH129" s="1048"/>
      <c r="AI129" s="1172"/>
      <c r="AJ129" s="1155"/>
      <c r="AK129" s="1155"/>
      <c r="AL129" s="1083"/>
      <c r="AM129" s="1084"/>
      <c r="AN129" s="1084"/>
      <c r="AO129" s="1084"/>
      <c r="AP129" s="1085"/>
      <c r="AQ129" s="207">
        <f>SUM(AQ124:AQ128)</f>
        <v>0</v>
      </c>
      <c r="AR129" s="456">
        <f t="shared" ref="AR129" si="432">SUM(AR124:AR128)</f>
        <v>0</v>
      </c>
      <c r="AS129" s="457"/>
      <c r="AT129" s="1155"/>
      <c r="AU129" s="1155"/>
      <c r="AV129" s="1155"/>
      <c r="AW129" s="1155"/>
      <c r="AX129" s="1155"/>
      <c r="AY129" s="1155"/>
      <c r="AZ129" s="1155"/>
      <c r="BA129" s="1155"/>
      <c r="BB129" s="1155"/>
      <c r="BC129" s="1155"/>
      <c r="BD129" s="1155"/>
      <c r="BE129" s="1155"/>
      <c r="BF129" s="1155"/>
      <c r="BG129" s="1155"/>
      <c r="BH129" s="1155"/>
      <c r="BI129" s="1155"/>
      <c r="BJ129" s="1155"/>
      <c r="BK129" s="1155"/>
      <c r="BL129" s="1155"/>
      <c r="BM129" s="1155"/>
      <c r="BN129" s="1155"/>
      <c r="BO129" s="1155"/>
      <c r="BP129" s="1155"/>
      <c r="BQ129" s="1155"/>
      <c r="BR129" s="1155"/>
      <c r="BS129" s="1155"/>
    </row>
    <row r="130" spans="5:71" s="474" customFormat="1">
      <c r="E130" s="4108"/>
      <c r="F130" s="1375" t="s">
        <v>587</v>
      </c>
      <c r="G130" s="1086"/>
      <c r="H130" s="1087"/>
      <c r="I130" s="1087"/>
      <c r="J130" s="1087"/>
      <c r="K130" s="1088"/>
      <c r="L130" s="258">
        <f>SUM(L125:L129)</f>
        <v>11879</v>
      </c>
      <c r="M130" s="465">
        <f t="shared" ref="M130" si="433">SUM(M125:M129)</f>
        <v>0</v>
      </c>
      <c r="N130" s="465">
        <f t="shared" ref="N130" si="434">SUM(N125:N129)</f>
        <v>0</v>
      </c>
      <c r="O130" s="465">
        <f t="shared" ref="O130" si="435">SUM(O125:O129)</f>
        <v>0</v>
      </c>
      <c r="P130" s="282">
        <f t="shared" ref="P130" si="436">SUM(P125:P129)</f>
        <v>0</v>
      </c>
      <c r="Q130" s="965">
        <f t="shared" ref="Q130" si="437">SUM(Q125:Q129)</f>
        <v>0</v>
      </c>
      <c r="R130" s="465">
        <f t="shared" ref="R130" si="438">SUM(R125:R129)</f>
        <v>0</v>
      </c>
      <c r="S130" s="465">
        <f t="shared" ref="S130" si="439">SUM(S125:S129)</f>
        <v>0</v>
      </c>
      <c r="T130" s="465">
        <f t="shared" ref="T130" si="440">SUM(T125:T129)</f>
        <v>0</v>
      </c>
      <c r="U130" s="282">
        <f t="shared" ref="U130" si="441">SUM(U125:U129)</f>
        <v>0</v>
      </c>
      <c r="V130" s="1172"/>
      <c r="W130" s="258">
        <f t="shared" ref="W130" si="442">SUM(W125:W129)</f>
        <v>0</v>
      </c>
      <c r="X130" s="465">
        <f t="shared" ref="X130" si="443">SUM(X125:X129)</f>
        <v>0</v>
      </c>
      <c r="Y130" s="465">
        <f t="shared" ref="Y130" si="444">SUM(Y125:Y129)</f>
        <v>0</v>
      </c>
      <c r="Z130" s="465">
        <f t="shared" ref="Z130" si="445">SUM(Z125:Z129)</f>
        <v>0</v>
      </c>
      <c r="AA130" s="282">
        <f t="shared" ref="AA130" si="446">SUM(AA125:AA129)</f>
        <v>0</v>
      </c>
      <c r="AB130" s="992"/>
      <c r="AC130" s="258">
        <f t="shared" ref="AC130" si="447">SUM(AC125:AC129)</f>
        <v>0</v>
      </c>
      <c r="AD130" s="465">
        <f t="shared" ref="AD130" si="448">SUM(AD125:AD129)</f>
        <v>0</v>
      </c>
      <c r="AE130" s="465">
        <f t="shared" ref="AE130" si="449">SUM(AE125:AE129)</f>
        <v>0</v>
      </c>
      <c r="AF130" s="465">
        <f t="shared" ref="AF130" si="450">SUM(AF125:AF129)</f>
        <v>0</v>
      </c>
      <c r="AG130" s="465">
        <f t="shared" ref="AG130" si="451">SUM(AG125:AG129)</f>
        <v>0</v>
      </c>
      <c r="AH130" s="1049"/>
      <c r="AI130" s="1172"/>
      <c r="AJ130" s="1155"/>
      <c r="AK130" s="1155"/>
      <c r="AL130" s="1086"/>
      <c r="AM130" s="1087"/>
      <c r="AN130" s="1087"/>
      <c r="AO130" s="1087"/>
      <c r="AP130" s="1088"/>
      <c r="AQ130" s="258"/>
      <c r="AR130" s="465"/>
      <c r="AS130" s="282"/>
      <c r="AT130" s="1155"/>
      <c r="AU130" s="1155"/>
      <c r="AV130" s="1155"/>
      <c r="AW130" s="1155"/>
      <c r="AX130" s="1155"/>
      <c r="AY130" s="1155"/>
      <c r="AZ130" s="1155"/>
      <c r="BA130" s="1155"/>
      <c r="BB130" s="1155"/>
      <c r="BC130" s="1155"/>
      <c r="BD130" s="1155"/>
      <c r="BE130" s="1155"/>
      <c r="BF130" s="1155"/>
      <c r="BG130" s="1155"/>
      <c r="BH130" s="1155"/>
      <c r="BI130" s="1155"/>
      <c r="BJ130" s="1155"/>
      <c r="BK130" s="1155"/>
      <c r="BL130" s="1155"/>
      <c r="BM130" s="1155"/>
      <c r="BN130" s="1155"/>
      <c r="BO130" s="1155"/>
      <c r="BP130" s="1155"/>
      <c r="BQ130" s="1155"/>
      <c r="BR130" s="1155"/>
      <c r="BS130" s="1155"/>
    </row>
    <row r="131" spans="5:71" s="474" customFormat="1">
      <c r="E131" s="4108"/>
      <c r="F131" s="1376" t="s">
        <v>593</v>
      </c>
      <c r="G131" s="1083"/>
      <c r="H131" s="1084"/>
      <c r="I131" s="1084"/>
      <c r="J131" s="1084"/>
      <c r="K131" s="1085"/>
      <c r="L131" s="255"/>
      <c r="M131" s="461"/>
      <c r="N131" s="461"/>
      <c r="O131" s="461"/>
      <c r="P131" s="281"/>
      <c r="Q131" s="956"/>
      <c r="R131" s="461"/>
      <c r="S131" s="461"/>
      <c r="T131" s="461"/>
      <c r="U131" s="281"/>
      <c r="V131" s="1172"/>
      <c r="W131" s="255"/>
      <c r="X131" s="461"/>
      <c r="Y131" s="461"/>
      <c r="Z131" s="461"/>
      <c r="AA131" s="281"/>
      <c r="AB131" s="1041"/>
      <c r="AC131" s="255"/>
      <c r="AD131" s="461"/>
      <c r="AE131" s="461"/>
      <c r="AF131" s="461"/>
      <c r="AG131" s="461"/>
      <c r="AH131" s="1047"/>
      <c r="AI131" s="1172"/>
      <c r="AJ131" s="1155"/>
      <c r="AK131" s="1155"/>
      <c r="AL131" s="1083"/>
      <c r="AM131" s="1084"/>
      <c r="AN131" s="1084"/>
      <c r="AO131" s="1084"/>
      <c r="AP131" s="1085"/>
      <c r="AQ131" s="259"/>
      <c r="AR131" s="466"/>
      <c r="AS131" s="283"/>
      <c r="AT131" s="1155"/>
      <c r="AU131" s="1155"/>
      <c r="AV131" s="1155"/>
      <c r="AW131" s="1155"/>
      <c r="AX131" s="1155"/>
      <c r="AY131" s="1155"/>
      <c r="AZ131" s="1155"/>
      <c r="BA131" s="1155"/>
      <c r="BB131" s="1155"/>
      <c r="BC131" s="1155"/>
      <c r="BD131" s="1155"/>
      <c r="BE131" s="1155"/>
      <c r="BF131" s="1155"/>
      <c r="BG131" s="1155"/>
      <c r="BH131" s="1155"/>
      <c r="BI131" s="1155"/>
      <c r="BJ131" s="1155"/>
      <c r="BK131" s="1155"/>
      <c r="BL131" s="1155"/>
      <c r="BM131" s="1155"/>
      <c r="BN131" s="1155"/>
      <c r="BO131" s="1155"/>
      <c r="BP131" s="1155"/>
      <c r="BQ131" s="1155"/>
      <c r="BR131" s="1155"/>
      <c r="BS131" s="1155"/>
    </row>
    <row r="132" spans="5:71" s="474" customFormat="1">
      <c r="E132" s="4108"/>
      <c r="F132" s="431" t="s">
        <v>558</v>
      </c>
      <c r="G132" s="1083"/>
      <c r="H132" s="1084"/>
      <c r="I132" s="1084"/>
      <c r="J132" s="1084"/>
      <c r="K132" s="1085"/>
      <c r="L132" s="255">
        <v>2138216.0500000003</v>
      </c>
      <c r="M132" s="461"/>
      <c r="N132" s="461"/>
      <c r="O132" s="461"/>
      <c r="P132" s="281"/>
      <c r="Q132" s="956"/>
      <c r="R132" s="461"/>
      <c r="S132" s="461"/>
      <c r="T132" s="461"/>
      <c r="U132" s="281"/>
      <c r="V132" s="1172"/>
      <c r="W132" s="255"/>
      <c r="X132" s="461"/>
      <c r="Y132" s="461"/>
      <c r="Z132" s="461"/>
      <c r="AA132" s="281"/>
      <c r="AB132" s="1041"/>
      <c r="AC132" s="255"/>
      <c r="AD132" s="461"/>
      <c r="AE132" s="461"/>
      <c r="AF132" s="461"/>
      <c r="AG132" s="461"/>
      <c r="AH132" s="1047"/>
      <c r="AI132" s="1172"/>
      <c r="AJ132" s="1155"/>
      <c r="AK132" s="1155"/>
      <c r="AL132" s="1083"/>
      <c r="AM132" s="1084"/>
      <c r="AN132" s="1084"/>
      <c r="AO132" s="1084"/>
      <c r="AP132" s="1085"/>
      <c r="AQ132" s="259"/>
      <c r="AR132" s="466"/>
      <c r="AS132" s="283"/>
      <c r="AT132" s="1155"/>
      <c r="AU132" s="1155"/>
      <c r="AV132" s="1155"/>
      <c r="AW132" s="1155"/>
      <c r="AX132" s="1155"/>
      <c r="AY132" s="1155"/>
      <c r="AZ132" s="1155"/>
      <c r="BA132" s="1155"/>
      <c r="BB132" s="1155"/>
      <c r="BC132" s="1155"/>
      <c r="BD132" s="1155"/>
      <c r="BE132" s="1155"/>
      <c r="BF132" s="1155"/>
      <c r="BG132" s="1155"/>
      <c r="BH132" s="1155"/>
      <c r="BI132" s="1155"/>
      <c r="BJ132" s="1155"/>
      <c r="BK132" s="1155"/>
      <c r="BL132" s="1155"/>
      <c r="BM132" s="1155"/>
      <c r="BN132" s="1155"/>
      <c r="BO132" s="1155"/>
      <c r="BP132" s="1155"/>
      <c r="BQ132" s="1155"/>
      <c r="BR132" s="1155"/>
      <c r="BS132" s="1155"/>
    </row>
    <row r="133" spans="5:71" s="474" customFormat="1">
      <c r="E133" s="4108"/>
      <c r="F133" s="431" t="s">
        <v>559</v>
      </c>
      <c r="G133" s="1083"/>
      <c r="H133" s="1084"/>
      <c r="I133" s="1084"/>
      <c r="J133" s="1084"/>
      <c r="K133" s="1085"/>
      <c r="L133" s="255"/>
      <c r="M133" s="461"/>
      <c r="N133" s="461"/>
      <c r="O133" s="461"/>
      <c r="P133" s="281"/>
      <c r="Q133" s="956"/>
      <c r="R133" s="461"/>
      <c r="S133" s="461"/>
      <c r="T133" s="461"/>
      <c r="U133" s="281"/>
      <c r="V133" s="1172"/>
      <c r="W133" s="255"/>
      <c r="X133" s="461"/>
      <c r="Y133" s="461"/>
      <c r="Z133" s="461"/>
      <c r="AA133" s="281"/>
      <c r="AB133" s="1041"/>
      <c r="AC133" s="255"/>
      <c r="AD133" s="461"/>
      <c r="AE133" s="461"/>
      <c r="AF133" s="461"/>
      <c r="AG133" s="461"/>
      <c r="AH133" s="1047"/>
      <c r="AI133" s="1172"/>
      <c r="AJ133" s="1155"/>
      <c r="AK133" s="1155"/>
      <c r="AL133" s="1083"/>
      <c r="AM133" s="1084"/>
      <c r="AN133" s="1084"/>
      <c r="AO133" s="1084"/>
      <c r="AP133" s="1085"/>
      <c r="AQ133" s="259"/>
      <c r="AR133" s="466"/>
      <c r="AS133" s="283"/>
      <c r="AT133" s="1155"/>
      <c r="AU133" s="1155"/>
      <c r="AV133" s="1155"/>
      <c r="AW133" s="1155"/>
      <c r="AX133" s="1155"/>
      <c r="AY133" s="1155"/>
      <c r="AZ133" s="1155"/>
      <c r="BA133" s="1155"/>
      <c r="BB133" s="1155"/>
      <c r="BC133" s="1155"/>
      <c r="BD133" s="1155"/>
      <c r="BE133" s="1155"/>
      <c r="BF133" s="1155"/>
      <c r="BG133" s="1155"/>
      <c r="BH133" s="1155"/>
      <c r="BI133" s="1155"/>
      <c r="BJ133" s="1155"/>
      <c r="BK133" s="1155"/>
      <c r="BL133" s="1155"/>
      <c r="BM133" s="1155"/>
      <c r="BN133" s="1155"/>
      <c r="BO133" s="1155"/>
      <c r="BP133" s="1155"/>
      <c r="BQ133" s="1155"/>
      <c r="BR133" s="1155"/>
      <c r="BS133" s="1155"/>
    </row>
    <row r="134" spans="5:71" s="474" customFormat="1">
      <c r="E134" s="4108"/>
      <c r="F134" s="431" t="s">
        <v>578</v>
      </c>
      <c r="G134" s="1089"/>
      <c r="H134" s="1090"/>
      <c r="I134" s="1090"/>
      <c r="J134" s="1090"/>
      <c r="K134" s="1091"/>
      <c r="L134" s="259"/>
      <c r="M134" s="456"/>
      <c r="N134" s="456"/>
      <c r="O134" s="456"/>
      <c r="P134" s="457"/>
      <c r="Q134" s="224"/>
      <c r="R134" s="456"/>
      <c r="S134" s="456"/>
      <c r="T134" s="456"/>
      <c r="U134" s="457"/>
      <c r="V134" s="1172"/>
      <c r="W134" s="207"/>
      <c r="X134" s="456"/>
      <c r="Y134" s="456"/>
      <c r="Z134" s="456"/>
      <c r="AA134" s="457"/>
      <c r="AB134" s="1041"/>
      <c r="AC134" s="207"/>
      <c r="AD134" s="456"/>
      <c r="AE134" s="456"/>
      <c r="AF134" s="456"/>
      <c r="AG134" s="456"/>
      <c r="AH134" s="1048"/>
      <c r="AI134" s="1172"/>
      <c r="AJ134" s="1155"/>
      <c r="AK134" s="1155"/>
      <c r="AL134" s="1089"/>
      <c r="AM134" s="1090"/>
      <c r="AN134" s="1090"/>
      <c r="AO134" s="1090"/>
      <c r="AP134" s="1091"/>
      <c r="AQ134" s="259"/>
      <c r="AR134" s="456"/>
      <c r="AS134" s="457"/>
      <c r="AT134" s="1155"/>
      <c r="AU134" s="1155"/>
      <c r="AV134" s="1155"/>
      <c r="AW134" s="1155"/>
      <c r="AX134" s="1155"/>
      <c r="AY134" s="1155"/>
      <c r="AZ134" s="1155"/>
      <c r="BA134" s="1155"/>
      <c r="BB134" s="1155"/>
      <c r="BC134" s="1155"/>
      <c r="BD134" s="1155"/>
      <c r="BE134" s="1155"/>
      <c r="BF134" s="1155"/>
      <c r="BG134" s="1155"/>
      <c r="BH134" s="1155"/>
      <c r="BI134" s="1155"/>
      <c r="BJ134" s="1155"/>
      <c r="BK134" s="1155"/>
      <c r="BL134" s="1155"/>
      <c r="BM134" s="1155"/>
      <c r="BN134" s="1155"/>
      <c r="BO134" s="1155"/>
      <c r="BP134" s="1155"/>
      <c r="BQ134" s="1155"/>
      <c r="BR134" s="1155"/>
      <c r="BS134" s="1155"/>
    </row>
    <row r="135" spans="5:71" s="474" customFormat="1">
      <c r="E135" s="4108"/>
      <c r="F135" s="1377" t="s">
        <v>579</v>
      </c>
      <c r="G135" s="1086"/>
      <c r="H135" s="1087"/>
      <c r="I135" s="1087"/>
      <c r="J135" s="1087"/>
      <c r="K135" s="1088"/>
      <c r="L135" s="258">
        <f>SUM(L131:L134)</f>
        <v>2138216.0500000003</v>
      </c>
      <c r="M135" s="465">
        <f t="shared" ref="M135" si="452">SUM(M131:M134)</f>
        <v>0</v>
      </c>
      <c r="N135" s="465">
        <f t="shared" ref="N135" si="453">SUM(N131:N134)</f>
        <v>0</v>
      </c>
      <c r="O135" s="465">
        <f t="shared" ref="O135" si="454">SUM(O131:O134)</f>
        <v>0</v>
      </c>
      <c r="P135" s="282">
        <f t="shared" ref="P135" si="455">SUM(P131:P134)</f>
        <v>0</v>
      </c>
      <c r="Q135" s="965">
        <f t="shared" ref="Q135" si="456">SUM(Q131:Q134)</f>
        <v>0</v>
      </c>
      <c r="R135" s="465">
        <f t="shared" ref="R135" si="457">SUM(R131:R134)</f>
        <v>0</v>
      </c>
      <c r="S135" s="465">
        <f t="shared" ref="S135" si="458">SUM(S131:S134)</f>
        <v>0</v>
      </c>
      <c r="T135" s="465">
        <f t="shared" ref="T135" si="459">SUM(T131:T134)</f>
        <v>0</v>
      </c>
      <c r="U135" s="282">
        <f t="shared" ref="U135" si="460">SUM(U131:U134)</f>
        <v>0</v>
      </c>
      <c r="V135" s="1172"/>
      <c r="W135" s="258">
        <f t="shared" ref="W135" si="461">SUM(W131:W134)</f>
        <v>0</v>
      </c>
      <c r="X135" s="465">
        <f t="shared" ref="X135" si="462">SUM(X131:X134)</f>
        <v>0</v>
      </c>
      <c r="Y135" s="465">
        <f t="shared" ref="Y135" si="463">SUM(Y131:Y134)</f>
        <v>0</v>
      </c>
      <c r="Z135" s="465">
        <f t="shared" ref="Z135" si="464">SUM(Z131:Z134)</f>
        <v>0</v>
      </c>
      <c r="AA135" s="282">
        <f t="shared" ref="AA135" si="465">SUM(AA131:AA134)</f>
        <v>0</v>
      </c>
      <c r="AB135" s="992"/>
      <c r="AC135" s="258">
        <f t="shared" ref="AC135" si="466">SUM(AC131:AC134)</f>
        <v>0</v>
      </c>
      <c r="AD135" s="465">
        <f t="shared" ref="AD135" si="467">SUM(AD131:AD134)</f>
        <v>0</v>
      </c>
      <c r="AE135" s="465">
        <f t="shared" ref="AE135" si="468">SUM(AE131:AE134)</f>
        <v>0</v>
      </c>
      <c r="AF135" s="465">
        <f t="shared" ref="AF135" si="469">SUM(AF131:AF134)</f>
        <v>0</v>
      </c>
      <c r="AG135" s="465">
        <f t="shared" ref="AG135" si="470">SUM(AG131:AG134)</f>
        <v>0</v>
      </c>
      <c r="AH135" s="1049"/>
      <c r="AI135" s="1172"/>
      <c r="AJ135" s="1155"/>
      <c r="AK135" s="1155"/>
      <c r="AL135" s="1086"/>
      <c r="AM135" s="1087"/>
      <c r="AN135" s="1087"/>
      <c r="AO135" s="1087"/>
      <c r="AP135" s="1088"/>
      <c r="AQ135" s="258">
        <f>SUM(AQ132:AQ134)</f>
        <v>0</v>
      </c>
      <c r="AR135" s="465">
        <f t="shared" ref="AR135" si="471">SUM(AR132:AR134)</f>
        <v>0</v>
      </c>
      <c r="AS135" s="282"/>
      <c r="AT135" s="1155"/>
      <c r="AU135" s="1155"/>
      <c r="AV135" s="1155"/>
      <c r="AW135" s="1155"/>
      <c r="AX135" s="1155"/>
      <c r="AY135" s="1155"/>
      <c r="AZ135" s="1155"/>
      <c r="BA135" s="1155"/>
      <c r="BB135" s="1155"/>
      <c r="BC135" s="1155"/>
      <c r="BD135" s="1155"/>
      <c r="BE135" s="1155"/>
      <c r="BF135" s="1155"/>
      <c r="BG135" s="1155"/>
      <c r="BH135" s="1155"/>
      <c r="BI135" s="1155"/>
      <c r="BJ135" s="1155"/>
      <c r="BK135" s="1155"/>
      <c r="BL135" s="1155"/>
      <c r="BM135" s="1155"/>
      <c r="BN135" s="1155"/>
      <c r="BO135" s="1155"/>
      <c r="BP135" s="1155"/>
      <c r="BQ135" s="1155"/>
      <c r="BR135" s="1155"/>
      <c r="BS135" s="1155"/>
    </row>
    <row r="136" spans="5:71" s="474" customFormat="1" ht="13.5" thickBot="1">
      <c r="E136" s="4108"/>
      <c r="F136" s="1385" t="s">
        <v>583</v>
      </c>
      <c r="G136" s="255"/>
      <c r="H136" s="461"/>
      <c r="I136" s="461"/>
      <c r="J136" s="461"/>
      <c r="K136" s="281"/>
      <c r="L136" s="207"/>
      <c r="M136" s="456"/>
      <c r="N136" s="456"/>
      <c r="O136" s="456"/>
      <c r="P136" s="457"/>
      <c r="Q136" s="224"/>
      <c r="R136" s="456"/>
      <c r="S136" s="456"/>
      <c r="T136" s="456"/>
      <c r="U136" s="457"/>
      <c r="V136" s="1172"/>
      <c r="W136" s="207"/>
      <c r="X136" s="461"/>
      <c r="Y136" s="461"/>
      <c r="Z136" s="461"/>
      <c r="AA136" s="281"/>
      <c r="AB136" s="1041"/>
      <c r="AC136" s="207"/>
      <c r="AD136" s="456"/>
      <c r="AE136" s="456"/>
      <c r="AF136" s="456"/>
      <c r="AG136" s="456"/>
      <c r="AH136" s="1048"/>
      <c r="AI136" s="1172"/>
      <c r="AJ136" s="1155"/>
      <c r="AK136" s="1155"/>
      <c r="AL136" s="259"/>
      <c r="AM136" s="466"/>
      <c r="AN136" s="466"/>
      <c r="AO136" s="466"/>
      <c r="AP136" s="283"/>
      <c r="AQ136" s="259"/>
      <c r="AR136" s="466"/>
      <c r="AS136" s="283"/>
      <c r="AT136" s="1155"/>
      <c r="AU136" s="1155"/>
      <c r="AV136" s="1155"/>
      <c r="AW136" s="1155"/>
      <c r="AX136" s="1155"/>
      <c r="AY136" s="1155"/>
      <c r="AZ136" s="1155"/>
      <c r="BA136" s="1155"/>
      <c r="BB136" s="1155"/>
      <c r="BC136" s="1155"/>
      <c r="BD136" s="1155"/>
      <c r="BE136" s="1155"/>
      <c r="BF136" s="1155"/>
      <c r="BG136" s="1155"/>
      <c r="BH136" s="1155"/>
      <c r="BI136" s="1155"/>
      <c r="BJ136" s="1155"/>
      <c r="BK136" s="1155"/>
      <c r="BL136" s="1155"/>
      <c r="BM136" s="1155"/>
      <c r="BN136" s="1155"/>
      <c r="BO136" s="1155"/>
      <c r="BP136" s="1155"/>
      <c r="BQ136" s="1155"/>
      <c r="BR136" s="1155"/>
      <c r="BS136" s="1155"/>
    </row>
    <row r="137" spans="5:71" s="474" customFormat="1" ht="13.5" thickBot="1">
      <c r="E137" s="4108"/>
      <c r="F137" s="1384" t="s">
        <v>581</v>
      </c>
      <c r="G137" s="1599"/>
      <c r="H137" s="1600"/>
      <c r="I137" s="1600"/>
      <c r="J137" s="1600"/>
      <c r="K137" s="1601"/>
      <c r="L137" s="1599"/>
      <c r="M137" s="1600"/>
      <c r="N137" s="1600"/>
      <c r="O137" s="1600"/>
      <c r="P137" s="1601"/>
      <c r="Q137" s="1602"/>
      <c r="R137" s="1600"/>
      <c r="S137" s="1600"/>
      <c r="T137" s="1600"/>
      <c r="U137" s="1601"/>
      <c r="V137" s="1172"/>
      <c r="W137" s="1614"/>
      <c r="X137" s="1615"/>
      <c r="Y137" s="1615"/>
      <c r="Z137" s="1615"/>
      <c r="AA137" s="1615"/>
      <c r="AB137" s="1615"/>
      <c r="AC137" s="1615"/>
      <c r="AD137" s="1615"/>
      <c r="AE137" s="1615"/>
      <c r="AF137" s="1615"/>
      <c r="AG137" s="1615"/>
      <c r="AH137" s="1616"/>
      <c r="AI137" s="1172"/>
      <c r="AJ137" s="1155"/>
      <c r="AK137" s="1155"/>
      <c r="AL137" s="259"/>
      <c r="AM137" s="466"/>
      <c r="AN137" s="466"/>
      <c r="AO137" s="466"/>
      <c r="AP137" s="283"/>
      <c r="AQ137" s="259"/>
      <c r="AR137" s="466"/>
      <c r="AS137" s="283"/>
      <c r="AT137" s="1155"/>
      <c r="AU137" s="1155"/>
      <c r="AV137" s="1155"/>
      <c r="AW137" s="1155"/>
      <c r="AX137" s="1155"/>
      <c r="AY137" s="1155"/>
      <c r="AZ137" s="1155"/>
      <c r="BA137" s="1155"/>
      <c r="BB137" s="1155"/>
      <c r="BC137" s="1155"/>
      <c r="BD137" s="1155"/>
      <c r="BE137" s="1155"/>
      <c r="BF137" s="1155"/>
      <c r="BG137" s="1155"/>
      <c r="BH137" s="1155"/>
      <c r="BI137" s="1155"/>
      <c r="BJ137" s="1155"/>
      <c r="BK137" s="1155"/>
      <c r="BL137" s="1155"/>
      <c r="BM137" s="1155"/>
      <c r="BN137" s="1155"/>
      <c r="BO137" s="1155"/>
      <c r="BP137" s="1155"/>
      <c r="BQ137" s="1155"/>
      <c r="BR137" s="1155"/>
      <c r="BS137" s="1155"/>
    </row>
    <row r="138" spans="5:71" s="474" customFormat="1">
      <c r="E138" s="4108"/>
      <c r="F138" s="1386" t="s">
        <v>584</v>
      </c>
      <c r="G138" s="1050">
        <v>0</v>
      </c>
      <c r="H138" s="1051">
        <v>0</v>
      </c>
      <c r="I138" s="1051">
        <v>0</v>
      </c>
      <c r="J138" s="1051">
        <v>0</v>
      </c>
      <c r="K138" s="1052">
        <v>0</v>
      </c>
      <c r="L138" s="1050">
        <f>SUM(L135:L137)</f>
        <v>2138216.0500000003</v>
      </c>
      <c r="M138" s="1051">
        <f t="shared" ref="M138" si="472">SUM(M135:M137)</f>
        <v>0</v>
      </c>
      <c r="N138" s="1051">
        <f t="shared" ref="N138" si="473">SUM(N135:N137)</f>
        <v>0</v>
      </c>
      <c r="O138" s="1051">
        <f t="shared" ref="O138" si="474">SUM(O135:O137)</f>
        <v>0</v>
      </c>
      <c r="P138" s="1052">
        <f t="shared" ref="P138" si="475">SUM(P135:P137)</f>
        <v>0</v>
      </c>
      <c r="Q138" s="1092">
        <f t="shared" ref="Q138" si="476">SUM(Q135:Q137)</f>
        <v>0</v>
      </c>
      <c r="R138" s="1051">
        <f t="shared" ref="R138" si="477">SUM(R135:R137)</f>
        <v>0</v>
      </c>
      <c r="S138" s="1051">
        <f t="shared" ref="S138" si="478">SUM(S135:S137)</f>
        <v>0</v>
      </c>
      <c r="T138" s="1051">
        <f t="shared" ref="T138" si="479">SUM(T135:T137)</f>
        <v>0</v>
      </c>
      <c r="U138" s="1052">
        <f t="shared" ref="U138" si="480">SUM(U135:U137)</f>
        <v>0</v>
      </c>
      <c r="V138" s="1172"/>
      <c r="W138" s="1050">
        <f t="shared" ref="W138" si="481">SUM(W135:W137)</f>
        <v>0</v>
      </c>
      <c r="X138" s="1051">
        <f t="shared" ref="X138" si="482">SUM(X135:X137)</f>
        <v>0</v>
      </c>
      <c r="Y138" s="1051">
        <f t="shared" ref="Y138" si="483">SUM(Y135:Y137)</f>
        <v>0</v>
      </c>
      <c r="Z138" s="1051">
        <f t="shared" ref="Z138" si="484">SUM(Z135:Z137)</f>
        <v>0</v>
      </c>
      <c r="AA138" s="1052">
        <f t="shared" ref="AA138" si="485">SUM(AA135:AA137)</f>
        <v>0</v>
      </c>
      <c r="AB138" s="1053"/>
      <c r="AC138" s="1050">
        <f t="shared" ref="AC138" si="486">SUM(AC135:AC137)</f>
        <v>0</v>
      </c>
      <c r="AD138" s="1051">
        <f t="shared" ref="AD138" si="487">SUM(AD135:AD137)</f>
        <v>0</v>
      </c>
      <c r="AE138" s="1051">
        <f t="shared" ref="AE138" si="488">SUM(AE135:AE137)</f>
        <v>0</v>
      </c>
      <c r="AF138" s="1051">
        <f t="shared" ref="AF138" si="489">SUM(AF135:AF137)</f>
        <v>0</v>
      </c>
      <c r="AG138" s="1051">
        <f t="shared" ref="AG138" si="490">SUM(AG135:AG137)</f>
        <v>0</v>
      </c>
      <c r="AH138" s="1054"/>
      <c r="AI138" s="1172"/>
      <c r="AJ138" s="130"/>
      <c r="AK138" s="130"/>
      <c r="AL138" s="1050">
        <f t="shared" ref="AL138:AR138" si="491">SUM(AL136:AL137)</f>
        <v>0</v>
      </c>
      <c r="AM138" s="1051">
        <f t="shared" si="491"/>
        <v>0</v>
      </c>
      <c r="AN138" s="1051">
        <f t="shared" si="491"/>
        <v>0</v>
      </c>
      <c r="AO138" s="1051">
        <f t="shared" si="491"/>
        <v>0</v>
      </c>
      <c r="AP138" s="1052">
        <f t="shared" si="491"/>
        <v>0</v>
      </c>
      <c r="AQ138" s="1050">
        <f t="shared" si="491"/>
        <v>0</v>
      </c>
      <c r="AR138" s="1051">
        <f t="shared" si="491"/>
        <v>0</v>
      </c>
      <c r="AS138" s="1052"/>
      <c r="AT138" s="130"/>
      <c r="AU138" s="130"/>
      <c r="AV138" s="130"/>
      <c r="AW138" s="130"/>
      <c r="AX138" s="130"/>
      <c r="AY138" s="130"/>
      <c r="AZ138" s="130"/>
      <c r="BA138" s="130"/>
      <c r="BB138" s="130"/>
      <c r="BC138" s="130"/>
      <c r="BD138" s="130"/>
      <c r="BE138" s="130"/>
      <c r="BF138" s="130"/>
      <c r="BG138" s="130"/>
      <c r="BH138" s="130"/>
      <c r="BI138" s="130"/>
      <c r="BJ138" s="130"/>
      <c r="BK138" s="130"/>
      <c r="BL138" s="130"/>
      <c r="BM138" s="130"/>
      <c r="BN138" s="130"/>
      <c r="BO138" s="130"/>
      <c r="BP138" s="130"/>
      <c r="BQ138" s="130"/>
      <c r="BR138" s="130"/>
      <c r="BS138" s="1155"/>
    </row>
    <row r="139" spans="5:71" s="474" customFormat="1">
      <c r="E139" s="4108"/>
      <c r="F139" s="1388" t="s">
        <v>35</v>
      </c>
      <c r="G139" s="255"/>
      <c r="H139" s="461"/>
      <c r="I139" s="461"/>
      <c r="J139" s="461"/>
      <c r="K139" s="281"/>
      <c r="L139" s="255"/>
      <c r="M139" s="461"/>
      <c r="N139" s="461"/>
      <c r="O139" s="461"/>
      <c r="P139" s="281"/>
      <c r="Q139" s="956"/>
      <c r="R139" s="461"/>
      <c r="S139" s="461"/>
      <c r="T139" s="461"/>
      <c r="U139" s="281"/>
      <c r="V139" s="1172"/>
      <c r="W139" s="255"/>
      <c r="X139" s="461"/>
      <c r="Y139" s="461"/>
      <c r="Z139" s="461"/>
      <c r="AA139" s="281"/>
      <c r="AB139" s="1004"/>
      <c r="AC139" s="255"/>
      <c r="AD139" s="461"/>
      <c r="AE139" s="461"/>
      <c r="AF139" s="461"/>
      <c r="AG139" s="461"/>
      <c r="AH139" s="1047"/>
      <c r="AI139" s="1172"/>
      <c r="AJ139" s="1155"/>
      <c r="AK139" s="1155"/>
      <c r="AL139" s="259"/>
      <c r="AM139" s="466"/>
      <c r="AN139" s="466"/>
      <c r="AO139" s="466"/>
      <c r="AP139" s="283"/>
      <c r="AQ139" s="259"/>
      <c r="AR139" s="466"/>
      <c r="AS139" s="283"/>
      <c r="AT139" s="1155"/>
      <c r="AU139" s="1155"/>
      <c r="AV139" s="1155"/>
      <c r="AW139" s="1155"/>
      <c r="AX139" s="1155"/>
      <c r="AY139" s="1155"/>
      <c r="AZ139" s="1155"/>
      <c r="BA139" s="1155"/>
      <c r="BB139" s="1155"/>
      <c r="BC139" s="1155"/>
      <c r="BD139" s="1155"/>
      <c r="BE139" s="1155"/>
      <c r="BF139" s="1155"/>
      <c r="BG139" s="1155"/>
      <c r="BH139" s="1155"/>
      <c r="BI139" s="1155"/>
      <c r="BJ139" s="1155"/>
      <c r="BK139" s="1155"/>
      <c r="BL139" s="1155"/>
      <c r="BM139" s="1155"/>
      <c r="BN139" s="1155"/>
      <c r="BO139" s="1155"/>
      <c r="BP139" s="1155"/>
      <c r="BQ139" s="1155"/>
      <c r="BR139" s="1155"/>
      <c r="BS139" s="1155"/>
    </row>
    <row r="140" spans="5:71" s="474" customFormat="1" ht="13.5" thickBot="1">
      <c r="E140" s="4109"/>
      <c r="F140" s="1387" t="s">
        <v>585</v>
      </c>
      <c r="G140" s="1055">
        <v>0</v>
      </c>
      <c r="H140" s="1056">
        <v>0</v>
      </c>
      <c r="I140" s="1056">
        <v>0</v>
      </c>
      <c r="J140" s="1056">
        <v>0</v>
      </c>
      <c r="K140" s="1057">
        <v>0</v>
      </c>
      <c r="L140" s="1567">
        <f>L138-L139</f>
        <v>2138216.0500000003</v>
      </c>
      <c r="M140" s="1056">
        <f t="shared" ref="M140" si="492">M138-M139</f>
        <v>0</v>
      </c>
      <c r="N140" s="1056">
        <f t="shared" ref="N140" si="493">N138-N139</f>
        <v>0</v>
      </c>
      <c r="O140" s="1056">
        <f t="shared" ref="O140" si="494">O138-O139</f>
        <v>0</v>
      </c>
      <c r="P140" s="1057">
        <f t="shared" ref="P140" si="495">P138-P139</f>
        <v>0</v>
      </c>
      <c r="Q140" s="1093">
        <f t="shared" ref="Q140" si="496">Q138-Q139</f>
        <v>0</v>
      </c>
      <c r="R140" s="1056">
        <f t="shared" ref="R140" si="497">R138-R139</f>
        <v>0</v>
      </c>
      <c r="S140" s="1056">
        <f t="shared" ref="S140" si="498">S138-S139</f>
        <v>0</v>
      </c>
      <c r="T140" s="1056">
        <f t="shared" ref="T140" si="499">T138-T139</f>
        <v>0</v>
      </c>
      <c r="U140" s="1057">
        <f t="shared" ref="U140" si="500">U138-U139</f>
        <v>0</v>
      </c>
      <c r="V140" s="1172"/>
      <c r="W140" s="1055">
        <f t="shared" ref="W140" si="501">W138-W139</f>
        <v>0</v>
      </c>
      <c r="X140" s="1056">
        <f t="shared" ref="X140" si="502">X138-X139</f>
        <v>0</v>
      </c>
      <c r="Y140" s="1056">
        <f t="shared" ref="Y140" si="503">Y138-Y139</f>
        <v>0</v>
      </c>
      <c r="Z140" s="1056">
        <f t="shared" ref="Z140" si="504">Z138-Z139</f>
        <v>0</v>
      </c>
      <c r="AA140" s="1057">
        <f t="shared" ref="AA140" si="505">AA138-AA139</f>
        <v>0</v>
      </c>
      <c r="AB140" s="1075"/>
      <c r="AC140" s="1055">
        <f t="shared" ref="AC140" si="506">AC138-AC139</f>
        <v>0</v>
      </c>
      <c r="AD140" s="1056">
        <f t="shared" ref="AD140" si="507">AD138-AD139</f>
        <v>0</v>
      </c>
      <c r="AE140" s="1056">
        <f t="shared" ref="AE140" si="508">AE138-AE139</f>
        <v>0</v>
      </c>
      <c r="AF140" s="1056">
        <f t="shared" ref="AF140" si="509">AF138-AF139</f>
        <v>0</v>
      </c>
      <c r="AG140" s="1056">
        <f t="shared" ref="AG140" si="510">AG138-AG139</f>
        <v>0</v>
      </c>
      <c r="AH140" s="1059"/>
      <c r="AI140" s="1172"/>
      <c r="AJ140" s="1155"/>
      <c r="AK140" s="1155"/>
      <c r="AL140" s="1567">
        <f>AL138-AL139</f>
        <v>0</v>
      </c>
      <c r="AM140" s="1056">
        <f t="shared" ref="AM140:AR140" si="511">AM138-AM139</f>
        <v>0</v>
      </c>
      <c r="AN140" s="1056">
        <f t="shared" si="511"/>
        <v>0</v>
      </c>
      <c r="AO140" s="1056">
        <f t="shared" si="511"/>
        <v>0</v>
      </c>
      <c r="AP140" s="1057">
        <f t="shared" si="511"/>
        <v>0</v>
      </c>
      <c r="AQ140" s="1567">
        <f t="shared" si="511"/>
        <v>0</v>
      </c>
      <c r="AR140" s="1056">
        <f t="shared" si="511"/>
        <v>0</v>
      </c>
      <c r="AS140" s="1057"/>
      <c r="AT140" s="1155"/>
      <c r="AU140" s="1155"/>
      <c r="AV140" s="1155"/>
      <c r="AW140" s="1155"/>
      <c r="AX140" s="1155"/>
      <c r="AY140" s="1155"/>
      <c r="AZ140" s="1155"/>
      <c r="BA140" s="1155"/>
      <c r="BB140" s="1155"/>
      <c r="BC140" s="1155"/>
      <c r="BD140" s="1155"/>
      <c r="BE140" s="1155"/>
      <c r="BF140" s="1155"/>
      <c r="BG140" s="1155"/>
      <c r="BH140" s="1155"/>
      <c r="BI140" s="1155"/>
      <c r="BJ140" s="1155"/>
      <c r="BK140" s="1155"/>
      <c r="BL140" s="1155"/>
      <c r="BM140" s="1155"/>
      <c r="BN140" s="1155"/>
      <c r="BO140" s="1155"/>
      <c r="BP140" s="1155"/>
      <c r="BQ140" s="1155"/>
      <c r="BR140" s="1155"/>
      <c r="BS140" s="1155"/>
    </row>
    <row r="141" spans="5:71" s="474" customFormat="1" ht="12.75" customHeight="1">
      <c r="E141" s="4107" t="s">
        <v>1484</v>
      </c>
      <c r="F141" s="433" t="s">
        <v>111</v>
      </c>
      <c r="G141" s="1086"/>
      <c r="H141" s="1087"/>
      <c r="I141" s="1087"/>
      <c r="J141" s="1087"/>
      <c r="K141" s="1088"/>
      <c r="L141" s="258"/>
      <c r="M141" s="465"/>
      <c r="N141" s="465"/>
      <c r="O141" s="465"/>
      <c r="P141" s="282"/>
      <c r="Q141" s="1566"/>
      <c r="R141" s="421"/>
      <c r="S141" s="421"/>
      <c r="T141" s="421"/>
      <c r="U141" s="1044"/>
      <c r="V141" s="1172"/>
      <c r="W141" s="1043"/>
      <c r="X141" s="421"/>
      <c r="Y141" s="421"/>
      <c r="Z141" s="421"/>
      <c r="AA141" s="1044"/>
      <c r="AB141" s="1045"/>
      <c r="AC141" s="1043"/>
      <c r="AD141" s="421"/>
      <c r="AE141" s="421"/>
      <c r="AF141" s="421"/>
      <c r="AG141" s="421"/>
      <c r="AH141" s="1046"/>
      <c r="AI141" s="1172"/>
      <c r="AJ141" s="1155"/>
      <c r="AK141" s="1155"/>
      <c r="AL141" s="1086"/>
      <c r="AM141" s="1087"/>
      <c r="AN141" s="1087"/>
      <c r="AO141" s="1087"/>
      <c r="AP141" s="1088"/>
      <c r="AQ141" s="258"/>
      <c r="AR141" s="465"/>
      <c r="AS141" s="282"/>
      <c r="AT141" s="1155"/>
      <c r="AU141" s="1155"/>
      <c r="AV141" s="1155"/>
      <c r="AW141" s="1155"/>
      <c r="AX141" s="1155"/>
      <c r="AY141" s="1155"/>
      <c r="AZ141" s="1155"/>
      <c r="BA141" s="1155"/>
      <c r="BB141" s="1155"/>
      <c r="BC141" s="1155"/>
      <c r="BD141" s="1155"/>
      <c r="BE141" s="1155"/>
      <c r="BF141" s="1155"/>
      <c r="BG141" s="1155"/>
      <c r="BH141" s="1155"/>
      <c r="BI141" s="1155"/>
      <c r="BJ141" s="1155"/>
      <c r="BK141" s="1155"/>
      <c r="BL141" s="1155"/>
      <c r="BM141" s="1155"/>
      <c r="BN141" s="1155"/>
      <c r="BO141" s="1155"/>
      <c r="BP141" s="1155"/>
      <c r="BQ141" s="1155"/>
      <c r="BR141" s="1155"/>
      <c r="BS141" s="1155"/>
    </row>
    <row r="142" spans="5:71" s="474" customFormat="1" ht="12.75" customHeight="1">
      <c r="E142" s="4108"/>
      <c r="F142" s="1374" t="s">
        <v>588</v>
      </c>
      <c r="G142" s="1083"/>
      <c r="H142" s="1084"/>
      <c r="I142" s="1084"/>
      <c r="J142" s="1084"/>
      <c r="K142" s="1085"/>
      <c r="L142" s="255">
        <v>9136</v>
      </c>
      <c r="M142" s="461"/>
      <c r="N142" s="461"/>
      <c r="O142" s="461"/>
      <c r="P142" s="281"/>
      <c r="Q142" s="255"/>
      <c r="R142" s="461"/>
      <c r="S142" s="461"/>
      <c r="T142" s="461"/>
      <c r="U142" s="281"/>
      <c r="V142" s="1172"/>
      <c r="W142" s="255"/>
      <c r="X142" s="461"/>
      <c r="Y142" s="461"/>
      <c r="Z142" s="461"/>
      <c r="AA142" s="281"/>
      <c r="AB142" s="1041"/>
      <c r="AC142" s="255"/>
      <c r="AD142" s="461"/>
      <c r="AE142" s="461"/>
      <c r="AF142" s="461"/>
      <c r="AG142" s="461"/>
      <c r="AH142" s="1047"/>
      <c r="AI142" s="1172"/>
      <c r="AJ142" s="1155"/>
      <c r="AK142" s="1155"/>
      <c r="AL142" s="1083"/>
      <c r="AM142" s="1084"/>
      <c r="AN142" s="1084"/>
      <c r="AO142" s="1084"/>
      <c r="AP142" s="1085"/>
      <c r="AQ142" s="259"/>
      <c r="AR142" s="466"/>
      <c r="AS142" s="283"/>
      <c r="AT142" s="1155"/>
      <c r="AU142" s="1155"/>
      <c r="AV142" s="1155"/>
      <c r="AW142" s="1155"/>
      <c r="AX142" s="1155"/>
      <c r="AY142" s="1155"/>
      <c r="AZ142" s="1155"/>
      <c r="BA142" s="1155"/>
      <c r="BB142" s="1155"/>
      <c r="BC142" s="1155"/>
      <c r="BD142" s="1155"/>
      <c r="BE142" s="1155"/>
      <c r="BF142" s="1155"/>
      <c r="BG142" s="1155"/>
      <c r="BH142" s="1155"/>
      <c r="BI142" s="1155"/>
      <c r="BJ142" s="1155"/>
      <c r="BK142" s="1155"/>
      <c r="BL142" s="1155"/>
      <c r="BM142" s="1155"/>
      <c r="BN142" s="1155"/>
      <c r="BO142" s="1155"/>
      <c r="BP142" s="1155"/>
      <c r="BQ142" s="1155"/>
      <c r="BR142" s="1155"/>
      <c r="BS142" s="1155"/>
    </row>
    <row r="143" spans="5:71" s="474" customFormat="1" ht="12.75" customHeight="1">
      <c r="E143" s="4108"/>
      <c r="F143" s="1374" t="s">
        <v>589</v>
      </c>
      <c r="G143" s="1083"/>
      <c r="H143" s="1084"/>
      <c r="I143" s="1084"/>
      <c r="J143" s="1084"/>
      <c r="K143" s="1085"/>
      <c r="L143" s="255"/>
      <c r="M143" s="461"/>
      <c r="N143" s="461"/>
      <c r="O143" s="461"/>
      <c r="P143" s="281"/>
      <c r="Q143" s="255"/>
      <c r="R143" s="461"/>
      <c r="S143" s="461"/>
      <c r="T143" s="461"/>
      <c r="U143" s="281"/>
      <c r="V143" s="1172"/>
      <c r="W143" s="255"/>
      <c r="X143" s="461"/>
      <c r="Y143" s="461"/>
      <c r="Z143" s="461"/>
      <c r="AA143" s="281"/>
      <c r="AB143" s="1041"/>
      <c r="AC143" s="255"/>
      <c r="AD143" s="461"/>
      <c r="AE143" s="461"/>
      <c r="AF143" s="461"/>
      <c r="AG143" s="461"/>
      <c r="AH143" s="1047"/>
      <c r="AI143" s="1172"/>
      <c r="AJ143" s="1155"/>
      <c r="AK143" s="1155"/>
      <c r="AL143" s="1083"/>
      <c r="AM143" s="1084"/>
      <c r="AN143" s="1084"/>
      <c r="AO143" s="1084"/>
      <c r="AP143" s="1085"/>
      <c r="AQ143" s="259"/>
      <c r="AR143" s="466"/>
      <c r="AS143" s="283"/>
      <c r="AT143" s="1155"/>
      <c r="AU143" s="1155"/>
      <c r="AV143" s="1155"/>
      <c r="AW143" s="1155"/>
      <c r="AX143" s="1155"/>
      <c r="AY143" s="1155"/>
      <c r="AZ143" s="1155"/>
      <c r="BA143" s="1155"/>
      <c r="BB143" s="1155"/>
      <c r="BC143" s="1155"/>
      <c r="BD143" s="1155"/>
      <c r="BE143" s="1155"/>
      <c r="BF143" s="1155"/>
      <c r="BG143" s="1155"/>
      <c r="BH143" s="1155"/>
      <c r="BI143" s="1155"/>
      <c r="BJ143" s="1155"/>
      <c r="BK143" s="1155"/>
      <c r="BL143" s="1155"/>
      <c r="BM143" s="1155"/>
      <c r="BN143" s="1155"/>
      <c r="BO143" s="1155"/>
      <c r="BP143" s="1155"/>
      <c r="BQ143" s="1155"/>
      <c r="BR143" s="1155"/>
      <c r="BS143" s="1155"/>
    </row>
    <row r="144" spans="5:71" s="474" customFormat="1" ht="12.75" customHeight="1">
      <c r="E144" s="4108"/>
      <c r="F144" s="1374" t="s">
        <v>590</v>
      </c>
      <c r="G144" s="1083"/>
      <c r="H144" s="1084"/>
      <c r="I144" s="1084"/>
      <c r="J144" s="1084"/>
      <c r="K144" s="1085"/>
      <c r="L144" s="255"/>
      <c r="M144" s="461"/>
      <c r="N144" s="461"/>
      <c r="O144" s="461"/>
      <c r="P144" s="281"/>
      <c r="Q144" s="255"/>
      <c r="R144" s="461"/>
      <c r="S144" s="461"/>
      <c r="T144" s="461"/>
      <c r="U144" s="281"/>
      <c r="V144" s="1172"/>
      <c r="W144" s="255"/>
      <c r="X144" s="461"/>
      <c r="Y144" s="461"/>
      <c r="Z144" s="461"/>
      <c r="AA144" s="281"/>
      <c r="AB144" s="1041"/>
      <c r="AC144" s="255"/>
      <c r="AD144" s="461"/>
      <c r="AE144" s="461"/>
      <c r="AF144" s="461"/>
      <c r="AG144" s="461"/>
      <c r="AH144" s="1047"/>
      <c r="AI144" s="1172"/>
      <c r="AJ144" s="1155"/>
      <c r="AK144" s="1155"/>
      <c r="AL144" s="1083"/>
      <c r="AM144" s="1084"/>
      <c r="AN144" s="1084"/>
      <c r="AO144" s="1084"/>
      <c r="AP144" s="1085"/>
      <c r="AQ144" s="259"/>
      <c r="AR144" s="466"/>
      <c r="AS144" s="283"/>
      <c r="AT144" s="1155"/>
      <c r="AU144" s="1155"/>
      <c r="AV144" s="1155"/>
      <c r="AW144" s="1155"/>
      <c r="AX144" s="1155"/>
      <c r="AY144" s="1155"/>
      <c r="AZ144" s="1155"/>
      <c r="BA144" s="1155"/>
      <c r="BB144" s="1155"/>
      <c r="BC144" s="1155"/>
      <c r="BD144" s="1155"/>
      <c r="BE144" s="1155"/>
      <c r="BF144" s="1155"/>
      <c r="BG144" s="1155"/>
      <c r="BH144" s="1155"/>
      <c r="BI144" s="1155"/>
      <c r="BJ144" s="1155"/>
      <c r="BK144" s="1155"/>
      <c r="BL144" s="1155"/>
      <c r="BM144" s="1155"/>
      <c r="BN144" s="1155"/>
      <c r="BO144" s="1155"/>
      <c r="BP144" s="1155"/>
      <c r="BQ144" s="1155"/>
      <c r="BR144" s="1155"/>
      <c r="BS144" s="1155"/>
    </row>
    <row r="145" spans="5:71" s="474" customFormat="1" ht="12.75" customHeight="1">
      <c r="E145" s="4108"/>
      <c r="F145" s="1374" t="s">
        <v>591</v>
      </c>
      <c r="G145" s="1083"/>
      <c r="H145" s="1084"/>
      <c r="I145" s="1084"/>
      <c r="J145" s="1084"/>
      <c r="K145" s="1085"/>
      <c r="L145" s="255"/>
      <c r="M145" s="461"/>
      <c r="N145" s="461"/>
      <c r="O145" s="461"/>
      <c r="P145" s="281"/>
      <c r="Q145" s="255"/>
      <c r="R145" s="461"/>
      <c r="S145" s="461"/>
      <c r="T145" s="461"/>
      <c r="U145" s="281"/>
      <c r="V145" s="1172"/>
      <c r="W145" s="255"/>
      <c r="X145" s="461"/>
      <c r="Y145" s="461"/>
      <c r="Z145" s="461"/>
      <c r="AA145" s="281"/>
      <c r="AB145" s="1041"/>
      <c r="AC145" s="255"/>
      <c r="AD145" s="461"/>
      <c r="AE145" s="461"/>
      <c r="AF145" s="461"/>
      <c r="AG145" s="461"/>
      <c r="AH145" s="1047"/>
      <c r="AI145" s="1172"/>
      <c r="AJ145" s="1155"/>
      <c r="AK145" s="1155"/>
      <c r="AL145" s="1083"/>
      <c r="AM145" s="1084"/>
      <c r="AN145" s="1084"/>
      <c r="AO145" s="1084"/>
      <c r="AP145" s="1085"/>
      <c r="AQ145" s="259"/>
      <c r="AR145" s="466"/>
      <c r="AS145" s="283"/>
      <c r="AT145" s="1155"/>
      <c r="AU145" s="1155"/>
      <c r="AV145" s="1155"/>
      <c r="AW145" s="1155"/>
      <c r="AX145" s="1155"/>
      <c r="AY145" s="1155"/>
      <c r="AZ145" s="1155"/>
      <c r="BA145" s="1155"/>
      <c r="BB145" s="1155"/>
      <c r="BC145" s="1155"/>
      <c r="BD145" s="1155"/>
      <c r="BE145" s="1155"/>
      <c r="BF145" s="1155"/>
      <c r="BG145" s="1155"/>
      <c r="BH145" s="1155"/>
      <c r="BI145" s="1155"/>
      <c r="BJ145" s="1155"/>
      <c r="BK145" s="1155"/>
      <c r="BL145" s="1155"/>
      <c r="BM145" s="1155"/>
      <c r="BN145" s="1155"/>
      <c r="BO145" s="1155"/>
      <c r="BP145" s="1155"/>
      <c r="BQ145" s="1155"/>
      <c r="BR145" s="1155"/>
      <c r="BS145" s="1155"/>
    </row>
    <row r="146" spans="5:71" s="474" customFormat="1" ht="12.75" customHeight="1">
      <c r="E146" s="4108"/>
      <c r="F146" s="1374" t="s">
        <v>592</v>
      </c>
      <c r="G146" s="1083"/>
      <c r="H146" s="1084"/>
      <c r="I146" s="1084"/>
      <c r="J146" s="1084"/>
      <c r="K146" s="1085"/>
      <c r="L146" s="207"/>
      <c r="M146" s="456"/>
      <c r="N146" s="456"/>
      <c r="O146" s="456"/>
      <c r="P146" s="457"/>
      <c r="Q146" s="207"/>
      <c r="R146" s="456"/>
      <c r="S146" s="456"/>
      <c r="T146" s="456"/>
      <c r="U146" s="457"/>
      <c r="V146" s="1172"/>
      <c r="W146" s="207">
        <v>0</v>
      </c>
      <c r="X146" s="456">
        <v>0</v>
      </c>
      <c r="Y146" s="456">
        <v>0</v>
      </c>
      <c r="Z146" s="456">
        <v>0</v>
      </c>
      <c r="AA146" s="457">
        <v>0</v>
      </c>
      <c r="AB146" s="1041"/>
      <c r="AC146" s="207">
        <v>0</v>
      </c>
      <c r="AD146" s="456">
        <v>0</v>
      </c>
      <c r="AE146" s="456">
        <v>0</v>
      </c>
      <c r="AF146" s="456">
        <v>0</v>
      </c>
      <c r="AG146" s="456">
        <v>0</v>
      </c>
      <c r="AH146" s="1048"/>
      <c r="AI146" s="1172"/>
      <c r="AJ146" s="1155"/>
      <c r="AK146" s="1155"/>
      <c r="AL146" s="1083"/>
      <c r="AM146" s="1084"/>
      <c r="AN146" s="1084"/>
      <c r="AO146" s="1084"/>
      <c r="AP146" s="1085"/>
      <c r="AQ146" s="207">
        <f>SUM(AQ141:AQ145)</f>
        <v>0</v>
      </c>
      <c r="AR146" s="456">
        <f t="shared" ref="AR146" si="512">SUM(AR141:AR145)</f>
        <v>0</v>
      </c>
      <c r="AS146" s="457"/>
      <c r="AT146" s="1155"/>
      <c r="AU146" s="1155"/>
      <c r="AV146" s="1155"/>
      <c r="AW146" s="1155"/>
      <c r="AX146" s="1155"/>
      <c r="AY146" s="1155"/>
      <c r="AZ146" s="1155"/>
      <c r="BA146" s="1155"/>
      <c r="BB146" s="1155"/>
      <c r="BC146" s="1155"/>
      <c r="BD146" s="1155"/>
      <c r="BE146" s="1155"/>
      <c r="BF146" s="1155"/>
      <c r="BG146" s="1155"/>
      <c r="BH146" s="1155"/>
      <c r="BI146" s="1155"/>
      <c r="BJ146" s="1155"/>
      <c r="BK146" s="1155"/>
      <c r="BL146" s="1155"/>
      <c r="BM146" s="1155"/>
      <c r="BN146" s="1155"/>
      <c r="BO146" s="1155"/>
      <c r="BP146" s="1155"/>
      <c r="BQ146" s="1155"/>
      <c r="BR146" s="1155"/>
      <c r="BS146" s="1155"/>
    </row>
    <row r="147" spans="5:71" s="474" customFormat="1">
      <c r="E147" s="4108"/>
      <c r="F147" s="1375" t="s">
        <v>587</v>
      </c>
      <c r="G147" s="1086"/>
      <c r="H147" s="1087"/>
      <c r="I147" s="1087"/>
      <c r="J147" s="1087"/>
      <c r="K147" s="1088"/>
      <c r="L147" s="258">
        <f>SUM(L142:L146)</f>
        <v>9136</v>
      </c>
      <c r="M147" s="465">
        <f t="shared" ref="M147" si="513">SUM(M142:M146)</f>
        <v>0</v>
      </c>
      <c r="N147" s="465">
        <f t="shared" ref="N147" si="514">SUM(N142:N146)</f>
        <v>0</v>
      </c>
      <c r="O147" s="465">
        <f t="shared" ref="O147" si="515">SUM(O142:O146)</f>
        <v>0</v>
      </c>
      <c r="P147" s="282">
        <f t="shared" ref="P147" si="516">SUM(P142:P146)</f>
        <v>0</v>
      </c>
      <c r="Q147" s="258">
        <f t="shared" ref="Q147" si="517">SUM(Q142:Q146)</f>
        <v>0</v>
      </c>
      <c r="R147" s="465">
        <f t="shared" ref="R147" si="518">SUM(R142:R146)</f>
        <v>0</v>
      </c>
      <c r="S147" s="465">
        <f t="shared" ref="S147" si="519">SUM(S142:S146)</f>
        <v>0</v>
      </c>
      <c r="T147" s="465">
        <f t="shared" ref="T147" si="520">SUM(T142:T146)</f>
        <v>0</v>
      </c>
      <c r="U147" s="282">
        <f t="shared" ref="U147" si="521">SUM(U142:U146)</f>
        <v>0</v>
      </c>
      <c r="V147" s="1172"/>
      <c r="W147" s="258">
        <f t="shared" ref="W147" si="522">SUM(W142:W146)</f>
        <v>0</v>
      </c>
      <c r="X147" s="465">
        <f t="shared" ref="X147" si="523">SUM(X142:X146)</f>
        <v>0</v>
      </c>
      <c r="Y147" s="465">
        <f t="shared" ref="Y147" si="524">SUM(Y142:Y146)</f>
        <v>0</v>
      </c>
      <c r="Z147" s="465">
        <f t="shared" ref="Z147" si="525">SUM(Z142:Z146)</f>
        <v>0</v>
      </c>
      <c r="AA147" s="282">
        <f t="shared" ref="AA147" si="526">SUM(AA142:AA146)</f>
        <v>0</v>
      </c>
      <c r="AB147" s="992"/>
      <c r="AC147" s="258">
        <f t="shared" ref="AC147" si="527">SUM(AC142:AC146)</f>
        <v>0</v>
      </c>
      <c r="AD147" s="465">
        <f t="shared" ref="AD147" si="528">SUM(AD142:AD146)</f>
        <v>0</v>
      </c>
      <c r="AE147" s="465">
        <f t="shared" ref="AE147" si="529">SUM(AE142:AE146)</f>
        <v>0</v>
      </c>
      <c r="AF147" s="465">
        <f t="shared" ref="AF147" si="530">SUM(AF142:AF146)</f>
        <v>0</v>
      </c>
      <c r="AG147" s="465">
        <f t="shared" ref="AG147" si="531">SUM(AG142:AG146)</f>
        <v>0</v>
      </c>
      <c r="AH147" s="1049"/>
      <c r="AI147" s="1172"/>
      <c r="AJ147" s="1155"/>
      <c r="AK147" s="1155"/>
      <c r="AL147" s="1086"/>
      <c r="AM147" s="1087"/>
      <c r="AN147" s="1087"/>
      <c r="AO147" s="1087"/>
      <c r="AP147" s="1088"/>
      <c r="AQ147" s="258"/>
      <c r="AR147" s="465"/>
      <c r="AS147" s="282"/>
      <c r="AT147" s="1155"/>
      <c r="AU147" s="1155"/>
      <c r="AV147" s="1155"/>
      <c r="AW147" s="1155"/>
      <c r="AX147" s="1155"/>
      <c r="AY147" s="1155"/>
      <c r="AZ147" s="1155"/>
      <c r="BA147" s="1155"/>
      <c r="BB147" s="1155"/>
      <c r="BC147" s="1155"/>
      <c r="BD147" s="1155"/>
      <c r="BE147" s="1155"/>
      <c r="BF147" s="1155"/>
      <c r="BG147" s="1155"/>
      <c r="BH147" s="1155"/>
      <c r="BI147" s="1155"/>
      <c r="BJ147" s="1155"/>
      <c r="BK147" s="1155"/>
      <c r="BL147" s="1155"/>
      <c r="BM147" s="1155"/>
      <c r="BN147" s="1155"/>
      <c r="BO147" s="1155"/>
      <c r="BP147" s="1155"/>
      <c r="BQ147" s="1155"/>
      <c r="BR147" s="1155"/>
      <c r="BS147" s="1155"/>
    </row>
    <row r="148" spans="5:71" s="474" customFormat="1">
      <c r="E148" s="4108"/>
      <c r="F148" s="1376" t="s">
        <v>593</v>
      </c>
      <c r="G148" s="1083"/>
      <c r="H148" s="1084"/>
      <c r="I148" s="1084"/>
      <c r="J148" s="1084"/>
      <c r="K148" s="1085"/>
      <c r="L148" s="255"/>
      <c r="M148" s="461"/>
      <c r="N148" s="461"/>
      <c r="O148" s="461"/>
      <c r="P148" s="281"/>
      <c r="Q148" s="255"/>
      <c r="R148" s="461"/>
      <c r="S148" s="461"/>
      <c r="T148" s="461"/>
      <c r="U148" s="281"/>
      <c r="V148" s="1172"/>
      <c r="W148" s="255"/>
      <c r="X148" s="461"/>
      <c r="Y148" s="461"/>
      <c r="Z148" s="461"/>
      <c r="AA148" s="281"/>
      <c r="AB148" s="1041"/>
      <c r="AC148" s="255"/>
      <c r="AD148" s="461"/>
      <c r="AE148" s="461"/>
      <c r="AF148" s="461"/>
      <c r="AG148" s="461"/>
      <c r="AH148" s="1047"/>
      <c r="AI148" s="1172"/>
      <c r="AJ148" s="1155"/>
      <c r="AK148" s="1155"/>
      <c r="AL148" s="1083"/>
      <c r="AM148" s="1084"/>
      <c r="AN148" s="1084"/>
      <c r="AO148" s="1084"/>
      <c r="AP148" s="1085"/>
      <c r="AQ148" s="259"/>
      <c r="AR148" s="466"/>
      <c r="AS148" s="283"/>
      <c r="AT148" s="1155"/>
      <c r="AU148" s="1155"/>
      <c r="AV148" s="1155"/>
      <c r="AW148" s="1155"/>
      <c r="AX148" s="1155"/>
      <c r="AY148" s="1155"/>
      <c r="AZ148" s="1155"/>
      <c r="BA148" s="1155"/>
      <c r="BB148" s="1155"/>
      <c r="BC148" s="1155"/>
      <c r="BD148" s="1155"/>
      <c r="BE148" s="1155"/>
      <c r="BF148" s="1155"/>
      <c r="BG148" s="1155"/>
      <c r="BH148" s="1155"/>
      <c r="BI148" s="1155"/>
      <c r="BJ148" s="1155"/>
      <c r="BK148" s="1155"/>
      <c r="BL148" s="1155"/>
      <c r="BM148" s="1155"/>
      <c r="BN148" s="1155"/>
      <c r="BO148" s="1155"/>
      <c r="BP148" s="1155"/>
      <c r="BQ148" s="1155"/>
      <c r="BR148" s="1155"/>
      <c r="BS148" s="1155"/>
    </row>
    <row r="149" spans="5:71" s="474" customFormat="1">
      <c r="E149" s="4108"/>
      <c r="F149" s="431" t="s">
        <v>558</v>
      </c>
      <c r="G149" s="1083"/>
      <c r="H149" s="1084"/>
      <c r="I149" s="1084"/>
      <c r="J149" s="1084"/>
      <c r="K149" s="1085"/>
      <c r="L149" s="255">
        <v>1790641.19</v>
      </c>
      <c r="M149" s="461"/>
      <c r="N149" s="461"/>
      <c r="O149" s="461"/>
      <c r="P149" s="281"/>
      <c r="Q149" s="255"/>
      <c r="R149" s="461"/>
      <c r="S149" s="461"/>
      <c r="T149" s="461"/>
      <c r="U149" s="281"/>
      <c r="V149" s="1172"/>
      <c r="W149" s="255"/>
      <c r="X149" s="461"/>
      <c r="Y149" s="461"/>
      <c r="Z149" s="461"/>
      <c r="AA149" s="281"/>
      <c r="AB149" s="1041"/>
      <c r="AC149" s="255"/>
      <c r="AD149" s="461"/>
      <c r="AE149" s="461"/>
      <c r="AF149" s="461"/>
      <c r="AG149" s="461"/>
      <c r="AH149" s="1047"/>
      <c r="AI149" s="1172"/>
      <c r="AJ149" s="1155"/>
      <c r="AK149" s="1155"/>
      <c r="AL149" s="1083"/>
      <c r="AM149" s="1084"/>
      <c r="AN149" s="1084"/>
      <c r="AO149" s="1084"/>
      <c r="AP149" s="1085"/>
      <c r="AQ149" s="259"/>
      <c r="AR149" s="466"/>
      <c r="AS149" s="283"/>
      <c r="AT149" s="1155"/>
      <c r="AU149" s="1155"/>
      <c r="AV149" s="1155"/>
      <c r="AW149" s="1155"/>
      <c r="AX149" s="1155"/>
      <c r="AY149" s="1155"/>
      <c r="AZ149" s="1155"/>
      <c r="BA149" s="1155"/>
      <c r="BB149" s="1155"/>
      <c r="BC149" s="1155"/>
      <c r="BD149" s="1155"/>
      <c r="BE149" s="1155"/>
      <c r="BF149" s="1155"/>
      <c r="BG149" s="1155"/>
      <c r="BH149" s="1155"/>
      <c r="BI149" s="1155"/>
      <c r="BJ149" s="1155"/>
      <c r="BK149" s="1155"/>
      <c r="BL149" s="1155"/>
      <c r="BM149" s="1155"/>
      <c r="BN149" s="1155"/>
      <c r="BO149" s="1155"/>
      <c r="BP149" s="1155"/>
      <c r="BQ149" s="1155"/>
      <c r="BR149" s="1155"/>
      <c r="BS149" s="1155"/>
    </row>
    <row r="150" spans="5:71" s="474" customFormat="1">
      <c r="E150" s="4108"/>
      <c r="F150" s="431" t="s">
        <v>559</v>
      </c>
      <c r="G150" s="1083"/>
      <c r="H150" s="1084"/>
      <c r="I150" s="1084"/>
      <c r="J150" s="1084"/>
      <c r="K150" s="1085"/>
      <c r="L150" s="255"/>
      <c r="M150" s="461"/>
      <c r="N150" s="461"/>
      <c r="O150" s="461"/>
      <c r="P150" s="281"/>
      <c r="Q150" s="255"/>
      <c r="R150" s="461"/>
      <c r="S150" s="461"/>
      <c r="T150" s="461"/>
      <c r="U150" s="281"/>
      <c r="V150" s="1172"/>
      <c r="W150" s="255"/>
      <c r="X150" s="461"/>
      <c r="Y150" s="461"/>
      <c r="Z150" s="461"/>
      <c r="AA150" s="281"/>
      <c r="AB150" s="1041"/>
      <c r="AC150" s="255"/>
      <c r="AD150" s="461"/>
      <c r="AE150" s="461"/>
      <c r="AF150" s="461"/>
      <c r="AG150" s="461"/>
      <c r="AH150" s="1047"/>
      <c r="AI150" s="1172"/>
      <c r="AJ150" s="1155"/>
      <c r="AK150" s="1155"/>
      <c r="AL150" s="1083"/>
      <c r="AM150" s="1084"/>
      <c r="AN150" s="1084"/>
      <c r="AO150" s="1084"/>
      <c r="AP150" s="1085"/>
      <c r="AQ150" s="259"/>
      <c r="AR150" s="466"/>
      <c r="AS150" s="283"/>
      <c r="AT150" s="1155"/>
      <c r="AU150" s="1155"/>
      <c r="AV150" s="1155"/>
      <c r="AW150" s="1155"/>
      <c r="AX150" s="1155"/>
      <c r="AY150" s="1155"/>
      <c r="AZ150" s="1155"/>
      <c r="BA150" s="1155"/>
      <c r="BB150" s="1155"/>
      <c r="BC150" s="1155"/>
      <c r="BD150" s="1155"/>
      <c r="BE150" s="1155"/>
      <c r="BF150" s="1155"/>
      <c r="BG150" s="1155"/>
      <c r="BH150" s="1155"/>
      <c r="BI150" s="1155"/>
      <c r="BJ150" s="1155"/>
      <c r="BK150" s="1155"/>
      <c r="BL150" s="1155"/>
      <c r="BM150" s="1155"/>
      <c r="BN150" s="1155"/>
      <c r="BO150" s="1155"/>
      <c r="BP150" s="1155"/>
      <c r="BQ150" s="1155"/>
      <c r="BR150" s="1155"/>
      <c r="BS150" s="1155"/>
    </row>
    <row r="151" spans="5:71" s="474" customFormat="1">
      <c r="E151" s="4108"/>
      <c r="F151" s="431" t="s">
        <v>578</v>
      </c>
      <c r="G151" s="1089"/>
      <c r="H151" s="1090"/>
      <c r="I151" s="1090"/>
      <c r="J151" s="1090"/>
      <c r="K151" s="1091"/>
      <c r="L151" s="259"/>
      <c r="M151" s="456"/>
      <c r="N151" s="456"/>
      <c r="O151" s="456"/>
      <c r="P151" s="457"/>
      <c r="Q151" s="207"/>
      <c r="R151" s="456"/>
      <c r="S151" s="456"/>
      <c r="T151" s="456"/>
      <c r="U151" s="457"/>
      <c r="V151" s="1172"/>
      <c r="W151" s="207"/>
      <c r="X151" s="456"/>
      <c r="Y151" s="456"/>
      <c r="Z151" s="456"/>
      <c r="AA151" s="457"/>
      <c r="AB151" s="1041"/>
      <c r="AC151" s="207"/>
      <c r="AD151" s="456"/>
      <c r="AE151" s="456"/>
      <c r="AF151" s="456"/>
      <c r="AG151" s="456"/>
      <c r="AH151" s="1048"/>
      <c r="AI151" s="1172"/>
      <c r="AJ151" s="1155"/>
      <c r="AK151" s="1155"/>
      <c r="AL151" s="1089"/>
      <c r="AM151" s="1090"/>
      <c r="AN151" s="1090"/>
      <c r="AO151" s="1090"/>
      <c r="AP151" s="1091"/>
      <c r="AQ151" s="259"/>
      <c r="AR151" s="456"/>
      <c r="AS151" s="457"/>
      <c r="AT151" s="1155"/>
      <c r="AU151" s="1155"/>
      <c r="AV151" s="1155"/>
      <c r="AW151" s="1155"/>
      <c r="AX151" s="1155"/>
      <c r="AY151" s="1155"/>
      <c r="AZ151" s="1155"/>
      <c r="BA151" s="1155"/>
      <c r="BB151" s="1155"/>
      <c r="BC151" s="1155"/>
      <c r="BD151" s="1155"/>
      <c r="BE151" s="1155"/>
      <c r="BF151" s="1155"/>
      <c r="BG151" s="1155"/>
      <c r="BH151" s="1155"/>
      <c r="BI151" s="1155"/>
      <c r="BJ151" s="1155"/>
      <c r="BK151" s="1155"/>
      <c r="BL151" s="1155"/>
      <c r="BM151" s="1155"/>
      <c r="BN151" s="1155"/>
      <c r="BO151" s="1155"/>
      <c r="BP151" s="1155"/>
      <c r="BQ151" s="1155"/>
      <c r="BR151" s="1155"/>
      <c r="BS151" s="1155"/>
    </row>
    <row r="152" spans="5:71" s="474" customFormat="1">
      <c r="E152" s="4108"/>
      <c r="F152" s="1377" t="s">
        <v>579</v>
      </c>
      <c r="G152" s="1086"/>
      <c r="H152" s="1087"/>
      <c r="I152" s="1087"/>
      <c r="J152" s="1087"/>
      <c r="K152" s="1088"/>
      <c r="L152" s="258">
        <f>SUM(L148:L151)</f>
        <v>1790641.19</v>
      </c>
      <c r="M152" s="465">
        <f t="shared" ref="M152" si="532">SUM(M148:M151)</f>
        <v>0</v>
      </c>
      <c r="N152" s="465">
        <f t="shared" ref="N152" si="533">SUM(N148:N151)</f>
        <v>0</v>
      </c>
      <c r="O152" s="465">
        <f t="shared" ref="O152" si="534">SUM(O148:O151)</f>
        <v>0</v>
      </c>
      <c r="P152" s="282">
        <f t="shared" ref="P152" si="535">SUM(P148:P151)</f>
        <v>0</v>
      </c>
      <c r="Q152" s="258">
        <f t="shared" ref="Q152" si="536">SUM(Q148:Q151)</f>
        <v>0</v>
      </c>
      <c r="R152" s="465">
        <f t="shared" ref="R152" si="537">SUM(R148:R151)</f>
        <v>0</v>
      </c>
      <c r="S152" s="465">
        <f t="shared" ref="S152" si="538">SUM(S148:S151)</f>
        <v>0</v>
      </c>
      <c r="T152" s="465">
        <f t="shared" ref="T152" si="539">SUM(T148:T151)</f>
        <v>0</v>
      </c>
      <c r="U152" s="282">
        <f t="shared" ref="U152" si="540">SUM(U148:U151)</f>
        <v>0</v>
      </c>
      <c r="V152" s="1172"/>
      <c r="W152" s="258">
        <f t="shared" ref="W152" si="541">SUM(W148:W151)</f>
        <v>0</v>
      </c>
      <c r="X152" s="465">
        <f t="shared" ref="X152" si="542">SUM(X148:X151)</f>
        <v>0</v>
      </c>
      <c r="Y152" s="465">
        <f t="shared" ref="Y152" si="543">SUM(Y148:Y151)</f>
        <v>0</v>
      </c>
      <c r="Z152" s="465">
        <f t="shared" ref="Z152" si="544">SUM(Z148:Z151)</f>
        <v>0</v>
      </c>
      <c r="AA152" s="282">
        <f t="shared" ref="AA152" si="545">SUM(AA148:AA151)</f>
        <v>0</v>
      </c>
      <c r="AB152" s="992"/>
      <c r="AC152" s="258">
        <f t="shared" ref="AC152" si="546">SUM(AC148:AC151)</f>
        <v>0</v>
      </c>
      <c r="AD152" s="465">
        <f t="shared" ref="AD152" si="547">SUM(AD148:AD151)</f>
        <v>0</v>
      </c>
      <c r="AE152" s="465">
        <f t="shared" ref="AE152" si="548">SUM(AE148:AE151)</f>
        <v>0</v>
      </c>
      <c r="AF152" s="465">
        <f t="shared" ref="AF152" si="549">SUM(AF148:AF151)</f>
        <v>0</v>
      </c>
      <c r="AG152" s="465">
        <f t="shared" ref="AG152" si="550">SUM(AG148:AG151)</f>
        <v>0</v>
      </c>
      <c r="AH152" s="1049"/>
      <c r="AI152" s="1172"/>
      <c r="AJ152" s="1155"/>
      <c r="AK152" s="1155"/>
      <c r="AL152" s="1086"/>
      <c r="AM152" s="1087"/>
      <c r="AN152" s="1087"/>
      <c r="AO152" s="1087"/>
      <c r="AP152" s="1088"/>
      <c r="AQ152" s="258">
        <f>SUM(AQ149:AQ151)</f>
        <v>0</v>
      </c>
      <c r="AR152" s="465">
        <f t="shared" ref="AR152" si="551">SUM(AR149:AR151)</f>
        <v>0</v>
      </c>
      <c r="AS152" s="282"/>
      <c r="AT152" s="1155"/>
      <c r="AU152" s="1155"/>
      <c r="AV152" s="1155"/>
      <c r="AW152" s="1155"/>
      <c r="AX152" s="1155"/>
      <c r="AY152" s="1155"/>
      <c r="AZ152" s="1155"/>
      <c r="BA152" s="1155"/>
      <c r="BB152" s="1155"/>
      <c r="BC152" s="1155"/>
      <c r="BD152" s="1155"/>
      <c r="BE152" s="1155"/>
      <c r="BF152" s="1155"/>
      <c r="BG152" s="1155"/>
      <c r="BH152" s="1155"/>
      <c r="BI152" s="1155"/>
      <c r="BJ152" s="1155"/>
      <c r="BK152" s="1155"/>
      <c r="BL152" s="1155"/>
      <c r="BM152" s="1155"/>
      <c r="BN152" s="1155"/>
      <c r="BO152" s="1155"/>
      <c r="BP152" s="1155"/>
      <c r="BQ152" s="1155"/>
      <c r="BR152" s="1155"/>
      <c r="BS152" s="1155"/>
    </row>
    <row r="153" spans="5:71" s="474" customFormat="1" ht="13.5" thickBot="1">
      <c r="E153" s="4108"/>
      <c r="F153" s="1035" t="s">
        <v>583</v>
      </c>
      <c r="G153" s="255"/>
      <c r="H153" s="461"/>
      <c r="I153" s="461"/>
      <c r="J153" s="461"/>
      <c r="K153" s="281"/>
      <c r="L153" s="207"/>
      <c r="M153" s="456"/>
      <c r="N153" s="456"/>
      <c r="O153" s="456"/>
      <c r="P153" s="457"/>
      <c r="Q153" s="207"/>
      <c r="R153" s="456"/>
      <c r="S153" s="456"/>
      <c r="T153" s="456"/>
      <c r="U153" s="457"/>
      <c r="V153" s="1172"/>
      <c r="W153" s="207"/>
      <c r="X153" s="461"/>
      <c r="Y153" s="461"/>
      <c r="Z153" s="461"/>
      <c r="AA153" s="281"/>
      <c r="AB153" s="1041"/>
      <c r="AC153" s="207"/>
      <c r="AD153" s="456"/>
      <c r="AE153" s="456"/>
      <c r="AF153" s="456"/>
      <c r="AG153" s="456"/>
      <c r="AH153" s="1048"/>
      <c r="AI153" s="1172"/>
      <c r="AJ153" s="1155"/>
      <c r="AK153" s="1155"/>
      <c r="AL153" s="259"/>
      <c r="AM153" s="466"/>
      <c r="AN153" s="466"/>
      <c r="AO153" s="466"/>
      <c r="AP153" s="283"/>
      <c r="AQ153" s="207"/>
      <c r="AR153" s="456"/>
      <c r="AS153" s="457"/>
      <c r="AT153" s="1155"/>
      <c r="AU153" s="1155"/>
      <c r="AV153" s="1155"/>
      <c r="AW153" s="1155"/>
      <c r="AX153" s="1155"/>
      <c r="AY153" s="1155"/>
      <c r="AZ153" s="1155"/>
      <c r="BA153" s="1155"/>
      <c r="BB153" s="1155"/>
      <c r="BC153" s="1155"/>
      <c r="BD153" s="1155"/>
      <c r="BE153" s="1155"/>
      <c r="BF153" s="1155"/>
      <c r="BG153" s="1155"/>
      <c r="BH153" s="1155"/>
      <c r="BI153" s="1155"/>
      <c r="BJ153" s="1155"/>
      <c r="BK153" s="1155"/>
      <c r="BL153" s="1155"/>
      <c r="BM153" s="1155"/>
      <c r="BN153" s="1155"/>
      <c r="BO153" s="1155"/>
      <c r="BP153" s="1155"/>
      <c r="BQ153" s="1155"/>
      <c r="BR153" s="1155"/>
      <c r="BS153" s="1155"/>
    </row>
    <row r="154" spans="5:71" s="474" customFormat="1" ht="13.5" thickBot="1">
      <c r="E154" s="4108"/>
      <c r="F154" s="1380" t="s">
        <v>581</v>
      </c>
      <c r="G154" s="1599"/>
      <c r="H154" s="1600"/>
      <c r="I154" s="1600"/>
      <c r="J154" s="1600"/>
      <c r="K154" s="1601"/>
      <c r="L154" s="1599"/>
      <c r="M154" s="1600"/>
      <c r="N154" s="1600"/>
      <c r="O154" s="1600"/>
      <c r="P154" s="1601"/>
      <c r="Q154" s="1599"/>
      <c r="R154" s="1600"/>
      <c r="S154" s="1600"/>
      <c r="T154" s="1600"/>
      <c r="U154" s="1601"/>
      <c r="V154" s="1172"/>
      <c r="W154" s="1614"/>
      <c r="X154" s="1615"/>
      <c r="Y154" s="1615"/>
      <c r="Z154" s="1615"/>
      <c r="AA154" s="1615"/>
      <c r="AB154" s="1615"/>
      <c r="AC154" s="1615"/>
      <c r="AD154" s="1615"/>
      <c r="AE154" s="1615"/>
      <c r="AF154" s="1615"/>
      <c r="AG154" s="1615"/>
      <c r="AH154" s="1616"/>
      <c r="AI154" s="1172"/>
      <c r="AJ154" s="1155"/>
      <c r="AK154" s="1155"/>
      <c r="AL154" s="259"/>
      <c r="AM154" s="466"/>
      <c r="AN154" s="466"/>
      <c r="AO154" s="466"/>
      <c r="AP154" s="283"/>
      <c r="AQ154" s="259"/>
      <c r="AR154" s="466"/>
      <c r="AS154" s="283"/>
      <c r="AT154" s="1155"/>
      <c r="AU154" s="1155"/>
      <c r="AV154" s="1155"/>
      <c r="AW154" s="1155"/>
      <c r="AX154" s="1155"/>
      <c r="AY154" s="1155"/>
      <c r="AZ154" s="1155"/>
      <c r="BA154" s="1155"/>
      <c r="BB154" s="1155"/>
      <c r="BC154" s="1155"/>
      <c r="BD154" s="1155"/>
      <c r="BE154" s="1155"/>
      <c r="BF154" s="1155"/>
      <c r="BG154" s="1155"/>
      <c r="BH154" s="1155"/>
      <c r="BI154" s="1155"/>
      <c r="BJ154" s="1155"/>
      <c r="BK154" s="1155"/>
      <c r="BL154" s="1155"/>
      <c r="BM154" s="1155"/>
      <c r="BN154" s="1155"/>
      <c r="BO154" s="1155"/>
      <c r="BP154" s="1155"/>
      <c r="BQ154" s="1155"/>
      <c r="BR154" s="1155"/>
      <c r="BS154" s="1155"/>
    </row>
    <row r="155" spans="5:71" s="474" customFormat="1">
      <c r="E155" s="4108"/>
      <c r="F155" s="1378" t="s">
        <v>584</v>
      </c>
      <c r="G155" s="1050">
        <v>0</v>
      </c>
      <c r="H155" s="1051">
        <v>0</v>
      </c>
      <c r="I155" s="1051">
        <v>0</v>
      </c>
      <c r="J155" s="1051">
        <v>0</v>
      </c>
      <c r="K155" s="1052">
        <v>0</v>
      </c>
      <c r="L155" s="1050">
        <f>SUM(L152:L154)</f>
        <v>1790641.19</v>
      </c>
      <c r="M155" s="1051">
        <f t="shared" ref="M155" si="552">SUM(M152:M154)</f>
        <v>0</v>
      </c>
      <c r="N155" s="1051">
        <f t="shared" ref="N155" si="553">SUM(N152:N154)</f>
        <v>0</v>
      </c>
      <c r="O155" s="1051">
        <f t="shared" ref="O155" si="554">SUM(O152:O154)</f>
        <v>0</v>
      </c>
      <c r="P155" s="1052">
        <f t="shared" ref="P155" si="555">SUM(P152:P154)</f>
        <v>0</v>
      </c>
      <c r="Q155" s="1050">
        <f t="shared" ref="Q155" si="556">SUM(Q152:Q154)</f>
        <v>0</v>
      </c>
      <c r="R155" s="1051">
        <f t="shared" ref="R155" si="557">SUM(R152:R154)</f>
        <v>0</v>
      </c>
      <c r="S155" s="1051">
        <f t="shared" ref="S155" si="558">SUM(S152:S154)</f>
        <v>0</v>
      </c>
      <c r="T155" s="1051">
        <f t="shared" ref="T155" si="559">SUM(T152:T154)</f>
        <v>0</v>
      </c>
      <c r="U155" s="1052">
        <f t="shared" ref="U155" si="560">SUM(U152:U154)</f>
        <v>0</v>
      </c>
      <c r="V155" s="1172"/>
      <c r="W155" s="1050">
        <f t="shared" ref="W155" si="561">SUM(W152:W154)</f>
        <v>0</v>
      </c>
      <c r="X155" s="1051">
        <f t="shared" ref="X155" si="562">SUM(X152:X154)</f>
        <v>0</v>
      </c>
      <c r="Y155" s="1051">
        <f t="shared" ref="Y155" si="563">SUM(Y152:Y154)</f>
        <v>0</v>
      </c>
      <c r="Z155" s="1051">
        <f t="shared" ref="Z155" si="564">SUM(Z152:Z154)</f>
        <v>0</v>
      </c>
      <c r="AA155" s="1052">
        <f t="shared" ref="AA155" si="565">SUM(AA152:AA154)</f>
        <v>0</v>
      </c>
      <c r="AB155" s="1053"/>
      <c r="AC155" s="1050">
        <f t="shared" ref="AC155" si="566">SUM(AC152:AC154)</f>
        <v>0</v>
      </c>
      <c r="AD155" s="1051">
        <f t="shared" ref="AD155" si="567">SUM(AD152:AD154)</f>
        <v>0</v>
      </c>
      <c r="AE155" s="1051">
        <f t="shared" ref="AE155" si="568">SUM(AE152:AE154)</f>
        <v>0</v>
      </c>
      <c r="AF155" s="1051">
        <f t="shared" ref="AF155" si="569">SUM(AF152:AF154)</f>
        <v>0</v>
      </c>
      <c r="AG155" s="1051">
        <f t="shared" ref="AG155" si="570">SUM(AG152:AG154)</f>
        <v>0</v>
      </c>
      <c r="AH155" s="1054"/>
      <c r="AI155" s="1172"/>
      <c r="AJ155" s="130"/>
      <c r="AK155" s="130"/>
      <c r="AL155" s="1050">
        <f t="shared" ref="AL155:AR155" si="571">SUM(AL153:AL154)</f>
        <v>0</v>
      </c>
      <c r="AM155" s="1051">
        <f t="shared" si="571"/>
        <v>0</v>
      </c>
      <c r="AN155" s="1051">
        <f t="shared" si="571"/>
        <v>0</v>
      </c>
      <c r="AO155" s="1051">
        <f t="shared" si="571"/>
        <v>0</v>
      </c>
      <c r="AP155" s="1052">
        <f t="shared" si="571"/>
        <v>0</v>
      </c>
      <c r="AQ155" s="1050">
        <f t="shared" si="571"/>
        <v>0</v>
      </c>
      <c r="AR155" s="1051">
        <f t="shared" si="571"/>
        <v>0</v>
      </c>
      <c r="AS155" s="1052"/>
      <c r="AT155" s="130"/>
      <c r="AU155" s="130"/>
      <c r="AV155" s="130"/>
      <c r="AW155" s="130"/>
      <c r="AX155" s="130"/>
      <c r="AY155" s="130"/>
      <c r="AZ155" s="130"/>
      <c r="BA155" s="130"/>
      <c r="BB155" s="130"/>
      <c r="BC155" s="130"/>
      <c r="BD155" s="130"/>
      <c r="BE155" s="130"/>
      <c r="BF155" s="130"/>
      <c r="BG155" s="130"/>
      <c r="BH155" s="130"/>
      <c r="BI155" s="130"/>
      <c r="BJ155" s="130"/>
      <c r="BK155" s="130"/>
      <c r="BL155" s="130"/>
      <c r="BM155" s="130"/>
      <c r="BN155" s="130"/>
      <c r="BO155" s="130"/>
      <c r="BP155" s="130"/>
      <c r="BQ155" s="130"/>
      <c r="BR155" s="130"/>
      <c r="BS155" s="1155"/>
    </row>
    <row r="156" spans="5:71" s="474" customFormat="1">
      <c r="E156" s="4108"/>
      <c r="F156" s="1389" t="s">
        <v>35</v>
      </c>
      <c r="G156" s="255"/>
      <c r="H156" s="461"/>
      <c r="I156" s="461"/>
      <c r="J156" s="461"/>
      <c r="K156" s="281"/>
      <c r="L156" s="255"/>
      <c r="M156" s="461"/>
      <c r="N156" s="461"/>
      <c r="O156" s="461"/>
      <c r="P156" s="281"/>
      <c r="Q156" s="255"/>
      <c r="R156" s="461"/>
      <c r="S156" s="461"/>
      <c r="T156" s="461"/>
      <c r="U156" s="281"/>
      <c r="V156" s="1172"/>
      <c r="W156" s="255"/>
      <c r="X156" s="461"/>
      <c r="Y156" s="461"/>
      <c r="Z156" s="461"/>
      <c r="AA156" s="281"/>
      <c r="AB156" s="1004"/>
      <c r="AC156" s="255"/>
      <c r="AD156" s="461"/>
      <c r="AE156" s="461"/>
      <c r="AF156" s="461"/>
      <c r="AG156" s="461"/>
      <c r="AH156" s="1047"/>
      <c r="AI156" s="1172"/>
      <c r="AJ156" s="1155"/>
      <c r="AK156" s="1155"/>
      <c r="AL156" s="259"/>
      <c r="AM156" s="466"/>
      <c r="AN156" s="466"/>
      <c r="AO156" s="466"/>
      <c r="AP156" s="283"/>
      <c r="AQ156" s="259"/>
      <c r="AR156" s="466"/>
      <c r="AS156" s="283"/>
      <c r="AT156" s="1155"/>
      <c r="AU156" s="1155"/>
      <c r="AV156" s="1155"/>
      <c r="AW156" s="1155"/>
      <c r="AX156" s="1155"/>
      <c r="AY156" s="1155"/>
      <c r="AZ156" s="1155"/>
      <c r="BA156" s="1155"/>
      <c r="BB156" s="1155"/>
      <c r="BC156" s="1155"/>
      <c r="BD156" s="1155"/>
      <c r="BE156" s="1155"/>
      <c r="BF156" s="1155"/>
      <c r="BG156" s="1155"/>
      <c r="BH156" s="1155"/>
      <c r="BI156" s="1155"/>
      <c r="BJ156" s="1155"/>
      <c r="BK156" s="1155"/>
      <c r="BL156" s="1155"/>
      <c r="BM156" s="1155"/>
      <c r="BN156" s="1155"/>
      <c r="BO156" s="1155"/>
      <c r="BP156" s="1155"/>
      <c r="BQ156" s="1155"/>
      <c r="BR156" s="1155"/>
      <c r="BS156" s="1155"/>
    </row>
    <row r="157" spans="5:71" s="474" customFormat="1" ht="13.5" thickBot="1">
      <c r="E157" s="4109"/>
      <c r="F157" s="1379" t="s">
        <v>585</v>
      </c>
      <c r="G157" s="1094">
        <v>0</v>
      </c>
      <c r="H157" s="1095">
        <v>0</v>
      </c>
      <c r="I157" s="1095">
        <v>0</v>
      </c>
      <c r="J157" s="1095">
        <v>0</v>
      </c>
      <c r="K157" s="1096">
        <v>0</v>
      </c>
      <c r="L157" s="1094">
        <f>L155-L156</f>
        <v>1790641.19</v>
      </c>
      <c r="M157" s="1095">
        <f t="shared" ref="M157" si="572">M155-M156</f>
        <v>0</v>
      </c>
      <c r="N157" s="1095">
        <f t="shared" ref="N157" si="573">N155-N156</f>
        <v>0</v>
      </c>
      <c r="O157" s="1095">
        <f t="shared" ref="O157" si="574">O155-O156</f>
        <v>0</v>
      </c>
      <c r="P157" s="1096">
        <f t="shared" ref="P157" si="575">P155-P156</f>
        <v>0</v>
      </c>
      <c r="Q157" s="1567">
        <f t="shared" ref="Q157" si="576">Q155-Q156</f>
        <v>0</v>
      </c>
      <c r="R157" s="1056">
        <f t="shared" ref="R157" si="577">R155-R156</f>
        <v>0</v>
      </c>
      <c r="S157" s="1056">
        <f t="shared" ref="S157" si="578">S155-S156</f>
        <v>0</v>
      </c>
      <c r="T157" s="1056">
        <f t="shared" ref="T157" si="579">T155-T156</f>
        <v>0</v>
      </c>
      <c r="U157" s="1057">
        <f t="shared" ref="U157" si="580">U155-U156</f>
        <v>0</v>
      </c>
      <c r="V157" s="1172"/>
      <c r="W157" s="1055">
        <f t="shared" ref="W157" si="581">W155-W156</f>
        <v>0</v>
      </c>
      <c r="X157" s="1056">
        <f t="shared" ref="X157" si="582">X155-X156</f>
        <v>0</v>
      </c>
      <c r="Y157" s="1056">
        <f t="shared" ref="Y157" si="583">Y155-Y156</f>
        <v>0</v>
      </c>
      <c r="Z157" s="1056">
        <f t="shared" ref="Z157" si="584">Z155-Z156</f>
        <v>0</v>
      </c>
      <c r="AA157" s="1057">
        <f t="shared" ref="AA157" si="585">AA155-AA156</f>
        <v>0</v>
      </c>
      <c r="AB157" s="1075"/>
      <c r="AC157" s="1055">
        <f t="shared" ref="AC157" si="586">AC155-AC156</f>
        <v>0</v>
      </c>
      <c r="AD157" s="1056">
        <f t="shared" ref="AD157" si="587">AD155-AD156</f>
        <v>0</v>
      </c>
      <c r="AE157" s="1056">
        <f t="shared" ref="AE157" si="588">AE155-AE156</f>
        <v>0</v>
      </c>
      <c r="AF157" s="1056">
        <f t="shared" ref="AF157" si="589">AF155-AF156</f>
        <v>0</v>
      </c>
      <c r="AG157" s="1056">
        <f t="shared" ref="AG157" si="590">AG155-AG156</f>
        <v>0</v>
      </c>
      <c r="AH157" s="1059"/>
      <c r="AI157" s="1172"/>
      <c r="AJ157" s="1155"/>
      <c r="AK157" s="1155"/>
      <c r="AL157" s="1094">
        <f>AL155-AL156</f>
        <v>0</v>
      </c>
      <c r="AM157" s="1095">
        <f t="shared" ref="AM157:AR157" si="591">AM155-AM156</f>
        <v>0</v>
      </c>
      <c r="AN157" s="1095">
        <f t="shared" si="591"/>
        <v>0</v>
      </c>
      <c r="AO157" s="1095">
        <f t="shared" si="591"/>
        <v>0</v>
      </c>
      <c r="AP157" s="1096">
        <f t="shared" si="591"/>
        <v>0</v>
      </c>
      <c r="AQ157" s="1094">
        <f t="shared" si="591"/>
        <v>0</v>
      </c>
      <c r="AR157" s="1095">
        <f t="shared" si="591"/>
        <v>0</v>
      </c>
      <c r="AS157" s="1096"/>
      <c r="AT157" s="1155"/>
      <c r="AU157" s="1155"/>
      <c r="AV157" s="1155"/>
      <c r="AW157" s="1155"/>
      <c r="AX157" s="1155"/>
      <c r="AY157" s="1155"/>
      <c r="AZ157" s="1155"/>
      <c r="BA157" s="1155"/>
      <c r="BB157" s="1155"/>
      <c r="BC157" s="1155"/>
      <c r="BD157" s="1155"/>
      <c r="BE157" s="1155"/>
      <c r="BF157" s="1155"/>
      <c r="BG157" s="1155"/>
      <c r="BH157" s="1155"/>
      <c r="BI157" s="1155"/>
      <c r="BJ157" s="1155"/>
      <c r="BK157" s="1155"/>
      <c r="BL157" s="1155"/>
      <c r="BM157" s="1155"/>
      <c r="BN157" s="1155"/>
      <c r="BO157" s="1155"/>
      <c r="BP157" s="1155"/>
      <c r="BQ157" s="1155"/>
      <c r="BR157" s="1155"/>
      <c r="BS157" s="1155"/>
    </row>
    <row r="158" spans="5:71" s="474" customFormat="1" ht="12.75" customHeight="1">
      <c r="E158" s="4107" t="s">
        <v>1485</v>
      </c>
      <c r="F158" s="433" t="s">
        <v>111</v>
      </c>
      <c r="G158" s="1077"/>
      <c r="H158" s="1078"/>
      <c r="I158" s="1078"/>
      <c r="J158" s="1078"/>
      <c r="K158" s="1079"/>
      <c r="L158" s="1566"/>
      <c r="M158" s="421"/>
      <c r="N158" s="421"/>
      <c r="O158" s="421"/>
      <c r="P158" s="1044"/>
      <c r="Q158" s="1080"/>
      <c r="R158" s="1081"/>
      <c r="S158" s="1081"/>
      <c r="T158" s="1081"/>
      <c r="U158" s="1082"/>
      <c r="V158" s="1172"/>
      <c r="W158" s="1043"/>
      <c r="X158" s="421"/>
      <c r="Y158" s="421"/>
      <c r="Z158" s="421"/>
      <c r="AA158" s="1044"/>
      <c r="AB158" s="1045"/>
      <c r="AC158" s="1043"/>
      <c r="AD158" s="421"/>
      <c r="AE158" s="421"/>
      <c r="AF158" s="421"/>
      <c r="AG158" s="421"/>
      <c r="AH158" s="1046"/>
      <c r="AI158" s="1172"/>
      <c r="AJ158" s="1155"/>
      <c r="AK158" s="1155"/>
      <c r="AL158" s="1077"/>
      <c r="AM158" s="1078"/>
      <c r="AN158" s="1078"/>
      <c r="AO158" s="1078"/>
      <c r="AP158" s="1079"/>
      <c r="AQ158" s="1566"/>
      <c r="AR158" s="421"/>
      <c r="AS158" s="1044"/>
      <c r="AT158" s="1155"/>
      <c r="AU158" s="1155"/>
      <c r="AV158" s="1155"/>
      <c r="AW158" s="1155"/>
      <c r="AX158" s="1155"/>
      <c r="AY158" s="1155"/>
      <c r="AZ158" s="1155"/>
      <c r="BA158" s="1155"/>
      <c r="BB158" s="1155"/>
      <c r="BC158" s="1155"/>
      <c r="BD158" s="1155"/>
      <c r="BE158" s="1155"/>
      <c r="BF158" s="1155"/>
      <c r="BG158" s="1155"/>
      <c r="BH158" s="1155"/>
      <c r="BI158" s="1155"/>
      <c r="BJ158" s="1155"/>
      <c r="BK158" s="1155"/>
      <c r="BL158" s="1155"/>
      <c r="BM158" s="1155"/>
      <c r="BN158" s="1155"/>
      <c r="BO158" s="1155"/>
      <c r="BP158" s="1155"/>
      <c r="BQ158" s="1155"/>
      <c r="BR158" s="1155"/>
      <c r="BS158" s="1155"/>
    </row>
    <row r="159" spans="5:71" s="474" customFormat="1" ht="12.75" customHeight="1">
      <c r="E159" s="4108"/>
      <c r="F159" s="1374" t="s">
        <v>588</v>
      </c>
      <c r="G159" s="1083"/>
      <c r="H159" s="1084"/>
      <c r="I159" s="1084"/>
      <c r="J159" s="1084"/>
      <c r="K159" s="1085"/>
      <c r="L159" s="255">
        <v>2150</v>
      </c>
      <c r="M159" s="461"/>
      <c r="N159" s="461"/>
      <c r="O159" s="461"/>
      <c r="P159" s="281"/>
      <c r="Q159" s="956"/>
      <c r="R159" s="461"/>
      <c r="S159" s="461"/>
      <c r="T159" s="461"/>
      <c r="U159" s="281"/>
      <c r="V159" s="1172"/>
      <c r="W159" s="255"/>
      <c r="X159" s="461"/>
      <c r="Y159" s="461"/>
      <c r="Z159" s="461"/>
      <c r="AA159" s="281"/>
      <c r="AB159" s="1041"/>
      <c r="AC159" s="255"/>
      <c r="AD159" s="461"/>
      <c r="AE159" s="461"/>
      <c r="AF159" s="461"/>
      <c r="AG159" s="461"/>
      <c r="AH159" s="1047"/>
      <c r="AI159" s="1172"/>
      <c r="AJ159" s="1155"/>
      <c r="AK159" s="1155"/>
      <c r="AL159" s="1083"/>
      <c r="AM159" s="1084"/>
      <c r="AN159" s="1084"/>
      <c r="AO159" s="1084"/>
      <c r="AP159" s="1085"/>
      <c r="AQ159" s="259"/>
      <c r="AR159" s="466"/>
      <c r="AS159" s="283"/>
      <c r="AT159" s="1155"/>
      <c r="AU159" s="1155"/>
      <c r="AV159" s="1155"/>
      <c r="AW159" s="1155"/>
      <c r="AX159" s="1155"/>
      <c r="AY159" s="1155"/>
      <c r="AZ159" s="1155"/>
      <c r="BA159" s="1155"/>
      <c r="BB159" s="1155"/>
      <c r="BC159" s="1155"/>
      <c r="BD159" s="1155"/>
      <c r="BE159" s="1155"/>
      <c r="BF159" s="1155"/>
      <c r="BG159" s="1155"/>
      <c r="BH159" s="1155"/>
      <c r="BI159" s="1155"/>
      <c r="BJ159" s="1155"/>
      <c r="BK159" s="1155"/>
      <c r="BL159" s="1155"/>
      <c r="BM159" s="1155"/>
      <c r="BN159" s="1155"/>
      <c r="BO159" s="1155"/>
      <c r="BP159" s="1155"/>
      <c r="BQ159" s="1155"/>
      <c r="BR159" s="1155"/>
      <c r="BS159" s="1155"/>
    </row>
    <row r="160" spans="5:71" s="474" customFormat="1" ht="12.75" customHeight="1">
      <c r="E160" s="4108"/>
      <c r="F160" s="1374" t="s">
        <v>589</v>
      </c>
      <c r="G160" s="1083"/>
      <c r="H160" s="1084"/>
      <c r="I160" s="1084"/>
      <c r="J160" s="1084"/>
      <c r="K160" s="1085"/>
      <c r="L160" s="255">
        <v>0</v>
      </c>
      <c r="M160" s="461"/>
      <c r="N160" s="461"/>
      <c r="O160" s="461"/>
      <c r="P160" s="281"/>
      <c r="Q160" s="956"/>
      <c r="R160" s="461"/>
      <c r="S160" s="461"/>
      <c r="T160" s="461"/>
      <c r="U160" s="281"/>
      <c r="V160" s="1172"/>
      <c r="W160" s="255"/>
      <c r="X160" s="461"/>
      <c r="Y160" s="461"/>
      <c r="Z160" s="461"/>
      <c r="AA160" s="281"/>
      <c r="AB160" s="1041"/>
      <c r="AC160" s="255"/>
      <c r="AD160" s="461"/>
      <c r="AE160" s="461"/>
      <c r="AF160" s="461"/>
      <c r="AG160" s="461"/>
      <c r="AH160" s="1047"/>
      <c r="AI160" s="1172"/>
      <c r="AJ160" s="1155"/>
      <c r="AK160" s="1155"/>
      <c r="AL160" s="1083"/>
      <c r="AM160" s="1084"/>
      <c r="AN160" s="1084"/>
      <c r="AO160" s="1084"/>
      <c r="AP160" s="1085"/>
      <c r="AQ160" s="259"/>
      <c r="AR160" s="466"/>
      <c r="AS160" s="283"/>
      <c r="AT160" s="1155"/>
      <c r="AU160" s="1155"/>
      <c r="AV160" s="1155"/>
      <c r="AW160" s="1155"/>
      <c r="AX160" s="1155"/>
      <c r="AY160" s="1155"/>
      <c r="AZ160" s="1155"/>
      <c r="BA160" s="1155"/>
      <c r="BB160" s="1155"/>
      <c r="BC160" s="1155"/>
      <c r="BD160" s="1155"/>
      <c r="BE160" s="1155"/>
      <c r="BF160" s="1155"/>
      <c r="BG160" s="1155"/>
      <c r="BH160" s="1155"/>
      <c r="BI160" s="1155"/>
      <c r="BJ160" s="1155"/>
      <c r="BK160" s="1155"/>
      <c r="BL160" s="1155"/>
      <c r="BM160" s="1155"/>
      <c r="BN160" s="1155"/>
      <c r="BO160" s="1155"/>
      <c r="BP160" s="1155"/>
      <c r="BQ160" s="1155"/>
      <c r="BR160" s="1155"/>
      <c r="BS160" s="1155"/>
    </row>
    <row r="161" spans="5:71" s="474" customFormat="1" ht="12.75" customHeight="1">
      <c r="E161" s="4108"/>
      <c r="F161" s="1374" t="s">
        <v>590</v>
      </c>
      <c r="G161" s="1083"/>
      <c r="H161" s="1084"/>
      <c r="I161" s="1084"/>
      <c r="J161" s="1084"/>
      <c r="K161" s="1085"/>
      <c r="L161" s="255"/>
      <c r="M161" s="461"/>
      <c r="N161" s="461"/>
      <c r="O161" s="461"/>
      <c r="P161" s="281"/>
      <c r="Q161" s="956"/>
      <c r="R161" s="461"/>
      <c r="S161" s="461"/>
      <c r="T161" s="461"/>
      <c r="U161" s="281"/>
      <c r="V161" s="1172"/>
      <c r="W161" s="255"/>
      <c r="X161" s="461"/>
      <c r="Y161" s="461"/>
      <c r="Z161" s="461"/>
      <c r="AA161" s="281"/>
      <c r="AB161" s="1041"/>
      <c r="AC161" s="255"/>
      <c r="AD161" s="461"/>
      <c r="AE161" s="461"/>
      <c r="AF161" s="461"/>
      <c r="AG161" s="461"/>
      <c r="AH161" s="1047"/>
      <c r="AI161" s="1172"/>
      <c r="AJ161" s="1155"/>
      <c r="AK161" s="1155"/>
      <c r="AL161" s="1083"/>
      <c r="AM161" s="1084"/>
      <c r="AN161" s="1084"/>
      <c r="AO161" s="1084"/>
      <c r="AP161" s="1085"/>
      <c r="AQ161" s="259"/>
      <c r="AR161" s="466"/>
      <c r="AS161" s="283"/>
      <c r="AT161" s="1155"/>
      <c r="AU161" s="1155"/>
      <c r="AV161" s="1155"/>
      <c r="AW161" s="1155"/>
      <c r="AX161" s="1155"/>
      <c r="AY161" s="1155"/>
      <c r="AZ161" s="1155"/>
      <c r="BA161" s="1155"/>
      <c r="BB161" s="1155"/>
      <c r="BC161" s="1155"/>
      <c r="BD161" s="1155"/>
      <c r="BE161" s="1155"/>
      <c r="BF161" s="1155"/>
      <c r="BG161" s="1155"/>
      <c r="BH161" s="1155"/>
      <c r="BI161" s="1155"/>
      <c r="BJ161" s="1155"/>
      <c r="BK161" s="1155"/>
      <c r="BL161" s="1155"/>
      <c r="BM161" s="1155"/>
      <c r="BN161" s="1155"/>
      <c r="BO161" s="1155"/>
      <c r="BP161" s="1155"/>
      <c r="BQ161" s="1155"/>
      <c r="BR161" s="1155"/>
      <c r="BS161" s="1155"/>
    </row>
    <row r="162" spans="5:71" s="474" customFormat="1" ht="12.75" customHeight="1">
      <c r="E162" s="4108"/>
      <c r="F162" s="1374" t="s">
        <v>591</v>
      </c>
      <c r="G162" s="1083"/>
      <c r="H162" s="1084"/>
      <c r="I162" s="1084"/>
      <c r="J162" s="1084"/>
      <c r="K162" s="1085"/>
      <c r="L162" s="255"/>
      <c r="M162" s="461"/>
      <c r="N162" s="461"/>
      <c r="O162" s="461"/>
      <c r="P162" s="281"/>
      <c r="Q162" s="956"/>
      <c r="R162" s="461"/>
      <c r="S162" s="461"/>
      <c r="T162" s="461"/>
      <c r="U162" s="281"/>
      <c r="V162" s="1172"/>
      <c r="W162" s="255"/>
      <c r="X162" s="461"/>
      <c r="Y162" s="461"/>
      <c r="Z162" s="461"/>
      <c r="AA162" s="281"/>
      <c r="AB162" s="1041"/>
      <c r="AC162" s="255"/>
      <c r="AD162" s="461"/>
      <c r="AE162" s="461"/>
      <c r="AF162" s="461"/>
      <c r="AG162" s="461"/>
      <c r="AH162" s="1047"/>
      <c r="AI162" s="1172"/>
      <c r="AJ162" s="1155"/>
      <c r="AK162" s="1155"/>
      <c r="AL162" s="1083"/>
      <c r="AM162" s="1084"/>
      <c r="AN162" s="1084"/>
      <c r="AO162" s="1084"/>
      <c r="AP162" s="1085"/>
      <c r="AQ162" s="259"/>
      <c r="AR162" s="466"/>
      <c r="AS162" s="283"/>
      <c r="AT162" s="1155"/>
      <c r="AU162" s="1155"/>
      <c r="AV162" s="1155"/>
      <c r="AW162" s="1155"/>
      <c r="AX162" s="1155"/>
      <c r="AY162" s="1155"/>
      <c r="AZ162" s="1155"/>
      <c r="BA162" s="1155"/>
      <c r="BB162" s="1155"/>
      <c r="BC162" s="1155"/>
      <c r="BD162" s="1155"/>
      <c r="BE162" s="1155"/>
      <c r="BF162" s="1155"/>
      <c r="BG162" s="1155"/>
      <c r="BH162" s="1155"/>
      <c r="BI162" s="1155"/>
      <c r="BJ162" s="1155"/>
      <c r="BK162" s="1155"/>
      <c r="BL162" s="1155"/>
      <c r="BM162" s="1155"/>
      <c r="BN162" s="1155"/>
      <c r="BO162" s="1155"/>
      <c r="BP162" s="1155"/>
      <c r="BQ162" s="1155"/>
      <c r="BR162" s="1155"/>
      <c r="BS162" s="1155"/>
    </row>
    <row r="163" spans="5:71" s="474" customFormat="1" ht="12.75" customHeight="1">
      <c r="E163" s="4108"/>
      <c r="F163" s="1374" t="s">
        <v>592</v>
      </c>
      <c r="G163" s="1083"/>
      <c r="H163" s="1084"/>
      <c r="I163" s="1084"/>
      <c r="J163" s="1084"/>
      <c r="K163" s="1085"/>
      <c r="L163" s="207"/>
      <c r="M163" s="456"/>
      <c r="N163" s="456"/>
      <c r="O163" s="456"/>
      <c r="P163" s="457"/>
      <c r="Q163" s="224"/>
      <c r="R163" s="456"/>
      <c r="S163" s="456"/>
      <c r="T163" s="456"/>
      <c r="U163" s="457"/>
      <c r="V163" s="1172"/>
      <c r="W163" s="207">
        <v>0</v>
      </c>
      <c r="X163" s="456">
        <v>0</v>
      </c>
      <c r="Y163" s="456">
        <v>0</v>
      </c>
      <c r="Z163" s="456">
        <v>0</v>
      </c>
      <c r="AA163" s="457">
        <v>0</v>
      </c>
      <c r="AB163" s="1041"/>
      <c r="AC163" s="207">
        <v>0</v>
      </c>
      <c r="AD163" s="456">
        <v>0</v>
      </c>
      <c r="AE163" s="456">
        <v>0</v>
      </c>
      <c r="AF163" s="456">
        <v>0</v>
      </c>
      <c r="AG163" s="456">
        <v>0</v>
      </c>
      <c r="AH163" s="1048"/>
      <c r="AI163" s="1172"/>
      <c r="AJ163" s="1155"/>
      <c r="AK163" s="1155"/>
      <c r="AL163" s="1083"/>
      <c r="AM163" s="1084"/>
      <c r="AN163" s="1084"/>
      <c r="AO163" s="1084"/>
      <c r="AP163" s="1085"/>
      <c r="AQ163" s="207">
        <f>SUM(AQ158:AQ162)</f>
        <v>0</v>
      </c>
      <c r="AR163" s="456">
        <f t="shared" ref="AR163" si="592">SUM(AR158:AR162)</f>
        <v>0</v>
      </c>
      <c r="AS163" s="457"/>
      <c r="AT163" s="1155"/>
      <c r="AU163" s="1155"/>
      <c r="AV163" s="1155"/>
      <c r="AW163" s="1155"/>
      <c r="AX163" s="1155"/>
      <c r="AY163" s="1155"/>
      <c r="AZ163" s="1155"/>
      <c r="BA163" s="1155"/>
      <c r="BB163" s="1155"/>
      <c r="BC163" s="1155"/>
      <c r="BD163" s="1155"/>
      <c r="BE163" s="1155"/>
      <c r="BF163" s="1155"/>
      <c r="BG163" s="1155"/>
      <c r="BH163" s="1155"/>
      <c r="BI163" s="1155"/>
      <c r="BJ163" s="1155"/>
      <c r="BK163" s="1155"/>
      <c r="BL163" s="1155"/>
      <c r="BM163" s="1155"/>
      <c r="BN163" s="1155"/>
      <c r="BO163" s="1155"/>
      <c r="BP163" s="1155"/>
      <c r="BQ163" s="1155"/>
      <c r="BR163" s="1155"/>
      <c r="BS163" s="1155"/>
    </row>
    <row r="164" spans="5:71" s="474" customFormat="1">
      <c r="E164" s="4108"/>
      <c r="F164" s="1375" t="s">
        <v>587</v>
      </c>
      <c r="G164" s="1086"/>
      <c r="H164" s="1087"/>
      <c r="I164" s="1087"/>
      <c r="J164" s="1087"/>
      <c r="K164" s="1088"/>
      <c r="L164" s="258">
        <f>SUM(L159:L163)</f>
        <v>2150</v>
      </c>
      <c r="M164" s="465">
        <f t="shared" ref="M164" si="593">SUM(M159:M163)</f>
        <v>0</v>
      </c>
      <c r="N164" s="465">
        <f t="shared" ref="N164" si="594">SUM(N159:N163)</f>
        <v>0</v>
      </c>
      <c r="O164" s="465">
        <f t="shared" ref="O164" si="595">SUM(O159:O163)</f>
        <v>0</v>
      </c>
      <c r="P164" s="282">
        <f t="shared" ref="P164" si="596">SUM(P159:P163)</f>
        <v>0</v>
      </c>
      <c r="Q164" s="965">
        <f t="shared" ref="Q164" si="597">SUM(Q159:Q163)</f>
        <v>0</v>
      </c>
      <c r="R164" s="465">
        <f t="shared" ref="R164" si="598">SUM(R159:R163)</f>
        <v>0</v>
      </c>
      <c r="S164" s="465">
        <f t="shared" ref="S164" si="599">SUM(S159:S163)</f>
        <v>0</v>
      </c>
      <c r="T164" s="465">
        <f t="shared" ref="T164" si="600">SUM(T159:T163)</f>
        <v>0</v>
      </c>
      <c r="U164" s="282">
        <f t="shared" ref="U164" si="601">SUM(U159:U163)</f>
        <v>0</v>
      </c>
      <c r="V164" s="1172"/>
      <c r="W164" s="258">
        <f t="shared" ref="W164" si="602">SUM(W159:W163)</f>
        <v>0</v>
      </c>
      <c r="X164" s="465">
        <f t="shared" ref="X164" si="603">SUM(X159:X163)</f>
        <v>0</v>
      </c>
      <c r="Y164" s="465">
        <f t="shared" ref="Y164" si="604">SUM(Y159:Y163)</f>
        <v>0</v>
      </c>
      <c r="Z164" s="465">
        <f t="shared" ref="Z164" si="605">SUM(Z159:Z163)</f>
        <v>0</v>
      </c>
      <c r="AA164" s="282">
        <f t="shared" ref="AA164" si="606">SUM(AA159:AA163)</f>
        <v>0</v>
      </c>
      <c r="AB164" s="992"/>
      <c r="AC164" s="258">
        <f t="shared" ref="AC164" si="607">SUM(AC159:AC163)</f>
        <v>0</v>
      </c>
      <c r="AD164" s="465">
        <f t="shared" ref="AD164" si="608">SUM(AD159:AD163)</f>
        <v>0</v>
      </c>
      <c r="AE164" s="465">
        <f t="shared" ref="AE164" si="609">SUM(AE159:AE163)</f>
        <v>0</v>
      </c>
      <c r="AF164" s="465">
        <f t="shared" ref="AF164" si="610">SUM(AF159:AF163)</f>
        <v>0</v>
      </c>
      <c r="AG164" s="465">
        <f t="shared" ref="AG164" si="611">SUM(AG159:AG163)</f>
        <v>0</v>
      </c>
      <c r="AH164" s="1049"/>
      <c r="AI164" s="1172"/>
      <c r="AJ164" s="1155"/>
      <c r="AK164" s="1155"/>
      <c r="AL164" s="1086"/>
      <c r="AM164" s="1087"/>
      <c r="AN164" s="1087"/>
      <c r="AO164" s="1087"/>
      <c r="AP164" s="1088"/>
      <c r="AQ164" s="258"/>
      <c r="AR164" s="465"/>
      <c r="AS164" s="282"/>
      <c r="AT164" s="1155"/>
      <c r="AU164" s="1155"/>
      <c r="AV164" s="1155"/>
      <c r="AW164" s="1155"/>
      <c r="AX164" s="1155"/>
      <c r="AY164" s="1155"/>
      <c r="AZ164" s="1155"/>
      <c r="BA164" s="1155"/>
      <c r="BB164" s="1155"/>
      <c r="BC164" s="1155"/>
      <c r="BD164" s="1155"/>
      <c r="BE164" s="1155"/>
      <c r="BF164" s="1155"/>
      <c r="BG164" s="1155"/>
      <c r="BH164" s="1155"/>
      <c r="BI164" s="1155"/>
      <c r="BJ164" s="1155"/>
      <c r="BK164" s="1155"/>
      <c r="BL164" s="1155"/>
      <c r="BM164" s="1155"/>
      <c r="BN164" s="1155"/>
      <c r="BO164" s="1155"/>
      <c r="BP164" s="1155"/>
      <c r="BQ164" s="1155"/>
      <c r="BR164" s="1155"/>
      <c r="BS164" s="1155"/>
    </row>
    <row r="165" spans="5:71" s="474" customFormat="1">
      <c r="E165" s="4108"/>
      <c r="F165" s="1376" t="s">
        <v>593</v>
      </c>
      <c r="G165" s="1083"/>
      <c r="H165" s="1084"/>
      <c r="I165" s="1084"/>
      <c r="J165" s="1084"/>
      <c r="K165" s="1085"/>
      <c r="L165" s="255"/>
      <c r="M165" s="461"/>
      <c r="N165" s="461"/>
      <c r="O165" s="461"/>
      <c r="P165" s="281"/>
      <c r="Q165" s="956"/>
      <c r="R165" s="461"/>
      <c r="S165" s="461"/>
      <c r="T165" s="461"/>
      <c r="U165" s="281"/>
      <c r="V165" s="1172"/>
      <c r="W165" s="255"/>
      <c r="X165" s="461"/>
      <c r="Y165" s="461"/>
      <c r="Z165" s="461"/>
      <c r="AA165" s="281"/>
      <c r="AB165" s="1041"/>
      <c r="AC165" s="255"/>
      <c r="AD165" s="461"/>
      <c r="AE165" s="461"/>
      <c r="AF165" s="461"/>
      <c r="AG165" s="461"/>
      <c r="AH165" s="1047"/>
      <c r="AI165" s="1172"/>
      <c r="AJ165" s="1155"/>
      <c r="AK165" s="1155"/>
      <c r="AL165" s="1083"/>
      <c r="AM165" s="1084"/>
      <c r="AN165" s="1084"/>
      <c r="AO165" s="1084"/>
      <c r="AP165" s="1085"/>
      <c r="AQ165" s="259"/>
      <c r="AR165" s="466"/>
      <c r="AS165" s="283"/>
      <c r="AT165" s="1155"/>
      <c r="AU165" s="1155"/>
      <c r="AV165" s="1155"/>
      <c r="AW165" s="1155"/>
      <c r="AX165" s="1155"/>
      <c r="AY165" s="1155"/>
      <c r="AZ165" s="1155"/>
      <c r="BA165" s="1155"/>
      <c r="BB165" s="1155"/>
      <c r="BC165" s="1155"/>
      <c r="BD165" s="1155"/>
      <c r="BE165" s="1155"/>
      <c r="BF165" s="1155"/>
      <c r="BG165" s="1155"/>
      <c r="BH165" s="1155"/>
      <c r="BI165" s="1155"/>
      <c r="BJ165" s="1155"/>
      <c r="BK165" s="1155"/>
      <c r="BL165" s="1155"/>
      <c r="BM165" s="1155"/>
      <c r="BN165" s="1155"/>
      <c r="BO165" s="1155"/>
      <c r="BP165" s="1155"/>
      <c r="BQ165" s="1155"/>
      <c r="BR165" s="1155"/>
      <c r="BS165" s="1155"/>
    </row>
    <row r="166" spans="5:71" s="474" customFormat="1">
      <c r="E166" s="4108"/>
      <c r="F166" s="431" t="s">
        <v>558</v>
      </c>
      <c r="G166" s="1083"/>
      <c r="H166" s="1084"/>
      <c r="I166" s="1084"/>
      <c r="J166" s="1084"/>
      <c r="K166" s="1085"/>
      <c r="L166" s="255">
        <v>520425.59999999992</v>
      </c>
      <c r="M166" s="461"/>
      <c r="N166" s="461"/>
      <c r="O166" s="461"/>
      <c r="P166" s="281"/>
      <c r="Q166" s="956"/>
      <c r="R166" s="461"/>
      <c r="S166" s="461"/>
      <c r="T166" s="461"/>
      <c r="U166" s="281"/>
      <c r="V166" s="1172"/>
      <c r="W166" s="255"/>
      <c r="X166" s="461"/>
      <c r="Y166" s="461"/>
      <c r="Z166" s="461"/>
      <c r="AA166" s="281"/>
      <c r="AB166" s="1041"/>
      <c r="AC166" s="255"/>
      <c r="AD166" s="461"/>
      <c r="AE166" s="461"/>
      <c r="AF166" s="461"/>
      <c r="AG166" s="461"/>
      <c r="AH166" s="1047"/>
      <c r="AI166" s="1172"/>
      <c r="AJ166" s="1155"/>
      <c r="AK166" s="1155"/>
      <c r="AL166" s="1083"/>
      <c r="AM166" s="1084"/>
      <c r="AN166" s="1084"/>
      <c r="AO166" s="1084"/>
      <c r="AP166" s="1085"/>
      <c r="AQ166" s="259"/>
      <c r="AR166" s="466"/>
      <c r="AS166" s="283"/>
      <c r="AT166" s="1155"/>
      <c r="AU166" s="1155"/>
      <c r="AV166" s="1155"/>
      <c r="AW166" s="1155"/>
      <c r="AX166" s="1155"/>
      <c r="AY166" s="1155"/>
      <c r="AZ166" s="1155"/>
      <c r="BA166" s="1155"/>
      <c r="BB166" s="1155"/>
      <c r="BC166" s="1155"/>
      <c r="BD166" s="1155"/>
      <c r="BE166" s="1155"/>
      <c r="BF166" s="1155"/>
      <c r="BG166" s="1155"/>
      <c r="BH166" s="1155"/>
      <c r="BI166" s="1155"/>
      <c r="BJ166" s="1155"/>
      <c r="BK166" s="1155"/>
      <c r="BL166" s="1155"/>
      <c r="BM166" s="1155"/>
      <c r="BN166" s="1155"/>
      <c r="BO166" s="1155"/>
      <c r="BP166" s="1155"/>
      <c r="BQ166" s="1155"/>
      <c r="BR166" s="1155"/>
      <c r="BS166" s="1155"/>
    </row>
    <row r="167" spans="5:71" s="474" customFormat="1">
      <c r="E167" s="4108"/>
      <c r="F167" s="431" t="s">
        <v>559</v>
      </c>
      <c r="G167" s="1083"/>
      <c r="H167" s="1084"/>
      <c r="I167" s="1084"/>
      <c r="J167" s="1084"/>
      <c r="K167" s="1085"/>
      <c r="L167" s="255"/>
      <c r="M167" s="461"/>
      <c r="N167" s="461"/>
      <c r="O167" s="461"/>
      <c r="P167" s="281"/>
      <c r="Q167" s="956"/>
      <c r="R167" s="461"/>
      <c r="S167" s="461"/>
      <c r="T167" s="461"/>
      <c r="U167" s="281"/>
      <c r="V167" s="1172"/>
      <c r="W167" s="255"/>
      <c r="X167" s="461"/>
      <c r="Y167" s="461"/>
      <c r="Z167" s="461"/>
      <c r="AA167" s="281"/>
      <c r="AB167" s="1041"/>
      <c r="AC167" s="255"/>
      <c r="AD167" s="461"/>
      <c r="AE167" s="461"/>
      <c r="AF167" s="461"/>
      <c r="AG167" s="461"/>
      <c r="AH167" s="1047"/>
      <c r="AI167" s="1172"/>
      <c r="AJ167" s="1155"/>
      <c r="AK167" s="1155"/>
      <c r="AL167" s="1083"/>
      <c r="AM167" s="1084"/>
      <c r="AN167" s="1084"/>
      <c r="AO167" s="1084"/>
      <c r="AP167" s="1085"/>
      <c r="AQ167" s="259"/>
      <c r="AR167" s="466"/>
      <c r="AS167" s="283"/>
      <c r="AT167" s="1155"/>
      <c r="AU167" s="1155"/>
      <c r="AV167" s="1155"/>
      <c r="AW167" s="1155"/>
      <c r="AX167" s="1155"/>
      <c r="AY167" s="1155"/>
      <c r="AZ167" s="1155"/>
      <c r="BA167" s="1155"/>
      <c r="BB167" s="1155"/>
      <c r="BC167" s="1155"/>
      <c r="BD167" s="1155"/>
      <c r="BE167" s="1155"/>
      <c r="BF167" s="1155"/>
      <c r="BG167" s="1155"/>
      <c r="BH167" s="1155"/>
      <c r="BI167" s="1155"/>
      <c r="BJ167" s="1155"/>
      <c r="BK167" s="1155"/>
      <c r="BL167" s="1155"/>
      <c r="BM167" s="1155"/>
      <c r="BN167" s="1155"/>
      <c r="BO167" s="1155"/>
      <c r="BP167" s="1155"/>
      <c r="BQ167" s="1155"/>
      <c r="BR167" s="1155"/>
      <c r="BS167" s="1155"/>
    </row>
    <row r="168" spans="5:71" s="474" customFormat="1">
      <c r="E168" s="4108"/>
      <c r="F168" s="431" t="s">
        <v>578</v>
      </c>
      <c r="G168" s="1089"/>
      <c r="H168" s="1090"/>
      <c r="I168" s="1090"/>
      <c r="J168" s="1090"/>
      <c r="K168" s="1091"/>
      <c r="L168" s="259"/>
      <c r="M168" s="456"/>
      <c r="N168" s="456"/>
      <c r="O168" s="456"/>
      <c r="P168" s="457"/>
      <c r="Q168" s="224"/>
      <c r="R168" s="456"/>
      <c r="S168" s="456"/>
      <c r="T168" s="456"/>
      <c r="U168" s="457"/>
      <c r="V168" s="1172"/>
      <c r="W168" s="207"/>
      <c r="X168" s="456"/>
      <c r="Y168" s="456"/>
      <c r="Z168" s="456"/>
      <c r="AA168" s="457"/>
      <c r="AB168" s="1041"/>
      <c r="AC168" s="207"/>
      <c r="AD168" s="456"/>
      <c r="AE168" s="456"/>
      <c r="AF168" s="456"/>
      <c r="AG168" s="456"/>
      <c r="AH168" s="1048"/>
      <c r="AI168" s="1172"/>
      <c r="AJ168" s="1155"/>
      <c r="AK168" s="1155"/>
      <c r="AL168" s="1089"/>
      <c r="AM168" s="1090"/>
      <c r="AN168" s="1090"/>
      <c r="AO168" s="1090"/>
      <c r="AP168" s="1091"/>
      <c r="AQ168" s="259"/>
      <c r="AR168" s="456"/>
      <c r="AS168" s="457"/>
      <c r="AT168" s="1155"/>
      <c r="AU168" s="1155"/>
      <c r="AV168" s="1155"/>
      <c r="AW168" s="1155"/>
      <c r="AX168" s="1155"/>
      <c r="AY168" s="1155"/>
      <c r="AZ168" s="1155"/>
      <c r="BA168" s="1155"/>
      <c r="BB168" s="1155"/>
      <c r="BC168" s="1155"/>
      <c r="BD168" s="1155"/>
      <c r="BE168" s="1155"/>
      <c r="BF168" s="1155"/>
      <c r="BG168" s="1155"/>
      <c r="BH168" s="1155"/>
      <c r="BI168" s="1155"/>
      <c r="BJ168" s="1155"/>
      <c r="BK168" s="1155"/>
      <c r="BL168" s="1155"/>
      <c r="BM168" s="1155"/>
      <c r="BN168" s="1155"/>
      <c r="BO168" s="1155"/>
      <c r="BP168" s="1155"/>
      <c r="BQ168" s="1155"/>
      <c r="BR168" s="1155"/>
      <c r="BS168" s="1155"/>
    </row>
    <row r="169" spans="5:71" s="474" customFormat="1">
      <c r="E169" s="4108"/>
      <c r="F169" s="1377" t="s">
        <v>579</v>
      </c>
      <c r="G169" s="1086"/>
      <c r="H169" s="1087"/>
      <c r="I169" s="1087"/>
      <c r="J169" s="1087"/>
      <c r="K169" s="1088"/>
      <c r="L169" s="258">
        <f>SUM(L165:L168)</f>
        <v>520425.59999999992</v>
      </c>
      <c r="M169" s="465">
        <f t="shared" ref="M169" si="612">SUM(M165:M168)</f>
        <v>0</v>
      </c>
      <c r="N169" s="465">
        <f t="shared" ref="N169" si="613">SUM(N165:N168)</f>
        <v>0</v>
      </c>
      <c r="O169" s="465">
        <f t="shared" ref="O169" si="614">SUM(O165:O168)</f>
        <v>0</v>
      </c>
      <c r="P169" s="282">
        <f t="shared" ref="P169" si="615">SUM(P165:P168)</f>
        <v>0</v>
      </c>
      <c r="Q169" s="965">
        <f t="shared" ref="Q169" si="616">SUM(Q165:Q168)</f>
        <v>0</v>
      </c>
      <c r="R169" s="465">
        <f t="shared" ref="R169" si="617">SUM(R165:R168)</f>
        <v>0</v>
      </c>
      <c r="S169" s="465">
        <f t="shared" ref="S169" si="618">SUM(S165:S168)</f>
        <v>0</v>
      </c>
      <c r="T169" s="465">
        <f t="shared" ref="T169" si="619">SUM(T165:T168)</f>
        <v>0</v>
      </c>
      <c r="U169" s="282">
        <f t="shared" ref="U169" si="620">SUM(U165:U168)</f>
        <v>0</v>
      </c>
      <c r="V169" s="1172"/>
      <c r="W169" s="258">
        <f t="shared" ref="W169" si="621">SUM(W165:W168)</f>
        <v>0</v>
      </c>
      <c r="X169" s="465">
        <f t="shared" ref="X169" si="622">SUM(X165:X168)</f>
        <v>0</v>
      </c>
      <c r="Y169" s="465">
        <f t="shared" ref="Y169" si="623">SUM(Y165:Y168)</f>
        <v>0</v>
      </c>
      <c r="Z169" s="465">
        <f t="shared" ref="Z169" si="624">SUM(Z165:Z168)</f>
        <v>0</v>
      </c>
      <c r="AA169" s="282">
        <f t="shared" ref="AA169" si="625">SUM(AA165:AA168)</f>
        <v>0</v>
      </c>
      <c r="AB169" s="992"/>
      <c r="AC169" s="258">
        <f t="shared" ref="AC169" si="626">SUM(AC165:AC168)</f>
        <v>0</v>
      </c>
      <c r="AD169" s="465">
        <f t="shared" ref="AD169" si="627">SUM(AD165:AD168)</f>
        <v>0</v>
      </c>
      <c r="AE169" s="465">
        <f t="shared" ref="AE169" si="628">SUM(AE165:AE168)</f>
        <v>0</v>
      </c>
      <c r="AF169" s="465">
        <f t="shared" ref="AF169" si="629">SUM(AF165:AF168)</f>
        <v>0</v>
      </c>
      <c r="AG169" s="465">
        <f t="shared" ref="AG169" si="630">SUM(AG165:AG168)</f>
        <v>0</v>
      </c>
      <c r="AH169" s="1049"/>
      <c r="AI169" s="1172"/>
      <c r="AJ169" s="1155"/>
      <c r="AK169" s="1155"/>
      <c r="AL169" s="1086"/>
      <c r="AM169" s="1087"/>
      <c r="AN169" s="1087"/>
      <c r="AO169" s="1087"/>
      <c r="AP169" s="1088"/>
      <c r="AQ169" s="258">
        <f>SUM(AQ166:AQ168)</f>
        <v>0</v>
      </c>
      <c r="AR169" s="465">
        <f t="shared" ref="AR169" si="631">SUM(AR166:AR168)</f>
        <v>0</v>
      </c>
      <c r="AS169" s="282"/>
      <c r="AT169" s="1155"/>
      <c r="AU169" s="1155"/>
      <c r="AV169" s="1155"/>
      <c r="AW169" s="1155"/>
      <c r="AX169" s="1155"/>
      <c r="AY169" s="1155"/>
      <c r="AZ169" s="1155"/>
      <c r="BA169" s="1155"/>
      <c r="BB169" s="1155"/>
      <c r="BC169" s="1155"/>
      <c r="BD169" s="1155"/>
      <c r="BE169" s="1155"/>
      <c r="BF169" s="1155"/>
      <c r="BG169" s="1155"/>
      <c r="BH169" s="1155"/>
      <c r="BI169" s="1155"/>
      <c r="BJ169" s="1155"/>
      <c r="BK169" s="1155"/>
      <c r="BL169" s="1155"/>
      <c r="BM169" s="1155"/>
      <c r="BN169" s="1155"/>
      <c r="BO169" s="1155"/>
      <c r="BP169" s="1155"/>
      <c r="BQ169" s="1155"/>
      <c r="BR169" s="1155"/>
      <c r="BS169" s="1155"/>
    </row>
    <row r="170" spans="5:71" s="474" customFormat="1" ht="13.5" thickBot="1">
      <c r="E170" s="4108"/>
      <c r="F170" s="1035" t="s">
        <v>583</v>
      </c>
      <c r="G170" s="255"/>
      <c r="H170" s="461"/>
      <c r="I170" s="461"/>
      <c r="J170" s="461"/>
      <c r="K170" s="281"/>
      <c r="L170" s="207"/>
      <c r="M170" s="456"/>
      <c r="N170" s="456"/>
      <c r="O170" s="456"/>
      <c r="P170" s="457"/>
      <c r="Q170" s="224"/>
      <c r="R170" s="456"/>
      <c r="S170" s="456"/>
      <c r="T170" s="456"/>
      <c r="U170" s="457"/>
      <c r="V170" s="1172"/>
      <c r="W170" s="1603"/>
      <c r="X170" s="1604"/>
      <c r="Y170" s="1604"/>
      <c r="Z170" s="1604"/>
      <c r="AA170" s="1605"/>
      <c r="AB170" s="1606"/>
      <c r="AC170" s="1603"/>
      <c r="AD170" s="1607"/>
      <c r="AE170" s="1607"/>
      <c r="AF170" s="1607"/>
      <c r="AG170" s="1607"/>
      <c r="AH170" s="1608"/>
      <c r="AI170" s="1172"/>
      <c r="AJ170" s="1155"/>
      <c r="AK170" s="1155"/>
      <c r="AL170" s="259"/>
      <c r="AM170" s="466"/>
      <c r="AN170" s="466"/>
      <c r="AO170" s="466"/>
      <c r="AP170" s="283"/>
      <c r="AQ170" s="259"/>
      <c r="AR170" s="466"/>
      <c r="AS170" s="283"/>
      <c r="AT170" s="1155"/>
      <c r="AU170" s="1155"/>
      <c r="AV170" s="1155"/>
      <c r="AW170" s="1155"/>
      <c r="AX170" s="1155"/>
      <c r="AY170" s="1155"/>
      <c r="AZ170" s="1155"/>
      <c r="BA170" s="1155"/>
      <c r="BB170" s="1155"/>
      <c r="BC170" s="1155"/>
      <c r="BD170" s="1155"/>
      <c r="BE170" s="1155"/>
      <c r="BF170" s="1155"/>
      <c r="BG170" s="1155"/>
      <c r="BH170" s="1155"/>
      <c r="BI170" s="1155"/>
      <c r="BJ170" s="1155"/>
      <c r="BK170" s="1155"/>
      <c r="BL170" s="1155"/>
      <c r="BM170" s="1155"/>
      <c r="BN170" s="1155"/>
      <c r="BO170" s="1155"/>
      <c r="BP170" s="1155"/>
      <c r="BQ170" s="1155"/>
      <c r="BR170" s="1155"/>
      <c r="BS170" s="1155"/>
    </row>
    <row r="171" spans="5:71" s="474" customFormat="1" ht="13.5" thickBot="1">
      <c r="E171" s="4108"/>
      <c r="F171" s="1380" t="s">
        <v>581</v>
      </c>
      <c r="G171" s="1599"/>
      <c r="H171" s="1600"/>
      <c r="I171" s="1600"/>
      <c r="J171" s="1600"/>
      <c r="K171" s="1601"/>
      <c r="L171" s="1599"/>
      <c r="M171" s="1600"/>
      <c r="N171" s="1600"/>
      <c r="O171" s="1600"/>
      <c r="P171" s="1601"/>
      <c r="Q171" s="1602"/>
      <c r="R171" s="1600"/>
      <c r="S171" s="1600"/>
      <c r="T171" s="1600"/>
      <c r="U171" s="1601"/>
      <c r="V171" s="1172"/>
      <c r="W171" s="1614"/>
      <c r="X171" s="1615"/>
      <c r="Y171" s="1615"/>
      <c r="Z171" s="1615"/>
      <c r="AA171" s="1615"/>
      <c r="AB171" s="1615"/>
      <c r="AC171" s="1615"/>
      <c r="AD171" s="1615"/>
      <c r="AE171" s="1615"/>
      <c r="AF171" s="1615"/>
      <c r="AG171" s="1615"/>
      <c r="AH171" s="1616"/>
      <c r="AI171" s="1172"/>
      <c r="AJ171" s="1155"/>
      <c r="AK171" s="1155"/>
      <c r="AL171" s="259"/>
      <c r="AM171" s="466"/>
      <c r="AN171" s="466"/>
      <c r="AO171" s="466"/>
      <c r="AP171" s="283"/>
      <c r="AQ171" s="259"/>
      <c r="AR171" s="466"/>
      <c r="AS171" s="283"/>
      <c r="AT171" s="1155"/>
      <c r="AU171" s="1155"/>
      <c r="AV171" s="1155"/>
      <c r="AW171" s="1155"/>
      <c r="AX171" s="1155"/>
      <c r="AY171" s="1155"/>
      <c r="AZ171" s="1155"/>
      <c r="BA171" s="1155"/>
      <c r="BB171" s="1155"/>
      <c r="BC171" s="1155"/>
      <c r="BD171" s="1155"/>
      <c r="BE171" s="1155"/>
      <c r="BF171" s="1155"/>
      <c r="BG171" s="1155"/>
      <c r="BH171" s="1155"/>
      <c r="BI171" s="1155"/>
      <c r="BJ171" s="1155"/>
      <c r="BK171" s="1155"/>
      <c r="BL171" s="1155"/>
      <c r="BM171" s="1155"/>
      <c r="BN171" s="1155"/>
      <c r="BO171" s="1155"/>
      <c r="BP171" s="1155"/>
      <c r="BQ171" s="1155"/>
      <c r="BR171" s="1155"/>
      <c r="BS171" s="1155"/>
    </row>
    <row r="172" spans="5:71" s="474" customFormat="1">
      <c r="E172" s="4108"/>
      <c r="F172" s="1378" t="s">
        <v>584</v>
      </c>
      <c r="G172" s="1050">
        <v>0</v>
      </c>
      <c r="H172" s="1051">
        <v>0</v>
      </c>
      <c r="I172" s="1051">
        <v>0</v>
      </c>
      <c r="J172" s="1051">
        <v>0</v>
      </c>
      <c r="K172" s="1052">
        <v>0</v>
      </c>
      <c r="L172" s="1050">
        <f>SUM(L169:L171)</f>
        <v>520425.59999999992</v>
      </c>
      <c r="M172" s="1051">
        <f t="shared" ref="M172" si="632">SUM(M169:M171)</f>
        <v>0</v>
      </c>
      <c r="N172" s="1051">
        <f t="shared" ref="N172" si="633">SUM(N169:N171)</f>
        <v>0</v>
      </c>
      <c r="O172" s="1051">
        <f t="shared" ref="O172" si="634">SUM(O169:O171)</f>
        <v>0</v>
      </c>
      <c r="P172" s="1052">
        <f t="shared" ref="P172" si="635">SUM(P169:P171)</f>
        <v>0</v>
      </c>
      <c r="Q172" s="1092">
        <f t="shared" ref="Q172" si="636">SUM(Q169:Q171)</f>
        <v>0</v>
      </c>
      <c r="R172" s="1051">
        <f t="shared" ref="R172" si="637">SUM(R169:R171)</f>
        <v>0</v>
      </c>
      <c r="S172" s="1051">
        <f t="shared" ref="S172" si="638">SUM(S169:S171)</f>
        <v>0</v>
      </c>
      <c r="T172" s="1051">
        <f t="shared" ref="T172" si="639">SUM(T169:T171)</f>
        <v>0</v>
      </c>
      <c r="U172" s="1052">
        <f t="shared" ref="U172" si="640">SUM(U169:U171)</f>
        <v>0</v>
      </c>
      <c r="V172" s="1172"/>
      <c r="W172" s="1609">
        <f t="shared" ref="W172" si="641">SUM(W169:W171)</f>
        <v>0</v>
      </c>
      <c r="X172" s="1610">
        <f t="shared" ref="X172" si="642">SUM(X169:X171)</f>
        <v>0</v>
      </c>
      <c r="Y172" s="1610">
        <f t="shared" ref="Y172" si="643">SUM(Y169:Y171)</f>
        <v>0</v>
      </c>
      <c r="Z172" s="1610">
        <f t="shared" ref="Z172" si="644">SUM(Z169:Z171)</f>
        <v>0</v>
      </c>
      <c r="AA172" s="1611">
        <f t="shared" ref="AA172" si="645">SUM(AA169:AA171)</f>
        <v>0</v>
      </c>
      <c r="AB172" s="1612"/>
      <c r="AC172" s="1609">
        <f t="shared" ref="AC172" si="646">SUM(AC169:AC171)</f>
        <v>0</v>
      </c>
      <c r="AD172" s="1610">
        <f t="shared" ref="AD172" si="647">SUM(AD169:AD171)</f>
        <v>0</v>
      </c>
      <c r="AE172" s="1610">
        <f t="shared" ref="AE172" si="648">SUM(AE169:AE171)</f>
        <v>0</v>
      </c>
      <c r="AF172" s="1610">
        <f t="shared" ref="AF172" si="649">SUM(AF169:AF171)</f>
        <v>0</v>
      </c>
      <c r="AG172" s="1610">
        <f t="shared" ref="AG172" si="650">SUM(AG169:AG171)</f>
        <v>0</v>
      </c>
      <c r="AH172" s="1613"/>
      <c r="AI172" s="1172"/>
      <c r="AJ172" s="130"/>
      <c r="AK172" s="130"/>
      <c r="AL172" s="1050">
        <f t="shared" ref="AL172:AR172" si="651">SUM(AL170:AL171)</f>
        <v>0</v>
      </c>
      <c r="AM172" s="1051">
        <f t="shared" si="651"/>
        <v>0</v>
      </c>
      <c r="AN172" s="1051">
        <f t="shared" si="651"/>
        <v>0</v>
      </c>
      <c r="AO172" s="1051">
        <f t="shared" si="651"/>
        <v>0</v>
      </c>
      <c r="AP172" s="1052">
        <f t="shared" si="651"/>
        <v>0</v>
      </c>
      <c r="AQ172" s="1050">
        <f t="shared" si="651"/>
        <v>0</v>
      </c>
      <c r="AR172" s="1051">
        <f t="shared" si="651"/>
        <v>0</v>
      </c>
      <c r="AS172" s="1052"/>
      <c r="AT172" s="130"/>
      <c r="AU172" s="130"/>
      <c r="AV172" s="130"/>
      <c r="AW172" s="130"/>
      <c r="AX172" s="130"/>
      <c r="AY172" s="130"/>
      <c r="AZ172" s="130"/>
      <c r="BA172" s="130"/>
      <c r="BB172" s="130"/>
      <c r="BC172" s="130"/>
      <c r="BD172" s="130"/>
      <c r="BE172" s="130"/>
      <c r="BF172" s="130"/>
      <c r="BG172" s="130"/>
      <c r="BH172" s="130"/>
      <c r="BI172" s="130"/>
      <c r="BJ172" s="130"/>
      <c r="BK172" s="130"/>
      <c r="BL172" s="130"/>
      <c r="BM172" s="130"/>
      <c r="BN172" s="130"/>
      <c r="BO172" s="130"/>
      <c r="BP172" s="130"/>
      <c r="BQ172" s="130"/>
      <c r="BR172" s="130"/>
      <c r="BS172" s="1155"/>
    </row>
    <row r="173" spans="5:71" s="474" customFormat="1">
      <c r="E173" s="4108"/>
      <c r="F173" s="1389" t="s">
        <v>35</v>
      </c>
      <c r="G173" s="255"/>
      <c r="H173" s="461"/>
      <c r="I173" s="461"/>
      <c r="J173" s="461"/>
      <c r="K173" s="281"/>
      <c r="L173" s="255"/>
      <c r="M173" s="461"/>
      <c r="N173" s="461"/>
      <c r="O173" s="461"/>
      <c r="P173" s="281"/>
      <c r="Q173" s="956"/>
      <c r="R173" s="461"/>
      <c r="S173" s="461"/>
      <c r="T173" s="461"/>
      <c r="U173" s="281"/>
      <c r="V173" s="1172"/>
      <c r="W173" s="255"/>
      <c r="X173" s="461"/>
      <c r="Y173" s="461"/>
      <c r="Z173" s="461"/>
      <c r="AA173" s="281"/>
      <c r="AB173" s="1004"/>
      <c r="AC173" s="255"/>
      <c r="AD173" s="461"/>
      <c r="AE173" s="461"/>
      <c r="AF173" s="461"/>
      <c r="AG173" s="461"/>
      <c r="AH173" s="1047"/>
      <c r="AI173" s="1172"/>
      <c r="AJ173" s="1155"/>
      <c r="AK173" s="1155"/>
      <c r="AL173" s="259"/>
      <c r="AM173" s="466"/>
      <c r="AN173" s="466"/>
      <c r="AO173" s="466"/>
      <c r="AP173" s="283"/>
      <c r="AQ173" s="259"/>
      <c r="AR173" s="466"/>
      <c r="AS173" s="283"/>
      <c r="AT173" s="1155"/>
      <c r="AU173" s="1155"/>
      <c r="AV173" s="1155"/>
      <c r="AW173" s="1155"/>
      <c r="AX173" s="1155"/>
      <c r="AY173" s="1155"/>
      <c r="AZ173" s="1155"/>
      <c r="BA173" s="1155"/>
      <c r="BB173" s="1155"/>
      <c r="BC173" s="1155"/>
      <c r="BD173" s="1155"/>
      <c r="BE173" s="1155"/>
      <c r="BF173" s="1155"/>
      <c r="BG173" s="1155"/>
      <c r="BH173" s="1155"/>
      <c r="BI173" s="1155"/>
      <c r="BJ173" s="1155"/>
      <c r="BK173" s="1155"/>
      <c r="BL173" s="1155"/>
      <c r="BM173" s="1155"/>
      <c r="BN173" s="1155"/>
      <c r="BO173" s="1155"/>
      <c r="BP173" s="1155"/>
      <c r="BQ173" s="1155"/>
      <c r="BR173" s="1155"/>
      <c r="BS173" s="1155"/>
    </row>
    <row r="174" spans="5:71" s="474" customFormat="1" ht="13.5" thickBot="1">
      <c r="E174" s="4109"/>
      <c r="F174" s="1387" t="s">
        <v>585</v>
      </c>
      <c r="G174" s="1055">
        <v>0</v>
      </c>
      <c r="H174" s="1056">
        <v>0</v>
      </c>
      <c r="I174" s="1056">
        <v>0</v>
      </c>
      <c r="J174" s="1056">
        <v>0</v>
      </c>
      <c r="K174" s="1057">
        <v>0</v>
      </c>
      <c r="L174" s="1567">
        <f>L172-L173</f>
        <v>520425.59999999992</v>
      </c>
      <c r="M174" s="1056">
        <f t="shared" ref="M174" si="652">M172-M173</f>
        <v>0</v>
      </c>
      <c r="N174" s="1056">
        <f t="shared" ref="N174" si="653">N172-N173</f>
        <v>0</v>
      </c>
      <c r="O174" s="1056">
        <f t="shared" ref="O174" si="654">O172-O173</f>
        <v>0</v>
      </c>
      <c r="P174" s="1057">
        <f t="shared" ref="P174" si="655">P172-P173</f>
        <v>0</v>
      </c>
      <c r="Q174" s="1093">
        <f t="shared" ref="Q174" si="656">Q172-Q173</f>
        <v>0</v>
      </c>
      <c r="R174" s="1056">
        <f t="shared" ref="R174" si="657">R172-R173</f>
        <v>0</v>
      </c>
      <c r="S174" s="1056">
        <f t="shared" ref="S174" si="658">S172-S173</f>
        <v>0</v>
      </c>
      <c r="T174" s="1056">
        <f t="shared" ref="T174" si="659">T172-T173</f>
        <v>0</v>
      </c>
      <c r="U174" s="1057">
        <f t="shared" ref="U174" si="660">U172-U173</f>
        <v>0</v>
      </c>
      <c r="V174" s="1172"/>
      <c r="W174" s="1055">
        <f t="shared" ref="W174" si="661">W172-W173</f>
        <v>0</v>
      </c>
      <c r="X174" s="1056">
        <f t="shared" ref="X174" si="662">X172-X173</f>
        <v>0</v>
      </c>
      <c r="Y174" s="1056">
        <f t="shared" ref="Y174" si="663">Y172-Y173</f>
        <v>0</v>
      </c>
      <c r="Z174" s="1056">
        <f t="shared" ref="Z174" si="664">Z172-Z173</f>
        <v>0</v>
      </c>
      <c r="AA174" s="1057">
        <f t="shared" ref="AA174" si="665">AA172-AA173</f>
        <v>0</v>
      </c>
      <c r="AB174" s="1075"/>
      <c r="AC174" s="1055">
        <f t="shared" ref="AC174" si="666">AC172-AC173</f>
        <v>0</v>
      </c>
      <c r="AD174" s="1056">
        <f t="shared" ref="AD174" si="667">AD172-AD173</f>
        <v>0</v>
      </c>
      <c r="AE174" s="1056">
        <f t="shared" ref="AE174" si="668">AE172-AE173</f>
        <v>0</v>
      </c>
      <c r="AF174" s="1056">
        <f t="shared" ref="AF174" si="669">AF172-AF173</f>
        <v>0</v>
      </c>
      <c r="AG174" s="1056">
        <f t="shared" ref="AG174" si="670">AG172-AG173</f>
        <v>0</v>
      </c>
      <c r="AH174" s="1059"/>
      <c r="AI174" s="1172"/>
      <c r="AJ174" s="1155"/>
      <c r="AK174" s="1155"/>
      <c r="AL174" s="1567">
        <f>AL172-AL173</f>
        <v>0</v>
      </c>
      <c r="AM174" s="1056">
        <f t="shared" ref="AM174:AR174" si="671">AM172-AM173</f>
        <v>0</v>
      </c>
      <c r="AN174" s="1056">
        <f t="shared" si="671"/>
        <v>0</v>
      </c>
      <c r="AO174" s="1056">
        <f t="shared" si="671"/>
        <v>0</v>
      </c>
      <c r="AP174" s="1057">
        <f t="shared" si="671"/>
        <v>0</v>
      </c>
      <c r="AQ174" s="1567">
        <f t="shared" si="671"/>
        <v>0</v>
      </c>
      <c r="AR174" s="1056">
        <f t="shared" si="671"/>
        <v>0</v>
      </c>
      <c r="AS174" s="1057"/>
      <c r="AT174" s="1155"/>
      <c r="AU174" s="1155"/>
      <c r="AV174" s="1155"/>
      <c r="AW174" s="1155"/>
      <c r="AX174" s="1155"/>
      <c r="AY174" s="1155"/>
      <c r="AZ174" s="1155"/>
      <c r="BA174" s="1155"/>
      <c r="BB174" s="1155"/>
      <c r="BC174" s="1155"/>
      <c r="BD174" s="1155"/>
      <c r="BE174" s="1155"/>
      <c r="BF174" s="1155"/>
      <c r="BG174" s="1155"/>
      <c r="BH174" s="1155"/>
      <c r="BI174" s="1155"/>
      <c r="BJ174" s="1155"/>
      <c r="BK174" s="1155"/>
      <c r="BL174" s="1155"/>
      <c r="BM174" s="1155"/>
      <c r="BN174" s="1155"/>
      <c r="BO174" s="1155"/>
      <c r="BP174" s="1155"/>
      <c r="BQ174" s="1155"/>
      <c r="BR174" s="1155"/>
      <c r="BS174" s="1155"/>
    </row>
    <row r="175" spans="5:71" s="474" customFormat="1" ht="12.75" customHeight="1">
      <c r="E175" s="4107" t="s">
        <v>1486</v>
      </c>
      <c r="F175" s="433" t="s">
        <v>111</v>
      </c>
      <c r="G175" s="1086"/>
      <c r="H175" s="1087"/>
      <c r="I175" s="1087"/>
      <c r="J175" s="1087"/>
      <c r="K175" s="1088"/>
      <c r="L175" s="258"/>
      <c r="M175" s="465"/>
      <c r="N175" s="465"/>
      <c r="O175" s="465"/>
      <c r="P175" s="282"/>
      <c r="Q175" s="965"/>
      <c r="R175" s="465"/>
      <c r="S175" s="465"/>
      <c r="T175" s="465"/>
      <c r="U175" s="1044"/>
      <c r="V175" s="1172"/>
      <c r="W175" s="1043"/>
      <c r="X175" s="421"/>
      <c r="Y175" s="421"/>
      <c r="Z175" s="421"/>
      <c r="AA175" s="1044"/>
      <c r="AB175" s="1045"/>
      <c r="AC175" s="1043"/>
      <c r="AD175" s="421"/>
      <c r="AE175" s="421"/>
      <c r="AF175" s="421"/>
      <c r="AG175" s="421"/>
      <c r="AH175" s="1046"/>
      <c r="AI175" s="1172"/>
      <c r="AJ175" s="1155"/>
      <c r="AK175" s="1155"/>
      <c r="AL175" s="1086"/>
      <c r="AM175" s="1087"/>
      <c r="AN175" s="1087"/>
      <c r="AO175" s="1087"/>
      <c r="AP175" s="1088"/>
      <c r="AQ175" s="258"/>
      <c r="AR175" s="465"/>
      <c r="AS175" s="282"/>
      <c r="AT175" s="1155"/>
      <c r="AU175" s="1155"/>
      <c r="AV175" s="1155"/>
      <c r="AW175" s="1155"/>
      <c r="AX175" s="1155"/>
      <c r="AY175" s="1155"/>
      <c r="AZ175" s="1155"/>
      <c r="BA175" s="1155"/>
      <c r="BB175" s="1155"/>
      <c r="BC175" s="1155"/>
      <c r="BD175" s="1155"/>
      <c r="BE175" s="1155"/>
      <c r="BF175" s="1155"/>
      <c r="BG175" s="1155"/>
      <c r="BH175" s="1155"/>
      <c r="BI175" s="1155"/>
      <c r="BJ175" s="1155"/>
      <c r="BK175" s="1155"/>
      <c r="BL175" s="1155"/>
      <c r="BM175" s="1155"/>
      <c r="BN175" s="1155"/>
      <c r="BO175" s="1155"/>
      <c r="BP175" s="1155"/>
      <c r="BQ175" s="1155"/>
      <c r="BR175" s="1155"/>
      <c r="BS175" s="1155"/>
    </row>
    <row r="176" spans="5:71" s="474" customFormat="1" ht="12.75" customHeight="1">
      <c r="E176" s="4108"/>
      <c r="F176" s="1374" t="s">
        <v>588</v>
      </c>
      <c r="G176" s="1083"/>
      <c r="H176" s="1084"/>
      <c r="I176" s="1084"/>
      <c r="J176" s="1084"/>
      <c r="K176" s="1085"/>
      <c r="L176" s="255">
        <v>2292</v>
      </c>
      <c r="M176" s="461"/>
      <c r="N176" s="461"/>
      <c r="O176" s="461"/>
      <c r="P176" s="281"/>
      <c r="Q176" s="956"/>
      <c r="R176" s="461"/>
      <c r="S176" s="461"/>
      <c r="T176" s="461"/>
      <c r="U176" s="281"/>
      <c r="V176" s="1172"/>
      <c r="W176" s="255"/>
      <c r="X176" s="461"/>
      <c r="Y176" s="461"/>
      <c r="Z176" s="461"/>
      <c r="AA176" s="281"/>
      <c r="AB176" s="1041"/>
      <c r="AC176" s="255"/>
      <c r="AD176" s="461"/>
      <c r="AE176" s="461"/>
      <c r="AF176" s="461"/>
      <c r="AG176" s="461"/>
      <c r="AH176" s="1047"/>
      <c r="AI176" s="1172"/>
      <c r="AJ176" s="1155"/>
      <c r="AK176" s="1155"/>
      <c r="AL176" s="1083"/>
      <c r="AM176" s="1084"/>
      <c r="AN176" s="1084"/>
      <c r="AO176" s="1084"/>
      <c r="AP176" s="1085"/>
      <c r="AQ176" s="259"/>
      <c r="AR176" s="466"/>
      <c r="AS176" s="283"/>
      <c r="AT176" s="1155"/>
      <c r="AU176" s="1155"/>
      <c r="AV176" s="1155"/>
      <c r="AW176" s="1155"/>
      <c r="AX176" s="1155"/>
      <c r="AY176" s="1155"/>
      <c r="AZ176" s="1155"/>
      <c r="BA176" s="1155"/>
      <c r="BB176" s="1155"/>
      <c r="BC176" s="1155"/>
      <c r="BD176" s="1155"/>
      <c r="BE176" s="1155"/>
      <c r="BF176" s="1155"/>
      <c r="BG176" s="1155"/>
      <c r="BH176" s="1155"/>
      <c r="BI176" s="1155"/>
      <c r="BJ176" s="1155"/>
      <c r="BK176" s="1155"/>
      <c r="BL176" s="1155"/>
      <c r="BM176" s="1155"/>
      <c r="BN176" s="1155"/>
      <c r="BO176" s="1155"/>
      <c r="BP176" s="1155"/>
      <c r="BQ176" s="1155"/>
      <c r="BR176" s="1155"/>
      <c r="BS176" s="1155"/>
    </row>
    <row r="177" spans="5:71" s="474" customFormat="1" ht="12.75" customHeight="1">
      <c r="E177" s="4108"/>
      <c r="F177" s="1374" t="s">
        <v>589</v>
      </c>
      <c r="G177" s="1083"/>
      <c r="H177" s="1084"/>
      <c r="I177" s="1084"/>
      <c r="J177" s="1084"/>
      <c r="K177" s="1085"/>
      <c r="L177" s="255"/>
      <c r="M177" s="461"/>
      <c r="N177" s="461"/>
      <c r="O177" s="461"/>
      <c r="P177" s="281"/>
      <c r="Q177" s="956"/>
      <c r="R177" s="461"/>
      <c r="S177" s="461"/>
      <c r="T177" s="461"/>
      <c r="U177" s="281"/>
      <c r="V177" s="1172"/>
      <c r="W177" s="255"/>
      <c r="X177" s="461"/>
      <c r="Y177" s="461"/>
      <c r="Z177" s="461"/>
      <c r="AA177" s="281"/>
      <c r="AB177" s="1041"/>
      <c r="AC177" s="255"/>
      <c r="AD177" s="461"/>
      <c r="AE177" s="461"/>
      <c r="AF177" s="461"/>
      <c r="AG177" s="461"/>
      <c r="AH177" s="1047"/>
      <c r="AI177" s="1172"/>
      <c r="AJ177" s="1155"/>
      <c r="AK177" s="1155"/>
      <c r="AL177" s="1083"/>
      <c r="AM177" s="1084"/>
      <c r="AN177" s="1084"/>
      <c r="AO177" s="1084"/>
      <c r="AP177" s="1085"/>
      <c r="AQ177" s="259"/>
      <c r="AR177" s="466"/>
      <c r="AS177" s="283"/>
      <c r="AT177" s="1155"/>
      <c r="AU177" s="1155"/>
      <c r="AV177" s="1155"/>
      <c r="AW177" s="1155"/>
      <c r="AX177" s="1155"/>
      <c r="AY177" s="1155"/>
      <c r="AZ177" s="1155"/>
      <c r="BA177" s="1155"/>
      <c r="BB177" s="1155"/>
      <c r="BC177" s="1155"/>
      <c r="BD177" s="1155"/>
      <c r="BE177" s="1155"/>
      <c r="BF177" s="1155"/>
      <c r="BG177" s="1155"/>
      <c r="BH177" s="1155"/>
      <c r="BI177" s="1155"/>
      <c r="BJ177" s="1155"/>
      <c r="BK177" s="1155"/>
      <c r="BL177" s="1155"/>
      <c r="BM177" s="1155"/>
      <c r="BN177" s="1155"/>
      <c r="BO177" s="1155"/>
      <c r="BP177" s="1155"/>
      <c r="BQ177" s="1155"/>
      <c r="BR177" s="1155"/>
      <c r="BS177" s="1155"/>
    </row>
    <row r="178" spans="5:71" s="474" customFormat="1" ht="12.75" customHeight="1">
      <c r="E178" s="4108"/>
      <c r="F178" s="1374" t="s">
        <v>590</v>
      </c>
      <c r="G178" s="1083"/>
      <c r="H178" s="1084"/>
      <c r="I178" s="1084"/>
      <c r="J178" s="1084"/>
      <c r="K178" s="1085"/>
      <c r="L178" s="255"/>
      <c r="M178" s="461"/>
      <c r="N178" s="461"/>
      <c r="O178" s="461"/>
      <c r="P178" s="281"/>
      <c r="Q178" s="956"/>
      <c r="R178" s="461"/>
      <c r="S178" s="461"/>
      <c r="T178" s="461"/>
      <c r="U178" s="281"/>
      <c r="V178" s="1172"/>
      <c r="W178" s="255"/>
      <c r="X178" s="461"/>
      <c r="Y178" s="461"/>
      <c r="Z178" s="461"/>
      <c r="AA178" s="281"/>
      <c r="AB178" s="1041"/>
      <c r="AC178" s="255"/>
      <c r="AD178" s="461"/>
      <c r="AE178" s="461"/>
      <c r="AF178" s="461"/>
      <c r="AG178" s="461"/>
      <c r="AH178" s="1047"/>
      <c r="AI178" s="1172"/>
      <c r="AJ178" s="1155"/>
      <c r="AK178" s="1155"/>
      <c r="AL178" s="1083"/>
      <c r="AM178" s="1084"/>
      <c r="AN178" s="1084"/>
      <c r="AO178" s="1084"/>
      <c r="AP178" s="1085"/>
      <c r="AQ178" s="259"/>
      <c r="AR178" s="466"/>
      <c r="AS178" s="283"/>
      <c r="AT178" s="1155"/>
      <c r="AU178" s="1155"/>
      <c r="AV178" s="1155"/>
      <c r="AW178" s="1155"/>
      <c r="AX178" s="1155"/>
      <c r="AY178" s="1155"/>
      <c r="AZ178" s="1155"/>
      <c r="BA178" s="1155"/>
      <c r="BB178" s="1155"/>
      <c r="BC178" s="1155"/>
      <c r="BD178" s="1155"/>
      <c r="BE178" s="1155"/>
      <c r="BF178" s="1155"/>
      <c r="BG178" s="1155"/>
      <c r="BH178" s="1155"/>
      <c r="BI178" s="1155"/>
      <c r="BJ178" s="1155"/>
      <c r="BK178" s="1155"/>
      <c r="BL178" s="1155"/>
      <c r="BM178" s="1155"/>
      <c r="BN178" s="1155"/>
      <c r="BO178" s="1155"/>
      <c r="BP178" s="1155"/>
      <c r="BQ178" s="1155"/>
      <c r="BR178" s="1155"/>
      <c r="BS178" s="1155"/>
    </row>
    <row r="179" spans="5:71" s="474" customFormat="1" ht="12.75" customHeight="1">
      <c r="E179" s="4108"/>
      <c r="F179" s="1374" t="s">
        <v>591</v>
      </c>
      <c r="G179" s="1083"/>
      <c r="H179" s="1084"/>
      <c r="I179" s="1084"/>
      <c r="J179" s="1084"/>
      <c r="K179" s="1085"/>
      <c r="L179" s="255"/>
      <c r="M179" s="461"/>
      <c r="N179" s="461"/>
      <c r="O179" s="461"/>
      <c r="P179" s="281"/>
      <c r="Q179" s="956"/>
      <c r="R179" s="461"/>
      <c r="S179" s="461"/>
      <c r="T179" s="461"/>
      <c r="U179" s="281"/>
      <c r="V179" s="1172"/>
      <c r="W179" s="255"/>
      <c r="X179" s="461"/>
      <c r="Y179" s="461"/>
      <c r="Z179" s="461"/>
      <c r="AA179" s="281"/>
      <c r="AB179" s="1041"/>
      <c r="AC179" s="255"/>
      <c r="AD179" s="461"/>
      <c r="AE179" s="461"/>
      <c r="AF179" s="461"/>
      <c r="AG179" s="461"/>
      <c r="AH179" s="1047"/>
      <c r="AI179" s="1172"/>
      <c r="AJ179" s="1155"/>
      <c r="AK179" s="1155"/>
      <c r="AL179" s="1083"/>
      <c r="AM179" s="1084"/>
      <c r="AN179" s="1084"/>
      <c r="AO179" s="1084"/>
      <c r="AP179" s="1085"/>
      <c r="AQ179" s="259"/>
      <c r="AR179" s="466"/>
      <c r="AS179" s="283"/>
      <c r="AT179" s="1155"/>
      <c r="AU179" s="1155"/>
      <c r="AV179" s="1155"/>
      <c r="AW179" s="1155"/>
      <c r="AX179" s="1155"/>
      <c r="AY179" s="1155"/>
      <c r="AZ179" s="1155"/>
      <c r="BA179" s="1155"/>
      <c r="BB179" s="1155"/>
      <c r="BC179" s="1155"/>
      <c r="BD179" s="1155"/>
      <c r="BE179" s="1155"/>
      <c r="BF179" s="1155"/>
      <c r="BG179" s="1155"/>
      <c r="BH179" s="1155"/>
      <c r="BI179" s="1155"/>
      <c r="BJ179" s="1155"/>
      <c r="BK179" s="1155"/>
      <c r="BL179" s="1155"/>
      <c r="BM179" s="1155"/>
      <c r="BN179" s="1155"/>
      <c r="BO179" s="1155"/>
      <c r="BP179" s="1155"/>
      <c r="BQ179" s="1155"/>
      <c r="BR179" s="1155"/>
      <c r="BS179" s="1155"/>
    </row>
    <row r="180" spans="5:71" s="474" customFormat="1" ht="12.75" customHeight="1">
      <c r="E180" s="4108"/>
      <c r="F180" s="1374" t="s">
        <v>592</v>
      </c>
      <c r="G180" s="1083"/>
      <c r="H180" s="1084"/>
      <c r="I180" s="1084"/>
      <c r="J180" s="1084"/>
      <c r="K180" s="1085"/>
      <c r="L180" s="207"/>
      <c r="M180" s="456"/>
      <c r="N180" s="456"/>
      <c r="O180" s="456"/>
      <c r="P180" s="457"/>
      <c r="Q180" s="224"/>
      <c r="R180" s="456"/>
      <c r="S180" s="456"/>
      <c r="T180" s="456"/>
      <c r="U180" s="457"/>
      <c r="V180" s="1172"/>
      <c r="W180" s="207">
        <v>0</v>
      </c>
      <c r="X180" s="456">
        <v>0</v>
      </c>
      <c r="Y180" s="456">
        <v>0</v>
      </c>
      <c r="Z180" s="456">
        <v>0</v>
      </c>
      <c r="AA180" s="457">
        <v>0</v>
      </c>
      <c r="AB180" s="1041"/>
      <c r="AC180" s="207">
        <v>0</v>
      </c>
      <c r="AD180" s="456">
        <v>0</v>
      </c>
      <c r="AE180" s="456">
        <v>0</v>
      </c>
      <c r="AF180" s="456">
        <v>0</v>
      </c>
      <c r="AG180" s="456">
        <v>0</v>
      </c>
      <c r="AH180" s="1048"/>
      <c r="AI180" s="1172"/>
      <c r="AJ180" s="1155"/>
      <c r="AK180" s="1155"/>
      <c r="AL180" s="1083"/>
      <c r="AM180" s="1084"/>
      <c r="AN180" s="1084"/>
      <c r="AO180" s="1084"/>
      <c r="AP180" s="1085"/>
      <c r="AQ180" s="207">
        <f>SUM(AQ175:AQ179)</f>
        <v>0</v>
      </c>
      <c r="AR180" s="456">
        <f t="shared" ref="AR180" si="672">SUM(AR175:AR179)</f>
        <v>0</v>
      </c>
      <c r="AS180" s="457"/>
      <c r="AT180" s="1155"/>
      <c r="AU180" s="1155"/>
      <c r="AV180" s="1155"/>
      <c r="AW180" s="1155"/>
      <c r="AX180" s="1155"/>
      <c r="AY180" s="1155"/>
      <c r="AZ180" s="1155"/>
      <c r="BA180" s="1155"/>
      <c r="BB180" s="1155"/>
      <c r="BC180" s="1155"/>
      <c r="BD180" s="1155"/>
      <c r="BE180" s="1155"/>
      <c r="BF180" s="1155"/>
      <c r="BG180" s="1155"/>
      <c r="BH180" s="1155"/>
      <c r="BI180" s="1155"/>
      <c r="BJ180" s="1155"/>
      <c r="BK180" s="1155"/>
      <c r="BL180" s="1155"/>
      <c r="BM180" s="1155"/>
      <c r="BN180" s="1155"/>
      <c r="BO180" s="1155"/>
      <c r="BP180" s="1155"/>
      <c r="BQ180" s="1155"/>
      <c r="BR180" s="1155"/>
      <c r="BS180" s="1155"/>
    </row>
    <row r="181" spans="5:71" s="474" customFormat="1">
      <c r="E181" s="4108"/>
      <c r="F181" s="1375" t="s">
        <v>587</v>
      </c>
      <c r="G181" s="1086"/>
      <c r="H181" s="1087"/>
      <c r="I181" s="1087"/>
      <c r="J181" s="1087"/>
      <c r="K181" s="1088"/>
      <c r="L181" s="258">
        <f>SUM(L176:L180)</f>
        <v>2292</v>
      </c>
      <c r="M181" s="465">
        <f t="shared" ref="M181" si="673">SUM(M176:M180)</f>
        <v>0</v>
      </c>
      <c r="N181" s="465">
        <f t="shared" ref="N181" si="674">SUM(N176:N180)</f>
        <v>0</v>
      </c>
      <c r="O181" s="465">
        <f t="shared" ref="O181" si="675">SUM(O176:O180)</f>
        <v>0</v>
      </c>
      <c r="P181" s="282">
        <f t="shared" ref="P181" si="676">SUM(P176:P180)</f>
        <v>0</v>
      </c>
      <c r="Q181" s="965">
        <f t="shared" ref="Q181" si="677">SUM(Q176:Q180)</f>
        <v>0</v>
      </c>
      <c r="R181" s="465">
        <f t="shared" ref="R181" si="678">SUM(R176:R180)</f>
        <v>0</v>
      </c>
      <c r="S181" s="465">
        <f t="shared" ref="S181" si="679">SUM(S176:S180)</f>
        <v>0</v>
      </c>
      <c r="T181" s="465">
        <f t="shared" ref="T181" si="680">SUM(T176:T180)</f>
        <v>0</v>
      </c>
      <c r="U181" s="282">
        <f t="shared" ref="U181" si="681">SUM(U176:U180)</f>
        <v>0</v>
      </c>
      <c r="V181" s="1172"/>
      <c r="W181" s="258">
        <f t="shared" ref="W181" si="682">SUM(W176:W180)</f>
        <v>0</v>
      </c>
      <c r="X181" s="465">
        <f t="shared" ref="X181" si="683">SUM(X176:X180)</f>
        <v>0</v>
      </c>
      <c r="Y181" s="465">
        <f t="shared" ref="Y181" si="684">SUM(Y176:Y180)</f>
        <v>0</v>
      </c>
      <c r="Z181" s="465">
        <f t="shared" ref="Z181" si="685">SUM(Z176:Z180)</f>
        <v>0</v>
      </c>
      <c r="AA181" s="282">
        <f t="shared" ref="AA181" si="686">SUM(AA176:AA180)</f>
        <v>0</v>
      </c>
      <c r="AB181" s="992"/>
      <c r="AC181" s="258">
        <f t="shared" ref="AC181" si="687">SUM(AC176:AC180)</f>
        <v>0</v>
      </c>
      <c r="AD181" s="465">
        <f t="shared" ref="AD181" si="688">SUM(AD176:AD180)</f>
        <v>0</v>
      </c>
      <c r="AE181" s="465">
        <f t="shared" ref="AE181" si="689">SUM(AE176:AE180)</f>
        <v>0</v>
      </c>
      <c r="AF181" s="465">
        <f t="shared" ref="AF181" si="690">SUM(AF176:AF180)</f>
        <v>0</v>
      </c>
      <c r="AG181" s="465">
        <f t="shared" ref="AG181" si="691">SUM(AG176:AG180)</f>
        <v>0</v>
      </c>
      <c r="AH181" s="1049"/>
      <c r="AI181" s="1172"/>
      <c r="AJ181" s="1155"/>
      <c r="AK181" s="1155"/>
      <c r="AL181" s="1086"/>
      <c r="AM181" s="1087"/>
      <c r="AN181" s="1087"/>
      <c r="AO181" s="1087"/>
      <c r="AP181" s="1088"/>
      <c r="AQ181" s="258"/>
      <c r="AR181" s="465"/>
      <c r="AS181" s="282"/>
      <c r="AT181" s="1155"/>
      <c r="AU181" s="1155"/>
      <c r="AV181" s="1155"/>
      <c r="AW181" s="1155"/>
      <c r="AX181" s="1155"/>
      <c r="AY181" s="1155"/>
      <c r="AZ181" s="1155"/>
      <c r="BA181" s="1155"/>
      <c r="BB181" s="1155"/>
      <c r="BC181" s="1155"/>
      <c r="BD181" s="1155"/>
      <c r="BE181" s="1155"/>
      <c r="BF181" s="1155"/>
      <c r="BG181" s="1155"/>
      <c r="BH181" s="1155"/>
      <c r="BI181" s="1155"/>
      <c r="BJ181" s="1155"/>
      <c r="BK181" s="1155"/>
      <c r="BL181" s="1155"/>
      <c r="BM181" s="1155"/>
      <c r="BN181" s="1155"/>
      <c r="BO181" s="1155"/>
      <c r="BP181" s="1155"/>
      <c r="BQ181" s="1155"/>
      <c r="BR181" s="1155"/>
      <c r="BS181" s="1155"/>
    </row>
    <row r="182" spans="5:71" s="474" customFormat="1">
      <c r="E182" s="4108"/>
      <c r="F182" s="1376" t="s">
        <v>593</v>
      </c>
      <c r="G182" s="1083"/>
      <c r="H182" s="1084"/>
      <c r="I182" s="1084"/>
      <c r="J182" s="1084"/>
      <c r="K182" s="1085"/>
      <c r="L182" s="255"/>
      <c r="M182" s="461"/>
      <c r="N182" s="461"/>
      <c r="O182" s="461"/>
      <c r="P182" s="281"/>
      <c r="Q182" s="956"/>
      <c r="R182" s="461"/>
      <c r="S182" s="461"/>
      <c r="T182" s="461"/>
      <c r="U182" s="281"/>
      <c r="V182" s="1172"/>
      <c r="W182" s="255"/>
      <c r="X182" s="461"/>
      <c r="Y182" s="461"/>
      <c r="Z182" s="461"/>
      <c r="AA182" s="281"/>
      <c r="AB182" s="1041"/>
      <c r="AC182" s="255"/>
      <c r="AD182" s="461"/>
      <c r="AE182" s="461"/>
      <c r="AF182" s="461"/>
      <c r="AG182" s="461"/>
      <c r="AH182" s="1047"/>
      <c r="AI182" s="1172"/>
      <c r="AJ182" s="1155"/>
      <c r="AK182" s="1155"/>
      <c r="AL182" s="1083"/>
      <c r="AM182" s="1084"/>
      <c r="AN182" s="1084"/>
      <c r="AO182" s="1084"/>
      <c r="AP182" s="1085"/>
      <c r="AQ182" s="259"/>
      <c r="AR182" s="466"/>
      <c r="AS182" s="283"/>
      <c r="AT182" s="1155"/>
      <c r="AU182" s="1155"/>
      <c r="AV182" s="1155"/>
      <c r="AW182" s="1155"/>
      <c r="AX182" s="1155"/>
      <c r="AY182" s="1155"/>
      <c r="AZ182" s="1155"/>
      <c r="BA182" s="1155"/>
      <c r="BB182" s="1155"/>
      <c r="BC182" s="1155"/>
      <c r="BD182" s="1155"/>
      <c r="BE182" s="1155"/>
      <c r="BF182" s="1155"/>
      <c r="BG182" s="1155"/>
      <c r="BH182" s="1155"/>
      <c r="BI182" s="1155"/>
      <c r="BJ182" s="1155"/>
      <c r="BK182" s="1155"/>
      <c r="BL182" s="1155"/>
      <c r="BM182" s="1155"/>
      <c r="BN182" s="1155"/>
      <c r="BO182" s="1155"/>
      <c r="BP182" s="1155"/>
      <c r="BQ182" s="1155"/>
      <c r="BR182" s="1155"/>
      <c r="BS182" s="1155"/>
    </row>
    <row r="183" spans="5:71" s="474" customFormat="1">
      <c r="E183" s="4108"/>
      <c r="F183" s="431" t="s">
        <v>558</v>
      </c>
      <c r="G183" s="1083"/>
      <c r="H183" s="1084"/>
      <c r="I183" s="1084"/>
      <c r="J183" s="1084"/>
      <c r="K183" s="1085"/>
      <c r="L183" s="255">
        <v>326939.7</v>
      </c>
      <c r="M183" s="461"/>
      <c r="N183" s="461"/>
      <c r="O183" s="461"/>
      <c r="P183" s="281"/>
      <c r="Q183" s="956"/>
      <c r="R183" s="461"/>
      <c r="S183" s="461"/>
      <c r="T183" s="461"/>
      <c r="U183" s="281"/>
      <c r="V183" s="1172"/>
      <c r="W183" s="255"/>
      <c r="X183" s="461"/>
      <c r="Y183" s="461"/>
      <c r="Z183" s="461"/>
      <c r="AA183" s="281"/>
      <c r="AB183" s="1041"/>
      <c r="AC183" s="255"/>
      <c r="AD183" s="461"/>
      <c r="AE183" s="461"/>
      <c r="AF183" s="461"/>
      <c r="AG183" s="461"/>
      <c r="AH183" s="1047"/>
      <c r="AI183" s="1172"/>
      <c r="AJ183" s="1155"/>
      <c r="AK183" s="1155"/>
      <c r="AL183" s="1083"/>
      <c r="AM183" s="1084"/>
      <c r="AN183" s="1084"/>
      <c r="AO183" s="1084"/>
      <c r="AP183" s="1085"/>
      <c r="AQ183" s="259"/>
      <c r="AR183" s="466"/>
      <c r="AS183" s="283"/>
      <c r="AT183" s="1155"/>
      <c r="AU183" s="1155"/>
      <c r="AV183" s="1155"/>
      <c r="AW183" s="1155"/>
      <c r="AX183" s="1155"/>
      <c r="AY183" s="1155"/>
      <c r="AZ183" s="1155"/>
      <c r="BA183" s="1155"/>
      <c r="BB183" s="1155"/>
      <c r="BC183" s="1155"/>
      <c r="BD183" s="1155"/>
      <c r="BE183" s="1155"/>
      <c r="BF183" s="1155"/>
      <c r="BG183" s="1155"/>
      <c r="BH183" s="1155"/>
      <c r="BI183" s="1155"/>
      <c r="BJ183" s="1155"/>
      <c r="BK183" s="1155"/>
      <c r="BL183" s="1155"/>
      <c r="BM183" s="1155"/>
      <c r="BN183" s="1155"/>
      <c r="BO183" s="1155"/>
      <c r="BP183" s="1155"/>
      <c r="BQ183" s="1155"/>
      <c r="BR183" s="1155"/>
      <c r="BS183" s="1155"/>
    </row>
    <row r="184" spans="5:71" s="474" customFormat="1">
      <c r="E184" s="4108"/>
      <c r="F184" s="431" t="s">
        <v>559</v>
      </c>
      <c r="G184" s="1083"/>
      <c r="H184" s="1084"/>
      <c r="I184" s="1084"/>
      <c r="J184" s="1084"/>
      <c r="K184" s="1085"/>
      <c r="L184" s="255"/>
      <c r="M184" s="461"/>
      <c r="N184" s="461"/>
      <c r="O184" s="461"/>
      <c r="P184" s="281"/>
      <c r="Q184" s="956"/>
      <c r="R184" s="461"/>
      <c r="S184" s="461"/>
      <c r="T184" s="461"/>
      <c r="U184" s="281"/>
      <c r="V184" s="1172"/>
      <c r="W184" s="255"/>
      <c r="X184" s="461"/>
      <c r="Y184" s="461"/>
      <c r="Z184" s="461"/>
      <c r="AA184" s="281"/>
      <c r="AB184" s="1041"/>
      <c r="AC184" s="255"/>
      <c r="AD184" s="461"/>
      <c r="AE184" s="461"/>
      <c r="AF184" s="461"/>
      <c r="AG184" s="461"/>
      <c r="AH184" s="1047"/>
      <c r="AI184" s="1172"/>
      <c r="AJ184" s="1155"/>
      <c r="AK184" s="1155"/>
      <c r="AL184" s="1083"/>
      <c r="AM184" s="1084"/>
      <c r="AN184" s="1084"/>
      <c r="AO184" s="1084"/>
      <c r="AP184" s="1085"/>
      <c r="AQ184" s="259"/>
      <c r="AR184" s="466"/>
      <c r="AS184" s="283"/>
      <c r="AT184" s="1155"/>
      <c r="AU184" s="1155"/>
      <c r="AV184" s="1155"/>
      <c r="AW184" s="1155"/>
      <c r="AX184" s="1155"/>
      <c r="AY184" s="1155"/>
      <c r="AZ184" s="1155"/>
      <c r="BA184" s="1155"/>
      <c r="BB184" s="1155"/>
      <c r="BC184" s="1155"/>
      <c r="BD184" s="1155"/>
      <c r="BE184" s="1155"/>
      <c r="BF184" s="1155"/>
      <c r="BG184" s="1155"/>
      <c r="BH184" s="1155"/>
      <c r="BI184" s="1155"/>
      <c r="BJ184" s="1155"/>
      <c r="BK184" s="1155"/>
      <c r="BL184" s="1155"/>
      <c r="BM184" s="1155"/>
      <c r="BN184" s="1155"/>
      <c r="BO184" s="1155"/>
      <c r="BP184" s="1155"/>
      <c r="BQ184" s="1155"/>
      <c r="BR184" s="1155"/>
      <c r="BS184" s="1155"/>
    </row>
    <row r="185" spans="5:71" s="474" customFormat="1">
      <c r="E185" s="4108"/>
      <c r="F185" s="431" t="s">
        <v>578</v>
      </c>
      <c r="G185" s="1089"/>
      <c r="H185" s="1090"/>
      <c r="I185" s="1090"/>
      <c r="J185" s="1090"/>
      <c r="K185" s="1091"/>
      <c r="L185" s="259"/>
      <c r="M185" s="456"/>
      <c r="N185" s="456"/>
      <c r="O185" s="456"/>
      <c r="P185" s="457"/>
      <c r="Q185" s="224"/>
      <c r="R185" s="456"/>
      <c r="S185" s="456"/>
      <c r="T185" s="456"/>
      <c r="U185" s="457"/>
      <c r="V185" s="1172"/>
      <c r="W185" s="207"/>
      <c r="X185" s="456"/>
      <c r="Y185" s="456"/>
      <c r="Z185" s="456"/>
      <c r="AA185" s="457"/>
      <c r="AB185" s="1041"/>
      <c r="AC185" s="207"/>
      <c r="AD185" s="456"/>
      <c r="AE185" s="456"/>
      <c r="AF185" s="456"/>
      <c r="AG185" s="456"/>
      <c r="AH185" s="1048"/>
      <c r="AI185" s="1172"/>
      <c r="AJ185" s="1155"/>
      <c r="AK185" s="1155"/>
      <c r="AL185" s="1089"/>
      <c r="AM185" s="1090"/>
      <c r="AN185" s="1090"/>
      <c r="AO185" s="1090"/>
      <c r="AP185" s="1091"/>
      <c r="AQ185" s="259"/>
      <c r="AR185" s="466"/>
      <c r="AS185" s="283"/>
      <c r="AT185" s="1155"/>
      <c r="AU185" s="1155"/>
      <c r="AV185" s="1155"/>
      <c r="AW185" s="1155"/>
      <c r="AX185" s="1155"/>
      <c r="AY185" s="1155"/>
      <c r="AZ185" s="1155"/>
      <c r="BA185" s="1155"/>
      <c r="BB185" s="1155"/>
      <c r="BC185" s="1155"/>
      <c r="BD185" s="1155"/>
      <c r="BE185" s="1155"/>
      <c r="BF185" s="1155"/>
      <c r="BG185" s="1155"/>
      <c r="BH185" s="1155"/>
      <c r="BI185" s="1155"/>
      <c r="BJ185" s="1155"/>
      <c r="BK185" s="1155"/>
      <c r="BL185" s="1155"/>
      <c r="BM185" s="1155"/>
      <c r="BN185" s="1155"/>
      <c r="BO185" s="1155"/>
      <c r="BP185" s="1155"/>
      <c r="BQ185" s="1155"/>
      <c r="BR185" s="1155"/>
      <c r="BS185" s="1155"/>
    </row>
    <row r="186" spans="5:71" s="474" customFormat="1">
      <c r="E186" s="4108"/>
      <c r="F186" s="1377" t="s">
        <v>579</v>
      </c>
      <c r="G186" s="1086"/>
      <c r="H186" s="1087"/>
      <c r="I186" s="1087"/>
      <c r="J186" s="1087"/>
      <c r="K186" s="1088"/>
      <c r="L186" s="258">
        <f>SUM(L182:L185)</f>
        <v>326939.7</v>
      </c>
      <c r="M186" s="465">
        <f t="shared" ref="M186" si="692">SUM(M182:M185)</f>
        <v>0</v>
      </c>
      <c r="N186" s="465">
        <f t="shared" ref="N186" si="693">SUM(N182:N185)</f>
        <v>0</v>
      </c>
      <c r="O186" s="465">
        <f t="shared" ref="O186" si="694">SUM(O182:O185)</f>
        <v>0</v>
      </c>
      <c r="P186" s="282">
        <f t="shared" ref="P186" si="695">SUM(P182:P185)</f>
        <v>0</v>
      </c>
      <c r="Q186" s="965">
        <f t="shared" ref="Q186" si="696">SUM(Q182:Q185)</f>
        <v>0</v>
      </c>
      <c r="R186" s="465">
        <f t="shared" ref="R186" si="697">SUM(R182:R185)</f>
        <v>0</v>
      </c>
      <c r="S186" s="465">
        <f t="shared" ref="S186" si="698">SUM(S182:S185)</f>
        <v>0</v>
      </c>
      <c r="T186" s="465">
        <f t="shared" ref="T186" si="699">SUM(T182:T185)</f>
        <v>0</v>
      </c>
      <c r="U186" s="282">
        <f t="shared" ref="U186" si="700">SUM(U182:U185)</f>
        <v>0</v>
      </c>
      <c r="V186" s="1172"/>
      <c r="W186" s="258">
        <f t="shared" ref="W186" si="701">SUM(W182:W185)</f>
        <v>0</v>
      </c>
      <c r="X186" s="465">
        <f t="shared" ref="X186" si="702">SUM(X182:X185)</f>
        <v>0</v>
      </c>
      <c r="Y186" s="465">
        <f t="shared" ref="Y186" si="703">SUM(Y182:Y185)</f>
        <v>0</v>
      </c>
      <c r="Z186" s="465">
        <f t="shared" ref="Z186" si="704">SUM(Z182:Z185)</f>
        <v>0</v>
      </c>
      <c r="AA186" s="282">
        <f t="shared" ref="AA186" si="705">SUM(AA182:AA185)</f>
        <v>0</v>
      </c>
      <c r="AB186" s="992"/>
      <c r="AC186" s="258">
        <f t="shared" ref="AC186" si="706">SUM(AC182:AC185)</f>
        <v>0</v>
      </c>
      <c r="AD186" s="465">
        <f t="shared" ref="AD186" si="707">SUM(AD182:AD185)</f>
        <v>0</v>
      </c>
      <c r="AE186" s="465">
        <f t="shared" ref="AE186" si="708">SUM(AE182:AE185)</f>
        <v>0</v>
      </c>
      <c r="AF186" s="465">
        <f t="shared" ref="AF186" si="709">SUM(AF182:AF185)</f>
        <v>0</v>
      </c>
      <c r="AG186" s="465">
        <f t="shared" ref="AG186" si="710">SUM(AG182:AG185)</f>
        <v>0</v>
      </c>
      <c r="AH186" s="1049"/>
      <c r="AI186" s="1172"/>
      <c r="AJ186" s="1155"/>
      <c r="AK186" s="1155"/>
      <c r="AL186" s="1086"/>
      <c r="AM186" s="1087"/>
      <c r="AN186" s="1087"/>
      <c r="AO186" s="1087"/>
      <c r="AP186" s="1088"/>
      <c r="AQ186" s="258">
        <f>SUM(AQ183:AQ185)</f>
        <v>0</v>
      </c>
      <c r="AR186" s="465">
        <f t="shared" ref="AR186" si="711">SUM(AR183:AR185)</f>
        <v>0</v>
      </c>
      <c r="AS186" s="282"/>
      <c r="AT186" s="1155"/>
      <c r="AU186" s="1155"/>
      <c r="AV186" s="1155"/>
      <c r="AW186" s="1155"/>
      <c r="AX186" s="1155"/>
      <c r="AY186" s="1155"/>
      <c r="AZ186" s="1155"/>
      <c r="BA186" s="1155"/>
      <c r="BB186" s="1155"/>
      <c r="BC186" s="1155"/>
      <c r="BD186" s="1155"/>
      <c r="BE186" s="1155"/>
      <c r="BF186" s="1155"/>
      <c r="BG186" s="1155"/>
      <c r="BH186" s="1155"/>
      <c r="BI186" s="1155"/>
      <c r="BJ186" s="1155"/>
      <c r="BK186" s="1155"/>
      <c r="BL186" s="1155"/>
      <c r="BM186" s="1155"/>
      <c r="BN186" s="1155"/>
      <c r="BO186" s="1155"/>
      <c r="BP186" s="1155"/>
      <c r="BQ186" s="1155"/>
      <c r="BR186" s="1155"/>
      <c r="BS186" s="1155"/>
    </row>
    <row r="187" spans="5:71" s="474" customFormat="1" ht="13.5" thickBot="1">
      <c r="E187" s="4108"/>
      <c r="F187" s="1035" t="s">
        <v>583</v>
      </c>
      <c r="G187" s="255"/>
      <c r="H187" s="461"/>
      <c r="I187" s="461"/>
      <c r="J187" s="461"/>
      <c r="K187" s="281"/>
      <c r="L187" s="207"/>
      <c r="M187" s="456"/>
      <c r="N187" s="456"/>
      <c r="O187" s="456"/>
      <c r="P187" s="457"/>
      <c r="Q187" s="224"/>
      <c r="R187" s="456"/>
      <c r="S187" s="456"/>
      <c r="T187" s="456"/>
      <c r="U187" s="457"/>
      <c r="V187" s="1172"/>
      <c r="W187" s="207"/>
      <c r="X187" s="461"/>
      <c r="Y187" s="461"/>
      <c r="Z187" s="461"/>
      <c r="AA187" s="281"/>
      <c r="AB187" s="1041"/>
      <c r="AC187" s="207"/>
      <c r="AD187" s="456"/>
      <c r="AE187" s="456"/>
      <c r="AF187" s="456"/>
      <c r="AG187" s="456"/>
      <c r="AH187" s="1048"/>
      <c r="AI187" s="1172"/>
      <c r="AJ187" s="1155"/>
      <c r="AK187" s="1155"/>
      <c r="AL187" s="259"/>
      <c r="AM187" s="466"/>
      <c r="AN187" s="466"/>
      <c r="AO187" s="466"/>
      <c r="AP187" s="283"/>
      <c r="AQ187" s="259"/>
      <c r="AR187" s="466"/>
      <c r="AS187" s="283"/>
      <c r="AT187" s="1155"/>
      <c r="AU187" s="1155"/>
      <c r="AV187" s="1155"/>
      <c r="AW187" s="1155"/>
      <c r="AX187" s="1155"/>
      <c r="AY187" s="1155"/>
      <c r="AZ187" s="1155"/>
      <c r="BA187" s="1155"/>
      <c r="BB187" s="1155"/>
      <c r="BC187" s="1155"/>
      <c r="BD187" s="1155"/>
      <c r="BE187" s="1155"/>
      <c r="BF187" s="1155"/>
      <c r="BG187" s="1155"/>
      <c r="BH187" s="1155"/>
      <c r="BI187" s="1155"/>
      <c r="BJ187" s="1155"/>
      <c r="BK187" s="1155"/>
      <c r="BL187" s="1155"/>
      <c r="BM187" s="1155"/>
      <c r="BN187" s="1155"/>
      <c r="BO187" s="1155"/>
      <c r="BP187" s="1155"/>
      <c r="BQ187" s="1155"/>
      <c r="BR187" s="1155"/>
      <c r="BS187" s="1155"/>
    </row>
    <row r="188" spans="5:71" s="474" customFormat="1" ht="13.5" thickBot="1">
      <c r="E188" s="4108"/>
      <c r="F188" s="1380" t="s">
        <v>581</v>
      </c>
      <c r="G188" s="1599"/>
      <c r="H188" s="1600"/>
      <c r="I188" s="1600"/>
      <c r="J188" s="1600"/>
      <c r="K188" s="1601"/>
      <c r="L188" s="1599"/>
      <c r="M188" s="1600"/>
      <c r="N188" s="1600"/>
      <c r="O188" s="1600"/>
      <c r="P188" s="1601"/>
      <c r="Q188" s="1602"/>
      <c r="R188" s="1600"/>
      <c r="S188" s="1600"/>
      <c r="T188" s="1600"/>
      <c r="U188" s="1601"/>
      <c r="V188" s="1172"/>
      <c r="W188" s="1614"/>
      <c r="X188" s="1615"/>
      <c r="Y188" s="1615"/>
      <c r="Z188" s="1615"/>
      <c r="AA188" s="1615"/>
      <c r="AB188" s="1615"/>
      <c r="AC188" s="1615"/>
      <c r="AD188" s="1615"/>
      <c r="AE188" s="1615"/>
      <c r="AF188" s="1615"/>
      <c r="AG188" s="1615"/>
      <c r="AH188" s="1616"/>
      <c r="AI188" s="1172"/>
      <c r="AJ188" s="1155"/>
      <c r="AK188" s="1155"/>
      <c r="AL188" s="259"/>
      <c r="AM188" s="466"/>
      <c r="AN188" s="466"/>
      <c r="AO188" s="466"/>
      <c r="AP188" s="283"/>
      <c r="AQ188" s="259"/>
      <c r="AR188" s="466"/>
      <c r="AS188" s="283"/>
      <c r="AT188" s="1155"/>
      <c r="AU188" s="1155"/>
      <c r="AV188" s="1155"/>
      <c r="AW188" s="1155"/>
      <c r="AX188" s="1155"/>
      <c r="AY188" s="1155"/>
      <c r="AZ188" s="1155"/>
      <c r="BA188" s="1155"/>
      <c r="BB188" s="1155"/>
      <c r="BC188" s="1155"/>
      <c r="BD188" s="1155"/>
      <c r="BE188" s="1155"/>
      <c r="BF188" s="1155"/>
      <c r="BG188" s="1155"/>
      <c r="BH188" s="1155"/>
      <c r="BI188" s="1155"/>
      <c r="BJ188" s="1155"/>
      <c r="BK188" s="1155"/>
      <c r="BL188" s="1155"/>
      <c r="BM188" s="1155"/>
      <c r="BN188" s="1155"/>
      <c r="BO188" s="1155"/>
      <c r="BP188" s="1155"/>
      <c r="BQ188" s="1155"/>
      <c r="BR188" s="1155"/>
      <c r="BS188" s="1155"/>
    </row>
    <row r="189" spans="5:71" s="474" customFormat="1">
      <c r="E189" s="4108"/>
      <c r="F189" s="1378" t="s">
        <v>584</v>
      </c>
      <c r="G189" s="1050">
        <v>0</v>
      </c>
      <c r="H189" s="1051">
        <v>0</v>
      </c>
      <c r="I189" s="1051">
        <v>0</v>
      </c>
      <c r="J189" s="1051">
        <v>0</v>
      </c>
      <c r="K189" s="1052">
        <v>0</v>
      </c>
      <c r="L189" s="1050">
        <f>SUM(L186:L188)</f>
        <v>326939.7</v>
      </c>
      <c r="M189" s="1051">
        <f t="shared" ref="M189" si="712">SUM(M186:M188)</f>
        <v>0</v>
      </c>
      <c r="N189" s="1051">
        <f t="shared" ref="N189" si="713">SUM(N186:N188)</f>
        <v>0</v>
      </c>
      <c r="O189" s="1051">
        <f t="shared" ref="O189" si="714">SUM(O186:O188)</f>
        <v>0</v>
      </c>
      <c r="P189" s="1052">
        <f t="shared" ref="P189" si="715">SUM(P186:P188)</f>
        <v>0</v>
      </c>
      <c r="Q189" s="1092">
        <f t="shared" ref="Q189" si="716">SUM(Q186:Q188)</f>
        <v>0</v>
      </c>
      <c r="R189" s="1051">
        <f t="shared" ref="R189" si="717">SUM(R186:R188)</f>
        <v>0</v>
      </c>
      <c r="S189" s="1051">
        <f t="shared" ref="S189" si="718">SUM(S186:S188)</f>
        <v>0</v>
      </c>
      <c r="T189" s="1051">
        <f t="shared" ref="T189" si="719">SUM(T186:T188)</f>
        <v>0</v>
      </c>
      <c r="U189" s="1052">
        <f t="shared" ref="U189" si="720">SUM(U186:U188)</f>
        <v>0</v>
      </c>
      <c r="V189" s="1172"/>
      <c r="W189" s="1050">
        <f t="shared" ref="W189" si="721">SUM(W186:W188)</f>
        <v>0</v>
      </c>
      <c r="X189" s="1051">
        <f t="shared" ref="X189" si="722">SUM(X186:X188)</f>
        <v>0</v>
      </c>
      <c r="Y189" s="1051">
        <f t="shared" ref="Y189" si="723">SUM(Y186:Y188)</f>
        <v>0</v>
      </c>
      <c r="Z189" s="1051">
        <f t="shared" ref="Z189" si="724">SUM(Z186:Z188)</f>
        <v>0</v>
      </c>
      <c r="AA189" s="1052">
        <f t="shared" ref="AA189" si="725">SUM(AA186:AA188)</f>
        <v>0</v>
      </c>
      <c r="AB189" s="1053"/>
      <c r="AC189" s="1050">
        <f t="shared" ref="AC189" si="726">SUM(AC186:AC188)</f>
        <v>0</v>
      </c>
      <c r="AD189" s="1051">
        <f t="shared" ref="AD189" si="727">SUM(AD186:AD188)</f>
        <v>0</v>
      </c>
      <c r="AE189" s="1051">
        <f t="shared" ref="AE189" si="728">SUM(AE186:AE188)</f>
        <v>0</v>
      </c>
      <c r="AF189" s="1051">
        <f t="shared" ref="AF189" si="729">SUM(AF186:AF188)</f>
        <v>0</v>
      </c>
      <c r="AG189" s="1051">
        <f t="shared" ref="AG189" si="730">SUM(AG186:AG188)</f>
        <v>0</v>
      </c>
      <c r="AH189" s="1054"/>
      <c r="AI189" s="1172"/>
      <c r="AJ189" s="130"/>
      <c r="AK189" s="130"/>
      <c r="AL189" s="1050">
        <f t="shared" ref="AL189:AR189" si="731">SUM(AL187:AL188)</f>
        <v>0</v>
      </c>
      <c r="AM189" s="1051">
        <f t="shared" si="731"/>
        <v>0</v>
      </c>
      <c r="AN189" s="1051">
        <f t="shared" si="731"/>
        <v>0</v>
      </c>
      <c r="AO189" s="1051">
        <f t="shared" si="731"/>
        <v>0</v>
      </c>
      <c r="AP189" s="1052">
        <f t="shared" si="731"/>
        <v>0</v>
      </c>
      <c r="AQ189" s="1050">
        <f t="shared" si="731"/>
        <v>0</v>
      </c>
      <c r="AR189" s="1051">
        <f t="shared" si="731"/>
        <v>0</v>
      </c>
      <c r="AS189" s="1052"/>
      <c r="AT189" s="130"/>
      <c r="AU189" s="130"/>
      <c r="AV189" s="130"/>
      <c r="AW189" s="130"/>
      <c r="AX189" s="130"/>
      <c r="AY189" s="130"/>
      <c r="AZ189" s="130"/>
      <c r="BA189" s="130"/>
      <c r="BB189" s="130"/>
      <c r="BC189" s="130"/>
      <c r="BD189" s="130"/>
      <c r="BE189" s="130"/>
      <c r="BF189" s="130"/>
      <c r="BG189" s="130"/>
      <c r="BH189" s="130"/>
      <c r="BI189" s="130"/>
      <c r="BJ189" s="130"/>
      <c r="BK189" s="130"/>
      <c r="BL189" s="130"/>
      <c r="BM189" s="130"/>
      <c r="BN189" s="130"/>
      <c r="BO189" s="130"/>
      <c r="BP189" s="130"/>
      <c r="BQ189" s="130"/>
      <c r="BR189" s="130"/>
      <c r="BS189" s="1155"/>
    </row>
    <row r="190" spans="5:71" s="474" customFormat="1">
      <c r="E190" s="4108"/>
      <c r="F190" s="1389" t="s">
        <v>35</v>
      </c>
      <c r="G190" s="255"/>
      <c r="H190" s="461"/>
      <c r="I190" s="461"/>
      <c r="J190" s="461"/>
      <c r="K190" s="281"/>
      <c r="L190" s="255"/>
      <c r="M190" s="461"/>
      <c r="N190" s="461"/>
      <c r="O190" s="461"/>
      <c r="P190" s="281"/>
      <c r="Q190" s="956"/>
      <c r="R190" s="461"/>
      <c r="S190" s="461"/>
      <c r="T190" s="461"/>
      <c r="U190" s="281"/>
      <c r="V190" s="1172"/>
      <c r="W190" s="255"/>
      <c r="X190" s="461"/>
      <c r="Y190" s="461"/>
      <c r="Z190" s="461"/>
      <c r="AA190" s="281"/>
      <c r="AB190" s="1004"/>
      <c r="AC190" s="255"/>
      <c r="AD190" s="461"/>
      <c r="AE190" s="461"/>
      <c r="AF190" s="461"/>
      <c r="AG190" s="461"/>
      <c r="AH190" s="1047"/>
      <c r="AI190" s="1172"/>
      <c r="AJ190" s="1155"/>
      <c r="AK190" s="1155"/>
      <c r="AL190" s="259"/>
      <c r="AM190" s="466"/>
      <c r="AN190" s="466"/>
      <c r="AO190" s="466"/>
      <c r="AP190" s="283"/>
      <c r="AQ190" s="259"/>
      <c r="AR190" s="466"/>
      <c r="AS190" s="283"/>
      <c r="AT190" s="1155"/>
      <c r="AU190" s="1155"/>
      <c r="AV190" s="1155"/>
      <c r="AW190" s="1155"/>
      <c r="AX190" s="1155"/>
      <c r="AY190" s="1155"/>
      <c r="AZ190" s="1155"/>
      <c r="BA190" s="1155"/>
      <c r="BB190" s="1155"/>
      <c r="BC190" s="1155"/>
      <c r="BD190" s="1155"/>
      <c r="BE190" s="1155"/>
      <c r="BF190" s="1155"/>
      <c r="BG190" s="1155"/>
      <c r="BH190" s="1155"/>
      <c r="BI190" s="1155"/>
      <c r="BJ190" s="1155"/>
      <c r="BK190" s="1155"/>
      <c r="BL190" s="1155"/>
      <c r="BM190" s="1155"/>
      <c r="BN190" s="1155"/>
      <c r="BO190" s="1155"/>
      <c r="BP190" s="1155"/>
      <c r="BQ190" s="1155"/>
      <c r="BR190" s="1155"/>
      <c r="BS190" s="1155"/>
    </row>
    <row r="191" spans="5:71" s="474" customFormat="1" ht="13.5" thickBot="1">
      <c r="E191" s="4109"/>
      <c r="F191" s="1387" t="s">
        <v>585</v>
      </c>
      <c r="G191" s="1055">
        <v>0</v>
      </c>
      <c r="H191" s="1056">
        <v>0</v>
      </c>
      <c r="I191" s="1056">
        <v>0</v>
      </c>
      <c r="J191" s="1056">
        <v>0</v>
      </c>
      <c r="K191" s="1057">
        <v>0</v>
      </c>
      <c r="L191" s="1567">
        <f>L189-L190</f>
        <v>326939.7</v>
      </c>
      <c r="M191" s="1056">
        <f t="shared" ref="M191" si="732">M189-M190</f>
        <v>0</v>
      </c>
      <c r="N191" s="1056">
        <f t="shared" ref="N191" si="733">N189-N190</f>
        <v>0</v>
      </c>
      <c r="O191" s="1056">
        <f t="shared" ref="O191" si="734">O189-O190</f>
        <v>0</v>
      </c>
      <c r="P191" s="1057">
        <f t="shared" ref="P191" si="735">P189-P190</f>
        <v>0</v>
      </c>
      <c r="Q191" s="1093">
        <f t="shared" ref="Q191" si="736">Q189-Q190</f>
        <v>0</v>
      </c>
      <c r="R191" s="1056">
        <f t="shared" ref="R191" si="737">R189-R190</f>
        <v>0</v>
      </c>
      <c r="S191" s="1056">
        <f t="shared" ref="S191" si="738">S189-S190</f>
        <v>0</v>
      </c>
      <c r="T191" s="1056">
        <f t="shared" ref="T191" si="739">T189-T190</f>
        <v>0</v>
      </c>
      <c r="U191" s="1057">
        <f t="shared" ref="U191" si="740">U189-U190</f>
        <v>0</v>
      </c>
      <c r="V191" s="1172"/>
      <c r="W191" s="1055">
        <f t="shared" ref="W191" si="741">W189-W190</f>
        <v>0</v>
      </c>
      <c r="X191" s="1056">
        <f t="shared" ref="X191" si="742">X189-X190</f>
        <v>0</v>
      </c>
      <c r="Y191" s="1056">
        <f t="shared" ref="Y191" si="743">Y189-Y190</f>
        <v>0</v>
      </c>
      <c r="Z191" s="1056">
        <f t="shared" ref="Z191" si="744">Z189-Z190</f>
        <v>0</v>
      </c>
      <c r="AA191" s="1057">
        <f t="shared" ref="AA191" si="745">AA189-AA190</f>
        <v>0</v>
      </c>
      <c r="AB191" s="1075"/>
      <c r="AC191" s="1055">
        <f t="shared" ref="AC191" si="746">AC189-AC190</f>
        <v>0</v>
      </c>
      <c r="AD191" s="1056">
        <f t="shared" ref="AD191" si="747">AD189-AD190</f>
        <v>0</v>
      </c>
      <c r="AE191" s="1056">
        <f t="shared" ref="AE191" si="748">AE189-AE190</f>
        <v>0</v>
      </c>
      <c r="AF191" s="1056">
        <f t="shared" ref="AF191" si="749">AF189-AF190</f>
        <v>0</v>
      </c>
      <c r="AG191" s="1056">
        <f t="shared" ref="AG191" si="750">AG189-AG190</f>
        <v>0</v>
      </c>
      <c r="AH191" s="1059"/>
      <c r="AI191" s="1172"/>
      <c r="AJ191" s="1155"/>
      <c r="AK191" s="1155"/>
      <c r="AL191" s="1567">
        <f>AL189-AL190</f>
        <v>0</v>
      </c>
      <c r="AM191" s="1056">
        <f t="shared" ref="AM191:AR191" si="751">AM189-AM190</f>
        <v>0</v>
      </c>
      <c r="AN191" s="1056">
        <f t="shared" si="751"/>
        <v>0</v>
      </c>
      <c r="AO191" s="1056">
        <f t="shared" si="751"/>
        <v>0</v>
      </c>
      <c r="AP191" s="1057">
        <f t="shared" si="751"/>
        <v>0</v>
      </c>
      <c r="AQ191" s="1567">
        <f t="shared" si="751"/>
        <v>0</v>
      </c>
      <c r="AR191" s="1056">
        <f t="shared" si="751"/>
        <v>0</v>
      </c>
      <c r="AS191" s="1057"/>
      <c r="AT191" s="1155"/>
      <c r="AU191" s="1155"/>
      <c r="AV191" s="1155"/>
      <c r="AW191" s="1155"/>
      <c r="AX191" s="1155"/>
      <c r="AY191" s="1155"/>
      <c r="AZ191" s="1155"/>
      <c r="BA191" s="1155"/>
      <c r="BB191" s="1155"/>
      <c r="BC191" s="1155"/>
      <c r="BD191" s="1155"/>
      <c r="BE191" s="1155"/>
      <c r="BF191" s="1155"/>
      <c r="BG191" s="1155"/>
      <c r="BH191" s="1155"/>
      <c r="BI191" s="1155"/>
      <c r="BJ191" s="1155"/>
      <c r="BK191" s="1155"/>
      <c r="BL191" s="1155"/>
      <c r="BM191" s="1155"/>
      <c r="BN191" s="1155"/>
      <c r="BO191" s="1155"/>
      <c r="BP191" s="1155"/>
      <c r="BQ191" s="1155"/>
      <c r="BR191" s="1155"/>
      <c r="BS191" s="1155"/>
    </row>
    <row r="192" spans="5:71" s="474" customFormat="1" ht="12.75" customHeight="1">
      <c r="E192" s="4110" t="s">
        <v>1487</v>
      </c>
      <c r="F192" s="433" t="s">
        <v>111</v>
      </c>
      <c r="G192" s="1086"/>
      <c r="H192" s="1087"/>
      <c r="I192" s="1087"/>
      <c r="J192" s="1087"/>
      <c r="K192" s="1088"/>
      <c r="L192" s="258"/>
      <c r="M192" s="465"/>
      <c r="N192" s="465"/>
      <c r="O192" s="465"/>
      <c r="P192" s="282"/>
      <c r="Q192" s="965"/>
      <c r="R192" s="465"/>
      <c r="S192" s="465"/>
      <c r="T192" s="465"/>
      <c r="U192" s="282"/>
      <c r="V192" s="1172"/>
      <c r="W192" s="1043"/>
      <c r="X192" s="421"/>
      <c r="Y192" s="421"/>
      <c r="Z192" s="421"/>
      <c r="AA192" s="1044"/>
      <c r="AB192" s="1045"/>
      <c r="AC192" s="1043"/>
      <c r="AD192" s="421"/>
      <c r="AE192" s="421"/>
      <c r="AF192" s="421"/>
      <c r="AG192" s="421"/>
      <c r="AH192" s="1046"/>
      <c r="AI192" s="1172"/>
      <c r="AJ192" s="1155"/>
      <c r="AK192" s="1155"/>
      <c r="AL192" s="1086"/>
      <c r="AM192" s="1087"/>
      <c r="AN192" s="1087"/>
      <c r="AO192" s="1087"/>
      <c r="AP192" s="1088"/>
      <c r="AQ192" s="258"/>
      <c r="AR192" s="465"/>
      <c r="AS192" s="282"/>
      <c r="AT192" s="1155"/>
      <c r="AU192" s="1155"/>
      <c r="AV192" s="1155"/>
      <c r="AW192" s="1155"/>
      <c r="AX192" s="1155"/>
      <c r="AY192" s="1155"/>
      <c r="AZ192" s="1155"/>
      <c r="BA192" s="1155"/>
      <c r="BB192" s="1155"/>
      <c r="BC192" s="1155"/>
      <c r="BD192" s="1155"/>
      <c r="BE192" s="1155"/>
      <c r="BF192" s="1155"/>
      <c r="BG192" s="1155"/>
      <c r="BH192" s="1155"/>
      <c r="BI192" s="1155"/>
      <c r="BJ192" s="1155"/>
      <c r="BK192" s="1155"/>
      <c r="BL192" s="1155"/>
      <c r="BM192" s="1155"/>
      <c r="BN192" s="1155"/>
      <c r="BO192" s="1155"/>
      <c r="BP192" s="1155"/>
      <c r="BQ192" s="1155"/>
      <c r="BR192" s="1155"/>
      <c r="BS192" s="1155"/>
    </row>
    <row r="193" spans="5:71" s="474" customFormat="1" ht="12.75" customHeight="1">
      <c r="E193" s="4109"/>
      <c r="F193" s="1374" t="s">
        <v>588</v>
      </c>
      <c r="G193" s="1083"/>
      <c r="H193" s="1084"/>
      <c r="I193" s="1084"/>
      <c r="J193" s="1084"/>
      <c r="K193" s="1085"/>
      <c r="L193" s="255">
        <v>587</v>
      </c>
      <c r="M193" s="461"/>
      <c r="N193" s="461"/>
      <c r="O193" s="461"/>
      <c r="P193" s="281"/>
      <c r="Q193" s="956"/>
      <c r="R193" s="461"/>
      <c r="S193" s="461"/>
      <c r="T193" s="461"/>
      <c r="U193" s="281"/>
      <c r="V193" s="1172"/>
      <c r="W193" s="255"/>
      <c r="X193" s="461"/>
      <c r="Y193" s="461"/>
      <c r="Z193" s="461"/>
      <c r="AA193" s="281"/>
      <c r="AB193" s="1041"/>
      <c r="AC193" s="255"/>
      <c r="AD193" s="461"/>
      <c r="AE193" s="461"/>
      <c r="AF193" s="461"/>
      <c r="AG193" s="461"/>
      <c r="AH193" s="1047"/>
      <c r="AI193" s="1172"/>
      <c r="AJ193" s="1155"/>
      <c r="AK193" s="1155"/>
      <c r="AL193" s="1083"/>
      <c r="AM193" s="1084"/>
      <c r="AN193" s="1084"/>
      <c r="AO193" s="1084"/>
      <c r="AP193" s="1085"/>
      <c r="AQ193" s="259"/>
      <c r="AR193" s="466"/>
      <c r="AS193" s="283"/>
      <c r="AT193" s="1155"/>
      <c r="AU193" s="1155"/>
      <c r="AV193" s="1155"/>
      <c r="AW193" s="1155"/>
      <c r="AX193" s="1155"/>
      <c r="AY193" s="1155"/>
      <c r="AZ193" s="1155"/>
      <c r="BA193" s="1155"/>
      <c r="BB193" s="1155"/>
      <c r="BC193" s="1155"/>
      <c r="BD193" s="1155"/>
      <c r="BE193" s="1155"/>
      <c r="BF193" s="1155"/>
      <c r="BG193" s="1155"/>
      <c r="BH193" s="1155"/>
      <c r="BI193" s="1155"/>
      <c r="BJ193" s="1155"/>
      <c r="BK193" s="1155"/>
      <c r="BL193" s="1155"/>
      <c r="BM193" s="1155"/>
      <c r="BN193" s="1155"/>
      <c r="BO193" s="1155"/>
      <c r="BP193" s="1155"/>
      <c r="BQ193" s="1155"/>
      <c r="BR193" s="1155"/>
      <c r="BS193" s="1155"/>
    </row>
    <row r="194" spans="5:71" s="474" customFormat="1" ht="12.75" customHeight="1">
      <c r="E194" s="4109"/>
      <c r="F194" s="1374" t="s">
        <v>589</v>
      </c>
      <c r="G194" s="1083"/>
      <c r="H194" s="1084"/>
      <c r="I194" s="1084"/>
      <c r="J194" s="1084"/>
      <c r="K194" s="1085"/>
      <c r="L194" s="255"/>
      <c r="M194" s="461"/>
      <c r="N194" s="461"/>
      <c r="O194" s="461"/>
      <c r="P194" s="281"/>
      <c r="Q194" s="956"/>
      <c r="R194" s="461"/>
      <c r="S194" s="461"/>
      <c r="T194" s="461"/>
      <c r="U194" s="281"/>
      <c r="V194" s="1172"/>
      <c r="W194" s="255"/>
      <c r="X194" s="461"/>
      <c r="Y194" s="461"/>
      <c r="Z194" s="461"/>
      <c r="AA194" s="281"/>
      <c r="AB194" s="1041"/>
      <c r="AC194" s="255"/>
      <c r="AD194" s="461"/>
      <c r="AE194" s="461"/>
      <c r="AF194" s="461"/>
      <c r="AG194" s="461"/>
      <c r="AH194" s="1047"/>
      <c r="AI194" s="1172"/>
      <c r="AJ194" s="1155"/>
      <c r="AK194" s="1155"/>
      <c r="AL194" s="1083"/>
      <c r="AM194" s="1084"/>
      <c r="AN194" s="1084"/>
      <c r="AO194" s="1084"/>
      <c r="AP194" s="1085"/>
      <c r="AQ194" s="259"/>
      <c r="AR194" s="466"/>
      <c r="AS194" s="283"/>
      <c r="AT194" s="1155"/>
      <c r="AU194" s="1155"/>
      <c r="AV194" s="1155"/>
      <c r="AW194" s="1155"/>
      <c r="AX194" s="1155"/>
      <c r="AY194" s="1155"/>
      <c r="AZ194" s="1155"/>
      <c r="BA194" s="1155"/>
      <c r="BB194" s="1155"/>
      <c r="BC194" s="1155"/>
      <c r="BD194" s="1155"/>
      <c r="BE194" s="1155"/>
      <c r="BF194" s="1155"/>
      <c r="BG194" s="1155"/>
      <c r="BH194" s="1155"/>
      <c r="BI194" s="1155"/>
      <c r="BJ194" s="1155"/>
      <c r="BK194" s="1155"/>
      <c r="BL194" s="1155"/>
      <c r="BM194" s="1155"/>
      <c r="BN194" s="1155"/>
      <c r="BO194" s="1155"/>
      <c r="BP194" s="1155"/>
      <c r="BQ194" s="1155"/>
      <c r="BR194" s="1155"/>
      <c r="BS194" s="1155"/>
    </row>
    <row r="195" spans="5:71" s="474" customFormat="1" ht="12.75" customHeight="1">
      <c r="E195" s="4109"/>
      <c r="F195" s="1374" t="s">
        <v>590</v>
      </c>
      <c r="G195" s="1083"/>
      <c r="H195" s="1084"/>
      <c r="I195" s="1084"/>
      <c r="J195" s="1084"/>
      <c r="K195" s="1085"/>
      <c r="L195" s="255"/>
      <c r="M195" s="461"/>
      <c r="N195" s="461"/>
      <c r="O195" s="461"/>
      <c r="P195" s="281"/>
      <c r="Q195" s="956"/>
      <c r="R195" s="461"/>
      <c r="S195" s="461"/>
      <c r="T195" s="461"/>
      <c r="U195" s="281"/>
      <c r="V195" s="1172"/>
      <c r="W195" s="255"/>
      <c r="X195" s="461"/>
      <c r="Y195" s="461"/>
      <c r="Z195" s="461"/>
      <c r="AA195" s="281"/>
      <c r="AB195" s="1041"/>
      <c r="AC195" s="255"/>
      <c r="AD195" s="461"/>
      <c r="AE195" s="461"/>
      <c r="AF195" s="461"/>
      <c r="AG195" s="461"/>
      <c r="AH195" s="1047"/>
      <c r="AI195" s="1172"/>
      <c r="AJ195" s="1155"/>
      <c r="AK195" s="1155"/>
      <c r="AL195" s="1083"/>
      <c r="AM195" s="1084"/>
      <c r="AN195" s="1084"/>
      <c r="AO195" s="1084"/>
      <c r="AP195" s="1085"/>
      <c r="AQ195" s="259"/>
      <c r="AR195" s="466"/>
      <c r="AS195" s="283"/>
      <c r="AT195" s="1155"/>
      <c r="AU195" s="1155"/>
      <c r="AV195" s="1155"/>
      <c r="AW195" s="1155"/>
      <c r="AX195" s="1155"/>
      <c r="AY195" s="1155"/>
      <c r="AZ195" s="1155"/>
      <c r="BA195" s="1155"/>
      <c r="BB195" s="1155"/>
      <c r="BC195" s="1155"/>
      <c r="BD195" s="1155"/>
      <c r="BE195" s="1155"/>
      <c r="BF195" s="1155"/>
      <c r="BG195" s="1155"/>
      <c r="BH195" s="1155"/>
      <c r="BI195" s="1155"/>
      <c r="BJ195" s="1155"/>
      <c r="BK195" s="1155"/>
      <c r="BL195" s="1155"/>
      <c r="BM195" s="1155"/>
      <c r="BN195" s="1155"/>
      <c r="BO195" s="1155"/>
      <c r="BP195" s="1155"/>
      <c r="BQ195" s="1155"/>
      <c r="BR195" s="1155"/>
      <c r="BS195" s="1155"/>
    </row>
    <row r="196" spans="5:71" s="474" customFormat="1" ht="12.75" customHeight="1">
      <c r="E196" s="4109"/>
      <c r="F196" s="1374" t="s">
        <v>591</v>
      </c>
      <c r="G196" s="1083"/>
      <c r="H196" s="1084"/>
      <c r="I196" s="1084"/>
      <c r="J196" s="1084"/>
      <c r="K196" s="1085"/>
      <c r="L196" s="255"/>
      <c r="M196" s="461"/>
      <c r="N196" s="461"/>
      <c r="O196" s="461"/>
      <c r="P196" s="281"/>
      <c r="Q196" s="956"/>
      <c r="R196" s="461"/>
      <c r="S196" s="461"/>
      <c r="T196" s="461"/>
      <c r="U196" s="281"/>
      <c r="V196" s="1172"/>
      <c r="W196" s="255"/>
      <c r="X196" s="461"/>
      <c r="Y196" s="461"/>
      <c r="Z196" s="461"/>
      <c r="AA196" s="281"/>
      <c r="AB196" s="1041"/>
      <c r="AC196" s="255"/>
      <c r="AD196" s="461"/>
      <c r="AE196" s="461"/>
      <c r="AF196" s="461"/>
      <c r="AG196" s="461"/>
      <c r="AH196" s="1047"/>
      <c r="AI196" s="1172"/>
      <c r="AJ196" s="1155"/>
      <c r="AK196" s="1155"/>
      <c r="AL196" s="1083"/>
      <c r="AM196" s="1084"/>
      <c r="AN196" s="1084"/>
      <c r="AO196" s="1084"/>
      <c r="AP196" s="1085"/>
      <c r="AQ196" s="259"/>
      <c r="AR196" s="466"/>
      <c r="AS196" s="283"/>
      <c r="AT196" s="1155"/>
      <c r="AU196" s="1155"/>
      <c r="AV196" s="1155"/>
      <c r="AW196" s="1155"/>
      <c r="AX196" s="1155"/>
      <c r="AY196" s="1155"/>
      <c r="AZ196" s="1155"/>
      <c r="BA196" s="1155"/>
      <c r="BB196" s="1155"/>
      <c r="BC196" s="1155"/>
      <c r="BD196" s="1155"/>
      <c r="BE196" s="1155"/>
      <c r="BF196" s="1155"/>
      <c r="BG196" s="1155"/>
      <c r="BH196" s="1155"/>
      <c r="BI196" s="1155"/>
      <c r="BJ196" s="1155"/>
      <c r="BK196" s="1155"/>
      <c r="BL196" s="1155"/>
      <c r="BM196" s="1155"/>
      <c r="BN196" s="1155"/>
      <c r="BO196" s="1155"/>
      <c r="BP196" s="1155"/>
      <c r="BQ196" s="1155"/>
      <c r="BR196" s="1155"/>
      <c r="BS196" s="1155"/>
    </row>
    <row r="197" spans="5:71" s="474" customFormat="1" ht="12.75" customHeight="1">
      <c r="E197" s="4109"/>
      <c r="F197" s="1374" t="s">
        <v>592</v>
      </c>
      <c r="G197" s="1083"/>
      <c r="H197" s="1084"/>
      <c r="I197" s="1084"/>
      <c r="J197" s="1084"/>
      <c r="K197" s="1085"/>
      <c r="L197" s="207"/>
      <c r="M197" s="456"/>
      <c r="N197" s="456"/>
      <c r="O197" s="456"/>
      <c r="P197" s="457"/>
      <c r="Q197" s="224"/>
      <c r="R197" s="456"/>
      <c r="S197" s="456"/>
      <c r="T197" s="456"/>
      <c r="U197" s="457"/>
      <c r="V197" s="1172"/>
      <c r="W197" s="207">
        <v>0</v>
      </c>
      <c r="X197" s="456">
        <v>0</v>
      </c>
      <c r="Y197" s="456">
        <v>0</v>
      </c>
      <c r="Z197" s="456">
        <v>0</v>
      </c>
      <c r="AA197" s="457">
        <v>0</v>
      </c>
      <c r="AB197" s="1041"/>
      <c r="AC197" s="207">
        <v>0</v>
      </c>
      <c r="AD197" s="456">
        <v>0</v>
      </c>
      <c r="AE197" s="456">
        <v>0</v>
      </c>
      <c r="AF197" s="456">
        <v>0</v>
      </c>
      <c r="AG197" s="456">
        <v>0</v>
      </c>
      <c r="AH197" s="1048"/>
      <c r="AI197" s="1172"/>
      <c r="AJ197" s="1155"/>
      <c r="AK197" s="1155"/>
      <c r="AL197" s="1083"/>
      <c r="AM197" s="1084"/>
      <c r="AN197" s="1084"/>
      <c r="AO197" s="1084"/>
      <c r="AP197" s="1085"/>
      <c r="AQ197" s="207">
        <f>SUM(AQ192:AQ196)</f>
        <v>0</v>
      </c>
      <c r="AR197" s="456">
        <f t="shared" ref="AR197" si="752">SUM(AR192:AR196)</f>
        <v>0</v>
      </c>
      <c r="AS197" s="457"/>
      <c r="AT197" s="1155"/>
      <c r="AU197" s="1155"/>
      <c r="AV197" s="1155"/>
      <c r="AW197" s="1155"/>
      <c r="AX197" s="1155"/>
      <c r="AY197" s="1155"/>
      <c r="AZ197" s="1155"/>
      <c r="BA197" s="1155"/>
      <c r="BB197" s="1155"/>
      <c r="BC197" s="1155"/>
      <c r="BD197" s="1155"/>
      <c r="BE197" s="1155"/>
      <c r="BF197" s="1155"/>
      <c r="BG197" s="1155"/>
      <c r="BH197" s="1155"/>
      <c r="BI197" s="1155"/>
      <c r="BJ197" s="1155"/>
      <c r="BK197" s="1155"/>
      <c r="BL197" s="1155"/>
      <c r="BM197" s="1155"/>
      <c r="BN197" s="1155"/>
      <c r="BO197" s="1155"/>
      <c r="BP197" s="1155"/>
      <c r="BQ197" s="1155"/>
      <c r="BR197" s="1155"/>
      <c r="BS197" s="1155"/>
    </row>
    <row r="198" spans="5:71" s="474" customFormat="1">
      <c r="E198" s="4109"/>
      <c r="F198" s="1375" t="s">
        <v>587</v>
      </c>
      <c r="G198" s="1086"/>
      <c r="H198" s="1087"/>
      <c r="I198" s="1087"/>
      <c r="J198" s="1087"/>
      <c r="K198" s="1088"/>
      <c r="L198" s="258">
        <f>SUM(L193:L197)</f>
        <v>587</v>
      </c>
      <c r="M198" s="465">
        <f t="shared" ref="M198" si="753">SUM(M193:M197)</f>
        <v>0</v>
      </c>
      <c r="N198" s="465">
        <f t="shared" ref="N198" si="754">SUM(N193:N197)</f>
        <v>0</v>
      </c>
      <c r="O198" s="465">
        <f t="shared" ref="O198" si="755">SUM(O193:O197)</f>
        <v>0</v>
      </c>
      <c r="P198" s="282">
        <f t="shared" ref="P198" si="756">SUM(P193:P197)</f>
        <v>0</v>
      </c>
      <c r="Q198" s="965">
        <f t="shared" ref="Q198" si="757">SUM(Q193:Q197)</f>
        <v>0</v>
      </c>
      <c r="R198" s="465">
        <f t="shared" ref="R198" si="758">SUM(R193:R197)</f>
        <v>0</v>
      </c>
      <c r="S198" s="465">
        <f t="shared" ref="S198" si="759">SUM(S193:S197)</f>
        <v>0</v>
      </c>
      <c r="T198" s="465">
        <f t="shared" ref="T198" si="760">SUM(T193:T197)</f>
        <v>0</v>
      </c>
      <c r="U198" s="282">
        <f t="shared" ref="U198" si="761">SUM(U193:U197)</f>
        <v>0</v>
      </c>
      <c r="V198" s="1172"/>
      <c r="W198" s="258">
        <f t="shared" ref="W198" si="762">SUM(W193:W197)</f>
        <v>0</v>
      </c>
      <c r="X198" s="465">
        <f t="shared" ref="X198" si="763">SUM(X193:X197)</f>
        <v>0</v>
      </c>
      <c r="Y198" s="465">
        <f t="shared" ref="Y198" si="764">SUM(Y193:Y197)</f>
        <v>0</v>
      </c>
      <c r="Z198" s="465">
        <f t="shared" ref="Z198" si="765">SUM(Z193:Z197)</f>
        <v>0</v>
      </c>
      <c r="AA198" s="282">
        <f t="shared" ref="AA198" si="766">SUM(AA193:AA197)</f>
        <v>0</v>
      </c>
      <c r="AB198" s="992"/>
      <c r="AC198" s="258">
        <f t="shared" ref="AC198" si="767">SUM(AC193:AC197)</f>
        <v>0</v>
      </c>
      <c r="AD198" s="465">
        <f t="shared" ref="AD198" si="768">SUM(AD193:AD197)</f>
        <v>0</v>
      </c>
      <c r="AE198" s="465">
        <f t="shared" ref="AE198" si="769">SUM(AE193:AE197)</f>
        <v>0</v>
      </c>
      <c r="AF198" s="465">
        <f t="shared" ref="AF198" si="770">SUM(AF193:AF197)</f>
        <v>0</v>
      </c>
      <c r="AG198" s="465">
        <f t="shared" ref="AG198" si="771">SUM(AG193:AG197)</f>
        <v>0</v>
      </c>
      <c r="AH198" s="1049"/>
      <c r="AI198" s="1172"/>
      <c r="AJ198" s="1155"/>
      <c r="AK198" s="1155"/>
      <c r="AL198" s="1086"/>
      <c r="AM198" s="1087"/>
      <c r="AN198" s="1087"/>
      <c r="AO198" s="1087"/>
      <c r="AP198" s="1088"/>
      <c r="AQ198" s="258"/>
      <c r="AR198" s="465"/>
      <c r="AS198" s="282"/>
      <c r="AT198" s="1155"/>
      <c r="AU198" s="1155"/>
      <c r="AV198" s="1155"/>
      <c r="AW198" s="1155"/>
      <c r="AX198" s="1155"/>
      <c r="AY198" s="1155"/>
      <c r="AZ198" s="1155"/>
      <c r="BA198" s="1155"/>
      <c r="BB198" s="1155"/>
      <c r="BC198" s="1155"/>
      <c r="BD198" s="1155"/>
      <c r="BE198" s="1155"/>
      <c r="BF198" s="1155"/>
      <c r="BG198" s="1155"/>
      <c r="BH198" s="1155"/>
      <c r="BI198" s="1155"/>
      <c r="BJ198" s="1155"/>
      <c r="BK198" s="1155"/>
      <c r="BL198" s="1155"/>
      <c r="BM198" s="1155"/>
      <c r="BN198" s="1155"/>
      <c r="BO198" s="1155"/>
      <c r="BP198" s="1155"/>
      <c r="BQ198" s="1155"/>
      <c r="BR198" s="1155"/>
      <c r="BS198" s="1155"/>
    </row>
    <row r="199" spans="5:71" s="474" customFormat="1">
      <c r="E199" s="4109"/>
      <c r="F199" s="1376" t="s">
        <v>593</v>
      </c>
      <c r="G199" s="1083"/>
      <c r="H199" s="1084"/>
      <c r="I199" s="1084"/>
      <c r="J199" s="1084"/>
      <c r="K199" s="1085"/>
      <c r="L199" s="255"/>
      <c r="M199" s="461"/>
      <c r="N199" s="461"/>
      <c r="O199" s="461"/>
      <c r="P199" s="281"/>
      <c r="Q199" s="956"/>
      <c r="R199" s="461"/>
      <c r="S199" s="461"/>
      <c r="T199" s="461"/>
      <c r="U199" s="281"/>
      <c r="V199" s="1172"/>
      <c r="W199" s="255"/>
      <c r="X199" s="461"/>
      <c r="Y199" s="461"/>
      <c r="Z199" s="461"/>
      <c r="AA199" s="281"/>
      <c r="AB199" s="1041"/>
      <c r="AC199" s="255"/>
      <c r="AD199" s="461"/>
      <c r="AE199" s="461"/>
      <c r="AF199" s="461"/>
      <c r="AG199" s="461"/>
      <c r="AH199" s="1047"/>
      <c r="AI199" s="1172"/>
      <c r="AJ199" s="1155"/>
      <c r="AK199" s="1155"/>
      <c r="AL199" s="1083"/>
      <c r="AM199" s="1084"/>
      <c r="AN199" s="1084"/>
      <c r="AO199" s="1084"/>
      <c r="AP199" s="1085"/>
      <c r="AQ199" s="259"/>
      <c r="AR199" s="466"/>
      <c r="AS199" s="283"/>
      <c r="AT199" s="1155"/>
      <c r="AU199" s="1155"/>
      <c r="AV199" s="1155"/>
      <c r="AW199" s="1155"/>
      <c r="AX199" s="1155"/>
      <c r="AY199" s="1155"/>
      <c r="AZ199" s="1155"/>
      <c r="BA199" s="1155"/>
      <c r="BB199" s="1155"/>
      <c r="BC199" s="1155"/>
      <c r="BD199" s="1155"/>
      <c r="BE199" s="1155"/>
      <c r="BF199" s="1155"/>
      <c r="BG199" s="1155"/>
      <c r="BH199" s="1155"/>
      <c r="BI199" s="1155"/>
      <c r="BJ199" s="1155"/>
      <c r="BK199" s="1155"/>
      <c r="BL199" s="1155"/>
      <c r="BM199" s="1155"/>
      <c r="BN199" s="1155"/>
      <c r="BO199" s="1155"/>
      <c r="BP199" s="1155"/>
      <c r="BQ199" s="1155"/>
      <c r="BR199" s="1155"/>
      <c r="BS199" s="1155"/>
    </row>
    <row r="200" spans="5:71" s="474" customFormat="1">
      <c r="E200" s="4109"/>
      <c r="F200" s="431" t="s">
        <v>558</v>
      </c>
      <c r="G200" s="1083"/>
      <c r="H200" s="1084"/>
      <c r="I200" s="1084"/>
      <c r="J200" s="1084"/>
      <c r="K200" s="1085"/>
      <c r="L200" s="255">
        <v>187085.81</v>
      </c>
      <c r="M200" s="461"/>
      <c r="N200" s="461"/>
      <c r="O200" s="461"/>
      <c r="P200" s="281"/>
      <c r="Q200" s="956"/>
      <c r="R200" s="461"/>
      <c r="S200" s="461"/>
      <c r="T200" s="461"/>
      <c r="U200" s="281"/>
      <c r="V200" s="1172"/>
      <c r="W200" s="255"/>
      <c r="X200" s="461"/>
      <c r="Y200" s="461"/>
      <c r="Z200" s="461"/>
      <c r="AA200" s="281"/>
      <c r="AB200" s="1041"/>
      <c r="AC200" s="255"/>
      <c r="AD200" s="461"/>
      <c r="AE200" s="461"/>
      <c r="AF200" s="461"/>
      <c r="AG200" s="461"/>
      <c r="AH200" s="1047"/>
      <c r="AI200" s="1172"/>
      <c r="AJ200" s="1155"/>
      <c r="AK200" s="1155"/>
      <c r="AL200" s="1083"/>
      <c r="AM200" s="1084"/>
      <c r="AN200" s="1084"/>
      <c r="AO200" s="1084"/>
      <c r="AP200" s="1085"/>
      <c r="AQ200" s="259"/>
      <c r="AR200" s="466"/>
      <c r="AS200" s="283"/>
      <c r="AT200" s="1155"/>
      <c r="AU200" s="1155"/>
      <c r="AV200" s="1155"/>
      <c r="AW200" s="1155"/>
      <c r="AX200" s="1155"/>
      <c r="AY200" s="1155"/>
      <c r="AZ200" s="1155"/>
      <c r="BA200" s="1155"/>
      <c r="BB200" s="1155"/>
      <c r="BC200" s="1155"/>
      <c r="BD200" s="1155"/>
      <c r="BE200" s="1155"/>
      <c r="BF200" s="1155"/>
      <c r="BG200" s="1155"/>
      <c r="BH200" s="1155"/>
      <c r="BI200" s="1155"/>
      <c r="BJ200" s="1155"/>
      <c r="BK200" s="1155"/>
      <c r="BL200" s="1155"/>
      <c r="BM200" s="1155"/>
      <c r="BN200" s="1155"/>
      <c r="BO200" s="1155"/>
      <c r="BP200" s="1155"/>
      <c r="BQ200" s="1155"/>
      <c r="BR200" s="1155"/>
      <c r="BS200" s="1155"/>
    </row>
    <row r="201" spans="5:71" s="474" customFormat="1">
      <c r="E201" s="4109"/>
      <c r="F201" s="431" t="s">
        <v>559</v>
      </c>
      <c r="G201" s="1083"/>
      <c r="H201" s="1084"/>
      <c r="I201" s="1084"/>
      <c r="J201" s="1084"/>
      <c r="K201" s="1085"/>
      <c r="L201" s="255"/>
      <c r="M201" s="461"/>
      <c r="N201" s="461"/>
      <c r="O201" s="461"/>
      <c r="P201" s="281"/>
      <c r="Q201" s="956"/>
      <c r="R201" s="461"/>
      <c r="S201" s="461"/>
      <c r="T201" s="461"/>
      <c r="U201" s="281"/>
      <c r="V201" s="1172"/>
      <c r="W201" s="255"/>
      <c r="X201" s="461"/>
      <c r="Y201" s="461"/>
      <c r="Z201" s="461"/>
      <c r="AA201" s="281"/>
      <c r="AB201" s="1041"/>
      <c r="AC201" s="255"/>
      <c r="AD201" s="461"/>
      <c r="AE201" s="461"/>
      <c r="AF201" s="461"/>
      <c r="AG201" s="461"/>
      <c r="AH201" s="1047"/>
      <c r="AI201" s="1172"/>
      <c r="AJ201" s="1155"/>
      <c r="AK201" s="1155"/>
      <c r="AL201" s="1083"/>
      <c r="AM201" s="1084"/>
      <c r="AN201" s="1084"/>
      <c r="AO201" s="1084"/>
      <c r="AP201" s="1085"/>
      <c r="AQ201" s="259"/>
      <c r="AR201" s="466"/>
      <c r="AS201" s="283"/>
      <c r="AT201" s="1155"/>
      <c r="AU201" s="1155"/>
      <c r="AV201" s="1155"/>
      <c r="AW201" s="1155"/>
      <c r="AX201" s="1155"/>
      <c r="AY201" s="1155"/>
      <c r="AZ201" s="1155"/>
      <c r="BA201" s="1155"/>
      <c r="BB201" s="1155"/>
      <c r="BC201" s="1155"/>
      <c r="BD201" s="1155"/>
      <c r="BE201" s="1155"/>
      <c r="BF201" s="1155"/>
      <c r="BG201" s="1155"/>
      <c r="BH201" s="1155"/>
      <c r="BI201" s="1155"/>
      <c r="BJ201" s="1155"/>
      <c r="BK201" s="1155"/>
      <c r="BL201" s="1155"/>
      <c r="BM201" s="1155"/>
      <c r="BN201" s="1155"/>
      <c r="BO201" s="1155"/>
      <c r="BP201" s="1155"/>
      <c r="BQ201" s="1155"/>
      <c r="BR201" s="1155"/>
      <c r="BS201" s="1155"/>
    </row>
    <row r="202" spans="5:71" s="474" customFormat="1">
      <c r="E202" s="4109"/>
      <c r="F202" s="431" t="s">
        <v>578</v>
      </c>
      <c r="G202" s="1089"/>
      <c r="H202" s="1090"/>
      <c r="I202" s="1090"/>
      <c r="J202" s="1090"/>
      <c r="K202" s="1091"/>
      <c r="L202" s="259"/>
      <c r="M202" s="456"/>
      <c r="N202" s="456"/>
      <c r="O202" s="456"/>
      <c r="P202" s="457"/>
      <c r="Q202" s="224"/>
      <c r="R202" s="456"/>
      <c r="S202" s="456"/>
      <c r="T202" s="456"/>
      <c r="U202" s="457"/>
      <c r="V202" s="1172"/>
      <c r="W202" s="207"/>
      <c r="X202" s="456"/>
      <c r="Y202" s="456"/>
      <c r="Z202" s="456"/>
      <c r="AA202" s="457"/>
      <c r="AB202" s="1041"/>
      <c r="AC202" s="207"/>
      <c r="AD202" s="456"/>
      <c r="AE202" s="456"/>
      <c r="AF202" s="456"/>
      <c r="AG202" s="456"/>
      <c r="AH202" s="1048"/>
      <c r="AI202" s="1172"/>
      <c r="AJ202" s="1155"/>
      <c r="AK202" s="1155"/>
      <c r="AL202" s="1089"/>
      <c r="AM202" s="1090"/>
      <c r="AN202" s="1090"/>
      <c r="AO202" s="1090"/>
      <c r="AP202" s="1091"/>
      <c r="AQ202" s="259"/>
      <c r="AR202" s="456"/>
      <c r="AS202" s="457"/>
      <c r="AT202" s="1155"/>
      <c r="AU202" s="1155"/>
      <c r="AV202" s="1155"/>
      <c r="AW202" s="1155"/>
      <c r="AX202" s="1155"/>
      <c r="AY202" s="1155"/>
      <c r="AZ202" s="1155"/>
      <c r="BA202" s="1155"/>
      <c r="BB202" s="1155"/>
      <c r="BC202" s="1155"/>
      <c r="BD202" s="1155"/>
      <c r="BE202" s="1155"/>
      <c r="BF202" s="1155"/>
      <c r="BG202" s="1155"/>
      <c r="BH202" s="1155"/>
      <c r="BI202" s="1155"/>
      <c r="BJ202" s="1155"/>
      <c r="BK202" s="1155"/>
      <c r="BL202" s="1155"/>
      <c r="BM202" s="1155"/>
      <c r="BN202" s="1155"/>
      <c r="BO202" s="1155"/>
      <c r="BP202" s="1155"/>
      <c r="BQ202" s="1155"/>
      <c r="BR202" s="1155"/>
      <c r="BS202" s="1155"/>
    </row>
    <row r="203" spans="5:71" s="474" customFormat="1">
      <c r="E203" s="4109"/>
      <c r="F203" s="1377" t="s">
        <v>579</v>
      </c>
      <c r="G203" s="1086"/>
      <c r="H203" s="1087"/>
      <c r="I203" s="1087"/>
      <c r="J203" s="1087"/>
      <c r="K203" s="1088"/>
      <c r="L203" s="258">
        <f>SUM(L199:L202)</f>
        <v>187085.81</v>
      </c>
      <c r="M203" s="465">
        <f t="shared" ref="M203" si="772">SUM(M199:M202)</f>
        <v>0</v>
      </c>
      <c r="N203" s="465">
        <f t="shared" ref="N203" si="773">SUM(N199:N202)</f>
        <v>0</v>
      </c>
      <c r="O203" s="465">
        <f t="shared" ref="O203" si="774">SUM(O199:O202)</f>
        <v>0</v>
      </c>
      <c r="P203" s="282">
        <f t="shared" ref="P203" si="775">SUM(P199:P202)</f>
        <v>0</v>
      </c>
      <c r="Q203" s="965">
        <f t="shared" ref="Q203" si="776">SUM(Q199:Q202)</f>
        <v>0</v>
      </c>
      <c r="R203" s="465">
        <f t="shared" ref="R203" si="777">SUM(R199:R202)</f>
        <v>0</v>
      </c>
      <c r="S203" s="465">
        <f t="shared" ref="S203" si="778">SUM(S199:S202)</f>
        <v>0</v>
      </c>
      <c r="T203" s="465">
        <f t="shared" ref="T203" si="779">SUM(T199:T202)</f>
        <v>0</v>
      </c>
      <c r="U203" s="282">
        <f t="shared" ref="U203" si="780">SUM(U199:U202)</f>
        <v>0</v>
      </c>
      <c r="V203" s="1172"/>
      <c r="W203" s="258">
        <f t="shared" ref="W203" si="781">SUM(W199:W202)</f>
        <v>0</v>
      </c>
      <c r="X203" s="465">
        <f t="shared" ref="X203" si="782">SUM(X199:X202)</f>
        <v>0</v>
      </c>
      <c r="Y203" s="465">
        <f t="shared" ref="Y203" si="783">SUM(Y199:Y202)</f>
        <v>0</v>
      </c>
      <c r="Z203" s="465">
        <f t="shared" ref="Z203" si="784">SUM(Z199:Z202)</f>
        <v>0</v>
      </c>
      <c r="AA203" s="282">
        <f t="shared" ref="AA203" si="785">SUM(AA199:AA202)</f>
        <v>0</v>
      </c>
      <c r="AB203" s="992"/>
      <c r="AC203" s="258">
        <f t="shared" ref="AC203" si="786">SUM(AC199:AC202)</f>
        <v>0</v>
      </c>
      <c r="AD203" s="465">
        <f t="shared" ref="AD203" si="787">SUM(AD199:AD202)</f>
        <v>0</v>
      </c>
      <c r="AE203" s="465">
        <f t="shared" ref="AE203" si="788">SUM(AE199:AE202)</f>
        <v>0</v>
      </c>
      <c r="AF203" s="465">
        <f t="shared" ref="AF203" si="789">SUM(AF199:AF202)</f>
        <v>0</v>
      </c>
      <c r="AG203" s="465">
        <f t="shared" ref="AG203" si="790">SUM(AG199:AG202)</f>
        <v>0</v>
      </c>
      <c r="AH203" s="1049"/>
      <c r="AI203" s="1172"/>
      <c r="AJ203" s="1155"/>
      <c r="AK203" s="1155"/>
      <c r="AL203" s="1086"/>
      <c r="AM203" s="1087"/>
      <c r="AN203" s="1087"/>
      <c r="AO203" s="1087"/>
      <c r="AP203" s="1088"/>
      <c r="AQ203" s="258">
        <f>SUM(AQ200:AQ202)</f>
        <v>0</v>
      </c>
      <c r="AR203" s="465">
        <f t="shared" ref="AR203" si="791">SUM(AR200:AR202)</f>
        <v>0</v>
      </c>
      <c r="AS203" s="282"/>
      <c r="AT203" s="1155"/>
      <c r="AU203" s="1155"/>
      <c r="AV203" s="1155"/>
      <c r="AW203" s="1155"/>
      <c r="AX203" s="1155"/>
      <c r="AY203" s="1155"/>
      <c r="AZ203" s="1155"/>
      <c r="BA203" s="1155"/>
      <c r="BB203" s="1155"/>
      <c r="BC203" s="1155"/>
      <c r="BD203" s="1155"/>
      <c r="BE203" s="1155"/>
      <c r="BF203" s="1155"/>
      <c r="BG203" s="1155"/>
      <c r="BH203" s="1155"/>
      <c r="BI203" s="1155"/>
      <c r="BJ203" s="1155"/>
      <c r="BK203" s="1155"/>
      <c r="BL203" s="1155"/>
      <c r="BM203" s="1155"/>
      <c r="BN203" s="1155"/>
      <c r="BO203" s="1155"/>
      <c r="BP203" s="1155"/>
      <c r="BQ203" s="1155"/>
      <c r="BR203" s="1155"/>
      <c r="BS203" s="1155"/>
    </row>
    <row r="204" spans="5:71" s="474" customFormat="1" ht="13.5" thickBot="1">
      <c r="E204" s="4109"/>
      <c r="F204" s="1385" t="s">
        <v>583</v>
      </c>
      <c r="G204" s="255"/>
      <c r="H204" s="461"/>
      <c r="I204" s="461"/>
      <c r="J204" s="461"/>
      <c r="K204" s="281"/>
      <c r="L204" s="207"/>
      <c r="M204" s="456"/>
      <c r="N204" s="456"/>
      <c r="O204" s="456"/>
      <c r="P204" s="457"/>
      <c r="Q204" s="224"/>
      <c r="R204" s="456"/>
      <c r="S204" s="456"/>
      <c r="T204" s="456"/>
      <c r="U204" s="457"/>
      <c r="V204" s="1172"/>
      <c r="W204" s="207"/>
      <c r="X204" s="461"/>
      <c r="Y204" s="461"/>
      <c r="Z204" s="461"/>
      <c r="AA204" s="281"/>
      <c r="AB204" s="1041"/>
      <c r="AC204" s="207"/>
      <c r="AD204" s="456"/>
      <c r="AE204" s="456"/>
      <c r="AF204" s="456"/>
      <c r="AG204" s="456"/>
      <c r="AH204" s="1048"/>
      <c r="AI204" s="1172"/>
      <c r="AJ204" s="1155"/>
      <c r="AK204" s="1155"/>
      <c r="AL204" s="259"/>
      <c r="AM204" s="466"/>
      <c r="AN204" s="466"/>
      <c r="AO204" s="466"/>
      <c r="AP204" s="283"/>
      <c r="AQ204" s="259"/>
      <c r="AR204" s="466"/>
      <c r="AS204" s="283"/>
      <c r="AT204" s="1155"/>
      <c r="AU204" s="1155"/>
      <c r="AV204" s="1155"/>
      <c r="AW204" s="1155"/>
      <c r="AX204" s="1155"/>
      <c r="AY204" s="1155"/>
      <c r="AZ204" s="1155"/>
      <c r="BA204" s="1155"/>
      <c r="BB204" s="1155"/>
      <c r="BC204" s="1155"/>
      <c r="BD204" s="1155"/>
      <c r="BE204" s="1155"/>
      <c r="BF204" s="1155"/>
      <c r="BG204" s="1155"/>
      <c r="BH204" s="1155"/>
      <c r="BI204" s="1155"/>
      <c r="BJ204" s="1155"/>
      <c r="BK204" s="1155"/>
      <c r="BL204" s="1155"/>
      <c r="BM204" s="1155"/>
      <c r="BN204" s="1155"/>
      <c r="BO204" s="1155"/>
      <c r="BP204" s="1155"/>
      <c r="BQ204" s="1155"/>
      <c r="BR204" s="1155"/>
      <c r="BS204" s="1155"/>
    </row>
    <row r="205" spans="5:71" s="474" customFormat="1" ht="13.5" thickBot="1">
      <c r="E205" s="4109"/>
      <c r="F205" s="1384" t="s">
        <v>581</v>
      </c>
      <c r="G205" s="1599"/>
      <c r="H205" s="1600"/>
      <c r="I205" s="1600"/>
      <c r="J205" s="1600"/>
      <c r="K205" s="1601"/>
      <c r="L205" s="1599"/>
      <c r="M205" s="1600"/>
      <c r="N205" s="1600"/>
      <c r="O205" s="1600"/>
      <c r="P205" s="1601"/>
      <c r="Q205" s="1602"/>
      <c r="R205" s="1600"/>
      <c r="S205" s="1600"/>
      <c r="T205" s="1600"/>
      <c r="U205" s="1601"/>
      <c r="V205" s="1172"/>
      <c r="W205" s="1614"/>
      <c r="X205" s="1615"/>
      <c r="Y205" s="1615"/>
      <c r="Z205" s="1615"/>
      <c r="AA205" s="1615"/>
      <c r="AB205" s="1615"/>
      <c r="AC205" s="1615"/>
      <c r="AD205" s="1615"/>
      <c r="AE205" s="1615"/>
      <c r="AF205" s="1615"/>
      <c r="AG205" s="1615"/>
      <c r="AH205" s="1616"/>
      <c r="AI205" s="1172"/>
      <c r="AJ205" s="1155"/>
      <c r="AK205" s="1155"/>
      <c r="AL205" s="259"/>
      <c r="AM205" s="466"/>
      <c r="AN205" s="466"/>
      <c r="AO205" s="466"/>
      <c r="AP205" s="283"/>
      <c r="AQ205" s="259"/>
      <c r="AR205" s="466"/>
      <c r="AS205" s="283"/>
      <c r="AT205" s="1155"/>
      <c r="AU205" s="1155"/>
      <c r="AV205" s="1155"/>
      <c r="AW205" s="1155"/>
      <c r="AX205" s="1155"/>
      <c r="AY205" s="1155"/>
      <c r="AZ205" s="1155"/>
      <c r="BA205" s="1155"/>
      <c r="BB205" s="1155"/>
      <c r="BC205" s="1155"/>
      <c r="BD205" s="1155"/>
      <c r="BE205" s="1155"/>
      <c r="BF205" s="1155"/>
      <c r="BG205" s="1155"/>
      <c r="BH205" s="1155"/>
      <c r="BI205" s="1155"/>
      <c r="BJ205" s="1155"/>
      <c r="BK205" s="1155"/>
      <c r="BL205" s="1155"/>
      <c r="BM205" s="1155"/>
      <c r="BN205" s="1155"/>
      <c r="BO205" s="1155"/>
      <c r="BP205" s="1155"/>
      <c r="BQ205" s="1155"/>
      <c r="BR205" s="1155"/>
      <c r="BS205" s="1155"/>
    </row>
    <row r="206" spans="5:71" s="474" customFormat="1">
      <c r="E206" s="4109"/>
      <c r="F206" s="1386" t="s">
        <v>584</v>
      </c>
      <c r="G206" s="1050">
        <v>0</v>
      </c>
      <c r="H206" s="1051">
        <v>0</v>
      </c>
      <c r="I206" s="1051">
        <v>0</v>
      </c>
      <c r="J206" s="1051">
        <v>0</v>
      </c>
      <c r="K206" s="1052">
        <v>0</v>
      </c>
      <c r="L206" s="1050">
        <f>SUM(L203:L205)</f>
        <v>187085.81</v>
      </c>
      <c r="M206" s="1051">
        <f t="shared" ref="M206" si="792">SUM(M203:M205)</f>
        <v>0</v>
      </c>
      <c r="N206" s="1051">
        <f t="shared" ref="N206" si="793">SUM(N203:N205)</f>
        <v>0</v>
      </c>
      <c r="O206" s="1051">
        <f t="shared" ref="O206" si="794">SUM(O203:O205)</f>
        <v>0</v>
      </c>
      <c r="P206" s="1052">
        <f t="shared" ref="P206" si="795">SUM(P203:P205)</f>
        <v>0</v>
      </c>
      <c r="Q206" s="1092">
        <f t="shared" ref="Q206" si="796">SUM(Q203:Q205)</f>
        <v>0</v>
      </c>
      <c r="R206" s="1051">
        <f t="shared" ref="R206" si="797">SUM(R203:R205)</f>
        <v>0</v>
      </c>
      <c r="S206" s="1051">
        <f t="shared" ref="S206" si="798">SUM(S203:S205)</f>
        <v>0</v>
      </c>
      <c r="T206" s="1051">
        <f t="shared" ref="T206" si="799">SUM(T203:T205)</f>
        <v>0</v>
      </c>
      <c r="U206" s="1052">
        <f t="shared" ref="U206" si="800">SUM(U203:U205)</f>
        <v>0</v>
      </c>
      <c r="V206" s="1172"/>
      <c r="W206" s="1050">
        <f t="shared" ref="W206" si="801">SUM(W203:W205)</f>
        <v>0</v>
      </c>
      <c r="X206" s="1051">
        <f t="shared" ref="X206" si="802">SUM(X203:X205)</f>
        <v>0</v>
      </c>
      <c r="Y206" s="1051">
        <f t="shared" ref="Y206" si="803">SUM(Y203:Y205)</f>
        <v>0</v>
      </c>
      <c r="Z206" s="1051">
        <f t="shared" ref="Z206" si="804">SUM(Z203:Z205)</f>
        <v>0</v>
      </c>
      <c r="AA206" s="1052">
        <f t="shared" ref="AA206" si="805">SUM(AA203:AA205)</f>
        <v>0</v>
      </c>
      <c r="AB206" s="1053"/>
      <c r="AC206" s="1050">
        <f t="shared" ref="AC206" si="806">SUM(AC203:AC205)</f>
        <v>0</v>
      </c>
      <c r="AD206" s="1051">
        <f t="shared" ref="AD206" si="807">SUM(AD203:AD205)</f>
        <v>0</v>
      </c>
      <c r="AE206" s="1051">
        <f t="shared" ref="AE206" si="808">SUM(AE203:AE205)</f>
        <v>0</v>
      </c>
      <c r="AF206" s="1051">
        <f t="shared" ref="AF206" si="809">SUM(AF203:AF205)</f>
        <v>0</v>
      </c>
      <c r="AG206" s="1051">
        <f t="shared" ref="AG206" si="810">SUM(AG203:AG205)</f>
        <v>0</v>
      </c>
      <c r="AH206" s="1054"/>
      <c r="AI206" s="1172"/>
      <c r="AJ206" s="130"/>
      <c r="AK206" s="130"/>
      <c r="AL206" s="1050">
        <f t="shared" ref="AL206:AR206" si="811">SUM(AL204:AL205)</f>
        <v>0</v>
      </c>
      <c r="AM206" s="1051">
        <f t="shared" si="811"/>
        <v>0</v>
      </c>
      <c r="AN206" s="1051">
        <f t="shared" si="811"/>
        <v>0</v>
      </c>
      <c r="AO206" s="1051">
        <f t="shared" si="811"/>
        <v>0</v>
      </c>
      <c r="AP206" s="1052">
        <f t="shared" si="811"/>
        <v>0</v>
      </c>
      <c r="AQ206" s="1050">
        <f t="shared" si="811"/>
        <v>0</v>
      </c>
      <c r="AR206" s="1051">
        <f t="shared" si="811"/>
        <v>0</v>
      </c>
      <c r="AS206" s="1052"/>
      <c r="AT206" s="130"/>
      <c r="AU206" s="130"/>
      <c r="AV206" s="130"/>
      <c r="AW206" s="130"/>
      <c r="AX206" s="130"/>
      <c r="AY206" s="130"/>
      <c r="AZ206" s="130"/>
      <c r="BA206" s="130"/>
      <c r="BB206" s="130"/>
      <c r="BC206" s="130"/>
      <c r="BD206" s="130"/>
      <c r="BE206" s="130"/>
      <c r="BF206" s="130"/>
      <c r="BG206" s="130"/>
      <c r="BH206" s="130"/>
      <c r="BI206" s="130"/>
      <c r="BJ206" s="130"/>
      <c r="BK206" s="130"/>
      <c r="BL206" s="130"/>
      <c r="BM206" s="130"/>
      <c r="BN206" s="130"/>
      <c r="BO206" s="130"/>
      <c r="BP206" s="130"/>
      <c r="BQ206" s="130"/>
      <c r="BR206" s="130"/>
      <c r="BS206" s="1155"/>
    </row>
    <row r="207" spans="5:71" s="474" customFormat="1">
      <c r="E207" s="4109"/>
      <c r="F207" s="1388" t="s">
        <v>35</v>
      </c>
      <c r="G207" s="255"/>
      <c r="H207" s="461"/>
      <c r="I207" s="461"/>
      <c r="J207" s="461"/>
      <c r="K207" s="281"/>
      <c r="L207" s="255"/>
      <c r="M207" s="461"/>
      <c r="N207" s="461"/>
      <c r="O207" s="461"/>
      <c r="P207" s="281"/>
      <c r="Q207" s="956"/>
      <c r="R207" s="461"/>
      <c r="S207" s="461"/>
      <c r="T207" s="461"/>
      <c r="U207" s="281"/>
      <c r="V207" s="1172"/>
      <c r="W207" s="255"/>
      <c r="X207" s="461"/>
      <c r="Y207" s="461"/>
      <c r="Z207" s="461"/>
      <c r="AA207" s="281"/>
      <c r="AB207" s="1004"/>
      <c r="AC207" s="255"/>
      <c r="AD207" s="461"/>
      <c r="AE207" s="461"/>
      <c r="AF207" s="461"/>
      <c r="AG207" s="461"/>
      <c r="AH207" s="1047"/>
      <c r="AI207" s="1172"/>
      <c r="AJ207" s="1155"/>
      <c r="AK207" s="1155"/>
      <c r="AL207" s="259"/>
      <c r="AM207" s="466"/>
      <c r="AN207" s="466"/>
      <c r="AO207" s="466"/>
      <c r="AP207" s="283"/>
      <c r="AQ207" s="259"/>
      <c r="AR207" s="466"/>
      <c r="AS207" s="283"/>
      <c r="AT207" s="1155"/>
      <c r="AU207" s="1155"/>
      <c r="AV207" s="1155"/>
      <c r="AW207" s="1155"/>
      <c r="AX207" s="1155"/>
      <c r="AY207" s="1155"/>
      <c r="AZ207" s="1155"/>
      <c r="BA207" s="1155"/>
      <c r="BB207" s="1155"/>
      <c r="BC207" s="1155"/>
      <c r="BD207" s="1155"/>
      <c r="BE207" s="1155"/>
      <c r="BF207" s="1155"/>
      <c r="BG207" s="1155"/>
      <c r="BH207" s="1155"/>
      <c r="BI207" s="1155"/>
      <c r="BJ207" s="1155"/>
      <c r="BK207" s="1155"/>
      <c r="BL207" s="1155"/>
      <c r="BM207" s="1155"/>
      <c r="BN207" s="1155"/>
      <c r="BO207" s="1155"/>
      <c r="BP207" s="1155"/>
      <c r="BQ207" s="1155"/>
      <c r="BR207" s="1155"/>
      <c r="BS207" s="1155"/>
    </row>
    <row r="208" spans="5:71" s="474" customFormat="1" ht="13.5" thickBot="1">
      <c r="E208" s="4109"/>
      <c r="F208" s="1387" t="s">
        <v>585</v>
      </c>
      <c r="G208" s="1055">
        <v>0</v>
      </c>
      <c r="H208" s="1056">
        <v>0</v>
      </c>
      <c r="I208" s="1056">
        <v>0</v>
      </c>
      <c r="J208" s="1056">
        <v>0</v>
      </c>
      <c r="K208" s="1057">
        <v>0</v>
      </c>
      <c r="L208" s="1567">
        <f>L206-L207</f>
        <v>187085.81</v>
      </c>
      <c r="M208" s="1056">
        <f t="shared" ref="M208" si="812">M206-M207</f>
        <v>0</v>
      </c>
      <c r="N208" s="1056">
        <f t="shared" ref="N208" si="813">N206-N207</f>
        <v>0</v>
      </c>
      <c r="O208" s="1056">
        <f t="shared" ref="O208" si="814">O206-O207</f>
        <v>0</v>
      </c>
      <c r="P208" s="1057">
        <f t="shared" ref="P208" si="815">P206-P207</f>
        <v>0</v>
      </c>
      <c r="Q208" s="1093">
        <f t="shared" ref="Q208" si="816">Q206-Q207</f>
        <v>0</v>
      </c>
      <c r="R208" s="1056">
        <f t="shared" ref="R208" si="817">R206-R207</f>
        <v>0</v>
      </c>
      <c r="S208" s="1056">
        <f t="shared" ref="S208" si="818">S206-S207</f>
        <v>0</v>
      </c>
      <c r="T208" s="1056">
        <f t="shared" ref="T208" si="819">T206-T207</f>
        <v>0</v>
      </c>
      <c r="U208" s="1057">
        <f t="shared" ref="U208" si="820">U206-U207</f>
        <v>0</v>
      </c>
      <c r="V208" s="1172"/>
      <c r="W208" s="1055">
        <f t="shared" ref="W208" si="821">W206-W207</f>
        <v>0</v>
      </c>
      <c r="X208" s="1056">
        <f t="shared" ref="X208" si="822">X206-X207</f>
        <v>0</v>
      </c>
      <c r="Y208" s="1056">
        <f t="shared" ref="Y208" si="823">Y206-Y207</f>
        <v>0</v>
      </c>
      <c r="Z208" s="1056">
        <f t="shared" ref="Z208" si="824">Z206-Z207</f>
        <v>0</v>
      </c>
      <c r="AA208" s="1057">
        <f t="shared" ref="AA208" si="825">AA206-AA207</f>
        <v>0</v>
      </c>
      <c r="AB208" s="1075"/>
      <c r="AC208" s="1055">
        <f t="shared" ref="AC208" si="826">AC206-AC207</f>
        <v>0</v>
      </c>
      <c r="AD208" s="1056">
        <f t="shared" ref="AD208" si="827">AD206-AD207</f>
        <v>0</v>
      </c>
      <c r="AE208" s="1056">
        <f t="shared" ref="AE208" si="828">AE206-AE207</f>
        <v>0</v>
      </c>
      <c r="AF208" s="1056">
        <f t="shared" ref="AF208" si="829">AF206-AF207</f>
        <v>0</v>
      </c>
      <c r="AG208" s="1056">
        <f t="shared" ref="AG208" si="830">AG206-AG207</f>
        <v>0</v>
      </c>
      <c r="AH208" s="1059"/>
      <c r="AI208" s="1172"/>
      <c r="AJ208" s="1155"/>
      <c r="AK208" s="1155"/>
      <c r="AL208" s="1567">
        <f>AL206-AL207</f>
        <v>0</v>
      </c>
      <c r="AM208" s="1056">
        <f t="shared" ref="AM208:AR208" si="831">AM206-AM207</f>
        <v>0</v>
      </c>
      <c r="AN208" s="1056">
        <f t="shared" si="831"/>
        <v>0</v>
      </c>
      <c r="AO208" s="1056">
        <f t="shared" si="831"/>
        <v>0</v>
      </c>
      <c r="AP208" s="1057">
        <f t="shared" si="831"/>
        <v>0</v>
      </c>
      <c r="AQ208" s="1567">
        <f t="shared" si="831"/>
        <v>0</v>
      </c>
      <c r="AR208" s="1056">
        <f t="shared" si="831"/>
        <v>0</v>
      </c>
      <c r="AS208" s="1057"/>
      <c r="AT208" s="1155"/>
      <c r="AU208" s="1155"/>
      <c r="AV208" s="1155"/>
      <c r="AW208" s="1155"/>
      <c r="AX208" s="1155"/>
      <c r="AY208" s="1155"/>
      <c r="AZ208" s="1155"/>
      <c r="BA208" s="1155"/>
      <c r="BB208" s="1155"/>
      <c r="BC208" s="1155"/>
      <c r="BD208" s="1155"/>
      <c r="BE208" s="1155"/>
      <c r="BF208" s="1155"/>
      <c r="BG208" s="1155"/>
      <c r="BH208" s="1155"/>
      <c r="BI208" s="1155"/>
      <c r="BJ208" s="1155"/>
      <c r="BK208" s="1155"/>
      <c r="BL208" s="1155"/>
      <c r="BM208" s="1155"/>
      <c r="BN208" s="1155"/>
      <c r="BO208" s="1155"/>
      <c r="BP208" s="1155"/>
      <c r="BQ208" s="1155"/>
      <c r="BR208" s="1155"/>
      <c r="BS208" s="1155"/>
    </row>
    <row r="209" spans="5:71" s="474" customFormat="1" ht="12.75" customHeight="1">
      <c r="E209" s="4107" t="s">
        <v>1488</v>
      </c>
      <c r="F209" s="433" t="s">
        <v>111</v>
      </c>
      <c r="G209" s="1086"/>
      <c r="H209" s="1087"/>
      <c r="I209" s="1087"/>
      <c r="J209" s="1087"/>
      <c r="K209" s="1088"/>
      <c r="L209" s="258"/>
      <c r="M209" s="465"/>
      <c r="N209" s="465"/>
      <c r="O209" s="465"/>
      <c r="P209" s="282"/>
      <c r="Q209" s="1566"/>
      <c r="R209" s="421"/>
      <c r="S209" s="421"/>
      <c r="T209" s="421"/>
      <c r="U209" s="1044"/>
      <c r="V209" s="1172"/>
      <c r="W209" s="1043"/>
      <c r="X209" s="421"/>
      <c r="Y209" s="421"/>
      <c r="Z209" s="421"/>
      <c r="AA209" s="1044"/>
      <c r="AB209" s="1045"/>
      <c r="AC209" s="1043"/>
      <c r="AD209" s="421"/>
      <c r="AE209" s="421"/>
      <c r="AF209" s="421"/>
      <c r="AG209" s="421"/>
      <c r="AH209" s="1046"/>
      <c r="AI209" s="1172"/>
      <c r="AJ209" s="1155"/>
      <c r="AK209" s="1155"/>
      <c r="AL209" s="1086"/>
      <c r="AM209" s="1087"/>
      <c r="AN209" s="1087"/>
      <c r="AO209" s="1087"/>
      <c r="AP209" s="1088"/>
      <c r="AQ209" s="258"/>
      <c r="AR209" s="465"/>
      <c r="AS209" s="282"/>
      <c r="AT209" s="1155"/>
      <c r="AU209" s="1155"/>
      <c r="AV209" s="1155"/>
      <c r="AW209" s="1155"/>
      <c r="AX209" s="1155"/>
      <c r="AY209" s="1155"/>
      <c r="AZ209" s="1155"/>
      <c r="BA209" s="1155"/>
      <c r="BB209" s="1155"/>
      <c r="BC209" s="1155"/>
      <c r="BD209" s="1155"/>
      <c r="BE209" s="1155"/>
      <c r="BF209" s="1155"/>
      <c r="BG209" s="1155"/>
      <c r="BH209" s="1155"/>
      <c r="BI209" s="1155"/>
      <c r="BJ209" s="1155"/>
      <c r="BK209" s="1155"/>
      <c r="BL209" s="1155"/>
      <c r="BM209" s="1155"/>
      <c r="BN209" s="1155"/>
      <c r="BO209" s="1155"/>
      <c r="BP209" s="1155"/>
      <c r="BQ209" s="1155"/>
      <c r="BR209" s="1155"/>
      <c r="BS209" s="1155"/>
    </row>
    <row r="210" spans="5:71" s="474" customFormat="1" ht="12.75" customHeight="1">
      <c r="E210" s="4108"/>
      <c r="F210" s="1374" t="s">
        <v>588</v>
      </c>
      <c r="G210" s="1083"/>
      <c r="H210" s="1084"/>
      <c r="I210" s="1084"/>
      <c r="J210" s="1084"/>
      <c r="K210" s="1085"/>
      <c r="L210" s="255"/>
      <c r="M210" s="461"/>
      <c r="N210" s="461"/>
      <c r="O210" s="461"/>
      <c r="P210" s="281"/>
      <c r="Q210" s="255"/>
      <c r="R210" s="461"/>
      <c r="S210" s="461"/>
      <c r="T210" s="461"/>
      <c r="U210" s="281"/>
      <c r="V210" s="1172"/>
      <c r="W210" s="255"/>
      <c r="X210" s="461"/>
      <c r="Y210" s="461"/>
      <c r="Z210" s="461"/>
      <c r="AA210" s="281"/>
      <c r="AB210" s="1041"/>
      <c r="AC210" s="255"/>
      <c r="AD210" s="461"/>
      <c r="AE210" s="461"/>
      <c r="AF210" s="461"/>
      <c r="AG210" s="461"/>
      <c r="AH210" s="1047"/>
      <c r="AI210" s="1172"/>
      <c r="AJ210" s="1155"/>
      <c r="AK210" s="1155"/>
      <c r="AL210" s="1083"/>
      <c r="AM210" s="1084"/>
      <c r="AN210" s="1084"/>
      <c r="AO210" s="1084"/>
      <c r="AP210" s="1085"/>
      <c r="AQ210" s="259"/>
      <c r="AR210" s="466"/>
      <c r="AS210" s="283"/>
      <c r="AT210" s="1155"/>
      <c r="AU210" s="1155"/>
      <c r="AV210" s="1155"/>
      <c r="AW210" s="1155"/>
      <c r="AX210" s="1155"/>
      <c r="AY210" s="1155"/>
      <c r="AZ210" s="1155"/>
      <c r="BA210" s="1155"/>
      <c r="BB210" s="1155"/>
      <c r="BC210" s="1155"/>
      <c r="BD210" s="1155"/>
      <c r="BE210" s="1155"/>
      <c r="BF210" s="1155"/>
      <c r="BG210" s="1155"/>
      <c r="BH210" s="1155"/>
      <c r="BI210" s="1155"/>
      <c r="BJ210" s="1155"/>
      <c r="BK210" s="1155"/>
      <c r="BL210" s="1155"/>
      <c r="BM210" s="1155"/>
      <c r="BN210" s="1155"/>
      <c r="BO210" s="1155"/>
      <c r="BP210" s="1155"/>
      <c r="BQ210" s="1155"/>
      <c r="BR210" s="1155"/>
      <c r="BS210" s="1155"/>
    </row>
    <row r="211" spans="5:71" s="474" customFormat="1" ht="12.75" customHeight="1">
      <c r="E211" s="4108"/>
      <c r="F211" s="1374" t="s">
        <v>589</v>
      </c>
      <c r="G211" s="1083"/>
      <c r="H211" s="1084"/>
      <c r="I211" s="1084"/>
      <c r="J211" s="1084"/>
      <c r="K211" s="1085"/>
      <c r="L211" s="255"/>
      <c r="M211" s="461"/>
      <c r="N211" s="461"/>
      <c r="O211" s="461"/>
      <c r="P211" s="281"/>
      <c r="Q211" s="255"/>
      <c r="R211" s="461"/>
      <c r="S211" s="461"/>
      <c r="T211" s="461"/>
      <c r="U211" s="281"/>
      <c r="V211" s="1172"/>
      <c r="W211" s="255"/>
      <c r="X211" s="461"/>
      <c r="Y211" s="461"/>
      <c r="Z211" s="461"/>
      <c r="AA211" s="281"/>
      <c r="AB211" s="1041"/>
      <c r="AC211" s="255"/>
      <c r="AD211" s="461"/>
      <c r="AE211" s="461"/>
      <c r="AF211" s="461"/>
      <c r="AG211" s="461"/>
      <c r="AH211" s="1047"/>
      <c r="AI211" s="1172"/>
      <c r="AJ211" s="1155"/>
      <c r="AK211" s="1155"/>
      <c r="AL211" s="1083"/>
      <c r="AM211" s="1084"/>
      <c r="AN211" s="1084"/>
      <c r="AO211" s="1084"/>
      <c r="AP211" s="1085"/>
      <c r="AQ211" s="259"/>
      <c r="AR211" s="466"/>
      <c r="AS211" s="283"/>
      <c r="AT211" s="1155"/>
      <c r="AU211" s="1155"/>
      <c r="AV211" s="1155"/>
      <c r="AW211" s="1155"/>
      <c r="AX211" s="1155"/>
      <c r="AY211" s="1155"/>
      <c r="AZ211" s="1155"/>
      <c r="BA211" s="1155"/>
      <c r="BB211" s="1155"/>
      <c r="BC211" s="1155"/>
      <c r="BD211" s="1155"/>
      <c r="BE211" s="1155"/>
      <c r="BF211" s="1155"/>
      <c r="BG211" s="1155"/>
      <c r="BH211" s="1155"/>
      <c r="BI211" s="1155"/>
      <c r="BJ211" s="1155"/>
      <c r="BK211" s="1155"/>
      <c r="BL211" s="1155"/>
      <c r="BM211" s="1155"/>
      <c r="BN211" s="1155"/>
      <c r="BO211" s="1155"/>
      <c r="BP211" s="1155"/>
      <c r="BQ211" s="1155"/>
      <c r="BR211" s="1155"/>
      <c r="BS211" s="1155"/>
    </row>
    <row r="212" spans="5:71" s="474" customFormat="1" ht="12.75" customHeight="1">
      <c r="E212" s="4108"/>
      <c r="F212" s="1374" t="s">
        <v>590</v>
      </c>
      <c r="G212" s="1083"/>
      <c r="H212" s="1084"/>
      <c r="I212" s="1084"/>
      <c r="J212" s="1084"/>
      <c r="K212" s="1085"/>
      <c r="L212" s="255"/>
      <c r="M212" s="461"/>
      <c r="N212" s="461"/>
      <c r="O212" s="461"/>
      <c r="P212" s="281"/>
      <c r="Q212" s="255"/>
      <c r="R212" s="461"/>
      <c r="S212" s="461"/>
      <c r="T212" s="461"/>
      <c r="U212" s="281"/>
      <c r="V212" s="1172"/>
      <c r="W212" s="255"/>
      <c r="X212" s="461"/>
      <c r="Y212" s="461"/>
      <c r="Z212" s="461"/>
      <c r="AA212" s="281"/>
      <c r="AB212" s="1041"/>
      <c r="AC212" s="255"/>
      <c r="AD212" s="461"/>
      <c r="AE212" s="461"/>
      <c r="AF212" s="461"/>
      <c r="AG212" s="461"/>
      <c r="AH212" s="1047"/>
      <c r="AI212" s="1172"/>
      <c r="AJ212" s="1155"/>
      <c r="AK212" s="1155"/>
      <c r="AL212" s="1083"/>
      <c r="AM212" s="1084"/>
      <c r="AN212" s="1084"/>
      <c r="AO212" s="1084"/>
      <c r="AP212" s="1085"/>
      <c r="AQ212" s="259"/>
      <c r="AR212" s="466"/>
      <c r="AS212" s="283"/>
      <c r="AT212" s="1155"/>
      <c r="AU212" s="1155"/>
      <c r="AV212" s="1155"/>
      <c r="AW212" s="1155"/>
      <c r="AX212" s="1155"/>
      <c r="AY212" s="1155"/>
      <c r="AZ212" s="1155"/>
      <c r="BA212" s="1155"/>
      <c r="BB212" s="1155"/>
      <c r="BC212" s="1155"/>
      <c r="BD212" s="1155"/>
      <c r="BE212" s="1155"/>
      <c r="BF212" s="1155"/>
      <c r="BG212" s="1155"/>
      <c r="BH212" s="1155"/>
      <c r="BI212" s="1155"/>
      <c r="BJ212" s="1155"/>
      <c r="BK212" s="1155"/>
      <c r="BL212" s="1155"/>
      <c r="BM212" s="1155"/>
      <c r="BN212" s="1155"/>
      <c r="BO212" s="1155"/>
      <c r="BP212" s="1155"/>
      <c r="BQ212" s="1155"/>
      <c r="BR212" s="1155"/>
      <c r="BS212" s="1155"/>
    </row>
    <row r="213" spans="5:71" s="474" customFormat="1" ht="12.75" customHeight="1">
      <c r="E213" s="4108"/>
      <c r="F213" s="1374" t="s">
        <v>591</v>
      </c>
      <c r="G213" s="1083"/>
      <c r="H213" s="1084"/>
      <c r="I213" s="1084"/>
      <c r="J213" s="1084"/>
      <c r="K213" s="1085"/>
      <c r="L213" s="255"/>
      <c r="M213" s="461"/>
      <c r="N213" s="461"/>
      <c r="O213" s="461"/>
      <c r="P213" s="281"/>
      <c r="Q213" s="255"/>
      <c r="R213" s="461"/>
      <c r="S213" s="461"/>
      <c r="T213" s="461"/>
      <c r="U213" s="281"/>
      <c r="V213" s="1172"/>
      <c r="W213" s="255"/>
      <c r="X213" s="461"/>
      <c r="Y213" s="461"/>
      <c r="Z213" s="461"/>
      <c r="AA213" s="281"/>
      <c r="AB213" s="1041"/>
      <c r="AC213" s="255"/>
      <c r="AD213" s="461"/>
      <c r="AE213" s="461"/>
      <c r="AF213" s="461"/>
      <c r="AG213" s="461"/>
      <c r="AH213" s="1047"/>
      <c r="AI213" s="1172"/>
      <c r="AJ213" s="1155"/>
      <c r="AK213" s="1155"/>
      <c r="AL213" s="1083"/>
      <c r="AM213" s="1084"/>
      <c r="AN213" s="1084"/>
      <c r="AO213" s="1084"/>
      <c r="AP213" s="1085"/>
      <c r="AQ213" s="259"/>
      <c r="AR213" s="466"/>
      <c r="AS213" s="283"/>
      <c r="AT213" s="1155"/>
      <c r="AU213" s="1155"/>
      <c r="AV213" s="1155"/>
      <c r="AW213" s="1155"/>
      <c r="AX213" s="1155"/>
      <c r="AY213" s="1155"/>
      <c r="AZ213" s="1155"/>
      <c r="BA213" s="1155"/>
      <c r="BB213" s="1155"/>
      <c r="BC213" s="1155"/>
      <c r="BD213" s="1155"/>
      <c r="BE213" s="1155"/>
      <c r="BF213" s="1155"/>
      <c r="BG213" s="1155"/>
      <c r="BH213" s="1155"/>
      <c r="BI213" s="1155"/>
      <c r="BJ213" s="1155"/>
      <c r="BK213" s="1155"/>
      <c r="BL213" s="1155"/>
      <c r="BM213" s="1155"/>
      <c r="BN213" s="1155"/>
      <c r="BO213" s="1155"/>
      <c r="BP213" s="1155"/>
      <c r="BQ213" s="1155"/>
      <c r="BR213" s="1155"/>
      <c r="BS213" s="1155"/>
    </row>
    <row r="214" spans="5:71" s="474" customFormat="1" ht="12.75" customHeight="1">
      <c r="E214" s="4108"/>
      <c r="F214" s="1374" t="s">
        <v>592</v>
      </c>
      <c r="G214" s="1083"/>
      <c r="H214" s="1084"/>
      <c r="I214" s="1084"/>
      <c r="J214" s="1084"/>
      <c r="K214" s="1085"/>
      <c r="L214" s="207">
        <v>469</v>
      </c>
      <c r="M214" s="456"/>
      <c r="N214" s="456"/>
      <c r="O214" s="456"/>
      <c r="P214" s="457"/>
      <c r="Q214" s="207"/>
      <c r="R214" s="456"/>
      <c r="S214" s="456"/>
      <c r="T214" s="456"/>
      <c r="U214" s="457"/>
      <c r="V214" s="1172"/>
      <c r="W214" s="207">
        <v>0</v>
      </c>
      <c r="X214" s="456">
        <v>0</v>
      </c>
      <c r="Y214" s="456">
        <v>0</v>
      </c>
      <c r="Z214" s="456">
        <v>0</v>
      </c>
      <c r="AA214" s="457">
        <v>0</v>
      </c>
      <c r="AB214" s="1041"/>
      <c r="AC214" s="207">
        <v>0</v>
      </c>
      <c r="AD214" s="456">
        <v>0</v>
      </c>
      <c r="AE214" s="456">
        <v>0</v>
      </c>
      <c r="AF214" s="456">
        <v>0</v>
      </c>
      <c r="AG214" s="456">
        <v>0</v>
      </c>
      <c r="AH214" s="1048"/>
      <c r="AI214" s="1172"/>
      <c r="AJ214" s="1155"/>
      <c r="AK214" s="1155"/>
      <c r="AL214" s="1083"/>
      <c r="AM214" s="1084"/>
      <c r="AN214" s="1084"/>
      <c r="AO214" s="1084"/>
      <c r="AP214" s="1085"/>
      <c r="AQ214" s="207">
        <f>SUM(AQ209:AQ213)</f>
        <v>0</v>
      </c>
      <c r="AR214" s="456">
        <f t="shared" ref="AR214" si="832">SUM(AR209:AR213)</f>
        <v>0</v>
      </c>
      <c r="AS214" s="457"/>
      <c r="AT214" s="1155"/>
      <c r="AU214" s="1155"/>
      <c r="AV214" s="1155"/>
      <c r="AW214" s="1155"/>
      <c r="AX214" s="1155"/>
      <c r="AY214" s="1155"/>
      <c r="AZ214" s="1155"/>
      <c r="BA214" s="1155"/>
      <c r="BB214" s="1155"/>
      <c r="BC214" s="1155"/>
      <c r="BD214" s="1155"/>
      <c r="BE214" s="1155"/>
      <c r="BF214" s="1155"/>
      <c r="BG214" s="1155"/>
      <c r="BH214" s="1155"/>
      <c r="BI214" s="1155"/>
      <c r="BJ214" s="1155"/>
      <c r="BK214" s="1155"/>
      <c r="BL214" s="1155"/>
      <c r="BM214" s="1155"/>
      <c r="BN214" s="1155"/>
      <c r="BO214" s="1155"/>
      <c r="BP214" s="1155"/>
      <c r="BQ214" s="1155"/>
      <c r="BR214" s="1155"/>
      <c r="BS214" s="1155"/>
    </row>
    <row r="215" spans="5:71" s="474" customFormat="1">
      <c r="E215" s="4108"/>
      <c r="F215" s="1375" t="s">
        <v>587</v>
      </c>
      <c r="G215" s="1086"/>
      <c r="H215" s="1087"/>
      <c r="I215" s="1087"/>
      <c r="J215" s="1087"/>
      <c r="K215" s="1088"/>
      <c r="L215" s="258">
        <f>SUM(L210:L214)</f>
        <v>469</v>
      </c>
      <c r="M215" s="465">
        <f t="shared" ref="M215" si="833">SUM(M210:M214)</f>
        <v>0</v>
      </c>
      <c r="N215" s="465">
        <f t="shared" ref="N215" si="834">SUM(N210:N214)</f>
        <v>0</v>
      </c>
      <c r="O215" s="465">
        <f t="shared" ref="O215" si="835">SUM(O210:O214)</f>
        <v>0</v>
      </c>
      <c r="P215" s="282">
        <f t="shared" ref="P215" si="836">SUM(P210:P214)</f>
        <v>0</v>
      </c>
      <c r="Q215" s="258">
        <f t="shared" ref="Q215" si="837">SUM(Q210:Q214)</f>
        <v>0</v>
      </c>
      <c r="R215" s="465">
        <f t="shared" ref="R215" si="838">SUM(R210:R214)</f>
        <v>0</v>
      </c>
      <c r="S215" s="465">
        <f t="shared" ref="S215" si="839">SUM(S210:S214)</f>
        <v>0</v>
      </c>
      <c r="T215" s="465">
        <f t="shared" ref="T215" si="840">SUM(T210:T214)</f>
        <v>0</v>
      </c>
      <c r="U215" s="282">
        <f t="shared" ref="U215" si="841">SUM(U210:U214)</f>
        <v>0</v>
      </c>
      <c r="V215" s="1172"/>
      <c r="W215" s="258">
        <f t="shared" ref="W215" si="842">SUM(W210:W214)</f>
        <v>0</v>
      </c>
      <c r="X215" s="465">
        <f t="shared" ref="X215" si="843">SUM(X210:X214)</f>
        <v>0</v>
      </c>
      <c r="Y215" s="465">
        <f t="shared" ref="Y215" si="844">SUM(Y210:Y214)</f>
        <v>0</v>
      </c>
      <c r="Z215" s="465">
        <f t="shared" ref="Z215" si="845">SUM(Z210:Z214)</f>
        <v>0</v>
      </c>
      <c r="AA215" s="282">
        <f t="shared" ref="AA215" si="846">SUM(AA210:AA214)</f>
        <v>0</v>
      </c>
      <c r="AB215" s="992"/>
      <c r="AC215" s="258">
        <f t="shared" ref="AC215" si="847">SUM(AC210:AC214)</f>
        <v>0</v>
      </c>
      <c r="AD215" s="465">
        <f t="shared" ref="AD215" si="848">SUM(AD210:AD214)</f>
        <v>0</v>
      </c>
      <c r="AE215" s="465">
        <f t="shared" ref="AE215" si="849">SUM(AE210:AE214)</f>
        <v>0</v>
      </c>
      <c r="AF215" s="465">
        <f t="shared" ref="AF215" si="850">SUM(AF210:AF214)</f>
        <v>0</v>
      </c>
      <c r="AG215" s="465">
        <f t="shared" ref="AG215" si="851">SUM(AG210:AG214)</f>
        <v>0</v>
      </c>
      <c r="AH215" s="1049"/>
      <c r="AI215" s="1172"/>
      <c r="AJ215" s="1155"/>
      <c r="AK215" s="1155"/>
      <c r="AL215" s="1086"/>
      <c r="AM215" s="1087"/>
      <c r="AN215" s="1087"/>
      <c r="AO215" s="1087"/>
      <c r="AP215" s="1088"/>
      <c r="AQ215" s="258"/>
      <c r="AR215" s="465"/>
      <c r="AS215" s="282"/>
      <c r="AT215" s="1155"/>
      <c r="AU215" s="1155"/>
      <c r="AV215" s="1155"/>
      <c r="AW215" s="1155"/>
      <c r="AX215" s="1155"/>
      <c r="AY215" s="1155"/>
      <c r="AZ215" s="1155"/>
      <c r="BA215" s="1155"/>
      <c r="BB215" s="1155"/>
      <c r="BC215" s="1155"/>
      <c r="BD215" s="1155"/>
      <c r="BE215" s="1155"/>
      <c r="BF215" s="1155"/>
      <c r="BG215" s="1155"/>
      <c r="BH215" s="1155"/>
      <c r="BI215" s="1155"/>
      <c r="BJ215" s="1155"/>
      <c r="BK215" s="1155"/>
      <c r="BL215" s="1155"/>
      <c r="BM215" s="1155"/>
      <c r="BN215" s="1155"/>
      <c r="BO215" s="1155"/>
      <c r="BP215" s="1155"/>
      <c r="BQ215" s="1155"/>
      <c r="BR215" s="1155"/>
      <c r="BS215" s="1155"/>
    </row>
    <row r="216" spans="5:71" s="474" customFormat="1">
      <c r="E216" s="4108"/>
      <c r="F216" s="1376" t="s">
        <v>593</v>
      </c>
      <c r="G216" s="1083"/>
      <c r="H216" s="1084"/>
      <c r="I216" s="1084"/>
      <c r="J216" s="1084"/>
      <c r="K216" s="1085"/>
      <c r="L216" s="255"/>
      <c r="M216" s="461"/>
      <c r="N216" s="461"/>
      <c r="O216" s="461"/>
      <c r="P216" s="281"/>
      <c r="Q216" s="255"/>
      <c r="R216" s="461"/>
      <c r="S216" s="461"/>
      <c r="T216" s="461"/>
      <c r="U216" s="281"/>
      <c r="V216" s="1172"/>
      <c r="W216" s="255"/>
      <c r="X216" s="461"/>
      <c r="Y216" s="461"/>
      <c r="Z216" s="461"/>
      <c r="AA216" s="281"/>
      <c r="AB216" s="1041"/>
      <c r="AC216" s="255"/>
      <c r="AD216" s="461"/>
      <c r="AE216" s="461"/>
      <c r="AF216" s="461"/>
      <c r="AG216" s="461"/>
      <c r="AH216" s="1047"/>
      <c r="AI216" s="1172"/>
      <c r="AJ216" s="1155"/>
      <c r="AK216" s="1155"/>
      <c r="AL216" s="1083"/>
      <c r="AM216" s="1084"/>
      <c r="AN216" s="1084"/>
      <c r="AO216" s="1084"/>
      <c r="AP216" s="1085"/>
      <c r="AQ216" s="259"/>
      <c r="AR216" s="466"/>
      <c r="AS216" s="283"/>
      <c r="AT216" s="1155"/>
      <c r="AU216" s="1155"/>
      <c r="AV216" s="1155"/>
      <c r="AW216" s="1155"/>
      <c r="AX216" s="1155"/>
      <c r="AY216" s="1155"/>
      <c r="AZ216" s="1155"/>
      <c r="BA216" s="1155"/>
      <c r="BB216" s="1155"/>
      <c r="BC216" s="1155"/>
      <c r="BD216" s="1155"/>
      <c r="BE216" s="1155"/>
      <c r="BF216" s="1155"/>
      <c r="BG216" s="1155"/>
      <c r="BH216" s="1155"/>
      <c r="BI216" s="1155"/>
      <c r="BJ216" s="1155"/>
      <c r="BK216" s="1155"/>
      <c r="BL216" s="1155"/>
      <c r="BM216" s="1155"/>
      <c r="BN216" s="1155"/>
      <c r="BO216" s="1155"/>
      <c r="BP216" s="1155"/>
      <c r="BQ216" s="1155"/>
      <c r="BR216" s="1155"/>
      <c r="BS216" s="1155"/>
    </row>
    <row r="217" spans="5:71" s="474" customFormat="1">
      <c r="E217" s="4108"/>
      <c r="F217" s="431" t="s">
        <v>558</v>
      </c>
      <c r="G217" s="1083"/>
      <c r="H217" s="1084"/>
      <c r="I217" s="1084"/>
      <c r="J217" s="1084"/>
      <c r="K217" s="1085"/>
      <c r="L217" s="255">
        <v>83107.360000000001</v>
      </c>
      <c r="M217" s="461"/>
      <c r="N217" s="461"/>
      <c r="O217" s="461"/>
      <c r="P217" s="281"/>
      <c r="Q217" s="255"/>
      <c r="R217" s="461"/>
      <c r="S217" s="461"/>
      <c r="T217" s="461"/>
      <c r="U217" s="281"/>
      <c r="V217" s="1172"/>
      <c r="W217" s="255"/>
      <c r="X217" s="461"/>
      <c r="Y217" s="461"/>
      <c r="Z217" s="461"/>
      <c r="AA217" s="281"/>
      <c r="AB217" s="1041"/>
      <c r="AC217" s="255"/>
      <c r="AD217" s="461"/>
      <c r="AE217" s="461"/>
      <c r="AF217" s="461"/>
      <c r="AG217" s="461"/>
      <c r="AH217" s="1047"/>
      <c r="AI217" s="1172"/>
      <c r="AJ217" s="1155"/>
      <c r="AK217" s="1155"/>
      <c r="AL217" s="1083"/>
      <c r="AM217" s="1084"/>
      <c r="AN217" s="1084"/>
      <c r="AO217" s="1084"/>
      <c r="AP217" s="1085"/>
      <c r="AQ217" s="259"/>
      <c r="AR217" s="466"/>
      <c r="AS217" s="283"/>
      <c r="AT217" s="1155"/>
      <c r="AU217" s="1155"/>
      <c r="AV217" s="1155"/>
      <c r="AW217" s="1155"/>
      <c r="AX217" s="1155"/>
      <c r="AY217" s="1155"/>
      <c r="AZ217" s="1155"/>
      <c r="BA217" s="1155"/>
      <c r="BB217" s="1155"/>
      <c r="BC217" s="1155"/>
      <c r="BD217" s="1155"/>
      <c r="BE217" s="1155"/>
      <c r="BF217" s="1155"/>
      <c r="BG217" s="1155"/>
      <c r="BH217" s="1155"/>
      <c r="BI217" s="1155"/>
      <c r="BJ217" s="1155"/>
      <c r="BK217" s="1155"/>
      <c r="BL217" s="1155"/>
      <c r="BM217" s="1155"/>
      <c r="BN217" s="1155"/>
      <c r="BO217" s="1155"/>
      <c r="BP217" s="1155"/>
      <c r="BQ217" s="1155"/>
      <c r="BR217" s="1155"/>
      <c r="BS217" s="1155"/>
    </row>
    <row r="218" spans="5:71" s="474" customFormat="1">
      <c r="E218" s="4108"/>
      <c r="F218" s="431" t="s">
        <v>559</v>
      </c>
      <c r="G218" s="1083"/>
      <c r="H218" s="1084"/>
      <c r="I218" s="1084"/>
      <c r="J218" s="1084"/>
      <c r="K218" s="1085"/>
      <c r="L218" s="255"/>
      <c r="M218" s="461"/>
      <c r="N218" s="461"/>
      <c r="O218" s="461"/>
      <c r="P218" s="281"/>
      <c r="Q218" s="255"/>
      <c r="R218" s="461"/>
      <c r="S218" s="461"/>
      <c r="T218" s="461"/>
      <c r="U218" s="281"/>
      <c r="V218" s="1172"/>
      <c r="W218" s="255"/>
      <c r="X218" s="461"/>
      <c r="Y218" s="461"/>
      <c r="Z218" s="461"/>
      <c r="AA218" s="281"/>
      <c r="AB218" s="1041"/>
      <c r="AC218" s="255"/>
      <c r="AD218" s="461"/>
      <c r="AE218" s="461"/>
      <c r="AF218" s="461"/>
      <c r="AG218" s="461"/>
      <c r="AH218" s="1047"/>
      <c r="AI218" s="1172"/>
      <c r="AJ218" s="1155"/>
      <c r="AK218" s="1155"/>
      <c r="AL218" s="1083"/>
      <c r="AM218" s="1084"/>
      <c r="AN218" s="1084"/>
      <c r="AO218" s="1084"/>
      <c r="AP218" s="1085"/>
      <c r="AQ218" s="259"/>
      <c r="AR218" s="466"/>
      <c r="AS218" s="283"/>
      <c r="AT218" s="1155"/>
      <c r="AU218" s="1155"/>
      <c r="AV218" s="1155"/>
      <c r="AW218" s="1155"/>
      <c r="AX218" s="1155"/>
      <c r="AY218" s="1155"/>
      <c r="AZ218" s="1155"/>
      <c r="BA218" s="1155"/>
      <c r="BB218" s="1155"/>
      <c r="BC218" s="1155"/>
      <c r="BD218" s="1155"/>
      <c r="BE218" s="1155"/>
      <c r="BF218" s="1155"/>
      <c r="BG218" s="1155"/>
      <c r="BH218" s="1155"/>
      <c r="BI218" s="1155"/>
      <c r="BJ218" s="1155"/>
      <c r="BK218" s="1155"/>
      <c r="BL218" s="1155"/>
      <c r="BM218" s="1155"/>
      <c r="BN218" s="1155"/>
      <c r="BO218" s="1155"/>
      <c r="BP218" s="1155"/>
      <c r="BQ218" s="1155"/>
      <c r="BR218" s="1155"/>
      <c r="BS218" s="1155"/>
    </row>
    <row r="219" spans="5:71" s="474" customFormat="1">
      <c r="E219" s="4108"/>
      <c r="F219" s="431" t="s">
        <v>578</v>
      </c>
      <c r="G219" s="1089"/>
      <c r="H219" s="1090"/>
      <c r="I219" s="1090"/>
      <c r="J219" s="1090"/>
      <c r="K219" s="1091"/>
      <c r="L219" s="259"/>
      <c r="M219" s="456"/>
      <c r="N219" s="456"/>
      <c r="O219" s="456"/>
      <c r="P219" s="457"/>
      <c r="Q219" s="207"/>
      <c r="R219" s="456"/>
      <c r="S219" s="456"/>
      <c r="T219" s="456"/>
      <c r="U219" s="457"/>
      <c r="V219" s="1172"/>
      <c r="W219" s="207"/>
      <c r="X219" s="456"/>
      <c r="Y219" s="456"/>
      <c r="Z219" s="456"/>
      <c r="AA219" s="457"/>
      <c r="AB219" s="1041"/>
      <c r="AC219" s="207"/>
      <c r="AD219" s="456"/>
      <c r="AE219" s="456"/>
      <c r="AF219" s="456"/>
      <c r="AG219" s="456"/>
      <c r="AH219" s="1048"/>
      <c r="AI219" s="1172"/>
      <c r="AJ219" s="1155"/>
      <c r="AK219" s="1155"/>
      <c r="AL219" s="1089"/>
      <c r="AM219" s="1090"/>
      <c r="AN219" s="1090"/>
      <c r="AO219" s="1090"/>
      <c r="AP219" s="1091"/>
      <c r="AQ219" s="259"/>
      <c r="AR219" s="456"/>
      <c r="AS219" s="457"/>
      <c r="AT219" s="1155"/>
      <c r="AU219" s="1155"/>
      <c r="AV219" s="1155"/>
      <c r="AW219" s="1155"/>
      <c r="AX219" s="1155"/>
      <c r="AY219" s="1155"/>
      <c r="AZ219" s="1155"/>
      <c r="BA219" s="1155"/>
      <c r="BB219" s="1155"/>
      <c r="BC219" s="1155"/>
      <c r="BD219" s="1155"/>
      <c r="BE219" s="1155"/>
      <c r="BF219" s="1155"/>
      <c r="BG219" s="1155"/>
      <c r="BH219" s="1155"/>
      <c r="BI219" s="1155"/>
      <c r="BJ219" s="1155"/>
      <c r="BK219" s="1155"/>
      <c r="BL219" s="1155"/>
      <c r="BM219" s="1155"/>
      <c r="BN219" s="1155"/>
      <c r="BO219" s="1155"/>
      <c r="BP219" s="1155"/>
      <c r="BQ219" s="1155"/>
      <c r="BR219" s="1155"/>
      <c r="BS219" s="1155"/>
    </row>
    <row r="220" spans="5:71" s="474" customFormat="1">
      <c r="E220" s="4108"/>
      <c r="F220" s="1377" t="s">
        <v>579</v>
      </c>
      <c r="G220" s="1086"/>
      <c r="H220" s="1087"/>
      <c r="I220" s="1087"/>
      <c r="J220" s="1087"/>
      <c r="K220" s="1088"/>
      <c r="L220" s="258">
        <f>SUM(L216:L219)</f>
        <v>83107.360000000001</v>
      </c>
      <c r="M220" s="465">
        <f t="shared" ref="M220" si="852">SUM(M216:M219)</f>
        <v>0</v>
      </c>
      <c r="N220" s="465">
        <f t="shared" ref="N220" si="853">SUM(N216:N219)</f>
        <v>0</v>
      </c>
      <c r="O220" s="465">
        <f t="shared" ref="O220" si="854">SUM(O216:O219)</f>
        <v>0</v>
      </c>
      <c r="P220" s="282">
        <f t="shared" ref="P220" si="855">SUM(P216:P219)</f>
        <v>0</v>
      </c>
      <c r="Q220" s="258">
        <f t="shared" ref="Q220" si="856">SUM(Q216:Q219)</f>
        <v>0</v>
      </c>
      <c r="R220" s="465">
        <f t="shared" ref="R220" si="857">SUM(R216:R219)</f>
        <v>0</v>
      </c>
      <c r="S220" s="465">
        <f t="shared" ref="S220" si="858">SUM(S216:S219)</f>
        <v>0</v>
      </c>
      <c r="T220" s="465">
        <f t="shared" ref="T220" si="859">SUM(T216:T219)</f>
        <v>0</v>
      </c>
      <c r="U220" s="282">
        <f t="shared" ref="U220" si="860">SUM(U216:U219)</f>
        <v>0</v>
      </c>
      <c r="V220" s="1172"/>
      <c r="W220" s="258">
        <f t="shared" ref="W220" si="861">SUM(W216:W219)</f>
        <v>0</v>
      </c>
      <c r="X220" s="465">
        <f t="shared" ref="X220" si="862">SUM(X216:X219)</f>
        <v>0</v>
      </c>
      <c r="Y220" s="465">
        <f t="shared" ref="Y220" si="863">SUM(Y216:Y219)</f>
        <v>0</v>
      </c>
      <c r="Z220" s="465">
        <f t="shared" ref="Z220" si="864">SUM(Z216:Z219)</f>
        <v>0</v>
      </c>
      <c r="AA220" s="282">
        <f t="shared" ref="AA220" si="865">SUM(AA216:AA219)</f>
        <v>0</v>
      </c>
      <c r="AB220" s="992"/>
      <c r="AC220" s="258">
        <f t="shared" ref="AC220" si="866">SUM(AC216:AC219)</f>
        <v>0</v>
      </c>
      <c r="AD220" s="465">
        <f t="shared" ref="AD220" si="867">SUM(AD216:AD219)</f>
        <v>0</v>
      </c>
      <c r="AE220" s="465">
        <f t="shared" ref="AE220" si="868">SUM(AE216:AE219)</f>
        <v>0</v>
      </c>
      <c r="AF220" s="465">
        <f t="shared" ref="AF220" si="869">SUM(AF216:AF219)</f>
        <v>0</v>
      </c>
      <c r="AG220" s="465">
        <f t="shared" ref="AG220" si="870">SUM(AG216:AG219)</f>
        <v>0</v>
      </c>
      <c r="AH220" s="1049"/>
      <c r="AI220" s="1172"/>
      <c r="AJ220" s="1155"/>
      <c r="AK220" s="1155"/>
      <c r="AL220" s="1086"/>
      <c r="AM220" s="1087"/>
      <c r="AN220" s="1087"/>
      <c r="AO220" s="1087"/>
      <c r="AP220" s="1088"/>
      <c r="AQ220" s="258">
        <f>SUM(AQ217:AQ219)</f>
        <v>0</v>
      </c>
      <c r="AR220" s="465">
        <f t="shared" ref="AR220" si="871">SUM(AR217:AR219)</f>
        <v>0</v>
      </c>
      <c r="AS220" s="282"/>
      <c r="AT220" s="1155"/>
      <c r="AU220" s="1155"/>
      <c r="AV220" s="1155"/>
      <c r="AW220" s="1155"/>
      <c r="AX220" s="1155"/>
      <c r="AY220" s="1155"/>
      <c r="AZ220" s="1155"/>
      <c r="BA220" s="1155"/>
      <c r="BB220" s="1155"/>
      <c r="BC220" s="1155"/>
      <c r="BD220" s="1155"/>
      <c r="BE220" s="1155"/>
      <c r="BF220" s="1155"/>
      <c r="BG220" s="1155"/>
      <c r="BH220" s="1155"/>
      <c r="BI220" s="1155"/>
      <c r="BJ220" s="1155"/>
      <c r="BK220" s="1155"/>
      <c r="BL220" s="1155"/>
      <c r="BM220" s="1155"/>
      <c r="BN220" s="1155"/>
      <c r="BO220" s="1155"/>
      <c r="BP220" s="1155"/>
      <c r="BQ220" s="1155"/>
      <c r="BR220" s="1155"/>
      <c r="BS220" s="1155"/>
    </row>
    <row r="221" spans="5:71" s="474" customFormat="1" ht="13.5" thickBot="1">
      <c r="E221" s="4108"/>
      <c r="F221" s="1035" t="s">
        <v>583</v>
      </c>
      <c r="G221" s="255"/>
      <c r="H221" s="461"/>
      <c r="I221" s="461"/>
      <c r="J221" s="461"/>
      <c r="K221" s="281"/>
      <c r="L221" s="207"/>
      <c r="M221" s="456"/>
      <c r="N221" s="456"/>
      <c r="O221" s="456"/>
      <c r="P221" s="457"/>
      <c r="Q221" s="207"/>
      <c r="R221" s="456"/>
      <c r="S221" s="456"/>
      <c r="T221" s="456"/>
      <c r="U221" s="457"/>
      <c r="V221" s="1172"/>
      <c r="W221" s="207"/>
      <c r="X221" s="461"/>
      <c r="Y221" s="461"/>
      <c r="Z221" s="461"/>
      <c r="AA221" s="281"/>
      <c r="AB221" s="1041"/>
      <c r="AC221" s="207"/>
      <c r="AD221" s="456"/>
      <c r="AE221" s="456"/>
      <c r="AF221" s="456"/>
      <c r="AG221" s="456"/>
      <c r="AH221" s="1048"/>
      <c r="AI221" s="1172"/>
      <c r="AJ221" s="1155"/>
      <c r="AK221" s="1155"/>
      <c r="AL221" s="259"/>
      <c r="AM221" s="466"/>
      <c r="AN221" s="466"/>
      <c r="AO221" s="466"/>
      <c r="AP221" s="283"/>
      <c r="AQ221" s="207"/>
      <c r="AR221" s="456"/>
      <c r="AS221" s="457"/>
      <c r="AT221" s="1155"/>
      <c r="AU221" s="1155"/>
      <c r="AV221" s="1155"/>
      <c r="AW221" s="1155"/>
      <c r="AX221" s="1155"/>
      <c r="AY221" s="1155"/>
      <c r="AZ221" s="1155"/>
      <c r="BA221" s="1155"/>
      <c r="BB221" s="1155"/>
      <c r="BC221" s="1155"/>
      <c r="BD221" s="1155"/>
      <c r="BE221" s="1155"/>
      <c r="BF221" s="1155"/>
      <c r="BG221" s="1155"/>
      <c r="BH221" s="1155"/>
      <c r="BI221" s="1155"/>
      <c r="BJ221" s="1155"/>
      <c r="BK221" s="1155"/>
      <c r="BL221" s="1155"/>
      <c r="BM221" s="1155"/>
      <c r="BN221" s="1155"/>
      <c r="BO221" s="1155"/>
      <c r="BP221" s="1155"/>
      <c r="BQ221" s="1155"/>
      <c r="BR221" s="1155"/>
      <c r="BS221" s="1155"/>
    </row>
    <row r="222" spans="5:71" s="474" customFormat="1" ht="13.5" thickBot="1">
      <c r="E222" s="4108"/>
      <c r="F222" s="1380" t="s">
        <v>581</v>
      </c>
      <c r="G222" s="1599"/>
      <c r="H222" s="1600"/>
      <c r="I222" s="1600"/>
      <c r="J222" s="1600"/>
      <c r="K222" s="1601"/>
      <c r="L222" s="1599"/>
      <c r="M222" s="1600"/>
      <c r="N222" s="1600"/>
      <c r="O222" s="1600"/>
      <c r="P222" s="1601"/>
      <c r="Q222" s="1599"/>
      <c r="R222" s="1600"/>
      <c r="S222" s="1600"/>
      <c r="T222" s="1600"/>
      <c r="U222" s="1601"/>
      <c r="V222" s="1172"/>
      <c r="W222" s="1614"/>
      <c r="X222" s="1615"/>
      <c r="Y222" s="1615"/>
      <c r="Z222" s="1615"/>
      <c r="AA222" s="1615"/>
      <c r="AB222" s="1615"/>
      <c r="AC222" s="1615"/>
      <c r="AD222" s="1615"/>
      <c r="AE222" s="1615"/>
      <c r="AF222" s="1615"/>
      <c r="AG222" s="1615"/>
      <c r="AH222" s="1616"/>
      <c r="AI222" s="1172"/>
      <c r="AJ222" s="1155"/>
      <c r="AK222" s="1155"/>
      <c r="AL222" s="259"/>
      <c r="AM222" s="466"/>
      <c r="AN222" s="466"/>
      <c r="AO222" s="466"/>
      <c r="AP222" s="283"/>
      <c r="AQ222" s="259"/>
      <c r="AR222" s="466"/>
      <c r="AS222" s="283"/>
      <c r="AT222" s="1155"/>
      <c r="AU222" s="1155"/>
      <c r="AV222" s="1155"/>
      <c r="AW222" s="1155"/>
      <c r="AX222" s="1155"/>
      <c r="AY222" s="1155"/>
      <c r="AZ222" s="1155"/>
      <c r="BA222" s="1155"/>
      <c r="BB222" s="1155"/>
      <c r="BC222" s="1155"/>
      <c r="BD222" s="1155"/>
      <c r="BE222" s="1155"/>
      <c r="BF222" s="1155"/>
      <c r="BG222" s="1155"/>
      <c r="BH222" s="1155"/>
      <c r="BI222" s="1155"/>
      <c r="BJ222" s="1155"/>
      <c r="BK222" s="1155"/>
      <c r="BL222" s="1155"/>
      <c r="BM222" s="1155"/>
      <c r="BN222" s="1155"/>
      <c r="BO222" s="1155"/>
      <c r="BP222" s="1155"/>
      <c r="BQ222" s="1155"/>
      <c r="BR222" s="1155"/>
      <c r="BS222" s="1155"/>
    </row>
    <row r="223" spans="5:71" s="474" customFormat="1">
      <c r="E223" s="4108"/>
      <c r="F223" s="1378" t="s">
        <v>584</v>
      </c>
      <c r="G223" s="1050">
        <v>0</v>
      </c>
      <c r="H223" s="1051">
        <v>0</v>
      </c>
      <c r="I223" s="1051">
        <v>0</v>
      </c>
      <c r="J223" s="1051">
        <v>0</v>
      </c>
      <c r="K223" s="1052">
        <v>0</v>
      </c>
      <c r="L223" s="1050">
        <f>SUM(L220:L222)</f>
        <v>83107.360000000001</v>
      </c>
      <c r="M223" s="1051">
        <f t="shared" ref="M223" si="872">SUM(M220:M222)</f>
        <v>0</v>
      </c>
      <c r="N223" s="1051">
        <f t="shared" ref="N223" si="873">SUM(N220:N222)</f>
        <v>0</v>
      </c>
      <c r="O223" s="1051">
        <f t="shared" ref="O223" si="874">SUM(O220:O222)</f>
        <v>0</v>
      </c>
      <c r="P223" s="1052">
        <f t="shared" ref="P223" si="875">SUM(P220:P222)</f>
        <v>0</v>
      </c>
      <c r="Q223" s="1050">
        <f t="shared" ref="Q223" si="876">SUM(Q220:Q222)</f>
        <v>0</v>
      </c>
      <c r="R223" s="1051">
        <f t="shared" ref="R223" si="877">SUM(R220:R222)</f>
        <v>0</v>
      </c>
      <c r="S223" s="1051">
        <f t="shared" ref="S223" si="878">SUM(S220:S222)</f>
        <v>0</v>
      </c>
      <c r="T223" s="1051">
        <f t="shared" ref="T223" si="879">SUM(T220:T222)</f>
        <v>0</v>
      </c>
      <c r="U223" s="1052">
        <f t="shared" ref="U223" si="880">SUM(U220:U222)</f>
        <v>0</v>
      </c>
      <c r="V223" s="1172"/>
      <c r="W223" s="1050">
        <f t="shared" ref="W223" si="881">SUM(W220:W222)</f>
        <v>0</v>
      </c>
      <c r="X223" s="1051">
        <f t="shared" ref="X223" si="882">SUM(X220:X222)</f>
        <v>0</v>
      </c>
      <c r="Y223" s="1051">
        <f t="shared" ref="Y223" si="883">SUM(Y220:Y222)</f>
        <v>0</v>
      </c>
      <c r="Z223" s="1051">
        <f t="shared" ref="Z223" si="884">SUM(Z220:Z222)</f>
        <v>0</v>
      </c>
      <c r="AA223" s="1052">
        <f t="shared" ref="AA223" si="885">SUM(AA220:AA222)</f>
        <v>0</v>
      </c>
      <c r="AB223" s="1053"/>
      <c r="AC223" s="1050">
        <f t="shared" ref="AC223" si="886">SUM(AC220:AC222)</f>
        <v>0</v>
      </c>
      <c r="AD223" s="1051">
        <f t="shared" ref="AD223" si="887">SUM(AD220:AD222)</f>
        <v>0</v>
      </c>
      <c r="AE223" s="1051">
        <f t="shared" ref="AE223" si="888">SUM(AE220:AE222)</f>
        <v>0</v>
      </c>
      <c r="AF223" s="1051">
        <f t="shared" ref="AF223" si="889">SUM(AF220:AF222)</f>
        <v>0</v>
      </c>
      <c r="AG223" s="1051">
        <f t="shared" ref="AG223" si="890">SUM(AG220:AG222)</f>
        <v>0</v>
      </c>
      <c r="AH223" s="1054"/>
      <c r="AI223" s="1172"/>
      <c r="AJ223" s="130"/>
      <c r="AK223" s="130"/>
      <c r="AL223" s="1050">
        <f t="shared" ref="AL223:AR223" si="891">SUM(AL221:AL222)</f>
        <v>0</v>
      </c>
      <c r="AM223" s="1051">
        <f t="shared" si="891"/>
        <v>0</v>
      </c>
      <c r="AN223" s="1051">
        <f t="shared" si="891"/>
        <v>0</v>
      </c>
      <c r="AO223" s="1051">
        <f t="shared" si="891"/>
        <v>0</v>
      </c>
      <c r="AP223" s="1052">
        <f t="shared" si="891"/>
        <v>0</v>
      </c>
      <c r="AQ223" s="1050">
        <f t="shared" si="891"/>
        <v>0</v>
      </c>
      <c r="AR223" s="1051">
        <f t="shared" si="891"/>
        <v>0</v>
      </c>
      <c r="AS223" s="1052"/>
      <c r="AT223" s="130"/>
      <c r="AU223" s="130"/>
      <c r="AV223" s="130"/>
      <c r="AW223" s="130"/>
      <c r="AX223" s="130"/>
      <c r="AY223" s="130"/>
      <c r="AZ223" s="130"/>
      <c r="BA223" s="130"/>
      <c r="BB223" s="130"/>
      <c r="BC223" s="130"/>
      <c r="BD223" s="130"/>
      <c r="BE223" s="130"/>
      <c r="BF223" s="130"/>
      <c r="BG223" s="130"/>
      <c r="BH223" s="130"/>
      <c r="BI223" s="130"/>
      <c r="BJ223" s="130"/>
      <c r="BK223" s="130"/>
      <c r="BL223" s="130"/>
      <c r="BM223" s="130"/>
      <c r="BN223" s="130"/>
      <c r="BO223" s="130"/>
      <c r="BP223" s="130"/>
      <c r="BQ223" s="130"/>
      <c r="BR223" s="130"/>
      <c r="BS223" s="1155"/>
    </row>
    <row r="224" spans="5:71" s="474" customFormat="1">
      <c r="E224" s="4108"/>
      <c r="F224" s="1389" t="s">
        <v>35</v>
      </c>
      <c r="G224" s="255"/>
      <c r="H224" s="461"/>
      <c r="I224" s="461"/>
      <c r="J224" s="461"/>
      <c r="K224" s="281"/>
      <c r="L224" s="255"/>
      <c r="M224" s="461"/>
      <c r="N224" s="461"/>
      <c r="O224" s="461"/>
      <c r="P224" s="281"/>
      <c r="Q224" s="255"/>
      <c r="R224" s="461"/>
      <c r="S224" s="461"/>
      <c r="T224" s="461"/>
      <c r="U224" s="281"/>
      <c r="V224" s="1172"/>
      <c r="W224" s="255"/>
      <c r="X224" s="461"/>
      <c r="Y224" s="461"/>
      <c r="Z224" s="461"/>
      <c r="AA224" s="281"/>
      <c r="AB224" s="1004"/>
      <c r="AC224" s="255"/>
      <c r="AD224" s="461"/>
      <c r="AE224" s="461"/>
      <c r="AF224" s="461"/>
      <c r="AG224" s="461"/>
      <c r="AH224" s="1047"/>
      <c r="AI224" s="1172"/>
      <c r="AJ224" s="1155"/>
      <c r="AK224" s="1155"/>
      <c r="AL224" s="259"/>
      <c r="AM224" s="466"/>
      <c r="AN224" s="466"/>
      <c r="AO224" s="466"/>
      <c r="AP224" s="283"/>
      <c r="AQ224" s="259"/>
      <c r="AR224" s="466"/>
      <c r="AS224" s="283"/>
      <c r="AT224" s="1155"/>
      <c r="AU224" s="1155"/>
      <c r="AV224" s="1155"/>
      <c r="AW224" s="1155"/>
      <c r="AX224" s="1155"/>
      <c r="AY224" s="1155"/>
      <c r="AZ224" s="1155"/>
      <c r="BA224" s="1155"/>
      <c r="BB224" s="1155"/>
      <c r="BC224" s="1155"/>
      <c r="BD224" s="1155"/>
      <c r="BE224" s="1155"/>
      <c r="BF224" s="1155"/>
      <c r="BG224" s="1155"/>
      <c r="BH224" s="1155"/>
      <c r="BI224" s="1155"/>
      <c r="BJ224" s="1155"/>
      <c r="BK224" s="1155"/>
      <c r="BL224" s="1155"/>
      <c r="BM224" s="1155"/>
      <c r="BN224" s="1155"/>
      <c r="BO224" s="1155"/>
      <c r="BP224" s="1155"/>
      <c r="BQ224" s="1155"/>
      <c r="BR224" s="1155"/>
      <c r="BS224" s="1155"/>
    </row>
    <row r="225" spans="5:71" s="474" customFormat="1" ht="13.5" thickBot="1">
      <c r="E225" s="4109"/>
      <c r="F225" s="1379" t="s">
        <v>585</v>
      </c>
      <c r="G225" s="1094">
        <v>0</v>
      </c>
      <c r="H225" s="1095">
        <v>0</v>
      </c>
      <c r="I225" s="1095">
        <v>0</v>
      </c>
      <c r="J225" s="1095">
        <v>0</v>
      </c>
      <c r="K225" s="1096">
        <v>0</v>
      </c>
      <c r="L225" s="1094">
        <f>L223-L224</f>
        <v>83107.360000000001</v>
      </c>
      <c r="M225" s="1095">
        <f t="shared" ref="M225" si="892">M223-M224</f>
        <v>0</v>
      </c>
      <c r="N225" s="1095">
        <f t="shared" ref="N225" si="893">N223-N224</f>
        <v>0</v>
      </c>
      <c r="O225" s="1095">
        <f t="shared" ref="O225" si="894">O223-O224</f>
        <v>0</v>
      </c>
      <c r="P225" s="1096">
        <f t="shared" ref="P225" si="895">P223-P224</f>
        <v>0</v>
      </c>
      <c r="Q225" s="1567">
        <f t="shared" ref="Q225" si="896">Q223-Q224</f>
        <v>0</v>
      </c>
      <c r="R225" s="1056">
        <f t="shared" ref="R225" si="897">R223-R224</f>
        <v>0</v>
      </c>
      <c r="S225" s="1056">
        <f t="shared" ref="S225" si="898">S223-S224</f>
        <v>0</v>
      </c>
      <c r="T225" s="1056">
        <f t="shared" ref="T225" si="899">T223-T224</f>
        <v>0</v>
      </c>
      <c r="U225" s="1057">
        <f t="shared" ref="U225" si="900">U223-U224</f>
        <v>0</v>
      </c>
      <c r="V225" s="1172"/>
      <c r="W225" s="1055">
        <f t="shared" ref="W225" si="901">W223-W224</f>
        <v>0</v>
      </c>
      <c r="X225" s="1056">
        <f t="shared" ref="X225" si="902">X223-X224</f>
        <v>0</v>
      </c>
      <c r="Y225" s="1056">
        <f t="shared" ref="Y225" si="903">Y223-Y224</f>
        <v>0</v>
      </c>
      <c r="Z225" s="1056">
        <f t="shared" ref="Z225" si="904">Z223-Z224</f>
        <v>0</v>
      </c>
      <c r="AA225" s="1057">
        <f t="shared" ref="AA225" si="905">AA223-AA224</f>
        <v>0</v>
      </c>
      <c r="AB225" s="1075"/>
      <c r="AC225" s="1055">
        <f t="shared" ref="AC225" si="906">AC223-AC224</f>
        <v>0</v>
      </c>
      <c r="AD225" s="1056">
        <f t="shared" ref="AD225" si="907">AD223-AD224</f>
        <v>0</v>
      </c>
      <c r="AE225" s="1056">
        <f t="shared" ref="AE225" si="908">AE223-AE224</f>
        <v>0</v>
      </c>
      <c r="AF225" s="1056">
        <f t="shared" ref="AF225" si="909">AF223-AF224</f>
        <v>0</v>
      </c>
      <c r="AG225" s="1056">
        <f t="shared" ref="AG225" si="910">AG223-AG224</f>
        <v>0</v>
      </c>
      <c r="AH225" s="1059"/>
      <c r="AI225" s="1172"/>
      <c r="AJ225" s="1155"/>
      <c r="AK225" s="1155"/>
      <c r="AL225" s="1094">
        <f>AL223-AL224</f>
        <v>0</v>
      </c>
      <c r="AM225" s="1095">
        <f t="shared" ref="AM225:AR225" si="911">AM223-AM224</f>
        <v>0</v>
      </c>
      <c r="AN225" s="1095">
        <f t="shared" si="911"/>
        <v>0</v>
      </c>
      <c r="AO225" s="1095">
        <f t="shared" si="911"/>
        <v>0</v>
      </c>
      <c r="AP225" s="1096">
        <f t="shared" si="911"/>
        <v>0</v>
      </c>
      <c r="AQ225" s="1094">
        <f t="shared" si="911"/>
        <v>0</v>
      </c>
      <c r="AR225" s="1095">
        <f t="shared" si="911"/>
        <v>0</v>
      </c>
      <c r="AS225" s="1096"/>
      <c r="AT225" s="1155"/>
      <c r="AU225" s="1155"/>
      <c r="AV225" s="1155"/>
      <c r="AW225" s="1155"/>
      <c r="AX225" s="1155"/>
      <c r="AY225" s="1155"/>
      <c r="AZ225" s="1155"/>
      <c r="BA225" s="1155"/>
      <c r="BB225" s="1155"/>
      <c r="BC225" s="1155"/>
      <c r="BD225" s="1155"/>
      <c r="BE225" s="1155"/>
      <c r="BF225" s="1155"/>
      <c r="BG225" s="1155"/>
      <c r="BH225" s="1155"/>
      <c r="BI225" s="1155"/>
      <c r="BJ225" s="1155"/>
      <c r="BK225" s="1155"/>
      <c r="BL225" s="1155"/>
      <c r="BM225" s="1155"/>
      <c r="BN225" s="1155"/>
      <c r="BO225" s="1155"/>
      <c r="BP225" s="1155"/>
      <c r="BQ225" s="1155"/>
      <c r="BR225" s="1155"/>
      <c r="BS225" s="1155"/>
    </row>
    <row r="226" spans="5:71" s="474" customFormat="1" ht="12.75" customHeight="1">
      <c r="E226" s="4107" t="s">
        <v>1489</v>
      </c>
      <c r="F226" s="433" t="s">
        <v>111</v>
      </c>
      <c r="G226" s="1077"/>
      <c r="H226" s="1078"/>
      <c r="I226" s="1078"/>
      <c r="J226" s="1078"/>
      <c r="K226" s="1079"/>
      <c r="L226" s="1566"/>
      <c r="M226" s="421"/>
      <c r="N226" s="421"/>
      <c r="O226" s="421"/>
      <c r="P226" s="1044"/>
      <c r="Q226" s="1080"/>
      <c r="R226" s="1081"/>
      <c r="S226" s="1081"/>
      <c r="T226" s="1081"/>
      <c r="U226" s="1082"/>
      <c r="V226" s="1172"/>
      <c r="W226" s="1043"/>
      <c r="X226" s="421"/>
      <c r="Y226" s="421"/>
      <c r="Z226" s="421"/>
      <c r="AA226" s="1044"/>
      <c r="AB226" s="1045"/>
      <c r="AC226" s="1043"/>
      <c r="AD226" s="421"/>
      <c r="AE226" s="421"/>
      <c r="AF226" s="421"/>
      <c r="AG226" s="421"/>
      <c r="AH226" s="1046"/>
      <c r="AI226" s="1172"/>
      <c r="AJ226" s="1155"/>
      <c r="AK226" s="1155"/>
      <c r="AL226" s="1077"/>
      <c r="AM226" s="1078"/>
      <c r="AN226" s="1078"/>
      <c r="AO226" s="1078"/>
      <c r="AP226" s="1079"/>
      <c r="AQ226" s="1566"/>
      <c r="AR226" s="421"/>
      <c r="AS226" s="1044"/>
      <c r="AT226" s="1155"/>
      <c r="AU226" s="1155"/>
      <c r="AV226" s="1155"/>
      <c r="AW226" s="1155"/>
      <c r="AX226" s="1155"/>
      <c r="AY226" s="1155"/>
      <c r="AZ226" s="1155"/>
      <c r="BA226" s="1155"/>
      <c r="BB226" s="1155"/>
      <c r="BC226" s="1155"/>
      <c r="BD226" s="1155"/>
      <c r="BE226" s="1155"/>
      <c r="BF226" s="1155"/>
      <c r="BG226" s="1155"/>
      <c r="BH226" s="1155"/>
      <c r="BI226" s="1155"/>
      <c r="BJ226" s="1155"/>
      <c r="BK226" s="1155"/>
      <c r="BL226" s="1155"/>
      <c r="BM226" s="1155"/>
      <c r="BN226" s="1155"/>
      <c r="BO226" s="1155"/>
      <c r="BP226" s="1155"/>
      <c r="BQ226" s="1155"/>
      <c r="BR226" s="1155"/>
      <c r="BS226" s="1155"/>
    </row>
    <row r="227" spans="5:71" s="474" customFormat="1" ht="12.75" customHeight="1">
      <c r="E227" s="4108"/>
      <c r="F227" s="1374" t="s">
        <v>588</v>
      </c>
      <c r="G227" s="1083"/>
      <c r="H227" s="1084"/>
      <c r="I227" s="1084"/>
      <c r="J227" s="1084"/>
      <c r="K227" s="1085"/>
      <c r="L227" s="255"/>
      <c r="M227" s="461"/>
      <c r="N227" s="461"/>
      <c r="O227" s="461"/>
      <c r="P227" s="281"/>
      <c r="Q227" s="956"/>
      <c r="R227" s="461"/>
      <c r="S227" s="461"/>
      <c r="T227" s="461"/>
      <c r="U227" s="281"/>
      <c r="V227" s="1172"/>
      <c r="W227" s="255"/>
      <c r="X227" s="461"/>
      <c r="Y227" s="461"/>
      <c r="Z227" s="461"/>
      <c r="AA227" s="281"/>
      <c r="AB227" s="1041"/>
      <c r="AC227" s="255"/>
      <c r="AD227" s="461"/>
      <c r="AE227" s="461"/>
      <c r="AF227" s="461"/>
      <c r="AG227" s="461"/>
      <c r="AH227" s="1047"/>
      <c r="AI227" s="1172"/>
      <c r="AJ227" s="1155"/>
      <c r="AK227" s="1155"/>
      <c r="AL227" s="1083"/>
      <c r="AM227" s="1084"/>
      <c r="AN227" s="1084"/>
      <c r="AO227" s="1084"/>
      <c r="AP227" s="1085"/>
      <c r="AQ227" s="259"/>
      <c r="AR227" s="466"/>
      <c r="AS227" s="283"/>
      <c r="AT227" s="1155"/>
      <c r="AU227" s="1155"/>
      <c r="AV227" s="1155"/>
      <c r="AW227" s="1155"/>
      <c r="AX227" s="1155"/>
      <c r="AY227" s="1155"/>
      <c r="AZ227" s="1155"/>
      <c r="BA227" s="1155"/>
      <c r="BB227" s="1155"/>
      <c r="BC227" s="1155"/>
      <c r="BD227" s="1155"/>
      <c r="BE227" s="1155"/>
      <c r="BF227" s="1155"/>
      <c r="BG227" s="1155"/>
      <c r="BH227" s="1155"/>
      <c r="BI227" s="1155"/>
      <c r="BJ227" s="1155"/>
      <c r="BK227" s="1155"/>
      <c r="BL227" s="1155"/>
      <c r="BM227" s="1155"/>
      <c r="BN227" s="1155"/>
      <c r="BO227" s="1155"/>
      <c r="BP227" s="1155"/>
      <c r="BQ227" s="1155"/>
      <c r="BR227" s="1155"/>
      <c r="BS227" s="1155"/>
    </row>
    <row r="228" spans="5:71" s="474" customFormat="1" ht="12.75" customHeight="1">
      <c r="E228" s="4108"/>
      <c r="F228" s="1374" t="s">
        <v>589</v>
      </c>
      <c r="G228" s="1083"/>
      <c r="H228" s="1084"/>
      <c r="I228" s="1084"/>
      <c r="J228" s="1084"/>
      <c r="K228" s="1085"/>
      <c r="L228" s="255"/>
      <c r="M228" s="461"/>
      <c r="N228" s="461"/>
      <c r="O228" s="461"/>
      <c r="P228" s="281"/>
      <c r="Q228" s="956"/>
      <c r="R228" s="461"/>
      <c r="S228" s="461"/>
      <c r="T228" s="461"/>
      <c r="U228" s="281"/>
      <c r="V228" s="1172"/>
      <c r="W228" s="255"/>
      <c r="X228" s="461"/>
      <c r="Y228" s="461"/>
      <c r="Z228" s="461"/>
      <c r="AA228" s="281"/>
      <c r="AB228" s="1041"/>
      <c r="AC228" s="255"/>
      <c r="AD228" s="461"/>
      <c r="AE228" s="461"/>
      <c r="AF228" s="461"/>
      <c r="AG228" s="461"/>
      <c r="AH228" s="1047"/>
      <c r="AI228" s="1172"/>
      <c r="AJ228" s="1155"/>
      <c r="AK228" s="1155"/>
      <c r="AL228" s="1083"/>
      <c r="AM228" s="1084"/>
      <c r="AN228" s="1084"/>
      <c r="AO228" s="1084"/>
      <c r="AP228" s="1085"/>
      <c r="AQ228" s="259"/>
      <c r="AR228" s="466"/>
      <c r="AS228" s="283"/>
      <c r="AT228" s="1155"/>
      <c r="AU228" s="1155"/>
      <c r="AV228" s="1155"/>
      <c r="AW228" s="1155"/>
      <c r="AX228" s="1155"/>
      <c r="AY228" s="1155"/>
      <c r="AZ228" s="1155"/>
      <c r="BA228" s="1155"/>
      <c r="BB228" s="1155"/>
      <c r="BC228" s="1155"/>
      <c r="BD228" s="1155"/>
      <c r="BE228" s="1155"/>
      <c r="BF228" s="1155"/>
      <c r="BG228" s="1155"/>
      <c r="BH228" s="1155"/>
      <c r="BI228" s="1155"/>
      <c r="BJ228" s="1155"/>
      <c r="BK228" s="1155"/>
      <c r="BL228" s="1155"/>
      <c r="BM228" s="1155"/>
      <c r="BN228" s="1155"/>
      <c r="BO228" s="1155"/>
      <c r="BP228" s="1155"/>
      <c r="BQ228" s="1155"/>
      <c r="BR228" s="1155"/>
      <c r="BS228" s="1155"/>
    </row>
    <row r="229" spans="5:71" s="474" customFormat="1" ht="12.75" customHeight="1">
      <c r="E229" s="4108"/>
      <c r="F229" s="1374" t="s">
        <v>590</v>
      </c>
      <c r="G229" s="1083"/>
      <c r="H229" s="1084"/>
      <c r="I229" s="1084"/>
      <c r="J229" s="1084"/>
      <c r="K229" s="1085"/>
      <c r="L229" s="255"/>
      <c r="M229" s="461"/>
      <c r="N229" s="461"/>
      <c r="O229" s="461"/>
      <c r="P229" s="281"/>
      <c r="Q229" s="956"/>
      <c r="R229" s="461"/>
      <c r="S229" s="461"/>
      <c r="T229" s="461"/>
      <c r="U229" s="281"/>
      <c r="V229" s="1172"/>
      <c r="W229" s="255"/>
      <c r="X229" s="461"/>
      <c r="Y229" s="461"/>
      <c r="Z229" s="461"/>
      <c r="AA229" s="281"/>
      <c r="AB229" s="1041"/>
      <c r="AC229" s="255"/>
      <c r="AD229" s="461"/>
      <c r="AE229" s="461"/>
      <c r="AF229" s="461"/>
      <c r="AG229" s="461"/>
      <c r="AH229" s="1047"/>
      <c r="AI229" s="1172"/>
      <c r="AJ229" s="1155"/>
      <c r="AK229" s="1155"/>
      <c r="AL229" s="1083"/>
      <c r="AM229" s="1084"/>
      <c r="AN229" s="1084"/>
      <c r="AO229" s="1084"/>
      <c r="AP229" s="1085"/>
      <c r="AQ229" s="259"/>
      <c r="AR229" s="466"/>
      <c r="AS229" s="283"/>
      <c r="AT229" s="1155"/>
      <c r="AU229" s="1155"/>
      <c r="AV229" s="1155"/>
      <c r="AW229" s="1155"/>
      <c r="AX229" s="1155"/>
      <c r="AY229" s="1155"/>
      <c r="AZ229" s="1155"/>
      <c r="BA229" s="1155"/>
      <c r="BB229" s="1155"/>
      <c r="BC229" s="1155"/>
      <c r="BD229" s="1155"/>
      <c r="BE229" s="1155"/>
      <c r="BF229" s="1155"/>
      <c r="BG229" s="1155"/>
      <c r="BH229" s="1155"/>
      <c r="BI229" s="1155"/>
      <c r="BJ229" s="1155"/>
      <c r="BK229" s="1155"/>
      <c r="BL229" s="1155"/>
      <c r="BM229" s="1155"/>
      <c r="BN229" s="1155"/>
      <c r="BO229" s="1155"/>
      <c r="BP229" s="1155"/>
      <c r="BQ229" s="1155"/>
      <c r="BR229" s="1155"/>
      <c r="BS229" s="1155"/>
    </row>
    <row r="230" spans="5:71" s="474" customFormat="1" ht="12.75" customHeight="1">
      <c r="E230" s="4108"/>
      <c r="F230" s="1374" t="s">
        <v>591</v>
      </c>
      <c r="G230" s="1083"/>
      <c r="H230" s="1084"/>
      <c r="I230" s="1084"/>
      <c r="J230" s="1084"/>
      <c r="K230" s="1085"/>
      <c r="L230" s="255">
        <v>0</v>
      </c>
      <c r="M230" s="461"/>
      <c r="N230" s="461"/>
      <c r="O230" s="461"/>
      <c r="P230" s="281"/>
      <c r="Q230" s="956"/>
      <c r="R230" s="461"/>
      <c r="S230" s="461"/>
      <c r="T230" s="461"/>
      <c r="U230" s="281"/>
      <c r="V230" s="1172"/>
      <c r="W230" s="255"/>
      <c r="X230" s="461"/>
      <c r="Y230" s="461"/>
      <c r="Z230" s="461"/>
      <c r="AA230" s="281"/>
      <c r="AB230" s="1041"/>
      <c r="AC230" s="255"/>
      <c r="AD230" s="461"/>
      <c r="AE230" s="461"/>
      <c r="AF230" s="461"/>
      <c r="AG230" s="461"/>
      <c r="AH230" s="1047"/>
      <c r="AI230" s="1172"/>
      <c r="AJ230" s="1155"/>
      <c r="AK230" s="1155"/>
      <c r="AL230" s="1083"/>
      <c r="AM230" s="1084"/>
      <c r="AN230" s="1084"/>
      <c r="AO230" s="1084"/>
      <c r="AP230" s="1085"/>
      <c r="AQ230" s="259"/>
      <c r="AR230" s="466"/>
      <c r="AS230" s="283"/>
      <c r="AT230" s="1155"/>
      <c r="AU230" s="1155"/>
      <c r="AV230" s="1155"/>
      <c r="AW230" s="1155"/>
      <c r="AX230" s="1155"/>
      <c r="AY230" s="1155"/>
      <c r="AZ230" s="1155"/>
      <c r="BA230" s="1155"/>
      <c r="BB230" s="1155"/>
      <c r="BC230" s="1155"/>
      <c r="BD230" s="1155"/>
      <c r="BE230" s="1155"/>
      <c r="BF230" s="1155"/>
      <c r="BG230" s="1155"/>
      <c r="BH230" s="1155"/>
      <c r="BI230" s="1155"/>
      <c r="BJ230" s="1155"/>
      <c r="BK230" s="1155"/>
      <c r="BL230" s="1155"/>
      <c r="BM230" s="1155"/>
      <c r="BN230" s="1155"/>
      <c r="BO230" s="1155"/>
      <c r="BP230" s="1155"/>
      <c r="BQ230" s="1155"/>
      <c r="BR230" s="1155"/>
      <c r="BS230" s="1155"/>
    </row>
    <row r="231" spans="5:71" s="474" customFormat="1" ht="12.75" customHeight="1">
      <c r="E231" s="4108"/>
      <c r="F231" s="1374" t="s">
        <v>592</v>
      </c>
      <c r="G231" s="1083"/>
      <c r="H231" s="1084"/>
      <c r="I231" s="1084"/>
      <c r="J231" s="1084"/>
      <c r="K231" s="1085"/>
      <c r="L231" s="207">
        <v>1110</v>
      </c>
      <c r="M231" s="456"/>
      <c r="N231" s="456"/>
      <c r="O231" s="456"/>
      <c r="P231" s="457"/>
      <c r="Q231" s="224"/>
      <c r="R231" s="456"/>
      <c r="S231" s="456"/>
      <c r="T231" s="456"/>
      <c r="U231" s="457"/>
      <c r="V231" s="1172"/>
      <c r="W231" s="207">
        <v>0</v>
      </c>
      <c r="X231" s="456">
        <v>0</v>
      </c>
      <c r="Y231" s="456">
        <v>0</v>
      </c>
      <c r="Z231" s="456">
        <v>0</v>
      </c>
      <c r="AA231" s="457">
        <v>0</v>
      </c>
      <c r="AB231" s="1041"/>
      <c r="AC231" s="207">
        <v>0</v>
      </c>
      <c r="AD231" s="456">
        <v>0</v>
      </c>
      <c r="AE231" s="456">
        <v>0</v>
      </c>
      <c r="AF231" s="456">
        <v>0</v>
      </c>
      <c r="AG231" s="456">
        <v>0</v>
      </c>
      <c r="AH231" s="1048"/>
      <c r="AI231" s="1172"/>
      <c r="AJ231" s="1155"/>
      <c r="AK231" s="1155"/>
      <c r="AL231" s="1083"/>
      <c r="AM231" s="1084"/>
      <c r="AN231" s="1084"/>
      <c r="AO231" s="1084"/>
      <c r="AP231" s="1085"/>
      <c r="AQ231" s="207">
        <f>SUM(AQ226:AQ230)</f>
        <v>0</v>
      </c>
      <c r="AR231" s="456">
        <f t="shared" ref="AR231" si="912">SUM(AR226:AR230)</f>
        <v>0</v>
      </c>
      <c r="AS231" s="457"/>
      <c r="AT231" s="1155"/>
      <c r="AU231" s="1155"/>
      <c r="AV231" s="1155"/>
      <c r="AW231" s="1155"/>
      <c r="AX231" s="1155"/>
      <c r="AY231" s="1155"/>
      <c r="AZ231" s="1155"/>
      <c r="BA231" s="1155"/>
      <c r="BB231" s="1155"/>
      <c r="BC231" s="1155"/>
      <c r="BD231" s="1155"/>
      <c r="BE231" s="1155"/>
      <c r="BF231" s="1155"/>
      <c r="BG231" s="1155"/>
      <c r="BH231" s="1155"/>
      <c r="BI231" s="1155"/>
      <c r="BJ231" s="1155"/>
      <c r="BK231" s="1155"/>
      <c r="BL231" s="1155"/>
      <c r="BM231" s="1155"/>
      <c r="BN231" s="1155"/>
      <c r="BO231" s="1155"/>
      <c r="BP231" s="1155"/>
      <c r="BQ231" s="1155"/>
      <c r="BR231" s="1155"/>
      <c r="BS231" s="1155"/>
    </row>
    <row r="232" spans="5:71" s="474" customFormat="1">
      <c r="E232" s="4108"/>
      <c r="F232" s="1375" t="s">
        <v>587</v>
      </c>
      <c r="G232" s="1086"/>
      <c r="H232" s="1087"/>
      <c r="I232" s="1087"/>
      <c r="J232" s="1087"/>
      <c r="K232" s="1088"/>
      <c r="L232" s="258">
        <f>SUM(L227:L231)</f>
        <v>1110</v>
      </c>
      <c r="M232" s="465">
        <f t="shared" ref="M232" si="913">SUM(M227:M231)</f>
        <v>0</v>
      </c>
      <c r="N232" s="465">
        <f t="shared" ref="N232" si="914">SUM(N227:N231)</f>
        <v>0</v>
      </c>
      <c r="O232" s="465">
        <f t="shared" ref="O232" si="915">SUM(O227:O231)</f>
        <v>0</v>
      </c>
      <c r="P232" s="282">
        <f t="shared" ref="P232" si="916">SUM(P227:P231)</f>
        <v>0</v>
      </c>
      <c r="Q232" s="965">
        <f t="shared" ref="Q232" si="917">SUM(Q227:Q231)</f>
        <v>0</v>
      </c>
      <c r="R232" s="465">
        <f t="shared" ref="R232" si="918">SUM(R227:R231)</f>
        <v>0</v>
      </c>
      <c r="S232" s="465">
        <f t="shared" ref="S232" si="919">SUM(S227:S231)</f>
        <v>0</v>
      </c>
      <c r="T232" s="465">
        <f t="shared" ref="T232" si="920">SUM(T227:T231)</f>
        <v>0</v>
      </c>
      <c r="U232" s="282">
        <f t="shared" ref="U232" si="921">SUM(U227:U231)</f>
        <v>0</v>
      </c>
      <c r="V232" s="1172"/>
      <c r="W232" s="258">
        <f t="shared" ref="W232" si="922">SUM(W227:W231)</f>
        <v>0</v>
      </c>
      <c r="X232" s="465">
        <f t="shared" ref="X232" si="923">SUM(X227:X231)</f>
        <v>0</v>
      </c>
      <c r="Y232" s="465">
        <f t="shared" ref="Y232" si="924">SUM(Y227:Y231)</f>
        <v>0</v>
      </c>
      <c r="Z232" s="465">
        <f t="shared" ref="Z232" si="925">SUM(Z227:Z231)</f>
        <v>0</v>
      </c>
      <c r="AA232" s="282">
        <f t="shared" ref="AA232" si="926">SUM(AA227:AA231)</f>
        <v>0</v>
      </c>
      <c r="AB232" s="992"/>
      <c r="AC232" s="258">
        <f t="shared" ref="AC232" si="927">SUM(AC227:AC231)</f>
        <v>0</v>
      </c>
      <c r="AD232" s="465">
        <f t="shared" ref="AD232" si="928">SUM(AD227:AD231)</f>
        <v>0</v>
      </c>
      <c r="AE232" s="465">
        <f t="shared" ref="AE232" si="929">SUM(AE227:AE231)</f>
        <v>0</v>
      </c>
      <c r="AF232" s="465">
        <f t="shared" ref="AF232" si="930">SUM(AF227:AF231)</f>
        <v>0</v>
      </c>
      <c r="AG232" s="465">
        <f t="shared" ref="AG232" si="931">SUM(AG227:AG231)</f>
        <v>0</v>
      </c>
      <c r="AH232" s="1049"/>
      <c r="AI232" s="1172"/>
      <c r="AJ232" s="1155"/>
      <c r="AK232" s="1155"/>
      <c r="AL232" s="1086"/>
      <c r="AM232" s="1087"/>
      <c r="AN232" s="1087"/>
      <c r="AO232" s="1087"/>
      <c r="AP232" s="1088"/>
      <c r="AQ232" s="258"/>
      <c r="AR232" s="465"/>
      <c r="AS232" s="282"/>
      <c r="AT232" s="1155"/>
      <c r="AU232" s="1155"/>
      <c r="AV232" s="1155"/>
      <c r="AW232" s="1155"/>
      <c r="AX232" s="1155"/>
      <c r="AY232" s="1155"/>
      <c r="AZ232" s="1155"/>
      <c r="BA232" s="1155"/>
      <c r="BB232" s="1155"/>
      <c r="BC232" s="1155"/>
      <c r="BD232" s="1155"/>
      <c r="BE232" s="1155"/>
      <c r="BF232" s="1155"/>
      <c r="BG232" s="1155"/>
      <c r="BH232" s="1155"/>
      <c r="BI232" s="1155"/>
      <c r="BJ232" s="1155"/>
      <c r="BK232" s="1155"/>
      <c r="BL232" s="1155"/>
      <c r="BM232" s="1155"/>
      <c r="BN232" s="1155"/>
      <c r="BO232" s="1155"/>
      <c r="BP232" s="1155"/>
      <c r="BQ232" s="1155"/>
      <c r="BR232" s="1155"/>
      <c r="BS232" s="1155"/>
    </row>
    <row r="233" spans="5:71" s="474" customFormat="1">
      <c r="E233" s="4108"/>
      <c r="F233" s="1376" t="s">
        <v>593</v>
      </c>
      <c r="G233" s="1083"/>
      <c r="H233" s="1084"/>
      <c r="I233" s="1084"/>
      <c r="J233" s="1084"/>
      <c r="K233" s="1085"/>
      <c r="L233" s="255"/>
      <c r="M233" s="461"/>
      <c r="N233" s="461"/>
      <c r="O233" s="461"/>
      <c r="P233" s="281"/>
      <c r="Q233" s="956"/>
      <c r="R233" s="461"/>
      <c r="S233" s="461"/>
      <c r="T233" s="461"/>
      <c r="U233" s="281"/>
      <c r="V233" s="1172"/>
      <c r="W233" s="255"/>
      <c r="X233" s="461"/>
      <c r="Y233" s="461"/>
      <c r="Z233" s="461"/>
      <c r="AA233" s="281"/>
      <c r="AB233" s="1041"/>
      <c r="AC233" s="255"/>
      <c r="AD233" s="461"/>
      <c r="AE233" s="461"/>
      <c r="AF233" s="461"/>
      <c r="AG233" s="461"/>
      <c r="AH233" s="1047"/>
      <c r="AI233" s="1172"/>
      <c r="AJ233" s="1155"/>
      <c r="AK233" s="1155"/>
      <c r="AL233" s="1083"/>
      <c r="AM233" s="1084"/>
      <c r="AN233" s="1084"/>
      <c r="AO233" s="1084"/>
      <c r="AP233" s="1085"/>
      <c r="AQ233" s="259"/>
      <c r="AR233" s="466"/>
      <c r="AS233" s="283"/>
      <c r="AT233" s="1155"/>
      <c r="AU233" s="1155"/>
      <c r="AV233" s="1155"/>
      <c r="AW233" s="1155"/>
      <c r="AX233" s="1155"/>
      <c r="AY233" s="1155"/>
      <c r="AZ233" s="1155"/>
      <c r="BA233" s="1155"/>
      <c r="BB233" s="1155"/>
      <c r="BC233" s="1155"/>
      <c r="BD233" s="1155"/>
      <c r="BE233" s="1155"/>
      <c r="BF233" s="1155"/>
      <c r="BG233" s="1155"/>
      <c r="BH233" s="1155"/>
      <c r="BI233" s="1155"/>
      <c r="BJ233" s="1155"/>
      <c r="BK233" s="1155"/>
      <c r="BL233" s="1155"/>
      <c r="BM233" s="1155"/>
      <c r="BN233" s="1155"/>
      <c r="BO233" s="1155"/>
      <c r="BP233" s="1155"/>
      <c r="BQ233" s="1155"/>
      <c r="BR233" s="1155"/>
      <c r="BS233" s="1155"/>
    </row>
    <row r="234" spans="5:71" s="474" customFormat="1">
      <c r="E234" s="4108"/>
      <c r="F234" s="431" t="s">
        <v>558</v>
      </c>
      <c r="G234" s="1083"/>
      <c r="H234" s="1084"/>
      <c r="I234" s="1084"/>
      <c r="J234" s="1084"/>
      <c r="K234" s="1085"/>
      <c r="L234" s="255">
        <v>121293.15999999999</v>
      </c>
      <c r="M234" s="461"/>
      <c r="N234" s="461"/>
      <c r="O234" s="461"/>
      <c r="P234" s="281"/>
      <c r="Q234" s="956"/>
      <c r="R234" s="461"/>
      <c r="S234" s="461"/>
      <c r="T234" s="461"/>
      <c r="U234" s="281"/>
      <c r="V234" s="1172"/>
      <c r="W234" s="255"/>
      <c r="X234" s="461"/>
      <c r="Y234" s="461"/>
      <c r="Z234" s="461"/>
      <c r="AA234" s="281"/>
      <c r="AB234" s="1041"/>
      <c r="AC234" s="255"/>
      <c r="AD234" s="461"/>
      <c r="AE234" s="461"/>
      <c r="AF234" s="461"/>
      <c r="AG234" s="461"/>
      <c r="AH234" s="1047"/>
      <c r="AI234" s="1172"/>
      <c r="AJ234" s="1155"/>
      <c r="AK234" s="1155"/>
      <c r="AL234" s="1083"/>
      <c r="AM234" s="1084"/>
      <c r="AN234" s="1084"/>
      <c r="AO234" s="1084"/>
      <c r="AP234" s="1085"/>
      <c r="AQ234" s="259"/>
      <c r="AR234" s="466"/>
      <c r="AS234" s="283"/>
      <c r="AT234" s="1155"/>
      <c r="AU234" s="1155"/>
      <c r="AV234" s="1155"/>
      <c r="AW234" s="1155"/>
      <c r="AX234" s="1155"/>
      <c r="AY234" s="1155"/>
      <c r="AZ234" s="1155"/>
      <c r="BA234" s="1155"/>
      <c r="BB234" s="1155"/>
      <c r="BC234" s="1155"/>
      <c r="BD234" s="1155"/>
      <c r="BE234" s="1155"/>
      <c r="BF234" s="1155"/>
      <c r="BG234" s="1155"/>
      <c r="BH234" s="1155"/>
      <c r="BI234" s="1155"/>
      <c r="BJ234" s="1155"/>
      <c r="BK234" s="1155"/>
      <c r="BL234" s="1155"/>
      <c r="BM234" s="1155"/>
      <c r="BN234" s="1155"/>
      <c r="BO234" s="1155"/>
      <c r="BP234" s="1155"/>
      <c r="BQ234" s="1155"/>
      <c r="BR234" s="1155"/>
      <c r="BS234" s="1155"/>
    </row>
    <row r="235" spans="5:71" s="474" customFormat="1">
      <c r="E235" s="4108"/>
      <c r="F235" s="431" t="s">
        <v>559</v>
      </c>
      <c r="G235" s="1083"/>
      <c r="H235" s="1084"/>
      <c r="I235" s="1084"/>
      <c r="J235" s="1084"/>
      <c r="K235" s="1085"/>
      <c r="L235" s="255"/>
      <c r="M235" s="461"/>
      <c r="N235" s="461"/>
      <c r="O235" s="461"/>
      <c r="P235" s="281"/>
      <c r="Q235" s="956"/>
      <c r="R235" s="461"/>
      <c r="S235" s="461"/>
      <c r="T235" s="461"/>
      <c r="U235" s="281"/>
      <c r="V235" s="1172"/>
      <c r="W235" s="255"/>
      <c r="X235" s="461"/>
      <c r="Y235" s="461"/>
      <c r="Z235" s="461"/>
      <c r="AA235" s="281"/>
      <c r="AB235" s="1041"/>
      <c r="AC235" s="255"/>
      <c r="AD235" s="461"/>
      <c r="AE235" s="461"/>
      <c r="AF235" s="461"/>
      <c r="AG235" s="461"/>
      <c r="AH235" s="1047"/>
      <c r="AI235" s="1172"/>
      <c r="AJ235" s="1155"/>
      <c r="AK235" s="1155"/>
      <c r="AL235" s="1083"/>
      <c r="AM235" s="1084"/>
      <c r="AN235" s="1084"/>
      <c r="AO235" s="1084"/>
      <c r="AP235" s="1085"/>
      <c r="AQ235" s="259"/>
      <c r="AR235" s="466"/>
      <c r="AS235" s="283"/>
      <c r="AT235" s="1155"/>
      <c r="AU235" s="1155"/>
      <c r="AV235" s="1155"/>
      <c r="AW235" s="1155"/>
      <c r="AX235" s="1155"/>
      <c r="AY235" s="1155"/>
      <c r="AZ235" s="1155"/>
      <c r="BA235" s="1155"/>
      <c r="BB235" s="1155"/>
      <c r="BC235" s="1155"/>
      <c r="BD235" s="1155"/>
      <c r="BE235" s="1155"/>
      <c r="BF235" s="1155"/>
      <c r="BG235" s="1155"/>
      <c r="BH235" s="1155"/>
      <c r="BI235" s="1155"/>
      <c r="BJ235" s="1155"/>
      <c r="BK235" s="1155"/>
      <c r="BL235" s="1155"/>
      <c r="BM235" s="1155"/>
      <c r="BN235" s="1155"/>
      <c r="BO235" s="1155"/>
      <c r="BP235" s="1155"/>
      <c r="BQ235" s="1155"/>
      <c r="BR235" s="1155"/>
      <c r="BS235" s="1155"/>
    </row>
    <row r="236" spans="5:71" s="474" customFormat="1">
      <c r="E236" s="4108"/>
      <c r="F236" s="431" t="s">
        <v>578</v>
      </c>
      <c r="G236" s="1089"/>
      <c r="H236" s="1090"/>
      <c r="I236" s="1090"/>
      <c r="J236" s="1090"/>
      <c r="K236" s="1091"/>
      <c r="L236" s="259"/>
      <c r="M236" s="456"/>
      <c r="N236" s="456"/>
      <c r="O236" s="456"/>
      <c r="P236" s="457"/>
      <c r="Q236" s="224"/>
      <c r="R236" s="456"/>
      <c r="S236" s="456"/>
      <c r="T236" s="456"/>
      <c r="U236" s="457"/>
      <c r="V236" s="1172"/>
      <c r="W236" s="207"/>
      <c r="X236" s="456"/>
      <c r="Y236" s="456"/>
      <c r="Z236" s="456"/>
      <c r="AA236" s="457"/>
      <c r="AB236" s="1041"/>
      <c r="AC236" s="207"/>
      <c r="AD236" s="456"/>
      <c r="AE236" s="456"/>
      <c r="AF236" s="456"/>
      <c r="AG236" s="456"/>
      <c r="AH236" s="1048"/>
      <c r="AI236" s="1172"/>
      <c r="AJ236" s="1155"/>
      <c r="AK236" s="1155"/>
      <c r="AL236" s="1089"/>
      <c r="AM236" s="1090"/>
      <c r="AN236" s="1090"/>
      <c r="AO236" s="1090"/>
      <c r="AP236" s="1091"/>
      <c r="AQ236" s="259"/>
      <c r="AR236" s="456"/>
      <c r="AS236" s="457"/>
      <c r="AT236" s="1155"/>
      <c r="AU236" s="1155"/>
      <c r="AV236" s="1155"/>
      <c r="AW236" s="1155"/>
      <c r="AX236" s="1155"/>
      <c r="AY236" s="1155"/>
      <c r="AZ236" s="1155"/>
      <c r="BA236" s="1155"/>
      <c r="BB236" s="1155"/>
      <c r="BC236" s="1155"/>
      <c r="BD236" s="1155"/>
      <c r="BE236" s="1155"/>
      <c r="BF236" s="1155"/>
      <c r="BG236" s="1155"/>
      <c r="BH236" s="1155"/>
      <c r="BI236" s="1155"/>
      <c r="BJ236" s="1155"/>
      <c r="BK236" s="1155"/>
      <c r="BL236" s="1155"/>
      <c r="BM236" s="1155"/>
      <c r="BN236" s="1155"/>
      <c r="BO236" s="1155"/>
      <c r="BP236" s="1155"/>
      <c r="BQ236" s="1155"/>
      <c r="BR236" s="1155"/>
      <c r="BS236" s="1155"/>
    </row>
    <row r="237" spans="5:71" s="474" customFormat="1">
      <c r="E237" s="4108"/>
      <c r="F237" s="1377" t="s">
        <v>579</v>
      </c>
      <c r="G237" s="1086"/>
      <c r="H237" s="1087"/>
      <c r="I237" s="1087"/>
      <c r="J237" s="1087"/>
      <c r="K237" s="1088"/>
      <c r="L237" s="258">
        <f>SUM(L233:L236)</f>
        <v>121293.15999999999</v>
      </c>
      <c r="M237" s="465">
        <f t="shared" ref="M237" si="932">SUM(M233:M236)</f>
        <v>0</v>
      </c>
      <c r="N237" s="465">
        <f t="shared" ref="N237" si="933">SUM(N233:N236)</f>
        <v>0</v>
      </c>
      <c r="O237" s="465">
        <f t="shared" ref="O237" si="934">SUM(O233:O236)</f>
        <v>0</v>
      </c>
      <c r="P237" s="282">
        <f t="shared" ref="P237" si="935">SUM(P233:P236)</f>
        <v>0</v>
      </c>
      <c r="Q237" s="965">
        <f t="shared" ref="Q237" si="936">SUM(Q233:Q236)</f>
        <v>0</v>
      </c>
      <c r="R237" s="465">
        <f t="shared" ref="R237" si="937">SUM(R233:R236)</f>
        <v>0</v>
      </c>
      <c r="S237" s="465">
        <f t="shared" ref="S237" si="938">SUM(S233:S236)</f>
        <v>0</v>
      </c>
      <c r="T237" s="465">
        <f t="shared" ref="T237" si="939">SUM(T233:T236)</f>
        <v>0</v>
      </c>
      <c r="U237" s="282">
        <f t="shared" ref="U237" si="940">SUM(U233:U236)</f>
        <v>0</v>
      </c>
      <c r="V237" s="1172"/>
      <c r="W237" s="258">
        <f t="shared" ref="W237" si="941">SUM(W233:W236)</f>
        <v>0</v>
      </c>
      <c r="X237" s="465">
        <f t="shared" ref="X237" si="942">SUM(X233:X236)</f>
        <v>0</v>
      </c>
      <c r="Y237" s="465">
        <f t="shared" ref="Y237" si="943">SUM(Y233:Y236)</f>
        <v>0</v>
      </c>
      <c r="Z237" s="465">
        <f t="shared" ref="Z237" si="944">SUM(Z233:Z236)</f>
        <v>0</v>
      </c>
      <c r="AA237" s="282">
        <f t="shared" ref="AA237" si="945">SUM(AA233:AA236)</f>
        <v>0</v>
      </c>
      <c r="AB237" s="992"/>
      <c r="AC237" s="258">
        <f t="shared" ref="AC237" si="946">SUM(AC233:AC236)</f>
        <v>0</v>
      </c>
      <c r="AD237" s="465">
        <f t="shared" ref="AD237" si="947">SUM(AD233:AD236)</f>
        <v>0</v>
      </c>
      <c r="AE237" s="465">
        <f t="shared" ref="AE237" si="948">SUM(AE233:AE236)</f>
        <v>0</v>
      </c>
      <c r="AF237" s="465">
        <f t="shared" ref="AF237" si="949">SUM(AF233:AF236)</f>
        <v>0</v>
      </c>
      <c r="AG237" s="465">
        <f t="shared" ref="AG237" si="950">SUM(AG233:AG236)</f>
        <v>0</v>
      </c>
      <c r="AH237" s="1049"/>
      <c r="AI237" s="1172"/>
      <c r="AJ237" s="1155"/>
      <c r="AK237" s="1155"/>
      <c r="AL237" s="1086"/>
      <c r="AM237" s="1087"/>
      <c r="AN237" s="1087"/>
      <c r="AO237" s="1087"/>
      <c r="AP237" s="1088"/>
      <c r="AQ237" s="258">
        <f>SUM(AQ234:AQ236)</f>
        <v>0</v>
      </c>
      <c r="AR237" s="465">
        <f t="shared" ref="AR237" si="951">SUM(AR234:AR236)</f>
        <v>0</v>
      </c>
      <c r="AS237" s="282"/>
      <c r="AT237" s="1155"/>
      <c r="AU237" s="1155"/>
      <c r="AV237" s="1155"/>
      <c r="AW237" s="1155"/>
      <c r="AX237" s="1155"/>
      <c r="AY237" s="1155"/>
      <c r="AZ237" s="1155"/>
      <c r="BA237" s="1155"/>
      <c r="BB237" s="1155"/>
      <c r="BC237" s="1155"/>
      <c r="BD237" s="1155"/>
      <c r="BE237" s="1155"/>
      <c r="BF237" s="1155"/>
      <c r="BG237" s="1155"/>
      <c r="BH237" s="1155"/>
      <c r="BI237" s="1155"/>
      <c r="BJ237" s="1155"/>
      <c r="BK237" s="1155"/>
      <c r="BL237" s="1155"/>
      <c r="BM237" s="1155"/>
      <c r="BN237" s="1155"/>
      <c r="BO237" s="1155"/>
      <c r="BP237" s="1155"/>
      <c r="BQ237" s="1155"/>
      <c r="BR237" s="1155"/>
      <c r="BS237" s="1155"/>
    </row>
    <row r="238" spans="5:71" s="474" customFormat="1" ht="13.5" thickBot="1">
      <c r="E238" s="4108"/>
      <c r="F238" s="1035" t="s">
        <v>583</v>
      </c>
      <c r="G238" s="255"/>
      <c r="H238" s="461"/>
      <c r="I238" s="461"/>
      <c r="J238" s="461"/>
      <c r="K238" s="281"/>
      <c r="L238" s="207"/>
      <c r="M238" s="456"/>
      <c r="N238" s="456"/>
      <c r="O238" s="456"/>
      <c r="P238" s="457"/>
      <c r="Q238" s="224"/>
      <c r="R238" s="456"/>
      <c r="S238" s="456"/>
      <c r="T238" s="456"/>
      <c r="U238" s="457"/>
      <c r="V238" s="1172"/>
      <c r="W238" s="1603"/>
      <c r="X238" s="1604"/>
      <c r="Y238" s="1604"/>
      <c r="Z238" s="1604"/>
      <c r="AA238" s="1605"/>
      <c r="AB238" s="1606"/>
      <c r="AC238" s="1603"/>
      <c r="AD238" s="1607"/>
      <c r="AE238" s="1607"/>
      <c r="AF238" s="1607"/>
      <c r="AG238" s="1607"/>
      <c r="AH238" s="1608"/>
      <c r="AI238" s="1172"/>
      <c r="AJ238" s="1155"/>
      <c r="AK238" s="1155"/>
      <c r="AL238" s="259"/>
      <c r="AM238" s="466"/>
      <c r="AN238" s="466"/>
      <c r="AO238" s="466"/>
      <c r="AP238" s="283"/>
      <c r="AQ238" s="259"/>
      <c r="AR238" s="466"/>
      <c r="AS238" s="283"/>
      <c r="AT238" s="1155"/>
      <c r="AU238" s="1155"/>
      <c r="AV238" s="1155"/>
      <c r="AW238" s="1155"/>
      <c r="AX238" s="1155"/>
      <c r="AY238" s="1155"/>
      <c r="AZ238" s="1155"/>
      <c r="BA238" s="1155"/>
      <c r="BB238" s="1155"/>
      <c r="BC238" s="1155"/>
      <c r="BD238" s="1155"/>
      <c r="BE238" s="1155"/>
      <c r="BF238" s="1155"/>
      <c r="BG238" s="1155"/>
      <c r="BH238" s="1155"/>
      <c r="BI238" s="1155"/>
      <c r="BJ238" s="1155"/>
      <c r="BK238" s="1155"/>
      <c r="BL238" s="1155"/>
      <c r="BM238" s="1155"/>
      <c r="BN238" s="1155"/>
      <c r="BO238" s="1155"/>
      <c r="BP238" s="1155"/>
      <c r="BQ238" s="1155"/>
      <c r="BR238" s="1155"/>
      <c r="BS238" s="1155"/>
    </row>
    <row r="239" spans="5:71" s="474" customFormat="1" ht="13.5" thickBot="1">
      <c r="E239" s="4108"/>
      <c r="F239" s="1380" t="s">
        <v>581</v>
      </c>
      <c r="G239" s="1599"/>
      <c r="H239" s="1600"/>
      <c r="I239" s="1600"/>
      <c r="J239" s="1600"/>
      <c r="K239" s="1601"/>
      <c r="L239" s="1599"/>
      <c r="M239" s="1600"/>
      <c r="N239" s="1600"/>
      <c r="O239" s="1600"/>
      <c r="P239" s="1601"/>
      <c r="Q239" s="1602"/>
      <c r="R239" s="1600"/>
      <c r="S239" s="1600"/>
      <c r="T239" s="1600"/>
      <c r="U239" s="1601"/>
      <c r="V239" s="1172"/>
      <c r="W239" s="1614"/>
      <c r="X239" s="1615"/>
      <c r="Y239" s="1615"/>
      <c r="Z239" s="1615"/>
      <c r="AA239" s="1615"/>
      <c r="AB239" s="1615"/>
      <c r="AC239" s="1615"/>
      <c r="AD239" s="1615"/>
      <c r="AE239" s="1615"/>
      <c r="AF239" s="1615"/>
      <c r="AG239" s="1615"/>
      <c r="AH239" s="1616"/>
      <c r="AI239" s="1172"/>
      <c r="AJ239" s="1155"/>
      <c r="AK239" s="1155"/>
      <c r="AL239" s="259"/>
      <c r="AM239" s="466"/>
      <c r="AN239" s="466"/>
      <c r="AO239" s="466"/>
      <c r="AP239" s="283"/>
      <c r="AQ239" s="259"/>
      <c r="AR239" s="466"/>
      <c r="AS239" s="283"/>
      <c r="AT239" s="1155"/>
      <c r="AU239" s="1155"/>
      <c r="AV239" s="1155"/>
      <c r="AW239" s="1155"/>
      <c r="AX239" s="1155"/>
      <c r="AY239" s="1155"/>
      <c r="AZ239" s="1155"/>
      <c r="BA239" s="1155"/>
      <c r="BB239" s="1155"/>
      <c r="BC239" s="1155"/>
      <c r="BD239" s="1155"/>
      <c r="BE239" s="1155"/>
      <c r="BF239" s="1155"/>
      <c r="BG239" s="1155"/>
      <c r="BH239" s="1155"/>
      <c r="BI239" s="1155"/>
      <c r="BJ239" s="1155"/>
      <c r="BK239" s="1155"/>
      <c r="BL239" s="1155"/>
      <c r="BM239" s="1155"/>
      <c r="BN239" s="1155"/>
      <c r="BO239" s="1155"/>
      <c r="BP239" s="1155"/>
      <c r="BQ239" s="1155"/>
      <c r="BR239" s="1155"/>
      <c r="BS239" s="1155"/>
    </row>
    <row r="240" spans="5:71" s="474" customFormat="1">
      <c r="E240" s="4108"/>
      <c r="F240" s="1378" t="s">
        <v>584</v>
      </c>
      <c r="G240" s="1050">
        <v>0</v>
      </c>
      <c r="H240" s="1051">
        <v>0</v>
      </c>
      <c r="I240" s="1051">
        <v>0</v>
      </c>
      <c r="J240" s="1051">
        <v>0</v>
      </c>
      <c r="K240" s="1052">
        <v>0</v>
      </c>
      <c r="L240" s="1050">
        <f>SUM(L237:L239)</f>
        <v>121293.15999999999</v>
      </c>
      <c r="M240" s="1051">
        <f t="shared" ref="M240" si="952">SUM(M237:M239)</f>
        <v>0</v>
      </c>
      <c r="N240" s="1051">
        <f t="shared" ref="N240" si="953">SUM(N237:N239)</f>
        <v>0</v>
      </c>
      <c r="O240" s="1051">
        <f t="shared" ref="O240" si="954">SUM(O237:O239)</f>
        <v>0</v>
      </c>
      <c r="P240" s="1052">
        <f t="shared" ref="P240" si="955">SUM(P237:P239)</f>
        <v>0</v>
      </c>
      <c r="Q240" s="1092">
        <f t="shared" ref="Q240" si="956">SUM(Q237:Q239)</f>
        <v>0</v>
      </c>
      <c r="R240" s="1051">
        <f t="shared" ref="R240" si="957">SUM(R237:R239)</f>
        <v>0</v>
      </c>
      <c r="S240" s="1051">
        <f t="shared" ref="S240" si="958">SUM(S237:S239)</f>
        <v>0</v>
      </c>
      <c r="T240" s="1051">
        <f t="shared" ref="T240" si="959">SUM(T237:T239)</f>
        <v>0</v>
      </c>
      <c r="U240" s="1052">
        <f t="shared" ref="U240" si="960">SUM(U237:U239)</f>
        <v>0</v>
      </c>
      <c r="V240" s="1172"/>
      <c r="W240" s="1609">
        <f t="shared" ref="W240" si="961">SUM(W237:W239)</f>
        <v>0</v>
      </c>
      <c r="X240" s="1610">
        <f t="shared" ref="X240" si="962">SUM(X237:X239)</f>
        <v>0</v>
      </c>
      <c r="Y240" s="1610">
        <f t="shared" ref="Y240" si="963">SUM(Y237:Y239)</f>
        <v>0</v>
      </c>
      <c r="Z240" s="1610">
        <f t="shared" ref="Z240" si="964">SUM(Z237:Z239)</f>
        <v>0</v>
      </c>
      <c r="AA240" s="1611">
        <f t="shared" ref="AA240" si="965">SUM(AA237:AA239)</f>
        <v>0</v>
      </c>
      <c r="AB240" s="1612"/>
      <c r="AC240" s="1609">
        <f t="shared" ref="AC240" si="966">SUM(AC237:AC239)</f>
        <v>0</v>
      </c>
      <c r="AD240" s="1610">
        <f t="shared" ref="AD240" si="967">SUM(AD237:AD239)</f>
        <v>0</v>
      </c>
      <c r="AE240" s="1610">
        <f t="shared" ref="AE240" si="968">SUM(AE237:AE239)</f>
        <v>0</v>
      </c>
      <c r="AF240" s="1610">
        <f t="shared" ref="AF240" si="969">SUM(AF237:AF239)</f>
        <v>0</v>
      </c>
      <c r="AG240" s="1610">
        <f t="shared" ref="AG240" si="970">SUM(AG237:AG239)</f>
        <v>0</v>
      </c>
      <c r="AH240" s="1613"/>
      <c r="AI240" s="1172"/>
      <c r="AJ240" s="130"/>
      <c r="AK240" s="130"/>
      <c r="AL240" s="1050">
        <f t="shared" ref="AL240:AR240" si="971">SUM(AL238:AL239)</f>
        <v>0</v>
      </c>
      <c r="AM240" s="1051">
        <f t="shared" si="971"/>
        <v>0</v>
      </c>
      <c r="AN240" s="1051">
        <f t="shared" si="971"/>
        <v>0</v>
      </c>
      <c r="AO240" s="1051">
        <f t="shared" si="971"/>
        <v>0</v>
      </c>
      <c r="AP240" s="1052">
        <f t="shared" si="971"/>
        <v>0</v>
      </c>
      <c r="AQ240" s="1050">
        <f t="shared" si="971"/>
        <v>0</v>
      </c>
      <c r="AR240" s="1051">
        <f t="shared" si="971"/>
        <v>0</v>
      </c>
      <c r="AS240" s="1052"/>
      <c r="AT240" s="130"/>
      <c r="AU240" s="130"/>
      <c r="AV240" s="130"/>
      <c r="AW240" s="130"/>
      <c r="AX240" s="130"/>
      <c r="AY240" s="130"/>
      <c r="AZ240" s="130"/>
      <c r="BA240" s="130"/>
      <c r="BB240" s="130"/>
      <c r="BC240" s="130"/>
      <c r="BD240" s="130"/>
      <c r="BE240" s="130"/>
      <c r="BF240" s="130"/>
      <c r="BG240" s="130"/>
      <c r="BH240" s="130"/>
      <c r="BI240" s="130"/>
      <c r="BJ240" s="130"/>
      <c r="BK240" s="130"/>
      <c r="BL240" s="130"/>
      <c r="BM240" s="130"/>
      <c r="BN240" s="130"/>
      <c r="BO240" s="130"/>
      <c r="BP240" s="130"/>
      <c r="BQ240" s="130"/>
      <c r="BR240" s="130"/>
      <c r="BS240" s="1155"/>
    </row>
    <row r="241" spans="5:71" s="474" customFormat="1">
      <c r="E241" s="4108"/>
      <c r="F241" s="1389" t="s">
        <v>35</v>
      </c>
      <c r="G241" s="255"/>
      <c r="H241" s="461"/>
      <c r="I241" s="461"/>
      <c r="J241" s="461"/>
      <c r="K241" s="281"/>
      <c r="L241" s="255"/>
      <c r="M241" s="461"/>
      <c r="N241" s="461"/>
      <c r="O241" s="461"/>
      <c r="P241" s="281"/>
      <c r="Q241" s="956"/>
      <c r="R241" s="461"/>
      <c r="S241" s="461"/>
      <c r="T241" s="461"/>
      <c r="U241" s="281"/>
      <c r="V241" s="1172"/>
      <c r="W241" s="255"/>
      <c r="X241" s="461"/>
      <c r="Y241" s="461"/>
      <c r="Z241" s="461"/>
      <c r="AA241" s="281"/>
      <c r="AB241" s="1004"/>
      <c r="AC241" s="255"/>
      <c r="AD241" s="461"/>
      <c r="AE241" s="461"/>
      <c r="AF241" s="461"/>
      <c r="AG241" s="461"/>
      <c r="AH241" s="1047"/>
      <c r="AI241" s="1172"/>
      <c r="AJ241" s="1155"/>
      <c r="AK241" s="1155"/>
      <c r="AL241" s="259"/>
      <c r="AM241" s="466"/>
      <c r="AN241" s="466"/>
      <c r="AO241" s="466"/>
      <c r="AP241" s="283"/>
      <c r="AQ241" s="259"/>
      <c r="AR241" s="466"/>
      <c r="AS241" s="283"/>
      <c r="AT241" s="1155"/>
      <c r="AU241" s="1155"/>
      <c r="AV241" s="1155"/>
      <c r="AW241" s="1155"/>
      <c r="AX241" s="1155"/>
      <c r="AY241" s="1155"/>
      <c r="AZ241" s="1155"/>
      <c r="BA241" s="1155"/>
      <c r="BB241" s="1155"/>
      <c r="BC241" s="1155"/>
      <c r="BD241" s="1155"/>
      <c r="BE241" s="1155"/>
      <c r="BF241" s="1155"/>
      <c r="BG241" s="1155"/>
      <c r="BH241" s="1155"/>
      <c r="BI241" s="1155"/>
      <c r="BJ241" s="1155"/>
      <c r="BK241" s="1155"/>
      <c r="BL241" s="1155"/>
      <c r="BM241" s="1155"/>
      <c r="BN241" s="1155"/>
      <c r="BO241" s="1155"/>
      <c r="BP241" s="1155"/>
      <c r="BQ241" s="1155"/>
      <c r="BR241" s="1155"/>
      <c r="BS241" s="1155"/>
    </row>
    <row r="242" spans="5:71" s="474" customFormat="1" ht="13.5" thickBot="1">
      <c r="E242" s="4109"/>
      <c r="F242" s="1387" t="s">
        <v>585</v>
      </c>
      <c r="G242" s="1055">
        <v>0</v>
      </c>
      <c r="H242" s="1056">
        <v>0</v>
      </c>
      <c r="I242" s="1056">
        <v>0</v>
      </c>
      <c r="J242" s="1056">
        <v>0</v>
      </c>
      <c r="K242" s="1057">
        <v>0</v>
      </c>
      <c r="L242" s="1567">
        <f>L240-L241</f>
        <v>121293.15999999999</v>
      </c>
      <c r="M242" s="1056">
        <f t="shared" ref="M242" si="972">M240-M241</f>
        <v>0</v>
      </c>
      <c r="N242" s="1056">
        <f t="shared" ref="N242" si="973">N240-N241</f>
        <v>0</v>
      </c>
      <c r="O242" s="1056">
        <f t="shared" ref="O242" si="974">O240-O241</f>
        <v>0</v>
      </c>
      <c r="P242" s="1057">
        <f t="shared" ref="P242" si="975">P240-P241</f>
        <v>0</v>
      </c>
      <c r="Q242" s="1093">
        <f t="shared" ref="Q242" si="976">Q240-Q241</f>
        <v>0</v>
      </c>
      <c r="R242" s="1056">
        <f t="shared" ref="R242" si="977">R240-R241</f>
        <v>0</v>
      </c>
      <c r="S242" s="1056">
        <f t="shared" ref="S242" si="978">S240-S241</f>
        <v>0</v>
      </c>
      <c r="T242" s="1056">
        <f t="shared" ref="T242" si="979">T240-T241</f>
        <v>0</v>
      </c>
      <c r="U242" s="1057">
        <f t="shared" ref="U242" si="980">U240-U241</f>
        <v>0</v>
      </c>
      <c r="V242" s="1172"/>
      <c r="W242" s="1055">
        <f t="shared" ref="W242" si="981">W240-W241</f>
        <v>0</v>
      </c>
      <c r="X242" s="1056">
        <f t="shared" ref="X242" si="982">X240-X241</f>
        <v>0</v>
      </c>
      <c r="Y242" s="1056">
        <f t="shared" ref="Y242" si="983">Y240-Y241</f>
        <v>0</v>
      </c>
      <c r="Z242" s="1056">
        <f t="shared" ref="Z242" si="984">Z240-Z241</f>
        <v>0</v>
      </c>
      <c r="AA242" s="1057">
        <f t="shared" ref="AA242" si="985">AA240-AA241</f>
        <v>0</v>
      </c>
      <c r="AB242" s="1075"/>
      <c r="AC242" s="1055">
        <f t="shared" ref="AC242" si="986">AC240-AC241</f>
        <v>0</v>
      </c>
      <c r="AD242" s="1056">
        <f t="shared" ref="AD242" si="987">AD240-AD241</f>
        <v>0</v>
      </c>
      <c r="AE242" s="1056">
        <f t="shared" ref="AE242" si="988">AE240-AE241</f>
        <v>0</v>
      </c>
      <c r="AF242" s="1056">
        <f t="shared" ref="AF242" si="989">AF240-AF241</f>
        <v>0</v>
      </c>
      <c r="AG242" s="1056">
        <f t="shared" ref="AG242" si="990">AG240-AG241</f>
        <v>0</v>
      </c>
      <c r="AH242" s="1059"/>
      <c r="AI242" s="1172"/>
      <c r="AJ242" s="1155"/>
      <c r="AK242" s="1155"/>
      <c r="AL242" s="1567">
        <f>AL240-AL241</f>
        <v>0</v>
      </c>
      <c r="AM242" s="1056">
        <f t="shared" ref="AM242:AR242" si="991">AM240-AM241</f>
        <v>0</v>
      </c>
      <c r="AN242" s="1056">
        <f t="shared" si="991"/>
        <v>0</v>
      </c>
      <c r="AO242" s="1056">
        <f t="shared" si="991"/>
        <v>0</v>
      </c>
      <c r="AP242" s="1057">
        <f t="shared" si="991"/>
        <v>0</v>
      </c>
      <c r="AQ242" s="1567">
        <f t="shared" si="991"/>
        <v>0</v>
      </c>
      <c r="AR242" s="1056">
        <f t="shared" si="991"/>
        <v>0</v>
      </c>
      <c r="AS242" s="1057"/>
      <c r="AT242" s="1155"/>
      <c r="AU242" s="1155"/>
      <c r="AV242" s="1155"/>
      <c r="AW242" s="1155"/>
      <c r="AX242" s="1155"/>
      <c r="AY242" s="1155"/>
      <c r="AZ242" s="1155"/>
      <c r="BA242" s="1155"/>
      <c r="BB242" s="1155"/>
      <c r="BC242" s="1155"/>
      <c r="BD242" s="1155"/>
      <c r="BE242" s="1155"/>
      <c r="BF242" s="1155"/>
      <c r="BG242" s="1155"/>
      <c r="BH242" s="1155"/>
      <c r="BI242" s="1155"/>
      <c r="BJ242" s="1155"/>
      <c r="BK242" s="1155"/>
      <c r="BL242" s="1155"/>
      <c r="BM242" s="1155"/>
      <c r="BN242" s="1155"/>
      <c r="BO242" s="1155"/>
      <c r="BP242" s="1155"/>
      <c r="BQ242" s="1155"/>
      <c r="BR242" s="1155"/>
      <c r="BS242" s="1155"/>
    </row>
    <row r="243" spans="5:71" s="474" customFormat="1" ht="12.75" customHeight="1">
      <c r="E243" s="4110" t="s">
        <v>1490</v>
      </c>
      <c r="F243" s="433" t="s">
        <v>111</v>
      </c>
      <c r="G243" s="1086"/>
      <c r="H243" s="1087"/>
      <c r="I243" s="1087"/>
      <c r="J243" s="1087"/>
      <c r="K243" s="1088"/>
      <c r="L243" s="258"/>
      <c r="M243" s="465"/>
      <c r="N243" s="465"/>
      <c r="O243" s="465"/>
      <c r="P243" s="282"/>
      <c r="Q243" s="965"/>
      <c r="R243" s="465"/>
      <c r="S243" s="465"/>
      <c r="T243" s="465"/>
      <c r="U243" s="1044"/>
      <c r="V243" s="1172"/>
      <c r="W243" s="1043"/>
      <c r="X243" s="421"/>
      <c r="Y243" s="421"/>
      <c r="Z243" s="421"/>
      <c r="AA243" s="1044"/>
      <c r="AB243" s="1045"/>
      <c r="AC243" s="1043"/>
      <c r="AD243" s="421"/>
      <c r="AE243" s="421"/>
      <c r="AF243" s="421"/>
      <c r="AG243" s="421"/>
      <c r="AH243" s="1046"/>
      <c r="AI243" s="1172"/>
      <c r="AJ243" s="1155"/>
      <c r="AK243" s="1155"/>
      <c r="AL243" s="1086"/>
      <c r="AM243" s="1087"/>
      <c r="AN243" s="1087"/>
      <c r="AO243" s="1087"/>
      <c r="AP243" s="1088"/>
      <c r="AQ243" s="258"/>
      <c r="AR243" s="465"/>
      <c r="AS243" s="282"/>
      <c r="AT243" s="1155"/>
      <c r="AU243" s="1155"/>
      <c r="AV243" s="1155"/>
      <c r="AW243" s="1155"/>
      <c r="AX243" s="1155"/>
      <c r="AY243" s="1155"/>
      <c r="AZ243" s="1155"/>
      <c r="BA243" s="1155"/>
      <c r="BB243" s="1155"/>
      <c r="BC243" s="1155"/>
      <c r="BD243" s="1155"/>
      <c r="BE243" s="1155"/>
      <c r="BF243" s="1155"/>
      <c r="BG243" s="1155"/>
      <c r="BH243" s="1155"/>
      <c r="BI243" s="1155"/>
      <c r="BJ243" s="1155"/>
      <c r="BK243" s="1155"/>
      <c r="BL243" s="1155"/>
      <c r="BM243" s="1155"/>
      <c r="BN243" s="1155"/>
      <c r="BO243" s="1155"/>
      <c r="BP243" s="1155"/>
      <c r="BQ243" s="1155"/>
      <c r="BR243" s="1155"/>
      <c r="BS243" s="1155"/>
    </row>
    <row r="244" spans="5:71" s="474" customFormat="1" ht="12.75" customHeight="1">
      <c r="E244" s="4109"/>
      <c r="F244" s="1374" t="s">
        <v>588</v>
      </c>
      <c r="G244" s="1083"/>
      <c r="H244" s="1084"/>
      <c r="I244" s="1084"/>
      <c r="J244" s="1084"/>
      <c r="K244" s="1085"/>
      <c r="L244" s="255"/>
      <c r="M244" s="461">
        <v>14638</v>
      </c>
      <c r="N244" s="461"/>
      <c r="O244" s="461"/>
      <c r="P244" s="281"/>
      <c r="Q244" s="956"/>
      <c r="R244" s="461"/>
      <c r="S244" s="461"/>
      <c r="T244" s="461"/>
      <c r="U244" s="281"/>
      <c r="V244" s="1172"/>
      <c r="W244" s="255"/>
      <c r="X244" s="461"/>
      <c r="Y244" s="461"/>
      <c r="Z244" s="461"/>
      <c r="AA244" s="281"/>
      <c r="AB244" s="1041"/>
      <c r="AC244" s="255"/>
      <c r="AD244" s="461"/>
      <c r="AE244" s="461"/>
      <c r="AF244" s="461"/>
      <c r="AG244" s="461"/>
      <c r="AH244" s="1047"/>
      <c r="AI244" s="1172"/>
      <c r="AJ244" s="1155"/>
      <c r="AK244" s="1155"/>
      <c r="AL244" s="1083"/>
      <c r="AM244" s="1084"/>
      <c r="AN244" s="1084"/>
      <c r="AO244" s="1084"/>
      <c r="AP244" s="1085"/>
      <c r="AQ244" s="259"/>
      <c r="AR244" s="466"/>
      <c r="AS244" s="283"/>
      <c r="AT244" s="1155"/>
      <c r="AU244" s="1155"/>
      <c r="AV244" s="1155"/>
      <c r="AW244" s="1155"/>
      <c r="AX244" s="1155"/>
      <c r="AY244" s="1155"/>
      <c r="AZ244" s="1155"/>
      <c r="BA244" s="1155"/>
      <c r="BB244" s="1155"/>
      <c r="BC244" s="1155"/>
      <c r="BD244" s="1155"/>
      <c r="BE244" s="1155"/>
      <c r="BF244" s="1155"/>
      <c r="BG244" s="1155"/>
      <c r="BH244" s="1155"/>
      <c r="BI244" s="1155"/>
      <c r="BJ244" s="1155"/>
      <c r="BK244" s="1155"/>
      <c r="BL244" s="1155"/>
      <c r="BM244" s="1155"/>
      <c r="BN244" s="1155"/>
      <c r="BO244" s="1155"/>
      <c r="BP244" s="1155"/>
      <c r="BQ244" s="1155"/>
      <c r="BR244" s="1155"/>
      <c r="BS244" s="1155"/>
    </row>
    <row r="245" spans="5:71" s="474" customFormat="1" ht="12.75" customHeight="1">
      <c r="E245" s="4109"/>
      <c r="F245" s="1374" t="s">
        <v>589</v>
      </c>
      <c r="G245" s="1083"/>
      <c r="H245" s="1084"/>
      <c r="I245" s="1084"/>
      <c r="J245" s="1084"/>
      <c r="K245" s="1085"/>
      <c r="L245" s="255"/>
      <c r="M245" s="461"/>
      <c r="N245" s="461"/>
      <c r="O245" s="461"/>
      <c r="P245" s="281"/>
      <c r="Q245" s="956"/>
      <c r="R245" s="461"/>
      <c r="S245" s="461"/>
      <c r="T245" s="461"/>
      <c r="U245" s="281"/>
      <c r="V245" s="1172"/>
      <c r="W245" s="255"/>
      <c r="X245" s="461"/>
      <c r="Y245" s="461"/>
      <c r="Z245" s="461"/>
      <c r="AA245" s="281"/>
      <c r="AB245" s="1041"/>
      <c r="AC245" s="255"/>
      <c r="AD245" s="461"/>
      <c r="AE245" s="461"/>
      <c r="AF245" s="461"/>
      <c r="AG245" s="461"/>
      <c r="AH245" s="1047"/>
      <c r="AI245" s="1172"/>
      <c r="AJ245" s="1155"/>
      <c r="AK245" s="1155"/>
      <c r="AL245" s="1083"/>
      <c r="AM245" s="1084"/>
      <c r="AN245" s="1084"/>
      <c r="AO245" s="1084"/>
      <c r="AP245" s="1085"/>
      <c r="AQ245" s="259"/>
      <c r="AR245" s="466"/>
      <c r="AS245" s="283"/>
      <c r="AT245" s="1155"/>
      <c r="AU245" s="1155"/>
      <c r="AV245" s="1155"/>
      <c r="AW245" s="1155"/>
      <c r="AX245" s="1155"/>
      <c r="AY245" s="1155"/>
      <c r="AZ245" s="1155"/>
      <c r="BA245" s="1155"/>
      <c r="BB245" s="1155"/>
      <c r="BC245" s="1155"/>
      <c r="BD245" s="1155"/>
      <c r="BE245" s="1155"/>
      <c r="BF245" s="1155"/>
      <c r="BG245" s="1155"/>
      <c r="BH245" s="1155"/>
      <c r="BI245" s="1155"/>
      <c r="BJ245" s="1155"/>
      <c r="BK245" s="1155"/>
      <c r="BL245" s="1155"/>
      <c r="BM245" s="1155"/>
      <c r="BN245" s="1155"/>
      <c r="BO245" s="1155"/>
      <c r="BP245" s="1155"/>
      <c r="BQ245" s="1155"/>
      <c r="BR245" s="1155"/>
      <c r="BS245" s="1155"/>
    </row>
    <row r="246" spans="5:71" s="474" customFormat="1" ht="12.75" customHeight="1">
      <c r="E246" s="4109"/>
      <c r="F246" s="1374" t="s">
        <v>590</v>
      </c>
      <c r="G246" s="1083"/>
      <c r="H246" s="1084"/>
      <c r="I246" s="1084"/>
      <c r="J246" s="1084"/>
      <c r="K246" s="1085"/>
      <c r="L246" s="255"/>
      <c r="M246" s="461"/>
      <c r="N246" s="461"/>
      <c r="O246" s="461"/>
      <c r="P246" s="281"/>
      <c r="Q246" s="956"/>
      <c r="R246" s="461"/>
      <c r="S246" s="461"/>
      <c r="T246" s="461"/>
      <c r="U246" s="281"/>
      <c r="V246" s="1172"/>
      <c r="W246" s="255"/>
      <c r="X246" s="461"/>
      <c r="Y246" s="461"/>
      <c r="Z246" s="461"/>
      <c r="AA246" s="281"/>
      <c r="AB246" s="1041"/>
      <c r="AC246" s="255"/>
      <c r="AD246" s="461"/>
      <c r="AE246" s="461"/>
      <c r="AF246" s="461"/>
      <c r="AG246" s="461"/>
      <c r="AH246" s="1047"/>
      <c r="AI246" s="1172"/>
      <c r="AJ246" s="1155"/>
      <c r="AK246" s="1155"/>
      <c r="AL246" s="1083"/>
      <c r="AM246" s="1084"/>
      <c r="AN246" s="1084"/>
      <c r="AO246" s="1084"/>
      <c r="AP246" s="1085"/>
      <c r="AQ246" s="259"/>
      <c r="AR246" s="466"/>
      <c r="AS246" s="283"/>
      <c r="AT246" s="1155"/>
      <c r="AU246" s="1155"/>
      <c r="AV246" s="1155"/>
      <c r="AW246" s="1155"/>
      <c r="AX246" s="1155"/>
      <c r="AY246" s="1155"/>
      <c r="AZ246" s="1155"/>
      <c r="BA246" s="1155"/>
      <c r="BB246" s="1155"/>
      <c r="BC246" s="1155"/>
      <c r="BD246" s="1155"/>
      <c r="BE246" s="1155"/>
      <c r="BF246" s="1155"/>
      <c r="BG246" s="1155"/>
      <c r="BH246" s="1155"/>
      <c r="BI246" s="1155"/>
      <c r="BJ246" s="1155"/>
      <c r="BK246" s="1155"/>
      <c r="BL246" s="1155"/>
      <c r="BM246" s="1155"/>
      <c r="BN246" s="1155"/>
      <c r="BO246" s="1155"/>
      <c r="BP246" s="1155"/>
      <c r="BQ246" s="1155"/>
      <c r="BR246" s="1155"/>
      <c r="BS246" s="1155"/>
    </row>
    <row r="247" spans="5:71" s="474" customFormat="1" ht="12.75" customHeight="1">
      <c r="E247" s="4109"/>
      <c r="F247" s="1374" t="s">
        <v>591</v>
      </c>
      <c r="G247" s="1083"/>
      <c r="H247" s="1084"/>
      <c r="I247" s="1084"/>
      <c r="J247" s="1084"/>
      <c r="K247" s="1085"/>
      <c r="L247" s="255"/>
      <c r="M247" s="461"/>
      <c r="N247" s="461"/>
      <c r="O247" s="461"/>
      <c r="P247" s="281"/>
      <c r="Q247" s="956"/>
      <c r="R247" s="461"/>
      <c r="S247" s="461"/>
      <c r="T247" s="461"/>
      <c r="U247" s="281"/>
      <c r="V247" s="1172"/>
      <c r="W247" s="255"/>
      <c r="X247" s="461"/>
      <c r="Y247" s="461"/>
      <c r="Z247" s="461"/>
      <c r="AA247" s="281"/>
      <c r="AB247" s="1041"/>
      <c r="AC247" s="255"/>
      <c r="AD247" s="461"/>
      <c r="AE247" s="461"/>
      <c r="AF247" s="461"/>
      <c r="AG247" s="461"/>
      <c r="AH247" s="1047"/>
      <c r="AI247" s="1172"/>
      <c r="AJ247" s="1155"/>
      <c r="AK247" s="1155"/>
      <c r="AL247" s="1083"/>
      <c r="AM247" s="1084"/>
      <c r="AN247" s="1084"/>
      <c r="AO247" s="1084"/>
      <c r="AP247" s="1085"/>
      <c r="AQ247" s="259"/>
      <c r="AR247" s="466"/>
      <c r="AS247" s="283"/>
      <c r="AT247" s="1155"/>
      <c r="AU247" s="1155"/>
      <c r="AV247" s="1155"/>
      <c r="AW247" s="1155"/>
      <c r="AX247" s="1155"/>
      <c r="AY247" s="1155"/>
      <c r="AZ247" s="1155"/>
      <c r="BA247" s="1155"/>
      <c r="BB247" s="1155"/>
      <c r="BC247" s="1155"/>
      <c r="BD247" s="1155"/>
      <c r="BE247" s="1155"/>
      <c r="BF247" s="1155"/>
      <c r="BG247" s="1155"/>
      <c r="BH247" s="1155"/>
      <c r="BI247" s="1155"/>
      <c r="BJ247" s="1155"/>
      <c r="BK247" s="1155"/>
      <c r="BL247" s="1155"/>
      <c r="BM247" s="1155"/>
      <c r="BN247" s="1155"/>
      <c r="BO247" s="1155"/>
      <c r="BP247" s="1155"/>
      <c r="BQ247" s="1155"/>
      <c r="BR247" s="1155"/>
      <c r="BS247" s="1155"/>
    </row>
    <row r="248" spans="5:71" s="474" customFormat="1" ht="12.75" customHeight="1">
      <c r="E248" s="4109"/>
      <c r="F248" s="1374" t="s">
        <v>592</v>
      </c>
      <c r="G248" s="1083"/>
      <c r="H248" s="1084"/>
      <c r="I248" s="1084"/>
      <c r="J248" s="1084"/>
      <c r="K248" s="1085"/>
      <c r="L248" s="207"/>
      <c r="M248" s="456"/>
      <c r="N248" s="456"/>
      <c r="O248" s="456"/>
      <c r="P248" s="457"/>
      <c r="Q248" s="224"/>
      <c r="R248" s="456"/>
      <c r="S248" s="456"/>
      <c r="T248" s="456"/>
      <c r="U248" s="457"/>
      <c r="V248" s="1172"/>
      <c r="W248" s="207">
        <v>0</v>
      </c>
      <c r="X248" s="456">
        <v>0</v>
      </c>
      <c r="Y248" s="456">
        <v>0</v>
      </c>
      <c r="Z248" s="456">
        <v>0</v>
      </c>
      <c r="AA248" s="457">
        <v>0</v>
      </c>
      <c r="AB248" s="1041"/>
      <c r="AC248" s="207">
        <v>0</v>
      </c>
      <c r="AD248" s="456">
        <v>0</v>
      </c>
      <c r="AE248" s="456">
        <v>0</v>
      </c>
      <c r="AF248" s="456">
        <v>0</v>
      </c>
      <c r="AG248" s="456">
        <v>0</v>
      </c>
      <c r="AH248" s="1048"/>
      <c r="AI248" s="1172"/>
      <c r="AJ248" s="1155"/>
      <c r="AK248" s="1155"/>
      <c r="AL248" s="1083"/>
      <c r="AM248" s="1084"/>
      <c r="AN248" s="1084"/>
      <c r="AO248" s="1084"/>
      <c r="AP248" s="1085"/>
      <c r="AQ248" s="207">
        <f>SUM(AQ243:AQ247)</f>
        <v>0</v>
      </c>
      <c r="AR248" s="456">
        <f t="shared" ref="AR248" si="992">SUM(AR243:AR247)</f>
        <v>0</v>
      </c>
      <c r="AS248" s="457"/>
      <c r="AT248" s="1155"/>
      <c r="AU248" s="1155"/>
      <c r="AV248" s="1155"/>
      <c r="AW248" s="1155"/>
      <c r="AX248" s="1155"/>
      <c r="AY248" s="1155"/>
      <c r="AZ248" s="1155"/>
      <c r="BA248" s="1155"/>
      <c r="BB248" s="1155"/>
      <c r="BC248" s="1155"/>
      <c r="BD248" s="1155"/>
      <c r="BE248" s="1155"/>
      <c r="BF248" s="1155"/>
      <c r="BG248" s="1155"/>
      <c r="BH248" s="1155"/>
      <c r="BI248" s="1155"/>
      <c r="BJ248" s="1155"/>
      <c r="BK248" s="1155"/>
      <c r="BL248" s="1155"/>
      <c r="BM248" s="1155"/>
      <c r="BN248" s="1155"/>
      <c r="BO248" s="1155"/>
      <c r="BP248" s="1155"/>
      <c r="BQ248" s="1155"/>
      <c r="BR248" s="1155"/>
      <c r="BS248" s="1155"/>
    </row>
    <row r="249" spans="5:71" s="474" customFormat="1">
      <c r="E249" s="4109"/>
      <c r="F249" s="1375" t="s">
        <v>587</v>
      </c>
      <c r="G249" s="1086"/>
      <c r="H249" s="1087"/>
      <c r="I249" s="1087"/>
      <c r="J249" s="1087"/>
      <c r="K249" s="1088"/>
      <c r="L249" s="258">
        <f>SUM(L244:L248)</f>
        <v>0</v>
      </c>
      <c r="M249" s="465">
        <f t="shared" ref="M249" si="993">SUM(M244:M248)</f>
        <v>14638</v>
      </c>
      <c r="N249" s="465">
        <f t="shared" ref="N249" si="994">SUM(N244:N248)</f>
        <v>0</v>
      </c>
      <c r="O249" s="465">
        <f t="shared" ref="O249" si="995">SUM(O244:O248)</f>
        <v>0</v>
      </c>
      <c r="P249" s="282">
        <f t="shared" ref="P249" si="996">SUM(P244:P248)</f>
        <v>0</v>
      </c>
      <c r="Q249" s="965">
        <f t="shared" ref="Q249" si="997">SUM(Q244:Q248)</f>
        <v>0</v>
      </c>
      <c r="R249" s="465">
        <f t="shared" ref="R249" si="998">SUM(R244:R248)</f>
        <v>0</v>
      </c>
      <c r="S249" s="465">
        <f t="shared" ref="S249" si="999">SUM(S244:S248)</f>
        <v>0</v>
      </c>
      <c r="T249" s="465">
        <f t="shared" ref="T249" si="1000">SUM(T244:T248)</f>
        <v>0</v>
      </c>
      <c r="U249" s="282">
        <f t="shared" ref="U249" si="1001">SUM(U244:U248)</f>
        <v>0</v>
      </c>
      <c r="V249" s="1172"/>
      <c r="W249" s="258">
        <f t="shared" ref="W249" si="1002">SUM(W244:W248)</f>
        <v>0</v>
      </c>
      <c r="X249" s="465">
        <f t="shared" ref="X249" si="1003">SUM(X244:X248)</f>
        <v>0</v>
      </c>
      <c r="Y249" s="465">
        <f t="shared" ref="Y249" si="1004">SUM(Y244:Y248)</f>
        <v>0</v>
      </c>
      <c r="Z249" s="465">
        <f t="shared" ref="Z249" si="1005">SUM(Z244:Z248)</f>
        <v>0</v>
      </c>
      <c r="AA249" s="282">
        <f t="shared" ref="AA249" si="1006">SUM(AA244:AA248)</f>
        <v>0</v>
      </c>
      <c r="AB249" s="992"/>
      <c r="AC249" s="258">
        <f t="shared" ref="AC249" si="1007">SUM(AC244:AC248)</f>
        <v>0</v>
      </c>
      <c r="AD249" s="465">
        <f t="shared" ref="AD249" si="1008">SUM(AD244:AD248)</f>
        <v>0</v>
      </c>
      <c r="AE249" s="465">
        <f t="shared" ref="AE249" si="1009">SUM(AE244:AE248)</f>
        <v>0</v>
      </c>
      <c r="AF249" s="465">
        <f t="shared" ref="AF249" si="1010">SUM(AF244:AF248)</f>
        <v>0</v>
      </c>
      <c r="AG249" s="465">
        <f t="shared" ref="AG249" si="1011">SUM(AG244:AG248)</f>
        <v>0</v>
      </c>
      <c r="AH249" s="1049"/>
      <c r="AI249" s="1172"/>
      <c r="AJ249" s="1155"/>
      <c r="AK249" s="1155"/>
      <c r="AL249" s="1086"/>
      <c r="AM249" s="1087"/>
      <c r="AN249" s="1087"/>
      <c r="AO249" s="1087"/>
      <c r="AP249" s="1088"/>
      <c r="AQ249" s="258"/>
      <c r="AR249" s="465"/>
      <c r="AS249" s="282"/>
      <c r="AT249" s="1155"/>
      <c r="AU249" s="1155"/>
      <c r="AV249" s="1155"/>
      <c r="AW249" s="1155"/>
      <c r="AX249" s="1155"/>
      <c r="AY249" s="1155"/>
      <c r="AZ249" s="1155"/>
      <c r="BA249" s="1155"/>
      <c r="BB249" s="1155"/>
      <c r="BC249" s="1155"/>
      <c r="BD249" s="1155"/>
      <c r="BE249" s="1155"/>
      <c r="BF249" s="1155"/>
      <c r="BG249" s="1155"/>
      <c r="BH249" s="1155"/>
      <c r="BI249" s="1155"/>
      <c r="BJ249" s="1155"/>
      <c r="BK249" s="1155"/>
      <c r="BL249" s="1155"/>
      <c r="BM249" s="1155"/>
      <c r="BN249" s="1155"/>
      <c r="BO249" s="1155"/>
      <c r="BP249" s="1155"/>
      <c r="BQ249" s="1155"/>
      <c r="BR249" s="1155"/>
      <c r="BS249" s="1155"/>
    </row>
    <row r="250" spans="5:71" s="474" customFormat="1">
      <c r="E250" s="4109"/>
      <c r="F250" s="1376" t="s">
        <v>593</v>
      </c>
      <c r="G250" s="1083"/>
      <c r="H250" s="1084"/>
      <c r="I250" s="1084"/>
      <c r="J250" s="1084"/>
      <c r="K250" s="1085"/>
      <c r="L250" s="255"/>
      <c r="M250" s="461"/>
      <c r="N250" s="461"/>
      <c r="O250" s="461"/>
      <c r="P250" s="281"/>
      <c r="Q250" s="956"/>
      <c r="R250" s="461"/>
      <c r="S250" s="461"/>
      <c r="T250" s="461"/>
      <c r="U250" s="281"/>
      <c r="V250" s="1172"/>
      <c r="W250" s="255"/>
      <c r="X250" s="461"/>
      <c r="Y250" s="461"/>
      <c r="Z250" s="461"/>
      <c r="AA250" s="281"/>
      <c r="AB250" s="1041"/>
      <c r="AC250" s="255"/>
      <c r="AD250" s="461"/>
      <c r="AE250" s="461"/>
      <c r="AF250" s="461"/>
      <c r="AG250" s="461"/>
      <c r="AH250" s="1047"/>
      <c r="AI250" s="1172"/>
      <c r="AJ250" s="1155"/>
      <c r="AK250" s="1155"/>
      <c r="AL250" s="1083"/>
      <c r="AM250" s="1084"/>
      <c r="AN250" s="1084"/>
      <c r="AO250" s="1084"/>
      <c r="AP250" s="1085"/>
      <c r="AQ250" s="259"/>
      <c r="AR250" s="466"/>
      <c r="AS250" s="283"/>
      <c r="AT250" s="1155"/>
      <c r="AU250" s="1155"/>
      <c r="AV250" s="1155"/>
      <c r="AW250" s="1155"/>
      <c r="AX250" s="1155"/>
      <c r="AY250" s="1155"/>
      <c r="AZ250" s="1155"/>
      <c r="BA250" s="1155"/>
      <c r="BB250" s="1155"/>
      <c r="BC250" s="1155"/>
      <c r="BD250" s="1155"/>
      <c r="BE250" s="1155"/>
      <c r="BF250" s="1155"/>
      <c r="BG250" s="1155"/>
      <c r="BH250" s="1155"/>
      <c r="BI250" s="1155"/>
      <c r="BJ250" s="1155"/>
      <c r="BK250" s="1155"/>
      <c r="BL250" s="1155"/>
      <c r="BM250" s="1155"/>
      <c r="BN250" s="1155"/>
      <c r="BO250" s="1155"/>
      <c r="BP250" s="1155"/>
      <c r="BQ250" s="1155"/>
      <c r="BR250" s="1155"/>
      <c r="BS250" s="1155"/>
    </row>
    <row r="251" spans="5:71" s="474" customFormat="1">
      <c r="E251" s="4109"/>
      <c r="F251" s="431" t="s">
        <v>558</v>
      </c>
      <c r="G251" s="1083"/>
      <c r="H251" s="1084"/>
      <c r="I251" s="1084"/>
      <c r="J251" s="1084"/>
      <c r="K251" s="1085"/>
      <c r="L251" s="255"/>
      <c r="M251" s="461">
        <v>1740297.8500000003</v>
      </c>
      <c r="N251" s="461"/>
      <c r="O251" s="461"/>
      <c r="P251" s="281"/>
      <c r="Q251" s="956"/>
      <c r="R251" s="461"/>
      <c r="S251" s="461"/>
      <c r="T251" s="461"/>
      <c r="U251" s="281"/>
      <c r="V251" s="1172"/>
      <c r="W251" s="255"/>
      <c r="X251" s="461"/>
      <c r="Y251" s="461"/>
      <c r="Z251" s="461"/>
      <c r="AA251" s="281"/>
      <c r="AB251" s="1041"/>
      <c r="AC251" s="255"/>
      <c r="AD251" s="461"/>
      <c r="AE251" s="461"/>
      <c r="AF251" s="461"/>
      <c r="AG251" s="461"/>
      <c r="AH251" s="1047"/>
      <c r="AI251" s="1172"/>
      <c r="AJ251" s="1155"/>
      <c r="AK251" s="1155"/>
      <c r="AL251" s="1083"/>
      <c r="AM251" s="1084"/>
      <c r="AN251" s="1084"/>
      <c r="AO251" s="1084"/>
      <c r="AP251" s="1085"/>
      <c r="AQ251" s="259"/>
      <c r="AR251" s="466"/>
      <c r="AS251" s="283"/>
      <c r="AT251" s="1155"/>
      <c r="AU251" s="1155"/>
      <c r="AV251" s="1155"/>
      <c r="AW251" s="1155"/>
      <c r="AX251" s="1155"/>
      <c r="AY251" s="1155"/>
      <c r="AZ251" s="1155"/>
      <c r="BA251" s="1155"/>
      <c r="BB251" s="1155"/>
      <c r="BC251" s="1155"/>
      <c r="BD251" s="1155"/>
      <c r="BE251" s="1155"/>
      <c r="BF251" s="1155"/>
      <c r="BG251" s="1155"/>
      <c r="BH251" s="1155"/>
      <c r="BI251" s="1155"/>
      <c r="BJ251" s="1155"/>
      <c r="BK251" s="1155"/>
      <c r="BL251" s="1155"/>
      <c r="BM251" s="1155"/>
      <c r="BN251" s="1155"/>
      <c r="BO251" s="1155"/>
      <c r="BP251" s="1155"/>
      <c r="BQ251" s="1155"/>
      <c r="BR251" s="1155"/>
      <c r="BS251" s="1155"/>
    </row>
    <row r="252" spans="5:71" s="474" customFormat="1">
      <c r="E252" s="4109"/>
      <c r="F252" s="431" t="s">
        <v>559</v>
      </c>
      <c r="G252" s="1083"/>
      <c r="H252" s="1084"/>
      <c r="I252" s="1084"/>
      <c r="J252" s="1084"/>
      <c r="K252" s="1085"/>
      <c r="L252" s="255"/>
      <c r="M252" s="461"/>
      <c r="N252" s="461"/>
      <c r="O252" s="461"/>
      <c r="P252" s="281"/>
      <c r="Q252" s="956"/>
      <c r="R252" s="461"/>
      <c r="S252" s="461"/>
      <c r="T252" s="461"/>
      <c r="U252" s="281"/>
      <c r="V252" s="1172"/>
      <c r="W252" s="255"/>
      <c r="X252" s="461"/>
      <c r="Y252" s="461"/>
      <c r="Z252" s="461"/>
      <c r="AA252" s="281"/>
      <c r="AB252" s="1041"/>
      <c r="AC252" s="255"/>
      <c r="AD252" s="461"/>
      <c r="AE252" s="461"/>
      <c r="AF252" s="461"/>
      <c r="AG252" s="461"/>
      <c r="AH252" s="1047"/>
      <c r="AI252" s="1172"/>
      <c r="AJ252" s="1155"/>
      <c r="AK252" s="1155"/>
      <c r="AL252" s="1083"/>
      <c r="AM252" s="1084"/>
      <c r="AN252" s="1084"/>
      <c r="AO252" s="1084"/>
      <c r="AP252" s="1085"/>
      <c r="AQ252" s="259"/>
      <c r="AR252" s="466"/>
      <c r="AS252" s="283"/>
      <c r="AT252" s="1155"/>
      <c r="AU252" s="1155"/>
      <c r="AV252" s="1155"/>
      <c r="AW252" s="1155"/>
      <c r="AX252" s="1155"/>
      <c r="AY252" s="1155"/>
      <c r="AZ252" s="1155"/>
      <c r="BA252" s="1155"/>
      <c r="BB252" s="1155"/>
      <c r="BC252" s="1155"/>
      <c r="BD252" s="1155"/>
      <c r="BE252" s="1155"/>
      <c r="BF252" s="1155"/>
      <c r="BG252" s="1155"/>
      <c r="BH252" s="1155"/>
      <c r="BI252" s="1155"/>
      <c r="BJ252" s="1155"/>
      <c r="BK252" s="1155"/>
      <c r="BL252" s="1155"/>
      <c r="BM252" s="1155"/>
      <c r="BN252" s="1155"/>
      <c r="BO252" s="1155"/>
      <c r="BP252" s="1155"/>
      <c r="BQ252" s="1155"/>
      <c r="BR252" s="1155"/>
      <c r="BS252" s="1155"/>
    </row>
    <row r="253" spans="5:71" s="474" customFormat="1">
      <c r="E253" s="4109"/>
      <c r="F253" s="431" t="s">
        <v>578</v>
      </c>
      <c r="G253" s="1089"/>
      <c r="H253" s="1090"/>
      <c r="I253" s="1090"/>
      <c r="J253" s="1090"/>
      <c r="K253" s="1091"/>
      <c r="L253" s="259"/>
      <c r="M253" s="456"/>
      <c r="N253" s="456"/>
      <c r="O253" s="456"/>
      <c r="P253" s="457"/>
      <c r="Q253" s="224"/>
      <c r="R253" s="456"/>
      <c r="S253" s="456"/>
      <c r="T253" s="456"/>
      <c r="U253" s="457"/>
      <c r="V253" s="1172"/>
      <c r="W253" s="207"/>
      <c r="X253" s="456"/>
      <c r="Y253" s="456"/>
      <c r="Z253" s="456"/>
      <c r="AA253" s="457"/>
      <c r="AB253" s="1041"/>
      <c r="AC253" s="207"/>
      <c r="AD253" s="456"/>
      <c r="AE253" s="456"/>
      <c r="AF253" s="456"/>
      <c r="AG253" s="456"/>
      <c r="AH253" s="1048"/>
      <c r="AI253" s="1172"/>
      <c r="AJ253" s="1155"/>
      <c r="AK253" s="1155"/>
      <c r="AL253" s="1089"/>
      <c r="AM253" s="1090"/>
      <c r="AN253" s="1090"/>
      <c r="AO253" s="1090"/>
      <c r="AP253" s="1091"/>
      <c r="AQ253" s="259"/>
      <c r="AR253" s="466"/>
      <c r="AS253" s="283"/>
      <c r="AT253" s="1155"/>
      <c r="AU253" s="1155"/>
      <c r="AV253" s="1155"/>
      <c r="AW253" s="1155"/>
      <c r="AX253" s="1155"/>
      <c r="AY253" s="1155"/>
      <c r="AZ253" s="1155"/>
      <c r="BA253" s="1155"/>
      <c r="BB253" s="1155"/>
      <c r="BC253" s="1155"/>
      <c r="BD253" s="1155"/>
      <c r="BE253" s="1155"/>
      <c r="BF253" s="1155"/>
      <c r="BG253" s="1155"/>
      <c r="BH253" s="1155"/>
      <c r="BI253" s="1155"/>
      <c r="BJ253" s="1155"/>
      <c r="BK253" s="1155"/>
      <c r="BL253" s="1155"/>
      <c r="BM253" s="1155"/>
      <c r="BN253" s="1155"/>
      <c r="BO253" s="1155"/>
      <c r="BP253" s="1155"/>
      <c r="BQ253" s="1155"/>
      <c r="BR253" s="1155"/>
      <c r="BS253" s="1155"/>
    </row>
    <row r="254" spans="5:71" s="474" customFormat="1">
      <c r="E254" s="4109"/>
      <c r="F254" s="1377" t="s">
        <v>579</v>
      </c>
      <c r="G254" s="1086"/>
      <c r="H254" s="1087"/>
      <c r="I254" s="1087"/>
      <c r="J254" s="1087"/>
      <c r="K254" s="1088"/>
      <c r="L254" s="258">
        <f>SUM(L250:L253)</f>
        <v>0</v>
      </c>
      <c r="M254" s="465">
        <f t="shared" ref="M254" si="1012">SUM(M250:M253)</f>
        <v>1740297.8500000003</v>
      </c>
      <c r="N254" s="465">
        <f t="shared" ref="N254" si="1013">SUM(N250:N253)</f>
        <v>0</v>
      </c>
      <c r="O254" s="465">
        <f t="shared" ref="O254" si="1014">SUM(O250:O253)</f>
        <v>0</v>
      </c>
      <c r="P254" s="282">
        <f t="shared" ref="P254" si="1015">SUM(P250:P253)</f>
        <v>0</v>
      </c>
      <c r="Q254" s="965">
        <f t="shared" ref="Q254" si="1016">SUM(Q250:Q253)</f>
        <v>0</v>
      </c>
      <c r="R254" s="465">
        <f t="shared" ref="R254" si="1017">SUM(R250:R253)</f>
        <v>0</v>
      </c>
      <c r="S254" s="465">
        <f t="shared" ref="S254" si="1018">SUM(S250:S253)</f>
        <v>0</v>
      </c>
      <c r="T254" s="465">
        <f t="shared" ref="T254" si="1019">SUM(T250:T253)</f>
        <v>0</v>
      </c>
      <c r="U254" s="282">
        <f t="shared" ref="U254" si="1020">SUM(U250:U253)</f>
        <v>0</v>
      </c>
      <c r="V254" s="1172"/>
      <c r="W254" s="258">
        <f t="shared" ref="W254" si="1021">SUM(W250:W253)</f>
        <v>0</v>
      </c>
      <c r="X254" s="465">
        <f t="shared" ref="X254" si="1022">SUM(X250:X253)</f>
        <v>0</v>
      </c>
      <c r="Y254" s="465">
        <f t="shared" ref="Y254" si="1023">SUM(Y250:Y253)</f>
        <v>0</v>
      </c>
      <c r="Z254" s="465">
        <f t="shared" ref="Z254" si="1024">SUM(Z250:Z253)</f>
        <v>0</v>
      </c>
      <c r="AA254" s="282">
        <f t="shared" ref="AA254" si="1025">SUM(AA250:AA253)</f>
        <v>0</v>
      </c>
      <c r="AB254" s="992"/>
      <c r="AC254" s="258">
        <f t="shared" ref="AC254" si="1026">SUM(AC250:AC253)</f>
        <v>0</v>
      </c>
      <c r="AD254" s="465">
        <f t="shared" ref="AD254" si="1027">SUM(AD250:AD253)</f>
        <v>0</v>
      </c>
      <c r="AE254" s="465">
        <f t="shared" ref="AE254" si="1028">SUM(AE250:AE253)</f>
        <v>0</v>
      </c>
      <c r="AF254" s="465">
        <f t="shared" ref="AF254" si="1029">SUM(AF250:AF253)</f>
        <v>0</v>
      </c>
      <c r="AG254" s="465">
        <f t="shared" ref="AG254" si="1030">SUM(AG250:AG253)</f>
        <v>0</v>
      </c>
      <c r="AH254" s="1049"/>
      <c r="AI254" s="1172"/>
      <c r="AJ254" s="1155"/>
      <c r="AK254" s="1155"/>
      <c r="AL254" s="1086"/>
      <c r="AM254" s="1087"/>
      <c r="AN254" s="1087"/>
      <c r="AO254" s="1087"/>
      <c r="AP254" s="1088"/>
      <c r="AQ254" s="258">
        <f>SUM(AQ251:AQ253)</f>
        <v>0</v>
      </c>
      <c r="AR254" s="465">
        <f t="shared" ref="AR254" si="1031">SUM(AR251:AR253)</f>
        <v>0</v>
      </c>
      <c r="AS254" s="282"/>
      <c r="AT254" s="1155"/>
      <c r="AU254" s="1155"/>
      <c r="AV254" s="1155"/>
      <c r="AW254" s="1155"/>
      <c r="AX254" s="1155"/>
      <c r="AY254" s="1155"/>
      <c r="AZ254" s="1155"/>
      <c r="BA254" s="1155"/>
      <c r="BB254" s="1155"/>
      <c r="BC254" s="1155"/>
      <c r="BD254" s="1155"/>
      <c r="BE254" s="1155"/>
      <c r="BF254" s="1155"/>
      <c r="BG254" s="1155"/>
      <c r="BH254" s="1155"/>
      <c r="BI254" s="1155"/>
      <c r="BJ254" s="1155"/>
      <c r="BK254" s="1155"/>
      <c r="BL254" s="1155"/>
      <c r="BM254" s="1155"/>
      <c r="BN254" s="1155"/>
      <c r="BO254" s="1155"/>
      <c r="BP254" s="1155"/>
      <c r="BQ254" s="1155"/>
      <c r="BR254" s="1155"/>
      <c r="BS254" s="1155"/>
    </row>
    <row r="255" spans="5:71" s="474" customFormat="1" ht="13.5" thickBot="1">
      <c r="E255" s="4109"/>
      <c r="F255" s="1035" t="s">
        <v>583</v>
      </c>
      <c r="G255" s="255"/>
      <c r="H255" s="461"/>
      <c r="I255" s="461"/>
      <c r="J255" s="461"/>
      <c r="K255" s="281"/>
      <c r="L255" s="207"/>
      <c r="M255" s="456"/>
      <c r="N255" s="456"/>
      <c r="O255" s="456"/>
      <c r="P255" s="457"/>
      <c r="Q255" s="224"/>
      <c r="R255" s="456"/>
      <c r="S255" s="456"/>
      <c r="T255" s="456"/>
      <c r="U255" s="457"/>
      <c r="V255" s="1172"/>
      <c r="W255" s="207"/>
      <c r="X255" s="461"/>
      <c r="Y255" s="461"/>
      <c r="Z255" s="461"/>
      <c r="AA255" s="281"/>
      <c r="AB255" s="1041"/>
      <c r="AC255" s="207"/>
      <c r="AD255" s="456"/>
      <c r="AE255" s="456"/>
      <c r="AF255" s="456"/>
      <c r="AG255" s="456"/>
      <c r="AH255" s="1048"/>
      <c r="AI255" s="1172"/>
      <c r="AJ255" s="1155"/>
      <c r="AK255" s="1155"/>
      <c r="AL255" s="259"/>
      <c r="AM255" s="466"/>
      <c r="AN255" s="466"/>
      <c r="AO255" s="466"/>
      <c r="AP255" s="283"/>
      <c r="AQ255" s="259"/>
      <c r="AR255" s="466"/>
      <c r="AS255" s="283"/>
      <c r="AT255" s="1155"/>
      <c r="AU255" s="1155"/>
      <c r="AV255" s="1155"/>
      <c r="AW255" s="1155"/>
      <c r="AX255" s="1155"/>
      <c r="AY255" s="1155"/>
      <c r="AZ255" s="1155"/>
      <c r="BA255" s="1155"/>
      <c r="BB255" s="1155"/>
      <c r="BC255" s="1155"/>
      <c r="BD255" s="1155"/>
      <c r="BE255" s="1155"/>
      <c r="BF255" s="1155"/>
      <c r="BG255" s="1155"/>
      <c r="BH255" s="1155"/>
      <c r="BI255" s="1155"/>
      <c r="BJ255" s="1155"/>
      <c r="BK255" s="1155"/>
      <c r="BL255" s="1155"/>
      <c r="BM255" s="1155"/>
      <c r="BN255" s="1155"/>
      <c r="BO255" s="1155"/>
      <c r="BP255" s="1155"/>
      <c r="BQ255" s="1155"/>
      <c r="BR255" s="1155"/>
      <c r="BS255" s="1155"/>
    </row>
    <row r="256" spans="5:71" s="474" customFormat="1" ht="13.5" thickBot="1">
      <c r="E256" s="4109"/>
      <c r="F256" s="1380" t="s">
        <v>581</v>
      </c>
      <c r="G256" s="1599"/>
      <c r="H256" s="1600"/>
      <c r="I256" s="1600"/>
      <c r="J256" s="1600"/>
      <c r="K256" s="1601"/>
      <c r="L256" s="1599"/>
      <c r="M256" s="1600"/>
      <c r="N256" s="1600"/>
      <c r="O256" s="1600"/>
      <c r="P256" s="1601"/>
      <c r="Q256" s="1602"/>
      <c r="R256" s="1600"/>
      <c r="S256" s="1600"/>
      <c r="T256" s="1600"/>
      <c r="U256" s="1601"/>
      <c r="V256" s="1172"/>
      <c r="W256" s="1614"/>
      <c r="X256" s="1615"/>
      <c r="Y256" s="1615"/>
      <c r="Z256" s="1615"/>
      <c r="AA256" s="1615"/>
      <c r="AB256" s="1615"/>
      <c r="AC256" s="1615"/>
      <c r="AD256" s="1615"/>
      <c r="AE256" s="1615"/>
      <c r="AF256" s="1615"/>
      <c r="AG256" s="1615"/>
      <c r="AH256" s="1616"/>
      <c r="AI256" s="1172"/>
      <c r="AJ256" s="1155"/>
      <c r="AK256" s="1155"/>
      <c r="AL256" s="259"/>
      <c r="AM256" s="466"/>
      <c r="AN256" s="466"/>
      <c r="AO256" s="466"/>
      <c r="AP256" s="283"/>
      <c r="AQ256" s="259"/>
      <c r="AR256" s="466"/>
      <c r="AS256" s="283"/>
      <c r="AT256" s="1155"/>
      <c r="AU256" s="1155"/>
      <c r="AV256" s="1155"/>
      <c r="AW256" s="1155"/>
      <c r="AX256" s="1155"/>
      <c r="AY256" s="1155"/>
      <c r="AZ256" s="1155"/>
      <c r="BA256" s="1155"/>
      <c r="BB256" s="1155"/>
      <c r="BC256" s="1155"/>
      <c r="BD256" s="1155"/>
      <c r="BE256" s="1155"/>
      <c r="BF256" s="1155"/>
      <c r="BG256" s="1155"/>
      <c r="BH256" s="1155"/>
      <c r="BI256" s="1155"/>
      <c r="BJ256" s="1155"/>
      <c r="BK256" s="1155"/>
      <c r="BL256" s="1155"/>
      <c r="BM256" s="1155"/>
      <c r="BN256" s="1155"/>
      <c r="BO256" s="1155"/>
      <c r="BP256" s="1155"/>
      <c r="BQ256" s="1155"/>
      <c r="BR256" s="1155"/>
      <c r="BS256" s="1155"/>
    </row>
    <row r="257" spans="5:71" s="474" customFormat="1">
      <c r="E257" s="4109"/>
      <c r="F257" s="1378" t="s">
        <v>584</v>
      </c>
      <c r="G257" s="1050">
        <v>0</v>
      </c>
      <c r="H257" s="1051">
        <v>0</v>
      </c>
      <c r="I257" s="1051">
        <v>0</v>
      </c>
      <c r="J257" s="1051">
        <v>0</v>
      </c>
      <c r="K257" s="1052">
        <v>0</v>
      </c>
      <c r="L257" s="1050">
        <f>SUM(L254:L256)</f>
        <v>0</v>
      </c>
      <c r="M257" s="1051">
        <f t="shared" ref="M257" si="1032">SUM(M254:M256)</f>
        <v>1740297.8500000003</v>
      </c>
      <c r="N257" s="1051">
        <f t="shared" ref="N257" si="1033">SUM(N254:N256)</f>
        <v>0</v>
      </c>
      <c r="O257" s="1051">
        <f t="shared" ref="O257" si="1034">SUM(O254:O256)</f>
        <v>0</v>
      </c>
      <c r="P257" s="1052">
        <f t="shared" ref="P257" si="1035">SUM(P254:P256)</f>
        <v>0</v>
      </c>
      <c r="Q257" s="1092">
        <f t="shared" ref="Q257" si="1036">SUM(Q254:Q256)</f>
        <v>0</v>
      </c>
      <c r="R257" s="1051">
        <f t="shared" ref="R257" si="1037">SUM(R254:R256)</f>
        <v>0</v>
      </c>
      <c r="S257" s="1051">
        <f t="shared" ref="S257" si="1038">SUM(S254:S256)</f>
        <v>0</v>
      </c>
      <c r="T257" s="1051">
        <f t="shared" ref="T257" si="1039">SUM(T254:T256)</f>
        <v>0</v>
      </c>
      <c r="U257" s="1052">
        <f t="shared" ref="U257" si="1040">SUM(U254:U256)</f>
        <v>0</v>
      </c>
      <c r="V257" s="1172"/>
      <c r="W257" s="1050">
        <f t="shared" ref="W257" si="1041">SUM(W254:W256)</f>
        <v>0</v>
      </c>
      <c r="X257" s="1051">
        <f t="shared" ref="X257" si="1042">SUM(X254:X256)</f>
        <v>0</v>
      </c>
      <c r="Y257" s="1051">
        <f t="shared" ref="Y257" si="1043">SUM(Y254:Y256)</f>
        <v>0</v>
      </c>
      <c r="Z257" s="1051">
        <f t="shared" ref="Z257" si="1044">SUM(Z254:Z256)</f>
        <v>0</v>
      </c>
      <c r="AA257" s="1052">
        <f t="shared" ref="AA257" si="1045">SUM(AA254:AA256)</f>
        <v>0</v>
      </c>
      <c r="AB257" s="1053"/>
      <c r="AC257" s="1050">
        <f t="shared" ref="AC257" si="1046">SUM(AC254:AC256)</f>
        <v>0</v>
      </c>
      <c r="AD257" s="1051">
        <f t="shared" ref="AD257" si="1047">SUM(AD254:AD256)</f>
        <v>0</v>
      </c>
      <c r="AE257" s="1051">
        <f t="shared" ref="AE257" si="1048">SUM(AE254:AE256)</f>
        <v>0</v>
      </c>
      <c r="AF257" s="1051">
        <f t="shared" ref="AF257" si="1049">SUM(AF254:AF256)</f>
        <v>0</v>
      </c>
      <c r="AG257" s="1051">
        <f t="shared" ref="AG257" si="1050">SUM(AG254:AG256)</f>
        <v>0</v>
      </c>
      <c r="AH257" s="1054"/>
      <c r="AI257" s="1172"/>
      <c r="AJ257" s="130"/>
      <c r="AK257" s="130"/>
      <c r="AL257" s="1050">
        <f t="shared" ref="AL257:AR257" si="1051">SUM(AL255:AL256)</f>
        <v>0</v>
      </c>
      <c r="AM257" s="1051">
        <f t="shared" si="1051"/>
        <v>0</v>
      </c>
      <c r="AN257" s="1051">
        <f t="shared" si="1051"/>
        <v>0</v>
      </c>
      <c r="AO257" s="1051">
        <f t="shared" si="1051"/>
        <v>0</v>
      </c>
      <c r="AP257" s="1052">
        <f t="shared" si="1051"/>
        <v>0</v>
      </c>
      <c r="AQ257" s="1050">
        <f t="shared" si="1051"/>
        <v>0</v>
      </c>
      <c r="AR257" s="1051">
        <f t="shared" si="1051"/>
        <v>0</v>
      </c>
      <c r="AS257" s="1052"/>
      <c r="AT257" s="130"/>
      <c r="AU257" s="130"/>
      <c r="AV257" s="130"/>
      <c r="AW257" s="130"/>
      <c r="AX257" s="130"/>
      <c r="AY257" s="130"/>
      <c r="AZ257" s="130"/>
      <c r="BA257" s="130"/>
      <c r="BB257" s="130"/>
      <c r="BC257" s="130"/>
      <c r="BD257" s="130"/>
      <c r="BE257" s="130"/>
      <c r="BF257" s="130"/>
      <c r="BG257" s="130"/>
      <c r="BH257" s="130"/>
      <c r="BI257" s="130"/>
      <c r="BJ257" s="130"/>
      <c r="BK257" s="130"/>
      <c r="BL257" s="130"/>
      <c r="BM257" s="130"/>
      <c r="BN257" s="130"/>
      <c r="BO257" s="130"/>
      <c r="BP257" s="130"/>
      <c r="BQ257" s="130"/>
      <c r="BR257" s="130"/>
      <c r="BS257" s="1155"/>
    </row>
    <row r="258" spans="5:71" s="474" customFormat="1">
      <c r="E258" s="4109"/>
      <c r="F258" s="1389" t="s">
        <v>35</v>
      </c>
      <c r="G258" s="255"/>
      <c r="H258" s="461"/>
      <c r="I258" s="461"/>
      <c r="J258" s="461"/>
      <c r="K258" s="281"/>
      <c r="L258" s="255"/>
      <c r="M258" s="461"/>
      <c r="N258" s="461"/>
      <c r="O258" s="461"/>
      <c r="P258" s="281"/>
      <c r="Q258" s="956"/>
      <c r="R258" s="461"/>
      <c r="S258" s="461"/>
      <c r="T258" s="461"/>
      <c r="U258" s="281"/>
      <c r="V258" s="1172"/>
      <c r="W258" s="255"/>
      <c r="X258" s="461"/>
      <c r="Y258" s="461"/>
      <c r="Z258" s="461"/>
      <c r="AA258" s="281"/>
      <c r="AB258" s="1004"/>
      <c r="AC258" s="255"/>
      <c r="AD258" s="461"/>
      <c r="AE258" s="461"/>
      <c r="AF258" s="461"/>
      <c r="AG258" s="461"/>
      <c r="AH258" s="1047"/>
      <c r="AI258" s="1172"/>
      <c r="AJ258" s="1155"/>
      <c r="AK258" s="1155"/>
      <c r="AL258" s="259"/>
      <c r="AM258" s="466"/>
      <c r="AN258" s="466"/>
      <c r="AO258" s="466"/>
      <c r="AP258" s="283"/>
      <c r="AQ258" s="259"/>
      <c r="AR258" s="466"/>
      <c r="AS258" s="283"/>
      <c r="AT258" s="1155"/>
      <c r="AU258" s="1155"/>
      <c r="AV258" s="1155"/>
      <c r="AW258" s="1155"/>
      <c r="AX258" s="1155"/>
      <c r="AY258" s="1155"/>
      <c r="AZ258" s="1155"/>
      <c r="BA258" s="1155"/>
      <c r="BB258" s="1155"/>
      <c r="BC258" s="1155"/>
      <c r="BD258" s="1155"/>
      <c r="BE258" s="1155"/>
      <c r="BF258" s="1155"/>
      <c r="BG258" s="1155"/>
      <c r="BH258" s="1155"/>
      <c r="BI258" s="1155"/>
      <c r="BJ258" s="1155"/>
      <c r="BK258" s="1155"/>
      <c r="BL258" s="1155"/>
      <c r="BM258" s="1155"/>
      <c r="BN258" s="1155"/>
      <c r="BO258" s="1155"/>
      <c r="BP258" s="1155"/>
      <c r="BQ258" s="1155"/>
      <c r="BR258" s="1155"/>
      <c r="BS258" s="1155"/>
    </row>
    <row r="259" spans="5:71" s="474" customFormat="1" ht="13.5" thickBot="1">
      <c r="E259" s="4109"/>
      <c r="F259" s="1387" t="s">
        <v>585</v>
      </c>
      <c r="G259" s="1055">
        <v>0</v>
      </c>
      <c r="H259" s="1056">
        <v>0</v>
      </c>
      <c r="I259" s="1056">
        <v>0</v>
      </c>
      <c r="J259" s="1056">
        <v>0</v>
      </c>
      <c r="K259" s="1057">
        <v>0</v>
      </c>
      <c r="L259" s="1567">
        <f>L257-L258</f>
        <v>0</v>
      </c>
      <c r="M259" s="1056">
        <f t="shared" ref="M259" si="1052">M257-M258</f>
        <v>1740297.8500000003</v>
      </c>
      <c r="N259" s="1056">
        <f t="shared" ref="N259" si="1053">N257-N258</f>
        <v>0</v>
      </c>
      <c r="O259" s="1056">
        <f t="shared" ref="O259" si="1054">O257-O258</f>
        <v>0</v>
      </c>
      <c r="P259" s="1057">
        <f t="shared" ref="P259" si="1055">P257-P258</f>
        <v>0</v>
      </c>
      <c r="Q259" s="1093">
        <f t="shared" ref="Q259" si="1056">Q257-Q258</f>
        <v>0</v>
      </c>
      <c r="R259" s="1056">
        <f t="shared" ref="R259" si="1057">R257-R258</f>
        <v>0</v>
      </c>
      <c r="S259" s="1056">
        <f t="shared" ref="S259" si="1058">S257-S258</f>
        <v>0</v>
      </c>
      <c r="T259" s="1056">
        <f t="shared" ref="T259" si="1059">T257-T258</f>
        <v>0</v>
      </c>
      <c r="U259" s="1057">
        <f t="shared" ref="U259" si="1060">U257-U258</f>
        <v>0</v>
      </c>
      <c r="V259" s="1172"/>
      <c r="W259" s="1055">
        <f t="shared" ref="W259" si="1061">W257-W258</f>
        <v>0</v>
      </c>
      <c r="X259" s="1056">
        <f t="shared" ref="X259" si="1062">X257-X258</f>
        <v>0</v>
      </c>
      <c r="Y259" s="1056">
        <f t="shared" ref="Y259" si="1063">Y257-Y258</f>
        <v>0</v>
      </c>
      <c r="Z259" s="1056">
        <f t="shared" ref="Z259" si="1064">Z257-Z258</f>
        <v>0</v>
      </c>
      <c r="AA259" s="1057">
        <f t="shared" ref="AA259" si="1065">AA257-AA258</f>
        <v>0</v>
      </c>
      <c r="AB259" s="1075"/>
      <c r="AC259" s="1055">
        <f t="shared" ref="AC259" si="1066">AC257-AC258</f>
        <v>0</v>
      </c>
      <c r="AD259" s="1056">
        <f t="shared" ref="AD259" si="1067">AD257-AD258</f>
        <v>0</v>
      </c>
      <c r="AE259" s="1056">
        <f t="shared" ref="AE259" si="1068">AE257-AE258</f>
        <v>0</v>
      </c>
      <c r="AF259" s="1056">
        <f t="shared" ref="AF259" si="1069">AF257-AF258</f>
        <v>0</v>
      </c>
      <c r="AG259" s="1056">
        <f t="shared" ref="AG259" si="1070">AG257-AG258</f>
        <v>0</v>
      </c>
      <c r="AH259" s="1059"/>
      <c r="AI259" s="1172"/>
      <c r="AJ259" s="1155"/>
      <c r="AK259" s="1155"/>
      <c r="AL259" s="1567">
        <f>AL257-AL258</f>
        <v>0</v>
      </c>
      <c r="AM259" s="1056">
        <f t="shared" ref="AM259:AR259" si="1071">AM257-AM258</f>
        <v>0</v>
      </c>
      <c r="AN259" s="1056">
        <f t="shared" si="1071"/>
        <v>0</v>
      </c>
      <c r="AO259" s="1056">
        <f t="shared" si="1071"/>
        <v>0</v>
      </c>
      <c r="AP259" s="1057">
        <f t="shared" si="1071"/>
        <v>0</v>
      </c>
      <c r="AQ259" s="1567">
        <f t="shared" si="1071"/>
        <v>0</v>
      </c>
      <c r="AR259" s="1056">
        <f t="shared" si="1071"/>
        <v>0</v>
      </c>
      <c r="AS259" s="1057"/>
      <c r="AT259" s="1155"/>
      <c r="AU259" s="1155"/>
      <c r="AV259" s="1155"/>
      <c r="AW259" s="1155"/>
      <c r="AX259" s="1155"/>
      <c r="AY259" s="1155"/>
      <c r="AZ259" s="1155"/>
      <c r="BA259" s="1155"/>
      <c r="BB259" s="1155"/>
      <c r="BC259" s="1155"/>
      <c r="BD259" s="1155"/>
      <c r="BE259" s="1155"/>
      <c r="BF259" s="1155"/>
      <c r="BG259" s="1155"/>
      <c r="BH259" s="1155"/>
      <c r="BI259" s="1155"/>
      <c r="BJ259" s="1155"/>
      <c r="BK259" s="1155"/>
      <c r="BL259" s="1155"/>
      <c r="BM259" s="1155"/>
      <c r="BN259" s="1155"/>
      <c r="BO259" s="1155"/>
      <c r="BP259" s="1155"/>
      <c r="BQ259" s="1155"/>
      <c r="BR259" s="1155"/>
      <c r="BS259" s="1155"/>
    </row>
    <row r="260" spans="5:71" s="474" customFormat="1" ht="12.75" customHeight="1">
      <c r="E260" s="4110" t="s">
        <v>1491</v>
      </c>
      <c r="F260" s="433" t="s">
        <v>111</v>
      </c>
      <c r="G260" s="1086"/>
      <c r="H260" s="1087"/>
      <c r="I260" s="1087"/>
      <c r="J260" s="1087"/>
      <c r="K260" s="1088"/>
      <c r="L260" s="258"/>
      <c r="M260" s="465"/>
      <c r="N260" s="465"/>
      <c r="O260" s="465"/>
      <c r="P260" s="282"/>
      <c r="Q260" s="965"/>
      <c r="R260" s="465"/>
      <c r="S260" s="465"/>
      <c r="T260" s="465"/>
      <c r="U260" s="282"/>
      <c r="V260" s="1172"/>
      <c r="W260" s="1043"/>
      <c r="X260" s="421"/>
      <c r="Y260" s="421"/>
      <c r="Z260" s="421"/>
      <c r="AA260" s="1044"/>
      <c r="AB260" s="1045"/>
      <c r="AC260" s="1043"/>
      <c r="AD260" s="421"/>
      <c r="AE260" s="421"/>
      <c r="AF260" s="421"/>
      <c r="AG260" s="421"/>
      <c r="AH260" s="1046"/>
      <c r="AI260" s="1172"/>
      <c r="AJ260" s="1155"/>
      <c r="AK260" s="1155"/>
      <c r="AL260" s="1086"/>
      <c r="AM260" s="1087"/>
      <c r="AN260" s="1087"/>
      <c r="AO260" s="1087"/>
      <c r="AP260" s="1088"/>
      <c r="AQ260" s="258"/>
      <c r="AR260" s="465"/>
      <c r="AS260" s="282"/>
      <c r="AT260" s="1155"/>
      <c r="AU260" s="1155"/>
      <c r="AV260" s="1155"/>
      <c r="AW260" s="1155"/>
      <c r="AX260" s="1155"/>
      <c r="AY260" s="1155"/>
      <c r="AZ260" s="1155"/>
      <c r="BA260" s="1155"/>
      <c r="BB260" s="1155"/>
      <c r="BC260" s="1155"/>
      <c r="BD260" s="1155"/>
      <c r="BE260" s="1155"/>
      <c r="BF260" s="1155"/>
      <c r="BG260" s="1155"/>
      <c r="BH260" s="1155"/>
      <c r="BI260" s="1155"/>
      <c r="BJ260" s="1155"/>
      <c r="BK260" s="1155"/>
      <c r="BL260" s="1155"/>
      <c r="BM260" s="1155"/>
      <c r="BN260" s="1155"/>
      <c r="BO260" s="1155"/>
      <c r="BP260" s="1155"/>
      <c r="BQ260" s="1155"/>
      <c r="BR260" s="1155"/>
      <c r="BS260" s="1155"/>
    </row>
    <row r="261" spans="5:71" s="474" customFormat="1" ht="12.75" customHeight="1">
      <c r="E261" s="4109"/>
      <c r="F261" s="1374" t="s">
        <v>588</v>
      </c>
      <c r="G261" s="1083"/>
      <c r="H261" s="1084"/>
      <c r="I261" s="1084"/>
      <c r="J261" s="1084"/>
      <c r="K261" s="1085"/>
      <c r="L261" s="255"/>
      <c r="M261" s="461">
        <v>2883</v>
      </c>
      <c r="N261" s="461"/>
      <c r="O261" s="461"/>
      <c r="P261" s="281"/>
      <c r="Q261" s="956"/>
      <c r="R261" s="461"/>
      <c r="S261" s="461"/>
      <c r="T261" s="461"/>
      <c r="U261" s="281"/>
      <c r="V261" s="1172"/>
      <c r="W261" s="255"/>
      <c r="X261" s="461"/>
      <c r="Y261" s="461"/>
      <c r="Z261" s="461"/>
      <c r="AA261" s="281"/>
      <c r="AB261" s="1041"/>
      <c r="AC261" s="255"/>
      <c r="AD261" s="461"/>
      <c r="AE261" s="461"/>
      <c r="AF261" s="461"/>
      <c r="AG261" s="461"/>
      <c r="AH261" s="1047"/>
      <c r="AI261" s="1172"/>
      <c r="AJ261" s="1155"/>
      <c r="AK261" s="1155"/>
      <c r="AL261" s="1083"/>
      <c r="AM261" s="1084"/>
      <c r="AN261" s="1084"/>
      <c r="AO261" s="1084"/>
      <c r="AP261" s="1085"/>
      <c r="AQ261" s="259"/>
      <c r="AR261" s="466"/>
      <c r="AS261" s="283"/>
      <c r="AT261" s="1155"/>
      <c r="AU261" s="1155"/>
      <c r="AV261" s="1155"/>
      <c r="AW261" s="1155"/>
      <c r="AX261" s="1155"/>
      <c r="AY261" s="1155"/>
      <c r="AZ261" s="1155"/>
      <c r="BA261" s="1155"/>
      <c r="BB261" s="1155"/>
      <c r="BC261" s="1155"/>
      <c r="BD261" s="1155"/>
      <c r="BE261" s="1155"/>
      <c r="BF261" s="1155"/>
      <c r="BG261" s="1155"/>
      <c r="BH261" s="1155"/>
      <c r="BI261" s="1155"/>
      <c r="BJ261" s="1155"/>
      <c r="BK261" s="1155"/>
      <c r="BL261" s="1155"/>
      <c r="BM261" s="1155"/>
      <c r="BN261" s="1155"/>
      <c r="BO261" s="1155"/>
      <c r="BP261" s="1155"/>
      <c r="BQ261" s="1155"/>
      <c r="BR261" s="1155"/>
      <c r="BS261" s="1155"/>
    </row>
    <row r="262" spans="5:71" s="474" customFormat="1" ht="12.75" customHeight="1">
      <c r="E262" s="4109"/>
      <c r="F262" s="1374" t="s">
        <v>589</v>
      </c>
      <c r="G262" s="1083"/>
      <c r="H262" s="1084"/>
      <c r="I262" s="1084"/>
      <c r="J262" s="1084"/>
      <c r="K262" s="1085"/>
      <c r="L262" s="255"/>
      <c r="M262" s="461">
        <v>0</v>
      </c>
      <c r="N262" s="461"/>
      <c r="O262" s="461"/>
      <c r="P262" s="281"/>
      <c r="Q262" s="956"/>
      <c r="R262" s="461"/>
      <c r="S262" s="461"/>
      <c r="T262" s="461"/>
      <c r="U262" s="281"/>
      <c r="V262" s="1172"/>
      <c r="W262" s="255"/>
      <c r="X262" s="461"/>
      <c r="Y262" s="461"/>
      <c r="Z262" s="461"/>
      <c r="AA262" s="281"/>
      <c r="AB262" s="1041"/>
      <c r="AC262" s="255"/>
      <c r="AD262" s="461"/>
      <c r="AE262" s="461"/>
      <c r="AF262" s="461"/>
      <c r="AG262" s="461"/>
      <c r="AH262" s="1047"/>
      <c r="AI262" s="1172"/>
      <c r="AJ262" s="1155"/>
      <c r="AK262" s="1155"/>
      <c r="AL262" s="1083"/>
      <c r="AM262" s="1084"/>
      <c r="AN262" s="1084"/>
      <c r="AO262" s="1084"/>
      <c r="AP262" s="1085"/>
      <c r="AQ262" s="259"/>
      <c r="AR262" s="466"/>
      <c r="AS262" s="283"/>
      <c r="AT262" s="1155"/>
      <c r="AU262" s="1155"/>
      <c r="AV262" s="1155"/>
      <c r="AW262" s="1155"/>
      <c r="AX262" s="1155"/>
      <c r="AY262" s="1155"/>
      <c r="AZ262" s="1155"/>
      <c r="BA262" s="1155"/>
      <c r="BB262" s="1155"/>
      <c r="BC262" s="1155"/>
      <c r="BD262" s="1155"/>
      <c r="BE262" s="1155"/>
      <c r="BF262" s="1155"/>
      <c r="BG262" s="1155"/>
      <c r="BH262" s="1155"/>
      <c r="BI262" s="1155"/>
      <c r="BJ262" s="1155"/>
      <c r="BK262" s="1155"/>
      <c r="BL262" s="1155"/>
      <c r="BM262" s="1155"/>
      <c r="BN262" s="1155"/>
      <c r="BO262" s="1155"/>
      <c r="BP262" s="1155"/>
      <c r="BQ262" s="1155"/>
      <c r="BR262" s="1155"/>
      <c r="BS262" s="1155"/>
    </row>
    <row r="263" spans="5:71" s="474" customFormat="1" ht="12.75" customHeight="1">
      <c r="E263" s="4109"/>
      <c r="F263" s="1374" t="s">
        <v>590</v>
      </c>
      <c r="G263" s="1083"/>
      <c r="H263" s="1084"/>
      <c r="I263" s="1084"/>
      <c r="J263" s="1084"/>
      <c r="K263" s="1085"/>
      <c r="L263" s="255"/>
      <c r="M263" s="461"/>
      <c r="N263" s="461"/>
      <c r="O263" s="461"/>
      <c r="P263" s="281"/>
      <c r="Q263" s="956"/>
      <c r="R263" s="461"/>
      <c r="S263" s="461"/>
      <c r="T263" s="461"/>
      <c r="U263" s="281"/>
      <c r="V263" s="1172"/>
      <c r="W263" s="255"/>
      <c r="X263" s="461"/>
      <c r="Y263" s="461"/>
      <c r="Z263" s="461"/>
      <c r="AA263" s="281"/>
      <c r="AB263" s="1041"/>
      <c r="AC263" s="255"/>
      <c r="AD263" s="461"/>
      <c r="AE263" s="461"/>
      <c r="AF263" s="461"/>
      <c r="AG263" s="461"/>
      <c r="AH263" s="1047"/>
      <c r="AI263" s="1172"/>
      <c r="AJ263" s="1155"/>
      <c r="AK263" s="1155"/>
      <c r="AL263" s="1083"/>
      <c r="AM263" s="1084"/>
      <c r="AN263" s="1084"/>
      <c r="AO263" s="1084"/>
      <c r="AP263" s="1085"/>
      <c r="AQ263" s="259"/>
      <c r="AR263" s="466"/>
      <c r="AS263" s="283"/>
      <c r="AT263" s="1155"/>
      <c r="AU263" s="1155"/>
      <c r="AV263" s="1155"/>
      <c r="AW263" s="1155"/>
      <c r="AX263" s="1155"/>
      <c r="AY263" s="1155"/>
      <c r="AZ263" s="1155"/>
      <c r="BA263" s="1155"/>
      <c r="BB263" s="1155"/>
      <c r="BC263" s="1155"/>
      <c r="BD263" s="1155"/>
      <c r="BE263" s="1155"/>
      <c r="BF263" s="1155"/>
      <c r="BG263" s="1155"/>
      <c r="BH263" s="1155"/>
      <c r="BI263" s="1155"/>
      <c r="BJ263" s="1155"/>
      <c r="BK263" s="1155"/>
      <c r="BL263" s="1155"/>
      <c r="BM263" s="1155"/>
      <c r="BN263" s="1155"/>
      <c r="BO263" s="1155"/>
      <c r="BP263" s="1155"/>
      <c r="BQ263" s="1155"/>
      <c r="BR263" s="1155"/>
      <c r="BS263" s="1155"/>
    </row>
    <row r="264" spans="5:71" s="474" customFormat="1" ht="12.75" customHeight="1">
      <c r="E264" s="4109"/>
      <c r="F264" s="1374" t="s">
        <v>591</v>
      </c>
      <c r="G264" s="1083"/>
      <c r="H264" s="1084"/>
      <c r="I264" s="1084"/>
      <c r="J264" s="1084"/>
      <c r="K264" s="1085"/>
      <c r="L264" s="255"/>
      <c r="M264" s="461"/>
      <c r="N264" s="461"/>
      <c r="O264" s="461"/>
      <c r="P264" s="281"/>
      <c r="Q264" s="956"/>
      <c r="R264" s="461"/>
      <c r="S264" s="461"/>
      <c r="T264" s="461"/>
      <c r="U264" s="281"/>
      <c r="V264" s="1172"/>
      <c r="W264" s="255"/>
      <c r="X264" s="461"/>
      <c r="Y264" s="461"/>
      <c r="Z264" s="461"/>
      <c r="AA264" s="281"/>
      <c r="AB264" s="1041"/>
      <c r="AC264" s="255"/>
      <c r="AD264" s="461"/>
      <c r="AE264" s="461"/>
      <c r="AF264" s="461"/>
      <c r="AG264" s="461"/>
      <c r="AH264" s="1047"/>
      <c r="AI264" s="1172"/>
      <c r="AJ264" s="1155"/>
      <c r="AK264" s="1155"/>
      <c r="AL264" s="1083"/>
      <c r="AM264" s="1084"/>
      <c r="AN264" s="1084"/>
      <c r="AO264" s="1084"/>
      <c r="AP264" s="1085"/>
      <c r="AQ264" s="259"/>
      <c r="AR264" s="466"/>
      <c r="AS264" s="283"/>
      <c r="AT264" s="1155"/>
      <c r="AU264" s="1155"/>
      <c r="AV264" s="1155"/>
      <c r="AW264" s="1155"/>
      <c r="AX264" s="1155"/>
      <c r="AY264" s="1155"/>
      <c r="AZ264" s="1155"/>
      <c r="BA264" s="1155"/>
      <c r="BB264" s="1155"/>
      <c r="BC264" s="1155"/>
      <c r="BD264" s="1155"/>
      <c r="BE264" s="1155"/>
      <c r="BF264" s="1155"/>
      <c r="BG264" s="1155"/>
      <c r="BH264" s="1155"/>
      <c r="BI264" s="1155"/>
      <c r="BJ264" s="1155"/>
      <c r="BK264" s="1155"/>
      <c r="BL264" s="1155"/>
      <c r="BM264" s="1155"/>
      <c r="BN264" s="1155"/>
      <c r="BO264" s="1155"/>
      <c r="BP264" s="1155"/>
      <c r="BQ264" s="1155"/>
      <c r="BR264" s="1155"/>
      <c r="BS264" s="1155"/>
    </row>
    <row r="265" spans="5:71" s="474" customFormat="1" ht="12.75" customHeight="1">
      <c r="E265" s="4109"/>
      <c r="F265" s="1374" t="s">
        <v>592</v>
      </c>
      <c r="G265" s="1083"/>
      <c r="H265" s="1084"/>
      <c r="I265" s="1084"/>
      <c r="J265" s="1084"/>
      <c r="K265" s="1085"/>
      <c r="L265" s="207"/>
      <c r="M265" s="456"/>
      <c r="N265" s="456"/>
      <c r="O265" s="456"/>
      <c r="P265" s="457"/>
      <c r="Q265" s="224"/>
      <c r="R265" s="456"/>
      <c r="S265" s="456"/>
      <c r="T265" s="456"/>
      <c r="U265" s="457"/>
      <c r="V265" s="1172"/>
      <c r="W265" s="207">
        <v>0</v>
      </c>
      <c r="X265" s="456">
        <v>0</v>
      </c>
      <c r="Y265" s="456">
        <v>0</v>
      </c>
      <c r="Z265" s="456">
        <v>0</v>
      </c>
      <c r="AA265" s="457">
        <v>0</v>
      </c>
      <c r="AB265" s="1041"/>
      <c r="AC265" s="207">
        <v>0</v>
      </c>
      <c r="AD265" s="456">
        <v>0</v>
      </c>
      <c r="AE265" s="456">
        <v>0</v>
      </c>
      <c r="AF265" s="456">
        <v>0</v>
      </c>
      <c r="AG265" s="456">
        <v>0</v>
      </c>
      <c r="AH265" s="1048"/>
      <c r="AI265" s="1172"/>
      <c r="AJ265" s="1155"/>
      <c r="AK265" s="1155"/>
      <c r="AL265" s="1083"/>
      <c r="AM265" s="1084"/>
      <c r="AN265" s="1084"/>
      <c r="AO265" s="1084"/>
      <c r="AP265" s="1085"/>
      <c r="AQ265" s="207">
        <f>SUM(AQ260:AQ264)</f>
        <v>0</v>
      </c>
      <c r="AR265" s="456">
        <f t="shared" ref="AR265" si="1072">SUM(AR260:AR264)</f>
        <v>0</v>
      </c>
      <c r="AS265" s="457"/>
      <c r="AT265" s="1155"/>
      <c r="AU265" s="1155"/>
      <c r="AV265" s="1155"/>
      <c r="AW265" s="1155"/>
      <c r="AX265" s="1155"/>
      <c r="AY265" s="1155"/>
      <c r="AZ265" s="1155"/>
      <c r="BA265" s="1155"/>
      <c r="BB265" s="1155"/>
      <c r="BC265" s="1155"/>
      <c r="BD265" s="1155"/>
      <c r="BE265" s="1155"/>
      <c r="BF265" s="1155"/>
      <c r="BG265" s="1155"/>
      <c r="BH265" s="1155"/>
      <c r="BI265" s="1155"/>
      <c r="BJ265" s="1155"/>
      <c r="BK265" s="1155"/>
      <c r="BL265" s="1155"/>
      <c r="BM265" s="1155"/>
      <c r="BN265" s="1155"/>
      <c r="BO265" s="1155"/>
      <c r="BP265" s="1155"/>
      <c r="BQ265" s="1155"/>
      <c r="BR265" s="1155"/>
      <c r="BS265" s="1155"/>
    </row>
    <row r="266" spans="5:71" s="474" customFormat="1">
      <c r="E266" s="4109"/>
      <c r="F266" s="1375" t="s">
        <v>587</v>
      </c>
      <c r="G266" s="1086"/>
      <c r="H266" s="1087"/>
      <c r="I266" s="1087"/>
      <c r="J266" s="1087"/>
      <c r="K266" s="1088"/>
      <c r="L266" s="258">
        <f>SUM(L261:L265)</f>
        <v>0</v>
      </c>
      <c r="M266" s="465">
        <f t="shared" ref="M266" si="1073">SUM(M261:M265)</f>
        <v>2883</v>
      </c>
      <c r="N266" s="465">
        <f t="shared" ref="N266" si="1074">SUM(N261:N265)</f>
        <v>0</v>
      </c>
      <c r="O266" s="465">
        <f t="shared" ref="O266" si="1075">SUM(O261:O265)</f>
        <v>0</v>
      </c>
      <c r="P266" s="282">
        <f t="shared" ref="P266" si="1076">SUM(P261:P265)</f>
        <v>0</v>
      </c>
      <c r="Q266" s="965">
        <f t="shared" ref="Q266" si="1077">SUM(Q261:Q265)</f>
        <v>0</v>
      </c>
      <c r="R266" s="465">
        <f t="shared" ref="R266" si="1078">SUM(R261:R265)</f>
        <v>0</v>
      </c>
      <c r="S266" s="465">
        <f t="shared" ref="S266" si="1079">SUM(S261:S265)</f>
        <v>0</v>
      </c>
      <c r="T266" s="465">
        <f t="shared" ref="T266" si="1080">SUM(T261:T265)</f>
        <v>0</v>
      </c>
      <c r="U266" s="282">
        <f t="shared" ref="U266" si="1081">SUM(U261:U265)</f>
        <v>0</v>
      </c>
      <c r="V266" s="1172"/>
      <c r="W266" s="258">
        <f t="shared" ref="W266" si="1082">SUM(W261:W265)</f>
        <v>0</v>
      </c>
      <c r="X266" s="465">
        <f t="shared" ref="X266" si="1083">SUM(X261:X265)</f>
        <v>0</v>
      </c>
      <c r="Y266" s="465">
        <f t="shared" ref="Y266" si="1084">SUM(Y261:Y265)</f>
        <v>0</v>
      </c>
      <c r="Z266" s="465">
        <f t="shared" ref="Z266" si="1085">SUM(Z261:Z265)</f>
        <v>0</v>
      </c>
      <c r="AA266" s="282">
        <f t="shared" ref="AA266" si="1086">SUM(AA261:AA265)</f>
        <v>0</v>
      </c>
      <c r="AB266" s="992"/>
      <c r="AC266" s="258">
        <f t="shared" ref="AC266" si="1087">SUM(AC261:AC265)</f>
        <v>0</v>
      </c>
      <c r="AD266" s="465">
        <f t="shared" ref="AD266" si="1088">SUM(AD261:AD265)</f>
        <v>0</v>
      </c>
      <c r="AE266" s="465">
        <f t="shared" ref="AE266" si="1089">SUM(AE261:AE265)</f>
        <v>0</v>
      </c>
      <c r="AF266" s="465">
        <f t="shared" ref="AF266" si="1090">SUM(AF261:AF265)</f>
        <v>0</v>
      </c>
      <c r="AG266" s="465">
        <f t="shared" ref="AG266" si="1091">SUM(AG261:AG265)</f>
        <v>0</v>
      </c>
      <c r="AH266" s="1049"/>
      <c r="AI266" s="1172"/>
      <c r="AJ266" s="1155"/>
      <c r="AK266" s="1155"/>
      <c r="AL266" s="1086"/>
      <c r="AM266" s="1087"/>
      <c r="AN266" s="1087"/>
      <c r="AO266" s="1087"/>
      <c r="AP266" s="1088"/>
      <c r="AQ266" s="258"/>
      <c r="AR266" s="465"/>
      <c r="AS266" s="282"/>
      <c r="AT266" s="1155"/>
      <c r="AU266" s="1155"/>
      <c r="AV266" s="1155"/>
      <c r="AW266" s="1155"/>
      <c r="AX266" s="1155"/>
      <c r="AY266" s="1155"/>
      <c r="AZ266" s="1155"/>
      <c r="BA266" s="1155"/>
      <c r="BB266" s="1155"/>
      <c r="BC266" s="1155"/>
      <c r="BD266" s="1155"/>
      <c r="BE266" s="1155"/>
      <c r="BF266" s="1155"/>
      <c r="BG266" s="1155"/>
      <c r="BH266" s="1155"/>
      <c r="BI266" s="1155"/>
      <c r="BJ266" s="1155"/>
      <c r="BK266" s="1155"/>
      <c r="BL266" s="1155"/>
      <c r="BM266" s="1155"/>
      <c r="BN266" s="1155"/>
      <c r="BO266" s="1155"/>
      <c r="BP266" s="1155"/>
      <c r="BQ266" s="1155"/>
      <c r="BR266" s="1155"/>
      <c r="BS266" s="1155"/>
    </row>
    <row r="267" spans="5:71" s="474" customFormat="1">
      <c r="E267" s="4109"/>
      <c r="F267" s="1376" t="s">
        <v>593</v>
      </c>
      <c r="G267" s="1083"/>
      <c r="H267" s="1084"/>
      <c r="I267" s="1084"/>
      <c r="J267" s="1084"/>
      <c r="K267" s="1085"/>
      <c r="L267" s="255"/>
      <c r="M267" s="461"/>
      <c r="N267" s="461"/>
      <c r="O267" s="461"/>
      <c r="P267" s="281"/>
      <c r="Q267" s="956"/>
      <c r="R267" s="461"/>
      <c r="S267" s="461"/>
      <c r="T267" s="461"/>
      <c r="U267" s="281"/>
      <c r="V267" s="1172"/>
      <c r="W267" s="255"/>
      <c r="X267" s="461"/>
      <c r="Y267" s="461"/>
      <c r="Z267" s="461"/>
      <c r="AA267" s="281"/>
      <c r="AB267" s="1041"/>
      <c r="AC267" s="255"/>
      <c r="AD267" s="461"/>
      <c r="AE267" s="461"/>
      <c r="AF267" s="461"/>
      <c r="AG267" s="461"/>
      <c r="AH267" s="1047"/>
      <c r="AI267" s="1172"/>
      <c r="AJ267" s="1155"/>
      <c r="AK267" s="1155"/>
      <c r="AL267" s="1083"/>
      <c r="AM267" s="1084"/>
      <c r="AN267" s="1084"/>
      <c r="AO267" s="1084"/>
      <c r="AP267" s="1085"/>
      <c r="AQ267" s="259"/>
      <c r="AR267" s="466"/>
      <c r="AS267" s="283"/>
      <c r="AT267" s="1155"/>
      <c r="AU267" s="1155"/>
      <c r="AV267" s="1155"/>
      <c r="AW267" s="1155"/>
      <c r="AX267" s="1155"/>
      <c r="AY267" s="1155"/>
      <c r="AZ267" s="1155"/>
      <c r="BA267" s="1155"/>
      <c r="BB267" s="1155"/>
      <c r="BC267" s="1155"/>
      <c r="BD267" s="1155"/>
      <c r="BE267" s="1155"/>
      <c r="BF267" s="1155"/>
      <c r="BG267" s="1155"/>
      <c r="BH267" s="1155"/>
      <c r="BI267" s="1155"/>
      <c r="BJ267" s="1155"/>
      <c r="BK267" s="1155"/>
      <c r="BL267" s="1155"/>
      <c r="BM267" s="1155"/>
      <c r="BN267" s="1155"/>
      <c r="BO267" s="1155"/>
      <c r="BP267" s="1155"/>
      <c r="BQ267" s="1155"/>
      <c r="BR267" s="1155"/>
      <c r="BS267" s="1155"/>
    </row>
    <row r="268" spans="5:71" s="474" customFormat="1">
      <c r="E268" s="4109"/>
      <c r="F268" s="431" t="s">
        <v>558</v>
      </c>
      <c r="G268" s="1083"/>
      <c r="H268" s="1084"/>
      <c r="I268" s="1084"/>
      <c r="J268" s="1084"/>
      <c r="K268" s="1085"/>
      <c r="L268" s="255"/>
      <c r="M268" s="461">
        <v>438080.66000000003</v>
      </c>
      <c r="N268" s="461"/>
      <c r="O268" s="461"/>
      <c r="P268" s="281"/>
      <c r="Q268" s="956"/>
      <c r="R268" s="461"/>
      <c r="S268" s="461"/>
      <c r="T268" s="461"/>
      <c r="U268" s="281"/>
      <c r="V268" s="1172"/>
      <c r="W268" s="255"/>
      <c r="X268" s="461"/>
      <c r="Y268" s="461"/>
      <c r="Z268" s="461"/>
      <c r="AA268" s="281"/>
      <c r="AB268" s="1041"/>
      <c r="AC268" s="255"/>
      <c r="AD268" s="461"/>
      <c r="AE268" s="461"/>
      <c r="AF268" s="461"/>
      <c r="AG268" s="461"/>
      <c r="AH268" s="1047"/>
      <c r="AI268" s="1172"/>
      <c r="AJ268" s="1155"/>
      <c r="AK268" s="1155"/>
      <c r="AL268" s="1083"/>
      <c r="AM268" s="1084"/>
      <c r="AN268" s="1084"/>
      <c r="AO268" s="1084"/>
      <c r="AP268" s="1085"/>
      <c r="AQ268" s="259"/>
      <c r="AR268" s="466"/>
      <c r="AS268" s="283"/>
      <c r="AT268" s="1155"/>
      <c r="AU268" s="1155"/>
      <c r="AV268" s="1155"/>
      <c r="AW268" s="1155"/>
      <c r="AX268" s="1155"/>
      <c r="AY268" s="1155"/>
      <c r="AZ268" s="1155"/>
      <c r="BA268" s="1155"/>
      <c r="BB268" s="1155"/>
      <c r="BC268" s="1155"/>
      <c r="BD268" s="1155"/>
      <c r="BE268" s="1155"/>
      <c r="BF268" s="1155"/>
      <c r="BG268" s="1155"/>
      <c r="BH268" s="1155"/>
      <c r="BI268" s="1155"/>
      <c r="BJ268" s="1155"/>
      <c r="BK268" s="1155"/>
      <c r="BL268" s="1155"/>
      <c r="BM268" s="1155"/>
      <c r="BN268" s="1155"/>
      <c r="BO268" s="1155"/>
      <c r="BP268" s="1155"/>
      <c r="BQ268" s="1155"/>
      <c r="BR268" s="1155"/>
      <c r="BS268" s="1155"/>
    </row>
    <row r="269" spans="5:71" s="474" customFormat="1">
      <c r="E269" s="4109"/>
      <c r="F269" s="431" t="s">
        <v>559</v>
      </c>
      <c r="G269" s="1083"/>
      <c r="H269" s="1084"/>
      <c r="I269" s="1084"/>
      <c r="J269" s="1084"/>
      <c r="K269" s="1085"/>
      <c r="L269" s="255"/>
      <c r="M269" s="461"/>
      <c r="N269" s="461"/>
      <c r="O269" s="461"/>
      <c r="P269" s="281"/>
      <c r="Q269" s="956"/>
      <c r="R269" s="461"/>
      <c r="S269" s="461"/>
      <c r="T269" s="461"/>
      <c r="U269" s="281"/>
      <c r="V269" s="1172"/>
      <c r="W269" s="255"/>
      <c r="X269" s="461"/>
      <c r="Y269" s="461"/>
      <c r="Z269" s="461"/>
      <c r="AA269" s="281"/>
      <c r="AB269" s="1041"/>
      <c r="AC269" s="255"/>
      <c r="AD269" s="461"/>
      <c r="AE269" s="461"/>
      <c r="AF269" s="461"/>
      <c r="AG269" s="461"/>
      <c r="AH269" s="1047"/>
      <c r="AI269" s="1172"/>
      <c r="AJ269" s="1155"/>
      <c r="AK269" s="1155"/>
      <c r="AL269" s="1083"/>
      <c r="AM269" s="1084"/>
      <c r="AN269" s="1084"/>
      <c r="AO269" s="1084"/>
      <c r="AP269" s="1085"/>
      <c r="AQ269" s="259"/>
      <c r="AR269" s="466"/>
      <c r="AS269" s="283"/>
      <c r="AT269" s="1155"/>
      <c r="AU269" s="1155"/>
      <c r="AV269" s="1155"/>
      <c r="AW269" s="1155"/>
      <c r="AX269" s="1155"/>
      <c r="AY269" s="1155"/>
      <c r="AZ269" s="1155"/>
      <c r="BA269" s="1155"/>
      <c r="BB269" s="1155"/>
      <c r="BC269" s="1155"/>
      <c r="BD269" s="1155"/>
      <c r="BE269" s="1155"/>
      <c r="BF269" s="1155"/>
      <c r="BG269" s="1155"/>
      <c r="BH269" s="1155"/>
      <c r="BI269" s="1155"/>
      <c r="BJ269" s="1155"/>
      <c r="BK269" s="1155"/>
      <c r="BL269" s="1155"/>
      <c r="BM269" s="1155"/>
      <c r="BN269" s="1155"/>
      <c r="BO269" s="1155"/>
      <c r="BP269" s="1155"/>
      <c r="BQ269" s="1155"/>
      <c r="BR269" s="1155"/>
      <c r="BS269" s="1155"/>
    </row>
    <row r="270" spans="5:71" s="474" customFormat="1">
      <c r="E270" s="4109"/>
      <c r="F270" s="431" t="s">
        <v>578</v>
      </c>
      <c r="G270" s="1089"/>
      <c r="H270" s="1090"/>
      <c r="I270" s="1090"/>
      <c r="J270" s="1090"/>
      <c r="K270" s="1091"/>
      <c r="L270" s="259"/>
      <c r="M270" s="456"/>
      <c r="N270" s="456"/>
      <c r="O270" s="456"/>
      <c r="P270" s="457"/>
      <c r="Q270" s="224"/>
      <c r="R270" s="456"/>
      <c r="S270" s="456"/>
      <c r="T270" s="456"/>
      <c r="U270" s="457"/>
      <c r="V270" s="1172"/>
      <c r="W270" s="207"/>
      <c r="X270" s="456"/>
      <c r="Y270" s="456"/>
      <c r="Z270" s="456"/>
      <c r="AA270" s="457"/>
      <c r="AB270" s="1041"/>
      <c r="AC270" s="207"/>
      <c r="AD270" s="456"/>
      <c r="AE270" s="456"/>
      <c r="AF270" s="456"/>
      <c r="AG270" s="456"/>
      <c r="AH270" s="1048"/>
      <c r="AI270" s="1172"/>
      <c r="AJ270" s="1155"/>
      <c r="AK270" s="1155"/>
      <c r="AL270" s="1089"/>
      <c r="AM270" s="1090"/>
      <c r="AN270" s="1090"/>
      <c r="AO270" s="1090"/>
      <c r="AP270" s="1091"/>
      <c r="AQ270" s="259"/>
      <c r="AR270" s="456"/>
      <c r="AS270" s="457"/>
      <c r="AT270" s="1155"/>
      <c r="AU270" s="1155"/>
      <c r="AV270" s="1155"/>
      <c r="AW270" s="1155"/>
      <c r="AX270" s="1155"/>
      <c r="AY270" s="1155"/>
      <c r="AZ270" s="1155"/>
      <c r="BA270" s="1155"/>
      <c r="BB270" s="1155"/>
      <c r="BC270" s="1155"/>
      <c r="BD270" s="1155"/>
      <c r="BE270" s="1155"/>
      <c r="BF270" s="1155"/>
      <c r="BG270" s="1155"/>
      <c r="BH270" s="1155"/>
      <c r="BI270" s="1155"/>
      <c r="BJ270" s="1155"/>
      <c r="BK270" s="1155"/>
      <c r="BL270" s="1155"/>
      <c r="BM270" s="1155"/>
      <c r="BN270" s="1155"/>
      <c r="BO270" s="1155"/>
      <c r="BP270" s="1155"/>
      <c r="BQ270" s="1155"/>
      <c r="BR270" s="1155"/>
      <c r="BS270" s="1155"/>
    </row>
    <row r="271" spans="5:71" s="474" customFormat="1">
      <c r="E271" s="4109"/>
      <c r="F271" s="1377" t="s">
        <v>579</v>
      </c>
      <c r="G271" s="1086"/>
      <c r="H271" s="1087"/>
      <c r="I271" s="1087"/>
      <c r="J271" s="1087"/>
      <c r="K271" s="1088"/>
      <c r="L271" s="258">
        <f>SUM(L267:L270)</f>
        <v>0</v>
      </c>
      <c r="M271" s="465">
        <f t="shared" ref="M271" si="1092">SUM(M267:M270)</f>
        <v>438080.66000000003</v>
      </c>
      <c r="N271" s="465">
        <f t="shared" ref="N271" si="1093">SUM(N267:N270)</f>
        <v>0</v>
      </c>
      <c r="O271" s="465">
        <f t="shared" ref="O271" si="1094">SUM(O267:O270)</f>
        <v>0</v>
      </c>
      <c r="P271" s="282">
        <f t="shared" ref="P271" si="1095">SUM(P267:P270)</f>
        <v>0</v>
      </c>
      <c r="Q271" s="965">
        <f t="shared" ref="Q271" si="1096">SUM(Q267:Q270)</f>
        <v>0</v>
      </c>
      <c r="R271" s="465">
        <f t="shared" ref="R271" si="1097">SUM(R267:R270)</f>
        <v>0</v>
      </c>
      <c r="S271" s="465">
        <f t="shared" ref="S271" si="1098">SUM(S267:S270)</f>
        <v>0</v>
      </c>
      <c r="T271" s="465">
        <f t="shared" ref="T271" si="1099">SUM(T267:T270)</f>
        <v>0</v>
      </c>
      <c r="U271" s="282">
        <f t="shared" ref="U271" si="1100">SUM(U267:U270)</f>
        <v>0</v>
      </c>
      <c r="V271" s="1172"/>
      <c r="W271" s="258">
        <f t="shared" ref="W271" si="1101">SUM(W267:W270)</f>
        <v>0</v>
      </c>
      <c r="X271" s="465">
        <f t="shared" ref="X271" si="1102">SUM(X267:X270)</f>
        <v>0</v>
      </c>
      <c r="Y271" s="465">
        <f t="shared" ref="Y271" si="1103">SUM(Y267:Y270)</f>
        <v>0</v>
      </c>
      <c r="Z271" s="465">
        <f t="shared" ref="Z271" si="1104">SUM(Z267:Z270)</f>
        <v>0</v>
      </c>
      <c r="AA271" s="282">
        <f t="shared" ref="AA271" si="1105">SUM(AA267:AA270)</f>
        <v>0</v>
      </c>
      <c r="AB271" s="992"/>
      <c r="AC271" s="258">
        <f t="shared" ref="AC271" si="1106">SUM(AC267:AC270)</f>
        <v>0</v>
      </c>
      <c r="AD271" s="465">
        <f t="shared" ref="AD271" si="1107">SUM(AD267:AD270)</f>
        <v>0</v>
      </c>
      <c r="AE271" s="465">
        <f t="shared" ref="AE271" si="1108">SUM(AE267:AE270)</f>
        <v>0</v>
      </c>
      <c r="AF271" s="465">
        <f t="shared" ref="AF271" si="1109">SUM(AF267:AF270)</f>
        <v>0</v>
      </c>
      <c r="AG271" s="465">
        <f t="shared" ref="AG271" si="1110">SUM(AG267:AG270)</f>
        <v>0</v>
      </c>
      <c r="AH271" s="1049"/>
      <c r="AI271" s="1172"/>
      <c r="AJ271" s="1155"/>
      <c r="AK271" s="1155"/>
      <c r="AL271" s="1086"/>
      <c r="AM271" s="1087"/>
      <c r="AN271" s="1087"/>
      <c r="AO271" s="1087"/>
      <c r="AP271" s="1088"/>
      <c r="AQ271" s="258">
        <f>SUM(AQ268:AQ270)</f>
        <v>0</v>
      </c>
      <c r="AR271" s="465">
        <f t="shared" ref="AR271" si="1111">SUM(AR268:AR270)</f>
        <v>0</v>
      </c>
      <c r="AS271" s="282"/>
      <c r="AT271" s="1155"/>
      <c r="AU271" s="1155"/>
      <c r="AV271" s="1155"/>
      <c r="AW271" s="1155"/>
      <c r="AX271" s="1155"/>
      <c r="AY271" s="1155"/>
      <c r="AZ271" s="1155"/>
      <c r="BA271" s="1155"/>
      <c r="BB271" s="1155"/>
      <c r="BC271" s="1155"/>
      <c r="BD271" s="1155"/>
      <c r="BE271" s="1155"/>
      <c r="BF271" s="1155"/>
      <c r="BG271" s="1155"/>
      <c r="BH271" s="1155"/>
      <c r="BI271" s="1155"/>
      <c r="BJ271" s="1155"/>
      <c r="BK271" s="1155"/>
      <c r="BL271" s="1155"/>
      <c r="BM271" s="1155"/>
      <c r="BN271" s="1155"/>
      <c r="BO271" s="1155"/>
      <c r="BP271" s="1155"/>
      <c r="BQ271" s="1155"/>
      <c r="BR271" s="1155"/>
      <c r="BS271" s="1155"/>
    </row>
    <row r="272" spans="5:71" s="474" customFormat="1" ht="13.5" thickBot="1">
      <c r="E272" s="4109"/>
      <c r="F272" s="1385" t="s">
        <v>583</v>
      </c>
      <c r="G272" s="255"/>
      <c r="H272" s="461"/>
      <c r="I272" s="461"/>
      <c r="J272" s="461"/>
      <c r="K272" s="281"/>
      <c r="L272" s="207"/>
      <c r="M272" s="456"/>
      <c r="N272" s="456"/>
      <c r="O272" s="456"/>
      <c r="P272" s="457"/>
      <c r="Q272" s="224"/>
      <c r="R272" s="456"/>
      <c r="S272" s="456"/>
      <c r="T272" s="456"/>
      <c r="U272" s="457"/>
      <c r="V272" s="1172"/>
      <c r="W272" s="207"/>
      <c r="X272" s="461"/>
      <c r="Y272" s="461"/>
      <c r="Z272" s="461"/>
      <c r="AA272" s="281"/>
      <c r="AB272" s="1041"/>
      <c r="AC272" s="207"/>
      <c r="AD272" s="456"/>
      <c r="AE272" s="456"/>
      <c r="AF272" s="456"/>
      <c r="AG272" s="456"/>
      <c r="AH272" s="1048"/>
      <c r="AI272" s="1172"/>
      <c r="AJ272" s="1155"/>
      <c r="AK272" s="1155"/>
      <c r="AL272" s="259"/>
      <c r="AM272" s="466"/>
      <c r="AN272" s="466"/>
      <c r="AO272" s="466"/>
      <c r="AP272" s="283"/>
      <c r="AQ272" s="259"/>
      <c r="AR272" s="466"/>
      <c r="AS272" s="283"/>
      <c r="AT272" s="1155"/>
      <c r="AU272" s="1155"/>
      <c r="AV272" s="1155"/>
      <c r="AW272" s="1155"/>
      <c r="AX272" s="1155"/>
      <c r="AY272" s="1155"/>
      <c r="AZ272" s="1155"/>
      <c r="BA272" s="1155"/>
      <c r="BB272" s="1155"/>
      <c r="BC272" s="1155"/>
      <c r="BD272" s="1155"/>
      <c r="BE272" s="1155"/>
      <c r="BF272" s="1155"/>
      <c r="BG272" s="1155"/>
      <c r="BH272" s="1155"/>
      <c r="BI272" s="1155"/>
      <c r="BJ272" s="1155"/>
      <c r="BK272" s="1155"/>
      <c r="BL272" s="1155"/>
      <c r="BM272" s="1155"/>
      <c r="BN272" s="1155"/>
      <c r="BO272" s="1155"/>
      <c r="BP272" s="1155"/>
      <c r="BQ272" s="1155"/>
      <c r="BR272" s="1155"/>
      <c r="BS272" s="1155"/>
    </row>
    <row r="273" spans="5:71" s="474" customFormat="1" ht="13.5" thickBot="1">
      <c r="E273" s="4109"/>
      <c r="F273" s="1384" t="s">
        <v>581</v>
      </c>
      <c r="G273" s="1599"/>
      <c r="H273" s="1600"/>
      <c r="I273" s="1600"/>
      <c r="J273" s="1600"/>
      <c r="K273" s="1601"/>
      <c r="L273" s="1599"/>
      <c r="M273" s="1600"/>
      <c r="N273" s="1600"/>
      <c r="O273" s="1600"/>
      <c r="P273" s="1601"/>
      <c r="Q273" s="1602"/>
      <c r="R273" s="1600"/>
      <c r="S273" s="1600"/>
      <c r="T273" s="1600"/>
      <c r="U273" s="1601"/>
      <c r="V273" s="1172"/>
      <c r="W273" s="1614"/>
      <c r="X273" s="1615"/>
      <c r="Y273" s="1615"/>
      <c r="Z273" s="1615"/>
      <c r="AA273" s="1615"/>
      <c r="AB273" s="1615"/>
      <c r="AC273" s="1615"/>
      <c r="AD273" s="1615"/>
      <c r="AE273" s="1615"/>
      <c r="AF273" s="1615"/>
      <c r="AG273" s="1615"/>
      <c r="AH273" s="1616"/>
      <c r="AI273" s="1172"/>
      <c r="AJ273" s="1155"/>
      <c r="AK273" s="1155"/>
      <c r="AL273" s="259"/>
      <c r="AM273" s="466"/>
      <c r="AN273" s="466"/>
      <c r="AO273" s="466"/>
      <c r="AP273" s="283"/>
      <c r="AQ273" s="259"/>
      <c r="AR273" s="466"/>
      <c r="AS273" s="283"/>
      <c r="AT273" s="1155"/>
      <c r="AU273" s="1155"/>
      <c r="AV273" s="1155"/>
      <c r="AW273" s="1155"/>
      <c r="AX273" s="1155"/>
      <c r="AY273" s="1155"/>
      <c r="AZ273" s="1155"/>
      <c r="BA273" s="1155"/>
      <c r="BB273" s="1155"/>
      <c r="BC273" s="1155"/>
      <c r="BD273" s="1155"/>
      <c r="BE273" s="1155"/>
      <c r="BF273" s="1155"/>
      <c r="BG273" s="1155"/>
      <c r="BH273" s="1155"/>
      <c r="BI273" s="1155"/>
      <c r="BJ273" s="1155"/>
      <c r="BK273" s="1155"/>
      <c r="BL273" s="1155"/>
      <c r="BM273" s="1155"/>
      <c r="BN273" s="1155"/>
      <c r="BO273" s="1155"/>
      <c r="BP273" s="1155"/>
      <c r="BQ273" s="1155"/>
      <c r="BR273" s="1155"/>
      <c r="BS273" s="1155"/>
    </row>
    <row r="274" spans="5:71" s="474" customFormat="1">
      <c r="E274" s="4109"/>
      <c r="F274" s="1386" t="s">
        <v>584</v>
      </c>
      <c r="G274" s="1050">
        <v>0</v>
      </c>
      <c r="H274" s="1051">
        <v>0</v>
      </c>
      <c r="I274" s="1051">
        <v>0</v>
      </c>
      <c r="J274" s="1051">
        <v>0</v>
      </c>
      <c r="K274" s="1052">
        <v>0</v>
      </c>
      <c r="L274" s="1050">
        <f>SUM(L271:L273)</f>
        <v>0</v>
      </c>
      <c r="M274" s="1051">
        <f t="shared" ref="M274" si="1112">SUM(M271:M273)</f>
        <v>438080.66000000003</v>
      </c>
      <c r="N274" s="1051">
        <f t="shared" ref="N274" si="1113">SUM(N271:N273)</f>
        <v>0</v>
      </c>
      <c r="O274" s="1051">
        <f t="shared" ref="O274" si="1114">SUM(O271:O273)</f>
        <v>0</v>
      </c>
      <c r="P274" s="1052">
        <f t="shared" ref="P274" si="1115">SUM(P271:P273)</f>
        <v>0</v>
      </c>
      <c r="Q274" s="1092">
        <f t="shared" ref="Q274" si="1116">SUM(Q271:Q273)</f>
        <v>0</v>
      </c>
      <c r="R274" s="1051">
        <f t="shared" ref="R274" si="1117">SUM(R271:R273)</f>
        <v>0</v>
      </c>
      <c r="S274" s="1051">
        <f t="shared" ref="S274" si="1118">SUM(S271:S273)</f>
        <v>0</v>
      </c>
      <c r="T274" s="1051">
        <f t="shared" ref="T274" si="1119">SUM(T271:T273)</f>
        <v>0</v>
      </c>
      <c r="U274" s="1052">
        <f t="shared" ref="U274" si="1120">SUM(U271:U273)</f>
        <v>0</v>
      </c>
      <c r="V274" s="1172"/>
      <c r="W274" s="1050">
        <f t="shared" ref="W274" si="1121">SUM(W271:W273)</f>
        <v>0</v>
      </c>
      <c r="X274" s="1051">
        <f t="shared" ref="X274" si="1122">SUM(X271:X273)</f>
        <v>0</v>
      </c>
      <c r="Y274" s="1051">
        <f t="shared" ref="Y274" si="1123">SUM(Y271:Y273)</f>
        <v>0</v>
      </c>
      <c r="Z274" s="1051">
        <f t="shared" ref="Z274" si="1124">SUM(Z271:Z273)</f>
        <v>0</v>
      </c>
      <c r="AA274" s="1052">
        <f t="shared" ref="AA274" si="1125">SUM(AA271:AA273)</f>
        <v>0</v>
      </c>
      <c r="AB274" s="1053"/>
      <c r="AC274" s="1050">
        <f t="shared" ref="AC274" si="1126">SUM(AC271:AC273)</f>
        <v>0</v>
      </c>
      <c r="AD274" s="1051">
        <f t="shared" ref="AD274" si="1127">SUM(AD271:AD273)</f>
        <v>0</v>
      </c>
      <c r="AE274" s="1051">
        <f t="shared" ref="AE274" si="1128">SUM(AE271:AE273)</f>
        <v>0</v>
      </c>
      <c r="AF274" s="1051">
        <f t="shared" ref="AF274" si="1129">SUM(AF271:AF273)</f>
        <v>0</v>
      </c>
      <c r="AG274" s="1051">
        <f t="shared" ref="AG274" si="1130">SUM(AG271:AG273)</f>
        <v>0</v>
      </c>
      <c r="AH274" s="1054"/>
      <c r="AI274" s="1172"/>
      <c r="AJ274" s="130"/>
      <c r="AK274" s="130"/>
      <c r="AL274" s="1050">
        <f t="shared" ref="AL274:AR274" si="1131">SUM(AL272:AL273)</f>
        <v>0</v>
      </c>
      <c r="AM274" s="1051">
        <f t="shared" si="1131"/>
        <v>0</v>
      </c>
      <c r="AN274" s="1051">
        <f t="shared" si="1131"/>
        <v>0</v>
      </c>
      <c r="AO274" s="1051">
        <f t="shared" si="1131"/>
        <v>0</v>
      </c>
      <c r="AP274" s="1052">
        <f t="shared" si="1131"/>
        <v>0</v>
      </c>
      <c r="AQ274" s="1050">
        <f t="shared" si="1131"/>
        <v>0</v>
      </c>
      <c r="AR274" s="1051">
        <f t="shared" si="1131"/>
        <v>0</v>
      </c>
      <c r="AS274" s="1052"/>
      <c r="AT274" s="130"/>
      <c r="AU274" s="130"/>
      <c r="AV274" s="130"/>
      <c r="AW274" s="130"/>
      <c r="AX274" s="130"/>
      <c r="AY274" s="130"/>
      <c r="AZ274" s="130"/>
      <c r="BA274" s="130"/>
      <c r="BB274" s="130"/>
      <c r="BC274" s="130"/>
      <c r="BD274" s="130"/>
      <c r="BE274" s="130"/>
      <c r="BF274" s="130"/>
      <c r="BG274" s="130"/>
      <c r="BH274" s="130"/>
      <c r="BI274" s="130"/>
      <c r="BJ274" s="130"/>
      <c r="BK274" s="130"/>
      <c r="BL274" s="130"/>
      <c r="BM274" s="130"/>
      <c r="BN274" s="130"/>
      <c r="BO274" s="130"/>
      <c r="BP274" s="130"/>
      <c r="BQ274" s="130"/>
      <c r="BR274" s="130"/>
      <c r="BS274" s="1155"/>
    </row>
    <row r="275" spans="5:71" s="474" customFormat="1">
      <c r="E275" s="4109"/>
      <c r="F275" s="1388" t="s">
        <v>35</v>
      </c>
      <c r="G275" s="255"/>
      <c r="H275" s="461"/>
      <c r="I275" s="461"/>
      <c r="J275" s="461"/>
      <c r="K275" s="281"/>
      <c r="L275" s="255"/>
      <c r="M275" s="461"/>
      <c r="N275" s="461"/>
      <c r="O275" s="461"/>
      <c r="P275" s="281"/>
      <c r="Q275" s="956"/>
      <c r="R275" s="461"/>
      <c r="S275" s="461"/>
      <c r="T275" s="461"/>
      <c r="U275" s="281"/>
      <c r="V275" s="1172"/>
      <c r="W275" s="255"/>
      <c r="X275" s="461"/>
      <c r="Y275" s="461"/>
      <c r="Z275" s="461"/>
      <c r="AA275" s="281"/>
      <c r="AB275" s="1004"/>
      <c r="AC275" s="255"/>
      <c r="AD275" s="461"/>
      <c r="AE275" s="461"/>
      <c r="AF275" s="461"/>
      <c r="AG275" s="461"/>
      <c r="AH275" s="1047"/>
      <c r="AI275" s="1172"/>
      <c r="AJ275" s="1155"/>
      <c r="AK275" s="1155"/>
      <c r="AL275" s="259"/>
      <c r="AM275" s="466"/>
      <c r="AN275" s="466"/>
      <c r="AO275" s="466"/>
      <c r="AP275" s="283"/>
      <c r="AQ275" s="259"/>
      <c r="AR275" s="466"/>
      <c r="AS275" s="283"/>
      <c r="AT275" s="1155"/>
      <c r="AU275" s="1155"/>
      <c r="AV275" s="1155"/>
      <c r="AW275" s="1155"/>
      <c r="AX275" s="1155"/>
      <c r="AY275" s="1155"/>
      <c r="AZ275" s="1155"/>
      <c r="BA275" s="1155"/>
      <c r="BB275" s="1155"/>
      <c r="BC275" s="1155"/>
      <c r="BD275" s="1155"/>
      <c r="BE275" s="1155"/>
      <c r="BF275" s="1155"/>
      <c r="BG275" s="1155"/>
      <c r="BH275" s="1155"/>
      <c r="BI275" s="1155"/>
      <c r="BJ275" s="1155"/>
      <c r="BK275" s="1155"/>
      <c r="BL275" s="1155"/>
      <c r="BM275" s="1155"/>
      <c r="BN275" s="1155"/>
      <c r="BO275" s="1155"/>
      <c r="BP275" s="1155"/>
      <c r="BQ275" s="1155"/>
      <c r="BR275" s="1155"/>
      <c r="BS275" s="1155"/>
    </row>
    <row r="276" spans="5:71" s="474" customFormat="1" ht="13.5" thickBot="1">
      <c r="E276" s="4109"/>
      <c r="F276" s="1387" t="s">
        <v>585</v>
      </c>
      <c r="G276" s="1055">
        <v>0</v>
      </c>
      <c r="H276" s="1056">
        <v>0</v>
      </c>
      <c r="I276" s="1056">
        <v>0</v>
      </c>
      <c r="J276" s="1056">
        <v>0</v>
      </c>
      <c r="K276" s="1057">
        <v>0</v>
      </c>
      <c r="L276" s="1567">
        <f>L274-L275</f>
        <v>0</v>
      </c>
      <c r="M276" s="1056">
        <f t="shared" ref="M276" si="1132">M274-M275</f>
        <v>438080.66000000003</v>
      </c>
      <c r="N276" s="1056">
        <f t="shared" ref="N276" si="1133">N274-N275</f>
        <v>0</v>
      </c>
      <c r="O276" s="1056">
        <f t="shared" ref="O276" si="1134">O274-O275</f>
        <v>0</v>
      </c>
      <c r="P276" s="1057">
        <f t="shared" ref="P276" si="1135">P274-P275</f>
        <v>0</v>
      </c>
      <c r="Q276" s="1093">
        <f t="shared" ref="Q276" si="1136">Q274-Q275</f>
        <v>0</v>
      </c>
      <c r="R276" s="1056">
        <f t="shared" ref="R276" si="1137">R274-R275</f>
        <v>0</v>
      </c>
      <c r="S276" s="1056">
        <f t="shared" ref="S276" si="1138">S274-S275</f>
        <v>0</v>
      </c>
      <c r="T276" s="1056">
        <f t="shared" ref="T276" si="1139">T274-T275</f>
        <v>0</v>
      </c>
      <c r="U276" s="1057">
        <f t="shared" ref="U276" si="1140">U274-U275</f>
        <v>0</v>
      </c>
      <c r="V276" s="1172"/>
      <c r="W276" s="1055">
        <f t="shared" ref="W276" si="1141">W274-W275</f>
        <v>0</v>
      </c>
      <c r="X276" s="1056">
        <f t="shared" ref="X276" si="1142">X274-X275</f>
        <v>0</v>
      </c>
      <c r="Y276" s="1056">
        <f t="shared" ref="Y276" si="1143">Y274-Y275</f>
        <v>0</v>
      </c>
      <c r="Z276" s="1056">
        <f t="shared" ref="Z276" si="1144">Z274-Z275</f>
        <v>0</v>
      </c>
      <c r="AA276" s="1057">
        <f t="shared" ref="AA276" si="1145">AA274-AA275</f>
        <v>0</v>
      </c>
      <c r="AB276" s="1075"/>
      <c r="AC276" s="1055">
        <f t="shared" ref="AC276" si="1146">AC274-AC275</f>
        <v>0</v>
      </c>
      <c r="AD276" s="1056">
        <f t="shared" ref="AD276" si="1147">AD274-AD275</f>
        <v>0</v>
      </c>
      <c r="AE276" s="1056">
        <f t="shared" ref="AE276" si="1148">AE274-AE275</f>
        <v>0</v>
      </c>
      <c r="AF276" s="1056">
        <f t="shared" ref="AF276" si="1149">AF274-AF275</f>
        <v>0</v>
      </c>
      <c r="AG276" s="1056">
        <f t="shared" ref="AG276" si="1150">AG274-AG275</f>
        <v>0</v>
      </c>
      <c r="AH276" s="1059"/>
      <c r="AI276" s="1172"/>
      <c r="AJ276" s="1155"/>
      <c r="AK276" s="1155"/>
      <c r="AL276" s="1567">
        <f>AL274-AL275</f>
        <v>0</v>
      </c>
      <c r="AM276" s="1056">
        <f t="shared" ref="AM276:AR276" si="1151">AM274-AM275</f>
        <v>0</v>
      </c>
      <c r="AN276" s="1056">
        <f t="shared" si="1151"/>
        <v>0</v>
      </c>
      <c r="AO276" s="1056">
        <f t="shared" si="1151"/>
        <v>0</v>
      </c>
      <c r="AP276" s="1057">
        <f t="shared" si="1151"/>
        <v>0</v>
      </c>
      <c r="AQ276" s="1567">
        <f t="shared" si="1151"/>
        <v>0</v>
      </c>
      <c r="AR276" s="1056">
        <f t="shared" si="1151"/>
        <v>0</v>
      </c>
      <c r="AS276" s="1057"/>
      <c r="AT276" s="1155"/>
      <c r="AU276" s="1155"/>
      <c r="AV276" s="1155"/>
      <c r="AW276" s="1155"/>
      <c r="AX276" s="1155"/>
      <c r="AY276" s="1155"/>
      <c r="AZ276" s="1155"/>
      <c r="BA276" s="1155"/>
      <c r="BB276" s="1155"/>
      <c r="BC276" s="1155"/>
      <c r="BD276" s="1155"/>
      <c r="BE276" s="1155"/>
      <c r="BF276" s="1155"/>
      <c r="BG276" s="1155"/>
      <c r="BH276" s="1155"/>
      <c r="BI276" s="1155"/>
      <c r="BJ276" s="1155"/>
      <c r="BK276" s="1155"/>
      <c r="BL276" s="1155"/>
      <c r="BM276" s="1155"/>
      <c r="BN276" s="1155"/>
      <c r="BO276" s="1155"/>
      <c r="BP276" s="1155"/>
      <c r="BQ276" s="1155"/>
      <c r="BR276" s="1155"/>
      <c r="BS276" s="1155"/>
    </row>
    <row r="277" spans="5:71" s="474" customFormat="1" ht="12.75" customHeight="1">
      <c r="E277" s="4110" t="s">
        <v>1492</v>
      </c>
      <c r="F277" s="433" t="s">
        <v>111</v>
      </c>
      <c r="G277" s="1086"/>
      <c r="H277" s="1087"/>
      <c r="I277" s="1087"/>
      <c r="J277" s="1087"/>
      <c r="K277" s="1088"/>
      <c r="L277" s="258"/>
      <c r="M277" s="465"/>
      <c r="N277" s="465"/>
      <c r="O277" s="465"/>
      <c r="P277" s="282"/>
      <c r="Q277" s="1566"/>
      <c r="R277" s="421"/>
      <c r="S277" s="421"/>
      <c r="T277" s="421"/>
      <c r="U277" s="1044"/>
      <c r="V277" s="1172"/>
      <c r="W277" s="1043"/>
      <c r="X277" s="421"/>
      <c r="Y277" s="421"/>
      <c r="Z277" s="421"/>
      <c r="AA277" s="1044"/>
      <c r="AB277" s="1045"/>
      <c r="AC277" s="1043"/>
      <c r="AD277" s="421"/>
      <c r="AE277" s="421"/>
      <c r="AF277" s="421"/>
      <c r="AG277" s="421"/>
      <c r="AH277" s="1046"/>
      <c r="AI277" s="1172"/>
      <c r="AJ277" s="1155"/>
      <c r="AK277" s="1155"/>
      <c r="AL277" s="1086"/>
      <c r="AM277" s="1087"/>
      <c r="AN277" s="1087"/>
      <c r="AO277" s="1087"/>
      <c r="AP277" s="1088"/>
      <c r="AQ277" s="258"/>
      <c r="AR277" s="465"/>
      <c r="AS277" s="282"/>
      <c r="AT277" s="1155"/>
      <c r="AU277" s="1155"/>
      <c r="AV277" s="1155"/>
      <c r="AW277" s="1155"/>
      <c r="AX277" s="1155"/>
      <c r="AY277" s="1155"/>
      <c r="AZ277" s="1155"/>
      <c r="BA277" s="1155"/>
      <c r="BB277" s="1155"/>
      <c r="BC277" s="1155"/>
      <c r="BD277" s="1155"/>
      <c r="BE277" s="1155"/>
      <c r="BF277" s="1155"/>
      <c r="BG277" s="1155"/>
      <c r="BH277" s="1155"/>
      <c r="BI277" s="1155"/>
      <c r="BJ277" s="1155"/>
      <c r="BK277" s="1155"/>
      <c r="BL277" s="1155"/>
      <c r="BM277" s="1155"/>
      <c r="BN277" s="1155"/>
      <c r="BO277" s="1155"/>
      <c r="BP277" s="1155"/>
      <c r="BQ277" s="1155"/>
      <c r="BR277" s="1155"/>
      <c r="BS277" s="1155"/>
    </row>
    <row r="278" spans="5:71" s="474" customFormat="1" ht="12.75" customHeight="1">
      <c r="E278" s="4109"/>
      <c r="F278" s="1374" t="s">
        <v>588</v>
      </c>
      <c r="G278" s="1083"/>
      <c r="H278" s="1084"/>
      <c r="I278" s="1084"/>
      <c r="J278" s="1084"/>
      <c r="K278" s="1085"/>
      <c r="L278" s="255"/>
      <c r="M278" s="461">
        <v>5808</v>
      </c>
      <c r="N278" s="461"/>
      <c r="O278" s="461"/>
      <c r="P278" s="281"/>
      <c r="Q278" s="255"/>
      <c r="R278" s="461"/>
      <c r="S278" s="461"/>
      <c r="T278" s="461"/>
      <c r="U278" s="281"/>
      <c r="V278" s="1172"/>
      <c r="W278" s="255"/>
      <c r="X278" s="461"/>
      <c r="Y278" s="461"/>
      <c r="Z278" s="461"/>
      <c r="AA278" s="281"/>
      <c r="AB278" s="1041"/>
      <c r="AC278" s="255"/>
      <c r="AD278" s="461"/>
      <c r="AE278" s="461"/>
      <c r="AF278" s="461"/>
      <c r="AG278" s="461"/>
      <c r="AH278" s="1047"/>
      <c r="AI278" s="1172"/>
      <c r="AJ278" s="1155"/>
      <c r="AK278" s="1155"/>
      <c r="AL278" s="1083"/>
      <c r="AM278" s="1084"/>
      <c r="AN278" s="1084"/>
      <c r="AO278" s="1084"/>
      <c r="AP278" s="1085"/>
      <c r="AQ278" s="259"/>
      <c r="AR278" s="466"/>
      <c r="AS278" s="283"/>
      <c r="AT278" s="1155"/>
      <c r="AU278" s="1155"/>
      <c r="AV278" s="1155"/>
      <c r="AW278" s="1155"/>
      <c r="AX278" s="1155"/>
      <c r="AY278" s="1155"/>
      <c r="AZ278" s="1155"/>
      <c r="BA278" s="1155"/>
      <c r="BB278" s="1155"/>
      <c r="BC278" s="1155"/>
      <c r="BD278" s="1155"/>
      <c r="BE278" s="1155"/>
      <c r="BF278" s="1155"/>
      <c r="BG278" s="1155"/>
      <c r="BH278" s="1155"/>
      <c r="BI278" s="1155"/>
      <c r="BJ278" s="1155"/>
      <c r="BK278" s="1155"/>
      <c r="BL278" s="1155"/>
      <c r="BM278" s="1155"/>
      <c r="BN278" s="1155"/>
      <c r="BO278" s="1155"/>
      <c r="BP278" s="1155"/>
      <c r="BQ278" s="1155"/>
      <c r="BR278" s="1155"/>
      <c r="BS278" s="1155"/>
    </row>
    <row r="279" spans="5:71" s="474" customFormat="1" ht="12.75" customHeight="1">
      <c r="E279" s="4109"/>
      <c r="F279" s="1374" t="s">
        <v>589</v>
      </c>
      <c r="G279" s="1083"/>
      <c r="H279" s="1084"/>
      <c r="I279" s="1084"/>
      <c r="J279" s="1084"/>
      <c r="K279" s="1085"/>
      <c r="L279" s="255"/>
      <c r="M279" s="461"/>
      <c r="N279" s="461"/>
      <c r="O279" s="461"/>
      <c r="P279" s="281"/>
      <c r="Q279" s="255"/>
      <c r="R279" s="461"/>
      <c r="S279" s="461"/>
      <c r="T279" s="461"/>
      <c r="U279" s="281"/>
      <c r="V279" s="1172"/>
      <c r="W279" s="255"/>
      <c r="X279" s="461"/>
      <c r="Y279" s="461"/>
      <c r="Z279" s="461"/>
      <c r="AA279" s="281"/>
      <c r="AB279" s="1041"/>
      <c r="AC279" s="255"/>
      <c r="AD279" s="461"/>
      <c r="AE279" s="461"/>
      <c r="AF279" s="461"/>
      <c r="AG279" s="461"/>
      <c r="AH279" s="1047"/>
      <c r="AI279" s="1172"/>
      <c r="AJ279" s="1155"/>
      <c r="AK279" s="1155"/>
      <c r="AL279" s="1083"/>
      <c r="AM279" s="1084"/>
      <c r="AN279" s="1084"/>
      <c r="AO279" s="1084"/>
      <c r="AP279" s="1085"/>
      <c r="AQ279" s="259"/>
      <c r="AR279" s="466"/>
      <c r="AS279" s="283"/>
      <c r="AT279" s="1155"/>
      <c r="AU279" s="1155"/>
      <c r="AV279" s="1155"/>
      <c r="AW279" s="1155"/>
      <c r="AX279" s="1155"/>
      <c r="AY279" s="1155"/>
      <c r="AZ279" s="1155"/>
      <c r="BA279" s="1155"/>
      <c r="BB279" s="1155"/>
      <c r="BC279" s="1155"/>
      <c r="BD279" s="1155"/>
      <c r="BE279" s="1155"/>
      <c r="BF279" s="1155"/>
      <c r="BG279" s="1155"/>
      <c r="BH279" s="1155"/>
      <c r="BI279" s="1155"/>
      <c r="BJ279" s="1155"/>
      <c r="BK279" s="1155"/>
      <c r="BL279" s="1155"/>
      <c r="BM279" s="1155"/>
      <c r="BN279" s="1155"/>
      <c r="BO279" s="1155"/>
      <c r="BP279" s="1155"/>
      <c r="BQ279" s="1155"/>
      <c r="BR279" s="1155"/>
      <c r="BS279" s="1155"/>
    </row>
    <row r="280" spans="5:71" s="474" customFormat="1" ht="12.75" customHeight="1">
      <c r="E280" s="4109"/>
      <c r="F280" s="1374" t="s">
        <v>590</v>
      </c>
      <c r="G280" s="1083"/>
      <c r="H280" s="1084"/>
      <c r="I280" s="1084"/>
      <c r="J280" s="1084"/>
      <c r="K280" s="1085"/>
      <c r="L280" s="255"/>
      <c r="M280" s="461"/>
      <c r="N280" s="461"/>
      <c r="O280" s="461"/>
      <c r="P280" s="281"/>
      <c r="Q280" s="255"/>
      <c r="R280" s="461"/>
      <c r="S280" s="461"/>
      <c r="T280" s="461"/>
      <c r="U280" s="281"/>
      <c r="V280" s="1172"/>
      <c r="W280" s="255"/>
      <c r="X280" s="461"/>
      <c r="Y280" s="461"/>
      <c r="Z280" s="461"/>
      <c r="AA280" s="281"/>
      <c r="AB280" s="1041"/>
      <c r="AC280" s="255"/>
      <c r="AD280" s="461"/>
      <c r="AE280" s="461"/>
      <c r="AF280" s="461"/>
      <c r="AG280" s="461"/>
      <c r="AH280" s="1047"/>
      <c r="AI280" s="1172"/>
      <c r="AJ280" s="1155"/>
      <c r="AK280" s="1155"/>
      <c r="AL280" s="1083"/>
      <c r="AM280" s="1084"/>
      <c r="AN280" s="1084"/>
      <c r="AO280" s="1084"/>
      <c r="AP280" s="1085"/>
      <c r="AQ280" s="259"/>
      <c r="AR280" s="466"/>
      <c r="AS280" s="283"/>
      <c r="AT280" s="1155"/>
      <c r="AU280" s="1155"/>
      <c r="AV280" s="1155"/>
      <c r="AW280" s="1155"/>
      <c r="AX280" s="1155"/>
      <c r="AY280" s="1155"/>
      <c r="AZ280" s="1155"/>
      <c r="BA280" s="1155"/>
      <c r="BB280" s="1155"/>
      <c r="BC280" s="1155"/>
      <c r="BD280" s="1155"/>
      <c r="BE280" s="1155"/>
      <c r="BF280" s="1155"/>
      <c r="BG280" s="1155"/>
      <c r="BH280" s="1155"/>
      <c r="BI280" s="1155"/>
      <c r="BJ280" s="1155"/>
      <c r="BK280" s="1155"/>
      <c r="BL280" s="1155"/>
      <c r="BM280" s="1155"/>
      <c r="BN280" s="1155"/>
      <c r="BO280" s="1155"/>
      <c r="BP280" s="1155"/>
      <c r="BQ280" s="1155"/>
      <c r="BR280" s="1155"/>
      <c r="BS280" s="1155"/>
    </row>
    <row r="281" spans="5:71" s="474" customFormat="1" ht="12.75" customHeight="1">
      <c r="E281" s="4109"/>
      <c r="F281" s="1374" t="s">
        <v>591</v>
      </c>
      <c r="G281" s="1083"/>
      <c r="H281" s="1084"/>
      <c r="I281" s="1084"/>
      <c r="J281" s="1084"/>
      <c r="K281" s="1085"/>
      <c r="L281" s="255"/>
      <c r="M281" s="461"/>
      <c r="N281" s="461"/>
      <c r="O281" s="461"/>
      <c r="P281" s="281"/>
      <c r="Q281" s="255"/>
      <c r="R281" s="461"/>
      <c r="S281" s="461"/>
      <c r="T281" s="461"/>
      <c r="U281" s="281"/>
      <c r="V281" s="1172"/>
      <c r="W281" s="255"/>
      <c r="X281" s="461"/>
      <c r="Y281" s="461"/>
      <c r="Z281" s="461"/>
      <c r="AA281" s="281"/>
      <c r="AB281" s="1041"/>
      <c r="AC281" s="255"/>
      <c r="AD281" s="461"/>
      <c r="AE281" s="461"/>
      <c r="AF281" s="461"/>
      <c r="AG281" s="461"/>
      <c r="AH281" s="1047"/>
      <c r="AI281" s="1172"/>
      <c r="AJ281" s="1155"/>
      <c r="AK281" s="1155"/>
      <c r="AL281" s="1083"/>
      <c r="AM281" s="1084"/>
      <c r="AN281" s="1084"/>
      <c r="AO281" s="1084"/>
      <c r="AP281" s="1085"/>
      <c r="AQ281" s="259"/>
      <c r="AR281" s="466"/>
      <c r="AS281" s="283"/>
      <c r="AT281" s="1155"/>
      <c r="AU281" s="1155"/>
      <c r="AV281" s="1155"/>
      <c r="AW281" s="1155"/>
      <c r="AX281" s="1155"/>
      <c r="AY281" s="1155"/>
      <c r="AZ281" s="1155"/>
      <c r="BA281" s="1155"/>
      <c r="BB281" s="1155"/>
      <c r="BC281" s="1155"/>
      <c r="BD281" s="1155"/>
      <c r="BE281" s="1155"/>
      <c r="BF281" s="1155"/>
      <c r="BG281" s="1155"/>
      <c r="BH281" s="1155"/>
      <c r="BI281" s="1155"/>
      <c r="BJ281" s="1155"/>
      <c r="BK281" s="1155"/>
      <c r="BL281" s="1155"/>
      <c r="BM281" s="1155"/>
      <c r="BN281" s="1155"/>
      <c r="BO281" s="1155"/>
      <c r="BP281" s="1155"/>
      <c r="BQ281" s="1155"/>
      <c r="BR281" s="1155"/>
      <c r="BS281" s="1155"/>
    </row>
    <row r="282" spans="5:71" s="474" customFormat="1" ht="12.75" customHeight="1">
      <c r="E282" s="4109"/>
      <c r="F282" s="1374" t="s">
        <v>592</v>
      </c>
      <c r="G282" s="1083"/>
      <c r="H282" s="1084"/>
      <c r="I282" s="1084"/>
      <c r="J282" s="1084"/>
      <c r="K282" s="1085"/>
      <c r="L282" s="207"/>
      <c r="M282" s="456"/>
      <c r="N282" s="456"/>
      <c r="O282" s="456"/>
      <c r="P282" s="457"/>
      <c r="Q282" s="207"/>
      <c r="R282" s="456"/>
      <c r="S282" s="456"/>
      <c r="T282" s="456"/>
      <c r="U282" s="457"/>
      <c r="V282" s="1172"/>
      <c r="W282" s="207">
        <v>0</v>
      </c>
      <c r="X282" s="456">
        <v>0</v>
      </c>
      <c r="Y282" s="456">
        <v>0</v>
      </c>
      <c r="Z282" s="456">
        <v>0</v>
      </c>
      <c r="AA282" s="457">
        <v>0</v>
      </c>
      <c r="AB282" s="1041"/>
      <c r="AC282" s="207">
        <v>0</v>
      </c>
      <c r="AD282" s="456">
        <v>0</v>
      </c>
      <c r="AE282" s="456">
        <v>0</v>
      </c>
      <c r="AF282" s="456">
        <v>0</v>
      </c>
      <c r="AG282" s="456">
        <v>0</v>
      </c>
      <c r="AH282" s="1048"/>
      <c r="AI282" s="1172"/>
      <c r="AJ282" s="1155"/>
      <c r="AK282" s="1155"/>
      <c r="AL282" s="1083"/>
      <c r="AM282" s="1084"/>
      <c r="AN282" s="1084"/>
      <c r="AO282" s="1084"/>
      <c r="AP282" s="1085"/>
      <c r="AQ282" s="207">
        <f>SUM(AQ277:AQ281)</f>
        <v>0</v>
      </c>
      <c r="AR282" s="456">
        <f t="shared" ref="AR282" si="1152">SUM(AR277:AR281)</f>
        <v>0</v>
      </c>
      <c r="AS282" s="457"/>
      <c r="AT282" s="1155"/>
      <c r="AU282" s="1155"/>
      <c r="AV282" s="1155"/>
      <c r="AW282" s="1155"/>
      <c r="AX282" s="1155"/>
      <c r="AY282" s="1155"/>
      <c r="AZ282" s="1155"/>
      <c r="BA282" s="1155"/>
      <c r="BB282" s="1155"/>
      <c r="BC282" s="1155"/>
      <c r="BD282" s="1155"/>
      <c r="BE282" s="1155"/>
      <c r="BF282" s="1155"/>
      <c r="BG282" s="1155"/>
      <c r="BH282" s="1155"/>
      <c r="BI282" s="1155"/>
      <c r="BJ282" s="1155"/>
      <c r="BK282" s="1155"/>
      <c r="BL282" s="1155"/>
      <c r="BM282" s="1155"/>
      <c r="BN282" s="1155"/>
      <c r="BO282" s="1155"/>
      <c r="BP282" s="1155"/>
      <c r="BQ282" s="1155"/>
      <c r="BR282" s="1155"/>
      <c r="BS282" s="1155"/>
    </row>
    <row r="283" spans="5:71" s="474" customFormat="1">
      <c r="E283" s="4109"/>
      <c r="F283" s="1375" t="s">
        <v>587</v>
      </c>
      <c r="G283" s="1086"/>
      <c r="H283" s="1087"/>
      <c r="I283" s="1087"/>
      <c r="J283" s="1087"/>
      <c r="K283" s="1088"/>
      <c r="L283" s="258">
        <f>SUM(L278:L282)</f>
        <v>0</v>
      </c>
      <c r="M283" s="465">
        <f t="shared" ref="M283" si="1153">SUM(M278:M282)</f>
        <v>5808</v>
      </c>
      <c r="N283" s="465">
        <f t="shared" ref="N283" si="1154">SUM(N278:N282)</f>
        <v>0</v>
      </c>
      <c r="O283" s="465">
        <f t="shared" ref="O283" si="1155">SUM(O278:O282)</f>
        <v>0</v>
      </c>
      <c r="P283" s="282">
        <f t="shared" ref="P283" si="1156">SUM(P278:P282)</f>
        <v>0</v>
      </c>
      <c r="Q283" s="258">
        <f t="shared" ref="Q283" si="1157">SUM(Q278:Q282)</f>
        <v>0</v>
      </c>
      <c r="R283" s="465">
        <f t="shared" ref="R283" si="1158">SUM(R278:R282)</f>
        <v>0</v>
      </c>
      <c r="S283" s="465">
        <f t="shared" ref="S283" si="1159">SUM(S278:S282)</f>
        <v>0</v>
      </c>
      <c r="T283" s="465">
        <f t="shared" ref="T283" si="1160">SUM(T278:T282)</f>
        <v>0</v>
      </c>
      <c r="U283" s="282">
        <f t="shared" ref="U283" si="1161">SUM(U278:U282)</f>
        <v>0</v>
      </c>
      <c r="V283" s="1172"/>
      <c r="W283" s="258">
        <f t="shared" ref="W283" si="1162">SUM(W278:W282)</f>
        <v>0</v>
      </c>
      <c r="X283" s="465">
        <f t="shared" ref="X283" si="1163">SUM(X278:X282)</f>
        <v>0</v>
      </c>
      <c r="Y283" s="465">
        <f t="shared" ref="Y283" si="1164">SUM(Y278:Y282)</f>
        <v>0</v>
      </c>
      <c r="Z283" s="465">
        <f t="shared" ref="Z283" si="1165">SUM(Z278:Z282)</f>
        <v>0</v>
      </c>
      <c r="AA283" s="282">
        <f t="shared" ref="AA283" si="1166">SUM(AA278:AA282)</f>
        <v>0</v>
      </c>
      <c r="AB283" s="992"/>
      <c r="AC283" s="258">
        <f t="shared" ref="AC283" si="1167">SUM(AC278:AC282)</f>
        <v>0</v>
      </c>
      <c r="AD283" s="465">
        <f t="shared" ref="AD283" si="1168">SUM(AD278:AD282)</f>
        <v>0</v>
      </c>
      <c r="AE283" s="465">
        <f t="shared" ref="AE283" si="1169">SUM(AE278:AE282)</f>
        <v>0</v>
      </c>
      <c r="AF283" s="465">
        <f t="shared" ref="AF283" si="1170">SUM(AF278:AF282)</f>
        <v>0</v>
      </c>
      <c r="AG283" s="465">
        <f t="shared" ref="AG283" si="1171">SUM(AG278:AG282)</f>
        <v>0</v>
      </c>
      <c r="AH283" s="1049"/>
      <c r="AI283" s="1172"/>
      <c r="AJ283" s="1155"/>
      <c r="AK283" s="1155"/>
      <c r="AL283" s="1086"/>
      <c r="AM283" s="1087"/>
      <c r="AN283" s="1087"/>
      <c r="AO283" s="1087"/>
      <c r="AP283" s="1088"/>
      <c r="AQ283" s="258"/>
      <c r="AR283" s="465"/>
      <c r="AS283" s="282"/>
      <c r="AT283" s="1155"/>
      <c r="AU283" s="1155"/>
      <c r="AV283" s="1155"/>
      <c r="AW283" s="1155"/>
      <c r="AX283" s="1155"/>
      <c r="AY283" s="1155"/>
      <c r="AZ283" s="1155"/>
      <c r="BA283" s="1155"/>
      <c r="BB283" s="1155"/>
      <c r="BC283" s="1155"/>
      <c r="BD283" s="1155"/>
      <c r="BE283" s="1155"/>
      <c r="BF283" s="1155"/>
      <c r="BG283" s="1155"/>
      <c r="BH283" s="1155"/>
      <c r="BI283" s="1155"/>
      <c r="BJ283" s="1155"/>
      <c r="BK283" s="1155"/>
      <c r="BL283" s="1155"/>
      <c r="BM283" s="1155"/>
      <c r="BN283" s="1155"/>
      <c r="BO283" s="1155"/>
      <c r="BP283" s="1155"/>
      <c r="BQ283" s="1155"/>
      <c r="BR283" s="1155"/>
      <c r="BS283" s="1155"/>
    </row>
    <row r="284" spans="5:71" s="474" customFormat="1">
      <c r="E284" s="4109"/>
      <c r="F284" s="1376" t="s">
        <v>593</v>
      </c>
      <c r="G284" s="1083"/>
      <c r="H284" s="1084"/>
      <c r="I284" s="1084"/>
      <c r="J284" s="1084"/>
      <c r="K284" s="1085"/>
      <c r="L284" s="255"/>
      <c r="M284" s="461"/>
      <c r="N284" s="461"/>
      <c r="O284" s="461"/>
      <c r="P284" s="281"/>
      <c r="Q284" s="255"/>
      <c r="R284" s="461"/>
      <c r="S284" s="461"/>
      <c r="T284" s="461"/>
      <c r="U284" s="281"/>
      <c r="V284" s="1172"/>
      <c r="W284" s="255"/>
      <c r="X284" s="461"/>
      <c r="Y284" s="461"/>
      <c r="Z284" s="461"/>
      <c r="AA284" s="281"/>
      <c r="AB284" s="1041"/>
      <c r="AC284" s="255"/>
      <c r="AD284" s="461"/>
      <c r="AE284" s="461"/>
      <c r="AF284" s="461"/>
      <c r="AG284" s="461"/>
      <c r="AH284" s="1047"/>
      <c r="AI284" s="1172"/>
      <c r="AJ284" s="1155"/>
      <c r="AK284" s="1155"/>
      <c r="AL284" s="1083"/>
      <c r="AM284" s="1084"/>
      <c r="AN284" s="1084"/>
      <c r="AO284" s="1084"/>
      <c r="AP284" s="1085"/>
      <c r="AQ284" s="259"/>
      <c r="AR284" s="466"/>
      <c r="AS284" s="283"/>
      <c r="AT284" s="1155"/>
      <c r="AU284" s="1155"/>
      <c r="AV284" s="1155"/>
      <c r="AW284" s="1155"/>
      <c r="AX284" s="1155"/>
      <c r="AY284" s="1155"/>
      <c r="AZ284" s="1155"/>
      <c r="BA284" s="1155"/>
      <c r="BB284" s="1155"/>
      <c r="BC284" s="1155"/>
      <c r="BD284" s="1155"/>
      <c r="BE284" s="1155"/>
      <c r="BF284" s="1155"/>
      <c r="BG284" s="1155"/>
      <c r="BH284" s="1155"/>
      <c r="BI284" s="1155"/>
      <c r="BJ284" s="1155"/>
      <c r="BK284" s="1155"/>
      <c r="BL284" s="1155"/>
      <c r="BM284" s="1155"/>
      <c r="BN284" s="1155"/>
      <c r="BO284" s="1155"/>
      <c r="BP284" s="1155"/>
      <c r="BQ284" s="1155"/>
      <c r="BR284" s="1155"/>
      <c r="BS284" s="1155"/>
    </row>
    <row r="285" spans="5:71" s="474" customFormat="1">
      <c r="E285" s="4109"/>
      <c r="F285" s="431" t="s">
        <v>558</v>
      </c>
      <c r="G285" s="1083"/>
      <c r="H285" s="1084"/>
      <c r="I285" s="1084"/>
      <c r="J285" s="1084"/>
      <c r="K285" s="1085"/>
      <c r="L285" s="255"/>
      <c r="M285" s="461">
        <v>914983.12999999989</v>
      </c>
      <c r="N285" s="461"/>
      <c r="O285" s="461"/>
      <c r="P285" s="281"/>
      <c r="Q285" s="255"/>
      <c r="R285" s="461"/>
      <c r="S285" s="461"/>
      <c r="T285" s="461"/>
      <c r="U285" s="281"/>
      <c r="V285" s="1172"/>
      <c r="W285" s="255"/>
      <c r="X285" s="461"/>
      <c r="Y285" s="461"/>
      <c r="Z285" s="461"/>
      <c r="AA285" s="281"/>
      <c r="AB285" s="1041"/>
      <c r="AC285" s="255"/>
      <c r="AD285" s="461"/>
      <c r="AE285" s="461"/>
      <c r="AF285" s="461"/>
      <c r="AG285" s="461"/>
      <c r="AH285" s="1047"/>
      <c r="AI285" s="1172"/>
      <c r="AJ285" s="1155"/>
      <c r="AK285" s="1155"/>
      <c r="AL285" s="1083"/>
      <c r="AM285" s="1084"/>
      <c r="AN285" s="1084"/>
      <c r="AO285" s="1084"/>
      <c r="AP285" s="1085"/>
      <c r="AQ285" s="259"/>
      <c r="AR285" s="466"/>
      <c r="AS285" s="283"/>
      <c r="AT285" s="1155"/>
      <c r="AU285" s="1155"/>
      <c r="AV285" s="1155"/>
      <c r="AW285" s="1155"/>
      <c r="AX285" s="1155"/>
      <c r="AY285" s="1155"/>
      <c r="AZ285" s="1155"/>
      <c r="BA285" s="1155"/>
      <c r="BB285" s="1155"/>
      <c r="BC285" s="1155"/>
      <c r="BD285" s="1155"/>
      <c r="BE285" s="1155"/>
      <c r="BF285" s="1155"/>
      <c r="BG285" s="1155"/>
      <c r="BH285" s="1155"/>
      <c r="BI285" s="1155"/>
      <c r="BJ285" s="1155"/>
      <c r="BK285" s="1155"/>
      <c r="BL285" s="1155"/>
      <c r="BM285" s="1155"/>
      <c r="BN285" s="1155"/>
      <c r="BO285" s="1155"/>
      <c r="BP285" s="1155"/>
      <c r="BQ285" s="1155"/>
      <c r="BR285" s="1155"/>
      <c r="BS285" s="1155"/>
    </row>
    <row r="286" spans="5:71" s="474" customFormat="1">
      <c r="E286" s="4109"/>
      <c r="F286" s="431" t="s">
        <v>559</v>
      </c>
      <c r="G286" s="1083"/>
      <c r="H286" s="1084"/>
      <c r="I286" s="1084"/>
      <c r="J286" s="1084"/>
      <c r="K286" s="1085"/>
      <c r="L286" s="255"/>
      <c r="M286" s="461"/>
      <c r="N286" s="461"/>
      <c r="O286" s="461"/>
      <c r="P286" s="281"/>
      <c r="Q286" s="255"/>
      <c r="R286" s="461"/>
      <c r="S286" s="461"/>
      <c r="T286" s="461"/>
      <c r="U286" s="281"/>
      <c r="V286" s="1172"/>
      <c r="W286" s="255"/>
      <c r="X286" s="461"/>
      <c r="Y286" s="461"/>
      <c r="Z286" s="461"/>
      <c r="AA286" s="281"/>
      <c r="AB286" s="1041"/>
      <c r="AC286" s="255"/>
      <c r="AD286" s="461"/>
      <c r="AE286" s="461"/>
      <c r="AF286" s="461"/>
      <c r="AG286" s="461"/>
      <c r="AH286" s="1047"/>
      <c r="AI286" s="1172"/>
      <c r="AJ286" s="1155"/>
      <c r="AK286" s="1155"/>
      <c r="AL286" s="1083"/>
      <c r="AM286" s="1084"/>
      <c r="AN286" s="1084"/>
      <c r="AO286" s="1084"/>
      <c r="AP286" s="1085"/>
      <c r="AQ286" s="259"/>
      <c r="AR286" s="466"/>
      <c r="AS286" s="283"/>
      <c r="AT286" s="1155"/>
      <c r="AU286" s="1155"/>
      <c r="AV286" s="1155"/>
      <c r="AW286" s="1155"/>
      <c r="AX286" s="1155"/>
      <c r="AY286" s="1155"/>
      <c r="AZ286" s="1155"/>
      <c r="BA286" s="1155"/>
      <c r="BB286" s="1155"/>
      <c r="BC286" s="1155"/>
      <c r="BD286" s="1155"/>
      <c r="BE286" s="1155"/>
      <c r="BF286" s="1155"/>
      <c r="BG286" s="1155"/>
      <c r="BH286" s="1155"/>
      <c r="BI286" s="1155"/>
      <c r="BJ286" s="1155"/>
      <c r="BK286" s="1155"/>
      <c r="BL286" s="1155"/>
      <c r="BM286" s="1155"/>
      <c r="BN286" s="1155"/>
      <c r="BO286" s="1155"/>
      <c r="BP286" s="1155"/>
      <c r="BQ286" s="1155"/>
      <c r="BR286" s="1155"/>
      <c r="BS286" s="1155"/>
    </row>
    <row r="287" spans="5:71" s="474" customFormat="1">
      <c r="E287" s="4109"/>
      <c r="F287" s="431" t="s">
        <v>578</v>
      </c>
      <c r="G287" s="1089"/>
      <c r="H287" s="1090"/>
      <c r="I287" s="1090"/>
      <c r="J287" s="1090"/>
      <c r="K287" s="1091"/>
      <c r="L287" s="259"/>
      <c r="M287" s="456"/>
      <c r="N287" s="456"/>
      <c r="O287" s="456"/>
      <c r="P287" s="457"/>
      <c r="Q287" s="207"/>
      <c r="R287" s="456"/>
      <c r="S287" s="456"/>
      <c r="T287" s="456"/>
      <c r="U287" s="457"/>
      <c r="V287" s="1172"/>
      <c r="W287" s="207"/>
      <c r="X287" s="456"/>
      <c r="Y287" s="456"/>
      <c r="Z287" s="456"/>
      <c r="AA287" s="457"/>
      <c r="AB287" s="1041"/>
      <c r="AC287" s="207"/>
      <c r="AD287" s="456"/>
      <c r="AE287" s="456"/>
      <c r="AF287" s="456"/>
      <c r="AG287" s="456"/>
      <c r="AH287" s="1048"/>
      <c r="AI287" s="1172"/>
      <c r="AJ287" s="1155"/>
      <c r="AK287" s="1155"/>
      <c r="AL287" s="1089"/>
      <c r="AM287" s="1090"/>
      <c r="AN287" s="1090"/>
      <c r="AO287" s="1090"/>
      <c r="AP287" s="1091"/>
      <c r="AQ287" s="259"/>
      <c r="AR287" s="456"/>
      <c r="AS287" s="457"/>
      <c r="AT287" s="1155"/>
      <c r="AU287" s="1155"/>
      <c r="AV287" s="1155"/>
      <c r="AW287" s="1155"/>
      <c r="AX287" s="1155"/>
      <c r="AY287" s="1155"/>
      <c r="AZ287" s="1155"/>
      <c r="BA287" s="1155"/>
      <c r="BB287" s="1155"/>
      <c r="BC287" s="1155"/>
      <c r="BD287" s="1155"/>
      <c r="BE287" s="1155"/>
      <c r="BF287" s="1155"/>
      <c r="BG287" s="1155"/>
      <c r="BH287" s="1155"/>
      <c r="BI287" s="1155"/>
      <c r="BJ287" s="1155"/>
      <c r="BK287" s="1155"/>
      <c r="BL287" s="1155"/>
      <c r="BM287" s="1155"/>
      <c r="BN287" s="1155"/>
      <c r="BO287" s="1155"/>
      <c r="BP287" s="1155"/>
      <c r="BQ287" s="1155"/>
      <c r="BR287" s="1155"/>
      <c r="BS287" s="1155"/>
    </row>
    <row r="288" spans="5:71" s="474" customFormat="1">
      <c r="E288" s="4109"/>
      <c r="F288" s="1377" t="s">
        <v>579</v>
      </c>
      <c r="G288" s="1086"/>
      <c r="H288" s="1087"/>
      <c r="I288" s="1087"/>
      <c r="J288" s="1087"/>
      <c r="K288" s="1088"/>
      <c r="L288" s="258">
        <f>SUM(L284:L287)</f>
        <v>0</v>
      </c>
      <c r="M288" s="465">
        <f t="shared" ref="M288" si="1172">SUM(M284:M287)</f>
        <v>914983.12999999989</v>
      </c>
      <c r="N288" s="465">
        <f t="shared" ref="N288" si="1173">SUM(N284:N287)</f>
        <v>0</v>
      </c>
      <c r="O288" s="465">
        <f t="shared" ref="O288" si="1174">SUM(O284:O287)</f>
        <v>0</v>
      </c>
      <c r="P288" s="282">
        <f t="shared" ref="P288" si="1175">SUM(P284:P287)</f>
        <v>0</v>
      </c>
      <c r="Q288" s="258">
        <f t="shared" ref="Q288" si="1176">SUM(Q284:Q287)</f>
        <v>0</v>
      </c>
      <c r="R288" s="465">
        <f t="shared" ref="R288" si="1177">SUM(R284:R287)</f>
        <v>0</v>
      </c>
      <c r="S288" s="465">
        <f t="shared" ref="S288" si="1178">SUM(S284:S287)</f>
        <v>0</v>
      </c>
      <c r="T288" s="465">
        <f t="shared" ref="T288" si="1179">SUM(T284:T287)</f>
        <v>0</v>
      </c>
      <c r="U288" s="282">
        <f t="shared" ref="U288" si="1180">SUM(U284:U287)</f>
        <v>0</v>
      </c>
      <c r="V288" s="1172"/>
      <c r="W288" s="258">
        <f t="shared" ref="W288" si="1181">SUM(W284:W287)</f>
        <v>0</v>
      </c>
      <c r="X288" s="465">
        <f t="shared" ref="X288" si="1182">SUM(X284:X287)</f>
        <v>0</v>
      </c>
      <c r="Y288" s="465">
        <f t="shared" ref="Y288" si="1183">SUM(Y284:Y287)</f>
        <v>0</v>
      </c>
      <c r="Z288" s="465">
        <f t="shared" ref="Z288" si="1184">SUM(Z284:Z287)</f>
        <v>0</v>
      </c>
      <c r="AA288" s="282">
        <f t="shared" ref="AA288" si="1185">SUM(AA284:AA287)</f>
        <v>0</v>
      </c>
      <c r="AB288" s="992"/>
      <c r="AC288" s="258">
        <f t="shared" ref="AC288" si="1186">SUM(AC284:AC287)</f>
        <v>0</v>
      </c>
      <c r="AD288" s="465">
        <f t="shared" ref="AD288" si="1187">SUM(AD284:AD287)</f>
        <v>0</v>
      </c>
      <c r="AE288" s="465">
        <f t="shared" ref="AE288" si="1188">SUM(AE284:AE287)</f>
        <v>0</v>
      </c>
      <c r="AF288" s="465">
        <f t="shared" ref="AF288" si="1189">SUM(AF284:AF287)</f>
        <v>0</v>
      </c>
      <c r="AG288" s="465">
        <f t="shared" ref="AG288" si="1190">SUM(AG284:AG287)</f>
        <v>0</v>
      </c>
      <c r="AH288" s="1049"/>
      <c r="AI288" s="1172"/>
      <c r="AJ288" s="1155"/>
      <c r="AK288" s="1155"/>
      <c r="AL288" s="1086"/>
      <c r="AM288" s="1087"/>
      <c r="AN288" s="1087"/>
      <c r="AO288" s="1087"/>
      <c r="AP288" s="1088"/>
      <c r="AQ288" s="258">
        <f>SUM(AQ285:AQ287)</f>
        <v>0</v>
      </c>
      <c r="AR288" s="465">
        <f t="shared" ref="AR288" si="1191">SUM(AR285:AR287)</f>
        <v>0</v>
      </c>
      <c r="AS288" s="282"/>
      <c r="AT288" s="1155"/>
      <c r="AU288" s="1155"/>
      <c r="AV288" s="1155"/>
      <c r="AW288" s="1155"/>
      <c r="AX288" s="1155"/>
      <c r="AY288" s="1155"/>
      <c r="AZ288" s="1155"/>
      <c r="BA288" s="1155"/>
      <c r="BB288" s="1155"/>
      <c r="BC288" s="1155"/>
      <c r="BD288" s="1155"/>
      <c r="BE288" s="1155"/>
      <c r="BF288" s="1155"/>
      <c r="BG288" s="1155"/>
      <c r="BH288" s="1155"/>
      <c r="BI288" s="1155"/>
      <c r="BJ288" s="1155"/>
      <c r="BK288" s="1155"/>
      <c r="BL288" s="1155"/>
      <c r="BM288" s="1155"/>
      <c r="BN288" s="1155"/>
      <c r="BO288" s="1155"/>
      <c r="BP288" s="1155"/>
      <c r="BQ288" s="1155"/>
      <c r="BR288" s="1155"/>
      <c r="BS288" s="1155"/>
    </row>
    <row r="289" spans="5:71" s="474" customFormat="1" ht="13.5" thickBot="1">
      <c r="E289" s="4109"/>
      <c r="F289" s="1035" t="s">
        <v>583</v>
      </c>
      <c r="G289" s="255"/>
      <c r="H289" s="461"/>
      <c r="I289" s="461"/>
      <c r="J289" s="461"/>
      <c r="K289" s="281"/>
      <c r="L289" s="207"/>
      <c r="M289" s="456"/>
      <c r="N289" s="456"/>
      <c r="O289" s="456"/>
      <c r="P289" s="457"/>
      <c r="Q289" s="207"/>
      <c r="R289" s="456"/>
      <c r="S289" s="456"/>
      <c r="T289" s="456"/>
      <c r="U289" s="457"/>
      <c r="V289" s="1172"/>
      <c r="W289" s="207"/>
      <c r="X289" s="461"/>
      <c r="Y289" s="461"/>
      <c r="Z289" s="461"/>
      <c r="AA289" s="281"/>
      <c r="AB289" s="1041"/>
      <c r="AC289" s="207"/>
      <c r="AD289" s="456"/>
      <c r="AE289" s="456"/>
      <c r="AF289" s="456"/>
      <c r="AG289" s="456"/>
      <c r="AH289" s="1048"/>
      <c r="AI289" s="1172"/>
      <c r="AJ289" s="1155"/>
      <c r="AK289" s="1155"/>
      <c r="AL289" s="259"/>
      <c r="AM289" s="466"/>
      <c r="AN289" s="466"/>
      <c r="AO289" s="466"/>
      <c r="AP289" s="283"/>
      <c r="AQ289" s="207"/>
      <c r="AR289" s="456"/>
      <c r="AS289" s="457"/>
      <c r="AT289" s="1155"/>
      <c r="AU289" s="1155"/>
      <c r="AV289" s="1155"/>
      <c r="AW289" s="1155"/>
      <c r="AX289" s="1155"/>
      <c r="AY289" s="1155"/>
      <c r="AZ289" s="1155"/>
      <c r="BA289" s="1155"/>
      <c r="BB289" s="1155"/>
      <c r="BC289" s="1155"/>
      <c r="BD289" s="1155"/>
      <c r="BE289" s="1155"/>
      <c r="BF289" s="1155"/>
      <c r="BG289" s="1155"/>
      <c r="BH289" s="1155"/>
      <c r="BI289" s="1155"/>
      <c r="BJ289" s="1155"/>
      <c r="BK289" s="1155"/>
      <c r="BL289" s="1155"/>
      <c r="BM289" s="1155"/>
      <c r="BN289" s="1155"/>
      <c r="BO289" s="1155"/>
      <c r="BP289" s="1155"/>
      <c r="BQ289" s="1155"/>
      <c r="BR289" s="1155"/>
      <c r="BS289" s="1155"/>
    </row>
    <row r="290" spans="5:71" s="474" customFormat="1" ht="13.5" thickBot="1">
      <c r="E290" s="4109"/>
      <c r="F290" s="1380" t="s">
        <v>581</v>
      </c>
      <c r="G290" s="1599"/>
      <c r="H290" s="1600"/>
      <c r="I290" s="1600"/>
      <c r="J290" s="1600"/>
      <c r="K290" s="1601"/>
      <c r="L290" s="1599"/>
      <c r="M290" s="1600"/>
      <c r="N290" s="1600"/>
      <c r="O290" s="1600"/>
      <c r="P290" s="1601"/>
      <c r="Q290" s="1599"/>
      <c r="R290" s="1600"/>
      <c r="S290" s="1600"/>
      <c r="T290" s="1600"/>
      <c r="U290" s="1601"/>
      <c r="V290" s="1172"/>
      <c r="W290" s="1614"/>
      <c r="X290" s="1615"/>
      <c r="Y290" s="1615"/>
      <c r="Z290" s="1615"/>
      <c r="AA290" s="1615"/>
      <c r="AB290" s="1615"/>
      <c r="AC290" s="1615"/>
      <c r="AD290" s="1615"/>
      <c r="AE290" s="1615"/>
      <c r="AF290" s="1615"/>
      <c r="AG290" s="1615"/>
      <c r="AH290" s="1616"/>
      <c r="AI290" s="1172"/>
      <c r="AJ290" s="1155"/>
      <c r="AK290" s="1155"/>
      <c r="AL290" s="259"/>
      <c r="AM290" s="466"/>
      <c r="AN290" s="466"/>
      <c r="AO290" s="466"/>
      <c r="AP290" s="283"/>
      <c r="AQ290" s="259"/>
      <c r="AR290" s="466"/>
      <c r="AS290" s="283"/>
      <c r="AT290" s="1155"/>
      <c r="AU290" s="1155"/>
      <c r="AV290" s="1155"/>
      <c r="AW290" s="1155"/>
      <c r="AX290" s="1155"/>
      <c r="AY290" s="1155"/>
      <c r="AZ290" s="1155"/>
      <c r="BA290" s="1155"/>
      <c r="BB290" s="1155"/>
      <c r="BC290" s="1155"/>
      <c r="BD290" s="1155"/>
      <c r="BE290" s="1155"/>
      <c r="BF290" s="1155"/>
      <c r="BG290" s="1155"/>
      <c r="BH290" s="1155"/>
      <c r="BI290" s="1155"/>
      <c r="BJ290" s="1155"/>
      <c r="BK290" s="1155"/>
      <c r="BL290" s="1155"/>
      <c r="BM290" s="1155"/>
      <c r="BN290" s="1155"/>
      <c r="BO290" s="1155"/>
      <c r="BP290" s="1155"/>
      <c r="BQ290" s="1155"/>
      <c r="BR290" s="1155"/>
      <c r="BS290" s="1155"/>
    </row>
    <row r="291" spans="5:71" s="474" customFormat="1">
      <c r="E291" s="4109"/>
      <c r="F291" s="1378" t="s">
        <v>584</v>
      </c>
      <c r="G291" s="1050">
        <v>0</v>
      </c>
      <c r="H291" s="1051">
        <v>0</v>
      </c>
      <c r="I291" s="1051">
        <v>0</v>
      </c>
      <c r="J291" s="1051">
        <v>0</v>
      </c>
      <c r="K291" s="1052">
        <v>0</v>
      </c>
      <c r="L291" s="1050">
        <f>SUM(L288:L290)</f>
        <v>0</v>
      </c>
      <c r="M291" s="1051">
        <f t="shared" ref="M291" si="1192">SUM(M288:M290)</f>
        <v>914983.12999999989</v>
      </c>
      <c r="N291" s="1051">
        <f t="shared" ref="N291" si="1193">SUM(N288:N290)</f>
        <v>0</v>
      </c>
      <c r="O291" s="1051">
        <f t="shared" ref="O291" si="1194">SUM(O288:O290)</f>
        <v>0</v>
      </c>
      <c r="P291" s="1052">
        <f t="shared" ref="P291" si="1195">SUM(P288:P290)</f>
        <v>0</v>
      </c>
      <c r="Q291" s="1050">
        <f t="shared" ref="Q291" si="1196">SUM(Q288:Q290)</f>
        <v>0</v>
      </c>
      <c r="R291" s="1051">
        <f t="shared" ref="R291" si="1197">SUM(R288:R290)</f>
        <v>0</v>
      </c>
      <c r="S291" s="1051">
        <f t="shared" ref="S291" si="1198">SUM(S288:S290)</f>
        <v>0</v>
      </c>
      <c r="T291" s="1051">
        <f t="shared" ref="T291" si="1199">SUM(T288:T290)</f>
        <v>0</v>
      </c>
      <c r="U291" s="1052">
        <f t="shared" ref="U291" si="1200">SUM(U288:U290)</f>
        <v>0</v>
      </c>
      <c r="V291" s="1172"/>
      <c r="W291" s="1050">
        <f t="shared" ref="W291" si="1201">SUM(W288:W290)</f>
        <v>0</v>
      </c>
      <c r="X291" s="1051">
        <f t="shared" ref="X291" si="1202">SUM(X288:X290)</f>
        <v>0</v>
      </c>
      <c r="Y291" s="1051">
        <f t="shared" ref="Y291" si="1203">SUM(Y288:Y290)</f>
        <v>0</v>
      </c>
      <c r="Z291" s="1051">
        <f t="shared" ref="Z291" si="1204">SUM(Z288:Z290)</f>
        <v>0</v>
      </c>
      <c r="AA291" s="1052">
        <f t="shared" ref="AA291" si="1205">SUM(AA288:AA290)</f>
        <v>0</v>
      </c>
      <c r="AB291" s="1053"/>
      <c r="AC291" s="1050">
        <f t="shared" ref="AC291" si="1206">SUM(AC288:AC290)</f>
        <v>0</v>
      </c>
      <c r="AD291" s="1051">
        <f t="shared" ref="AD291" si="1207">SUM(AD288:AD290)</f>
        <v>0</v>
      </c>
      <c r="AE291" s="1051">
        <f t="shared" ref="AE291" si="1208">SUM(AE288:AE290)</f>
        <v>0</v>
      </c>
      <c r="AF291" s="1051">
        <f t="shared" ref="AF291" si="1209">SUM(AF288:AF290)</f>
        <v>0</v>
      </c>
      <c r="AG291" s="1051">
        <f t="shared" ref="AG291" si="1210">SUM(AG288:AG290)</f>
        <v>0</v>
      </c>
      <c r="AH291" s="1054"/>
      <c r="AI291" s="1172"/>
      <c r="AJ291" s="130"/>
      <c r="AK291" s="130"/>
      <c r="AL291" s="1050">
        <f t="shared" ref="AL291:AR291" si="1211">SUM(AL289:AL290)</f>
        <v>0</v>
      </c>
      <c r="AM291" s="1051">
        <f t="shared" si="1211"/>
        <v>0</v>
      </c>
      <c r="AN291" s="1051">
        <f t="shared" si="1211"/>
        <v>0</v>
      </c>
      <c r="AO291" s="1051">
        <f t="shared" si="1211"/>
        <v>0</v>
      </c>
      <c r="AP291" s="1052">
        <f t="shared" si="1211"/>
        <v>0</v>
      </c>
      <c r="AQ291" s="1050">
        <f t="shared" si="1211"/>
        <v>0</v>
      </c>
      <c r="AR291" s="1051">
        <f t="shared" si="1211"/>
        <v>0</v>
      </c>
      <c r="AS291" s="1052"/>
      <c r="AT291" s="130"/>
      <c r="AU291" s="130"/>
      <c r="AV291" s="130"/>
      <c r="AW291" s="130"/>
      <c r="AX291" s="130"/>
      <c r="AY291" s="130"/>
      <c r="AZ291" s="130"/>
      <c r="BA291" s="130"/>
      <c r="BB291" s="130"/>
      <c r="BC291" s="130"/>
      <c r="BD291" s="130"/>
      <c r="BE291" s="130"/>
      <c r="BF291" s="130"/>
      <c r="BG291" s="130"/>
      <c r="BH291" s="130"/>
      <c r="BI291" s="130"/>
      <c r="BJ291" s="130"/>
      <c r="BK291" s="130"/>
      <c r="BL291" s="130"/>
      <c r="BM291" s="130"/>
      <c r="BN291" s="130"/>
      <c r="BO291" s="130"/>
      <c r="BP291" s="130"/>
      <c r="BQ291" s="130"/>
      <c r="BR291" s="130"/>
      <c r="BS291" s="1155"/>
    </row>
    <row r="292" spans="5:71" s="474" customFormat="1">
      <c r="E292" s="4109"/>
      <c r="F292" s="1389" t="s">
        <v>35</v>
      </c>
      <c r="G292" s="255"/>
      <c r="H292" s="461"/>
      <c r="I292" s="461"/>
      <c r="J292" s="461"/>
      <c r="K292" s="281"/>
      <c r="L292" s="255"/>
      <c r="M292" s="461"/>
      <c r="N292" s="461"/>
      <c r="O292" s="461"/>
      <c r="P292" s="281"/>
      <c r="Q292" s="255"/>
      <c r="R292" s="461"/>
      <c r="S292" s="461"/>
      <c r="T292" s="461"/>
      <c r="U292" s="281"/>
      <c r="V292" s="1172"/>
      <c r="W292" s="255"/>
      <c r="X292" s="461"/>
      <c r="Y292" s="461"/>
      <c r="Z292" s="461"/>
      <c r="AA292" s="281"/>
      <c r="AB292" s="1004"/>
      <c r="AC292" s="255"/>
      <c r="AD292" s="461"/>
      <c r="AE292" s="461"/>
      <c r="AF292" s="461"/>
      <c r="AG292" s="461"/>
      <c r="AH292" s="1047"/>
      <c r="AI292" s="1172"/>
      <c r="AJ292" s="1155"/>
      <c r="AK292" s="1155"/>
      <c r="AL292" s="259"/>
      <c r="AM292" s="466"/>
      <c r="AN292" s="466"/>
      <c r="AO292" s="466"/>
      <c r="AP292" s="283"/>
      <c r="AQ292" s="259"/>
      <c r="AR292" s="466"/>
      <c r="AS292" s="283"/>
      <c r="AT292" s="1155"/>
      <c r="AU292" s="1155"/>
      <c r="AV292" s="1155"/>
      <c r="AW292" s="1155"/>
      <c r="AX292" s="1155"/>
      <c r="AY292" s="1155"/>
      <c r="AZ292" s="1155"/>
      <c r="BA292" s="1155"/>
      <c r="BB292" s="1155"/>
      <c r="BC292" s="1155"/>
      <c r="BD292" s="1155"/>
      <c r="BE292" s="1155"/>
      <c r="BF292" s="1155"/>
      <c r="BG292" s="1155"/>
      <c r="BH292" s="1155"/>
      <c r="BI292" s="1155"/>
      <c r="BJ292" s="1155"/>
      <c r="BK292" s="1155"/>
      <c r="BL292" s="1155"/>
      <c r="BM292" s="1155"/>
      <c r="BN292" s="1155"/>
      <c r="BO292" s="1155"/>
      <c r="BP292" s="1155"/>
      <c r="BQ292" s="1155"/>
      <c r="BR292" s="1155"/>
      <c r="BS292" s="1155"/>
    </row>
    <row r="293" spans="5:71" s="474" customFormat="1" ht="13.5" thickBot="1">
      <c r="E293" s="4109"/>
      <c r="F293" s="1379" t="s">
        <v>585</v>
      </c>
      <c r="G293" s="1094">
        <v>0</v>
      </c>
      <c r="H293" s="1095">
        <v>0</v>
      </c>
      <c r="I293" s="1095">
        <v>0</v>
      </c>
      <c r="J293" s="1095">
        <v>0</v>
      </c>
      <c r="K293" s="1096">
        <v>0</v>
      </c>
      <c r="L293" s="1094">
        <f>L291-L292</f>
        <v>0</v>
      </c>
      <c r="M293" s="1095">
        <f t="shared" ref="M293" si="1212">M291-M292</f>
        <v>914983.12999999989</v>
      </c>
      <c r="N293" s="1095">
        <f t="shared" ref="N293" si="1213">N291-N292</f>
        <v>0</v>
      </c>
      <c r="O293" s="1095">
        <f t="shared" ref="O293" si="1214">O291-O292</f>
        <v>0</v>
      </c>
      <c r="P293" s="1096">
        <f t="shared" ref="P293" si="1215">P291-P292</f>
        <v>0</v>
      </c>
      <c r="Q293" s="1567">
        <f t="shared" ref="Q293" si="1216">Q291-Q292</f>
        <v>0</v>
      </c>
      <c r="R293" s="1056">
        <f t="shared" ref="R293" si="1217">R291-R292</f>
        <v>0</v>
      </c>
      <c r="S293" s="1056">
        <f t="shared" ref="S293" si="1218">S291-S292</f>
        <v>0</v>
      </c>
      <c r="T293" s="1056">
        <f t="shared" ref="T293" si="1219">T291-T292</f>
        <v>0</v>
      </c>
      <c r="U293" s="1057">
        <f t="shared" ref="U293" si="1220">U291-U292</f>
        <v>0</v>
      </c>
      <c r="V293" s="1172"/>
      <c r="W293" s="1055">
        <f t="shared" ref="W293" si="1221">W291-W292</f>
        <v>0</v>
      </c>
      <c r="X293" s="1056">
        <f t="shared" ref="X293" si="1222">X291-X292</f>
        <v>0</v>
      </c>
      <c r="Y293" s="1056">
        <f t="shared" ref="Y293" si="1223">Y291-Y292</f>
        <v>0</v>
      </c>
      <c r="Z293" s="1056">
        <f t="shared" ref="Z293" si="1224">Z291-Z292</f>
        <v>0</v>
      </c>
      <c r="AA293" s="1057">
        <f t="shared" ref="AA293" si="1225">AA291-AA292</f>
        <v>0</v>
      </c>
      <c r="AB293" s="1075"/>
      <c r="AC293" s="1055">
        <f t="shared" ref="AC293" si="1226">AC291-AC292</f>
        <v>0</v>
      </c>
      <c r="AD293" s="1056">
        <f t="shared" ref="AD293" si="1227">AD291-AD292</f>
        <v>0</v>
      </c>
      <c r="AE293" s="1056">
        <f t="shared" ref="AE293" si="1228">AE291-AE292</f>
        <v>0</v>
      </c>
      <c r="AF293" s="1056">
        <f t="shared" ref="AF293" si="1229">AF291-AF292</f>
        <v>0</v>
      </c>
      <c r="AG293" s="1056">
        <f t="shared" ref="AG293" si="1230">AG291-AG292</f>
        <v>0</v>
      </c>
      <c r="AH293" s="1059"/>
      <c r="AI293" s="1172"/>
      <c r="AJ293" s="1155"/>
      <c r="AK293" s="1155"/>
      <c r="AL293" s="1094">
        <f>AL291-AL292</f>
        <v>0</v>
      </c>
      <c r="AM293" s="1095">
        <f t="shared" ref="AM293:AR293" si="1231">AM291-AM292</f>
        <v>0</v>
      </c>
      <c r="AN293" s="1095">
        <f t="shared" si="1231"/>
        <v>0</v>
      </c>
      <c r="AO293" s="1095">
        <f t="shared" si="1231"/>
        <v>0</v>
      </c>
      <c r="AP293" s="1096">
        <f t="shared" si="1231"/>
        <v>0</v>
      </c>
      <c r="AQ293" s="1094">
        <f t="shared" si="1231"/>
        <v>0</v>
      </c>
      <c r="AR293" s="1095">
        <f t="shared" si="1231"/>
        <v>0</v>
      </c>
      <c r="AS293" s="1096"/>
      <c r="AT293" s="1155"/>
      <c r="AU293" s="1155"/>
      <c r="AV293" s="1155"/>
      <c r="AW293" s="1155"/>
      <c r="AX293" s="1155"/>
      <c r="AY293" s="1155"/>
      <c r="AZ293" s="1155"/>
      <c r="BA293" s="1155"/>
      <c r="BB293" s="1155"/>
      <c r="BC293" s="1155"/>
      <c r="BD293" s="1155"/>
      <c r="BE293" s="1155"/>
      <c r="BF293" s="1155"/>
      <c r="BG293" s="1155"/>
      <c r="BH293" s="1155"/>
      <c r="BI293" s="1155"/>
      <c r="BJ293" s="1155"/>
      <c r="BK293" s="1155"/>
      <c r="BL293" s="1155"/>
      <c r="BM293" s="1155"/>
      <c r="BN293" s="1155"/>
      <c r="BO293" s="1155"/>
      <c r="BP293" s="1155"/>
      <c r="BQ293" s="1155"/>
      <c r="BR293" s="1155"/>
      <c r="BS293" s="1155"/>
    </row>
    <row r="294" spans="5:71" s="474" customFormat="1" ht="12.75" customHeight="1">
      <c r="E294" s="4110" t="s">
        <v>1493</v>
      </c>
      <c r="F294" s="433" t="s">
        <v>111</v>
      </c>
      <c r="G294" s="1077"/>
      <c r="H294" s="1078"/>
      <c r="I294" s="1078"/>
      <c r="J294" s="1078"/>
      <c r="K294" s="1079"/>
      <c r="L294" s="1566"/>
      <c r="M294" s="421"/>
      <c r="N294" s="421"/>
      <c r="O294" s="421"/>
      <c r="P294" s="1044"/>
      <c r="Q294" s="1080"/>
      <c r="R294" s="1081"/>
      <c r="S294" s="1081"/>
      <c r="T294" s="1081"/>
      <c r="U294" s="1082"/>
      <c r="V294" s="1172"/>
      <c r="W294" s="1043"/>
      <c r="X294" s="421"/>
      <c r="Y294" s="421"/>
      <c r="Z294" s="421"/>
      <c r="AA294" s="1044"/>
      <c r="AB294" s="1045"/>
      <c r="AC294" s="1043"/>
      <c r="AD294" s="421"/>
      <c r="AE294" s="421"/>
      <c r="AF294" s="421"/>
      <c r="AG294" s="421"/>
      <c r="AH294" s="1046"/>
      <c r="AI294" s="1172"/>
      <c r="AJ294" s="1155"/>
      <c r="AK294" s="1155"/>
      <c r="AL294" s="1077"/>
      <c r="AM294" s="1078"/>
      <c r="AN294" s="1078"/>
      <c r="AO294" s="1078"/>
      <c r="AP294" s="1079"/>
      <c r="AQ294" s="1566"/>
      <c r="AR294" s="421"/>
      <c r="AS294" s="1044"/>
      <c r="AT294" s="1155"/>
      <c r="AU294" s="1155"/>
      <c r="AV294" s="1155"/>
      <c r="AW294" s="1155"/>
      <c r="AX294" s="1155"/>
      <c r="AY294" s="1155"/>
      <c r="AZ294" s="1155"/>
      <c r="BA294" s="1155"/>
      <c r="BB294" s="1155"/>
      <c r="BC294" s="1155"/>
      <c r="BD294" s="1155"/>
      <c r="BE294" s="1155"/>
      <c r="BF294" s="1155"/>
      <c r="BG294" s="1155"/>
      <c r="BH294" s="1155"/>
      <c r="BI294" s="1155"/>
      <c r="BJ294" s="1155"/>
      <c r="BK294" s="1155"/>
      <c r="BL294" s="1155"/>
      <c r="BM294" s="1155"/>
      <c r="BN294" s="1155"/>
      <c r="BO294" s="1155"/>
      <c r="BP294" s="1155"/>
      <c r="BQ294" s="1155"/>
      <c r="BR294" s="1155"/>
      <c r="BS294" s="1155"/>
    </row>
    <row r="295" spans="5:71" s="474" customFormat="1" ht="12.75" customHeight="1">
      <c r="E295" s="4109"/>
      <c r="F295" s="1374" t="s">
        <v>588</v>
      </c>
      <c r="G295" s="1083"/>
      <c r="H295" s="1084"/>
      <c r="I295" s="1084"/>
      <c r="J295" s="1084"/>
      <c r="K295" s="1085"/>
      <c r="L295" s="255"/>
      <c r="M295" s="461">
        <v>5118</v>
      </c>
      <c r="N295" s="461"/>
      <c r="O295" s="461"/>
      <c r="P295" s="281"/>
      <c r="Q295" s="956"/>
      <c r="R295" s="461"/>
      <c r="S295" s="461"/>
      <c r="T295" s="461"/>
      <c r="U295" s="281"/>
      <c r="V295" s="1172"/>
      <c r="W295" s="255"/>
      <c r="X295" s="461"/>
      <c r="Y295" s="461"/>
      <c r="Z295" s="461"/>
      <c r="AA295" s="281"/>
      <c r="AB295" s="1041"/>
      <c r="AC295" s="255"/>
      <c r="AD295" s="461"/>
      <c r="AE295" s="461"/>
      <c r="AF295" s="461"/>
      <c r="AG295" s="461"/>
      <c r="AH295" s="1047"/>
      <c r="AI295" s="1172"/>
      <c r="AJ295" s="1155"/>
      <c r="AK295" s="1155"/>
      <c r="AL295" s="1083"/>
      <c r="AM295" s="1084"/>
      <c r="AN295" s="1084"/>
      <c r="AO295" s="1084"/>
      <c r="AP295" s="1085"/>
      <c r="AQ295" s="259"/>
      <c r="AR295" s="466"/>
      <c r="AS295" s="283"/>
      <c r="AT295" s="1155"/>
      <c r="AU295" s="1155"/>
      <c r="AV295" s="1155"/>
      <c r="AW295" s="1155"/>
      <c r="AX295" s="1155"/>
      <c r="AY295" s="1155"/>
      <c r="AZ295" s="1155"/>
      <c r="BA295" s="1155"/>
      <c r="BB295" s="1155"/>
      <c r="BC295" s="1155"/>
      <c r="BD295" s="1155"/>
      <c r="BE295" s="1155"/>
      <c r="BF295" s="1155"/>
      <c r="BG295" s="1155"/>
      <c r="BH295" s="1155"/>
      <c r="BI295" s="1155"/>
      <c r="BJ295" s="1155"/>
      <c r="BK295" s="1155"/>
      <c r="BL295" s="1155"/>
      <c r="BM295" s="1155"/>
      <c r="BN295" s="1155"/>
      <c r="BO295" s="1155"/>
      <c r="BP295" s="1155"/>
      <c r="BQ295" s="1155"/>
      <c r="BR295" s="1155"/>
      <c r="BS295" s="1155"/>
    </row>
    <row r="296" spans="5:71" s="474" customFormat="1" ht="12.75" customHeight="1">
      <c r="E296" s="4109"/>
      <c r="F296" s="1374" t="s">
        <v>589</v>
      </c>
      <c r="G296" s="1083"/>
      <c r="H296" s="1084"/>
      <c r="I296" s="1084"/>
      <c r="J296" s="1084"/>
      <c r="K296" s="1085"/>
      <c r="L296" s="255"/>
      <c r="M296" s="461"/>
      <c r="N296" s="461"/>
      <c r="O296" s="461"/>
      <c r="P296" s="281"/>
      <c r="Q296" s="956"/>
      <c r="R296" s="461"/>
      <c r="S296" s="461"/>
      <c r="T296" s="461"/>
      <c r="U296" s="281"/>
      <c r="V296" s="1172"/>
      <c r="W296" s="255"/>
      <c r="X296" s="461"/>
      <c r="Y296" s="461"/>
      <c r="Z296" s="461"/>
      <c r="AA296" s="281"/>
      <c r="AB296" s="1041"/>
      <c r="AC296" s="255"/>
      <c r="AD296" s="461"/>
      <c r="AE296" s="461"/>
      <c r="AF296" s="461"/>
      <c r="AG296" s="461"/>
      <c r="AH296" s="1047"/>
      <c r="AI296" s="1172"/>
      <c r="AJ296" s="1155"/>
      <c r="AK296" s="1155"/>
      <c r="AL296" s="1083"/>
      <c r="AM296" s="1084"/>
      <c r="AN296" s="1084"/>
      <c r="AO296" s="1084"/>
      <c r="AP296" s="1085"/>
      <c r="AQ296" s="259"/>
      <c r="AR296" s="466"/>
      <c r="AS296" s="283"/>
      <c r="AT296" s="1155"/>
      <c r="AU296" s="1155"/>
      <c r="AV296" s="1155"/>
      <c r="AW296" s="1155"/>
      <c r="AX296" s="1155"/>
      <c r="AY296" s="1155"/>
      <c r="AZ296" s="1155"/>
      <c r="BA296" s="1155"/>
      <c r="BB296" s="1155"/>
      <c r="BC296" s="1155"/>
      <c r="BD296" s="1155"/>
      <c r="BE296" s="1155"/>
      <c r="BF296" s="1155"/>
      <c r="BG296" s="1155"/>
      <c r="BH296" s="1155"/>
      <c r="BI296" s="1155"/>
      <c r="BJ296" s="1155"/>
      <c r="BK296" s="1155"/>
      <c r="BL296" s="1155"/>
      <c r="BM296" s="1155"/>
      <c r="BN296" s="1155"/>
      <c r="BO296" s="1155"/>
      <c r="BP296" s="1155"/>
      <c r="BQ296" s="1155"/>
      <c r="BR296" s="1155"/>
      <c r="BS296" s="1155"/>
    </row>
    <row r="297" spans="5:71" s="474" customFormat="1" ht="12.75" customHeight="1">
      <c r="E297" s="4109"/>
      <c r="F297" s="1374" t="s">
        <v>590</v>
      </c>
      <c r="G297" s="1083"/>
      <c r="H297" s="1084"/>
      <c r="I297" s="1084"/>
      <c r="J297" s="1084"/>
      <c r="K297" s="1085"/>
      <c r="L297" s="255"/>
      <c r="M297" s="461"/>
      <c r="N297" s="461"/>
      <c r="O297" s="461"/>
      <c r="P297" s="281"/>
      <c r="Q297" s="956"/>
      <c r="R297" s="461"/>
      <c r="S297" s="461"/>
      <c r="T297" s="461"/>
      <c r="U297" s="281"/>
      <c r="V297" s="1172"/>
      <c r="W297" s="255"/>
      <c r="X297" s="461"/>
      <c r="Y297" s="461"/>
      <c r="Z297" s="461"/>
      <c r="AA297" s="281"/>
      <c r="AB297" s="1041"/>
      <c r="AC297" s="255"/>
      <c r="AD297" s="461"/>
      <c r="AE297" s="461"/>
      <c r="AF297" s="461"/>
      <c r="AG297" s="461"/>
      <c r="AH297" s="1047"/>
      <c r="AI297" s="1172"/>
      <c r="AJ297" s="1155"/>
      <c r="AK297" s="1155"/>
      <c r="AL297" s="1083"/>
      <c r="AM297" s="1084"/>
      <c r="AN297" s="1084"/>
      <c r="AO297" s="1084"/>
      <c r="AP297" s="1085"/>
      <c r="AQ297" s="259"/>
      <c r="AR297" s="466"/>
      <c r="AS297" s="283"/>
      <c r="AT297" s="1155"/>
      <c r="AU297" s="1155"/>
      <c r="AV297" s="1155"/>
      <c r="AW297" s="1155"/>
      <c r="AX297" s="1155"/>
      <c r="AY297" s="1155"/>
      <c r="AZ297" s="1155"/>
      <c r="BA297" s="1155"/>
      <c r="BB297" s="1155"/>
      <c r="BC297" s="1155"/>
      <c r="BD297" s="1155"/>
      <c r="BE297" s="1155"/>
      <c r="BF297" s="1155"/>
      <c r="BG297" s="1155"/>
      <c r="BH297" s="1155"/>
      <c r="BI297" s="1155"/>
      <c r="BJ297" s="1155"/>
      <c r="BK297" s="1155"/>
      <c r="BL297" s="1155"/>
      <c r="BM297" s="1155"/>
      <c r="BN297" s="1155"/>
      <c r="BO297" s="1155"/>
      <c r="BP297" s="1155"/>
      <c r="BQ297" s="1155"/>
      <c r="BR297" s="1155"/>
      <c r="BS297" s="1155"/>
    </row>
    <row r="298" spans="5:71" s="474" customFormat="1" ht="12.75" customHeight="1">
      <c r="E298" s="4109"/>
      <c r="F298" s="1374" t="s">
        <v>591</v>
      </c>
      <c r="G298" s="1083"/>
      <c r="H298" s="1084"/>
      <c r="I298" s="1084"/>
      <c r="J298" s="1084"/>
      <c r="K298" s="1085"/>
      <c r="L298" s="255"/>
      <c r="M298" s="461"/>
      <c r="N298" s="461"/>
      <c r="O298" s="461"/>
      <c r="P298" s="281"/>
      <c r="Q298" s="956"/>
      <c r="R298" s="461"/>
      <c r="S298" s="461"/>
      <c r="T298" s="461"/>
      <c r="U298" s="281"/>
      <c r="V298" s="1172"/>
      <c r="W298" s="255"/>
      <c r="X298" s="461"/>
      <c r="Y298" s="461"/>
      <c r="Z298" s="461"/>
      <c r="AA298" s="281"/>
      <c r="AB298" s="1041"/>
      <c r="AC298" s="255"/>
      <c r="AD298" s="461"/>
      <c r="AE298" s="461"/>
      <c r="AF298" s="461"/>
      <c r="AG298" s="461"/>
      <c r="AH298" s="1047"/>
      <c r="AI298" s="1172"/>
      <c r="AJ298" s="1155"/>
      <c r="AK298" s="1155"/>
      <c r="AL298" s="1083"/>
      <c r="AM298" s="1084"/>
      <c r="AN298" s="1084"/>
      <c r="AO298" s="1084"/>
      <c r="AP298" s="1085"/>
      <c r="AQ298" s="259"/>
      <c r="AR298" s="466"/>
      <c r="AS298" s="283"/>
      <c r="AT298" s="1155"/>
      <c r="AU298" s="1155"/>
      <c r="AV298" s="1155"/>
      <c r="AW298" s="1155"/>
      <c r="AX298" s="1155"/>
      <c r="AY298" s="1155"/>
      <c r="AZ298" s="1155"/>
      <c r="BA298" s="1155"/>
      <c r="BB298" s="1155"/>
      <c r="BC298" s="1155"/>
      <c r="BD298" s="1155"/>
      <c r="BE298" s="1155"/>
      <c r="BF298" s="1155"/>
      <c r="BG298" s="1155"/>
      <c r="BH298" s="1155"/>
      <c r="BI298" s="1155"/>
      <c r="BJ298" s="1155"/>
      <c r="BK298" s="1155"/>
      <c r="BL298" s="1155"/>
      <c r="BM298" s="1155"/>
      <c r="BN298" s="1155"/>
      <c r="BO298" s="1155"/>
      <c r="BP298" s="1155"/>
      <c r="BQ298" s="1155"/>
      <c r="BR298" s="1155"/>
      <c r="BS298" s="1155"/>
    </row>
    <row r="299" spans="5:71" s="474" customFormat="1" ht="12.75" customHeight="1">
      <c r="E299" s="4109"/>
      <c r="F299" s="1374" t="s">
        <v>592</v>
      </c>
      <c r="G299" s="1083"/>
      <c r="H299" s="1084"/>
      <c r="I299" s="1084"/>
      <c r="J299" s="1084"/>
      <c r="K299" s="1085"/>
      <c r="L299" s="207"/>
      <c r="M299" s="456"/>
      <c r="N299" s="456"/>
      <c r="O299" s="456"/>
      <c r="P299" s="457"/>
      <c r="Q299" s="224"/>
      <c r="R299" s="456"/>
      <c r="S299" s="456"/>
      <c r="T299" s="456"/>
      <c r="U299" s="457"/>
      <c r="V299" s="1172"/>
      <c r="W299" s="207">
        <v>0</v>
      </c>
      <c r="X299" s="456">
        <v>0</v>
      </c>
      <c r="Y299" s="456">
        <v>0</v>
      </c>
      <c r="Z299" s="456">
        <v>0</v>
      </c>
      <c r="AA299" s="457">
        <v>0</v>
      </c>
      <c r="AB299" s="1041"/>
      <c r="AC299" s="207">
        <v>0</v>
      </c>
      <c r="AD299" s="456">
        <v>0</v>
      </c>
      <c r="AE299" s="456">
        <v>0</v>
      </c>
      <c r="AF299" s="456">
        <v>0</v>
      </c>
      <c r="AG299" s="456">
        <v>0</v>
      </c>
      <c r="AH299" s="1048"/>
      <c r="AI299" s="1172"/>
      <c r="AJ299" s="1155"/>
      <c r="AK299" s="1155"/>
      <c r="AL299" s="1083"/>
      <c r="AM299" s="1084"/>
      <c r="AN299" s="1084"/>
      <c r="AO299" s="1084"/>
      <c r="AP299" s="1085"/>
      <c r="AQ299" s="207">
        <f>SUM(AQ294:AQ298)</f>
        <v>0</v>
      </c>
      <c r="AR299" s="456">
        <f t="shared" ref="AR299" si="1232">SUM(AR294:AR298)</f>
        <v>0</v>
      </c>
      <c r="AS299" s="457"/>
      <c r="AT299" s="1155"/>
      <c r="AU299" s="1155"/>
      <c r="AV299" s="1155"/>
      <c r="AW299" s="1155"/>
      <c r="AX299" s="1155"/>
      <c r="AY299" s="1155"/>
      <c r="AZ299" s="1155"/>
      <c r="BA299" s="1155"/>
      <c r="BB299" s="1155"/>
      <c r="BC299" s="1155"/>
      <c r="BD299" s="1155"/>
      <c r="BE299" s="1155"/>
      <c r="BF299" s="1155"/>
      <c r="BG299" s="1155"/>
      <c r="BH299" s="1155"/>
      <c r="BI299" s="1155"/>
      <c r="BJ299" s="1155"/>
      <c r="BK299" s="1155"/>
      <c r="BL299" s="1155"/>
      <c r="BM299" s="1155"/>
      <c r="BN299" s="1155"/>
      <c r="BO299" s="1155"/>
      <c r="BP299" s="1155"/>
      <c r="BQ299" s="1155"/>
      <c r="BR299" s="1155"/>
      <c r="BS299" s="1155"/>
    </row>
    <row r="300" spans="5:71" s="474" customFormat="1">
      <c r="E300" s="4109"/>
      <c r="F300" s="1375" t="s">
        <v>587</v>
      </c>
      <c r="G300" s="1086"/>
      <c r="H300" s="1087"/>
      <c r="I300" s="1087"/>
      <c r="J300" s="1087"/>
      <c r="K300" s="1088"/>
      <c r="L300" s="258">
        <f>SUM(L295:L299)</f>
        <v>0</v>
      </c>
      <c r="M300" s="465">
        <f t="shared" ref="M300" si="1233">SUM(M295:M299)</f>
        <v>5118</v>
      </c>
      <c r="N300" s="465">
        <f t="shared" ref="N300" si="1234">SUM(N295:N299)</f>
        <v>0</v>
      </c>
      <c r="O300" s="465">
        <f t="shared" ref="O300" si="1235">SUM(O295:O299)</f>
        <v>0</v>
      </c>
      <c r="P300" s="282">
        <f t="shared" ref="P300" si="1236">SUM(P295:P299)</f>
        <v>0</v>
      </c>
      <c r="Q300" s="965">
        <f t="shared" ref="Q300" si="1237">SUM(Q295:Q299)</f>
        <v>0</v>
      </c>
      <c r="R300" s="465">
        <f t="shared" ref="R300" si="1238">SUM(R295:R299)</f>
        <v>0</v>
      </c>
      <c r="S300" s="465">
        <f t="shared" ref="S300" si="1239">SUM(S295:S299)</f>
        <v>0</v>
      </c>
      <c r="T300" s="465">
        <f t="shared" ref="T300" si="1240">SUM(T295:T299)</f>
        <v>0</v>
      </c>
      <c r="U300" s="282">
        <f t="shared" ref="U300" si="1241">SUM(U295:U299)</f>
        <v>0</v>
      </c>
      <c r="V300" s="1172"/>
      <c r="W300" s="258">
        <f t="shared" ref="W300" si="1242">SUM(W295:W299)</f>
        <v>0</v>
      </c>
      <c r="X300" s="465">
        <f t="shared" ref="X300" si="1243">SUM(X295:X299)</f>
        <v>0</v>
      </c>
      <c r="Y300" s="465">
        <f t="shared" ref="Y300" si="1244">SUM(Y295:Y299)</f>
        <v>0</v>
      </c>
      <c r="Z300" s="465">
        <f t="shared" ref="Z300" si="1245">SUM(Z295:Z299)</f>
        <v>0</v>
      </c>
      <c r="AA300" s="282">
        <f t="shared" ref="AA300" si="1246">SUM(AA295:AA299)</f>
        <v>0</v>
      </c>
      <c r="AB300" s="992"/>
      <c r="AC300" s="258">
        <f t="shared" ref="AC300" si="1247">SUM(AC295:AC299)</f>
        <v>0</v>
      </c>
      <c r="AD300" s="465">
        <f t="shared" ref="AD300" si="1248">SUM(AD295:AD299)</f>
        <v>0</v>
      </c>
      <c r="AE300" s="465">
        <f t="shared" ref="AE300" si="1249">SUM(AE295:AE299)</f>
        <v>0</v>
      </c>
      <c r="AF300" s="465">
        <f t="shared" ref="AF300" si="1250">SUM(AF295:AF299)</f>
        <v>0</v>
      </c>
      <c r="AG300" s="465">
        <f t="shared" ref="AG300" si="1251">SUM(AG295:AG299)</f>
        <v>0</v>
      </c>
      <c r="AH300" s="1049"/>
      <c r="AI300" s="1172"/>
      <c r="AJ300" s="1155"/>
      <c r="AK300" s="1155"/>
      <c r="AL300" s="1086"/>
      <c r="AM300" s="1087"/>
      <c r="AN300" s="1087"/>
      <c r="AO300" s="1087"/>
      <c r="AP300" s="1088"/>
      <c r="AQ300" s="258"/>
      <c r="AR300" s="465"/>
      <c r="AS300" s="282"/>
      <c r="AT300" s="1155"/>
      <c r="AU300" s="1155"/>
      <c r="AV300" s="1155"/>
      <c r="AW300" s="1155"/>
      <c r="AX300" s="1155"/>
      <c r="AY300" s="1155"/>
      <c r="AZ300" s="1155"/>
      <c r="BA300" s="1155"/>
      <c r="BB300" s="1155"/>
      <c r="BC300" s="1155"/>
      <c r="BD300" s="1155"/>
      <c r="BE300" s="1155"/>
      <c r="BF300" s="1155"/>
      <c r="BG300" s="1155"/>
      <c r="BH300" s="1155"/>
      <c r="BI300" s="1155"/>
      <c r="BJ300" s="1155"/>
      <c r="BK300" s="1155"/>
      <c r="BL300" s="1155"/>
      <c r="BM300" s="1155"/>
      <c r="BN300" s="1155"/>
      <c r="BO300" s="1155"/>
      <c r="BP300" s="1155"/>
      <c r="BQ300" s="1155"/>
      <c r="BR300" s="1155"/>
      <c r="BS300" s="1155"/>
    </row>
    <row r="301" spans="5:71" s="474" customFormat="1">
      <c r="E301" s="4109"/>
      <c r="F301" s="1376" t="s">
        <v>593</v>
      </c>
      <c r="G301" s="1083"/>
      <c r="H301" s="1084"/>
      <c r="I301" s="1084"/>
      <c r="J301" s="1084"/>
      <c r="K301" s="1085"/>
      <c r="L301" s="255"/>
      <c r="M301" s="461"/>
      <c r="N301" s="461"/>
      <c r="O301" s="461"/>
      <c r="P301" s="281"/>
      <c r="Q301" s="956"/>
      <c r="R301" s="461"/>
      <c r="S301" s="461"/>
      <c r="T301" s="461"/>
      <c r="U301" s="281"/>
      <c r="V301" s="1172"/>
      <c r="W301" s="255"/>
      <c r="X301" s="461"/>
      <c r="Y301" s="461"/>
      <c r="Z301" s="461"/>
      <c r="AA301" s="281"/>
      <c r="AB301" s="1041"/>
      <c r="AC301" s="255"/>
      <c r="AD301" s="461"/>
      <c r="AE301" s="461"/>
      <c r="AF301" s="461"/>
      <c r="AG301" s="461"/>
      <c r="AH301" s="1047"/>
      <c r="AI301" s="1172"/>
      <c r="AJ301" s="1155"/>
      <c r="AK301" s="1155"/>
      <c r="AL301" s="1083"/>
      <c r="AM301" s="1084"/>
      <c r="AN301" s="1084"/>
      <c r="AO301" s="1084"/>
      <c r="AP301" s="1085"/>
      <c r="AQ301" s="259"/>
      <c r="AR301" s="466"/>
      <c r="AS301" s="283"/>
      <c r="AT301" s="1155"/>
      <c r="AU301" s="1155"/>
      <c r="AV301" s="1155"/>
      <c r="AW301" s="1155"/>
      <c r="AX301" s="1155"/>
      <c r="AY301" s="1155"/>
      <c r="AZ301" s="1155"/>
      <c r="BA301" s="1155"/>
      <c r="BB301" s="1155"/>
      <c r="BC301" s="1155"/>
      <c r="BD301" s="1155"/>
      <c r="BE301" s="1155"/>
      <c r="BF301" s="1155"/>
      <c r="BG301" s="1155"/>
      <c r="BH301" s="1155"/>
      <c r="BI301" s="1155"/>
      <c r="BJ301" s="1155"/>
      <c r="BK301" s="1155"/>
      <c r="BL301" s="1155"/>
      <c r="BM301" s="1155"/>
      <c r="BN301" s="1155"/>
      <c r="BO301" s="1155"/>
      <c r="BP301" s="1155"/>
      <c r="BQ301" s="1155"/>
      <c r="BR301" s="1155"/>
      <c r="BS301" s="1155"/>
    </row>
    <row r="302" spans="5:71" s="474" customFormat="1">
      <c r="E302" s="4109"/>
      <c r="F302" s="431" t="s">
        <v>558</v>
      </c>
      <c r="G302" s="1083"/>
      <c r="H302" s="1084"/>
      <c r="I302" s="1084"/>
      <c r="J302" s="1084"/>
      <c r="K302" s="1085"/>
      <c r="L302" s="255"/>
      <c r="M302" s="461">
        <v>911410.64999999991</v>
      </c>
      <c r="N302" s="461"/>
      <c r="O302" s="461"/>
      <c r="P302" s="281"/>
      <c r="Q302" s="956"/>
      <c r="R302" s="461"/>
      <c r="S302" s="461"/>
      <c r="T302" s="461"/>
      <c r="U302" s="281"/>
      <c r="V302" s="1172"/>
      <c r="W302" s="255"/>
      <c r="X302" s="461"/>
      <c r="Y302" s="461"/>
      <c r="Z302" s="461"/>
      <c r="AA302" s="281"/>
      <c r="AB302" s="1041"/>
      <c r="AC302" s="255"/>
      <c r="AD302" s="461"/>
      <c r="AE302" s="461"/>
      <c r="AF302" s="461"/>
      <c r="AG302" s="461"/>
      <c r="AH302" s="1047"/>
      <c r="AI302" s="1172"/>
      <c r="AJ302" s="1155"/>
      <c r="AK302" s="1155"/>
      <c r="AL302" s="1083"/>
      <c r="AM302" s="1084"/>
      <c r="AN302" s="1084"/>
      <c r="AO302" s="1084"/>
      <c r="AP302" s="1085"/>
      <c r="AQ302" s="259"/>
      <c r="AR302" s="466"/>
      <c r="AS302" s="283"/>
      <c r="AT302" s="1155"/>
      <c r="AU302" s="1155"/>
      <c r="AV302" s="1155"/>
      <c r="AW302" s="1155"/>
      <c r="AX302" s="1155"/>
      <c r="AY302" s="1155"/>
      <c r="AZ302" s="1155"/>
      <c r="BA302" s="1155"/>
      <c r="BB302" s="1155"/>
      <c r="BC302" s="1155"/>
      <c r="BD302" s="1155"/>
      <c r="BE302" s="1155"/>
      <c r="BF302" s="1155"/>
      <c r="BG302" s="1155"/>
      <c r="BH302" s="1155"/>
      <c r="BI302" s="1155"/>
      <c r="BJ302" s="1155"/>
      <c r="BK302" s="1155"/>
      <c r="BL302" s="1155"/>
      <c r="BM302" s="1155"/>
      <c r="BN302" s="1155"/>
      <c r="BO302" s="1155"/>
      <c r="BP302" s="1155"/>
      <c r="BQ302" s="1155"/>
      <c r="BR302" s="1155"/>
      <c r="BS302" s="1155"/>
    </row>
    <row r="303" spans="5:71" s="474" customFormat="1">
      <c r="E303" s="4109"/>
      <c r="F303" s="431" t="s">
        <v>559</v>
      </c>
      <c r="G303" s="1083"/>
      <c r="H303" s="1084"/>
      <c r="I303" s="1084"/>
      <c r="J303" s="1084"/>
      <c r="K303" s="1085"/>
      <c r="L303" s="255"/>
      <c r="M303" s="461"/>
      <c r="N303" s="461"/>
      <c r="O303" s="461"/>
      <c r="P303" s="281"/>
      <c r="Q303" s="956"/>
      <c r="R303" s="461"/>
      <c r="S303" s="461"/>
      <c r="T303" s="461"/>
      <c r="U303" s="281"/>
      <c r="V303" s="1172"/>
      <c r="W303" s="255"/>
      <c r="X303" s="461"/>
      <c r="Y303" s="461"/>
      <c r="Z303" s="461"/>
      <c r="AA303" s="281"/>
      <c r="AB303" s="1041"/>
      <c r="AC303" s="255"/>
      <c r="AD303" s="461"/>
      <c r="AE303" s="461"/>
      <c r="AF303" s="461"/>
      <c r="AG303" s="461"/>
      <c r="AH303" s="1047"/>
      <c r="AI303" s="1172"/>
      <c r="AJ303" s="1155"/>
      <c r="AK303" s="1155"/>
      <c r="AL303" s="1083"/>
      <c r="AM303" s="1084"/>
      <c r="AN303" s="1084"/>
      <c r="AO303" s="1084"/>
      <c r="AP303" s="1085"/>
      <c r="AQ303" s="259"/>
      <c r="AR303" s="466"/>
      <c r="AS303" s="283"/>
      <c r="AT303" s="1155"/>
      <c r="AU303" s="1155"/>
      <c r="AV303" s="1155"/>
      <c r="AW303" s="1155"/>
      <c r="AX303" s="1155"/>
      <c r="AY303" s="1155"/>
      <c r="AZ303" s="1155"/>
      <c r="BA303" s="1155"/>
      <c r="BB303" s="1155"/>
      <c r="BC303" s="1155"/>
      <c r="BD303" s="1155"/>
      <c r="BE303" s="1155"/>
      <c r="BF303" s="1155"/>
      <c r="BG303" s="1155"/>
      <c r="BH303" s="1155"/>
      <c r="BI303" s="1155"/>
      <c r="BJ303" s="1155"/>
      <c r="BK303" s="1155"/>
      <c r="BL303" s="1155"/>
      <c r="BM303" s="1155"/>
      <c r="BN303" s="1155"/>
      <c r="BO303" s="1155"/>
      <c r="BP303" s="1155"/>
      <c r="BQ303" s="1155"/>
      <c r="BR303" s="1155"/>
      <c r="BS303" s="1155"/>
    </row>
    <row r="304" spans="5:71" s="474" customFormat="1">
      <c r="E304" s="4109"/>
      <c r="F304" s="431" t="s">
        <v>578</v>
      </c>
      <c r="G304" s="1089"/>
      <c r="H304" s="1090"/>
      <c r="I304" s="1090"/>
      <c r="J304" s="1090"/>
      <c r="K304" s="1091"/>
      <c r="L304" s="259"/>
      <c r="M304" s="456"/>
      <c r="N304" s="456"/>
      <c r="O304" s="456"/>
      <c r="P304" s="457"/>
      <c r="Q304" s="224"/>
      <c r="R304" s="456"/>
      <c r="S304" s="456"/>
      <c r="T304" s="456"/>
      <c r="U304" s="457"/>
      <c r="V304" s="1172"/>
      <c r="W304" s="207"/>
      <c r="X304" s="456"/>
      <c r="Y304" s="456"/>
      <c r="Z304" s="456"/>
      <c r="AA304" s="457"/>
      <c r="AB304" s="1041"/>
      <c r="AC304" s="207"/>
      <c r="AD304" s="456"/>
      <c r="AE304" s="456"/>
      <c r="AF304" s="456"/>
      <c r="AG304" s="456"/>
      <c r="AH304" s="1048"/>
      <c r="AI304" s="1172"/>
      <c r="AJ304" s="1155"/>
      <c r="AK304" s="1155"/>
      <c r="AL304" s="1089"/>
      <c r="AM304" s="1090"/>
      <c r="AN304" s="1090"/>
      <c r="AO304" s="1090"/>
      <c r="AP304" s="1091"/>
      <c r="AQ304" s="259"/>
      <c r="AR304" s="456"/>
      <c r="AS304" s="457"/>
      <c r="AT304" s="1155"/>
      <c r="AU304" s="1155"/>
      <c r="AV304" s="1155"/>
      <c r="AW304" s="1155"/>
      <c r="AX304" s="1155"/>
      <c r="AY304" s="1155"/>
      <c r="AZ304" s="1155"/>
      <c r="BA304" s="1155"/>
      <c r="BB304" s="1155"/>
      <c r="BC304" s="1155"/>
      <c r="BD304" s="1155"/>
      <c r="BE304" s="1155"/>
      <c r="BF304" s="1155"/>
      <c r="BG304" s="1155"/>
      <c r="BH304" s="1155"/>
      <c r="BI304" s="1155"/>
      <c r="BJ304" s="1155"/>
      <c r="BK304" s="1155"/>
      <c r="BL304" s="1155"/>
      <c r="BM304" s="1155"/>
      <c r="BN304" s="1155"/>
      <c r="BO304" s="1155"/>
      <c r="BP304" s="1155"/>
      <c r="BQ304" s="1155"/>
      <c r="BR304" s="1155"/>
      <c r="BS304" s="1155"/>
    </row>
    <row r="305" spans="5:71" s="474" customFormat="1">
      <c r="E305" s="4109"/>
      <c r="F305" s="1377" t="s">
        <v>579</v>
      </c>
      <c r="G305" s="1086"/>
      <c r="H305" s="1087"/>
      <c r="I305" s="1087"/>
      <c r="J305" s="1087"/>
      <c r="K305" s="1088"/>
      <c r="L305" s="258">
        <f>SUM(L301:L304)</f>
        <v>0</v>
      </c>
      <c r="M305" s="465">
        <f t="shared" ref="M305" si="1252">SUM(M301:M304)</f>
        <v>911410.64999999991</v>
      </c>
      <c r="N305" s="465">
        <f t="shared" ref="N305" si="1253">SUM(N301:N304)</f>
        <v>0</v>
      </c>
      <c r="O305" s="465">
        <f t="shared" ref="O305" si="1254">SUM(O301:O304)</f>
        <v>0</v>
      </c>
      <c r="P305" s="282">
        <f t="shared" ref="P305" si="1255">SUM(P301:P304)</f>
        <v>0</v>
      </c>
      <c r="Q305" s="965">
        <f t="shared" ref="Q305" si="1256">SUM(Q301:Q304)</f>
        <v>0</v>
      </c>
      <c r="R305" s="465">
        <f t="shared" ref="R305" si="1257">SUM(R301:R304)</f>
        <v>0</v>
      </c>
      <c r="S305" s="465">
        <f t="shared" ref="S305" si="1258">SUM(S301:S304)</f>
        <v>0</v>
      </c>
      <c r="T305" s="465">
        <f t="shared" ref="T305" si="1259">SUM(T301:T304)</f>
        <v>0</v>
      </c>
      <c r="U305" s="282">
        <f t="shared" ref="U305" si="1260">SUM(U301:U304)</f>
        <v>0</v>
      </c>
      <c r="V305" s="1172"/>
      <c r="W305" s="258">
        <f t="shared" ref="W305" si="1261">SUM(W301:W304)</f>
        <v>0</v>
      </c>
      <c r="X305" s="465">
        <f t="shared" ref="X305" si="1262">SUM(X301:X304)</f>
        <v>0</v>
      </c>
      <c r="Y305" s="465">
        <f t="shared" ref="Y305" si="1263">SUM(Y301:Y304)</f>
        <v>0</v>
      </c>
      <c r="Z305" s="465">
        <f t="shared" ref="Z305" si="1264">SUM(Z301:Z304)</f>
        <v>0</v>
      </c>
      <c r="AA305" s="282">
        <f t="shared" ref="AA305" si="1265">SUM(AA301:AA304)</f>
        <v>0</v>
      </c>
      <c r="AB305" s="992"/>
      <c r="AC305" s="258">
        <f t="shared" ref="AC305" si="1266">SUM(AC301:AC304)</f>
        <v>0</v>
      </c>
      <c r="AD305" s="465">
        <f t="shared" ref="AD305" si="1267">SUM(AD301:AD304)</f>
        <v>0</v>
      </c>
      <c r="AE305" s="465">
        <f t="shared" ref="AE305" si="1268">SUM(AE301:AE304)</f>
        <v>0</v>
      </c>
      <c r="AF305" s="465">
        <f t="shared" ref="AF305" si="1269">SUM(AF301:AF304)</f>
        <v>0</v>
      </c>
      <c r="AG305" s="465">
        <f t="shared" ref="AG305" si="1270">SUM(AG301:AG304)</f>
        <v>0</v>
      </c>
      <c r="AH305" s="1049"/>
      <c r="AI305" s="1172"/>
      <c r="AJ305" s="1155"/>
      <c r="AK305" s="1155"/>
      <c r="AL305" s="1086"/>
      <c r="AM305" s="1087"/>
      <c r="AN305" s="1087"/>
      <c r="AO305" s="1087"/>
      <c r="AP305" s="1088"/>
      <c r="AQ305" s="258">
        <f>SUM(AQ302:AQ304)</f>
        <v>0</v>
      </c>
      <c r="AR305" s="465">
        <f t="shared" ref="AR305" si="1271">SUM(AR302:AR304)</f>
        <v>0</v>
      </c>
      <c r="AS305" s="282"/>
      <c r="AT305" s="1155"/>
      <c r="AU305" s="1155"/>
      <c r="AV305" s="1155"/>
      <c r="AW305" s="1155"/>
      <c r="AX305" s="1155"/>
      <c r="AY305" s="1155"/>
      <c r="AZ305" s="1155"/>
      <c r="BA305" s="1155"/>
      <c r="BB305" s="1155"/>
      <c r="BC305" s="1155"/>
      <c r="BD305" s="1155"/>
      <c r="BE305" s="1155"/>
      <c r="BF305" s="1155"/>
      <c r="BG305" s="1155"/>
      <c r="BH305" s="1155"/>
      <c r="BI305" s="1155"/>
      <c r="BJ305" s="1155"/>
      <c r="BK305" s="1155"/>
      <c r="BL305" s="1155"/>
      <c r="BM305" s="1155"/>
      <c r="BN305" s="1155"/>
      <c r="BO305" s="1155"/>
      <c r="BP305" s="1155"/>
      <c r="BQ305" s="1155"/>
      <c r="BR305" s="1155"/>
      <c r="BS305" s="1155"/>
    </row>
    <row r="306" spans="5:71" s="474" customFormat="1" ht="13.5" thickBot="1">
      <c r="E306" s="4109"/>
      <c r="F306" s="1035" t="s">
        <v>583</v>
      </c>
      <c r="G306" s="255"/>
      <c r="H306" s="461"/>
      <c r="I306" s="461"/>
      <c r="J306" s="461"/>
      <c r="K306" s="281"/>
      <c r="L306" s="207"/>
      <c r="M306" s="456"/>
      <c r="N306" s="456"/>
      <c r="O306" s="456"/>
      <c r="P306" s="457"/>
      <c r="Q306" s="224"/>
      <c r="R306" s="456"/>
      <c r="S306" s="456"/>
      <c r="T306" s="456"/>
      <c r="U306" s="457"/>
      <c r="V306" s="1172"/>
      <c r="W306" s="1603"/>
      <c r="X306" s="1604"/>
      <c r="Y306" s="1604"/>
      <c r="Z306" s="1604"/>
      <c r="AA306" s="1605"/>
      <c r="AB306" s="1606"/>
      <c r="AC306" s="1603"/>
      <c r="AD306" s="1607"/>
      <c r="AE306" s="1607"/>
      <c r="AF306" s="1607"/>
      <c r="AG306" s="1607"/>
      <c r="AH306" s="1608"/>
      <c r="AI306" s="1172"/>
      <c r="AJ306" s="1155"/>
      <c r="AK306" s="1155"/>
      <c r="AL306" s="259"/>
      <c r="AM306" s="466"/>
      <c r="AN306" s="466"/>
      <c r="AO306" s="466"/>
      <c r="AP306" s="283"/>
      <c r="AQ306" s="259"/>
      <c r="AR306" s="466"/>
      <c r="AS306" s="283"/>
      <c r="AT306" s="1155"/>
      <c r="AU306" s="1155"/>
      <c r="AV306" s="1155"/>
      <c r="AW306" s="1155"/>
      <c r="AX306" s="1155"/>
      <c r="AY306" s="1155"/>
      <c r="AZ306" s="1155"/>
      <c r="BA306" s="1155"/>
      <c r="BB306" s="1155"/>
      <c r="BC306" s="1155"/>
      <c r="BD306" s="1155"/>
      <c r="BE306" s="1155"/>
      <c r="BF306" s="1155"/>
      <c r="BG306" s="1155"/>
      <c r="BH306" s="1155"/>
      <c r="BI306" s="1155"/>
      <c r="BJ306" s="1155"/>
      <c r="BK306" s="1155"/>
      <c r="BL306" s="1155"/>
      <c r="BM306" s="1155"/>
      <c r="BN306" s="1155"/>
      <c r="BO306" s="1155"/>
      <c r="BP306" s="1155"/>
      <c r="BQ306" s="1155"/>
      <c r="BR306" s="1155"/>
      <c r="BS306" s="1155"/>
    </row>
    <row r="307" spans="5:71" s="474" customFormat="1" ht="13.5" thickBot="1">
      <c r="E307" s="4109"/>
      <c r="F307" s="1380" t="s">
        <v>581</v>
      </c>
      <c r="G307" s="1599"/>
      <c r="H307" s="1600"/>
      <c r="I307" s="1600"/>
      <c r="J307" s="1600"/>
      <c r="K307" s="1601"/>
      <c r="L307" s="1599"/>
      <c r="M307" s="1600"/>
      <c r="N307" s="1600"/>
      <c r="O307" s="1600"/>
      <c r="P307" s="1601"/>
      <c r="Q307" s="1602"/>
      <c r="R307" s="1600"/>
      <c r="S307" s="1600"/>
      <c r="T307" s="1600"/>
      <c r="U307" s="1601"/>
      <c r="V307" s="1172"/>
      <c r="W307" s="1614"/>
      <c r="X307" s="1615"/>
      <c r="Y307" s="1615"/>
      <c r="Z307" s="1615"/>
      <c r="AA307" s="1615"/>
      <c r="AB307" s="1615"/>
      <c r="AC307" s="1615"/>
      <c r="AD307" s="1615"/>
      <c r="AE307" s="1615"/>
      <c r="AF307" s="1615"/>
      <c r="AG307" s="1615"/>
      <c r="AH307" s="1616"/>
      <c r="AI307" s="1172"/>
      <c r="AJ307" s="1155"/>
      <c r="AK307" s="1155"/>
      <c r="AL307" s="259"/>
      <c r="AM307" s="466"/>
      <c r="AN307" s="466"/>
      <c r="AO307" s="466"/>
      <c r="AP307" s="283"/>
      <c r="AQ307" s="259"/>
      <c r="AR307" s="466"/>
      <c r="AS307" s="283"/>
      <c r="AT307" s="1155"/>
      <c r="AU307" s="1155"/>
      <c r="AV307" s="1155"/>
      <c r="AW307" s="1155"/>
      <c r="AX307" s="1155"/>
      <c r="AY307" s="1155"/>
      <c r="AZ307" s="1155"/>
      <c r="BA307" s="1155"/>
      <c r="BB307" s="1155"/>
      <c r="BC307" s="1155"/>
      <c r="BD307" s="1155"/>
      <c r="BE307" s="1155"/>
      <c r="BF307" s="1155"/>
      <c r="BG307" s="1155"/>
      <c r="BH307" s="1155"/>
      <c r="BI307" s="1155"/>
      <c r="BJ307" s="1155"/>
      <c r="BK307" s="1155"/>
      <c r="BL307" s="1155"/>
      <c r="BM307" s="1155"/>
      <c r="BN307" s="1155"/>
      <c r="BO307" s="1155"/>
      <c r="BP307" s="1155"/>
      <c r="BQ307" s="1155"/>
      <c r="BR307" s="1155"/>
      <c r="BS307" s="1155"/>
    </row>
    <row r="308" spans="5:71" s="474" customFormat="1">
      <c r="E308" s="4109"/>
      <c r="F308" s="1378" t="s">
        <v>584</v>
      </c>
      <c r="G308" s="1050">
        <v>0</v>
      </c>
      <c r="H308" s="1051">
        <v>0</v>
      </c>
      <c r="I308" s="1051">
        <v>0</v>
      </c>
      <c r="J308" s="1051">
        <v>0</v>
      </c>
      <c r="K308" s="1052">
        <v>0</v>
      </c>
      <c r="L308" s="1050">
        <f>SUM(L305:L307)</f>
        <v>0</v>
      </c>
      <c r="M308" s="1051">
        <f t="shared" ref="M308" si="1272">SUM(M305:M307)</f>
        <v>911410.64999999991</v>
      </c>
      <c r="N308" s="1051">
        <f t="shared" ref="N308" si="1273">SUM(N305:N307)</f>
        <v>0</v>
      </c>
      <c r="O308" s="1051">
        <f t="shared" ref="O308" si="1274">SUM(O305:O307)</f>
        <v>0</v>
      </c>
      <c r="P308" s="1052">
        <f t="shared" ref="P308" si="1275">SUM(P305:P307)</f>
        <v>0</v>
      </c>
      <c r="Q308" s="1092">
        <f t="shared" ref="Q308" si="1276">SUM(Q305:Q307)</f>
        <v>0</v>
      </c>
      <c r="R308" s="1051">
        <f t="shared" ref="R308" si="1277">SUM(R305:R307)</f>
        <v>0</v>
      </c>
      <c r="S308" s="1051">
        <f t="shared" ref="S308" si="1278">SUM(S305:S307)</f>
        <v>0</v>
      </c>
      <c r="T308" s="1051">
        <f t="shared" ref="T308" si="1279">SUM(T305:T307)</f>
        <v>0</v>
      </c>
      <c r="U308" s="1052">
        <f t="shared" ref="U308" si="1280">SUM(U305:U307)</f>
        <v>0</v>
      </c>
      <c r="V308" s="1172"/>
      <c r="W308" s="1609">
        <f t="shared" ref="W308" si="1281">SUM(W305:W307)</f>
        <v>0</v>
      </c>
      <c r="X308" s="1610">
        <f t="shared" ref="X308" si="1282">SUM(X305:X307)</f>
        <v>0</v>
      </c>
      <c r="Y308" s="1610">
        <f t="shared" ref="Y308" si="1283">SUM(Y305:Y307)</f>
        <v>0</v>
      </c>
      <c r="Z308" s="1610">
        <f t="shared" ref="Z308" si="1284">SUM(Z305:Z307)</f>
        <v>0</v>
      </c>
      <c r="AA308" s="1611">
        <f t="shared" ref="AA308" si="1285">SUM(AA305:AA307)</f>
        <v>0</v>
      </c>
      <c r="AB308" s="1612"/>
      <c r="AC308" s="1609">
        <f t="shared" ref="AC308" si="1286">SUM(AC305:AC307)</f>
        <v>0</v>
      </c>
      <c r="AD308" s="1610">
        <f t="shared" ref="AD308" si="1287">SUM(AD305:AD307)</f>
        <v>0</v>
      </c>
      <c r="AE308" s="1610">
        <f t="shared" ref="AE308" si="1288">SUM(AE305:AE307)</f>
        <v>0</v>
      </c>
      <c r="AF308" s="1610">
        <f t="shared" ref="AF308" si="1289">SUM(AF305:AF307)</f>
        <v>0</v>
      </c>
      <c r="AG308" s="1610">
        <f t="shared" ref="AG308" si="1290">SUM(AG305:AG307)</f>
        <v>0</v>
      </c>
      <c r="AH308" s="1613"/>
      <c r="AI308" s="1172"/>
      <c r="AJ308" s="130"/>
      <c r="AK308" s="130"/>
      <c r="AL308" s="1050">
        <f t="shared" ref="AL308:AR308" si="1291">SUM(AL306:AL307)</f>
        <v>0</v>
      </c>
      <c r="AM308" s="1051">
        <f t="shared" si="1291"/>
        <v>0</v>
      </c>
      <c r="AN308" s="1051">
        <f t="shared" si="1291"/>
        <v>0</v>
      </c>
      <c r="AO308" s="1051">
        <f t="shared" si="1291"/>
        <v>0</v>
      </c>
      <c r="AP308" s="1052">
        <f t="shared" si="1291"/>
        <v>0</v>
      </c>
      <c r="AQ308" s="1050">
        <f t="shared" si="1291"/>
        <v>0</v>
      </c>
      <c r="AR308" s="1051">
        <f t="shared" si="1291"/>
        <v>0</v>
      </c>
      <c r="AS308" s="1052"/>
      <c r="AT308" s="130"/>
      <c r="AU308" s="130"/>
      <c r="AV308" s="130"/>
      <c r="AW308" s="130"/>
      <c r="AX308" s="130"/>
      <c r="AY308" s="130"/>
      <c r="AZ308" s="130"/>
      <c r="BA308" s="130"/>
      <c r="BB308" s="130"/>
      <c r="BC308" s="130"/>
      <c r="BD308" s="130"/>
      <c r="BE308" s="130"/>
      <c r="BF308" s="130"/>
      <c r="BG308" s="130"/>
      <c r="BH308" s="130"/>
      <c r="BI308" s="130"/>
      <c r="BJ308" s="130"/>
      <c r="BK308" s="130"/>
      <c r="BL308" s="130"/>
      <c r="BM308" s="130"/>
      <c r="BN308" s="130"/>
      <c r="BO308" s="130"/>
      <c r="BP308" s="130"/>
      <c r="BQ308" s="130"/>
      <c r="BR308" s="130"/>
      <c r="BS308" s="1155"/>
    </row>
    <row r="309" spans="5:71" s="474" customFormat="1">
      <c r="E309" s="4109"/>
      <c r="F309" s="1389" t="s">
        <v>35</v>
      </c>
      <c r="G309" s="255"/>
      <c r="H309" s="461"/>
      <c r="I309" s="461"/>
      <c r="J309" s="461"/>
      <c r="K309" s="281"/>
      <c r="L309" s="255"/>
      <c r="M309" s="461"/>
      <c r="N309" s="461"/>
      <c r="O309" s="461"/>
      <c r="P309" s="281"/>
      <c r="Q309" s="956"/>
      <c r="R309" s="461"/>
      <c r="S309" s="461"/>
      <c r="T309" s="461"/>
      <c r="U309" s="281"/>
      <c r="V309" s="1172"/>
      <c r="W309" s="255"/>
      <c r="X309" s="461"/>
      <c r="Y309" s="461"/>
      <c r="Z309" s="461"/>
      <c r="AA309" s="281"/>
      <c r="AB309" s="1004"/>
      <c r="AC309" s="255"/>
      <c r="AD309" s="461"/>
      <c r="AE309" s="461"/>
      <c r="AF309" s="461"/>
      <c r="AG309" s="461"/>
      <c r="AH309" s="1047"/>
      <c r="AI309" s="1172"/>
      <c r="AJ309" s="1155"/>
      <c r="AK309" s="1155"/>
      <c r="AL309" s="259"/>
      <c r="AM309" s="466"/>
      <c r="AN309" s="466"/>
      <c r="AO309" s="466"/>
      <c r="AP309" s="283"/>
      <c r="AQ309" s="259"/>
      <c r="AR309" s="466"/>
      <c r="AS309" s="283"/>
      <c r="AT309" s="1155"/>
      <c r="AU309" s="1155"/>
      <c r="AV309" s="1155"/>
      <c r="AW309" s="1155"/>
      <c r="AX309" s="1155"/>
      <c r="AY309" s="1155"/>
      <c r="AZ309" s="1155"/>
      <c r="BA309" s="1155"/>
      <c r="BB309" s="1155"/>
      <c r="BC309" s="1155"/>
      <c r="BD309" s="1155"/>
      <c r="BE309" s="1155"/>
      <c r="BF309" s="1155"/>
      <c r="BG309" s="1155"/>
      <c r="BH309" s="1155"/>
      <c r="BI309" s="1155"/>
      <c r="BJ309" s="1155"/>
      <c r="BK309" s="1155"/>
      <c r="BL309" s="1155"/>
      <c r="BM309" s="1155"/>
      <c r="BN309" s="1155"/>
      <c r="BO309" s="1155"/>
      <c r="BP309" s="1155"/>
      <c r="BQ309" s="1155"/>
      <c r="BR309" s="1155"/>
      <c r="BS309" s="1155"/>
    </row>
    <row r="310" spans="5:71" s="474" customFormat="1" ht="13.5" thickBot="1">
      <c r="E310" s="4109"/>
      <c r="F310" s="1387" t="s">
        <v>585</v>
      </c>
      <c r="G310" s="1055">
        <v>0</v>
      </c>
      <c r="H310" s="1056">
        <v>0</v>
      </c>
      <c r="I310" s="1056">
        <v>0</v>
      </c>
      <c r="J310" s="1056">
        <v>0</v>
      </c>
      <c r="K310" s="1057">
        <v>0</v>
      </c>
      <c r="L310" s="1567">
        <f>L308-L309</f>
        <v>0</v>
      </c>
      <c r="M310" s="1056">
        <f t="shared" ref="M310" si="1292">M308-M309</f>
        <v>911410.64999999991</v>
      </c>
      <c r="N310" s="1056">
        <f t="shared" ref="N310" si="1293">N308-N309</f>
        <v>0</v>
      </c>
      <c r="O310" s="1056">
        <f t="shared" ref="O310" si="1294">O308-O309</f>
        <v>0</v>
      </c>
      <c r="P310" s="1057">
        <f t="shared" ref="P310" si="1295">P308-P309</f>
        <v>0</v>
      </c>
      <c r="Q310" s="1093">
        <f t="shared" ref="Q310" si="1296">Q308-Q309</f>
        <v>0</v>
      </c>
      <c r="R310" s="1056">
        <f t="shared" ref="R310" si="1297">R308-R309</f>
        <v>0</v>
      </c>
      <c r="S310" s="1056">
        <f t="shared" ref="S310" si="1298">S308-S309</f>
        <v>0</v>
      </c>
      <c r="T310" s="1056">
        <f t="shared" ref="T310" si="1299">T308-T309</f>
        <v>0</v>
      </c>
      <c r="U310" s="1057">
        <f t="shared" ref="U310" si="1300">U308-U309</f>
        <v>0</v>
      </c>
      <c r="V310" s="1172"/>
      <c r="W310" s="1055">
        <f t="shared" ref="W310" si="1301">W308-W309</f>
        <v>0</v>
      </c>
      <c r="X310" s="1056">
        <f t="shared" ref="X310" si="1302">X308-X309</f>
        <v>0</v>
      </c>
      <c r="Y310" s="1056">
        <f t="shared" ref="Y310" si="1303">Y308-Y309</f>
        <v>0</v>
      </c>
      <c r="Z310" s="1056">
        <f t="shared" ref="Z310" si="1304">Z308-Z309</f>
        <v>0</v>
      </c>
      <c r="AA310" s="1057">
        <f t="shared" ref="AA310" si="1305">AA308-AA309</f>
        <v>0</v>
      </c>
      <c r="AB310" s="1075"/>
      <c r="AC310" s="1055">
        <f t="shared" ref="AC310" si="1306">AC308-AC309</f>
        <v>0</v>
      </c>
      <c r="AD310" s="1056">
        <f t="shared" ref="AD310" si="1307">AD308-AD309</f>
        <v>0</v>
      </c>
      <c r="AE310" s="1056">
        <f t="shared" ref="AE310" si="1308">AE308-AE309</f>
        <v>0</v>
      </c>
      <c r="AF310" s="1056">
        <f t="shared" ref="AF310" si="1309">AF308-AF309</f>
        <v>0</v>
      </c>
      <c r="AG310" s="1056">
        <f t="shared" ref="AG310" si="1310">AG308-AG309</f>
        <v>0</v>
      </c>
      <c r="AH310" s="1059"/>
      <c r="AI310" s="1172"/>
      <c r="AJ310" s="1155"/>
      <c r="AK310" s="1155"/>
      <c r="AL310" s="1567">
        <f>AL308-AL309</f>
        <v>0</v>
      </c>
      <c r="AM310" s="1056">
        <f t="shared" ref="AM310:AR310" si="1311">AM308-AM309</f>
        <v>0</v>
      </c>
      <c r="AN310" s="1056">
        <f t="shared" si="1311"/>
        <v>0</v>
      </c>
      <c r="AO310" s="1056">
        <f t="shared" si="1311"/>
        <v>0</v>
      </c>
      <c r="AP310" s="1057">
        <f t="shared" si="1311"/>
        <v>0</v>
      </c>
      <c r="AQ310" s="1567">
        <f t="shared" si="1311"/>
        <v>0</v>
      </c>
      <c r="AR310" s="1056">
        <f t="shared" si="1311"/>
        <v>0</v>
      </c>
      <c r="AS310" s="1057"/>
      <c r="AT310" s="1155"/>
      <c r="AU310" s="1155"/>
      <c r="AV310" s="1155"/>
      <c r="AW310" s="1155"/>
      <c r="AX310" s="1155"/>
      <c r="AY310" s="1155"/>
      <c r="AZ310" s="1155"/>
      <c r="BA310" s="1155"/>
      <c r="BB310" s="1155"/>
      <c r="BC310" s="1155"/>
      <c r="BD310" s="1155"/>
      <c r="BE310" s="1155"/>
      <c r="BF310" s="1155"/>
      <c r="BG310" s="1155"/>
      <c r="BH310" s="1155"/>
      <c r="BI310" s="1155"/>
      <c r="BJ310" s="1155"/>
      <c r="BK310" s="1155"/>
      <c r="BL310" s="1155"/>
      <c r="BM310" s="1155"/>
      <c r="BN310" s="1155"/>
      <c r="BO310" s="1155"/>
      <c r="BP310" s="1155"/>
      <c r="BQ310" s="1155"/>
      <c r="BR310" s="1155"/>
      <c r="BS310" s="1155"/>
    </row>
    <row r="311" spans="5:71" s="474" customFormat="1" ht="12.75" customHeight="1">
      <c r="E311" s="4110" t="s">
        <v>1494</v>
      </c>
      <c r="F311" s="433" t="s">
        <v>111</v>
      </c>
      <c r="G311" s="1086"/>
      <c r="H311" s="1087"/>
      <c r="I311" s="1087"/>
      <c r="J311" s="1087"/>
      <c r="K311" s="1088"/>
      <c r="L311" s="258"/>
      <c r="M311" s="465"/>
      <c r="N311" s="465"/>
      <c r="O311" s="465"/>
      <c r="P311" s="282"/>
      <c r="Q311" s="965"/>
      <c r="R311" s="465"/>
      <c r="S311" s="465"/>
      <c r="T311" s="465"/>
      <c r="U311" s="1044"/>
      <c r="V311" s="1172"/>
      <c r="W311" s="1043"/>
      <c r="X311" s="421"/>
      <c r="Y311" s="421"/>
      <c r="Z311" s="421"/>
      <c r="AA311" s="1044"/>
      <c r="AB311" s="1045"/>
      <c r="AC311" s="1043"/>
      <c r="AD311" s="421"/>
      <c r="AE311" s="421"/>
      <c r="AF311" s="421"/>
      <c r="AG311" s="421"/>
      <c r="AH311" s="1046"/>
      <c r="AI311" s="1172"/>
      <c r="AJ311" s="1155"/>
      <c r="AK311" s="1155"/>
      <c r="AL311" s="1086"/>
      <c r="AM311" s="1087"/>
      <c r="AN311" s="1087"/>
      <c r="AO311" s="1087"/>
      <c r="AP311" s="1088"/>
      <c r="AQ311" s="258"/>
      <c r="AR311" s="465"/>
      <c r="AS311" s="282"/>
      <c r="AT311" s="1155"/>
      <c r="AU311" s="1155"/>
      <c r="AV311" s="1155"/>
      <c r="AW311" s="1155"/>
      <c r="AX311" s="1155"/>
      <c r="AY311" s="1155"/>
      <c r="AZ311" s="1155"/>
      <c r="BA311" s="1155"/>
      <c r="BB311" s="1155"/>
      <c r="BC311" s="1155"/>
      <c r="BD311" s="1155"/>
      <c r="BE311" s="1155"/>
      <c r="BF311" s="1155"/>
      <c r="BG311" s="1155"/>
      <c r="BH311" s="1155"/>
      <c r="BI311" s="1155"/>
      <c r="BJ311" s="1155"/>
      <c r="BK311" s="1155"/>
      <c r="BL311" s="1155"/>
      <c r="BM311" s="1155"/>
      <c r="BN311" s="1155"/>
      <c r="BO311" s="1155"/>
      <c r="BP311" s="1155"/>
      <c r="BQ311" s="1155"/>
      <c r="BR311" s="1155"/>
      <c r="BS311" s="1155"/>
    </row>
    <row r="312" spans="5:71" s="474" customFormat="1" ht="12.75" customHeight="1">
      <c r="E312" s="4109"/>
      <c r="F312" s="1374" t="s">
        <v>588</v>
      </c>
      <c r="G312" s="1083"/>
      <c r="H312" s="1084"/>
      <c r="I312" s="1084"/>
      <c r="J312" s="1084"/>
      <c r="K312" s="1085"/>
      <c r="L312" s="255"/>
      <c r="M312" s="461">
        <v>4024</v>
      </c>
      <c r="N312" s="461"/>
      <c r="O312" s="461"/>
      <c r="P312" s="281"/>
      <c r="Q312" s="956"/>
      <c r="R312" s="461"/>
      <c r="S312" s="461"/>
      <c r="T312" s="461"/>
      <c r="U312" s="281"/>
      <c r="V312" s="1172"/>
      <c r="W312" s="255"/>
      <c r="X312" s="461"/>
      <c r="Y312" s="461"/>
      <c r="Z312" s="461"/>
      <c r="AA312" s="281"/>
      <c r="AB312" s="1041"/>
      <c r="AC312" s="255"/>
      <c r="AD312" s="461"/>
      <c r="AE312" s="461"/>
      <c r="AF312" s="461"/>
      <c r="AG312" s="461"/>
      <c r="AH312" s="1047"/>
      <c r="AI312" s="1172"/>
      <c r="AJ312" s="1155"/>
      <c r="AK312" s="1155"/>
      <c r="AL312" s="1083"/>
      <c r="AM312" s="1084"/>
      <c r="AN312" s="1084"/>
      <c r="AO312" s="1084"/>
      <c r="AP312" s="1085"/>
      <c r="AQ312" s="259"/>
      <c r="AR312" s="466"/>
      <c r="AS312" s="283"/>
      <c r="AT312" s="1155"/>
      <c r="AU312" s="1155"/>
      <c r="AV312" s="1155"/>
      <c r="AW312" s="1155"/>
      <c r="AX312" s="1155"/>
      <c r="AY312" s="1155"/>
      <c r="AZ312" s="1155"/>
      <c r="BA312" s="1155"/>
      <c r="BB312" s="1155"/>
      <c r="BC312" s="1155"/>
      <c r="BD312" s="1155"/>
      <c r="BE312" s="1155"/>
      <c r="BF312" s="1155"/>
      <c r="BG312" s="1155"/>
      <c r="BH312" s="1155"/>
      <c r="BI312" s="1155"/>
      <c r="BJ312" s="1155"/>
      <c r="BK312" s="1155"/>
      <c r="BL312" s="1155"/>
      <c r="BM312" s="1155"/>
      <c r="BN312" s="1155"/>
      <c r="BO312" s="1155"/>
      <c r="BP312" s="1155"/>
      <c r="BQ312" s="1155"/>
      <c r="BR312" s="1155"/>
      <c r="BS312" s="1155"/>
    </row>
    <row r="313" spans="5:71" s="474" customFormat="1" ht="12.75" customHeight="1">
      <c r="E313" s="4109"/>
      <c r="F313" s="1374" t="s">
        <v>589</v>
      </c>
      <c r="G313" s="1083"/>
      <c r="H313" s="1084"/>
      <c r="I313" s="1084"/>
      <c r="J313" s="1084"/>
      <c r="K313" s="1085"/>
      <c r="L313" s="255"/>
      <c r="M313" s="461"/>
      <c r="N313" s="461"/>
      <c r="O313" s="461"/>
      <c r="P313" s="281"/>
      <c r="Q313" s="956"/>
      <c r="R313" s="461"/>
      <c r="S313" s="461"/>
      <c r="T313" s="461"/>
      <c r="U313" s="281"/>
      <c r="V313" s="1172"/>
      <c r="W313" s="255"/>
      <c r="X313" s="461"/>
      <c r="Y313" s="461"/>
      <c r="Z313" s="461"/>
      <c r="AA313" s="281"/>
      <c r="AB313" s="1041"/>
      <c r="AC313" s="255"/>
      <c r="AD313" s="461"/>
      <c r="AE313" s="461"/>
      <c r="AF313" s="461"/>
      <c r="AG313" s="461"/>
      <c r="AH313" s="1047"/>
      <c r="AI313" s="1172"/>
      <c r="AJ313" s="1155"/>
      <c r="AK313" s="1155"/>
      <c r="AL313" s="1083"/>
      <c r="AM313" s="1084"/>
      <c r="AN313" s="1084"/>
      <c r="AO313" s="1084"/>
      <c r="AP313" s="1085"/>
      <c r="AQ313" s="259"/>
      <c r="AR313" s="466"/>
      <c r="AS313" s="283"/>
      <c r="AT313" s="1155"/>
      <c r="AU313" s="1155"/>
      <c r="AV313" s="1155"/>
      <c r="AW313" s="1155"/>
      <c r="AX313" s="1155"/>
      <c r="AY313" s="1155"/>
      <c r="AZ313" s="1155"/>
      <c r="BA313" s="1155"/>
      <c r="BB313" s="1155"/>
      <c r="BC313" s="1155"/>
      <c r="BD313" s="1155"/>
      <c r="BE313" s="1155"/>
      <c r="BF313" s="1155"/>
      <c r="BG313" s="1155"/>
      <c r="BH313" s="1155"/>
      <c r="BI313" s="1155"/>
      <c r="BJ313" s="1155"/>
      <c r="BK313" s="1155"/>
      <c r="BL313" s="1155"/>
      <c r="BM313" s="1155"/>
      <c r="BN313" s="1155"/>
      <c r="BO313" s="1155"/>
      <c r="BP313" s="1155"/>
      <c r="BQ313" s="1155"/>
      <c r="BR313" s="1155"/>
      <c r="BS313" s="1155"/>
    </row>
    <row r="314" spans="5:71" s="474" customFormat="1" ht="12.75" customHeight="1">
      <c r="E314" s="4109"/>
      <c r="F314" s="1374" t="s">
        <v>590</v>
      </c>
      <c r="G314" s="1083"/>
      <c r="H314" s="1084"/>
      <c r="I314" s="1084"/>
      <c r="J314" s="1084"/>
      <c r="K314" s="1085"/>
      <c r="L314" s="255"/>
      <c r="M314" s="461"/>
      <c r="N314" s="461"/>
      <c r="O314" s="461"/>
      <c r="P314" s="281"/>
      <c r="Q314" s="956"/>
      <c r="R314" s="461"/>
      <c r="S314" s="461"/>
      <c r="T314" s="461"/>
      <c r="U314" s="281"/>
      <c r="V314" s="1172"/>
      <c r="W314" s="255"/>
      <c r="X314" s="461"/>
      <c r="Y314" s="461"/>
      <c r="Z314" s="461"/>
      <c r="AA314" s="281"/>
      <c r="AB314" s="1041"/>
      <c r="AC314" s="255"/>
      <c r="AD314" s="461"/>
      <c r="AE314" s="461"/>
      <c r="AF314" s="461"/>
      <c r="AG314" s="461"/>
      <c r="AH314" s="1047"/>
      <c r="AI314" s="1172"/>
      <c r="AJ314" s="1155"/>
      <c r="AK314" s="1155"/>
      <c r="AL314" s="1083"/>
      <c r="AM314" s="1084"/>
      <c r="AN314" s="1084"/>
      <c r="AO314" s="1084"/>
      <c r="AP314" s="1085"/>
      <c r="AQ314" s="259"/>
      <c r="AR314" s="466"/>
      <c r="AS314" s="283"/>
      <c r="AT314" s="1155"/>
      <c r="AU314" s="1155"/>
      <c r="AV314" s="1155"/>
      <c r="AW314" s="1155"/>
      <c r="AX314" s="1155"/>
      <c r="AY314" s="1155"/>
      <c r="AZ314" s="1155"/>
      <c r="BA314" s="1155"/>
      <c r="BB314" s="1155"/>
      <c r="BC314" s="1155"/>
      <c r="BD314" s="1155"/>
      <c r="BE314" s="1155"/>
      <c r="BF314" s="1155"/>
      <c r="BG314" s="1155"/>
      <c r="BH314" s="1155"/>
      <c r="BI314" s="1155"/>
      <c r="BJ314" s="1155"/>
      <c r="BK314" s="1155"/>
      <c r="BL314" s="1155"/>
      <c r="BM314" s="1155"/>
      <c r="BN314" s="1155"/>
      <c r="BO314" s="1155"/>
      <c r="BP314" s="1155"/>
      <c r="BQ314" s="1155"/>
      <c r="BR314" s="1155"/>
      <c r="BS314" s="1155"/>
    </row>
    <row r="315" spans="5:71" s="474" customFormat="1" ht="12.75" customHeight="1">
      <c r="E315" s="4109"/>
      <c r="F315" s="1374" t="s">
        <v>591</v>
      </c>
      <c r="G315" s="1083"/>
      <c r="H315" s="1084"/>
      <c r="I315" s="1084"/>
      <c r="J315" s="1084"/>
      <c r="K315" s="1085"/>
      <c r="L315" s="255"/>
      <c r="M315" s="461"/>
      <c r="N315" s="461"/>
      <c r="O315" s="461"/>
      <c r="P315" s="281"/>
      <c r="Q315" s="956"/>
      <c r="R315" s="461"/>
      <c r="S315" s="461"/>
      <c r="T315" s="461"/>
      <c r="U315" s="281"/>
      <c r="V315" s="1172"/>
      <c r="W315" s="255"/>
      <c r="X315" s="461"/>
      <c r="Y315" s="461"/>
      <c r="Z315" s="461"/>
      <c r="AA315" s="281"/>
      <c r="AB315" s="1041"/>
      <c r="AC315" s="255"/>
      <c r="AD315" s="461"/>
      <c r="AE315" s="461"/>
      <c r="AF315" s="461"/>
      <c r="AG315" s="461"/>
      <c r="AH315" s="1047"/>
      <c r="AI315" s="1172"/>
      <c r="AJ315" s="1155"/>
      <c r="AK315" s="1155"/>
      <c r="AL315" s="1083"/>
      <c r="AM315" s="1084"/>
      <c r="AN315" s="1084"/>
      <c r="AO315" s="1084"/>
      <c r="AP315" s="1085"/>
      <c r="AQ315" s="259"/>
      <c r="AR315" s="466"/>
      <c r="AS315" s="283"/>
      <c r="AT315" s="1155"/>
      <c r="AU315" s="1155"/>
      <c r="AV315" s="1155"/>
      <c r="AW315" s="1155"/>
      <c r="AX315" s="1155"/>
      <c r="AY315" s="1155"/>
      <c r="AZ315" s="1155"/>
      <c r="BA315" s="1155"/>
      <c r="BB315" s="1155"/>
      <c r="BC315" s="1155"/>
      <c r="BD315" s="1155"/>
      <c r="BE315" s="1155"/>
      <c r="BF315" s="1155"/>
      <c r="BG315" s="1155"/>
      <c r="BH315" s="1155"/>
      <c r="BI315" s="1155"/>
      <c r="BJ315" s="1155"/>
      <c r="BK315" s="1155"/>
      <c r="BL315" s="1155"/>
      <c r="BM315" s="1155"/>
      <c r="BN315" s="1155"/>
      <c r="BO315" s="1155"/>
      <c r="BP315" s="1155"/>
      <c r="BQ315" s="1155"/>
      <c r="BR315" s="1155"/>
      <c r="BS315" s="1155"/>
    </row>
    <row r="316" spans="5:71" s="474" customFormat="1" ht="12.75" customHeight="1">
      <c r="E316" s="4109"/>
      <c r="F316" s="1374" t="s">
        <v>592</v>
      </c>
      <c r="G316" s="1083"/>
      <c r="H316" s="1084"/>
      <c r="I316" s="1084"/>
      <c r="J316" s="1084"/>
      <c r="K316" s="1085"/>
      <c r="L316" s="207"/>
      <c r="M316" s="456"/>
      <c r="N316" s="456"/>
      <c r="O316" s="456"/>
      <c r="P316" s="457"/>
      <c r="Q316" s="224"/>
      <c r="R316" s="456"/>
      <c r="S316" s="456"/>
      <c r="T316" s="456"/>
      <c r="U316" s="457"/>
      <c r="V316" s="1172"/>
      <c r="W316" s="207">
        <v>0</v>
      </c>
      <c r="X316" s="456">
        <v>0</v>
      </c>
      <c r="Y316" s="456">
        <v>0</v>
      </c>
      <c r="Z316" s="456">
        <v>0</v>
      </c>
      <c r="AA316" s="457">
        <v>0</v>
      </c>
      <c r="AB316" s="1041"/>
      <c r="AC316" s="207">
        <v>0</v>
      </c>
      <c r="AD316" s="456">
        <v>0</v>
      </c>
      <c r="AE316" s="456">
        <v>0</v>
      </c>
      <c r="AF316" s="456">
        <v>0</v>
      </c>
      <c r="AG316" s="456">
        <v>0</v>
      </c>
      <c r="AH316" s="1048"/>
      <c r="AI316" s="1172"/>
      <c r="AJ316" s="1155"/>
      <c r="AK316" s="1155"/>
      <c r="AL316" s="1083"/>
      <c r="AM316" s="1084"/>
      <c r="AN316" s="1084"/>
      <c r="AO316" s="1084"/>
      <c r="AP316" s="1085"/>
      <c r="AQ316" s="207">
        <f>SUM(AQ311:AQ315)</f>
        <v>0</v>
      </c>
      <c r="AR316" s="456">
        <f t="shared" ref="AR316" si="1312">SUM(AR311:AR315)</f>
        <v>0</v>
      </c>
      <c r="AS316" s="457"/>
      <c r="AT316" s="1155"/>
      <c r="AU316" s="1155"/>
      <c r="AV316" s="1155"/>
      <c r="AW316" s="1155"/>
      <c r="AX316" s="1155"/>
      <c r="AY316" s="1155"/>
      <c r="AZ316" s="1155"/>
      <c r="BA316" s="1155"/>
      <c r="BB316" s="1155"/>
      <c r="BC316" s="1155"/>
      <c r="BD316" s="1155"/>
      <c r="BE316" s="1155"/>
      <c r="BF316" s="1155"/>
      <c r="BG316" s="1155"/>
      <c r="BH316" s="1155"/>
      <c r="BI316" s="1155"/>
      <c r="BJ316" s="1155"/>
      <c r="BK316" s="1155"/>
      <c r="BL316" s="1155"/>
      <c r="BM316" s="1155"/>
      <c r="BN316" s="1155"/>
      <c r="BO316" s="1155"/>
      <c r="BP316" s="1155"/>
      <c r="BQ316" s="1155"/>
      <c r="BR316" s="1155"/>
      <c r="BS316" s="1155"/>
    </row>
    <row r="317" spans="5:71" s="474" customFormat="1">
      <c r="E317" s="4109"/>
      <c r="F317" s="1375" t="s">
        <v>587</v>
      </c>
      <c r="G317" s="1086"/>
      <c r="H317" s="1087"/>
      <c r="I317" s="1087"/>
      <c r="J317" s="1087"/>
      <c r="K317" s="1088"/>
      <c r="L317" s="258">
        <f>SUM(L312:L316)</f>
        <v>0</v>
      </c>
      <c r="M317" s="465">
        <f t="shared" ref="M317" si="1313">SUM(M312:M316)</f>
        <v>4024</v>
      </c>
      <c r="N317" s="465">
        <f t="shared" ref="N317" si="1314">SUM(N312:N316)</f>
        <v>0</v>
      </c>
      <c r="O317" s="465">
        <f t="shared" ref="O317" si="1315">SUM(O312:O316)</f>
        <v>0</v>
      </c>
      <c r="P317" s="282">
        <f t="shared" ref="P317" si="1316">SUM(P312:P316)</f>
        <v>0</v>
      </c>
      <c r="Q317" s="965">
        <f t="shared" ref="Q317" si="1317">SUM(Q312:Q316)</f>
        <v>0</v>
      </c>
      <c r="R317" s="465">
        <f t="shared" ref="R317" si="1318">SUM(R312:R316)</f>
        <v>0</v>
      </c>
      <c r="S317" s="465">
        <f t="shared" ref="S317" si="1319">SUM(S312:S316)</f>
        <v>0</v>
      </c>
      <c r="T317" s="465">
        <f t="shared" ref="T317" si="1320">SUM(T312:T316)</f>
        <v>0</v>
      </c>
      <c r="U317" s="282">
        <f t="shared" ref="U317" si="1321">SUM(U312:U316)</f>
        <v>0</v>
      </c>
      <c r="V317" s="1172"/>
      <c r="W317" s="258">
        <f t="shared" ref="W317" si="1322">SUM(W312:W316)</f>
        <v>0</v>
      </c>
      <c r="X317" s="465">
        <f t="shared" ref="X317" si="1323">SUM(X312:X316)</f>
        <v>0</v>
      </c>
      <c r="Y317" s="465">
        <f t="shared" ref="Y317" si="1324">SUM(Y312:Y316)</f>
        <v>0</v>
      </c>
      <c r="Z317" s="465">
        <f t="shared" ref="Z317" si="1325">SUM(Z312:Z316)</f>
        <v>0</v>
      </c>
      <c r="AA317" s="282">
        <f t="shared" ref="AA317" si="1326">SUM(AA312:AA316)</f>
        <v>0</v>
      </c>
      <c r="AB317" s="992"/>
      <c r="AC317" s="258">
        <f t="shared" ref="AC317" si="1327">SUM(AC312:AC316)</f>
        <v>0</v>
      </c>
      <c r="AD317" s="465">
        <f t="shared" ref="AD317" si="1328">SUM(AD312:AD316)</f>
        <v>0</v>
      </c>
      <c r="AE317" s="465">
        <f t="shared" ref="AE317" si="1329">SUM(AE312:AE316)</f>
        <v>0</v>
      </c>
      <c r="AF317" s="465">
        <f t="shared" ref="AF317" si="1330">SUM(AF312:AF316)</f>
        <v>0</v>
      </c>
      <c r="AG317" s="465">
        <f t="shared" ref="AG317" si="1331">SUM(AG312:AG316)</f>
        <v>0</v>
      </c>
      <c r="AH317" s="1049"/>
      <c r="AI317" s="1172"/>
      <c r="AJ317" s="1155"/>
      <c r="AK317" s="1155"/>
      <c r="AL317" s="1086"/>
      <c r="AM317" s="1087"/>
      <c r="AN317" s="1087"/>
      <c r="AO317" s="1087"/>
      <c r="AP317" s="1088"/>
      <c r="AQ317" s="258"/>
      <c r="AR317" s="465"/>
      <c r="AS317" s="282"/>
      <c r="AT317" s="1155"/>
      <c r="AU317" s="1155"/>
      <c r="AV317" s="1155"/>
      <c r="AW317" s="1155"/>
      <c r="AX317" s="1155"/>
      <c r="AY317" s="1155"/>
      <c r="AZ317" s="1155"/>
      <c r="BA317" s="1155"/>
      <c r="BB317" s="1155"/>
      <c r="BC317" s="1155"/>
      <c r="BD317" s="1155"/>
      <c r="BE317" s="1155"/>
      <c r="BF317" s="1155"/>
      <c r="BG317" s="1155"/>
      <c r="BH317" s="1155"/>
      <c r="BI317" s="1155"/>
      <c r="BJ317" s="1155"/>
      <c r="BK317" s="1155"/>
      <c r="BL317" s="1155"/>
      <c r="BM317" s="1155"/>
      <c r="BN317" s="1155"/>
      <c r="BO317" s="1155"/>
      <c r="BP317" s="1155"/>
      <c r="BQ317" s="1155"/>
      <c r="BR317" s="1155"/>
      <c r="BS317" s="1155"/>
    </row>
    <row r="318" spans="5:71" s="474" customFormat="1">
      <c r="E318" s="4109"/>
      <c r="F318" s="1376" t="s">
        <v>593</v>
      </c>
      <c r="G318" s="1083"/>
      <c r="H318" s="1084"/>
      <c r="I318" s="1084"/>
      <c r="J318" s="1084"/>
      <c r="K318" s="1085"/>
      <c r="L318" s="255"/>
      <c r="M318" s="461"/>
      <c r="N318" s="461"/>
      <c r="O318" s="461"/>
      <c r="P318" s="281"/>
      <c r="Q318" s="956"/>
      <c r="R318" s="461"/>
      <c r="S318" s="461"/>
      <c r="T318" s="461"/>
      <c r="U318" s="281"/>
      <c r="V318" s="1172"/>
      <c r="W318" s="255"/>
      <c r="X318" s="461"/>
      <c r="Y318" s="461"/>
      <c r="Z318" s="461"/>
      <c r="AA318" s="281"/>
      <c r="AB318" s="1041"/>
      <c r="AC318" s="255"/>
      <c r="AD318" s="461"/>
      <c r="AE318" s="461"/>
      <c r="AF318" s="461"/>
      <c r="AG318" s="461"/>
      <c r="AH318" s="1047"/>
      <c r="AI318" s="1172"/>
      <c r="AJ318" s="1155"/>
      <c r="AK318" s="1155"/>
      <c r="AL318" s="1083"/>
      <c r="AM318" s="1084"/>
      <c r="AN318" s="1084"/>
      <c r="AO318" s="1084"/>
      <c r="AP318" s="1085"/>
      <c r="AQ318" s="259"/>
      <c r="AR318" s="466"/>
      <c r="AS318" s="283"/>
      <c r="AT318" s="1155"/>
      <c r="AU318" s="1155"/>
      <c r="AV318" s="1155"/>
      <c r="AW318" s="1155"/>
      <c r="AX318" s="1155"/>
      <c r="AY318" s="1155"/>
      <c r="AZ318" s="1155"/>
      <c r="BA318" s="1155"/>
      <c r="BB318" s="1155"/>
      <c r="BC318" s="1155"/>
      <c r="BD318" s="1155"/>
      <c r="BE318" s="1155"/>
      <c r="BF318" s="1155"/>
      <c r="BG318" s="1155"/>
      <c r="BH318" s="1155"/>
      <c r="BI318" s="1155"/>
      <c r="BJ318" s="1155"/>
      <c r="BK318" s="1155"/>
      <c r="BL318" s="1155"/>
      <c r="BM318" s="1155"/>
      <c r="BN318" s="1155"/>
      <c r="BO318" s="1155"/>
      <c r="BP318" s="1155"/>
      <c r="BQ318" s="1155"/>
      <c r="BR318" s="1155"/>
      <c r="BS318" s="1155"/>
    </row>
    <row r="319" spans="5:71" s="474" customFormat="1">
      <c r="E319" s="4109"/>
      <c r="F319" s="431" t="s">
        <v>558</v>
      </c>
      <c r="G319" s="1083"/>
      <c r="H319" s="1084"/>
      <c r="I319" s="1084"/>
      <c r="J319" s="1084"/>
      <c r="K319" s="1085"/>
      <c r="L319" s="255"/>
      <c r="M319" s="461">
        <v>1174843.3900000001</v>
      </c>
      <c r="N319" s="461"/>
      <c r="O319" s="461"/>
      <c r="P319" s="281"/>
      <c r="Q319" s="956"/>
      <c r="R319" s="461"/>
      <c r="S319" s="461"/>
      <c r="T319" s="461"/>
      <c r="U319" s="281"/>
      <c r="V319" s="1172"/>
      <c r="W319" s="255"/>
      <c r="X319" s="461"/>
      <c r="Y319" s="461"/>
      <c r="Z319" s="461"/>
      <c r="AA319" s="281"/>
      <c r="AB319" s="1041"/>
      <c r="AC319" s="255"/>
      <c r="AD319" s="461"/>
      <c r="AE319" s="461"/>
      <c r="AF319" s="461"/>
      <c r="AG319" s="461"/>
      <c r="AH319" s="1047"/>
      <c r="AI319" s="1172"/>
      <c r="AJ319" s="1155"/>
      <c r="AK319" s="1155"/>
      <c r="AL319" s="1083"/>
      <c r="AM319" s="1084"/>
      <c r="AN319" s="1084"/>
      <c r="AO319" s="1084"/>
      <c r="AP319" s="1085"/>
      <c r="AQ319" s="259"/>
      <c r="AR319" s="466"/>
      <c r="AS319" s="283"/>
      <c r="AT319" s="1155"/>
      <c r="AU319" s="1155"/>
      <c r="AV319" s="1155"/>
      <c r="AW319" s="1155"/>
      <c r="AX319" s="1155"/>
      <c r="AY319" s="1155"/>
      <c r="AZ319" s="1155"/>
      <c r="BA319" s="1155"/>
      <c r="BB319" s="1155"/>
      <c r="BC319" s="1155"/>
      <c r="BD319" s="1155"/>
      <c r="BE319" s="1155"/>
      <c r="BF319" s="1155"/>
      <c r="BG319" s="1155"/>
      <c r="BH319" s="1155"/>
      <c r="BI319" s="1155"/>
      <c r="BJ319" s="1155"/>
      <c r="BK319" s="1155"/>
      <c r="BL319" s="1155"/>
      <c r="BM319" s="1155"/>
      <c r="BN319" s="1155"/>
      <c r="BO319" s="1155"/>
      <c r="BP319" s="1155"/>
      <c r="BQ319" s="1155"/>
      <c r="BR319" s="1155"/>
      <c r="BS319" s="1155"/>
    </row>
    <row r="320" spans="5:71" s="474" customFormat="1">
      <c r="E320" s="4109"/>
      <c r="F320" s="431" t="s">
        <v>559</v>
      </c>
      <c r="G320" s="1083"/>
      <c r="H320" s="1084"/>
      <c r="I320" s="1084"/>
      <c r="J320" s="1084"/>
      <c r="K320" s="1085"/>
      <c r="L320" s="255"/>
      <c r="M320" s="461"/>
      <c r="N320" s="461"/>
      <c r="O320" s="461"/>
      <c r="P320" s="281"/>
      <c r="Q320" s="956"/>
      <c r="R320" s="461"/>
      <c r="S320" s="461"/>
      <c r="T320" s="461"/>
      <c r="U320" s="281"/>
      <c r="V320" s="1172"/>
      <c r="W320" s="255"/>
      <c r="X320" s="461"/>
      <c r="Y320" s="461"/>
      <c r="Z320" s="461"/>
      <c r="AA320" s="281"/>
      <c r="AB320" s="1041"/>
      <c r="AC320" s="255"/>
      <c r="AD320" s="461"/>
      <c r="AE320" s="461"/>
      <c r="AF320" s="461"/>
      <c r="AG320" s="461"/>
      <c r="AH320" s="1047"/>
      <c r="AI320" s="1172"/>
      <c r="AJ320" s="1155"/>
      <c r="AK320" s="1155"/>
      <c r="AL320" s="1083"/>
      <c r="AM320" s="1084"/>
      <c r="AN320" s="1084"/>
      <c r="AO320" s="1084"/>
      <c r="AP320" s="1085"/>
      <c r="AQ320" s="259"/>
      <c r="AR320" s="466"/>
      <c r="AS320" s="283"/>
      <c r="AT320" s="1155"/>
      <c r="AU320" s="1155"/>
      <c r="AV320" s="1155"/>
      <c r="AW320" s="1155"/>
      <c r="AX320" s="1155"/>
      <c r="AY320" s="1155"/>
      <c r="AZ320" s="1155"/>
      <c r="BA320" s="1155"/>
      <c r="BB320" s="1155"/>
      <c r="BC320" s="1155"/>
      <c r="BD320" s="1155"/>
      <c r="BE320" s="1155"/>
      <c r="BF320" s="1155"/>
      <c r="BG320" s="1155"/>
      <c r="BH320" s="1155"/>
      <c r="BI320" s="1155"/>
      <c r="BJ320" s="1155"/>
      <c r="BK320" s="1155"/>
      <c r="BL320" s="1155"/>
      <c r="BM320" s="1155"/>
      <c r="BN320" s="1155"/>
      <c r="BO320" s="1155"/>
      <c r="BP320" s="1155"/>
      <c r="BQ320" s="1155"/>
      <c r="BR320" s="1155"/>
      <c r="BS320" s="1155"/>
    </row>
    <row r="321" spans="5:71" s="474" customFormat="1">
      <c r="E321" s="4109"/>
      <c r="F321" s="431" t="s">
        <v>578</v>
      </c>
      <c r="G321" s="1089"/>
      <c r="H321" s="1090"/>
      <c r="I321" s="1090"/>
      <c r="J321" s="1090"/>
      <c r="K321" s="1091"/>
      <c r="L321" s="259"/>
      <c r="M321" s="456"/>
      <c r="N321" s="456"/>
      <c r="O321" s="456"/>
      <c r="P321" s="457"/>
      <c r="Q321" s="224"/>
      <c r="R321" s="456"/>
      <c r="S321" s="456"/>
      <c r="T321" s="456"/>
      <c r="U321" s="457"/>
      <c r="V321" s="1172"/>
      <c r="W321" s="207"/>
      <c r="X321" s="456"/>
      <c r="Y321" s="456"/>
      <c r="Z321" s="456"/>
      <c r="AA321" s="457"/>
      <c r="AB321" s="1041"/>
      <c r="AC321" s="207"/>
      <c r="AD321" s="456"/>
      <c r="AE321" s="456"/>
      <c r="AF321" s="456"/>
      <c r="AG321" s="456"/>
      <c r="AH321" s="1048"/>
      <c r="AI321" s="1172"/>
      <c r="AJ321" s="1155"/>
      <c r="AK321" s="1155"/>
      <c r="AL321" s="1089"/>
      <c r="AM321" s="1090"/>
      <c r="AN321" s="1090"/>
      <c r="AO321" s="1090"/>
      <c r="AP321" s="1091"/>
      <c r="AQ321" s="259"/>
      <c r="AR321" s="466"/>
      <c r="AS321" s="283"/>
      <c r="AT321" s="1155"/>
      <c r="AU321" s="1155"/>
      <c r="AV321" s="1155"/>
      <c r="AW321" s="1155"/>
      <c r="AX321" s="1155"/>
      <c r="AY321" s="1155"/>
      <c r="AZ321" s="1155"/>
      <c r="BA321" s="1155"/>
      <c r="BB321" s="1155"/>
      <c r="BC321" s="1155"/>
      <c r="BD321" s="1155"/>
      <c r="BE321" s="1155"/>
      <c r="BF321" s="1155"/>
      <c r="BG321" s="1155"/>
      <c r="BH321" s="1155"/>
      <c r="BI321" s="1155"/>
      <c r="BJ321" s="1155"/>
      <c r="BK321" s="1155"/>
      <c r="BL321" s="1155"/>
      <c r="BM321" s="1155"/>
      <c r="BN321" s="1155"/>
      <c r="BO321" s="1155"/>
      <c r="BP321" s="1155"/>
      <c r="BQ321" s="1155"/>
      <c r="BR321" s="1155"/>
      <c r="BS321" s="1155"/>
    </row>
    <row r="322" spans="5:71" s="474" customFormat="1">
      <c r="E322" s="4109"/>
      <c r="F322" s="1377" t="s">
        <v>579</v>
      </c>
      <c r="G322" s="1086"/>
      <c r="H322" s="1087"/>
      <c r="I322" s="1087"/>
      <c r="J322" s="1087"/>
      <c r="K322" s="1088"/>
      <c r="L322" s="258">
        <f>SUM(L318:L321)</f>
        <v>0</v>
      </c>
      <c r="M322" s="465">
        <f t="shared" ref="M322" si="1332">SUM(M318:M321)</f>
        <v>1174843.3900000001</v>
      </c>
      <c r="N322" s="465">
        <f t="shared" ref="N322" si="1333">SUM(N318:N321)</f>
        <v>0</v>
      </c>
      <c r="O322" s="465">
        <f t="shared" ref="O322" si="1334">SUM(O318:O321)</f>
        <v>0</v>
      </c>
      <c r="P322" s="282">
        <f t="shared" ref="P322" si="1335">SUM(P318:P321)</f>
        <v>0</v>
      </c>
      <c r="Q322" s="965">
        <f t="shared" ref="Q322" si="1336">SUM(Q318:Q321)</f>
        <v>0</v>
      </c>
      <c r="R322" s="465">
        <f t="shared" ref="R322" si="1337">SUM(R318:R321)</f>
        <v>0</v>
      </c>
      <c r="S322" s="465">
        <f t="shared" ref="S322" si="1338">SUM(S318:S321)</f>
        <v>0</v>
      </c>
      <c r="T322" s="465">
        <f t="shared" ref="T322" si="1339">SUM(T318:T321)</f>
        <v>0</v>
      </c>
      <c r="U322" s="282">
        <f t="shared" ref="U322" si="1340">SUM(U318:U321)</f>
        <v>0</v>
      </c>
      <c r="V322" s="1172"/>
      <c r="W322" s="258">
        <f t="shared" ref="W322" si="1341">SUM(W318:W321)</f>
        <v>0</v>
      </c>
      <c r="X322" s="465">
        <f t="shared" ref="X322" si="1342">SUM(X318:X321)</f>
        <v>0</v>
      </c>
      <c r="Y322" s="465">
        <f t="shared" ref="Y322" si="1343">SUM(Y318:Y321)</f>
        <v>0</v>
      </c>
      <c r="Z322" s="465">
        <f t="shared" ref="Z322" si="1344">SUM(Z318:Z321)</f>
        <v>0</v>
      </c>
      <c r="AA322" s="282">
        <f t="shared" ref="AA322" si="1345">SUM(AA318:AA321)</f>
        <v>0</v>
      </c>
      <c r="AB322" s="992"/>
      <c r="AC322" s="258">
        <f t="shared" ref="AC322" si="1346">SUM(AC318:AC321)</f>
        <v>0</v>
      </c>
      <c r="AD322" s="465">
        <f t="shared" ref="AD322" si="1347">SUM(AD318:AD321)</f>
        <v>0</v>
      </c>
      <c r="AE322" s="465">
        <f t="shared" ref="AE322" si="1348">SUM(AE318:AE321)</f>
        <v>0</v>
      </c>
      <c r="AF322" s="465">
        <f t="shared" ref="AF322" si="1349">SUM(AF318:AF321)</f>
        <v>0</v>
      </c>
      <c r="AG322" s="465">
        <f t="shared" ref="AG322" si="1350">SUM(AG318:AG321)</f>
        <v>0</v>
      </c>
      <c r="AH322" s="1049"/>
      <c r="AI322" s="1172"/>
      <c r="AJ322" s="1155"/>
      <c r="AK322" s="1155"/>
      <c r="AL322" s="1086"/>
      <c r="AM322" s="1087"/>
      <c r="AN322" s="1087"/>
      <c r="AO322" s="1087"/>
      <c r="AP322" s="1088"/>
      <c r="AQ322" s="258">
        <f>SUM(AQ319:AQ321)</f>
        <v>0</v>
      </c>
      <c r="AR322" s="465">
        <f t="shared" ref="AR322" si="1351">SUM(AR319:AR321)</f>
        <v>0</v>
      </c>
      <c r="AS322" s="282"/>
      <c r="AT322" s="1155"/>
      <c r="AU322" s="1155"/>
      <c r="AV322" s="1155"/>
      <c r="AW322" s="1155"/>
      <c r="AX322" s="1155"/>
      <c r="AY322" s="1155"/>
      <c r="AZ322" s="1155"/>
      <c r="BA322" s="1155"/>
      <c r="BB322" s="1155"/>
      <c r="BC322" s="1155"/>
      <c r="BD322" s="1155"/>
      <c r="BE322" s="1155"/>
      <c r="BF322" s="1155"/>
      <c r="BG322" s="1155"/>
      <c r="BH322" s="1155"/>
      <c r="BI322" s="1155"/>
      <c r="BJ322" s="1155"/>
      <c r="BK322" s="1155"/>
      <c r="BL322" s="1155"/>
      <c r="BM322" s="1155"/>
      <c r="BN322" s="1155"/>
      <c r="BO322" s="1155"/>
      <c r="BP322" s="1155"/>
      <c r="BQ322" s="1155"/>
      <c r="BR322" s="1155"/>
      <c r="BS322" s="1155"/>
    </row>
    <row r="323" spans="5:71" s="474" customFormat="1" ht="13.5" thickBot="1">
      <c r="E323" s="4109"/>
      <c r="F323" s="1035" t="s">
        <v>583</v>
      </c>
      <c r="G323" s="255"/>
      <c r="H323" s="461"/>
      <c r="I323" s="461"/>
      <c r="J323" s="461"/>
      <c r="K323" s="281"/>
      <c r="L323" s="207"/>
      <c r="M323" s="456"/>
      <c r="N323" s="456"/>
      <c r="O323" s="456"/>
      <c r="P323" s="457"/>
      <c r="Q323" s="224"/>
      <c r="R323" s="456"/>
      <c r="S323" s="456"/>
      <c r="T323" s="456"/>
      <c r="U323" s="457"/>
      <c r="V323" s="1172"/>
      <c r="W323" s="207"/>
      <c r="X323" s="461"/>
      <c r="Y323" s="461"/>
      <c r="Z323" s="461"/>
      <c r="AA323" s="281"/>
      <c r="AB323" s="1041"/>
      <c r="AC323" s="207"/>
      <c r="AD323" s="456"/>
      <c r="AE323" s="456"/>
      <c r="AF323" s="456"/>
      <c r="AG323" s="456"/>
      <c r="AH323" s="1048"/>
      <c r="AI323" s="1172"/>
      <c r="AJ323" s="1155"/>
      <c r="AK323" s="1155"/>
      <c r="AL323" s="259"/>
      <c r="AM323" s="466"/>
      <c r="AN323" s="466"/>
      <c r="AO323" s="466"/>
      <c r="AP323" s="283"/>
      <c r="AQ323" s="259"/>
      <c r="AR323" s="466"/>
      <c r="AS323" s="283"/>
      <c r="AT323" s="1155"/>
      <c r="AU323" s="1155"/>
      <c r="AV323" s="1155"/>
      <c r="AW323" s="1155"/>
      <c r="AX323" s="1155"/>
      <c r="AY323" s="1155"/>
      <c r="AZ323" s="1155"/>
      <c r="BA323" s="1155"/>
      <c r="BB323" s="1155"/>
      <c r="BC323" s="1155"/>
      <c r="BD323" s="1155"/>
      <c r="BE323" s="1155"/>
      <c r="BF323" s="1155"/>
      <c r="BG323" s="1155"/>
      <c r="BH323" s="1155"/>
      <c r="BI323" s="1155"/>
      <c r="BJ323" s="1155"/>
      <c r="BK323" s="1155"/>
      <c r="BL323" s="1155"/>
      <c r="BM323" s="1155"/>
      <c r="BN323" s="1155"/>
      <c r="BO323" s="1155"/>
      <c r="BP323" s="1155"/>
      <c r="BQ323" s="1155"/>
      <c r="BR323" s="1155"/>
      <c r="BS323" s="1155"/>
    </row>
    <row r="324" spans="5:71" s="474" customFormat="1" ht="13.5" thickBot="1">
      <c r="E324" s="4109"/>
      <c r="F324" s="1380" t="s">
        <v>581</v>
      </c>
      <c r="G324" s="1599"/>
      <c r="H324" s="1600"/>
      <c r="I324" s="1600"/>
      <c r="J324" s="1600"/>
      <c r="K324" s="1601"/>
      <c r="L324" s="1599"/>
      <c r="M324" s="1600"/>
      <c r="N324" s="1600"/>
      <c r="O324" s="1600"/>
      <c r="P324" s="1601"/>
      <c r="Q324" s="1602"/>
      <c r="R324" s="1600"/>
      <c r="S324" s="1600"/>
      <c r="T324" s="1600"/>
      <c r="U324" s="1601"/>
      <c r="V324" s="1172"/>
      <c r="W324" s="1614"/>
      <c r="X324" s="1615"/>
      <c r="Y324" s="1615"/>
      <c r="Z324" s="1615"/>
      <c r="AA324" s="1615"/>
      <c r="AB324" s="1615"/>
      <c r="AC324" s="1615"/>
      <c r="AD324" s="1615"/>
      <c r="AE324" s="1615"/>
      <c r="AF324" s="1615"/>
      <c r="AG324" s="1615"/>
      <c r="AH324" s="1616"/>
      <c r="AI324" s="1172"/>
      <c r="AJ324" s="1155"/>
      <c r="AK324" s="1155"/>
      <c r="AL324" s="259"/>
      <c r="AM324" s="466"/>
      <c r="AN324" s="466"/>
      <c r="AO324" s="466"/>
      <c r="AP324" s="283"/>
      <c r="AQ324" s="259"/>
      <c r="AR324" s="466"/>
      <c r="AS324" s="283"/>
      <c r="AT324" s="1155"/>
      <c r="AU324" s="1155"/>
      <c r="AV324" s="1155"/>
      <c r="AW324" s="1155"/>
      <c r="AX324" s="1155"/>
      <c r="AY324" s="1155"/>
      <c r="AZ324" s="1155"/>
      <c r="BA324" s="1155"/>
      <c r="BB324" s="1155"/>
      <c r="BC324" s="1155"/>
      <c r="BD324" s="1155"/>
      <c r="BE324" s="1155"/>
      <c r="BF324" s="1155"/>
      <c r="BG324" s="1155"/>
      <c r="BH324" s="1155"/>
      <c r="BI324" s="1155"/>
      <c r="BJ324" s="1155"/>
      <c r="BK324" s="1155"/>
      <c r="BL324" s="1155"/>
      <c r="BM324" s="1155"/>
      <c r="BN324" s="1155"/>
      <c r="BO324" s="1155"/>
      <c r="BP324" s="1155"/>
      <c r="BQ324" s="1155"/>
      <c r="BR324" s="1155"/>
      <c r="BS324" s="1155"/>
    </row>
    <row r="325" spans="5:71" s="474" customFormat="1">
      <c r="E325" s="4109"/>
      <c r="F325" s="1378" t="s">
        <v>584</v>
      </c>
      <c r="G325" s="1050">
        <v>0</v>
      </c>
      <c r="H325" s="1051">
        <v>0</v>
      </c>
      <c r="I325" s="1051">
        <v>0</v>
      </c>
      <c r="J325" s="1051">
        <v>0</v>
      </c>
      <c r="K325" s="1052">
        <v>0</v>
      </c>
      <c r="L325" s="1050">
        <f>SUM(L322:L324)</f>
        <v>0</v>
      </c>
      <c r="M325" s="1051">
        <f t="shared" ref="M325" si="1352">SUM(M322:M324)</f>
        <v>1174843.3900000001</v>
      </c>
      <c r="N325" s="1051">
        <f t="shared" ref="N325" si="1353">SUM(N322:N324)</f>
        <v>0</v>
      </c>
      <c r="O325" s="1051">
        <f t="shared" ref="O325" si="1354">SUM(O322:O324)</f>
        <v>0</v>
      </c>
      <c r="P325" s="1052">
        <f t="shared" ref="P325" si="1355">SUM(P322:P324)</f>
        <v>0</v>
      </c>
      <c r="Q325" s="1092">
        <f t="shared" ref="Q325" si="1356">SUM(Q322:Q324)</f>
        <v>0</v>
      </c>
      <c r="R325" s="1051">
        <f t="shared" ref="R325" si="1357">SUM(R322:R324)</f>
        <v>0</v>
      </c>
      <c r="S325" s="1051">
        <f t="shared" ref="S325" si="1358">SUM(S322:S324)</f>
        <v>0</v>
      </c>
      <c r="T325" s="1051">
        <f t="shared" ref="T325" si="1359">SUM(T322:T324)</f>
        <v>0</v>
      </c>
      <c r="U325" s="1052">
        <f t="shared" ref="U325" si="1360">SUM(U322:U324)</f>
        <v>0</v>
      </c>
      <c r="V325" s="1172"/>
      <c r="W325" s="1050">
        <f t="shared" ref="W325" si="1361">SUM(W322:W324)</f>
        <v>0</v>
      </c>
      <c r="X325" s="1051">
        <f t="shared" ref="X325" si="1362">SUM(X322:X324)</f>
        <v>0</v>
      </c>
      <c r="Y325" s="1051">
        <f t="shared" ref="Y325" si="1363">SUM(Y322:Y324)</f>
        <v>0</v>
      </c>
      <c r="Z325" s="1051">
        <f t="shared" ref="Z325" si="1364">SUM(Z322:Z324)</f>
        <v>0</v>
      </c>
      <c r="AA325" s="1052">
        <f t="shared" ref="AA325" si="1365">SUM(AA322:AA324)</f>
        <v>0</v>
      </c>
      <c r="AB325" s="1053"/>
      <c r="AC325" s="1050">
        <f t="shared" ref="AC325" si="1366">SUM(AC322:AC324)</f>
        <v>0</v>
      </c>
      <c r="AD325" s="1051">
        <f t="shared" ref="AD325" si="1367">SUM(AD322:AD324)</f>
        <v>0</v>
      </c>
      <c r="AE325" s="1051">
        <f t="shared" ref="AE325" si="1368">SUM(AE322:AE324)</f>
        <v>0</v>
      </c>
      <c r="AF325" s="1051">
        <f t="shared" ref="AF325" si="1369">SUM(AF322:AF324)</f>
        <v>0</v>
      </c>
      <c r="AG325" s="1051">
        <f t="shared" ref="AG325" si="1370">SUM(AG322:AG324)</f>
        <v>0</v>
      </c>
      <c r="AH325" s="1054"/>
      <c r="AI325" s="1172"/>
      <c r="AJ325" s="130"/>
      <c r="AK325" s="130"/>
      <c r="AL325" s="1050">
        <f t="shared" ref="AL325:AR325" si="1371">SUM(AL323:AL324)</f>
        <v>0</v>
      </c>
      <c r="AM325" s="1051">
        <f t="shared" si="1371"/>
        <v>0</v>
      </c>
      <c r="AN325" s="1051">
        <f t="shared" si="1371"/>
        <v>0</v>
      </c>
      <c r="AO325" s="1051">
        <f t="shared" si="1371"/>
        <v>0</v>
      </c>
      <c r="AP325" s="1052">
        <f t="shared" si="1371"/>
        <v>0</v>
      </c>
      <c r="AQ325" s="1050">
        <f t="shared" si="1371"/>
        <v>0</v>
      </c>
      <c r="AR325" s="1051">
        <f t="shared" si="1371"/>
        <v>0</v>
      </c>
      <c r="AS325" s="1052"/>
      <c r="AT325" s="130"/>
      <c r="AU325" s="130"/>
      <c r="AV325" s="130"/>
      <c r="AW325" s="130"/>
      <c r="AX325" s="130"/>
      <c r="AY325" s="130"/>
      <c r="AZ325" s="130"/>
      <c r="BA325" s="130"/>
      <c r="BB325" s="130"/>
      <c r="BC325" s="130"/>
      <c r="BD325" s="130"/>
      <c r="BE325" s="130"/>
      <c r="BF325" s="130"/>
      <c r="BG325" s="130"/>
      <c r="BH325" s="130"/>
      <c r="BI325" s="130"/>
      <c r="BJ325" s="130"/>
      <c r="BK325" s="130"/>
      <c r="BL325" s="130"/>
      <c r="BM325" s="130"/>
      <c r="BN325" s="130"/>
      <c r="BO325" s="130"/>
      <c r="BP325" s="130"/>
      <c r="BQ325" s="130"/>
      <c r="BR325" s="130"/>
      <c r="BS325" s="1155"/>
    </row>
    <row r="326" spans="5:71" s="474" customFormat="1">
      <c r="E326" s="4109"/>
      <c r="F326" s="1389" t="s">
        <v>35</v>
      </c>
      <c r="G326" s="255"/>
      <c r="H326" s="461"/>
      <c r="I326" s="461"/>
      <c r="J326" s="461"/>
      <c r="K326" s="281"/>
      <c r="L326" s="255"/>
      <c r="M326" s="461"/>
      <c r="N326" s="461"/>
      <c r="O326" s="461"/>
      <c r="P326" s="281"/>
      <c r="Q326" s="956"/>
      <c r="R326" s="461"/>
      <c r="S326" s="461"/>
      <c r="T326" s="461"/>
      <c r="U326" s="281"/>
      <c r="V326" s="1172"/>
      <c r="W326" s="255"/>
      <c r="X326" s="461"/>
      <c r="Y326" s="461"/>
      <c r="Z326" s="461"/>
      <c r="AA326" s="281"/>
      <c r="AB326" s="1004"/>
      <c r="AC326" s="255"/>
      <c r="AD326" s="461"/>
      <c r="AE326" s="461"/>
      <c r="AF326" s="461"/>
      <c r="AG326" s="461"/>
      <c r="AH326" s="1047"/>
      <c r="AI326" s="1172"/>
      <c r="AJ326" s="1155"/>
      <c r="AK326" s="1155"/>
      <c r="AL326" s="259"/>
      <c r="AM326" s="466"/>
      <c r="AN326" s="466"/>
      <c r="AO326" s="466"/>
      <c r="AP326" s="283"/>
      <c r="AQ326" s="259"/>
      <c r="AR326" s="466"/>
      <c r="AS326" s="283"/>
      <c r="AT326" s="1155"/>
      <c r="AU326" s="1155"/>
      <c r="AV326" s="1155"/>
      <c r="AW326" s="1155"/>
      <c r="AX326" s="1155"/>
      <c r="AY326" s="1155"/>
      <c r="AZ326" s="1155"/>
      <c r="BA326" s="1155"/>
      <c r="BB326" s="1155"/>
      <c r="BC326" s="1155"/>
      <c r="BD326" s="1155"/>
      <c r="BE326" s="1155"/>
      <c r="BF326" s="1155"/>
      <c r="BG326" s="1155"/>
      <c r="BH326" s="1155"/>
      <c r="BI326" s="1155"/>
      <c r="BJ326" s="1155"/>
      <c r="BK326" s="1155"/>
      <c r="BL326" s="1155"/>
      <c r="BM326" s="1155"/>
      <c r="BN326" s="1155"/>
      <c r="BO326" s="1155"/>
      <c r="BP326" s="1155"/>
      <c r="BQ326" s="1155"/>
      <c r="BR326" s="1155"/>
      <c r="BS326" s="1155"/>
    </row>
    <row r="327" spans="5:71" s="474" customFormat="1" ht="13.5" thickBot="1">
      <c r="E327" s="4109"/>
      <c r="F327" s="1387" t="s">
        <v>585</v>
      </c>
      <c r="G327" s="1055">
        <v>0</v>
      </c>
      <c r="H327" s="1056">
        <v>0</v>
      </c>
      <c r="I327" s="1056">
        <v>0</v>
      </c>
      <c r="J327" s="1056">
        <v>0</v>
      </c>
      <c r="K327" s="1057">
        <v>0</v>
      </c>
      <c r="L327" s="1567">
        <f>L325-L326</f>
        <v>0</v>
      </c>
      <c r="M327" s="1056">
        <f t="shared" ref="M327" si="1372">M325-M326</f>
        <v>1174843.3900000001</v>
      </c>
      <c r="N327" s="1056">
        <f t="shared" ref="N327" si="1373">N325-N326</f>
        <v>0</v>
      </c>
      <c r="O327" s="1056">
        <f t="shared" ref="O327" si="1374">O325-O326</f>
        <v>0</v>
      </c>
      <c r="P327" s="1057">
        <f t="shared" ref="P327" si="1375">P325-P326</f>
        <v>0</v>
      </c>
      <c r="Q327" s="1093">
        <f t="shared" ref="Q327" si="1376">Q325-Q326</f>
        <v>0</v>
      </c>
      <c r="R327" s="1056">
        <f t="shared" ref="R327" si="1377">R325-R326</f>
        <v>0</v>
      </c>
      <c r="S327" s="1056">
        <f t="shared" ref="S327" si="1378">S325-S326</f>
        <v>0</v>
      </c>
      <c r="T327" s="1056">
        <f t="shared" ref="T327" si="1379">T325-T326</f>
        <v>0</v>
      </c>
      <c r="U327" s="1057">
        <f t="shared" ref="U327" si="1380">U325-U326</f>
        <v>0</v>
      </c>
      <c r="V327" s="1172"/>
      <c r="W327" s="1055">
        <f t="shared" ref="W327" si="1381">W325-W326</f>
        <v>0</v>
      </c>
      <c r="X327" s="1056">
        <f t="shared" ref="X327" si="1382">X325-X326</f>
        <v>0</v>
      </c>
      <c r="Y327" s="1056">
        <f t="shared" ref="Y327" si="1383">Y325-Y326</f>
        <v>0</v>
      </c>
      <c r="Z327" s="1056">
        <f t="shared" ref="Z327" si="1384">Z325-Z326</f>
        <v>0</v>
      </c>
      <c r="AA327" s="1057">
        <f t="shared" ref="AA327" si="1385">AA325-AA326</f>
        <v>0</v>
      </c>
      <c r="AB327" s="1075"/>
      <c r="AC327" s="1055">
        <f t="shared" ref="AC327" si="1386">AC325-AC326</f>
        <v>0</v>
      </c>
      <c r="AD327" s="1056">
        <f t="shared" ref="AD327" si="1387">AD325-AD326</f>
        <v>0</v>
      </c>
      <c r="AE327" s="1056">
        <f t="shared" ref="AE327" si="1388">AE325-AE326</f>
        <v>0</v>
      </c>
      <c r="AF327" s="1056">
        <f t="shared" ref="AF327" si="1389">AF325-AF326</f>
        <v>0</v>
      </c>
      <c r="AG327" s="1056">
        <f t="shared" ref="AG327" si="1390">AG325-AG326</f>
        <v>0</v>
      </c>
      <c r="AH327" s="1059"/>
      <c r="AI327" s="1172"/>
      <c r="AJ327" s="1155"/>
      <c r="AK327" s="1155"/>
      <c r="AL327" s="1567">
        <f>AL325-AL326</f>
        <v>0</v>
      </c>
      <c r="AM327" s="1056">
        <f t="shared" ref="AM327:AR327" si="1391">AM325-AM326</f>
        <v>0</v>
      </c>
      <c r="AN327" s="1056">
        <f t="shared" si="1391"/>
        <v>0</v>
      </c>
      <c r="AO327" s="1056">
        <f t="shared" si="1391"/>
        <v>0</v>
      </c>
      <c r="AP327" s="1057">
        <f t="shared" si="1391"/>
        <v>0</v>
      </c>
      <c r="AQ327" s="1567">
        <f t="shared" si="1391"/>
        <v>0</v>
      </c>
      <c r="AR327" s="1056">
        <f t="shared" si="1391"/>
        <v>0</v>
      </c>
      <c r="AS327" s="1057"/>
      <c r="AT327" s="1155"/>
      <c r="AU327" s="1155"/>
      <c r="AV327" s="1155"/>
      <c r="AW327" s="1155"/>
      <c r="AX327" s="1155"/>
      <c r="AY327" s="1155"/>
      <c r="AZ327" s="1155"/>
      <c r="BA327" s="1155"/>
      <c r="BB327" s="1155"/>
      <c r="BC327" s="1155"/>
      <c r="BD327" s="1155"/>
      <c r="BE327" s="1155"/>
      <c r="BF327" s="1155"/>
      <c r="BG327" s="1155"/>
      <c r="BH327" s="1155"/>
      <c r="BI327" s="1155"/>
      <c r="BJ327" s="1155"/>
      <c r="BK327" s="1155"/>
      <c r="BL327" s="1155"/>
      <c r="BM327" s="1155"/>
      <c r="BN327" s="1155"/>
      <c r="BO327" s="1155"/>
      <c r="BP327" s="1155"/>
      <c r="BQ327" s="1155"/>
      <c r="BR327" s="1155"/>
      <c r="BS327" s="1155"/>
    </row>
    <row r="328" spans="5:71" s="474" customFormat="1" ht="12.75" customHeight="1">
      <c r="E328" s="4110" t="s">
        <v>1495</v>
      </c>
      <c r="F328" s="433" t="s">
        <v>111</v>
      </c>
      <c r="G328" s="1086"/>
      <c r="H328" s="1087"/>
      <c r="I328" s="1087"/>
      <c r="J328" s="1087"/>
      <c r="K328" s="1088"/>
      <c r="L328" s="258"/>
      <c r="M328" s="465"/>
      <c r="N328" s="465"/>
      <c r="O328" s="465"/>
      <c r="P328" s="282"/>
      <c r="Q328" s="965"/>
      <c r="R328" s="465"/>
      <c r="S328" s="465"/>
      <c r="T328" s="465"/>
      <c r="U328" s="282"/>
      <c r="V328" s="1172"/>
      <c r="W328" s="1043"/>
      <c r="X328" s="421"/>
      <c r="Y328" s="421"/>
      <c r="Z328" s="421"/>
      <c r="AA328" s="1044"/>
      <c r="AB328" s="1045"/>
      <c r="AC328" s="1043"/>
      <c r="AD328" s="421"/>
      <c r="AE328" s="421"/>
      <c r="AF328" s="421"/>
      <c r="AG328" s="421"/>
      <c r="AH328" s="1046"/>
      <c r="AI328" s="1172"/>
      <c r="AJ328" s="1155"/>
      <c r="AK328" s="1155"/>
      <c r="AL328" s="1086"/>
      <c r="AM328" s="1087"/>
      <c r="AN328" s="1087"/>
      <c r="AO328" s="1087"/>
      <c r="AP328" s="1088"/>
      <c r="AQ328" s="258"/>
      <c r="AR328" s="465"/>
      <c r="AS328" s="282"/>
      <c r="AT328" s="1155"/>
      <c r="AU328" s="1155"/>
      <c r="AV328" s="1155"/>
      <c r="AW328" s="1155"/>
      <c r="AX328" s="1155"/>
      <c r="AY328" s="1155"/>
      <c r="AZ328" s="1155"/>
      <c r="BA328" s="1155"/>
      <c r="BB328" s="1155"/>
      <c r="BC328" s="1155"/>
      <c r="BD328" s="1155"/>
      <c r="BE328" s="1155"/>
      <c r="BF328" s="1155"/>
      <c r="BG328" s="1155"/>
      <c r="BH328" s="1155"/>
      <c r="BI328" s="1155"/>
      <c r="BJ328" s="1155"/>
      <c r="BK328" s="1155"/>
      <c r="BL328" s="1155"/>
      <c r="BM328" s="1155"/>
      <c r="BN328" s="1155"/>
      <c r="BO328" s="1155"/>
      <c r="BP328" s="1155"/>
      <c r="BQ328" s="1155"/>
      <c r="BR328" s="1155"/>
      <c r="BS328" s="1155"/>
    </row>
    <row r="329" spans="5:71" s="474" customFormat="1" ht="12.75" customHeight="1">
      <c r="E329" s="4109"/>
      <c r="F329" s="1374" t="s">
        <v>588</v>
      </c>
      <c r="G329" s="1083"/>
      <c r="H329" s="1084"/>
      <c r="I329" s="1084"/>
      <c r="J329" s="1084"/>
      <c r="K329" s="1085"/>
      <c r="L329" s="255"/>
      <c r="M329" s="461">
        <v>5788</v>
      </c>
      <c r="N329" s="461"/>
      <c r="O329" s="461"/>
      <c r="P329" s="281"/>
      <c r="Q329" s="956"/>
      <c r="R329" s="461"/>
      <c r="S329" s="461"/>
      <c r="T329" s="461"/>
      <c r="U329" s="281"/>
      <c r="V329" s="1172"/>
      <c r="W329" s="255"/>
      <c r="X329" s="461"/>
      <c r="Y329" s="461"/>
      <c r="Z329" s="461"/>
      <c r="AA329" s="281"/>
      <c r="AB329" s="1041"/>
      <c r="AC329" s="255"/>
      <c r="AD329" s="461"/>
      <c r="AE329" s="461"/>
      <c r="AF329" s="461"/>
      <c r="AG329" s="461"/>
      <c r="AH329" s="1047"/>
      <c r="AI329" s="1172"/>
      <c r="AJ329" s="1155"/>
      <c r="AK329" s="1155"/>
      <c r="AL329" s="1083"/>
      <c r="AM329" s="1084"/>
      <c r="AN329" s="1084"/>
      <c r="AO329" s="1084"/>
      <c r="AP329" s="1085"/>
      <c r="AQ329" s="259"/>
      <c r="AR329" s="466"/>
      <c r="AS329" s="283"/>
      <c r="AT329" s="1155"/>
      <c r="AU329" s="1155"/>
      <c r="AV329" s="1155"/>
      <c r="AW329" s="1155"/>
      <c r="AX329" s="1155"/>
      <c r="AY329" s="1155"/>
      <c r="AZ329" s="1155"/>
      <c r="BA329" s="1155"/>
      <c r="BB329" s="1155"/>
      <c r="BC329" s="1155"/>
      <c r="BD329" s="1155"/>
      <c r="BE329" s="1155"/>
      <c r="BF329" s="1155"/>
      <c r="BG329" s="1155"/>
      <c r="BH329" s="1155"/>
      <c r="BI329" s="1155"/>
      <c r="BJ329" s="1155"/>
      <c r="BK329" s="1155"/>
      <c r="BL329" s="1155"/>
      <c r="BM329" s="1155"/>
      <c r="BN329" s="1155"/>
      <c r="BO329" s="1155"/>
      <c r="BP329" s="1155"/>
      <c r="BQ329" s="1155"/>
      <c r="BR329" s="1155"/>
      <c r="BS329" s="1155"/>
    </row>
    <row r="330" spans="5:71" s="474" customFormat="1" ht="12.75" customHeight="1">
      <c r="E330" s="4109"/>
      <c r="F330" s="1374" t="s">
        <v>589</v>
      </c>
      <c r="G330" s="1083"/>
      <c r="H330" s="1084"/>
      <c r="I330" s="1084"/>
      <c r="J330" s="1084"/>
      <c r="K330" s="1085"/>
      <c r="L330" s="255"/>
      <c r="M330" s="461"/>
      <c r="N330" s="461"/>
      <c r="O330" s="461"/>
      <c r="P330" s="281"/>
      <c r="Q330" s="956"/>
      <c r="R330" s="461"/>
      <c r="S330" s="461"/>
      <c r="T330" s="461"/>
      <c r="U330" s="281"/>
      <c r="V330" s="1172"/>
      <c r="W330" s="255"/>
      <c r="X330" s="461"/>
      <c r="Y330" s="461"/>
      <c r="Z330" s="461"/>
      <c r="AA330" s="281"/>
      <c r="AB330" s="1041"/>
      <c r="AC330" s="255"/>
      <c r="AD330" s="461"/>
      <c r="AE330" s="461"/>
      <c r="AF330" s="461"/>
      <c r="AG330" s="461"/>
      <c r="AH330" s="1047"/>
      <c r="AI330" s="1172"/>
      <c r="AJ330" s="1155"/>
      <c r="AK330" s="1155"/>
      <c r="AL330" s="1083"/>
      <c r="AM330" s="1084"/>
      <c r="AN330" s="1084"/>
      <c r="AO330" s="1084"/>
      <c r="AP330" s="1085"/>
      <c r="AQ330" s="259"/>
      <c r="AR330" s="466"/>
      <c r="AS330" s="283"/>
      <c r="AT330" s="1155"/>
      <c r="AU330" s="1155"/>
      <c r="AV330" s="1155"/>
      <c r="AW330" s="1155"/>
      <c r="AX330" s="1155"/>
      <c r="AY330" s="1155"/>
      <c r="AZ330" s="1155"/>
      <c r="BA330" s="1155"/>
      <c r="BB330" s="1155"/>
      <c r="BC330" s="1155"/>
      <c r="BD330" s="1155"/>
      <c r="BE330" s="1155"/>
      <c r="BF330" s="1155"/>
      <c r="BG330" s="1155"/>
      <c r="BH330" s="1155"/>
      <c r="BI330" s="1155"/>
      <c r="BJ330" s="1155"/>
      <c r="BK330" s="1155"/>
      <c r="BL330" s="1155"/>
      <c r="BM330" s="1155"/>
      <c r="BN330" s="1155"/>
      <c r="BO330" s="1155"/>
      <c r="BP330" s="1155"/>
      <c r="BQ330" s="1155"/>
      <c r="BR330" s="1155"/>
      <c r="BS330" s="1155"/>
    </row>
    <row r="331" spans="5:71" s="474" customFormat="1" ht="12.75" customHeight="1">
      <c r="E331" s="4109"/>
      <c r="F331" s="1374" t="s">
        <v>590</v>
      </c>
      <c r="G331" s="1083"/>
      <c r="H331" s="1084"/>
      <c r="I331" s="1084"/>
      <c r="J331" s="1084"/>
      <c r="K331" s="1085"/>
      <c r="L331" s="255"/>
      <c r="M331" s="461"/>
      <c r="N331" s="461"/>
      <c r="O331" s="461"/>
      <c r="P331" s="281"/>
      <c r="Q331" s="956"/>
      <c r="R331" s="461"/>
      <c r="S331" s="461"/>
      <c r="T331" s="461"/>
      <c r="U331" s="281"/>
      <c r="V331" s="1172"/>
      <c r="W331" s="255"/>
      <c r="X331" s="461"/>
      <c r="Y331" s="461"/>
      <c r="Z331" s="461"/>
      <c r="AA331" s="281"/>
      <c r="AB331" s="1041"/>
      <c r="AC331" s="255"/>
      <c r="AD331" s="461"/>
      <c r="AE331" s="461"/>
      <c r="AF331" s="461"/>
      <c r="AG331" s="461"/>
      <c r="AH331" s="1047"/>
      <c r="AI331" s="1172"/>
      <c r="AJ331" s="1155"/>
      <c r="AK331" s="1155"/>
      <c r="AL331" s="1083"/>
      <c r="AM331" s="1084"/>
      <c r="AN331" s="1084"/>
      <c r="AO331" s="1084"/>
      <c r="AP331" s="1085"/>
      <c r="AQ331" s="259"/>
      <c r="AR331" s="466"/>
      <c r="AS331" s="283"/>
      <c r="AT331" s="1155"/>
      <c r="AU331" s="1155"/>
      <c r="AV331" s="1155"/>
      <c r="AW331" s="1155"/>
      <c r="AX331" s="1155"/>
      <c r="AY331" s="1155"/>
      <c r="AZ331" s="1155"/>
      <c r="BA331" s="1155"/>
      <c r="BB331" s="1155"/>
      <c r="BC331" s="1155"/>
      <c r="BD331" s="1155"/>
      <c r="BE331" s="1155"/>
      <c r="BF331" s="1155"/>
      <c r="BG331" s="1155"/>
      <c r="BH331" s="1155"/>
      <c r="BI331" s="1155"/>
      <c r="BJ331" s="1155"/>
      <c r="BK331" s="1155"/>
      <c r="BL331" s="1155"/>
      <c r="BM331" s="1155"/>
      <c r="BN331" s="1155"/>
      <c r="BO331" s="1155"/>
      <c r="BP331" s="1155"/>
      <c r="BQ331" s="1155"/>
      <c r="BR331" s="1155"/>
      <c r="BS331" s="1155"/>
    </row>
    <row r="332" spans="5:71" s="474" customFormat="1" ht="12.75" customHeight="1">
      <c r="E332" s="4109"/>
      <c r="F332" s="1374" t="s">
        <v>591</v>
      </c>
      <c r="G332" s="1083"/>
      <c r="H332" s="1084"/>
      <c r="I332" s="1084"/>
      <c r="J332" s="1084"/>
      <c r="K332" s="1085"/>
      <c r="L332" s="255"/>
      <c r="M332" s="461"/>
      <c r="N332" s="461"/>
      <c r="O332" s="461"/>
      <c r="P332" s="281"/>
      <c r="Q332" s="956"/>
      <c r="R332" s="461"/>
      <c r="S332" s="461"/>
      <c r="T332" s="461"/>
      <c r="U332" s="281"/>
      <c r="V332" s="1172"/>
      <c r="W332" s="255"/>
      <c r="X332" s="461"/>
      <c r="Y332" s="461"/>
      <c r="Z332" s="461"/>
      <c r="AA332" s="281"/>
      <c r="AB332" s="1041"/>
      <c r="AC332" s="255"/>
      <c r="AD332" s="461"/>
      <c r="AE332" s="461"/>
      <c r="AF332" s="461"/>
      <c r="AG332" s="461"/>
      <c r="AH332" s="1047"/>
      <c r="AI332" s="1172"/>
      <c r="AJ332" s="1155"/>
      <c r="AK332" s="1155"/>
      <c r="AL332" s="1083"/>
      <c r="AM332" s="1084"/>
      <c r="AN332" s="1084"/>
      <c r="AO332" s="1084"/>
      <c r="AP332" s="1085"/>
      <c r="AQ332" s="259"/>
      <c r="AR332" s="466"/>
      <c r="AS332" s="283"/>
      <c r="AT332" s="1155"/>
      <c r="AU332" s="1155"/>
      <c r="AV332" s="1155"/>
      <c r="AW332" s="1155"/>
      <c r="AX332" s="1155"/>
      <c r="AY332" s="1155"/>
      <c r="AZ332" s="1155"/>
      <c r="BA332" s="1155"/>
      <c r="BB332" s="1155"/>
      <c r="BC332" s="1155"/>
      <c r="BD332" s="1155"/>
      <c r="BE332" s="1155"/>
      <c r="BF332" s="1155"/>
      <c r="BG332" s="1155"/>
      <c r="BH332" s="1155"/>
      <c r="BI332" s="1155"/>
      <c r="BJ332" s="1155"/>
      <c r="BK332" s="1155"/>
      <c r="BL332" s="1155"/>
      <c r="BM332" s="1155"/>
      <c r="BN332" s="1155"/>
      <c r="BO332" s="1155"/>
      <c r="BP332" s="1155"/>
      <c r="BQ332" s="1155"/>
      <c r="BR332" s="1155"/>
      <c r="BS332" s="1155"/>
    </row>
    <row r="333" spans="5:71" s="474" customFormat="1" ht="12.75" customHeight="1">
      <c r="E333" s="4109"/>
      <c r="F333" s="1374" t="s">
        <v>592</v>
      </c>
      <c r="G333" s="1083"/>
      <c r="H333" s="1084"/>
      <c r="I333" s="1084"/>
      <c r="J333" s="1084"/>
      <c r="K333" s="1085"/>
      <c r="L333" s="207"/>
      <c r="M333" s="456"/>
      <c r="N333" s="456"/>
      <c r="O333" s="456"/>
      <c r="P333" s="457"/>
      <c r="Q333" s="224"/>
      <c r="R333" s="456"/>
      <c r="S333" s="456"/>
      <c r="T333" s="456"/>
      <c r="U333" s="457"/>
      <c r="V333" s="1172"/>
      <c r="W333" s="207">
        <v>0</v>
      </c>
      <c r="X333" s="456">
        <v>0</v>
      </c>
      <c r="Y333" s="456">
        <v>0</v>
      </c>
      <c r="Z333" s="456">
        <v>0</v>
      </c>
      <c r="AA333" s="457">
        <v>0</v>
      </c>
      <c r="AB333" s="1041"/>
      <c r="AC333" s="207">
        <v>0</v>
      </c>
      <c r="AD333" s="456">
        <v>0</v>
      </c>
      <c r="AE333" s="456">
        <v>0</v>
      </c>
      <c r="AF333" s="456">
        <v>0</v>
      </c>
      <c r="AG333" s="456">
        <v>0</v>
      </c>
      <c r="AH333" s="1048"/>
      <c r="AI333" s="1172"/>
      <c r="AJ333" s="1155"/>
      <c r="AK333" s="1155"/>
      <c r="AL333" s="1083"/>
      <c r="AM333" s="1084"/>
      <c r="AN333" s="1084"/>
      <c r="AO333" s="1084"/>
      <c r="AP333" s="1085"/>
      <c r="AQ333" s="207">
        <f>SUM(AQ328:AQ332)</f>
        <v>0</v>
      </c>
      <c r="AR333" s="456">
        <f t="shared" ref="AR333" si="1392">SUM(AR328:AR332)</f>
        <v>0</v>
      </c>
      <c r="AS333" s="457"/>
      <c r="AT333" s="1155"/>
      <c r="AU333" s="1155"/>
      <c r="AV333" s="1155"/>
      <c r="AW333" s="1155"/>
      <c r="AX333" s="1155"/>
      <c r="AY333" s="1155"/>
      <c r="AZ333" s="1155"/>
      <c r="BA333" s="1155"/>
      <c r="BB333" s="1155"/>
      <c r="BC333" s="1155"/>
      <c r="BD333" s="1155"/>
      <c r="BE333" s="1155"/>
      <c r="BF333" s="1155"/>
      <c r="BG333" s="1155"/>
      <c r="BH333" s="1155"/>
      <c r="BI333" s="1155"/>
      <c r="BJ333" s="1155"/>
      <c r="BK333" s="1155"/>
      <c r="BL333" s="1155"/>
      <c r="BM333" s="1155"/>
      <c r="BN333" s="1155"/>
      <c r="BO333" s="1155"/>
      <c r="BP333" s="1155"/>
      <c r="BQ333" s="1155"/>
      <c r="BR333" s="1155"/>
      <c r="BS333" s="1155"/>
    </row>
    <row r="334" spans="5:71" s="474" customFormat="1">
      <c r="E334" s="4109"/>
      <c r="F334" s="1375" t="s">
        <v>587</v>
      </c>
      <c r="G334" s="1086"/>
      <c r="H334" s="1087"/>
      <c r="I334" s="1087"/>
      <c r="J334" s="1087"/>
      <c r="K334" s="1088"/>
      <c r="L334" s="258">
        <f>SUM(L329:L333)</f>
        <v>0</v>
      </c>
      <c r="M334" s="465">
        <f t="shared" ref="M334" si="1393">SUM(M329:M333)</f>
        <v>5788</v>
      </c>
      <c r="N334" s="465">
        <f t="shared" ref="N334" si="1394">SUM(N329:N333)</f>
        <v>0</v>
      </c>
      <c r="O334" s="465">
        <f t="shared" ref="O334" si="1395">SUM(O329:O333)</f>
        <v>0</v>
      </c>
      <c r="P334" s="282">
        <f t="shared" ref="P334" si="1396">SUM(P329:P333)</f>
        <v>0</v>
      </c>
      <c r="Q334" s="965">
        <f t="shared" ref="Q334" si="1397">SUM(Q329:Q333)</f>
        <v>0</v>
      </c>
      <c r="R334" s="465">
        <f t="shared" ref="R334" si="1398">SUM(R329:R333)</f>
        <v>0</v>
      </c>
      <c r="S334" s="465">
        <f t="shared" ref="S334" si="1399">SUM(S329:S333)</f>
        <v>0</v>
      </c>
      <c r="T334" s="465">
        <f t="shared" ref="T334" si="1400">SUM(T329:T333)</f>
        <v>0</v>
      </c>
      <c r="U334" s="282">
        <f t="shared" ref="U334" si="1401">SUM(U329:U333)</f>
        <v>0</v>
      </c>
      <c r="V334" s="1172"/>
      <c r="W334" s="258">
        <f t="shared" ref="W334" si="1402">SUM(W329:W333)</f>
        <v>0</v>
      </c>
      <c r="X334" s="465">
        <f t="shared" ref="X334" si="1403">SUM(X329:X333)</f>
        <v>0</v>
      </c>
      <c r="Y334" s="465">
        <f t="shared" ref="Y334" si="1404">SUM(Y329:Y333)</f>
        <v>0</v>
      </c>
      <c r="Z334" s="465">
        <f t="shared" ref="Z334" si="1405">SUM(Z329:Z333)</f>
        <v>0</v>
      </c>
      <c r="AA334" s="282">
        <f t="shared" ref="AA334" si="1406">SUM(AA329:AA333)</f>
        <v>0</v>
      </c>
      <c r="AB334" s="992"/>
      <c r="AC334" s="258">
        <f t="shared" ref="AC334" si="1407">SUM(AC329:AC333)</f>
        <v>0</v>
      </c>
      <c r="AD334" s="465">
        <f t="shared" ref="AD334" si="1408">SUM(AD329:AD333)</f>
        <v>0</v>
      </c>
      <c r="AE334" s="465">
        <f t="shared" ref="AE334" si="1409">SUM(AE329:AE333)</f>
        <v>0</v>
      </c>
      <c r="AF334" s="465">
        <f t="shared" ref="AF334" si="1410">SUM(AF329:AF333)</f>
        <v>0</v>
      </c>
      <c r="AG334" s="465">
        <f t="shared" ref="AG334" si="1411">SUM(AG329:AG333)</f>
        <v>0</v>
      </c>
      <c r="AH334" s="1049"/>
      <c r="AI334" s="1172"/>
      <c r="AJ334" s="1155"/>
      <c r="AK334" s="1155"/>
      <c r="AL334" s="1086"/>
      <c r="AM334" s="1087"/>
      <c r="AN334" s="1087"/>
      <c r="AO334" s="1087"/>
      <c r="AP334" s="1088"/>
      <c r="AQ334" s="258"/>
      <c r="AR334" s="465"/>
      <c r="AS334" s="282"/>
      <c r="AT334" s="1155"/>
      <c r="AU334" s="1155"/>
      <c r="AV334" s="1155"/>
      <c r="AW334" s="1155"/>
      <c r="AX334" s="1155"/>
      <c r="AY334" s="1155"/>
      <c r="AZ334" s="1155"/>
      <c r="BA334" s="1155"/>
      <c r="BB334" s="1155"/>
      <c r="BC334" s="1155"/>
      <c r="BD334" s="1155"/>
      <c r="BE334" s="1155"/>
      <c r="BF334" s="1155"/>
      <c r="BG334" s="1155"/>
      <c r="BH334" s="1155"/>
      <c r="BI334" s="1155"/>
      <c r="BJ334" s="1155"/>
      <c r="BK334" s="1155"/>
      <c r="BL334" s="1155"/>
      <c r="BM334" s="1155"/>
      <c r="BN334" s="1155"/>
      <c r="BO334" s="1155"/>
      <c r="BP334" s="1155"/>
      <c r="BQ334" s="1155"/>
      <c r="BR334" s="1155"/>
      <c r="BS334" s="1155"/>
    </row>
    <row r="335" spans="5:71" s="474" customFormat="1">
      <c r="E335" s="4109"/>
      <c r="F335" s="1376" t="s">
        <v>593</v>
      </c>
      <c r="G335" s="1083"/>
      <c r="H335" s="1084"/>
      <c r="I335" s="1084"/>
      <c r="J335" s="1084"/>
      <c r="K335" s="1085"/>
      <c r="L335" s="255"/>
      <c r="M335" s="461"/>
      <c r="N335" s="461"/>
      <c r="O335" s="461"/>
      <c r="P335" s="281"/>
      <c r="Q335" s="956"/>
      <c r="R335" s="461"/>
      <c r="S335" s="461"/>
      <c r="T335" s="461"/>
      <c r="U335" s="281"/>
      <c r="V335" s="1172"/>
      <c r="W335" s="255"/>
      <c r="X335" s="461"/>
      <c r="Y335" s="461"/>
      <c r="Z335" s="461"/>
      <c r="AA335" s="281"/>
      <c r="AB335" s="1041"/>
      <c r="AC335" s="255"/>
      <c r="AD335" s="461"/>
      <c r="AE335" s="461"/>
      <c r="AF335" s="461"/>
      <c r="AG335" s="461"/>
      <c r="AH335" s="1047"/>
      <c r="AI335" s="1172"/>
      <c r="AJ335" s="1155"/>
      <c r="AK335" s="1155"/>
      <c r="AL335" s="1083"/>
      <c r="AM335" s="1084"/>
      <c r="AN335" s="1084"/>
      <c r="AO335" s="1084"/>
      <c r="AP335" s="1085"/>
      <c r="AQ335" s="259"/>
      <c r="AR335" s="466"/>
      <c r="AS335" s="283"/>
      <c r="AT335" s="1155"/>
      <c r="AU335" s="1155"/>
      <c r="AV335" s="1155"/>
      <c r="AW335" s="1155"/>
      <c r="AX335" s="1155"/>
      <c r="AY335" s="1155"/>
      <c r="AZ335" s="1155"/>
      <c r="BA335" s="1155"/>
      <c r="BB335" s="1155"/>
      <c r="BC335" s="1155"/>
      <c r="BD335" s="1155"/>
      <c r="BE335" s="1155"/>
      <c r="BF335" s="1155"/>
      <c r="BG335" s="1155"/>
      <c r="BH335" s="1155"/>
      <c r="BI335" s="1155"/>
      <c r="BJ335" s="1155"/>
      <c r="BK335" s="1155"/>
      <c r="BL335" s="1155"/>
      <c r="BM335" s="1155"/>
      <c r="BN335" s="1155"/>
      <c r="BO335" s="1155"/>
      <c r="BP335" s="1155"/>
      <c r="BQ335" s="1155"/>
      <c r="BR335" s="1155"/>
      <c r="BS335" s="1155"/>
    </row>
    <row r="336" spans="5:71" s="474" customFormat="1">
      <c r="E336" s="4109"/>
      <c r="F336" s="431" t="s">
        <v>558</v>
      </c>
      <c r="G336" s="1083"/>
      <c r="H336" s="1084"/>
      <c r="I336" s="1084"/>
      <c r="J336" s="1084"/>
      <c r="K336" s="1085"/>
      <c r="L336" s="255"/>
      <c r="M336" s="461">
        <v>1223155.8399999999</v>
      </c>
      <c r="N336" s="461"/>
      <c r="O336" s="461"/>
      <c r="P336" s="281"/>
      <c r="Q336" s="956"/>
      <c r="R336" s="461"/>
      <c r="S336" s="461"/>
      <c r="T336" s="461"/>
      <c r="U336" s="281"/>
      <c r="V336" s="1172"/>
      <c r="W336" s="255"/>
      <c r="X336" s="461"/>
      <c r="Y336" s="461"/>
      <c r="Z336" s="461"/>
      <c r="AA336" s="281"/>
      <c r="AB336" s="1041"/>
      <c r="AC336" s="255"/>
      <c r="AD336" s="461"/>
      <c r="AE336" s="461"/>
      <c r="AF336" s="461"/>
      <c r="AG336" s="461"/>
      <c r="AH336" s="1047"/>
      <c r="AI336" s="1172"/>
      <c r="AJ336" s="1155"/>
      <c r="AK336" s="1155"/>
      <c r="AL336" s="1083"/>
      <c r="AM336" s="1084"/>
      <c r="AN336" s="1084"/>
      <c r="AO336" s="1084"/>
      <c r="AP336" s="1085"/>
      <c r="AQ336" s="259"/>
      <c r="AR336" s="466"/>
      <c r="AS336" s="283"/>
      <c r="AT336" s="1155"/>
      <c r="AU336" s="1155"/>
      <c r="AV336" s="1155"/>
      <c r="AW336" s="1155"/>
      <c r="AX336" s="1155"/>
      <c r="AY336" s="1155"/>
      <c r="AZ336" s="1155"/>
      <c r="BA336" s="1155"/>
      <c r="BB336" s="1155"/>
      <c r="BC336" s="1155"/>
      <c r="BD336" s="1155"/>
      <c r="BE336" s="1155"/>
      <c r="BF336" s="1155"/>
      <c r="BG336" s="1155"/>
      <c r="BH336" s="1155"/>
      <c r="BI336" s="1155"/>
      <c r="BJ336" s="1155"/>
      <c r="BK336" s="1155"/>
      <c r="BL336" s="1155"/>
      <c r="BM336" s="1155"/>
      <c r="BN336" s="1155"/>
      <c r="BO336" s="1155"/>
      <c r="BP336" s="1155"/>
      <c r="BQ336" s="1155"/>
      <c r="BR336" s="1155"/>
      <c r="BS336" s="1155"/>
    </row>
    <row r="337" spans="5:71" s="474" customFormat="1">
      <c r="E337" s="4109"/>
      <c r="F337" s="431" t="s">
        <v>559</v>
      </c>
      <c r="G337" s="1083"/>
      <c r="H337" s="1084"/>
      <c r="I337" s="1084"/>
      <c r="J337" s="1084"/>
      <c r="K337" s="1085"/>
      <c r="L337" s="255"/>
      <c r="M337" s="461"/>
      <c r="N337" s="461"/>
      <c r="O337" s="461"/>
      <c r="P337" s="281"/>
      <c r="Q337" s="956"/>
      <c r="R337" s="461"/>
      <c r="S337" s="461"/>
      <c r="T337" s="461"/>
      <c r="U337" s="281"/>
      <c r="V337" s="1172"/>
      <c r="W337" s="255"/>
      <c r="X337" s="461"/>
      <c r="Y337" s="461"/>
      <c r="Z337" s="461"/>
      <c r="AA337" s="281"/>
      <c r="AB337" s="1041"/>
      <c r="AC337" s="255"/>
      <c r="AD337" s="461"/>
      <c r="AE337" s="461"/>
      <c r="AF337" s="461"/>
      <c r="AG337" s="461"/>
      <c r="AH337" s="1047"/>
      <c r="AI337" s="1172"/>
      <c r="AJ337" s="1155"/>
      <c r="AK337" s="1155"/>
      <c r="AL337" s="1083"/>
      <c r="AM337" s="1084"/>
      <c r="AN337" s="1084"/>
      <c r="AO337" s="1084"/>
      <c r="AP337" s="1085"/>
      <c r="AQ337" s="259"/>
      <c r="AR337" s="466"/>
      <c r="AS337" s="283"/>
      <c r="AT337" s="1155"/>
      <c r="AU337" s="1155"/>
      <c r="AV337" s="1155"/>
      <c r="AW337" s="1155"/>
      <c r="AX337" s="1155"/>
      <c r="AY337" s="1155"/>
      <c r="AZ337" s="1155"/>
      <c r="BA337" s="1155"/>
      <c r="BB337" s="1155"/>
      <c r="BC337" s="1155"/>
      <c r="BD337" s="1155"/>
      <c r="BE337" s="1155"/>
      <c r="BF337" s="1155"/>
      <c r="BG337" s="1155"/>
      <c r="BH337" s="1155"/>
      <c r="BI337" s="1155"/>
      <c r="BJ337" s="1155"/>
      <c r="BK337" s="1155"/>
      <c r="BL337" s="1155"/>
      <c r="BM337" s="1155"/>
      <c r="BN337" s="1155"/>
      <c r="BO337" s="1155"/>
      <c r="BP337" s="1155"/>
      <c r="BQ337" s="1155"/>
      <c r="BR337" s="1155"/>
      <c r="BS337" s="1155"/>
    </row>
    <row r="338" spans="5:71" s="474" customFormat="1">
      <c r="E338" s="4109"/>
      <c r="F338" s="431" t="s">
        <v>578</v>
      </c>
      <c r="G338" s="1089"/>
      <c r="H338" s="1090"/>
      <c r="I338" s="1090"/>
      <c r="J338" s="1090"/>
      <c r="K338" s="1091"/>
      <c r="L338" s="259"/>
      <c r="M338" s="456"/>
      <c r="N338" s="456"/>
      <c r="O338" s="456"/>
      <c r="P338" s="457"/>
      <c r="Q338" s="224"/>
      <c r="R338" s="456"/>
      <c r="S338" s="456"/>
      <c r="T338" s="456"/>
      <c r="U338" s="457"/>
      <c r="V338" s="1172"/>
      <c r="W338" s="207"/>
      <c r="X338" s="456"/>
      <c r="Y338" s="456"/>
      <c r="Z338" s="456"/>
      <c r="AA338" s="457"/>
      <c r="AB338" s="1041"/>
      <c r="AC338" s="207"/>
      <c r="AD338" s="456"/>
      <c r="AE338" s="456"/>
      <c r="AF338" s="456"/>
      <c r="AG338" s="456"/>
      <c r="AH338" s="1048"/>
      <c r="AI338" s="1172"/>
      <c r="AJ338" s="1155"/>
      <c r="AK338" s="1155"/>
      <c r="AL338" s="1089"/>
      <c r="AM338" s="1090"/>
      <c r="AN338" s="1090"/>
      <c r="AO338" s="1090"/>
      <c r="AP338" s="1091"/>
      <c r="AQ338" s="259"/>
      <c r="AR338" s="456"/>
      <c r="AS338" s="457"/>
      <c r="AT338" s="1155"/>
      <c r="AU338" s="1155"/>
      <c r="AV338" s="1155"/>
      <c r="AW338" s="1155"/>
      <c r="AX338" s="1155"/>
      <c r="AY338" s="1155"/>
      <c r="AZ338" s="1155"/>
      <c r="BA338" s="1155"/>
      <c r="BB338" s="1155"/>
      <c r="BC338" s="1155"/>
      <c r="BD338" s="1155"/>
      <c r="BE338" s="1155"/>
      <c r="BF338" s="1155"/>
      <c r="BG338" s="1155"/>
      <c r="BH338" s="1155"/>
      <c r="BI338" s="1155"/>
      <c r="BJ338" s="1155"/>
      <c r="BK338" s="1155"/>
      <c r="BL338" s="1155"/>
      <c r="BM338" s="1155"/>
      <c r="BN338" s="1155"/>
      <c r="BO338" s="1155"/>
      <c r="BP338" s="1155"/>
      <c r="BQ338" s="1155"/>
      <c r="BR338" s="1155"/>
      <c r="BS338" s="1155"/>
    </row>
    <row r="339" spans="5:71" s="474" customFormat="1">
      <c r="E339" s="4109"/>
      <c r="F339" s="1377" t="s">
        <v>579</v>
      </c>
      <c r="G339" s="1086"/>
      <c r="H339" s="1087"/>
      <c r="I339" s="1087"/>
      <c r="J339" s="1087"/>
      <c r="K339" s="1088"/>
      <c r="L339" s="258">
        <f>SUM(L335:L338)</f>
        <v>0</v>
      </c>
      <c r="M339" s="465">
        <f t="shared" ref="M339" si="1412">SUM(M335:M338)</f>
        <v>1223155.8399999999</v>
      </c>
      <c r="N339" s="465">
        <f t="shared" ref="N339" si="1413">SUM(N335:N338)</f>
        <v>0</v>
      </c>
      <c r="O339" s="465">
        <f t="shared" ref="O339" si="1414">SUM(O335:O338)</f>
        <v>0</v>
      </c>
      <c r="P339" s="282">
        <f t="shared" ref="P339" si="1415">SUM(P335:P338)</f>
        <v>0</v>
      </c>
      <c r="Q339" s="965">
        <f t="shared" ref="Q339" si="1416">SUM(Q335:Q338)</f>
        <v>0</v>
      </c>
      <c r="R339" s="465">
        <f t="shared" ref="R339" si="1417">SUM(R335:R338)</f>
        <v>0</v>
      </c>
      <c r="S339" s="465">
        <f t="shared" ref="S339" si="1418">SUM(S335:S338)</f>
        <v>0</v>
      </c>
      <c r="T339" s="465">
        <f t="shared" ref="T339" si="1419">SUM(T335:T338)</f>
        <v>0</v>
      </c>
      <c r="U339" s="282">
        <f t="shared" ref="U339" si="1420">SUM(U335:U338)</f>
        <v>0</v>
      </c>
      <c r="V339" s="1172"/>
      <c r="W339" s="258">
        <f t="shared" ref="W339" si="1421">SUM(W335:W338)</f>
        <v>0</v>
      </c>
      <c r="X339" s="465">
        <f t="shared" ref="X339" si="1422">SUM(X335:X338)</f>
        <v>0</v>
      </c>
      <c r="Y339" s="465">
        <f t="shared" ref="Y339" si="1423">SUM(Y335:Y338)</f>
        <v>0</v>
      </c>
      <c r="Z339" s="465">
        <f t="shared" ref="Z339" si="1424">SUM(Z335:Z338)</f>
        <v>0</v>
      </c>
      <c r="AA339" s="282">
        <f t="shared" ref="AA339" si="1425">SUM(AA335:AA338)</f>
        <v>0</v>
      </c>
      <c r="AB339" s="992"/>
      <c r="AC339" s="258">
        <f t="shared" ref="AC339" si="1426">SUM(AC335:AC338)</f>
        <v>0</v>
      </c>
      <c r="AD339" s="465">
        <f t="shared" ref="AD339" si="1427">SUM(AD335:AD338)</f>
        <v>0</v>
      </c>
      <c r="AE339" s="465">
        <f t="shared" ref="AE339" si="1428">SUM(AE335:AE338)</f>
        <v>0</v>
      </c>
      <c r="AF339" s="465">
        <f t="shared" ref="AF339" si="1429">SUM(AF335:AF338)</f>
        <v>0</v>
      </c>
      <c r="AG339" s="465">
        <f t="shared" ref="AG339" si="1430">SUM(AG335:AG338)</f>
        <v>0</v>
      </c>
      <c r="AH339" s="1049"/>
      <c r="AI339" s="1172"/>
      <c r="AJ339" s="1155"/>
      <c r="AK339" s="1155"/>
      <c r="AL339" s="1086"/>
      <c r="AM339" s="1087"/>
      <c r="AN339" s="1087"/>
      <c r="AO339" s="1087"/>
      <c r="AP339" s="1088"/>
      <c r="AQ339" s="258">
        <f>SUM(AQ336:AQ338)</f>
        <v>0</v>
      </c>
      <c r="AR339" s="465">
        <f t="shared" ref="AR339" si="1431">SUM(AR336:AR338)</f>
        <v>0</v>
      </c>
      <c r="AS339" s="282"/>
      <c r="AT339" s="1155"/>
      <c r="AU339" s="1155"/>
      <c r="AV339" s="1155"/>
      <c r="AW339" s="1155"/>
      <c r="AX339" s="1155"/>
      <c r="AY339" s="1155"/>
      <c r="AZ339" s="1155"/>
      <c r="BA339" s="1155"/>
      <c r="BB339" s="1155"/>
      <c r="BC339" s="1155"/>
      <c r="BD339" s="1155"/>
      <c r="BE339" s="1155"/>
      <c r="BF339" s="1155"/>
      <c r="BG339" s="1155"/>
      <c r="BH339" s="1155"/>
      <c r="BI339" s="1155"/>
      <c r="BJ339" s="1155"/>
      <c r="BK339" s="1155"/>
      <c r="BL339" s="1155"/>
      <c r="BM339" s="1155"/>
      <c r="BN339" s="1155"/>
      <c r="BO339" s="1155"/>
      <c r="BP339" s="1155"/>
      <c r="BQ339" s="1155"/>
      <c r="BR339" s="1155"/>
      <c r="BS339" s="1155"/>
    </row>
    <row r="340" spans="5:71" s="474" customFormat="1" ht="13.5" thickBot="1">
      <c r="E340" s="4109"/>
      <c r="F340" s="1385" t="s">
        <v>583</v>
      </c>
      <c r="G340" s="255"/>
      <c r="H340" s="461"/>
      <c r="I340" s="461"/>
      <c r="J340" s="461"/>
      <c r="K340" s="281"/>
      <c r="L340" s="207"/>
      <c r="M340" s="456"/>
      <c r="N340" s="456"/>
      <c r="O340" s="456"/>
      <c r="P340" s="457"/>
      <c r="Q340" s="224"/>
      <c r="R340" s="456"/>
      <c r="S340" s="456"/>
      <c r="T340" s="456"/>
      <c r="U340" s="457"/>
      <c r="V340" s="1172"/>
      <c r="W340" s="207"/>
      <c r="X340" s="461"/>
      <c r="Y340" s="461"/>
      <c r="Z340" s="461"/>
      <c r="AA340" s="281"/>
      <c r="AB340" s="1041"/>
      <c r="AC340" s="207"/>
      <c r="AD340" s="456"/>
      <c r="AE340" s="456"/>
      <c r="AF340" s="456"/>
      <c r="AG340" s="456"/>
      <c r="AH340" s="1048"/>
      <c r="AI340" s="1172"/>
      <c r="AJ340" s="1155"/>
      <c r="AK340" s="1155"/>
      <c r="AL340" s="259"/>
      <c r="AM340" s="466"/>
      <c r="AN340" s="466"/>
      <c r="AO340" s="466"/>
      <c r="AP340" s="283"/>
      <c r="AQ340" s="259"/>
      <c r="AR340" s="466"/>
      <c r="AS340" s="283"/>
      <c r="AT340" s="1155"/>
      <c r="AU340" s="1155"/>
      <c r="AV340" s="1155"/>
      <c r="AW340" s="1155"/>
      <c r="AX340" s="1155"/>
      <c r="AY340" s="1155"/>
      <c r="AZ340" s="1155"/>
      <c r="BA340" s="1155"/>
      <c r="BB340" s="1155"/>
      <c r="BC340" s="1155"/>
      <c r="BD340" s="1155"/>
      <c r="BE340" s="1155"/>
      <c r="BF340" s="1155"/>
      <c r="BG340" s="1155"/>
      <c r="BH340" s="1155"/>
      <c r="BI340" s="1155"/>
      <c r="BJ340" s="1155"/>
      <c r="BK340" s="1155"/>
      <c r="BL340" s="1155"/>
      <c r="BM340" s="1155"/>
      <c r="BN340" s="1155"/>
      <c r="BO340" s="1155"/>
      <c r="BP340" s="1155"/>
      <c r="BQ340" s="1155"/>
      <c r="BR340" s="1155"/>
      <c r="BS340" s="1155"/>
    </row>
    <row r="341" spans="5:71" s="474" customFormat="1" ht="13.5" thickBot="1">
      <c r="E341" s="4109"/>
      <c r="F341" s="1384" t="s">
        <v>581</v>
      </c>
      <c r="G341" s="1599"/>
      <c r="H341" s="1600"/>
      <c r="I341" s="1600"/>
      <c r="J341" s="1600"/>
      <c r="K341" s="1601"/>
      <c r="L341" s="1599"/>
      <c r="M341" s="1600"/>
      <c r="N341" s="1600"/>
      <c r="O341" s="1600"/>
      <c r="P341" s="1601"/>
      <c r="Q341" s="1602"/>
      <c r="R341" s="1600"/>
      <c r="S341" s="1600"/>
      <c r="T341" s="1600"/>
      <c r="U341" s="1601"/>
      <c r="V341" s="1172"/>
      <c r="W341" s="1614"/>
      <c r="X341" s="1615"/>
      <c r="Y341" s="1615"/>
      <c r="Z341" s="1615"/>
      <c r="AA341" s="1615"/>
      <c r="AB341" s="1615"/>
      <c r="AC341" s="1615"/>
      <c r="AD341" s="1615"/>
      <c r="AE341" s="1615"/>
      <c r="AF341" s="1615"/>
      <c r="AG341" s="1615"/>
      <c r="AH341" s="1616"/>
      <c r="AI341" s="1172"/>
      <c r="AJ341" s="1155"/>
      <c r="AK341" s="1155"/>
      <c r="AL341" s="259"/>
      <c r="AM341" s="466"/>
      <c r="AN341" s="466"/>
      <c r="AO341" s="466"/>
      <c r="AP341" s="283"/>
      <c r="AQ341" s="259"/>
      <c r="AR341" s="466"/>
      <c r="AS341" s="283"/>
      <c r="AT341" s="1155"/>
      <c r="AU341" s="1155"/>
      <c r="AV341" s="1155"/>
      <c r="AW341" s="1155"/>
      <c r="AX341" s="1155"/>
      <c r="AY341" s="1155"/>
      <c r="AZ341" s="1155"/>
      <c r="BA341" s="1155"/>
      <c r="BB341" s="1155"/>
      <c r="BC341" s="1155"/>
      <c r="BD341" s="1155"/>
      <c r="BE341" s="1155"/>
      <c r="BF341" s="1155"/>
      <c r="BG341" s="1155"/>
      <c r="BH341" s="1155"/>
      <c r="BI341" s="1155"/>
      <c r="BJ341" s="1155"/>
      <c r="BK341" s="1155"/>
      <c r="BL341" s="1155"/>
      <c r="BM341" s="1155"/>
      <c r="BN341" s="1155"/>
      <c r="BO341" s="1155"/>
      <c r="BP341" s="1155"/>
      <c r="BQ341" s="1155"/>
      <c r="BR341" s="1155"/>
      <c r="BS341" s="1155"/>
    </row>
    <row r="342" spans="5:71" s="474" customFormat="1">
      <c r="E342" s="4109"/>
      <c r="F342" s="1386" t="s">
        <v>584</v>
      </c>
      <c r="G342" s="1050">
        <v>0</v>
      </c>
      <c r="H342" s="1051">
        <v>0</v>
      </c>
      <c r="I342" s="1051">
        <v>0</v>
      </c>
      <c r="J342" s="1051">
        <v>0</v>
      </c>
      <c r="K342" s="1052">
        <v>0</v>
      </c>
      <c r="L342" s="1050">
        <f>SUM(L339:L341)</f>
        <v>0</v>
      </c>
      <c r="M342" s="1051">
        <f t="shared" ref="M342" si="1432">SUM(M339:M341)</f>
        <v>1223155.8399999999</v>
      </c>
      <c r="N342" s="1051">
        <f t="shared" ref="N342" si="1433">SUM(N339:N341)</f>
        <v>0</v>
      </c>
      <c r="O342" s="1051">
        <f t="shared" ref="O342" si="1434">SUM(O339:O341)</f>
        <v>0</v>
      </c>
      <c r="P342" s="1052">
        <f t="shared" ref="P342" si="1435">SUM(P339:P341)</f>
        <v>0</v>
      </c>
      <c r="Q342" s="1092">
        <f t="shared" ref="Q342" si="1436">SUM(Q339:Q341)</f>
        <v>0</v>
      </c>
      <c r="R342" s="1051">
        <f t="shared" ref="R342" si="1437">SUM(R339:R341)</f>
        <v>0</v>
      </c>
      <c r="S342" s="1051">
        <f t="shared" ref="S342" si="1438">SUM(S339:S341)</f>
        <v>0</v>
      </c>
      <c r="T342" s="1051">
        <f t="shared" ref="T342" si="1439">SUM(T339:T341)</f>
        <v>0</v>
      </c>
      <c r="U342" s="1052">
        <f t="shared" ref="U342" si="1440">SUM(U339:U341)</f>
        <v>0</v>
      </c>
      <c r="V342" s="1172"/>
      <c r="W342" s="1050">
        <f t="shared" ref="W342" si="1441">SUM(W339:W341)</f>
        <v>0</v>
      </c>
      <c r="X342" s="1051">
        <f t="shared" ref="X342" si="1442">SUM(X339:X341)</f>
        <v>0</v>
      </c>
      <c r="Y342" s="1051">
        <f t="shared" ref="Y342" si="1443">SUM(Y339:Y341)</f>
        <v>0</v>
      </c>
      <c r="Z342" s="1051">
        <f t="shared" ref="Z342" si="1444">SUM(Z339:Z341)</f>
        <v>0</v>
      </c>
      <c r="AA342" s="1052">
        <f t="shared" ref="AA342" si="1445">SUM(AA339:AA341)</f>
        <v>0</v>
      </c>
      <c r="AB342" s="1053"/>
      <c r="AC342" s="1050">
        <f t="shared" ref="AC342" si="1446">SUM(AC339:AC341)</f>
        <v>0</v>
      </c>
      <c r="AD342" s="1051">
        <f t="shared" ref="AD342" si="1447">SUM(AD339:AD341)</f>
        <v>0</v>
      </c>
      <c r="AE342" s="1051">
        <f t="shared" ref="AE342" si="1448">SUM(AE339:AE341)</f>
        <v>0</v>
      </c>
      <c r="AF342" s="1051">
        <f t="shared" ref="AF342" si="1449">SUM(AF339:AF341)</f>
        <v>0</v>
      </c>
      <c r="AG342" s="1051">
        <f t="shared" ref="AG342" si="1450">SUM(AG339:AG341)</f>
        <v>0</v>
      </c>
      <c r="AH342" s="1054"/>
      <c r="AI342" s="1172"/>
      <c r="AJ342" s="130"/>
      <c r="AK342" s="130"/>
      <c r="AL342" s="1050">
        <f t="shared" ref="AL342:AR342" si="1451">SUM(AL340:AL341)</f>
        <v>0</v>
      </c>
      <c r="AM342" s="1051">
        <f t="shared" si="1451"/>
        <v>0</v>
      </c>
      <c r="AN342" s="1051">
        <f t="shared" si="1451"/>
        <v>0</v>
      </c>
      <c r="AO342" s="1051">
        <f t="shared" si="1451"/>
        <v>0</v>
      </c>
      <c r="AP342" s="1052">
        <f t="shared" si="1451"/>
        <v>0</v>
      </c>
      <c r="AQ342" s="1050">
        <f t="shared" si="1451"/>
        <v>0</v>
      </c>
      <c r="AR342" s="1051">
        <f t="shared" si="1451"/>
        <v>0</v>
      </c>
      <c r="AS342" s="1052"/>
      <c r="AT342" s="130"/>
      <c r="AU342" s="130"/>
      <c r="AV342" s="130"/>
      <c r="AW342" s="130"/>
      <c r="AX342" s="130"/>
      <c r="AY342" s="130"/>
      <c r="AZ342" s="130"/>
      <c r="BA342" s="130"/>
      <c r="BB342" s="130"/>
      <c r="BC342" s="130"/>
      <c r="BD342" s="130"/>
      <c r="BE342" s="130"/>
      <c r="BF342" s="130"/>
      <c r="BG342" s="130"/>
      <c r="BH342" s="130"/>
      <c r="BI342" s="130"/>
      <c r="BJ342" s="130"/>
      <c r="BK342" s="130"/>
      <c r="BL342" s="130"/>
      <c r="BM342" s="130"/>
      <c r="BN342" s="130"/>
      <c r="BO342" s="130"/>
      <c r="BP342" s="130"/>
      <c r="BQ342" s="130"/>
      <c r="BR342" s="130"/>
      <c r="BS342" s="1155"/>
    </row>
    <row r="343" spans="5:71" s="474" customFormat="1">
      <c r="E343" s="4109"/>
      <c r="F343" s="1388" t="s">
        <v>35</v>
      </c>
      <c r="G343" s="255"/>
      <c r="H343" s="461"/>
      <c r="I343" s="461"/>
      <c r="J343" s="461"/>
      <c r="K343" s="281"/>
      <c r="L343" s="255"/>
      <c r="M343" s="461"/>
      <c r="N343" s="461"/>
      <c r="O343" s="461"/>
      <c r="P343" s="281"/>
      <c r="Q343" s="956"/>
      <c r="R343" s="461"/>
      <c r="S343" s="461"/>
      <c r="T343" s="461"/>
      <c r="U343" s="281"/>
      <c r="V343" s="1172"/>
      <c r="W343" s="255"/>
      <c r="X343" s="461"/>
      <c r="Y343" s="461"/>
      <c r="Z343" s="461"/>
      <c r="AA343" s="281"/>
      <c r="AB343" s="1004"/>
      <c r="AC343" s="255"/>
      <c r="AD343" s="461"/>
      <c r="AE343" s="461"/>
      <c r="AF343" s="461"/>
      <c r="AG343" s="461"/>
      <c r="AH343" s="1047"/>
      <c r="AI343" s="1172"/>
      <c r="AJ343" s="1155"/>
      <c r="AK343" s="1155"/>
      <c r="AL343" s="259"/>
      <c r="AM343" s="466"/>
      <c r="AN343" s="466"/>
      <c r="AO343" s="466"/>
      <c r="AP343" s="283"/>
      <c r="AQ343" s="259"/>
      <c r="AR343" s="466"/>
      <c r="AS343" s="283"/>
      <c r="AT343" s="1155"/>
      <c r="AU343" s="1155"/>
      <c r="AV343" s="1155"/>
      <c r="AW343" s="1155"/>
      <c r="AX343" s="1155"/>
      <c r="AY343" s="1155"/>
      <c r="AZ343" s="1155"/>
      <c r="BA343" s="1155"/>
      <c r="BB343" s="1155"/>
      <c r="BC343" s="1155"/>
      <c r="BD343" s="1155"/>
      <c r="BE343" s="1155"/>
      <c r="BF343" s="1155"/>
      <c r="BG343" s="1155"/>
      <c r="BH343" s="1155"/>
      <c r="BI343" s="1155"/>
      <c r="BJ343" s="1155"/>
      <c r="BK343" s="1155"/>
      <c r="BL343" s="1155"/>
      <c r="BM343" s="1155"/>
      <c r="BN343" s="1155"/>
      <c r="BO343" s="1155"/>
      <c r="BP343" s="1155"/>
      <c r="BQ343" s="1155"/>
      <c r="BR343" s="1155"/>
      <c r="BS343" s="1155"/>
    </row>
    <row r="344" spans="5:71" s="474" customFormat="1" ht="13.5" thickBot="1">
      <c r="E344" s="4109"/>
      <c r="F344" s="1387" t="s">
        <v>585</v>
      </c>
      <c r="G344" s="1055">
        <v>0</v>
      </c>
      <c r="H344" s="1056">
        <v>0</v>
      </c>
      <c r="I344" s="1056">
        <v>0</v>
      </c>
      <c r="J344" s="1056">
        <v>0</v>
      </c>
      <c r="K344" s="1057">
        <v>0</v>
      </c>
      <c r="L344" s="1567">
        <f>L342-L343</f>
        <v>0</v>
      </c>
      <c r="M344" s="1056">
        <f t="shared" ref="M344" si="1452">M342-M343</f>
        <v>1223155.8399999999</v>
      </c>
      <c r="N344" s="1056">
        <f t="shared" ref="N344" si="1453">N342-N343</f>
        <v>0</v>
      </c>
      <c r="O344" s="1056">
        <f t="shared" ref="O344" si="1454">O342-O343</f>
        <v>0</v>
      </c>
      <c r="P344" s="1057">
        <f t="shared" ref="P344" si="1455">P342-P343</f>
        <v>0</v>
      </c>
      <c r="Q344" s="1093">
        <f t="shared" ref="Q344" si="1456">Q342-Q343</f>
        <v>0</v>
      </c>
      <c r="R344" s="1056">
        <f t="shared" ref="R344" si="1457">R342-R343</f>
        <v>0</v>
      </c>
      <c r="S344" s="1056">
        <f t="shared" ref="S344" si="1458">S342-S343</f>
        <v>0</v>
      </c>
      <c r="T344" s="1056">
        <f t="shared" ref="T344" si="1459">T342-T343</f>
        <v>0</v>
      </c>
      <c r="U344" s="1057">
        <f t="shared" ref="U344" si="1460">U342-U343</f>
        <v>0</v>
      </c>
      <c r="V344" s="1172"/>
      <c r="W344" s="1055">
        <f t="shared" ref="W344" si="1461">W342-W343</f>
        <v>0</v>
      </c>
      <c r="X344" s="1056">
        <f t="shared" ref="X344" si="1462">X342-X343</f>
        <v>0</v>
      </c>
      <c r="Y344" s="1056">
        <f t="shared" ref="Y344" si="1463">Y342-Y343</f>
        <v>0</v>
      </c>
      <c r="Z344" s="1056">
        <f t="shared" ref="Z344" si="1464">Z342-Z343</f>
        <v>0</v>
      </c>
      <c r="AA344" s="1057">
        <f t="shared" ref="AA344" si="1465">AA342-AA343</f>
        <v>0</v>
      </c>
      <c r="AB344" s="1075"/>
      <c r="AC344" s="1055">
        <f t="shared" ref="AC344" si="1466">AC342-AC343</f>
        <v>0</v>
      </c>
      <c r="AD344" s="1056">
        <f t="shared" ref="AD344" si="1467">AD342-AD343</f>
        <v>0</v>
      </c>
      <c r="AE344" s="1056">
        <f t="shared" ref="AE344" si="1468">AE342-AE343</f>
        <v>0</v>
      </c>
      <c r="AF344" s="1056">
        <f t="shared" ref="AF344" si="1469">AF342-AF343</f>
        <v>0</v>
      </c>
      <c r="AG344" s="1056">
        <f t="shared" ref="AG344" si="1470">AG342-AG343</f>
        <v>0</v>
      </c>
      <c r="AH344" s="1059"/>
      <c r="AI344" s="1172"/>
      <c r="AJ344" s="1155"/>
      <c r="AK344" s="1155"/>
      <c r="AL344" s="1567">
        <f>AL342-AL343</f>
        <v>0</v>
      </c>
      <c r="AM344" s="1056">
        <f t="shared" ref="AM344:AR344" si="1471">AM342-AM343</f>
        <v>0</v>
      </c>
      <c r="AN344" s="1056">
        <f t="shared" si="1471"/>
        <v>0</v>
      </c>
      <c r="AO344" s="1056">
        <f t="shared" si="1471"/>
        <v>0</v>
      </c>
      <c r="AP344" s="1057">
        <f t="shared" si="1471"/>
        <v>0</v>
      </c>
      <c r="AQ344" s="1567">
        <f t="shared" si="1471"/>
        <v>0</v>
      </c>
      <c r="AR344" s="1056">
        <f t="shared" si="1471"/>
        <v>0</v>
      </c>
      <c r="AS344" s="1057"/>
      <c r="AT344" s="1155"/>
      <c r="AU344" s="1155"/>
      <c r="AV344" s="1155"/>
      <c r="AW344" s="1155"/>
      <c r="AX344" s="1155"/>
      <c r="AY344" s="1155"/>
      <c r="AZ344" s="1155"/>
      <c r="BA344" s="1155"/>
      <c r="BB344" s="1155"/>
      <c r="BC344" s="1155"/>
      <c r="BD344" s="1155"/>
      <c r="BE344" s="1155"/>
      <c r="BF344" s="1155"/>
      <c r="BG344" s="1155"/>
      <c r="BH344" s="1155"/>
      <c r="BI344" s="1155"/>
      <c r="BJ344" s="1155"/>
      <c r="BK344" s="1155"/>
      <c r="BL344" s="1155"/>
      <c r="BM344" s="1155"/>
      <c r="BN344" s="1155"/>
      <c r="BO344" s="1155"/>
      <c r="BP344" s="1155"/>
      <c r="BQ344" s="1155"/>
      <c r="BR344" s="1155"/>
      <c r="BS344" s="1155"/>
    </row>
    <row r="345" spans="5:71" s="474" customFormat="1" ht="12.75" customHeight="1">
      <c r="E345" s="4110" t="s">
        <v>1496</v>
      </c>
      <c r="F345" s="433" t="s">
        <v>111</v>
      </c>
      <c r="G345" s="1086"/>
      <c r="H345" s="1087"/>
      <c r="I345" s="1087"/>
      <c r="J345" s="1087"/>
      <c r="K345" s="1088"/>
      <c r="L345" s="258"/>
      <c r="M345" s="465"/>
      <c r="N345" s="465"/>
      <c r="O345" s="465"/>
      <c r="P345" s="282"/>
      <c r="Q345" s="1566"/>
      <c r="R345" s="421"/>
      <c r="S345" s="421"/>
      <c r="T345" s="421"/>
      <c r="U345" s="1044"/>
      <c r="V345" s="1172"/>
      <c r="W345" s="1043"/>
      <c r="X345" s="421"/>
      <c r="Y345" s="421"/>
      <c r="Z345" s="421"/>
      <c r="AA345" s="1044"/>
      <c r="AB345" s="1045"/>
      <c r="AC345" s="1043"/>
      <c r="AD345" s="421"/>
      <c r="AE345" s="421"/>
      <c r="AF345" s="421"/>
      <c r="AG345" s="421"/>
      <c r="AH345" s="1046"/>
      <c r="AI345" s="1172"/>
      <c r="AJ345" s="1155"/>
      <c r="AK345" s="1155"/>
      <c r="AL345" s="1086"/>
      <c r="AM345" s="1087"/>
      <c r="AN345" s="1087"/>
      <c r="AO345" s="1087"/>
      <c r="AP345" s="1088"/>
      <c r="AQ345" s="258"/>
      <c r="AR345" s="465"/>
      <c r="AS345" s="282"/>
      <c r="AT345" s="1155"/>
      <c r="AU345" s="1155"/>
      <c r="AV345" s="1155"/>
      <c r="AW345" s="1155"/>
      <c r="AX345" s="1155"/>
      <c r="AY345" s="1155"/>
      <c r="AZ345" s="1155"/>
      <c r="BA345" s="1155"/>
      <c r="BB345" s="1155"/>
      <c r="BC345" s="1155"/>
      <c r="BD345" s="1155"/>
      <c r="BE345" s="1155"/>
      <c r="BF345" s="1155"/>
      <c r="BG345" s="1155"/>
      <c r="BH345" s="1155"/>
      <c r="BI345" s="1155"/>
      <c r="BJ345" s="1155"/>
      <c r="BK345" s="1155"/>
      <c r="BL345" s="1155"/>
      <c r="BM345" s="1155"/>
      <c r="BN345" s="1155"/>
      <c r="BO345" s="1155"/>
      <c r="BP345" s="1155"/>
      <c r="BQ345" s="1155"/>
      <c r="BR345" s="1155"/>
      <c r="BS345" s="1155"/>
    </row>
    <row r="346" spans="5:71" s="474" customFormat="1" ht="12.75" customHeight="1">
      <c r="E346" s="4109"/>
      <c r="F346" s="1374" t="s">
        <v>588</v>
      </c>
      <c r="G346" s="1083"/>
      <c r="H346" s="1084"/>
      <c r="I346" s="1084"/>
      <c r="J346" s="1084"/>
      <c r="K346" s="1085"/>
      <c r="L346" s="255"/>
      <c r="M346" s="461">
        <v>979</v>
      </c>
      <c r="N346" s="461"/>
      <c r="O346" s="461"/>
      <c r="P346" s="281"/>
      <c r="Q346" s="255"/>
      <c r="R346" s="461"/>
      <c r="S346" s="461"/>
      <c r="T346" s="461"/>
      <c r="U346" s="281"/>
      <c r="V346" s="1172"/>
      <c r="W346" s="255"/>
      <c r="X346" s="461"/>
      <c r="Y346" s="461"/>
      <c r="Z346" s="461"/>
      <c r="AA346" s="281"/>
      <c r="AB346" s="1041"/>
      <c r="AC346" s="255"/>
      <c r="AD346" s="461"/>
      <c r="AE346" s="461"/>
      <c r="AF346" s="461"/>
      <c r="AG346" s="461"/>
      <c r="AH346" s="1047"/>
      <c r="AI346" s="1172"/>
      <c r="AJ346" s="1155"/>
      <c r="AK346" s="1155"/>
      <c r="AL346" s="1083"/>
      <c r="AM346" s="1084"/>
      <c r="AN346" s="1084"/>
      <c r="AO346" s="1084"/>
      <c r="AP346" s="1085"/>
      <c r="AQ346" s="259"/>
      <c r="AR346" s="466"/>
      <c r="AS346" s="283"/>
      <c r="AT346" s="1155"/>
      <c r="AU346" s="1155"/>
      <c r="AV346" s="1155"/>
      <c r="AW346" s="1155"/>
      <c r="AX346" s="1155"/>
      <c r="AY346" s="1155"/>
      <c r="AZ346" s="1155"/>
      <c r="BA346" s="1155"/>
      <c r="BB346" s="1155"/>
      <c r="BC346" s="1155"/>
      <c r="BD346" s="1155"/>
      <c r="BE346" s="1155"/>
      <c r="BF346" s="1155"/>
      <c r="BG346" s="1155"/>
      <c r="BH346" s="1155"/>
      <c r="BI346" s="1155"/>
      <c r="BJ346" s="1155"/>
      <c r="BK346" s="1155"/>
      <c r="BL346" s="1155"/>
      <c r="BM346" s="1155"/>
      <c r="BN346" s="1155"/>
      <c r="BO346" s="1155"/>
      <c r="BP346" s="1155"/>
      <c r="BQ346" s="1155"/>
      <c r="BR346" s="1155"/>
      <c r="BS346" s="1155"/>
    </row>
    <row r="347" spans="5:71" s="474" customFormat="1" ht="12.75" customHeight="1">
      <c r="E347" s="4109"/>
      <c r="F347" s="1374" t="s">
        <v>589</v>
      </c>
      <c r="G347" s="1083"/>
      <c r="H347" s="1084"/>
      <c r="I347" s="1084"/>
      <c r="J347" s="1084"/>
      <c r="K347" s="1085"/>
      <c r="L347" s="255"/>
      <c r="M347" s="461">
        <v>0</v>
      </c>
      <c r="N347" s="461"/>
      <c r="O347" s="461"/>
      <c r="P347" s="281"/>
      <c r="Q347" s="255"/>
      <c r="R347" s="461"/>
      <c r="S347" s="461"/>
      <c r="T347" s="461"/>
      <c r="U347" s="281"/>
      <c r="V347" s="1172"/>
      <c r="W347" s="255"/>
      <c r="X347" s="461"/>
      <c r="Y347" s="461"/>
      <c r="Z347" s="461"/>
      <c r="AA347" s="281"/>
      <c r="AB347" s="1041"/>
      <c r="AC347" s="255"/>
      <c r="AD347" s="461"/>
      <c r="AE347" s="461"/>
      <c r="AF347" s="461"/>
      <c r="AG347" s="461"/>
      <c r="AH347" s="1047"/>
      <c r="AI347" s="1172"/>
      <c r="AJ347" s="1155"/>
      <c r="AK347" s="1155"/>
      <c r="AL347" s="1083"/>
      <c r="AM347" s="1084"/>
      <c r="AN347" s="1084"/>
      <c r="AO347" s="1084"/>
      <c r="AP347" s="1085"/>
      <c r="AQ347" s="259"/>
      <c r="AR347" s="466"/>
      <c r="AS347" s="283"/>
      <c r="AT347" s="1155"/>
      <c r="AU347" s="1155"/>
      <c r="AV347" s="1155"/>
      <c r="AW347" s="1155"/>
      <c r="AX347" s="1155"/>
      <c r="AY347" s="1155"/>
      <c r="AZ347" s="1155"/>
      <c r="BA347" s="1155"/>
      <c r="BB347" s="1155"/>
      <c r="BC347" s="1155"/>
      <c r="BD347" s="1155"/>
      <c r="BE347" s="1155"/>
      <c r="BF347" s="1155"/>
      <c r="BG347" s="1155"/>
      <c r="BH347" s="1155"/>
      <c r="BI347" s="1155"/>
      <c r="BJ347" s="1155"/>
      <c r="BK347" s="1155"/>
      <c r="BL347" s="1155"/>
      <c r="BM347" s="1155"/>
      <c r="BN347" s="1155"/>
      <c r="BO347" s="1155"/>
      <c r="BP347" s="1155"/>
      <c r="BQ347" s="1155"/>
      <c r="BR347" s="1155"/>
      <c r="BS347" s="1155"/>
    </row>
    <row r="348" spans="5:71" s="474" customFormat="1" ht="12.75" customHeight="1">
      <c r="E348" s="4109"/>
      <c r="F348" s="1374" t="s">
        <v>590</v>
      </c>
      <c r="G348" s="1083"/>
      <c r="H348" s="1084"/>
      <c r="I348" s="1084"/>
      <c r="J348" s="1084"/>
      <c r="K348" s="1085"/>
      <c r="L348" s="255"/>
      <c r="M348" s="461"/>
      <c r="N348" s="461"/>
      <c r="O348" s="461"/>
      <c r="P348" s="281"/>
      <c r="Q348" s="255"/>
      <c r="R348" s="461"/>
      <c r="S348" s="461"/>
      <c r="T348" s="461"/>
      <c r="U348" s="281"/>
      <c r="V348" s="1172"/>
      <c r="W348" s="255"/>
      <c r="X348" s="461"/>
      <c r="Y348" s="461"/>
      <c r="Z348" s="461"/>
      <c r="AA348" s="281"/>
      <c r="AB348" s="1041"/>
      <c r="AC348" s="255"/>
      <c r="AD348" s="461"/>
      <c r="AE348" s="461"/>
      <c r="AF348" s="461"/>
      <c r="AG348" s="461"/>
      <c r="AH348" s="1047"/>
      <c r="AI348" s="1172"/>
      <c r="AJ348" s="1155"/>
      <c r="AK348" s="1155"/>
      <c r="AL348" s="1083"/>
      <c r="AM348" s="1084"/>
      <c r="AN348" s="1084"/>
      <c r="AO348" s="1084"/>
      <c r="AP348" s="1085"/>
      <c r="AQ348" s="259"/>
      <c r="AR348" s="466"/>
      <c r="AS348" s="283"/>
      <c r="AT348" s="1155"/>
      <c r="AU348" s="1155"/>
      <c r="AV348" s="1155"/>
      <c r="AW348" s="1155"/>
      <c r="AX348" s="1155"/>
      <c r="AY348" s="1155"/>
      <c r="AZ348" s="1155"/>
      <c r="BA348" s="1155"/>
      <c r="BB348" s="1155"/>
      <c r="BC348" s="1155"/>
      <c r="BD348" s="1155"/>
      <c r="BE348" s="1155"/>
      <c r="BF348" s="1155"/>
      <c r="BG348" s="1155"/>
      <c r="BH348" s="1155"/>
      <c r="BI348" s="1155"/>
      <c r="BJ348" s="1155"/>
      <c r="BK348" s="1155"/>
      <c r="BL348" s="1155"/>
      <c r="BM348" s="1155"/>
      <c r="BN348" s="1155"/>
      <c r="BO348" s="1155"/>
      <c r="BP348" s="1155"/>
      <c r="BQ348" s="1155"/>
      <c r="BR348" s="1155"/>
      <c r="BS348" s="1155"/>
    </row>
    <row r="349" spans="5:71" s="474" customFormat="1" ht="12.75" customHeight="1">
      <c r="E349" s="4109"/>
      <c r="F349" s="1374" t="s">
        <v>591</v>
      </c>
      <c r="G349" s="1083"/>
      <c r="H349" s="1084"/>
      <c r="I349" s="1084"/>
      <c r="J349" s="1084"/>
      <c r="K349" s="1085"/>
      <c r="L349" s="255"/>
      <c r="M349" s="461"/>
      <c r="N349" s="461"/>
      <c r="O349" s="461"/>
      <c r="P349" s="281"/>
      <c r="Q349" s="255"/>
      <c r="R349" s="461"/>
      <c r="S349" s="461"/>
      <c r="T349" s="461"/>
      <c r="U349" s="281"/>
      <c r="V349" s="1172"/>
      <c r="W349" s="255"/>
      <c r="X349" s="461"/>
      <c r="Y349" s="461"/>
      <c r="Z349" s="461"/>
      <c r="AA349" s="281"/>
      <c r="AB349" s="1041"/>
      <c r="AC349" s="255"/>
      <c r="AD349" s="461"/>
      <c r="AE349" s="461"/>
      <c r="AF349" s="461"/>
      <c r="AG349" s="461"/>
      <c r="AH349" s="1047"/>
      <c r="AI349" s="1172"/>
      <c r="AJ349" s="1155"/>
      <c r="AK349" s="1155"/>
      <c r="AL349" s="1083"/>
      <c r="AM349" s="1084"/>
      <c r="AN349" s="1084"/>
      <c r="AO349" s="1084"/>
      <c r="AP349" s="1085"/>
      <c r="AQ349" s="259"/>
      <c r="AR349" s="466"/>
      <c r="AS349" s="283"/>
      <c r="AT349" s="1155"/>
      <c r="AU349" s="1155"/>
      <c r="AV349" s="1155"/>
      <c r="AW349" s="1155"/>
      <c r="AX349" s="1155"/>
      <c r="AY349" s="1155"/>
      <c r="AZ349" s="1155"/>
      <c r="BA349" s="1155"/>
      <c r="BB349" s="1155"/>
      <c r="BC349" s="1155"/>
      <c r="BD349" s="1155"/>
      <c r="BE349" s="1155"/>
      <c r="BF349" s="1155"/>
      <c r="BG349" s="1155"/>
      <c r="BH349" s="1155"/>
      <c r="BI349" s="1155"/>
      <c r="BJ349" s="1155"/>
      <c r="BK349" s="1155"/>
      <c r="BL349" s="1155"/>
      <c r="BM349" s="1155"/>
      <c r="BN349" s="1155"/>
      <c r="BO349" s="1155"/>
      <c r="BP349" s="1155"/>
      <c r="BQ349" s="1155"/>
      <c r="BR349" s="1155"/>
      <c r="BS349" s="1155"/>
    </row>
    <row r="350" spans="5:71" s="474" customFormat="1" ht="12.75" customHeight="1">
      <c r="E350" s="4109"/>
      <c r="F350" s="1374" t="s">
        <v>592</v>
      </c>
      <c r="G350" s="1083"/>
      <c r="H350" s="1084"/>
      <c r="I350" s="1084"/>
      <c r="J350" s="1084"/>
      <c r="K350" s="1085"/>
      <c r="L350" s="207"/>
      <c r="M350" s="456"/>
      <c r="N350" s="456"/>
      <c r="O350" s="456"/>
      <c r="P350" s="457"/>
      <c r="Q350" s="207"/>
      <c r="R350" s="456"/>
      <c r="S350" s="456"/>
      <c r="T350" s="456"/>
      <c r="U350" s="457"/>
      <c r="V350" s="1172"/>
      <c r="W350" s="207">
        <v>0</v>
      </c>
      <c r="X350" s="456">
        <v>0</v>
      </c>
      <c r="Y350" s="456">
        <v>0</v>
      </c>
      <c r="Z350" s="456">
        <v>0</v>
      </c>
      <c r="AA350" s="457">
        <v>0</v>
      </c>
      <c r="AB350" s="1041"/>
      <c r="AC350" s="207">
        <v>0</v>
      </c>
      <c r="AD350" s="456">
        <v>0</v>
      </c>
      <c r="AE350" s="456">
        <v>0</v>
      </c>
      <c r="AF350" s="456">
        <v>0</v>
      </c>
      <c r="AG350" s="456">
        <v>0</v>
      </c>
      <c r="AH350" s="1048"/>
      <c r="AI350" s="1172"/>
      <c r="AJ350" s="1155"/>
      <c r="AK350" s="1155"/>
      <c r="AL350" s="1083"/>
      <c r="AM350" s="1084"/>
      <c r="AN350" s="1084"/>
      <c r="AO350" s="1084"/>
      <c r="AP350" s="1085"/>
      <c r="AQ350" s="207">
        <f>SUM(AQ345:AQ349)</f>
        <v>0</v>
      </c>
      <c r="AR350" s="456">
        <f t="shared" ref="AR350" si="1472">SUM(AR345:AR349)</f>
        <v>0</v>
      </c>
      <c r="AS350" s="457"/>
      <c r="AT350" s="1155"/>
      <c r="AU350" s="1155"/>
      <c r="AV350" s="1155"/>
      <c r="AW350" s="1155"/>
      <c r="AX350" s="1155"/>
      <c r="AY350" s="1155"/>
      <c r="AZ350" s="1155"/>
      <c r="BA350" s="1155"/>
      <c r="BB350" s="1155"/>
      <c r="BC350" s="1155"/>
      <c r="BD350" s="1155"/>
      <c r="BE350" s="1155"/>
      <c r="BF350" s="1155"/>
      <c r="BG350" s="1155"/>
      <c r="BH350" s="1155"/>
      <c r="BI350" s="1155"/>
      <c r="BJ350" s="1155"/>
      <c r="BK350" s="1155"/>
      <c r="BL350" s="1155"/>
      <c r="BM350" s="1155"/>
      <c r="BN350" s="1155"/>
      <c r="BO350" s="1155"/>
      <c r="BP350" s="1155"/>
      <c r="BQ350" s="1155"/>
      <c r="BR350" s="1155"/>
      <c r="BS350" s="1155"/>
    </row>
    <row r="351" spans="5:71" s="474" customFormat="1">
      <c r="E351" s="4109"/>
      <c r="F351" s="1375" t="s">
        <v>587</v>
      </c>
      <c r="G351" s="1086"/>
      <c r="H351" s="1087"/>
      <c r="I351" s="1087"/>
      <c r="J351" s="1087"/>
      <c r="K351" s="1088"/>
      <c r="L351" s="258">
        <f>SUM(L346:L350)</f>
        <v>0</v>
      </c>
      <c r="M351" s="465">
        <f t="shared" ref="M351" si="1473">SUM(M346:M350)</f>
        <v>979</v>
      </c>
      <c r="N351" s="465">
        <f t="shared" ref="N351" si="1474">SUM(N346:N350)</f>
        <v>0</v>
      </c>
      <c r="O351" s="465">
        <f t="shared" ref="O351" si="1475">SUM(O346:O350)</f>
        <v>0</v>
      </c>
      <c r="P351" s="282">
        <f t="shared" ref="P351" si="1476">SUM(P346:P350)</f>
        <v>0</v>
      </c>
      <c r="Q351" s="258">
        <f t="shared" ref="Q351" si="1477">SUM(Q346:Q350)</f>
        <v>0</v>
      </c>
      <c r="R351" s="465">
        <f t="shared" ref="R351" si="1478">SUM(R346:R350)</f>
        <v>0</v>
      </c>
      <c r="S351" s="465">
        <f t="shared" ref="S351" si="1479">SUM(S346:S350)</f>
        <v>0</v>
      </c>
      <c r="T351" s="465">
        <f t="shared" ref="T351" si="1480">SUM(T346:T350)</f>
        <v>0</v>
      </c>
      <c r="U351" s="282">
        <f t="shared" ref="U351" si="1481">SUM(U346:U350)</f>
        <v>0</v>
      </c>
      <c r="V351" s="1172"/>
      <c r="W351" s="258">
        <f t="shared" ref="W351" si="1482">SUM(W346:W350)</f>
        <v>0</v>
      </c>
      <c r="X351" s="465">
        <f t="shared" ref="X351" si="1483">SUM(X346:X350)</f>
        <v>0</v>
      </c>
      <c r="Y351" s="465">
        <f t="shared" ref="Y351" si="1484">SUM(Y346:Y350)</f>
        <v>0</v>
      </c>
      <c r="Z351" s="465">
        <f t="shared" ref="Z351" si="1485">SUM(Z346:Z350)</f>
        <v>0</v>
      </c>
      <c r="AA351" s="282">
        <f t="shared" ref="AA351" si="1486">SUM(AA346:AA350)</f>
        <v>0</v>
      </c>
      <c r="AB351" s="992"/>
      <c r="AC351" s="258">
        <f t="shared" ref="AC351" si="1487">SUM(AC346:AC350)</f>
        <v>0</v>
      </c>
      <c r="AD351" s="465">
        <f t="shared" ref="AD351" si="1488">SUM(AD346:AD350)</f>
        <v>0</v>
      </c>
      <c r="AE351" s="465">
        <f t="shared" ref="AE351" si="1489">SUM(AE346:AE350)</f>
        <v>0</v>
      </c>
      <c r="AF351" s="465">
        <f t="shared" ref="AF351" si="1490">SUM(AF346:AF350)</f>
        <v>0</v>
      </c>
      <c r="AG351" s="465">
        <f t="shared" ref="AG351" si="1491">SUM(AG346:AG350)</f>
        <v>0</v>
      </c>
      <c r="AH351" s="1049"/>
      <c r="AI351" s="1172"/>
      <c r="AJ351" s="1155"/>
      <c r="AK351" s="1155"/>
      <c r="AL351" s="1086"/>
      <c r="AM351" s="1087"/>
      <c r="AN351" s="1087"/>
      <c r="AO351" s="1087"/>
      <c r="AP351" s="1088"/>
      <c r="AQ351" s="258"/>
      <c r="AR351" s="465"/>
      <c r="AS351" s="282"/>
      <c r="AT351" s="1155"/>
      <c r="AU351" s="1155"/>
      <c r="AV351" s="1155"/>
      <c r="AW351" s="1155"/>
      <c r="AX351" s="1155"/>
      <c r="AY351" s="1155"/>
      <c r="AZ351" s="1155"/>
      <c r="BA351" s="1155"/>
      <c r="BB351" s="1155"/>
      <c r="BC351" s="1155"/>
      <c r="BD351" s="1155"/>
      <c r="BE351" s="1155"/>
      <c r="BF351" s="1155"/>
      <c r="BG351" s="1155"/>
      <c r="BH351" s="1155"/>
      <c r="BI351" s="1155"/>
      <c r="BJ351" s="1155"/>
      <c r="BK351" s="1155"/>
      <c r="BL351" s="1155"/>
      <c r="BM351" s="1155"/>
      <c r="BN351" s="1155"/>
      <c r="BO351" s="1155"/>
      <c r="BP351" s="1155"/>
      <c r="BQ351" s="1155"/>
      <c r="BR351" s="1155"/>
      <c r="BS351" s="1155"/>
    </row>
    <row r="352" spans="5:71" s="474" customFormat="1">
      <c r="E352" s="4109"/>
      <c r="F352" s="1376" t="s">
        <v>593</v>
      </c>
      <c r="G352" s="1083"/>
      <c r="H352" s="1084"/>
      <c r="I352" s="1084"/>
      <c r="J352" s="1084"/>
      <c r="K352" s="1085"/>
      <c r="L352" s="255"/>
      <c r="M352" s="461"/>
      <c r="N352" s="461"/>
      <c r="O352" s="461"/>
      <c r="P352" s="281"/>
      <c r="Q352" s="255"/>
      <c r="R352" s="461"/>
      <c r="S352" s="461"/>
      <c r="T352" s="461"/>
      <c r="U352" s="281"/>
      <c r="V352" s="1172"/>
      <c r="W352" s="255"/>
      <c r="X352" s="461"/>
      <c r="Y352" s="461"/>
      <c r="Z352" s="461"/>
      <c r="AA352" s="281"/>
      <c r="AB352" s="1041"/>
      <c r="AC352" s="255"/>
      <c r="AD352" s="461"/>
      <c r="AE352" s="461"/>
      <c r="AF352" s="461"/>
      <c r="AG352" s="461"/>
      <c r="AH352" s="1047"/>
      <c r="AI352" s="1172"/>
      <c r="AJ352" s="1155"/>
      <c r="AK352" s="1155"/>
      <c r="AL352" s="1083"/>
      <c r="AM352" s="1084"/>
      <c r="AN352" s="1084"/>
      <c r="AO352" s="1084"/>
      <c r="AP352" s="1085"/>
      <c r="AQ352" s="259"/>
      <c r="AR352" s="466"/>
      <c r="AS352" s="283"/>
      <c r="AT352" s="1155"/>
      <c r="AU352" s="1155"/>
      <c r="AV352" s="1155"/>
      <c r="AW352" s="1155"/>
      <c r="AX352" s="1155"/>
      <c r="AY352" s="1155"/>
      <c r="AZ352" s="1155"/>
      <c r="BA352" s="1155"/>
      <c r="BB352" s="1155"/>
      <c r="BC352" s="1155"/>
      <c r="BD352" s="1155"/>
      <c r="BE352" s="1155"/>
      <c r="BF352" s="1155"/>
      <c r="BG352" s="1155"/>
      <c r="BH352" s="1155"/>
      <c r="BI352" s="1155"/>
      <c r="BJ352" s="1155"/>
      <c r="BK352" s="1155"/>
      <c r="BL352" s="1155"/>
      <c r="BM352" s="1155"/>
      <c r="BN352" s="1155"/>
      <c r="BO352" s="1155"/>
      <c r="BP352" s="1155"/>
      <c r="BQ352" s="1155"/>
      <c r="BR352" s="1155"/>
      <c r="BS352" s="1155"/>
    </row>
    <row r="353" spans="5:71" s="474" customFormat="1">
      <c r="E353" s="4109"/>
      <c r="F353" s="431" t="s">
        <v>558</v>
      </c>
      <c r="G353" s="1083"/>
      <c r="H353" s="1084"/>
      <c r="I353" s="1084"/>
      <c r="J353" s="1084"/>
      <c r="K353" s="1085"/>
      <c r="L353" s="255"/>
      <c r="M353" s="461">
        <v>406397.56000000006</v>
      </c>
      <c r="N353" s="461"/>
      <c r="O353" s="461"/>
      <c r="P353" s="281"/>
      <c r="Q353" s="255"/>
      <c r="R353" s="461"/>
      <c r="S353" s="461"/>
      <c r="T353" s="461"/>
      <c r="U353" s="281"/>
      <c r="V353" s="1172"/>
      <c r="W353" s="255"/>
      <c r="X353" s="461"/>
      <c r="Y353" s="461"/>
      <c r="Z353" s="461"/>
      <c r="AA353" s="281"/>
      <c r="AB353" s="1041"/>
      <c r="AC353" s="255"/>
      <c r="AD353" s="461"/>
      <c r="AE353" s="461"/>
      <c r="AF353" s="461"/>
      <c r="AG353" s="461"/>
      <c r="AH353" s="1047"/>
      <c r="AI353" s="1172"/>
      <c r="AJ353" s="1155"/>
      <c r="AK353" s="1155"/>
      <c r="AL353" s="1083"/>
      <c r="AM353" s="1084"/>
      <c r="AN353" s="1084"/>
      <c r="AO353" s="1084"/>
      <c r="AP353" s="1085"/>
      <c r="AQ353" s="259"/>
      <c r="AR353" s="466"/>
      <c r="AS353" s="283"/>
      <c r="AT353" s="1155"/>
      <c r="AU353" s="1155"/>
      <c r="AV353" s="1155"/>
      <c r="AW353" s="1155"/>
      <c r="AX353" s="1155"/>
      <c r="AY353" s="1155"/>
      <c r="AZ353" s="1155"/>
      <c r="BA353" s="1155"/>
      <c r="BB353" s="1155"/>
      <c r="BC353" s="1155"/>
      <c r="BD353" s="1155"/>
      <c r="BE353" s="1155"/>
      <c r="BF353" s="1155"/>
      <c r="BG353" s="1155"/>
      <c r="BH353" s="1155"/>
      <c r="BI353" s="1155"/>
      <c r="BJ353" s="1155"/>
      <c r="BK353" s="1155"/>
      <c r="BL353" s="1155"/>
      <c r="BM353" s="1155"/>
      <c r="BN353" s="1155"/>
      <c r="BO353" s="1155"/>
      <c r="BP353" s="1155"/>
      <c r="BQ353" s="1155"/>
      <c r="BR353" s="1155"/>
      <c r="BS353" s="1155"/>
    </row>
    <row r="354" spans="5:71" s="474" customFormat="1">
      <c r="E354" s="4109"/>
      <c r="F354" s="431" t="s">
        <v>559</v>
      </c>
      <c r="G354" s="1083"/>
      <c r="H354" s="1084"/>
      <c r="I354" s="1084"/>
      <c r="J354" s="1084"/>
      <c r="K354" s="1085"/>
      <c r="L354" s="255"/>
      <c r="M354" s="461"/>
      <c r="N354" s="461"/>
      <c r="O354" s="461"/>
      <c r="P354" s="281"/>
      <c r="Q354" s="255"/>
      <c r="R354" s="461"/>
      <c r="S354" s="461"/>
      <c r="T354" s="461"/>
      <c r="U354" s="281"/>
      <c r="V354" s="1172"/>
      <c r="W354" s="255"/>
      <c r="X354" s="461"/>
      <c r="Y354" s="461"/>
      <c r="Z354" s="461"/>
      <c r="AA354" s="281"/>
      <c r="AB354" s="1041"/>
      <c r="AC354" s="255"/>
      <c r="AD354" s="461"/>
      <c r="AE354" s="461"/>
      <c r="AF354" s="461"/>
      <c r="AG354" s="461"/>
      <c r="AH354" s="1047"/>
      <c r="AI354" s="1172"/>
      <c r="AJ354" s="1155"/>
      <c r="AK354" s="1155"/>
      <c r="AL354" s="1083"/>
      <c r="AM354" s="1084"/>
      <c r="AN354" s="1084"/>
      <c r="AO354" s="1084"/>
      <c r="AP354" s="1085"/>
      <c r="AQ354" s="259"/>
      <c r="AR354" s="466"/>
      <c r="AS354" s="283"/>
      <c r="AT354" s="1155"/>
      <c r="AU354" s="1155"/>
      <c r="AV354" s="1155"/>
      <c r="AW354" s="1155"/>
      <c r="AX354" s="1155"/>
      <c r="AY354" s="1155"/>
      <c r="AZ354" s="1155"/>
      <c r="BA354" s="1155"/>
      <c r="BB354" s="1155"/>
      <c r="BC354" s="1155"/>
      <c r="BD354" s="1155"/>
      <c r="BE354" s="1155"/>
      <c r="BF354" s="1155"/>
      <c r="BG354" s="1155"/>
      <c r="BH354" s="1155"/>
      <c r="BI354" s="1155"/>
      <c r="BJ354" s="1155"/>
      <c r="BK354" s="1155"/>
      <c r="BL354" s="1155"/>
      <c r="BM354" s="1155"/>
      <c r="BN354" s="1155"/>
      <c r="BO354" s="1155"/>
      <c r="BP354" s="1155"/>
      <c r="BQ354" s="1155"/>
      <c r="BR354" s="1155"/>
      <c r="BS354" s="1155"/>
    </row>
    <row r="355" spans="5:71" s="474" customFormat="1">
      <c r="E355" s="4109"/>
      <c r="F355" s="431" t="s">
        <v>578</v>
      </c>
      <c r="G355" s="1089"/>
      <c r="H355" s="1090"/>
      <c r="I355" s="1090"/>
      <c r="J355" s="1090"/>
      <c r="K355" s="1091"/>
      <c r="L355" s="259"/>
      <c r="M355" s="456"/>
      <c r="N355" s="456"/>
      <c r="O355" s="456"/>
      <c r="P355" s="457"/>
      <c r="Q355" s="207"/>
      <c r="R355" s="456"/>
      <c r="S355" s="456"/>
      <c r="T355" s="456"/>
      <c r="U355" s="457"/>
      <c r="V355" s="1172"/>
      <c r="W355" s="207"/>
      <c r="X355" s="456"/>
      <c r="Y355" s="456"/>
      <c r="Z355" s="456"/>
      <c r="AA355" s="457"/>
      <c r="AB355" s="1041"/>
      <c r="AC355" s="207"/>
      <c r="AD355" s="456"/>
      <c r="AE355" s="456"/>
      <c r="AF355" s="456"/>
      <c r="AG355" s="456"/>
      <c r="AH355" s="1048"/>
      <c r="AI355" s="1172"/>
      <c r="AJ355" s="1155"/>
      <c r="AK355" s="1155"/>
      <c r="AL355" s="1089"/>
      <c r="AM355" s="1090"/>
      <c r="AN355" s="1090"/>
      <c r="AO355" s="1090"/>
      <c r="AP355" s="1091"/>
      <c r="AQ355" s="259"/>
      <c r="AR355" s="456"/>
      <c r="AS355" s="457"/>
      <c r="AT355" s="1155"/>
      <c r="AU355" s="1155"/>
      <c r="AV355" s="1155"/>
      <c r="AW355" s="1155"/>
      <c r="AX355" s="1155"/>
      <c r="AY355" s="1155"/>
      <c r="AZ355" s="1155"/>
      <c r="BA355" s="1155"/>
      <c r="BB355" s="1155"/>
      <c r="BC355" s="1155"/>
      <c r="BD355" s="1155"/>
      <c r="BE355" s="1155"/>
      <c r="BF355" s="1155"/>
      <c r="BG355" s="1155"/>
      <c r="BH355" s="1155"/>
      <c r="BI355" s="1155"/>
      <c r="BJ355" s="1155"/>
      <c r="BK355" s="1155"/>
      <c r="BL355" s="1155"/>
      <c r="BM355" s="1155"/>
      <c r="BN355" s="1155"/>
      <c r="BO355" s="1155"/>
      <c r="BP355" s="1155"/>
      <c r="BQ355" s="1155"/>
      <c r="BR355" s="1155"/>
      <c r="BS355" s="1155"/>
    </row>
    <row r="356" spans="5:71" s="474" customFormat="1">
      <c r="E356" s="4109"/>
      <c r="F356" s="1377" t="s">
        <v>579</v>
      </c>
      <c r="G356" s="1086"/>
      <c r="H356" s="1087"/>
      <c r="I356" s="1087"/>
      <c r="J356" s="1087"/>
      <c r="K356" s="1088"/>
      <c r="L356" s="258">
        <f>SUM(L352:L355)</f>
        <v>0</v>
      </c>
      <c r="M356" s="465">
        <f t="shared" ref="M356" si="1492">SUM(M352:M355)</f>
        <v>406397.56000000006</v>
      </c>
      <c r="N356" s="465">
        <f t="shared" ref="N356" si="1493">SUM(N352:N355)</f>
        <v>0</v>
      </c>
      <c r="O356" s="465">
        <f t="shared" ref="O356" si="1494">SUM(O352:O355)</f>
        <v>0</v>
      </c>
      <c r="P356" s="282">
        <f t="shared" ref="P356" si="1495">SUM(P352:P355)</f>
        <v>0</v>
      </c>
      <c r="Q356" s="258">
        <f t="shared" ref="Q356" si="1496">SUM(Q352:Q355)</f>
        <v>0</v>
      </c>
      <c r="R356" s="465">
        <f t="shared" ref="R356" si="1497">SUM(R352:R355)</f>
        <v>0</v>
      </c>
      <c r="S356" s="465">
        <f t="shared" ref="S356" si="1498">SUM(S352:S355)</f>
        <v>0</v>
      </c>
      <c r="T356" s="465">
        <f t="shared" ref="T356" si="1499">SUM(T352:T355)</f>
        <v>0</v>
      </c>
      <c r="U356" s="282">
        <f t="shared" ref="U356" si="1500">SUM(U352:U355)</f>
        <v>0</v>
      </c>
      <c r="V356" s="1172"/>
      <c r="W356" s="258">
        <f t="shared" ref="W356" si="1501">SUM(W352:W355)</f>
        <v>0</v>
      </c>
      <c r="X356" s="465">
        <f t="shared" ref="X356" si="1502">SUM(X352:X355)</f>
        <v>0</v>
      </c>
      <c r="Y356" s="465">
        <f t="shared" ref="Y356" si="1503">SUM(Y352:Y355)</f>
        <v>0</v>
      </c>
      <c r="Z356" s="465">
        <f t="shared" ref="Z356" si="1504">SUM(Z352:Z355)</f>
        <v>0</v>
      </c>
      <c r="AA356" s="282">
        <f t="shared" ref="AA356" si="1505">SUM(AA352:AA355)</f>
        <v>0</v>
      </c>
      <c r="AB356" s="992"/>
      <c r="AC356" s="258">
        <f t="shared" ref="AC356" si="1506">SUM(AC352:AC355)</f>
        <v>0</v>
      </c>
      <c r="AD356" s="465">
        <f t="shared" ref="AD356" si="1507">SUM(AD352:AD355)</f>
        <v>0</v>
      </c>
      <c r="AE356" s="465">
        <f t="shared" ref="AE356" si="1508">SUM(AE352:AE355)</f>
        <v>0</v>
      </c>
      <c r="AF356" s="465">
        <f t="shared" ref="AF356" si="1509">SUM(AF352:AF355)</f>
        <v>0</v>
      </c>
      <c r="AG356" s="465">
        <f t="shared" ref="AG356" si="1510">SUM(AG352:AG355)</f>
        <v>0</v>
      </c>
      <c r="AH356" s="1049"/>
      <c r="AI356" s="1172"/>
      <c r="AJ356" s="1155"/>
      <c r="AK356" s="1155"/>
      <c r="AL356" s="1086"/>
      <c r="AM356" s="1087"/>
      <c r="AN356" s="1087"/>
      <c r="AO356" s="1087"/>
      <c r="AP356" s="1088"/>
      <c r="AQ356" s="258">
        <f>SUM(AQ353:AQ355)</f>
        <v>0</v>
      </c>
      <c r="AR356" s="465">
        <f t="shared" ref="AR356" si="1511">SUM(AR353:AR355)</f>
        <v>0</v>
      </c>
      <c r="AS356" s="282"/>
      <c r="AT356" s="1155"/>
      <c r="AU356" s="1155"/>
      <c r="AV356" s="1155"/>
      <c r="AW356" s="1155"/>
      <c r="AX356" s="1155"/>
      <c r="AY356" s="1155"/>
      <c r="AZ356" s="1155"/>
      <c r="BA356" s="1155"/>
      <c r="BB356" s="1155"/>
      <c r="BC356" s="1155"/>
      <c r="BD356" s="1155"/>
      <c r="BE356" s="1155"/>
      <c r="BF356" s="1155"/>
      <c r="BG356" s="1155"/>
      <c r="BH356" s="1155"/>
      <c r="BI356" s="1155"/>
      <c r="BJ356" s="1155"/>
      <c r="BK356" s="1155"/>
      <c r="BL356" s="1155"/>
      <c r="BM356" s="1155"/>
      <c r="BN356" s="1155"/>
      <c r="BO356" s="1155"/>
      <c r="BP356" s="1155"/>
      <c r="BQ356" s="1155"/>
      <c r="BR356" s="1155"/>
      <c r="BS356" s="1155"/>
    </row>
    <row r="357" spans="5:71" s="474" customFormat="1" ht="13.5" thickBot="1">
      <c r="E357" s="4109"/>
      <c r="F357" s="1035" t="s">
        <v>583</v>
      </c>
      <c r="G357" s="255"/>
      <c r="H357" s="461"/>
      <c r="I357" s="461"/>
      <c r="J357" s="461"/>
      <c r="K357" s="281"/>
      <c r="L357" s="207"/>
      <c r="M357" s="456"/>
      <c r="N357" s="456"/>
      <c r="O357" s="456"/>
      <c r="P357" s="457"/>
      <c r="Q357" s="207"/>
      <c r="R357" s="456"/>
      <c r="S357" s="456"/>
      <c r="T357" s="456"/>
      <c r="U357" s="457"/>
      <c r="V357" s="1172"/>
      <c r="W357" s="207"/>
      <c r="X357" s="461"/>
      <c r="Y357" s="461"/>
      <c r="Z357" s="461"/>
      <c r="AA357" s="281"/>
      <c r="AB357" s="1041"/>
      <c r="AC357" s="207"/>
      <c r="AD357" s="456"/>
      <c r="AE357" s="456"/>
      <c r="AF357" s="456"/>
      <c r="AG357" s="456"/>
      <c r="AH357" s="1048"/>
      <c r="AI357" s="1172"/>
      <c r="AJ357" s="1155"/>
      <c r="AK357" s="1155"/>
      <c r="AL357" s="259"/>
      <c r="AM357" s="466"/>
      <c r="AN357" s="466"/>
      <c r="AO357" s="466"/>
      <c r="AP357" s="283"/>
      <c r="AQ357" s="207"/>
      <c r="AR357" s="456"/>
      <c r="AS357" s="457"/>
      <c r="AT357" s="1155"/>
      <c r="AU357" s="1155"/>
      <c r="AV357" s="1155"/>
      <c r="AW357" s="1155"/>
      <c r="AX357" s="1155"/>
      <c r="AY357" s="1155"/>
      <c r="AZ357" s="1155"/>
      <c r="BA357" s="1155"/>
      <c r="BB357" s="1155"/>
      <c r="BC357" s="1155"/>
      <c r="BD357" s="1155"/>
      <c r="BE357" s="1155"/>
      <c r="BF357" s="1155"/>
      <c r="BG357" s="1155"/>
      <c r="BH357" s="1155"/>
      <c r="BI357" s="1155"/>
      <c r="BJ357" s="1155"/>
      <c r="BK357" s="1155"/>
      <c r="BL357" s="1155"/>
      <c r="BM357" s="1155"/>
      <c r="BN357" s="1155"/>
      <c r="BO357" s="1155"/>
      <c r="BP357" s="1155"/>
      <c r="BQ357" s="1155"/>
      <c r="BR357" s="1155"/>
      <c r="BS357" s="1155"/>
    </row>
    <row r="358" spans="5:71" s="474" customFormat="1" ht="13.5" thickBot="1">
      <c r="E358" s="4109"/>
      <c r="F358" s="1380" t="s">
        <v>581</v>
      </c>
      <c r="G358" s="1599"/>
      <c r="H358" s="1600"/>
      <c r="I358" s="1600"/>
      <c r="J358" s="1600"/>
      <c r="K358" s="1601"/>
      <c r="L358" s="1599"/>
      <c r="M358" s="1600"/>
      <c r="N358" s="1600"/>
      <c r="O358" s="1600"/>
      <c r="P358" s="1601"/>
      <c r="Q358" s="1599"/>
      <c r="R358" s="1600"/>
      <c r="S358" s="1600"/>
      <c r="T358" s="1600"/>
      <c r="U358" s="1601"/>
      <c r="V358" s="1172"/>
      <c r="W358" s="1614"/>
      <c r="X358" s="1615"/>
      <c r="Y358" s="1615"/>
      <c r="Z358" s="1615"/>
      <c r="AA358" s="1615"/>
      <c r="AB358" s="1615"/>
      <c r="AC358" s="1615"/>
      <c r="AD358" s="1615"/>
      <c r="AE358" s="1615"/>
      <c r="AF358" s="1615"/>
      <c r="AG358" s="1615"/>
      <c r="AH358" s="1616"/>
      <c r="AI358" s="1172"/>
      <c r="AJ358" s="1155"/>
      <c r="AK358" s="1155"/>
      <c r="AL358" s="259"/>
      <c r="AM358" s="466"/>
      <c r="AN358" s="466"/>
      <c r="AO358" s="466"/>
      <c r="AP358" s="283"/>
      <c r="AQ358" s="259"/>
      <c r="AR358" s="466"/>
      <c r="AS358" s="283"/>
      <c r="AT358" s="1155"/>
      <c r="AU358" s="1155"/>
      <c r="AV358" s="1155"/>
      <c r="AW358" s="1155"/>
      <c r="AX358" s="1155"/>
      <c r="AY358" s="1155"/>
      <c r="AZ358" s="1155"/>
      <c r="BA358" s="1155"/>
      <c r="BB358" s="1155"/>
      <c r="BC358" s="1155"/>
      <c r="BD358" s="1155"/>
      <c r="BE358" s="1155"/>
      <c r="BF358" s="1155"/>
      <c r="BG358" s="1155"/>
      <c r="BH358" s="1155"/>
      <c r="BI358" s="1155"/>
      <c r="BJ358" s="1155"/>
      <c r="BK358" s="1155"/>
      <c r="BL358" s="1155"/>
      <c r="BM358" s="1155"/>
      <c r="BN358" s="1155"/>
      <c r="BO358" s="1155"/>
      <c r="BP358" s="1155"/>
      <c r="BQ358" s="1155"/>
      <c r="BR358" s="1155"/>
      <c r="BS358" s="1155"/>
    </row>
    <row r="359" spans="5:71" s="474" customFormat="1">
      <c r="E359" s="4109"/>
      <c r="F359" s="1378" t="s">
        <v>584</v>
      </c>
      <c r="G359" s="1050">
        <v>0</v>
      </c>
      <c r="H359" s="1051">
        <v>0</v>
      </c>
      <c r="I359" s="1051">
        <v>0</v>
      </c>
      <c r="J359" s="1051">
        <v>0</v>
      </c>
      <c r="K359" s="1052">
        <v>0</v>
      </c>
      <c r="L359" s="1050">
        <f>SUM(L356:L358)</f>
        <v>0</v>
      </c>
      <c r="M359" s="1051">
        <f t="shared" ref="M359" si="1512">SUM(M356:M358)</f>
        <v>406397.56000000006</v>
      </c>
      <c r="N359" s="1051">
        <f t="shared" ref="N359" si="1513">SUM(N356:N358)</f>
        <v>0</v>
      </c>
      <c r="O359" s="1051">
        <f t="shared" ref="O359" si="1514">SUM(O356:O358)</f>
        <v>0</v>
      </c>
      <c r="P359" s="1052">
        <f t="shared" ref="P359" si="1515">SUM(P356:P358)</f>
        <v>0</v>
      </c>
      <c r="Q359" s="1050">
        <f t="shared" ref="Q359" si="1516">SUM(Q356:Q358)</f>
        <v>0</v>
      </c>
      <c r="R359" s="1051">
        <f t="shared" ref="R359" si="1517">SUM(R356:R358)</f>
        <v>0</v>
      </c>
      <c r="S359" s="1051">
        <f t="shared" ref="S359" si="1518">SUM(S356:S358)</f>
        <v>0</v>
      </c>
      <c r="T359" s="1051">
        <f t="shared" ref="T359" si="1519">SUM(T356:T358)</f>
        <v>0</v>
      </c>
      <c r="U359" s="1052">
        <f t="shared" ref="U359" si="1520">SUM(U356:U358)</f>
        <v>0</v>
      </c>
      <c r="V359" s="1172"/>
      <c r="W359" s="1050">
        <f t="shared" ref="W359" si="1521">SUM(W356:W358)</f>
        <v>0</v>
      </c>
      <c r="X359" s="1051">
        <f t="shared" ref="X359" si="1522">SUM(X356:X358)</f>
        <v>0</v>
      </c>
      <c r="Y359" s="1051">
        <f t="shared" ref="Y359" si="1523">SUM(Y356:Y358)</f>
        <v>0</v>
      </c>
      <c r="Z359" s="1051">
        <f t="shared" ref="Z359" si="1524">SUM(Z356:Z358)</f>
        <v>0</v>
      </c>
      <c r="AA359" s="1052">
        <f t="shared" ref="AA359" si="1525">SUM(AA356:AA358)</f>
        <v>0</v>
      </c>
      <c r="AB359" s="1053"/>
      <c r="AC359" s="1050">
        <f t="shared" ref="AC359" si="1526">SUM(AC356:AC358)</f>
        <v>0</v>
      </c>
      <c r="AD359" s="1051">
        <f t="shared" ref="AD359" si="1527">SUM(AD356:AD358)</f>
        <v>0</v>
      </c>
      <c r="AE359" s="1051">
        <f t="shared" ref="AE359" si="1528">SUM(AE356:AE358)</f>
        <v>0</v>
      </c>
      <c r="AF359" s="1051">
        <f t="shared" ref="AF359" si="1529">SUM(AF356:AF358)</f>
        <v>0</v>
      </c>
      <c r="AG359" s="1051">
        <f t="shared" ref="AG359" si="1530">SUM(AG356:AG358)</f>
        <v>0</v>
      </c>
      <c r="AH359" s="1054"/>
      <c r="AI359" s="1172"/>
      <c r="AJ359" s="130"/>
      <c r="AK359" s="130"/>
      <c r="AL359" s="1050">
        <f t="shared" ref="AL359:AR359" si="1531">SUM(AL357:AL358)</f>
        <v>0</v>
      </c>
      <c r="AM359" s="1051">
        <f t="shared" si="1531"/>
        <v>0</v>
      </c>
      <c r="AN359" s="1051">
        <f t="shared" si="1531"/>
        <v>0</v>
      </c>
      <c r="AO359" s="1051">
        <f t="shared" si="1531"/>
        <v>0</v>
      </c>
      <c r="AP359" s="1052">
        <f t="shared" si="1531"/>
        <v>0</v>
      </c>
      <c r="AQ359" s="1050">
        <f t="shared" si="1531"/>
        <v>0</v>
      </c>
      <c r="AR359" s="1051">
        <f t="shared" si="1531"/>
        <v>0</v>
      </c>
      <c r="AS359" s="1052"/>
      <c r="AT359" s="130"/>
      <c r="AU359" s="130"/>
      <c r="AV359" s="130"/>
      <c r="AW359" s="130"/>
      <c r="AX359" s="130"/>
      <c r="AY359" s="130"/>
      <c r="AZ359" s="130"/>
      <c r="BA359" s="130"/>
      <c r="BB359" s="130"/>
      <c r="BC359" s="130"/>
      <c r="BD359" s="130"/>
      <c r="BE359" s="130"/>
      <c r="BF359" s="130"/>
      <c r="BG359" s="130"/>
      <c r="BH359" s="130"/>
      <c r="BI359" s="130"/>
      <c r="BJ359" s="130"/>
      <c r="BK359" s="130"/>
      <c r="BL359" s="130"/>
      <c r="BM359" s="130"/>
      <c r="BN359" s="130"/>
      <c r="BO359" s="130"/>
      <c r="BP359" s="130"/>
      <c r="BQ359" s="130"/>
      <c r="BR359" s="130"/>
      <c r="BS359" s="1155"/>
    </row>
    <row r="360" spans="5:71" s="474" customFormat="1">
      <c r="E360" s="4109"/>
      <c r="F360" s="1389" t="s">
        <v>35</v>
      </c>
      <c r="G360" s="255"/>
      <c r="H360" s="461"/>
      <c r="I360" s="461"/>
      <c r="J360" s="461"/>
      <c r="K360" s="281"/>
      <c r="L360" s="255"/>
      <c r="M360" s="461"/>
      <c r="N360" s="461"/>
      <c r="O360" s="461"/>
      <c r="P360" s="281"/>
      <c r="Q360" s="255"/>
      <c r="R360" s="461"/>
      <c r="S360" s="461"/>
      <c r="T360" s="461"/>
      <c r="U360" s="281"/>
      <c r="V360" s="1172"/>
      <c r="W360" s="255"/>
      <c r="X360" s="461"/>
      <c r="Y360" s="461"/>
      <c r="Z360" s="461"/>
      <c r="AA360" s="281"/>
      <c r="AB360" s="1004"/>
      <c r="AC360" s="255"/>
      <c r="AD360" s="461"/>
      <c r="AE360" s="461"/>
      <c r="AF360" s="461"/>
      <c r="AG360" s="461"/>
      <c r="AH360" s="1047"/>
      <c r="AI360" s="1172"/>
      <c r="AJ360" s="1155"/>
      <c r="AK360" s="1155"/>
      <c r="AL360" s="259"/>
      <c r="AM360" s="466"/>
      <c r="AN360" s="466"/>
      <c r="AO360" s="466"/>
      <c r="AP360" s="283"/>
      <c r="AQ360" s="259"/>
      <c r="AR360" s="466"/>
      <c r="AS360" s="283"/>
      <c r="AT360" s="1155"/>
      <c r="AU360" s="1155"/>
      <c r="AV360" s="1155"/>
      <c r="AW360" s="1155"/>
      <c r="AX360" s="1155"/>
      <c r="AY360" s="1155"/>
      <c r="AZ360" s="1155"/>
      <c r="BA360" s="1155"/>
      <c r="BB360" s="1155"/>
      <c r="BC360" s="1155"/>
      <c r="BD360" s="1155"/>
      <c r="BE360" s="1155"/>
      <c r="BF360" s="1155"/>
      <c r="BG360" s="1155"/>
      <c r="BH360" s="1155"/>
      <c r="BI360" s="1155"/>
      <c r="BJ360" s="1155"/>
      <c r="BK360" s="1155"/>
      <c r="BL360" s="1155"/>
      <c r="BM360" s="1155"/>
      <c r="BN360" s="1155"/>
      <c r="BO360" s="1155"/>
      <c r="BP360" s="1155"/>
      <c r="BQ360" s="1155"/>
      <c r="BR360" s="1155"/>
      <c r="BS360" s="1155"/>
    </row>
    <row r="361" spans="5:71" s="474" customFormat="1" ht="13.5" thickBot="1">
      <c r="E361" s="4109"/>
      <c r="F361" s="1379" t="s">
        <v>585</v>
      </c>
      <c r="G361" s="1094">
        <v>0</v>
      </c>
      <c r="H361" s="1095">
        <v>0</v>
      </c>
      <c r="I361" s="1095">
        <v>0</v>
      </c>
      <c r="J361" s="1095">
        <v>0</v>
      </c>
      <c r="K361" s="1096">
        <v>0</v>
      </c>
      <c r="L361" s="1094">
        <f>L359-L360</f>
        <v>0</v>
      </c>
      <c r="M361" s="1095">
        <f t="shared" ref="M361" si="1532">M359-M360</f>
        <v>406397.56000000006</v>
      </c>
      <c r="N361" s="1095">
        <f t="shared" ref="N361" si="1533">N359-N360</f>
        <v>0</v>
      </c>
      <c r="O361" s="1095">
        <f t="shared" ref="O361" si="1534">O359-O360</f>
        <v>0</v>
      </c>
      <c r="P361" s="1096">
        <f t="shared" ref="P361" si="1535">P359-P360</f>
        <v>0</v>
      </c>
      <c r="Q361" s="1567">
        <f t="shared" ref="Q361" si="1536">Q359-Q360</f>
        <v>0</v>
      </c>
      <c r="R361" s="1056">
        <f t="shared" ref="R361" si="1537">R359-R360</f>
        <v>0</v>
      </c>
      <c r="S361" s="1056">
        <f t="shared" ref="S361" si="1538">S359-S360</f>
        <v>0</v>
      </c>
      <c r="T361" s="1056">
        <f t="shared" ref="T361" si="1539">T359-T360</f>
        <v>0</v>
      </c>
      <c r="U361" s="1057">
        <f t="shared" ref="U361" si="1540">U359-U360</f>
        <v>0</v>
      </c>
      <c r="V361" s="1172"/>
      <c r="W361" s="1055">
        <f t="shared" ref="W361" si="1541">W359-W360</f>
        <v>0</v>
      </c>
      <c r="X361" s="1056">
        <f t="shared" ref="X361" si="1542">X359-X360</f>
        <v>0</v>
      </c>
      <c r="Y361" s="1056">
        <f t="shared" ref="Y361" si="1543">Y359-Y360</f>
        <v>0</v>
      </c>
      <c r="Z361" s="1056">
        <f t="shared" ref="Z361" si="1544">Z359-Z360</f>
        <v>0</v>
      </c>
      <c r="AA361" s="1057">
        <f t="shared" ref="AA361" si="1545">AA359-AA360</f>
        <v>0</v>
      </c>
      <c r="AB361" s="1075"/>
      <c r="AC361" s="1055">
        <f t="shared" ref="AC361" si="1546">AC359-AC360</f>
        <v>0</v>
      </c>
      <c r="AD361" s="1056">
        <f t="shared" ref="AD361" si="1547">AD359-AD360</f>
        <v>0</v>
      </c>
      <c r="AE361" s="1056">
        <f t="shared" ref="AE361" si="1548">AE359-AE360</f>
        <v>0</v>
      </c>
      <c r="AF361" s="1056">
        <f t="shared" ref="AF361" si="1549">AF359-AF360</f>
        <v>0</v>
      </c>
      <c r="AG361" s="1056">
        <f t="shared" ref="AG361" si="1550">AG359-AG360</f>
        <v>0</v>
      </c>
      <c r="AH361" s="1059"/>
      <c r="AI361" s="1172"/>
      <c r="AJ361" s="1155"/>
      <c r="AK361" s="1155"/>
      <c r="AL361" s="1094">
        <f>AL359-AL360</f>
        <v>0</v>
      </c>
      <c r="AM361" s="1095">
        <f t="shared" ref="AM361:AR361" si="1551">AM359-AM360</f>
        <v>0</v>
      </c>
      <c r="AN361" s="1095">
        <f t="shared" si="1551"/>
        <v>0</v>
      </c>
      <c r="AO361" s="1095">
        <f t="shared" si="1551"/>
        <v>0</v>
      </c>
      <c r="AP361" s="1096">
        <f t="shared" si="1551"/>
        <v>0</v>
      </c>
      <c r="AQ361" s="1094">
        <f t="shared" si="1551"/>
        <v>0</v>
      </c>
      <c r="AR361" s="1095">
        <f t="shared" si="1551"/>
        <v>0</v>
      </c>
      <c r="AS361" s="1096"/>
      <c r="AT361" s="1155"/>
      <c r="AU361" s="1155"/>
      <c r="AV361" s="1155"/>
      <c r="AW361" s="1155"/>
      <c r="AX361" s="1155"/>
      <c r="AY361" s="1155"/>
      <c r="AZ361" s="1155"/>
      <c r="BA361" s="1155"/>
      <c r="BB361" s="1155"/>
      <c r="BC361" s="1155"/>
      <c r="BD361" s="1155"/>
      <c r="BE361" s="1155"/>
      <c r="BF361" s="1155"/>
      <c r="BG361" s="1155"/>
      <c r="BH361" s="1155"/>
      <c r="BI361" s="1155"/>
      <c r="BJ361" s="1155"/>
      <c r="BK361" s="1155"/>
      <c r="BL361" s="1155"/>
      <c r="BM361" s="1155"/>
      <c r="BN361" s="1155"/>
      <c r="BO361" s="1155"/>
      <c r="BP361" s="1155"/>
      <c r="BQ361" s="1155"/>
      <c r="BR361" s="1155"/>
      <c r="BS361" s="1155"/>
    </row>
    <row r="362" spans="5:71" s="474" customFormat="1" ht="12.75" customHeight="1">
      <c r="E362" s="4110" t="s">
        <v>1497</v>
      </c>
      <c r="F362" s="433" t="s">
        <v>111</v>
      </c>
      <c r="G362" s="1077"/>
      <c r="H362" s="1078"/>
      <c r="I362" s="1078"/>
      <c r="J362" s="1078"/>
      <c r="K362" s="1079"/>
      <c r="L362" s="1566"/>
      <c r="M362" s="421"/>
      <c r="N362" s="421"/>
      <c r="O362" s="421"/>
      <c r="P362" s="1044"/>
      <c r="Q362" s="1080"/>
      <c r="R362" s="1081"/>
      <c r="S362" s="1081"/>
      <c r="T362" s="1081"/>
      <c r="U362" s="1082"/>
      <c r="V362" s="1172"/>
      <c r="W362" s="1043"/>
      <c r="X362" s="421"/>
      <c r="Y362" s="421"/>
      <c r="Z362" s="421"/>
      <c r="AA362" s="1044"/>
      <c r="AB362" s="1045"/>
      <c r="AC362" s="1043"/>
      <c r="AD362" s="421"/>
      <c r="AE362" s="421"/>
      <c r="AF362" s="421"/>
      <c r="AG362" s="421"/>
      <c r="AH362" s="1046"/>
      <c r="AI362" s="1172"/>
      <c r="AJ362" s="1155"/>
      <c r="AK362" s="1155"/>
      <c r="AL362" s="1077"/>
      <c r="AM362" s="1078"/>
      <c r="AN362" s="1078"/>
      <c r="AO362" s="1078"/>
      <c r="AP362" s="1079"/>
      <c r="AQ362" s="1566"/>
      <c r="AR362" s="421"/>
      <c r="AS362" s="1044"/>
      <c r="AT362" s="1155"/>
      <c r="AU362" s="1155"/>
      <c r="AV362" s="1155"/>
      <c r="AW362" s="1155"/>
      <c r="AX362" s="1155"/>
      <c r="AY362" s="1155"/>
      <c r="AZ362" s="1155"/>
      <c r="BA362" s="1155"/>
      <c r="BB362" s="1155"/>
      <c r="BC362" s="1155"/>
      <c r="BD362" s="1155"/>
      <c r="BE362" s="1155"/>
      <c r="BF362" s="1155"/>
      <c r="BG362" s="1155"/>
      <c r="BH362" s="1155"/>
      <c r="BI362" s="1155"/>
      <c r="BJ362" s="1155"/>
      <c r="BK362" s="1155"/>
      <c r="BL362" s="1155"/>
      <c r="BM362" s="1155"/>
      <c r="BN362" s="1155"/>
      <c r="BO362" s="1155"/>
      <c r="BP362" s="1155"/>
      <c r="BQ362" s="1155"/>
      <c r="BR362" s="1155"/>
      <c r="BS362" s="1155"/>
    </row>
    <row r="363" spans="5:71" s="474" customFormat="1" ht="12.75" customHeight="1">
      <c r="E363" s="4109"/>
      <c r="F363" s="1374" t="s">
        <v>588</v>
      </c>
      <c r="G363" s="1083"/>
      <c r="H363" s="1084"/>
      <c r="I363" s="1084"/>
      <c r="J363" s="1084"/>
      <c r="K363" s="1085"/>
      <c r="L363" s="255"/>
      <c r="M363" s="461">
        <v>6025</v>
      </c>
      <c r="N363" s="461"/>
      <c r="O363" s="461"/>
      <c r="P363" s="281"/>
      <c r="Q363" s="956"/>
      <c r="R363" s="461"/>
      <c r="S363" s="461"/>
      <c r="T363" s="461"/>
      <c r="U363" s="281"/>
      <c r="V363" s="1172"/>
      <c r="W363" s="255"/>
      <c r="X363" s="461"/>
      <c r="Y363" s="461"/>
      <c r="Z363" s="461"/>
      <c r="AA363" s="281"/>
      <c r="AB363" s="1041"/>
      <c r="AC363" s="255"/>
      <c r="AD363" s="461"/>
      <c r="AE363" s="461"/>
      <c r="AF363" s="461"/>
      <c r="AG363" s="461"/>
      <c r="AH363" s="1047"/>
      <c r="AI363" s="1172"/>
      <c r="AJ363" s="1155"/>
      <c r="AK363" s="1155"/>
      <c r="AL363" s="1083"/>
      <c r="AM363" s="1084"/>
      <c r="AN363" s="1084"/>
      <c r="AO363" s="1084"/>
      <c r="AP363" s="1085"/>
      <c r="AQ363" s="259"/>
      <c r="AR363" s="466"/>
      <c r="AS363" s="283"/>
      <c r="AT363" s="1155"/>
      <c r="AU363" s="1155"/>
      <c r="AV363" s="1155"/>
      <c r="AW363" s="1155"/>
      <c r="AX363" s="1155"/>
      <c r="AY363" s="1155"/>
      <c r="AZ363" s="1155"/>
      <c r="BA363" s="1155"/>
      <c r="BB363" s="1155"/>
      <c r="BC363" s="1155"/>
      <c r="BD363" s="1155"/>
      <c r="BE363" s="1155"/>
      <c r="BF363" s="1155"/>
      <c r="BG363" s="1155"/>
      <c r="BH363" s="1155"/>
      <c r="BI363" s="1155"/>
      <c r="BJ363" s="1155"/>
      <c r="BK363" s="1155"/>
      <c r="BL363" s="1155"/>
      <c r="BM363" s="1155"/>
      <c r="BN363" s="1155"/>
      <c r="BO363" s="1155"/>
      <c r="BP363" s="1155"/>
      <c r="BQ363" s="1155"/>
      <c r="BR363" s="1155"/>
      <c r="BS363" s="1155"/>
    </row>
    <row r="364" spans="5:71" s="474" customFormat="1" ht="12.75" customHeight="1">
      <c r="E364" s="4109"/>
      <c r="F364" s="1374" t="s">
        <v>589</v>
      </c>
      <c r="G364" s="1083"/>
      <c r="H364" s="1084"/>
      <c r="I364" s="1084"/>
      <c r="J364" s="1084"/>
      <c r="K364" s="1085"/>
      <c r="L364" s="255"/>
      <c r="M364" s="461"/>
      <c r="N364" s="461"/>
      <c r="O364" s="461"/>
      <c r="P364" s="281"/>
      <c r="Q364" s="956"/>
      <c r="R364" s="461"/>
      <c r="S364" s="461"/>
      <c r="T364" s="461"/>
      <c r="U364" s="281"/>
      <c r="V364" s="1172"/>
      <c r="W364" s="255"/>
      <c r="X364" s="461"/>
      <c r="Y364" s="461"/>
      <c r="Z364" s="461"/>
      <c r="AA364" s="281"/>
      <c r="AB364" s="1041"/>
      <c r="AC364" s="255"/>
      <c r="AD364" s="461"/>
      <c r="AE364" s="461"/>
      <c r="AF364" s="461"/>
      <c r="AG364" s="461"/>
      <c r="AH364" s="1047"/>
      <c r="AI364" s="1172"/>
      <c r="AJ364" s="1155"/>
      <c r="AK364" s="1155"/>
      <c r="AL364" s="1083"/>
      <c r="AM364" s="1084"/>
      <c r="AN364" s="1084"/>
      <c r="AO364" s="1084"/>
      <c r="AP364" s="1085"/>
      <c r="AQ364" s="259"/>
      <c r="AR364" s="466"/>
      <c r="AS364" s="283"/>
      <c r="AT364" s="1155"/>
      <c r="AU364" s="1155"/>
      <c r="AV364" s="1155"/>
      <c r="AW364" s="1155"/>
      <c r="AX364" s="1155"/>
      <c r="AY364" s="1155"/>
      <c r="AZ364" s="1155"/>
      <c r="BA364" s="1155"/>
      <c r="BB364" s="1155"/>
      <c r="BC364" s="1155"/>
      <c r="BD364" s="1155"/>
      <c r="BE364" s="1155"/>
      <c r="BF364" s="1155"/>
      <c r="BG364" s="1155"/>
      <c r="BH364" s="1155"/>
      <c r="BI364" s="1155"/>
      <c r="BJ364" s="1155"/>
      <c r="BK364" s="1155"/>
      <c r="BL364" s="1155"/>
      <c r="BM364" s="1155"/>
      <c r="BN364" s="1155"/>
      <c r="BO364" s="1155"/>
      <c r="BP364" s="1155"/>
      <c r="BQ364" s="1155"/>
      <c r="BR364" s="1155"/>
      <c r="BS364" s="1155"/>
    </row>
    <row r="365" spans="5:71" s="474" customFormat="1" ht="12.75" customHeight="1">
      <c r="E365" s="4109"/>
      <c r="F365" s="1374" t="s">
        <v>590</v>
      </c>
      <c r="G365" s="1083"/>
      <c r="H365" s="1084"/>
      <c r="I365" s="1084"/>
      <c r="J365" s="1084"/>
      <c r="K365" s="1085"/>
      <c r="L365" s="255"/>
      <c r="M365" s="461"/>
      <c r="N365" s="461"/>
      <c r="O365" s="461"/>
      <c r="P365" s="281"/>
      <c r="Q365" s="956"/>
      <c r="R365" s="461"/>
      <c r="S365" s="461"/>
      <c r="T365" s="461"/>
      <c r="U365" s="281"/>
      <c r="V365" s="1172"/>
      <c r="W365" s="255"/>
      <c r="X365" s="461"/>
      <c r="Y365" s="461"/>
      <c r="Z365" s="461"/>
      <c r="AA365" s="281"/>
      <c r="AB365" s="1041"/>
      <c r="AC365" s="255"/>
      <c r="AD365" s="461"/>
      <c r="AE365" s="461"/>
      <c r="AF365" s="461"/>
      <c r="AG365" s="461"/>
      <c r="AH365" s="1047"/>
      <c r="AI365" s="1172"/>
      <c r="AJ365" s="1155"/>
      <c r="AK365" s="1155"/>
      <c r="AL365" s="1083"/>
      <c r="AM365" s="1084"/>
      <c r="AN365" s="1084"/>
      <c r="AO365" s="1084"/>
      <c r="AP365" s="1085"/>
      <c r="AQ365" s="259"/>
      <c r="AR365" s="466"/>
      <c r="AS365" s="283"/>
      <c r="AT365" s="1155"/>
      <c r="AU365" s="1155"/>
      <c r="AV365" s="1155"/>
      <c r="AW365" s="1155"/>
      <c r="AX365" s="1155"/>
      <c r="AY365" s="1155"/>
      <c r="AZ365" s="1155"/>
      <c r="BA365" s="1155"/>
      <c r="BB365" s="1155"/>
      <c r="BC365" s="1155"/>
      <c r="BD365" s="1155"/>
      <c r="BE365" s="1155"/>
      <c r="BF365" s="1155"/>
      <c r="BG365" s="1155"/>
      <c r="BH365" s="1155"/>
      <c r="BI365" s="1155"/>
      <c r="BJ365" s="1155"/>
      <c r="BK365" s="1155"/>
      <c r="BL365" s="1155"/>
      <c r="BM365" s="1155"/>
      <c r="BN365" s="1155"/>
      <c r="BO365" s="1155"/>
      <c r="BP365" s="1155"/>
      <c r="BQ365" s="1155"/>
      <c r="BR365" s="1155"/>
      <c r="BS365" s="1155"/>
    </row>
    <row r="366" spans="5:71" s="474" customFormat="1" ht="12.75" customHeight="1">
      <c r="E366" s="4109"/>
      <c r="F366" s="1374" t="s">
        <v>591</v>
      </c>
      <c r="G366" s="1083"/>
      <c r="H366" s="1084"/>
      <c r="I366" s="1084"/>
      <c r="J366" s="1084"/>
      <c r="K366" s="1085"/>
      <c r="L366" s="255"/>
      <c r="M366" s="461"/>
      <c r="N366" s="461"/>
      <c r="O366" s="461"/>
      <c r="P366" s="281"/>
      <c r="Q366" s="956"/>
      <c r="R366" s="461"/>
      <c r="S366" s="461"/>
      <c r="T366" s="461"/>
      <c r="U366" s="281"/>
      <c r="V366" s="1172"/>
      <c r="W366" s="255"/>
      <c r="X366" s="461"/>
      <c r="Y366" s="461"/>
      <c r="Z366" s="461"/>
      <c r="AA366" s="281"/>
      <c r="AB366" s="1041"/>
      <c r="AC366" s="255"/>
      <c r="AD366" s="461"/>
      <c r="AE366" s="461"/>
      <c r="AF366" s="461"/>
      <c r="AG366" s="461"/>
      <c r="AH366" s="1047"/>
      <c r="AI366" s="1172"/>
      <c r="AJ366" s="1155"/>
      <c r="AK366" s="1155"/>
      <c r="AL366" s="1083"/>
      <c r="AM366" s="1084"/>
      <c r="AN366" s="1084"/>
      <c r="AO366" s="1084"/>
      <c r="AP366" s="1085"/>
      <c r="AQ366" s="259"/>
      <c r="AR366" s="466"/>
      <c r="AS366" s="283"/>
      <c r="AT366" s="1155"/>
      <c r="AU366" s="1155"/>
      <c r="AV366" s="1155"/>
      <c r="AW366" s="1155"/>
      <c r="AX366" s="1155"/>
      <c r="AY366" s="1155"/>
      <c r="AZ366" s="1155"/>
      <c r="BA366" s="1155"/>
      <c r="BB366" s="1155"/>
      <c r="BC366" s="1155"/>
      <c r="BD366" s="1155"/>
      <c r="BE366" s="1155"/>
      <c r="BF366" s="1155"/>
      <c r="BG366" s="1155"/>
      <c r="BH366" s="1155"/>
      <c r="BI366" s="1155"/>
      <c r="BJ366" s="1155"/>
      <c r="BK366" s="1155"/>
      <c r="BL366" s="1155"/>
      <c r="BM366" s="1155"/>
      <c r="BN366" s="1155"/>
      <c r="BO366" s="1155"/>
      <c r="BP366" s="1155"/>
      <c r="BQ366" s="1155"/>
      <c r="BR366" s="1155"/>
      <c r="BS366" s="1155"/>
    </row>
    <row r="367" spans="5:71" s="474" customFormat="1" ht="12.75" customHeight="1">
      <c r="E367" s="4109"/>
      <c r="F367" s="1374" t="s">
        <v>592</v>
      </c>
      <c r="G367" s="1083"/>
      <c r="H367" s="1084"/>
      <c r="I367" s="1084"/>
      <c r="J367" s="1084"/>
      <c r="K367" s="1085"/>
      <c r="L367" s="207"/>
      <c r="M367" s="456"/>
      <c r="N367" s="456"/>
      <c r="O367" s="456"/>
      <c r="P367" s="457"/>
      <c r="Q367" s="224"/>
      <c r="R367" s="456"/>
      <c r="S367" s="456"/>
      <c r="T367" s="456"/>
      <c r="U367" s="457"/>
      <c r="V367" s="1172"/>
      <c r="W367" s="207">
        <v>0</v>
      </c>
      <c r="X367" s="456">
        <v>0</v>
      </c>
      <c r="Y367" s="456">
        <v>0</v>
      </c>
      <c r="Z367" s="456">
        <v>0</v>
      </c>
      <c r="AA367" s="457">
        <v>0</v>
      </c>
      <c r="AB367" s="1041"/>
      <c r="AC367" s="207">
        <v>0</v>
      </c>
      <c r="AD367" s="456">
        <v>0</v>
      </c>
      <c r="AE367" s="456">
        <v>0</v>
      </c>
      <c r="AF367" s="456">
        <v>0</v>
      </c>
      <c r="AG367" s="456">
        <v>0</v>
      </c>
      <c r="AH367" s="1048"/>
      <c r="AI367" s="1172"/>
      <c r="AJ367" s="1155"/>
      <c r="AK367" s="1155"/>
      <c r="AL367" s="1083"/>
      <c r="AM367" s="1084"/>
      <c r="AN367" s="1084"/>
      <c r="AO367" s="1084"/>
      <c r="AP367" s="1085"/>
      <c r="AQ367" s="207">
        <f>SUM(AQ362:AQ366)</f>
        <v>0</v>
      </c>
      <c r="AR367" s="456">
        <f t="shared" ref="AR367" si="1552">SUM(AR362:AR366)</f>
        <v>0</v>
      </c>
      <c r="AS367" s="457"/>
      <c r="AT367" s="1155"/>
      <c r="AU367" s="1155"/>
      <c r="AV367" s="1155"/>
      <c r="AW367" s="1155"/>
      <c r="AX367" s="1155"/>
      <c r="AY367" s="1155"/>
      <c r="AZ367" s="1155"/>
      <c r="BA367" s="1155"/>
      <c r="BB367" s="1155"/>
      <c r="BC367" s="1155"/>
      <c r="BD367" s="1155"/>
      <c r="BE367" s="1155"/>
      <c r="BF367" s="1155"/>
      <c r="BG367" s="1155"/>
      <c r="BH367" s="1155"/>
      <c r="BI367" s="1155"/>
      <c r="BJ367" s="1155"/>
      <c r="BK367" s="1155"/>
      <c r="BL367" s="1155"/>
      <c r="BM367" s="1155"/>
      <c r="BN367" s="1155"/>
      <c r="BO367" s="1155"/>
      <c r="BP367" s="1155"/>
      <c r="BQ367" s="1155"/>
      <c r="BR367" s="1155"/>
      <c r="BS367" s="1155"/>
    </row>
    <row r="368" spans="5:71" s="474" customFormat="1">
      <c r="E368" s="4109"/>
      <c r="F368" s="1375" t="s">
        <v>587</v>
      </c>
      <c r="G368" s="1086"/>
      <c r="H368" s="1087"/>
      <c r="I368" s="1087"/>
      <c r="J368" s="1087"/>
      <c r="K368" s="1088"/>
      <c r="L368" s="258">
        <f>SUM(L363:L367)</f>
        <v>0</v>
      </c>
      <c r="M368" s="465">
        <f t="shared" ref="M368" si="1553">SUM(M363:M367)</f>
        <v>6025</v>
      </c>
      <c r="N368" s="465">
        <f t="shared" ref="N368" si="1554">SUM(N363:N367)</f>
        <v>0</v>
      </c>
      <c r="O368" s="465">
        <f t="shared" ref="O368" si="1555">SUM(O363:O367)</f>
        <v>0</v>
      </c>
      <c r="P368" s="282">
        <f t="shared" ref="P368" si="1556">SUM(P363:P367)</f>
        <v>0</v>
      </c>
      <c r="Q368" s="965">
        <f t="shared" ref="Q368" si="1557">SUM(Q363:Q367)</f>
        <v>0</v>
      </c>
      <c r="R368" s="465">
        <f t="shared" ref="R368" si="1558">SUM(R363:R367)</f>
        <v>0</v>
      </c>
      <c r="S368" s="465">
        <f t="shared" ref="S368" si="1559">SUM(S363:S367)</f>
        <v>0</v>
      </c>
      <c r="T368" s="465">
        <f t="shared" ref="T368" si="1560">SUM(T363:T367)</f>
        <v>0</v>
      </c>
      <c r="U368" s="282">
        <f t="shared" ref="U368" si="1561">SUM(U363:U367)</f>
        <v>0</v>
      </c>
      <c r="V368" s="1172"/>
      <c r="W368" s="258">
        <f t="shared" ref="W368" si="1562">SUM(W363:W367)</f>
        <v>0</v>
      </c>
      <c r="X368" s="465">
        <f t="shared" ref="X368" si="1563">SUM(X363:X367)</f>
        <v>0</v>
      </c>
      <c r="Y368" s="465">
        <f t="shared" ref="Y368" si="1564">SUM(Y363:Y367)</f>
        <v>0</v>
      </c>
      <c r="Z368" s="465">
        <f t="shared" ref="Z368" si="1565">SUM(Z363:Z367)</f>
        <v>0</v>
      </c>
      <c r="AA368" s="282">
        <f t="shared" ref="AA368" si="1566">SUM(AA363:AA367)</f>
        <v>0</v>
      </c>
      <c r="AB368" s="992"/>
      <c r="AC368" s="258">
        <f t="shared" ref="AC368" si="1567">SUM(AC363:AC367)</f>
        <v>0</v>
      </c>
      <c r="AD368" s="465">
        <f t="shared" ref="AD368" si="1568">SUM(AD363:AD367)</f>
        <v>0</v>
      </c>
      <c r="AE368" s="465">
        <f t="shared" ref="AE368" si="1569">SUM(AE363:AE367)</f>
        <v>0</v>
      </c>
      <c r="AF368" s="465">
        <f t="shared" ref="AF368" si="1570">SUM(AF363:AF367)</f>
        <v>0</v>
      </c>
      <c r="AG368" s="465">
        <f t="shared" ref="AG368" si="1571">SUM(AG363:AG367)</f>
        <v>0</v>
      </c>
      <c r="AH368" s="1049"/>
      <c r="AI368" s="1172"/>
      <c r="AJ368" s="1155"/>
      <c r="AK368" s="1155"/>
      <c r="AL368" s="1086"/>
      <c r="AM368" s="1087"/>
      <c r="AN368" s="1087"/>
      <c r="AO368" s="1087"/>
      <c r="AP368" s="1088"/>
      <c r="AQ368" s="258"/>
      <c r="AR368" s="465"/>
      <c r="AS368" s="282"/>
      <c r="AT368" s="1155"/>
      <c r="AU368" s="1155"/>
      <c r="AV368" s="1155"/>
      <c r="AW368" s="1155"/>
      <c r="AX368" s="1155"/>
      <c r="AY368" s="1155"/>
      <c r="AZ368" s="1155"/>
      <c r="BA368" s="1155"/>
      <c r="BB368" s="1155"/>
      <c r="BC368" s="1155"/>
      <c r="BD368" s="1155"/>
      <c r="BE368" s="1155"/>
      <c r="BF368" s="1155"/>
      <c r="BG368" s="1155"/>
      <c r="BH368" s="1155"/>
      <c r="BI368" s="1155"/>
      <c r="BJ368" s="1155"/>
      <c r="BK368" s="1155"/>
      <c r="BL368" s="1155"/>
      <c r="BM368" s="1155"/>
      <c r="BN368" s="1155"/>
      <c r="BO368" s="1155"/>
      <c r="BP368" s="1155"/>
      <c r="BQ368" s="1155"/>
      <c r="BR368" s="1155"/>
      <c r="BS368" s="1155"/>
    </row>
    <row r="369" spans="5:71" s="474" customFormat="1">
      <c r="E369" s="4109"/>
      <c r="F369" s="1376" t="s">
        <v>593</v>
      </c>
      <c r="G369" s="1083"/>
      <c r="H369" s="1084"/>
      <c r="I369" s="1084"/>
      <c r="J369" s="1084"/>
      <c r="K369" s="1085"/>
      <c r="L369" s="255"/>
      <c r="M369" s="461"/>
      <c r="N369" s="461"/>
      <c r="O369" s="461"/>
      <c r="P369" s="281"/>
      <c r="Q369" s="956"/>
      <c r="R369" s="461"/>
      <c r="S369" s="461"/>
      <c r="T369" s="461"/>
      <c r="U369" s="281"/>
      <c r="V369" s="1172"/>
      <c r="W369" s="255"/>
      <c r="X369" s="461"/>
      <c r="Y369" s="461"/>
      <c r="Z369" s="461"/>
      <c r="AA369" s="281"/>
      <c r="AB369" s="1041"/>
      <c r="AC369" s="255"/>
      <c r="AD369" s="461"/>
      <c r="AE369" s="461"/>
      <c r="AF369" s="461"/>
      <c r="AG369" s="461"/>
      <c r="AH369" s="1047"/>
      <c r="AI369" s="1172"/>
      <c r="AJ369" s="1155"/>
      <c r="AK369" s="1155"/>
      <c r="AL369" s="1083"/>
      <c r="AM369" s="1084"/>
      <c r="AN369" s="1084"/>
      <c r="AO369" s="1084"/>
      <c r="AP369" s="1085"/>
      <c r="AQ369" s="259"/>
      <c r="AR369" s="466"/>
      <c r="AS369" s="283"/>
      <c r="AT369" s="1155"/>
      <c r="AU369" s="1155"/>
      <c r="AV369" s="1155"/>
      <c r="AW369" s="1155"/>
      <c r="AX369" s="1155"/>
      <c r="AY369" s="1155"/>
      <c r="AZ369" s="1155"/>
      <c r="BA369" s="1155"/>
      <c r="BB369" s="1155"/>
      <c r="BC369" s="1155"/>
      <c r="BD369" s="1155"/>
      <c r="BE369" s="1155"/>
      <c r="BF369" s="1155"/>
      <c r="BG369" s="1155"/>
      <c r="BH369" s="1155"/>
      <c r="BI369" s="1155"/>
      <c r="BJ369" s="1155"/>
      <c r="BK369" s="1155"/>
      <c r="BL369" s="1155"/>
      <c r="BM369" s="1155"/>
      <c r="BN369" s="1155"/>
      <c r="BO369" s="1155"/>
      <c r="BP369" s="1155"/>
      <c r="BQ369" s="1155"/>
      <c r="BR369" s="1155"/>
      <c r="BS369" s="1155"/>
    </row>
    <row r="370" spans="5:71" s="474" customFormat="1">
      <c r="E370" s="4109"/>
      <c r="F370" s="431" t="s">
        <v>558</v>
      </c>
      <c r="G370" s="1083"/>
      <c r="H370" s="1084"/>
      <c r="I370" s="1084"/>
      <c r="J370" s="1084"/>
      <c r="K370" s="1085"/>
      <c r="L370" s="255"/>
      <c r="M370" s="461">
        <v>1039278.1</v>
      </c>
      <c r="N370" s="461"/>
      <c r="O370" s="461"/>
      <c r="P370" s="281"/>
      <c r="Q370" s="956"/>
      <c r="R370" s="461"/>
      <c r="S370" s="461"/>
      <c r="T370" s="461"/>
      <c r="U370" s="281"/>
      <c r="V370" s="1172"/>
      <c r="W370" s="255"/>
      <c r="X370" s="461"/>
      <c r="Y370" s="461"/>
      <c r="Z370" s="461"/>
      <c r="AA370" s="281"/>
      <c r="AB370" s="1041"/>
      <c r="AC370" s="255"/>
      <c r="AD370" s="461"/>
      <c r="AE370" s="461"/>
      <c r="AF370" s="461"/>
      <c r="AG370" s="461"/>
      <c r="AH370" s="1047"/>
      <c r="AI370" s="1172"/>
      <c r="AJ370" s="1155"/>
      <c r="AK370" s="1155"/>
      <c r="AL370" s="1083"/>
      <c r="AM370" s="1084"/>
      <c r="AN370" s="1084"/>
      <c r="AO370" s="1084"/>
      <c r="AP370" s="1085"/>
      <c r="AQ370" s="259"/>
      <c r="AR370" s="466"/>
      <c r="AS370" s="283"/>
      <c r="AT370" s="1155"/>
      <c r="AU370" s="1155"/>
      <c r="AV370" s="1155"/>
      <c r="AW370" s="1155"/>
      <c r="AX370" s="1155"/>
      <c r="AY370" s="1155"/>
      <c r="AZ370" s="1155"/>
      <c r="BA370" s="1155"/>
      <c r="BB370" s="1155"/>
      <c r="BC370" s="1155"/>
      <c r="BD370" s="1155"/>
      <c r="BE370" s="1155"/>
      <c r="BF370" s="1155"/>
      <c r="BG370" s="1155"/>
      <c r="BH370" s="1155"/>
      <c r="BI370" s="1155"/>
      <c r="BJ370" s="1155"/>
      <c r="BK370" s="1155"/>
      <c r="BL370" s="1155"/>
      <c r="BM370" s="1155"/>
      <c r="BN370" s="1155"/>
      <c r="BO370" s="1155"/>
      <c r="BP370" s="1155"/>
      <c r="BQ370" s="1155"/>
      <c r="BR370" s="1155"/>
      <c r="BS370" s="1155"/>
    </row>
    <row r="371" spans="5:71" s="474" customFormat="1">
      <c r="E371" s="4109"/>
      <c r="F371" s="431" t="s">
        <v>559</v>
      </c>
      <c r="G371" s="1083"/>
      <c r="H371" s="1084"/>
      <c r="I371" s="1084"/>
      <c r="J371" s="1084"/>
      <c r="K371" s="1085"/>
      <c r="L371" s="255"/>
      <c r="M371" s="461"/>
      <c r="N371" s="461"/>
      <c r="O371" s="461"/>
      <c r="P371" s="281"/>
      <c r="Q371" s="956"/>
      <c r="R371" s="461"/>
      <c r="S371" s="461"/>
      <c r="T371" s="461"/>
      <c r="U371" s="281"/>
      <c r="V371" s="1172"/>
      <c r="W371" s="255"/>
      <c r="X371" s="461"/>
      <c r="Y371" s="461"/>
      <c r="Z371" s="461"/>
      <c r="AA371" s="281"/>
      <c r="AB371" s="1041"/>
      <c r="AC371" s="255"/>
      <c r="AD371" s="461"/>
      <c r="AE371" s="461"/>
      <c r="AF371" s="461"/>
      <c r="AG371" s="461"/>
      <c r="AH371" s="1047"/>
      <c r="AI371" s="1172"/>
      <c r="AJ371" s="1155"/>
      <c r="AK371" s="1155"/>
      <c r="AL371" s="1083"/>
      <c r="AM371" s="1084"/>
      <c r="AN371" s="1084"/>
      <c r="AO371" s="1084"/>
      <c r="AP371" s="1085"/>
      <c r="AQ371" s="259"/>
      <c r="AR371" s="466"/>
      <c r="AS371" s="283"/>
      <c r="AT371" s="1155"/>
      <c r="AU371" s="1155"/>
      <c r="AV371" s="1155"/>
      <c r="AW371" s="1155"/>
      <c r="AX371" s="1155"/>
      <c r="AY371" s="1155"/>
      <c r="AZ371" s="1155"/>
      <c r="BA371" s="1155"/>
      <c r="BB371" s="1155"/>
      <c r="BC371" s="1155"/>
      <c r="BD371" s="1155"/>
      <c r="BE371" s="1155"/>
      <c r="BF371" s="1155"/>
      <c r="BG371" s="1155"/>
      <c r="BH371" s="1155"/>
      <c r="BI371" s="1155"/>
      <c r="BJ371" s="1155"/>
      <c r="BK371" s="1155"/>
      <c r="BL371" s="1155"/>
      <c r="BM371" s="1155"/>
      <c r="BN371" s="1155"/>
      <c r="BO371" s="1155"/>
      <c r="BP371" s="1155"/>
      <c r="BQ371" s="1155"/>
      <c r="BR371" s="1155"/>
      <c r="BS371" s="1155"/>
    </row>
    <row r="372" spans="5:71" s="474" customFormat="1">
      <c r="E372" s="4109"/>
      <c r="F372" s="431" t="s">
        <v>578</v>
      </c>
      <c r="G372" s="1089"/>
      <c r="H372" s="1090"/>
      <c r="I372" s="1090"/>
      <c r="J372" s="1090"/>
      <c r="K372" s="1091"/>
      <c r="L372" s="259"/>
      <c r="M372" s="456"/>
      <c r="N372" s="456"/>
      <c r="O372" s="456"/>
      <c r="P372" s="457"/>
      <c r="Q372" s="224"/>
      <c r="R372" s="456"/>
      <c r="S372" s="456"/>
      <c r="T372" s="456"/>
      <c r="U372" s="457"/>
      <c r="V372" s="1172"/>
      <c r="W372" s="207"/>
      <c r="X372" s="456"/>
      <c r="Y372" s="456"/>
      <c r="Z372" s="456"/>
      <c r="AA372" s="457"/>
      <c r="AB372" s="1041"/>
      <c r="AC372" s="207"/>
      <c r="AD372" s="456"/>
      <c r="AE372" s="456"/>
      <c r="AF372" s="456"/>
      <c r="AG372" s="456"/>
      <c r="AH372" s="1048"/>
      <c r="AI372" s="1172"/>
      <c r="AJ372" s="1155"/>
      <c r="AK372" s="1155"/>
      <c r="AL372" s="1089"/>
      <c r="AM372" s="1090"/>
      <c r="AN372" s="1090"/>
      <c r="AO372" s="1090"/>
      <c r="AP372" s="1091"/>
      <c r="AQ372" s="259"/>
      <c r="AR372" s="456"/>
      <c r="AS372" s="457"/>
      <c r="AT372" s="1155"/>
      <c r="AU372" s="1155"/>
      <c r="AV372" s="1155"/>
      <c r="AW372" s="1155"/>
      <c r="AX372" s="1155"/>
      <c r="AY372" s="1155"/>
      <c r="AZ372" s="1155"/>
      <c r="BA372" s="1155"/>
      <c r="BB372" s="1155"/>
      <c r="BC372" s="1155"/>
      <c r="BD372" s="1155"/>
      <c r="BE372" s="1155"/>
      <c r="BF372" s="1155"/>
      <c r="BG372" s="1155"/>
      <c r="BH372" s="1155"/>
      <c r="BI372" s="1155"/>
      <c r="BJ372" s="1155"/>
      <c r="BK372" s="1155"/>
      <c r="BL372" s="1155"/>
      <c r="BM372" s="1155"/>
      <c r="BN372" s="1155"/>
      <c r="BO372" s="1155"/>
      <c r="BP372" s="1155"/>
      <c r="BQ372" s="1155"/>
      <c r="BR372" s="1155"/>
      <c r="BS372" s="1155"/>
    </row>
    <row r="373" spans="5:71" s="474" customFormat="1">
      <c r="E373" s="4109"/>
      <c r="F373" s="1377" t="s">
        <v>579</v>
      </c>
      <c r="G373" s="1086"/>
      <c r="H373" s="1087"/>
      <c r="I373" s="1087"/>
      <c r="J373" s="1087"/>
      <c r="K373" s="1088"/>
      <c r="L373" s="258">
        <f>SUM(L369:L372)</f>
        <v>0</v>
      </c>
      <c r="M373" s="465">
        <f t="shared" ref="M373" si="1572">SUM(M369:M372)</f>
        <v>1039278.1</v>
      </c>
      <c r="N373" s="465">
        <f t="shared" ref="N373" si="1573">SUM(N369:N372)</f>
        <v>0</v>
      </c>
      <c r="O373" s="465">
        <f t="shared" ref="O373" si="1574">SUM(O369:O372)</f>
        <v>0</v>
      </c>
      <c r="P373" s="282">
        <f t="shared" ref="P373" si="1575">SUM(P369:P372)</f>
        <v>0</v>
      </c>
      <c r="Q373" s="965">
        <f t="shared" ref="Q373" si="1576">SUM(Q369:Q372)</f>
        <v>0</v>
      </c>
      <c r="R373" s="465">
        <f t="shared" ref="R373" si="1577">SUM(R369:R372)</f>
        <v>0</v>
      </c>
      <c r="S373" s="465">
        <f t="shared" ref="S373" si="1578">SUM(S369:S372)</f>
        <v>0</v>
      </c>
      <c r="T373" s="465">
        <f t="shared" ref="T373" si="1579">SUM(T369:T372)</f>
        <v>0</v>
      </c>
      <c r="U373" s="282">
        <f t="shared" ref="U373" si="1580">SUM(U369:U372)</f>
        <v>0</v>
      </c>
      <c r="V373" s="1172"/>
      <c r="W373" s="258">
        <f t="shared" ref="W373" si="1581">SUM(W369:W372)</f>
        <v>0</v>
      </c>
      <c r="X373" s="465">
        <f t="shared" ref="X373" si="1582">SUM(X369:X372)</f>
        <v>0</v>
      </c>
      <c r="Y373" s="465">
        <f t="shared" ref="Y373" si="1583">SUM(Y369:Y372)</f>
        <v>0</v>
      </c>
      <c r="Z373" s="465">
        <f t="shared" ref="Z373" si="1584">SUM(Z369:Z372)</f>
        <v>0</v>
      </c>
      <c r="AA373" s="282">
        <f t="shared" ref="AA373" si="1585">SUM(AA369:AA372)</f>
        <v>0</v>
      </c>
      <c r="AB373" s="992"/>
      <c r="AC373" s="258">
        <f t="shared" ref="AC373" si="1586">SUM(AC369:AC372)</f>
        <v>0</v>
      </c>
      <c r="AD373" s="465">
        <f t="shared" ref="AD373" si="1587">SUM(AD369:AD372)</f>
        <v>0</v>
      </c>
      <c r="AE373" s="465">
        <f t="shared" ref="AE373" si="1588">SUM(AE369:AE372)</f>
        <v>0</v>
      </c>
      <c r="AF373" s="465">
        <f t="shared" ref="AF373" si="1589">SUM(AF369:AF372)</f>
        <v>0</v>
      </c>
      <c r="AG373" s="465">
        <f t="shared" ref="AG373" si="1590">SUM(AG369:AG372)</f>
        <v>0</v>
      </c>
      <c r="AH373" s="1049"/>
      <c r="AI373" s="1172"/>
      <c r="AJ373" s="1155"/>
      <c r="AK373" s="1155"/>
      <c r="AL373" s="1086"/>
      <c r="AM373" s="1087"/>
      <c r="AN373" s="1087"/>
      <c r="AO373" s="1087"/>
      <c r="AP373" s="1088"/>
      <c r="AQ373" s="258">
        <f>SUM(AQ370:AQ372)</f>
        <v>0</v>
      </c>
      <c r="AR373" s="465">
        <f t="shared" ref="AR373" si="1591">SUM(AR370:AR372)</f>
        <v>0</v>
      </c>
      <c r="AS373" s="282"/>
      <c r="AT373" s="1155"/>
      <c r="AU373" s="1155"/>
      <c r="AV373" s="1155"/>
      <c r="AW373" s="1155"/>
      <c r="AX373" s="1155"/>
      <c r="AY373" s="1155"/>
      <c r="AZ373" s="1155"/>
      <c r="BA373" s="1155"/>
      <c r="BB373" s="1155"/>
      <c r="BC373" s="1155"/>
      <c r="BD373" s="1155"/>
      <c r="BE373" s="1155"/>
      <c r="BF373" s="1155"/>
      <c r="BG373" s="1155"/>
      <c r="BH373" s="1155"/>
      <c r="BI373" s="1155"/>
      <c r="BJ373" s="1155"/>
      <c r="BK373" s="1155"/>
      <c r="BL373" s="1155"/>
      <c r="BM373" s="1155"/>
      <c r="BN373" s="1155"/>
      <c r="BO373" s="1155"/>
      <c r="BP373" s="1155"/>
      <c r="BQ373" s="1155"/>
      <c r="BR373" s="1155"/>
      <c r="BS373" s="1155"/>
    </row>
    <row r="374" spans="5:71" s="474" customFormat="1" ht="13.5" thickBot="1">
      <c r="E374" s="4109"/>
      <c r="F374" s="1035" t="s">
        <v>583</v>
      </c>
      <c r="G374" s="255"/>
      <c r="H374" s="461"/>
      <c r="I374" s="461"/>
      <c r="J374" s="461"/>
      <c r="K374" s="281"/>
      <c r="L374" s="207"/>
      <c r="M374" s="456"/>
      <c r="N374" s="456"/>
      <c r="O374" s="456"/>
      <c r="P374" s="457"/>
      <c r="Q374" s="224"/>
      <c r="R374" s="456"/>
      <c r="S374" s="456"/>
      <c r="T374" s="456"/>
      <c r="U374" s="457"/>
      <c r="V374" s="1172"/>
      <c r="W374" s="1603"/>
      <c r="X374" s="1604"/>
      <c r="Y374" s="1604"/>
      <c r="Z374" s="1604"/>
      <c r="AA374" s="1605"/>
      <c r="AB374" s="1606"/>
      <c r="AC374" s="1603"/>
      <c r="AD374" s="1607"/>
      <c r="AE374" s="1607"/>
      <c r="AF374" s="1607"/>
      <c r="AG374" s="1607"/>
      <c r="AH374" s="1608"/>
      <c r="AI374" s="1172"/>
      <c r="AJ374" s="1155"/>
      <c r="AK374" s="1155"/>
      <c r="AL374" s="259"/>
      <c r="AM374" s="466"/>
      <c r="AN374" s="466"/>
      <c r="AO374" s="466"/>
      <c r="AP374" s="283"/>
      <c r="AQ374" s="259"/>
      <c r="AR374" s="466"/>
      <c r="AS374" s="283"/>
      <c r="AT374" s="1155"/>
      <c r="AU374" s="1155"/>
      <c r="AV374" s="1155"/>
      <c r="AW374" s="1155"/>
      <c r="AX374" s="1155"/>
      <c r="AY374" s="1155"/>
      <c r="AZ374" s="1155"/>
      <c r="BA374" s="1155"/>
      <c r="BB374" s="1155"/>
      <c r="BC374" s="1155"/>
      <c r="BD374" s="1155"/>
      <c r="BE374" s="1155"/>
      <c r="BF374" s="1155"/>
      <c r="BG374" s="1155"/>
      <c r="BH374" s="1155"/>
      <c r="BI374" s="1155"/>
      <c r="BJ374" s="1155"/>
      <c r="BK374" s="1155"/>
      <c r="BL374" s="1155"/>
      <c r="BM374" s="1155"/>
      <c r="BN374" s="1155"/>
      <c r="BO374" s="1155"/>
      <c r="BP374" s="1155"/>
      <c r="BQ374" s="1155"/>
      <c r="BR374" s="1155"/>
      <c r="BS374" s="1155"/>
    </row>
    <row r="375" spans="5:71" s="474" customFormat="1" ht="13.5" thickBot="1">
      <c r="E375" s="4109"/>
      <c r="F375" s="1380" t="s">
        <v>581</v>
      </c>
      <c r="G375" s="1599"/>
      <c r="H375" s="1600"/>
      <c r="I375" s="1600"/>
      <c r="J375" s="1600"/>
      <c r="K375" s="1601"/>
      <c r="L375" s="1599"/>
      <c r="M375" s="1600"/>
      <c r="N375" s="1600"/>
      <c r="O375" s="1600"/>
      <c r="P375" s="1601"/>
      <c r="Q375" s="1602"/>
      <c r="R375" s="1600"/>
      <c r="S375" s="1600"/>
      <c r="T375" s="1600"/>
      <c r="U375" s="1601"/>
      <c r="V375" s="1172"/>
      <c r="W375" s="1614"/>
      <c r="X375" s="1615"/>
      <c r="Y375" s="1615"/>
      <c r="Z375" s="1615"/>
      <c r="AA375" s="1615"/>
      <c r="AB375" s="1615"/>
      <c r="AC375" s="1615"/>
      <c r="AD375" s="1615"/>
      <c r="AE375" s="1615"/>
      <c r="AF375" s="1615"/>
      <c r="AG375" s="1615"/>
      <c r="AH375" s="1616"/>
      <c r="AI375" s="1172"/>
      <c r="AJ375" s="1155"/>
      <c r="AK375" s="1155"/>
      <c r="AL375" s="259"/>
      <c r="AM375" s="466"/>
      <c r="AN375" s="466"/>
      <c r="AO375" s="466"/>
      <c r="AP375" s="283"/>
      <c r="AQ375" s="259"/>
      <c r="AR375" s="466"/>
      <c r="AS375" s="283"/>
      <c r="AT375" s="1155"/>
      <c r="AU375" s="1155"/>
      <c r="AV375" s="1155"/>
      <c r="AW375" s="1155"/>
      <c r="AX375" s="1155"/>
      <c r="AY375" s="1155"/>
      <c r="AZ375" s="1155"/>
      <c r="BA375" s="1155"/>
      <c r="BB375" s="1155"/>
      <c r="BC375" s="1155"/>
      <c r="BD375" s="1155"/>
      <c r="BE375" s="1155"/>
      <c r="BF375" s="1155"/>
      <c r="BG375" s="1155"/>
      <c r="BH375" s="1155"/>
      <c r="BI375" s="1155"/>
      <c r="BJ375" s="1155"/>
      <c r="BK375" s="1155"/>
      <c r="BL375" s="1155"/>
      <c r="BM375" s="1155"/>
      <c r="BN375" s="1155"/>
      <c r="BO375" s="1155"/>
      <c r="BP375" s="1155"/>
      <c r="BQ375" s="1155"/>
      <c r="BR375" s="1155"/>
      <c r="BS375" s="1155"/>
    </row>
    <row r="376" spans="5:71" s="474" customFormat="1">
      <c r="E376" s="4109"/>
      <c r="F376" s="1378" t="s">
        <v>584</v>
      </c>
      <c r="G376" s="1050">
        <v>0</v>
      </c>
      <c r="H376" s="1051">
        <v>0</v>
      </c>
      <c r="I376" s="1051">
        <v>0</v>
      </c>
      <c r="J376" s="1051">
        <v>0</v>
      </c>
      <c r="K376" s="1052">
        <v>0</v>
      </c>
      <c r="L376" s="1050">
        <f>SUM(L373:L375)</f>
        <v>0</v>
      </c>
      <c r="M376" s="1051">
        <f t="shared" ref="M376" si="1592">SUM(M373:M375)</f>
        <v>1039278.1</v>
      </c>
      <c r="N376" s="1051">
        <f t="shared" ref="N376" si="1593">SUM(N373:N375)</f>
        <v>0</v>
      </c>
      <c r="O376" s="1051">
        <f t="shared" ref="O376" si="1594">SUM(O373:O375)</f>
        <v>0</v>
      </c>
      <c r="P376" s="1052">
        <f t="shared" ref="P376" si="1595">SUM(P373:P375)</f>
        <v>0</v>
      </c>
      <c r="Q376" s="1092">
        <f t="shared" ref="Q376" si="1596">SUM(Q373:Q375)</f>
        <v>0</v>
      </c>
      <c r="R376" s="1051">
        <f t="shared" ref="R376" si="1597">SUM(R373:R375)</f>
        <v>0</v>
      </c>
      <c r="S376" s="1051">
        <f t="shared" ref="S376" si="1598">SUM(S373:S375)</f>
        <v>0</v>
      </c>
      <c r="T376" s="1051">
        <f t="shared" ref="T376" si="1599">SUM(T373:T375)</f>
        <v>0</v>
      </c>
      <c r="U376" s="1052">
        <f t="shared" ref="U376" si="1600">SUM(U373:U375)</f>
        <v>0</v>
      </c>
      <c r="V376" s="1172"/>
      <c r="W376" s="1609">
        <f t="shared" ref="W376" si="1601">SUM(W373:W375)</f>
        <v>0</v>
      </c>
      <c r="X376" s="1610">
        <f t="shared" ref="X376" si="1602">SUM(X373:X375)</f>
        <v>0</v>
      </c>
      <c r="Y376" s="1610">
        <f t="shared" ref="Y376" si="1603">SUM(Y373:Y375)</f>
        <v>0</v>
      </c>
      <c r="Z376" s="1610">
        <f t="shared" ref="Z376" si="1604">SUM(Z373:Z375)</f>
        <v>0</v>
      </c>
      <c r="AA376" s="1611">
        <f t="shared" ref="AA376" si="1605">SUM(AA373:AA375)</f>
        <v>0</v>
      </c>
      <c r="AB376" s="1612"/>
      <c r="AC376" s="1609">
        <f t="shared" ref="AC376" si="1606">SUM(AC373:AC375)</f>
        <v>0</v>
      </c>
      <c r="AD376" s="1610">
        <f t="shared" ref="AD376" si="1607">SUM(AD373:AD375)</f>
        <v>0</v>
      </c>
      <c r="AE376" s="1610">
        <f t="shared" ref="AE376" si="1608">SUM(AE373:AE375)</f>
        <v>0</v>
      </c>
      <c r="AF376" s="1610">
        <f t="shared" ref="AF376" si="1609">SUM(AF373:AF375)</f>
        <v>0</v>
      </c>
      <c r="AG376" s="1610">
        <f t="shared" ref="AG376" si="1610">SUM(AG373:AG375)</f>
        <v>0</v>
      </c>
      <c r="AH376" s="1613"/>
      <c r="AI376" s="1172"/>
      <c r="AJ376" s="130"/>
      <c r="AK376" s="130"/>
      <c r="AL376" s="1050">
        <f t="shared" ref="AL376:AR376" si="1611">SUM(AL374:AL375)</f>
        <v>0</v>
      </c>
      <c r="AM376" s="1051">
        <f t="shared" si="1611"/>
        <v>0</v>
      </c>
      <c r="AN376" s="1051">
        <f t="shared" si="1611"/>
        <v>0</v>
      </c>
      <c r="AO376" s="1051">
        <f t="shared" si="1611"/>
        <v>0</v>
      </c>
      <c r="AP376" s="1052">
        <f t="shared" si="1611"/>
        <v>0</v>
      </c>
      <c r="AQ376" s="1050">
        <f t="shared" si="1611"/>
        <v>0</v>
      </c>
      <c r="AR376" s="1051">
        <f t="shared" si="1611"/>
        <v>0</v>
      </c>
      <c r="AS376" s="1052"/>
      <c r="AT376" s="130"/>
      <c r="AU376" s="130"/>
      <c r="AV376" s="130"/>
      <c r="AW376" s="130"/>
      <c r="AX376" s="130"/>
      <c r="AY376" s="130"/>
      <c r="AZ376" s="130"/>
      <c r="BA376" s="130"/>
      <c r="BB376" s="130"/>
      <c r="BC376" s="130"/>
      <c r="BD376" s="130"/>
      <c r="BE376" s="130"/>
      <c r="BF376" s="130"/>
      <c r="BG376" s="130"/>
      <c r="BH376" s="130"/>
      <c r="BI376" s="130"/>
      <c r="BJ376" s="130"/>
      <c r="BK376" s="130"/>
      <c r="BL376" s="130"/>
      <c r="BM376" s="130"/>
      <c r="BN376" s="130"/>
      <c r="BO376" s="130"/>
      <c r="BP376" s="130"/>
      <c r="BQ376" s="130"/>
      <c r="BR376" s="130"/>
      <c r="BS376" s="1155"/>
    </row>
    <row r="377" spans="5:71" s="474" customFormat="1">
      <c r="E377" s="4109"/>
      <c r="F377" s="1389" t="s">
        <v>35</v>
      </c>
      <c r="G377" s="255"/>
      <c r="H377" s="461"/>
      <c r="I377" s="461"/>
      <c r="J377" s="461"/>
      <c r="K377" s="281"/>
      <c r="L377" s="255"/>
      <c r="M377" s="461"/>
      <c r="N377" s="461"/>
      <c r="O377" s="461"/>
      <c r="P377" s="281"/>
      <c r="Q377" s="956"/>
      <c r="R377" s="461"/>
      <c r="S377" s="461"/>
      <c r="T377" s="461"/>
      <c r="U377" s="281"/>
      <c r="V377" s="1172"/>
      <c r="W377" s="255"/>
      <c r="X377" s="461"/>
      <c r="Y377" s="461"/>
      <c r="Z377" s="461"/>
      <c r="AA377" s="281"/>
      <c r="AB377" s="1004"/>
      <c r="AC377" s="255"/>
      <c r="AD377" s="461"/>
      <c r="AE377" s="461"/>
      <c r="AF377" s="461"/>
      <c r="AG377" s="461"/>
      <c r="AH377" s="1047"/>
      <c r="AI377" s="1172"/>
      <c r="AJ377" s="1155"/>
      <c r="AK377" s="1155"/>
      <c r="AL377" s="259"/>
      <c r="AM377" s="466"/>
      <c r="AN377" s="466"/>
      <c r="AO377" s="466"/>
      <c r="AP377" s="283"/>
      <c r="AQ377" s="259"/>
      <c r="AR377" s="466"/>
      <c r="AS377" s="283"/>
      <c r="AT377" s="1155"/>
      <c r="AU377" s="1155"/>
      <c r="AV377" s="1155"/>
      <c r="AW377" s="1155"/>
      <c r="AX377" s="1155"/>
      <c r="AY377" s="1155"/>
      <c r="AZ377" s="1155"/>
      <c r="BA377" s="1155"/>
      <c r="BB377" s="1155"/>
      <c r="BC377" s="1155"/>
      <c r="BD377" s="1155"/>
      <c r="BE377" s="1155"/>
      <c r="BF377" s="1155"/>
      <c r="BG377" s="1155"/>
      <c r="BH377" s="1155"/>
      <c r="BI377" s="1155"/>
      <c r="BJ377" s="1155"/>
      <c r="BK377" s="1155"/>
      <c r="BL377" s="1155"/>
      <c r="BM377" s="1155"/>
      <c r="BN377" s="1155"/>
      <c r="BO377" s="1155"/>
      <c r="BP377" s="1155"/>
      <c r="BQ377" s="1155"/>
      <c r="BR377" s="1155"/>
      <c r="BS377" s="1155"/>
    </row>
    <row r="378" spans="5:71" s="474" customFormat="1" ht="13.5" thickBot="1">
      <c r="E378" s="4109"/>
      <c r="F378" s="1387" t="s">
        <v>585</v>
      </c>
      <c r="G378" s="1055">
        <v>0</v>
      </c>
      <c r="H378" s="1056">
        <v>0</v>
      </c>
      <c r="I378" s="1056">
        <v>0</v>
      </c>
      <c r="J378" s="1056">
        <v>0</v>
      </c>
      <c r="K378" s="1057">
        <v>0</v>
      </c>
      <c r="L378" s="1567">
        <f>L376-L377</f>
        <v>0</v>
      </c>
      <c r="M378" s="1056">
        <f t="shared" ref="M378" si="1612">M376-M377</f>
        <v>1039278.1</v>
      </c>
      <c r="N378" s="1056">
        <f t="shared" ref="N378" si="1613">N376-N377</f>
        <v>0</v>
      </c>
      <c r="O378" s="1056">
        <f t="shared" ref="O378" si="1614">O376-O377</f>
        <v>0</v>
      </c>
      <c r="P378" s="1057">
        <f t="shared" ref="P378" si="1615">P376-P377</f>
        <v>0</v>
      </c>
      <c r="Q378" s="1093">
        <f t="shared" ref="Q378" si="1616">Q376-Q377</f>
        <v>0</v>
      </c>
      <c r="R378" s="1056">
        <f t="shared" ref="R378" si="1617">R376-R377</f>
        <v>0</v>
      </c>
      <c r="S378" s="1056">
        <f t="shared" ref="S378" si="1618">S376-S377</f>
        <v>0</v>
      </c>
      <c r="T378" s="1056">
        <f t="shared" ref="T378" si="1619">T376-T377</f>
        <v>0</v>
      </c>
      <c r="U378" s="1057">
        <f t="shared" ref="U378" si="1620">U376-U377</f>
        <v>0</v>
      </c>
      <c r="V378" s="1172"/>
      <c r="W378" s="1055">
        <f t="shared" ref="W378" si="1621">W376-W377</f>
        <v>0</v>
      </c>
      <c r="X378" s="1056">
        <f t="shared" ref="X378" si="1622">X376-X377</f>
        <v>0</v>
      </c>
      <c r="Y378" s="1056">
        <f t="shared" ref="Y378" si="1623">Y376-Y377</f>
        <v>0</v>
      </c>
      <c r="Z378" s="1056">
        <f t="shared" ref="Z378" si="1624">Z376-Z377</f>
        <v>0</v>
      </c>
      <c r="AA378" s="1057">
        <f t="shared" ref="AA378" si="1625">AA376-AA377</f>
        <v>0</v>
      </c>
      <c r="AB378" s="1075"/>
      <c r="AC378" s="1055">
        <f t="shared" ref="AC378" si="1626">AC376-AC377</f>
        <v>0</v>
      </c>
      <c r="AD378" s="1056">
        <f t="shared" ref="AD378" si="1627">AD376-AD377</f>
        <v>0</v>
      </c>
      <c r="AE378" s="1056">
        <f t="shared" ref="AE378" si="1628">AE376-AE377</f>
        <v>0</v>
      </c>
      <c r="AF378" s="1056">
        <f t="shared" ref="AF378" si="1629">AF376-AF377</f>
        <v>0</v>
      </c>
      <c r="AG378" s="1056">
        <f t="shared" ref="AG378" si="1630">AG376-AG377</f>
        <v>0</v>
      </c>
      <c r="AH378" s="1059"/>
      <c r="AI378" s="1172"/>
      <c r="AJ378" s="1155"/>
      <c r="AK378" s="1155"/>
      <c r="AL378" s="1567">
        <f>AL376-AL377</f>
        <v>0</v>
      </c>
      <c r="AM378" s="1056">
        <f t="shared" ref="AM378:AR378" si="1631">AM376-AM377</f>
        <v>0</v>
      </c>
      <c r="AN378" s="1056">
        <f t="shared" si="1631"/>
        <v>0</v>
      </c>
      <c r="AO378" s="1056">
        <f t="shared" si="1631"/>
        <v>0</v>
      </c>
      <c r="AP378" s="1057">
        <f t="shared" si="1631"/>
        <v>0</v>
      </c>
      <c r="AQ378" s="1567">
        <f t="shared" si="1631"/>
        <v>0</v>
      </c>
      <c r="AR378" s="1056">
        <f t="shared" si="1631"/>
        <v>0</v>
      </c>
      <c r="AS378" s="1057"/>
      <c r="AT378" s="1155"/>
      <c r="AU378" s="1155"/>
      <c r="AV378" s="1155"/>
      <c r="AW378" s="1155"/>
      <c r="AX378" s="1155"/>
      <c r="AY378" s="1155"/>
      <c r="AZ378" s="1155"/>
      <c r="BA378" s="1155"/>
      <c r="BB378" s="1155"/>
      <c r="BC378" s="1155"/>
      <c r="BD378" s="1155"/>
      <c r="BE378" s="1155"/>
      <c r="BF378" s="1155"/>
      <c r="BG378" s="1155"/>
      <c r="BH378" s="1155"/>
      <c r="BI378" s="1155"/>
      <c r="BJ378" s="1155"/>
      <c r="BK378" s="1155"/>
      <c r="BL378" s="1155"/>
      <c r="BM378" s="1155"/>
      <c r="BN378" s="1155"/>
      <c r="BO378" s="1155"/>
      <c r="BP378" s="1155"/>
      <c r="BQ378" s="1155"/>
      <c r="BR378" s="1155"/>
      <c r="BS378" s="1155"/>
    </row>
    <row r="379" spans="5:71" s="474" customFormat="1" ht="12.75" customHeight="1">
      <c r="E379" s="4110" t="s">
        <v>1498</v>
      </c>
      <c r="F379" s="433" t="s">
        <v>111</v>
      </c>
      <c r="G379" s="1086"/>
      <c r="H379" s="1087"/>
      <c r="I379" s="1087"/>
      <c r="J379" s="1087"/>
      <c r="K379" s="1088"/>
      <c r="L379" s="258"/>
      <c r="M379" s="465"/>
      <c r="N379" s="465"/>
      <c r="O379" s="465"/>
      <c r="P379" s="282"/>
      <c r="Q379" s="965"/>
      <c r="R379" s="465"/>
      <c r="S379" s="465"/>
      <c r="T379" s="465"/>
      <c r="U379" s="1044"/>
      <c r="V379" s="1172"/>
      <c r="W379" s="1043"/>
      <c r="X379" s="421"/>
      <c r="Y379" s="421"/>
      <c r="Z379" s="421"/>
      <c r="AA379" s="1044"/>
      <c r="AB379" s="1045"/>
      <c r="AC379" s="1043"/>
      <c r="AD379" s="421"/>
      <c r="AE379" s="421"/>
      <c r="AF379" s="421"/>
      <c r="AG379" s="421"/>
      <c r="AH379" s="1046"/>
      <c r="AI379" s="1172"/>
      <c r="AJ379" s="1155"/>
      <c r="AK379" s="1155"/>
      <c r="AL379" s="1086"/>
      <c r="AM379" s="1087"/>
      <c r="AN379" s="1087"/>
      <c r="AO379" s="1087"/>
      <c r="AP379" s="1088"/>
      <c r="AQ379" s="258"/>
      <c r="AR379" s="465"/>
      <c r="AS379" s="282"/>
      <c r="AT379" s="1155"/>
      <c r="AU379" s="1155"/>
      <c r="AV379" s="1155"/>
      <c r="AW379" s="1155"/>
      <c r="AX379" s="1155"/>
      <c r="AY379" s="1155"/>
      <c r="AZ379" s="1155"/>
      <c r="BA379" s="1155"/>
      <c r="BB379" s="1155"/>
      <c r="BC379" s="1155"/>
      <c r="BD379" s="1155"/>
      <c r="BE379" s="1155"/>
      <c r="BF379" s="1155"/>
      <c r="BG379" s="1155"/>
      <c r="BH379" s="1155"/>
      <c r="BI379" s="1155"/>
      <c r="BJ379" s="1155"/>
      <c r="BK379" s="1155"/>
      <c r="BL379" s="1155"/>
      <c r="BM379" s="1155"/>
      <c r="BN379" s="1155"/>
      <c r="BO379" s="1155"/>
      <c r="BP379" s="1155"/>
      <c r="BQ379" s="1155"/>
      <c r="BR379" s="1155"/>
      <c r="BS379" s="1155"/>
    </row>
    <row r="380" spans="5:71" s="474" customFormat="1" ht="12.75" customHeight="1">
      <c r="E380" s="4109"/>
      <c r="F380" s="1374" t="s">
        <v>588</v>
      </c>
      <c r="G380" s="1083"/>
      <c r="H380" s="1084"/>
      <c r="I380" s="1084"/>
      <c r="J380" s="1084"/>
      <c r="K380" s="1085"/>
      <c r="L380" s="255"/>
      <c r="M380" s="461">
        <v>7499</v>
      </c>
      <c r="N380" s="461"/>
      <c r="O380" s="461"/>
      <c r="P380" s="281"/>
      <c r="Q380" s="956"/>
      <c r="R380" s="461"/>
      <c r="S380" s="461"/>
      <c r="T380" s="461"/>
      <c r="U380" s="281"/>
      <c r="V380" s="1172"/>
      <c r="W380" s="255"/>
      <c r="X380" s="461"/>
      <c r="Y380" s="461"/>
      <c r="Z380" s="461"/>
      <c r="AA380" s="281"/>
      <c r="AB380" s="1041"/>
      <c r="AC380" s="255"/>
      <c r="AD380" s="461"/>
      <c r="AE380" s="461"/>
      <c r="AF380" s="461"/>
      <c r="AG380" s="461"/>
      <c r="AH380" s="1047"/>
      <c r="AI380" s="1172"/>
      <c r="AJ380" s="1155"/>
      <c r="AK380" s="1155"/>
      <c r="AL380" s="1083"/>
      <c r="AM380" s="1084"/>
      <c r="AN380" s="1084"/>
      <c r="AO380" s="1084"/>
      <c r="AP380" s="1085"/>
      <c r="AQ380" s="259"/>
      <c r="AR380" s="466"/>
      <c r="AS380" s="283"/>
      <c r="AT380" s="1155"/>
      <c r="AU380" s="1155"/>
      <c r="AV380" s="1155"/>
      <c r="AW380" s="1155"/>
      <c r="AX380" s="1155"/>
      <c r="AY380" s="1155"/>
      <c r="AZ380" s="1155"/>
      <c r="BA380" s="1155"/>
      <c r="BB380" s="1155"/>
      <c r="BC380" s="1155"/>
      <c r="BD380" s="1155"/>
      <c r="BE380" s="1155"/>
      <c r="BF380" s="1155"/>
      <c r="BG380" s="1155"/>
      <c r="BH380" s="1155"/>
      <c r="BI380" s="1155"/>
      <c r="BJ380" s="1155"/>
      <c r="BK380" s="1155"/>
      <c r="BL380" s="1155"/>
      <c r="BM380" s="1155"/>
      <c r="BN380" s="1155"/>
      <c r="BO380" s="1155"/>
      <c r="BP380" s="1155"/>
      <c r="BQ380" s="1155"/>
      <c r="BR380" s="1155"/>
      <c r="BS380" s="1155"/>
    </row>
    <row r="381" spans="5:71" s="474" customFormat="1" ht="12.75" customHeight="1">
      <c r="E381" s="4109"/>
      <c r="F381" s="1374" t="s">
        <v>589</v>
      </c>
      <c r="G381" s="1083"/>
      <c r="H381" s="1084"/>
      <c r="I381" s="1084"/>
      <c r="J381" s="1084"/>
      <c r="K381" s="1085"/>
      <c r="L381" s="255"/>
      <c r="M381" s="461"/>
      <c r="N381" s="461"/>
      <c r="O381" s="461"/>
      <c r="P381" s="281"/>
      <c r="Q381" s="956"/>
      <c r="R381" s="461"/>
      <c r="S381" s="461"/>
      <c r="T381" s="461"/>
      <c r="U381" s="281"/>
      <c r="V381" s="1172"/>
      <c r="W381" s="255"/>
      <c r="X381" s="461"/>
      <c r="Y381" s="461"/>
      <c r="Z381" s="461"/>
      <c r="AA381" s="281"/>
      <c r="AB381" s="1041"/>
      <c r="AC381" s="255"/>
      <c r="AD381" s="461"/>
      <c r="AE381" s="461"/>
      <c r="AF381" s="461"/>
      <c r="AG381" s="461"/>
      <c r="AH381" s="1047"/>
      <c r="AI381" s="1172"/>
      <c r="AJ381" s="1155"/>
      <c r="AK381" s="1155"/>
      <c r="AL381" s="1083"/>
      <c r="AM381" s="1084"/>
      <c r="AN381" s="1084"/>
      <c r="AO381" s="1084"/>
      <c r="AP381" s="1085"/>
      <c r="AQ381" s="259"/>
      <c r="AR381" s="466"/>
      <c r="AS381" s="283"/>
      <c r="AT381" s="1155"/>
      <c r="AU381" s="1155"/>
      <c r="AV381" s="1155"/>
      <c r="AW381" s="1155"/>
      <c r="AX381" s="1155"/>
      <c r="AY381" s="1155"/>
      <c r="AZ381" s="1155"/>
      <c r="BA381" s="1155"/>
      <c r="BB381" s="1155"/>
      <c r="BC381" s="1155"/>
      <c r="BD381" s="1155"/>
      <c r="BE381" s="1155"/>
      <c r="BF381" s="1155"/>
      <c r="BG381" s="1155"/>
      <c r="BH381" s="1155"/>
      <c r="BI381" s="1155"/>
      <c r="BJ381" s="1155"/>
      <c r="BK381" s="1155"/>
      <c r="BL381" s="1155"/>
      <c r="BM381" s="1155"/>
      <c r="BN381" s="1155"/>
      <c r="BO381" s="1155"/>
      <c r="BP381" s="1155"/>
      <c r="BQ381" s="1155"/>
      <c r="BR381" s="1155"/>
      <c r="BS381" s="1155"/>
    </row>
    <row r="382" spans="5:71" s="474" customFormat="1" ht="12.75" customHeight="1">
      <c r="E382" s="4109"/>
      <c r="F382" s="1374" t="s">
        <v>590</v>
      </c>
      <c r="G382" s="1083"/>
      <c r="H382" s="1084"/>
      <c r="I382" s="1084"/>
      <c r="J382" s="1084"/>
      <c r="K382" s="1085"/>
      <c r="L382" s="255"/>
      <c r="M382" s="461"/>
      <c r="N382" s="461"/>
      <c r="O382" s="461"/>
      <c r="P382" s="281"/>
      <c r="Q382" s="956"/>
      <c r="R382" s="461"/>
      <c r="S382" s="461"/>
      <c r="T382" s="461"/>
      <c r="U382" s="281"/>
      <c r="V382" s="1172"/>
      <c r="W382" s="255"/>
      <c r="X382" s="461"/>
      <c r="Y382" s="461"/>
      <c r="Z382" s="461"/>
      <c r="AA382" s="281"/>
      <c r="AB382" s="1041"/>
      <c r="AC382" s="255"/>
      <c r="AD382" s="461"/>
      <c r="AE382" s="461"/>
      <c r="AF382" s="461"/>
      <c r="AG382" s="461"/>
      <c r="AH382" s="1047"/>
      <c r="AI382" s="1172"/>
      <c r="AJ382" s="1155"/>
      <c r="AK382" s="1155"/>
      <c r="AL382" s="1083"/>
      <c r="AM382" s="1084"/>
      <c r="AN382" s="1084"/>
      <c r="AO382" s="1084"/>
      <c r="AP382" s="1085"/>
      <c r="AQ382" s="259"/>
      <c r="AR382" s="466"/>
      <c r="AS382" s="283"/>
      <c r="AT382" s="1155"/>
      <c r="AU382" s="1155"/>
      <c r="AV382" s="1155"/>
      <c r="AW382" s="1155"/>
      <c r="AX382" s="1155"/>
      <c r="AY382" s="1155"/>
      <c r="AZ382" s="1155"/>
      <c r="BA382" s="1155"/>
      <c r="BB382" s="1155"/>
      <c r="BC382" s="1155"/>
      <c r="BD382" s="1155"/>
      <c r="BE382" s="1155"/>
      <c r="BF382" s="1155"/>
      <c r="BG382" s="1155"/>
      <c r="BH382" s="1155"/>
      <c r="BI382" s="1155"/>
      <c r="BJ382" s="1155"/>
      <c r="BK382" s="1155"/>
      <c r="BL382" s="1155"/>
      <c r="BM382" s="1155"/>
      <c r="BN382" s="1155"/>
      <c r="BO382" s="1155"/>
      <c r="BP382" s="1155"/>
      <c r="BQ382" s="1155"/>
      <c r="BR382" s="1155"/>
      <c r="BS382" s="1155"/>
    </row>
    <row r="383" spans="5:71" s="474" customFormat="1" ht="12.75" customHeight="1">
      <c r="E383" s="4109"/>
      <c r="F383" s="1374" t="s">
        <v>591</v>
      </c>
      <c r="G383" s="1083"/>
      <c r="H383" s="1084"/>
      <c r="I383" s="1084"/>
      <c r="J383" s="1084"/>
      <c r="K383" s="1085"/>
      <c r="L383" s="255"/>
      <c r="M383" s="461"/>
      <c r="N383" s="461"/>
      <c r="O383" s="461"/>
      <c r="P383" s="281"/>
      <c r="Q383" s="956"/>
      <c r="R383" s="461"/>
      <c r="S383" s="461"/>
      <c r="T383" s="461"/>
      <c r="U383" s="281"/>
      <c r="V383" s="1172"/>
      <c r="W383" s="255"/>
      <c r="X383" s="461"/>
      <c r="Y383" s="461"/>
      <c r="Z383" s="461"/>
      <c r="AA383" s="281"/>
      <c r="AB383" s="1041"/>
      <c r="AC383" s="255"/>
      <c r="AD383" s="461"/>
      <c r="AE383" s="461"/>
      <c r="AF383" s="461"/>
      <c r="AG383" s="461"/>
      <c r="AH383" s="1047"/>
      <c r="AI383" s="1172"/>
      <c r="AJ383" s="1155"/>
      <c r="AK383" s="1155"/>
      <c r="AL383" s="1083"/>
      <c r="AM383" s="1084"/>
      <c r="AN383" s="1084"/>
      <c r="AO383" s="1084"/>
      <c r="AP383" s="1085"/>
      <c r="AQ383" s="259"/>
      <c r="AR383" s="466"/>
      <c r="AS383" s="283"/>
      <c r="AT383" s="1155"/>
      <c r="AU383" s="1155"/>
      <c r="AV383" s="1155"/>
      <c r="AW383" s="1155"/>
      <c r="AX383" s="1155"/>
      <c r="AY383" s="1155"/>
      <c r="AZ383" s="1155"/>
      <c r="BA383" s="1155"/>
      <c r="BB383" s="1155"/>
      <c r="BC383" s="1155"/>
      <c r="BD383" s="1155"/>
      <c r="BE383" s="1155"/>
      <c r="BF383" s="1155"/>
      <c r="BG383" s="1155"/>
      <c r="BH383" s="1155"/>
      <c r="BI383" s="1155"/>
      <c r="BJ383" s="1155"/>
      <c r="BK383" s="1155"/>
      <c r="BL383" s="1155"/>
      <c r="BM383" s="1155"/>
      <c r="BN383" s="1155"/>
      <c r="BO383" s="1155"/>
      <c r="BP383" s="1155"/>
      <c r="BQ383" s="1155"/>
      <c r="BR383" s="1155"/>
      <c r="BS383" s="1155"/>
    </row>
    <row r="384" spans="5:71" s="474" customFormat="1" ht="12.75" customHeight="1">
      <c r="E384" s="4109"/>
      <c r="F384" s="1374" t="s">
        <v>592</v>
      </c>
      <c r="G384" s="1083"/>
      <c r="H384" s="1084"/>
      <c r="I384" s="1084"/>
      <c r="J384" s="1084"/>
      <c r="K384" s="1085"/>
      <c r="L384" s="207"/>
      <c r="M384" s="456"/>
      <c r="N384" s="456"/>
      <c r="O384" s="456"/>
      <c r="P384" s="457"/>
      <c r="Q384" s="224"/>
      <c r="R384" s="456"/>
      <c r="S384" s="456"/>
      <c r="T384" s="456"/>
      <c r="U384" s="457"/>
      <c r="V384" s="1172"/>
      <c r="W384" s="207">
        <v>0</v>
      </c>
      <c r="X384" s="456">
        <v>0</v>
      </c>
      <c r="Y384" s="456">
        <v>0</v>
      </c>
      <c r="Z384" s="456">
        <v>0</v>
      </c>
      <c r="AA384" s="457">
        <v>0</v>
      </c>
      <c r="AB384" s="1041"/>
      <c r="AC384" s="207">
        <v>0</v>
      </c>
      <c r="AD384" s="456">
        <v>0</v>
      </c>
      <c r="AE384" s="456">
        <v>0</v>
      </c>
      <c r="AF384" s="456">
        <v>0</v>
      </c>
      <c r="AG384" s="456">
        <v>0</v>
      </c>
      <c r="AH384" s="1048"/>
      <c r="AI384" s="1172"/>
      <c r="AJ384" s="1155"/>
      <c r="AK384" s="1155"/>
      <c r="AL384" s="1083"/>
      <c r="AM384" s="1084"/>
      <c r="AN384" s="1084"/>
      <c r="AO384" s="1084"/>
      <c r="AP384" s="1085"/>
      <c r="AQ384" s="207">
        <f>SUM(AQ379:AQ383)</f>
        <v>0</v>
      </c>
      <c r="AR384" s="456">
        <f t="shared" ref="AR384" si="1632">SUM(AR379:AR383)</f>
        <v>0</v>
      </c>
      <c r="AS384" s="457"/>
      <c r="AT384" s="1155"/>
      <c r="AU384" s="1155"/>
      <c r="AV384" s="1155"/>
      <c r="AW384" s="1155"/>
      <c r="AX384" s="1155"/>
      <c r="AY384" s="1155"/>
      <c r="AZ384" s="1155"/>
      <c r="BA384" s="1155"/>
      <c r="BB384" s="1155"/>
      <c r="BC384" s="1155"/>
      <c r="BD384" s="1155"/>
      <c r="BE384" s="1155"/>
      <c r="BF384" s="1155"/>
      <c r="BG384" s="1155"/>
      <c r="BH384" s="1155"/>
      <c r="BI384" s="1155"/>
      <c r="BJ384" s="1155"/>
      <c r="BK384" s="1155"/>
      <c r="BL384" s="1155"/>
      <c r="BM384" s="1155"/>
      <c r="BN384" s="1155"/>
      <c r="BO384" s="1155"/>
      <c r="BP384" s="1155"/>
      <c r="BQ384" s="1155"/>
      <c r="BR384" s="1155"/>
      <c r="BS384" s="1155"/>
    </row>
    <row r="385" spans="5:71" s="474" customFormat="1">
      <c r="E385" s="4109"/>
      <c r="F385" s="1375" t="s">
        <v>587</v>
      </c>
      <c r="G385" s="1086"/>
      <c r="H385" s="1087"/>
      <c r="I385" s="1087"/>
      <c r="J385" s="1087"/>
      <c r="K385" s="1088"/>
      <c r="L385" s="258">
        <f>SUM(L380:L384)</f>
        <v>0</v>
      </c>
      <c r="M385" s="465">
        <f t="shared" ref="M385" si="1633">SUM(M380:M384)</f>
        <v>7499</v>
      </c>
      <c r="N385" s="465">
        <f t="shared" ref="N385" si="1634">SUM(N380:N384)</f>
        <v>0</v>
      </c>
      <c r="O385" s="465">
        <f t="shared" ref="O385" si="1635">SUM(O380:O384)</f>
        <v>0</v>
      </c>
      <c r="P385" s="282">
        <f t="shared" ref="P385" si="1636">SUM(P380:P384)</f>
        <v>0</v>
      </c>
      <c r="Q385" s="965">
        <f t="shared" ref="Q385" si="1637">SUM(Q380:Q384)</f>
        <v>0</v>
      </c>
      <c r="R385" s="465">
        <f t="shared" ref="R385" si="1638">SUM(R380:R384)</f>
        <v>0</v>
      </c>
      <c r="S385" s="465">
        <f t="shared" ref="S385" si="1639">SUM(S380:S384)</f>
        <v>0</v>
      </c>
      <c r="T385" s="465">
        <f t="shared" ref="T385" si="1640">SUM(T380:T384)</f>
        <v>0</v>
      </c>
      <c r="U385" s="282">
        <f t="shared" ref="U385" si="1641">SUM(U380:U384)</f>
        <v>0</v>
      </c>
      <c r="V385" s="1172"/>
      <c r="W385" s="258">
        <f t="shared" ref="W385" si="1642">SUM(W380:W384)</f>
        <v>0</v>
      </c>
      <c r="X385" s="465">
        <f t="shared" ref="X385" si="1643">SUM(X380:X384)</f>
        <v>0</v>
      </c>
      <c r="Y385" s="465">
        <f t="shared" ref="Y385" si="1644">SUM(Y380:Y384)</f>
        <v>0</v>
      </c>
      <c r="Z385" s="465">
        <f t="shared" ref="Z385" si="1645">SUM(Z380:Z384)</f>
        <v>0</v>
      </c>
      <c r="AA385" s="282">
        <f t="shared" ref="AA385" si="1646">SUM(AA380:AA384)</f>
        <v>0</v>
      </c>
      <c r="AB385" s="992"/>
      <c r="AC385" s="258">
        <f t="shared" ref="AC385" si="1647">SUM(AC380:AC384)</f>
        <v>0</v>
      </c>
      <c r="AD385" s="465">
        <f t="shared" ref="AD385" si="1648">SUM(AD380:AD384)</f>
        <v>0</v>
      </c>
      <c r="AE385" s="465">
        <f t="shared" ref="AE385" si="1649">SUM(AE380:AE384)</f>
        <v>0</v>
      </c>
      <c r="AF385" s="465">
        <f t="shared" ref="AF385" si="1650">SUM(AF380:AF384)</f>
        <v>0</v>
      </c>
      <c r="AG385" s="465">
        <f t="shared" ref="AG385" si="1651">SUM(AG380:AG384)</f>
        <v>0</v>
      </c>
      <c r="AH385" s="1049"/>
      <c r="AI385" s="1172"/>
      <c r="AJ385" s="1155"/>
      <c r="AK385" s="1155"/>
      <c r="AL385" s="1086"/>
      <c r="AM385" s="1087"/>
      <c r="AN385" s="1087"/>
      <c r="AO385" s="1087"/>
      <c r="AP385" s="1088"/>
      <c r="AQ385" s="258"/>
      <c r="AR385" s="465"/>
      <c r="AS385" s="282"/>
      <c r="AT385" s="1155"/>
      <c r="AU385" s="1155"/>
      <c r="AV385" s="1155"/>
      <c r="AW385" s="1155"/>
      <c r="AX385" s="1155"/>
      <c r="AY385" s="1155"/>
      <c r="AZ385" s="1155"/>
      <c r="BA385" s="1155"/>
      <c r="BB385" s="1155"/>
      <c r="BC385" s="1155"/>
      <c r="BD385" s="1155"/>
      <c r="BE385" s="1155"/>
      <c r="BF385" s="1155"/>
      <c r="BG385" s="1155"/>
      <c r="BH385" s="1155"/>
      <c r="BI385" s="1155"/>
      <c r="BJ385" s="1155"/>
      <c r="BK385" s="1155"/>
      <c r="BL385" s="1155"/>
      <c r="BM385" s="1155"/>
      <c r="BN385" s="1155"/>
      <c r="BO385" s="1155"/>
      <c r="BP385" s="1155"/>
      <c r="BQ385" s="1155"/>
      <c r="BR385" s="1155"/>
      <c r="BS385" s="1155"/>
    </row>
    <row r="386" spans="5:71" s="474" customFormat="1">
      <c r="E386" s="4109"/>
      <c r="F386" s="1376" t="s">
        <v>593</v>
      </c>
      <c r="G386" s="1083"/>
      <c r="H386" s="1084"/>
      <c r="I386" s="1084"/>
      <c r="J386" s="1084"/>
      <c r="K386" s="1085"/>
      <c r="L386" s="255"/>
      <c r="M386" s="461"/>
      <c r="N386" s="461"/>
      <c r="O386" s="461"/>
      <c r="P386" s="281"/>
      <c r="Q386" s="956"/>
      <c r="R386" s="461"/>
      <c r="S386" s="461"/>
      <c r="T386" s="461"/>
      <c r="U386" s="281"/>
      <c r="V386" s="1172"/>
      <c r="W386" s="255"/>
      <c r="X386" s="461"/>
      <c r="Y386" s="461"/>
      <c r="Z386" s="461"/>
      <c r="AA386" s="281"/>
      <c r="AB386" s="1041"/>
      <c r="AC386" s="255"/>
      <c r="AD386" s="461"/>
      <c r="AE386" s="461"/>
      <c r="AF386" s="461"/>
      <c r="AG386" s="461"/>
      <c r="AH386" s="1047"/>
      <c r="AI386" s="1172"/>
      <c r="AJ386" s="1155"/>
      <c r="AK386" s="1155"/>
      <c r="AL386" s="1083"/>
      <c r="AM386" s="1084"/>
      <c r="AN386" s="1084"/>
      <c r="AO386" s="1084"/>
      <c r="AP386" s="1085"/>
      <c r="AQ386" s="259"/>
      <c r="AR386" s="466"/>
      <c r="AS386" s="283"/>
      <c r="AT386" s="1155"/>
      <c r="AU386" s="1155"/>
      <c r="AV386" s="1155"/>
      <c r="AW386" s="1155"/>
      <c r="AX386" s="1155"/>
      <c r="AY386" s="1155"/>
      <c r="AZ386" s="1155"/>
      <c r="BA386" s="1155"/>
      <c r="BB386" s="1155"/>
      <c r="BC386" s="1155"/>
      <c r="BD386" s="1155"/>
      <c r="BE386" s="1155"/>
      <c r="BF386" s="1155"/>
      <c r="BG386" s="1155"/>
      <c r="BH386" s="1155"/>
      <c r="BI386" s="1155"/>
      <c r="BJ386" s="1155"/>
      <c r="BK386" s="1155"/>
      <c r="BL386" s="1155"/>
      <c r="BM386" s="1155"/>
      <c r="BN386" s="1155"/>
      <c r="BO386" s="1155"/>
      <c r="BP386" s="1155"/>
      <c r="BQ386" s="1155"/>
      <c r="BR386" s="1155"/>
      <c r="BS386" s="1155"/>
    </row>
    <row r="387" spans="5:71" s="474" customFormat="1">
      <c r="E387" s="4109"/>
      <c r="F387" s="431" t="s">
        <v>558</v>
      </c>
      <c r="G387" s="1083"/>
      <c r="H387" s="1084"/>
      <c r="I387" s="1084"/>
      <c r="J387" s="1084"/>
      <c r="K387" s="1085"/>
      <c r="L387" s="255"/>
      <c r="M387" s="461">
        <v>1452374.28</v>
      </c>
      <c r="N387" s="461"/>
      <c r="O387" s="461"/>
      <c r="P387" s="281"/>
      <c r="Q387" s="956"/>
      <c r="R387" s="461"/>
      <c r="S387" s="461"/>
      <c r="T387" s="461"/>
      <c r="U387" s="281"/>
      <c r="V387" s="1172"/>
      <c r="W387" s="255"/>
      <c r="X387" s="461"/>
      <c r="Y387" s="461"/>
      <c r="Z387" s="461"/>
      <c r="AA387" s="281"/>
      <c r="AB387" s="1041"/>
      <c r="AC387" s="255"/>
      <c r="AD387" s="461"/>
      <c r="AE387" s="461"/>
      <c r="AF387" s="461"/>
      <c r="AG387" s="461"/>
      <c r="AH387" s="1047"/>
      <c r="AI387" s="1172"/>
      <c r="AJ387" s="1155"/>
      <c r="AK387" s="1155"/>
      <c r="AL387" s="1083"/>
      <c r="AM387" s="1084"/>
      <c r="AN387" s="1084"/>
      <c r="AO387" s="1084"/>
      <c r="AP387" s="1085"/>
      <c r="AQ387" s="259"/>
      <c r="AR387" s="466"/>
      <c r="AS387" s="283"/>
      <c r="AT387" s="1155"/>
      <c r="AU387" s="1155"/>
      <c r="AV387" s="1155"/>
      <c r="AW387" s="1155"/>
      <c r="AX387" s="1155"/>
      <c r="AY387" s="1155"/>
      <c r="AZ387" s="1155"/>
      <c r="BA387" s="1155"/>
      <c r="BB387" s="1155"/>
      <c r="BC387" s="1155"/>
      <c r="BD387" s="1155"/>
      <c r="BE387" s="1155"/>
      <c r="BF387" s="1155"/>
      <c r="BG387" s="1155"/>
      <c r="BH387" s="1155"/>
      <c r="BI387" s="1155"/>
      <c r="BJ387" s="1155"/>
      <c r="BK387" s="1155"/>
      <c r="BL387" s="1155"/>
      <c r="BM387" s="1155"/>
      <c r="BN387" s="1155"/>
      <c r="BO387" s="1155"/>
      <c r="BP387" s="1155"/>
      <c r="BQ387" s="1155"/>
      <c r="BR387" s="1155"/>
      <c r="BS387" s="1155"/>
    </row>
    <row r="388" spans="5:71" s="474" customFormat="1">
      <c r="E388" s="4109"/>
      <c r="F388" s="431" t="s">
        <v>559</v>
      </c>
      <c r="G388" s="1083"/>
      <c r="H388" s="1084"/>
      <c r="I388" s="1084"/>
      <c r="J388" s="1084"/>
      <c r="K388" s="1085"/>
      <c r="L388" s="255"/>
      <c r="M388" s="461"/>
      <c r="N388" s="461"/>
      <c r="O388" s="461"/>
      <c r="P388" s="281"/>
      <c r="Q388" s="956"/>
      <c r="R388" s="461"/>
      <c r="S388" s="461"/>
      <c r="T388" s="461"/>
      <c r="U388" s="281"/>
      <c r="V388" s="1172"/>
      <c r="W388" s="255"/>
      <c r="X388" s="461"/>
      <c r="Y388" s="461"/>
      <c r="Z388" s="461"/>
      <c r="AA388" s="281"/>
      <c r="AB388" s="1041"/>
      <c r="AC388" s="255"/>
      <c r="AD388" s="461"/>
      <c r="AE388" s="461"/>
      <c r="AF388" s="461"/>
      <c r="AG388" s="461"/>
      <c r="AH388" s="1047"/>
      <c r="AI388" s="1172"/>
      <c r="AJ388" s="1155"/>
      <c r="AK388" s="1155"/>
      <c r="AL388" s="1083"/>
      <c r="AM388" s="1084"/>
      <c r="AN388" s="1084"/>
      <c r="AO388" s="1084"/>
      <c r="AP388" s="1085"/>
      <c r="AQ388" s="259"/>
      <c r="AR388" s="466"/>
      <c r="AS388" s="283"/>
      <c r="AT388" s="1155"/>
      <c r="AU388" s="1155"/>
      <c r="AV388" s="1155"/>
      <c r="AW388" s="1155"/>
      <c r="AX388" s="1155"/>
      <c r="AY388" s="1155"/>
      <c r="AZ388" s="1155"/>
      <c r="BA388" s="1155"/>
      <c r="BB388" s="1155"/>
      <c r="BC388" s="1155"/>
      <c r="BD388" s="1155"/>
      <c r="BE388" s="1155"/>
      <c r="BF388" s="1155"/>
      <c r="BG388" s="1155"/>
      <c r="BH388" s="1155"/>
      <c r="BI388" s="1155"/>
      <c r="BJ388" s="1155"/>
      <c r="BK388" s="1155"/>
      <c r="BL388" s="1155"/>
      <c r="BM388" s="1155"/>
      <c r="BN388" s="1155"/>
      <c r="BO388" s="1155"/>
      <c r="BP388" s="1155"/>
      <c r="BQ388" s="1155"/>
      <c r="BR388" s="1155"/>
      <c r="BS388" s="1155"/>
    </row>
    <row r="389" spans="5:71" s="474" customFormat="1">
      <c r="E389" s="4109"/>
      <c r="F389" s="431" t="s">
        <v>578</v>
      </c>
      <c r="G389" s="1089"/>
      <c r="H389" s="1090"/>
      <c r="I389" s="1090"/>
      <c r="J389" s="1090"/>
      <c r="K389" s="1091"/>
      <c r="L389" s="259"/>
      <c r="M389" s="456"/>
      <c r="N389" s="456"/>
      <c r="O389" s="456"/>
      <c r="P389" s="457"/>
      <c r="Q389" s="224"/>
      <c r="R389" s="456"/>
      <c r="S389" s="456"/>
      <c r="T389" s="456"/>
      <c r="U389" s="457"/>
      <c r="V389" s="1172"/>
      <c r="W389" s="207"/>
      <c r="X389" s="456"/>
      <c r="Y389" s="456"/>
      <c r="Z389" s="456"/>
      <c r="AA389" s="457"/>
      <c r="AB389" s="1041"/>
      <c r="AC389" s="207"/>
      <c r="AD389" s="456"/>
      <c r="AE389" s="456"/>
      <c r="AF389" s="456"/>
      <c r="AG389" s="456"/>
      <c r="AH389" s="1048"/>
      <c r="AI389" s="1172"/>
      <c r="AJ389" s="1155"/>
      <c r="AK389" s="1155"/>
      <c r="AL389" s="1089"/>
      <c r="AM389" s="1090"/>
      <c r="AN389" s="1090"/>
      <c r="AO389" s="1090"/>
      <c r="AP389" s="1091"/>
      <c r="AQ389" s="259"/>
      <c r="AR389" s="466"/>
      <c r="AS389" s="283"/>
      <c r="AT389" s="1155"/>
      <c r="AU389" s="1155"/>
      <c r="AV389" s="1155"/>
      <c r="AW389" s="1155"/>
      <c r="AX389" s="1155"/>
      <c r="AY389" s="1155"/>
      <c r="AZ389" s="1155"/>
      <c r="BA389" s="1155"/>
      <c r="BB389" s="1155"/>
      <c r="BC389" s="1155"/>
      <c r="BD389" s="1155"/>
      <c r="BE389" s="1155"/>
      <c r="BF389" s="1155"/>
      <c r="BG389" s="1155"/>
      <c r="BH389" s="1155"/>
      <c r="BI389" s="1155"/>
      <c r="BJ389" s="1155"/>
      <c r="BK389" s="1155"/>
      <c r="BL389" s="1155"/>
      <c r="BM389" s="1155"/>
      <c r="BN389" s="1155"/>
      <c r="BO389" s="1155"/>
      <c r="BP389" s="1155"/>
      <c r="BQ389" s="1155"/>
      <c r="BR389" s="1155"/>
      <c r="BS389" s="1155"/>
    </row>
    <row r="390" spans="5:71" s="474" customFormat="1">
      <c r="E390" s="4109"/>
      <c r="F390" s="1377" t="s">
        <v>579</v>
      </c>
      <c r="G390" s="1086"/>
      <c r="H390" s="1087"/>
      <c r="I390" s="1087"/>
      <c r="J390" s="1087"/>
      <c r="K390" s="1088"/>
      <c r="L390" s="258">
        <f>SUM(L386:L389)</f>
        <v>0</v>
      </c>
      <c r="M390" s="465">
        <f t="shared" ref="M390" si="1652">SUM(M386:M389)</f>
        <v>1452374.28</v>
      </c>
      <c r="N390" s="465">
        <f t="shared" ref="N390" si="1653">SUM(N386:N389)</f>
        <v>0</v>
      </c>
      <c r="O390" s="465">
        <f t="shared" ref="O390" si="1654">SUM(O386:O389)</f>
        <v>0</v>
      </c>
      <c r="P390" s="282">
        <f t="shared" ref="P390" si="1655">SUM(P386:P389)</f>
        <v>0</v>
      </c>
      <c r="Q390" s="965">
        <f t="shared" ref="Q390" si="1656">SUM(Q386:Q389)</f>
        <v>0</v>
      </c>
      <c r="R390" s="465">
        <f t="shared" ref="R390" si="1657">SUM(R386:R389)</f>
        <v>0</v>
      </c>
      <c r="S390" s="465">
        <f t="shared" ref="S390" si="1658">SUM(S386:S389)</f>
        <v>0</v>
      </c>
      <c r="T390" s="465">
        <f t="shared" ref="T390" si="1659">SUM(T386:T389)</f>
        <v>0</v>
      </c>
      <c r="U390" s="282">
        <f t="shared" ref="U390" si="1660">SUM(U386:U389)</f>
        <v>0</v>
      </c>
      <c r="V390" s="1172"/>
      <c r="W390" s="258">
        <f t="shared" ref="W390" si="1661">SUM(W386:W389)</f>
        <v>0</v>
      </c>
      <c r="X390" s="465">
        <f t="shared" ref="X390" si="1662">SUM(X386:X389)</f>
        <v>0</v>
      </c>
      <c r="Y390" s="465">
        <f t="shared" ref="Y390" si="1663">SUM(Y386:Y389)</f>
        <v>0</v>
      </c>
      <c r="Z390" s="465">
        <f t="shared" ref="Z390" si="1664">SUM(Z386:Z389)</f>
        <v>0</v>
      </c>
      <c r="AA390" s="282">
        <f t="shared" ref="AA390" si="1665">SUM(AA386:AA389)</f>
        <v>0</v>
      </c>
      <c r="AB390" s="992"/>
      <c r="AC390" s="258">
        <f t="shared" ref="AC390" si="1666">SUM(AC386:AC389)</f>
        <v>0</v>
      </c>
      <c r="AD390" s="465">
        <f t="shared" ref="AD390" si="1667">SUM(AD386:AD389)</f>
        <v>0</v>
      </c>
      <c r="AE390" s="465">
        <f t="shared" ref="AE390" si="1668">SUM(AE386:AE389)</f>
        <v>0</v>
      </c>
      <c r="AF390" s="465">
        <f t="shared" ref="AF390" si="1669">SUM(AF386:AF389)</f>
        <v>0</v>
      </c>
      <c r="AG390" s="465">
        <f t="shared" ref="AG390" si="1670">SUM(AG386:AG389)</f>
        <v>0</v>
      </c>
      <c r="AH390" s="1049"/>
      <c r="AI390" s="1172"/>
      <c r="AJ390" s="1155"/>
      <c r="AK390" s="1155"/>
      <c r="AL390" s="1086"/>
      <c r="AM390" s="1087"/>
      <c r="AN390" s="1087"/>
      <c r="AO390" s="1087"/>
      <c r="AP390" s="1088"/>
      <c r="AQ390" s="258">
        <f>SUM(AQ387:AQ389)</f>
        <v>0</v>
      </c>
      <c r="AR390" s="465">
        <f t="shared" ref="AR390" si="1671">SUM(AR387:AR389)</f>
        <v>0</v>
      </c>
      <c r="AS390" s="282"/>
      <c r="AT390" s="1155"/>
      <c r="AU390" s="1155"/>
      <c r="AV390" s="1155"/>
      <c r="AW390" s="1155"/>
      <c r="AX390" s="1155"/>
      <c r="AY390" s="1155"/>
      <c r="AZ390" s="1155"/>
      <c r="BA390" s="1155"/>
      <c r="BB390" s="1155"/>
      <c r="BC390" s="1155"/>
      <c r="BD390" s="1155"/>
      <c r="BE390" s="1155"/>
      <c r="BF390" s="1155"/>
      <c r="BG390" s="1155"/>
      <c r="BH390" s="1155"/>
      <c r="BI390" s="1155"/>
      <c r="BJ390" s="1155"/>
      <c r="BK390" s="1155"/>
      <c r="BL390" s="1155"/>
      <c r="BM390" s="1155"/>
      <c r="BN390" s="1155"/>
      <c r="BO390" s="1155"/>
      <c r="BP390" s="1155"/>
      <c r="BQ390" s="1155"/>
      <c r="BR390" s="1155"/>
      <c r="BS390" s="1155"/>
    </row>
    <row r="391" spans="5:71" s="474" customFormat="1" ht="13.5" thickBot="1">
      <c r="E391" s="4109"/>
      <c r="F391" s="1035" t="s">
        <v>583</v>
      </c>
      <c r="G391" s="255"/>
      <c r="H391" s="461"/>
      <c r="I391" s="461"/>
      <c r="J391" s="461"/>
      <c r="K391" s="281"/>
      <c r="L391" s="207"/>
      <c r="M391" s="456"/>
      <c r="N391" s="456"/>
      <c r="O391" s="456"/>
      <c r="P391" s="457"/>
      <c r="Q391" s="224"/>
      <c r="R391" s="456"/>
      <c r="S391" s="456"/>
      <c r="T391" s="456"/>
      <c r="U391" s="457"/>
      <c r="V391" s="1172"/>
      <c r="W391" s="207"/>
      <c r="X391" s="461"/>
      <c r="Y391" s="461"/>
      <c r="Z391" s="461"/>
      <c r="AA391" s="281"/>
      <c r="AB391" s="1041"/>
      <c r="AC391" s="207"/>
      <c r="AD391" s="456"/>
      <c r="AE391" s="456"/>
      <c r="AF391" s="456"/>
      <c r="AG391" s="456"/>
      <c r="AH391" s="1048"/>
      <c r="AI391" s="1172"/>
      <c r="AJ391" s="1155"/>
      <c r="AK391" s="1155"/>
      <c r="AL391" s="259"/>
      <c r="AM391" s="466"/>
      <c r="AN391" s="466"/>
      <c r="AO391" s="466"/>
      <c r="AP391" s="283"/>
      <c r="AQ391" s="259"/>
      <c r="AR391" s="466"/>
      <c r="AS391" s="283"/>
      <c r="AT391" s="1155"/>
      <c r="AU391" s="1155"/>
      <c r="AV391" s="1155"/>
      <c r="AW391" s="1155"/>
      <c r="AX391" s="1155"/>
      <c r="AY391" s="1155"/>
      <c r="AZ391" s="1155"/>
      <c r="BA391" s="1155"/>
      <c r="BB391" s="1155"/>
      <c r="BC391" s="1155"/>
      <c r="BD391" s="1155"/>
      <c r="BE391" s="1155"/>
      <c r="BF391" s="1155"/>
      <c r="BG391" s="1155"/>
      <c r="BH391" s="1155"/>
      <c r="BI391" s="1155"/>
      <c r="BJ391" s="1155"/>
      <c r="BK391" s="1155"/>
      <c r="BL391" s="1155"/>
      <c r="BM391" s="1155"/>
      <c r="BN391" s="1155"/>
      <c r="BO391" s="1155"/>
      <c r="BP391" s="1155"/>
      <c r="BQ391" s="1155"/>
      <c r="BR391" s="1155"/>
      <c r="BS391" s="1155"/>
    </row>
    <row r="392" spans="5:71" s="474" customFormat="1" ht="13.5" thickBot="1">
      <c r="E392" s="4109"/>
      <c r="F392" s="1380" t="s">
        <v>581</v>
      </c>
      <c r="G392" s="1599"/>
      <c r="H392" s="1600"/>
      <c r="I392" s="1600"/>
      <c r="J392" s="1600"/>
      <c r="K392" s="1601"/>
      <c r="L392" s="1599"/>
      <c r="M392" s="1600"/>
      <c r="N392" s="1600"/>
      <c r="O392" s="1600"/>
      <c r="P392" s="1601"/>
      <c r="Q392" s="1602"/>
      <c r="R392" s="1600"/>
      <c r="S392" s="1600"/>
      <c r="T392" s="1600"/>
      <c r="U392" s="1601"/>
      <c r="V392" s="1172"/>
      <c r="W392" s="1614"/>
      <c r="X392" s="1615"/>
      <c r="Y392" s="1615"/>
      <c r="Z392" s="1615"/>
      <c r="AA392" s="1615"/>
      <c r="AB392" s="1615"/>
      <c r="AC392" s="1615"/>
      <c r="AD392" s="1615"/>
      <c r="AE392" s="1615"/>
      <c r="AF392" s="1615"/>
      <c r="AG392" s="1615"/>
      <c r="AH392" s="1616"/>
      <c r="AI392" s="1172"/>
      <c r="AJ392" s="1155"/>
      <c r="AK392" s="1155"/>
      <c r="AL392" s="259"/>
      <c r="AM392" s="466"/>
      <c r="AN392" s="466"/>
      <c r="AO392" s="466"/>
      <c r="AP392" s="283"/>
      <c r="AQ392" s="259"/>
      <c r="AR392" s="466"/>
      <c r="AS392" s="283"/>
      <c r="AT392" s="1155"/>
      <c r="AU392" s="1155"/>
      <c r="AV392" s="1155"/>
      <c r="AW392" s="1155"/>
      <c r="AX392" s="1155"/>
      <c r="AY392" s="1155"/>
      <c r="AZ392" s="1155"/>
      <c r="BA392" s="1155"/>
      <c r="BB392" s="1155"/>
      <c r="BC392" s="1155"/>
      <c r="BD392" s="1155"/>
      <c r="BE392" s="1155"/>
      <c r="BF392" s="1155"/>
      <c r="BG392" s="1155"/>
      <c r="BH392" s="1155"/>
      <c r="BI392" s="1155"/>
      <c r="BJ392" s="1155"/>
      <c r="BK392" s="1155"/>
      <c r="BL392" s="1155"/>
      <c r="BM392" s="1155"/>
      <c r="BN392" s="1155"/>
      <c r="BO392" s="1155"/>
      <c r="BP392" s="1155"/>
      <c r="BQ392" s="1155"/>
      <c r="BR392" s="1155"/>
      <c r="BS392" s="1155"/>
    </row>
    <row r="393" spans="5:71" s="474" customFormat="1">
      <c r="E393" s="4109"/>
      <c r="F393" s="1378" t="s">
        <v>584</v>
      </c>
      <c r="G393" s="1050">
        <v>0</v>
      </c>
      <c r="H393" s="1051">
        <v>0</v>
      </c>
      <c r="I393" s="1051">
        <v>0</v>
      </c>
      <c r="J393" s="1051">
        <v>0</v>
      </c>
      <c r="K393" s="1052">
        <v>0</v>
      </c>
      <c r="L393" s="1050">
        <f>SUM(L390:L392)</f>
        <v>0</v>
      </c>
      <c r="M393" s="1051">
        <f t="shared" ref="M393" si="1672">SUM(M390:M392)</f>
        <v>1452374.28</v>
      </c>
      <c r="N393" s="1051">
        <f t="shared" ref="N393" si="1673">SUM(N390:N392)</f>
        <v>0</v>
      </c>
      <c r="O393" s="1051">
        <f t="shared" ref="O393" si="1674">SUM(O390:O392)</f>
        <v>0</v>
      </c>
      <c r="P393" s="1052">
        <f t="shared" ref="P393" si="1675">SUM(P390:P392)</f>
        <v>0</v>
      </c>
      <c r="Q393" s="1092">
        <f t="shared" ref="Q393" si="1676">SUM(Q390:Q392)</f>
        <v>0</v>
      </c>
      <c r="R393" s="1051">
        <f t="shared" ref="R393" si="1677">SUM(R390:R392)</f>
        <v>0</v>
      </c>
      <c r="S393" s="1051">
        <f t="shared" ref="S393" si="1678">SUM(S390:S392)</f>
        <v>0</v>
      </c>
      <c r="T393" s="1051">
        <f t="shared" ref="T393" si="1679">SUM(T390:T392)</f>
        <v>0</v>
      </c>
      <c r="U393" s="1052">
        <f t="shared" ref="U393" si="1680">SUM(U390:U392)</f>
        <v>0</v>
      </c>
      <c r="V393" s="1172"/>
      <c r="W393" s="1050">
        <f t="shared" ref="W393" si="1681">SUM(W390:W392)</f>
        <v>0</v>
      </c>
      <c r="X393" s="1051">
        <f t="shared" ref="X393" si="1682">SUM(X390:X392)</f>
        <v>0</v>
      </c>
      <c r="Y393" s="1051">
        <f t="shared" ref="Y393" si="1683">SUM(Y390:Y392)</f>
        <v>0</v>
      </c>
      <c r="Z393" s="1051">
        <f t="shared" ref="Z393" si="1684">SUM(Z390:Z392)</f>
        <v>0</v>
      </c>
      <c r="AA393" s="1052">
        <f t="shared" ref="AA393" si="1685">SUM(AA390:AA392)</f>
        <v>0</v>
      </c>
      <c r="AB393" s="1053"/>
      <c r="AC393" s="1050">
        <f t="shared" ref="AC393" si="1686">SUM(AC390:AC392)</f>
        <v>0</v>
      </c>
      <c r="AD393" s="1051">
        <f t="shared" ref="AD393" si="1687">SUM(AD390:AD392)</f>
        <v>0</v>
      </c>
      <c r="AE393" s="1051">
        <f t="shared" ref="AE393" si="1688">SUM(AE390:AE392)</f>
        <v>0</v>
      </c>
      <c r="AF393" s="1051">
        <f t="shared" ref="AF393" si="1689">SUM(AF390:AF392)</f>
        <v>0</v>
      </c>
      <c r="AG393" s="1051">
        <f t="shared" ref="AG393" si="1690">SUM(AG390:AG392)</f>
        <v>0</v>
      </c>
      <c r="AH393" s="1054"/>
      <c r="AI393" s="1172"/>
      <c r="AJ393" s="130"/>
      <c r="AK393" s="130"/>
      <c r="AL393" s="1050">
        <f t="shared" ref="AL393:AR393" si="1691">SUM(AL391:AL392)</f>
        <v>0</v>
      </c>
      <c r="AM393" s="1051">
        <f t="shared" si="1691"/>
        <v>0</v>
      </c>
      <c r="AN393" s="1051">
        <f t="shared" si="1691"/>
        <v>0</v>
      </c>
      <c r="AO393" s="1051">
        <f t="shared" si="1691"/>
        <v>0</v>
      </c>
      <c r="AP393" s="1052">
        <f t="shared" si="1691"/>
        <v>0</v>
      </c>
      <c r="AQ393" s="1050">
        <f t="shared" si="1691"/>
        <v>0</v>
      </c>
      <c r="AR393" s="1051">
        <f t="shared" si="1691"/>
        <v>0</v>
      </c>
      <c r="AS393" s="1052"/>
      <c r="AT393" s="130"/>
      <c r="AU393" s="130"/>
      <c r="AV393" s="130"/>
      <c r="AW393" s="130"/>
      <c r="AX393" s="130"/>
      <c r="AY393" s="130"/>
      <c r="AZ393" s="130"/>
      <c r="BA393" s="130"/>
      <c r="BB393" s="130"/>
      <c r="BC393" s="130"/>
      <c r="BD393" s="130"/>
      <c r="BE393" s="130"/>
      <c r="BF393" s="130"/>
      <c r="BG393" s="130"/>
      <c r="BH393" s="130"/>
      <c r="BI393" s="130"/>
      <c r="BJ393" s="130"/>
      <c r="BK393" s="130"/>
      <c r="BL393" s="130"/>
      <c r="BM393" s="130"/>
      <c r="BN393" s="130"/>
      <c r="BO393" s="130"/>
      <c r="BP393" s="130"/>
      <c r="BQ393" s="130"/>
      <c r="BR393" s="130"/>
      <c r="BS393" s="1155"/>
    </row>
    <row r="394" spans="5:71" s="474" customFormat="1">
      <c r="E394" s="4109"/>
      <c r="F394" s="1389" t="s">
        <v>35</v>
      </c>
      <c r="G394" s="255"/>
      <c r="H394" s="461"/>
      <c r="I394" s="461"/>
      <c r="J394" s="461"/>
      <c r="K394" s="281"/>
      <c r="L394" s="255"/>
      <c r="M394" s="461"/>
      <c r="N394" s="461"/>
      <c r="O394" s="461"/>
      <c r="P394" s="281"/>
      <c r="Q394" s="956"/>
      <c r="R394" s="461"/>
      <c r="S394" s="461"/>
      <c r="T394" s="461"/>
      <c r="U394" s="281"/>
      <c r="V394" s="1172"/>
      <c r="W394" s="255"/>
      <c r="X394" s="461"/>
      <c r="Y394" s="461"/>
      <c r="Z394" s="461"/>
      <c r="AA394" s="281"/>
      <c r="AB394" s="1004"/>
      <c r="AC394" s="255"/>
      <c r="AD394" s="461"/>
      <c r="AE394" s="461"/>
      <c r="AF394" s="461"/>
      <c r="AG394" s="461"/>
      <c r="AH394" s="1047"/>
      <c r="AI394" s="1172"/>
      <c r="AJ394" s="1155"/>
      <c r="AK394" s="1155"/>
      <c r="AL394" s="259"/>
      <c r="AM394" s="466"/>
      <c r="AN394" s="466"/>
      <c r="AO394" s="466"/>
      <c r="AP394" s="283"/>
      <c r="AQ394" s="259"/>
      <c r="AR394" s="466"/>
      <c r="AS394" s="283"/>
      <c r="AT394" s="1155"/>
      <c r="AU394" s="1155"/>
      <c r="AV394" s="1155"/>
      <c r="AW394" s="1155"/>
      <c r="AX394" s="1155"/>
      <c r="AY394" s="1155"/>
      <c r="AZ394" s="1155"/>
      <c r="BA394" s="1155"/>
      <c r="BB394" s="1155"/>
      <c r="BC394" s="1155"/>
      <c r="BD394" s="1155"/>
      <c r="BE394" s="1155"/>
      <c r="BF394" s="1155"/>
      <c r="BG394" s="1155"/>
      <c r="BH394" s="1155"/>
      <c r="BI394" s="1155"/>
      <c r="BJ394" s="1155"/>
      <c r="BK394" s="1155"/>
      <c r="BL394" s="1155"/>
      <c r="BM394" s="1155"/>
      <c r="BN394" s="1155"/>
      <c r="BO394" s="1155"/>
      <c r="BP394" s="1155"/>
      <c r="BQ394" s="1155"/>
      <c r="BR394" s="1155"/>
      <c r="BS394" s="1155"/>
    </row>
    <row r="395" spans="5:71" s="474" customFormat="1" ht="13.5" thickBot="1">
      <c r="E395" s="4109"/>
      <c r="F395" s="1387" t="s">
        <v>585</v>
      </c>
      <c r="G395" s="1055">
        <v>0</v>
      </c>
      <c r="H395" s="1056">
        <v>0</v>
      </c>
      <c r="I395" s="1056">
        <v>0</v>
      </c>
      <c r="J395" s="1056">
        <v>0</v>
      </c>
      <c r="K395" s="1057">
        <v>0</v>
      </c>
      <c r="L395" s="1567">
        <f>L393-L394</f>
        <v>0</v>
      </c>
      <c r="M395" s="1056">
        <f t="shared" ref="M395" si="1692">M393-M394</f>
        <v>1452374.28</v>
      </c>
      <c r="N395" s="1056">
        <f t="shared" ref="N395" si="1693">N393-N394</f>
        <v>0</v>
      </c>
      <c r="O395" s="1056">
        <f t="shared" ref="O395" si="1694">O393-O394</f>
        <v>0</v>
      </c>
      <c r="P395" s="1057">
        <f t="shared" ref="P395" si="1695">P393-P394</f>
        <v>0</v>
      </c>
      <c r="Q395" s="1093">
        <f t="shared" ref="Q395" si="1696">Q393-Q394</f>
        <v>0</v>
      </c>
      <c r="R395" s="1056">
        <f t="shared" ref="R395" si="1697">R393-R394</f>
        <v>0</v>
      </c>
      <c r="S395" s="1056">
        <f t="shared" ref="S395" si="1698">S393-S394</f>
        <v>0</v>
      </c>
      <c r="T395" s="1056">
        <f t="shared" ref="T395" si="1699">T393-T394</f>
        <v>0</v>
      </c>
      <c r="U395" s="1057">
        <f t="shared" ref="U395" si="1700">U393-U394</f>
        <v>0</v>
      </c>
      <c r="V395" s="1172"/>
      <c r="W395" s="1055">
        <f t="shared" ref="W395" si="1701">W393-W394</f>
        <v>0</v>
      </c>
      <c r="X395" s="1056">
        <f t="shared" ref="X395" si="1702">X393-X394</f>
        <v>0</v>
      </c>
      <c r="Y395" s="1056">
        <f t="shared" ref="Y395" si="1703">Y393-Y394</f>
        <v>0</v>
      </c>
      <c r="Z395" s="1056">
        <f t="shared" ref="Z395" si="1704">Z393-Z394</f>
        <v>0</v>
      </c>
      <c r="AA395" s="1057">
        <f t="shared" ref="AA395" si="1705">AA393-AA394</f>
        <v>0</v>
      </c>
      <c r="AB395" s="1075"/>
      <c r="AC395" s="1055">
        <f t="shared" ref="AC395" si="1706">AC393-AC394</f>
        <v>0</v>
      </c>
      <c r="AD395" s="1056">
        <f t="shared" ref="AD395" si="1707">AD393-AD394</f>
        <v>0</v>
      </c>
      <c r="AE395" s="1056">
        <f t="shared" ref="AE395" si="1708">AE393-AE394</f>
        <v>0</v>
      </c>
      <c r="AF395" s="1056">
        <f t="shared" ref="AF395" si="1709">AF393-AF394</f>
        <v>0</v>
      </c>
      <c r="AG395" s="1056">
        <f t="shared" ref="AG395" si="1710">AG393-AG394</f>
        <v>0</v>
      </c>
      <c r="AH395" s="1059"/>
      <c r="AI395" s="1172"/>
      <c r="AJ395" s="1155"/>
      <c r="AK395" s="1155"/>
      <c r="AL395" s="1567">
        <f>AL393-AL394</f>
        <v>0</v>
      </c>
      <c r="AM395" s="1056">
        <f t="shared" ref="AM395:AR395" si="1711">AM393-AM394</f>
        <v>0</v>
      </c>
      <c r="AN395" s="1056">
        <f t="shared" si="1711"/>
        <v>0</v>
      </c>
      <c r="AO395" s="1056">
        <f t="shared" si="1711"/>
        <v>0</v>
      </c>
      <c r="AP395" s="1057">
        <f t="shared" si="1711"/>
        <v>0</v>
      </c>
      <c r="AQ395" s="1567">
        <f t="shared" si="1711"/>
        <v>0</v>
      </c>
      <c r="AR395" s="1056">
        <f t="shared" si="1711"/>
        <v>0</v>
      </c>
      <c r="AS395" s="1057"/>
      <c r="AT395" s="1155"/>
      <c r="AU395" s="1155"/>
      <c r="AV395" s="1155"/>
      <c r="AW395" s="1155"/>
      <c r="AX395" s="1155"/>
      <c r="AY395" s="1155"/>
      <c r="AZ395" s="1155"/>
      <c r="BA395" s="1155"/>
      <c r="BB395" s="1155"/>
      <c r="BC395" s="1155"/>
      <c r="BD395" s="1155"/>
      <c r="BE395" s="1155"/>
      <c r="BF395" s="1155"/>
      <c r="BG395" s="1155"/>
      <c r="BH395" s="1155"/>
      <c r="BI395" s="1155"/>
      <c r="BJ395" s="1155"/>
      <c r="BK395" s="1155"/>
      <c r="BL395" s="1155"/>
      <c r="BM395" s="1155"/>
      <c r="BN395" s="1155"/>
      <c r="BO395" s="1155"/>
      <c r="BP395" s="1155"/>
      <c r="BQ395" s="1155"/>
      <c r="BR395" s="1155"/>
      <c r="BS395" s="1155"/>
    </row>
    <row r="396" spans="5:71" s="474" customFormat="1" ht="12.75" customHeight="1">
      <c r="E396" s="4110" t="s">
        <v>1499</v>
      </c>
      <c r="F396" s="433" t="s">
        <v>111</v>
      </c>
      <c r="G396" s="1086"/>
      <c r="H396" s="1087"/>
      <c r="I396" s="1087"/>
      <c r="J396" s="1087"/>
      <c r="K396" s="1088"/>
      <c r="L396" s="258"/>
      <c r="M396" s="465"/>
      <c r="N396" s="465"/>
      <c r="O396" s="465"/>
      <c r="P396" s="282"/>
      <c r="Q396" s="965"/>
      <c r="R396" s="465"/>
      <c r="S396" s="465"/>
      <c r="T396" s="465"/>
      <c r="U396" s="282"/>
      <c r="V396" s="1172"/>
      <c r="W396" s="1043"/>
      <c r="X396" s="421"/>
      <c r="Y396" s="421"/>
      <c r="Z396" s="421"/>
      <c r="AA396" s="1044"/>
      <c r="AB396" s="1045"/>
      <c r="AC396" s="1043"/>
      <c r="AD396" s="421"/>
      <c r="AE396" s="421"/>
      <c r="AF396" s="421"/>
      <c r="AG396" s="421"/>
      <c r="AH396" s="1046"/>
      <c r="AI396" s="1172"/>
      <c r="AJ396" s="1155"/>
      <c r="AK396" s="1155"/>
      <c r="AL396" s="1086"/>
      <c r="AM396" s="1087"/>
      <c r="AN396" s="1087"/>
      <c r="AO396" s="1087"/>
      <c r="AP396" s="1088"/>
      <c r="AQ396" s="258"/>
      <c r="AR396" s="465"/>
      <c r="AS396" s="282"/>
      <c r="AT396" s="1155"/>
      <c r="AU396" s="1155"/>
      <c r="AV396" s="1155"/>
      <c r="AW396" s="1155"/>
      <c r="AX396" s="1155"/>
      <c r="AY396" s="1155"/>
      <c r="AZ396" s="1155"/>
      <c r="BA396" s="1155"/>
      <c r="BB396" s="1155"/>
      <c r="BC396" s="1155"/>
      <c r="BD396" s="1155"/>
      <c r="BE396" s="1155"/>
      <c r="BF396" s="1155"/>
      <c r="BG396" s="1155"/>
      <c r="BH396" s="1155"/>
      <c r="BI396" s="1155"/>
      <c r="BJ396" s="1155"/>
      <c r="BK396" s="1155"/>
      <c r="BL396" s="1155"/>
      <c r="BM396" s="1155"/>
      <c r="BN396" s="1155"/>
      <c r="BO396" s="1155"/>
      <c r="BP396" s="1155"/>
      <c r="BQ396" s="1155"/>
      <c r="BR396" s="1155"/>
      <c r="BS396" s="1155"/>
    </row>
    <row r="397" spans="5:71" s="474" customFormat="1" ht="12.75" customHeight="1">
      <c r="E397" s="4109"/>
      <c r="F397" s="1374" t="s">
        <v>588</v>
      </c>
      <c r="G397" s="1083"/>
      <c r="H397" s="1084"/>
      <c r="I397" s="1084"/>
      <c r="J397" s="1084"/>
      <c r="K397" s="1085"/>
      <c r="L397" s="255"/>
      <c r="M397" s="461">
        <v>9103</v>
      </c>
      <c r="N397" s="461"/>
      <c r="O397" s="461"/>
      <c r="P397" s="281"/>
      <c r="Q397" s="956"/>
      <c r="R397" s="461"/>
      <c r="S397" s="461"/>
      <c r="T397" s="461"/>
      <c r="U397" s="281"/>
      <c r="V397" s="1172"/>
      <c r="W397" s="255"/>
      <c r="X397" s="461"/>
      <c r="Y397" s="461"/>
      <c r="Z397" s="461"/>
      <c r="AA397" s="281"/>
      <c r="AB397" s="1041"/>
      <c r="AC397" s="255"/>
      <c r="AD397" s="461"/>
      <c r="AE397" s="461"/>
      <c r="AF397" s="461"/>
      <c r="AG397" s="461"/>
      <c r="AH397" s="1047"/>
      <c r="AI397" s="1172"/>
      <c r="AJ397" s="1155"/>
      <c r="AK397" s="1155"/>
      <c r="AL397" s="1083"/>
      <c r="AM397" s="1084"/>
      <c r="AN397" s="1084"/>
      <c r="AO397" s="1084"/>
      <c r="AP397" s="1085"/>
      <c r="AQ397" s="259"/>
      <c r="AR397" s="466"/>
      <c r="AS397" s="283"/>
      <c r="AT397" s="1155"/>
      <c r="AU397" s="1155"/>
      <c r="AV397" s="1155"/>
      <c r="AW397" s="1155"/>
      <c r="AX397" s="1155"/>
      <c r="AY397" s="1155"/>
      <c r="AZ397" s="1155"/>
      <c r="BA397" s="1155"/>
      <c r="BB397" s="1155"/>
      <c r="BC397" s="1155"/>
      <c r="BD397" s="1155"/>
      <c r="BE397" s="1155"/>
      <c r="BF397" s="1155"/>
      <c r="BG397" s="1155"/>
      <c r="BH397" s="1155"/>
      <c r="BI397" s="1155"/>
      <c r="BJ397" s="1155"/>
      <c r="BK397" s="1155"/>
      <c r="BL397" s="1155"/>
      <c r="BM397" s="1155"/>
      <c r="BN397" s="1155"/>
      <c r="BO397" s="1155"/>
      <c r="BP397" s="1155"/>
      <c r="BQ397" s="1155"/>
      <c r="BR397" s="1155"/>
      <c r="BS397" s="1155"/>
    </row>
    <row r="398" spans="5:71" s="474" customFormat="1" ht="12.75" customHeight="1">
      <c r="E398" s="4109"/>
      <c r="F398" s="1374" t="s">
        <v>589</v>
      </c>
      <c r="G398" s="1083"/>
      <c r="H398" s="1084"/>
      <c r="I398" s="1084"/>
      <c r="J398" s="1084"/>
      <c r="K398" s="1085"/>
      <c r="L398" s="255"/>
      <c r="M398" s="461"/>
      <c r="N398" s="461"/>
      <c r="O398" s="461"/>
      <c r="P398" s="281"/>
      <c r="Q398" s="956"/>
      <c r="R398" s="461"/>
      <c r="S398" s="461"/>
      <c r="T398" s="461"/>
      <c r="U398" s="281"/>
      <c r="V398" s="1172"/>
      <c r="W398" s="255"/>
      <c r="X398" s="461"/>
      <c r="Y398" s="461"/>
      <c r="Z398" s="461"/>
      <c r="AA398" s="281"/>
      <c r="AB398" s="1041"/>
      <c r="AC398" s="255"/>
      <c r="AD398" s="461"/>
      <c r="AE398" s="461"/>
      <c r="AF398" s="461"/>
      <c r="AG398" s="461"/>
      <c r="AH398" s="1047"/>
      <c r="AI398" s="1172"/>
      <c r="AJ398" s="1155"/>
      <c r="AK398" s="1155"/>
      <c r="AL398" s="1083"/>
      <c r="AM398" s="1084"/>
      <c r="AN398" s="1084"/>
      <c r="AO398" s="1084"/>
      <c r="AP398" s="1085"/>
      <c r="AQ398" s="259"/>
      <c r="AR398" s="466"/>
      <c r="AS398" s="283"/>
      <c r="AT398" s="1155"/>
      <c r="AU398" s="1155"/>
      <c r="AV398" s="1155"/>
      <c r="AW398" s="1155"/>
      <c r="AX398" s="1155"/>
      <c r="AY398" s="1155"/>
      <c r="AZ398" s="1155"/>
      <c r="BA398" s="1155"/>
      <c r="BB398" s="1155"/>
      <c r="BC398" s="1155"/>
      <c r="BD398" s="1155"/>
      <c r="BE398" s="1155"/>
      <c r="BF398" s="1155"/>
      <c r="BG398" s="1155"/>
      <c r="BH398" s="1155"/>
      <c r="BI398" s="1155"/>
      <c r="BJ398" s="1155"/>
      <c r="BK398" s="1155"/>
      <c r="BL398" s="1155"/>
      <c r="BM398" s="1155"/>
      <c r="BN398" s="1155"/>
      <c r="BO398" s="1155"/>
      <c r="BP398" s="1155"/>
      <c r="BQ398" s="1155"/>
      <c r="BR398" s="1155"/>
      <c r="BS398" s="1155"/>
    </row>
    <row r="399" spans="5:71" s="474" customFormat="1" ht="12.75" customHeight="1">
      <c r="E399" s="4109"/>
      <c r="F399" s="1374" t="s">
        <v>590</v>
      </c>
      <c r="G399" s="1083"/>
      <c r="H399" s="1084"/>
      <c r="I399" s="1084"/>
      <c r="J399" s="1084"/>
      <c r="K399" s="1085"/>
      <c r="L399" s="255"/>
      <c r="M399" s="461"/>
      <c r="N399" s="461"/>
      <c r="O399" s="461"/>
      <c r="P399" s="281"/>
      <c r="Q399" s="956"/>
      <c r="R399" s="461"/>
      <c r="S399" s="461"/>
      <c r="T399" s="461"/>
      <c r="U399" s="281"/>
      <c r="V399" s="1172"/>
      <c r="W399" s="255"/>
      <c r="X399" s="461"/>
      <c r="Y399" s="461"/>
      <c r="Z399" s="461"/>
      <c r="AA399" s="281"/>
      <c r="AB399" s="1041"/>
      <c r="AC399" s="255"/>
      <c r="AD399" s="461"/>
      <c r="AE399" s="461"/>
      <c r="AF399" s="461"/>
      <c r="AG399" s="461"/>
      <c r="AH399" s="1047"/>
      <c r="AI399" s="1172"/>
      <c r="AJ399" s="1155"/>
      <c r="AK399" s="1155"/>
      <c r="AL399" s="1083"/>
      <c r="AM399" s="1084"/>
      <c r="AN399" s="1084"/>
      <c r="AO399" s="1084"/>
      <c r="AP399" s="1085"/>
      <c r="AQ399" s="259"/>
      <c r="AR399" s="466"/>
      <c r="AS399" s="283"/>
      <c r="AT399" s="1155"/>
      <c r="AU399" s="1155"/>
      <c r="AV399" s="1155"/>
      <c r="AW399" s="1155"/>
      <c r="AX399" s="1155"/>
      <c r="AY399" s="1155"/>
      <c r="AZ399" s="1155"/>
      <c r="BA399" s="1155"/>
      <c r="BB399" s="1155"/>
      <c r="BC399" s="1155"/>
      <c r="BD399" s="1155"/>
      <c r="BE399" s="1155"/>
      <c r="BF399" s="1155"/>
      <c r="BG399" s="1155"/>
      <c r="BH399" s="1155"/>
      <c r="BI399" s="1155"/>
      <c r="BJ399" s="1155"/>
      <c r="BK399" s="1155"/>
      <c r="BL399" s="1155"/>
      <c r="BM399" s="1155"/>
      <c r="BN399" s="1155"/>
      <c r="BO399" s="1155"/>
      <c r="BP399" s="1155"/>
      <c r="BQ399" s="1155"/>
      <c r="BR399" s="1155"/>
      <c r="BS399" s="1155"/>
    </row>
    <row r="400" spans="5:71" s="474" customFormat="1" ht="12.75" customHeight="1">
      <c r="E400" s="4109"/>
      <c r="F400" s="1374" t="s">
        <v>591</v>
      </c>
      <c r="G400" s="1083"/>
      <c r="H400" s="1084"/>
      <c r="I400" s="1084"/>
      <c r="J400" s="1084"/>
      <c r="K400" s="1085"/>
      <c r="L400" s="255"/>
      <c r="M400" s="461"/>
      <c r="N400" s="461"/>
      <c r="O400" s="461"/>
      <c r="P400" s="281"/>
      <c r="Q400" s="956"/>
      <c r="R400" s="461"/>
      <c r="S400" s="461"/>
      <c r="T400" s="461"/>
      <c r="U400" s="281"/>
      <c r="V400" s="1172"/>
      <c r="W400" s="255"/>
      <c r="X400" s="461"/>
      <c r="Y400" s="461"/>
      <c r="Z400" s="461"/>
      <c r="AA400" s="281"/>
      <c r="AB400" s="1041"/>
      <c r="AC400" s="255"/>
      <c r="AD400" s="461"/>
      <c r="AE400" s="461"/>
      <c r="AF400" s="461"/>
      <c r="AG400" s="461"/>
      <c r="AH400" s="1047"/>
      <c r="AI400" s="1172"/>
      <c r="AJ400" s="1155"/>
      <c r="AK400" s="1155"/>
      <c r="AL400" s="1083"/>
      <c r="AM400" s="1084"/>
      <c r="AN400" s="1084"/>
      <c r="AO400" s="1084"/>
      <c r="AP400" s="1085"/>
      <c r="AQ400" s="259"/>
      <c r="AR400" s="466"/>
      <c r="AS400" s="283"/>
      <c r="AT400" s="1155"/>
      <c r="AU400" s="1155"/>
      <c r="AV400" s="1155"/>
      <c r="AW400" s="1155"/>
      <c r="AX400" s="1155"/>
      <c r="AY400" s="1155"/>
      <c r="AZ400" s="1155"/>
      <c r="BA400" s="1155"/>
      <c r="BB400" s="1155"/>
      <c r="BC400" s="1155"/>
      <c r="BD400" s="1155"/>
      <c r="BE400" s="1155"/>
      <c r="BF400" s="1155"/>
      <c r="BG400" s="1155"/>
      <c r="BH400" s="1155"/>
      <c r="BI400" s="1155"/>
      <c r="BJ400" s="1155"/>
      <c r="BK400" s="1155"/>
      <c r="BL400" s="1155"/>
      <c r="BM400" s="1155"/>
      <c r="BN400" s="1155"/>
      <c r="BO400" s="1155"/>
      <c r="BP400" s="1155"/>
      <c r="BQ400" s="1155"/>
      <c r="BR400" s="1155"/>
      <c r="BS400" s="1155"/>
    </row>
    <row r="401" spans="5:71" s="474" customFormat="1" ht="12.75" customHeight="1">
      <c r="E401" s="4109"/>
      <c r="F401" s="1374" t="s">
        <v>592</v>
      </c>
      <c r="G401" s="1083"/>
      <c r="H401" s="1084"/>
      <c r="I401" s="1084"/>
      <c r="J401" s="1084"/>
      <c r="K401" s="1085"/>
      <c r="L401" s="207"/>
      <c r="M401" s="456"/>
      <c r="N401" s="456"/>
      <c r="O401" s="456"/>
      <c r="P401" s="457"/>
      <c r="Q401" s="224"/>
      <c r="R401" s="456"/>
      <c r="S401" s="456"/>
      <c r="T401" s="456"/>
      <c r="U401" s="457"/>
      <c r="V401" s="1172"/>
      <c r="W401" s="207">
        <v>0</v>
      </c>
      <c r="X401" s="456">
        <v>0</v>
      </c>
      <c r="Y401" s="456">
        <v>0</v>
      </c>
      <c r="Z401" s="456">
        <v>0</v>
      </c>
      <c r="AA401" s="457">
        <v>0</v>
      </c>
      <c r="AB401" s="1041"/>
      <c r="AC401" s="207">
        <v>0</v>
      </c>
      <c r="AD401" s="456">
        <v>0</v>
      </c>
      <c r="AE401" s="456">
        <v>0</v>
      </c>
      <c r="AF401" s="456">
        <v>0</v>
      </c>
      <c r="AG401" s="456">
        <v>0</v>
      </c>
      <c r="AH401" s="1048"/>
      <c r="AI401" s="1172"/>
      <c r="AJ401" s="1155"/>
      <c r="AK401" s="1155"/>
      <c r="AL401" s="1083"/>
      <c r="AM401" s="1084"/>
      <c r="AN401" s="1084"/>
      <c r="AO401" s="1084"/>
      <c r="AP401" s="1085"/>
      <c r="AQ401" s="207">
        <f>SUM(AQ396:AQ400)</f>
        <v>0</v>
      </c>
      <c r="AR401" s="456">
        <f t="shared" ref="AR401" si="1712">SUM(AR396:AR400)</f>
        <v>0</v>
      </c>
      <c r="AS401" s="457"/>
      <c r="AT401" s="1155"/>
      <c r="AU401" s="1155"/>
      <c r="AV401" s="1155"/>
      <c r="AW401" s="1155"/>
      <c r="AX401" s="1155"/>
      <c r="AY401" s="1155"/>
      <c r="AZ401" s="1155"/>
      <c r="BA401" s="1155"/>
      <c r="BB401" s="1155"/>
      <c r="BC401" s="1155"/>
      <c r="BD401" s="1155"/>
      <c r="BE401" s="1155"/>
      <c r="BF401" s="1155"/>
      <c r="BG401" s="1155"/>
      <c r="BH401" s="1155"/>
      <c r="BI401" s="1155"/>
      <c r="BJ401" s="1155"/>
      <c r="BK401" s="1155"/>
      <c r="BL401" s="1155"/>
      <c r="BM401" s="1155"/>
      <c r="BN401" s="1155"/>
      <c r="BO401" s="1155"/>
      <c r="BP401" s="1155"/>
      <c r="BQ401" s="1155"/>
      <c r="BR401" s="1155"/>
      <c r="BS401" s="1155"/>
    </row>
    <row r="402" spans="5:71" s="474" customFormat="1">
      <c r="E402" s="4109"/>
      <c r="F402" s="1375" t="s">
        <v>587</v>
      </c>
      <c r="G402" s="1086"/>
      <c r="H402" s="1087"/>
      <c r="I402" s="1087"/>
      <c r="J402" s="1087"/>
      <c r="K402" s="1088"/>
      <c r="L402" s="258">
        <f>SUM(L397:L401)</f>
        <v>0</v>
      </c>
      <c r="M402" s="465">
        <f t="shared" ref="M402" si="1713">SUM(M397:M401)</f>
        <v>9103</v>
      </c>
      <c r="N402" s="465">
        <f t="shared" ref="N402" si="1714">SUM(N397:N401)</f>
        <v>0</v>
      </c>
      <c r="O402" s="465">
        <f t="shared" ref="O402" si="1715">SUM(O397:O401)</f>
        <v>0</v>
      </c>
      <c r="P402" s="282">
        <f t="shared" ref="P402" si="1716">SUM(P397:P401)</f>
        <v>0</v>
      </c>
      <c r="Q402" s="965">
        <f t="shared" ref="Q402" si="1717">SUM(Q397:Q401)</f>
        <v>0</v>
      </c>
      <c r="R402" s="465">
        <f t="shared" ref="R402" si="1718">SUM(R397:R401)</f>
        <v>0</v>
      </c>
      <c r="S402" s="465">
        <f t="shared" ref="S402" si="1719">SUM(S397:S401)</f>
        <v>0</v>
      </c>
      <c r="T402" s="465">
        <f t="shared" ref="T402" si="1720">SUM(T397:T401)</f>
        <v>0</v>
      </c>
      <c r="U402" s="282">
        <f t="shared" ref="U402" si="1721">SUM(U397:U401)</f>
        <v>0</v>
      </c>
      <c r="V402" s="1172"/>
      <c r="W402" s="258">
        <f t="shared" ref="W402" si="1722">SUM(W397:W401)</f>
        <v>0</v>
      </c>
      <c r="X402" s="465">
        <f t="shared" ref="X402" si="1723">SUM(X397:X401)</f>
        <v>0</v>
      </c>
      <c r="Y402" s="465">
        <f t="shared" ref="Y402" si="1724">SUM(Y397:Y401)</f>
        <v>0</v>
      </c>
      <c r="Z402" s="465">
        <f t="shared" ref="Z402" si="1725">SUM(Z397:Z401)</f>
        <v>0</v>
      </c>
      <c r="AA402" s="282">
        <f t="shared" ref="AA402" si="1726">SUM(AA397:AA401)</f>
        <v>0</v>
      </c>
      <c r="AB402" s="992"/>
      <c r="AC402" s="258">
        <f t="shared" ref="AC402" si="1727">SUM(AC397:AC401)</f>
        <v>0</v>
      </c>
      <c r="AD402" s="465">
        <f t="shared" ref="AD402" si="1728">SUM(AD397:AD401)</f>
        <v>0</v>
      </c>
      <c r="AE402" s="465">
        <f t="shared" ref="AE402" si="1729">SUM(AE397:AE401)</f>
        <v>0</v>
      </c>
      <c r="AF402" s="465">
        <f t="shared" ref="AF402" si="1730">SUM(AF397:AF401)</f>
        <v>0</v>
      </c>
      <c r="AG402" s="465">
        <f t="shared" ref="AG402" si="1731">SUM(AG397:AG401)</f>
        <v>0</v>
      </c>
      <c r="AH402" s="1049"/>
      <c r="AI402" s="1172"/>
      <c r="AJ402" s="1155"/>
      <c r="AK402" s="1155"/>
      <c r="AL402" s="1086"/>
      <c r="AM402" s="1087"/>
      <c r="AN402" s="1087"/>
      <c r="AO402" s="1087"/>
      <c r="AP402" s="1088"/>
      <c r="AQ402" s="258"/>
      <c r="AR402" s="465"/>
      <c r="AS402" s="282"/>
      <c r="AT402" s="1155"/>
      <c r="AU402" s="1155"/>
      <c r="AV402" s="1155"/>
      <c r="AW402" s="1155"/>
      <c r="AX402" s="1155"/>
      <c r="AY402" s="1155"/>
      <c r="AZ402" s="1155"/>
      <c r="BA402" s="1155"/>
      <c r="BB402" s="1155"/>
      <c r="BC402" s="1155"/>
      <c r="BD402" s="1155"/>
      <c r="BE402" s="1155"/>
      <c r="BF402" s="1155"/>
      <c r="BG402" s="1155"/>
      <c r="BH402" s="1155"/>
      <c r="BI402" s="1155"/>
      <c r="BJ402" s="1155"/>
      <c r="BK402" s="1155"/>
      <c r="BL402" s="1155"/>
      <c r="BM402" s="1155"/>
      <c r="BN402" s="1155"/>
      <c r="BO402" s="1155"/>
      <c r="BP402" s="1155"/>
      <c r="BQ402" s="1155"/>
      <c r="BR402" s="1155"/>
      <c r="BS402" s="1155"/>
    </row>
    <row r="403" spans="5:71" s="474" customFormat="1">
      <c r="E403" s="4109"/>
      <c r="F403" s="1376" t="s">
        <v>593</v>
      </c>
      <c r="G403" s="1083"/>
      <c r="H403" s="1084"/>
      <c r="I403" s="1084"/>
      <c r="J403" s="1084"/>
      <c r="K403" s="1085"/>
      <c r="L403" s="255"/>
      <c r="M403" s="461"/>
      <c r="N403" s="461"/>
      <c r="O403" s="461"/>
      <c r="P403" s="281"/>
      <c r="Q403" s="956"/>
      <c r="R403" s="461"/>
      <c r="S403" s="461"/>
      <c r="T403" s="461"/>
      <c r="U403" s="281"/>
      <c r="V403" s="1172"/>
      <c r="W403" s="255"/>
      <c r="X403" s="461"/>
      <c r="Y403" s="461"/>
      <c r="Z403" s="461"/>
      <c r="AA403" s="281"/>
      <c r="AB403" s="1041"/>
      <c r="AC403" s="255"/>
      <c r="AD403" s="461"/>
      <c r="AE403" s="461"/>
      <c r="AF403" s="461"/>
      <c r="AG403" s="461"/>
      <c r="AH403" s="1047"/>
      <c r="AI403" s="1172"/>
      <c r="AJ403" s="1155"/>
      <c r="AK403" s="1155"/>
      <c r="AL403" s="1083"/>
      <c r="AM403" s="1084"/>
      <c r="AN403" s="1084"/>
      <c r="AO403" s="1084"/>
      <c r="AP403" s="1085"/>
      <c r="AQ403" s="259"/>
      <c r="AR403" s="466"/>
      <c r="AS403" s="283"/>
      <c r="AT403" s="1155"/>
      <c r="AU403" s="1155"/>
      <c r="AV403" s="1155"/>
      <c r="AW403" s="1155"/>
      <c r="AX403" s="1155"/>
      <c r="AY403" s="1155"/>
      <c r="AZ403" s="1155"/>
      <c r="BA403" s="1155"/>
      <c r="BB403" s="1155"/>
      <c r="BC403" s="1155"/>
      <c r="BD403" s="1155"/>
      <c r="BE403" s="1155"/>
      <c r="BF403" s="1155"/>
      <c r="BG403" s="1155"/>
      <c r="BH403" s="1155"/>
      <c r="BI403" s="1155"/>
      <c r="BJ403" s="1155"/>
      <c r="BK403" s="1155"/>
      <c r="BL403" s="1155"/>
      <c r="BM403" s="1155"/>
      <c r="BN403" s="1155"/>
      <c r="BO403" s="1155"/>
      <c r="BP403" s="1155"/>
      <c r="BQ403" s="1155"/>
      <c r="BR403" s="1155"/>
      <c r="BS403" s="1155"/>
    </row>
    <row r="404" spans="5:71" s="474" customFormat="1">
      <c r="E404" s="4109"/>
      <c r="F404" s="431" t="s">
        <v>558</v>
      </c>
      <c r="G404" s="1083"/>
      <c r="H404" s="1084"/>
      <c r="I404" s="1084"/>
      <c r="J404" s="1084"/>
      <c r="K404" s="1085"/>
      <c r="L404" s="255"/>
      <c r="M404" s="461">
        <v>1358592.22</v>
      </c>
      <c r="N404" s="461"/>
      <c r="O404" s="461"/>
      <c r="P404" s="281"/>
      <c r="Q404" s="956"/>
      <c r="R404" s="461"/>
      <c r="S404" s="461"/>
      <c r="T404" s="461"/>
      <c r="U404" s="281"/>
      <c r="V404" s="1172"/>
      <c r="W404" s="255"/>
      <c r="X404" s="461"/>
      <c r="Y404" s="461"/>
      <c r="Z404" s="461"/>
      <c r="AA404" s="281"/>
      <c r="AB404" s="1041"/>
      <c r="AC404" s="255"/>
      <c r="AD404" s="461"/>
      <c r="AE404" s="461"/>
      <c r="AF404" s="461"/>
      <c r="AG404" s="461"/>
      <c r="AH404" s="1047"/>
      <c r="AI404" s="1172"/>
      <c r="AJ404" s="1155"/>
      <c r="AK404" s="1155"/>
      <c r="AL404" s="1083"/>
      <c r="AM404" s="1084"/>
      <c r="AN404" s="1084"/>
      <c r="AO404" s="1084"/>
      <c r="AP404" s="1085"/>
      <c r="AQ404" s="259"/>
      <c r="AR404" s="466"/>
      <c r="AS404" s="283"/>
      <c r="AT404" s="1155"/>
      <c r="AU404" s="1155"/>
      <c r="AV404" s="1155"/>
      <c r="AW404" s="1155"/>
      <c r="AX404" s="1155"/>
      <c r="AY404" s="1155"/>
      <c r="AZ404" s="1155"/>
      <c r="BA404" s="1155"/>
      <c r="BB404" s="1155"/>
      <c r="BC404" s="1155"/>
      <c r="BD404" s="1155"/>
      <c r="BE404" s="1155"/>
      <c r="BF404" s="1155"/>
      <c r="BG404" s="1155"/>
      <c r="BH404" s="1155"/>
      <c r="BI404" s="1155"/>
      <c r="BJ404" s="1155"/>
      <c r="BK404" s="1155"/>
      <c r="BL404" s="1155"/>
      <c r="BM404" s="1155"/>
      <c r="BN404" s="1155"/>
      <c r="BO404" s="1155"/>
      <c r="BP404" s="1155"/>
      <c r="BQ404" s="1155"/>
      <c r="BR404" s="1155"/>
      <c r="BS404" s="1155"/>
    </row>
    <row r="405" spans="5:71" s="474" customFormat="1">
      <c r="E405" s="4109"/>
      <c r="F405" s="431" t="s">
        <v>559</v>
      </c>
      <c r="G405" s="1083"/>
      <c r="H405" s="1084"/>
      <c r="I405" s="1084"/>
      <c r="J405" s="1084"/>
      <c r="K405" s="1085"/>
      <c r="L405" s="255"/>
      <c r="M405" s="461"/>
      <c r="N405" s="461"/>
      <c r="O405" s="461"/>
      <c r="P405" s="281"/>
      <c r="Q405" s="956"/>
      <c r="R405" s="461"/>
      <c r="S405" s="461"/>
      <c r="T405" s="461"/>
      <c r="U405" s="281"/>
      <c r="V405" s="1172"/>
      <c r="W405" s="255"/>
      <c r="X405" s="461"/>
      <c r="Y405" s="461"/>
      <c r="Z405" s="461"/>
      <c r="AA405" s="281"/>
      <c r="AB405" s="1041"/>
      <c r="AC405" s="255"/>
      <c r="AD405" s="461"/>
      <c r="AE405" s="461"/>
      <c r="AF405" s="461"/>
      <c r="AG405" s="461"/>
      <c r="AH405" s="1047"/>
      <c r="AI405" s="1172"/>
      <c r="AJ405" s="1155"/>
      <c r="AK405" s="1155"/>
      <c r="AL405" s="1083"/>
      <c r="AM405" s="1084"/>
      <c r="AN405" s="1084"/>
      <c r="AO405" s="1084"/>
      <c r="AP405" s="1085"/>
      <c r="AQ405" s="259"/>
      <c r="AR405" s="466"/>
      <c r="AS405" s="283"/>
      <c r="AT405" s="1155"/>
      <c r="AU405" s="1155"/>
      <c r="AV405" s="1155"/>
      <c r="AW405" s="1155"/>
      <c r="AX405" s="1155"/>
      <c r="AY405" s="1155"/>
      <c r="AZ405" s="1155"/>
      <c r="BA405" s="1155"/>
      <c r="BB405" s="1155"/>
      <c r="BC405" s="1155"/>
      <c r="BD405" s="1155"/>
      <c r="BE405" s="1155"/>
      <c r="BF405" s="1155"/>
      <c r="BG405" s="1155"/>
      <c r="BH405" s="1155"/>
      <c r="BI405" s="1155"/>
      <c r="BJ405" s="1155"/>
      <c r="BK405" s="1155"/>
      <c r="BL405" s="1155"/>
      <c r="BM405" s="1155"/>
      <c r="BN405" s="1155"/>
      <c r="BO405" s="1155"/>
      <c r="BP405" s="1155"/>
      <c r="BQ405" s="1155"/>
      <c r="BR405" s="1155"/>
      <c r="BS405" s="1155"/>
    </row>
    <row r="406" spans="5:71" s="474" customFormat="1">
      <c r="E406" s="4109"/>
      <c r="F406" s="431" t="s">
        <v>578</v>
      </c>
      <c r="G406" s="1089"/>
      <c r="H406" s="1090"/>
      <c r="I406" s="1090"/>
      <c r="J406" s="1090"/>
      <c r="K406" s="1091"/>
      <c r="L406" s="259"/>
      <c r="M406" s="456"/>
      <c r="N406" s="456"/>
      <c r="O406" s="456"/>
      <c r="P406" s="457"/>
      <c r="Q406" s="224"/>
      <c r="R406" s="456"/>
      <c r="S406" s="456"/>
      <c r="T406" s="456"/>
      <c r="U406" s="457"/>
      <c r="V406" s="1172"/>
      <c r="W406" s="207"/>
      <c r="X406" s="456"/>
      <c r="Y406" s="456"/>
      <c r="Z406" s="456"/>
      <c r="AA406" s="457"/>
      <c r="AB406" s="1041"/>
      <c r="AC406" s="207"/>
      <c r="AD406" s="456"/>
      <c r="AE406" s="456"/>
      <c r="AF406" s="456"/>
      <c r="AG406" s="456"/>
      <c r="AH406" s="1048"/>
      <c r="AI406" s="1172"/>
      <c r="AJ406" s="1155"/>
      <c r="AK406" s="1155"/>
      <c r="AL406" s="1089"/>
      <c r="AM406" s="1090"/>
      <c r="AN406" s="1090"/>
      <c r="AO406" s="1090"/>
      <c r="AP406" s="1091"/>
      <c r="AQ406" s="259"/>
      <c r="AR406" s="456"/>
      <c r="AS406" s="457"/>
      <c r="AT406" s="1155"/>
      <c r="AU406" s="1155"/>
      <c r="AV406" s="1155"/>
      <c r="AW406" s="1155"/>
      <c r="AX406" s="1155"/>
      <c r="AY406" s="1155"/>
      <c r="AZ406" s="1155"/>
      <c r="BA406" s="1155"/>
      <c r="BB406" s="1155"/>
      <c r="BC406" s="1155"/>
      <c r="BD406" s="1155"/>
      <c r="BE406" s="1155"/>
      <c r="BF406" s="1155"/>
      <c r="BG406" s="1155"/>
      <c r="BH406" s="1155"/>
      <c r="BI406" s="1155"/>
      <c r="BJ406" s="1155"/>
      <c r="BK406" s="1155"/>
      <c r="BL406" s="1155"/>
      <c r="BM406" s="1155"/>
      <c r="BN406" s="1155"/>
      <c r="BO406" s="1155"/>
      <c r="BP406" s="1155"/>
      <c r="BQ406" s="1155"/>
      <c r="BR406" s="1155"/>
      <c r="BS406" s="1155"/>
    </row>
    <row r="407" spans="5:71" s="474" customFormat="1">
      <c r="E407" s="4109"/>
      <c r="F407" s="1377" t="s">
        <v>579</v>
      </c>
      <c r="G407" s="1086"/>
      <c r="H407" s="1087"/>
      <c r="I407" s="1087"/>
      <c r="J407" s="1087"/>
      <c r="K407" s="1088"/>
      <c r="L407" s="258">
        <f>SUM(L403:L406)</f>
        <v>0</v>
      </c>
      <c r="M407" s="465">
        <f t="shared" ref="M407" si="1732">SUM(M403:M406)</f>
        <v>1358592.22</v>
      </c>
      <c r="N407" s="465">
        <f t="shared" ref="N407" si="1733">SUM(N403:N406)</f>
        <v>0</v>
      </c>
      <c r="O407" s="465">
        <f t="shared" ref="O407" si="1734">SUM(O403:O406)</f>
        <v>0</v>
      </c>
      <c r="P407" s="282">
        <f t="shared" ref="P407" si="1735">SUM(P403:P406)</f>
        <v>0</v>
      </c>
      <c r="Q407" s="965">
        <f t="shared" ref="Q407" si="1736">SUM(Q403:Q406)</f>
        <v>0</v>
      </c>
      <c r="R407" s="465">
        <f t="shared" ref="R407" si="1737">SUM(R403:R406)</f>
        <v>0</v>
      </c>
      <c r="S407" s="465">
        <f t="shared" ref="S407" si="1738">SUM(S403:S406)</f>
        <v>0</v>
      </c>
      <c r="T407" s="465">
        <f t="shared" ref="T407" si="1739">SUM(T403:T406)</f>
        <v>0</v>
      </c>
      <c r="U407" s="282">
        <f t="shared" ref="U407" si="1740">SUM(U403:U406)</f>
        <v>0</v>
      </c>
      <c r="V407" s="1172"/>
      <c r="W407" s="258">
        <f t="shared" ref="W407" si="1741">SUM(W403:W406)</f>
        <v>0</v>
      </c>
      <c r="X407" s="465">
        <f t="shared" ref="X407" si="1742">SUM(X403:X406)</f>
        <v>0</v>
      </c>
      <c r="Y407" s="465">
        <f t="shared" ref="Y407" si="1743">SUM(Y403:Y406)</f>
        <v>0</v>
      </c>
      <c r="Z407" s="465">
        <f t="shared" ref="Z407" si="1744">SUM(Z403:Z406)</f>
        <v>0</v>
      </c>
      <c r="AA407" s="282">
        <f t="shared" ref="AA407" si="1745">SUM(AA403:AA406)</f>
        <v>0</v>
      </c>
      <c r="AB407" s="992"/>
      <c r="AC407" s="258">
        <f t="shared" ref="AC407" si="1746">SUM(AC403:AC406)</f>
        <v>0</v>
      </c>
      <c r="AD407" s="465">
        <f t="shared" ref="AD407" si="1747">SUM(AD403:AD406)</f>
        <v>0</v>
      </c>
      <c r="AE407" s="465">
        <f t="shared" ref="AE407" si="1748">SUM(AE403:AE406)</f>
        <v>0</v>
      </c>
      <c r="AF407" s="465">
        <f t="shared" ref="AF407" si="1749">SUM(AF403:AF406)</f>
        <v>0</v>
      </c>
      <c r="AG407" s="465">
        <f t="shared" ref="AG407" si="1750">SUM(AG403:AG406)</f>
        <v>0</v>
      </c>
      <c r="AH407" s="1049"/>
      <c r="AI407" s="1172"/>
      <c r="AJ407" s="1155"/>
      <c r="AK407" s="1155"/>
      <c r="AL407" s="1086"/>
      <c r="AM407" s="1087"/>
      <c r="AN407" s="1087"/>
      <c r="AO407" s="1087"/>
      <c r="AP407" s="1088"/>
      <c r="AQ407" s="258">
        <f>SUM(AQ404:AQ406)</f>
        <v>0</v>
      </c>
      <c r="AR407" s="465">
        <f t="shared" ref="AR407" si="1751">SUM(AR404:AR406)</f>
        <v>0</v>
      </c>
      <c r="AS407" s="282"/>
      <c r="AT407" s="1155"/>
      <c r="AU407" s="1155"/>
      <c r="AV407" s="1155"/>
      <c r="AW407" s="1155"/>
      <c r="AX407" s="1155"/>
      <c r="AY407" s="1155"/>
      <c r="AZ407" s="1155"/>
      <c r="BA407" s="1155"/>
      <c r="BB407" s="1155"/>
      <c r="BC407" s="1155"/>
      <c r="BD407" s="1155"/>
      <c r="BE407" s="1155"/>
      <c r="BF407" s="1155"/>
      <c r="BG407" s="1155"/>
      <c r="BH407" s="1155"/>
      <c r="BI407" s="1155"/>
      <c r="BJ407" s="1155"/>
      <c r="BK407" s="1155"/>
      <c r="BL407" s="1155"/>
      <c r="BM407" s="1155"/>
      <c r="BN407" s="1155"/>
      <c r="BO407" s="1155"/>
      <c r="BP407" s="1155"/>
      <c r="BQ407" s="1155"/>
      <c r="BR407" s="1155"/>
      <c r="BS407" s="1155"/>
    </row>
    <row r="408" spans="5:71" s="474" customFormat="1" ht="13.5" thickBot="1">
      <c r="E408" s="4109"/>
      <c r="F408" s="1385" t="s">
        <v>583</v>
      </c>
      <c r="G408" s="255"/>
      <c r="H408" s="461"/>
      <c r="I408" s="461"/>
      <c r="J408" s="461"/>
      <c r="K408" s="281"/>
      <c r="L408" s="207"/>
      <c r="M408" s="456"/>
      <c r="N408" s="456"/>
      <c r="O408" s="456"/>
      <c r="P408" s="457"/>
      <c r="Q408" s="224"/>
      <c r="R408" s="456"/>
      <c r="S408" s="456"/>
      <c r="T408" s="456"/>
      <c r="U408" s="457"/>
      <c r="V408" s="1172"/>
      <c r="W408" s="207"/>
      <c r="X408" s="461"/>
      <c r="Y408" s="461"/>
      <c r="Z408" s="461"/>
      <c r="AA408" s="281"/>
      <c r="AB408" s="1041"/>
      <c r="AC408" s="207"/>
      <c r="AD408" s="456"/>
      <c r="AE408" s="456"/>
      <c r="AF408" s="456"/>
      <c r="AG408" s="456"/>
      <c r="AH408" s="1048"/>
      <c r="AI408" s="1172"/>
      <c r="AJ408" s="1155"/>
      <c r="AK408" s="1155"/>
      <c r="AL408" s="259"/>
      <c r="AM408" s="466"/>
      <c r="AN408" s="466"/>
      <c r="AO408" s="466"/>
      <c r="AP408" s="283"/>
      <c r="AQ408" s="259"/>
      <c r="AR408" s="466"/>
      <c r="AS408" s="283"/>
      <c r="AT408" s="1155"/>
      <c r="AU408" s="1155"/>
      <c r="AV408" s="1155"/>
      <c r="AW408" s="1155"/>
      <c r="AX408" s="1155"/>
      <c r="AY408" s="1155"/>
      <c r="AZ408" s="1155"/>
      <c r="BA408" s="1155"/>
      <c r="BB408" s="1155"/>
      <c r="BC408" s="1155"/>
      <c r="BD408" s="1155"/>
      <c r="BE408" s="1155"/>
      <c r="BF408" s="1155"/>
      <c r="BG408" s="1155"/>
      <c r="BH408" s="1155"/>
      <c r="BI408" s="1155"/>
      <c r="BJ408" s="1155"/>
      <c r="BK408" s="1155"/>
      <c r="BL408" s="1155"/>
      <c r="BM408" s="1155"/>
      <c r="BN408" s="1155"/>
      <c r="BO408" s="1155"/>
      <c r="BP408" s="1155"/>
      <c r="BQ408" s="1155"/>
      <c r="BR408" s="1155"/>
      <c r="BS408" s="1155"/>
    </row>
    <row r="409" spans="5:71" s="474" customFormat="1" ht="13.5" thickBot="1">
      <c r="E409" s="4109"/>
      <c r="F409" s="1384" t="s">
        <v>581</v>
      </c>
      <c r="G409" s="1599"/>
      <c r="H409" s="1600"/>
      <c r="I409" s="1600"/>
      <c r="J409" s="1600"/>
      <c r="K409" s="1601"/>
      <c r="L409" s="1599"/>
      <c r="M409" s="1600"/>
      <c r="N409" s="1600"/>
      <c r="O409" s="1600"/>
      <c r="P409" s="1601"/>
      <c r="Q409" s="1602"/>
      <c r="R409" s="1600"/>
      <c r="S409" s="1600"/>
      <c r="T409" s="1600"/>
      <c r="U409" s="1601"/>
      <c r="V409" s="1172"/>
      <c r="W409" s="1614"/>
      <c r="X409" s="1615"/>
      <c r="Y409" s="1615"/>
      <c r="Z409" s="1615"/>
      <c r="AA409" s="1615"/>
      <c r="AB409" s="1615"/>
      <c r="AC409" s="1615"/>
      <c r="AD409" s="1615"/>
      <c r="AE409" s="1615"/>
      <c r="AF409" s="1615"/>
      <c r="AG409" s="1615"/>
      <c r="AH409" s="1616"/>
      <c r="AI409" s="1172"/>
      <c r="AJ409" s="1155"/>
      <c r="AK409" s="1155"/>
      <c r="AL409" s="259"/>
      <c r="AM409" s="466"/>
      <c r="AN409" s="466"/>
      <c r="AO409" s="466"/>
      <c r="AP409" s="283"/>
      <c r="AQ409" s="259"/>
      <c r="AR409" s="466"/>
      <c r="AS409" s="283"/>
      <c r="AT409" s="1155"/>
      <c r="AU409" s="1155"/>
      <c r="AV409" s="1155"/>
      <c r="AW409" s="1155"/>
      <c r="AX409" s="1155"/>
      <c r="AY409" s="1155"/>
      <c r="AZ409" s="1155"/>
      <c r="BA409" s="1155"/>
      <c r="BB409" s="1155"/>
      <c r="BC409" s="1155"/>
      <c r="BD409" s="1155"/>
      <c r="BE409" s="1155"/>
      <c r="BF409" s="1155"/>
      <c r="BG409" s="1155"/>
      <c r="BH409" s="1155"/>
      <c r="BI409" s="1155"/>
      <c r="BJ409" s="1155"/>
      <c r="BK409" s="1155"/>
      <c r="BL409" s="1155"/>
      <c r="BM409" s="1155"/>
      <c r="BN409" s="1155"/>
      <c r="BO409" s="1155"/>
      <c r="BP409" s="1155"/>
      <c r="BQ409" s="1155"/>
      <c r="BR409" s="1155"/>
      <c r="BS409" s="1155"/>
    </row>
    <row r="410" spans="5:71" s="474" customFormat="1">
      <c r="E410" s="4109"/>
      <c r="F410" s="1386" t="s">
        <v>584</v>
      </c>
      <c r="G410" s="1050">
        <v>0</v>
      </c>
      <c r="H410" s="1051">
        <v>0</v>
      </c>
      <c r="I410" s="1051">
        <v>0</v>
      </c>
      <c r="J410" s="1051">
        <v>0</v>
      </c>
      <c r="K410" s="1052">
        <v>0</v>
      </c>
      <c r="L410" s="1050">
        <f>SUM(L407:L409)</f>
        <v>0</v>
      </c>
      <c r="M410" s="1051">
        <f t="shared" ref="M410" si="1752">SUM(M407:M409)</f>
        <v>1358592.22</v>
      </c>
      <c r="N410" s="1051">
        <f t="shared" ref="N410" si="1753">SUM(N407:N409)</f>
        <v>0</v>
      </c>
      <c r="O410" s="1051">
        <f t="shared" ref="O410" si="1754">SUM(O407:O409)</f>
        <v>0</v>
      </c>
      <c r="P410" s="1052">
        <f t="shared" ref="P410" si="1755">SUM(P407:P409)</f>
        <v>0</v>
      </c>
      <c r="Q410" s="1092">
        <f t="shared" ref="Q410" si="1756">SUM(Q407:Q409)</f>
        <v>0</v>
      </c>
      <c r="R410" s="1051">
        <f t="shared" ref="R410" si="1757">SUM(R407:R409)</f>
        <v>0</v>
      </c>
      <c r="S410" s="1051">
        <f t="shared" ref="S410" si="1758">SUM(S407:S409)</f>
        <v>0</v>
      </c>
      <c r="T410" s="1051">
        <f t="shared" ref="T410" si="1759">SUM(T407:T409)</f>
        <v>0</v>
      </c>
      <c r="U410" s="1052">
        <f t="shared" ref="U410" si="1760">SUM(U407:U409)</f>
        <v>0</v>
      </c>
      <c r="V410" s="1172"/>
      <c r="W410" s="1050">
        <f t="shared" ref="W410" si="1761">SUM(W407:W409)</f>
        <v>0</v>
      </c>
      <c r="X410" s="1051">
        <f t="shared" ref="X410" si="1762">SUM(X407:X409)</f>
        <v>0</v>
      </c>
      <c r="Y410" s="1051">
        <f t="shared" ref="Y410" si="1763">SUM(Y407:Y409)</f>
        <v>0</v>
      </c>
      <c r="Z410" s="1051">
        <f t="shared" ref="Z410" si="1764">SUM(Z407:Z409)</f>
        <v>0</v>
      </c>
      <c r="AA410" s="1052">
        <f t="shared" ref="AA410" si="1765">SUM(AA407:AA409)</f>
        <v>0</v>
      </c>
      <c r="AB410" s="1053"/>
      <c r="AC410" s="1050">
        <f t="shared" ref="AC410" si="1766">SUM(AC407:AC409)</f>
        <v>0</v>
      </c>
      <c r="AD410" s="1051">
        <f t="shared" ref="AD410" si="1767">SUM(AD407:AD409)</f>
        <v>0</v>
      </c>
      <c r="AE410" s="1051">
        <f t="shared" ref="AE410" si="1768">SUM(AE407:AE409)</f>
        <v>0</v>
      </c>
      <c r="AF410" s="1051">
        <f t="shared" ref="AF410" si="1769">SUM(AF407:AF409)</f>
        <v>0</v>
      </c>
      <c r="AG410" s="1051">
        <f t="shared" ref="AG410" si="1770">SUM(AG407:AG409)</f>
        <v>0</v>
      </c>
      <c r="AH410" s="1054"/>
      <c r="AI410" s="1172"/>
      <c r="AJ410" s="130"/>
      <c r="AK410" s="130"/>
      <c r="AL410" s="1050">
        <f t="shared" ref="AL410:AR410" si="1771">SUM(AL408:AL409)</f>
        <v>0</v>
      </c>
      <c r="AM410" s="1051">
        <f t="shared" si="1771"/>
        <v>0</v>
      </c>
      <c r="AN410" s="1051">
        <f t="shared" si="1771"/>
        <v>0</v>
      </c>
      <c r="AO410" s="1051">
        <f t="shared" si="1771"/>
        <v>0</v>
      </c>
      <c r="AP410" s="1052">
        <f t="shared" si="1771"/>
        <v>0</v>
      </c>
      <c r="AQ410" s="1050">
        <f t="shared" si="1771"/>
        <v>0</v>
      </c>
      <c r="AR410" s="1051">
        <f t="shared" si="1771"/>
        <v>0</v>
      </c>
      <c r="AS410" s="1052"/>
      <c r="AT410" s="130"/>
      <c r="AU410" s="130"/>
      <c r="AV410" s="130"/>
      <c r="AW410" s="130"/>
      <c r="AX410" s="130"/>
      <c r="AY410" s="130"/>
      <c r="AZ410" s="130"/>
      <c r="BA410" s="130"/>
      <c r="BB410" s="130"/>
      <c r="BC410" s="130"/>
      <c r="BD410" s="130"/>
      <c r="BE410" s="130"/>
      <c r="BF410" s="130"/>
      <c r="BG410" s="130"/>
      <c r="BH410" s="130"/>
      <c r="BI410" s="130"/>
      <c r="BJ410" s="130"/>
      <c r="BK410" s="130"/>
      <c r="BL410" s="130"/>
      <c r="BM410" s="130"/>
      <c r="BN410" s="130"/>
      <c r="BO410" s="130"/>
      <c r="BP410" s="130"/>
      <c r="BQ410" s="130"/>
      <c r="BR410" s="130"/>
      <c r="BS410" s="1155"/>
    </row>
    <row r="411" spans="5:71" s="474" customFormat="1">
      <c r="E411" s="4109"/>
      <c r="F411" s="1388" t="s">
        <v>35</v>
      </c>
      <c r="G411" s="255"/>
      <c r="H411" s="461"/>
      <c r="I411" s="461"/>
      <c r="J411" s="461"/>
      <c r="K411" s="281"/>
      <c r="L411" s="255"/>
      <c r="M411" s="461"/>
      <c r="N411" s="461"/>
      <c r="O411" s="461"/>
      <c r="P411" s="281"/>
      <c r="Q411" s="956"/>
      <c r="R411" s="461"/>
      <c r="S411" s="461"/>
      <c r="T411" s="461"/>
      <c r="U411" s="281"/>
      <c r="V411" s="1172"/>
      <c r="W411" s="255"/>
      <c r="X411" s="461"/>
      <c r="Y411" s="461"/>
      <c r="Z411" s="461"/>
      <c r="AA411" s="281"/>
      <c r="AB411" s="1004"/>
      <c r="AC411" s="255"/>
      <c r="AD411" s="461"/>
      <c r="AE411" s="461"/>
      <c r="AF411" s="461"/>
      <c r="AG411" s="461"/>
      <c r="AH411" s="1047"/>
      <c r="AI411" s="1172"/>
      <c r="AJ411" s="1155"/>
      <c r="AK411" s="1155"/>
      <c r="AL411" s="259"/>
      <c r="AM411" s="466"/>
      <c r="AN411" s="466"/>
      <c r="AO411" s="466"/>
      <c r="AP411" s="283"/>
      <c r="AQ411" s="259"/>
      <c r="AR411" s="466"/>
      <c r="AS411" s="283"/>
      <c r="AT411" s="1155"/>
      <c r="AU411" s="1155"/>
      <c r="AV411" s="1155"/>
      <c r="AW411" s="1155"/>
      <c r="AX411" s="1155"/>
      <c r="AY411" s="1155"/>
      <c r="AZ411" s="1155"/>
      <c r="BA411" s="1155"/>
      <c r="BB411" s="1155"/>
      <c r="BC411" s="1155"/>
      <c r="BD411" s="1155"/>
      <c r="BE411" s="1155"/>
      <c r="BF411" s="1155"/>
      <c r="BG411" s="1155"/>
      <c r="BH411" s="1155"/>
      <c r="BI411" s="1155"/>
      <c r="BJ411" s="1155"/>
      <c r="BK411" s="1155"/>
      <c r="BL411" s="1155"/>
      <c r="BM411" s="1155"/>
      <c r="BN411" s="1155"/>
      <c r="BO411" s="1155"/>
      <c r="BP411" s="1155"/>
      <c r="BQ411" s="1155"/>
      <c r="BR411" s="1155"/>
      <c r="BS411" s="1155"/>
    </row>
    <row r="412" spans="5:71" s="474" customFormat="1" ht="13.5" thickBot="1">
      <c r="E412" s="4109"/>
      <c r="F412" s="1387" t="s">
        <v>585</v>
      </c>
      <c r="G412" s="1055">
        <v>0</v>
      </c>
      <c r="H412" s="1056">
        <v>0</v>
      </c>
      <c r="I412" s="1056">
        <v>0</v>
      </c>
      <c r="J412" s="1056">
        <v>0</v>
      </c>
      <c r="K412" s="1057">
        <v>0</v>
      </c>
      <c r="L412" s="1567">
        <f>L410-L411</f>
        <v>0</v>
      </c>
      <c r="M412" s="1056">
        <f t="shared" ref="M412" si="1772">M410-M411</f>
        <v>1358592.22</v>
      </c>
      <c r="N412" s="1056">
        <f t="shared" ref="N412" si="1773">N410-N411</f>
        <v>0</v>
      </c>
      <c r="O412" s="1056">
        <f t="shared" ref="O412" si="1774">O410-O411</f>
        <v>0</v>
      </c>
      <c r="P412" s="1057">
        <f t="shared" ref="P412" si="1775">P410-P411</f>
        <v>0</v>
      </c>
      <c r="Q412" s="1093">
        <f t="shared" ref="Q412" si="1776">Q410-Q411</f>
        <v>0</v>
      </c>
      <c r="R412" s="1056">
        <f t="shared" ref="R412" si="1777">R410-R411</f>
        <v>0</v>
      </c>
      <c r="S412" s="1056">
        <f t="shared" ref="S412" si="1778">S410-S411</f>
        <v>0</v>
      </c>
      <c r="T412" s="1056">
        <f t="shared" ref="T412" si="1779">T410-T411</f>
        <v>0</v>
      </c>
      <c r="U412" s="1057">
        <f t="shared" ref="U412" si="1780">U410-U411</f>
        <v>0</v>
      </c>
      <c r="V412" s="1172"/>
      <c r="W412" s="1055">
        <f t="shared" ref="W412" si="1781">W410-W411</f>
        <v>0</v>
      </c>
      <c r="X412" s="1056">
        <f t="shared" ref="X412" si="1782">X410-X411</f>
        <v>0</v>
      </c>
      <c r="Y412" s="1056">
        <f t="shared" ref="Y412" si="1783">Y410-Y411</f>
        <v>0</v>
      </c>
      <c r="Z412" s="1056">
        <f t="shared" ref="Z412" si="1784">Z410-Z411</f>
        <v>0</v>
      </c>
      <c r="AA412" s="1057">
        <f t="shared" ref="AA412" si="1785">AA410-AA411</f>
        <v>0</v>
      </c>
      <c r="AB412" s="1075"/>
      <c r="AC412" s="1055">
        <f t="shared" ref="AC412" si="1786">AC410-AC411</f>
        <v>0</v>
      </c>
      <c r="AD412" s="1056">
        <f t="shared" ref="AD412" si="1787">AD410-AD411</f>
        <v>0</v>
      </c>
      <c r="AE412" s="1056">
        <f t="shared" ref="AE412" si="1788">AE410-AE411</f>
        <v>0</v>
      </c>
      <c r="AF412" s="1056">
        <f t="shared" ref="AF412" si="1789">AF410-AF411</f>
        <v>0</v>
      </c>
      <c r="AG412" s="1056">
        <f t="shared" ref="AG412" si="1790">AG410-AG411</f>
        <v>0</v>
      </c>
      <c r="AH412" s="1059"/>
      <c r="AI412" s="1172"/>
      <c r="AJ412" s="1155"/>
      <c r="AK412" s="1155"/>
      <c r="AL412" s="1567">
        <f>AL410-AL411</f>
        <v>0</v>
      </c>
      <c r="AM412" s="1056">
        <f t="shared" ref="AM412:AR412" si="1791">AM410-AM411</f>
        <v>0</v>
      </c>
      <c r="AN412" s="1056">
        <f t="shared" si="1791"/>
        <v>0</v>
      </c>
      <c r="AO412" s="1056">
        <f t="shared" si="1791"/>
        <v>0</v>
      </c>
      <c r="AP412" s="1057">
        <f t="shared" si="1791"/>
        <v>0</v>
      </c>
      <c r="AQ412" s="1567">
        <f t="shared" si="1791"/>
        <v>0</v>
      </c>
      <c r="AR412" s="1056">
        <f t="shared" si="1791"/>
        <v>0</v>
      </c>
      <c r="AS412" s="1057"/>
      <c r="AT412" s="1155"/>
      <c r="AU412" s="1155"/>
      <c r="AV412" s="1155"/>
      <c r="AW412" s="1155"/>
      <c r="AX412" s="1155"/>
      <c r="AY412" s="1155"/>
      <c r="AZ412" s="1155"/>
      <c r="BA412" s="1155"/>
      <c r="BB412" s="1155"/>
      <c r="BC412" s="1155"/>
      <c r="BD412" s="1155"/>
      <c r="BE412" s="1155"/>
      <c r="BF412" s="1155"/>
      <c r="BG412" s="1155"/>
      <c r="BH412" s="1155"/>
      <c r="BI412" s="1155"/>
      <c r="BJ412" s="1155"/>
      <c r="BK412" s="1155"/>
      <c r="BL412" s="1155"/>
      <c r="BM412" s="1155"/>
      <c r="BN412" s="1155"/>
      <c r="BO412" s="1155"/>
      <c r="BP412" s="1155"/>
      <c r="BQ412" s="1155"/>
      <c r="BR412" s="1155"/>
      <c r="BS412" s="1155"/>
    </row>
    <row r="413" spans="5:71" s="474" customFormat="1" ht="12.75" customHeight="1">
      <c r="E413" s="4110" t="s">
        <v>1500</v>
      </c>
      <c r="F413" s="433" t="s">
        <v>111</v>
      </c>
      <c r="G413" s="1086"/>
      <c r="H413" s="1087"/>
      <c r="I413" s="1087"/>
      <c r="J413" s="1087"/>
      <c r="K413" s="1088"/>
      <c r="L413" s="258"/>
      <c r="M413" s="465"/>
      <c r="N413" s="465"/>
      <c r="O413" s="465"/>
      <c r="P413" s="282"/>
      <c r="Q413" s="1566"/>
      <c r="R413" s="421"/>
      <c r="S413" s="421"/>
      <c r="T413" s="421"/>
      <c r="U413" s="1044"/>
      <c r="V413" s="1172"/>
      <c r="W413" s="1043"/>
      <c r="X413" s="421"/>
      <c r="Y413" s="421"/>
      <c r="Z413" s="421"/>
      <c r="AA413" s="1044"/>
      <c r="AB413" s="1045"/>
      <c r="AC413" s="1043"/>
      <c r="AD413" s="421"/>
      <c r="AE413" s="421"/>
      <c r="AF413" s="421"/>
      <c r="AG413" s="421"/>
      <c r="AH413" s="1046"/>
      <c r="AI413" s="1172"/>
      <c r="AJ413" s="1155"/>
      <c r="AK413" s="1155"/>
      <c r="AL413" s="1086"/>
      <c r="AM413" s="1087"/>
      <c r="AN413" s="1087"/>
      <c r="AO413" s="1087"/>
      <c r="AP413" s="1088"/>
      <c r="AQ413" s="258"/>
      <c r="AR413" s="465"/>
      <c r="AS413" s="282"/>
      <c r="AT413" s="1155"/>
      <c r="AU413" s="1155"/>
      <c r="AV413" s="1155"/>
      <c r="AW413" s="1155"/>
      <c r="AX413" s="1155"/>
      <c r="AY413" s="1155"/>
      <c r="AZ413" s="1155"/>
      <c r="BA413" s="1155"/>
      <c r="BB413" s="1155"/>
      <c r="BC413" s="1155"/>
      <c r="BD413" s="1155"/>
      <c r="BE413" s="1155"/>
      <c r="BF413" s="1155"/>
      <c r="BG413" s="1155"/>
      <c r="BH413" s="1155"/>
      <c r="BI413" s="1155"/>
      <c r="BJ413" s="1155"/>
      <c r="BK413" s="1155"/>
      <c r="BL413" s="1155"/>
      <c r="BM413" s="1155"/>
      <c r="BN413" s="1155"/>
      <c r="BO413" s="1155"/>
      <c r="BP413" s="1155"/>
      <c r="BQ413" s="1155"/>
      <c r="BR413" s="1155"/>
      <c r="BS413" s="1155"/>
    </row>
    <row r="414" spans="5:71" s="474" customFormat="1" ht="12.75" customHeight="1">
      <c r="E414" s="4109"/>
      <c r="F414" s="1374" t="s">
        <v>588</v>
      </c>
      <c r="G414" s="1083"/>
      <c r="H414" s="1084"/>
      <c r="I414" s="1084"/>
      <c r="J414" s="1084"/>
      <c r="K414" s="1085"/>
      <c r="L414" s="255"/>
      <c r="M414" s="461">
        <v>12120</v>
      </c>
      <c r="N414" s="461"/>
      <c r="O414" s="461"/>
      <c r="P414" s="281"/>
      <c r="Q414" s="255"/>
      <c r="R414" s="461"/>
      <c r="S414" s="461"/>
      <c r="T414" s="461"/>
      <c r="U414" s="281"/>
      <c r="V414" s="1172"/>
      <c r="W414" s="255"/>
      <c r="X414" s="461"/>
      <c r="Y414" s="461"/>
      <c r="Z414" s="461"/>
      <c r="AA414" s="281"/>
      <c r="AB414" s="1041"/>
      <c r="AC414" s="255"/>
      <c r="AD414" s="461"/>
      <c r="AE414" s="461"/>
      <c r="AF414" s="461"/>
      <c r="AG414" s="461"/>
      <c r="AH414" s="1047"/>
      <c r="AI414" s="1172"/>
      <c r="AJ414" s="1155"/>
      <c r="AK414" s="1155"/>
      <c r="AL414" s="1083"/>
      <c r="AM414" s="1084"/>
      <c r="AN414" s="1084"/>
      <c r="AO414" s="1084"/>
      <c r="AP414" s="1085"/>
      <c r="AQ414" s="259"/>
      <c r="AR414" s="466"/>
      <c r="AS414" s="283"/>
      <c r="AT414" s="1155"/>
      <c r="AU414" s="1155"/>
      <c r="AV414" s="1155"/>
      <c r="AW414" s="1155"/>
      <c r="AX414" s="1155"/>
      <c r="AY414" s="1155"/>
      <c r="AZ414" s="1155"/>
      <c r="BA414" s="1155"/>
      <c r="BB414" s="1155"/>
      <c r="BC414" s="1155"/>
      <c r="BD414" s="1155"/>
      <c r="BE414" s="1155"/>
      <c r="BF414" s="1155"/>
      <c r="BG414" s="1155"/>
      <c r="BH414" s="1155"/>
      <c r="BI414" s="1155"/>
      <c r="BJ414" s="1155"/>
      <c r="BK414" s="1155"/>
      <c r="BL414" s="1155"/>
      <c r="BM414" s="1155"/>
      <c r="BN414" s="1155"/>
      <c r="BO414" s="1155"/>
      <c r="BP414" s="1155"/>
      <c r="BQ414" s="1155"/>
      <c r="BR414" s="1155"/>
      <c r="BS414" s="1155"/>
    </row>
    <row r="415" spans="5:71" s="474" customFormat="1" ht="12.75" customHeight="1">
      <c r="E415" s="4109"/>
      <c r="F415" s="1374" t="s">
        <v>589</v>
      </c>
      <c r="G415" s="1083"/>
      <c r="H415" s="1084"/>
      <c r="I415" s="1084"/>
      <c r="J415" s="1084"/>
      <c r="K415" s="1085"/>
      <c r="L415" s="255"/>
      <c r="M415" s="461"/>
      <c r="N415" s="461"/>
      <c r="O415" s="461"/>
      <c r="P415" s="281"/>
      <c r="Q415" s="255"/>
      <c r="R415" s="461"/>
      <c r="S415" s="461"/>
      <c r="T415" s="461"/>
      <c r="U415" s="281"/>
      <c r="V415" s="1172"/>
      <c r="W415" s="255"/>
      <c r="X415" s="461"/>
      <c r="Y415" s="461"/>
      <c r="Z415" s="461"/>
      <c r="AA415" s="281"/>
      <c r="AB415" s="1041"/>
      <c r="AC415" s="255"/>
      <c r="AD415" s="461"/>
      <c r="AE415" s="461"/>
      <c r="AF415" s="461"/>
      <c r="AG415" s="461"/>
      <c r="AH415" s="1047"/>
      <c r="AI415" s="1172"/>
      <c r="AJ415" s="1155"/>
      <c r="AK415" s="1155"/>
      <c r="AL415" s="1083"/>
      <c r="AM415" s="1084"/>
      <c r="AN415" s="1084"/>
      <c r="AO415" s="1084"/>
      <c r="AP415" s="1085"/>
      <c r="AQ415" s="259"/>
      <c r="AR415" s="466"/>
      <c r="AS415" s="283"/>
      <c r="AT415" s="1155"/>
      <c r="AU415" s="1155"/>
      <c r="AV415" s="1155"/>
      <c r="AW415" s="1155"/>
      <c r="AX415" s="1155"/>
      <c r="AY415" s="1155"/>
      <c r="AZ415" s="1155"/>
      <c r="BA415" s="1155"/>
      <c r="BB415" s="1155"/>
      <c r="BC415" s="1155"/>
      <c r="BD415" s="1155"/>
      <c r="BE415" s="1155"/>
      <c r="BF415" s="1155"/>
      <c r="BG415" s="1155"/>
      <c r="BH415" s="1155"/>
      <c r="BI415" s="1155"/>
      <c r="BJ415" s="1155"/>
      <c r="BK415" s="1155"/>
      <c r="BL415" s="1155"/>
      <c r="BM415" s="1155"/>
      <c r="BN415" s="1155"/>
      <c r="BO415" s="1155"/>
      <c r="BP415" s="1155"/>
      <c r="BQ415" s="1155"/>
      <c r="BR415" s="1155"/>
      <c r="BS415" s="1155"/>
    </row>
    <row r="416" spans="5:71" s="474" customFormat="1" ht="12.75" customHeight="1">
      <c r="E416" s="4109"/>
      <c r="F416" s="1374" t="s">
        <v>590</v>
      </c>
      <c r="G416" s="1083"/>
      <c r="H416" s="1084"/>
      <c r="I416" s="1084"/>
      <c r="J416" s="1084"/>
      <c r="K416" s="1085"/>
      <c r="L416" s="255"/>
      <c r="M416" s="461"/>
      <c r="N416" s="461"/>
      <c r="O416" s="461"/>
      <c r="P416" s="281"/>
      <c r="Q416" s="255"/>
      <c r="R416" s="461"/>
      <c r="S416" s="461"/>
      <c r="T416" s="461"/>
      <c r="U416" s="281"/>
      <c r="V416" s="1172"/>
      <c r="W416" s="255"/>
      <c r="X416" s="461"/>
      <c r="Y416" s="461"/>
      <c r="Z416" s="461"/>
      <c r="AA416" s="281"/>
      <c r="AB416" s="1041"/>
      <c r="AC416" s="255"/>
      <c r="AD416" s="461"/>
      <c r="AE416" s="461"/>
      <c r="AF416" s="461"/>
      <c r="AG416" s="461"/>
      <c r="AH416" s="1047"/>
      <c r="AI416" s="1172"/>
      <c r="AJ416" s="1155"/>
      <c r="AK416" s="1155"/>
      <c r="AL416" s="1083"/>
      <c r="AM416" s="1084"/>
      <c r="AN416" s="1084"/>
      <c r="AO416" s="1084"/>
      <c r="AP416" s="1085"/>
      <c r="AQ416" s="259"/>
      <c r="AR416" s="466"/>
      <c r="AS416" s="283"/>
      <c r="AT416" s="1155"/>
      <c r="AU416" s="1155"/>
      <c r="AV416" s="1155"/>
      <c r="AW416" s="1155"/>
      <c r="AX416" s="1155"/>
      <c r="AY416" s="1155"/>
      <c r="AZ416" s="1155"/>
      <c r="BA416" s="1155"/>
      <c r="BB416" s="1155"/>
      <c r="BC416" s="1155"/>
      <c r="BD416" s="1155"/>
      <c r="BE416" s="1155"/>
      <c r="BF416" s="1155"/>
      <c r="BG416" s="1155"/>
      <c r="BH416" s="1155"/>
      <c r="BI416" s="1155"/>
      <c r="BJ416" s="1155"/>
      <c r="BK416" s="1155"/>
      <c r="BL416" s="1155"/>
      <c r="BM416" s="1155"/>
      <c r="BN416" s="1155"/>
      <c r="BO416" s="1155"/>
      <c r="BP416" s="1155"/>
      <c r="BQ416" s="1155"/>
      <c r="BR416" s="1155"/>
      <c r="BS416" s="1155"/>
    </row>
    <row r="417" spans="5:71" s="474" customFormat="1" ht="12.75" customHeight="1">
      <c r="E417" s="4109"/>
      <c r="F417" s="1374" t="s">
        <v>591</v>
      </c>
      <c r="G417" s="1083"/>
      <c r="H417" s="1084"/>
      <c r="I417" s="1084"/>
      <c r="J417" s="1084"/>
      <c r="K417" s="1085"/>
      <c r="L417" s="255"/>
      <c r="M417" s="461"/>
      <c r="N417" s="461"/>
      <c r="O417" s="461"/>
      <c r="P417" s="281"/>
      <c r="Q417" s="255"/>
      <c r="R417" s="461"/>
      <c r="S417" s="461"/>
      <c r="T417" s="461"/>
      <c r="U417" s="281"/>
      <c r="V417" s="1172"/>
      <c r="W417" s="255"/>
      <c r="X417" s="461"/>
      <c r="Y417" s="461"/>
      <c r="Z417" s="461"/>
      <c r="AA417" s="281"/>
      <c r="AB417" s="1041"/>
      <c r="AC417" s="255"/>
      <c r="AD417" s="461"/>
      <c r="AE417" s="461"/>
      <c r="AF417" s="461"/>
      <c r="AG417" s="461"/>
      <c r="AH417" s="1047"/>
      <c r="AI417" s="1172"/>
      <c r="AJ417" s="1155"/>
      <c r="AK417" s="1155"/>
      <c r="AL417" s="1083"/>
      <c r="AM417" s="1084"/>
      <c r="AN417" s="1084"/>
      <c r="AO417" s="1084"/>
      <c r="AP417" s="1085"/>
      <c r="AQ417" s="259"/>
      <c r="AR417" s="466"/>
      <c r="AS417" s="283"/>
      <c r="AT417" s="1155"/>
      <c r="AU417" s="1155"/>
      <c r="AV417" s="1155"/>
      <c r="AW417" s="1155"/>
      <c r="AX417" s="1155"/>
      <c r="AY417" s="1155"/>
      <c r="AZ417" s="1155"/>
      <c r="BA417" s="1155"/>
      <c r="BB417" s="1155"/>
      <c r="BC417" s="1155"/>
      <c r="BD417" s="1155"/>
      <c r="BE417" s="1155"/>
      <c r="BF417" s="1155"/>
      <c r="BG417" s="1155"/>
      <c r="BH417" s="1155"/>
      <c r="BI417" s="1155"/>
      <c r="BJ417" s="1155"/>
      <c r="BK417" s="1155"/>
      <c r="BL417" s="1155"/>
      <c r="BM417" s="1155"/>
      <c r="BN417" s="1155"/>
      <c r="BO417" s="1155"/>
      <c r="BP417" s="1155"/>
      <c r="BQ417" s="1155"/>
      <c r="BR417" s="1155"/>
      <c r="BS417" s="1155"/>
    </row>
    <row r="418" spans="5:71" s="474" customFormat="1" ht="12.75" customHeight="1">
      <c r="E418" s="4109"/>
      <c r="F418" s="1374" t="s">
        <v>592</v>
      </c>
      <c r="G418" s="1083"/>
      <c r="H418" s="1084"/>
      <c r="I418" s="1084"/>
      <c r="J418" s="1084"/>
      <c r="K418" s="1085"/>
      <c r="L418" s="207"/>
      <c r="M418" s="456"/>
      <c r="N418" s="456"/>
      <c r="O418" s="456"/>
      <c r="P418" s="457"/>
      <c r="Q418" s="207"/>
      <c r="R418" s="456"/>
      <c r="S418" s="456"/>
      <c r="T418" s="456"/>
      <c r="U418" s="457"/>
      <c r="V418" s="1172"/>
      <c r="W418" s="207">
        <v>0</v>
      </c>
      <c r="X418" s="456">
        <v>0</v>
      </c>
      <c r="Y418" s="456">
        <v>0</v>
      </c>
      <c r="Z418" s="456">
        <v>0</v>
      </c>
      <c r="AA418" s="457">
        <v>0</v>
      </c>
      <c r="AB418" s="1041"/>
      <c r="AC418" s="207">
        <v>0</v>
      </c>
      <c r="AD418" s="456">
        <v>0</v>
      </c>
      <c r="AE418" s="456">
        <v>0</v>
      </c>
      <c r="AF418" s="456">
        <v>0</v>
      </c>
      <c r="AG418" s="456">
        <v>0</v>
      </c>
      <c r="AH418" s="1048"/>
      <c r="AI418" s="1172"/>
      <c r="AJ418" s="1155"/>
      <c r="AK418" s="1155"/>
      <c r="AL418" s="1083"/>
      <c r="AM418" s="1084"/>
      <c r="AN418" s="1084"/>
      <c r="AO418" s="1084"/>
      <c r="AP418" s="1085"/>
      <c r="AQ418" s="207">
        <f>SUM(AQ413:AQ417)</f>
        <v>0</v>
      </c>
      <c r="AR418" s="456">
        <f t="shared" ref="AR418" si="1792">SUM(AR413:AR417)</f>
        <v>0</v>
      </c>
      <c r="AS418" s="457"/>
      <c r="AT418" s="1155"/>
      <c r="AU418" s="1155"/>
      <c r="AV418" s="1155"/>
      <c r="AW418" s="1155"/>
      <c r="AX418" s="1155"/>
      <c r="AY418" s="1155"/>
      <c r="AZ418" s="1155"/>
      <c r="BA418" s="1155"/>
      <c r="BB418" s="1155"/>
      <c r="BC418" s="1155"/>
      <c r="BD418" s="1155"/>
      <c r="BE418" s="1155"/>
      <c r="BF418" s="1155"/>
      <c r="BG418" s="1155"/>
      <c r="BH418" s="1155"/>
      <c r="BI418" s="1155"/>
      <c r="BJ418" s="1155"/>
      <c r="BK418" s="1155"/>
      <c r="BL418" s="1155"/>
      <c r="BM418" s="1155"/>
      <c r="BN418" s="1155"/>
      <c r="BO418" s="1155"/>
      <c r="BP418" s="1155"/>
      <c r="BQ418" s="1155"/>
      <c r="BR418" s="1155"/>
      <c r="BS418" s="1155"/>
    </row>
    <row r="419" spans="5:71" s="474" customFormat="1">
      <c r="E419" s="4109"/>
      <c r="F419" s="1375" t="s">
        <v>587</v>
      </c>
      <c r="G419" s="1086"/>
      <c r="H419" s="1087"/>
      <c r="I419" s="1087"/>
      <c r="J419" s="1087"/>
      <c r="K419" s="1088"/>
      <c r="L419" s="258">
        <f>SUM(L414:L418)</f>
        <v>0</v>
      </c>
      <c r="M419" s="465">
        <f t="shared" ref="M419" si="1793">SUM(M414:M418)</f>
        <v>12120</v>
      </c>
      <c r="N419" s="465">
        <f t="shared" ref="N419" si="1794">SUM(N414:N418)</f>
        <v>0</v>
      </c>
      <c r="O419" s="465">
        <f t="shared" ref="O419" si="1795">SUM(O414:O418)</f>
        <v>0</v>
      </c>
      <c r="P419" s="282">
        <f t="shared" ref="P419" si="1796">SUM(P414:P418)</f>
        <v>0</v>
      </c>
      <c r="Q419" s="258">
        <f t="shared" ref="Q419" si="1797">SUM(Q414:Q418)</f>
        <v>0</v>
      </c>
      <c r="R419" s="465">
        <f t="shared" ref="R419" si="1798">SUM(R414:R418)</f>
        <v>0</v>
      </c>
      <c r="S419" s="465">
        <f t="shared" ref="S419" si="1799">SUM(S414:S418)</f>
        <v>0</v>
      </c>
      <c r="T419" s="465">
        <f t="shared" ref="T419" si="1800">SUM(T414:T418)</f>
        <v>0</v>
      </c>
      <c r="U419" s="282">
        <f t="shared" ref="U419" si="1801">SUM(U414:U418)</f>
        <v>0</v>
      </c>
      <c r="V419" s="1172"/>
      <c r="W419" s="258">
        <f t="shared" ref="W419" si="1802">SUM(W414:W418)</f>
        <v>0</v>
      </c>
      <c r="X419" s="465">
        <f t="shared" ref="X419" si="1803">SUM(X414:X418)</f>
        <v>0</v>
      </c>
      <c r="Y419" s="465">
        <f t="shared" ref="Y419" si="1804">SUM(Y414:Y418)</f>
        <v>0</v>
      </c>
      <c r="Z419" s="465">
        <f t="shared" ref="Z419" si="1805">SUM(Z414:Z418)</f>
        <v>0</v>
      </c>
      <c r="AA419" s="282">
        <f t="shared" ref="AA419" si="1806">SUM(AA414:AA418)</f>
        <v>0</v>
      </c>
      <c r="AB419" s="992"/>
      <c r="AC419" s="258">
        <f t="shared" ref="AC419" si="1807">SUM(AC414:AC418)</f>
        <v>0</v>
      </c>
      <c r="AD419" s="465">
        <f t="shared" ref="AD419" si="1808">SUM(AD414:AD418)</f>
        <v>0</v>
      </c>
      <c r="AE419" s="465">
        <f t="shared" ref="AE419" si="1809">SUM(AE414:AE418)</f>
        <v>0</v>
      </c>
      <c r="AF419" s="465">
        <f t="shared" ref="AF419" si="1810">SUM(AF414:AF418)</f>
        <v>0</v>
      </c>
      <c r="AG419" s="465">
        <f t="shared" ref="AG419" si="1811">SUM(AG414:AG418)</f>
        <v>0</v>
      </c>
      <c r="AH419" s="1049"/>
      <c r="AI419" s="1172"/>
      <c r="AJ419" s="1155"/>
      <c r="AK419" s="1155"/>
      <c r="AL419" s="1086"/>
      <c r="AM419" s="1087"/>
      <c r="AN419" s="1087"/>
      <c r="AO419" s="1087"/>
      <c r="AP419" s="1088"/>
      <c r="AQ419" s="258"/>
      <c r="AR419" s="465"/>
      <c r="AS419" s="282"/>
      <c r="AT419" s="1155"/>
      <c r="AU419" s="1155"/>
      <c r="AV419" s="1155"/>
      <c r="AW419" s="1155"/>
      <c r="AX419" s="1155"/>
      <c r="AY419" s="1155"/>
      <c r="AZ419" s="1155"/>
      <c r="BA419" s="1155"/>
      <c r="BB419" s="1155"/>
      <c r="BC419" s="1155"/>
      <c r="BD419" s="1155"/>
      <c r="BE419" s="1155"/>
      <c r="BF419" s="1155"/>
      <c r="BG419" s="1155"/>
      <c r="BH419" s="1155"/>
      <c r="BI419" s="1155"/>
      <c r="BJ419" s="1155"/>
      <c r="BK419" s="1155"/>
      <c r="BL419" s="1155"/>
      <c r="BM419" s="1155"/>
      <c r="BN419" s="1155"/>
      <c r="BO419" s="1155"/>
      <c r="BP419" s="1155"/>
      <c r="BQ419" s="1155"/>
      <c r="BR419" s="1155"/>
      <c r="BS419" s="1155"/>
    </row>
    <row r="420" spans="5:71" s="474" customFormat="1">
      <c r="E420" s="4109"/>
      <c r="F420" s="1376" t="s">
        <v>593</v>
      </c>
      <c r="G420" s="1083"/>
      <c r="H420" s="1084"/>
      <c r="I420" s="1084"/>
      <c r="J420" s="1084"/>
      <c r="K420" s="1085"/>
      <c r="L420" s="255"/>
      <c r="M420" s="461"/>
      <c r="N420" s="461"/>
      <c r="O420" s="461"/>
      <c r="P420" s="281"/>
      <c r="Q420" s="255"/>
      <c r="R420" s="461"/>
      <c r="S420" s="461"/>
      <c r="T420" s="461"/>
      <c r="U420" s="281"/>
      <c r="V420" s="1172"/>
      <c r="W420" s="255"/>
      <c r="X420" s="461"/>
      <c r="Y420" s="461"/>
      <c r="Z420" s="461"/>
      <c r="AA420" s="281"/>
      <c r="AB420" s="1041"/>
      <c r="AC420" s="255"/>
      <c r="AD420" s="461"/>
      <c r="AE420" s="461"/>
      <c r="AF420" s="461"/>
      <c r="AG420" s="461"/>
      <c r="AH420" s="1047"/>
      <c r="AI420" s="1172"/>
      <c r="AJ420" s="1155"/>
      <c r="AK420" s="1155"/>
      <c r="AL420" s="1083"/>
      <c r="AM420" s="1084"/>
      <c r="AN420" s="1084"/>
      <c r="AO420" s="1084"/>
      <c r="AP420" s="1085"/>
      <c r="AQ420" s="259"/>
      <c r="AR420" s="466"/>
      <c r="AS420" s="283"/>
      <c r="AT420" s="1155"/>
      <c r="AU420" s="1155"/>
      <c r="AV420" s="1155"/>
      <c r="AW420" s="1155"/>
      <c r="AX420" s="1155"/>
      <c r="AY420" s="1155"/>
      <c r="AZ420" s="1155"/>
      <c r="BA420" s="1155"/>
      <c r="BB420" s="1155"/>
      <c r="BC420" s="1155"/>
      <c r="BD420" s="1155"/>
      <c r="BE420" s="1155"/>
      <c r="BF420" s="1155"/>
      <c r="BG420" s="1155"/>
      <c r="BH420" s="1155"/>
      <c r="BI420" s="1155"/>
      <c r="BJ420" s="1155"/>
      <c r="BK420" s="1155"/>
      <c r="BL420" s="1155"/>
      <c r="BM420" s="1155"/>
      <c r="BN420" s="1155"/>
      <c r="BO420" s="1155"/>
      <c r="BP420" s="1155"/>
      <c r="BQ420" s="1155"/>
      <c r="BR420" s="1155"/>
      <c r="BS420" s="1155"/>
    </row>
    <row r="421" spans="5:71" s="474" customFormat="1">
      <c r="E421" s="4109"/>
      <c r="F421" s="431" t="s">
        <v>558</v>
      </c>
      <c r="G421" s="1083"/>
      <c r="H421" s="1084"/>
      <c r="I421" s="1084"/>
      <c r="J421" s="1084"/>
      <c r="K421" s="1085"/>
      <c r="L421" s="255"/>
      <c r="M421" s="461">
        <v>1129754.45</v>
      </c>
      <c r="N421" s="461"/>
      <c r="O421" s="461"/>
      <c r="P421" s="281"/>
      <c r="Q421" s="255"/>
      <c r="R421" s="461"/>
      <c r="S421" s="461"/>
      <c r="T421" s="461"/>
      <c r="U421" s="281"/>
      <c r="V421" s="1172"/>
      <c r="W421" s="255"/>
      <c r="X421" s="461"/>
      <c r="Y421" s="461"/>
      <c r="Z421" s="461"/>
      <c r="AA421" s="281"/>
      <c r="AB421" s="1041"/>
      <c r="AC421" s="255"/>
      <c r="AD421" s="461"/>
      <c r="AE421" s="461"/>
      <c r="AF421" s="461"/>
      <c r="AG421" s="461"/>
      <c r="AH421" s="1047"/>
      <c r="AI421" s="1172"/>
      <c r="AJ421" s="1155"/>
      <c r="AK421" s="1155"/>
      <c r="AL421" s="1083"/>
      <c r="AM421" s="1084"/>
      <c r="AN421" s="1084"/>
      <c r="AO421" s="1084"/>
      <c r="AP421" s="1085"/>
      <c r="AQ421" s="259"/>
      <c r="AR421" s="466"/>
      <c r="AS421" s="283"/>
      <c r="AT421" s="1155"/>
      <c r="AU421" s="1155"/>
      <c r="AV421" s="1155"/>
      <c r="AW421" s="1155"/>
      <c r="AX421" s="1155"/>
      <c r="AY421" s="1155"/>
      <c r="AZ421" s="1155"/>
      <c r="BA421" s="1155"/>
      <c r="BB421" s="1155"/>
      <c r="BC421" s="1155"/>
      <c r="BD421" s="1155"/>
      <c r="BE421" s="1155"/>
      <c r="BF421" s="1155"/>
      <c r="BG421" s="1155"/>
      <c r="BH421" s="1155"/>
      <c r="BI421" s="1155"/>
      <c r="BJ421" s="1155"/>
      <c r="BK421" s="1155"/>
      <c r="BL421" s="1155"/>
      <c r="BM421" s="1155"/>
      <c r="BN421" s="1155"/>
      <c r="BO421" s="1155"/>
      <c r="BP421" s="1155"/>
      <c r="BQ421" s="1155"/>
      <c r="BR421" s="1155"/>
      <c r="BS421" s="1155"/>
    </row>
    <row r="422" spans="5:71" s="474" customFormat="1">
      <c r="E422" s="4109"/>
      <c r="F422" s="431" t="s">
        <v>559</v>
      </c>
      <c r="G422" s="1083"/>
      <c r="H422" s="1084"/>
      <c r="I422" s="1084"/>
      <c r="J422" s="1084"/>
      <c r="K422" s="1085"/>
      <c r="L422" s="255"/>
      <c r="M422" s="461"/>
      <c r="N422" s="461"/>
      <c r="O422" s="461"/>
      <c r="P422" s="281"/>
      <c r="Q422" s="255"/>
      <c r="R422" s="461"/>
      <c r="S422" s="461"/>
      <c r="T422" s="461"/>
      <c r="U422" s="281"/>
      <c r="V422" s="1172"/>
      <c r="W422" s="255"/>
      <c r="X422" s="461"/>
      <c r="Y422" s="461"/>
      <c r="Z422" s="461"/>
      <c r="AA422" s="281"/>
      <c r="AB422" s="1041"/>
      <c r="AC422" s="255"/>
      <c r="AD422" s="461"/>
      <c r="AE422" s="461"/>
      <c r="AF422" s="461"/>
      <c r="AG422" s="461"/>
      <c r="AH422" s="1047"/>
      <c r="AI422" s="1172"/>
      <c r="AJ422" s="1155"/>
      <c r="AK422" s="1155"/>
      <c r="AL422" s="1083"/>
      <c r="AM422" s="1084"/>
      <c r="AN422" s="1084"/>
      <c r="AO422" s="1084"/>
      <c r="AP422" s="1085"/>
      <c r="AQ422" s="259"/>
      <c r="AR422" s="466"/>
      <c r="AS422" s="283"/>
      <c r="AT422" s="1155"/>
      <c r="AU422" s="1155"/>
      <c r="AV422" s="1155"/>
      <c r="AW422" s="1155"/>
      <c r="AX422" s="1155"/>
      <c r="AY422" s="1155"/>
      <c r="AZ422" s="1155"/>
      <c r="BA422" s="1155"/>
      <c r="BB422" s="1155"/>
      <c r="BC422" s="1155"/>
      <c r="BD422" s="1155"/>
      <c r="BE422" s="1155"/>
      <c r="BF422" s="1155"/>
      <c r="BG422" s="1155"/>
      <c r="BH422" s="1155"/>
      <c r="BI422" s="1155"/>
      <c r="BJ422" s="1155"/>
      <c r="BK422" s="1155"/>
      <c r="BL422" s="1155"/>
      <c r="BM422" s="1155"/>
      <c r="BN422" s="1155"/>
      <c r="BO422" s="1155"/>
      <c r="BP422" s="1155"/>
      <c r="BQ422" s="1155"/>
      <c r="BR422" s="1155"/>
      <c r="BS422" s="1155"/>
    </row>
    <row r="423" spans="5:71" s="474" customFormat="1">
      <c r="E423" s="4109"/>
      <c r="F423" s="431" t="s">
        <v>578</v>
      </c>
      <c r="G423" s="1089"/>
      <c r="H423" s="1090"/>
      <c r="I423" s="1090"/>
      <c r="J423" s="1090"/>
      <c r="K423" s="1091"/>
      <c r="L423" s="259"/>
      <c r="M423" s="456"/>
      <c r="N423" s="456"/>
      <c r="O423" s="456"/>
      <c r="P423" s="457"/>
      <c r="Q423" s="207"/>
      <c r="R423" s="456"/>
      <c r="S423" s="456"/>
      <c r="T423" s="456"/>
      <c r="U423" s="457"/>
      <c r="V423" s="1172"/>
      <c r="W423" s="207"/>
      <c r="X423" s="456"/>
      <c r="Y423" s="456"/>
      <c r="Z423" s="456"/>
      <c r="AA423" s="457"/>
      <c r="AB423" s="1041"/>
      <c r="AC423" s="207"/>
      <c r="AD423" s="456"/>
      <c r="AE423" s="456"/>
      <c r="AF423" s="456"/>
      <c r="AG423" s="456"/>
      <c r="AH423" s="1048"/>
      <c r="AI423" s="1172"/>
      <c r="AJ423" s="1155"/>
      <c r="AK423" s="1155"/>
      <c r="AL423" s="1089"/>
      <c r="AM423" s="1090"/>
      <c r="AN423" s="1090"/>
      <c r="AO423" s="1090"/>
      <c r="AP423" s="1091"/>
      <c r="AQ423" s="259"/>
      <c r="AR423" s="456"/>
      <c r="AS423" s="457"/>
      <c r="AT423" s="1155"/>
      <c r="AU423" s="1155"/>
      <c r="AV423" s="1155"/>
      <c r="AW423" s="1155"/>
      <c r="AX423" s="1155"/>
      <c r="AY423" s="1155"/>
      <c r="AZ423" s="1155"/>
      <c r="BA423" s="1155"/>
      <c r="BB423" s="1155"/>
      <c r="BC423" s="1155"/>
      <c r="BD423" s="1155"/>
      <c r="BE423" s="1155"/>
      <c r="BF423" s="1155"/>
      <c r="BG423" s="1155"/>
      <c r="BH423" s="1155"/>
      <c r="BI423" s="1155"/>
      <c r="BJ423" s="1155"/>
      <c r="BK423" s="1155"/>
      <c r="BL423" s="1155"/>
      <c r="BM423" s="1155"/>
      <c r="BN423" s="1155"/>
      <c r="BO423" s="1155"/>
      <c r="BP423" s="1155"/>
      <c r="BQ423" s="1155"/>
      <c r="BR423" s="1155"/>
      <c r="BS423" s="1155"/>
    </row>
    <row r="424" spans="5:71" s="474" customFormat="1">
      <c r="E424" s="4109"/>
      <c r="F424" s="1377" t="s">
        <v>579</v>
      </c>
      <c r="G424" s="1086"/>
      <c r="H424" s="1087"/>
      <c r="I424" s="1087"/>
      <c r="J424" s="1087"/>
      <c r="K424" s="1088"/>
      <c r="L424" s="258">
        <f>SUM(L420:L423)</f>
        <v>0</v>
      </c>
      <c r="M424" s="465">
        <f t="shared" ref="M424" si="1812">SUM(M420:M423)</f>
        <v>1129754.45</v>
      </c>
      <c r="N424" s="465">
        <f t="shared" ref="N424" si="1813">SUM(N420:N423)</f>
        <v>0</v>
      </c>
      <c r="O424" s="465">
        <f t="shared" ref="O424" si="1814">SUM(O420:O423)</f>
        <v>0</v>
      </c>
      <c r="P424" s="282">
        <f t="shared" ref="P424" si="1815">SUM(P420:P423)</f>
        <v>0</v>
      </c>
      <c r="Q424" s="258">
        <f t="shared" ref="Q424" si="1816">SUM(Q420:Q423)</f>
        <v>0</v>
      </c>
      <c r="R424" s="465">
        <f t="shared" ref="R424" si="1817">SUM(R420:R423)</f>
        <v>0</v>
      </c>
      <c r="S424" s="465">
        <f t="shared" ref="S424" si="1818">SUM(S420:S423)</f>
        <v>0</v>
      </c>
      <c r="T424" s="465">
        <f t="shared" ref="T424" si="1819">SUM(T420:T423)</f>
        <v>0</v>
      </c>
      <c r="U424" s="282">
        <f t="shared" ref="U424" si="1820">SUM(U420:U423)</f>
        <v>0</v>
      </c>
      <c r="V424" s="1172"/>
      <c r="W424" s="258">
        <f t="shared" ref="W424" si="1821">SUM(W420:W423)</f>
        <v>0</v>
      </c>
      <c r="X424" s="465">
        <f t="shared" ref="X424" si="1822">SUM(X420:X423)</f>
        <v>0</v>
      </c>
      <c r="Y424" s="465">
        <f t="shared" ref="Y424" si="1823">SUM(Y420:Y423)</f>
        <v>0</v>
      </c>
      <c r="Z424" s="465">
        <f t="shared" ref="Z424" si="1824">SUM(Z420:Z423)</f>
        <v>0</v>
      </c>
      <c r="AA424" s="282">
        <f t="shared" ref="AA424" si="1825">SUM(AA420:AA423)</f>
        <v>0</v>
      </c>
      <c r="AB424" s="992"/>
      <c r="AC424" s="258">
        <f t="shared" ref="AC424" si="1826">SUM(AC420:AC423)</f>
        <v>0</v>
      </c>
      <c r="AD424" s="465">
        <f t="shared" ref="AD424" si="1827">SUM(AD420:AD423)</f>
        <v>0</v>
      </c>
      <c r="AE424" s="465">
        <f t="shared" ref="AE424" si="1828">SUM(AE420:AE423)</f>
        <v>0</v>
      </c>
      <c r="AF424" s="465">
        <f t="shared" ref="AF424" si="1829">SUM(AF420:AF423)</f>
        <v>0</v>
      </c>
      <c r="AG424" s="465">
        <f t="shared" ref="AG424" si="1830">SUM(AG420:AG423)</f>
        <v>0</v>
      </c>
      <c r="AH424" s="1049"/>
      <c r="AI424" s="1172"/>
      <c r="AJ424" s="1155"/>
      <c r="AK424" s="1155"/>
      <c r="AL424" s="1086"/>
      <c r="AM424" s="1087"/>
      <c r="AN424" s="1087"/>
      <c r="AO424" s="1087"/>
      <c r="AP424" s="1088"/>
      <c r="AQ424" s="258">
        <f>SUM(AQ421:AQ423)</f>
        <v>0</v>
      </c>
      <c r="AR424" s="465">
        <f t="shared" ref="AR424" si="1831">SUM(AR421:AR423)</f>
        <v>0</v>
      </c>
      <c r="AS424" s="282"/>
      <c r="AT424" s="1155"/>
      <c r="AU424" s="1155"/>
      <c r="AV424" s="1155"/>
      <c r="AW424" s="1155"/>
      <c r="AX424" s="1155"/>
      <c r="AY424" s="1155"/>
      <c r="AZ424" s="1155"/>
      <c r="BA424" s="1155"/>
      <c r="BB424" s="1155"/>
      <c r="BC424" s="1155"/>
      <c r="BD424" s="1155"/>
      <c r="BE424" s="1155"/>
      <c r="BF424" s="1155"/>
      <c r="BG424" s="1155"/>
      <c r="BH424" s="1155"/>
      <c r="BI424" s="1155"/>
      <c r="BJ424" s="1155"/>
      <c r="BK424" s="1155"/>
      <c r="BL424" s="1155"/>
      <c r="BM424" s="1155"/>
      <c r="BN424" s="1155"/>
      <c r="BO424" s="1155"/>
      <c r="BP424" s="1155"/>
      <c r="BQ424" s="1155"/>
      <c r="BR424" s="1155"/>
      <c r="BS424" s="1155"/>
    </row>
    <row r="425" spans="5:71" s="474" customFormat="1" ht="13.5" thickBot="1">
      <c r="E425" s="4109"/>
      <c r="F425" s="1035" t="s">
        <v>583</v>
      </c>
      <c r="G425" s="255"/>
      <c r="H425" s="461"/>
      <c r="I425" s="461"/>
      <c r="J425" s="461"/>
      <c r="K425" s="281"/>
      <c r="L425" s="207"/>
      <c r="M425" s="456"/>
      <c r="N425" s="456"/>
      <c r="O425" s="456"/>
      <c r="P425" s="457"/>
      <c r="Q425" s="207"/>
      <c r="R425" s="456"/>
      <c r="S425" s="456"/>
      <c r="T425" s="456"/>
      <c r="U425" s="457"/>
      <c r="V425" s="1172"/>
      <c r="W425" s="207"/>
      <c r="X425" s="461"/>
      <c r="Y425" s="461"/>
      <c r="Z425" s="461"/>
      <c r="AA425" s="281"/>
      <c r="AB425" s="1041"/>
      <c r="AC425" s="207"/>
      <c r="AD425" s="456"/>
      <c r="AE425" s="456"/>
      <c r="AF425" s="456"/>
      <c r="AG425" s="456"/>
      <c r="AH425" s="1048"/>
      <c r="AI425" s="1172"/>
      <c r="AJ425" s="1155"/>
      <c r="AK425" s="1155"/>
      <c r="AL425" s="259"/>
      <c r="AM425" s="466"/>
      <c r="AN425" s="466"/>
      <c r="AO425" s="466"/>
      <c r="AP425" s="283"/>
      <c r="AQ425" s="207"/>
      <c r="AR425" s="456"/>
      <c r="AS425" s="457"/>
      <c r="AT425" s="1155"/>
      <c r="AU425" s="1155"/>
      <c r="AV425" s="1155"/>
      <c r="AW425" s="1155"/>
      <c r="AX425" s="1155"/>
      <c r="AY425" s="1155"/>
      <c r="AZ425" s="1155"/>
      <c r="BA425" s="1155"/>
      <c r="BB425" s="1155"/>
      <c r="BC425" s="1155"/>
      <c r="BD425" s="1155"/>
      <c r="BE425" s="1155"/>
      <c r="BF425" s="1155"/>
      <c r="BG425" s="1155"/>
      <c r="BH425" s="1155"/>
      <c r="BI425" s="1155"/>
      <c r="BJ425" s="1155"/>
      <c r="BK425" s="1155"/>
      <c r="BL425" s="1155"/>
      <c r="BM425" s="1155"/>
      <c r="BN425" s="1155"/>
      <c r="BO425" s="1155"/>
      <c r="BP425" s="1155"/>
      <c r="BQ425" s="1155"/>
      <c r="BR425" s="1155"/>
      <c r="BS425" s="1155"/>
    </row>
    <row r="426" spans="5:71" s="474" customFormat="1" ht="13.5" thickBot="1">
      <c r="E426" s="4109"/>
      <c r="F426" s="1380" t="s">
        <v>581</v>
      </c>
      <c r="G426" s="1599"/>
      <c r="H426" s="1600"/>
      <c r="I426" s="1600"/>
      <c r="J426" s="1600"/>
      <c r="K426" s="1601"/>
      <c r="L426" s="1599"/>
      <c r="M426" s="1600"/>
      <c r="N426" s="1600"/>
      <c r="O426" s="1600"/>
      <c r="P426" s="1601"/>
      <c r="Q426" s="1599"/>
      <c r="R426" s="1600"/>
      <c r="S426" s="1600"/>
      <c r="T426" s="1600"/>
      <c r="U426" s="1601"/>
      <c r="V426" s="1172"/>
      <c r="W426" s="1614"/>
      <c r="X426" s="1615"/>
      <c r="Y426" s="1615"/>
      <c r="Z426" s="1615"/>
      <c r="AA426" s="1615"/>
      <c r="AB426" s="1615"/>
      <c r="AC426" s="1615"/>
      <c r="AD426" s="1615"/>
      <c r="AE426" s="1615"/>
      <c r="AF426" s="1615"/>
      <c r="AG426" s="1615"/>
      <c r="AH426" s="1616"/>
      <c r="AI426" s="1172"/>
      <c r="AJ426" s="1155"/>
      <c r="AK426" s="1155"/>
      <c r="AL426" s="259"/>
      <c r="AM426" s="466"/>
      <c r="AN426" s="466"/>
      <c r="AO426" s="466"/>
      <c r="AP426" s="283"/>
      <c r="AQ426" s="259"/>
      <c r="AR426" s="466"/>
      <c r="AS426" s="283"/>
      <c r="AT426" s="1155"/>
      <c r="AU426" s="1155"/>
      <c r="AV426" s="1155"/>
      <c r="AW426" s="1155"/>
      <c r="AX426" s="1155"/>
      <c r="AY426" s="1155"/>
      <c r="AZ426" s="1155"/>
      <c r="BA426" s="1155"/>
      <c r="BB426" s="1155"/>
      <c r="BC426" s="1155"/>
      <c r="BD426" s="1155"/>
      <c r="BE426" s="1155"/>
      <c r="BF426" s="1155"/>
      <c r="BG426" s="1155"/>
      <c r="BH426" s="1155"/>
      <c r="BI426" s="1155"/>
      <c r="BJ426" s="1155"/>
      <c r="BK426" s="1155"/>
      <c r="BL426" s="1155"/>
      <c r="BM426" s="1155"/>
      <c r="BN426" s="1155"/>
      <c r="BO426" s="1155"/>
      <c r="BP426" s="1155"/>
      <c r="BQ426" s="1155"/>
      <c r="BR426" s="1155"/>
      <c r="BS426" s="1155"/>
    </row>
    <row r="427" spans="5:71" s="474" customFormat="1">
      <c r="E427" s="4109"/>
      <c r="F427" s="1378" t="s">
        <v>584</v>
      </c>
      <c r="G427" s="1050">
        <v>0</v>
      </c>
      <c r="H427" s="1051">
        <v>0</v>
      </c>
      <c r="I427" s="1051">
        <v>0</v>
      </c>
      <c r="J427" s="1051">
        <v>0</v>
      </c>
      <c r="K427" s="1052">
        <v>0</v>
      </c>
      <c r="L427" s="1050">
        <f>SUM(L424:L426)</f>
        <v>0</v>
      </c>
      <c r="M427" s="1051">
        <f t="shared" ref="M427" si="1832">SUM(M424:M426)</f>
        <v>1129754.45</v>
      </c>
      <c r="N427" s="1051">
        <f t="shared" ref="N427" si="1833">SUM(N424:N426)</f>
        <v>0</v>
      </c>
      <c r="O427" s="1051">
        <f t="shared" ref="O427" si="1834">SUM(O424:O426)</f>
        <v>0</v>
      </c>
      <c r="P427" s="1052">
        <f t="shared" ref="P427" si="1835">SUM(P424:P426)</f>
        <v>0</v>
      </c>
      <c r="Q427" s="1050">
        <f t="shared" ref="Q427" si="1836">SUM(Q424:Q426)</f>
        <v>0</v>
      </c>
      <c r="R427" s="1051">
        <f t="shared" ref="R427" si="1837">SUM(R424:R426)</f>
        <v>0</v>
      </c>
      <c r="S427" s="1051">
        <f t="shared" ref="S427" si="1838">SUM(S424:S426)</f>
        <v>0</v>
      </c>
      <c r="T427" s="1051">
        <f t="shared" ref="T427" si="1839">SUM(T424:T426)</f>
        <v>0</v>
      </c>
      <c r="U427" s="1052">
        <f t="shared" ref="U427" si="1840">SUM(U424:U426)</f>
        <v>0</v>
      </c>
      <c r="V427" s="1172"/>
      <c r="W427" s="1050">
        <f t="shared" ref="W427" si="1841">SUM(W424:W426)</f>
        <v>0</v>
      </c>
      <c r="X427" s="1051">
        <f t="shared" ref="X427" si="1842">SUM(X424:X426)</f>
        <v>0</v>
      </c>
      <c r="Y427" s="1051">
        <f t="shared" ref="Y427" si="1843">SUM(Y424:Y426)</f>
        <v>0</v>
      </c>
      <c r="Z427" s="1051">
        <f t="shared" ref="Z427" si="1844">SUM(Z424:Z426)</f>
        <v>0</v>
      </c>
      <c r="AA427" s="1052">
        <f t="shared" ref="AA427" si="1845">SUM(AA424:AA426)</f>
        <v>0</v>
      </c>
      <c r="AB427" s="1053"/>
      <c r="AC427" s="1050">
        <f t="shared" ref="AC427" si="1846">SUM(AC424:AC426)</f>
        <v>0</v>
      </c>
      <c r="AD427" s="1051">
        <f t="shared" ref="AD427" si="1847">SUM(AD424:AD426)</f>
        <v>0</v>
      </c>
      <c r="AE427" s="1051">
        <f t="shared" ref="AE427" si="1848">SUM(AE424:AE426)</f>
        <v>0</v>
      </c>
      <c r="AF427" s="1051">
        <f t="shared" ref="AF427" si="1849">SUM(AF424:AF426)</f>
        <v>0</v>
      </c>
      <c r="AG427" s="1051">
        <f t="shared" ref="AG427" si="1850">SUM(AG424:AG426)</f>
        <v>0</v>
      </c>
      <c r="AH427" s="1054"/>
      <c r="AI427" s="1172"/>
      <c r="AJ427" s="130"/>
      <c r="AK427" s="130"/>
      <c r="AL427" s="1050">
        <f t="shared" ref="AL427:AR427" si="1851">SUM(AL425:AL426)</f>
        <v>0</v>
      </c>
      <c r="AM427" s="1051">
        <f t="shared" si="1851"/>
        <v>0</v>
      </c>
      <c r="AN427" s="1051">
        <f t="shared" si="1851"/>
        <v>0</v>
      </c>
      <c r="AO427" s="1051">
        <f t="shared" si="1851"/>
        <v>0</v>
      </c>
      <c r="AP427" s="1052">
        <f t="shared" si="1851"/>
        <v>0</v>
      </c>
      <c r="AQ427" s="1050">
        <f t="shared" si="1851"/>
        <v>0</v>
      </c>
      <c r="AR427" s="1051">
        <f t="shared" si="1851"/>
        <v>0</v>
      </c>
      <c r="AS427" s="1052"/>
      <c r="AT427" s="130"/>
      <c r="AU427" s="130"/>
      <c r="AV427" s="130"/>
      <c r="AW427" s="130"/>
      <c r="AX427" s="130"/>
      <c r="AY427" s="130"/>
      <c r="AZ427" s="130"/>
      <c r="BA427" s="130"/>
      <c r="BB427" s="130"/>
      <c r="BC427" s="130"/>
      <c r="BD427" s="130"/>
      <c r="BE427" s="130"/>
      <c r="BF427" s="130"/>
      <c r="BG427" s="130"/>
      <c r="BH427" s="130"/>
      <c r="BI427" s="130"/>
      <c r="BJ427" s="130"/>
      <c r="BK427" s="130"/>
      <c r="BL427" s="130"/>
      <c r="BM427" s="130"/>
      <c r="BN427" s="130"/>
      <c r="BO427" s="130"/>
      <c r="BP427" s="130"/>
      <c r="BQ427" s="130"/>
      <c r="BR427" s="130"/>
      <c r="BS427" s="1155"/>
    </row>
    <row r="428" spans="5:71" s="474" customFormat="1">
      <c r="E428" s="4109"/>
      <c r="F428" s="1389" t="s">
        <v>35</v>
      </c>
      <c r="G428" s="255"/>
      <c r="H428" s="461"/>
      <c r="I428" s="461"/>
      <c r="J428" s="461"/>
      <c r="K428" s="281"/>
      <c r="L428" s="255"/>
      <c r="M428" s="461"/>
      <c r="N428" s="461"/>
      <c r="O428" s="461"/>
      <c r="P428" s="281"/>
      <c r="Q428" s="255"/>
      <c r="R428" s="461"/>
      <c r="S428" s="461"/>
      <c r="T428" s="461"/>
      <c r="U428" s="281"/>
      <c r="V428" s="1172"/>
      <c r="W428" s="255"/>
      <c r="X428" s="461"/>
      <c r="Y428" s="461"/>
      <c r="Z428" s="461"/>
      <c r="AA428" s="281"/>
      <c r="AB428" s="1004"/>
      <c r="AC428" s="255"/>
      <c r="AD428" s="461"/>
      <c r="AE428" s="461"/>
      <c r="AF428" s="461"/>
      <c r="AG428" s="461"/>
      <c r="AH428" s="1047"/>
      <c r="AI428" s="1172"/>
      <c r="AJ428" s="1155"/>
      <c r="AK428" s="1155"/>
      <c r="AL428" s="259"/>
      <c r="AM428" s="466"/>
      <c r="AN428" s="466"/>
      <c r="AO428" s="466"/>
      <c r="AP428" s="283"/>
      <c r="AQ428" s="259"/>
      <c r="AR428" s="466"/>
      <c r="AS428" s="283"/>
      <c r="AT428" s="1155"/>
      <c r="AU428" s="1155"/>
      <c r="AV428" s="1155"/>
      <c r="AW428" s="1155"/>
      <c r="AX428" s="1155"/>
      <c r="AY428" s="1155"/>
      <c r="AZ428" s="1155"/>
      <c r="BA428" s="1155"/>
      <c r="BB428" s="1155"/>
      <c r="BC428" s="1155"/>
      <c r="BD428" s="1155"/>
      <c r="BE428" s="1155"/>
      <c r="BF428" s="1155"/>
      <c r="BG428" s="1155"/>
      <c r="BH428" s="1155"/>
      <c r="BI428" s="1155"/>
      <c r="BJ428" s="1155"/>
      <c r="BK428" s="1155"/>
      <c r="BL428" s="1155"/>
      <c r="BM428" s="1155"/>
      <c r="BN428" s="1155"/>
      <c r="BO428" s="1155"/>
      <c r="BP428" s="1155"/>
      <c r="BQ428" s="1155"/>
      <c r="BR428" s="1155"/>
      <c r="BS428" s="1155"/>
    </row>
    <row r="429" spans="5:71" s="474" customFormat="1" ht="13.5" thickBot="1">
      <c r="E429" s="4109"/>
      <c r="F429" s="1379" t="s">
        <v>585</v>
      </c>
      <c r="G429" s="1094">
        <v>0</v>
      </c>
      <c r="H429" s="1095">
        <v>0</v>
      </c>
      <c r="I429" s="1095">
        <v>0</v>
      </c>
      <c r="J429" s="1095">
        <v>0</v>
      </c>
      <c r="K429" s="1096">
        <v>0</v>
      </c>
      <c r="L429" s="1094">
        <f>L427-L428</f>
        <v>0</v>
      </c>
      <c r="M429" s="1095">
        <f t="shared" ref="M429" si="1852">M427-M428</f>
        <v>1129754.45</v>
      </c>
      <c r="N429" s="1095">
        <f t="shared" ref="N429" si="1853">N427-N428</f>
        <v>0</v>
      </c>
      <c r="O429" s="1095">
        <f t="shared" ref="O429" si="1854">O427-O428</f>
        <v>0</v>
      </c>
      <c r="P429" s="1096">
        <f t="shared" ref="P429" si="1855">P427-P428</f>
        <v>0</v>
      </c>
      <c r="Q429" s="1567">
        <f t="shared" ref="Q429" si="1856">Q427-Q428</f>
        <v>0</v>
      </c>
      <c r="R429" s="1056">
        <f t="shared" ref="R429" si="1857">R427-R428</f>
        <v>0</v>
      </c>
      <c r="S429" s="1056">
        <f t="shared" ref="S429" si="1858">S427-S428</f>
        <v>0</v>
      </c>
      <c r="T429" s="1056">
        <f t="shared" ref="T429" si="1859">T427-T428</f>
        <v>0</v>
      </c>
      <c r="U429" s="1057">
        <f t="shared" ref="U429" si="1860">U427-U428</f>
        <v>0</v>
      </c>
      <c r="V429" s="1172"/>
      <c r="W429" s="1055">
        <f t="shared" ref="W429" si="1861">W427-W428</f>
        <v>0</v>
      </c>
      <c r="X429" s="1056">
        <f t="shared" ref="X429" si="1862">X427-X428</f>
        <v>0</v>
      </c>
      <c r="Y429" s="1056">
        <f t="shared" ref="Y429" si="1863">Y427-Y428</f>
        <v>0</v>
      </c>
      <c r="Z429" s="1056">
        <f t="shared" ref="Z429" si="1864">Z427-Z428</f>
        <v>0</v>
      </c>
      <c r="AA429" s="1057">
        <f t="shared" ref="AA429" si="1865">AA427-AA428</f>
        <v>0</v>
      </c>
      <c r="AB429" s="1075"/>
      <c r="AC429" s="1055">
        <f t="shared" ref="AC429" si="1866">AC427-AC428</f>
        <v>0</v>
      </c>
      <c r="AD429" s="1056">
        <f t="shared" ref="AD429" si="1867">AD427-AD428</f>
        <v>0</v>
      </c>
      <c r="AE429" s="1056">
        <f t="shared" ref="AE429" si="1868">AE427-AE428</f>
        <v>0</v>
      </c>
      <c r="AF429" s="1056">
        <f t="shared" ref="AF429" si="1869">AF427-AF428</f>
        <v>0</v>
      </c>
      <c r="AG429" s="1056">
        <f t="shared" ref="AG429" si="1870">AG427-AG428</f>
        <v>0</v>
      </c>
      <c r="AH429" s="1059"/>
      <c r="AI429" s="1172"/>
      <c r="AJ429" s="1155"/>
      <c r="AK429" s="1155"/>
      <c r="AL429" s="1094">
        <f>AL427-AL428</f>
        <v>0</v>
      </c>
      <c r="AM429" s="1095">
        <f t="shared" ref="AM429:AR429" si="1871">AM427-AM428</f>
        <v>0</v>
      </c>
      <c r="AN429" s="1095">
        <f t="shared" si="1871"/>
        <v>0</v>
      </c>
      <c r="AO429" s="1095">
        <f t="shared" si="1871"/>
        <v>0</v>
      </c>
      <c r="AP429" s="1096">
        <f t="shared" si="1871"/>
        <v>0</v>
      </c>
      <c r="AQ429" s="1094">
        <f t="shared" si="1871"/>
        <v>0</v>
      </c>
      <c r="AR429" s="1095">
        <f t="shared" si="1871"/>
        <v>0</v>
      </c>
      <c r="AS429" s="1096"/>
      <c r="AT429" s="1155"/>
      <c r="AU429" s="1155"/>
      <c r="AV429" s="1155"/>
      <c r="AW429" s="1155"/>
      <c r="AX429" s="1155"/>
      <c r="AY429" s="1155"/>
      <c r="AZ429" s="1155"/>
      <c r="BA429" s="1155"/>
      <c r="BB429" s="1155"/>
      <c r="BC429" s="1155"/>
      <c r="BD429" s="1155"/>
      <c r="BE429" s="1155"/>
      <c r="BF429" s="1155"/>
      <c r="BG429" s="1155"/>
      <c r="BH429" s="1155"/>
      <c r="BI429" s="1155"/>
      <c r="BJ429" s="1155"/>
      <c r="BK429" s="1155"/>
      <c r="BL429" s="1155"/>
      <c r="BM429" s="1155"/>
      <c r="BN429" s="1155"/>
      <c r="BO429" s="1155"/>
      <c r="BP429" s="1155"/>
      <c r="BQ429" s="1155"/>
      <c r="BR429" s="1155"/>
      <c r="BS429" s="1155"/>
    </row>
    <row r="430" spans="5:71" s="474" customFormat="1" ht="12.75" customHeight="1">
      <c r="E430" s="4110" t="s">
        <v>1501</v>
      </c>
      <c r="F430" s="433" t="s">
        <v>111</v>
      </c>
      <c r="G430" s="1077"/>
      <c r="H430" s="1078"/>
      <c r="I430" s="1078"/>
      <c r="J430" s="1078"/>
      <c r="K430" s="1079"/>
      <c r="L430" s="1566"/>
      <c r="M430" s="421"/>
      <c r="N430" s="421"/>
      <c r="O430" s="421"/>
      <c r="P430" s="1044"/>
      <c r="Q430" s="1080"/>
      <c r="R430" s="1081"/>
      <c r="S430" s="1081"/>
      <c r="T430" s="1081"/>
      <c r="U430" s="1082"/>
      <c r="V430" s="1172"/>
      <c r="W430" s="1043"/>
      <c r="X430" s="421"/>
      <c r="Y430" s="421"/>
      <c r="Z430" s="421"/>
      <c r="AA430" s="1044"/>
      <c r="AB430" s="1045"/>
      <c r="AC430" s="1043"/>
      <c r="AD430" s="421"/>
      <c r="AE430" s="421"/>
      <c r="AF430" s="421"/>
      <c r="AG430" s="421"/>
      <c r="AH430" s="1046"/>
      <c r="AI430" s="1172"/>
      <c r="AJ430" s="1155"/>
      <c r="AK430" s="1155"/>
      <c r="AL430" s="1077"/>
      <c r="AM430" s="1078"/>
      <c r="AN430" s="1078"/>
      <c r="AO430" s="1078"/>
      <c r="AP430" s="1079"/>
      <c r="AQ430" s="1566"/>
      <c r="AR430" s="421"/>
      <c r="AS430" s="1044"/>
      <c r="AT430" s="1155"/>
      <c r="AU430" s="1155"/>
      <c r="AV430" s="1155"/>
      <c r="AW430" s="1155"/>
      <c r="AX430" s="1155"/>
      <c r="AY430" s="1155"/>
      <c r="AZ430" s="1155"/>
      <c r="BA430" s="1155"/>
      <c r="BB430" s="1155"/>
      <c r="BC430" s="1155"/>
      <c r="BD430" s="1155"/>
      <c r="BE430" s="1155"/>
      <c r="BF430" s="1155"/>
      <c r="BG430" s="1155"/>
      <c r="BH430" s="1155"/>
      <c r="BI430" s="1155"/>
      <c r="BJ430" s="1155"/>
      <c r="BK430" s="1155"/>
      <c r="BL430" s="1155"/>
      <c r="BM430" s="1155"/>
      <c r="BN430" s="1155"/>
      <c r="BO430" s="1155"/>
      <c r="BP430" s="1155"/>
      <c r="BQ430" s="1155"/>
      <c r="BR430" s="1155"/>
      <c r="BS430" s="1155"/>
    </row>
    <row r="431" spans="5:71" s="474" customFormat="1" ht="12.75" customHeight="1">
      <c r="E431" s="4109"/>
      <c r="F431" s="1374" t="s">
        <v>588</v>
      </c>
      <c r="G431" s="1083"/>
      <c r="H431" s="1084"/>
      <c r="I431" s="1084"/>
      <c r="J431" s="1084"/>
      <c r="K431" s="1085"/>
      <c r="L431" s="255"/>
      <c r="M431" s="461">
        <v>9878</v>
      </c>
      <c r="N431" s="461"/>
      <c r="O431" s="461"/>
      <c r="P431" s="281"/>
      <c r="Q431" s="956"/>
      <c r="R431" s="461"/>
      <c r="S431" s="461"/>
      <c r="T431" s="461"/>
      <c r="U431" s="281"/>
      <c r="V431" s="1172"/>
      <c r="W431" s="255"/>
      <c r="X431" s="461"/>
      <c r="Y431" s="461"/>
      <c r="Z431" s="461"/>
      <c r="AA431" s="281"/>
      <c r="AB431" s="1041"/>
      <c r="AC431" s="255"/>
      <c r="AD431" s="461"/>
      <c r="AE431" s="461"/>
      <c r="AF431" s="461"/>
      <c r="AG431" s="461"/>
      <c r="AH431" s="1047"/>
      <c r="AI431" s="1172"/>
      <c r="AJ431" s="1155"/>
      <c r="AK431" s="1155"/>
      <c r="AL431" s="1083"/>
      <c r="AM431" s="1084"/>
      <c r="AN431" s="1084"/>
      <c r="AO431" s="1084"/>
      <c r="AP431" s="1085"/>
      <c r="AQ431" s="259"/>
      <c r="AR431" s="466"/>
      <c r="AS431" s="283"/>
      <c r="AT431" s="1155"/>
      <c r="AU431" s="1155"/>
      <c r="AV431" s="1155"/>
      <c r="AW431" s="1155"/>
      <c r="AX431" s="1155"/>
      <c r="AY431" s="1155"/>
      <c r="AZ431" s="1155"/>
      <c r="BA431" s="1155"/>
      <c r="BB431" s="1155"/>
      <c r="BC431" s="1155"/>
      <c r="BD431" s="1155"/>
      <c r="BE431" s="1155"/>
      <c r="BF431" s="1155"/>
      <c r="BG431" s="1155"/>
      <c r="BH431" s="1155"/>
      <c r="BI431" s="1155"/>
      <c r="BJ431" s="1155"/>
      <c r="BK431" s="1155"/>
      <c r="BL431" s="1155"/>
      <c r="BM431" s="1155"/>
      <c r="BN431" s="1155"/>
      <c r="BO431" s="1155"/>
      <c r="BP431" s="1155"/>
      <c r="BQ431" s="1155"/>
      <c r="BR431" s="1155"/>
      <c r="BS431" s="1155"/>
    </row>
    <row r="432" spans="5:71" s="474" customFormat="1" ht="12.75" customHeight="1">
      <c r="E432" s="4109"/>
      <c r="F432" s="1374" t="s">
        <v>589</v>
      </c>
      <c r="G432" s="1083"/>
      <c r="H432" s="1084"/>
      <c r="I432" s="1084"/>
      <c r="J432" s="1084"/>
      <c r="K432" s="1085"/>
      <c r="L432" s="255"/>
      <c r="M432" s="461"/>
      <c r="N432" s="461"/>
      <c r="O432" s="461"/>
      <c r="P432" s="281"/>
      <c r="Q432" s="956"/>
      <c r="R432" s="461"/>
      <c r="S432" s="461"/>
      <c r="T432" s="461"/>
      <c r="U432" s="281"/>
      <c r="V432" s="1172"/>
      <c r="W432" s="255"/>
      <c r="X432" s="461"/>
      <c r="Y432" s="461"/>
      <c r="Z432" s="461"/>
      <c r="AA432" s="281"/>
      <c r="AB432" s="1041"/>
      <c r="AC432" s="255"/>
      <c r="AD432" s="461"/>
      <c r="AE432" s="461"/>
      <c r="AF432" s="461"/>
      <c r="AG432" s="461"/>
      <c r="AH432" s="1047"/>
      <c r="AI432" s="1172"/>
      <c r="AJ432" s="1155"/>
      <c r="AK432" s="1155"/>
      <c r="AL432" s="1083"/>
      <c r="AM432" s="1084"/>
      <c r="AN432" s="1084"/>
      <c r="AO432" s="1084"/>
      <c r="AP432" s="1085"/>
      <c r="AQ432" s="259"/>
      <c r="AR432" s="466"/>
      <c r="AS432" s="283"/>
      <c r="AT432" s="1155"/>
      <c r="AU432" s="1155"/>
      <c r="AV432" s="1155"/>
      <c r="AW432" s="1155"/>
      <c r="AX432" s="1155"/>
      <c r="AY432" s="1155"/>
      <c r="AZ432" s="1155"/>
      <c r="BA432" s="1155"/>
      <c r="BB432" s="1155"/>
      <c r="BC432" s="1155"/>
      <c r="BD432" s="1155"/>
      <c r="BE432" s="1155"/>
      <c r="BF432" s="1155"/>
      <c r="BG432" s="1155"/>
      <c r="BH432" s="1155"/>
      <c r="BI432" s="1155"/>
      <c r="BJ432" s="1155"/>
      <c r="BK432" s="1155"/>
      <c r="BL432" s="1155"/>
      <c r="BM432" s="1155"/>
      <c r="BN432" s="1155"/>
      <c r="BO432" s="1155"/>
      <c r="BP432" s="1155"/>
      <c r="BQ432" s="1155"/>
      <c r="BR432" s="1155"/>
      <c r="BS432" s="1155"/>
    </row>
    <row r="433" spans="5:71" s="474" customFormat="1" ht="12.75" customHeight="1">
      <c r="E433" s="4109"/>
      <c r="F433" s="1374" t="s">
        <v>590</v>
      </c>
      <c r="G433" s="1083"/>
      <c r="H433" s="1084"/>
      <c r="I433" s="1084"/>
      <c r="J433" s="1084"/>
      <c r="K433" s="1085"/>
      <c r="L433" s="255"/>
      <c r="M433" s="461"/>
      <c r="N433" s="461"/>
      <c r="O433" s="461"/>
      <c r="P433" s="281"/>
      <c r="Q433" s="956"/>
      <c r="R433" s="461"/>
      <c r="S433" s="461"/>
      <c r="T433" s="461"/>
      <c r="U433" s="281"/>
      <c r="V433" s="1172"/>
      <c r="W433" s="255"/>
      <c r="X433" s="461"/>
      <c r="Y433" s="461"/>
      <c r="Z433" s="461"/>
      <c r="AA433" s="281"/>
      <c r="AB433" s="1041"/>
      <c r="AC433" s="255"/>
      <c r="AD433" s="461"/>
      <c r="AE433" s="461"/>
      <c r="AF433" s="461"/>
      <c r="AG433" s="461"/>
      <c r="AH433" s="1047"/>
      <c r="AI433" s="1172"/>
      <c r="AJ433" s="1155"/>
      <c r="AK433" s="1155"/>
      <c r="AL433" s="1083"/>
      <c r="AM433" s="1084"/>
      <c r="AN433" s="1084"/>
      <c r="AO433" s="1084"/>
      <c r="AP433" s="1085"/>
      <c r="AQ433" s="259"/>
      <c r="AR433" s="466"/>
      <c r="AS433" s="283"/>
      <c r="AT433" s="1155"/>
      <c r="AU433" s="1155"/>
      <c r="AV433" s="1155"/>
      <c r="AW433" s="1155"/>
      <c r="AX433" s="1155"/>
      <c r="AY433" s="1155"/>
      <c r="AZ433" s="1155"/>
      <c r="BA433" s="1155"/>
      <c r="BB433" s="1155"/>
      <c r="BC433" s="1155"/>
      <c r="BD433" s="1155"/>
      <c r="BE433" s="1155"/>
      <c r="BF433" s="1155"/>
      <c r="BG433" s="1155"/>
      <c r="BH433" s="1155"/>
      <c r="BI433" s="1155"/>
      <c r="BJ433" s="1155"/>
      <c r="BK433" s="1155"/>
      <c r="BL433" s="1155"/>
      <c r="BM433" s="1155"/>
      <c r="BN433" s="1155"/>
      <c r="BO433" s="1155"/>
      <c r="BP433" s="1155"/>
      <c r="BQ433" s="1155"/>
      <c r="BR433" s="1155"/>
      <c r="BS433" s="1155"/>
    </row>
    <row r="434" spans="5:71" s="474" customFormat="1" ht="12.75" customHeight="1">
      <c r="E434" s="4109"/>
      <c r="F434" s="1374" t="s">
        <v>591</v>
      </c>
      <c r="G434" s="1083"/>
      <c r="H434" s="1084"/>
      <c r="I434" s="1084"/>
      <c r="J434" s="1084"/>
      <c r="K434" s="1085"/>
      <c r="L434" s="255"/>
      <c r="M434" s="461"/>
      <c r="N434" s="461"/>
      <c r="O434" s="461"/>
      <c r="P434" s="281"/>
      <c r="Q434" s="956"/>
      <c r="R434" s="461"/>
      <c r="S434" s="461"/>
      <c r="T434" s="461"/>
      <c r="U434" s="281"/>
      <c r="V434" s="1172"/>
      <c r="W434" s="255"/>
      <c r="X434" s="461"/>
      <c r="Y434" s="461"/>
      <c r="Z434" s="461"/>
      <c r="AA434" s="281"/>
      <c r="AB434" s="1041"/>
      <c r="AC434" s="255"/>
      <c r="AD434" s="461"/>
      <c r="AE434" s="461"/>
      <c r="AF434" s="461"/>
      <c r="AG434" s="461"/>
      <c r="AH434" s="1047"/>
      <c r="AI434" s="1172"/>
      <c r="AJ434" s="1155"/>
      <c r="AK434" s="1155"/>
      <c r="AL434" s="1083"/>
      <c r="AM434" s="1084"/>
      <c r="AN434" s="1084"/>
      <c r="AO434" s="1084"/>
      <c r="AP434" s="1085"/>
      <c r="AQ434" s="259"/>
      <c r="AR434" s="466"/>
      <c r="AS434" s="283"/>
      <c r="AT434" s="1155"/>
      <c r="AU434" s="1155"/>
      <c r="AV434" s="1155"/>
      <c r="AW434" s="1155"/>
      <c r="AX434" s="1155"/>
      <c r="AY434" s="1155"/>
      <c r="AZ434" s="1155"/>
      <c r="BA434" s="1155"/>
      <c r="BB434" s="1155"/>
      <c r="BC434" s="1155"/>
      <c r="BD434" s="1155"/>
      <c r="BE434" s="1155"/>
      <c r="BF434" s="1155"/>
      <c r="BG434" s="1155"/>
      <c r="BH434" s="1155"/>
      <c r="BI434" s="1155"/>
      <c r="BJ434" s="1155"/>
      <c r="BK434" s="1155"/>
      <c r="BL434" s="1155"/>
      <c r="BM434" s="1155"/>
      <c r="BN434" s="1155"/>
      <c r="BO434" s="1155"/>
      <c r="BP434" s="1155"/>
      <c r="BQ434" s="1155"/>
      <c r="BR434" s="1155"/>
      <c r="BS434" s="1155"/>
    </row>
    <row r="435" spans="5:71" s="474" customFormat="1" ht="12.75" customHeight="1">
      <c r="E435" s="4109"/>
      <c r="F435" s="1374" t="s">
        <v>592</v>
      </c>
      <c r="G435" s="1083"/>
      <c r="H435" s="1084"/>
      <c r="I435" s="1084"/>
      <c r="J435" s="1084"/>
      <c r="K435" s="1085"/>
      <c r="L435" s="207"/>
      <c r="M435" s="456"/>
      <c r="N435" s="456"/>
      <c r="O435" s="456"/>
      <c r="P435" s="457"/>
      <c r="Q435" s="224"/>
      <c r="R435" s="456"/>
      <c r="S435" s="456"/>
      <c r="T435" s="456"/>
      <c r="U435" s="457"/>
      <c r="V435" s="1172"/>
      <c r="W435" s="207">
        <v>0</v>
      </c>
      <c r="X435" s="456">
        <v>0</v>
      </c>
      <c r="Y435" s="456">
        <v>0</v>
      </c>
      <c r="Z435" s="456">
        <v>0</v>
      </c>
      <c r="AA435" s="457">
        <v>0</v>
      </c>
      <c r="AB435" s="1041"/>
      <c r="AC435" s="207">
        <v>0</v>
      </c>
      <c r="AD435" s="456">
        <v>0</v>
      </c>
      <c r="AE435" s="456">
        <v>0</v>
      </c>
      <c r="AF435" s="456">
        <v>0</v>
      </c>
      <c r="AG435" s="456">
        <v>0</v>
      </c>
      <c r="AH435" s="1048"/>
      <c r="AI435" s="1172"/>
      <c r="AJ435" s="1155"/>
      <c r="AK435" s="1155"/>
      <c r="AL435" s="1083"/>
      <c r="AM435" s="1084"/>
      <c r="AN435" s="1084"/>
      <c r="AO435" s="1084"/>
      <c r="AP435" s="1085"/>
      <c r="AQ435" s="207">
        <f>SUM(AQ430:AQ434)</f>
        <v>0</v>
      </c>
      <c r="AR435" s="456">
        <f t="shared" ref="AR435" si="1872">SUM(AR430:AR434)</f>
        <v>0</v>
      </c>
      <c r="AS435" s="457"/>
      <c r="AT435" s="1155"/>
      <c r="AU435" s="1155"/>
      <c r="AV435" s="1155"/>
      <c r="AW435" s="1155"/>
      <c r="AX435" s="1155"/>
      <c r="AY435" s="1155"/>
      <c r="AZ435" s="1155"/>
      <c r="BA435" s="1155"/>
      <c r="BB435" s="1155"/>
      <c r="BC435" s="1155"/>
      <c r="BD435" s="1155"/>
      <c r="BE435" s="1155"/>
      <c r="BF435" s="1155"/>
      <c r="BG435" s="1155"/>
      <c r="BH435" s="1155"/>
      <c r="BI435" s="1155"/>
      <c r="BJ435" s="1155"/>
      <c r="BK435" s="1155"/>
      <c r="BL435" s="1155"/>
      <c r="BM435" s="1155"/>
      <c r="BN435" s="1155"/>
      <c r="BO435" s="1155"/>
      <c r="BP435" s="1155"/>
      <c r="BQ435" s="1155"/>
      <c r="BR435" s="1155"/>
      <c r="BS435" s="1155"/>
    </row>
    <row r="436" spans="5:71" s="474" customFormat="1">
      <c r="E436" s="4109"/>
      <c r="F436" s="1375" t="s">
        <v>587</v>
      </c>
      <c r="G436" s="1086"/>
      <c r="H436" s="1087"/>
      <c r="I436" s="1087"/>
      <c r="J436" s="1087"/>
      <c r="K436" s="1088"/>
      <c r="L436" s="258">
        <f>SUM(L431:L435)</f>
        <v>0</v>
      </c>
      <c r="M436" s="465">
        <f t="shared" ref="M436" si="1873">SUM(M431:M435)</f>
        <v>9878</v>
      </c>
      <c r="N436" s="465">
        <f t="shared" ref="N436" si="1874">SUM(N431:N435)</f>
        <v>0</v>
      </c>
      <c r="O436" s="465">
        <f t="shared" ref="O436" si="1875">SUM(O431:O435)</f>
        <v>0</v>
      </c>
      <c r="P436" s="282">
        <f t="shared" ref="P436" si="1876">SUM(P431:P435)</f>
        <v>0</v>
      </c>
      <c r="Q436" s="965">
        <f t="shared" ref="Q436" si="1877">SUM(Q431:Q435)</f>
        <v>0</v>
      </c>
      <c r="R436" s="465">
        <f t="shared" ref="R436" si="1878">SUM(R431:R435)</f>
        <v>0</v>
      </c>
      <c r="S436" s="465">
        <f t="shared" ref="S436" si="1879">SUM(S431:S435)</f>
        <v>0</v>
      </c>
      <c r="T436" s="465">
        <f t="shared" ref="T436" si="1880">SUM(T431:T435)</f>
        <v>0</v>
      </c>
      <c r="U436" s="282">
        <f t="shared" ref="U436" si="1881">SUM(U431:U435)</f>
        <v>0</v>
      </c>
      <c r="V436" s="1172"/>
      <c r="W436" s="258">
        <f t="shared" ref="W436" si="1882">SUM(W431:W435)</f>
        <v>0</v>
      </c>
      <c r="X436" s="465">
        <f t="shared" ref="X436" si="1883">SUM(X431:X435)</f>
        <v>0</v>
      </c>
      <c r="Y436" s="465">
        <f t="shared" ref="Y436" si="1884">SUM(Y431:Y435)</f>
        <v>0</v>
      </c>
      <c r="Z436" s="465">
        <f t="shared" ref="Z436" si="1885">SUM(Z431:Z435)</f>
        <v>0</v>
      </c>
      <c r="AA436" s="282">
        <f t="shared" ref="AA436" si="1886">SUM(AA431:AA435)</f>
        <v>0</v>
      </c>
      <c r="AB436" s="992"/>
      <c r="AC436" s="258">
        <f t="shared" ref="AC436" si="1887">SUM(AC431:AC435)</f>
        <v>0</v>
      </c>
      <c r="AD436" s="465">
        <f t="shared" ref="AD436" si="1888">SUM(AD431:AD435)</f>
        <v>0</v>
      </c>
      <c r="AE436" s="465">
        <f t="shared" ref="AE436" si="1889">SUM(AE431:AE435)</f>
        <v>0</v>
      </c>
      <c r="AF436" s="465">
        <f t="shared" ref="AF436" si="1890">SUM(AF431:AF435)</f>
        <v>0</v>
      </c>
      <c r="AG436" s="465">
        <f t="shared" ref="AG436" si="1891">SUM(AG431:AG435)</f>
        <v>0</v>
      </c>
      <c r="AH436" s="1049"/>
      <c r="AI436" s="1172"/>
      <c r="AJ436" s="1155"/>
      <c r="AK436" s="1155"/>
      <c r="AL436" s="1086"/>
      <c r="AM436" s="1087"/>
      <c r="AN436" s="1087"/>
      <c r="AO436" s="1087"/>
      <c r="AP436" s="1088"/>
      <c r="AQ436" s="258"/>
      <c r="AR436" s="465"/>
      <c r="AS436" s="282"/>
      <c r="AT436" s="1155"/>
      <c r="AU436" s="1155"/>
      <c r="AV436" s="1155"/>
      <c r="AW436" s="1155"/>
      <c r="AX436" s="1155"/>
      <c r="AY436" s="1155"/>
      <c r="AZ436" s="1155"/>
      <c r="BA436" s="1155"/>
      <c r="BB436" s="1155"/>
      <c r="BC436" s="1155"/>
      <c r="BD436" s="1155"/>
      <c r="BE436" s="1155"/>
      <c r="BF436" s="1155"/>
      <c r="BG436" s="1155"/>
      <c r="BH436" s="1155"/>
      <c r="BI436" s="1155"/>
      <c r="BJ436" s="1155"/>
      <c r="BK436" s="1155"/>
      <c r="BL436" s="1155"/>
      <c r="BM436" s="1155"/>
      <c r="BN436" s="1155"/>
      <c r="BO436" s="1155"/>
      <c r="BP436" s="1155"/>
      <c r="BQ436" s="1155"/>
      <c r="BR436" s="1155"/>
      <c r="BS436" s="1155"/>
    </row>
    <row r="437" spans="5:71" s="474" customFormat="1">
      <c r="E437" s="4109"/>
      <c r="F437" s="1376" t="s">
        <v>593</v>
      </c>
      <c r="G437" s="1083"/>
      <c r="H437" s="1084"/>
      <c r="I437" s="1084"/>
      <c r="J437" s="1084"/>
      <c r="K437" s="1085"/>
      <c r="L437" s="255"/>
      <c r="M437" s="461"/>
      <c r="N437" s="461"/>
      <c r="O437" s="461"/>
      <c r="P437" s="281"/>
      <c r="Q437" s="956"/>
      <c r="R437" s="461"/>
      <c r="S437" s="461"/>
      <c r="T437" s="461"/>
      <c r="U437" s="281"/>
      <c r="V437" s="1172"/>
      <c r="W437" s="255"/>
      <c r="X437" s="461"/>
      <c r="Y437" s="461"/>
      <c r="Z437" s="461"/>
      <c r="AA437" s="281"/>
      <c r="AB437" s="1041"/>
      <c r="AC437" s="255"/>
      <c r="AD437" s="461"/>
      <c r="AE437" s="461"/>
      <c r="AF437" s="461"/>
      <c r="AG437" s="461"/>
      <c r="AH437" s="1047"/>
      <c r="AI437" s="1172"/>
      <c r="AJ437" s="1155"/>
      <c r="AK437" s="1155"/>
      <c r="AL437" s="1083"/>
      <c r="AM437" s="1084"/>
      <c r="AN437" s="1084"/>
      <c r="AO437" s="1084"/>
      <c r="AP437" s="1085"/>
      <c r="AQ437" s="259"/>
      <c r="AR437" s="466"/>
      <c r="AS437" s="283"/>
      <c r="AT437" s="1155"/>
      <c r="AU437" s="1155"/>
      <c r="AV437" s="1155"/>
      <c r="AW437" s="1155"/>
      <c r="AX437" s="1155"/>
      <c r="AY437" s="1155"/>
      <c r="AZ437" s="1155"/>
      <c r="BA437" s="1155"/>
      <c r="BB437" s="1155"/>
      <c r="BC437" s="1155"/>
      <c r="BD437" s="1155"/>
      <c r="BE437" s="1155"/>
      <c r="BF437" s="1155"/>
      <c r="BG437" s="1155"/>
      <c r="BH437" s="1155"/>
      <c r="BI437" s="1155"/>
      <c r="BJ437" s="1155"/>
      <c r="BK437" s="1155"/>
      <c r="BL437" s="1155"/>
      <c r="BM437" s="1155"/>
      <c r="BN437" s="1155"/>
      <c r="BO437" s="1155"/>
      <c r="BP437" s="1155"/>
      <c r="BQ437" s="1155"/>
      <c r="BR437" s="1155"/>
      <c r="BS437" s="1155"/>
    </row>
    <row r="438" spans="5:71" s="474" customFormat="1">
      <c r="E438" s="4109"/>
      <c r="F438" s="431" t="s">
        <v>558</v>
      </c>
      <c r="G438" s="1083"/>
      <c r="H438" s="1084"/>
      <c r="I438" s="1084"/>
      <c r="J438" s="1084"/>
      <c r="K438" s="1085"/>
      <c r="L438" s="255"/>
      <c r="M438" s="461">
        <v>2136512.8199999998</v>
      </c>
      <c r="N438" s="461"/>
      <c r="O438" s="461"/>
      <c r="P438" s="281"/>
      <c r="Q438" s="956"/>
      <c r="R438" s="461"/>
      <c r="S438" s="461"/>
      <c r="T438" s="461"/>
      <c r="U438" s="281"/>
      <c r="V438" s="1172"/>
      <c r="W438" s="255"/>
      <c r="X438" s="461"/>
      <c r="Y438" s="461"/>
      <c r="Z438" s="461"/>
      <c r="AA438" s="281"/>
      <c r="AB438" s="1041"/>
      <c r="AC438" s="255"/>
      <c r="AD438" s="461"/>
      <c r="AE438" s="461"/>
      <c r="AF438" s="461"/>
      <c r="AG438" s="461"/>
      <c r="AH438" s="1047"/>
      <c r="AI438" s="1172"/>
      <c r="AJ438" s="1155"/>
      <c r="AK438" s="1155"/>
      <c r="AL438" s="1083"/>
      <c r="AM438" s="1084"/>
      <c r="AN438" s="1084"/>
      <c r="AO438" s="1084"/>
      <c r="AP438" s="1085"/>
      <c r="AQ438" s="259"/>
      <c r="AR438" s="466"/>
      <c r="AS438" s="283"/>
      <c r="AT438" s="1155"/>
      <c r="AU438" s="1155"/>
      <c r="AV438" s="1155"/>
      <c r="AW438" s="1155"/>
      <c r="AX438" s="1155"/>
      <c r="AY438" s="1155"/>
      <c r="AZ438" s="1155"/>
      <c r="BA438" s="1155"/>
      <c r="BB438" s="1155"/>
      <c r="BC438" s="1155"/>
      <c r="BD438" s="1155"/>
      <c r="BE438" s="1155"/>
      <c r="BF438" s="1155"/>
      <c r="BG438" s="1155"/>
      <c r="BH438" s="1155"/>
      <c r="BI438" s="1155"/>
      <c r="BJ438" s="1155"/>
      <c r="BK438" s="1155"/>
      <c r="BL438" s="1155"/>
      <c r="BM438" s="1155"/>
      <c r="BN438" s="1155"/>
      <c r="BO438" s="1155"/>
      <c r="BP438" s="1155"/>
      <c r="BQ438" s="1155"/>
      <c r="BR438" s="1155"/>
      <c r="BS438" s="1155"/>
    </row>
    <row r="439" spans="5:71" s="474" customFormat="1">
      <c r="E439" s="4109"/>
      <c r="F439" s="431" t="s">
        <v>559</v>
      </c>
      <c r="G439" s="1083"/>
      <c r="H439" s="1084"/>
      <c r="I439" s="1084"/>
      <c r="J439" s="1084"/>
      <c r="K439" s="1085"/>
      <c r="L439" s="255"/>
      <c r="M439" s="461"/>
      <c r="N439" s="461"/>
      <c r="O439" s="461"/>
      <c r="P439" s="281"/>
      <c r="Q439" s="956"/>
      <c r="R439" s="461"/>
      <c r="S439" s="461"/>
      <c r="T439" s="461"/>
      <c r="U439" s="281"/>
      <c r="V439" s="1172"/>
      <c r="W439" s="255"/>
      <c r="X439" s="461"/>
      <c r="Y439" s="461"/>
      <c r="Z439" s="461"/>
      <c r="AA439" s="281"/>
      <c r="AB439" s="1041"/>
      <c r="AC439" s="255"/>
      <c r="AD439" s="461"/>
      <c r="AE439" s="461"/>
      <c r="AF439" s="461"/>
      <c r="AG439" s="461"/>
      <c r="AH439" s="1047"/>
      <c r="AI439" s="1172"/>
      <c r="AJ439" s="1155"/>
      <c r="AK439" s="1155"/>
      <c r="AL439" s="1083"/>
      <c r="AM439" s="1084"/>
      <c r="AN439" s="1084"/>
      <c r="AO439" s="1084"/>
      <c r="AP439" s="1085"/>
      <c r="AQ439" s="259"/>
      <c r="AR439" s="466"/>
      <c r="AS439" s="283"/>
      <c r="AT439" s="1155"/>
      <c r="AU439" s="1155"/>
      <c r="AV439" s="1155"/>
      <c r="AW439" s="1155"/>
      <c r="AX439" s="1155"/>
      <c r="AY439" s="1155"/>
      <c r="AZ439" s="1155"/>
      <c r="BA439" s="1155"/>
      <c r="BB439" s="1155"/>
      <c r="BC439" s="1155"/>
      <c r="BD439" s="1155"/>
      <c r="BE439" s="1155"/>
      <c r="BF439" s="1155"/>
      <c r="BG439" s="1155"/>
      <c r="BH439" s="1155"/>
      <c r="BI439" s="1155"/>
      <c r="BJ439" s="1155"/>
      <c r="BK439" s="1155"/>
      <c r="BL439" s="1155"/>
      <c r="BM439" s="1155"/>
      <c r="BN439" s="1155"/>
      <c r="BO439" s="1155"/>
      <c r="BP439" s="1155"/>
      <c r="BQ439" s="1155"/>
      <c r="BR439" s="1155"/>
      <c r="BS439" s="1155"/>
    </row>
    <row r="440" spans="5:71" s="474" customFormat="1">
      <c r="E440" s="4109"/>
      <c r="F440" s="431" t="s">
        <v>578</v>
      </c>
      <c r="G440" s="1089"/>
      <c r="H440" s="1090"/>
      <c r="I440" s="1090"/>
      <c r="J440" s="1090"/>
      <c r="K440" s="1091"/>
      <c r="L440" s="259"/>
      <c r="M440" s="456"/>
      <c r="N440" s="456"/>
      <c r="O440" s="456"/>
      <c r="P440" s="457"/>
      <c r="Q440" s="224"/>
      <c r="R440" s="456"/>
      <c r="S440" s="456"/>
      <c r="T440" s="456"/>
      <c r="U440" s="457"/>
      <c r="V440" s="1172"/>
      <c r="W440" s="207"/>
      <c r="X440" s="456"/>
      <c r="Y440" s="456"/>
      <c r="Z440" s="456"/>
      <c r="AA440" s="457"/>
      <c r="AB440" s="1041"/>
      <c r="AC440" s="207"/>
      <c r="AD440" s="456"/>
      <c r="AE440" s="456"/>
      <c r="AF440" s="456"/>
      <c r="AG440" s="456"/>
      <c r="AH440" s="1048"/>
      <c r="AI440" s="1172"/>
      <c r="AJ440" s="1155"/>
      <c r="AK440" s="1155"/>
      <c r="AL440" s="1089"/>
      <c r="AM440" s="1090"/>
      <c r="AN440" s="1090"/>
      <c r="AO440" s="1090"/>
      <c r="AP440" s="1091"/>
      <c r="AQ440" s="259"/>
      <c r="AR440" s="456"/>
      <c r="AS440" s="457"/>
      <c r="AT440" s="1155"/>
      <c r="AU440" s="1155"/>
      <c r="AV440" s="1155"/>
      <c r="AW440" s="1155"/>
      <c r="AX440" s="1155"/>
      <c r="AY440" s="1155"/>
      <c r="AZ440" s="1155"/>
      <c r="BA440" s="1155"/>
      <c r="BB440" s="1155"/>
      <c r="BC440" s="1155"/>
      <c r="BD440" s="1155"/>
      <c r="BE440" s="1155"/>
      <c r="BF440" s="1155"/>
      <c r="BG440" s="1155"/>
      <c r="BH440" s="1155"/>
      <c r="BI440" s="1155"/>
      <c r="BJ440" s="1155"/>
      <c r="BK440" s="1155"/>
      <c r="BL440" s="1155"/>
      <c r="BM440" s="1155"/>
      <c r="BN440" s="1155"/>
      <c r="BO440" s="1155"/>
      <c r="BP440" s="1155"/>
      <c r="BQ440" s="1155"/>
      <c r="BR440" s="1155"/>
      <c r="BS440" s="1155"/>
    </row>
    <row r="441" spans="5:71" s="474" customFormat="1">
      <c r="E441" s="4109"/>
      <c r="F441" s="1377" t="s">
        <v>579</v>
      </c>
      <c r="G441" s="1086"/>
      <c r="H441" s="1087"/>
      <c r="I441" s="1087"/>
      <c r="J441" s="1087"/>
      <c r="K441" s="1088"/>
      <c r="L441" s="258">
        <f>SUM(L437:L440)</f>
        <v>0</v>
      </c>
      <c r="M441" s="465">
        <f t="shared" ref="M441" si="1892">SUM(M437:M440)</f>
        <v>2136512.8199999998</v>
      </c>
      <c r="N441" s="465">
        <f t="shared" ref="N441" si="1893">SUM(N437:N440)</f>
        <v>0</v>
      </c>
      <c r="O441" s="465">
        <f t="shared" ref="O441" si="1894">SUM(O437:O440)</f>
        <v>0</v>
      </c>
      <c r="P441" s="282">
        <f t="shared" ref="P441" si="1895">SUM(P437:P440)</f>
        <v>0</v>
      </c>
      <c r="Q441" s="965">
        <f t="shared" ref="Q441" si="1896">SUM(Q437:Q440)</f>
        <v>0</v>
      </c>
      <c r="R441" s="465">
        <f t="shared" ref="R441" si="1897">SUM(R437:R440)</f>
        <v>0</v>
      </c>
      <c r="S441" s="465">
        <f t="shared" ref="S441" si="1898">SUM(S437:S440)</f>
        <v>0</v>
      </c>
      <c r="T441" s="465">
        <f t="shared" ref="T441" si="1899">SUM(T437:T440)</f>
        <v>0</v>
      </c>
      <c r="U441" s="282">
        <f t="shared" ref="U441" si="1900">SUM(U437:U440)</f>
        <v>0</v>
      </c>
      <c r="V441" s="1172"/>
      <c r="W441" s="258">
        <f t="shared" ref="W441" si="1901">SUM(W437:W440)</f>
        <v>0</v>
      </c>
      <c r="X441" s="465">
        <f t="shared" ref="X441" si="1902">SUM(X437:X440)</f>
        <v>0</v>
      </c>
      <c r="Y441" s="465">
        <f t="shared" ref="Y441" si="1903">SUM(Y437:Y440)</f>
        <v>0</v>
      </c>
      <c r="Z441" s="465">
        <f t="shared" ref="Z441" si="1904">SUM(Z437:Z440)</f>
        <v>0</v>
      </c>
      <c r="AA441" s="282">
        <f t="shared" ref="AA441" si="1905">SUM(AA437:AA440)</f>
        <v>0</v>
      </c>
      <c r="AB441" s="992"/>
      <c r="AC441" s="258">
        <f t="shared" ref="AC441" si="1906">SUM(AC437:AC440)</f>
        <v>0</v>
      </c>
      <c r="AD441" s="465">
        <f t="shared" ref="AD441" si="1907">SUM(AD437:AD440)</f>
        <v>0</v>
      </c>
      <c r="AE441" s="465">
        <f t="shared" ref="AE441" si="1908">SUM(AE437:AE440)</f>
        <v>0</v>
      </c>
      <c r="AF441" s="465">
        <f t="shared" ref="AF441" si="1909">SUM(AF437:AF440)</f>
        <v>0</v>
      </c>
      <c r="AG441" s="465">
        <f t="shared" ref="AG441" si="1910">SUM(AG437:AG440)</f>
        <v>0</v>
      </c>
      <c r="AH441" s="1049"/>
      <c r="AI441" s="1172"/>
      <c r="AJ441" s="1155"/>
      <c r="AK441" s="1155"/>
      <c r="AL441" s="1086"/>
      <c r="AM441" s="1087"/>
      <c r="AN441" s="1087"/>
      <c r="AO441" s="1087"/>
      <c r="AP441" s="1088"/>
      <c r="AQ441" s="258">
        <f>SUM(AQ438:AQ440)</f>
        <v>0</v>
      </c>
      <c r="AR441" s="465">
        <f t="shared" ref="AR441" si="1911">SUM(AR438:AR440)</f>
        <v>0</v>
      </c>
      <c r="AS441" s="282"/>
      <c r="AT441" s="1155"/>
      <c r="AU441" s="1155"/>
      <c r="AV441" s="1155"/>
      <c r="AW441" s="1155"/>
      <c r="AX441" s="1155"/>
      <c r="AY441" s="1155"/>
      <c r="AZ441" s="1155"/>
      <c r="BA441" s="1155"/>
      <c r="BB441" s="1155"/>
      <c r="BC441" s="1155"/>
      <c r="BD441" s="1155"/>
      <c r="BE441" s="1155"/>
      <c r="BF441" s="1155"/>
      <c r="BG441" s="1155"/>
      <c r="BH441" s="1155"/>
      <c r="BI441" s="1155"/>
      <c r="BJ441" s="1155"/>
      <c r="BK441" s="1155"/>
      <c r="BL441" s="1155"/>
      <c r="BM441" s="1155"/>
      <c r="BN441" s="1155"/>
      <c r="BO441" s="1155"/>
      <c r="BP441" s="1155"/>
      <c r="BQ441" s="1155"/>
      <c r="BR441" s="1155"/>
      <c r="BS441" s="1155"/>
    </row>
    <row r="442" spans="5:71" s="474" customFormat="1" ht="13.5" thickBot="1">
      <c r="E442" s="4109"/>
      <c r="F442" s="1035" t="s">
        <v>583</v>
      </c>
      <c r="G442" s="255"/>
      <c r="H442" s="461"/>
      <c r="I442" s="461"/>
      <c r="J442" s="461"/>
      <c r="K442" s="281"/>
      <c r="L442" s="207"/>
      <c r="M442" s="456"/>
      <c r="N442" s="456"/>
      <c r="O442" s="456"/>
      <c r="P442" s="457"/>
      <c r="Q442" s="224"/>
      <c r="R442" s="456"/>
      <c r="S442" s="456"/>
      <c r="T442" s="456"/>
      <c r="U442" s="457"/>
      <c r="V442" s="1172"/>
      <c r="W442" s="1603"/>
      <c r="X442" s="1604"/>
      <c r="Y442" s="1604"/>
      <c r="Z442" s="1604"/>
      <c r="AA442" s="1605"/>
      <c r="AB442" s="1606"/>
      <c r="AC442" s="1603"/>
      <c r="AD442" s="1607"/>
      <c r="AE442" s="1607"/>
      <c r="AF442" s="1607"/>
      <c r="AG442" s="1607"/>
      <c r="AH442" s="1608"/>
      <c r="AI442" s="1172"/>
      <c r="AJ442" s="1155"/>
      <c r="AK442" s="1155"/>
      <c r="AL442" s="259"/>
      <c r="AM442" s="466"/>
      <c r="AN442" s="466"/>
      <c r="AO442" s="466"/>
      <c r="AP442" s="283"/>
      <c r="AQ442" s="259"/>
      <c r="AR442" s="466"/>
      <c r="AS442" s="283"/>
      <c r="AT442" s="1155"/>
      <c r="AU442" s="1155"/>
      <c r="AV442" s="1155"/>
      <c r="AW442" s="1155"/>
      <c r="AX442" s="1155"/>
      <c r="AY442" s="1155"/>
      <c r="AZ442" s="1155"/>
      <c r="BA442" s="1155"/>
      <c r="BB442" s="1155"/>
      <c r="BC442" s="1155"/>
      <c r="BD442" s="1155"/>
      <c r="BE442" s="1155"/>
      <c r="BF442" s="1155"/>
      <c r="BG442" s="1155"/>
      <c r="BH442" s="1155"/>
      <c r="BI442" s="1155"/>
      <c r="BJ442" s="1155"/>
      <c r="BK442" s="1155"/>
      <c r="BL442" s="1155"/>
      <c r="BM442" s="1155"/>
      <c r="BN442" s="1155"/>
      <c r="BO442" s="1155"/>
      <c r="BP442" s="1155"/>
      <c r="BQ442" s="1155"/>
      <c r="BR442" s="1155"/>
      <c r="BS442" s="1155"/>
    </row>
    <row r="443" spans="5:71" s="474" customFormat="1" ht="13.5" thickBot="1">
      <c r="E443" s="4109"/>
      <c r="F443" s="1380" t="s">
        <v>581</v>
      </c>
      <c r="G443" s="1599"/>
      <c r="H443" s="1600"/>
      <c r="I443" s="1600"/>
      <c r="J443" s="1600"/>
      <c r="K443" s="1601"/>
      <c r="L443" s="1599"/>
      <c r="M443" s="1600"/>
      <c r="N443" s="1600"/>
      <c r="O443" s="1600"/>
      <c r="P443" s="1601"/>
      <c r="Q443" s="1602"/>
      <c r="R443" s="1600"/>
      <c r="S443" s="1600"/>
      <c r="T443" s="1600"/>
      <c r="U443" s="1601"/>
      <c r="V443" s="1172"/>
      <c r="W443" s="1614"/>
      <c r="X443" s="1615"/>
      <c r="Y443" s="1615"/>
      <c r="Z443" s="1615"/>
      <c r="AA443" s="1615"/>
      <c r="AB443" s="1615"/>
      <c r="AC443" s="1615"/>
      <c r="AD443" s="1615"/>
      <c r="AE443" s="1615"/>
      <c r="AF443" s="1615"/>
      <c r="AG443" s="1615"/>
      <c r="AH443" s="1616"/>
      <c r="AI443" s="1172"/>
      <c r="AJ443" s="1155"/>
      <c r="AK443" s="1155"/>
      <c r="AL443" s="259"/>
      <c r="AM443" s="466"/>
      <c r="AN443" s="466"/>
      <c r="AO443" s="466"/>
      <c r="AP443" s="283"/>
      <c r="AQ443" s="259"/>
      <c r="AR443" s="466"/>
      <c r="AS443" s="283"/>
      <c r="AT443" s="1155"/>
      <c r="AU443" s="1155"/>
      <c r="AV443" s="1155"/>
      <c r="AW443" s="1155"/>
      <c r="AX443" s="1155"/>
      <c r="AY443" s="1155"/>
      <c r="AZ443" s="1155"/>
      <c r="BA443" s="1155"/>
      <c r="BB443" s="1155"/>
      <c r="BC443" s="1155"/>
      <c r="BD443" s="1155"/>
      <c r="BE443" s="1155"/>
      <c r="BF443" s="1155"/>
      <c r="BG443" s="1155"/>
      <c r="BH443" s="1155"/>
      <c r="BI443" s="1155"/>
      <c r="BJ443" s="1155"/>
      <c r="BK443" s="1155"/>
      <c r="BL443" s="1155"/>
      <c r="BM443" s="1155"/>
      <c r="BN443" s="1155"/>
      <c r="BO443" s="1155"/>
      <c r="BP443" s="1155"/>
      <c r="BQ443" s="1155"/>
      <c r="BR443" s="1155"/>
      <c r="BS443" s="1155"/>
    </row>
    <row r="444" spans="5:71" s="474" customFormat="1">
      <c r="E444" s="4109"/>
      <c r="F444" s="1378" t="s">
        <v>584</v>
      </c>
      <c r="G444" s="1050">
        <v>0</v>
      </c>
      <c r="H444" s="1051">
        <v>0</v>
      </c>
      <c r="I444" s="1051">
        <v>0</v>
      </c>
      <c r="J444" s="1051">
        <v>0</v>
      </c>
      <c r="K444" s="1052">
        <v>0</v>
      </c>
      <c r="L444" s="1050">
        <f>SUM(L441:L443)</f>
        <v>0</v>
      </c>
      <c r="M444" s="1051">
        <f t="shared" ref="M444" si="1912">SUM(M441:M443)</f>
        <v>2136512.8199999998</v>
      </c>
      <c r="N444" s="1051">
        <f t="shared" ref="N444" si="1913">SUM(N441:N443)</f>
        <v>0</v>
      </c>
      <c r="O444" s="1051">
        <f t="shared" ref="O444" si="1914">SUM(O441:O443)</f>
        <v>0</v>
      </c>
      <c r="P444" s="1052">
        <f t="shared" ref="P444" si="1915">SUM(P441:P443)</f>
        <v>0</v>
      </c>
      <c r="Q444" s="1092">
        <f t="shared" ref="Q444" si="1916">SUM(Q441:Q443)</f>
        <v>0</v>
      </c>
      <c r="R444" s="1051">
        <f t="shared" ref="R444" si="1917">SUM(R441:R443)</f>
        <v>0</v>
      </c>
      <c r="S444" s="1051">
        <f t="shared" ref="S444" si="1918">SUM(S441:S443)</f>
        <v>0</v>
      </c>
      <c r="T444" s="1051">
        <f t="shared" ref="T444" si="1919">SUM(T441:T443)</f>
        <v>0</v>
      </c>
      <c r="U444" s="1052">
        <f t="shared" ref="U444" si="1920">SUM(U441:U443)</f>
        <v>0</v>
      </c>
      <c r="V444" s="1172"/>
      <c r="W444" s="1609">
        <f t="shared" ref="W444" si="1921">SUM(W441:W443)</f>
        <v>0</v>
      </c>
      <c r="X444" s="1610">
        <f t="shared" ref="X444" si="1922">SUM(X441:X443)</f>
        <v>0</v>
      </c>
      <c r="Y444" s="1610">
        <f t="shared" ref="Y444" si="1923">SUM(Y441:Y443)</f>
        <v>0</v>
      </c>
      <c r="Z444" s="1610">
        <f t="shared" ref="Z444" si="1924">SUM(Z441:Z443)</f>
        <v>0</v>
      </c>
      <c r="AA444" s="1611">
        <f t="shared" ref="AA444" si="1925">SUM(AA441:AA443)</f>
        <v>0</v>
      </c>
      <c r="AB444" s="1612"/>
      <c r="AC444" s="1609">
        <f t="shared" ref="AC444" si="1926">SUM(AC441:AC443)</f>
        <v>0</v>
      </c>
      <c r="AD444" s="1610">
        <f t="shared" ref="AD444" si="1927">SUM(AD441:AD443)</f>
        <v>0</v>
      </c>
      <c r="AE444" s="1610">
        <f t="shared" ref="AE444" si="1928">SUM(AE441:AE443)</f>
        <v>0</v>
      </c>
      <c r="AF444" s="1610">
        <f t="shared" ref="AF444" si="1929">SUM(AF441:AF443)</f>
        <v>0</v>
      </c>
      <c r="AG444" s="1610">
        <f t="shared" ref="AG444" si="1930">SUM(AG441:AG443)</f>
        <v>0</v>
      </c>
      <c r="AH444" s="1613"/>
      <c r="AI444" s="1172"/>
      <c r="AJ444" s="130"/>
      <c r="AK444" s="130"/>
      <c r="AL444" s="1050">
        <f t="shared" ref="AL444:AR444" si="1931">SUM(AL442:AL443)</f>
        <v>0</v>
      </c>
      <c r="AM444" s="1051">
        <f t="shared" si="1931"/>
        <v>0</v>
      </c>
      <c r="AN444" s="1051">
        <f t="shared" si="1931"/>
        <v>0</v>
      </c>
      <c r="AO444" s="1051">
        <f t="shared" si="1931"/>
        <v>0</v>
      </c>
      <c r="AP444" s="1052">
        <f t="shared" si="1931"/>
        <v>0</v>
      </c>
      <c r="AQ444" s="1050">
        <f t="shared" si="1931"/>
        <v>0</v>
      </c>
      <c r="AR444" s="1051">
        <f t="shared" si="1931"/>
        <v>0</v>
      </c>
      <c r="AS444" s="1052"/>
      <c r="AT444" s="130"/>
      <c r="AU444" s="130"/>
      <c r="AV444" s="130"/>
      <c r="AW444" s="130"/>
      <c r="AX444" s="130"/>
      <c r="AY444" s="130"/>
      <c r="AZ444" s="130"/>
      <c r="BA444" s="130"/>
      <c r="BB444" s="130"/>
      <c r="BC444" s="130"/>
      <c r="BD444" s="130"/>
      <c r="BE444" s="130"/>
      <c r="BF444" s="130"/>
      <c r="BG444" s="130"/>
      <c r="BH444" s="130"/>
      <c r="BI444" s="130"/>
      <c r="BJ444" s="130"/>
      <c r="BK444" s="130"/>
      <c r="BL444" s="130"/>
      <c r="BM444" s="130"/>
      <c r="BN444" s="130"/>
      <c r="BO444" s="130"/>
      <c r="BP444" s="130"/>
      <c r="BQ444" s="130"/>
      <c r="BR444" s="130"/>
      <c r="BS444" s="1155"/>
    </row>
    <row r="445" spans="5:71" s="474" customFormat="1">
      <c r="E445" s="4109"/>
      <c r="F445" s="1389" t="s">
        <v>35</v>
      </c>
      <c r="G445" s="255"/>
      <c r="H445" s="461"/>
      <c r="I445" s="461"/>
      <c r="J445" s="461"/>
      <c r="K445" s="281"/>
      <c r="L445" s="255"/>
      <c r="M445" s="461"/>
      <c r="N445" s="461"/>
      <c r="O445" s="461"/>
      <c r="P445" s="281"/>
      <c r="Q445" s="956"/>
      <c r="R445" s="461"/>
      <c r="S445" s="461"/>
      <c r="T445" s="461"/>
      <c r="U445" s="281"/>
      <c r="V445" s="1172"/>
      <c r="W445" s="255"/>
      <c r="X445" s="461"/>
      <c r="Y445" s="461"/>
      <c r="Z445" s="461"/>
      <c r="AA445" s="281"/>
      <c r="AB445" s="1004"/>
      <c r="AC445" s="255"/>
      <c r="AD445" s="461"/>
      <c r="AE445" s="461"/>
      <c r="AF445" s="461"/>
      <c r="AG445" s="461"/>
      <c r="AH445" s="1047"/>
      <c r="AI445" s="1172"/>
      <c r="AJ445" s="1155"/>
      <c r="AK445" s="1155"/>
      <c r="AL445" s="259"/>
      <c r="AM445" s="466"/>
      <c r="AN445" s="466"/>
      <c r="AO445" s="466"/>
      <c r="AP445" s="283"/>
      <c r="AQ445" s="259"/>
      <c r="AR445" s="466"/>
      <c r="AS445" s="283"/>
      <c r="AT445" s="1155"/>
      <c r="AU445" s="1155"/>
      <c r="AV445" s="1155"/>
      <c r="AW445" s="1155"/>
      <c r="AX445" s="1155"/>
      <c r="AY445" s="1155"/>
      <c r="AZ445" s="1155"/>
      <c r="BA445" s="1155"/>
      <c r="BB445" s="1155"/>
      <c r="BC445" s="1155"/>
      <c r="BD445" s="1155"/>
      <c r="BE445" s="1155"/>
      <c r="BF445" s="1155"/>
      <c r="BG445" s="1155"/>
      <c r="BH445" s="1155"/>
      <c r="BI445" s="1155"/>
      <c r="BJ445" s="1155"/>
      <c r="BK445" s="1155"/>
      <c r="BL445" s="1155"/>
      <c r="BM445" s="1155"/>
      <c r="BN445" s="1155"/>
      <c r="BO445" s="1155"/>
      <c r="BP445" s="1155"/>
      <c r="BQ445" s="1155"/>
      <c r="BR445" s="1155"/>
      <c r="BS445" s="1155"/>
    </row>
    <row r="446" spans="5:71" s="474" customFormat="1" ht="13.5" thickBot="1">
      <c r="E446" s="4109"/>
      <c r="F446" s="1387" t="s">
        <v>585</v>
      </c>
      <c r="G446" s="1055">
        <v>0</v>
      </c>
      <c r="H446" s="1056">
        <v>0</v>
      </c>
      <c r="I446" s="1056">
        <v>0</v>
      </c>
      <c r="J446" s="1056">
        <v>0</v>
      </c>
      <c r="K446" s="1057">
        <v>0</v>
      </c>
      <c r="L446" s="1567">
        <f>L444-L445</f>
        <v>0</v>
      </c>
      <c r="M446" s="1056">
        <f t="shared" ref="M446" si="1932">M444-M445</f>
        <v>2136512.8199999998</v>
      </c>
      <c r="N446" s="1056">
        <f t="shared" ref="N446" si="1933">N444-N445</f>
        <v>0</v>
      </c>
      <c r="O446" s="1056">
        <f t="shared" ref="O446" si="1934">O444-O445</f>
        <v>0</v>
      </c>
      <c r="P446" s="1057">
        <f t="shared" ref="P446" si="1935">P444-P445</f>
        <v>0</v>
      </c>
      <c r="Q446" s="1093">
        <f t="shared" ref="Q446" si="1936">Q444-Q445</f>
        <v>0</v>
      </c>
      <c r="R446" s="1056">
        <f t="shared" ref="R446" si="1937">R444-R445</f>
        <v>0</v>
      </c>
      <c r="S446" s="1056">
        <f t="shared" ref="S446" si="1938">S444-S445</f>
        <v>0</v>
      </c>
      <c r="T446" s="1056">
        <f t="shared" ref="T446" si="1939">T444-T445</f>
        <v>0</v>
      </c>
      <c r="U446" s="1057">
        <f t="shared" ref="U446" si="1940">U444-U445</f>
        <v>0</v>
      </c>
      <c r="V446" s="1172"/>
      <c r="W446" s="1055">
        <f t="shared" ref="W446" si="1941">W444-W445</f>
        <v>0</v>
      </c>
      <c r="X446" s="1056">
        <f t="shared" ref="X446" si="1942">X444-X445</f>
        <v>0</v>
      </c>
      <c r="Y446" s="1056">
        <f t="shared" ref="Y446" si="1943">Y444-Y445</f>
        <v>0</v>
      </c>
      <c r="Z446" s="1056">
        <f t="shared" ref="Z446" si="1944">Z444-Z445</f>
        <v>0</v>
      </c>
      <c r="AA446" s="1057">
        <f t="shared" ref="AA446" si="1945">AA444-AA445</f>
        <v>0</v>
      </c>
      <c r="AB446" s="1075"/>
      <c r="AC446" s="1055">
        <f t="shared" ref="AC446" si="1946">AC444-AC445</f>
        <v>0</v>
      </c>
      <c r="AD446" s="1056">
        <f t="shared" ref="AD446" si="1947">AD444-AD445</f>
        <v>0</v>
      </c>
      <c r="AE446" s="1056">
        <f t="shared" ref="AE446" si="1948">AE444-AE445</f>
        <v>0</v>
      </c>
      <c r="AF446" s="1056">
        <f t="shared" ref="AF446" si="1949">AF444-AF445</f>
        <v>0</v>
      </c>
      <c r="AG446" s="1056">
        <f t="shared" ref="AG446" si="1950">AG444-AG445</f>
        <v>0</v>
      </c>
      <c r="AH446" s="1059"/>
      <c r="AI446" s="1172"/>
      <c r="AJ446" s="1155"/>
      <c r="AK446" s="1155"/>
      <c r="AL446" s="1567">
        <f>AL444-AL445</f>
        <v>0</v>
      </c>
      <c r="AM446" s="1056">
        <f t="shared" ref="AM446:AR446" si="1951">AM444-AM445</f>
        <v>0</v>
      </c>
      <c r="AN446" s="1056">
        <f t="shared" si="1951"/>
        <v>0</v>
      </c>
      <c r="AO446" s="1056">
        <f t="shared" si="1951"/>
        <v>0</v>
      </c>
      <c r="AP446" s="1057">
        <f t="shared" si="1951"/>
        <v>0</v>
      </c>
      <c r="AQ446" s="1567">
        <f t="shared" si="1951"/>
        <v>0</v>
      </c>
      <c r="AR446" s="1056">
        <f t="shared" si="1951"/>
        <v>0</v>
      </c>
      <c r="AS446" s="1057"/>
      <c r="AT446" s="1155"/>
      <c r="AU446" s="1155"/>
      <c r="AV446" s="1155"/>
      <c r="AW446" s="1155"/>
      <c r="AX446" s="1155"/>
      <c r="AY446" s="1155"/>
      <c r="AZ446" s="1155"/>
      <c r="BA446" s="1155"/>
      <c r="BB446" s="1155"/>
      <c r="BC446" s="1155"/>
      <c r="BD446" s="1155"/>
      <c r="BE446" s="1155"/>
      <c r="BF446" s="1155"/>
      <c r="BG446" s="1155"/>
      <c r="BH446" s="1155"/>
      <c r="BI446" s="1155"/>
      <c r="BJ446" s="1155"/>
      <c r="BK446" s="1155"/>
      <c r="BL446" s="1155"/>
      <c r="BM446" s="1155"/>
      <c r="BN446" s="1155"/>
      <c r="BO446" s="1155"/>
      <c r="BP446" s="1155"/>
      <c r="BQ446" s="1155"/>
      <c r="BR446" s="1155"/>
      <c r="BS446" s="1155"/>
    </row>
    <row r="447" spans="5:71" s="474" customFormat="1" ht="12.75" customHeight="1">
      <c r="E447" s="4110" t="s">
        <v>1502</v>
      </c>
      <c r="F447" s="433" t="s">
        <v>111</v>
      </c>
      <c r="G447" s="1086"/>
      <c r="H447" s="1087"/>
      <c r="I447" s="1087"/>
      <c r="J447" s="1087"/>
      <c r="K447" s="1088"/>
      <c r="L447" s="258"/>
      <c r="M447" s="465"/>
      <c r="N447" s="465"/>
      <c r="O447" s="465"/>
      <c r="P447" s="282"/>
      <c r="Q447" s="965"/>
      <c r="R447" s="465"/>
      <c r="S447" s="465"/>
      <c r="T447" s="465"/>
      <c r="U447" s="1044"/>
      <c r="V447" s="1172"/>
      <c r="W447" s="1043"/>
      <c r="X447" s="421"/>
      <c r="Y447" s="421"/>
      <c r="Z447" s="421"/>
      <c r="AA447" s="1044"/>
      <c r="AB447" s="1045"/>
      <c r="AC447" s="1043"/>
      <c r="AD447" s="421"/>
      <c r="AE447" s="421"/>
      <c r="AF447" s="421"/>
      <c r="AG447" s="421"/>
      <c r="AH447" s="1046"/>
      <c r="AI447" s="1172"/>
      <c r="AJ447" s="1155"/>
      <c r="AK447" s="1155"/>
      <c r="AL447" s="1086"/>
      <c r="AM447" s="1087"/>
      <c r="AN447" s="1087"/>
      <c r="AO447" s="1087"/>
      <c r="AP447" s="1088"/>
      <c r="AQ447" s="258"/>
      <c r="AR447" s="465"/>
      <c r="AS447" s="282"/>
      <c r="AT447" s="1155"/>
      <c r="AU447" s="1155"/>
      <c r="AV447" s="1155"/>
      <c r="AW447" s="1155"/>
      <c r="AX447" s="1155"/>
      <c r="AY447" s="1155"/>
      <c r="AZ447" s="1155"/>
      <c r="BA447" s="1155"/>
      <c r="BB447" s="1155"/>
      <c r="BC447" s="1155"/>
      <c r="BD447" s="1155"/>
      <c r="BE447" s="1155"/>
      <c r="BF447" s="1155"/>
      <c r="BG447" s="1155"/>
      <c r="BH447" s="1155"/>
      <c r="BI447" s="1155"/>
      <c r="BJ447" s="1155"/>
      <c r="BK447" s="1155"/>
      <c r="BL447" s="1155"/>
      <c r="BM447" s="1155"/>
      <c r="BN447" s="1155"/>
      <c r="BO447" s="1155"/>
      <c r="BP447" s="1155"/>
      <c r="BQ447" s="1155"/>
      <c r="BR447" s="1155"/>
      <c r="BS447" s="1155"/>
    </row>
    <row r="448" spans="5:71" s="474" customFormat="1" ht="12.75" customHeight="1">
      <c r="E448" s="4109"/>
      <c r="F448" s="1374" t="s">
        <v>588</v>
      </c>
      <c r="G448" s="1083"/>
      <c r="H448" s="1084"/>
      <c r="I448" s="1084"/>
      <c r="J448" s="1084"/>
      <c r="K448" s="1085"/>
      <c r="L448" s="255"/>
      <c r="M448" s="461">
        <v>7852</v>
      </c>
      <c r="N448" s="461"/>
      <c r="O448" s="461"/>
      <c r="P448" s="281"/>
      <c r="Q448" s="956"/>
      <c r="R448" s="461"/>
      <c r="S448" s="461"/>
      <c r="T448" s="461"/>
      <c r="U448" s="281"/>
      <c r="V448" s="1172"/>
      <c r="W448" s="255"/>
      <c r="X448" s="461"/>
      <c r="Y448" s="461"/>
      <c r="Z448" s="461"/>
      <c r="AA448" s="281"/>
      <c r="AB448" s="1041"/>
      <c r="AC448" s="255"/>
      <c r="AD448" s="461"/>
      <c r="AE448" s="461"/>
      <c r="AF448" s="461"/>
      <c r="AG448" s="461"/>
      <c r="AH448" s="1047"/>
      <c r="AI448" s="1172"/>
      <c r="AJ448" s="1155"/>
      <c r="AK448" s="1155"/>
      <c r="AL448" s="1083"/>
      <c r="AM448" s="1084"/>
      <c r="AN448" s="1084"/>
      <c r="AO448" s="1084"/>
      <c r="AP448" s="1085"/>
      <c r="AQ448" s="259"/>
      <c r="AR448" s="466"/>
      <c r="AS448" s="283"/>
      <c r="AT448" s="1155"/>
      <c r="AU448" s="1155"/>
      <c r="AV448" s="1155"/>
      <c r="AW448" s="1155"/>
      <c r="AX448" s="1155"/>
      <c r="AY448" s="1155"/>
      <c r="AZ448" s="1155"/>
      <c r="BA448" s="1155"/>
      <c r="BB448" s="1155"/>
      <c r="BC448" s="1155"/>
      <c r="BD448" s="1155"/>
      <c r="BE448" s="1155"/>
      <c r="BF448" s="1155"/>
      <c r="BG448" s="1155"/>
      <c r="BH448" s="1155"/>
      <c r="BI448" s="1155"/>
      <c r="BJ448" s="1155"/>
      <c r="BK448" s="1155"/>
      <c r="BL448" s="1155"/>
      <c r="BM448" s="1155"/>
      <c r="BN448" s="1155"/>
      <c r="BO448" s="1155"/>
      <c r="BP448" s="1155"/>
      <c r="BQ448" s="1155"/>
      <c r="BR448" s="1155"/>
      <c r="BS448" s="1155"/>
    </row>
    <row r="449" spans="5:71" s="474" customFormat="1" ht="12.75" customHeight="1">
      <c r="E449" s="4109"/>
      <c r="F449" s="1374" t="s">
        <v>589</v>
      </c>
      <c r="G449" s="1083"/>
      <c r="H449" s="1084"/>
      <c r="I449" s="1084"/>
      <c r="J449" s="1084"/>
      <c r="K449" s="1085"/>
      <c r="L449" s="255"/>
      <c r="M449" s="461"/>
      <c r="N449" s="461"/>
      <c r="O449" s="461"/>
      <c r="P449" s="281"/>
      <c r="Q449" s="956"/>
      <c r="R449" s="461"/>
      <c r="S449" s="461"/>
      <c r="T449" s="461"/>
      <c r="U449" s="281"/>
      <c r="V449" s="1172"/>
      <c r="W449" s="255"/>
      <c r="X449" s="461"/>
      <c r="Y449" s="461"/>
      <c r="Z449" s="461"/>
      <c r="AA449" s="281"/>
      <c r="AB449" s="1041"/>
      <c r="AC449" s="255"/>
      <c r="AD449" s="461"/>
      <c r="AE449" s="461"/>
      <c r="AF449" s="461"/>
      <c r="AG449" s="461"/>
      <c r="AH449" s="1047"/>
      <c r="AI449" s="1172"/>
      <c r="AJ449" s="1155"/>
      <c r="AK449" s="1155"/>
      <c r="AL449" s="1083"/>
      <c r="AM449" s="1084"/>
      <c r="AN449" s="1084"/>
      <c r="AO449" s="1084"/>
      <c r="AP449" s="1085"/>
      <c r="AQ449" s="259"/>
      <c r="AR449" s="466"/>
      <c r="AS449" s="283"/>
      <c r="AT449" s="1155"/>
      <c r="AU449" s="1155"/>
      <c r="AV449" s="1155"/>
      <c r="AW449" s="1155"/>
      <c r="AX449" s="1155"/>
      <c r="AY449" s="1155"/>
      <c r="AZ449" s="1155"/>
      <c r="BA449" s="1155"/>
      <c r="BB449" s="1155"/>
      <c r="BC449" s="1155"/>
      <c r="BD449" s="1155"/>
      <c r="BE449" s="1155"/>
      <c r="BF449" s="1155"/>
      <c r="BG449" s="1155"/>
      <c r="BH449" s="1155"/>
      <c r="BI449" s="1155"/>
      <c r="BJ449" s="1155"/>
      <c r="BK449" s="1155"/>
      <c r="BL449" s="1155"/>
      <c r="BM449" s="1155"/>
      <c r="BN449" s="1155"/>
      <c r="BO449" s="1155"/>
      <c r="BP449" s="1155"/>
      <c r="BQ449" s="1155"/>
      <c r="BR449" s="1155"/>
      <c r="BS449" s="1155"/>
    </row>
    <row r="450" spans="5:71" s="474" customFormat="1" ht="12.75" customHeight="1">
      <c r="E450" s="4109"/>
      <c r="F450" s="1374" t="s">
        <v>590</v>
      </c>
      <c r="G450" s="1083"/>
      <c r="H450" s="1084"/>
      <c r="I450" s="1084"/>
      <c r="J450" s="1084"/>
      <c r="K450" s="1085"/>
      <c r="L450" s="255"/>
      <c r="M450" s="461"/>
      <c r="N450" s="461"/>
      <c r="O450" s="461"/>
      <c r="P450" s="281"/>
      <c r="Q450" s="956"/>
      <c r="R450" s="461"/>
      <c r="S450" s="461"/>
      <c r="T450" s="461"/>
      <c r="U450" s="281"/>
      <c r="V450" s="1172"/>
      <c r="W450" s="255"/>
      <c r="X450" s="461"/>
      <c r="Y450" s="461"/>
      <c r="Z450" s="461"/>
      <c r="AA450" s="281"/>
      <c r="AB450" s="1041"/>
      <c r="AC450" s="255"/>
      <c r="AD450" s="461"/>
      <c r="AE450" s="461"/>
      <c r="AF450" s="461"/>
      <c r="AG450" s="461"/>
      <c r="AH450" s="1047"/>
      <c r="AI450" s="1172"/>
      <c r="AJ450" s="1155"/>
      <c r="AK450" s="1155"/>
      <c r="AL450" s="1083"/>
      <c r="AM450" s="1084"/>
      <c r="AN450" s="1084"/>
      <c r="AO450" s="1084"/>
      <c r="AP450" s="1085"/>
      <c r="AQ450" s="259"/>
      <c r="AR450" s="466"/>
      <c r="AS450" s="283"/>
      <c r="AT450" s="1155"/>
      <c r="AU450" s="1155"/>
      <c r="AV450" s="1155"/>
      <c r="AW450" s="1155"/>
      <c r="AX450" s="1155"/>
      <c r="AY450" s="1155"/>
      <c r="AZ450" s="1155"/>
      <c r="BA450" s="1155"/>
      <c r="BB450" s="1155"/>
      <c r="BC450" s="1155"/>
      <c r="BD450" s="1155"/>
      <c r="BE450" s="1155"/>
      <c r="BF450" s="1155"/>
      <c r="BG450" s="1155"/>
      <c r="BH450" s="1155"/>
      <c r="BI450" s="1155"/>
      <c r="BJ450" s="1155"/>
      <c r="BK450" s="1155"/>
      <c r="BL450" s="1155"/>
      <c r="BM450" s="1155"/>
      <c r="BN450" s="1155"/>
      <c r="BO450" s="1155"/>
      <c r="BP450" s="1155"/>
      <c r="BQ450" s="1155"/>
      <c r="BR450" s="1155"/>
      <c r="BS450" s="1155"/>
    </row>
    <row r="451" spans="5:71" s="474" customFormat="1" ht="12.75" customHeight="1">
      <c r="E451" s="4109"/>
      <c r="F451" s="1374" t="s">
        <v>591</v>
      </c>
      <c r="G451" s="1083"/>
      <c r="H451" s="1084"/>
      <c r="I451" s="1084"/>
      <c r="J451" s="1084"/>
      <c r="K451" s="1085"/>
      <c r="L451" s="255"/>
      <c r="M451" s="461"/>
      <c r="N451" s="461"/>
      <c r="O451" s="461"/>
      <c r="P451" s="281"/>
      <c r="Q451" s="956"/>
      <c r="R451" s="461"/>
      <c r="S451" s="461"/>
      <c r="T451" s="461"/>
      <c r="U451" s="281"/>
      <c r="V451" s="1172"/>
      <c r="W451" s="255"/>
      <c r="X451" s="461"/>
      <c r="Y451" s="461"/>
      <c r="Z451" s="461"/>
      <c r="AA451" s="281"/>
      <c r="AB451" s="1041"/>
      <c r="AC451" s="255"/>
      <c r="AD451" s="461"/>
      <c r="AE451" s="461"/>
      <c r="AF451" s="461"/>
      <c r="AG451" s="461"/>
      <c r="AH451" s="1047"/>
      <c r="AI451" s="1172"/>
      <c r="AJ451" s="1155"/>
      <c r="AK451" s="1155"/>
      <c r="AL451" s="1083"/>
      <c r="AM451" s="1084"/>
      <c r="AN451" s="1084"/>
      <c r="AO451" s="1084"/>
      <c r="AP451" s="1085"/>
      <c r="AQ451" s="259"/>
      <c r="AR451" s="466"/>
      <c r="AS451" s="283"/>
      <c r="AT451" s="1155"/>
      <c r="AU451" s="1155"/>
      <c r="AV451" s="1155"/>
      <c r="AW451" s="1155"/>
      <c r="AX451" s="1155"/>
      <c r="AY451" s="1155"/>
      <c r="AZ451" s="1155"/>
      <c r="BA451" s="1155"/>
      <c r="BB451" s="1155"/>
      <c r="BC451" s="1155"/>
      <c r="BD451" s="1155"/>
      <c r="BE451" s="1155"/>
      <c r="BF451" s="1155"/>
      <c r="BG451" s="1155"/>
      <c r="BH451" s="1155"/>
      <c r="BI451" s="1155"/>
      <c r="BJ451" s="1155"/>
      <c r="BK451" s="1155"/>
      <c r="BL451" s="1155"/>
      <c r="BM451" s="1155"/>
      <c r="BN451" s="1155"/>
      <c r="BO451" s="1155"/>
      <c r="BP451" s="1155"/>
      <c r="BQ451" s="1155"/>
      <c r="BR451" s="1155"/>
      <c r="BS451" s="1155"/>
    </row>
    <row r="452" spans="5:71" s="474" customFormat="1" ht="12.75" customHeight="1">
      <c r="E452" s="4109"/>
      <c r="F452" s="1374" t="s">
        <v>592</v>
      </c>
      <c r="G452" s="1083"/>
      <c r="H452" s="1084"/>
      <c r="I452" s="1084"/>
      <c r="J452" s="1084"/>
      <c r="K452" s="1085"/>
      <c r="L452" s="207"/>
      <c r="M452" s="456"/>
      <c r="N452" s="456"/>
      <c r="O452" s="456"/>
      <c r="P452" s="457"/>
      <c r="Q452" s="224"/>
      <c r="R452" s="456"/>
      <c r="S452" s="456"/>
      <c r="T452" s="456"/>
      <c r="U452" s="457"/>
      <c r="V452" s="1172"/>
      <c r="W452" s="207">
        <v>0</v>
      </c>
      <c r="X452" s="456">
        <v>0</v>
      </c>
      <c r="Y452" s="456">
        <v>0</v>
      </c>
      <c r="Z452" s="456">
        <v>0</v>
      </c>
      <c r="AA452" s="457">
        <v>0</v>
      </c>
      <c r="AB452" s="1041"/>
      <c r="AC452" s="207">
        <v>0</v>
      </c>
      <c r="AD452" s="456">
        <v>0</v>
      </c>
      <c r="AE452" s="456">
        <v>0</v>
      </c>
      <c r="AF452" s="456">
        <v>0</v>
      </c>
      <c r="AG452" s="456">
        <v>0</v>
      </c>
      <c r="AH452" s="1048"/>
      <c r="AI452" s="1172"/>
      <c r="AJ452" s="1155"/>
      <c r="AK452" s="1155"/>
      <c r="AL452" s="1083"/>
      <c r="AM452" s="1084"/>
      <c r="AN452" s="1084"/>
      <c r="AO452" s="1084"/>
      <c r="AP452" s="1085"/>
      <c r="AQ452" s="207">
        <f>SUM(AQ447:AQ451)</f>
        <v>0</v>
      </c>
      <c r="AR452" s="456">
        <f t="shared" ref="AR452" si="1952">SUM(AR447:AR451)</f>
        <v>0</v>
      </c>
      <c r="AS452" s="457"/>
      <c r="AT452" s="1155"/>
      <c r="AU452" s="1155"/>
      <c r="AV452" s="1155"/>
      <c r="AW452" s="1155"/>
      <c r="AX452" s="1155"/>
      <c r="AY452" s="1155"/>
      <c r="AZ452" s="1155"/>
      <c r="BA452" s="1155"/>
      <c r="BB452" s="1155"/>
      <c r="BC452" s="1155"/>
      <c r="BD452" s="1155"/>
      <c r="BE452" s="1155"/>
      <c r="BF452" s="1155"/>
      <c r="BG452" s="1155"/>
      <c r="BH452" s="1155"/>
      <c r="BI452" s="1155"/>
      <c r="BJ452" s="1155"/>
      <c r="BK452" s="1155"/>
      <c r="BL452" s="1155"/>
      <c r="BM452" s="1155"/>
      <c r="BN452" s="1155"/>
      <c r="BO452" s="1155"/>
      <c r="BP452" s="1155"/>
      <c r="BQ452" s="1155"/>
      <c r="BR452" s="1155"/>
      <c r="BS452" s="1155"/>
    </row>
    <row r="453" spans="5:71" s="474" customFormat="1">
      <c r="E453" s="4109"/>
      <c r="F453" s="1375" t="s">
        <v>587</v>
      </c>
      <c r="G453" s="1086"/>
      <c r="H453" s="1087"/>
      <c r="I453" s="1087"/>
      <c r="J453" s="1087"/>
      <c r="K453" s="1088"/>
      <c r="L453" s="258">
        <f>SUM(L448:L452)</f>
        <v>0</v>
      </c>
      <c r="M453" s="465">
        <f t="shared" ref="M453" si="1953">SUM(M448:M452)</f>
        <v>7852</v>
      </c>
      <c r="N453" s="465">
        <f t="shared" ref="N453" si="1954">SUM(N448:N452)</f>
        <v>0</v>
      </c>
      <c r="O453" s="465">
        <f t="shared" ref="O453" si="1955">SUM(O448:O452)</f>
        <v>0</v>
      </c>
      <c r="P453" s="282">
        <f t="shared" ref="P453" si="1956">SUM(P448:P452)</f>
        <v>0</v>
      </c>
      <c r="Q453" s="965">
        <f t="shared" ref="Q453" si="1957">SUM(Q448:Q452)</f>
        <v>0</v>
      </c>
      <c r="R453" s="465">
        <f t="shared" ref="R453" si="1958">SUM(R448:R452)</f>
        <v>0</v>
      </c>
      <c r="S453" s="465">
        <f t="shared" ref="S453" si="1959">SUM(S448:S452)</f>
        <v>0</v>
      </c>
      <c r="T453" s="465">
        <f t="shared" ref="T453" si="1960">SUM(T448:T452)</f>
        <v>0</v>
      </c>
      <c r="U453" s="282">
        <f t="shared" ref="U453" si="1961">SUM(U448:U452)</f>
        <v>0</v>
      </c>
      <c r="V453" s="1172"/>
      <c r="W453" s="258">
        <f t="shared" ref="W453" si="1962">SUM(W448:W452)</f>
        <v>0</v>
      </c>
      <c r="X453" s="465">
        <f t="shared" ref="X453" si="1963">SUM(X448:X452)</f>
        <v>0</v>
      </c>
      <c r="Y453" s="465">
        <f t="shared" ref="Y453" si="1964">SUM(Y448:Y452)</f>
        <v>0</v>
      </c>
      <c r="Z453" s="465">
        <f t="shared" ref="Z453" si="1965">SUM(Z448:Z452)</f>
        <v>0</v>
      </c>
      <c r="AA453" s="282">
        <f t="shared" ref="AA453" si="1966">SUM(AA448:AA452)</f>
        <v>0</v>
      </c>
      <c r="AB453" s="992"/>
      <c r="AC453" s="258">
        <f t="shared" ref="AC453" si="1967">SUM(AC448:AC452)</f>
        <v>0</v>
      </c>
      <c r="AD453" s="465">
        <f t="shared" ref="AD453" si="1968">SUM(AD448:AD452)</f>
        <v>0</v>
      </c>
      <c r="AE453" s="465">
        <f t="shared" ref="AE453" si="1969">SUM(AE448:AE452)</f>
        <v>0</v>
      </c>
      <c r="AF453" s="465">
        <f t="shared" ref="AF453" si="1970">SUM(AF448:AF452)</f>
        <v>0</v>
      </c>
      <c r="AG453" s="465">
        <f t="shared" ref="AG453" si="1971">SUM(AG448:AG452)</f>
        <v>0</v>
      </c>
      <c r="AH453" s="1049"/>
      <c r="AI453" s="1172"/>
      <c r="AJ453" s="1155"/>
      <c r="AK453" s="1155"/>
      <c r="AL453" s="1086"/>
      <c r="AM453" s="1087"/>
      <c r="AN453" s="1087"/>
      <c r="AO453" s="1087"/>
      <c r="AP453" s="1088"/>
      <c r="AQ453" s="258"/>
      <c r="AR453" s="465"/>
      <c r="AS453" s="282"/>
      <c r="AT453" s="1155"/>
      <c r="AU453" s="1155"/>
      <c r="AV453" s="1155"/>
      <c r="AW453" s="1155"/>
      <c r="AX453" s="1155"/>
      <c r="AY453" s="1155"/>
      <c r="AZ453" s="1155"/>
      <c r="BA453" s="1155"/>
      <c r="BB453" s="1155"/>
      <c r="BC453" s="1155"/>
      <c r="BD453" s="1155"/>
      <c r="BE453" s="1155"/>
      <c r="BF453" s="1155"/>
      <c r="BG453" s="1155"/>
      <c r="BH453" s="1155"/>
      <c r="BI453" s="1155"/>
      <c r="BJ453" s="1155"/>
      <c r="BK453" s="1155"/>
      <c r="BL453" s="1155"/>
      <c r="BM453" s="1155"/>
      <c r="BN453" s="1155"/>
      <c r="BO453" s="1155"/>
      <c r="BP453" s="1155"/>
      <c r="BQ453" s="1155"/>
      <c r="BR453" s="1155"/>
      <c r="BS453" s="1155"/>
    </row>
    <row r="454" spans="5:71" s="474" customFormat="1">
      <c r="E454" s="4109"/>
      <c r="F454" s="1376" t="s">
        <v>593</v>
      </c>
      <c r="G454" s="1083"/>
      <c r="H454" s="1084"/>
      <c r="I454" s="1084"/>
      <c r="J454" s="1084"/>
      <c r="K454" s="1085"/>
      <c r="L454" s="255"/>
      <c r="M454" s="461"/>
      <c r="N454" s="461"/>
      <c r="O454" s="461"/>
      <c r="P454" s="281"/>
      <c r="Q454" s="956"/>
      <c r="R454" s="461"/>
      <c r="S454" s="461"/>
      <c r="T454" s="461"/>
      <c r="U454" s="281"/>
      <c r="V454" s="1172"/>
      <c r="W454" s="255"/>
      <c r="X454" s="461"/>
      <c r="Y454" s="461"/>
      <c r="Z454" s="461"/>
      <c r="AA454" s="281"/>
      <c r="AB454" s="1041"/>
      <c r="AC454" s="255"/>
      <c r="AD454" s="461"/>
      <c r="AE454" s="461"/>
      <c r="AF454" s="461"/>
      <c r="AG454" s="461"/>
      <c r="AH454" s="1047"/>
      <c r="AI454" s="1172"/>
      <c r="AJ454" s="1155"/>
      <c r="AK454" s="1155"/>
      <c r="AL454" s="1083"/>
      <c r="AM454" s="1084"/>
      <c r="AN454" s="1084"/>
      <c r="AO454" s="1084"/>
      <c r="AP454" s="1085"/>
      <c r="AQ454" s="259"/>
      <c r="AR454" s="466"/>
      <c r="AS454" s="283"/>
      <c r="AT454" s="1155"/>
      <c r="AU454" s="1155"/>
      <c r="AV454" s="1155"/>
      <c r="AW454" s="1155"/>
      <c r="AX454" s="1155"/>
      <c r="AY454" s="1155"/>
      <c r="AZ454" s="1155"/>
      <c r="BA454" s="1155"/>
      <c r="BB454" s="1155"/>
      <c r="BC454" s="1155"/>
      <c r="BD454" s="1155"/>
      <c r="BE454" s="1155"/>
      <c r="BF454" s="1155"/>
      <c r="BG454" s="1155"/>
      <c r="BH454" s="1155"/>
      <c r="BI454" s="1155"/>
      <c r="BJ454" s="1155"/>
      <c r="BK454" s="1155"/>
      <c r="BL454" s="1155"/>
      <c r="BM454" s="1155"/>
      <c r="BN454" s="1155"/>
      <c r="BO454" s="1155"/>
      <c r="BP454" s="1155"/>
      <c r="BQ454" s="1155"/>
      <c r="BR454" s="1155"/>
      <c r="BS454" s="1155"/>
    </row>
    <row r="455" spans="5:71" s="474" customFormat="1">
      <c r="E455" s="4109"/>
      <c r="F455" s="431" t="s">
        <v>558</v>
      </c>
      <c r="G455" s="1083"/>
      <c r="H455" s="1084"/>
      <c r="I455" s="1084"/>
      <c r="J455" s="1084"/>
      <c r="K455" s="1085"/>
      <c r="L455" s="255"/>
      <c r="M455" s="461">
        <v>1663383.6700000002</v>
      </c>
      <c r="N455" s="461"/>
      <c r="O455" s="461"/>
      <c r="P455" s="281"/>
      <c r="Q455" s="956"/>
      <c r="R455" s="461"/>
      <c r="S455" s="461"/>
      <c r="T455" s="461"/>
      <c r="U455" s="281"/>
      <c r="V455" s="1172"/>
      <c r="W455" s="255"/>
      <c r="X455" s="461"/>
      <c r="Y455" s="461"/>
      <c r="Z455" s="461"/>
      <c r="AA455" s="281"/>
      <c r="AB455" s="1041"/>
      <c r="AC455" s="255"/>
      <c r="AD455" s="461"/>
      <c r="AE455" s="461"/>
      <c r="AF455" s="461"/>
      <c r="AG455" s="461"/>
      <c r="AH455" s="1047"/>
      <c r="AI455" s="1172"/>
      <c r="AJ455" s="1155"/>
      <c r="AK455" s="1155"/>
      <c r="AL455" s="1083"/>
      <c r="AM455" s="1084"/>
      <c r="AN455" s="1084"/>
      <c r="AO455" s="1084"/>
      <c r="AP455" s="1085"/>
      <c r="AQ455" s="259"/>
      <c r="AR455" s="466"/>
      <c r="AS455" s="283"/>
      <c r="AT455" s="1155"/>
      <c r="AU455" s="1155"/>
      <c r="AV455" s="1155"/>
      <c r="AW455" s="1155"/>
      <c r="AX455" s="1155"/>
      <c r="AY455" s="1155"/>
      <c r="AZ455" s="1155"/>
      <c r="BA455" s="1155"/>
      <c r="BB455" s="1155"/>
      <c r="BC455" s="1155"/>
      <c r="BD455" s="1155"/>
      <c r="BE455" s="1155"/>
      <c r="BF455" s="1155"/>
      <c r="BG455" s="1155"/>
      <c r="BH455" s="1155"/>
      <c r="BI455" s="1155"/>
      <c r="BJ455" s="1155"/>
      <c r="BK455" s="1155"/>
      <c r="BL455" s="1155"/>
      <c r="BM455" s="1155"/>
      <c r="BN455" s="1155"/>
      <c r="BO455" s="1155"/>
      <c r="BP455" s="1155"/>
      <c r="BQ455" s="1155"/>
      <c r="BR455" s="1155"/>
      <c r="BS455" s="1155"/>
    </row>
    <row r="456" spans="5:71" s="474" customFormat="1">
      <c r="E456" s="4109"/>
      <c r="F456" s="431" t="s">
        <v>559</v>
      </c>
      <c r="G456" s="1083"/>
      <c r="H456" s="1084"/>
      <c r="I456" s="1084"/>
      <c r="J456" s="1084"/>
      <c r="K456" s="1085"/>
      <c r="L456" s="255"/>
      <c r="M456" s="461"/>
      <c r="N456" s="461"/>
      <c r="O456" s="461"/>
      <c r="P456" s="281"/>
      <c r="Q456" s="956"/>
      <c r="R456" s="461"/>
      <c r="S456" s="461"/>
      <c r="T456" s="461"/>
      <c r="U456" s="281"/>
      <c r="V456" s="1172"/>
      <c r="W456" s="255"/>
      <c r="X456" s="461"/>
      <c r="Y456" s="461"/>
      <c r="Z456" s="461"/>
      <c r="AA456" s="281"/>
      <c r="AB456" s="1041"/>
      <c r="AC456" s="255"/>
      <c r="AD456" s="461"/>
      <c r="AE456" s="461"/>
      <c r="AF456" s="461"/>
      <c r="AG456" s="461"/>
      <c r="AH456" s="1047"/>
      <c r="AI456" s="1172"/>
      <c r="AJ456" s="1155"/>
      <c r="AK456" s="1155"/>
      <c r="AL456" s="1083"/>
      <c r="AM456" s="1084"/>
      <c r="AN456" s="1084"/>
      <c r="AO456" s="1084"/>
      <c r="AP456" s="1085"/>
      <c r="AQ456" s="259"/>
      <c r="AR456" s="466"/>
      <c r="AS456" s="283"/>
      <c r="AT456" s="1155"/>
      <c r="AU456" s="1155"/>
      <c r="AV456" s="1155"/>
      <c r="AW456" s="1155"/>
      <c r="AX456" s="1155"/>
      <c r="AY456" s="1155"/>
      <c r="AZ456" s="1155"/>
      <c r="BA456" s="1155"/>
      <c r="BB456" s="1155"/>
      <c r="BC456" s="1155"/>
      <c r="BD456" s="1155"/>
      <c r="BE456" s="1155"/>
      <c r="BF456" s="1155"/>
      <c r="BG456" s="1155"/>
      <c r="BH456" s="1155"/>
      <c r="BI456" s="1155"/>
      <c r="BJ456" s="1155"/>
      <c r="BK456" s="1155"/>
      <c r="BL456" s="1155"/>
      <c r="BM456" s="1155"/>
      <c r="BN456" s="1155"/>
      <c r="BO456" s="1155"/>
      <c r="BP456" s="1155"/>
      <c r="BQ456" s="1155"/>
      <c r="BR456" s="1155"/>
      <c r="BS456" s="1155"/>
    </row>
    <row r="457" spans="5:71" s="474" customFormat="1">
      <c r="E457" s="4109"/>
      <c r="F457" s="431" t="s">
        <v>578</v>
      </c>
      <c r="G457" s="1089"/>
      <c r="H457" s="1090"/>
      <c r="I457" s="1090"/>
      <c r="J457" s="1090"/>
      <c r="K457" s="1091"/>
      <c r="L457" s="259"/>
      <c r="M457" s="456"/>
      <c r="N457" s="456"/>
      <c r="O457" s="456"/>
      <c r="P457" s="457"/>
      <c r="Q457" s="224"/>
      <c r="R457" s="456"/>
      <c r="S457" s="456"/>
      <c r="T457" s="456"/>
      <c r="U457" s="457"/>
      <c r="V457" s="1172"/>
      <c r="W457" s="207"/>
      <c r="X457" s="456"/>
      <c r="Y457" s="456"/>
      <c r="Z457" s="456"/>
      <c r="AA457" s="457"/>
      <c r="AB457" s="1041"/>
      <c r="AC457" s="207"/>
      <c r="AD457" s="456"/>
      <c r="AE457" s="456"/>
      <c r="AF457" s="456"/>
      <c r="AG457" s="456"/>
      <c r="AH457" s="1048"/>
      <c r="AI457" s="1172"/>
      <c r="AJ457" s="1155"/>
      <c r="AK457" s="1155"/>
      <c r="AL457" s="1089"/>
      <c r="AM457" s="1090"/>
      <c r="AN457" s="1090"/>
      <c r="AO457" s="1090"/>
      <c r="AP457" s="1091"/>
      <c r="AQ457" s="259"/>
      <c r="AR457" s="466"/>
      <c r="AS457" s="283"/>
      <c r="AT457" s="1155"/>
      <c r="AU457" s="1155"/>
      <c r="AV457" s="1155"/>
      <c r="AW457" s="1155"/>
      <c r="AX457" s="1155"/>
      <c r="AY457" s="1155"/>
      <c r="AZ457" s="1155"/>
      <c r="BA457" s="1155"/>
      <c r="BB457" s="1155"/>
      <c r="BC457" s="1155"/>
      <c r="BD457" s="1155"/>
      <c r="BE457" s="1155"/>
      <c r="BF457" s="1155"/>
      <c r="BG457" s="1155"/>
      <c r="BH457" s="1155"/>
      <c r="BI457" s="1155"/>
      <c r="BJ457" s="1155"/>
      <c r="BK457" s="1155"/>
      <c r="BL457" s="1155"/>
      <c r="BM457" s="1155"/>
      <c r="BN457" s="1155"/>
      <c r="BO457" s="1155"/>
      <c r="BP457" s="1155"/>
      <c r="BQ457" s="1155"/>
      <c r="BR457" s="1155"/>
      <c r="BS457" s="1155"/>
    </row>
    <row r="458" spans="5:71" s="474" customFormat="1">
      <c r="E458" s="4109"/>
      <c r="F458" s="1377" t="s">
        <v>579</v>
      </c>
      <c r="G458" s="1086"/>
      <c r="H458" s="1087"/>
      <c r="I458" s="1087"/>
      <c r="J458" s="1087"/>
      <c r="K458" s="1088"/>
      <c r="L458" s="258">
        <f>SUM(L454:L457)</f>
        <v>0</v>
      </c>
      <c r="M458" s="465">
        <f t="shared" ref="M458" si="1972">SUM(M454:M457)</f>
        <v>1663383.6700000002</v>
      </c>
      <c r="N458" s="465">
        <f t="shared" ref="N458" si="1973">SUM(N454:N457)</f>
        <v>0</v>
      </c>
      <c r="O458" s="465">
        <f t="shared" ref="O458" si="1974">SUM(O454:O457)</f>
        <v>0</v>
      </c>
      <c r="P458" s="282">
        <f t="shared" ref="P458" si="1975">SUM(P454:P457)</f>
        <v>0</v>
      </c>
      <c r="Q458" s="965">
        <f t="shared" ref="Q458" si="1976">SUM(Q454:Q457)</f>
        <v>0</v>
      </c>
      <c r="R458" s="465">
        <f t="shared" ref="R458" si="1977">SUM(R454:R457)</f>
        <v>0</v>
      </c>
      <c r="S458" s="465">
        <f t="shared" ref="S458" si="1978">SUM(S454:S457)</f>
        <v>0</v>
      </c>
      <c r="T458" s="465">
        <f t="shared" ref="T458" si="1979">SUM(T454:T457)</f>
        <v>0</v>
      </c>
      <c r="U458" s="282">
        <f t="shared" ref="U458" si="1980">SUM(U454:U457)</f>
        <v>0</v>
      </c>
      <c r="V458" s="1172"/>
      <c r="W458" s="258">
        <f t="shared" ref="W458" si="1981">SUM(W454:W457)</f>
        <v>0</v>
      </c>
      <c r="X458" s="465">
        <f t="shared" ref="X458" si="1982">SUM(X454:X457)</f>
        <v>0</v>
      </c>
      <c r="Y458" s="465">
        <f t="shared" ref="Y458" si="1983">SUM(Y454:Y457)</f>
        <v>0</v>
      </c>
      <c r="Z458" s="465">
        <f t="shared" ref="Z458" si="1984">SUM(Z454:Z457)</f>
        <v>0</v>
      </c>
      <c r="AA458" s="282">
        <f t="shared" ref="AA458" si="1985">SUM(AA454:AA457)</f>
        <v>0</v>
      </c>
      <c r="AB458" s="992"/>
      <c r="AC458" s="258">
        <f t="shared" ref="AC458" si="1986">SUM(AC454:AC457)</f>
        <v>0</v>
      </c>
      <c r="AD458" s="465">
        <f t="shared" ref="AD458" si="1987">SUM(AD454:AD457)</f>
        <v>0</v>
      </c>
      <c r="AE458" s="465">
        <f t="shared" ref="AE458" si="1988">SUM(AE454:AE457)</f>
        <v>0</v>
      </c>
      <c r="AF458" s="465">
        <f t="shared" ref="AF458" si="1989">SUM(AF454:AF457)</f>
        <v>0</v>
      </c>
      <c r="AG458" s="465">
        <f t="shared" ref="AG458" si="1990">SUM(AG454:AG457)</f>
        <v>0</v>
      </c>
      <c r="AH458" s="1049"/>
      <c r="AI458" s="1172"/>
      <c r="AJ458" s="1155"/>
      <c r="AK458" s="1155"/>
      <c r="AL458" s="1086"/>
      <c r="AM458" s="1087"/>
      <c r="AN458" s="1087"/>
      <c r="AO458" s="1087"/>
      <c r="AP458" s="1088"/>
      <c r="AQ458" s="258">
        <f>SUM(AQ455:AQ457)</f>
        <v>0</v>
      </c>
      <c r="AR458" s="465">
        <f t="shared" ref="AR458" si="1991">SUM(AR455:AR457)</f>
        <v>0</v>
      </c>
      <c r="AS458" s="282"/>
      <c r="AT458" s="1155"/>
      <c r="AU458" s="1155"/>
      <c r="AV458" s="1155"/>
      <c r="AW458" s="1155"/>
      <c r="AX458" s="1155"/>
      <c r="AY458" s="1155"/>
      <c r="AZ458" s="1155"/>
      <c r="BA458" s="1155"/>
      <c r="BB458" s="1155"/>
      <c r="BC458" s="1155"/>
      <c r="BD458" s="1155"/>
      <c r="BE458" s="1155"/>
      <c r="BF458" s="1155"/>
      <c r="BG458" s="1155"/>
      <c r="BH458" s="1155"/>
      <c r="BI458" s="1155"/>
      <c r="BJ458" s="1155"/>
      <c r="BK458" s="1155"/>
      <c r="BL458" s="1155"/>
      <c r="BM458" s="1155"/>
      <c r="BN458" s="1155"/>
      <c r="BO458" s="1155"/>
      <c r="BP458" s="1155"/>
      <c r="BQ458" s="1155"/>
      <c r="BR458" s="1155"/>
      <c r="BS458" s="1155"/>
    </row>
    <row r="459" spans="5:71" s="474" customFormat="1" ht="13.5" thickBot="1">
      <c r="E459" s="4109"/>
      <c r="F459" s="1035" t="s">
        <v>583</v>
      </c>
      <c r="G459" s="255"/>
      <c r="H459" s="461"/>
      <c r="I459" s="461"/>
      <c r="J459" s="461"/>
      <c r="K459" s="281"/>
      <c r="L459" s="207"/>
      <c r="M459" s="456"/>
      <c r="N459" s="456"/>
      <c r="O459" s="456"/>
      <c r="P459" s="457"/>
      <c r="Q459" s="224"/>
      <c r="R459" s="456"/>
      <c r="S459" s="456"/>
      <c r="T459" s="456"/>
      <c r="U459" s="457"/>
      <c r="V459" s="1172"/>
      <c r="W459" s="207"/>
      <c r="X459" s="461"/>
      <c r="Y459" s="461"/>
      <c r="Z459" s="461"/>
      <c r="AA459" s="281"/>
      <c r="AB459" s="1041"/>
      <c r="AC459" s="207"/>
      <c r="AD459" s="456"/>
      <c r="AE459" s="456"/>
      <c r="AF459" s="456"/>
      <c r="AG459" s="456"/>
      <c r="AH459" s="1048"/>
      <c r="AI459" s="1172"/>
      <c r="AJ459" s="1155"/>
      <c r="AK459" s="1155"/>
      <c r="AL459" s="259"/>
      <c r="AM459" s="466"/>
      <c r="AN459" s="466"/>
      <c r="AO459" s="466"/>
      <c r="AP459" s="283"/>
      <c r="AQ459" s="259"/>
      <c r="AR459" s="466"/>
      <c r="AS459" s="283"/>
      <c r="AT459" s="1155"/>
      <c r="AU459" s="1155"/>
      <c r="AV459" s="1155"/>
      <c r="AW459" s="1155"/>
      <c r="AX459" s="1155"/>
      <c r="AY459" s="1155"/>
      <c r="AZ459" s="1155"/>
      <c r="BA459" s="1155"/>
      <c r="BB459" s="1155"/>
      <c r="BC459" s="1155"/>
      <c r="BD459" s="1155"/>
      <c r="BE459" s="1155"/>
      <c r="BF459" s="1155"/>
      <c r="BG459" s="1155"/>
      <c r="BH459" s="1155"/>
      <c r="BI459" s="1155"/>
      <c r="BJ459" s="1155"/>
      <c r="BK459" s="1155"/>
      <c r="BL459" s="1155"/>
      <c r="BM459" s="1155"/>
      <c r="BN459" s="1155"/>
      <c r="BO459" s="1155"/>
      <c r="BP459" s="1155"/>
      <c r="BQ459" s="1155"/>
      <c r="BR459" s="1155"/>
      <c r="BS459" s="1155"/>
    </row>
    <row r="460" spans="5:71" s="474" customFormat="1" ht="13.5" thickBot="1">
      <c r="E460" s="4109"/>
      <c r="F460" s="1380" t="s">
        <v>581</v>
      </c>
      <c r="G460" s="1599"/>
      <c r="H460" s="1600"/>
      <c r="I460" s="1600"/>
      <c r="J460" s="1600"/>
      <c r="K460" s="1601"/>
      <c r="L460" s="1599"/>
      <c r="M460" s="1600"/>
      <c r="N460" s="1600"/>
      <c r="O460" s="1600"/>
      <c r="P460" s="1601"/>
      <c r="Q460" s="1602"/>
      <c r="R460" s="1600"/>
      <c r="S460" s="1600"/>
      <c r="T460" s="1600"/>
      <c r="U460" s="1601"/>
      <c r="V460" s="1172"/>
      <c r="W460" s="1614"/>
      <c r="X460" s="1615"/>
      <c r="Y460" s="1615"/>
      <c r="Z460" s="1615"/>
      <c r="AA460" s="1615"/>
      <c r="AB460" s="1615"/>
      <c r="AC460" s="1615"/>
      <c r="AD460" s="1615"/>
      <c r="AE460" s="1615"/>
      <c r="AF460" s="1615"/>
      <c r="AG460" s="1615"/>
      <c r="AH460" s="1616"/>
      <c r="AI460" s="1172"/>
      <c r="AJ460" s="1155"/>
      <c r="AK460" s="1155"/>
      <c r="AL460" s="259"/>
      <c r="AM460" s="466"/>
      <c r="AN460" s="466"/>
      <c r="AO460" s="466"/>
      <c r="AP460" s="283"/>
      <c r="AQ460" s="259"/>
      <c r="AR460" s="466"/>
      <c r="AS460" s="283"/>
      <c r="AT460" s="1155"/>
      <c r="AU460" s="1155"/>
      <c r="AV460" s="1155"/>
      <c r="AW460" s="1155"/>
      <c r="AX460" s="1155"/>
      <c r="AY460" s="1155"/>
      <c r="AZ460" s="1155"/>
      <c r="BA460" s="1155"/>
      <c r="BB460" s="1155"/>
      <c r="BC460" s="1155"/>
      <c r="BD460" s="1155"/>
      <c r="BE460" s="1155"/>
      <c r="BF460" s="1155"/>
      <c r="BG460" s="1155"/>
      <c r="BH460" s="1155"/>
      <c r="BI460" s="1155"/>
      <c r="BJ460" s="1155"/>
      <c r="BK460" s="1155"/>
      <c r="BL460" s="1155"/>
      <c r="BM460" s="1155"/>
      <c r="BN460" s="1155"/>
      <c r="BO460" s="1155"/>
      <c r="BP460" s="1155"/>
      <c r="BQ460" s="1155"/>
      <c r="BR460" s="1155"/>
      <c r="BS460" s="1155"/>
    </row>
    <row r="461" spans="5:71" s="474" customFormat="1">
      <c r="E461" s="4109"/>
      <c r="F461" s="1378" t="s">
        <v>584</v>
      </c>
      <c r="G461" s="1050">
        <v>0</v>
      </c>
      <c r="H461" s="1051">
        <v>0</v>
      </c>
      <c r="I461" s="1051">
        <v>0</v>
      </c>
      <c r="J461" s="1051">
        <v>0</v>
      </c>
      <c r="K461" s="1052">
        <v>0</v>
      </c>
      <c r="L461" s="1050">
        <f>SUM(L458:L460)</f>
        <v>0</v>
      </c>
      <c r="M461" s="1051">
        <f t="shared" ref="M461" si="1992">SUM(M458:M460)</f>
        <v>1663383.6700000002</v>
      </c>
      <c r="N461" s="1051">
        <f t="shared" ref="N461" si="1993">SUM(N458:N460)</f>
        <v>0</v>
      </c>
      <c r="O461" s="1051">
        <f t="shared" ref="O461" si="1994">SUM(O458:O460)</f>
        <v>0</v>
      </c>
      <c r="P461" s="1052">
        <f t="shared" ref="P461" si="1995">SUM(P458:P460)</f>
        <v>0</v>
      </c>
      <c r="Q461" s="1092">
        <f t="shared" ref="Q461" si="1996">SUM(Q458:Q460)</f>
        <v>0</v>
      </c>
      <c r="R461" s="1051">
        <f t="shared" ref="R461" si="1997">SUM(R458:R460)</f>
        <v>0</v>
      </c>
      <c r="S461" s="1051">
        <f t="shared" ref="S461" si="1998">SUM(S458:S460)</f>
        <v>0</v>
      </c>
      <c r="T461" s="1051">
        <f t="shared" ref="T461" si="1999">SUM(T458:T460)</f>
        <v>0</v>
      </c>
      <c r="U461" s="1052">
        <f t="shared" ref="U461" si="2000">SUM(U458:U460)</f>
        <v>0</v>
      </c>
      <c r="V461" s="1172"/>
      <c r="W461" s="1050">
        <f t="shared" ref="W461" si="2001">SUM(W458:W460)</f>
        <v>0</v>
      </c>
      <c r="X461" s="1051">
        <f t="shared" ref="X461" si="2002">SUM(X458:X460)</f>
        <v>0</v>
      </c>
      <c r="Y461" s="1051">
        <f t="shared" ref="Y461" si="2003">SUM(Y458:Y460)</f>
        <v>0</v>
      </c>
      <c r="Z461" s="1051">
        <f t="shared" ref="Z461" si="2004">SUM(Z458:Z460)</f>
        <v>0</v>
      </c>
      <c r="AA461" s="1052">
        <f t="shared" ref="AA461" si="2005">SUM(AA458:AA460)</f>
        <v>0</v>
      </c>
      <c r="AB461" s="1053"/>
      <c r="AC461" s="1050">
        <f t="shared" ref="AC461" si="2006">SUM(AC458:AC460)</f>
        <v>0</v>
      </c>
      <c r="AD461" s="1051">
        <f t="shared" ref="AD461" si="2007">SUM(AD458:AD460)</f>
        <v>0</v>
      </c>
      <c r="AE461" s="1051">
        <f t="shared" ref="AE461" si="2008">SUM(AE458:AE460)</f>
        <v>0</v>
      </c>
      <c r="AF461" s="1051">
        <f t="shared" ref="AF461" si="2009">SUM(AF458:AF460)</f>
        <v>0</v>
      </c>
      <c r="AG461" s="1051">
        <f t="shared" ref="AG461" si="2010">SUM(AG458:AG460)</f>
        <v>0</v>
      </c>
      <c r="AH461" s="1054"/>
      <c r="AI461" s="1172"/>
      <c r="AJ461" s="130"/>
      <c r="AK461" s="130"/>
      <c r="AL461" s="1050">
        <f t="shared" ref="AL461:AR461" si="2011">SUM(AL459:AL460)</f>
        <v>0</v>
      </c>
      <c r="AM461" s="1051">
        <f t="shared" si="2011"/>
        <v>0</v>
      </c>
      <c r="AN461" s="1051">
        <f t="shared" si="2011"/>
        <v>0</v>
      </c>
      <c r="AO461" s="1051">
        <f t="shared" si="2011"/>
        <v>0</v>
      </c>
      <c r="AP461" s="1052">
        <f t="shared" si="2011"/>
        <v>0</v>
      </c>
      <c r="AQ461" s="1050">
        <f t="shared" si="2011"/>
        <v>0</v>
      </c>
      <c r="AR461" s="1051">
        <f t="shared" si="2011"/>
        <v>0</v>
      </c>
      <c r="AS461" s="1052"/>
      <c r="AT461" s="130"/>
      <c r="AU461" s="130"/>
      <c r="AV461" s="130"/>
      <c r="AW461" s="130"/>
      <c r="AX461" s="130"/>
      <c r="AY461" s="130"/>
      <c r="AZ461" s="130"/>
      <c r="BA461" s="130"/>
      <c r="BB461" s="130"/>
      <c r="BC461" s="130"/>
      <c r="BD461" s="130"/>
      <c r="BE461" s="130"/>
      <c r="BF461" s="130"/>
      <c r="BG461" s="130"/>
      <c r="BH461" s="130"/>
      <c r="BI461" s="130"/>
      <c r="BJ461" s="130"/>
      <c r="BK461" s="130"/>
      <c r="BL461" s="130"/>
      <c r="BM461" s="130"/>
      <c r="BN461" s="130"/>
      <c r="BO461" s="130"/>
      <c r="BP461" s="130"/>
      <c r="BQ461" s="130"/>
      <c r="BR461" s="130"/>
      <c r="BS461" s="1155"/>
    </row>
    <row r="462" spans="5:71" s="474" customFormat="1">
      <c r="E462" s="4109"/>
      <c r="F462" s="1389" t="s">
        <v>35</v>
      </c>
      <c r="G462" s="255"/>
      <c r="H462" s="461"/>
      <c r="I462" s="461"/>
      <c r="J462" s="461"/>
      <c r="K462" s="281"/>
      <c r="L462" s="255"/>
      <c r="M462" s="461"/>
      <c r="N462" s="461"/>
      <c r="O462" s="461"/>
      <c r="P462" s="281"/>
      <c r="Q462" s="956"/>
      <c r="R462" s="461"/>
      <c r="S462" s="461"/>
      <c r="T462" s="461"/>
      <c r="U462" s="281"/>
      <c r="V462" s="1172"/>
      <c r="W462" s="255"/>
      <c r="X462" s="461"/>
      <c r="Y462" s="461"/>
      <c r="Z462" s="461"/>
      <c r="AA462" s="281"/>
      <c r="AB462" s="1004"/>
      <c r="AC462" s="255"/>
      <c r="AD462" s="461"/>
      <c r="AE462" s="461"/>
      <c r="AF462" s="461"/>
      <c r="AG462" s="461"/>
      <c r="AH462" s="1047"/>
      <c r="AI462" s="1172"/>
      <c r="AJ462" s="1155"/>
      <c r="AK462" s="1155"/>
      <c r="AL462" s="259"/>
      <c r="AM462" s="466"/>
      <c r="AN462" s="466"/>
      <c r="AO462" s="466"/>
      <c r="AP462" s="283"/>
      <c r="AQ462" s="259"/>
      <c r="AR462" s="466"/>
      <c r="AS462" s="283"/>
      <c r="AT462" s="1155"/>
      <c r="AU462" s="1155"/>
      <c r="AV462" s="1155"/>
      <c r="AW462" s="1155"/>
      <c r="AX462" s="1155"/>
      <c r="AY462" s="1155"/>
      <c r="AZ462" s="1155"/>
      <c r="BA462" s="1155"/>
      <c r="BB462" s="1155"/>
      <c r="BC462" s="1155"/>
      <c r="BD462" s="1155"/>
      <c r="BE462" s="1155"/>
      <c r="BF462" s="1155"/>
      <c r="BG462" s="1155"/>
      <c r="BH462" s="1155"/>
      <c r="BI462" s="1155"/>
      <c r="BJ462" s="1155"/>
      <c r="BK462" s="1155"/>
      <c r="BL462" s="1155"/>
      <c r="BM462" s="1155"/>
      <c r="BN462" s="1155"/>
      <c r="BO462" s="1155"/>
      <c r="BP462" s="1155"/>
      <c r="BQ462" s="1155"/>
      <c r="BR462" s="1155"/>
      <c r="BS462" s="1155"/>
    </row>
    <row r="463" spans="5:71" s="474" customFormat="1" ht="13.5" thickBot="1">
      <c r="E463" s="4109"/>
      <c r="F463" s="1387" t="s">
        <v>585</v>
      </c>
      <c r="G463" s="1055">
        <v>0</v>
      </c>
      <c r="H463" s="1056">
        <v>0</v>
      </c>
      <c r="I463" s="1056">
        <v>0</v>
      </c>
      <c r="J463" s="1056">
        <v>0</v>
      </c>
      <c r="K463" s="1057">
        <v>0</v>
      </c>
      <c r="L463" s="1567">
        <f>L461-L462</f>
        <v>0</v>
      </c>
      <c r="M463" s="1056">
        <f t="shared" ref="M463" si="2012">M461-M462</f>
        <v>1663383.6700000002</v>
      </c>
      <c r="N463" s="1056">
        <f t="shared" ref="N463" si="2013">N461-N462</f>
        <v>0</v>
      </c>
      <c r="O463" s="1056">
        <f t="shared" ref="O463" si="2014">O461-O462</f>
        <v>0</v>
      </c>
      <c r="P463" s="1057">
        <f t="shared" ref="P463" si="2015">P461-P462</f>
        <v>0</v>
      </c>
      <c r="Q463" s="1093">
        <f t="shared" ref="Q463" si="2016">Q461-Q462</f>
        <v>0</v>
      </c>
      <c r="R463" s="1056">
        <f t="shared" ref="R463" si="2017">R461-R462</f>
        <v>0</v>
      </c>
      <c r="S463" s="1056">
        <f t="shared" ref="S463" si="2018">S461-S462</f>
        <v>0</v>
      </c>
      <c r="T463" s="1056">
        <f t="shared" ref="T463" si="2019">T461-T462</f>
        <v>0</v>
      </c>
      <c r="U463" s="1057">
        <f t="shared" ref="U463" si="2020">U461-U462</f>
        <v>0</v>
      </c>
      <c r="V463" s="1172"/>
      <c r="W463" s="1055">
        <f t="shared" ref="W463" si="2021">W461-W462</f>
        <v>0</v>
      </c>
      <c r="X463" s="1056">
        <f t="shared" ref="X463" si="2022">X461-X462</f>
        <v>0</v>
      </c>
      <c r="Y463" s="1056">
        <f t="shared" ref="Y463" si="2023">Y461-Y462</f>
        <v>0</v>
      </c>
      <c r="Z463" s="1056">
        <f t="shared" ref="Z463" si="2024">Z461-Z462</f>
        <v>0</v>
      </c>
      <c r="AA463" s="1057">
        <f t="shared" ref="AA463" si="2025">AA461-AA462</f>
        <v>0</v>
      </c>
      <c r="AB463" s="1075"/>
      <c r="AC463" s="1055">
        <f t="shared" ref="AC463" si="2026">AC461-AC462</f>
        <v>0</v>
      </c>
      <c r="AD463" s="1056">
        <f t="shared" ref="AD463" si="2027">AD461-AD462</f>
        <v>0</v>
      </c>
      <c r="AE463" s="1056">
        <f t="shared" ref="AE463" si="2028">AE461-AE462</f>
        <v>0</v>
      </c>
      <c r="AF463" s="1056">
        <f t="shared" ref="AF463" si="2029">AF461-AF462</f>
        <v>0</v>
      </c>
      <c r="AG463" s="1056">
        <f t="shared" ref="AG463" si="2030">AG461-AG462</f>
        <v>0</v>
      </c>
      <c r="AH463" s="1059"/>
      <c r="AI463" s="1172"/>
      <c r="AJ463" s="1155"/>
      <c r="AK463" s="1155"/>
      <c r="AL463" s="1567">
        <f>AL461-AL462</f>
        <v>0</v>
      </c>
      <c r="AM463" s="1056">
        <f t="shared" ref="AM463:AR463" si="2031">AM461-AM462</f>
        <v>0</v>
      </c>
      <c r="AN463" s="1056">
        <f t="shared" si="2031"/>
        <v>0</v>
      </c>
      <c r="AO463" s="1056">
        <f t="shared" si="2031"/>
        <v>0</v>
      </c>
      <c r="AP463" s="1057">
        <f t="shared" si="2031"/>
        <v>0</v>
      </c>
      <c r="AQ463" s="1567">
        <f t="shared" si="2031"/>
        <v>0</v>
      </c>
      <c r="AR463" s="1056">
        <f t="shared" si="2031"/>
        <v>0</v>
      </c>
      <c r="AS463" s="1057"/>
      <c r="AT463" s="1155"/>
      <c r="AU463" s="1155"/>
      <c r="AV463" s="1155"/>
      <c r="AW463" s="1155"/>
      <c r="AX463" s="1155"/>
      <c r="AY463" s="1155"/>
      <c r="AZ463" s="1155"/>
      <c r="BA463" s="1155"/>
      <c r="BB463" s="1155"/>
      <c r="BC463" s="1155"/>
      <c r="BD463" s="1155"/>
      <c r="BE463" s="1155"/>
      <c r="BF463" s="1155"/>
      <c r="BG463" s="1155"/>
      <c r="BH463" s="1155"/>
      <c r="BI463" s="1155"/>
      <c r="BJ463" s="1155"/>
      <c r="BK463" s="1155"/>
      <c r="BL463" s="1155"/>
      <c r="BM463" s="1155"/>
      <c r="BN463" s="1155"/>
      <c r="BO463" s="1155"/>
      <c r="BP463" s="1155"/>
      <c r="BQ463" s="1155"/>
      <c r="BR463" s="1155"/>
      <c r="BS463" s="1155"/>
    </row>
    <row r="464" spans="5:71" s="474" customFormat="1" ht="12.75" customHeight="1">
      <c r="E464" s="4110" t="s">
        <v>1503</v>
      </c>
      <c r="F464" s="433" t="s">
        <v>111</v>
      </c>
      <c r="G464" s="1086"/>
      <c r="H464" s="1087"/>
      <c r="I464" s="1087"/>
      <c r="J464" s="1087"/>
      <c r="K464" s="1088"/>
      <c r="L464" s="258"/>
      <c r="M464" s="465"/>
      <c r="N464" s="465"/>
      <c r="O464" s="465"/>
      <c r="P464" s="282"/>
      <c r="Q464" s="965"/>
      <c r="R464" s="465"/>
      <c r="S464" s="465"/>
      <c r="T464" s="465"/>
      <c r="U464" s="282"/>
      <c r="V464" s="1172"/>
      <c r="W464" s="1043"/>
      <c r="X464" s="421"/>
      <c r="Y464" s="421"/>
      <c r="Z464" s="421"/>
      <c r="AA464" s="1044"/>
      <c r="AB464" s="1045"/>
      <c r="AC464" s="1043"/>
      <c r="AD464" s="421"/>
      <c r="AE464" s="421"/>
      <c r="AF464" s="421"/>
      <c r="AG464" s="421"/>
      <c r="AH464" s="1046"/>
      <c r="AI464" s="1172"/>
      <c r="AJ464" s="1155"/>
      <c r="AK464" s="1155"/>
      <c r="AL464" s="1086"/>
      <c r="AM464" s="1087"/>
      <c r="AN464" s="1087"/>
      <c r="AO464" s="1087"/>
      <c r="AP464" s="1088"/>
      <c r="AQ464" s="258"/>
      <c r="AR464" s="465"/>
      <c r="AS464" s="282"/>
      <c r="AT464" s="1155"/>
      <c r="AU464" s="1155"/>
      <c r="AV464" s="1155"/>
      <c r="AW464" s="1155"/>
      <c r="AX464" s="1155"/>
      <c r="AY464" s="1155"/>
      <c r="AZ464" s="1155"/>
      <c r="BA464" s="1155"/>
      <c r="BB464" s="1155"/>
      <c r="BC464" s="1155"/>
      <c r="BD464" s="1155"/>
      <c r="BE464" s="1155"/>
      <c r="BF464" s="1155"/>
      <c r="BG464" s="1155"/>
      <c r="BH464" s="1155"/>
      <c r="BI464" s="1155"/>
      <c r="BJ464" s="1155"/>
      <c r="BK464" s="1155"/>
      <c r="BL464" s="1155"/>
      <c r="BM464" s="1155"/>
      <c r="BN464" s="1155"/>
      <c r="BO464" s="1155"/>
      <c r="BP464" s="1155"/>
      <c r="BQ464" s="1155"/>
      <c r="BR464" s="1155"/>
      <c r="BS464" s="1155"/>
    </row>
    <row r="465" spans="5:71" s="474" customFormat="1" ht="12.75" customHeight="1">
      <c r="E465" s="4109"/>
      <c r="F465" s="1374" t="s">
        <v>588</v>
      </c>
      <c r="G465" s="1083"/>
      <c r="H465" s="1084"/>
      <c r="I465" s="1084"/>
      <c r="J465" s="1084"/>
      <c r="K465" s="1085"/>
      <c r="L465" s="255"/>
      <c r="M465" s="461">
        <v>7422</v>
      </c>
      <c r="N465" s="461"/>
      <c r="O465" s="461"/>
      <c r="P465" s="281"/>
      <c r="Q465" s="956"/>
      <c r="R465" s="461"/>
      <c r="S465" s="461"/>
      <c r="T465" s="461"/>
      <c r="U465" s="281"/>
      <c r="V465" s="1172"/>
      <c r="W465" s="255"/>
      <c r="X465" s="461"/>
      <c r="Y465" s="461"/>
      <c r="Z465" s="461"/>
      <c r="AA465" s="281"/>
      <c r="AB465" s="1041"/>
      <c r="AC465" s="255"/>
      <c r="AD465" s="461"/>
      <c r="AE465" s="461"/>
      <c r="AF465" s="461"/>
      <c r="AG465" s="461"/>
      <c r="AH465" s="1047"/>
      <c r="AI465" s="1172"/>
      <c r="AJ465" s="1155"/>
      <c r="AK465" s="1155"/>
      <c r="AL465" s="1083"/>
      <c r="AM465" s="1084"/>
      <c r="AN465" s="1084"/>
      <c r="AO465" s="1084"/>
      <c r="AP465" s="1085"/>
      <c r="AQ465" s="259"/>
      <c r="AR465" s="466"/>
      <c r="AS465" s="283"/>
      <c r="AT465" s="1155"/>
      <c r="AU465" s="1155"/>
      <c r="AV465" s="1155"/>
      <c r="AW465" s="1155"/>
      <c r="AX465" s="1155"/>
      <c r="AY465" s="1155"/>
      <c r="AZ465" s="1155"/>
      <c r="BA465" s="1155"/>
      <c r="BB465" s="1155"/>
      <c r="BC465" s="1155"/>
      <c r="BD465" s="1155"/>
      <c r="BE465" s="1155"/>
      <c r="BF465" s="1155"/>
      <c r="BG465" s="1155"/>
      <c r="BH465" s="1155"/>
      <c r="BI465" s="1155"/>
      <c r="BJ465" s="1155"/>
      <c r="BK465" s="1155"/>
      <c r="BL465" s="1155"/>
      <c r="BM465" s="1155"/>
      <c r="BN465" s="1155"/>
      <c r="BO465" s="1155"/>
      <c r="BP465" s="1155"/>
      <c r="BQ465" s="1155"/>
      <c r="BR465" s="1155"/>
      <c r="BS465" s="1155"/>
    </row>
    <row r="466" spans="5:71" s="474" customFormat="1" ht="12.75" customHeight="1">
      <c r="E466" s="4109"/>
      <c r="F466" s="1374" t="s">
        <v>589</v>
      </c>
      <c r="G466" s="1083"/>
      <c r="H466" s="1084"/>
      <c r="I466" s="1084"/>
      <c r="J466" s="1084"/>
      <c r="K466" s="1085"/>
      <c r="L466" s="255"/>
      <c r="M466" s="461"/>
      <c r="N466" s="461"/>
      <c r="O466" s="461"/>
      <c r="P466" s="281"/>
      <c r="Q466" s="956"/>
      <c r="R466" s="461"/>
      <c r="S466" s="461"/>
      <c r="T466" s="461"/>
      <c r="U466" s="281"/>
      <c r="V466" s="1172"/>
      <c r="W466" s="255"/>
      <c r="X466" s="461"/>
      <c r="Y466" s="461"/>
      <c r="Z466" s="461"/>
      <c r="AA466" s="281"/>
      <c r="AB466" s="1041"/>
      <c r="AC466" s="255"/>
      <c r="AD466" s="461"/>
      <c r="AE466" s="461"/>
      <c r="AF466" s="461"/>
      <c r="AG466" s="461"/>
      <c r="AH466" s="1047"/>
      <c r="AI466" s="1172"/>
      <c r="AJ466" s="1155"/>
      <c r="AK466" s="1155"/>
      <c r="AL466" s="1083"/>
      <c r="AM466" s="1084"/>
      <c r="AN466" s="1084"/>
      <c r="AO466" s="1084"/>
      <c r="AP466" s="1085"/>
      <c r="AQ466" s="259"/>
      <c r="AR466" s="466"/>
      <c r="AS466" s="283"/>
      <c r="AT466" s="1155"/>
      <c r="AU466" s="1155"/>
      <c r="AV466" s="1155"/>
      <c r="AW466" s="1155"/>
      <c r="AX466" s="1155"/>
      <c r="AY466" s="1155"/>
      <c r="AZ466" s="1155"/>
      <c r="BA466" s="1155"/>
      <c r="BB466" s="1155"/>
      <c r="BC466" s="1155"/>
      <c r="BD466" s="1155"/>
      <c r="BE466" s="1155"/>
      <c r="BF466" s="1155"/>
      <c r="BG466" s="1155"/>
      <c r="BH466" s="1155"/>
      <c r="BI466" s="1155"/>
      <c r="BJ466" s="1155"/>
      <c r="BK466" s="1155"/>
      <c r="BL466" s="1155"/>
      <c r="BM466" s="1155"/>
      <c r="BN466" s="1155"/>
      <c r="BO466" s="1155"/>
      <c r="BP466" s="1155"/>
      <c r="BQ466" s="1155"/>
      <c r="BR466" s="1155"/>
      <c r="BS466" s="1155"/>
    </row>
    <row r="467" spans="5:71" s="474" customFormat="1" ht="12.75" customHeight="1">
      <c r="E467" s="4109"/>
      <c r="F467" s="1374" t="s">
        <v>590</v>
      </c>
      <c r="G467" s="1083"/>
      <c r="H467" s="1084"/>
      <c r="I467" s="1084"/>
      <c r="J467" s="1084"/>
      <c r="K467" s="1085"/>
      <c r="L467" s="255"/>
      <c r="M467" s="461"/>
      <c r="N467" s="461"/>
      <c r="O467" s="461"/>
      <c r="P467" s="281"/>
      <c r="Q467" s="956"/>
      <c r="R467" s="461"/>
      <c r="S467" s="461"/>
      <c r="T467" s="461"/>
      <c r="U467" s="281"/>
      <c r="V467" s="1172"/>
      <c r="W467" s="255"/>
      <c r="X467" s="461"/>
      <c r="Y467" s="461"/>
      <c r="Z467" s="461"/>
      <c r="AA467" s="281"/>
      <c r="AB467" s="1041"/>
      <c r="AC467" s="255"/>
      <c r="AD467" s="461"/>
      <c r="AE467" s="461"/>
      <c r="AF467" s="461"/>
      <c r="AG467" s="461"/>
      <c r="AH467" s="1047"/>
      <c r="AI467" s="1172"/>
      <c r="AJ467" s="1155"/>
      <c r="AK467" s="1155"/>
      <c r="AL467" s="1083"/>
      <c r="AM467" s="1084"/>
      <c r="AN467" s="1084"/>
      <c r="AO467" s="1084"/>
      <c r="AP467" s="1085"/>
      <c r="AQ467" s="259"/>
      <c r="AR467" s="466"/>
      <c r="AS467" s="283"/>
      <c r="AT467" s="1155"/>
      <c r="AU467" s="1155"/>
      <c r="AV467" s="1155"/>
      <c r="AW467" s="1155"/>
      <c r="AX467" s="1155"/>
      <c r="AY467" s="1155"/>
      <c r="AZ467" s="1155"/>
      <c r="BA467" s="1155"/>
      <c r="BB467" s="1155"/>
      <c r="BC467" s="1155"/>
      <c r="BD467" s="1155"/>
      <c r="BE467" s="1155"/>
      <c r="BF467" s="1155"/>
      <c r="BG467" s="1155"/>
      <c r="BH467" s="1155"/>
      <c r="BI467" s="1155"/>
      <c r="BJ467" s="1155"/>
      <c r="BK467" s="1155"/>
      <c r="BL467" s="1155"/>
      <c r="BM467" s="1155"/>
      <c r="BN467" s="1155"/>
      <c r="BO467" s="1155"/>
      <c r="BP467" s="1155"/>
      <c r="BQ467" s="1155"/>
      <c r="BR467" s="1155"/>
      <c r="BS467" s="1155"/>
    </row>
    <row r="468" spans="5:71" s="474" customFormat="1" ht="12.75" customHeight="1">
      <c r="E468" s="4109"/>
      <c r="F468" s="1374" t="s">
        <v>591</v>
      </c>
      <c r="G468" s="1083"/>
      <c r="H468" s="1084"/>
      <c r="I468" s="1084"/>
      <c r="J468" s="1084"/>
      <c r="K468" s="1085"/>
      <c r="L468" s="255"/>
      <c r="M468" s="461"/>
      <c r="N468" s="461"/>
      <c r="O468" s="461"/>
      <c r="P468" s="281"/>
      <c r="Q468" s="956"/>
      <c r="R468" s="461"/>
      <c r="S468" s="461"/>
      <c r="T468" s="461"/>
      <c r="U468" s="281"/>
      <c r="V468" s="1172"/>
      <c r="W468" s="255"/>
      <c r="X468" s="461"/>
      <c r="Y468" s="461"/>
      <c r="Z468" s="461"/>
      <c r="AA468" s="281"/>
      <c r="AB468" s="1041"/>
      <c r="AC468" s="255"/>
      <c r="AD468" s="461"/>
      <c r="AE468" s="461"/>
      <c r="AF468" s="461"/>
      <c r="AG468" s="461"/>
      <c r="AH468" s="1047"/>
      <c r="AI468" s="1172"/>
      <c r="AJ468" s="1155"/>
      <c r="AK468" s="1155"/>
      <c r="AL468" s="1083"/>
      <c r="AM468" s="1084"/>
      <c r="AN468" s="1084"/>
      <c r="AO468" s="1084"/>
      <c r="AP468" s="1085"/>
      <c r="AQ468" s="259"/>
      <c r="AR468" s="466"/>
      <c r="AS468" s="283"/>
      <c r="AT468" s="1155"/>
      <c r="AU468" s="1155"/>
      <c r="AV468" s="1155"/>
      <c r="AW468" s="1155"/>
      <c r="AX468" s="1155"/>
      <c r="AY468" s="1155"/>
      <c r="AZ468" s="1155"/>
      <c r="BA468" s="1155"/>
      <c r="BB468" s="1155"/>
      <c r="BC468" s="1155"/>
      <c r="BD468" s="1155"/>
      <c r="BE468" s="1155"/>
      <c r="BF468" s="1155"/>
      <c r="BG468" s="1155"/>
      <c r="BH468" s="1155"/>
      <c r="BI468" s="1155"/>
      <c r="BJ468" s="1155"/>
      <c r="BK468" s="1155"/>
      <c r="BL468" s="1155"/>
      <c r="BM468" s="1155"/>
      <c r="BN468" s="1155"/>
      <c r="BO468" s="1155"/>
      <c r="BP468" s="1155"/>
      <c r="BQ468" s="1155"/>
      <c r="BR468" s="1155"/>
      <c r="BS468" s="1155"/>
    </row>
    <row r="469" spans="5:71" s="474" customFormat="1" ht="12.75" customHeight="1">
      <c r="E469" s="4109"/>
      <c r="F469" s="1374" t="s">
        <v>592</v>
      </c>
      <c r="G469" s="1083"/>
      <c r="H469" s="1084"/>
      <c r="I469" s="1084"/>
      <c r="J469" s="1084"/>
      <c r="K469" s="1085"/>
      <c r="L469" s="207"/>
      <c r="M469" s="456"/>
      <c r="N469" s="456"/>
      <c r="O469" s="456"/>
      <c r="P469" s="457"/>
      <c r="Q469" s="224"/>
      <c r="R469" s="456"/>
      <c r="S469" s="456"/>
      <c r="T469" s="456"/>
      <c r="U469" s="457"/>
      <c r="V469" s="1172"/>
      <c r="W469" s="207">
        <v>0</v>
      </c>
      <c r="X469" s="456">
        <v>0</v>
      </c>
      <c r="Y469" s="456">
        <v>0</v>
      </c>
      <c r="Z469" s="456">
        <v>0</v>
      </c>
      <c r="AA469" s="457">
        <v>0</v>
      </c>
      <c r="AB469" s="1041"/>
      <c r="AC469" s="207">
        <v>0</v>
      </c>
      <c r="AD469" s="456">
        <v>0</v>
      </c>
      <c r="AE469" s="456">
        <v>0</v>
      </c>
      <c r="AF469" s="456">
        <v>0</v>
      </c>
      <c r="AG469" s="456">
        <v>0</v>
      </c>
      <c r="AH469" s="1048"/>
      <c r="AI469" s="1172"/>
      <c r="AJ469" s="1155"/>
      <c r="AK469" s="1155"/>
      <c r="AL469" s="1083"/>
      <c r="AM469" s="1084"/>
      <c r="AN469" s="1084"/>
      <c r="AO469" s="1084"/>
      <c r="AP469" s="1085"/>
      <c r="AQ469" s="207">
        <f>SUM(AQ464:AQ468)</f>
        <v>0</v>
      </c>
      <c r="AR469" s="456">
        <f t="shared" ref="AR469" si="2032">SUM(AR464:AR468)</f>
        <v>0</v>
      </c>
      <c r="AS469" s="457"/>
      <c r="AT469" s="1155"/>
      <c r="AU469" s="1155"/>
      <c r="AV469" s="1155"/>
      <c r="AW469" s="1155"/>
      <c r="AX469" s="1155"/>
      <c r="AY469" s="1155"/>
      <c r="AZ469" s="1155"/>
      <c r="BA469" s="1155"/>
      <c r="BB469" s="1155"/>
      <c r="BC469" s="1155"/>
      <c r="BD469" s="1155"/>
      <c r="BE469" s="1155"/>
      <c r="BF469" s="1155"/>
      <c r="BG469" s="1155"/>
      <c r="BH469" s="1155"/>
      <c r="BI469" s="1155"/>
      <c r="BJ469" s="1155"/>
      <c r="BK469" s="1155"/>
      <c r="BL469" s="1155"/>
      <c r="BM469" s="1155"/>
      <c r="BN469" s="1155"/>
      <c r="BO469" s="1155"/>
      <c r="BP469" s="1155"/>
      <c r="BQ469" s="1155"/>
      <c r="BR469" s="1155"/>
      <c r="BS469" s="1155"/>
    </row>
    <row r="470" spans="5:71" s="474" customFormat="1">
      <c r="E470" s="4109"/>
      <c r="F470" s="1375" t="s">
        <v>587</v>
      </c>
      <c r="G470" s="1086"/>
      <c r="H470" s="1087"/>
      <c r="I470" s="1087"/>
      <c r="J470" s="1087"/>
      <c r="K470" s="1088"/>
      <c r="L470" s="258">
        <f>SUM(L465:L469)</f>
        <v>0</v>
      </c>
      <c r="M470" s="465">
        <f t="shared" ref="M470" si="2033">SUM(M465:M469)</f>
        <v>7422</v>
      </c>
      <c r="N470" s="465">
        <f t="shared" ref="N470" si="2034">SUM(N465:N469)</f>
        <v>0</v>
      </c>
      <c r="O470" s="465">
        <f t="shared" ref="O470" si="2035">SUM(O465:O469)</f>
        <v>0</v>
      </c>
      <c r="P470" s="282">
        <f t="shared" ref="P470" si="2036">SUM(P465:P469)</f>
        <v>0</v>
      </c>
      <c r="Q470" s="965">
        <f t="shared" ref="Q470" si="2037">SUM(Q465:Q469)</f>
        <v>0</v>
      </c>
      <c r="R470" s="465">
        <f t="shared" ref="R470" si="2038">SUM(R465:R469)</f>
        <v>0</v>
      </c>
      <c r="S470" s="465">
        <f t="shared" ref="S470" si="2039">SUM(S465:S469)</f>
        <v>0</v>
      </c>
      <c r="T470" s="465">
        <f t="shared" ref="T470" si="2040">SUM(T465:T469)</f>
        <v>0</v>
      </c>
      <c r="U470" s="282">
        <f t="shared" ref="U470" si="2041">SUM(U465:U469)</f>
        <v>0</v>
      </c>
      <c r="V470" s="1172"/>
      <c r="W470" s="258">
        <f t="shared" ref="W470" si="2042">SUM(W465:W469)</f>
        <v>0</v>
      </c>
      <c r="X470" s="465">
        <f t="shared" ref="X470" si="2043">SUM(X465:X469)</f>
        <v>0</v>
      </c>
      <c r="Y470" s="465">
        <f t="shared" ref="Y470" si="2044">SUM(Y465:Y469)</f>
        <v>0</v>
      </c>
      <c r="Z470" s="465">
        <f t="shared" ref="Z470" si="2045">SUM(Z465:Z469)</f>
        <v>0</v>
      </c>
      <c r="AA470" s="282">
        <f t="shared" ref="AA470" si="2046">SUM(AA465:AA469)</f>
        <v>0</v>
      </c>
      <c r="AB470" s="992"/>
      <c r="AC470" s="258">
        <f t="shared" ref="AC470" si="2047">SUM(AC465:AC469)</f>
        <v>0</v>
      </c>
      <c r="AD470" s="465">
        <f t="shared" ref="AD470" si="2048">SUM(AD465:AD469)</f>
        <v>0</v>
      </c>
      <c r="AE470" s="465">
        <f t="shared" ref="AE470" si="2049">SUM(AE465:AE469)</f>
        <v>0</v>
      </c>
      <c r="AF470" s="465">
        <f t="shared" ref="AF470" si="2050">SUM(AF465:AF469)</f>
        <v>0</v>
      </c>
      <c r="AG470" s="465">
        <f t="shared" ref="AG470" si="2051">SUM(AG465:AG469)</f>
        <v>0</v>
      </c>
      <c r="AH470" s="1049"/>
      <c r="AI470" s="1172"/>
      <c r="AJ470" s="1155"/>
      <c r="AK470" s="1155"/>
      <c r="AL470" s="1086"/>
      <c r="AM470" s="1087"/>
      <c r="AN470" s="1087"/>
      <c r="AO470" s="1087"/>
      <c r="AP470" s="1088"/>
      <c r="AQ470" s="258"/>
      <c r="AR470" s="465"/>
      <c r="AS470" s="282"/>
      <c r="AT470" s="1155"/>
      <c r="AU470" s="1155"/>
      <c r="AV470" s="1155"/>
      <c r="AW470" s="1155"/>
      <c r="AX470" s="1155"/>
      <c r="AY470" s="1155"/>
      <c r="AZ470" s="1155"/>
      <c r="BA470" s="1155"/>
      <c r="BB470" s="1155"/>
      <c r="BC470" s="1155"/>
      <c r="BD470" s="1155"/>
      <c r="BE470" s="1155"/>
      <c r="BF470" s="1155"/>
      <c r="BG470" s="1155"/>
      <c r="BH470" s="1155"/>
      <c r="BI470" s="1155"/>
      <c r="BJ470" s="1155"/>
      <c r="BK470" s="1155"/>
      <c r="BL470" s="1155"/>
      <c r="BM470" s="1155"/>
      <c r="BN470" s="1155"/>
      <c r="BO470" s="1155"/>
      <c r="BP470" s="1155"/>
      <c r="BQ470" s="1155"/>
      <c r="BR470" s="1155"/>
      <c r="BS470" s="1155"/>
    </row>
    <row r="471" spans="5:71" s="474" customFormat="1">
      <c r="E471" s="4109"/>
      <c r="F471" s="1376" t="s">
        <v>593</v>
      </c>
      <c r="G471" s="1083"/>
      <c r="H471" s="1084"/>
      <c r="I471" s="1084"/>
      <c r="J471" s="1084"/>
      <c r="K471" s="1085"/>
      <c r="L471" s="255"/>
      <c r="M471" s="461"/>
      <c r="N471" s="461"/>
      <c r="O471" s="461"/>
      <c r="P471" s="281"/>
      <c r="Q471" s="956"/>
      <c r="R471" s="461"/>
      <c r="S471" s="461"/>
      <c r="T471" s="461"/>
      <c r="U471" s="281"/>
      <c r="V471" s="1172"/>
      <c r="W471" s="255"/>
      <c r="X471" s="461"/>
      <c r="Y471" s="461"/>
      <c r="Z471" s="461"/>
      <c r="AA471" s="281"/>
      <c r="AB471" s="1041"/>
      <c r="AC471" s="255"/>
      <c r="AD471" s="461"/>
      <c r="AE471" s="461"/>
      <c r="AF471" s="461"/>
      <c r="AG471" s="461"/>
      <c r="AH471" s="1047"/>
      <c r="AI471" s="1172"/>
      <c r="AJ471" s="1155"/>
      <c r="AK471" s="1155"/>
      <c r="AL471" s="1083"/>
      <c r="AM471" s="1084"/>
      <c r="AN471" s="1084"/>
      <c r="AO471" s="1084"/>
      <c r="AP471" s="1085"/>
      <c r="AQ471" s="259"/>
      <c r="AR471" s="466"/>
      <c r="AS471" s="283"/>
      <c r="AT471" s="1155"/>
      <c r="AU471" s="1155"/>
      <c r="AV471" s="1155"/>
      <c r="AW471" s="1155"/>
      <c r="AX471" s="1155"/>
      <c r="AY471" s="1155"/>
      <c r="AZ471" s="1155"/>
      <c r="BA471" s="1155"/>
      <c r="BB471" s="1155"/>
      <c r="BC471" s="1155"/>
      <c r="BD471" s="1155"/>
      <c r="BE471" s="1155"/>
      <c r="BF471" s="1155"/>
      <c r="BG471" s="1155"/>
      <c r="BH471" s="1155"/>
      <c r="BI471" s="1155"/>
      <c r="BJ471" s="1155"/>
      <c r="BK471" s="1155"/>
      <c r="BL471" s="1155"/>
      <c r="BM471" s="1155"/>
      <c r="BN471" s="1155"/>
      <c r="BO471" s="1155"/>
      <c r="BP471" s="1155"/>
      <c r="BQ471" s="1155"/>
      <c r="BR471" s="1155"/>
      <c r="BS471" s="1155"/>
    </row>
    <row r="472" spans="5:71" s="474" customFormat="1">
      <c r="E472" s="4109"/>
      <c r="F472" s="431" t="s">
        <v>558</v>
      </c>
      <c r="G472" s="1083"/>
      <c r="H472" s="1084"/>
      <c r="I472" s="1084"/>
      <c r="J472" s="1084"/>
      <c r="K472" s="1085"/>
      <c r="L472" s="255"/>
      <c r="M472" s="461">
        <v>940575.3600000001</v>
      </c>
      <c r="N472" s="461"/>
      <c r="O472" s="461"/>
      <c r="P472" s="281"/>
      <c r="Q472" s="956"/>
      <c r="R472" s="461"/>
      <c r="S472" s="461"/>
      <c r="T472" s="461"/>
      <c r="U472" s="281"/>
      <c r="V472" s="1172"/>
      <c r="W472" s="255"/>
      <c r="X472" s="461"/>
      <c r="Y472" s="461"/>
      <c r="Z472" s="461"/>
      <c r="AA472" s="281"/>
      <c r="AB472" s="1041"/>
      <c r="AC472" s="255"/>
      <c r="AD472" s="461"/>
      <c r="AE472" s="461"/>
      <c r="AF472" s="461"/>
      <c r="AG472" s="461"/>
      <c r="AH472" s="1047"/>
      <c r="AI472" s="1172"/>
      <c r="AJ472" s="1155"/>
      <c r="AK472" s="1155"/>
      <c r="AL472" s="1083"/>
      <c r="AM472" s="1084"/>
      <c r="AN472" s="1084"/>
      <c r="AO472" s="1084"/>
      <c r="AP472" s="1085"/>
      <c r="AQ472" s="259"/>
      <c r="AR472" s="466"/>
      <c r="AS472" s="283"/>
      <c r="AT472" s="1155"/>
      <c r="AU472" s="1155"/>
      <c r="AV472" s="1155"/>
      <c r="AW472" s="1155"/>
      <c r="AX472" s="1155"/>
      <c r="AY472" s="1155"/>
      <c r="AZ472" s="1155"/>
      <c r="BA472" s="1155"/>
      <c r="BB472" s="1155"/>
      <c r="BC472" s="1155"/>
      <c r="BD472" s="1155"/>
      <c r="BE472" s="1155"/>
      <c r="BF472" s="1155"/>
      <c r="BG472" s="1155"/>
      <c r="BH472" s="1155"/>
      <c r="BI472" s="1155"/>
      <c r="BJ472" s="1155"/>
      <c r="BK472" s="1155"/>
      <c r="BL472" s="1155"/>
      <c r="BM472" s="1155"/>
      <c r="BN472" s="1155"/>
      <c r="BO472" s="1155"/>
      <c r="BP472" s="1155"/>
      <c r="BQ472" s="1155"/>
      <c r="BR472" s="1155"/>
      <c r="BS472" s="1155"/>
    </row>
    <row r="473" spans="5:71" s="474" customFormat="1">
      <c r="E473" s="4109"/>
      <c r="F473" s="431" t="s">
        <v>559</v>
      </c>
      <c r="G473" s="1083"/>
      <c r="H473" s="1084"/>
      <c r="I473" s="1084"/>
      <c r="J473" s="1084"/>
      <c r="K473" s="1085"/>
      <c r="L473" s="255"/>
      <c r="M473" s="461"/>
      <c r="N473" s="461"/>
      <c r="O473" s="461"/>
      <c r="P473" s="281"/>
      <c r="Q473" s="956"/>
      <c r="R473" s="461"/>
      <c r="S473" s="461"/>
      <c r="T473" s="461"/>
      <c r="U473" s="281"/>
      <c r="V473" s="1172"/>
      <c r="W473" s="255"/>
      <c r="X473" s="461"/>
      <c r="Y473" s="461"/>
      <c r="Z473" s="461"/>
      <c r="AA473" s="281"/>
      <c r="AB473" s="1041"/>
      <c r="AC473" s="255"/>
      <c r="AD473" s="461"/>
      <c r="AE473" s="461"/>
      <c r="AF473" s="461"/>
      <c r="AG473" s="461"/>
      <c r="AH473" s="1047"/>
      <c r="AI473" s="1172"/>
      <c r="AJ473" s="1155"/>
      <c r="AK473" s="1155"/>
      <c r="AL473" s="1083"/>
      <c r="AM473" s="1084"/>
      <c r="AN473" s="1084"/>
      <c r="AO473" s="1084"/>
      <c r="AP473" s="1085"/>
      <c r="AQ473" s="259"/>
      <c r="AR473" s="466"/>
      <c r="AS473" s="283"/>
      <c r="AT473" s="1155"/>
      <c r="AU473" s="1155"/>
      <c r="AV473" s="1155"/>
      <c r="AW473" s="1155"/>
      <c r="AX473" s="1155"/>
      <c r="AY473" s="1155"/>
      <c r="AZ473" s="1155"/>
      <c r="BA473" s="1155"/>
      <c r="BB473" s="1155"/>
      <c r="BC473" s="1155"/>
      <c r="BD473" s="1155"/>
      <c r="BE473" s="1155"/>
      <c r="BF473" s="1155"/>
      <c r="BG473" s="1155"/>
      <c r="BH473" s="1155"/>
      <c r="BI473" s="1155"/>
      <c r="BJ473" s="1155"/>
      <c r="BK473" s="1155"/>
      <c r="BL473" s="1155"/>
      <c r="BM473" s="1155"/>
      <c r="BN473" s="1155"/>
      <c r="BO473" s="1155"/>
      <c r="BP473" s="1155"/>
      <c r="BQ473" s="1155"/>
      <c r="BR473" s="1155"/>
      <c r="BS473" s="1155"/>
    </row>
    <row r="474" spans="5:71" s="474" customFormat="1">
      <c r="E474" s="4109"/>
      <c r="F474" s="431" t="s">
        <v>578</v>
      </c>
      <c r="G474" s="1089"/>
      <c r="H474" s="1090"/>
      <c r="I474" s="1090"/>
      <c r="J474" s="1090"/>
      <c r="K474" s="1091"/>
      <c r="L474" s="259"/>
      <c r="M474" s="456"/>
      <c r="N474" s="456"/>
      <c r="O474" s="456"/>
      <c r="P474" s="457"/>
      <c r="Q474" s="224"/>
      <c r="R474" s="456"/>
      <c r="S474" s="456"/>
      <c r="T474" s="456"/>
      <c r="U474" s="457"/>
      <c r="V474" s="1172"/>
      <c r="W474" s="207"/>
      <c r="X474" s="456"/>
      <c r="Y474" s="456"/>
      <c r="Z474" s="456"/>
      <c r="AA474" s="457"/>
      <c r="AB474" s="1041"/>
      <c r="AC474" s="207"/>
      <c r="AD474" s="456"/>
      <c r="AE474" s="456"/>
      <c r="AF474" s="456"/>
      <c r="AG474" s="456"/>
      <c r="AH474" s="1048"/>
      <c r="AI474" s="1172"/>
      <c r="AJ474" s="1155"/>
      <c r="AK474" s="1155"/>
      <c r="AL474" s="1089"/>
      <c r="AM474" s="1090"/>
      <c r="AN474" s="1090"/>
      <c r="AO474" s="1090"/>
      <c r="AP474" s="1091"/>
      <c r="AQ474" s="259"/>
      <c r="AR474" s="456"/>
      <c r="AS474" s="457"/>
      <c r="AT474" s="1155"/>
      <c r="AU474" s="1155"/>
      <c r="AV474" s="1155"/>
      <c r="AW474" s="1155"/>
      <c r="AX474" s="1155"/>
      <c r="AY474" s="1155"/>
      <c r="AZ474" s="1155"/>
      <c r="BA474" s="1155"/>
      <c r="BB474" s="1155"/>
      <c r="BC474" s="1155"/>
      <c r="BD474" s="1155"/>
      <c r="BE474" s="1155"/>
      <c r="BF474" s="1155"/>
      <c r="BG474" s="1155"/>
      <c r="BH474" s="1155"/>
      <c r="BI474" s="1155"/>
      <c r="BJ474" s="1155"/>
      <c r="BK474" s="1155"/>
      <c r="BL474" s="1155"/>
      <c r="BM474" s="1155"/>
      <c r="BN474" s="1155"/>
      <c r="BO474" s="1155"/>
      <c r="BP474" s="1155"/>
      <c r="BQ474" s="1155"/>
      <c r="BR474" s="1155"/>
      <c r="BS474" s="1155"/>
    </row>
    <row r="475" spans="5:71" s="474" customFormat="1">
      <c r="E475" s="4109"/>
      <c r="F475" s="1377" t="s">
        <v>579</v>
      </c>
      <c r="G475" s="1086"/>
      <c r="H475" s="1087"/>
      <c r="I475" s="1087"/>
      <c r="J475" s="1087"/>
      <c r="K475" s="1088"/>
      <c r="L475" s="258">
        <f>SUM(L471:L474)</f>
        <v>0</v>
      </c>
      <c r="M475" s="465">
        <f t="shared" ref="M475" si="2052">SUM(M471:M474)</f>
        <v>940575.3600000001</v>
      </c>
      <c r="N475" s="465">
        <f t="shared" ref="N475" si="2053">SUM(N471:N474)</f>
        <v>0</v>
      </c>
      <c r="O475" s="465">
        <f t="shared" ref="O475" si="2054">SUM(O471:O474)</f>
        <v>0</v>
      </c>
      <c r="P475" s="282">
        <f t="shared" ref="P475" si="2055">SUM(P471:P474)</f>
        <v>0</v>
      </c>
      <c r="Q475" s="965">
        <f t="shared" ref="Q475" si="2056">SUM(Q471:Q474)</f>
        <v>0</v>
      </c>
      <c r="R475" s="465">
        <f t="shared" ref="R475" si="2057">SUM(R471:R474)</f>
        <v>0</v>
      </c>
      <c r="S475" s="465">
        <f t="shared" ref="S475" si="2058">SUM(S471:S474)</f>
        <v>0</v>
      </c>
      <c r="T475" s="465">
        <f t="shared" ref="T475" si="2059">SUM(T471:T474)</f>
        <v>0</v>
      </c>
      <c r="U475" s="282">
        <f t="shared" ref="U475" si="2060">SUM(U471:U474)</f>
        <v>0</v>
      </c>
      <c r="V475" s="1172"/>
      <c r="W475" s="258">
        <f t="shared" ref="W475" si="2061">SUM(W471:W474)</f>
        <v>0</v>
      </c>
      <c r="X475" s="465">
        <f t="shared" ref="X475" si="2062">SUM(X471:X474)</f>
        <v>0</v>
      </c>
      <c r="Y475" s="465">
        <f t="shared" ref="Y475" si="2063">SUM(Y471:Y474)</f>
        <v>0</v>
      </c>
      <c r="Z475" s="465">
        <f t="shared" ref="Z475" si="2064">SUM(Z471:Z474)</f>
        <v>0</v>
      </c>
      <c r="AA475" s="282">
        <f t="shared" ref="AA475" si="2065">SUM(AA471:AA474)</f>
        <v>0</v>
      </c>
      <c r="AB475" s="992"/>
      <c r="AC475" s="258">
        <f t="shared" ref="AC475" si="2066">SUM(AC471:AC474)</f>
        <v>0</v>
      </c>
      <c r="AD475" s="465">
        <f t="shared" ref="AD475" si="2067">SUM(AD471:AD474)</f>
        <v>0</v>
      </c>
      <c r="AE475" s="465">
        <f t="shared" ref="AE475" si="2068">SUM(AE471:AE474)</f>
        <v>0</v>
      </c>
      <c r="AF475" s="465">
        <f t="shared" ref="AF475" si="2069">SUM(AF471:AF474)</f>
        <v>0</v>
      </c>
      <c r="AG475" s="465">
        <f t="shared" ref="AG475" si="2070">SUM(AG471:AG474)</f>
        <v>0</v>
      </c>
      <c r="AH475" s="1049"/>
      <c r="AI475" s="1172"/>
      <c r="AJ475" s="1155"/>
      <c r="AK475" s="1155"/>
      <c r="AL475" s="1086"/>
      <c r="AM475" s="1087"/>
      <c r="AN475" s="1087"/>
      <c r="AO475" s="1087"/>
      <c r="AP475" s="1088"/>
      <c r="AQ475" s="258">
        <f>SUM(AQ472:AQ474)</f>
        <v>0</v>
      </c>
      <c r="AR475" s="465">
        <f t="shared" ref="AR475" si="2071">SUM(AR472:AR474)</f>
        <v>0</v>
      </c>
      <c r="AS475" s="282"/>
      <c r="AT475" s="1155"/>
      <c r="AU475" s="1155"/>
      <c r="AV475" s="1155"/>
      <c r="AW475" s="1155"/>
      <c r="AX475" s="1155"/>
      <c r="AY475" s="1155"/>
      <c r="AZ475" s="1155"/>
      <c r="BA475" s="1155"/>
      <c r="BB475" s="1155"/>
      <c r="BC475" s="1155"/>
      <c r="BD475" s="1155"/>
      <c r="BE475" s="1155"/>
      <c r="BF475" s="1155"/>
      <c r="BG475" s="1155"/>
      <c r="BH475" s="1155"/>
      <c r="BI475" s="1155"/>
      <c r="BJ475" s="1155"/>
      <c r="BK475" s="1155"/>
      <c r="BL475" s="1155"/>
      <c r="BM475" s="1155"/>
      <c r="BN475" s="1155"/>
      <c r="BO475" s="1155"/>
      <c r="BP475" s="1155"/>
      <c r="BQ475" s="1155"/>
      <c r="BR475" s="1155"/>
      <c r="BS475" s="1155"/>
    </row>
    <row r="476" spans="5:71" s="474" customFormat="1" ht="13.5" thickBot="1">
      <c r="E476" s="4109"/>
      <c r="F476" s="1385" t="s">
        <v>583</v>
      </c>
      <c r="G476" s="255"/>
      <c r="H476" s="461"/>
      <c r="I476" s="461"/>
      <c r="J476" s="461"/>
      <c r="K476" s="281"/>
      <c r="L476" s="207"/>
      <c r="M476" s="456"/>
      <c r="N476" s="456"/>
      <c r="O476" s="456"/>
      <c r="P476" s="457"/>
      <c r="Q476" s="224"/>
      <c r="R476" s="456"/>
      <c r="S476" s="456"/>
      <c r="T476" s="456"/>
      <c r="U476" s="457"/>
      <c r="V476" s="1172"/>
      <c r="W476" s="207"/>
      <c r="X476" s="461"/>
      <c r="Y476" s="461"/>
      <c r="Z476" s="461"/>
      <c r="AA476" s="281"/>
      <c r="AB476" s="1041"/>
      <c r="AC476" s="207"/>
      <c r="AD476" s="456"/>
      <c r="AE476" s="456"/>
      <c r="AF476" s="456"/>
      <c r="AG476" s="456"/>
      <c r="AH476" s="1048"/>
      <c r="AI476" s="1172"/>
      <c r="AJ476" s="1155"/>
      <c r="AK476" s="1155"/>
      <c r="AL476" s="259"/>
      <c r="AM476" s="466"/>
      <c r="AN476" s="466"/>
      <c r="AO476" s="466"/>
      <c r="AP476" s="283"/>
      <c r="AQ476" s="259"/>
      <c r="AR476" s="466"/>
      <c r="AS476" s="283"/>
      <c r="AT476" s="1155"/>
      <c r="AU476" s="1155"/>
      <c r="AV476" s="1155"/>
      <c r="AW476" s="1155"/>
      <c r="AX476" s="1155"/>
      <c r="AY476" s="1155"/>
      <c r="AZ476" s="1155"/>
      <c r="BA476" s="1155"/>
      <c r="BB476" s="1155"/>
      <c r="BC476" s="1155"/>
      <c r="BD476" s="1155"/>
      <c r="BE476" s="1155"/>
      <c r="BF476" s="1155"/>
      <c r="BG476" s="1155"/>
      <c r="BH476" s="1155"/>
      <c r="BI476" s="1155"/>
      <c r="BJ476" s="1155"/>
      <c r="BK476" s="1155"/>
      <c r="BL476" s="1155"/>
      <c r="BM476" s="1155"/>
      <c r="BN476" s="1155"/>
      <c r="BO476" s="1155"/>
      <c r="BP476" s="1155"/>
      <c r="BQ476" s="1155"/>
      <c r="BR476" s="1155"/>
      <c r="BS476" s="1155"/>
    </row>
    <row r="477" spans="5:71" s="474" customFormat="1" ht="13.5" thickBot="1">
      <c r="E477" s="4109"/>
      <c r="F477" s="1384" t="s">
        <v>581</v>
      </c>
      <c r="G477" s="1599"/>
      <c r="H477" s="1600"/>
      <c r="I477" s="1600"/>
      <c r="J477" s="1600"/>
      <c r="K477" s="1601"/>
      <c r="L477" s="1599"/>
      <c r="M477" s="1600"/>
      <c r="N477" s="1600"/>
      <c r="O477" s="1600"/>
      <c r="P477" s="1601"/>
      <c r="Q477" s="1602"/>
      <c r="R477" s="1600"/>
      <c r="S477" s="1600"/>
      <c r="T477" s="1600"/>
      <c r="U477" s="1601"/>
      <c r="V477" s="1172"/>
      <c r="W477" s="1614"/>
      <c r="X477" s="1615"/>
      <c r="Y477" s="1615"/>
      <c r="Z477" s="1615"/>
      <c r="AA477" s="1615"/>
      <c r="AB477" s="1615"/>
      <c r="AC477" s="1615"/>
      <c r="AD477" s="1615"/>
      <c r="AE477" s="1615"/>
      <c r="AF477" s="1615"/>
      <c r="AG477" s="1615"/>
      <c r="AH477" s="1616"/>
      <c r="AI477" s="1172"/>
      <c r="AJ477" s="1155"/>
      <c r="AK477" s="1155"/>
      <c r="AL477" s="259"/>
      <c r="AM477" s="466"/>
      <c r="AN477" s="466"/>
      <c r="AO477" s="466"/>
      <c r="AP477" s="283"/>
      <c r="AQ477" s="259"/>
      <c r="AR477" s="466"/>
      <c r="AS477" s="283"/>
      <c r="AT477" s="1155"/>
      <c r="AU477" s="1155"/>
      <c r="AV477" s="1155"/>
      <c r="AW477" s="1155"/>
      <c r="AX477" s="1155"/>
      <c r="AY477" s="1155"/>
      <c r="AZ477" s="1155"/>
      <c r="BA477" s="1155"/>
      <c r="BB477" s="1155"/>
      <c r="BC477" s="1155"/>
      <c r="BD477" s="1155"/>
      <c r="BE477" s="1155"/>
      <c r="BF477" s="1155"/>
      <c r="BG477" s="1155"/>
      <c r="BH477" s="1155"/>
      <c r="BI477" s="1155"/>
      <c r="BJ477" s="1155"/>
      <c r="BK477" s="1155"/>
      <c r="BL477" s="1155"/>
      <c r="BM477" s="1155"/>
      <c r="BN477" s="1155"/>
      <c r="BO477" s="1155"/>
      <c r="BP477" s="1155"/>
      <c r="BQ477" s="1155"/>
      <c r="BR477" s="1155"/>
      <c r="BS477" s="1155"/>
    </row>
    <row r="478" spans="5:71" s="474" customFormat="1">
      <c r="E478" s="4109"/>
      <c r="F478" s="1386" t="s">
        <v>584</v>
      </c>
      <c r="G478" s="1050">
        <v>0</v>
      </c>
      <c r="H478" s="1051">
        <v>0</v>
      </c>
      <c r="I478" s="1051">
        <v>0</v>
      </c>
      <c r="J478" s="1051">
        <v>0</v>
      </c>
      <c r="K478" s="1052">
        <v>0</v>
      </c>
      <c r="L478" s="1050">
        <f>SUM(L475:L477)</f>
        <v>0</v>
      </c>
      <c r="M478" s="1051">
        <f t="shared" ref="M478" si="2072">SUM(M475:M477)</f>
        <v>940575.3600000001</v>
      </c>
      <c r="N478" s="1051">
        <f t="shared" ref="N478" si="2073">SUM(N475:N477)</f>
        <v>0</v>
      </c>
      <c r="O478" s="1051">
        <f t="shared" ref="O478" si="2074">SUM(O475:O477)</f>
        <v>0</v>
      </c>
      <c r="P478" s="1052">
        <f t="shared" ref="P478" si="2075">SUM(P475:P477)</f>
        <v>0</v>
      </c>
      <c r="Q478" s="1092">
        <f t="shared" ref="Q478" si="2076">SUM(Q475:Q477)</f>
        <v>0</v>
      </c>
      <c r="R478" s="1051">
        <f t="shared" ref="R478" si="2077">SUM(R475:R477)</f>
        <v>0</v>
      </c>
      <c r="S478" s="1051">
        <f t="shared" ref="S478" si="2078">SUM(S475:S477)</f>
        <v>0</v>
      </c>
      <c r="T478" s="1051">
        <f t="shared" ref="T478" si="2079">SUM(T475:T477)</f>
        <v>0</v>
      </c>
      <c r="U478" s="1052">
        <f t="shared" ref="U478" si="2080">SUM(U475:U477)</f>
        <v>0</v>
      </c>
      <c r="V478" s="1172"/>
      <c r="W478" s="1050">
        <f t="shared" ref="W478" si="2081">SUM(W475:W477)</f>
        <v>0</v>
      </c>
      <c r="X478" s="1051">
        <f t="shared" ref="X478" si="2082">SUM(X475:X477)</f>
        <v>0</v>
      </c>
      <c r="Y478" s="1051">
        <f t="shared" ref="Y478" si="2083">SUM(Y475:Y477)</f>
        <v>0</v>
      </c>
      <c r="Z478" s="1051">
        <f t="shared" ref="Z478" si="2084">SUM(Z475:Z477)</f>
        <v>0</v>
      </c>
      <c r="AA478" s="1052">
        <f t="shared" ref="AA478" si="2085">SUM(AA475:AA477)</f>
        <v>0</v>
      </c>
      <c r="AB478" s="1053"/>
      <c r="AC478" s="1050">
        <f t="shared" ref="AC478" si="2086">SUM(AC475:AC477)</f>
        <v>0</v>
      </c>
      <c r="AD478" s="1051">
        <f t="shared" ref="AD478" si="2087">SUM(AD475:AD477)</f>
        <v>0</v>
      </c>
      <c r="AE478" s="1051">
        <f t="shared" ref="AE478" si="2088">SUM(AE475:AE477)</f>
        <v>0</v>
      </c>
      <c r="AF478" s="1051">
        <f t="shared" ref="AF478" si="2089">SUM(AF475:AF477)</f>
        <v>0</v>
      </c>
      <c r="AG478" s="1051">
        <f t="shared" ref="AG478" si="2090">SUM(AG475:AG477)</f>
        <v>0</v>
      </c>
      <c r="AH478" s="1054"/>
      <c r="AI478" s="1172"/>
      <c r="AJ478" s="130"/>
      <c r="AK478" s="130"/>
      <c r="AL478" s="1050">
        <f t="shared" ref="AL478:AR478" si="2091">SUM(AL476:AL477)</f>
        <v>0</v>
      </c>
      <c r="AM478" s="1051">
        <f t="shared" si="2091"/>
        <v>0</v>
      </c>
      <c r="AN478" s="1051">
        <f t="shared" si="2091"/>
        <v>0</v>
      </c>
      <c r="AO478" s="1051">
        <f t="shared" si="2091"/>
        <v>0</v>
      </c>
      <c r="AP478" s="1052">
        <f t="shared" si="2091"/>
        <v>0</v>
      </c>
      <c r="AQ478" s="1050">
        <f t="shared" si="2091"/>
        <v>0</v>
      </c>
      <c r="AR478" s="1051">
        <f t="shared" si="2091"/>
        <v>0</v>
      </c>
      <c r="AS478" s="1052"/>
      <c r="AT478" s="130"/>
      <c r="AU478" s="130"/>
      <c r="AV478" s="130"/>
      <c r="AW478" s="130"/>
      <c r="AX478" s="130"/>
      <c r="AY478" s="130"/>
      <c r="AZ478" s="130"/>
      <c r="BA478" s="130"/>
      <c r="BB478" s="130"/>
      <c r="BC478" s="130"/>
      <c r="BD478" s="130"/>
      <c r="BE478" s="130"/>
      <c r="BF478" s="130"/>
      <c r="BG478" s="130"/>
      <c r="BH478" s="130"/>
      <c r="BI478" s="130"/>
      <c r="BJ478" s="130"/>
      <c r="BK478" s="130"/>
      <c r="BL478" s="130"/>
      <c r="BM478" s="130"/>
      <c r="BN478" s="130"/>
      <c r="BO478" s="130"/>
      <c r="BP478" s="130"/>
      <c r="BQ478" s="130"/>
      <c r="BR478" s="130"/>
      <c r="BS478" s="1155"/>
    </row>
    <row r="479" spans="5:71" s="474" customFormat="1">
      <c r="E479" s="4109"/>
      <c r="F479" s="1388" t="s">
        <v>35</v>
      </c>
      <c r="G479" s="255"/>
      <c r="H479" s="461"/>
      <c r="I479" s="461"/>
      <c r="J479" s="461"/>
      <c r="K479" s="281"/>
      <c r="L479" s="255"/>
      <c r="M479" s="461"/>
      <c r="N479" s="461"/>
      <c r="O479" s="461"/>
      <c r="P479" s="281"/>
      <c r="Q479" s="956"/>
      <c r="R479" s="461"/>
      <c r="S479" s="461"/>
      <c r="T479" s="461"/>
      <c r="U479" s="281"/>
      <c r="V479" s="1172"/>
      <c r="W479" s="255"/>
      <c r="X479" s="461"/>
      <c r="Y479" s="461"/>
      <c r="Z479" s="461"/>
      <c r="AA479" s="281"/>
      <c r="AB479" s="1004"/>
      <c r="AC479" s="255"/>
      <c r="AD479" s="461"/>
      <c r="AE479" s="461"/>
      <c r="AF479" s="461"/>
      <c r="AG479" s="461"/>
      <c r="AH479" s="1047"/>
      <c r="AI479" s="1172"/>
      <c r="AJ479" s="1155"/>
      <c r="AK479" s="1155"/>
      <c r="AL479" s="259"/>
      <c r="AM479" s="466"/>
      <c r="AN479" s="466"/>
      <c r="AO479" s="466"/>
      <c r="AP479" s="283"/>
      <c r="AQ479" s="259"/>
      <c r="AR479" s="466"/>
      <c r="AS479" s="283"/>
      <c r="AT479" s="1155"/>
      <c r="AU479" s="1155"/>
      <c r="AV479" s="1155"/>
      <c r="AW479" s="1155"/>
      <c r="AX479" s="1155"/>
      <c r="AY479" s="1155"/>
      <c r="AZ479" s="1155"/>
      <c r="BA479" s="1155"/>
      <c r="BB479" s="1155"/>
      <c r="BC479" s="1155"/>
      <c r="BD479" s="1155"/>
      <c r="BE479" s="1155"/>
      <c r="BF479" s="1155"/>
      <c r="BG479" s="1155"/>
      <c r="BH479" s="1155"/>
      <c r="BI479" s="1155"/>
      <c r="BJ479" s="1155"/>
      <c r="BK479" s="1155"/>
      <c r="BL479" s="1155"/>
      <c r="BM479" s="1155"/>
      <c r="BN479" s="1155"/>
      <c r="BO479" s="1155"/>
      <c r="BP479" s="1155"/>
      <c r="BQ479" s="1155"/>
      <c r="BR479" s="1155"/>
      <c r="BS479" s="1155"/>
    </row>
    <row r="480" spans="5:71" s="474" customFormat="1" ht="13.5" thickBot="1">
      <c r="E480" s="4109"/>
      <c r="F480" s="1387" t="s">
        <v>585</v>
      </c>
      <c r="G480" s="1055">
        <v>0</v>
      </c>
      <c r="H480" s="1056">
        <v>0</v>
      </c>
      <c r="I480" s="1056">
        <v>0</v>
      </c>
      <c r="J480" s="1056">
        <v>0</v>
      </c>
      <c r="K480" s="1057">
        <v>0</v>
      </c>
      <c r="L480" s="1567">
        <f>L478-L479</f>
        <v>0</v>
      </c>
      <c r="M480" s="1056">
        <f t="shared" ref="M480" si="2092">M478-M479</f>
        <v>940575.3600000001</v>
      </c>
      <c r="N480" s="1056">
        <f t="shared" ref="N480" si="2093">N478-N479</f>
        <v>0</v>
      </c>
      <c r="O480" s="1056">
        <f t="shared" ref="O480" si="2094">O478-O479</f>
        <v>0</v>
      </c>
      <c r="P480" s="1057">
        <f t="shared" ref="P480" si="2095">P478-P479</f>
        <v>0</v>
      </c>
      <c r="Q480" s="1093">
        <f t="shared" ref="Q480" si="2096">Q478-Q479</f>
        <v>0</v>
      </c>
      <c r="R480" s="1056">
        <f t="shared" ref="R480" si="2097">R478-R479</f>
        <v>0</v>
      </c>
      <c r="S480" s="1056">
        <f t="shared" ref="S480" si="2098">S478-S479</f>
        <v>0</v>
      </c>
      <c r="T480" s="1056">
        <f t="shared" ref="T480" si="2099">T478-T479</f>
        <v>0</v>
      </c>
      <c r="U480" s="1057">
        <f t="shared" ref="U480" si="2100">U478-U479</f>
        <v>0</v>
      </c>
      <c r="V480" s="1172"/>
      <c r="W480" s="1055">
        <f t="shared" ref="W480" si="2101">W478-W479</f>
        <v>0</v>
      </c>
      <c r="X480" s="1056">
        <f t="shared" ref="X480" si="2102">X478-X479</f>
        <v>0</v>
      </c>
      <c r="Y480" s="1056">
        <f t="shared" ref="Y480" si="2103">Y478-Y479</f>
        <v>0</v>
      </c>
      <c r="Z480" s="1056">
        <f t="shared" ref="Z480" si="2104">Z478-Z479</f>
        <v>0</v>
      </c>
      <c r="AA480" s="1057">
        <f t="shared" ref="AA480" si="2105">AA478-AA479</f>
        <v>0</v>
      </c>
      <c r="AB480" s="1075"/>
      <c r="AC480" s="1055">
        <f t="shared" ref="AC480" si="2106">AC478-AC479</f>
        <v>0</v>
      </c>
      <c r="AD480" s="1056">
        <f t="shared" ref="AD480" si="2107">AD478-AD479</f>
        <v>0</v>
      </c>
      <c r="AE480" s="1056">
        <f t="shared" ref="AE480" si="2108">AE478-AE479</f>
        <v>0</v>
      </c>
      <c r="AF480" s="1056">
        <f t="shared" ref="AF480" si="2109">AF478-AF479</f>
        <v>0</v>
      </c>
      <c r="AG480" s="1056">
        <f t="shared" ref="AG480" si="2110">AG478-AG479</f>
        <v>0</v>
      </c>
      <c r="AH480" s="1059"/>
      <c r="AI480" s="1172"/>
      <c r="AJ480" s="1155"/>
      <c r="AK480" s="1155"/>
      <c r="AL480" s="1567">
        <f>AL478-AL479</f>
        <v>0</v>
      </c>
      <c r="AM480" s="1056">
        <f t="shared" ref="AM480:AR480" si="2111">AM478-AM479</f>
        <v>0</v>
      </c>
      <c r="AN480" s="1056">
        <f t="shared" si="2111"/>
        <v>0</v>
      </c>
      <c r="AO480" s="1056">
        <f t="shared" si="2111"/>
        <v>0</v>
      </c>
      <c r="AP480" s="1057">
        <f t="shared" si="2111"/>
        <v>0</v>
      </c>
      <c r="AQ480" s="1567">
        <f t="shared" si="2111"/>
        <v>0</v>
      </c>
      <c r="AR480" s="1056">
        <f t="shared" si="2111"/>
        <v>0</v>
      </c>
      <c r="AS480" s="1057"/>
      <c r="AT480" s="1155"/>
      <c r="AU480" s="1155"/>
      <c r="AV480" s="1155"/>
      <c r="AW480" s="1155"/>
      <c r="AX480" s="1155"/>
      <c r="AY480" s="1155"/>
      <c r="AZ480" s="1155"/>
      <c r="BA480" s="1155"/>
      <c r="BB480" s="1155"/>
      <c r="BC480" s="1155"/>
      <c r="BD480" s="1155"/>
      <c r="BE480" s="1155"/>
      <c r="BF480" s="1155"/>
      <c r="BG480" s="1155"/>
      <c r="BH480" s="1155"/>
      <c r="BI480" s="1155"/>
      <c r="BJ480" s="1155"/>
      <c r="BK480" s="1155"/>
      <c r="BL480" s="1155"/>
      <c r="BM480" s="1155"/>
      <c r="BN480" s="1155"/>
      <c r="BO480" s="1155"/>
      <c r="BP480" s="1155"/>
      <c r="BQ480" s="1155"/>
      <c r="BR480" s="1155"/>
      <c r="BS480" s="1155"/>
    </row>
    <row r="481" spans="5:71" s="474" customFormat="1" ht="12.75" customHeight="1">
      <c r="E481" s="4110" t="s">
        <v>1504</v>
      </c>
      <c r="F481" s="433" t="s">
        <v>111</v>
      </c>
      <c r="G481" s="1086"/>
      <c r="H481" s="1087"/>
      <c r="I481" s="1087"/>
      <c r="J481" s="1087"/>
      <c r="K481" s="1088"/>
      <c r="L481" s="258"/>
      <c r="M481" s="465"/>
      <c r="N481" s="465"/>
      <c r="O481" s="465"/>
      <c r="P481" s="282"/>
      <c r="Q481" s="1566"/>
      <c r="R481" s="421"/>
      <c r="S481" s="421"/>
      <c r="T481" s="421"/>
      <c r="U481" s="1044"/>
      <c r="V481" s="1172"/>
      <c r="W481" s="1043"/>
      <c r="X481" s="421"/>
      <c r="Y481" s="421"/>
      <c r="Z481" s="421"/>
      <c r="AA481" s="1044"/>
      <c r="AB481" s="1045"/>
      <c r="AC481" s="1043"/>
      <c r="AD481" s="421"/>
      <c r="AE481" s="421"/>
      <c r="AF481" s="421"/>
      <c r="AG481" s="421"/>
      <c r="AH481" s="1046"/>
      <c r="AI481" s="1172"/>
      <c r="AJ481" s="1155"/>
      <c r="AK481" s="1155"/>
      <c r="AL481" s="1086"/>
      <c r="AM481" s="1087"/>
      <c r="AN481" s="1087"/>
      <c r="AO481" s="1087"/>
      <c r="AP481" s="1088"/>
      <c r="AQ481" s="258"/>
      <c r="AR481" s="465"/>
      <c r="AS481" s="282"/>
      <c r="AT481" s="1155"/>
      <c r="AU481" s="1155"/>
      <c r="AV481" s="1155"/>
      <c r="AW481" s="1155"/>
      <c r="AX481" s="1155"/>
      <c r="AY481" s="1155"/>
      <c r="AZ481" s="1155"/>
      <c r="BA481" s="1155"/>
      <c r="BB481" s="1155"/>
      <c r="BC481" s="1155"/>
      <c r="BD481" s="1155"/>
      <c r="BE481" s="1155"/>
      <c r="BF481" s="1155"/>
      <c r="BG481" s="1155"/>
      <c r="BH481" s="1155"/>
      <c r="BI481" s="1155"/>
      <c r="BJ481" s="1155"/>
      <c r="BK481" s="1155"/>
      <c r="BL481" s="1155"/>
      <c r="BM481" s="1155"/>
      <c r="BN481" s="1155"/>
      <c r="BO481" s="1155"/>
      <c r="BP481" s="1155"/>
      <c r="BQ481" s="1155"/>
      <c r="BR481" s="1155"/>
      <c r="BS481" s="1155"/>
    </row>
    <row r="482" spans="5:71" s="474" customFormat="1" ht="12.75" customHeight="1">
      <c r="E482" s="4109"/>
      <c r="F482" s="1374" t="s">
        <v>588</v>
      </c>
      <c r="G482" s="1083"/>
      <c r="H482" s="1084"/>
      <c r="I482" s="1084"/>
      <c r="J482" s="1084"/>
      <c r="K482" s="1085"/>
      <c r="L482" s="255"/>
      <c r="M482" s="461">
        <v>3626</v>
      </c>
      <c r="N482" s="461"/>
      <c r="O482" s="461"/>
      <c r="P482" s="281"/>
      <c r="Q482" s="255"/>
      <c r="R482" s="461"/>
      <c r="S482" s="461"/>
      <c r="T482" s="461"/>
      <c r="U482" s="281"/>
      <c r="V482" s="1172"/>
      <c r="W482" s="255"/>
      <c r="X482" s="461"/>
      <c r="Y482" s="461"/>
      <c r="Z482" s="461"/>
      <c r="AA482" s="281"/>
      <c r="AB482" s="1041"/>
      <c r="AC482" s="255"/>
      <c r="AD482" s="461"/>
      <c r="AE482" s="461"/>
      <c r="AF482" s="461"/>
      <c r="AG482" s="461"/>
      <c r="AH482" s="1047"/>
      <c r="AI482" s="1172"/>
      <c r="AJ482" s="1155"/>
      <c r="AK482" s="1155"/>
      <c r="AL482" s="1083"/>
      <c r="AM482" s="1084"/>
      <c r="AN482" s="1084"/>
      <c r="AO482" s="1084"/>
      <c r="AP482" s="1085"/>
      <c r="AQ482" s="259"/>
      <c r="AR482" s="466"/>
      <c r="AS482" s="283"/>
      <c r="AT482" s="1155"/>
      <c r="AU482" s="1155"/>
      <c r="AV482" s="1155"/>
      <c r="AW482" s="1155"/>
      <c r="AX482" s="1155"/>
      <c r="AY482" s="1155"/>
      <c r="AZ482" s="1155"/>
      <c r="BA482" s="1155"/>
      <c r="BB482" s="1155"/>
      <c r="BC482" s="1155"/>
      <c r="BD482" s="1155"/>
      <c r="BE482" s="1155"/>
      <c r="BF482" s="1155"/>
      <c r="BG482" s="1155"/>
      <c r="BH482" s="1155"/>
      <c r="BI482" s="1155"/>
      <c r="BJ482" s="1155"/>
      <c r="BK482" s="1155"/>
      <c r="BL482" s="1155"/>
      <c r="BM482" s="1155"/>
      <c r="BN482" s="1155"/>
      <c r="BO482" s="1155"/>
      <c r="BP482" s="1155"/>
      <c r="BQ482" s="1155"/>
      <c r="BR482" s="1155"/>
      <c r="BS482" s="1155"/>
    </row>
    <row r="483" spans="5:71" s="474" customFormat="1" ht="12.75" customHeight="1">
      <c r="E483" s="4109"/>
      <c r="F483" s="1374" t="s">
        <v>589</v>
      </c>
      <c r="G483" s="1083"/>
      <c r="H483" s="1084"/>
      <c r="I483" s="1084"/>
      <c r="J483" s="1084"/>
      <c r="K483" s="1085"/>
      <c r="L483" s="255"/>
      <c r="M483" s="461"/>
      <c r="N483" s="461"/>
      <c r="O483" s="461"/>
      <c r="P483" s="281"/>
      <c r="Q483" s="255"/>
      <c r="R483" s="461"/>
      <c r="S483" s="461"/>
      <c r="T483" s="461"/>
      <c r="U483" s="281"/>
      <c r="V483" s="1172"/>
      <c r="W483" s="255"/>
      <c r="X483" s="461"/>
      <c r="Y483" s="461"/>
      <c r="Z483" s="461"/>
      <c r="AA483" s="281"/>
      <c r="AB483" s="1041"/>
      <c r="AC483" s="255"/>
      <c r="AD483" s="461"/>
      <c r="AE483" s="461"/>
      <c r="AF483" s="461"/>
      <c r="AG483" s="461"/>
      <c r="AH483" s="1047"/>
      <c r="AI483" s="1172"/>
      <c r="AJ483" s="1155"/>
      <c r="AK483" s="1155"/>
      <c r="AL483" s="1083"/>
      <c r="AM483" s="1084"/>
      <c r="AN483" s="1084"/>
      <c r="AO483" s="1084"/>
      <c r="AP483" s="1085"/>
      <c r="AQ483" s="259"/>
      <c r="AR483" s="466"/>
      <c r="AS483" s="283"/>
      <c r="AT483" s="1155"/>
      <c r="AU483" s="1155"/>
      <c r="AV483" s="1155"/>
      <c r="AW483" s="1155"/>
      <c r="AX483" s="1155"/>
      <c r="AY483" s="1155"/>
      <c r="AZ483" s="1155"/>
      <c r="BA483" s="1155"/>
      <c r="BB483" s="1155"/>
      <c r="BC483" s="1155"/>
      <c r="BD483" s="1155"/>
      <c r="BE483" s="1155"/>
      <c r="BF483" s="1155"/>
      <c r="BG483" s="1155"/>
      <c r="BH483" s="1155"/>
      <c r="BI483" s="1155"/>
      <c r="BJ483" s="1155"/>
      <c r="BK483" s="1155"/>
      <c r="BL483" s="1155"/>
      <c r="BM483" s="1155"/>
      <c r="BN483" s="1155"/>
      <c r="BO483" s="1155"/>
      <c r="BP483" s="1155"/>
      <c r="BQ483" s="1155"/>
      <c r="BR483" s="1155"/>
      <c r="BS483" s="1155"/>
    </row>
    <row r="484" spans="5:71" s="474" customFormat="1" ht="12.75" customHeight="1">
      <c r="E484" s="4109"/>
      <c r="F484" s="1374" t="s">
        <v>590</v>
      </c>
      <c r="G484" s="1083"/>
      <c r="H484" s="1084"/>
      <c r="I484" s="1084"/>
      <c r="J484" s="1084"/>
      <c r="K484" s="1085"/>
      <c r="L484" s="255"/>
      <c r="M484" s="461"/>
      <c r="N484" s="461"/>
      <c r="O484" s="461"/>
      <c r="P484" s="281"/>
      <c r="Q484" s="255"/>
      <c r="R484" s="461"/>
      <c r="S484" s="461"/>
      <c r="T484" s="461"/>
      <c r="U484" s="281"/>
      <c r="V484" s="1172"/>
      <c r="W484" s="255"/>
      <c r="X484" s="461"/>
      <c r="Y484" s="461"/>
      <c r="Z484" s="461"/>
      <c r="AA484" s="281"/>
      <c r="AB484" s="1041"/>
      <c r="AC484" s="255"/>
      <c r="AD484" s="461"/>
      <c r="AE484" s="461"/>
      <c r="AF484" s="461"/>
      <c r="AG484" s="461"/>
      <c r="AH484" s="1047"/>
      <c r="AI484" s="1172"/>
      <c r="AJ484" s="1155"/>
      <c r="AK484" s="1155"/>
      <c r="AL484" s="1083"/>
      <c r="AM484" s="1084"/>
      <c r="AN484" s="1084"/>
      <c r="AO484" s="1084"/>
      <c r="AP484" s="1085"/>
      <c r="AQ484" s="259"/>
      <c r="AR484" s="466"/>
      <c r="AS484" s="283"/>
      <c r="AT484" s="1155"/>
      <c r="AU484" s="1155"/>
      <c r="AV484" s="1155"/>
      <c r="AW484" s="1155"/>
      <c r="AX484" s="1155"/>
      <c r="AY484" s="1155"/>
      <c r="AZ484" s="1155"/>
      <c r="BA484" s="1155"/>
      <c r="BB484" s="1155"/>
      <c r="BC484" s="1155"/>
      <c r="BD484" s="1155"/>
      <c r="BE484" s="1155"/>
      <c r="BF484" s="1155"/>
      <c r="BG484" s="1155"/>
      <c r="BH484" s="1155"/>
      <c r="BI484" s="1155"/>
      <c r="BJ484" s="1155"/>
      <c r="BK484" s="1155"/>
      <c r="BL484" s="1155"/>
      <c r="BM484" s="1155"/>
      <c r="BN484" s="1155"/>
      <c r="BO484" s="1155"/>
      <c r="BP484" s="1155"/>
      <c r="BQ484" s="1155"/>
      <c r="BR484" s="1155"/>
      <c r="BS484" s="1155"/>
    </row>
    <row r="485" spans="5:71" s="474" customFormat="1" ht="12.75" customHeight="1">
      <c r="E485" s="4109"/>
      <c r="F485" s="1374" t="s">
        <v>591</v>
      </c>
      <c r="G485" s="1083"/>
      <c r="H485" s="1084"/>
      <c r="I485" s="1084"/>
      <c r="J485" s="1084"/>
      <c r="K485" s="1085"/>
      <c r="L485" s="255"/>
      <c r="M485" s="461"/>
      <c r="N485" s="461"/>
      <c r="O485" s="461"/>
      <c r="P485" s="281"/>
      <c r="Q485" s="255"/>
      <c r="R485" s="461"/>
      <c r="S485" s="461"/>
      <c r="T485" s="461"/>
      <c r="U485" s="281"/>
      <c r="V485" s="1172"/>
      <c r="W485" s="255"/>
      <c r="X485" s="461"/>
      <c r="Y485" s="461"/>
      <c r="Z485" s="461"/>
      <c r="AA485" s="281"/>
      <c r="AB485" s="1041"/>
      <c r="AC485" s="255"/>
      <c r="AD485" s="461"/>
      <c r="AE485" s="461"/>
      <c r="AF485" s="461"/>
      <c r="AG485" s="461"/>
      <c r="AH485" s="1047"/>
      <c r="AI485" s="1172"/>
      <c r="AJ485" s="1155"/>
      <c r="AK485" s="1155"/>
      <c r="AL485" s="1083"/>
      <c r="AM485" s="1084"/>
      <c r="AN485" s="1084"/>
      <c r="AO485" s="1084"/>
      <c r="AP485" s="1085"/>
      <c r="AQ485" s="259"/>
      <c r="AR485" s="466"/>
      <c r="AS485" s="283"/>
      <c r="AT485" s="1155"/>
      <c r="AU485" s="1155"/>
      <c r="AV485" s="1155"/>
      <c r="AW485" s="1155"/>
      <c r="AX485" s="1155"/>
      <c r="AY485" s="1155"/>
      <c r="AZ485" s="1155"/>
      <c r="BA485" s="1155"/>
      <c r="BB485" s="1155"/>
      <c r="BC485" s="1155"/>
      <c r="BD485" s="1155"/>
      <c r="BE485" s="1155"/>
      <c r="BF485" s="1155"/>
      <c r="BG485" s="1155"/>
      <c r="BH485" s="1155"/>
      <c r="BI485" s="1155"/>
      <c r="BJ485" s="1155"/>
      <c r="BK485" s="1155"/>
      <c r="BL485" s="1155"/>
      <c r="BM485" s="1155"/>
      <c r="BN485" s="1155"/>
      <c r="BO485" s="1155"/>
      <c r="BP485" s="1155"/>
      <c r="BQ485" s="1155"/>
      <c r="BR485" s="1155"/>
      <c r="BS485" s="1155"/>
    </row>
    <row r="486" spans="5:71" s="474" customFormat="1" ht="12.75" customHeight="1">
      <c r="E486" s="4109"/>
      <c r="F486" s="1374" t="s">
        <v>592</v>
      </c>
      <c r="G486" s="1083"/>
      <c r="H486" s="1084"/>
      <c r="I486" s="1084"/>
      <c r="J486" s="1084"/>
      <c r="K486" s="1085"/>
      <c r="L486" s="207"/>
      <c r="M486" s="456"/>
      <c r="N486" s="456"/>
      <c r="O486" s="456"/>
      <c r="P486" s="457"/>
      <c r="Q486" s="207"/>
      <c r="R486" s="456"/>
      <c r="S486" s="456"/>
      <c r="T486" s="456"/>
      <c r="U486" s="457"/>
      <c r="V486" s="1172"/>
      <c r="W486" s="207">
        <v>0</v>
      </c>
      <c r="X486" s="456">
        <v>0</v>
      </c>
      <c r="Y486" s="456">
        <v>0</v>
      </c>
      <c r="Z486" s="456">
        <v>0</v>
      </c>
      <c r="AA486" s="457">
        <v>0</v>
      </c>
      <c r="AB486" s="1041"/>
      <c r="AC486" s="207">
        <v>0</v>
      </c>
      <c r="AD486" s="456">
        <v>0</v>
      </c>
      <c r="AE486" s="456">
        <v>0</v>
      </c>
      <c r="AF486" s="456">
        <v>0</v>
      </c>
      <c r="AG486" s="456">
        <v>0</v>
      </c>
      <c r="AH486" s="1048"/>
      <c r="AI486" s="1172"/>
      <c r="AJ486" s="1155"/>
      <c r="AK486" s="1155"/>
      <c r="AL486" s="1083"/>
      <c r="AM486" s="1084"/>
      <c r="AN486" s="1084"/>
      <c r="AO486" s="1084"/>
      <c r="AP486" s="1085"/>
      <c r="AQ486" s="207">
        <f>SUM(AQ481:AQ485)</f>
        <v>0</v>
      </c>
      <c r="AR486" s="456">
        <f t="shared" ref="AR486" si="2112">SUM(AR481:AR485)</f>
        <v>0</v>
      </c>
      <c r="AS486" s="457"/>
      <c r="AT486" s="1155"/>
      <c r="AU486" s="1155"/>
      <c r="AV486" s="1155"/>
      <c r="AW486" s="1155"/>
      <c r="AX486" s="1155"/>
      <c r="AY486" s="1155"/>
      <c r="AZ486" s="1155"/>
      <c r="BA486" s="1155"/>
      <c r="BB486" s="1155"/>
      <c r="BC486" s="1155"/>
      <c r="BD486" s="1155"/>
      <c r="BE486" s="1155"/>
      <c r="BF486" s="1155"/>
      <c r="BG486" s="1155"/>
      <c r="BH486" s="1155"/>
      <c r="BI486" s="1155"/>
      <c r="BJ486" s="1155"/>
      <c r="BK486" s="1155"/>
      <c r="BL486" s="1155"/>
      <c r="BM486" s="1155"/>
      <c r="BN486" s="1155"/>
      <c r="BO486" s="1155"/>
      <c r="BP486" s="1155"/>
      <c r="BQ486" s="1155"/>
      <c r="BR486" s="1155"/>
      <c r="BS486" s="1155"/>
    </row>
    <row r="487" spans="5:71" s="474" customFormat="1">
      <c r="E487" s="4109"/>
      <c r="F487" s="1375" t="s">
        <v>587</v>
      </c>
      <c r="G487" s="1086"/>
      <c r="H487" s="1087"/>
      <c r="I487" s="1087"/>
      <c r="J487" s="1087"/>
      <c r="K487" s="1088"/>
      <c r="L487" s="258">
        <f>SUM(L482:L486)</f>
        <v>0</v>
      </c>
      <c r="M487" s="465">
        <f t="shared" ref="M487" si="2113">SUM(M482:M486)</f>
        <v>3626</v>
      </c>
      <c r="N487" s="465">
        <f t="shared" ref="N487" si="2114">SUM(N482:N486)</f>
        <v>0</v>
      </c>
      <c r="O487" s="465">
        <f t="shared" ref="O487" si="2115">SUM(O482:O486)</f>
        <v>0</v>
      </c>
      <c r="P487" s="282">
        <f t="shared" ref="P487" si="2116">SUM(P482:P486)</f>
        <v>0</v>
      </c>
      <c r="Q487" s="258">
        <f t="shared" ref="Q487" si="2117">SUM(Q482:Q486)</f>
        <v>0</v>
      </c>
      <c r="R487" s="465">
        <f t="shared" ref="R487" si="2118">SUM(R482:R486)</f>
        <v>0</v>
      </c>
      <c r="S487" s="465">
        <f t="shared" ref="S487" si="2119">SUM(S482:S486)</f>
        <v>0</v>
      </c>
      <c r="T487" s="465">
        <f t="shared" ref="T487" si="2120">SUM(T482:T486)</f>
        <v>0</v>
      </c>
      <c r="U487" s="282">
        <f t="shared" ref="U487" si="2121">SUM(U482:U486)</f>
        <v>0</v>
      </c>
      <c r="V487" s="1172"/>
      <c r="W487" s="258">
        <f t="shared" ref="W487" si="2122">SUM(W482:W486)</f>
        <v>0</v>
      </c>
      <c r="X487" s="465">
        <f t="shared" ref="X487" si="2123">SUM(X482:X486)</f>
        <v>0</v>
      </c>
      <c r="Y487" s="465">
        <f t="shared" ref="Y487" si="2124">SUM(Y482:Y486)</f>
        <v>0</v>
      </c>
      <c r="Z487" s="465">
        <f t="shared" ref="Z487" si="2125">SUM(Z482:Z486)</f>
        <v>0</v>
      </c>
      <c r="AA487" s="282">
        <f t="shared" ref="AA487" si="2126">SUM(AA482:AA486)</f>
        <v>0</v>
      </c>
      <c r="AB487" s="992"/>
      <c r="AC487" s="258">
        <f t="shared" ref="AC487" si="2127">SUM(AC482:AC486)</f>
        <v>0</v>
      </c>
      <c r="AD487" s="465">
        <f t="shared" ref="AD487" si="2128">SUM(AD482:AD486)</f>
        <v>0</v>
      </c>
      <c r="AE487" s="465">
        <f t="shared" ref="AE487" si="2129">SUM(AE482:AE486)</f>
        <v>0</v>
      </c>
      <c r="AF487" s="465">
        <f t="shared" ref="AF487" si="2130">SUM(AF482:AF486)</f>
        <v>0</v>
      </c>
      <c r="AG487" s="465">
        <f t="shared" ref="AG487" si="2131">SUM(AG482:AG486)</f>
        <v>0</v>
      </c>
      <c r="AH487" s="1049"/>
      <c r="AI487" s="1172"/>
      <c r="AJ487" s="1155"/>
      <c r="AK487" s="1155"/>
      <c r="AL487" s="1086"/>
      <c r="AM487" s="1087"/>
      <c r="AN487" s="1087"/>
      <c r="AO487" s="1087"/>
      <c r="AP487" s="1088"/>
      <c r="AQ487" s="258"/>
      <c r="AR487" s="465"/>
      <c r="AS487" s="282"/>
      <c r="AT487" s="1155"/>
      <c r="AU487" s="1155"/>
      <c r="AV487" s="1155"/>
      <c r="AW487" s="1155"/>
      <c r="AX487" s="1155"/>
      <c r="AY487" s="1155"/>
      <c r="AZ487" s="1155"/>
      <c r="BA487" s="1155"/>
      <c r="BB487" s="1155"/>
      <c r="BC487" s="1155"/>
      <c r="BD487" s="1155"/>
      <c r="BE487" s="1155"/>
      <c r="BF487" s="1155"/>
      <c r="BG487" s="1155"/>
      <c r="BH487" s="1155"/>
      <c r="BI487" s="1155"/>
      <c r="BJ487" s="1155"/>
      <c r="BK487" s="1155"/>
      <c r="BL487" s="1155"/>
      <c r="BM487" s="1155"/>
      <c r="BN487" s="1155"/>
      <c r="BO487" s="1155"/>
      <c r="BP487" s="1155"/>
      <c r="BQ487" s="1155"/>
      <c r="BR487" s="1155"/>
      <c r="BS487" s="1155"/>
    </row>
    <row r="488" spans="5:71" s="474" customFormat="1">
      <c r="E488" s="4109"/>
      <c r="F488" s="1376" t="s">
        <v>593</v>
      </c>
      <c r="G488" s="1083"/>
      <c r="H488" s="1084"/>
      <c r="I488" s="1084"/>
      <c r="J488" s="1084"/>
      <c r="K488" s="1085"/>
      <c r="L488" s="255"/>
      <c r="M488" s="461"/>
      <c r="N488" s="461"/>
      <c r="O488" s="461"/>
      <c r="P488" s="281"/>
      <c r="Q488" s="255"/>
      <c r="R488" s="461"/>
      <c r="S488" s="461"/>
      <c r="T488" s="461"/>
      <c r="U488" s="281"/>
      <c r="V488" s="1172"/>
      <c r="W488" s="255"/>
      <c r="X488" s="461"/>
      <c r="Y488" s="461"/>
      <c r="Z488" s="461"/>
      <c r="AA488" s="281"/>
      <c r="AB488" s="1041"/>
      <c r="AC488" s="255"/>
      <c r="AD488" s="461"/>
      <c r="AE488" s="461"/>
      <c r="AF488" s="461"/>
      <c r="AG488" s="461"/>
      <c r="AH488" s="1047"/>
      <c r="AI488" s="1172"/>
      <c r="AJ488" s="1155"/>
      <c r="AK488" s="1155"/>
      <c r="AL488" s="1083"/>
      <c r="AM488" s="1084"/>
      <c r="AN488" s="1084"/>
      <c r="AO488" s="1084"/>
      <c r="AP488" s="1085"/>
      <c r="AQ488" s="259"/>
      <c r="AR488" s="466"/>
      <c r="AS488" s="283"/>
      <c r="AT488" s="1155"/>
      <c r="AU488" s="1155"/>
      <c r="AV488" s="1155"/>
      <c r="AW488" s="1155"/>
      <c r="AX488" s="1155"/>
      <c r="AY488" s="1155"/>
      <c r="AZ488" s="1155"/>
      <c r="BA488" s="1155"/>
      <c r="BB488" s="1155"/>
      <c r="BC488" s="1155"/>
      <c r="BD488" s="1155"/>
      <c r="BE488" s="1155"/>
      <c r="BF488" s="1155"/>
      <c r="BG488" s="1155"/>
      <c r="BH488" s="1155"/>
      <c r="BI488" s="1155"/>
      <c r="BJ488" s="1155"/>
      <c r="BK488" s="1155"/>
      <c r="BL488" s="1155"/>
      <c r="BM488" s="1155"/>
      <c r="BN488" s="1155"/>
      <c r="BO488" s="1155"/>
      <c r="BP488" s="1155"/>
      <c r="BQ488" s="1155"/>
      <c r="BR488" s="1155"/>
      <c r="BS488" s="1155"/>
    </row>
    <row r="489" spans="5:71" s="474" customFormat="1">
      <c r="E489" s="4109"/>
      <c r="F489" s="431" t="s">
        <v>558</v>
      </c>
      <c r="G489" s="1083"/>
      <c r="H489" s="1084"/>
      <c r="I489" s="1084"/>
      <c r="J489" s="1084"/>
      <c r="K489" s="1085"/>
      <c r="L489" s="255"/>
      <c r="M489" s="461">
        <v>1046312.8899999999</v>
      </c>
      <c r="N489" s="461"/>
      <c r="O489" s="461"/>
      <c r="P489" s="281"/>
      <c r="Q489" s="255"/>
      <c r="R489" s="461"/>
      <c r="S489" s="461"/>
      <c r="T489" s="461"/>
      <c r="U489" s="281"/>
      <c r="V489" s="1172"/>
      <c r="W489" s="255"/>
      <c r="X489" s="461"/>
      <c r="Y489" s="461"/>
      <c r="Z489" s="461"/>
      <c r="AA489" s="281"/>
      <c r="AB489" s="1041"/>
      <c r="AC489" s="255"/>
      <c r="AD489" s="461"/>
      <c r="AE489" s="461"/>
      <c r="AF489" s="461"/>
      <c r="AG489" s="461"/>
      <c r="AH489" s="1047"/>
      <c r="AI489" s="1172"/>
      <c r="AJ489" s="1155"/>
      <c r="AK489" s="1155"/>
      <c r="AL489" s="1083"/>
      <c r="AM489" s="1084"/>
      <c r="AN489" s="1084"/>
      <c r="AO489" s="1084"/>
      <c r="AP489" s="1085"/>
      <c r="AQ489" s="259"/>
      <c r="AR489" s="466"/>
      <c r="AS489" s="283"/>
      <c r="AT489" s="1155"/>
      <c r="AU489" s="1155"/>
      <c r="AV489" s="1155"/>
      <c r="AW489" s="1155"/>
      <c r="AX489" s="1155"/>
      <c r="AY489" s="1155"/>
      <c r="AZ489" s="1155"/>
      <c r="BA489" s="1155"/>
      <c r="BB489" s="1155"/>
      <c r="BC489" s="1155"/>
      <c r="BD489" s="1155"/>
      <c r="BE489" s="1155"/>
      <c r="BF489" s="1155"/>
      <c r="BG489" s="1155"/>
      <c r="BH489" s="1155"/>
      <c r="BI489" s="1155"/>
      <c r="BJ489" s="1155"/>
      <c r="BK489" s="1155"/>
      <c r="BL489" s="1155"/>
      <c r="BM489" s="1155"/>
      <c r="BN489" s="1155"/>
      <c r="BO489" s="1155"/>
      <c r="BP489" s="1155"/>
      <c r="BQ489" s="1155"/>
      <c r="BR489" s="1155"/>
      <c r="BS489" s="1155"/>
    </row>
    <row r="490" spans="5:71" s="474" customFormat="1">
      <c r="E490" s="4109"/>
      <c r="F490" s="431" t="s">
        <v>559</v>
      </c>
      <c r="G490" s="1083"/>
      <c r="H490" s="1084"/>
      <c r="I490" s="1084"/>
      <c r="J490" s="1084"/>
      <c r="K490" s="1085"/>
      <c r="L490" s="255"/>
      <c r="M490" s="461"/>
      <c r="N490" s="461"/>
      <c r="O490" s="461"/>
      <c r="P490" s="281"/>
      <c r="Q490" s="255"/>
      <c r="R490" s="461"/>
      <c r="S490" s="461"/>
      <c r="T490" s="461"/>
      <c r="U490" s="281"/>
      <c r="V490" s="1172"/>
      <c r="W490" s="255"/>
      <c r="X490" s="461"/>
      <c r="Y490" s="461"/>
      <c r="Z490" s="461"/>
      <c r="AA490" s="281"/>
      <c r="AB490" s="1041"/>
      <c r="AC490" s="255"/>
      <c r="AD490" s="461"/>
      <c r="AE490" s="461"/>
      <c r="AF490" s="461"/>
      <c r="AG490" s="461"/>
      <c r="AH490" s="1047"/>
      <c r="AI490" s="1172"/>
      <c r="AJ490" s="1155"/>
      <c r="AK490" s="1155"/>
      <c r="AL490" s="1083"/>
      <c r="AM490" s="1084"/>
      <c r="AN490" s="1084"/>
      <c r="AO490" s="1084"/>
      <c r="AP490" s="1085"/>
      <c r="AQ490" s="259"/>
      <c r="AR490" s="466"/>
      <c r="AS490" s="283"/>
      <c r="AT490" s="1155"/>
      <c r="AU490" s="1155"/>
      <c r="AV490" s="1155"/>
      <c r="AW490" s="1155"/>
      <c r="AX490" s="1155"/>
      <c r="AY490" s="1155"/>
      <c r="AZ490" s="1155"/>
      <c r="BA490" s="1155"/>
      <c r="BB490" s="1155"/>
      <c r="BC490" s="1155"/>
      <c r="BD490" s="1155"/>
      <c r="BE490" s="1155"/>
      <c r="BF490" s="1155"/>
      <c r="BG490" s="1155"/>
      <c r="BH490" s="1155"/>
      <c r="BI490" s="1155"/>
      <c r="BJ490" s="1155"/>
      <c r="BK490" s="1155"/>
      <c r="BL490" s="1155"/>
      <c r="BM490" s="1155"/>
      <c r="BN490" s="1155"/>
      <c r="BO490" s="1155"/>
      <c r="BP490" s="1155"/>
      <c r="BQ490" s="1155"/>
      <c r="BR490" s="1155"/>
      <c r="BS490" s="1155"/>
    </row>
    <row r="491" spans="5:71" s="474" customFormat="1">
      <c r="E491" s="4109"/>
      <c r="F491" s="431" t="s">
        <v>578</v>
      </c>
      <c r="G491" s="1089"/>
      <c r="H491" s="1090"/>
      <c r="I491" s="1090"/>
      <c r="J491" s="1090"/>
      <c r="K491" s="1091"/>
      <c r="L491" s="259"/>
      <c r="M491" s="456"/>
      <c r="N491" s="456"/>
      <c r="O491" s="456"/>
      <c r="P491" s="457"/>
      <c r="Q491" s="207"/>
      <c r="R491" s="456"/>
      <c r="S491" s="456"/>
      <c r="T491" s="456"/>
      <c r="U491" s="457"/>
      <c r="V491" s="1172"/>
      <c r="W491" s="207"/>
      <c r="X491" s="456"/>
      <c r="Y491" s="456"/>
      <c r="Z491" s="456"/>
      <c r="AA491" s="457"/>
      <c r="AB491" s="1041"/>
      <c r="AC491" s="207"/>
      <c r="AD491" s="456"/>
      <c r="AE491" s="456"/>
      <c r="AF491" s="456"/>
      <c r="AG491" s="456"/>
      <c r="AH491" s="1048"/>
      <c r="AI491" s="1172"/>
      <c r="AJ491" s="1155"/>
      <c r="AK491" s="1155"/>
      <c r="AL491" s="1089"/>
      <c r="AM491" s="1090"/>
      <c r="AN491" s="1090"/>
      <c r="AO491" s="1090"/>
      <c r="AP491" s="1091"/>
      <c r="AQ491" s="259"/>
      <c r="AR491" s="456"/>
      <c r="AS491" s="457"/>
      <c r="AT491" s="1155"/>
      <c r="AU491" s="1155"/>
      <c r="AV491" s="1155"/>
      <c r="AW491" s="1155"/>
      <c r="AX491" s="1155"/>
      <c r="AY491" s="1155"/>
      <c r="AZ491" s="1155"/>
      <c r="BA491" s="1155"/>
      <c r="BB491" s="1155"/>
      <c r="BC491" s="1155"/>
      <c r="BD491" s="1155"/>
      <c r="BE491" s="1155"/>
      <c r="BF491" s="1155"/>
      <c r="BG491" s="1155"/>
      <c r="BH491" s="1155"/>
      <c r="BI491" s="1155"/>
      <c r="BJ491" s="1155"/>
      <c r="BK491" s="1155"/>
      <c r="BL491" s="1155"/>
      <c r="BM491" s="1155"/>
      <c r="BN491" s="1155"/>
      <c r="BO491" s="1155"/>
      <c r="BP491" s="1155"/>
      <c r="BQ491" s="1155"/>
      <c r="BR491" s="1155"/>
      <c r="BS491" s="1155"/>
    </row>
    <row r="492" spans="5:71" s="474" customFormat="1">
      <c r="E492" s="4109"/>
      <c r="F492" s="1377" t="s">
        <v>579</v>
      </c>
      <c r="G492" s="1086"/>
      <c r="H492" s="1087"/>
      <c r="I492" s="1087"/>
      <c r="J492" s="1087"/>
      <c r="K492" s="1088"/>
      <c r="L492" s="258">
        <f>SUM(L488:L491)</f>
        <v>0</v>
      </c>
      <c r="M492" s="465">
        <f t="shared" ref="M492" si="2132">SUM(M488:M491)</f>
        <v>1046312.8899999999</v>
      </c>
      <c r="N492" s="465">
        <f t="shared" ref="N492" si="2133">SUM(N488:N491)</f>
        <v>0</v>
      </c>
      <c r="O492" s="465">
        <f t="shared" ref="O492" si="2134">SUM(O488:O491)</f>
        <v>0</v>
      </c>
      <c r="P492" s="282">
        <f t="shared" ref="P492" si="2135">SUM(P488:P491)</f>
        <v>0</v>
      </c>
      <c r="Q492" s="258">
        <f t="shared" ref="Q492" si="2136">SUM(Q488:Q491)</f>
        <v>0</v>
      </c>
      <c r="R492" s="465">
        <f t="shared" ref="R492" si="2137">SUM(R488:R491)</f>
        <v>0</v>
      </c>
      <c r="S492" s="465">
        <f t="shared" ref="S492" si="2138">SUM(S488:S491)</f>
        <v>0</v>
      </c>
      <c r="T492" s="465">
        <f t="shared" ref="T492" si="2139">SUM(T488:T491)</f>
        <v>0</v>
      </c>
      <c r="U492" s="282">
        <f t="shared" ref="U492" si="2140">SUM(U488:U491)</f>
        <v>0</v>
      </c>
      <c r="V492" s="1172"/>
      <c r="W492" s="258">
        <f t="shared" ref="W492" si="2141">SUM(W488:W491)</f>
        <v>0</v>
      </c>
      <c r="X492" s="465">
        <f t="shared" ref="X492" si="2142">SUM(X488:X491)</f>
        <v>0</v>
      </c>
      <c r="Y492" s="465">
        <f t="shared" ref="Y492" si="2143">SUM(Y488:Y491)</f>
        <v>0</v>
      </c>
      <c r="Z492" s="465">
        <f t="shared" ref="Z492" si="2144">SUM(Z488:Z491)</f>
        <v>0</v>
      </c>
      <c r="AA492" s="282">
        <f t="shared" ref="AA492" si="2145">SUM(AA488:AA491)</f>
        <v>0</v>
      </c>
      <c r="AB492" s="992"/>
      <c r="AC492" s="258">
        <f t="shared" ref="AC492" si="2146">SUM(AC488:AC491)</f>
        <v>0</v>
      </c>
      <c r="AD492" s="465">
        <f t="shared" ref="AD492" si="2147">SUM(AD488:AD491)</f>
        <v>0</v>
      </c>
      <c r="AE492" s="465">
        <f t="shared" ref="AE492" si="2148">SUM(AE488:AE491)</f>
        <v>0</v>
      </c>
      <c r="AF492" s="465">
        <f t="shared" ref="AF492" si="2149">SUM(AF488:AF491)</f>
        <v>0</v>
      </c>
      <c r="AG492" s="465">
        <f t="shared" ref="AG492" si="2150">SUM(AG488:AG491)</f>
        <v>0</v>
      </c>
      <c r="AH492" s="1049"/>
      <c r="AI492" s="1172"/>
      <c r="AJ492" s="1155"/>
      <c r="AK492" s="1155"/>
      <c r="AL492" s="1086"/>
      <c r="AM492" s="1087"/>
      <c r="AN492" s="1087"/>
      <c r="AO492" s="1087"/>
      <c r="AP492" s="1088"/>
      <c r="AQ492" s="258">
        <f>SUM(AQ489:AQ491)</f>
        <v>0</v>
      </c>
      <c r="AR492" s="465">
        <f t="shared" ref="AR492" si="2151">SUM(AR489:AR491)</f>
        <v>0</v>
      </c>
      <c r="AS492" s="282"/>
      <c r="AT492" s="1155"/>
      <c r="AU492" s="1155"/>
      <c r="AV492" s="1155"/>
      <c r="AW492" s="1155"/>
      <c r="AX492" s="1155"/>
      <c r="AY492" s="1155"/>
      <c r="AZ492" s="1155"/>
      <c r="BA492" s="1155"/>
      <c r="BB492" s="1155"/>
      <c r="BC492" s="1155"/>
      <c r="BD492" s="1155"/>
      <c r="BE492" s="1155"/>
      <c r="BF492" s="1155"/>
      <c r="BG492" s="1155"/>
      <c r="BH492" s="1155"/>
      <c r="BI492" s="1155"/>
      <c r="BJ492" s="1155"/>
      <c r="BK492" s="1155"/>
      <c r="BL492" s="1155"/>
      <c r="BM492" s="1155"/>
      <c r="BN492" s="1155"/>
      <c r="BO492" s="1155"/>
      <c r="BP492" s="1155"/>
      <c r="BQ492" s="1155"/>
      <c r="BR492" s="1155"/>
      <c r="BS492" s="1155"/>
    </row>
    <row r="493" spans="5:71" s="474" customFormat="1" ht="13.5" thickBot="1">
      <c r="E493" s="4109"/>
      <c r="F493" s="1035" t="s">
        <v>583</v>
      </c>
      <c r="G493" s="255"/>
      <c r="H493" s="461"/>
      <c r="I493" s="461"/>
      <c r="J493" s="461"/>
      <c r="K493" s="281"/>
      <c r="L493" s="207"/>
      <c r="M493" s="456"/>
      <c r="N493" s="456"/>
      <c r="O493" s="456"/>
      <c r="P493" s="457"/>
      <c r="Q493" s="207"/>
      <c r="R493" s="456"/>
      <c r="S493" s="456"/>
      <c r="T493" s="456"/>
      <c r="U493" s="457"/>
      <c r="V493" s="1172"/>
      <c r="W493" s="207"/>
      <c r="X493" s="461"/>
      <c r="Y493" s="461"/>
      <c r="Z493" s="461"/>
      <c r="AA493" s="281"/>
      <c r="AB493" s="1041"/>
      <c r="AC493" s="207"/>
      <c r="AD493" s="456"/>
      <c r="AE493" s="456"/>
      <c r="AF493" s="456"/>
      <c r="AG493" s="456"/>
      <c r="AH493" s="1048"/>
      <c r="AI493" s="1172"/>
      <c r="AJ493" s="1155"/>
      <c r="AK493" s="1155"/>
      <c r="AL493" s="259"/>
      <c r="AM493" s="466"/>
      <c r="AN493" s="466"/>
      <c r="AO493" s="466"/>
      <c r="AP493" s="283"/>
      <c r="AQ493" s="207"/>
      <c r="AR493" s="456"/>
      <c r="AS493" s="457"/>
      <c r="AT493" s="1155"/>
      <c r="AU493" s="1155"/>
      <c r="AV493" s="1155"/>
      <c r="AW493" s="1155"/>
      <c r="AX493" s="1155"/>
      <c r="AY493" s="1155"/>
      <c r="AZ493" s="1155"/>
      <c r="BA493" s="1155"/>
      <c r="BB493" s="1155"/>
      <c r="BC493" s="1155"/>
      <c r="BD493" s="1155"/>
      <c r="BE493" s="1155"/>
      <c r="BF493" s="1155"/>
      <c r="BG493" s="1155"/>
      <c r="BH493" s="1155"/>
      <c r="BI493" s="1155"/>
      <c r="BJ493" s="1155"/>
      <c r="BK493" s="1155"/>
      <c r="BL493" s="1155"/>
      <c r="BM493" s="1155"/>
      <c r="BN493" s="1155"/>
      <c r="BO493" s="1155"/>
      <c r="BP493" s="1155"/>
      <c r="BQ493" s="1155"/>
      <c r="BR493" s="1155"/>
      <c r="BS493" s="1155"/>
    </row>
    <row r="494" spans="5:71" s="474" customFormat="1" ht="13.5" thickBot="1">
      <c r="E494" s="4109"/>
      <c r="F494" s="1380" t="s">
        <v>581</v>
      </c>
      <c r="G494" s="1599"/>
      <c r="H494" s="1600"/>
      <c r="I494" s="1600"/>
      <c r="J494" s="1600"/>
      <c r="K494" s="1601"/>
      <c r="L494" s="1599"/>
      <c r="M494" s="1600"/>
      <c r="N494" s="1600"/>
      <c r="O494" s="1600"/>
      <c r="P494" s="1601"/>
      <c r="Q494" s="1599"/>
      <c r="R494" s="1600"/>
      <c r="S494" s="1600"/>
      <c r="T494" s="1600"/>
      <c r="U494" s="1601"/>
      <c r="V494" s="1172"/>
      <c r="W494" s="1614"/>
      <c r="X494" s="1615"/>
      <c r="Y494" s="1615"/>
      <c r="Z494" s="1615"/>
      <c r="AA494" s="1615"/>
      <c r="AB494" s="1615"/>
      <c r="AC494" s="1615"/>
      <c r="AD494" s="1615"/>
      <c r="AE494" s="1615"/>
      <c r="AF494" s="1615"/>
      <c r="AG494" s="1615"/>
      <c r="AH494" s="1616"/>
      <c r="AI494" s="1172"/>
      <c r="AJ494" s="1155"/>
      <c r="AK494" s="1155"/>
      <c r="AL494" s="259"/>
      <c r="AM494" s="466"/>
      <c r="AN494" s="466"/>
      <c r="AO494" s="466"/>
      <c r="AP494" s="283"/>
      <c r="AQ494" s="259"/>
      <c r="AR494" s="466"/>
      <c r="AS494" s="283"/>
      <c r="AT494" s="1155"/>
      <c r="AU494" s="1155"/>
      <c r="AV494" s="1155"/>
      <c r="AW494" s="1155"/>
      <c r="AX494" s="1155"/>
      <c r="AY494" s="1155"/>
      <c r="AZ494" s="1155"/>
      <c r="BA494" s="1155"/>
      <c r="BB494" s="1155"/>
      <c r="BC494" s="1155"/>
      <c r="BD494" s="1155"/>
      <c r="BE494" s="1155"/>
      <c r="BF494" s="1155"/>
      <c r="BG494" s="1155"/>
      <c r="BH494" s="1155"/>
      <c r="BI494" s="1155"/>
      <c r="BJ494" s="1155"/>
      <c r="BK494" s="1155"/>
      <c r="BL494" s="1155"/>
      <c r="BM494" s="1155"/>
      <c r="BN494" s="1155"/>
      <c r="BO494" s="1155"/>
      <c r="BP494" s="1155"/>
      <c r="BQ494" s="1155"/>
      <c r="BR494" s="1155"/>
      <c r="BS494" s="1155"/>
    </row>
    <row r="495" spans="5:71" s="474" customFormat="1">
      <c r="E495" s="4109"/>
      <c r="F495" s="1378" t="s">
        <v>584</v>
      </c>
      <c r="G495" s="1050">
        <v>0</v>
      </c>
      <c r="H495" s="1051">
        <v>0</v>
      </c>
      <c r="I495" s="1051">
        <v>0</v>
      </c>
      <c r="J495" s="1051">
        <v>0</v>
      </c>
      <c r="K495" s="1052">
        <v>0</v>
      </c>
      <c r="L495" s="1050">
        <f>SUM(L492:L494)</f>
        <v>0</v>
      </c>
      <c r="M495" s="1051">
        <f t="shared" ref="M495" si="2152">SUM(M492:M494)</f>
        <v>1046312.8899999999</v>
      </c>
      <c r="N495" s="1051">
        <f t="shared" ref="N495" si="2153">SUM(N492:N494)</f>
        <v>0</v>
      </c>
      <c r="O495" s="1051">
        <f t="shared" ref="O495" si="2154">SUM(O492:O494)</f>
        <v>0</v>
      </c>
      <c r="P495" s="1052">
        <f t="shared" ref="P495" si="2155">SUM(P492:P494)</f>
        <v>0</v>
      </c>
      <c r="Q495" s="1050">
        <f t="shared" ref="Q495" si="2156">SUM(Q492:Q494)</f>
        <v>0</v>
      </c>
      <c r="R495" s="1051">
        <f t="shared" ref="R495" si="2157">SUM(R492:R494)</f>
        <v>0</v>
      </c>
      <c r="S495" s="1051">
        <f t="shared" ref="S495" si="2158">SUM(S492:S494)</f>
        <v>0</v>
      </c>
      <c r="T495" s="1051">
        <f t="shared" ref="T495" si="2159">SUM(T492:T494)</f>
        <v>0</v>
      </c>
      <c r="U495" s="1052">
        <f t="shared" ref="U495" si="2160">SUM(U492:U494)</f>
        <v>0</v>
      </c>
      <c r="V495" s="1172"/>
      <c r="W495" s="1050">
        <f t="shared" ref="W495" si="2161">SUM(W492:W494)</f>
        <v>0</v>
      </c>
      <c r="X495" s="1051">
        <f t="shared" ref="X495" si="2162">SUM(X492:X494)</f>
        <v>0</v>
      </c>
      <c r="Y495" s="1051">
        <f t="shared" ref="Y495" si="2163">SUM(Y492:Y494)</f>
        <v>0</v>
      </c>
      <c r="Z495" s="1051">
        <f t="shared" ref="Z495" si="2164">SUM(Z492:Z494)</f>
        <v>0</v>
      </c>
      <c r="AA495" s="1052">
        <f t="shared" ref="AA495" si="2165">SUM(AA492:AA494)</f>
        <v>0</v>
      </c>
      <c r="AB495" s="1053"/>
      <c r="AC495" s="1050">
        <f t="shared" ref="AC495" si="2166">SUM(AC492:AC494)</f>
        <v>0</v>
      </c>
      <c r="AD495" s="1051">
        <f t="shared" ref="AD495" si="2167">SUM(AD492:AD494)</f>
        <v>0</v>
      </c>
      <c r="AE495" s="1051">
        <f t="shared" ref="AE495" si="2168">SUM(AE492:AE494)</f>
        <v>0</v>
      </c>
      <c r="AF495" s="1051">
        <f t="shared" ref="AF495" si="2169">SUM(AF492:AF494)</f>
        <v>0</v>
      </c>
      <c r="AG495" s="1051">
        <f t="shared" ref="AG495" si="2170">SUM(AG492:AG494)</f>
        <v>0</v>
      </c>
      <c r="AH495" s="1054"/>
      <c r="AI495" s="1172"/>
      <c r="AJ495" s="130"/>
      <c r="AK495" s="130"/>
      <c r="AL495" s="1050">
        <f t="shared" ref="AL495:AR495" si="2171">SUM(AL493:AL494)</f>
        <v>0</v>
      </c>
      <c r="AM495" s="1051">
        <f t="shared" si="2171"/>
        <v>0</v>
      </c>
      <c r="AN495" s="1051">
        <f t="shared" si="2171"/>
        <v>0</v>
      </c>
      <c r="AO495" s="1051">
        <f t="shared" si="2171"/>
        <v>0</v>
      </c>
      <c r="AP495" s="1052">
        <f t="shared" si="2171"/>
        <v>0</v>
      </c>
      <c r="AQ495" s="1050">
        <f t="shared" si="2171"/>
        <v>0</v>
      </c>
      <c r="AR495" s="1051">
        <f t="shared" si="2171"/>
        <v>0</v>
      </c>
      <c r="AS495" s="1052"/>
      <c r="AT495" s="130"/>
      <c r="AU495" s="130"/>
      <c r="AV495" s="130"/>
      <c r="AW495" s="130"/>
      <c r="AX495" s="130"/>
      <c r="AY495" s="130"/>
      <c r="AZ495" s="130"/>
      <c r="BA495" s="130"/>
      <c r="BB495" s="130"/>
      <c r="BC495" s="130"/>
      <c r="BD495" s="130"/>
      <c r="BE495" s="130"/>
      <c r="BF495" s="130"/>
      <c r="BG495" s="130"/>
      <c r="BH495" s="130"/>
      <c r="BI495" s="130"/>
      <c r="BJ495" s="130"/>
      <c r="BK495" s="130"/>
      <c r="BL495" s="130"/>
      <c r="BM495" s="130"/>
      <c r="BN495" s="130"/>
      <c r="BO495" s="130"/>
      <c r="BP495" s="130"/>
      <c r="BQ495" s="130"/>
      <c r="BR495" s="130"/>
      <c r="BS495" s="1155"/>
    </row>
    <row r="496" spans="5:71" s="474" customFormat="1">
      <c r="E496" s="4109"/>
      <c r="F496" s="1389" t="s">
        <v>35</v>
      </c>
      <c r="G496" s="255"/>
      <c r="H496" s="461"/>
      <c r="I496" s="461"/>
      <c r="J496" s="461"/>
      <c r="K496" s="281"/>
      <c r="L496" s="255"/>
      <c r="M496" s="461"/>
      <c r="N496" s="461"/>
      <c r="O496" s="461"/>
      <c r="P496" s="281"/>
      <c r="Q496" s="255"/>
      <c r="R496" s="461"/>
      <c r="S496" s="461"/>
      <c r="T496" s="461"/>
      <c r="U496" s="281"/>
      <c r="V496" s="1172"/>
      <c r="W496" s="255"/>
      <c r="X496" s="461"/>
      <c r="Y496" s="461"/>
      <c r="Z496" s="461"/>
      <c r="AA496" s="281"/>
      <c r="AB496" s="1004"/>
      <c r="AC496" s="255"/>
      <c r="AD496" s="461"/>
      <c r="AE496" s="461"/>
      <c r="AF496" s="461"/>
      <c r="AG496" s="461"/>
      <c r="AH496" s="1047"/>
      <c r="AI496" s="1172"/>
      <c r="AJ496" s="1155"/>
      <c r="AK496" s="1155"/>
      <c r="AL496" s="259"/>
      <c r="AM496" s="466"/>
      <c r="AN496" s="466"/>
      <c r="AO496" s="466"/>
      <c r="AP496" s="283"/>
      <c r="AQ496" s="259"/>
      <c r="AR496" s="466"/>
      <c r="AS496" s="283"/>
      <c r="AT496" s="1155"/>
      <c r="AU496" s="1155"/>
      <c r="AV496" s="1155"/>
      <c r="AW496" s="1155"/>
      <c r="AX496" s="1155"/>
      <c r="AY496" s="1155"/>
      <c r="AZ496" s="1155"/>
      <c r="BA496" s="1155"/>
      <c r="BB496" s="1155"/>
      <c r="BC496" s="1155"/>
      <c r="BD496" s="1155"/>
      <c r="BE496" s="1155"/>
      <c r="BF496" s="1155"/>
      <c r="BG496" s="1155"/>
      <c r="BH496" s="1155"/>
      <c r="BI496" s="1155"/>
      <c r="BJ496" s="1155"/>
      <c r="BK496" s="1155"/>
      <c r="BL496" s="1155"/>
      <c r="BM496" s="1155"/>
      <c r="BN496" s="1155"/>
      <c r="BO496" s="1155"/>
      <c r="BP496" s="1155"/>
      <c r="BQ496" s="1155"/>
      <c r="BR496" s="1155"/>
      <c r="BS496" s="1155"/>
    </row>
    <row r="497" spans="5:71" s="474" customFormat="1" ht="13.5" thickBot="1">
      <c r="E497" s="4109"/>
      <c r="F497" s="1379" t="s">
        <v>585</v>
      </c>
      <c r="G497" s="1094">
        <v>0</v>
      </c>
      <c r="H497" s="1095">
        <v>0</v>
      </c>
      <c r="I497" s="1095">
        <v>0</v>
      </c>
      <c r="J497" s="1095">
        <v>0</v>
      </c>
      <c r="K497" s="1096">
        <v>0</v>
      </c>
      <c r="L497" s="1094">
        <f>L495-L496</f>
        <v>0</v>
      </c>
      <c r="M497" s="1095">
        <f t="shared" ref="M497" si="2172">M495-M496</f>
        <v>1046312.8899999999</v>
      </c>
      <c r="N497" s="1095">
        <f t="shared" ref="N497" si="2173">N495-N496</f>
        <v>0</v>
      </c>
      <c r="O497" s="1095">
        <f t="shared" ref="O497" si="2174">O495-O496</f>
        <v>0</v>
      </c>
      <c r="P497" s="1096">
        <f t="shared" ref="P497" si="2175">P495-P496</f>
        <v>0</v>
      </c>
      <c r="Q497" s="1567">
        <f t="shared" ref="Q497" si="2176">Q495-Q496</f>
        <v>0</v>
      </c>
      <c r="R497" s="1056">
        <f t="shared" ref="R497" si="2177">R495-R496</f>
        <v>0</v>
      </c>
      <c r="S497" s="1056">
        <f t="shared" ref="S497" si="2178">S495-S496</f>
        <v>0</v>
      </c>
      <c r="T497" s="1056">
        <f t="shared" ref="T497" si="2179">T495-T496</f>
        <v>0</v>
      </c>
      <c r="U497" s="1057">
        <f t="shared" ref="U497" si="2180">U495-U496</f>
        <v>0</v>
      </c>
      <c r="V497" s="1172"/>
      <c r="W497" s="1055">
        <f t="shared" ref="W497" si="2181">W495-W496</f>
        <v>0</v>
      </c>
      <c r="X497" s="1056">
        <f t="shared" ref="X497" si="2182">X495-X496</f>
        <v>0</v>
      </c>
      <c r="Y497" s="1056">
        <f t="shared" ref="Y497" si="2183">Y495-Y496</f>
        <v>0</v>
      </c>
      <c r="Z497" s="1056">
        <f t="shared" ref="Z497" si="2184">Z495-Z496</f>
        <v>0</v>
      </c>
      <c r="AA497" s="1057">
        <f t="shared" ref="AA497" si="2185">AA495-AA496</f>
        <v>0</v>
      </c>
      <c r="AB497" s="1075"/>
      <c r="AC497" s="1055">
        <f t="shared" ref="AC497" si="2186">AC495-AC496</f>
        <v>0</v>
      </c>
      <c r="AD497" s="1056">
        <f t="shared" ref="AD497" si="2187">AD495-AD496</f>
        <v>0</v>
      </c>
      <c r="AE497" s="1056">
        <f t="shared" ref="AE497" si="2188">AE495-AE496</f>
        <v>0</v>
      </c>
      <c r="AF497" s="1056">
        <f t="shared" ref="AF497" si="2189">AF495-AF496</f>
        <v>0</v>
      </c>
      <c r="AG497" s="1056">
        <f t="shared" ref="AG497" si="2190">AG495-AG496</f>
        <v>0</v>
      </c>
      <c r="AH497" s="1059"/>
      <c r="AI497" s="1172"/>
      <c r="AJ497" s="1155"/>
      <c r="AK497" s="1155"/>
      <c r="AL497" s="1094">
        <f>AL495-AL496</f>
        <v>0</v>
      </c>
      <c r="AM497" s="1095">
        <f t="shared" ref="AM497:AR497" si="2191">AM495-AM496</f>
        <v>0</v>
      </c>
      <c r="AN497" s="1095">
        <f t="shared" si="2191"/>
        <v>0</v>
      </c>
      <c r="AO497" s="1095">
        <f t="shared" si="2191"/>
        <v>0</v>
      </c>
      <c r="AP497" s="1096">
        <f t="shared" si="2191"/>
        <v>0</v>
      </c>
      <c r="AQ497" s="1094">
        <f t="shared" si="2191"/>
        <v>0</v>
      </c>
      <c r="AR497" s="1095">
        <f t="shared" si="2191"/>
        <v>0</v>
      </c>
      <c r="AS497" s="1096"/>
      <c r="AT497" s="1155"/>
      <c r="AU497" s="1155"/>
      <c r="AV497" s="1155"/>
      <c r="AW497" s="1155"/>
      <c r="AX497" s="1155"/>
      <c r="AY497" s="1155"/>
      <c r="AZ497" s="1155"/>
      <c r="BA497" s="1155"/>
      <c r="BB497" s="1155"/>
      <c r="BC497" s="1155"/>
      <c r="BD497" s="1155"/>
      <c r="BE497" s="1155"/>
      <c r="BF497" s="1155"/>
      <c r="BG497" s="1155"/>
      <c r="BH497" s="1155"/>
      <c r="BI497" s="1155"/>
      <c r="BJ497" s="1155"/>
      <c r="BK497" s="1155"/>
      <c r="BL497" s="1155"/>
      <c r="BM497" s="1155"/>
      <c r="BN497" s="1155"/>
      <c r="BO497" s="1155"/>
      <c r="BP497" s="1155"/>
      <c r="BQ497" s="1155"/>
      <c r="BR497" s="1155"/>
      <c r="BS497" s="1155"/>
    </row>
    <row r="498" spans="5:71" s="474" customFormat="1" ht="12.75" customHeight="1">
      <c r="E498" s="4110" t="s">
        <v>1505</v>
      </c>
      <c r="F498" s="433" t="s">
        <v>111</v>
      </c>
      <c r="G498" s="1077"/>
      <c r="H498" s="1078"/>
      <c r="I498" s="1078"/>
      <c r="J498" s="1078"/>
      <c r="K498" s="1079"/>
      <c r="L498" s="1566"/>
      <c r="M498" s="421"/>
      <c r="N498" s="421"/>
      <c r="O498" s="421"/>
      <c r="P498" s="1044"/>
      <c r="Q498" s="1080"/>
      <c r="R498" s="1081"/>
      <c r="S498" s="1081"/>
      <c r="T498" s="1081"/>
      <c r="U498" s="1082"/>
      <c r="V498" s="1172"/>
      <c r="W498" s="1043"/>
      <c r="X498" s="421"/>
      <c r="Y498" s="421"/>
      <c r="Z498" s="421"/>
      <c r="AA498" s="1044"/>
      <c r="AB498" s="1045"/>
      <c r="AC498" s="1043"/>
      <c r="AD498" s="421"/>
      <c r="AE498" s="421"/>
      <c r="AF498" s="421"/>
      <c r="AG498" s="421"/>
      <c r="AH498" s="1046"/>
      <c r="AI498" s="1172"/>
      <c r="AJ498" s="1155"/>
      <c r="AK498" s="1155"/>
      <c r="AL498" s="1077"/>
      <c r="AM498" s="1078"/>
      <c r="AN498" s="1078"/>
      <c r="AO498" s="1078"/>
      <c r="AP498" s="1079"/>
      <c r="AQ498" s="1566"/>
      <c r="AR498" s="421"/>
      <c r="AS498" s="1044"/>
      <c r="AT498" s="1155"/>
      <c r="AU498" s="1155"/>
      <c r="AV498" s="1155"/>
      <c r="AW498" s="1155"/>
      <c r="AX498" s="1155"/>
      <c r="AY498" s="1155"/>
      <c r="AZ498" s="1155"/>
      <c r="BA498" s="1155"/>
      <c r="BB498" s="1155"/>
      <c r="BC498" s="1155"/>
      <c r="BD498" s="1155"/>
      <c r="BE498" s="1155"/>
      <c r="BF498" s="1155"/>
      <c r="BG498" s="1155"/>
      <c r="BH498" s="1155"/>
      <c r="BI498" s="1155"/>
      <c r="BJ498" s="1155"/>
      <c r="BK498" s="1155"/>
      <c r="BL498" s="1155"/>
      <c r="BM498" s="1155"/>
      <c r="BN498" s="1155"/>
      <c r="BO498" s="1155"/>
      <c r="BP498" s="1155"/>
      <c r="BQ498" s="1155"/>
      <c r="BR498" s="1155"/>
      <c r="BS498" s="1155"/>
    </row>
    <row r="499" spans="5:71" s="474" customFormat="1" ht="12.75" customHeight="1">
      <c r="E499" s="4109"/>
      <c r="F499" s="1374" t="s">
        <v>588</v>
      </c>
      <c r="G499" s="1083"/>
      <c r="H499" s="1084"/>
      <c r="I499" s="1084"/>
      <c r="J499" s="1084"/>
      <c r="K499" s="1085"/>
      <c r="L499" s="255"/>
      <c r="M499" s="461">
        <v>2951</v>
      </c>
      <c r="N499" s="461"/>
      <c r="O499" s="461"/>
      <c r="P499" s="281"/>
      <c r="Q499" s="956"/>
      <c r="R499" s="461"/>
      <c r="S499" s="461"/>
      <c r="T499" s="461"/>
      <c r="U499" s="281"/>
      <c r="V499" s="1172"/>
      <c r="W499" s="255"/>
      <c r="X499" s="461"/>
      <c r="Y499" s="461"/>
      <c r="Z499" s="461"/>
      <c r="AA499" s="281"/>
      <c r="AB499" s="1041"/>
      <c r="AC499" s="255"/>
      <c r="AD499" s="461"/>
      <c r="AE499" s="461"/>
      <c r="AF499" s="461"/>
      <c r="AG499" s="461"/>
      <c r="AH499" s="1047"/>
      <c r="AI499" s="1172"/>
      <c r="AJ499" s="1155"/>
      <c r="AK499" s="1155"/>
      <c r="AL499" s="1083"/>
      <c r="AM499" s="1084"/>
      <c r="AN499" s="1084"/>
      <c r="AO499" s="1084"/>
      <c r="AP499" s="1085"/>
      <c r="AQ499" s="259"/>
      <c r="AR499" s="466"/>
      <c r="AS499" s="283"/>
      <c r="AT499" s="1155"/>
      <c r="AU499" s="1155"/>
      <c r="AV499" s="1155"/>
      <c r="AW499" s="1155"/>
      <c r="AX499" s="1155"/>
      <c r="AY499" s="1155"/>
      <c r="AZ499" s="1155"/>
      <c r="BA499" s="1155"/>
      <c r="BB499" s="1155"/>
      <c r="BC499" s="1155"/>
      <c r="BD499" s="1155"/>
      <c r="BE499" s="1155"/>
      <c r="BF499" s="1155"/>
      <c r="BG499" s="1155"/>
      <c r="BH499" s="1155"/>
      <c r="BI499" s="1155"/>
      <c r="BJ499" s="1155"/>
      <c r="BK499" s="1155"/>
      <c r="BL499" s="1155"/>
      <c r="BM499" s="1155"/>
      <c r="BN499" s="1155"/>
      <c r="BO499" s="1155"/>
      <c r="BP499" s="1155"/>
      <c r="BQ499" s="1155"/>
      <c r="BR499" s="1155"/>
      <c r="BS499" s="1155"/>
    </row>
    <row r="500" spans="5:71" s="474" customFormat="1" ht="12.75" customHeight="1">
      <c r="E500" s="4109"/>
      <c r="F500" s="1374" t="s">
        <v>589</v>
      </c>
      <c r="G500" s="1083"/>
      <c r="H500" s="1084"/>
      <c r="I500" s="1084"/>
      <c r="J500" s="1084"/>
      <c r="K500" s="1085"/>
      <c r="L500" s="255"/>
      <c r="M500" s="461"/>
      <c r="N500" s="461"/>
      <c r="O500" s="461"/>
      <c r="P500" s="281"/>
      <c r="Q500" s="956"/>
      <c r="R500" s="461"/>
      <c r="S500" s="461"/>
      <c r="T500" s="461"/>
      <c r="U500" s="281"/>
      <c r="V500" s="1172"/>
      <c r="W500" s="255"/>
      <c r="X500" s="461"/>
      <c r="Y500" s="461"/>
      <c r="Z500" s="461"/>
      <c r="AA500" s="281"/>
      <c r="AB500" s="1041"/>
      <c r="AC500" s="255"/>
      <c r="AD500" s="461"/>
      <c r="AE500" s="461"/>
      <c r="AF500" s="461"/>
      <c r="AG500" s="461"/>
      <c r="AH500" s="1047"/>
      <c r="AI500" s="1172"/>
      <c r="AJ500" s="1155"/>
      <c r="AK500" s="1155"/>
      <c r="AL500" s="1083"/>
      <c r="AM500" s="1084"/>
      <c r="AN500" s="1084"/>
      <c r="AO500" s="1084"/>
      <c r="AP500" s="1085"/>
      <c r="AQ500" s="259"/>
      <c r="AR500" s="466"/>
      <c r="AS500" s="283"/>
      <c r="AT500" s="1155"/>
      <c r="AU500" s="1155"/>
      <c r="AV500" s="1155"/>
      <c r="AW500" s="1155"/>
      <c r="AX500" s="1155"/>
      <c r="AY500" s="1155"/>
      <c r="AZ500" s="1155"/>
      <c r="BA500" s="1155"/>
      <c r="BB500" s="1155"/>
      <c r="BC500" s="1155"/>
      <c r="BD500" s="1155"/>
      <c r="BE500" s="1155"/>
      <c r="BF500" s="1155"/>
      <c r="BG500" s="1155"/>
      <c r="BH500" s="1155"/>
      <c r="BI500" s="1155"/>
      <c r="BJ500" s="1155"/>
      <c r="BK500" s="1155"/>
      <c r="BL500" s="1155"/>
      <c r="BM500" s="1155"/>
      <c r="BN500" s="1155"/>
      <c r="BO500" s="1155"/>
      <c r="BP500" s="1155"/>
      <c r="BQ500" s="1155"/>
      <c r="BR500" s="1155"/>
      <c r="BS500" s="1155"/>
    </row>
    <row r="501" spans="5:71" s="474" customFormat="1" ht="12.75" customHeight="1">
      <c r="E501" s="4109"/>
      <c r="F501" s="1374" t="s">
        <v>590</v>
      </c>
      <c r="G501" s="1083"/>
      <c r="H501" s="1084"/>
      <c r="I501" s="1084"/>
      <c r="J501" s="1084"/>
      <c r="K501" s="1085"/>
      <c r="L501" s="255"/>
      <c r="M501" s="461"/>
      <c r="N501" s="461"/>
      <c r="O501" s="461"/>
      <c r="P501" s="281"/>
      <c r="Q501" s="956"/>
      <c r="R501" s="461"/>
      <c r="S501" s="461"/>
      <c r="T501" s="461"/>
      <c r="U501" s="281"/>
      <c r="V501" s="1172"/>
      <c r="W501" s="255"/>
      <c r="X501" s="461"/>
      <c r="Y501" s="461"/>
      <c r="Z501" s="461"/>
      <c r="AA501" s="281"/>
      <c r="AB501" s="1041"/>
      <c r="AC501" s="255"/>
      <c r="AD501" s="461"/>
      <c r="AE501" s="461"/>
      <c r="AF501" s="461"/>
      <c r="AG501" s="461"/>
      <c r="AH501" s="1047"/>
      <c r="AI501" s="1172"/>
      <c r="AJ501" s="1155"/>
      <c r="AK501" s="1155"/>
      <c r="AL501" s="1083"/>
      <c r="AM501" s="1084"/>
      <c r="AN501" s="1084"/>
      <c r="AO501" s="1084"/>
      <c r="AP501" s="1085"/>
      <c r="AQ501" s="259"/>
      <c r="AR501" s="466"/>
      <c r="AS501" s="283"/>
      <c r="AT501" s="1155"/>
      <c r="AU501" s="1155"/>
      <c r="AV501" s="1155"/>
      <c r="AW501" s="1155"/>
      <c r="AX501" s="1155"/>
      <c r="AY501" s="1155"/>
      <c r="AZ501" s="1155"/>
      <c r="BA501" s="1155"/>
      <c r="BB501" s="1155"/>
      <c r="BC501" s="1155"/>
      <c r="BD501" s="1155"/>
      <c r="BE501" s="1155"/>
      <c r="BF501" s="1155"/>
      <c r="BG501" s="1155"/>
      <c r="BH501" s="1155"/>
      <c r="BI501" s="1155"/>
      <c r="BJ501" s="1155"/>
      <c r="BK501" s="1155"/>
      <c r="BL501" s="1155"/>
      <c r="BM501" s="1155"/>
      <c r="BN501" s="1155"/>
      <c r="BO501" s="1155"/>
      <c r="BP501" s="1155"/>
      <c r="BQ501" s="1155"/>
      <c r="BR501" s="1155"/>
      <c r="BS501" s="1155"/>
    </row>
    <row r="502" spans="5:71" s="474" customFormat="1" ht="12.75" customHeight="1">
      <c r="E502" s="4109"/>
      <c r="F502" s="1374" t="s">
        <v>591</v>
      </c>
      <c r="G502" s="1083"/>
      <c r="H502" s="1084"/>
      <c r="I502" s="1084"/>
      <c r="J502" s="1084"/>
      <c r="K502" s="1085"/>
      <c r="L502" s="255"/>
      <c r="M502" s="461"/>
      <c r="N502" s="461"/>
      <c r="O502" s="461"/>
      <c r="P502" s="281"/>
      <c r="Q502" s="956"/>
      <c r="R502" s="461"/>
      <c r="S502" s="461"/>
      <c r="T502" s="461"/>
      <c r="U502" s="281"/>
      <c r="V502" s="1172"/>
      <c r="W502" s="255"/>
      <c r="X502" s="461"/>
      <c r="Y502" s="461"/>
      <c r="Z502" s="461"/>
      <c r="AA502" s="281"/>
      <c r="AB502" s="1041"/>
      <c r="AC502" s="255"/>
      <c r="AD502" s="461"/>
      <c r="AE502" s="461"/>
      <c r="AF502" s="461"/>
      <c r="AG502" s="461"/>
      <c r="AH502" s="1047"/>
      <c r="AI502" s="1172"/>
      <c r="AJ502" s="1155"/>
      <c r="AK502" s="1155"/>
      <c r="AL502" s="1083"/>
      <c r="AM502" s="1084"/>
      <c r="AN502" s="1084"/>
      <c r="AO502" s="1084"/>
      <c r="AP502" s="1085"/>
      <c r="AQ502" s="259"/>
      <c r="AR502" s="466"/>
      <c r="AS502" s="283"/>
      <c r="AT502" s="1155"/>
      <c r="AU502" s="1155"/>
      <c r="AV502" s="1155"/>
      <c r="AW502" s="1155"/>
      <c r="AX502" s="1155"/>
      <c r="AY502" s="1155"/>
      <c r="AZ502" s="1155"/>
      <c r="BA502" s="1155"/>
      <c r="BB502" s="1155"/>
      <c r="BC502" s="1155"/>
      <c r="BD502" s="1155"/>
      <c r="BE502" s="1155"/>
      <c r="BF502" s="1155"/>
      <c r="BG502" s="1155"/>
      <c r="BH502" s="1155"/>
      <c r="BI502" s="1155"/>
      <c r="BJ502" s="1155"/>
      <c r="BK502" s="1155"/>
      <c r="BL502" s="1155"/>
      <c r="BM502" s="1155"/>
      <c r="BN502" s="1155"/>
      <c r="BO502" s="1155"/>
      <c r="BP502" s="1155"/>
      <c r="BQ502" s="1155"/>
      <c r="BR502" s="1155"/>
      <c r="BS502" s="1155"/>
    </row>
    <row r="503" spans="5:71" s="474" customFormat="1" ht="12.75" customHeight="1">
      <c r="E503" s="4109"/>
      <c r="F503" s="1374" t="s">
        <v>592</v>
      </c>
      <c r="G503" s="1083"/>
      <c r="H503" s="1084"/>
      <c r="I503" s="1084"/>
      <c r="J503" s="1084"/>
      <c r="K503" s="1085"/>
      <c r="L503" s="207"/>
      <c r="M503" s="456"/>
      <c r="N503" s="456"/>
      <c r="O503" s="456"/>
      <c r="P503" s="457"/>
      <c r="Q503" s="224"/>
      <c r="R503" s="456"/>
      <c r="S503" s="456"/>
      <c r="T503" s="456"/>
      <c r="U503" s="457"/>
      <c r="V503" s="1172"/>
      <c r="W503" s="207">
        <v>0</v>
      </c>
      <c r="X503" s="456">
        <v>0</v>
      </c>
      <c r="Y503" s="456">
        <v>0</v>
      </c>
      <c r="Z503" s="456">
        <v>0</v>
      </c>
      <c r="AA503" s="457">
        <v>0</v>
      </c>
      <c r="AB503" s="1041"/>
      <c r="AC503" s="207">
        <v>0</v>
      </c>
      <c r="AD503" s="456">
        <v>0</v>
      </c>
      <c r="AE503" s="456">
        <v>0</v>
      </c>
      <c r="AF503" s="456">
        <v>0</v>
      </c>
      <c r="AG503" s="456">
        <v>0</v>
      </c>
      <c r="AH503" s="1048"/>
      <c r="AI503" s="1172"/>
      <c r="AJ503" s="1155"/>
      <c r="AK503" s="1155"/>
      <c r="AL503" s="1083"/>
      <c r="AM503" s="1084"/>
      <c r="AN503" s="1084"/>
      <c r="AO503" s="1084"/>
      <c r="AP503" s="1085"/>
      <c r="AQ503" s="207">
        <f>SUM(AQ498:AQ502)</f>
        <v>0</v>
      </c>
      <c r="AR503" s="456">
        <f t="shared" ref="AR503" si="2192">SUM(AR498:AR502)</f>
        <v>0</v>
      </c>
      <c r="AS503" s="457"/>
      <c r="AT503" s="1155"/>
      <c r="AU503" s="1155"/>
      <c r="AV503" s="1155"/>
      <c r="AW503" s="1155"/>
      <c r="AX503" s="1155"/>
      <c r="AY503" s="1155"/>
      <c r="AZ503" s="1155"/>
      <c r="BA503" s="1155"/>
      <c r="BB503" s="1155"/>
      <c r="BC503" s="1155"/>
      <c r="BD503" s="1155"/>
      <c r="BE503" s="1155"/>
      <c r="BF503" s="1155"/>
      <c r="BG503" s="1155"/>
      <c r="BH503" s="1155"/>
      <c r="BI503" s="1155"/>
      <c r="BJ503" s="1155"/>
      <c r="BK503" s="1155"/>
      <c r="BL503" s="1155"/>
      <c r="BM503" s="1155"/>
      <c r="BN503" s="1155"/>
      <c r="BO503" s="1155"/>
      <c r="BP503" s="1155"/>
      <c r="BQ503" s="1155"/>
      <c r="BR503" s="1155"/>
      <c r="BS503" s="1155"/>
    </row>
    <row r="504" spans="5:71" s="474" customFormat="1">
      <c r="E504" s="4109"/>
      <c r="F504" s="1375" t="s">
        <v>587</v>
      </c>
      <c r="G504" s="1086"/>
      <c r="H504" s="1087"/>
      <c r="I504" s="1087"/>
      <c r="J504" s="1087"/>
      <c r="K504" s="1088"/>
      <c r="L504" s="258">
        <f>SUM(L499:L503)</f>
        <v>0</v>
      </c>
      <c r="M504" s="465">
        <f t="shared" ref="M504" si="2193">SUM(M499:M503)</f>
        <v>2951</v>
      </c>
      <c r="N504" s="465">
        <f t="shared" ref="N504" si="2194">SUM(N499:N503)</f>
        <v>0</v>
      </c>
      <c r="O504" s="465">
        <f t="shared" ref="O504" si="2195">SUM(O499:O503)</f>
        <v>0</v>
      </c>
      <c r="P504" s="282">
        <f t="shared" ref="P504" si="2196">SUM(P499:P503)</f>
        <v>0</v>
      </c>
      <c r="Q504" s="965">
        <f t="shared" ref="Q504" si="2197">SUM(Q499:Q503)</f>
        <v>0</v>
      </c>
      <c r="R504" s="465">
        <f t="shared" ref="R504" si="2198">SUM(R499:R503)</f>
        <v>0</v>
      </c>
      <c r="S504" s="465">
        <f t="shared" ref="S504" si="2199">SUM(S499:S503)</f>
        <v>0</v>
      </c>
      <c r="T504" s="465">
        <f t="shared" ref="T504" si="2200">SUM(T499:T503)</f>
        <v>0</v>
      </c>
      <c r="U504" s="282">
        <f t="shared" ref="U504" si="2201">SUM(U499:U503)</f>
        <v>0</v>
      </c>
      <c r="V504" s="1172"/>
      <c r="W504" s="258">
        <f t="shared" ref="W504" si="2202">SUM(W499:W503)</f>
        <v>0</v>
      </c>
      <c r="X504" s="465">
        <f t="shared" ref="X504" si="2203">SUM(X499:X503)</f>
        <v>0</v>
      </c>
      <c r="Y504" s="465">
        <f t="shared" ref="Y504" si="2204">SUM(Y499:Y503)</f>
        <v>0</v>
      </c>
      <c r="Z504" s="465">
        <f t="shared" ref="Z504" si="2205">SUM(Z499:Z503)</f>
        <v>0</v>
      </c>
      <c r="AA504" s="282">
        <f t="shared" ref="AA504" si="2206">SUM(AA499:AA503)</f>
        <v>0</v>
      </c>
      <c r="AB504" s="992"/>
      <c r="AC504" s="258">
        <f t="shared" ref="AC504" si="2207">SUM(AC499:AC503)</f>
        <v>0</v>
      </c>
      <c r="AD504" s="465">
        <f t="shared" ref="AD504" si="2208">SUM(AD499:AD503)</f>
        <v>0</v>
      </c>
      <c r="AE504" s="465">
        <f t="shared" ref="AE504" si="2209">SUM(AE499:AE503)</f>
        <v>0</v>
      </c>
      <c r="AF504" s="465">
        <f t="shared" ref="AF504" si="2210">SUM(AF499:AF503)</f>
        <v>0</v>
      </c>
      <c r="AG504" s="465">
        <f t="shared" ref="AG504" si="2211">SUM(AG499:AG503)</f>
        <v>0</v>
      </c>
      <c r="AH504" s="1049"/>
      <c r="AI504" s="1172"/>
      <c r="AJ504" s="1155"/>
      <c r="AK504" s="1155"/>
      <c r="AL504" s="1086"/>
      <c r="AM504" s="1087"/>
      <c r="AN504" s="1087"/>
      <c r="AO504" s="1087"/>
      <c r="AP504" s="1088"/>
      <c r="AQ504" s="258"/>
      <c r="AR504" s="465"/>
      <c r="AS504" s="282"/>
      <c r="AT504" s="1155"/>
      <c r="AU504" s="1155"/>
      <c r="AV504" s="1155"/>
      <c r="AW504" s="1155"/>
      <c r="AX504" s="1155"/>
      <c r="AY504" s="1155"/>
      <c r="AZ504" s="1155"/>
      <c r="BA504" s="1155"/>
      <c r="BB504" s="1155"/>
      <c r="BC504" s="1155"/>
      <c r="BD504" s="1155"/>
      <c r="BE504" s="1155"/>
      <c r="BF504" s="1155"/>
      <c r="BG504" s="1155"/>
      <c r="BH504" s="1155"/>
      <c r="BI504" s="1155"/>
      <c r="BJ504" s="1155"/>
      <c r="BK504" s="1155"/>
      <c r="BL504" s="1155"/>
      <c r="BM504" s="1155"/>
      <c r="BN504" s="1155"/>
      <c r="BO504" s="1155"/>
      <c r="BP504" s="1155"/>
      <c r="BQ504" s="1155"/>
      <c r="BR504" s="1155"/>
      <c r="BS504" s="1155"/>
    </row>
    <row r="505" spans="5:71" s="474" customFormat="1">
      <c r="E505" s="4109"/>
      <c r="F505" s="1376" t="s">
        <v>593</v>
      </c>
      <c r="G505" s="1083"/>
      <c r="H505" s="1084"/>
      <c r="I505" s="1084"/>
      <c r="J505" s="1084"/>
      <c r="K505" s="1085"/>
      <c r="L505" s="255"/>
      <c r="M505" s="461"/>
      <c r="N505" s="461"/>
      <c r="O505" s="461"/>
      <c r="P505" s="281"/>
      <c r="Q505" s="956"/>
      <c r="R505" s="461"/>
      <c r="S505" s="461"/>
      <c r="T505" s="461"/>
      <c r="U505" s="281"/>
      <c r="V505" s="1172"/>
      <c r="W505" s="255"/>
      <c r="X505" s="461"/>
      <c r="Y505" s="461"/>
      <c r="Z505" s="461"/>
      <c r="AA505" s="281"/>
      <c r="AB505" s="1041"/>
      <c r="AC505" s="255"/>
      <c r="AD505" s="461"/>
      <c r="AE505" s="461"/>
      <c r="AF505" s="461"/>
      <c r="AG505" s="461"/>
      <c r="AH505" s="1047"/>
      <c r="AI505" s="1172"/>
      <c r="AJ505" s="1155"/>
      <c r="AK505" s="1155"/>
      <c r="AL505" s="1083"/>
      <c r="AM505" s="1084"/>
      <c r="AN505" s="1084"/>
      <c r="AO505" s="1084"/>
      <c r="AP505" s="1085"/>
      <c r="AQ505" s="259"/>
      <c r="AR505" s="466"/>
      <c r="AS505" s="283"/>
      <c r="AT505" s="1155"/>
      <c r="AU505" s="1155"/>
      <c r="AV505" s="1155"/>
      <c r="AW505" s="1155"/>
      <c r="AX505" s="1155"/>
      <c r="AY505" s="1155"/>
      <c r="AZ505" s="1155"/>
      <c r="BA505" s="1155"/>
      <c r="BB505" s="1155"/>
      <c r="BC505" s="1155"/>
      <c r="BD505" s="1155"/>
      <c r="BE505" s="1155"/>
      <c r="BF505" s="1155"/>
      <c r="BG505" s="1155"/>
      <c r="BH505" s="1155"/>
      <c r="BI505" s="1155"/>
      <c r="BJ505" s="1155"/>
      <c r="BK505" s="1155"/>
      <c r="BL505" s="1155"/>
      <c r="BM505" s="1155"/>
      <c r="BN505" s="1155"/>
      <c r="BO505" s="1155"/>
      <c r="BP505" s="1155"/>
      <c r="BQ505" s="1155"/>
      <c r="BR505" s="1155"/>
      <c r="BS505" s="1155"/>
    </row>
    <row r="506" spans="5:71" s="474" customFormat="1">
      <c r="E506" s="4109"/>
      <c r="F506" s="431" t="s">
        <v>558</v>
      </c>
      <c r="G506" s="1083"/>
      <c r="H506" s="1084"/>
      <c r="I506" s="1084"/>
      <c r="J506" s="1084"/>
      <c r="K506" s="1085"/>
      <c r="L506" s="255"/>
      <c r="M506" s="461">
        <v>547000</v>
      </c>
      <c r="N506" s="461"/>
      <c r="O506" s="461"/>
      <c r="P506" s="281"/>
      <c r="Q506" s="956"/>
      <c r="R506" s="461"/>
      <c r="S506" s="461"/>
      <c r="T506" s="461"/>
      <c r="U506" s="281"/>
      <c r="V506" s="1172"/>
      <c r="W506" s="255"/>
      <c r="X506" s="461"/>
      <c r="Y506" s="461"/>
      <c r="Z506" s="461"/>
      <c r="AA506" s="281"/>
      <c r="AB506" s="1041"/>
      <c r="AC506" s="255"/>
      <c r="AD506" s="461"/>
      <c r="AE506" s="461"/>
      <c r="AF506" s="461"/>
      <c r="AG506" s="461"/>
      <c r="AH506" s="1047"/>
      <c r="AI506" s="1172"/>
      <c r="AJ506" s="1155"/>
      <c r="AK506" s="1155"/>
      <c r="AL506" s="1083"/>
      <c r="AM506" s="1084"/>
      <c r="AN506" s="1084"/>
      <c r="AO506" s="1084"/>
      <c r="AP506" s="1085"/>
      <c r="AQ506" s="259"/>
      <c r="AR506" s="466"/>
      <c r="AS506" s="283"/>
      <c r="AT506" s="1155"/>
      <c r="AU506" s="1155"/>
      <c r="AV506" s="1155"/>
      <c r="AW506" s="1155"/>
      <c r="AX506" s="1155"/>
      <c r="AY506" s="1155"/>
      <c r="AZ506" s="1155"/>
      <c r="BA506" s="1155"/>
      <c r="BB506" s="1155"/>
      <c r="BC506" s="1155"/>
      <c r="BD506" s="1155"/>
      <c r="BE506" s="1155"/>
      <c r="BF506" s="1155"/>
      <c r="BG506" s="1155"/>
      <c r="BH506" s="1155"/>
      <c r="BI506" s="1155"/>
      <c r="BJ506" s="1155"/>
      <c r="BK506" s="1155"/>
      <c r="BL506" s="1155"/>
      <c r="BM506" s="1155"/>
      <c r="BN506" s="1155"/>
      <c r="BO506" s="1155"/>
      <c r="BP506" s="1155"/>
      <c r="BQ506" s="1155"/>
      <c r="BR506" s="1155"/>
      <c r="BS506" s="1155"/>
    </row>
    <row r="507" spans="5:71" s="474" customFormat="1">
      <c r="E507" s="4109"/>
      <c r="F507" s="431" t="s">
        <v>559</v>
      </c>
      <c r="G507" s="1083"/>
      <c r="H507" s="1084"/>
      <c r="I507" s="1084"/>
      <c r="J507" s="1084"/>
      <c r="K507" s="1085"/>
      <c r="L507" s="255"/>
      <c r="M507" s="461"/>
      <c r="N507" s="461"/>
      <c r="O507" s="461"/>
      <c r="P507" s="281"/>
      <c r="Q507" s="956"/>
      <c r="R507" s="461"/>
      <c r="S507" s="461"/>
      <c r="T507" s="461"/>
      <c r="U507" s="281"/>
      <c r="V507" s="1172"/>
      <c r="W507" s="255"/>
      <c r="X507" s="461"/>
      <c r="Y507" s="461"/>
      <c r="Z507" s="461"/>
      <c r="AA507" s="281"/>
      <c r="AB507" s="1041"/>
      <c r="AC507" s="255"/>
      <c r="AD507" s="461"/>
      <c r="AE507" s="461"/>
      <c r="AF507" s="461"/>
      <c r="AG507" s="461"/>
      <c r="AH507" s="1047"/>
      <c r="AI507" s="1172"/>
      <c r="AJ507" s="1155"/>
      <c r="AK507" s="1155"/>
      <c r="AL507" s="1083"/>
      <c r="AM507" s="1084"/>
      <c r="AN507" s="1084"/>
      <c r="AO507" s="1084"/>
      <c r="AP507" s="1085"/>
      <c r="AQ507" s="259"/>
      <c r="AR507" s="466"/>
      <c r="AS507" s="283"/>
      <c r="AT507" s="1155"/>
      <c r="AU507" s="1155"/>
      <c r="AV507" s="1155"/>
      <c r="AW507" s="1155"/>
      <c r="AX507" s="1155"/>
      <c r="AY507" s="1155"/>
      <c r="AZ507" s="1155"/>
      <c r="BA507" s="1155"/>
      <c r="BB507" s="1155"/>
      <c r="BC507" s="1155"/>
      <c r="BD507" s="1155"/>
      <c r="BE507" s="1155"/>
      <c r="BF507" s="1155"/>
      <c r="BG507" s="1155"/>
      <c r="BH507" s="1155"/>
      <c r="BI507" s="1155"/>
      <c r="BJ507" s="1155"/>
      <c r="BK507" s="1155"/>
      <c r="BL507" s="1155"/>
      <c r="BM507" s="1155"/>
      <c r="BN507" s="1155"/>
      <c r="BO507" s="1155"/>
      <c r="BP507" s="1155"/>
      <c r="BQ507" s="1155"/>
      <c r="BR507" s="1155"/>
      <c r="BS507" s="1155"/>
    </row>
    <row r="508" spans="5:71" s="474" customFormat="1">
      <c r="E508" s="4109"/>
      <c r="F508" s="431" t="s">
        <v>578</v>
      </c>
      <c r="G508" s="1089"/>
      <c r="H508" s="1090"/>
      <c r="I508" s="1090"/>
      <c r="J508" s="1090"/>
      <c r="K508" s="1091"/>
      <c r="L508" s="259"/>
      <c r="M508" s="456"/>
      <c r="N508" s="456"/>
      <c r="O508" s="456"/>
      <c r="P508" s="457"/>
      <c r="Q508" s="224"/>
      <c r="R508" s="456"/>
      <c r="S508" s="456"/>
      <c r="T508" s="456"/>
      <c r="U508" s="457"/>
      <c r="V508" s="1172"/>
      <c r="W508" s="207"/>
      <c r="X508" s="456"/>
      <c r="Y508" s="456"/>
      <c r="Z508" s="456"/>
      <c r="AA508" s="457"/>
      <c r="AB508" s="1041"/>
      <c r="AC508" s="207"/>
      <c r="AD508" s="456"/>
      <c r="AE508" s="456"/>
      <c r="AF508" s="456"/>
      <c r="AG508" s="456"/>
      <c r="AH508" s="1048"/>
      <c r="AI508" s="1172"/>
      <c r="AJ508" s="1155"/>
      <c r="AK508" s="1155"/>
      <c r="AL508" s="1089"/>
      <c r="AM508" s="1090"/>
      <c r="AN508" s="1090"/>
      <c r="AO508" s="1090"/>
      <c r="AP508" s="1091"/>
      <c r="AQ508" s="259"/>
      <c r="AR508" s="456"/>
      <c r="AS508" s="457"/>
      <c r="AT508" s="1155"/>
      <c r="AU508" s="1155"/>
      <c r="AV508" s="1155"/>
      <c r="AW508" s="1155"/>
      <c r="AX508" s="1155"/>
      <c r="AY508" s="1155"/>
      <c r="AZ508" s="1155"/>
      <c r="BA508" s="1155"/>
      <c r="BB508" s="1155"/>
      <c r="BC508" s="1155"/>
      <c r="BD508" s="1155"/>
      <c r="BE508" s="1155"/>
      <c r="BF508" s="1155"/>
      <c r="BG508" s="1155"/>
      <c r="BH508" s="1155"/>
      <c r="BI508" s="1155"/>
      <c r="BJ508" s="1155"/>
      <c r="BK508" s="1155"/>
      <c r="BL508" s="1155"/>
      <c r="BM508" s="1155"/>
      <c r="BN508" s="1155"/>
      <c r="BO508" s="1155"/>
      <c r="BP508" s="1155"/>
      <c r="BQ508" s="1155"/>
      <c r="BR508" s="1155"/>
      <c r="BS508" s="1155"/>
    </row>
    <row r="509" spans="5:71" s="474" customFormat="1">
      <c r="E509" s="4109"/>
      <c r="F509" s="1377" t="s">
        <v>579</v>
      </c>
      <c r="G509" s="1086"/>
      <c r="H509" s="1087"/>
      <c r="I509" s="1087"/>
      <c r="J509" s="1087"/>
      <c r="K509" s="1088"/>
      <c r="L509" s="258">
        <f>SUM(L505:L508)</f>
        <v>0</v>
      </c>
      <c r="M509" s="465">
        <f t="shared" ref="M509" si="2212">SUM(M505:M508)</f>
        <v>547000</v>
      </c>
      <c r="N509" s="465">
        <f t="shared" ref="N509" si="2213">SUM(N505:N508)</f>
        <v>0</v>
      </c>
      <c r="O509" s="465">
        <f t="shared" ref="O509" si="2214">SUM(O505:O508)</f>
        <v>0</v>
      </c>
      <c r="P509" s="282">
        <f t="shared" ref="P509" si="2215">SUM(P505:P508)</f>
        <v>0</v>
      </c>
      <c r="Q509" s="965">
        <f t="shared" ref="Q509" si="2216">SUM(Q505:Q508)</f>
        <v>0</v>
      </c>
      <c r="R509" s="465">
        <f t="shared" ref="R509" si="2217">SUM(R505:R508)</f>
        <v>0</v>
      </c>
      <c r="S509" s="465">
        <f t="shared" ref="S509" si="2218">SUM(S505:S508)</f>
        <v>0</v>
      </c>
      <c r="T509" s="465">
        <f t="shared" ref="T509" si="2219">SUM(T505:T508)</f>
        <v>0</v>
      </c>
      <c r="U509" s="282">
        <f t="shared" ref="U509" si="2220">SUM(U505:U508)</f>
        <v>0</v>
      </c>
      <c r="V509" s="1172"/>
      <c r="W509" s="258">
        <f t="shared" ref="W509" si="2221">SUM(W505:W508)</f>
        <v>0</v>
      </c>
      <c r="X509" s="465">
        <f t="shared" ref="X509" si="2222">SUM(X505:X508)</f>
        <v>0</v>
      </c>
      <c r="Y509" s="465">
        <f t="shared" ref="Y509" si="2223">SUM(Y505:Y508)</f>
        <v>0</v>
      </c>
      <c r="Z509" s="465">
        <f t="shared" ref="Z509" si="2224">SUM(Z505:Z508)</f>
        <v>0</v>
      </c>
      <c r="AA509" s="282">
        <f t="shared" ref="AA509" si="2225">SUM(AA505:AA508)</f>
        <v>0</v>
      </c>
      <c r="AB509" s="992"/>
      <c r="AC509" s="258">
        <f t="shared" ref="AC509" si="2226">SUM(AC505:AC508)</f>
        <v>0</v>
      </c>
      <c r="AD509" s="465">
        <f t="shared" ref="AD509" si="2227">SUM(AD505:AD508)</f>
        <v>0</v>
      </c>
      <c r="AE509" s="465">
        <f t="shared" ref="AE509" si="2228">SUM(AE505:AE508)</f>
        <v>0</v>
      </c>
      <c r="AF509" s="465">
        <f t="shared" ref="AF509" si="2229">SUM(AF505:AF508)</f>
        <v>0</v>
      </c>
      <c r="AG509" s="465">
        <f t="shared" ref="AG509" si="2230">SUM(AG505:AG508)</f>
        <v>0</v>
      </c>
      <c r="AH509" s="1049"/>
      <c r="AI509" s="1172"/>
      <c r="AJ509" s="1155"/>
      <c r="AK509" s="1155"/>
      <c r="AL509" s="1086"/>
      <c r="AM509" s="1087"/>
      <c r="AN509" s="1087"/>
      <c r="AO509" s="1087"/>
      <c r="AP509" s="1088"/>
      <c r="AQ509" s="258">
        <f>SUM(AQ506:AQ508)</f>
        <v>0</v>
      </c>
      <c r="AR509" s="465">
        <f t="shared" ref="AR509" si="2231">SUM(AR506:AR508)</f>
        <v>0</v>
      </c>
      <c r="AS509" s="282"/>
      <c r="AT509" s="1155"/>
      <c r="AU509" s="1155"/>
      <c r="AV509" s="1155"/>
      <c r="AW509" s="1155"/>
      <c r="AX509" s="1155"/>
      <c r="AY509" s="1155"/>
      <c r="AZ509" s="1155"/>
      <c r="BA509" s="1155"/>
      <c r="BB509" s="1155"/>
      <c r="BC509" s="1155"/>
      <c r="BD509" s="1155"/>
      <c r="BE509" s="1155"/>
      <c r="BF509" s="1155"/>
      <c r="BG509" s="1155"/>
      <c r="BH509" s="1155"/>
      <c r="BI509" s="1155"/>
      <c r="BJ509" s="1155"/>
      <c r="BK509" s="1155"/>
      <c r="BL509" s="1155"/>
      <c r="BM509" s="1155"/>
      <c r="BN509" s="1155"/>
      <c r="BO509" s="1155"/>
      <c r="BP509" s="1155"/>
      <c r="BQ509" s="1155"/>
      <c r="BR509" s="1155"/>
      <c r="BS509" s="1155"/>
    </row>
    <row r="510" spans="5:71" s="474" customFormat="1" ht="13.5" thickBot="1">
      <c r="E510" s="4109"/>
      <c r="F510" s="1035" t="s">
        <v>583</v>
      </c>
      <c r="G510" s="255"/>
      <c r="H510" s="461"/>
      <c r="I510" s="461"/>
      <c r="J510" s="461"/>
      <c r="K510" s="281"/>
      <c r="L510" s="207"/>
      <c r="M510" s="456"/>
      <c r="N510" s="456"/>
      <c r="O510" s="456"/>
      <c r="P510" s="457"/>
      <c r="Q510" s="224"/>
      <c r="R510" s="456"/>
      <c r="S510" s="456"/>
      <c r="T510" s="456"/>
      <c r="U510" s="457"/>
      <c r="V510" s="1172"/>
      <c r="W510" s="1603"/>
      <c r="X510" s="1604"/>
      <c r="Y510" s="1604"/>
      <c r="Z510" s="1604"/>
      <c r="AA510" s="1605"/>
      <c r="AB510" s="1606"/>
      <c r="AC510" s="1603"/>
      <c r="AD510" s="1607"/>
      <c r="AE510" s="1607"/>
      <c r="AF510" s="1607"/>
      <c r="AG510" s="1607"/>
      <c r="AH510" s="1608"/>
      <c r="AI510" s="1172"/>
      <c r="AJ510" s="1155"/>
      <c r="AK510" s="1155"/>
      <c r="AL510" s="259"/>
      <c r="AM510" s="466"/>
      <c r="AN510" s="466"/>
      <c r="AO510" s="466"/>
      <c r="AP510" s="283"/>
      <c r="AQ510" s="259"/>
      <c r="AR510" s="466"/>
      <c r="AS510" s="283"/>
      <c r="AT510" s="1155"/>
      <c r="AU510" s="1155"/>
      <c r="AV510" s="1155"/>
      <c r="AW510" s="1155"/>
      <c r="AX510" s="1155"/>
      <c r="AY510" s="1155"/>
      <c r="AZ510" s="1155"/>
      <c r="BA510" s="1155"/>
      <c r="BB510" s="1155"/>
      <c r="BC510" s="1155"/>
      <c r="BD510" s="1155"/>
      <c r="BE510" s="1155"/>
      <c r="BF510" s="1155"/>
      <c r="BG510" s="1155"/>
      <c r="BH510" s="1155"/>
      <c r="BI510" s="1155"/>
      <c r="BJ510" s="1155"/>
      <c r="BK510" s="1155"/>
      <c r="BL510" s="1155"/>
      <c r="BM510" s="1155"/>
      <c r="BN510" s="1155"/>
      <c r="BO510" s="1155"/>
      <c r="BP510" s="1155"/>
      <c r="BQ510" s="1155"/>
      <c r="BR510" s="1155"/>
      <c r="BS510" s="1155"/>
    </row>
    <row r="511" spans="5:71" s="474" customFormat="1" ht="13.5" thickBot="1">
      <c r="E511" s="4109"/>
      <c r="F511" s="1380" t="s">
        <v>581</v>
      </c>
      <c r="G511" s="1599"/>
      <c r="H511" s="1600"/>
      <c r="I511" s="1600"/>
      <c r="J511" s="1600"/>
      <c r="K511" s="1601"/>
      <c r="L511" s="1599"/>
      <c r="M511" s="1600"/>
      <c r="N511" s="1600"/>
      <c r="O511" s="1600"/>
      <c r="P511" s="1601"/>
      <c r="Q511" s="1602"/>
      <c r="R511" s="1600"/>
      <c r="S511" s="1600"/>
      <c r="T511" s="1600"/>
      <c r="U511" s="1601"/>
      <c r="V511" s="1172"/>
      <c r="W511" s="1614"/>
      <c r="X511" s="1615"/>
      <c r="Y511" s="1615"/>
      <c r="Z511" s="1615"/>
      <c r="AA511" s="1615"/>
      <c r="AB511" s="1615"/>
      <c r="AC511" s="1615"/>
      <c r="AD511" s="1615"/>
      <c r="AE511" s="1615"/>
      <c r="AF511" s="1615"/>
      <c r="AG511" s="1615"/>
      <c r="AH511" s="1616"/>
      <c r="AI511" s="1172"/>
      <c r="AJ511" s="1155"/>
      <c r="AK511" s="1155"/>
      <c r="AL511" s="259"/>
      <c r="AM511" s="466"/>
      <c r="AN511" s="466"/>
      <c r="AO511" s="466"/>
      <c r="AP511" s="283"/>
      <c r="AQ511" s="259"/>
      <c r="AR511" s="466"/>
      <c r="AS511" s="283"/>
      <c r="AT511" s="1155"/>
      <c r="AU511" s="1155"/>
      <c r="AV511" s="1155"/>
      <c r="AW511" s="1155"/>
      <c r="AX511" s="1155"/>
      <c r="AY511" s="1155"/>
      <c r="AZ511" s="1155"/>
      <c r="BA511" s="1155"/>
      <c r="BB511" s="1155"/>
      <c r="BC511" s="1155"/>
      <c r="BD511" s="1155"/>
      <c r="BE511" s="1155"/>
      <c r="BF511" s="1155"/>
      <c r="BG511" s="1155"/>
      <c r="BH511" s="1155"/>
      <c r="BI511" s="1155"/>
      <c r="BJ511" s="1155"/>
      <c r="BK511" s="1155"/>
      <c r="BL511" s="1155"/>
      <c r="BM511" s="1155"/>
      <c r="BN511" s="1155"/>
      <c r="BO511" s="1155"/>
      <c r="BP511" s="1155"/>
      <c r="BQ511" s="1155"/>
      <c r="BR511" s="1155"/>
      <c r="BS511" s="1155"/>
    </row>
    <row r="512" spans="5:71" s="474" customFormat="1">
      <c r="E512" s="4109"/>
      <c r="F512" s="1378" t="s">
        <v>584</v>
      </c>
      <c r="G512" s="1050">
        <v>0</v>
      </c>
      <c r="H512" s="1051">
        <v>0</v>
      </c>
      <c r="I512" s="1051">
        <v>0</v>
      </c>
      <c r="J512" s="1051">
        <v>0</v>
      </c>
      <c r="K512" s="1052">
        <v>0</v>
      </c>
      <c r="L512" s="1050">
        <f>SUM(L509:L511)</f>
        <v>0</v>
      </c>
      <c r="M512" s="1051">
        <f t="shared" ref="M512" si="2232">SUM(M509:M511)</f>
        <v>547000</v>
      </c>
      <c r="N512" s="1051">
        <f t="shared" ref="N512" si="2233">SUM(N509:N511)</f>
        <v>0</v>
      </c>
      <c r="O512" s="1051">
        <f t="shared" ref="O512" si="2234">SUM(O509:O511)</f>
        <v>0</v>
      </c>
      <c r="P512" s="1052">
        <f t="shared" ref="P512" si="2235">SUM(P509:P511)</f>
        <v>0</v>
      </c>
      <c r="Q512" s="1092">
        <f t="shared" ref="Q512" si="2236">SUM(Q509:Q511)</f>
        <v>0</v>
      </c>
      <c r="R512" s="1051">
        <f t="shared" ref="R512" si="2237">SUM(R509:R511)</f>
        <v>0</v>
      </c>
      <c r="S512" s="1051">
        <f t="shared" ref="S512" si="2238">SUM(S509:S511)</f>
        <v>0</v>
      </c>
      <c r="T512" s="1051">
        <f t="shared" ref="T512" si="2239">SUM(T509:T511)</f>
        <v>0</v>
      </c>
      <c r="U512" s="1052">
        <f t="shared" ref="U512" si="2240">SUM(U509:U511)</f>
        <v>0</v>
      </c>
      <c r="V512" s="1172"/>
      <c r="W512" s="1609">
        <f t="shared" ref="W512" si="2241">SUM(W509:W511)</f>
        <v>0</v>
      </c>
      <c r="X512" s="1610">
        <f t="shared" ref="X512" si="2242">SUM(X509:X511)</f>
        <v>0</v>
      </c>
      <c r="Y512" s="1610">
        <f t="shared" ref="Y512" si="2243">SUM(Y509:Y511)</f>
        <v>0</v>
      </c>
      <c r="Z512" s="1610">
        <f t="shared" ref="Z512" si="2244">SUM(Z509:Z511)</f>
        <v>0</v>
      </c>
      <c r="AA512" s="1611">
        <f t="shared" ref="AA512" si="2245">SUM(AA509:AA511)</f>
        <v>0</v>
      </c>
      <c r="AB512" s="1612"/>
      <c r="AC512" s="1609">
        <f t="shared" ref="AC512" si="2246">SUM(AC509:AC511)</f>
        <v>0</v>
      </c>
      <c r="AD512" s="1610">
        <f t="shared" ref="AD512" si="2247">SUM(AD509:AD511)</f>
        <v>0</v>
      </c>
      <c r="AE512" s="1610">
        <f t="shared" ref="AE512" si="2248">SUM(AE509:AE511)</f>
        <v>0</v>
      </c>
      <c r="AF512" s="1610">
        <f t="shared" ref="AF512" si="2249">SUM(AF509:AF511)</f>
        <v>0</v>
      </c>
      <c r="AG512" s="1610">
        <f t="shared" ref="AG512" si="2250">SUM(AG509:AG511)</f>
        <v>0</v>
      </c>
      <c r="AH512" s="1613"/>
      <c r="AI512" s="1172"/>
      <c r="AJ512" s="130"/>
      <c r="AK512" s="130"/>
      <c r="AL512" s="1050">
        <f t="shared" ref="AL512:AR512" si="2251">SUM(AL510:AL511)</f>
        <v>0</v>
      </c>
      <c r="AM512" s="1051">
        <f t="shared" si="2251"/>
        <v>0</v>
      </c>
      <c r="AN512" s="1051">
        <f t="shared" si="2251"/>
        <v>0</v>
      </c>
      <c r="AO512" s="1051">
        <f t="shared" si="2251"/>
        <v>0</v>
      </c>
      <c r="AP512" s="1052">
        <f t="shared" si="2251"/>
        <v>0</v>
      </c>
      <c r="AQ512" s="1050">
        <f t="shared" si="2251"/>
        <v>0</v>
      </c>
      <c r="AR512" s="1051">
        <f t="shared" si="2251"/>
        <v>0</v>
      </c>
      <c r="AS512" s="1052"/>
      <c r="AT512" s="130"/>
      <c r="AU512" s="130"/>
      <c r="AV512" s="130"/>
      <c r="AW512" s="130"/>
      <c r="AX512" s="130"/>
      <c r="AY512" s="130"/>
      <c r="AZ512" s="130"/>
      <c r="BA512" s="130"/>
      <c r="BB512" s="130"/>
      <c r="BC512" s="130"/>
      <c r="BD512" s="130"/>
      <c r="BE512" s="130"/>
      <c r="BF512" s="130"/>
      <c r="BG512" s="130"/>
      <c r="BH512" s="130"/>
      <c r="BI512" s="130"/>
      <c r="BJ512" s="130"/>
      <c r="BK512" s="130"/>
      <c r="BL512" s="130"/>
      <c r="BM512" s="130"/>
      <c r="BN512" s="130"/>
      <c r="BO512" s="130"/>
      <c r="BP512" s="130"/>
      <c r="BQ512" s="130"/>
      <c r="BR512" s="130"/>
      <c r="BS512" s="1155"/>
    </row>
    <row r="513" spans="5:71" s="474" customFormat="1">
      <c r="E513" s="4109"/>
      <c r="F513" s="1389" t="s">
        <v>35</v>
      </c>
      <c r="G513" s="255"/>
      <c r="H513" s="461"/>
      <c r="I513" s="461"/>
      <c r="J513" s="461"/>
      <c r="K513" s="281"/>
      <c r="L513" s="255"/>
      <c r="M513" s="461"/>
      <c r="N513" s="461"/>
      <c r="O513" s="461"/>
      <c r="P513" s="281"/>
      <c r="Q513" s="956"/>
      <c r="R513" s="461"/>
      <c r="S513" s="461"/>
      <c r="T513" s="461"/>
      <c r="U513" s="281"/>
      <c r="V513" s="1172"/>
      <c r="W513" s="255"/>
      <c r="X513" s="461"/>
      <c r="Y513" s="461"/>
      <c r="Z513" s="461"/>
      <c r="AA513" s="281"/>
      <c r="AB513" s="1004"/>
      <c r="AC513" s="255"/>
      <c r="AD513" s="461"/>
      <c r="AE513" s="461"/>
      <c r="AF513" s="461"/>
      <c r="AG513" s="461"/>
      <c r="AH513" s="1047"/>
      <c r="AI513" s="1172"/>
      <c r="AJ513" s="1155"/>
      <c r="AK513" s="1155"/>
      <c r="AL513" s="259"/>
      <c r="AM513" s="466"/>
      <c r="AN513" s="466"/>
      <c r="AO513" s="466"/>
      <c r="AP513" s="283"/>
      <c r="AQ513" s="259"/>
      <c r="AR513" s="466"/>
      <c r="AS513" s="283"/>
      <c r="AT513" s="1155"/>
      <c r="AU513" s="1155"/>
      <c r="AV513" s="1155"/>
      <c r="AW513" s="1155"/>
      <c r="AX513" s="1155"/>
      <c r="AY513" s="1155"/>
      <c r="AZ513" s="1155"/>
      <c r="BA513" s="1155"/>
      <c r="BB513" s="1155"/>
      <c r="BC513" s="1155"/>
      <c r="BD513" s="1155"/>
      <c r="BE513" s="1155"/>
      <c r="BF513" s="1155"/>
      <c r="BG513" s="1155"/>
      <c r="BH513" s="1155"/>
      <c r="BI513" s="1155"/>
      <c r="BJ513" s="1155"/>
      <c r="BK513" s="1155"/>
      <c r="BL513" s="1155"/>
      <c r="BM513" s="1155"/>
      <c r="BN513" s="1155"/>
      <c r="BO513" s="1155"/>
      <c r="BP513" s="1155"/>
      <c r="BQ513" s="1155"/>
      <c r="BR513" s="1155"/>
      <c r="BS513" s="1155"/>
    </row>
    <row r="514" spans="5:71" s="474" customFormat="1" ht="13.5" thickBot="1">
      <c r="E514" s="4109"/>
      <c r="F514" s="1387" t="s">
        <v>585</v>
      </c>
      <c r="G514" s="1055">
        <v>0</v>
      </c>
      <c r="H514" s="1056">
        <v>0</v>
      </c>
      <c r="I514" s="1056">
        <v>0</v>
      </c>
      <c r="J514" s="1056">
        <v>0</v>
      </c>
      <c r="K514" s="1057">
        <v>0</v>
      </c>
      <c r="L514" s="1567">
        <f>L512-L513</f>
        <v>0</v>
      </c>
      <c r="M514" s="1056">
        <f t="shared" ref="M514" si="2252">M512-M513</f>
        <v>547000</v>
      </c>
      <c r="N514" s="1056">
        <f t="shared" ref="N514" si="2253">N512-N513</f>
        <v>0</v>
      </c>
      <c r="O514" s="1056">
        <f t="shared" ref="O514" si="2254">O512-O513</f>
        <v>0</v>
      </c>
      <c r="P514" s="1057">
        <f t="shared" ref="P514" si="2255">P512-P513</f>
        <v>0</v>
      </c>
      <c r="Q514" s="1093">
        <f t="shared" ref="Q514" si="2256">Q512-Q513</f>
        <v>0</v>
      </c>
      <c r="R514" s="1056">
        <f t="shared" ref="R514" si="2257">R512-R513</f>
        <v>0</v>
      </c>
      <c r="S514" s="1056">
        <f t="shared" ref="S514" si="2258">S512-S513</f>
        <v>0</v>
      </c>
      <c r="T514" s="1056">
        <f t="shared" ref="T514" si="2259">T512-T513</f>
        <v>0</v>
      </c>
      <c r="U514" s="1057">
        <f t="shared" ref="U514" si="2260">U512-U513</f>
        <v>0</v>
      </c>
      <c r="V514" s="1172"/>
      <c r="W514" s="1055">
        <f t="shared" ref="W514" si="2261">W512-W513</f>
        <v>0</v>
      </c>
      <c r="X514" s="1056">
        <f t="shared" ref="X514" si="2262">X512-X513</f>
        <v>0</v>
      </c>
      <c r="Y514" s="1056">
        <f t="shared" ref="Y514" si="2263">Y512-Y513</f>
        <v>0</v>
      </c>
      <c r="Z514" s="1056">
        <f t="shared" ref="Z514" si="2264">Z512-Z513</f>
        <v>0</v>
      </c>
      <c r="AA514" s="1057">
        <f t="shared" ref="AA514" si="2265">AA512-AA513</f>
        <v>0</v>
      </c>
      <c r="AB514" s="1075"/>
      <c r="AC514" s="1055">
        <f t="shared" ref="AC514" si="2266">AC512-AC513</f>
        <v>0</v>
      </c>
      <c r="AD514" s="1056">
        <f t="shared" ref="AD514" si="2267">AD512-AD513</f>
        <v>0</v>
      </c>
      <c r="AE514" s="1056">
        <f t="shared" ref="AE514" si="2268">AE512-AE513</f>
        <v>0</v>
      </c>
      <c r="AF514" s="1056">
        <f t="shared" ref="AF514" si="2269">AF512-AF513</f>
        <v>0</v>
      </c>
      <c r="AG514" s="1056">
        <f t="shared" ref="AG514" si="2270">AG512-AG513</f>
        <v>0</v>
      </c>
      <c r="AH514" s="1059"/>
      <c r="AI514" s="1172"/>
      <c r="AJ514" s="1155"/>
      <c r="AK514" s="1155"/>
      <c r="AL514" s="1567">
        <f>AL512-AL513</f>
        <v>0</v>
      </c>
      <c r="AM514" s="1056">
        <f t="shared" ref="AM514:AR514" si="2271">AM512-AM513</f>
        <v>0</v>
      </c>
      <c r="AN514" s="1056">
        <f t="shared" si="2271"/>
        <v>0</v>
      </c>
      <c r="AO514" s="1056">
        <f t="shared" si="2271"/>
        <v>0</v>
      </c>
      <c r="AP514" s="1057">
        <f t="shared" si="2271"/>
        <v>0</v>
      </c>
      <c r="AQ514" s="1567">
        <f t="shared" si="2271"/>
        <v>0</v>
      </c>
      <c r="AR514" s="1056">
        <f t="shared" si="2271"/>
        <v>0</v>
      </c>
      <c r="AS514" s="1057"/>
      <c r="AT514" s="1155"/>
      <c r="AU514" s="1155"/>
      <c r="AV514" s="1155"/>
      <c r="AW514" s="1155"/>
      <c r="AX514" s="1155"/>
      <c r="AY514" s="1155"/>
      <c r="AZ514" s="1155"/>
      <c r="BA514" s="1155"/>
      <c r="BB514" s="1155"/>
      <c r="BC514" s="1155"/>
      <c r="BD514" s="1155"/>
      <c r="BE514" s="1155"/>
      <c r="BF514" s="1155"/>
      <c r="BG514" s="1155"/>
      <c r="BH514" s="1155"/>
      <c r="BI514" s="1155"/>
      <c r="BJ514" s="1155"/>
      <c r="BK514" s="1155"/>
      <c r="BL514" s="1155"/>
      <c r="BM514" s="1155"/>
      <c r="BN514" s="1155"/>
      <c r="BO514" s="1155"/>
      <c r="BP514" s="1155"/>
      <c r="BQ514" s="1155"/>
      <c r="BR514" s="1155"/>
      <c r="BS514" s="1155"/>
    </row>
    <row r="515" spans="5:71" s="474" customFormat="1" ht="12.75" customHeight="1">
      <c r="E515" s="4110" t="s">
        <v>1506</v>
      </c>
      <c r="F515" s="433" t="s">
        <v>111</v>
      </c>
      <c r="G515" s="1086"/>
      <c r="H515" s="1087"/>
      <c r="I515" s="1087"/>
      <c r="J515" s="1087"/>
      <c r="K515" s="1088"/>
      <c r="L515" s="258"/>
      <c r="M515" s="465"/>
      <c r="N515" s="465"/>
      <c r="O515" s="465"/>
      <c r="P515" s="282"/>
      <c r="Q515" s="965"/>
      <c r="R515" s="465"/>
      <c r="S515" s="465"/>
      <c r="T515" s="465"/>
      <c r="U515" s="1044"/>
      <c r="V515" s="1172"/>
      <c r="W515" s="1043"/>
      <c r="X515" s="421"/>
      <c r="Y515" s="421"/>
      <c r="Z515" s="421"/>
      <c r="AA515" s="1044"/>
      <c r="AB515" s="1045"/>
      <c r="AC515" s="1043"/>
      <c r="AD515" s="421"/>
      <c r="AE515" s="421"/>
      <c r="AF515" s="421"/>
      <c r="AG515" s="421"/>
      <c r="AH515" s="1046"/>
      <c r="AI515" s="1172"/>
      <c r="AJ515" s="1155"/>
      <c r="AK515" s="1155"/>
      <c r="AL515" s="1086"/>
      <c r="AM515" s="1087"/>
      <c r="AN515" s="1087"/>
      <c r="AO515" s="1087"/>
      <c r="AP515" s="1088"/>
      <c r="AQ515" s="258"/>
      <c r="AR515" s="465"/>
      <c r="AS515" s="282"/>
      <c r="AT515" s="1155"/>
      <c r="AU515" s="1155"/>
      <c r="AV515" s="1155"/>
      <c r="AW515" s="1155"/>
      <c r="AX515" s="1155"/>
      <c r="AY515" s="1155"/>
      <c r="AZ515" s="1155"/>
      <c r="BA515" s="1155"/>
      <c r="BB515" s="1155"/>
      <c r="BC515" s="1155"/>
      <c r="BD515" s="1155"/>
      <c r="BE515" s="1155"/>
      <c r="BF515" s="1155"/>
      <c r="BG515" s="1155"/>
      <c r="BH515" s="1155"/>
      <c r="BI515" s="1155"/>
      <c r="BJ515" s="1155"/>
      <c r="BK515" s="1155"/>
      <c r="BL515" s="1155"/>
      <c r="BM515" s="1155"/>
      <c r="BN515" s="1155"/>
      <c r="BO515" s="1155"/>
      <c r="BP515" s="1155"/>
      <c r="BQ515" s="1155"/>
      <c r="BR515" s="1155"/>
      <c r="BS515" s="1155"/>
    </row>
    <row r="516" spans="5:71" s="474" customFormat="1" ht="12.75" customHeight="1">
      <c r="E516" s="4109"/>
      <c r="F516" s="1374" t="s">
        <v>588</v>
      </c>
      <c r="G516" s="1083"/>
      <c r="H516" s="1084"/>
      <c r="I516" s="1084"/>
      <c r="J516" s="1084"/>
      <c r="K516" s="1085"/>
      <c r="L516" s="255"/>
      <c r="M516" s="461">
        <v>2638</v>
      </c>
      <c r="N516" s="461"/>
      <c r="O516" s="461"/>
      <c r="P516" s="281"/>
      <c r="Q516" s="956"/>
      <c r="R516" s="461"/>
      <c r="S516" s="461"/>
      <c r="T516" s="461"/>
      <c r="U516" s="281"/>
      <c r="V516" s="1172"/>
      <c r="W516" s="255"/>
      <c r="X516" s="461"/>
      <c r="Y516" s="461"/>
      <c r="Z516" s="461"/>
      <c r="AA516" s="281"/>
      <c r="AB516" s="1041"/>
      <c r="AC516" s="255"/>
      <c r="AD516" s="461"/>
      <c r="AE516" s="461"/>
      <c r="AF516" s="461"/>
      <c r="AG516" s="461"/>
      <c r="AH516" s="1047"/>
      <c r="AI516" s="1172"/>
      <c r="AJ516" s="1155"/>
      <c r="AK516" s="1155"/>
      <c r="AL516" s="1083"/>
      <c r="AM516" s="1084"/>
      <c r="AN516" s="1084"/>
      <c r="AO516" s="1084"/>
      <c r="AP516" s="1085"/>
      <c r="AQ516" s="259"/>
      <c r="AR516" s="466"/>
      <c r="AS516" s="283"/>
      <c r="AT516" s="1155"/>
      <c r="AU516" s="1155"/>
      <c r="AV516" s="1155"/>
      <c r="AW516" s="1155"/>
      <c r="AX516" s="1155"/>
      <c r="AY516" s="1155"/>
      <c r="AZ516" s="1155"/>
      <c r="BA516" s="1155"/>
      <c r="BB516" s="1155"/>
      <c r="BC516" s="1155"/>
      <c r="BD516" s="1155"/>
      <c r="BE516" s="1155"/>
      <c r="BF516" s="1155"/>
      <c r="BG516" s="1155"/>
      <c r="BH516" s="1155"/>
      <c r="BI516" s="1155"/>
      <c r="BJ516" s="1155"/>
      <c r="BK516" s="1155"/>
      <c r="BL516" s="1155"/>
      <c r="BM516" s="1155"/>
      <c r="BN516" s="1155"/>
      <c r="BO516" s="1155"/>
      <c r="BP516" s="1155"/>
      <c r="BQ516" s="1155"/>
      <c r="BR516" s="1155"/>
      <c r="BS516" s="1155"/>
    </row>
    <row r="517" spans="5:71" s="474" customFormat="1" ht="12.75" customHeight="1">
      <c r="E517" s="4109"/>
      <c r="F517" s="1374" t="s">
        <v>589</v>
      </c>
      <c r="G517" s="1083"/>
      <c r="H517" s="1084"/>
      <c r="I517" s="1084"/>
      <c r="J517" s="1084"/>
      <c r="K517" s="1085"/>
      <c r="L517" s="255"/>
      <c r="M517" s="461"/>
      <c r="N517" s="461"/>
      <c r="O517" s="461"/>
      <c r="P517" s="281"/>
      <c r="Q517" s="956"/>
      <c r="R517" s="461"/>
      <c r="S517" s="461"/>
      <c r="T517" s="461"/>
      <c r="U517" s="281"/>
      <c r="V517" s="1172"/>
      <c r="W517" s="255"/>
      <c r="X517" s="461"/>
      <c r="Y517" s="461"/>
      <c r="Z517" s="461"/>
      <c r="AA517" s="281"/>
      <c r="AB517" s="1041"/>
      <c r="AC517" s="255"/>
      <c r="AD517" s="461"/>
      <c r="AE517" s="461"/>
      <c r="AF517" s="461"/>
      <c r="AG517" s="461"/>
      <c r="AH517" s="1047"/>
      <c r="AI517" s="1172"/>
      <c r="AJ517" s="1155"/>
      <c r="AK517" s="1155"/>
      <c r="AL517" s="1083"/>
      <c r="AM517" s="1084"/>
      <c r="AN517" s="1084"/>
      <c r="AO517" s="1084"/>
      <c r="AP517" s="1085"/>
      <c r="AQ517" s="259"/>
      <c r="AR517" s="466"/>
      <c r="AS517" s="283"/>
      <c r="AT517" s="1155"/>
      <c r="AU517" s="1155"/>
      <c r="AV517" s="1155"/>
      <c r="AW517" s="1155"/>
      <c r="AX517" s="1155"/>
      <c r="AY517" s="1155"/>
      <c r="AZ517" s="1155"/>
      <c r="BA517" s="1155"/>
      <c r="BB517" s="1155"/>
      <c r="BC517" s="1155"/>
      <c r="BD517" s="1155"/>
      <c r="BE517" s="1155"/>
      <c r="BF517" s="1155"/>
      <c r="BG517" s="1155"/>
      <c r="BH517" s="1155"/>
      <c r="BI517" s="1155"/>
      <c r="BJ517" s="1155"/>
      <c r="BK517" s="1155"/>
      <c r="BL517" s="1155"/>
      <c r="BM517" s="1155"/>
      <c r="BN517" s="1155"/>
      <c r="BO517" s="1155"/>
      <c r="BP517" s="1155"/>
      <c r="BQ517" s="1155"/>
      <c r="BR517" s="1155"/>
      <c r="BS517" s="1155"/>
    </row>
    <row r="518" spans="5:71" s="474" customFormat="1" ht="12.75" customHeight="1">
      <c r="E518" s="4109"/>
      <c r="F518" s="1374" t="s">
        <v>590</v>
      </c>
      <c r="G518" s="1083"/>
      <c r="H518" s="1084"/>
      <c r="I518" s="1084"/>
      <c r="J518" s="1084"/>
      <c r="K518" s="1085"/>
      <c r="L518" s="255"/>
      <c r="M518" s="461"/>
      <c r="N518" s="461"/>
      <c r="O518" s="461"/>
      <c r="P518" s="281"/>
      <c r="Q518" s="956"/>
      <c r="R518" s="461"/>
      <c r="S518" s="461"/>
      <c r="T518" s="461"/>
      <c r="U518" s="281"/>
      <c r="V518" s="1172"/>
      <c r="W518" s="255"/>
      <c r="X518" s="461"/>
      <c r="Y518" s="461"/>
      <c r="Z518" s="461"/>
      <c r="AA518" s="281"/>
      <c r="AB518" s="1041"/>
      <c r="AC518" s="255"/>
      <c r="AD518" s="461"/>
      <c r="AE518" s="461"/>
      <c r="AF518" s="461"/>
      <c r="AG518" s="461"/>
      <c r="AH518" s="1047"/>
      <c r="AI518" s="1172"/>
      <c r="AJ518" s="1155"/>
      <c r="AK518" s="1155"/>
      <c r="AL518" s="1083"/>
      <c r="AM518" s="1084"/>
      <c r="AN518" s="1084"/>
      <c r="AO518" s="1084"/>
      <c r="AP518" s="1085"/>
      <c r="AQ518" s="259"/>
      <c r="AR518" s="466"/>
      <c r="AS518" s="283"/>
      <c r="AT518" s="1155"/>
      <c r="AU518" s="1155"/>
      <c r="AV518" s="1155"/>
      <c r="AW518" s="1155"/>
      <c r="AX518" s="1155"/>
      <c r="AY518" s="1155"/>
      <c r="AZ518" s="1155"/>
      <c r="BA518" s="1155"/>
      <c r="BB518" s="1155"/>
      <c r="BC518" s="1155"/>
      <c r="BD518" s="1155"/>
      <c r="BE518" s="1155"/>
      <c r="BF518" s="1155"/>
      <c r="BG518" s="1155"/>
      <c r="BH518" s="1155"/>
      <c r="BI518" s="1155"/>
      <c r="BJ518" s="1155"/>
      <c r="BK518" s="1155"/>
      <c r="BL518" s="1155"/>
      <c r="BM518" s="1155"/>
      <c r="BN518" s="1155"/>
      <c r="BO518" s="1155"/>
      <c r="BP518" s="1155"/>
      <c r="BQ518" s="1155"/>
      <c r="BR518" s="1155"/>
      <c r="BS518" s="1155"/>
    </row>
    <row r="519" spans="5:71" s="474" customFormat="1" ht="12.75" customHeight="1">
      <c r="E519" s="4109"/>
      <c r="F519" s="1374" t="s">
        <v>591</v>
      </c>
      <c r="G519" s="1083"/>
      <c r="H519" s="1084"/>
      <c r="I519" s="1084"/>
      <c r="J519" s="1084"/>
      <c r="K519" s="1085"/>
      <c r="L519" s="255"/>
      <c r="M519" s="461"/>
      <c r="N519" s="461"/>
      <c r="O519" s="461"/>
      <c r="P519" s="281"/>
      <c r="Q519" s="956"/>
      <c r="R519" s="461"/>
      <c r="S519" s="461"/>
      <c r="T519" s="461"/>
      <c r="U519" s="281"/>
      <c r="V519" s="1172"/>
      <c r="W519" s="255"/>
      <c r="X519" s="461"/>
      <c r="Y519" s="461"/>
      <c r="Z519" s="461"/>
      <c r="AA519" s="281"/>
      <c r="AB519" s="1041"/>
      <c r="AC519" s="255"/>
      <c r="AD519" s="461"/>
      <c r="AE519" s="461"/>
      <c r="AF519" s="461"/>
      <c r="AG519" s="461"/>
      <c r="AH519" s="1047"/>
      <c r="AI519" s="1172"/>
      <c r="AJ519" s="1155"/>
      <c r="AK519" s="1155"/>
      <c r="AL519" s="1083"/>
      <c r="AM519" s="1084"/>
      <c r="AN519" s="1084"/>
      <c r="AO519" s="1084"/>
      <c r="AP519" s="1085"/>
      <c r="AQ519" s="259"/>
      <c r="AR519" s="466"/>
      <c r="AS519" s="283"/>
      <c r="AT519" s="1155"/>
      <c r="AU519" s="1155"/>
      <c r="AV519" s="1155"/>
      <c r="AW519" s="1155"/>
      <c r="AX519" s="1155"/>
      <c r="AY519" s="1155"/>
      <c r="AZ519" s="1155"/>
      <c r="BA519" s="1155"/>
      <c r="BB519" s="1155"/>
      <c r="BC519" s="1155"/>
      <c r="BD519" s="1155"/>
      <c r="BE519" s="1155"/>
      <c r="BF519" s="1155"/>
      <c r="BG519" s="1155"/>
      <c r="BH519" s="1155"/>
      <c r="BI519" s="1155"/>
      <c r="BJ519" s="1155"/>
      <c r="BK519" s="1155"/>
      <c r="BL519" s="1155"/>
      <c r="BM519" s="1155"/>
      <c r="BN519" s="1155"/>
      <c r="BO519" s="1155"/>
      <c r="BP519" s="1155"/>
      <c r="BQ519" s="1155"/>
      <c r="BR519" s="1155"/>
      <c r="BS519" s="1155"/>
    </row>
    <row r="520" spans="5:71" s="474" customFormat="1" ht="12.75" customHeight="1">
      <c r="E520" s="4109"/>
      <c r="F520" s="1374" t="s">
        <v>592</v>
      </c>
      <c r="G520" s="1083"/>
      <c r="H520" s="1084"/>
      <c r="I520" s="1084"/>
      <c r="J520" s="1084"/>
      <c r="K520" s="1085"/>
      <c r="L520" s="207"/>
      <c r="M520" s="456"/>
      <c r="N520" s="456"/>
      <c r="O520" s="456"/>
      <c r="P520" s="457"/>
      <c r="Q520" s="224"/>
      <c r="R520" s="456"/>
      <c r="S520" s="456"/>
      <c r="T520" s="456"/>
      <c r="U520" s="457"/>
      <c r="V520" s="1172"/>
      <c r="W520" s="207">
        <v>0</v>
      </c>
      <c r="X520" s="456">
        <v>0</v>
      </c>
      <c r="Y520" s="456">
        <v>0</v>
      </c>
      <c r="Z520" s="456">
        <v>0</v>
      </c>
      <c r="AA520" s="457">
        <v>0</v>
      </c>
      <c r="AB520" s="1041"/>
      <c r="AC520" s="207">
        <v>0</v>
      </c>
      <c r="AD520" s="456">
        <v>0</v>
      </c>
      <c r="AE520" s="456">
        <v>0</v>
      </c>
      <c r="AF520" s="456">
        <v>0</v>
      </c>
      <c r="AG520" s="456">
        <v>0</v>
      </c>
      <c r="AH520" s="1048"/>
      <c r="AI520" s="1172"/>
      <c r="AJ520" s="1155"/>
      <c r="AK520" s="1155"/>
      <c r="AL520" s="1083"/>
      <c r="AM520" s="1084"/>
      <c r="AN520" s="1084"/>
      <c r="AO520" s="1084"/>
      <c r="AP520" s="1085"/>
      <c r="AQ520" s="207">
        <f>SUM(AQ515:AQ519)</f>
        <v>0</v>
      </c>
      <c r="AR520" s="456">
        <f t="shared" ref="AR520" si="2272">SUM(AR515:AR519)</f>
        <v>0</v>
      </c>
      <c r="AS520" s="457"/>
      <c r="AT520" s="1155"/>
      <c r="AU520" s="1155"/>
      <c r="AV520" s="1155"/>
      <c r="AW520" s="1155"/>
      <c r="AX520" s="1155"/>
      <c r="AY520" s="1155"/>
      <c r="AZ520" s="1155"/>
      <c r="BA520" s="1155"/>
      <c r="BB520" s="1155"/>
      <c r="BC520" s="1155"/>
      <c r="BD520" s="1155"/>
      <c r="BE520" s="1155"/>
      <c r="BF520" s="1155"/>
      <c r="BG520" s="1155"/>
      <c r="BH520" s="1155"/>
      <c r="BI520" s="1155"/>
      <c r="BJ520" s="1155"/>
      <c r="BK520" s="1155"/>
      <c r="BL520" s="1155"/>
      <c r="BM520" s="1155"/>
      <c r="BN520" s="1155"/>
      <c r="BO520" s="1155"/>
      <c r="BP520" s="1155"/>
      <c r="BQ520" s="1155"/>
      <c r="BR520" s="1155"/>
      <c r="BS520" s="1155"/>
    </row>
    <row r="521" spans="5:71" s="474" customFormat="1">
      <c r="E521" s="4109"/>
      <c r="F521" s="1375" t="s">
        <v>587</v>
      </c>
      <c r="G521" s="1086"/>
      <c r="H521" s="1087"/>
      <c r="I521" s="1087"/>
      <c r="J521" s="1087"/>
      <c r="K521" s="1088"/>
      <c r="L521" s="258">
        <f>SUM(L516:L520)</f>
        <v>0</v>
      </c>
      <c r="M521" s="465">
        <f t="shared" ref="M521" si="2273">SUM(M516:M520)</f>
        <v>2638</v>
      </c>
      <c r="N521" s="465">
        <f t="shared" ref="N521" si="2274">SUM(N516:N520)</f>
        <v>0</v>
      </c>
      <c r="O521" s="465">
        <f t="shared" ref="O521" si="2275">SUM(O516:O520)</f>
        <v>0</v>
      </c>
      <c r="P521" s="282">
        <f t="shared" ref="P521" si="2276">SUM(P516:P520)</f>
        <v>0</v>
      </c>
      <c r="Q521" s="965">
        <f t="shared" ref="Q521" si="2277">SUM(Q516:Q520)</f>
        <v>0</v>
      </c>
      <c r="R521" s="465">
        <f t="shared" ref="R521" si="2278">SUM(R516:R520)</f>
        <v>0</v>
      </c>
      <c r="S521" s="465">
        <f t="shared" ref="S521" si="2279">SUM(S516:S520)</f>
        <v>0</v>
      </c>
      <c r="T521" s="465">
        <f t="shared" ref="T521" si="2280">SUM(T516:T520)</f>
        <v>0</v>
      </c>
      <c r="U521" s="282">
        <f t="shared" ref="U521" si="2281">SUM(U516:U520)</f>
        <v>0</v>
      </c>
      <c r="V521" s="1172"/>
      <c r="W521" s="258">
        <f t="shared" ref="W521" si="2282">SUM(W516:W520)</f>
        <v>0</v>
      </c>
      <c r="X521" s="465">
        <f t="shared" ref="X521" si="2283">SUM(X516:X520)</f>
        <v>0</v>
      </c>
      <c r="Y521" s="465">
        <f t="shared" ref="Y521" si="2284">SUM(Y516:Y520)</f>
        <v>0</v>
      </c>
      <c r="Z521" s="465">
        <f t="shared" ref="Z521" si="2285">SUM(Z516:Z520)</f>
        <v>0</v>
      </c>
      <c r="AA521" s="282">
        <f t="shared" ref="AA521" si="2286">SUM(AA516:AA520)</f>
        <v>0</v>
      </c>
      <c r="AB521" s="992"/>
      <c r="AC521" s="258">
        <f t="shared" ref="AC521" si="2287">SUM(AC516:AC520)</f>
        <v>0</v>
      </c>
      <c r="AD521" s="465">
        <f t="shared" ref="AD521" si="2288">SUM(AD516:AD520)</f>
        <v>0</v>
      </c>
      <c r="AE521" s="465">
        <f t="shared" ref="AE521" si="2289">SUM(AE516:AE520)</f>
        <v>0</v>
      </c>
      <c r="AF521" s="465">
        <f t="shared" ref="AF521" si="2290">SUM(AF516:AF520)</f>
        <v>0</v>
      </c>
      <c r="AG521" s="465">
        <f t="shared" ref="AG521" si="2291">SUM(AG516:AG520)</f>
        <v>0</v>
      </c>
      <c r="AH521" s="1049"/>
      <c r="AI521" s="1172"/>
      <c r="AJ521" s="1155"/>
      <c r="AK521" s="1155"/>
      <c r="AL521" s="1086"/>
      <c r="AM521" s="1087"/>
      <c r="AN521" s="1087"/>
      <c r="AO521" s="1087"/>
      <c r="AP521" s="1088"/>
      <c r="AQ521" s="258"/>
      <c r="AR521" s="465"/>
      <c r="AS521" s="282"/>
      <c r="AT521" s="1155"/>
      <c r="AU521" s="1155"/>
      <c r="AV521" s="1155"/>
      <c r="AW521" s="1155"/>
      <c r="AX521" s="1155"/>
      <c r="AY521" s="1155"/>
      <c r="AZ521" s="1155"/>
      <c r="BA521" s="1155"/>
      <c r="BB521" s="1155"/>
      <c r="BC521" s="1155"/>
      <c r="BD521" s="1155"/>
      <c r="BE521" s="1155"/>
      <c r="BF521" s="1155"/>
      <c r="BG521" s="1155"/>
      <c r="BH521" s="1155"/>
      <c r="BI521" s="1155"/>
      <c r="BJ521" s="1155"/>
      <c r="BK521" s="1155"/>
      <c r="BL521" s="1155"/>
      <c r="BM521" s="1155"/>
      <c r="BN521" s="1155"/>
      <c r="BO521" s="1155"/>
      <c r="BP521" s="1155"/>
      <c r="BQ521" s="1155"/>
      <c r="BR521" s="1155"/>
      <c r="BS521" s="1155"/>
    </row>
    <row r="522" spans="5:71" s="474" customFormat="1">
      <c r="E522" s="4109"/>
      <c r="F522" s="1376" t="s">
        <v>593</v>
      </c>
      <c r="G522" s="1083"/>
      <c r="H522" s="1084"/>
      <c r="I522" s="1084"/>
      <c r="J522" s="1084"/>
      <c r="K522" s="1085"/>
      <c r="L522" s="255"/>
      <c r="M522" s="461"/>
      <c r="N522" s="461"/>
      <c r="O522" s="461"/>
      <c r="P522" s="281"/>
      <c r="Q522" s="956"/>
      <c r="R522" s="461"/>
      <c r="S522" s="461"/>
      <c r="T522" s="461"/>
      <c r="U522" s="281"/>
      <c r="V522" s="1172"/>
      <c r="W522" s="255"/>
      <c r="X522" s="461"/>
      <c r="Y522" s="461"/>
      <c r="Z522" s="461"/>
      <c r="AA522" s="281"/>
      <c r="AB522" s="1041"/>
      <c r="AC522" s="255"/>
      <c r="AD522" s="461"/>
      <c r="AE522" s="461"/>
      <c r="AF522" s="461"/>
      <c r="AG522" s="461"/>
      <c r="AH522" s="1047"/>
      <c r="AI522" s="1172"/>
      <c r="AJ522" s="1155"/>
      <c r="AK522" s="1155"/>
      <c r="AL522" s="1083"/>
      <c r="AM522" s="1084"/>
      <c r="AN522" s="1084"/>
      <c r="AO522" s="1084"/>
      <c r="AP522" s="1085"/>
      <c r="AQ522" s="259"/>
      <c r="AR522" s="466"/>
      <c r="AS522" s="283"/>
      <c r="AT522" s="1155"/>
      <c r="AU522" s="1155"/>
      <c r="AV522" s="1155"/>
      <c r="AW522" s="1155"/>
      <c r="AX522" s="1155"/>
      <c r="AY522" s="1155"/>
      <c r="AZ522" s="1155"/>
      <c r="BA522" s="1155"/>
      <c r="BB522" s="1155"/>
      <c r="BC522" s="1155"/>
      <c r="BD522" s="1155"/>
      <c r="BE522" s="1155"/>
      <c r="BF522" s="1155"/>
      <c r="BG522" s="1155"/>
      <c r="BH522" s="1155"/>
      <c r="BI522" s="1155"/>
      <c r="BJ522" s="1155"/>
      <c r="BK522" s="1155"/>
      <c r="BL522" s="1155"/>
      <c r="BM522" s="1155"/>
      <c r="BN522" s="1155"/>
      <c r="BO522" s="1155"/>
      <c r="BP522" s="1155"/>
      <c r="BQ522" s="1155"/>
      <c r="BR522" s="1155"/>
      <c r="BS522" s="1155"/>
    </row>
    <row r="523" spans="5:71" s="474" customFormat="1">
      <c r="E523" s="4109"/>
      <c r="F523" s="431" t="s">
        <v>558</v>
      </c>
      <c r="G523" s="1083"/>
      <c r="H523" s="1084"/>
      <c r="I523" s="1084"/>
      <c r="J523" s="1084"/>
      <c r="K523" s="1085"/>
      <c r="L523" s="255"/>
      <c r="M523" s="461">
        <v>618781.14</v>
      </c>
      <c r="N523" s="461"/>
      <c r="O523" s="461"/>
      <c r="P523" s="281"/>
      <c r="Q523" s="956"/>
      <c r="R523" s="461"/>
      <c r="S523" s="461"/>
      <c r="T523" s="461"/>
      <c r="U523" s="281"/>
      <c r="V523" s="1172"/>
      <c r="W523" s="255"/>
      <c r="X523" s="461"/>
      <c r="Y523" s="461"/>
      <c r="Z523" s="461"/>
      <c r="AA523" s="281"/>
      <c r="AB523" s="1041"/>
      <c r="AC523" s="255"/>
      <c r="AD523" s="461"/>
      <c r="AE523" s="461"/>
      <c r="AF523" s="461"/>
      <c r="AG523" s="461"/>
      <c r="AH523" s="1047"/>
      <c r="AI523" s="1172"/>
      <c r="AJ523" s="1155"/>
      <c r="AK523" s="1155"/>
      <c r="AL523" s="1083"/>
      <c r="AM523" s="1084"/>
      <c r="AN523" s="1084"/>
      <c r="AO523" s="1084"/>
      <c r="AP523" s="1085"/>
      <c r="AQ523" s="259"/>
      <c r="AR523" s="466"/>
      <c r="AS523" s="283"/>
      <c r="AT523" s="1155"/>
      <c r="AU523" s="1155"/>
      <c r="AV523" s="1155"/>
      <c r="AW523" s="1155"/>
      <c r="AX523" s="1155"/>
      <c r="AY523" s="1155"/>
      <c r="AZ523" s="1155"/>
      <c r="BA523" s="1155"/>
      <c r="BB523" s="1155"/>
      <c r="BC523" s="1155"/>
      <c r="BD523" s="1155"/>
      <c r="BE523" s="1155"/>
      <c r="BF523" s="1155"/>
      <c r="BG523" s="1155"/>
      <c r="BH523" s="1155"/>
      <c r="BI523" s="1155"/>
      <c r="BJ523" s="1155"/>
      <c r="BK523" s="1155"/>
      <c r="BL523" s="1155"/>
      <c r="BM523" s="1155"/>
      <c r="BN523" s="1155"/>
      <c r="BO523" s="1155"/>
      <c r="BP523" s="1155"/>
      <c r="BQ523" s="1155"/>
      <c r="BR523" s="1155"/>
      <c r="BS523" s="1155"/>
    </row>
    <row r="524" spans="5:71" s="474" customFormat="1">
      <c r="E524" s="4109"/>
      <c r="F524" s="431" t="s">
        <v>559</v>
      </c>
      <c r="G524" s="1083"/>
      <c r="H524" s="1084"/>
      <c r="I524" s="1084"/>
      <c r="J524" s="1084"/>
      <c r="K524" s="1085"/>
      <c r="L524" s="255"/>
      <c r="M524" s="461"/>
      <c r="N524" s="461"/>
      <c r="O524" s="461"/>
      <c r="P524" s="281"/>
      <c r="Q524" s="956"/>
      <c r="R524" s="461"/>
      <c r="S524" s="461"/>
      <c r="T524" s="461"/>
      <c r="U524" s="281"/>
      <c r="V524" s="1172"/>
      <c r="W524" s="255"/>
      <c r="X524" s="461"/>
      <c r="Y524" s="461"/>
      <c r="Z524" s="461"/>
      <c r="AA524" s="281"/>
      <c r="AB524" s="1041"/>
      <c r="AC524" s="255"/>
      <c r="AD524" s="461"/>
      <c r="AE524" s="461"/>
      <c r="AF524" s="461"/>
      <c r="AG524" s="461"/>
      <c r="AH524" s="1047"/>
      <c r="AI524" s="1172"/>
      <c r="AJ524" s="1155"/>
      <c r="AK524" s="1155"/>
      <c r="AL524" s="1083"/>
      <c r="AM524" s="1084"/>
      <c r="AN524" s="1084"/>
      <c r="AO524" s="1084"/>
      <c r="AP524" s="1085"/>
      <c r="AQ524" s="259"/>
      <c r="AR524" s="466"/>
      <c r="AS524" s="283"/>
      <c r="AT524" s="1155"/>
      <c r="AU524" s="1155"/>
      <c r="AV524" s="1155"/>
      <c r="AW524" s="1155"/>
      <c r="AX524" s="1155"/>
      <c r="AY524" s="1155"/>
      <c r="AZ524" s="1155"/>
      <c r="BA524" s="1155"/>
      <c r="BB524" s="1155"/>
      <c r="BC524" s="1155"/>
      <c r="BD524" s="1155"/>
      <c r="BE524" s="1155"/>
      <c r="BF524" s="1155"/>
      <c r="BG524" s="1155"/>
      <c r="BH524" s="1155"/>
      <c r="BI524" s="1155"/>
      <c r="BJ524" s="1155"/>
      <c r="BK524" s="1155"/>
      <c r="BL524" s="1155"/>
      <c r="BM524" s="1155"/>
      <c r="BN524" s="1155"/>
      <c r="BO524" s="1155"/>
      <c r="BP524" s="1155"/>
      <c r="BQ524" s="1155"/>
      <c r="BR524" s="1155"/>
      <c r="BS524" s="1155"/>
    </row>
    <row r="525" spans="5:71" s="474" customFormat="1">
      <c r="E525" s="4109"/>
      <c r="F525" s="431" t="s">
        <v>578</v>
      </c>
      <c r="G525" s="1089"/>
      <c r="H525" s="1090"/>
      <c r="I525" s="1090"/>
      <c r="J525" s="1090"/>
      <c r="K525" s="1091"/>
      <c r="L525" s="259"/>
      <c r="M525" s="456"/>
      <c r="N525" s="456"/>
      <c r="O525" s="456"/>
      <c r="P525" s="457"/>
      <c r="Q525" s="224"/>
      <c r="R525" s="456"/>
      <c r="S525" s="456"/>
      <c r="T525" s="456"/>
      <c r="U525" s="457"/>
      <c r="V525" s="1172"/>
      <c r="W525" s="207"/>
      <c r="X525" s="456"/>
      <c r="Y525" s="456"/>
      <c r="Z525" s="456"/>
      <c r="AA525" s="457"/>
      <c r="AB525" s="1041"/>
      <c r="AC525" s="207"/>
      <c r="AD525" s="456"/>
      <c r="AE525" s="456"/>
      <c r="AF525" s="456"/>
      <c r="AG525" s="456"/>
      <c r="AH525" s="1048"/>
      <c r="AI525" s="1172"/>
      <c r="AJ525" s="1155"/>
      <c r="AK525" s="1155"/>
      <c r="AL525" s="1089"/>
      <c r="AM525" s="1090"/>
      <c r="AN525" s="1090"/>
      <c r="AO525" s="1090"/>
      <c r="AP525" s="1091"/>
      <c r="AQ525" s="259"/>
      <c r="AR525" s="466"/>
      <c r="AS525" s="283"/>
      <c r="AT525" s="1155"/>
      <c r="AU525" s="1155"/>
      <c r="AV525" s="1155"/>
      <c r="AW525" s="1155"/>
      <c r="AX525" s="1155"/>
      <c r="AY525" s="1155"/>
      <c r="AZ525" s="1155"/>
      <c r="BA525" s="1155"/>
      <c r="BB525" s="1155"/>
      <c r="BC525" s="1155"/>
      <c r="BD525" s="1155"/>
      <c r="BE525" s="1155"/>
      <c r="BF525" s="1155"/>
      <c r="BG525" s="1155"/>
      <c r="BH525" s="1155"/>
      <c r="BI525" s="1155"/>
      <c r="BJ525" s="1155"/>
      <c r="BK525" s="1155"/>
      <c r="BL525" s="1155"/>
      <c r="BM525" s="1155"/>
      <c r="BN525" s="1155"/>
      <c r="BO525" s="1155"/>
      <c r="BP525" s="1155"/>
      <c r="BQ525" s="1155"/>
      <c r="BR525" s="1155"/>
      <c r="BS525" s="1155"/>
    </row>
    <row r="526" spans="5:71" s="474" customFormat="1">
      <c r="E526" s="4109"/>
      <c r="F526" s="1377" t="s">
        <v>579</v>
      </c>
      <c r="G526" s="1086"/>
      <c r="H526" s="1087"/>
      <c r="I526" s="1087"/>
      <c r="J526" s="1087"/>
      <c r="K526" s="1088"/>
      <c r="L526" s="258">
        <f>SUM(L522:L525)</f>
        <v>0</v>
      </c>
      <c r="M526" s="465">
        <f t="shared" ref="M526" si="2292">SUM(M522:M525)</f>
        <v>618781.14</v>
      </c>
      <c r="N526" s="465">
        <f t="shared" ref="N526" si="2293">SUM(N522:N525)</f>
        <v>0</v>
      </c>
      <c r="O526" s="465">
        <f t="shared" ref="O526" si="2294">SUM(O522:O525)</f>
        <v>0</v>
      </c>
      <c r="P526" s="282">
        <f t="shared" ref="P526" si="2295">SUM(P522:P525)</f>
        <v>0</v>
      </c>
      <c r="Q526" s="965">
        <f t="shared" ref="Q526" si="2296">SUM(Q522:Q525)</f>
        <v>0</v>
      </c>
      <c r="R526" s="465">
        <f t="shared" ref="R526" si="2297">SUM(R522:R525)</f>
        <v>0</v>
      </c>
      <c r="S526" s="465">
        <f t="shared" ref="S526" si="2298">SUM(S522:S525)</f>
        <v>0</v>
      </c>
      <c r="T526" s="465">
        <f t="shared" ref="T526" si="2299">SUM(T522:T525)</f>
        <v>0</v>
      </c>
      <c r="U526" s="282">
        <f t="shared" ref="U526" si="2300">SUM(U522:U525)</f>
        <v>0</v>
      </c>
      <c r="V526" s="1172"/>
      <c r="W526" s="258">
        <f t="shared" ref="W526" si="2301">SUM(W522:W525)</f>
        <v>0</v>
      </c>
      <c r="X526" s="465">
        <f t="shared" ref="X526" si="2302">SUM(X522:X525)</f>
        <v>0</v>
      </c>
      <c r="Y526" s="465">
        <f t="shared" ref="Y526" si="2303">SUM(Y522:Y525)</f>
        <v>0</v>
      </c>
      <c r="Z526" s="465">
        <f t="shared" ref="Z526" si="2304">SUM(Z522:Z525)</f>
        <v>0</v>
      </c>
      <c r="AA526" s="282">
        <f t="shared" ref="AA526" si="2305">SUM(AA522:AA525)</f>
        <v>0</v>
      </c>
      <c r="AB526" s="992"/>
      <c r="AC526" s="258">
        <f t="shared" ref="AC526" si="2306">SUM(AC522:AC525)</f>
        <v>0</v>
      </c>
      <c r="AD526" s="465">
        <f t="shared" ref="AD526" si="2307">SUM(AD522:AD525)</f>
        <v>0</v>
      </c>
      <c r="AE526" s="465">
        <f t="shared" ref="AE526" si="2308">SUM(AE522:AE525)</f>
        <v>0</v>
      </c>
      <c r="AF526" s="465">
        <f t="shared" ref="AF526" si="2309">SUM(AF522:AF525)</f>
        <v>0</v>
      </c>
      <c r="AG526" s="465">
        <f t="shared" ref="AG526" si="2310">SUM(AG522:AG525)</f>
        <v>0</v>
      </c>
      <c r="AH526" s="1049"/>
      <c r="AI526" s="1172"/>
      <c r="AJ526" s="1155"/>
      <c r="AK526" s="1155"/>
      <c r="AL526" s="1086"/>
      <c r="AM526" s="1087"/>
      <c r="AN526" s="1087"/>
      <c r="AO526" s="1087"/>
      <c r="AP526" s="1088"/>
      <c r="AQ526" s="258">
        <f>SUM(AQ523:AQ525)</f>
        <v>0</v>
      </c>
      <c r="AR526" s="465">
        <f t="shared" ref="AR526" si="2311">SUM(AR523:AR525)</f>
        <v>0</v>
      </c>
      <c r="AS526" s="282"/>
      <c r="AT526" s="1155"/>
      <c r="AU526" s="1155"/>
      <c r="AV526" s="1155"/>
      <c r="AW526" s="1155"/>
      <c r="AX526" s="1155"/>
      <c r="AY526" s="1155"/>
      <c r="AZ526" s="1155"/>
      <c r="BA526" s="1155"/>
      <c r="BB526" s="1155"/>
      <c r="BC526" s="1155"/>
      <c r="BD526" s="1155"/>
      <c r="BE526" s="1155"/>
      <c r="BF526" s="1155"/>
      <c r="BG526" s="1155"/>
      <c r="BH526" s="1155"/>
      <c r="BI526" s="1155"/>
      <c r="BJ526" s="1155"/>
      <c r="BK526" s="1155"/>
      <c r="BL526" s="1155"/>
      <c r="BM526" s="1155"/>
      <c r="BN526" s="1155"/>
      <c r="BO526" s="1155"/>
      <c r="BP526" s="1155"/>
      <c r="BQ526" s="1155"/>
      <c r="BR526" s="1155"/>
      <c r="BS526" s="1155"/>
    </row>
    <row r="527" spans="5:71" s="474" customFormat="1" ht="13.5" thickBot="1">
      <c r="E527" s="4109"/>
      <c r="F527" s="1035" t="s">
        <v>583</v>
      </c>
      <c r="G527" s="255"/>
      <c r="H527" s="461"/>
      <c r="I527" s="461"/>
      <c r="J527" s="461"/>
      <c r="K527" s="281"/>
      <c r="L527" s="207"/>
      <c r="M527" s="456"/>
      <c r="N527" s="456"/>
      <c r="O527" s="456"/>
      <c r="P527" s="457"/>
      <c r="Q527" s="224"/>
      <c r="R527" s="456"/>
      <c r="S527" s="456"/>
      <c r="T527" s="456"/>
      <c r="U527" s="457"/>
      <c r="V527" s="1172"/>
      <c r="W527" s="207"/>
      <c r="X527" s="461"/>
      <c r="Y527" s="461"/>
      <c r="Z527" s="461"/>
      <c r="AA527" s="281"/>
      <c r="AB527" s="1041"/>
      <c r="AC527" s="207"/>
      <c r="AD527" s="456"/>
      <c r="AE527" s="456"/>
      <c r="AF527" s="456"/>
      <c r="AG527" s="456"/>
      <c r="AH527" s="1048"/>
      <c r="AI527" s="1172"/>
      <c r="AJ527" s="1155"/>
      <c r="AK527" s="1155"/>
      <c r="AL527" s="259"/>
      <c r="AM527" s="466"/>
      <c r="AN527" s="466"/>
      <c r="AO527" s="466"/>
      <c r="AP527" s="283"/>
      <c r="AQ527" s="259"/>
      <c r="AR527" s="466"/>
      <c r="AS527" s="283"/>
      <c r="AT527" s="1155"/>
      <c r="AU527" s="1155"/>
      <c r="AV527" s="1155"/>
      <c r="AW527" s="1155"/>
      <c r="AX527" s="1155"/>
      <c r="AY527" s="1155"/>
      <c r="AZ527" s="1155"/>
      <c r="BA527" s="1155"/>
      <c r="BB527" s="1155"/>
      <c r="BC527" s="1155"/>
      <c r="BD527" s="1155"/>
      <c r="BE527" s="1155"/>
      <c r="BF527" s="1155"/>
      <c r="BG527" s="1155"/>
      <c r="BH527" s="1155"/>
      <c r="BI527" s="1155"/>
      <c r="BJ527" s="1155"/>
      <c r="BK527" s="1155"/>
      <c r="BL527" s="1155"/>
      <c r="BM527" s="1155"/>
      <c r="BN527" s="1155"/>
      <c r="BO527" s="1155"/>
      <c r="BP527" s="1155"/>
      <c r="BQ527" s="1155"/>
      <c r="BR527" s="1155"/>
      <c r="BS527" s="1155"/>
    </row>
    <row r="528" spans="5:71" s="474" customFormat="1" ht="13.5" thickBot="1">
      <c r="E528" s="4109"/>
      <c r="F528" s="1380" t="s">
        <v>581</v>
      </c>
      <c r="G528" s="1599"/>
      <c r="H528" s="1600"/>
      <c r="I528" s="1600"/>
      <c r="J528" s="1600"/>
      <c r="K528" s="1601"/>
      <c r="L528" s="1599"/>
      <c r="M528" s="1600"/>
      <c r="N528" s="1600"/>
      <c r="O528" s="1600"/>
      <c r="P528" s="1601"/>
      <c r="Q528" s="1602"/>
      <c r="R528" s="1600"/>
      <c r="S528" s="1600"/>
      <c r="T528" s="1600"/>
      <c r="U528" s="1601"/>
      <c r="V528" s="1172"/>
      <c r="W528" s="1614"/>
      <c r="X528" s="1615"/>
      <c r="Y528" s="1615"/>
      <c r="Z528" s="1615"/>
      <c r="AA528" s="1615"/>
      <c r="AB528" s="1615"/>
      <c r="AC528" s="1615"/>
      <c r="AD528" s="1615"/>
      <c r="AE528" s="1615"/>
      <c r="AF528" s="1615"/>
      <c r="AG528" s="1615"/>
      <c r="AH528" s="1616"/>
      <c r="AI528" s="1172"/>
      <c r="AJ528" s="1155"/>
      <c r="AK528" s="1155"/>
      <c r="AL528" s="259"/>
      <c r="AM528" s="466"/>
      <c r="AN528" s="466"/>
      <c r="AO528" s="466"/>
      <c r="AP528" s="283"/>
      <c r="AQ528" s="259"/>
      <c r="AR528" s="466"/>
      <c r="AS528" s="283"/>
      <c r="AT528" s="1155"/>
      <c r="AU528" s="1155"/>
      <c r="AV528" s="1155"/>
      <c r="AW528" s="1155"/>
      <c r="AX528" s="1155"/>
      <c r="AY528" s="1155"/>
      <c r="AZ528" s="1155"/>
      <c r="BA528" s="1155"/>
      <c r="BB528" s="1155"/>
      <c r="BC528" s="1155"/>
      <c r="BD528" s="1155"/>
      <c r="BE528" s="1155"/>
      <c r="BF528" s="1155"/>
      <c r="BG528" s="1155"/>
      <c r="BH528" s="1155"/>
      <c r="BI528" s="1155"/>
      <c r="BJ528" s="1155"/>
      <c r="BK528" s="1155"/>
      <c r="BL528" s="1155"/>
      <c r="BM528" s="1155"/>
      <c r="BN528" s="1155"/>
      <c r="BO528" s="1155"/>
      <c r="BP528" s="1155"/>
      <c r="BQ528" s="1155"/>
      <c r="BR528" s="1155"/>
      <c r="BS528" s="1155"/>
    </row>
    <row r="529" spans="5:71" s="474" customFormat="1">
      <c r="E529" s="4109"/>
      <c r="F529" s="1378" t="s">
        <v>584</v>
      </c>
      <c r="G529" s="1050">
        <v>0</v>
      </c>
      <c r="H529" s="1051">
        <v>0</v>
      </c>
      <c r="I529" s="1051">
        <v>0</v>
      </c>
      <c r="J529" s="1051">
        <v>0</v>
      </c>
      <c r="K529" s="1052">
        <v>0</v>
      </c>
      <c r="L529" s="1050">
        <f>SUM(L526:L528)</f>
        <v>0</v>
      </c>
      <c r="M529" s="1051">
        <f t="shared" ref="M529" si="2312">SUM(M526:M528)</f>
        <v>618781.14</v>
      </c>
      <c r="N529" s="1051">
        <f t="shared" ref="N529" si="2313">SUM(N526:N528)</f>
        <v>0</v>
      </c>
      <c r="O529" s="1051">
        <f t="shared" ref="O529" si="2314">SUM(O526:O528)</f>
        <v>0</v>
      </c>
      <c r="P529" s="1052">
        <f t="shared" ref="P529" si="2315">SUM(P526:P528)</f>
        <v>0</v>
      </c>
      <c r="Q529" s="1092">
        <f t="shared" ref="Q529" si="2316">SUM(Q526:Q528)</f>
        <v>0</v>
      </c>
      <c r="R529" s="1051">
        <f t="shared" ref="R529" si="2317">SUM(R526:R528)</f>
        <v>0</v>
      </c>
      <c r="S529" s="1051">
        <f t="shared" ref="S529" si="2318">SUM(S526:S528)</f>
        <v>0</v>
      </c>
      <c r="T529" s="1051">
        <f t="shared" ref="T529" si="2319">SUM(T526:T528)</f>
        <v>0</v>
      </c>
      <c r="U529" s="1052">
        <f t="shared" ref="U529" si="2320">SUM(U526:U528)</f>
        <v>0</v>
      </c>
      <c r="V529" s="1172"/>
      <c r="W529" s="1050">
        <f t="shared" ref="W529" si="2321">SUM(W526:W528)</f>
        <v>0</v>
      </c>
      <c r="X529" s="1051">
        <f t="shared" ref="X529" si="2322">SUM(X526:X528)</f>
        <v>0</v>
      </c>
      <c r="Y529" s="1051">
        <f t="shared" ref="Y529" si="2323">SUM(Y526:Y528)</f>
        <v>0</v>
      </c>
      <c r="Z529" s="1051">
        <f t="shared" ref="Z529" si="2324">SUM(Z526:Z528)</f>
        <v>0</v>
      </c>
      <c r="AA529" s="1052">
        <f t="shared" ref="AA529" si="2325">SUM(AA526:AA528)</f>
        <v>0</v>
      </c>
      <c r="AB529" s="1053"/>
      <c r="AC529" s="1050">
        <f t="shared" ref="AC529" si="2326">SUM(AC526:AC528)</f>
        <v>0</v>
      </c>
      <c r="AD529" s="1051">
        <f t="shared" ref="AD529" si="2327">SUM(AD526:AD528)</f>
        <v>0</v>
      </c>
      <c r="AE529" s="1051">
        <f t="shared" ref="AE529" si="2328">SUM(AE526:AE528)</f>
        <v>0</v>
      </c>
      <c r="AF529" s="1051">
        <f t="shared" ref="AF529" si="2329">SUM(AF526:AF528)</f>
        <v>0</v>
      </c>
      <c r="AG529" s="1051">
        <f t="shared" ref="AG529" si="2330">SUM(AG526:AG528)</f>
        <v>0</v>
      </c>
      <c r="AH529" s="1054"/>
      <c r="AI529" s="1172"/>
      <c r="AJ529" s="130"/>
      <c r="AK529" s="130"/>
      <c r="AL529" s="1050">
        <f t="shared" ref="AL529:AR529" si="2331">SUM(AL527:AL528)</f>
        <v>0</v>
      </c>
      <c r="AM529" s="1051">
        <f t="shared" si="2331"/>
        <v>0</v>
      </c>
      <c r="AN529" s="1051">
        <f t="shared" si="2331"/>
        <v>0</v>
      </c>
      <c r="AO529" s="1051">
        <f t="shared" si="2331"/>
        <v>0</v>
      </c>
      <c r="AP529" s="1052">
        <f t="shared" si="2331"/>
        <v>0</v>
      </c>
      <c r="AQ529" s="1050">
        <f t="shared" si="2331"/>
        <v>0</v>
      </c>
      <c r="AR529" s="1051">
        <f t="shared" si="2331"/>
        <v>0</v>
      </c>
      <c r="AS529" s="1052"/>
      <c r="AT529" s="130"/>
      <c r="AU529" s="130"/>
      <c r="AV529" s="130"/>
      <c r="AW529" s="130"/>
      <c r="AX529" s="130"/>
      <c r="AY529" s="130"/>
      <c r="AZ529" s="130"/>
      <c r="BA529" s="130"/>
      <c r="BB529" s="130"/>
      <c r="BC529" s="130"/>
      <c r="BD529" s="130"/>
      <c r="BE529" s="130"/>
      <c r="BF529" s="130"/>
      <c r="BG529" s="130"/>
      <c r="BH529" s="130"/>
      <c r="BI529" s="130"/>
      <c r="BJ529" s="130"/>
      <c r="BK529" s="130"/>
      <c r="BL529" s="130"/>
      <c r="BM529" s="130"/>
      <c r="BN529" s="130"/>
      <c r="BO529" s="130"/>
      <c r="BP529" s="130"/>
      <c r="BQ529" s="130"/>
      <c r="BR529" s="130"/>
      <c r="BS529" s="1155"/>
    </row>
    <row r="530" spans="5:71" s="474" customFormat="1">
      <c r="E530" s="4109"/>
      <c r="F530" s="1389" t="s">
        <v>35</v>
      </c>
      <c r="G530" s="255"/>
      <c r="H530" s="461"/>
      <c r="I530" s="461"/>
      <c r="J530" s="461"/>
      <c r="K530" s="281"/>
      <c r="L530" s="255"/>
      <c r="M530" s="461"/>
      <c r="N530" s="461"/>
      <c r="O530" s="461"/>
      <c r="P530" s="281"/>
      <c r="Q530" s="956"/>
      <c r="R530" s="461"/>
      <c r="S530" s="461"/>
      <c r="T530" s="461"/>
      <c r="U530" s="281"/>
      <c r="V530" s="1172"/>
      <c r="W530" s="255"/>
      <c r="X530" s="461"/>
      <c r="Y530" s="461"/>
      <c r="Z530" s="461"/>
      <c r="AA530" s="281"/>
      <c r="AB530" s="1004"/>
      <c r="AC530" s="255"/>
      <c r="AD530" s="461"/>
      <c r="AE530" s="461"/>
      <c r="AF530" s="461"/>
      <c r="AG530" s="461"/>
      <c r="AH530" s="1047"/>
      <c r="AI530" s="1172"/>
      <c r="AJ530" s="1155"/>
      <c r="AK530" s="1155"/>
      <c r="AL530" s="259"/>
      <c r="AM530" s="466"/>
      <c r="AN530" s="466"/>
      <c r="AO530" s="466"/>
      <c r="AP530" s="283"/>
      <c r="AQ530" s="259"/>
      <c r="AR530" s="466"/>
      <c r="AS530" s="283"/>
      <c r="AT530" s="1155"/>
      <c r="AU530" s="1155"/>
      <c r="AV530" s="1155"/>
      <c r="AW530" s="1155"/>
      <c r="AX530" s="1155"/>
      <c r="AY530" s="1155"/>
      <c r="AZ530" s="1155"/>
      <c r="BA530" s="1155"/>
      <c r="BB530" s="1155"/>
      <c r="BC530" s="1155"/>
      <c r="BD530" s="1155"/>
      <c r="BE530" s="1155"/>
      <c r="BF530" s="1155"/>
      <c r="BG530" s="1155"/>
      <c r="BH530" s="1155"/>
      <c r="BI530" s="1155"/>
      <c r="BJ530" s="1155"/>
      <c r="BK530" s="1155"/>
      <c r="BL530" s="1155"/>
      <c r="BM530" s="1155"/>
      <c r="BN530" s="1155"/>
      <c r="BO530" s="1155"/>
      <c r="BP530" s="1155"/>
      <c r="BQ530" s="1155"/>
      <c r="BR530" s="1155"/>
      <c r="BS530" s="1155"/>
    </row>
    <row r="531" spans="5:71" s="474" customFormat="1" ht="13.5" thickBot="1">
      <c r="E531" s="4109"/>
      <c r="F531" s="1387" t="s">
        <v>585</v>
      </c>
      <c r="G531" s="1055">
        <v>0</v>
      </c>
      <c r="H531" s="1056">
        <v>0</v>
      </c>
      <c r="I531" s="1056">
        <v>0</v>
      </c>
      <c r="J531" s="1056">
        <v>0</v>
      </c>
      <c r="K531" s="1057">
        <v>0</v>
      </c>
      <c r="L531" s="1567">
        <f>L529-L530</f>
        <v>0</v>
      </c>
      <c r="M531" s="1056">
        <f t="shared" ref="M531" si="2332">M529-M530</f>
        <v>618781.14</v>
      </c>
      <c r="N531" s="1056">
        <f t="shared" ref="N531" si="2333">N529-N530</f>
        <v>0</v>
      </c>
      <c r="O531" s="1056">
        <f t="shared" ref="O531" si="2334">O529-O530</f>
        <v>0</v>
      </c>
      <c r="P531" s="1057">
        <f t="shared" ref="P531" si="2335">P529-P530</f>
        <v>0</v>
      </c>
      <c r="Q531" s="1093">
        <f t="shared" ref="Q531" si="2336">Q529-Q530</f>
        <v>0</v>
      </c>
      <c r="R531" s="1056">
        <f t="shared" ref="R531" si="2337">R529-R530</f>
        <v>0</v>
      </c>
      <c r="S531" s="1056">
        <f t="shared" ref="S531" si="2338">S529-S530</f>
        <v>0</v>
      </c>
      <c r="T531" s="1056">
        <f t="shared" ref="T531" si="2339">T529-T530</f>
        <v>0</v>
      </c>
      <c r="U531" s="1057">
        <f t="shared" ref="U531" si="2340">U529-U530</f>
        <v>0</v>
      </c>
      <c r="V531" s="1172"/>
      <c r="W531" s="1055">
        <f t="shared" ref="W531" si="2341">W529-W530</f>
        <v>0</v>
      </c>
      <c r="X531" s="1056">
        <f t="shared" ref="X531" si="2342">X529-X530</f>
        <v>0</v>
      </c>
      <c r="Y531" s="1056">
        <f t="shared" ref="Y531" si="2343">Y529-Y530</f>
        <v>0</v>
      </c>
      <c r="Z531" s="1056">
        <f t="shared" ref="Z531" si="2344">Z529-Z530</f>
        <v>0</v>
      </c>
      <c r="AA531" s="1057">
        <f t="shared" ref="AA531" si="2345">AA529-AA530</f>
        <v>0</v>
      </c>
      <c r="AB531" s="1075"/>
      <c r="AC531" s="1055">
        <f t="shared" ref="AC531" si="2346">AC529-AC530</f>
        <v>0</v>
      </c>
      <c r="AD531" s="1056">
        <f t="shared" ref="AD531" si="2347">AD529-AD530</f>
        <v>0</v>
      </c>
      <c r="AE531" s="1056">
        <f t="shared" ref="AE531" si="2348">AE529-AE530</f>
        <v>0</v>
      </c>
      <c r="AF531" s="1056">
        <f t="shared" ref="AF531" si="2349">AF529-AF530</f>
        <v>0</v>
      </c>
      <c r="AG531" s="1056">
        <f t="shared" ref="AG531" si="2350">AG529-AG530</f>
        <v>0</v>
      </c>
      <c r="AH531" s="1059"/>
      <c r="AI531" s="1172"/>
      <c r="AJ531" s="1155"/>
      <c r="AK531" s="1155"/>
      <c r="AL531" s="1567">
        <f>AL529-AL530</f>
        <v>0</v>
      </c>
      <c r="AM531" s="1056">
        <f t="shared" ref="AM531:AR531" si="2351">AM529-AM530</f>
        <v>0</v>
      </c>
      <c r="AN531" s="1056">
        <f t="shared" si="2351"/>
        <v>0</v>
      </c>
      <c r="AO531" s="1056">
        <f t="shared" si="2351"/>
        <v>0</v>
      </c>
      <c r="AP531" s="1057">
        <f t="shared" si="2351"/>
        <v>0</v>
      </c>
      <c r="AQ531" s="1567">
        <f t="shared" si="2351"/>
        <v>0</v>
      </c>
      <c r="AR531" s="1056">
        <f t="shared" si="2351"/>
        <v>0</v>
      </c>
      <c r="AS531" s="1057"/>
      <c r="AT531" s="1155"/>
      <c r="AU531" s="1155"/>
      <c r="AV531" s="1155"/>
      <c r="AW531" s="1155"/>
      <c r="AX531" s="1155"/>
      <c r="AY531" s="1155"/>
      <c r="AZ531" s="1155"/>
      <c r="BA531" s="1155"/>
      <c r="BB531" s="1155"/>
      <c r="BC531" s="1155"/>
      <c r="BD531" s="1155"/>
      <c r="BE531" s="1155"/>
      <c r="BF531" s="1155"/>
      <c r="BG531" s="1155"/>
      <c r="BH531" s="1155"/>
      <c r="BI531" s="1155"/>
      <c r="BJ531" s="1155"/>
      <c r="BK531" s="1155"/>
      <c r="BL531" s="1155"/>
      <c r="BM531" s="1155"/>
      <c r="BN531" s="1155"/>
      <c r="BO531" s="1155"/>
      <c r="BP531" s="1155"/>
      <c r="BQ531" s="1155"/>
      <c r="BR531" s="1155"/>
      <c r="BS531" s="1155"/>
    </row>
    <row r="532" spans="5:71" s="474" customFormat="1" ht="12.75" customHeight="1">
      <c r="E532" s="4110" t="s">
        <v>1507</v>
      </c>
      <c r="F532" s="433" t="s">
        <v>111</v>
      </c>
      <c r="G532" s="1086"/>
      <c r="H532" s="1087"/>
      <c r="I532" s="1087"/>
      <c r="J532" s="1087"/>
      <c r="K532" s="1088"/>
      <c r="L532" s="258"/>
      <c r="M532" s="465"/>
      <c r="N532" s="465"/>
      <c r="O532" s="465"/>
      <c r="P532" s="282"/>
      <c r="Q532" s="965"/>
      <c r="R532" s="465"/>
      <c r="S532" s="465"/>
      <c r="T532" s="465"/>
      <c r="U532" s="282"/>
      <c r="V532" s="1172"/>
      <c r="W532" s="1043"/>
      <c r="X532" s="421"/>
      <c r="Y532" s="421"/>
      <c r="Z532" s="421"/>
      <c r="AA532" s="1044"/>
      <c r="AB532" s="1045"/>
      <c r="AC532" s="1043"/>
      <c r="AD532" s="421"/>
      <c r="AE532" s="421"/>
      <c r="AF532" s="421"/>
      <c r="AG532" s="421"/>
      <c r="AH532" s="1046"/>
      <c r="AI532" s="1172"/>
      <c r="AJ532" s="1155"/>
      <c r="AK532" s="1155"/>
      <c r="AL532" s="1086"/>
      <c r="AM532" s="1087"/>
      <c r="AN532" s="1087"/>
      <c r="AO532" s="1087"/>
      <c r="AP532" s="1088"/>
      <c r="AQ532" s="258"/>
      <c r="AR532" s="465"/>
      <c r="AS532" s="282"/>
      <c r="AT532" s="1155"/>
      <c r="AU532" s="1155"/>
      <c r="AV532" s="1155"/>
      <c r="AW532" s="1155"/>
      <c r="AX532" s="1155"/>
      <c r="AY532" s="1155"/>
      <c r="AZ532" s="1155"/>
      <c r="BA532" s="1155"/>
      <c r="BB532" s="1155"/>
      <c r="BC532" s="1155"/>
      <c r="BD532" s="1155"/>
      <c r="BE532" s="1155"/>
      <c r="BF532" s="1155"/>
      <c r="BG532" s="1155"/>
      <c r="BH532" s="1155"/>
      <c r="BI532" s="1155"/>
      <c r="BJ532" s="1155"/>
      <c r="BK532" s="1155"/>
      <c r="BL532" s="1155"/>
      <c r="BM532" s="1155"/>
      <c r="BN532" s="1155"/>
      <c r="BO532" s="1155"/>
      <c r="BP532" s="1155"/>
      <c r="BQ532" s="1155"/>
      <c r="BR532" s="1155"/>
      <c r="BS532" s="1155"/>
    </row>
    <row r="533" spans="5:71" s="474" customFormat="1" ht="12.75" customHeight="1">
      <c r="E533" s="4109"/>
      <c r="F533" s="1374" t="s">
        <v>588</v>
      </c>
      <c r="G533" s="1083"/>
      <c r="H533" s="1084"/>
      <c r="I533" s="1084"/>
      <c r="J533" s="1084"/>
      <c r="K533" s="1085"/>
      <c r="L533" s="255"/>
      <c r="M533" s="461"/>
      <c r="N533" s="461"/>
      <c r="O533" s="461"/>
      <c r="P533" s="281"/>
      <c r="Q533" s="956"/>
      <c r="R533" s="461"/>
      <c r="S533" s="461"/>
      <c r="T533" s="461"/>
      <c r="U533" s="281"/>
      <c r="V533" s="1172"/>
      <c r="W533" s="255"/>
      <c r="X533" s="461"/>
      <c r="Y533" s="461"/>
      <c r="Z533" s="461"/>
      <c r="AA533" s="281"/>
      <c r="AB533" s="1041"/>
      <c r="AC533" s="255"/>
      <c r="AD533" s="461"/>
      <c r="AE533" s="461"/>
      <c r="AF533" s="461"/>
      <c r="AG533" s="461"/>
      <c r="AH533" s="1047"/>
      <c r="AI533" s="1172"/>
      <c r="AJ533" s="1155"/>
      <c r="AK533" s="1155"/>
      <c r="AL533" s="1083"/>
      <c r="AM533" s="1084"/>
      <c r="AN533" s="1084"/>
      <c r="AO533" s="1084"/>
      <c r="AP533" s="1085"/>
      <c r="AQ533" s="259"/>
      <c r="AR533" s="466"/>
      <c r="AS533" s="283"/>
      <c r="AT533" s="1155"/>
      <c r="AU533" s="1155"/>
      <c r="AV533" s="1155"/>
      <c r="AW533" s="1155"/>
      <c r="AX533" s="1155"/>
      <c r="AY533" s="1155"/>
      <c r="AZ533" s="1155"/>
      <c r="BA533" s="1155"/>
      <c r="BB533" s="1155"/>
      <c r="BC533" s="1155"/>
      <c r="BD533" s="1155"/>
      <c r="BE533" s="1155"/>
      <c r="BF533" s="1155"/>
      <c r="BG533" s="1155"/>
      <c r="BH533" s="1155"/>
      <c r="BI533" s="1155"/>
      <c r="BJ533" s="1155"/>
      <c r="BK533" s="1155"/>
      <c r="BL533" s="1155"/>
      <c r="BM533" s="1155"/>
      <c r="BN533" s="1155"/>
      <c r="BO533" s="1155"/>
      <c r="BP533" s="1155"/>
      <c r="BQ533" s="1155"/>
      <c r="BR533" s="1155"/>
      <c r="BS533" s="1155"/>
    </row>
    <row r="534" spans="5:71" s="474" customFormat="1" ht="12.75" customHeight="1">
      <c r="E534" s="4109"/>
      <c r="F534" s="1374" t="s">
        <v>589</v>
      </c>
      <c r="G534" s="1083"/>
      <c r="H534" s="1084"/>
      <c r="I534" s="1084"/>
      <c r="J534" s="1084"/>
      <c r="K534" s="1085"/>
      <c r="L534" s="255"/>
      <c r="M534" s="461"/>
      <c r="N534" s="461"/>
      <c r="O534" s="461"/>
      <c r="P534" s="281"/>
      <c r="Q534" s="956"/>
      <c r="R534" s="461"/>
      <c r="S534" s="461"/>
      <c r="T534" s="461"/>
      <c r="U534" s="281"/>
      <c r="V534" s="1172"/>
      <c r="W534" s="255"/>
      <c r="X534" s="461"/>
      <c r="Y534" s="461"/>
      <c r="Z534" s="461"/>
      <c r="AA534" s="281"/>
      <c r="AB534" s="1041"/>
      <c r="AC534" s="255"/>
      <c r="AD534" s="461"/>
      <c r="AE534" s="461"/>
      <c r="AF534" s="461"/>
      <c r="AG534" s="461"/>
      <c r="AH534" s="1047"/>
      <c r="AI534" s="1172"/>
      <c r="AJ534" s="1155"/>
      <c r="AK534" s="1155"/>
      <c r="AL534" s="1083"/>
      <c r="AM534" s="1084"/>
      <c r="AN534" s="1084"/>
      <c r="AO534" s="1084"/>
      <c r="AP534" s="1085"/>
      <c r="AQ534" s="259"/>
      <c r="AR534" s="466"/>
      <c r="AS534" s="283"/>
      <c r="AT534" s="1155"/>
      <c r="AU534" s="1155"/>
      <c r="AV534" s="1155"/>
      <c r="AW534" s="1155"/>
      <c r="AX534" s="1155"/>
      <c r="AY534" s="1155"/>
      <c r="AZ534" s="1155"/>
      <c r="BA534" s="1155"/>
      <c r="BB534" s="1155"/>
      <c r="BC534" s="1155"/>
      <c r="BD534" s="1155"/>
      <c r="BE534" s="1155"/>
      <c r="BF534" s="1155"/>
      <c r="BG534" s="1155"/>
      <c r="BH534" s="1155"/>
      <c r="BI534" s="1155"/>
      <c r="BJ534" s="1155"/>
      <c r="BK534" s="1155"/>
      <c r="BL534" s="1155"/>
      <c r="BM534" s="1155"/>
      <c r="BN534" s="1155"/>
      <c r="BO534" s="1155"/>
      <c r="BP534" s="1155"/>
      <c r="BQ534" s="1155"/>
      <c r="BR534" s="1155"/>
      <c r="BS534" s="1155"/>
    </row>
    <row r="535" spans="5:71" s="474" customFormat="1" ht="12.75" customHeight="1">
      <c r="E535" s="4109"/>
      <c r="F535" s="1374" t="s">
        <v>590</v>
      </c>
      <c r="G535" s="1083"/>
      <c r="H535" s="1084"/>
      <c r="I535" s="1084"/>
      <c r="J535" s="1084"/>
      <c r="K535" s="1085"/>
      <c r="L535" s="255"/>
      <c r="M535" s="461"/>
      <c r="N535" s="461"/>
      <c r="O535" s="461"/>
      <c r="P535" s="281"/>
      <c r="Q535" s="956"/>
      <c r="R535" s="461"/>
      <c r="S535" s="461"/>
      <c r="T535" s="461"/>
      <c r="U535" s="281"/>
      <c r="V535" s="1172"/>
      <c r="W535" s="255"/>
      <c r="X535" s="461"/>
      <c r="Y535" s="461"/>
      <c r="Z535" s="461"/>
      <c r="AA535" s="281"/>
      <c r="AB535" s="1041"/>
      <c r="AC535" s="255"/>
      <c r="AD535" s="461"/>
      <c r="AE535" s="461"/>
      <c r="AF535" s="461"/>
      <c r="AG535" s="461"/>
      <c r="AH535" s="1047"/>
      <c r="AI535" s="1172"/>
      <c r="AJ535" s="1155"/>
      <c r="AK535" s="1155"/>
      <c r="AL535" s="1083"/>
      <c r="AM535" s="1084"/>
      <c r="AN535" s="1084"/>
      <c r="AO535" s="1084"/>
      <c r="AP535" s="1085"/>
      <c r="AQ535" s="259"/>
      <c r="AR535" s="466"/>
      <c r="AS535" s="283"/>
      <c r="AT535" s="1155"/>
      <c r="AU535" s="1155"/>
      <c r="AV535" s="1155"/>
      <c r="AW535" s="1155"/>
      <c r="AX535" s="1155"/>
      <c r="AY535" s="1155"/>
      <c r="AZ535" s="1155"/>
      <c r="BA535" s="1155"/>
      <c r="BB535" s="1155"/>
      <c r="BC535" s="1155"/>
      <c r="BD535" s="1155"/>
      <c r="BE535" s="1155"/>
      <c r="BF535" s="1155"/>
      <c r="BG535" s="1155"/>
      <c r="BH535" s="1155"/>
      <c r="BI535" s="1155"/>
      <c r="BJ535" s="1155"/>
      <c r="BK535" s="1155"/>
      <c r="BL535" s="1155"/>
      <c r="BM535" s="1155"/>
      <c r="BN535" s="1155"/>
      <c r="BO535" s="1155"/>
      <c r="BP535" s="1155"/>
      <c r="BQ535" s="1155"/>
      <c r="BR535" s="1155"/>
      <c r="BS535" s="1155"/>
    </row>
    <row r="536" spans="5:71" s="474" customFormat="1" ht="12.75" customHeight="1">
      <c r="E536" s="4109"/>
      <c r="F536" s="1374" t="s">
        <v>591</v>
      </c>
      <c r="G536" s="1083"/>
      <c r="H536" s="1084"/>
      <c r="I536" s="1084"/>
      <c r="J536" s="1084"/>
      <c r="K536" s="1085"/>
      <c r="L536" s="255"/>
      <c r="M536" s="461"/>
      <c r="N536" s="461"/>
      <c r="O536" s="461"/>
      <c r="P536" s="281"/>
      <c r="Q536" s="956"/>
      <c r="R536" s="461"/>
      <c r="S536" s="461"/>
      <c r="T536" s="461"/>
      <c r="U536" s="281"/>
      <c r="V536" s="1172"/>
      <c r="W536" s="255"/>
      <c r="X536" s="461"/>
      <c r="Y536" s="461"/>
      <c r="Z536" s="461"/>
      <c r="AA536" s="281"/>
      <c r="AB536" s="1041"/>
      <c r="AC536" s="255"/>
      <c r="AD536" s="461"/>
      <c r="AE536" s="461"/>
      <c r="AF536" s="461"/>
      <c r="AG536" s="461"/>
      <c r="AH536" s="1047"/>
      <c r="AI536" s="1172"/>
      <c r="AJ536" s="1155"/>
      <c r="AK536" s="1155"/>
      <c r="AL536" s="1083"/>
      <c r="AM536" s="1084"/>
      <c r="AN536" s="1084"/>
      <c r="AO536" s="1084"/>
      <c r="AP536" s="1085"/>
      <c r="AQ536" s="259"/>
      <c r="AR536" s="466"/>
      <c r="AS536" s="283"/>
      <c r="AT536" s="1155"/>
      <c r="AU536" s="1155"/>
      <c r="AV536" s="1155"/>
      <c r="AW536" s="1155"/>
      <c r="AX536" s="1155"/>
      <c r="AY536" s="1155"/>
      <c r="AZ536" s="1155"/>
      <c r="BA536" s="1155"/>
      <c r="BB536" s="1155"/>
      <c r="BC536" s="1155"/>
      <c r="BD536" s="1155"/>
      <c r="BE536" s="1155"/>
      <c r="BF536" s="1155"/>
      <c r="BG536" s="1155"/>
      <c r="BH536" s="1155"/>
      <c r="BI536" s="1155"/>
      <c r="BJ536" s="1155"/>
      <c r="BK536" s="1155"/>
      <c r="BL536" s="1155"/>
      <c r="BM536" s="1155"/>
      <c r="BN536" s="1155"/>
      <c r="BO536" s="1155"/>
      <c r="BP536" s="1155"/>
      <c r="BQ536" s="1155"/>
      <c r="BR536" s="1155"/>
      <c r="BS536" s="1155"/>
    </row>
    <row r="537" spans="5:71" s="474" customFormat="1" ht="12.75" customHeight="1">
      <c r="E537" s="4109"/>
      <c r="F537" s="1374" t="s">
        <v>592</v>
      </c>
      <c r="G537" s="1083"/>
      <c r="H537" s="1084"/>
      <c r="I537" s="1084"/>
      <c r="J537" s="1084"/>
      <c r="K537" s="1085"/>
      <c r="L537" s="207"/>
      <c r="M537" s="456">
        <v>8297</v>
      </c>
      <c r="N537" s="456"/>
      <c r="O537" s="456"/>
      <c r="P537" s="457"/>
      <c r="Q537" s="224"/>
      <c r="R537" s="456"/>
      <c r="S537" s="456"/>
      <c r="T537" s="456"/>
      <c r="U537" s="457"/>
      <c r="V537" s="1172"/>
      <c r="W537" s="207">
        <v>0</v>
      </c>
      <c r="X537" s="456">
        <v>0</v>
      </c>
      <c r="Y537" s="456">
        <v>0</v>
      </c>
      <c r="Z537" s="456">
        <v>0</v>
      </c>
      <c r="AA537" s="457">
        <v>0</v>
      </c>
      <c r="AB537" s="1041"/>
      <c r="AC537" s="207">
        <v>0</v>
      </c>
      <c r="AD537" s="456">
        <v>0</v>
      </c>
      <c r="AE537" s="456">
        <v>0</v>
      </c>
      <c r="AF537" s="456">
        <v>0</v>
      </c>
      <c r="AG537" s="456">
        <v>0</v>
      </c>
      <c r="AH537" s="1048"/>
      <c r="AI537" s="1172"/>
      <c r="AJ537" s="1155"/>
      <c r="AK537" s="1155"/>
      <c r="AL537" s="1083"/>
      <c r="AM537" s="1084"/>
      <c r="AN537" s="1084"/>
      <c r="AO537" s="1084"/>
      <c r="AP537" s="1085"/>
      <c r="AQ537" s="207">
        <f>SUM(AQ532:AQ536)</f>
        <v>0</v>
      </c>
      <c r="AR537" s="456">
        <f t="shared" ref="AR537" si="2352">SUM(AR532:AR536)</f>
        <v>0</v>
      </c>
      <c r="AS537" s="457"/>
      <c r="AT537" s="1155"/>
      <c r="AU537" s="1155"/>
      <c r="AV537" s="1155"/>
      <c r="AW537" s="1155"/>
      <c r="AX537" s="1155"/>
      <c r="AY537" s="1155"/>
      <c r="AZ537" s="1155"/>
      <c r="BA537" s="1155"/>
      <c r="BB537" s="1155"/>
      <c r="BC537" s="1155"/>
      <c r="BD537" s="1155"/>
      <c r="BE537" s="1155"/>
      <c r="BF537" s="1155"/>
      <c r="BG537" s="1155"/>
      <c r="BH537" s="1155"/>
      <c r="BI537" s="1155"/>
      <c r="BJ537" s="1155"/>
      <c r="BK537" s="1155"/>
      <c r="BL537" s="1155"/>
      <c r="BM537" s="1155"/>
      <c r="BN537" s="1155"/>
      <c r="BO537" s="1155"/>
      <c r="BP537" s="1155"/>
      <c r="BQ537" s="1155"/>
      <c r="BR537" s="1155"/>
      <c r="BS537" s="1155"/>
    </row>
    <row r="538" spans="5:71" s="474" customFormat="1">
      <c r="E538" s="4109"/>
      <c r="F538" s="1375" t="s">
        <v>587</v>
      </c>
      <c r="G538" s="1086"/>
      <c r="H538" s="1087"/>
      <c r="I538" s="1087"/>
      <c r="J538" s="1087"/>
      <c r="K538" s="1088"/>
      <c r="L538" s="258">
        <f>SUM(L533:L537)</f>
        <v>0</v>
      </c>
      <c r="M538" s="465">
        <f t="shared" ref="M538" si="2353">SUM(M533:M537)</f>
        <v>8297</v>
      </c>
      <c r="N538" s="465">
        <f t="shared" ref="N538" si="2354">SUM(N533:N537)</f>
        <v>0</v>
      </c>
      <c r="O538" s="465">
        <f t="shared" ref="O538" si="2355">SUM(O533:O537)</f>
        <v>0</v>
      </c>
      <c r="P538" s="282">
        <f t="shared" ref="P538" si="2356">SUM(P533:P537)</f>
        <v>0</v>
      </c>
      <c r="Q538" s="965">
        <f t="shared" ref="Q538" si="2357">SUM(Q533:Q537)</f>
        <v>0</v>
      </c>
      <c r="R538" s="465">
        <f t="shared" ref="R538" si="2358">SUM(R533:R537)</f>
        <v>0</v>
      </c>
      <c r="S538" s="465">
        <f t="shared" ref="S538" si="2359">SUM(S533:S537)</f>
        <v>0</v>
      </c>
      <c r="T538" s="465">
        <f t="shared" ref="T538" si="2360">SUM(T533:T537)</f>
        <v>0</v>
      </c>
      <c r="U538" s="282">
        <f t="shared" ref="U538" si="2361">SUM(U533:U537)</f>
        <v>0</v>
      </c>
      <c r="V538" s="1172"/>
      <c r="W538" s="258">
        <f t="shared" ref="W538" si="2362">SUM(W533:W537)</f>
        <v>0</v>
      </c>
      <c r="X538" s="465">
        <f t="shared" ref="X538" si="2363">SUM(X533:X537)</f>
        <v>0</v>
      </c>
      <c r="Y538" s="465">
        <f t="shared" ref="Y538" si="2364">SUM(Y533:Y537)</f>
        <v>0</v>
      </c>
      <c r="Z538" s="465">
        <f t="shared" ref="Z538" si="2365">SUM(Z533:Z537)</f>
        <v>0</v>
      </c>
      <c r="AA538" s="282">
        <f t="shared" ref="AA538" si="2366">SUM(AA533:AA537)</f>
        <v>0</v>
      </c>
      <c r="AB538" s="992"/>
      <c r="AC538" s="258">
        <f t="shared" ref="AC538" si="2367">SUM(AC533:AC537)</f>
        <v>0</v>
      </c>
      <c r="AD538" s="465">
        <f t="shared" ref="AD538" si="2368">SUM(AD533:AD537)</f>
        <v>0</v>
      </c>
      <c r="AE538" s="465">
        <f t="shared" ref="AE538" si="2369">SUM(AE533:AE537)</f>
        <v>0</v>
      </c>
      <c r="AF538" s="465">
        <f t="shared" ref="AF538" si="2370">SUM(AF533:AF537)</f>
        <v>0</v>
      </c>
      <c r="AG538" s="465">
        <f t="shared" ref="AG538" si="2371">SUM(AG533:AG537)</f>
        <v>0</v>
      </c>
      <c r="AH538" s="1049"/>
      <c r="AI538" s="1172"/>
      <c r="AJ538" s="1155"/>
      <c r="AK538" s="1155"/>
      <c r="AL538" s="1086"/>
      <c r="AM538" s="1087"/>
      <c r="AN538" s="1087"/>
      <c r="AO538" s="1087"/>
      <c r="AP538" s="1088"/>
      <c r="AQ538" s="258"/>
      <c r="AR538" s="465"/>
      <c r="AS538" s="282"/>
      <c r="AT538" s="1155"/>
      <c r="AU538" s="1155"/>
      <c r="AV538" s="1155"/>
      <c r="AW538" s="1155"/>
      <c r="AX538" s="1155"/>
      <c r="AY538" s="1155"/>
      <c r="AZ538" s="1155"/>
      <c r="BA538" s="1155"/>
      <c r="BB538" s="1155"/>
      <c r="BC538" s="1155"/>
      <c r="BD538" s="1155"/>
      <c r="BE538" s="1155"/>
      <c r="BF538" s="1155"/>
      <c r="BG538" s="1155"/>
      <c r="BH538" s="1155"/>
      <c r="BI538" s="1155"/>
      <c r="BJ538" s="1155"/>
      <c r="BK538" s="1155"/>
      <c r="BL538" s="1155"/>
      <c r="BM538" s="1155"/>
      <c r="BN538" s="1155"/>
      <c r="BO538" s="1155"/>
      <c r="BP538" s="1155"/>
      <c r="BQ538" s="1155"/>
      <c r="BR538" s="1155"/>
      <c r="BS538" s="1155"/>
    </row>
    <row r="539" spans="5:71" s="474" customFormat="1">
      <c r="E539" s="4109"/>
      <c r="F539" s="1376" t="s">
        <v>593</v>
      </c>
      <c r="G539" s="1083"/>
      <c r="H539" s="1084"/>
      <c r="I539" s="1084"/>
      <c r="J539" s="1084"/>
      <c r="K539" s="1085"/>
      <c r="L539" s="255"/>
      <c r="M539" s="461"/>
      <c r="N539" s="461"/>
      <c r="O539" s="461"/>
      <c r="P539" s="281"/>
      <c r="Q539" s="956"/>
      <c r="R539" s="461"/>
      <c r="S539" s="461"/>
      <c r="T539" s="461"/>
      <c r="U539" s="281"/>
      <c r="V539" s="1172"/>
      <c r="W539" s="255"/>
      <c r="X539" s="461"/>
      <c r="Y539" s="461"/>
      <c r="Z539" s="461"/>
      <c r="AA539" s="281"/>
      <c r="AB539" s="1041"/>
      <c r="AC539" s="255"/>
      <c r="AD539" s="461"/>
      <c r="AE539" s="461"/>
      <c r="AF539" s="461"/>
      <c r="AG539" s="461"/>
      <c r="AH539" s="1047"/>
      <c r="AI539" s="1172"/>
      <c r="AJ539" s="1155"/>
      <c r="AK539" s="1155"/>
      <c r="AL539" s="1083"/>
      <c r="AM539" s="1084"/>
      <c r="AN539" s="1084"/>
      <c r="AO539" s="1084"/>
      <c r="AP539" s="1085"/>
      <c r="AQ539" s="259"/>
      <c r="AR539" s="466"/>
      <c r="AS539" s="283"/>
      <c r="AT539" s="1155"/>
      <c r="AU539" s="1155"/>
      <c r="AV539" s="1155"/>
      <c r="AW539" s="1155"/>
      <c r="AX539" s="1155"/>
      <c r="AY539" s="1155"/>
      <c r="AZ539" s="1155"/>
      <c r="BA539" s="1155"/>
      <c r="BB539" s="1155"/>
      <c r="BC539" s="1155"/>
      <c r="BD539" s="1155"/>
      <c r="BE539" s="1155"/>
      <c r="BF539" s="1155"/>
      <c r="BG539" s="1155"/>
      <c r="BH539" s="1155"/>
      <c r="BI539" s="1155"/>
      <c r="BJ539" s="1155"/>
      <c r="BK539" s="1155"/>
      <c r="BL539" s="1155"/>
      <c r="BM539" s="1155"/>
      <c r="BN539" s="1155"/>
      <c r="BO539" s="1155"/>
      <c r="BP539" s="1155"/>
      <c r="BQ539" s="1155"/>
      <c r="BR539" s="1155"/>
      <c r="BS539" s="1155"/>
    </row>
    <row r="540" spans="5:71" s="474" customFormat="1">
      <c r="E540" s="4109"/>
      <c r="F540" s="431" t="s">
        <v>558</v>
      </c>
      <c r="G540" s="1083"/>
      <c r="H540" s="1084"/>
      <c r="I540" s="1084"/>
      <c r="J540" s="1084"/>
      <c r="K540" s="1085"/>
      <c r="L540" s="255"/>
      <c r="M540" s="461"/>
      <c r="N540" s="461"/>
      <c r="O540" s="461"/>
      <c r="P540" s="281"/>
      <c r="Q540" s="956"/>
      <c r="R540" s="461"/>
      <c r="S540" s="461"/>
      <c r="T540" s="461"/>
      <c r="U540" s="281"/>
      <c r="V540" s="1172"/>
      <c r="W540" s="255"/>
      <c r="X540" s="461"/>
      <c r="Y540" s="461"/>
      <c r="Z540" s="461"/>
      <c r="AA540" s="281"/>
      <c r="AB540" s="1041"/>
      <c r="AC540" s="255"/>
      <c r="AD540" s="461"/>
      <c r="AE540" s="461"/>
      <c r="AF540" s="461"/>
      <c r="AG540" s="461"/>
      <c r="AH540" s="1047"/>
      <c r="AI540" s="1172"/>
      <c r="AJ540" s="1155"/>
      <c r="AK540" s="1155"/>
      <c r="AL540" s="1083"/>
      <c r="AM540" s="1084"/>
      <c r="AN540" s="1084"/>
      <c r="AO540" s="1084"/>
      <c r="AP540" s="1085"/>
      <c r="AQ540" s="259"/>
      <c r="AR540" s="466"/>
      <c r="AS540" s="283"/>
      <c r="AT540" s="1155"/>
      <c r="AU540" s="1155"/>
      <c r="AV540" s="1155"/>
      <c r="AW540" s="1155"/>
      <c r="AX540" s="1155"/>
      <c r="AY540" s="1155"/>
      <c r="AZ540" s="1155"/>
      <c r="BA540" s="1155"/>
      <c r="BB540" s="1155"/>
      <c r="BC540" s="1155"/>
      <c r="BD540" s="1155"/>
      <c r="BE540" s="1155"/>
      <c r="BF540" s="1155"/>
      <c r="BG540" s="1155"/>
      <c r="BH540" s="1155"/>
      <c r="BI540" s="1155"/>
      <c r="BJ540" s="1155"/>
      <c r="BK540" s="1155"/>
      <c r="BL540" s="1155"/>
      <c r="BM540" s="1155"/>
      <c r="BN540" s="1155"/>
      <c r="BO540" s="1155"/>
      <c r="BP540" s="1155"/>
      <c r="BQ540" s="1155"/>
      <c r="BR540" s="1155"/>
      <c r="BS540" s="1155"/>
    </row>
    <row r="541" spans="5:71" s="474" customFormat="1">
      <c r="E541" s="4109"/>
      <c r="F541" s="431" t="s">
        <v>559</v>
      </c>
      <c r="G541" s="1083"/>
      <c r="H541" s="1084"/>
      <c r="I541" s="1084"/>
      <c r="J541" s="1084"/>
      <c r="K541" s="1085"/>
      <c r="L541" s="255"/>
      <c r="M541" s="461"/>
      <c r="N541" s="461"/>
      <c r="O541" s="461"/>
      <c r="P541" s="281"/>
      <c r="Q541" s="956"/>
      <c r="R541" s="461"/>
      <c r="S541" s="461"/>
      <c r="T541" s="461"/>
      <c r="U541" s="281"/>
      <c r="V541" s="1172"/>
      <c r="W541" s="255"/>
      <c r="X541" s="461"/>
      <c r="Y541" s="461"/>
      <c r="Z541" s="461"/>
      <c r="AA541" s="281"/>
      <c r="AB541" s="1041"/>
      <c r="AC541" s="255"/>
      <c r="AD541" s="461"/>
      <c r="AE541" s="461"/>
      <c r="AF541" s="461"/>
      <c r="AG541" s="461"/>
      <c r="AH541" s="1047"/>
      <c r="AI541" s="1172"/>
      <c r="AJ541" s="1155"/>
      <c r="AK541" s="1155"/>
      <c r="AL541" s="1083"/>
      <c r="AM541" s="1084"/>
      <c r="AN541" s="1084"/>
      <c r="AO541" s="1084"/>
      <c r="AP541" s="1085"/>
      <c r="AQ541" s="259"/>
      <c r="AR541" s="466"/>
      <c r="AS541" s="283"/>
      <c r="AT541" s="1155"/>
      <c r="AU541" s="1155"/>
      <c r="AV541" s="1155"/>
      <c r="AW541" s="1155"/>
      <c r="AX541" s="1155"/>
      <c r="AY541" s="1155"/>
      <c r="AZ541" s="1155"/>
      <c r="BA541" s="1155"/>
      <c r="BB541" s="1155"/>
      <c r="BC541" s="1155"/>
      <c r="BD541" s="1155"/>
      <c r="BE541" s="1155"/>
      <c r="BF541" s="1155"/>
      <c r="BG541" s="1155"/>
      <c r="BH541" s="1155"/>
      <c r="BI541" s="1155"/>
      <c r="BJ541" s="1155"/>
      <c r="BK541" s="1155"/>
      <c r="BL541" s="1155"/>
      <c r="BM541" s="1155"/>
      <c r="BN541" s="1155"/>
      <c r="BO541" s="1155"/>
      <c r="BP541" s="1155"/>
      <c r="BQ541" s="1155"/>
      <c r="BR541" s="1155"/>
      <c r="BS541" s="1155"/>
    </row>
    <row r="542" spans="5:71" s="474" customFormat="1">
      <c r="E542" s="4109"/>
      <c r="F542" s="431" t="s">
        <v>578</v>
      </c>
      <c r="G542" s="1089"/>
      <c r="H542" s="1090"/>
      <c r="I542" s="1090"/>
      <c r="J542" s="1090"/>
      <c r="K542" s="1091"/>
      <c r="L542" s="259"/>
      <c r="M542" s="456">
        <v>1353604.9000000001</v>
      </c>
      <c r="N542" s="456"/>
      <c r="O542" s="456"/>
      <c r="P542" s="457"/>
      <c r="Q542" s="224"/>
      <c r="R542" s="456"/>
      <c r="S542" s="456"/>
      <c r="T542" s="456"/>
      <c r="U542" s="457"/>
      <c r="V542" s="1172"/>
      <c r="W542" s="207"/>
      <c r="X542" s="456"/>
      <c r="Y542" s="456"/>
      <c r="Z542" s="456"/>
      <c r="AA542" s="457"/>
      <c r="AB542" s="1041"/>
      <c r="AC542" s="207"/>
      <c r="AD542" s="456"/>
      <c r="AE542" s="456"/>
      <c r="AF542" s="456"/>
      <c r="AG542" s="456"/>
      <c r="AH542" s="1048"/>
      <c r="AI542" s="1172"/>
      <c r="AJ542" s="1155"/>
      <c r="AK542" s="1155"/>
      <c r="AL542" s="1089"/>
      <c r="AM542" s="1090"/>
      <c r="AN542" s="1090"/>
      <c r="AO542" s="1090"/>
      <c r="AP542" s="1091"/>
      <c r="AQ542" s="259"/>
      <c r="AR542" s="456"/>
      <c r="AS542" s="457"/>
      <c r="AT542" s="1155"/>
      <c r="AU542" s="1155"/>
      <c r="AV542" s="1155"/>
      <c r="AW542" s="1155"/>
      <c r="AX542" s="1155"/>
      <c r="AY542" s="1155"/>
      <c r="AZ542" s="1155"/>
      <c r="BA542" s="1155"/>
      <c r="BB542" s="1155"/>
      <c r="BC542" s="1155"/>
      <c r="BD542" s="1155"/>
      <c r="BE542" s="1155"/>
      <c r="BF542" s="1155"/>
      <c r="BG542" s="1155"/>
      <c r="BH542" s="1155"/>
      <c r="BI542" s="1155"/>
      <c r="BJ542" s="1155"/>
      <c r="BK542" s="1155"/>
      <c r="BL542" s="1155"/>
      <c r="BM542" s="1155"/>
      <c r="BN542" s="1155"/>
      <c r="BO542" s="1155"/>
      <c r="BP542" s="1155"/>
      <c r="BQ542" s="1155"/>
      <c r="BR542" s="1155"/>
      <c r="BS542" s="1155"/>
    </row>
    <row r="543" spans="5:71" s="474" customFormat="1">
      <c r="E543" s="4109"/>
      <c r="F543" s="1377" t="s">
        <v>579</v>
      </c>
      <c r="G543" s="1086"/>
      <c r="H543" s="1087"/>
      <c r="I543" s="1087"/>
      <c r="J543" s="1087"/>
      <c r="K543" s="1088"/>
      <c r="L543" s="258">
        <f>SUM(L539:L542)</f>
        <v>0</v>
      </c>
      <c r="M543" s="465">
        <f t="shared" ref="M543" si="2372">SUM(M539:M542)</f>
        <v>1353604.9000000001</v>
      </c>
      <c r="N543" s="465">
        <f t="shared" ref="N543" si="2373">SUM(N539:N542)</f>
        <v>0</v>
      </c>
      <c r="O543" s="465">
        <f t="shared" ref="O543" si="2374">SUM(O539:O542)</f>
        <v>0</v>
      </c>
      <c r="P543" s="282">
        <f t="shared" ref="P543" si="2375">SUM(P539:P542)</f>
        <v>0</v>
      </c>
      <c r="Q543" s="965">
        <f t="shared" ref="Q543" si="2376">SUM(Q539:Q542)</f>
        <v>0</v>
      </c>
      <c r="R543" s="465">
        <f t="shared" ref="R543" si="2377">SUM(R539:R542)</f>
        <v>0</v>
      </c>
      <c r="S543" s="465">
        <f t="shared" ref="S543" si="2378">SUM(S539:S542)</f>
        <v>0</v>
      </c>
      <c r="T543" s="465">
        <f t="shared" ref="T543" si="2379">SUM(T539:T542)</f>
        <v>0</v>
      </c>
      <c r="U543" s="282">
        <f t="shared" ref="U543" si="2380">SUM(U539:U542)</f>
        <v>0</v>
      </c>
      <c r="V543" s="1172"/>
      <c r="W543" s="258">
        <f t="shared" ref="W543" si="2381">SUM(W539:W542)</f>
        <v>0</v>
      </c>
      <c r="X543" s="465">
        <f t="shared" ref="X543" si="2382">SUM(X539:X542)</f>
        <v>0</v>
      </c>
      <c r="Y543" s="465">
        <f t="shared" ref="Y543" si="2383">SUM(Y539:Y542)</f>
        <v>0</v>
      </c>
      <c r="Z543" s="465">
        <f t="shared" ref="Z543" si="2384">SUM(Z539:Z542)</f>
        <v>0</v>
      </c>
      <c r="AA543" s="282">
        <f t="shared" ref="AA543" si="2385">SUM(AA539:AA542)</f>
        <v>0</v>
      </c>
      <c r="AB543" s="992"/>
      <c r="AC543" s="258">
        <f t="shared" ref="AC543" si="2386">SUM(AC539:AC542)</f>
        <v>0</v>
      </c>
      <c r="AD543" s="465">
        <f t="shared" ref="AD543" si="2387">SUM(AD539:AD542)</f>
        <v>0</v>
      </c>
      <c r="AE543" s="465">
        <f t="shared" ref="AE543" si="2388">SUM(AE539:AE542)</f>
        <v>0</v>
      </c>
      <c r="AF543" s="465">
        <f t="shared" ref="AF543" si="2389">SUM(AF539:AF542)</f>
        <v>0</v>
      </c>
      <c r="AG543" s="465">
        <f t="shared" ref="AG543" si="2390">SUM(AG539:AG542)</f>
        <v>0</v>
      </c>
      <c r="AH543" s="1049"/>
      <c r="AI543" s="1172"/>
      <c r="AJ543" s="1155"/>
      <c r="AK543" s="1155"/>
      <c r="AL543" s="1086"/>
      <c r="AM543" s="1087"/>
      <c r="AN543" s="1087"/>
      <c r="AO543" s="1087"/>
      <c r="AP543" s="1088"/>
      <c r="AQ543" s="258">
        <f>SUM(AQ540:AQ542)</f>
        <v>0</v>
      </c>
      <c r="AR543" s="465">
        <f t="shared" ref="AR543" si="2391">SUM(AR540:AR542)</f>
        <v>0</v>
      </c>
      <c r="AS543" s="282"/>
      <c r="AT543" s="1155"/>
      <c r="AU543" s="1155"/>
      <c r="AV543" s="1155"/>
      <c r="AW543" s="1155"/>
      <c r="AX543" s="1155"/>
      <c r="AY543" s="1155"/>
      <c r="AZ543" s="1155"/>
      <c r="BA543" s="1155"/>
      <c r="BB543" s="1155"/>
      <c r="BC543" s="1155"/>
      <c r="BD543" s="1155"/>
      <c r="BE543" s="1155"/>
      <c r="BF543" s="1155"/>
      <c r="BG543" s="1155"/>
      <c r="BH543" s="1155"/>
      <c r="BI543" s="1155"/>
      <c r="BJ543" s="1155"/>
      <c r="BK543" s="1155"/>
      <c r="BL543" s="1155"/>
      <c r="BM543" s="1155"/>
      <c r="BN543" s="1155"/>
      <c r="BO543" s="1155"/>
      <c r="BP543" s="1155"/>
      <c r="BQ543" s="1155"/>
      <c r="BR543" s="1155"/>
      <c r="BS543" s="1155"/>
    </row>
    <row r="544" spans="5:71" s="474" customFormat="1" ht="13.5" thickBot="1">
      <c r="E544" s="4109"/>
      <c r="F544" s="1385" t="s">
        <v>583</v>
      </c>
      <c r="G544" s="255"/>
      <c r="H544" s="461"/>
      <c r="I544" s="461"/>
      <c r="J544" s="461"/>
      <c r="K544" s="281"/>
      <c r="L544" s="207"/>
      <c r="M544" s="456"/>
      <c r="N544" s="456"/>
      <c r="O544" s="456"/>
      <c r="P544" s="457"/>
      <c r="Q544" s="224"/>
      <c r="R544" s="456"/>
      <c r="S544" s="456"/>
      <c r="T544" s="456"/>
      <c r="U544" s="457"/>
      <c r="V544" s="1172"/>
      <c r="W544" s="207"/>
      <c r="X544" s="461"/>
      <c r="Y544" s="461"/>
      <c r="Z544" s="461"/>
      <c r="AA544" s="281"/>
      <c r="AB544" s="1041"/>
      <c r="AC544" s="207"/>
      <c r="AD544" s="456"/>
      <c r="AE544" s="456"/>
      <c r="AF544" s="456"/>
      <c r="AG544" s="456"/>
      <c r="AH544" s="1048"/>
      <c r="AI544" s="1172"/>
      <c r="AJ544" s="1155"/>
      <c r="AK544" s="1155"/>
      <c r="AL544" s="259"/>
      <c r="AM544" s="466"/>
      <c r="AN544" s="466"/>
      <c r="AO544" s="466"/>
      <c r="AP544" s="283"/>
      <c r="AQ544" s="259"/>
      <c r="AR544" s="466"/>
      <c r="AS544" s="283"/>
      <c r="AT544" s="1155"/>
      <c r="AU544" s="1155"/>
      <c r="AV544" s="1155"/>
      <c r="AW544" s="1155"/>
      <c r="AX544" s="1155"/>
      <c r="AY544" s="1155"/>
      <c r="AZ544" s="1155"/>
      <c r="BA544" s="1155"/>
      <c r="BB544" s="1155"/>
      <c r="BC544" s="1155"/>
      <c r="BD544" s="1155"/>
      <c r="BE544" s="1155"/>
      <c r="BF544" s="1155"/>
      <c r="BG544" s="1155"/>
      <c r="BH544" s="1155"/>
      <c r="BI544" s="1155"/>
      <c r="BJ544" s="1155"/>
      <c r="BK544" s="1155"/>
      <c r="BL544" s="1155"/>
      <c r="BM544" s="1155"/>
      <c r="BN544" s="1155"/>
      <c r="BO544" s="1155"/>
      <c r="BP544" s="1155"/>
      <c r="BQ544" s="1155"/>
      <c r="BR544" s="1155"/>
      <c r="BS544" s="1155"/>
    </row>
    <row r="545" spans="5:71" s="474" customFormat="1" ht="13.5" thickBot="1">
      <c r="E545" s="4109"/>
      <c r="F545" s="1384" t="s">
        <v>581</v>
      </c>
      <c r="G545" s="1599"/>
      <c r="H545" s="1600"/>
      <c r="I545" s="1600"/>
      <c r="J545" s="1600"/>
      <c r="K545" s="1601"/>
      <c r="L545" s="1599"/>
      <c r="M545" s="1600"/>
      <c r="N545" s="1600"/>
      <c r="O545" s="1600"/>
      <c r="P545" s="1601"/>
      <c r="Q545" s="1602"/>
      <c r="R545" s="1600"/>
      <c r="S545" s="1600"/>
      <c r="T545" s="1600"/>
      <c r="U545" s="1601"/>
      <c r="V545" s="1172"/>
      <c r="W545" s="1614"/>
      <c r="X545" s="1615"/>
      <c r="Y545" s="1615"/>
      <c r="Z545" s="1615"/>
      <c r="AA545" s="1615"/>
      <c r="AB545" s="1615"/>
      <c r="AC545" s="1615"/>
      <c r="AD545" s="1615"/>
      <c r="AE545" s="1615"/>
      <c r="AF545" s="1615"/>
      <c r="AG545" s="1615"/>
      <c r="AH545" s="1616"/>
      <c r="AI545" s="1172"/>
      <c r="AJ545" s="1155"/>
      <c r="AK545" s="1155"/>
      <c r="AL545" s="259"/>
      <c r="AM545" s="466"/>
      <c r="AN545" s="466"/>
      <c r="AO545" s="466"/>
      <c r="AP545" s="283"/>
      <c r="AQ545" s="259"/>
      <c r="AR545" s="466"/>
      <c r="AS545" s="283"/>
      <c r="AT545" s="1155"/>
      <c r="AU545" s="1155"/>
      <c r="AV545" s="1155"/>
      <c r="AW545" s="1155"/>
      <c r="AX545" s="1155"/>
      <c r="AY545" s="1155"/>
      <c r="AZ545" s="1155"/>
      <c r="BA545" s="1155"/>
      <c r="BB545" s="1155"/>
      <c r="BC545" s="1155"/>
      <c r="BD545" s="1155"/>
      <c r="BE545" s="1155"/>
      <c r="BF545" s="1155"/>
      <c r="BG545" s="1155"/>
      <c r="BH545" s="1155"/>
      <c r="BI545" s="1155"/>
      <c r="BJ545" s="1155"/>
      <c r="BK545" s="1155"/>
      <c r="BL545" s="1155"/>
      <c r="BM545" s="1155"/>
      <c r="BN545" s="1155"/>
      <c r="BO545" s="1155"/>
      <c r="BP545" s="1155"/>
      <c r="BQ545" s="1155"/>
      <c r="BR545" s="1155"/>
      <c r="BS545" s="1155"/>
    </row>
    <row r="546" spans="5:71" s="474" customFormat="1">
      <c r="E546" s="4109"/>
      <c r="F546" s="1386" t="s">
        <v>584</v>
      </c>
      <c r="G546" s="1050">
        <v>0</v>
      </c>
      <c r="H546" s="1051">
        <v>0</v>
      </c>
      <c r="I546" s="1051">
        <v>0</v>
      </c>
      <c r="J546" s="1051">
        <v>0</v>
      </c>
      <c r="K546" s="1052">
        <v>0</v>
      </c>
      <c r="L546" s="1050">
        <f>SUM(L543:L545)</f>
        <v>0</v>
      </c>
      <c r="M546" s="1051">
        <f t="shared" ref="M546" si="2392">SUM(M543:M545)</f>
        <v>1353604.9000000001</v>
      </c>
      <c r="N546" s="1051">
        <f t="shared" ref="N546" si="2393">SUM(N543:N545)</f>
        <v>0</v>
      </c>
      <c r="O546" s="1051">
        <f t="shared" ref="O546" si="2394">SUM(O543:O545)</f>
        <v>0</v>
      </c>
      <c r="P546" s="1052">
        <f t="shared" ref="P546" si="2395">SUM(P543:P545)</f>
        <v>0</v>
      </c>
      <c r="Q546" s="1092">
        <f t="shared" ref="Q546" si="2396">SUM(Q543:Q545)</f>
        <v>0</v>
      </c>
      <c r="R546" s="1051">
        <f t="shared" ref="R546" si="2397">SUM(R543:R545)</f>
        <v>0</v>
      </c>
      <c r="S546" s="1051">
        <f t="shared" ref="S546" si="2398">SUM(S543:S545)</f>
        <v>0</v>
      </c>
      <c r="T546" s="1051">
        <f t="shared" ref="T546" si="2399">SUM(T543:T545)</f>
        <v>0</v>
      </c>
      <c r="U546" s="1052">
        <f t="shared" ref="U546" si="2400">SUM(U543:U545)</f>
        <v>0</v>
      </c>
      <c r="V546" s="1172"/>
      <c r="W546" s="1050">
        <f t="shared" ref="W546" si="2401">SUM(W543:W545)</f>
        <v>0</v>
      </c>
      <c r="X546" s="1051">
        <f t="shared" ref="X546" si="2402">SUM(X543:X545)</f>
        <v>0</v>
      </c>
      <c r="Y546" s="1051">
        <f t="shared" ref="Y546" si="2403">SUM(Y543:Y545)</f>
        <v>0</v>
      </c>
      <c r="Z546" s="1051">
        <f t="shared" ref="Z546" si="2404">SUM(Z543:Z545)</f>
        <v>0</v>
      </c>
      <c r="AA546" s="1052">
        <f t="shared" ref="AA546" si="2405">SUM(AA543:AA545)</f>
        <v>0</v>
      </c>
      <c r="AB546" s="1053"/>
      <c r="AC546" s="1050">
        <f t="shared" ref="AC546" si="2406">SUM(AC543:AC545)</f>
        <v>0</v>
      </c>
      <c r="AD546" s="1051">
        <f t="shared" ref="AD546" si="2407">SUM(AD543:AD545)</f>
        <v>0</v>
      </c>
      <c r="AE546" s="1051">
        <f t="shared" ref="AE546" si="2408">SUM(AE543:AE545)</f>
        <v>0</v>
      </c>
      <c r="AF546" s="1051">
        <f t="shared" ref="AF546" si="2409">SUM(AF543:AF545)</f>
        <v>0</v>
      </c>
      <c r="AG546" s="1051">
        <f t="shared" ref="AG546" si="2410">SUM(AG543:AG545)</f>
        <v>0</v>
      </c>
      <c r="AH546" s="1054"/>
      <c r="AI546" s="1172"/>
      <c r="AJ546" s="130"/>
      <c r="AK546" s="130"/>
      <c r="AL546" s="1050">
        <f t="shared" ref="AL546:AR546" si="2411">SUM(AL544:AL545)</f>
        <v>0</v>
      </c>
      <c r="AM546" s="1051">
        <f t="shared" si="2411"/>
        <v>0</v>
      </c>
      <c r="AN546" s="1051">
        <f t="shared" si="2411"/>
        <v>0</v>
      </c>
      <c r="AO546" s="1051">
        <f t="shared" si="2411"/>
        <v>0</v>
      </c>
      <c r="AP546" s="1052">
        <f t="shared" si="2411"/>
        <v>0</v>
      </c>
      <c r="AQ546" s="1050">
        <f t="shared" si="2411"/>
        <v>0</v>
      </c>
      <c r="AR546" s="1051">
        <f t="shared" si="2411"/>
        <v>0</v>
      </c>
      <c r="AS546" s="1052"/>
      <c r="AT546" s="130"/>
      <c r="AU546" s="130"/>
      <c r="AV546" s="130"/>
      <c r="AW546" s="130"/>
      <c r="AX546" s="130"/>
      <c r="AY546" s="130"/>
      <c r="AZ546" s="130"/>
      <c r="BA546" s="130"/>
      <c r="BB546" s="130"/>
      <c r="BC546" s="130"/>
      <c r="BD546" s="130"/>
      <c r="BE546" s="130"/>
      <c r="BF546" s="130"/>
      <c r="BG546" s="130"/>
      <c r="BH546" s="130"/>
      <c r="BI546" s="130"/>
      <c r="BJ546" s="130"/>
      <c r="BK546" s="130"/>
      <c r="BL546" s="130"/>
      <c r="BM546" s="130"/>
      <c r="BN546" s="130"/>
      <c r="BO546" s="130"/>
      <c r="BP546" s="130"/>
      <c r="BQ546" s="130"/>
      <c r="BR546" s="130"/>
      <c r="BS546" s="1155"/>
    </row>
    <row r="547" spans="5:71" s="474" customFormat="1">
      <c r="E547" s="4109"/>
      <c r="F547" s="1388" t="s">
        <v>35</v>
      </c>
      <c r="G547" s="255"/>
      <c r="H547" s="461"/>
      <c r="I547" s="461"/>
      <c r="J547" s="461"/>
      <c r="K547" s="281"/>
      <c r="L547" s="255"/>
      <c r="M547" s="461"/>
      <c r="N547" s="461"/>
      <c r="O547" s="461"/>
      <c r="P547" s="281"/>
      <c r="Q547" s="956"/>
      <c r="R547" s="461"/>
      <c r="S547" s="461"/>
      <c r="T547" s="461"/>
      <c r="U547" s="281"/>
      <c r="V547" s="1172"/>
      <c r="W547" s="255"/>
      <c r="X547" s="461"/>
      <c r="Y547" s="461"/>
      <c r="Z547" s="461"/>
      <c r="AA547" s="281"/>
      <c r="AB547" s="1004"/>
      <c r="AC547" s="255"/>
      <c r="AD547" s="461"/>
      <c r="AE547" s="461"/>
      <c r="AF547" s="461"/>
      <c r="AG547" s="461"/>
      <c r="AH547" s="1047"/>
      <c r="AI547" s="1172"/>
      <c r="AJ547" s="1155"/>
      <c r="AK547" s="1155"/>
      <c r="AL547" s="259"/>
      <c r="AM547" s="466"/>
      <c r="AN547" s="466"/>
      <c r="AO547" s="466"/>
      <c r="AP547" s="283"/>
      <c r="AQ547" s="259"/>
      <c r="AR547" s="466"/>
      <c r="AS547" s="283"/>
      <c r="AT547" s="1155"/>
      <c r="AU547" s="1155"/>
      <c r="AV547" s="1155"/>
      <c r="AW547" s="1155"/>
      <c r="AX547" s="1155"/>
      <c r="AY547" s="1155"/>
      <c r="AZ547" s="1155"/>
      <c r="BA547" s="1155"/>
      <c r="BB547" s="1155"/>
      <c r="BC547" s="1155"/>
      <c r="BD547" s="1155"/>
      <c r="BE547" s="1155"/>
      <c r="BF547" s="1155"/>
      <c r="BG547" s="1155"/>
      <c r="BH547" s="1155"/>
      <c r="BI547" s="1155"/>
      <c r="BJ547" s="1155"/>
      <c r="BK547" s="1155"/>
      <c r="BL547" s="1155"/>
      <c r="BM547" s="1155"/>
      <c r="BN547" s="1155"/>
      <c r="BO547" s="1155"/>
      <c r="BP547" s="1155"/>
      <c r="BQ547" s="1155"/>
      <c r="BR547" s="1155"/>
      <c r="BS547" s="1155"/>
    </row>
    <row r="548" spans="5:71" s="474" customFormat="1" ht="13.5" thickBot="1">
      <c r="E548" s="4109"/>
      <c r="F548" s="1387" t="s">
        <v>585</v>
      </c>
      <c r="G548" s="1055">
        <v>0</v>
      </c>
      <c r="H548" s="1056">
        <v>0</v>
      </c>
      <c r="I548" s="1056">
        <v>0</v>
      </c>
      <c r="J548" s="1056">
        <v>0</v>
      </c>
      <c r="K548" s="1057">
        <v>0</v>
      </c>
      <c r="L548" s="1567">
        <f>L546-L547</f>
        <v>0</v>
      </c>
      <c r="M548" s="1056">
        <f t="shared" ref="M548" si="2412">M546-M547</f>
        <v>1353604.9000000001</v>
      </c>
      <c r="N548" s="1056">
        <f t="shared" ref="N548" si="2413">N546-N547</f>
        <v>0</v>
      </c>
      <c r="O548" s="1056">
        <f t="shared" ref="O548" si="2414">O546-O547</f>
        <v>0</v>
      </c>
      <c r="P548" s="1057">
        <f t="shared" ref="P548" si="2415">P546-P547</f>
        <v>0</v>
      </c>
      <c r="Q548" s="1093">
        <f t="shared" ref="Q548" si="2416">Q546-Q547</f>
        <v>0</v>
      </c>
      <c r="R548" s="1056">
        <f t="shared" ref="R548" si="2417">R546-R547</f>
        <v>0</v>
      </c>
      <c r="S548" s="1056">
        <f t="shared" ref="S548" si="2418">S546-S547</f>
        <v>0</v>
      </c>
      <c r="T548" s="1056">
        <f t="shared" ref="T548" si="2419">T546-T547</f>
        <v>0</v>
      </c>
      <c r="U548" s="1057">
        <f t="shared" ref="U548" si="2420">U546-U547</f>
        <v>0</v>
      </c>
      <c r="V548" s="1172"/>
      <c r="W548" s="1055">
        <f t="shared" ref="W548" si="2421">W546-W547</f>
        <v>0</v>
      </c>
      <c r="X548" s="1056">
        <f t="shared" ref="X548" si="2422">X546-X547</f>
        <v>0</v>
      </c>
      <c r="Y548" s="1056">
        <f t="shared" ref="Y548" si="2423">Y546-Y547</f>
        <v>0</v>
      </c>
      <c r="Z548" s="1056">
        <f t="shared" ref="Z548" si="2424">Z546-Z547</f>
        <v>0</v>
      </c>
      <c r="AA548" s="1057">
        <f t="shared" ref="AA548" si="2425">AA546-AA547</f>
        <v>0</v>
      </c>
      <c r="AB548" s="1075"/>
      <c r="AC548" s="1055">
        <f t="shared" ref="AC548" si="2426">AC546-AC547</f>
        <v>0</v>
      </c>
      <c r="AD548" s="1056">
        <f t="shared" ref="AD548" si="2427">AD546-AD547</f>
        <v>0</v>
      </c>
      <c r="AE548" s="1056">
        <f t="shared" ref="AE548" si="2428">AE546-AE547</f>
        <v>0</v>
      </c>
      <c r="AF548" s="1056">
        <f t="shared" ref="AF548" si="2429">AF546-AF547</f>
        <v>0</v>
      </c>
      <c r="AG548" s="1056">
        <f t="shared" ref="AG548" si="2430">AG546-AG547</f>
        <v>0</v>
      </c>
      <c r="AH548" s="1059"/>
      <c r="AI548" s="1172"/>
      <c r="AJ548" s="1155"/>
      <c r="AK548" s="1155"/>
      <c r="AL548" s="1567">
        <f>AL546-AL547</f>
        <v>0</v>
      </c>
      <c r="AM548" s="1056">
        <f t="shared" ref="AM548:AR548" si="2431">AM546-AM547</f>
        <v>0</v>
      </c>
      <c r="AN548" s="1056">
        <f t="shared" si="2431"/>
        <v>0</v>
      </c>
      <c r="AO548" s="1056">
        <f t="shared" si="2431"/>
        <v>0</v>
      </c>
      <c r="AP548" s="1057">
        <f t="shared" si="2431"/>
        <v>0</v>
      </c>
      <c r="AQ548" s="1567">
        <f t="shared" si="2431"/>
        <v>0</v>
      </c>
      <c r="AR548" s="1056">
        <f t="shared" si="2431"/>
        <v>0</v>
      </c>
      <c r="AS548" s="1057"/>
      <c r="AT548" s="1155"/>
      <c r="AU548" s="1155"/>
      <c r="AV548" s="1155"/>
      <c r="AW548" s="1155"/>
      <c r="AX548" s="1155"/>
      <c r="AY548" s="1155"/>
      <c r="AZ548" s="1155"/>
      <c r="BA548" s="1155"/>
      <c r="BB548" s="1155"/>
      <c r="BC548" s="1155"/>
      <c r="BD548" s="1155"/>
      <c r="BE548" s="1155"/>
      <c r="BF548" s="1155"/>
      <c r="BG548" s="1155"/>
      <c r="BH548" s="1155"/>
      <c r="BI548" s="1155"/>
      <c r="BJ548" s="1155"/>
      <c r="BK548" s="1155"/>
      <c r="BL548" s="1155"/>
      <c r="BM548" s="1155"/>
      <c r="BN548" s="1155"/>
      <c r="BO548" s="1155"/>
      <c r="BP548" s="1155"/>
      <c r="BQ548" s="1155"/>
      <c r="BR548" s="1155"/>
      <c r="BS548" s="1155"/>
    </row>
    <row r="549" spans="5:71" s="474" customFormat="1" ht="12.75" customHeight="1">
      <c r="E549" s="4110" t="s">
        <v>1508</v>
      </c>
      <c r="F549" s="433" t="s">
        <v>111</v>
      </c>
      <c r="G549" s="1086"/>
      <c r="H549" s="1087"/>
      <c r="I549" s="1087"/>
      <c r="J549" s="1087"/>
      <c r="K549" s="1088"/>
      <c r="L549" s="258"/>
      <c r="M549" s="465"/>
      <c r="N549" s="465"/>
      <c r="O549" s="465"/>
      <c r="P549" s="282"/>
      <c r="Q549" s="1566"/>
      <c r="R549" s="421"/>
      <c r="S549" s="421"/>
      <c r="T549" s="421"/>
      <c r="U549" s="1044"/>
      <c r="V549" s="1172"/>
      <c r="W549" s="1043"/>
      <c r="X549" s="421"/>
      <c r="Y549" s="421"/>
      <c r="Z549" s="421"/>
      <c r="AA549" s="1044"/>
      <c r="AB549" s="1045"/>
      <c r="AC549" s="1043"/>
      <c r="AD549" s="421"/>
      <c r="AE549" s="421"/>
      <c r="AF549" s="421"/>
      <c r="AG549" s="421"/>
      <c r="AH549" s="1046"/>
      <c r="AI549" s="1172"/>
      <c r="AJ549" s="1155"/>
      <c r="AK549" s="1155"/>
      <c r="AL549" s="1086"/>
      <c r="AM549" s="1087"/>
      <c r="AN549" s="1087"/>
      <c r="AO549" s="1087"/>
      <c r="AP549" s="1088"/>
      <c r="AQ549" s="258"/>
      <c r="AR549" s="465"/>
      <c r="AS549" s="282"/>
      <c r="AT549" s="1155"/>
      <c r="AU549" s="1155"/>
      <c r="AV549" s="1155"/>
      <c r="AW549" s="1155"/>
      <c r="AX549" s="1155"/>
      <c r="AY549" s="1155"/>
      <c r="AZ549" s="1155"/>
      <c r="BA549" s="1155"/>
      <c r="BB549" s="1155"/>
      <c r="BC549" s="1155"/>
      <c r="BD549" s="1155"/>
      <c r="BE549" s="1155"/>
      <c r="BF549" s="1155"/>
      <c r="BG549" s="1155"/>
      <c r="BH549" s="1155"/>
      <c r="BI549" s="1155"/>
      <c r="BJ549" s="1155"/>
      <c r="BK549" s="1155"/>
      <c r="BL549" s="1155"/>
      <c r="BM549" s="1155"/>
      <c r="BN549" s="1155"/>
      <c r="BO549" s="1155"/>
      <c r="BP549" s="1155"/>
      <c r="BQ549" s="1155"/>
      <c r="BR549" s="1155"/>
      <c r="BS549" s="1155"/>
    </row>
    <row r="550" spans="5:71" s="474" customFormat="1" ht="12.75" customHeight="1">
      <c r="E550" s="4109"/>
      <c r="F550" s="1374" t="s">
        <v>588</v>
      </c>
      <c r="G550" s="1083"/>
      <c r="H550" s="1084"/>
      <c r="I550" s="1084"/>
      <c r="J550" s="1084"/>
      <c r="K550" s="1085"/>
      <c r="L550" s="255"/>
      <c r="M550" s="461"/>
      <c r="N550" s="461"/>
      <c r="O550" s="461"/>
      <c r="P550" s="281"/>
      <c r="Q550" s="255"/>
      <c r="R550" s="461"/>
      <c r="S550" s="461"/>
      <c r="T550" s="461"/>
      <c r="U550" s="281"/>
      <c r="V550" s="1172"/>
      <c r="W550" s="255"/>
      <c r="X550" s="461"/>
      <c r="Y550" s="461"/>
      <c r="Z550" s="461"/>
      <c r="AA550" s="281"/>
      <c r="AB550" s="1041"/>
      <c r="AC550" s="255"/>
      <c r="AD550" s="461"/>
      <c r="AE550" s="461"/>
      <c r="AF550" s="461"/>
      <c r="AG550" s="461"/>
      <c r="AH550" s="1047"/>
      <c r="AI550" s="1172"/>
      <c r="AJ550" s="1155"/>
      <c r="AK550" s="1155"/>
      <c r="AL550" s="1083"/>
      <c r="AM550" s="1084"/>
      <c r="AN550" s="1084"/>
      <c r="AO550" s="1084"/>
      <c r="AP550" s="1085"/>
      <c r="AQ550" s="259"/>
      <c r="AR550" s="466"/>
      <c r="AS550" s="283"/>
      <c r="AT550" s="1155"/>
      <c r="AU550" s="1155"/>
      <c r="AV550" s="1155"/>
      <c r="AW550" s="1155"/>
      <c r="AX550" s="1155"/>
      <c r="AY550" s="1155"/>
      <c r="AZ550" s="1155"/>
      <c r="BA550" s="1155"/>
      <c r="BB550" s="1155"/>
      <c r="BC550" s="1155"/>
      <c r="BD550" s="1155"/>
      <c r="BE550" s="1155"/>
      <c r="BF550" s="1155"/>
      <c r="BG550" s="1155"/>
      <c r="BH550" s="1155"/>
      <c r="BI550" s="1155"/>
      <c r="BJ550" s="1155"/>
      <c r="BK550" s="1155"/>
      <c r="BL550" s="1155"/>
      <c r="BM550" s="1155"/>
      <c r="BN550" s="1155"/>
      <c r="BO550" s="1155"/>
      <c r="BP550" s="1155"/>
      <c r="BQ550" s="1155"/>
      <c r="BR550" s="1155"/>
      <c r="BS550" s="1155"/>
    </row>
    <row r="551" spans="5:71" s="474" customFormat="1" ht="12.75" customHeight="1">
      <c r="E551" s="4109"/>
      <c r="F551" s="1374" t="s">
        <v>589</v>
      </c>
      <c r="G551" s="1083"/>
      <c r="H551" s="1084"/>
      <c r="I551" s="1084"/>
      <c r="J551" s="1084"/>
      <c r="K551" s="1085"/>
      <c r="L551" s="255"/>
      <c r="M551" s="461"/>
      <c r="N551" s="461"/>
      <c r="O551" s="461"/>
      <c r="P551" s="281"/>
      <c r="Q551" s="255"/>
      <c r="R551" s="461"/>
      <c r="S551" s="461"/>
      <c r="T551" s="461"/>
      <c r="U551" s="281"/>
      <c r="V551" s="1172"/>
      <c r="W551" s="255"/>
      <c r="X551" s="461"/>
      <c r="Y551" s="461"/>
      <c r="Z551" s="461"/>
      <c r="AA551" s="281"/>
      <c r="AB551" s="1041"/>
      <c r="AC551" s="255"/>
      <c r="AD551" s="461"/>
      <c r="AE551" s="461"/>
      <c r="AF551" s="461"/>
      <c r="AG551" s="461"/>
      <c r="AH551" s="1047"/>
      <c r="AI551" s="1172"/>
      <c r="AJ551" s="1155"/>
      <c r="AK551" s="1155"/>
      <c r="AL551" s="1083"/>
      <c r="AM551" s="1084"/>
      <c r="AN551" s="1084"/>
      <c r="AO551" s="1084"/>
      <c r="AP551" s="1085"/>
      <c r="AQ551" s="259"/>
      <c r="AR551" s="466"/>
      <c r="AS551" s="283"/>
      <c r="AT551" s="1155"/>
      <c r="AU551" s="1155"/>
      <c r="AV551" s="1155"/>
      <c r="AW551" s="1155"/>
      <c r="AX551" s="1155"/>
      <c r="AY551" s="1155"/>
      <c r="AZ551" s="1155"/>
      <c r="BA551" s="1155"/>
      <c r="BB551" s="1155"/>
      <c r="BC551" s="1155"/>
      <c r="BD551" s="1155"/>
      <c r="BE551" s="1155"/>
      <c r="BF551" s="1155"/>
      <c r="BG551" s="1155"/>
      <c r="BH551" s="1155"/>
      <c r="BI551" s="1155"/>
      <c r="BJ551" s="1155"/>
      <c r="BK551" s="1155"/>
      <c r="BL551" s="1155"/>
      <c r="BM551" s="1155"/>
      <c r="BN551" s="1155"/>
      <c r="BO551" s="1155"/>
      <c r="BP551" s="1155"/>
      <c r="BQ551" s="1155"/>
      <c r="BR551" s="1155"/>
      <c r="BS551" s="1155"/>
    </row>
    <row r="552" spans="5:71" s="474" customFormat="1" ht="12.75" customHeight="1">
      <c r="E552" s="4109"/>
      <c r="F552" s="1374" t="s">
        <v>590</v>
      </c>
      <c r="G552" s="1083"/>
      <c r="H552" s="1084"/>
      <c r="I552" s="1084"/>
      <c r="J552" s="1084"/>
      <c r="K552" s="1085"/>
      <c r="L552" s="255"/>
      <c r="M552" s="461"/>
      <c r="N552" s="461"/>
      <c r="O552" s="461"/>
      <c r="P552" s="281"/>
      <c r="Q552" s="255"/>
      <c r="R552" s="461"/>
      <c r="S552" s="461"/>
      <c r="T552" s="461"/>
      <c r="U552" s="281"/>
      <c r="V552" s="1172"/>
      <c r="W552" s="255"/>
      <c r="X552" s="461"/>
      <c r="Y552" s="461"/>
      <c r="Z552" s="461"/>
      <c r="AA552" s="281"/>
      <c r="AB552" s="1041"/>
      <c r="AC552" s="255"/>
      <c r="AD552" s="461"/>
      <c r="AE552" s="461"/>
      <c r="AF552" s="461"/>
      <c r="AG552" s="461"/>
      <c r="AH552" s="1047"/>
      <c r="AI552" s="1172"/>
      <c r="AJ552" s="1155"/>
      <c r="AK552" s="1155"/>
      <c r="AL552" s="1083"/>
      <c r="AM552" s="1084"/>
      <c r="AN552" s="1084"/>
      <c r="AO552" s="1084"/>
      <c r="AP552" s="1085"/>
      <c r="AQ552" s="259"/>
      <c r="AR552" s="466"/>
      <c r="AS552" s="283"/>
      <c r="AT552" s="1155"/>
      <c r="AU552" s="1155"/>
      <c r="AV552" s="1155"/>
      <c r="AW552" s="1155"/>
      <c r="AX552" s="1155"/>
      <c r="AY552" s="1155"/>
      <c r="AZ552" s="1155"/>
      <c r="BA552" s="1155"/>
      <c r="BB552" s="1155"/>
      <c r="BC552" s="1155"/>
      <c r="BD552" s="1155"/>
      <c r="BE552" s="1155"/>
      <c r="BF552" s="1155"/>
      <c r="BG552" s="1155"/>
      <c r="BH552" s="1155"/>
      <c r="BI552" s="1155"/>
      <c r="BJ552" s="1155"/>
      <c r="BK552" s="1155"/>
      <c r="BL552" s="1155"/>
      <c r="BM552" s="1155"/>
      <c r="BN552" s="1155"/>
      <c r="BO552" s="1155"/>
      <c r="BP552" s="1155"/>
      <c r="BQ552" s="1155"/>
      <c r="BR552" s="1155"/>
      <c r="BS552" s="1155"/>
    </row>
    <row r="553" spans="5:71" s="474" customFormat="1" ht="12.75" customHeight="1">
      <c r="E553" s="4109"/>
      <c r="F553" s="1374" t="s">
        <v>591</v>
      </c>
      <c r="G553" s="1083"/>
      <c r="H553" s="1084"/>
      <c r="I553" s="1084"/>
      <c r="J553" s="1084"/>
      <c r="K553" s="1085"/>
      <c r="L553" s="255"/>
      <c r="M553" s="461">
        <v>403</v>
      </c>
      <c r="N553" s="461"/>
      <c r="O553" s="461"/>
      <c r="P553" s="281"/>
      <c r="Q553" s="255"/>
      <c r="R553" s="461"/>
      <c r="S553" s="461"/>
      <c r="T553" s="461"/>
      <c r="U553" s="281"/>
      <c r="V553" s="1172"/>
      <c r="W553" s="255"/>
      <c r="X553" s="461"/>
      <c r="Y553" s="461"/>
      <c r="Z553" s="461"/>
      <c r="AA553" s="281"/>
      <c r="AB553" s="1041"/>
      <c r="AC553" s="255"/>
      <c r="AD553" s="461"/>
      <c r="AE553" s="461"/>
      <c r="AF553" s="461"/>
      <c r="AG553" s="461"/>
      <c r="AH553" s="1047"/>
      <c r="AI553" s="1172"/>
      <c r="AJ553" s="1155"/>
      <c r="AK553" s="1155"/>
      <c r="AL553" s="1083"/>
      <c r="AM553" s="1084"/>
      <c r="AN553" s="1084"/>
      <c r="AO553" s="1084"/>
      <c r="AP553" s="1085"/>
      <c r="AQ553" s="259"/>
      <c r="AR553" s="466"/>
      <c r="AS553" s="283"/>
      <c r="AT553" s="1155"/>
      <c r="AU553" s="1155"/>
      <c r="AV553" s="1155"/>
      <c r="AW553" s="1155"/>
      <c r="AX553" s="1155"/>
      <c r="AY553" s="1155"/>
      <c r="AZ553" s="1155"/>
      <c r="BA553" s="1155"/>
      <c r="BB553" s="1155"/>
      <c r="BC553" s="1155"/>
      <c r="BD553" s="1155"/>
      <c r="BE553" s="1155"/>
      <c r="BF553" s="1155"/>
      <c r="BG553" s="1155"/>
      <c r="BH553" s="1155"/>
      <c r="BI553" s="1155"/>
      <c r="BJ553" s="1155"/>
      <c r="BK553" s="1155"/>
      <c r="BL553" s="1155"/>
      <c r="BM553" s="1155"/>
      <c r="BN553" s="1155"/>
      <c r="BO553" s="1155"/>
      <c r="BP553" s="1155"/>
      <c r="BQ553" s="1155"/>
      <c r="BR553" s="1155"/>
      <c r="BS553" s="1155"/>
    </row>
    <row r="554" spans="5:71" s="474" customFormat="1" ht="12.75" customHeight="1">
      <c r="E554" s="4109"/>
      <c r="F554" s="1374" t="s">
        <v>592</v>
      </c>
      <c r="G554" s="1083"/>
      <c r="H554" s="1084"/>
      <c r="I554" s="1084"/>
      <c r="J554" s="1084"/>
      <c r="K554" s="1085"/>
      <c r="L554" s="207"/>
      <c r="M554" s="456">
        <v>890</v>
      </c>
      <c r="N554" s="456"/>
      <c r="O554" s="456"/>
      <c r="P554" s="457"/>
      <c r="Q554" s="207"/>
      <c r="R554" s="456"/>
      <c r="S554" s="456"/>
      <c r="T554" s="456"/>
      <c r="U554" s="457"/>
      <c r="V554" s="1172"/>
      <c r="W554" s="207">
        <v>0</v>
      </c>
      <c r="X554" s="456">
        <v>0</v>
      </c>
      <c r="Y554" s="456">
        <v>0</v>
      </c>
      <c r="Z554" s="456">
        <v>0</v>
      </c>
      <c r="AA554" s="457">
        <v>0</v>
      </c>
      <c r="AB554" s="1041"/>
      <c r="AC554" s="207">
        <v>0</v>
      </c>
      <c r="AD554" s="456">
        <v>0</v>
      </c>
      <c r="AE554" s="456">
        <v>0</v>
      </c>
      <c r="AF554" s="456">
        <v>0</v>
      </c>
      <c r="AG554" s="456">
        <v>0</v>
      </c>
      <c r="AH554" s="1048"/>
      <c r="AI554" s="1172"/>
      <c r="AJ554" s="1155"/>
      <c r="AK554" s="1155"/>
      <c r="AL554" s="1083"/>
      <c r="AM554" s="1084"/>
      <c r="AN554" s="1084"/>
      <c r="AO554" s="1084"/>
      <c r="AP554" s="1085"/>
      <c r="AQ554" s="207">
        <f>SUM(AQ549:AQ553)</f>
        <v>0</v>
      </c>
      <c r="AR554" s="456">
        <f t="shared" ref="AR554" si="2432">SUM(AR549:AR553)</f>
        <v>0</v>
      </c>
      <c r="AS554" s="457"/>
      <c r="AT554" s="1155"/>
      <c r="AU554" s="1155"/>
      <c r="AV554" s="1155"/>
      <c r="AW554" s="1155"/>
      <c r="AX554" s="1155"/>
      <c r="AY554" s="1155"/>
      <c r="AZ554" s="1155"/>
      <c r="BA554" s="1155"/>
      <c r="BB554" s="1155"/>
      <c r="BC554" s="1155"/>
      <c r="BD554" s="1155"/>
      <c r="BE554" s="1155"/>
      <c r="BF554" s="1155"/>
      <c r="BG554" s="1155"/>
      <c r="BH554" s="1155"/>
      <c r="BI554" s="1155"/>
      <c r="BJ554" s="1155"/>
      <c r="BK554" s="1155"/>
      <c r="BL554" s="1155"/>
      <c r="BM554" s="1155"/>
      <c r="BN554" s="1155"/>
      <c r="BO554" s="1155"/>
      <c r="BP554" s="1155"/>
      <c r="BQ554" s="1155"/>
      <c r="BR554" s="1155"/>
      <c r="BS554" s="1155"/>
    </row>
    <row r="555" spans="5:71" s="474" customFormat="1">
      <c r="E555" s="4109"/>
      <c r="F555" s="1375" t="s">
        <v>587</v>
      </c>
      <c r="G555" s="1086"/>
      <c r="H555" s="1087"/>
      <c r="I555" s="1087"/>
      <c r="J555" s="1087"/>
      <c r="K555" s="1088"/>
      <c r="L555" s="258">
        <f>SUM(L550:L554)</f>
        <v>0</v>
      </c>
      <c r="M555" s="465">
        <f t="shared" ref="M555" si="2433">SUM(M550:M554)</f>
        <v>1293</v>
      </c>
      <c r="N555" s="465">
        <f t="shared" ref="N555" si="2434">SUM(N550:N554)</f>
        <v>0</v>
      </c>
      <c r="O555" s="465">
        <f t="shared" ref="O555" si="2435">SUM(O550:O554)</f>
        <v>0</v>
      </c>
      <c r="P555" s="282">
        <f t="shared" ref="P555" si="2436">SUM(P550:P554)</f>
        <v>0</v>
      </c>
      <c r="Q555" s="258">
        <f t="shared" ref="Q555" si="2437">SUM(Q550:Q554)</f>
        <v>0</v>
      </c>
      <c r="R555" s="465">
        <f t="shared" ref="R555" si="2438">SUM(R550:R554)</f>
        <v>0</v>
      </c>
      <c r="S555" s="465">
        <f t="shared" ref="S555" si="2439">SUM(S550:S554)</f>
        <v>0</v>
      </c>
      <c r="T555" s="465">
        <f t="shared" ref="T555" si="2440">SUM(T550:T554)</f>
        <v>0</v>
      </c>
      <c r="U555" s="282">
        <f t="shared" ref="U555" si="2441">SUM(U550:U554)</f>
        <v>0</v>
      </c>
      <c r="V555" s="1172"/>
      <c r="W555" s="258">
        <f t="shared" ref="W555" si="2442">SUM(W550:W554)</f>
        <v>0</v>
      </c>
      <c r="X555" s="465">
        <f t="shared" ref="X555" si="2443">SUM(X550:X554)</f>
        <v>0</v>
      </c>
      <c r="Y555" s="465">
        <f t="shared" ref="Y555" si="2444">SUM(Y550:Y554)</f>
        <v>0</v>
      </c>
      <c r="Z555" s="465">
        <f t="shared" ref="Z555" si="2445">SUM(Z550:Z554)</f>
        <v>0</v>
      </c>
      <c r="AA555" s="282">
        <f t="shared" ref="AA555" si="2446">SUM(AA550:AA554)</f>
        <v>0</v>
      </c>
      <c r="AB555" s="992"/>
      <c r="AC555" s="258">
        <f t="shared" ref="AC555" si="2447">SUM(AC550:AC554)</f>
        <v>0</v>
      </c>
      <c r="AD555" s="465">
        <f t="shared" ref="AD555" si="2448">SUM(AD550:AD554)</f>
        <v>0</v>
      </c>
      <c r="AE555" s="465">
        <f t="shared" ref="AE555" si="2449">SUM(AE550:AE554)</f>
        <v>0</v>
      </c>
      <c r="AF555" s="465">
        <f t="shared" ref="AF555" si="2450">SUM(AF550:AF554)</f>
        <v>0</v>
      </c>
      <c r="AG555" s="465">
        <f t="shared" ref="AG555" si="2451">SUM(AG550:AG554)</f>
        <v>0</v>
      </c>
      <c r="AH555" s="1049"/>
      <c r="AI555" s="1172"/>
      <c r="AJ555" s="1155"/>
      <c r="AK555" s="1155"/>
      <c r="AL555" s="1086"/>
      <c r="AM555" s="1087"/>
      <c r="AN555" s="1087"/>
      <c r="AO555" s="1087"/>
      <c r="AP555" s="1088"/>
      <c r="AQ555" s="258"/>
      <c r="AR555" s="465"/>
      <c r="AS555" s="282"/>
      <c r="AT555" s="1155"/>
      <c r="AU555" s="1155"/>
      <c r="AV555" s="1155"/>
      <c r="AW555" s="1155"/>
      <c r="AX555" s="1155"/>
      <c r="AY555" s="1155"/>
      <c r="AZ555" s="1155"/>
      <c r="BA555" s="1155"/>
      <c r="BB555" s="1155"/>
      <c r="BC555" s="1155"/>
      <c r="BD555" s="1155"/>
      <c r="BE555" s="1155"/>
      <c r="BF555" s="1155"/>
      <c r="BG555" s="1155"/>
      <c r="BH555" s="1155"/>
      <c r="BI555" s="1155"/>
      <c r="BJ555" s="1155"/>
      <c r="BK555" s="1155"/>
      <c r="BL555" s="1155"/>
      <c r="BM555" s="1155"/>
      <c r="BN555" s="1155"/>
      <c r="BO555" s="1155"/>
      <c r="BP555" s="1155"/>
      <c r="BQ555" s="1155"/>
      <c r="BR555" s="1155"/>
      <c r="BS555" s="1155"/>
    </row>
    <row r="556" spans="5:71" s="474" customFormat="1">
      <c r="E556" s="4109"/>
      <c r="F556" s="1376" t="s">
        <v>593</v>
      </c>
      <c r="G556" s="1083"/>
      <c r="H556" s="1084"/>
      <c r="I556" s="1084"/>
      <c r="J556" s="1084"/>
      <c r="K556" s="1085"/>
      <c r="L556" s="255"/>
      <c r="M556" s="461"/>
      <c r="N556" s="461"/>
      <c r="O556" s="461"/>
      <c r="P556" s="281"/>
      <c r="Q556" s="255"/>
      <c r="R556" s="461"/>
      <c r="S556" s="461"/>
      <c r="T556" s="461"/>
      <c r="U556" s="281"/>
      <c r="V556" s="1172"/>
      <c r="W556" s="255"/>
      <c r="X556" s="461"/>
      <c r="Y556" s="461"/>
      <c r="Z556" s="461"/>
      <c r="AA556" s="281"/>
      <c r="AB556" s="1041"/>
      <c r="AC556" s="255"/>
      <c r="AD556" s="461"/>
      <c r="AE556" s="461"/>
      <c r="AF556" s="461"/>
      <c r="AG556" s="461"/>
      <c r="AH556" s="1047"/>
      <c r="AI556" s="1172"/>
      <c r="AJ556" s="1155"/>
      <c r="AK556" s="1155"/>
      <c r="AL556" s="1083"/>
      <c r="AM556" s="1084"/>
      <c r="AN556" s="1084"/>
      <c r="AO556" s="1084"/>
      <c r="AP556" s="1085"/>
      <c r="AQ556" s="259"/>
      <c r="AR556" s="466"/>
      <c r="AS556" s="283"/>
      <c r="AT556" s="1155"/>
      <c r="AU556" s="1155"/>
      <c r="AV556" s="1155"/>
      <c r="AW556" s="1155"/>
      <c r="AX556" s="1155"/>
      <c r="AY556" s="1155"/>
      <c r="AZ556" s="1155"/>
      <c r="BA556" s="1155"/>
      <c r="BB556" s="1155"/>
      <c r="BC556" s="1155"/>
      <c r="BD556" s="1155"/>
      <c r="BE556" s="1155"/>
      <c r="BF556" s="1155"/>
      <c r="BG556" s="1155"/>
      <c r="BH556" s="1155"/>
      <c r="BI556" s="1155"/>
      <c r="BJ556" s="1155"/>
      <c r="BK556" s="1155"/>
      <c r="BL556" s="1155"/>
      <c r="BM556" s="1155"/>
      <c r="BN556" s="1155"/>
      <c r="BO556" s="1155"/>
      <c r="BP556" s="1155"/>
      <c r="BQ556" s="1155"/>
      <c r="BR556" s="1155"/>
      <c r="BS556" s="1155"/>
    </row>
    <row r="557" spans="5:71" s="474" customFormat="1">
      <c r="E557" s="4109"/>
      <c r="F557" s="431" t="s">
        <v>558</v>
      </c>
      <c r="G557" s="1083"/>
      <c r="H557" s="1084"/>
      <c r="I557" s="1084"/>
      <c r="J557" s="1084"/>
      <c r="K557" s="1085"/>
      <c r="L557" s="255"/>
      <c r="M557" s="461">
        <v>339432.44</v>
      </c>
      <c r="N557" s="461"/>
      <c r="O557" s="461"/>
      <c r="P557" s="281"/>
      <c r="Q557" s="255"/>
      <c r="R557" s="461"/>
      <c r="S557" s="461"/>
      <c r="T557" s="461"/>
      <c r="U557" s="281"/>
      <c r="V557" s="1172"/>
      <c r="W557" s="255"/>
      <c r="X557" s="461"/>
      <c r="Y557" s="461"/>
      <c r="Z557" s="461"/>
      <c r="AA557" s="281"/>
      <c r="AB557" s="1041"/>
      <c r="AC557" s="255"/>
      <c r="AD557" s="461"/>
      <c r="AE557" s="461"/>
      <c r="AF557" s="461"/>
      <c r="AG557" s="461"/>
      <c r="AH557" s="1047"/>
      <c r="AI557" s="1172"/>
      <c r="AJ557" s="1155"/>
      <c r="AK557" s="1155"/>
      <c r="AL557" s="1083"/>
      <c r="AM557" s="1084"/>
      <c r="AN557" s="1084"/>
      <c r="AO557" s="1084"/>
      <c r="AP557" s="1085"/>
      <c r="AQ557" s="259"/>
      <c r="AR557" s="466"/>
      <c r="AS557" s="283"/>
      <c r="AT557" s="1155"/>
      <c r="AU557" s="1155"/>
      <c r="AV557" s="1155"/>
      <c r="AW557" s="1155"/>
      <c r="AX557" s="1155"/>
      <c r="AY557" s="1155"/>
      <c r="AZ557" s="1155"/>
      <c r="BA557" s="1155"/>
      <c r="BB557" s="1155"/>
      <c r="BC557" s="1155"/>
      <c r="BD557" s="1155"/>
      <c r="BE557" s="1155"/>
      <c r="BF557" s="1155"/>
      <c r="BG557" s="1155"/>
      <c r="BH557" s="1155"/>
      <c r="BI557" s="1155"/>
      <c r="BJ557" s="1155"/>
      <c r="BK557" s="1155"/>
      <c r="BL557" s="1155"/>
      <c r="BM557" s="1155"/>
      <c r="BN557" s="1155"/>
      <c r="BO557" s="1155"/>
      <c r="BP557" s="1155"/>
      <c r="BQ557" s="1155"/>
      <c r="BR557" s="1155"/>
      <c r="BS557" s="1155"/>
    </row>
    <row r="558" spans="5:71" s="474" customFormat="1">
      <c r="E558" s="4109"/>
      <c r="F558" s="431" t="s">
        <v>559</v>
      </c>
      <c r="G558" s="1083"/>
      <c r="H558" s="1084"/>
      <c r="I558" s="1084"/>
      <c r="J558" s="1084"/>
      <c r="K558" s="1085"/>
      <c r="L558" s="255"/>
      <c r="M558" s="461"/>
      <c r="N558" s="461"/>
      <c r="O558" s="461"/>
      <c r="P558" s="281"/>
      <c r="Q558" s="255"/>
      <c r="R558" s="461"/>
      <c r="S558" s="461"/>
      <c r="T558" s="461"/>
      <c r="U558" s="281"/>
      <c r="V558" s="1172"/>
      <c r="W558" s="255"/>
      <c r="X558" s="461"/>
      <c r="Y558" s="461"/>
      <c r="Z558" s="461"/>
      <c r="AA558" s="281"/>
      <c r="AB558" s="1041"/>
      <c r="AC558" s="255"/>
      <c r="AD558" s="461"/>
      <c r="AE558" s="461"/>
      <c r="AF558" s="461"/>
      <c r="AG558" s="461"/>
      <c r="AH558" s="1047"/>
      <c r="AI558" s="1172"/>
      <c r="AJ558" s="1155"/>
      <c r="AK558" s="1155"/>
      <c r="AL558" s="1083"/>
      <c r="AM558" s="1084"/>
      <c r="AN558" s="1084"/>
      <c r="AO558" s="1084"/>
      <c r="AP558" s="1085"/>
      <c r="AQ558" s="259"/>
      <c r="AR558" s="466"/>
      <c r="AS558" s="283"/>
      <c r="AT558" s="1155"/>
      <c r="AU558" s="1155"/>
      <c r="AV558" s="1155"/>
      <c r="AW558" s="1155"/>
      <c r="AX558" s="1155"/>
      <c r="AY558" s="1155"/>
      <c r="AZ558" s="1155"/>
      <c r="BA558" s="1155"/>
      <c r="BB558" s="1155"/>
      <c r="BC558" s="1155"/>
      <c r="BD558" s="1155"/>
      <c r="BE558" s="1155"/>
      <c r="BF558" s="1155"/>
      <c r="BG558" s="1155"/>
      <c r="BH558" s="1155"/>
      <c r="BI558" s="1155"/>
      <c r="BJ558" s="1155"/>
      <c r="BK558" s="1155"/>
      <c r="BL558" s="1155"/>
      <c r="BM558" s="1155"/>
      <c r="BN558" s="1155"/>
      <c r="BO558" s="1155"/>
      <c r="BP558" s="1155"/>
      <c r="BQ558" s="1155"/>
      <c r="BR558" s="1155"/>
      <c r="BS558" s="1155"/>
    </row>
    <row r="559" spans="5:71" s="474" customFormat="1">
      <c r="E559" s="4109"/>
      <c r="F559" s="431" t="s">
        <v>578</v>
      </c>
      <c r="G559" s="1089"/>
      <c r="H559" s="1090"/>
      <c r="I559" s="1090"/>
      <c r="J559" s="1090"/>
      <c r="K559" s="1091"/>
      <c r="L559" s="259"/>
      <c r="M559" s="456"/>
      <c r="N559" s="456"/>
      <c r="O559" s="456"/>
      <c r="P559" s="457"/>
      <c r="Q559" s="207"/>
      <c r="R559" s="456"/>
      <c r="S559" s="456"/>
      <c r="T559" s="456"/>
      <c r="U559" s="457"/>
      <c r="V559" s="1172"/>
      <c r="W559" s="207"/>
      <c r="X559" s="456"/>
      <c r="Y559" s="456"/>
      <c r="Z559" s="456"/>
      <c r="AA559" s="457"/>
      <c r="AB559" s="1041"/>
      <c r="AC559" s="207"/>
      <c r="AD559" s="456"/>
      <c r="AE559" s="456"/>
      <c r="AF559" s="456"/>
      <c r="AG559" s="456"/>
      <c r="AH559" s="1048"/>
      <c r="AI559" s="1172"/>
      <c r="AJ559" s="1155"/>
      <c r="AK559" s="1155"/>
      <c r="AL559" s="1089"/>
      <c r="AM559" s="1090"/>
      <c r="AN559" s="1090"/>
      <c r="AO559" s="1090"/>
      <c r="AP559" s="1091"/>
      <c r="AQ559" s="259"/>
      <c r="AR559" s="456"/>
      <c r="AS559" s="457"/>
      <c r="AT559" s="1155"/>
      <c r="AU559" s="1155"/>
      <c r="AV559" s="1155"/>
      <c r="AW559" s="1155"/>
      <c r="AX559" s="1155"/>
      <c r="AY559" s="1155"/>
      <c r="AZ559" s="1155"/>
      <c r="BA559" s="1155"/>
      <c r="BB559" s="1155"/>
      <c r="BC559" s="1155"/>
      <c r="BD559" s="1155"/>
      <c r="BE559" s="1155"/>
      <c r="BF559" s="1155"/>
      <c r="BG559" s="1155"/>
      <c r="BH559" s="1155"/>
      <c r="BI559" s="1155"/>
      <c r="BJ559" s="1155"/>
      <c r="BK559" s="1155"/>
      <c r="BL559" s="1155"/>
      <c r="BM559" s="1155"/>
      <c r="BN559" s="1155"/>
      <c r="BO559" s="1155"/>
      <c r="BP559" s="1155"/>
      <c r="BQ559" s="1155"/>
      <c r="BR559" s="1155"/>
      <c r="BS559" s="1155"/>
    </row>
    <row r="560" spans="5:71" s="474" customFormat="1">
      <c r="E560" s="4109"/>
      <c r="F560" s="1377" t="s">
        <v>579</v>
      </c>
      <c r="G560" s="1086"/>
      <c r="H560" s="1087"/>
      <c r="I560" s="1087"/>
      <c r="J560" s="1087"/>
      <c r="K560" s="1088"/>
      <c r="L560" s="258">
        <f>SUM(L556:L559)</f>
        <v>0</v>
      </c>
      <c r="M560" s="465">
        <f t="shared" ref="M560" si="2452">SUM(M556:M559)</f>
        <v>339432.44</v>
      </c>
      <c r="N560" s="465">
        <f t="shared" ref="N560" si="2453">SUM(N556:N559)</f>
        <v>0</v>
      </c>
      <c r="O560" s="465">
        <f t="shared" ref="O560" si="2454">SUM(O556:O559)</f>
        <v>0</v>
      </c>
      <c r="P560" s="282">
        <f t="shared" ref="P560" si="2455">SUM(P556:P559)</f>
        <v>0</v>
      </c>
      <c r="Q560" s="258">
        <f t="shared" ref="Q560" si="2456">SUM(Q556:Q559)</f>
        <v>0</v>
      </c>
      <c r="R560" s="465">
        <f t="shared" ref="R560" si="2457">SUM(R556:R559)</f>
        <v>0</v>
      </c>
      <c r="S560" s="465">
        <f t="shared" ref="S560" si="2458">SUM(S556:S559)</f>
        <v>0</v>
      </c>
      <c r="T560" s="465">
        <f t="shared" ref="T560" si="2459">SUM(T556:T559)</f>
        <v>0</v>
      </c>
      <c r="U560" s="282">
        <f t="shared" ref="U560" si="2460">SUM(U556:U559)</f>
        <v>0</v>
      </c>
      <c r="V560" s="1172"/>
      <c r="W560" s="258">
        <f t="shared" ref="W560" si="2461">SUM(W556:W559)</f>
        <v>0</v>
      </c>
      <c r="X560" s="465">
        <f t="shared" ref="X560" si="2462">SUM(X556:X559)</f>
        <v>0</v>
      </c>
      <c r="Y560" s="465">
        <f t="shared" ref="Y560" si="2463">SUM(Y556:Y559)</f>
        <v>0</v>
      </c>
      <c r="Z560" s="465">
        <f t="shared" ref="Z560" si="2464">SUM(Z556:Z559)</f>
        <v>0</v>
      </c>
      <c r="AA560" s="282">
        <f t="shared" ref="AA560" si="2465">SUM(AA556:AA559)</f>
        <v>0</v>
      </c>
      <c r="AB560" s="992"/>
      <c r="AC560" s="258">
        <f t="shared" ref="AC560" si="2466">SUM(AC556:AC559)</f>
        <v>0</v>
      </c>
      <c r="AD560" s="465">
        <f t="shared" ref="AD560" si="2467">SUM(AD556:AD559)</f>
        <v>0</v>
      </c>
      <c r="AE560" s="465">
        <f t="shared" ref="AE560" si="2468">SUM(AE556:AE559)</f>
        <v>0</v>
      </c>
      <c r="AF560" s="465">
        <f t="shared" ref="AF560" si="2469">SUM(AF556:AF559)</f>
        <v>0</v>
      </c>
      <c r="AG560" s="465">
        <f t="shared" ref="AG560" si="2470">SUM(AG556:AG559)</f>
        <v>0</v>
      </c>
      <c r="AH560" s="1049"/>
      <c r="AI560" s="1172"/>
      <c r="AJ560" s="1155"/>
      <c r="AK560" s="1155"/>
      <c r="AL560" s="1086"/>
      <c r="AM560" s="1087"/>
      <c r="AN560" s="1087"/>
      <c r="AO560" s="1087"/>
      <c r="AP560" s="1088"/>
      <c r="AQ560" s="258">
        <f>SUM(AQ557:AQ559)</f>
        <v>0</v>
      </c>
      <c r="AR560" s="465">
        <f t="shared" ref="AR560" si="2471">SUM(AR557:AR559)</f>
        <v>0</v>
      </c>
      <c r="AS560" s="282"/>
      <c r="AT560" s="1155"/>
      <c r="AU560" s="1155"/>
      <c r="AV560" s="1155"/>
      <c r="AW560" s="1155"/>
      <c r="AX560" s="1155"/>
      <c r="AY560" s="1155"/>
      <c r="AZ560" s="1155"/>
      <c r="BA560" s="1155"/>
      <c r="BB560" s="1155"/>
      <c r="BC560" s="1155"/>
      <c r="BD560" s="1155"/>
      <c r="BE560" s="1155"/>
      <c r="BF560" s="1155"/>
      <c r="BG560" s="1155"/>
      <c r="BH560" s="1155"/>
      <c r="BI560" s="1155"/>
      <c r="BJ560" s="1155"/>
      <c r="BK560" s="1155"/>
      <c r="BL560" s="1155"/>
      <c r="BM560" s="1155"/>
      <c r="BN560" s="1155"/>
      <c r="BO560" s="1155"/>
      <c r="BP560" s="1155"/>
      <c r="BQ560" s="1155"/>
      <c r="BR560" s="1155"/>
      <c r="BS560" s="1155"/>
    </row>
    <row r="561" spans="5:71" s="474" customFormat="1" ht="13.5" thickBot="1">
      <c r="E561" s="4109"/>
      <c r="F561" s="1035" t="s">
        <v>583</v>
      </c>
      <c r="G561" s="255"/>
      <c r="H561" s="461"/>
      <c r="I561" s="461"/>
      <c r="J561" s="461"/>
      <c r="K561" s="281"/>
      <c r="L561" s="207"/>
      <c r="M561" s="456"/>
      <c r="N561" s="456"/>
      <c r="O561" s="456"/>
      <c r="P561" s="457"/>
      <c r="Q561" s="207"/>
      <c r="R561" s="456"/>
      <c r="S561" s="456"/>
      <c r="T561" s="456"/>
      <c r="U561" s="457"/>
      <c r="V561" s="1172"/>
      <c r="W561" s="207"/>
      <c r="X561" s="461"/>
      <c r="Y561" s="461"/>
      <c r="Z561" s="461"/>
      <c r="AA561" s="281"/>
      <c r="AB561" s="1041"/>
      <c r="AC561" s="207"/>
      <c r="AD561" s="456"/>
      <c r="AE561" s="456"/>
      <c r="AF561" s="456"/>
      <c r="AG561" s="456"/>
      <c r="AH561" s="1048"/>
      <c r="AI561" s="1172"/>
      <c r="AJ561" s="1155"/>
      <c r="AK561" s="1155"/>
      <c r="AL561" s="259"/>
      <c r="AM561" s="466"/>
      <c r="AN561" s="466"/>
      <c r="AO561" s="466"/>
      <c r="AP561" s="283"/>
      <c r="AQ561" s="207"/>
      <c r="AR561" s="456"/>
      <c r="AS561" s="457"/>
      <c r="AT561" s="1155"/>
      <c r="AU561" s="1155"/>
      <c r="AV561" s="1155"/>
      <c r="AW561" s="1155"/>
      <c r="AX561" s="1155"/>
      <c r="AY561" s="1155"/>
      <c r="AZ561" s="1155"/>
      <c r="BA561" s="1155"/>
      <c r="BB561" s="1155"/>
      <c r="BC561" s="1155"/>
      <c r="BD561" s="1155"/>
      <c r="BE561" s="1155"/>
      <c r="BF561" s="1155"/>
      <c r="BG561" s="1155"/>
      <c r="BH561" s="1155"/>
      <c r="BI561" s="1155"/>
      <c r="BJ561" s="1155"/>
      <c r="BK561" s="1155"/>
      <c r="BL561" s="1155"/>
      <c r="BM561" s="1155"/>
      <c r="BN561" s="1155"/>
      <c r="BO561" s="1155"/>
      <c r="BP561" s="1155"/>
      <c r="BQ561" s="1155"/>
      <c r="BR561" s="1155"/>
      <c r="BS561" s="1155"/>
    </row>
    <row r="562" spans="5:71" s="474" customFormat="1" ht="13.5" thickBot="1">
      <c r="E562" s="4109"/>
      <c r="F562" s="1380" t="s">
        <v>581</v>
      </c>
      <c r="G562" s="1599"/>
      <c r="H562" s="1600"/>
      <c r="I562" s="1600"/>
      <c r="J562" s="1600"/>
      <c r="K562" s="1601"/>
      <c r="L562" s="1599"/>
      <c r="M562" s="1600"/>
      <c r="N562" s="1600"/>
      <c r="O562" s="1600"/>
      <c r="P562" s="1601"/>
      <c r="Q562" s="1599"/>
      <c r="R562" s="1600"/>
      <c r="S562" s="1600"/>
      <c r="T562" s="1600"/>
      <c r="U562" s="1601"/>
      <c r="V562" s="1172"/>
      <c r="W562" s="1614"/>
      <c r="X562" s="1615"/>
      <c r="Y562" s="1615"/>
      <c r="Z562" s="1615"/>
      <c r="AA562" s="1615"/>
      <c r="AB562" s="1615"/>
      <c r="AC562" s="1615"/>
      <c r="AD562" s="1615"/>
      <c r="AE562" s="1615"/>
      <c r="AF562" s="1615"/>
      <c r="AG562" s="1615"/>
      <c r="AH562" s="1616"/>
      <c r="AI562" s="1172"/>
      <c r="AJ562" s="1155"/>
      <c r="AK562" s="1155"/>
      <c r="AL562" s="259"/>
      <c r="AM562" s="466"/>
      <c r="AN562" s="466"/>
      <c r="AO562" s="466"/>
      <c r="AP562" s="283"/>
      <c r="AQ562" s="259"/>
      <c r="AR562" s="466"/>
      <c r="AS562" s="283"/>
      <c r="AT562" s="1155"/>
      <c r="AU562" s="1155"/>
      <c r="AV562" s="1155"/>
      <c r="AW562" s="1155"/>
      <c r="AX562" s="1155"/>
      <c r="AY562" s="1155"/>
      <c r="AZ562" s="1155"/>
      <c r="BA562" s="1155"/>
      <c r="BB562" s="1155"/>
      <c r="BC562" s="1155"/>
      <c r="BD562" s="1155"/>
      <c r="BE562" s="1155"/>
      <c r="BF562" s="1155"/>
      <c r="BG562" s="1155"/>
      <c r="BH562" s="1155"/>
      <c r="BI562" s="1155"/>
      <c r="BJ562" s="1155"/>
      <c r="BK562" s="1155"/>
      <c r="BL562" s="1155"/>
      <c r="BM562" s="1155"/>
      <c r="BN562" s="1155"/>
      <c r="BO562" s="1155"/>
      <c r="BP562" s="1155"/>
      <c r="BQ562" s="1155"/>
      <c r="BR562" s="1155"/>
      <c r="BS562" s="1155"/>
    </row>
    <row r="563" spans="5:71" s="474" customFormat="1">
      <c r="E563" s="4109"/>
      <c r="F563" s="1378" t="s">
        <v>584</v>
      </c>
      <c r="G563" s="1050">
        <v>0</v>
      </c>
      <c r="H563" s="1051">
        <v>0</v>
      </c>
      <c r="I563" s="1051">
        <v>0</v>
      </c>
      <c r="J563" s="1051">
        <v>0</v>
      </c>
      <c r="K563" s="1052">
        <v>0</v>
      </c>
      <c r="L563" s="1050">
        <f>SUM(L560:L562)</f>
        <v>0</v>
      </c>
      <c r="M563" s="1051">
        <f t="shared" ref="M563" si="2472">SUM(M560:M562)</f>
        <v>339432.44</v>
      </c>
      <c r="N563" s="1051">
        <f t="shared" ref="N563" si="2473">SUM(N560:N562)</f>
        <v>0</v>
      </c>
      <c r="O563" s="1051">
        <f t="shared" ref="O563" si="2474">SUM(O560:O562)</f>
        <v>0</v>
      </c>
      <c r="P563" s="1052">
        <f t="shared" ref="P563" si="2475">SUM(P560:P562)</f>
        <v>0</v>
      </c>
      <c r="Q563" s="1050">
        <f t="shared" ref="Q563" si="2476">SUM(Q560:Q562)</f>
        <v>0</v>
      </c>
      <c r="R563" s="1051">
        <f t="shared" ref="R563" si="2477">SUM(R560:R562)</f>
        <v>0</v>
      </c>
      <c r="S563" s="1051">
        <f t="shared" ref="S563" si="2478">SUM(S560:S562)</f>
        <v>0</v>
      </c>
      <c r="T563" s="1051">
        <f t="shared" ref="T563" si="2479">SUM(T560:T562)</f>
        <v>0</v>
      </c>
      <c r="U563" s="1052">
        <f t="shared" ref="U563" si="2480">SUM(U560:U562)</f>
        <v>0</v>
      </c>
      <c r="V563" s="1172"/>
      <c r="W563" s="1050">
        <f t="shared" ref="W563" si="2481">SUM(W560:W562)</f>
        <v>0</v>
      </c>
      <c r="X563" s="1051">
        <f t="shared" ref="X563" si="2482">SUM(X560:X562)</f>
        <v>0</v>
      </c>
      <c r="Y563" s="1051">
        <f t="shared" ref="Y563" si="2483">SUM(Y560:Y562)</f>
        <v>0</v>
      </c>
      <c r="Z563" s="1051">
        <f t="shared" ref="Z563" si="2484">SUM(Z560:Z562)</f>
        <v>0</v>
      </c>
      <c r="AA563" s="1052">
        <f t="shared" ref="AA563" si="2485">SUM(AA560:AA562)</f>
        <v>0</v>
      </c>
      <c r="AB563" s="1053"/>
      <c r="AC563" s="1050">
        <f t="shared" ref="AC563" si="2486">SUM(AC560:AC562)</f>
        <v>0</v>
      </c>
      <c r="AD563" s="1051">
        <f t="shared" ref="AD563" si="2487">SUM(AD560:AD562)</f>
        <v>0</v>
      </c>
      <c r="AE563" s="1051">
        <f t="shared" ref="AE563" si="2488">SUM(AE560:AE562)</f>
        <v>0</v>
      </c>
      <c r="AF563" s="1051">
        <f t="shared" ref="AF563" si="2489">SUM(AF560:AF562)</f>
        <v>0</v>
      </c>
      <c r="AG563" s="1051">
        <f t="shared" ref="AG563" si="2490">SUM(AG560:AG562)</f>
        <v>0</v>
      </c>
      <c r="AH563" s="1054"/>
      <c r="AI563" s="1172"/>
      <c r="AJ563" s="130"/>
      <c r="AK563" s="130"/>
      <c r="AL563" s="1050">
        <f t="shared" ref="AL563:AR563" si="2491">SUM(AL561:AL562)</f>
        <v>0</v>
      </c>
      <c r="AM563" s="1051">
        <f t="shared" si="2491"/>
        <v>0</v>
      </c>
      <c r="AN563" s="1051">
        <f t="shared" si="2491"/>
        <v>0</v>
      </c>
      <c r="AO563" s="1051">
        <f t="shared" si="2491"/>
        <v>0</v>
      </c>
      <c r="AP563" s="1052">
        <f t="shared" si="2491"/>
        <v>0</v>
      </c>
      <c r="AQ563" s="1050">
        <f t="shared" si="2491"/>
        <v>0</v>
      </c>
      <c r="AR563" s="1051">
        <f t="shared" si="2491"/>
        <v>0</v>
      </c>
      <c r="AS563" s="1052"/>
      <c r="AT563" s="130"/>
      <c r="AU563" s="130"/>
      <c r="AV563" s="130"/>
      <c r="AW563" s="130"/>
      <c r="AX563" s="130"/>
      <c r="AY563" s="130"/>
      <c r="AZ563" s="130"/>
      <c r="BA563" s="130"/>
      <c r="BB563" s="130"/>
      <c r="BC563" s="130"/>
      <c r="BD563" s="130"/>
      <c r="BE563" s="130"/>
      <c r="BF563" s="130"/>
      <c r="BG563" s="130"/>
      <c r="BH563" s="130"/>
      <c r="BI563" s="130"/>
      <c r="BJ563" s="130"/>
      <c r="BK563" s="130"/>
      <c r="BL563" s="130"/>
      <c r="BM563" s="130"/>
      <c r="BN563" s="130"/>
      <c r="BO563" s="130"/>
      <c r="BP563" s="130"/>
      <c r="BQ563" s="130"/>
      <c r="BR563" s="130"/>
      <c r="BS563" s="1155"/>
    </row>
    <row r="564" spans="5:71" s="474" customFormat="1">
      <c r="E564" s="4109"/>
      <c r="F564" s="1389" t="s">
        <v>35</v>
      </c>
      <c r="G564" s="255"/>
      <c r="H564" s="461"/>
      <c r="I564" s="461"/>
      <c r="J564" s="461"/>
      <c r="K564" s="281"/>
      <c r="L564" s="255"/>
      <c r="M564" s="461"/>
      <c r="N564" s="461"/>
      <c r="O564" s="461"/>
      <c r="P564" s="281"/>
      <c r="Q564" s="255"/>
      <c r="R564" s="461"/>
      <c r="S564" s="461"/>
      <c r="T564" s="461"/>
      <c r="U564" s="281"/>
      <c r="V564" s="1172"/>
      <c r="W564" s="255"/>
      <c r="X564" s="461"/>
      <c r="Y564" s="461"/>
      <c r="Z564" s="461"/>
      <c r="AA564" s="281"/>
      <c r="AB564" s="1004"/>
      <c r="AC564" s="255"/>
      <c r="AD564" s="461"/>
      <c r="AE564" s="461"/>
      <c r="AF564" s="461"/>
      <c r="AG564" s="461"/>
      <c r="AH564" s="1047"/>
      <c r="AI564" s="1172"/>
      <c r="AJ564" s="1155"/>
      <c r="AK564" s="1155"/>
      <c r="AL564" s="259"/>
      <c r="AM564" s="466"/>
      <c r="AN564" s="466"/>
      <c r="AO564" s="466"/>
      <c r="AP564" s="283"/>
      <c r="AQ564" s="259"/>
      <c r="AR564" s="466"/>
      <c r="AS564" s="283"/>
      <c r="AT564" s="1155"/>
      <c r="AU564" s="1155"/>
      <c r="AV564" s="1155"/>
      <c r="AW564" s="1155"/>
      <c r="AX564" s="1155"/>
      <c r="AY564" s="1155"/>
      <c r="AZ564" s="1155"/>
      <c r="BA564" s="1155"/>
      <c r="BB564" s="1155"/>
      <c r="BC564" s="1155"/>
      <c r="BD564" s="1155"/>
      <c r="BE564" s="1155"/>
      <c r="BF564" s="1155"/>
      <c r="BG564" s="1155"/>
      <c r="BH564" s="1155"/>
      <c r="BI564" s="1155"/>
      <c r="BJ564" s="1155"/>
      <c r="BK564" s="1155"/>
      <c r="BL564" s="1155"/>
      <c r="BM564" s="1155"/>
      <c r="BN564" s="1155"/>
      <c r="BO564" s="1155"/>
      <c r="BP564" s="1155"/>
      <c r="BQ564" s="1155"/>
      <c r="BR564" s="1155"/>
      <c r="BS564" s="1155"/>
    </row>
    <row r="565" spans="5:71" s="474" customFormat="1" ht="13.5" thickBot="1">
      <c r="E565" s="4109"/>
      <c r="F565" s="1379" t="s">
        <v>585</v>
      </c>
      <c r="G565" s="1094">
        <v>0</v>
      </c>
      <c r="H565" s="1095">
        <v>0</v>
      </c>
      <c r="I565" s="1095">
        <v>0</v>
      </c>
      <c r="J565" s="1095">
        <v>0</v>
      </c>
      <c r="K565" s="1096">
        <v>0</v>
      </c>
      <c r="L565" s="1094">
        <f>L563-L564</f>
        <v>0</v>
      </c>
      <c r="M565" s="1095">
        <f t="shared" ref="M565" si="2492">M563-M564</f>
        <v>339432.44</v>
      </c>
      <c r="N565" s="1095">
        <f t="shared" ref="N565" si="2493">N563-N564</f>
        <v>0</v>
      </c>
      <c r="O565" s="1095">
        <f t="shared" ref="O565" si="2494">O563-O564</f>
        <v>0</v>
      </c>
      <c r="P565" s="1096">
        <f t="shared" ref="P565" si="2495">P563-P564</f>
        <v>0</v>
      </c>
      <c r="Q565" s="1567">
        <f t="shared" ref="Q565" si="2496">Q563-Q564</f>
        <v>0</v>
      </c>
      <c r="R565" s="1056">
        <f t="shared" ref="R565" si="2497">R563-R564</f>
        <v>0</v>
      </c>
      <c r="S565" s="1056">
        <f t="shared" ref="S565" si="2498">S563-S564</f>
        <v>0</v>
      </c>
      <c r="T565" s="1056">
        <f t="shared" ref="T565" si="2499">T563-T564</f>
        <v>0</v>
      </c>
      <c r="U565" s="1057">
        <f t="shared" ref="U565" si="2500">U563-U564</f>
        <v>0</v>
      </c>
      <c r="V565" s="1172"/>
      <c r="W565" s="1055">
        <f t="shared" ref="W565" si="2501">W563-W564</f>
        <v>0</v>
      </c>
      <c r="X565" s="1056">
        <f t="shared" ref="X565" si="2502">X563-X564</f>
        <v>0</v>
      </c>
      <c r="Y565" s="1056">
        <f t="shared" ref="Y565" si="2503">Y563-Y564</f>
        <v>0</v>
      </c>
      <c r="Z565" s="1056">
        <f t="shared" ref="Z565" si="2504">Z563-Z564</f>
        <v>0</v>
      </c>
      <c r="AA565" s="1057">
        <f t="shared" ref="AA565" si="2505">AA563-AA564</f>
        <v>0</v>
      </c>
      <c r="AB565" s="1075"/>
      <c r="AC565" s="1055">
        <f t="shared" ref="AC565" si="2506">AC563-AC564</f>
        <v>0</v>
      </c>
      <c r="AD565" s="1056">
        <f t="shared" ref="AD565" si="2507">AD563-AD564</f>
        <v>0</v>
      </c>
      <c r="AE565" s="1056">
        <f t="shared" ref="AE565" si="2508">AE563-AE564</f>
        <v>0</v>
      </c>
      <c r="AF565" s="1056">
        <f t="shared" ref="AF565" si="2509">AF563-AF564</f>
        <v>0</v>
      </c>
      <c r="AG565" s="1056">
        <f t="shared" ref="AG565" si="2510">AG563-AG564</f>
        <v>0</v>
      </c>
      <c r="AH565" s="1059"/>
      <c r="AI565" s="1172"/>
      <c r="AJ565" s="1155"/>
      <c r="AK565" s="1155"/>
      <c r="AL565" s="1094">
        <f>AL563-AL564</f>
        <v>0</v>
      </c>
      <c r="AM565" s="1095">
        <f t="shared" ref="AM565:AR565" si="2511">AM563-AM564</f>
        <v>0</v>
      </c>
      <c r="AN565" s="1095">
        <f t="shared" si="2511"/>
        <v>0</v>
      </c>
      <c r="AO565" s="1095">
        <f t="shared" si="2511"/>
        <v>0</v>
      </c>
      <c r="AP565" s="1096">
        <f t="shared" si="2511"/>
        <v>0</v>
      </c>
      <c r="AQ565" s="1094">
        <f t="shared" si="2511"/>
        <v>0</v>
      </c>
      <c r="AR565" s="1095">
        <f t="shared" si="2511"/>
        <v>0</v>
      </c>
      <c r="AS565" s="1096"/>
      <c r="AT565" s="1155"/>
      <c r="AU565" s="1155"/>
      <c r="AV565" s="1155"/>
      <c r="AW565" s="1155"/>
      <c r="AX565" s="1155"/>
      <c r="AY565" s="1155"/>
      <c r="AZ565" s="1155"/>
      <c r="BA565" s="1155"/>
      <c r="BB565" s="1155"/>
      <c r="BC565" s="1155"/>
      <c r="BD565" s="1155"/>
      <c r="BE565" s="1155"/>
      <c r="BF565" s="1155"/>
      <c r="BG565" s="1155"/>
      <c r="BH565" s="1155"/>
      <c r="BI565" s="1155"/>
      <c r="BJ565" s="1155"/>
      <c r="BK565" s="1155"/>
      <c r="BL565" s="1155"/>
      <c r="BM565" s="1155"/>
      <c r="BN565" s="1155"/>
      <c r="BO565" s="1155"/>
      <c r="BP565" s="1155"/>
      <c r="BQ565" s="1155"/>
      <c r="BR565" s="1155"/>
      <c r="BS565" s="1155"/>
    </row>
    <row r="566" spans="5:71" s="474" customFormat="1" ht="12.75" customHeight="1">
      <c r="E566" s="4110" t="s">
        <v>1509</v>
      </c>
      <c r="F566" s="433" t="s">
        <v>111</v>
      </c>
      <c r="G566" s="1077"/>
      <c r="H566" s="1078"/>
      <c r="I566" s="1078"/>
      <c r="J566" s="1078"/>
      <c r="K566" s="1079"/>
      <c r="L566" s="1566"/>
      <c r="M566" s="421"/>
      <c r="N566" s="421"/>
      <c r="O566" s="421"/>
      <c r="P566" s="1044"/>
      <c r="Q566" s="1080"/>
      <c r="R566" s="1081"/>
      <c r="S566" s="1081"/>
      <c r="T566" s="1081"/>
      <c r="U566" s="1082"/>
      <c r="V566" s="1172"/>
      <c r="W566" s="1043"/>
      <c r="X566" s="421"/>
      <c r="Y566" s="421"/>
      <c r="Z566" s="421"/>
      <c r="AA566" s="1044"/>
      <c r="AB566" s="1045"/>
      <c r="AC566" s="1043"/>
      <c r="AD566" s="421"/>
      <c r="AE566" s="421"/>
      <c r="AF566" s="421"/>
      <c r="AG566" s="421"/>
      <c r="AH566" s="1046"/>
      <c r="AI566" s="1172"/>
      <c r="AJ566" s="1155"/>
      <c r="AK566" s="1155"/>
      <c r="AL566" s="1077"/>
      <c r="AM566" s="1078"/>
      <c r="AN566" s="1078"/>
      <c r="AO566" s="1078"/>
      <c r="AP566" s="1079"/>
      <c r="AQ566" s="1566"/>
      <c r="AR566" s="421"/>
      <c r="AS566" s="1044"/>
      <c r="AT566" s="1155"/>
      <c r="AU566" s="1155"/>
      <c r="AV566" s="1155"/>
      <c r="AW566" s="1155"/>
      <c r="AX566" s="1155"/>
      <c r="AY566" s="1155"/>
      <c r="AZ566" s="1155"/>
      <c r="BA566" s="1155"/>
      <c r="BB566" s="1155"/>
      <c r="BC566" s="1155"/>
      <c r="BD566" s="1155"/>
      <c r="BE566" s="1155"/>
      <c r="BF566" s="1155"/>
      <c r="BG566" s="1155"/>
      <c r="BH566" s="1155"/>
      <c r="BI566" s="1155"/>
      <c r="BJ566" s="1155"/>
      <c r="BK566" s="1155"/>
      <c r="BL566" s="1155"/>
      <c r="BM566" s="1155"/>
      <c r="BN566" s="1155"/>
      <c r="BO566" s="1155"/>
      <c r="BP566" s="1155"/>
      <c r="BQ566" s="1155"/>
      <c r="BR566" s="1155"/>
      <c r="BS566" s="1155"/>
    </row>
    <row r="567" spans="5:71" s="474" customFormat="1" ht="12.75" customHeight="1">
      <c r="E567" s="4109"/>
      <c r="F567" s="1374" t="s">
        <v>588</v>
      </c>
      <c r="G567" s="1083"/>
      <c r="H567" s="1084"/>
      <c r="I567" s="1084"/>
      <c r="J567" s="1084"/>
      <c r="K567" s="1085"/>
      <c r="L567" s="255"/>
      <c r="M567" s="461"/>
      <c r="N567" s="461">
        <v>9706</v>
      </c>
      <c r="O567" s="461"/>
      <c r="P567" s="281"/>
      <c r="Q567" s="956"/>
      <c r="R567" s="461"/>
      <c r="S567" s="461"/>
      <c r="T567" s="461"/>
      <c r="U567" s="281"/>
      <c r="V567" s="1172"/>
      <c r="W567" s="255"/>
      <c r="X567" s="461"/>
      <c r="Y567" s="461"/>
      <c r="Z567" s="461"/>
      <c r="AA567" s="281"/>
      <c r="AB567" s="1041"/>
      <c r="AC567" s="255"/>
      <c r="AD567" s="461"/>
      <c r="AE567" s="461"/>
      <c r="AF567" s="461"/>
      <c r="AG567" s="461"/>
      <c r="AH567" s="1047"/>
      <c r="AI567" s="1172"/>
      <c r="AJ567" s="1155"/>
      <c r="AK567" s="1155"/>
      <c r="AL567" s="1083"/>
      <c r="AM567" s="1084"/>
      <c r="AN567" s="1084"/>
      <c r="AO567" s="1084"/>
      <c r="AP567" s="1085"/>
      <c r="AQ567" s="259"/>
      <c r="AR567" s="466"/>
      <c r="AS567" s="283"/>
      <c r="AT567" s="1155"/>
      <c r="AU567" s="1155"/>
      <c r="AV567" s="1155"/>
      <c r="AW567" s="1155"/>
      <c r="AX567" s="1155"/>
      <c r="AY567" s="1155"/>
      <c r="AZ567" s="1155"/>
      <c r="BA567" s="1155"/>
      <c r="BB567" s="1155"/>
      <c r="BC567" s="1155"/>
      <c r="BD567" s="1155"/>
      <c r="BE567" s="1155"/>
      <c r="BF567" s="1155"/>
      <c r="BG567" s="1155"/>
      <c r="BH567" s="1155"/>
      <c r="BI567" s="1155"/>
      <c r="BJ567" s="1155"/>
      <c r="BK567" s="1155"/>
      <c r="BL567" s="1155"/>
      <c r="BM567" s="1155"/>
      <c r="BN567" s="1155"/>
      <c r="BO567" s="1155"/>
      <c r="BP567" s="1155"/>
      <c r="BQ567" s="1155"/>
      <c r="BR567" s="1155"/>
      <c r="BS567" s="1155"/>
    </row>
    <row r="568" spans="5:71" s="474" customFormat="1" ht="12.75" customHeight="1">
      <c r="E568" s="4109"/>
      <c r="F568" s="1374" t="s">
        <v>589</v>
      </c>
      <c r="G568" s="1083"/>
      <c r="H568" s="1084"/>
      <c r="I568" s="1084"/>
      <c r="J568" s="1084"/>
      <c r="K568" s="1085"/>
      <c r="L568" s="255"/>
      <c r="M568" s="461"/>
      <c r="N568" s="461"/>
      <c r="O568" s="461"/>
      <c r="P568" s="281"/>
      <c r="Q568" s="956"/>
      <c r="R568" s="461"/>
      <c r="S568" s="461"/>
      <c r="T568" s="461"/>
      <c r="U568" s="281"/>
      <c r="V568" s="1172"/>
      <c r="W568" s="255"/>
      <c r="X568" s="461"/>
      <c r="Y568" s="461"/>
      <c r="Z568" s="461"/>
      <c r="AA568" s="281"/>
      <c r="AB568" s="1041"/>
      <c r="AC568" s="255"/>
      <c r="AD568" s="461"/>
      <c r="AE568" s="461"/>
      <c r="AF568" s="461"/>
      <c r="AG568" s="461"/>
      <c r="AH568" s="1047"/>
      <c r="AI568" s="1172"/>
      <c r="AJ568" s="1155"/>
      <c r="AK568" s="1155"/>
      <c r="AL568" s="1083"/>
      <c r="AM568" s="1084"/>
      <c r="AN568" s="1084"/>
      <c r="AO568" s="1084"/>
      <c r="AP568" s="1085"/>
      <c r="AQ568" s="259"/>
      <c r="AR568" s="466"/>
      <c r="AS568" s="283"/>
      <c r="AT568" s="1155"/>
      <c r="AU568" s="1155"/>
      <c r="AV568" s="1155"/>
      <c r="AW568" s="1155"/>
      <c r="AX568" s="1155"/>
      <c r="AY568" s="1155"/>
      <c r="AZ568" s="1155"/>
      <c r="BA568" s="1155"/>
      <c r="BB568" s="1155"/>
      <c r="BC568" s="1155"/>
      <c r="BD568" s="1155"/>
      <c r="BE568" s="1155"/>
      <c r="BF568" s="1155"/>
      <c r="BG568" s="1155"/>
      <c r="BH568" s="1155"/>
      <c r="BI568" s="1155"/>
      <c r="BJ568" s="1155"/>
      <c r="BK568" s="1155"/>
      <c r="BL568" s="1155"/>
      <c r="BM568" s="1155"/>
      <c r="BN568" s="1155"/>
      <c r="BO568" s="1155"/>
      <c r="BP568" s="1155"/>
      <c r="BQ568" s="1155"/>
      <c r="BR568" s="1155"/>
      <c r="BS568" s="1155"/>
    </row>
    <row r="569" spans="5:71" s="474" customFormat="1" ht="12.75" customHeight="1">
      <c r="E569" s="4109"/>
      <c r="F569" s="1374" t="s">
        <v>590</v>
      </c>
      <c r="G569" s="1083"/>
      <c r="H569" s="1084"/>
      <c r="I569" s="1084"/>
      <c r="J569" s="1084"/>
      <c r="K569" s="1085"/>
      <c r="L569" s="255"/>
      <c r="M569" s="461"/>
      <c r="N569" s="461"/>
      <c r="O569" s="461"/>
      <c r="P569" s="281"/>
      <c r="Q569" s="956"/>
      <c r="R569" s="461"/>
      <c r="S569" s="461"/>
      <c r="T569" s="461"/>
      <c r="U569" s="281"/>
      <c r="V569" s="1172"/>
      <c r="W569" s="255"/>
      <c r="X569" s="461"/>
      <c r="Y569" s="461"/>
      <c r="Z569" s="461"/>
      <c r="AA569" s="281"/>
      <c r="AB569" s="1041"/>
      <c r="AC569" s="255"/>
      <c r="AD569" s="461"/>
      <c r="AE569" s="461"/>
      <c r="AF569" s="461"/>
      <c r="AG569" s="461"/>
      <c r="AH569" s="1047"/>
      <c r="AI569" s="1172"/>
      <c r="AJ569" s="1155"/>
      <c r="AK569" s="1155"/>
      <c r="AL569" s="1083"/>
      <c r="AM569" s="1084"/>
      <c r="AN569" s="1084"/>
      <c r="AO569" s="1084"/>
      <c r="AP569" s="1085"/>
      <c r="AQ569" s="259"/>
      <c r="AR569" s="466"/>
      <c r="AS569" s="283"/>
      <c r="AT569" s="1155"/>
      <c r="AU569" s="1155"/>
      <c r="AV569" s="1155"/>
      <c r="AW569" s="1155"/>
      <c r="AX569" s="1155"/>
      <c r="AY569" s="1155"/>
      <c r="AZ569" s="1155"/>
      <c r="BA569" s="1155"/>
      <c r="BB569" s="1155"/>
      <c r="BC569" s="1155"/>
      <c r="BD569" s="1155"/>
      <c r="BE569" s="1155"/>
      <c r="BF569" s="1155"/>
      <c r="BG569" s="1155"/>
      <c r="BH569" s="1155"/>
      <c r="BI569" s="1155"/>
      <c r="BJ569" s="1155"/>
      <c r="BK569" s="1155"/>
      <c r="BL569" s="1155"/>
      <c r="BM569" s="1155"/>
      <c r="BN569" s="1155"/>
      <c r="BO569" s="1155"/>
      <c r="BP569" s="1155"/>
      <c r="BQ569" s="1155"/>
      <c r="BR569" s="1155"/>
      <c r="BS569" s="1155"/>
    </row>
    <row r="570" spans="5:71" s="474" customFormat="1" ht="12.75" customHeight="1">
      <c r="E570" s="4109"/>
      <c r="F570" s="1374" t="s">
        <v>591</v>
      </c>
      <c r="G570" s="1083"/>
      <c r="H570" s="1084"/>
      <c r="I570" s="1084"/>
      <c r="J570" s="1084"/>
      <c r="K570" s="1085"/>
      <c r="L570" s="255"/>
      <c r="M570" s="461"/>
      <c r="N570" s="461"/>
      <c r="O570" s="461"/>
      <c r="P570" s="281"/>
      <c r="Q570" s="956"/>
      <c r="R570" s="461"/>
      <c r="S570" s="461"/>
      <c r="T570" s="461"/>
      <c r="U570" s="281"/>
      <c r="V570" s="1172"/>
      <c r="W570" s="255"/>
      <c r="X570" s="461"/>
      <c r="Y570" s="461"/>
      <c r="Z570" s="461"/>
      <c r="AA570" s="281"/>
      <c r="AB570" s="1041"/>
      <c r="AC570" s="255"/>
      <c r="AD570" s="461"/>
      <c r="AE570" s="461"/>
      <c r="AF570" s="461"/>
      <c r="AG570" s="461"/>
      <c r="AH570" s="1047"/>
      <c r="AI570" s="1172"/>
      <c r="AJ570" s="1155"/>
      <c r="AK570" s="1155"/>
      <c r="AL570" s="1083"/>
      <c r="AM570" s="1084"/>
      <c r="AN570" s="1084"/>
      <c r="AO570" s="1084"/>
      <c r="AP570" s="1085"/>
      <c r="AQ570" s="259"/>
      <c r="AR570" s="466"/>
      <c r="AS570" s="283"/>
      <c r="AT570" s="1155"/>
      <c r="AU570" s="1155"/>
      <c r="AV570" s="1155"/>
      <c r="AW570" s="1155"/>
      <c r="AX570" s="1155"/>
      <c r="AY570" s="1155"/>
      <c r="AZ570" s="1155"/>
      <c r="BA570" s="1155"/>
      <c r="BB570" s="1155"/>
      <c r="BC570" s="1155"/>
      <c r="BD570" s="1155"/>
      <c r="BE570" s="1155"/>
      <c r="BF570" s="1155"/>
      <c r="BG570" s="1155"/>
      <c r="BH570" s="1155"/>
      <c r="BI570" s="1155"/>
      <c r="BJ570" s="1155"/>
      <c r="BK570" s="1155"/>
      <c r="BL570" s="1155"/>
      <c r="BM570" s="1155"/>
      <c r="BN570" s="1155"/>
      <c r="BO570" s="1155"/>
      <c r="BP570" s="1155"/>
      <c r="BQ570" s="1155"/>
      <c r="BR570" s="1155"/>
      <c r="BS570" s="1155"/>
    </row>
    <row r="571" spans="5:71" s="474" customFormat="1" ht="12.75" customHeight="1">
      <c r="E571" s="4109"/>
      <c r="F571" s="1374" t="s">
        <v>592</v>
      </c>
      <c r="G571" s="1083"/>
      <c r="H571" s="1084"/>
      <c r="I571" s="1084"/>
      <c r="J571" s="1084"/>
      <c r="K571" s="1085"/>
      <c r="L571" s="207"/>
      <c r="M571" s="456"/>
      <c r="N571" s="456"/>
      <c r="O571" s="456"/>
      <c r="P571" s="457"/>
      <c r="Q571" s="224"/>
      <c r="R571" s="456"/>
      <c r="S571" s="456"/>
      <c r="T571" s="456"/>
      <c r="U571" s="457"/>
      <c r="V571" s="1172"/>
      <c r="W571" s="207">
        <v>0</v>
      </c>
      <c r="X571" s="456">
        <v>0</v>
      </c>
      <c r="Y571" s="456">
        <v>0</v>
      </c>
      <c r="Z571" s="456">
        <v>0</v>
      </c>
      <c r="AA571" s="457">
        <v>0</v>
      </c>
      <c r="AB571" s="1041"/>
      <c r="AC571" s="207">
        <v>0</v>
      </c>
      <c r="AD571" s="456">
        <v>0</v>
      </c>
      <c r="AE571" s="456">
        <v>0</v>
      </c>
      <c r="AF571" s="456">
        <v>0</v>
      </c>
      <c r="AG571" s="456">
        <v>0</v>
      </c>
      <c r="AH571" s="1048"/>
      <c r="AI571" s="1172"/>
      <c r="AJ571" s="1155"/>
      <c r="AK571" s="1155"/>
      <c r="AL571" s="1083"/>
      <c r="AM571" s="1084"/>
      <c r="AN571" s="1084"/>
      <c r="AO571" s="1084"/>
      <c r="AP571" s="1085"/>
      <c r="AQ571" s="207">
        <f>SUM(AQ566:AQ570)</f>
        <v>0</v>
      </c>
      <c r="AR571" s="456">
        <f t="shared" ref="AR571" si="2512">SUM(AR566:AR570)</f>
        <v>0</v>
      </c>
      <c r="AS571" s="457"/>
      <c r="AT571" s="1155"/>
      <c r="AU571" s="1155"/>
      <c r="AV571" s="1155"/>
      <c r="AW571" s="1155"/>
      <c r="AX571" s="1155"/>
      <c r="AY571" s="1155"/>
      <c r="AZ571" s="1155"/>
      <c r="BA571" s="1155"/>
      <c r="BB571" s="1155"/>
      <c r="BC571" s="1155"/>
      <c r="BD571" s="1155"/>
      <c r="BE571" s="1155"/>
      <c r="BF571" s="1155"/>
      <c r="BG571" s="1155"/>
      <c r="BH571" s="1155"/>
      <c r="BI571" s="1155"/>
      <c r="BJ571" s="1155"/>
      <c r="BK571" s="1155"/>
      <c r="BL571" s="1155"/>
      <c r="BM571" s="1155"/>
      <c r="BN571" s="1155"/>
      <c r="BO571" s="1155"/>
      <c r="BP571" s="1155"/>
      <c r="BQ571" s="1155"/>
      <c r="BR571" s="1155"/>
      <c r="BS571" s="1155"/>
    </row>
    <row r="572" spans="5:71" s="474" customFormat="1">
      <c r="E572" s="4109"/>
      <c r="F572" s="1375" t="s">
        <v>587</v>
      </c>
      <c r="G572" s="1086"/>
      <c r="H572" s="1087"/>
      <c r="I572" s="1087"/>
      <c r="J572" s="1087"/>
      <c r="K572" s="1088"/>
      <c r="L572" s="258">
        <f>SUM(L567:L571)</f>
        <v>0</v>
      </c>
      <c r="M572" s="465">
        <f t="shared" ref="M572" si="2513">SUM(M567:M571)</f>
        <v>0</v>
      </c>
      <c r="N572" s="465">
        <f t="shared" ref="N572" si="2514">SUM(N567:N571)</f>
        <v>9706</v>
      </c>
      <c r="O572" s="465">
        <f t="shared" ref="O572" si="2515">SUM(O567:O571)</f>
        <v>0</v>
      </c>
      <c r="P572" s="282">
        <f t="shared" ref="P572" si="2516">SUM(P567:P571)</f>
        <v>0</v>
      </c>
      <c r="Q572" s="965">
        <f t="shared" ref="Q572" si="2517">SUM(Q567:Q571)</f>
        <v>0</v>
      </c>
      <c r="R572" s="465">
        <f t="shared" ref="R572" si="2518">SUM(R567:R571)</f>
        <v>0</v>
      </c>
      <c r="S572" s="465">
        <f t="shared" ref="S572" si="2519">SUM(S567:S571)</f>
        <v>0</v>
      </c>
      <c r="T572" s="465">
        <f t="shared" ref="T572" si="2520">SUM(T567:T571)</f>
        <v>0</v>
      </c>
      <c r="U572" s="282">
        <f t="shared" ref="U572" si="2521">SUM(U567:U571)</f>
        <v>0</v>
      </c>
      <c r="V572" s="1172"/>
      <c r="W572" s="258">
        <f t="shared" ref="W572" si="2522">SUM(W567:W571)</f>
        <v>0</v>
      </c>
      <c r="X572" s="465">
        <f t="shared" ref="X572" si="2523">SUM(X567:X571)</f>
        <v>0</v>
      </c>
      <c r="Y572" s="465">
        <f t="shared" ref="Y572" si="2524">SUM(Y567:Y571)</f>
        <v>0</v>
      </c>
      <c r="Z572" s="465">
        <f t="shared" ref="Z572" si="2525">SUM(Z567:Z571)</f>
        <v>0</v>
      </c>
      <c r="AA572" s="282">
        <f t="shared" ref="AA572" si="2526">SUM(AA567:AA571)</f>
        <v>0</v>
      </c>
      <c r="AB572" s="992"/>
      <c r="AC572" s="258">
        <f t="shared" ref="AC572" si="2527">SUM(AC567:AC571)</f>
        <v>0</v>
      </c>
      <c r="AD572" s="465">
        <f t="shared" ref="AD572" si="2528">SUM(AD567:AD571)</f>
        <v>0</v>
      </c>
      <c r="AE572" s="465">
        <f t="shared" ref="AE572" si="2529">SUM(AE567:AE571)</f>
        <v>0</v>
      </c>
      <c r="AF572" s="465">
        <f t="shared" ref="AF572" si="2530">SUM(AF567:AF571)</f>
        <v>0</v>
      </c>
      <c r="AG572" s="465">
        <f t="shared" ref="AG572" si="2531">SUM(AG567:AG571)</f>
        <v>0</v>
      </c>
      <c r="AH572" s="1049"/>
      <c r="AI572" s="1172"/>
      <c r="AJ572" s="1155"/>
      <c r="AK572" s="1155"/>
      <c r="AL572" s="1086"/>
      <c r="AM572" s="1087"/>
      <c r="AN572" s="1087"/>
      <c r="AO572" s="1087"/>
      <c r="AP572" s="1088"/>
      <c r="AQ572" s="258"/>
      <c r="AR572" s="465"/>
      <c r="AS572" s="282"/>
      <c r="AT572" s="1155"/>
      <c r="AU572" s="1155"/>
      <c r="AV572" s="1155"/>
      <c r="AW572" s="1155"/>
      <c r="AX572" s="1155"/>
      <c r="AY572" s="1155"/>
      <c r="AZ572" s="1155"/>
      <c r="BA572" s="1155"/>
      <c r="BB572" s="1155"/>
      <c r="BC572" s="1155"/>
      <c r="BD572" s="1155"/>
      <c r="BE572" s="1155"/>
      <c r="BF572" s="1155"/>
      <c r="BG572" s="1155"/>
      <c r="BH572" s="1155"/>
      <c r="BI572" s="1155"/>
      <c r="BJ572" s="1155"/>
      <c r="BK572" s="1155"/>
      <c r="BL572" s="1155"/>
      <c r="BM572" s="1155"/>
      <c r="BN572" s="1155"/>
      <c r="BO572" s="1155"/>
      <c r="BP572" s="1155"/>
      <c r="BQ572" s="1155"/>
      <c r="BR572" s="1155"/>
      <c r="BS572" s="1155"/>
    </row>
    <row r="573" spans="5:71" s="474" customFormat="1">
      <c r="E573" s="4109"/>
      <c r="F573" s="1376" t="s">
        <v>593</v>
      </c>
      <c r="G573" s="1083"/>
      <c r="H573" s="1084"/>
      <c r="I573" s="1084"/>
      <c r="J573" s="1084"/>
      <c r="K573" s="1085"/>
      <c r="L573" s="255"/>
      <c r="M573" s="461"/>
      <c r="N573" s="461"/>
      <c r="O573" s="461"/>
      <c r="P573" s="281"/>
      <c r="Q573" s="956"/>
      <c r="R573" s="461"/>
      <c r="S573" s="461"/>
      <c r="T573" s="461"/>
      <c r="U573" s="281"/>
      <c r="V573" s="1172"/>
      <c r="W573" s="255"/>
      <c r="X573" s="461"/>
      <c r="Y573" s="461"/>
      <c r="Z573" s="461"/>
      <c r="AA573" s="281"/>
      <c r="AB573" s="1041"/>
      <c r="AC573" s="255"/>
      <c r="AD573" s="461"/>
      <c r="AE573" s="461"/>
      <c r="AF573" s="461"/>
      <c r="AG573" s="461"/>
      <c r="AH573" s="1047"/>
      <c r="AI573" s="1172"/>
      <c r="AJ573" s="1155"/>
      <c r="AK573" s="1155"/>
      <c r="AL573" s="1083"/>
      <c r="AM573" s="1084"/>
      <c r="AN573" s="1084"/>
      <c r="AO573" s="1084"/>
      <c r="AP573" s="1085"/>
      <c r="AQ573" s="259"/>
      <c r="AR573" s="466"/>
      <c r="AS573" s="283"/>
      <c r="AT573" s="1155"/>
      <c r="AU573" s="1155"/>
      <c r="AV573" s="1155"/>
      <c r="AW573" s="1155"/>
      <c r="AX573" s="1155"/>
      <c r="AY573" s="1155"/>
      <c r="AZ573" s="1155"/>
      <c r="BA573" s="1155"/>
      <c r="BB573" s="1155"/>
      <c r="BC573" s="1155"/>
      <c r="BD573" s="1155"/>
      <c r="BE573" s="1155"/>
      <c r="BF573" s="1155"/>
      <c r="BG573" s="1155"/>
      <c r="BH573" s="1155"/>
      <c r="BI573" s="1155"/>
      <c r="BJ573" s="1155"/>
      <c r="BK573" s="1155"/>
      <c r="BL573" s="1155"/>
      <c r="BM573" s="1155"/>
      <c r="BN573" s="1155"/>
      <c r="BO573" s="1155"/>
      <c r="BP573" s="1155"/>
      <c r="BQ573" s="1155"/>
      <c r="BR573" s="1155"/>
      <c r="BS573" s="1155"/>
    </row>
    <row r="574" spans="5:71" s="474" customFormat="1">
      <c r="E574" s="4109"/>
      <c r="F574" s="431" t="s">
        <v>558</v>
      </c>
      <c r="G574" s="1083"/>
      <c r="H574" s="1084"/>
      <c r="I574" s="1084"/>
      <c r="J574" s="1084"/>
      <c r="K574" s="1085"/>
      <c r="L574" s="255"/>
      <c r="M574" s="461"/>
      <c r="N574" s="461">
        <v>2487455.9</v>
      </c>
      <c r="O574" s="461"/>
      <c r="P574" s="281"/>
      <c r="Q574" s="956"/>
      <c r="R574" s="461"/>
      <c r="S574" s="461"/>
      <c r="T574" s="461"/>
      <c r="U574" s="281"/>
      <c r="V574" s="1172"/>
      <c r="W574" s="255"/>
      <c r="X574" s="461"/>
      <c r="Y574" s="461"/>
      <c r="Z574" s="461"/>
      <c r="AA574" s="281"/>
      <c r="AB574" s="1041"/>
      <c r="AC574" s="255"/>
      <c r="AD574" s="461"/>
      <c r="AE574" s="461"/>
      <c r="AF574" s="461"/>
      <c r="AG574" s="461"/>
      <c r="AH574" s="1047"/>
      <c r="AI574" s="1172"/>
      <c r="AJ574" s="1155"/>
      <c r="AK574" s="1155"/>
      <c r="AL574" s="1083"/>
      <c r="AM574" s="1084"/>
      <c r="AN574" s="1084"/>
      <c r="AO574" s="1084"/>
      <c r="AP574" s="1085"/>
      <c r="AQ574" s="259"/>
      <c r="AR574" s="466"/>
      <c r="AS574" s="283"/>
      <c r="AT574" s="1155"/>
      <c r="AU574" s="1155"/>
      <c r="AV574" s="1155"/>
      <c r="AW574" s="1155"/>
      <c r="AX574" s="1155"/>
      <c r="AY574" s="1155"/>
      <c r="AZ574" s="1155"/>
      <c r="BA574" s="1155"/>
      <c r="BB574" s="1155"/>
      <c r="BC574" s="1155"/>
      <c r="BD574" s="1155"/>
      <c r="BE574" s="1155"/>
      <c r="BF574" s="1155"/>
      <c r="BG574" s="1155"/>
      <c r="BH574" s="1155"/>
      <c r="BI574" s="1155"/>
      <c r="BJ574" s="1155"/>
      <c r="BK574" s="1155"/>
      <c r="BL574" s="1155"/>
      <c r="BM574" s="1155"/>
      <c r="BN574" s="1155"/>
      <c r="BO574" s="1155"/>
      <c r="BP574" s="1155"/>
      <c r="BQ574" s="1155"/>
      <c r="BR574" s="1155"/>
      <c r="BS574" s="1155"/>
    </row>
    <row r="575" spans="5:71" s="474" customFormat="1">
      <c r="E575" s="4109"/>
      <c r="F575" s="431" t="s">
        <v>559</v>
      </c>
      <c r="G575" s="1083"/>
      <c r="H575" s="1084"/>
      <c r="I575" s="1084"/>
      <c r="J575" s="1084"/>
      <c r="K575" s="1085"/>
      <c r="L575" s="255"/>
      <c r="M575" s="461"/>
      <c r="N575" s="461">
        <v>0</v>
      </c>
      <c r="O575" s="461"/>
      <c r="P575" s="281"/>
      <c r="Q575" s="956"/>
      <c r="R575" s="461"/>
      <c r="S575" s="461"/>
      <c r="T575" s="461"/>
      <c r="U575" s="281"/>
      <c r="V575" s="1172"/>
      <c r="W575" s="255"/>
      <c r="X575" s="461"/>
      <c r="Y575" s="461"/>
      <c r="Z575" s="461"/>
      <c r="AA575" s="281"/>
      <c r="AB575" s="1041"/>
      <c r="AC575" s="255"/>
      <c r="AD575" s="461"/>
      <c r="AE575" s="461"/>
      <c r="AF575" s="461"/>
      <c r="AG575" s="461"/>
      <c r="AH575" s="1047"/>
      <c r="AI575" s="1172"/>
      <c r="AJ575" s="1155"/>
      <c r="AK575" s="1155"/>
      <c r="AL575" s="1083"/>
      <c r="AM575" s="1084"/>
      <c r="AN575" s="1084"/>
      <c r="AO575" s="1084"/>
      <c r="AP575" s="1085"/>
      <c r="AQ575" s="259"/>
      <c r="AR575" s="466"/>
      <c r="AS575" s="283"/>
      <c r="AT575" s="1155"/>
      <c r="AU575" s="1155"/>
      <c r="AV575" s="1155"/>
      <c r="AW575" s="1155"/>
      <c r="AX575" s="1155"/>
      <c r="AY575" s="1155"/>
      <c r="AZ575" s="1155"/>
      <c r="BA575" s="1155"/>
      <c r="BB575" s="1155"/>
      <c r="BC575" s="1155"/>
      <c r="BD575" s="1155"/>
      <c r="BE575" s="1155"/>
      <c r="BF575" s="1155"/>
      <c r="BG575" s="1155"/>
      <c r="BH575" s="1155"/>
      <c r="BI575" s="1155"/>
      <c r="BJ575" s="1155"/>
      <c r="BK575" s="1155"/>
      <c r="BL575" s="1155"/>
      <c r="BM575" s="1155"/>
      <c r="BN575" s="1155"/>
      <c r="BO575" s="1155"/>
      <c r="BP575" s="1155"/>
      <c r="BQ575" s="1155"/>
      <c r="BR575" s="1155"/>
      <c r="BS575" s="1155"/>
    </row>
    <row r="576" spans="5:71" s="474" customFormat="1">
      <c r="E576" s="4109"/>
      <c r="F576" s="431" t="s">
        <v>578</v>
      </c>
      <c r="G576" s="1089"/>
      <c r="H576" s="1090"/>
      <c r="I576" s="1090"/>
      <c r="J576" s="1090"/>
      <c r="K576" s="1091"/>
      <c r="L576" s="259"/>
      <c r="M576" s="456"/>
      <c r="N576" s="456"/>
      <c r="O576" s="456"/>
      <c r="P576" s="457"/>
      <c r="Q576" s="224"/>
      <c r="R576" s="456"/>
      <c r="S576" s="456"/>
      <c r="T576" s="456"/>
      <c r="U576" s="457"/>
      <c r="V576" s="1172"/>
      <c r="W576" s="207"/>
      <c r="X576" s="456"/>
      <c r="Y576" s="456"/>
      <c r="Z576" s="456"/>
      <c r="AA576" s="457"/>
      <c r="AB576" s="1041"/>
      <c r="AC576" s="207"/>
      <c r="AD576" s="456"/>
      <c r="AE576" s="456"/>
      <c r="AF576" s="456"/>
      <c r="AG576" s="456"/>
      <c r="AH576" s="1048"/>
      <c r="AI576" s="1172"/>
      <c r="AJ576" s="1155"/>
      <c r="AK576" s="1155"/>
      <c r="AL576" s="1089"/>
      <c r="AM576" s="1090"/>
      <c r="AN576" s="1090"/>
      <c r="AO576" s="1090"/>
      <c r="AP576" s="1091"/>
      <c r="AQ576" s="259"/>
      <c r="AR576" s="456"/>
      <c r="AS576" s="457"/>
      <c r="AT576" s="1155"/>
      <c r="AU576" s="1155"/>
      <c r="AV576" s="1155"/>
      <c r="AW576" s="1155"/>
      <c r="AX576" s="1155"/>
      <c r="AY576" s="1155"/>
      <c r="AZ576" s="1155"/>
      <c r="BA576" s="1155"/>
      <c r="BB576" s="1155"/>
      <c r="BC576" s="1155"/>
      <c r="BD576" s="1155"/>
      <c r="BE576" s="1155"/>
      <c r="BF576" s="1155"/>
      <c r="BG576" s="1155"/>
      <c r="BH576" s="1155"/>
      <c r="BI576" s="1155"/>
      <c r="BJ576" s="1155"/>
      <c r="BK576" s="1155"/>
      <c r="BL576" s="1155"/>
      <c r="BM576" s="1155"/>
      <c r="BN576" s="1155"/>
      <c r="BO576" s="1155"/>
      <c r="BP576" s="1155"/>
      <c r="BQ576" s="1155"/>
      <c r="BR576" s="1155"/>
      <c r="BS576" s="1155"/>
    </row>
    <row r="577" spans="5:71" s="474" customFormat="1">
      <c r="E577" s="4109"/>
      <c r="F577" s="1377" t="s">
        <v>579</v>
      </c>
      <c r="G577" s="1086"/>
      <c r="H577" s="1087"/>
      <c r="I577" s="1087"/>
      <c r="J577" s="1087"/>
      <c r="K577" s="1088"/>
      <c r="L577" s="258">
        <f>SUM(L573:L576)</f>
        <v>0</v>
      </c>
      <c r="M577" s="465">
        <f t="shared" ref="M577" si="2532">SUM(M573:M576)</f>
        <v>0</v>
      </c>
      <c r="N577" s="465">
        <f t="shared" ref="N577" si="2533">SUM(N573:N576)</f>
        <v>2487455.9</v>
      </c>
      <c r="O577" s="465">
        <f t="shared" ref="O577" si="2534">SUM(O573:O576)</f>
        <v>0</v>
      </c>
      <c r="P577" s="282">
        <f t="shared" ref="P577" si="2535">SUM(P573:P576)</f>
        <v>0</v>
      </c>
      <c r="Q577" s="965">
        <f t="shared" ref="Q577" si="2536">SUM(Q573:Q576)</f>
        <v>0</v>
      </c>
      <c r="R577" s="465">
        <f t="shared" ref="R577" si="2537">SUM(R573:R576)</f>
        <v>0</v>
      </c>
      <c r="S577" s="465">
        <f t="shared" ref="S577" si="2538">SUM(S573:S576)</f>
        <v>0</v>
      </c>
      <c r="T577" s="465">
        <f t="shared" ref="T577" si="2539">SUM(T573:T576)</f>
        <v>0</v>
      </c>
      <c r="U577" s="282">
        <f t="shared" ref="U577" si="2540">SUM(U573:U576)</f>
        <v>0</v>
      </c>
      <c r="V577" s="1172"/>
      <c r="W577" s="258">
        <f t="shared" ref="W577" si="2541">SUM(W573:W576)</f>
        <v>0</v>
      </c>
      <c r="X577" s="465">
        <f t="shared" ref="X577" si="2542">SUM(X573:X576)</f>
        <v>0</v>
      </c>
      <c r="Y577" s="465">
        <f t="shared" ref="Y577" si="2543">SUM(Y573:Y576)</f>
        <v>0</v>
      </c>
      <c r="Z577" s="465">
        <f t="shared" ref="Z577" si="2544">SUM(Z573:Z576)</f>
        <v>0</v>
      </c>
      <c r="AA577" s="282">
        <f t="shared" ref="AA577" si="2545">SUM(AA573:AA576)</f>
        <v>0</v>
      </c>
      <c r="AB577" s="992"/>
      <c r="AC577" s="258">
        <f t="shared" ref="AC577" si="2546">SUM(AC573:AC576)</f>
        <v>0</v>
      </c>
      <c r="AD577" s="465">
        <f t="shared" ref="AD577" si="2547">SUM(AD573:AD576)</f>
        <v>0</v>
      </c>
      <c r="AE577" s="465">
        <f t="shared" ref="AE577" si="2548">SUM(AE573:AE576)</f>
        <v>0</v>
      </c>
      <c r="AF577" s="465">
        <f t="shared" ref="AF577" si="2549">SUM(AF573:AF576)</f>
        <v>0</v>
      </c>
      <c r="AG577" s="465">
        <f t="shared" ref="AG577" si="2550">SUM(AG573:AG576)</f>
        <v>0</v>
      </c>
      <c r="AH577" s="1049"/>
      <c r="AI577" s="1172"/>
      <c r="AJ577" s="1155"/>
      <c r="AK577" s="1155"/>
      <c r="AL577" s="1086"/>
      <c r="AM577" s="1087"/>
      <c r="AN577" s="1087"/>
      <c r="AO577" s="1087"/>
      <c r="AP577" s="1088"/>
      <c r="AQ577" s="258">
        <f>SUM(AQ574:AQ576)</f>
        <v>0</v>
      </c>
      <c r="AR577" s="465">
        <f t="shared" ref="AR577" si="2551">SUM(AR574:AR576)</f>
        <v>0</v>
      </c>
      <c r="AS577" s="282"/>
      <c r="AT577" s="1155"/>
      <c r="AU577" s="1155"/>
      <c r="AV577" s="1155"/>
      <c r="AW577" s="1155"/>
      <c r="AX577" s="1155"/>
      <c r="AY577" s="1155"/>
      <c r="AZ577" s="1155"/>
      <c r="BA577" s="1155"/>
      <c r="BB577" s="1155"/>
      <c r="BC577" s="1155"/>
      <c r="BD577" s="1155"/>
      <c r="BE577" s="1155"/>
      <c r="BF577" s="1155"/>
      <c r="BG577" s="1155"/>
      <c r="BH577" s="1155"/>
      <c r="BI577" s="1155"/>
      <c r="BJ577" s="1155"/>
      <c r="BK577" s="1155"/>
      <c r="BL577" s="1155"/>
      <c r="BM577" s="1155"/>
      <c r="BN577" s="1155"/>
      <c r="BO577" s="1155"/>
      <c r="BP577" s="1155"/>
      <c r="BQ577" s="1155"/>
      <c r="BR577" s="1155"/>
      <c r="BS577" s="1155"/>
    </row>
    <row r="578" spans="5:71" s="474" customFormat="1" ht="13.5" thickBot="1">
      <c r="E578" s="4109"/>
      <c r="F578" s="1035" t="s">
        <v>583</v>
      </c>
      <c r="G578" s="255"/>
      <c r="H578" s="461"/>
      <c r="I578" s="461"/>
      <c r="J578" s="461"/>
      <c r="K578" s="281"/>
      <c r="L578" s="207"/>
      <c r="M578" s="456"/>
      <c r="N578" s="456"/>
      <c r="O578" s="456"/>
      <c r="P578" s="457"/>
      <c r="Q578" s="224"/>
      <c r="R578" s="456"/>
      <c r="S578" s="456"/>
      <c r="T578" s="456"/>
      <c r="U578" s="457"/>
      <c r="V578" s="1172"/>
      <c r="W578" s="1603"/>
      <c r="X578" s="1604"/>
      <c r="Y578" s="1604"/>
      <c r="Z578" s="1604"/>
      <c r="AA578" s="1605"/>
      <c r="AB578" s="1606"/>
      <c r="AC578" s="1603"/>
      <c r="AD578" s="1607"/>
      <c r="AE578" s="1607"/>
      <c r="AF578" s="1607"/>
      <c r="AG578" s="1607"/>
      <c r="AH578" s="1608"/>
      <c r="AI578" s="1172"/>
      <c r="AJ578" s="1155"/>
      <c r="AK578" s="1155"/>
      <c r="AL578" s="259"/>
      <c r="AM578" s="466"/>
      <c r="AN578" s="466"/>
      <c r="AO578" s="466"/>
      <c r="AP578" s="283"/>
      <c r="AQ578" s="259"/>
      <c r="AR578" s="466"/>
      <c r="AS578" s="283"/>
      <c r="AT578" s="1155"/>
      <c r="AU578" s="1155"/>
      <c r="AV578" s="1155"/>
      <c r="AW578" s="1155"/>
      <c r="AX578" s="1155"/>
      <c r="AY578" s="1155"/>
      <c r="AZ578" s="1155"/>
      <c r="BA578" s="1155"/>
      <c r="BB578" s="1155"/>
      <c r="BC578" s="1155"/>
      <c r="BD578" s="1155"/>
      <c r="BE578" s="1155"/>
      <c r="BF578" s="1155"/>
      <c r="BG578" s="1155"/>
      <c r="BH578" s="1155"/>
      <c r="BI578" s="1155"/>
      <c r="BJ578" s="1155"/>
      <c r="BK578" s="1155"/>
      <c r="BL578" s="1155"/>
      <c r="BM578" s="1155"/>
      <c r="BN578" s="1155"/>
      <c r="BO578" s="1155"/>
      <c r="BP578" s="1155"/>
      <c r="BQ578" s="1155"/>
      <c r="BR578" s="1155"/>
      <c r="BS578" s="1155"/>
    </row>
    <row r="579" spans="5:71" s="474" customFormat="1" ht="13.5" thickBot="1">
      <c r="E579" s="4109"/>
      <c r="F579" s="1380" t="s">
        <v>581</v>
      </c>
      <c r="G579" s="1599"/>
      <c r="H579" s="1600"/>
      <c r="I579" s="1600"/>
      <c r="J579" s="1600"/>
      <c r="K579" s="1601"/>
      <c r="L579" s="1599"/>
      <c r="M579" s="1600"/>
      <c r="N579" s="1600"/>
      <c r="O579" s="1600"/>
      <c r="P579" s="1601"/>
      <c r="Q579" s="1602"/>
      <c r="R579" s="1600"/>
      <c r="S579" s="1600"/>
      <c r="T579" s="1600"/>
      <c r="U579" s="1601"/>
      <c r="V579" s="1172"/>
      <c r="W579" s="1614"/>
      <c r="X579" s="1615"/>
      <c r="Y579" s="1615"/>
      <c r="Z579" s="1615"/>
      <c r="AA579" s="1615"/>
      <c r="AB579" s="1615"/>
      <c r="AC579" s="1615"/>
      <c r="AD579" s="1615"/>
      <c r="AE579" s="1615"/>
      <c r="AF579" s="1615"/>
      <c r="AG579" s="1615"/>
      <c r="AH579" s="1616"/>
      <c r="AI579" s="1172"/>
      <c r="AJ579" s="1155"/>
      <c r="AK579" s="1155"/>
      <c r="AL579" s="259"/>
      <c r="AM579" s="466"/>
      <c r="AN579" s="466"/>
      <c r="AO579" s="466"/>
      <c r="AP579" s="283"/>
      <c r="AQ579" s="259"/>
      <c r="AR579" s="466"/>
      <c r="AS579" s="283"/>
      <c r="AT579" s="1155"/>
      <c r="AU579" s="1155"/>
      <c r="AV579" s="1155"/>
      <c r="AW579" s="1155"/>
      <c r="AX579" s="1155"/>
      <c r="AY579" s="1155"/>
      <c r="AZ579" s="1155"/>
      <c r="BA579" s="1155"/>
      <c r="BB579" s="1155"/>
      <c r="BC579" s="1155"/>
      <c r="BD579" s="1155"/>
      <c r="BE579" s="1155"/>
      <c r="BF579" s="1155"/>
      <c r="BG579" s="1155"/>
      <c r="BH579" s="1155"/>
      <c r="BI579" s="1155"/>
      <c r="BJ579" s="1155"/>
      <c r="BK579" s="1155"/>
      <c r="BL579" s="1155"/>
      <c r="BM579" s="1155"/>
      <c r="BN579" s="1155"/>
      <c r="BO579" s="1155"/>
      <c r="BP579" s="1155"/>
      <c r="BQ579" s="1155"/>
      <c r="BR579" s="1155"/>
      <c r="BS579" s="1155"/>
    </row>
    <row r="580" spans="5:71" s="474" customFormat="1">
      <c r="E580" s="4109"/>
      <c r="F580" s="1378" t="s">
        <v>584</v>
      </c>
      <c r="G580" s="1050">
        <v>0</v>
      </c>
      <c r="H580" s="1051">
        <v>0</v>
      </c>
      <c r="I580" s="1051">
        <v>0</v>
      </c>
      <c r="J580" s="1051">
        <v>0</v>
      </c>
      <c r="K580" s="1052">
        <v>0</v>
      </c>
      <c r="L580" s="1050">
        <f>SUM(L577:L579)</f>
        <v>0</v>
      </c>
      <c r="M580" s="1051">
        <f t="shared" ref="M580" si="2552">SUM(M577:M579)</f>
        <v>0</v>
      </c>
      <c r="N580" s="1051">
        <f t="shared" ref="N580" si="2553">SUM(N577:N579)</f>
        <v>2487455.9</v>
      </c>
      <c r="O580" s="1051">
        <f t="shared" ref="O580" si="2554">SUM(O577:O579)</f>
        <v>0</v>
      </c>
      <c r="P580" s="1052">
        <f t="shared" ref="P580" si="2555">SUM(P577:P579)</f>
        <v>0</v>
      </c>
      <c r="Q580" s="1092">
        <f t="shared" ref="Q580" si="2556">SUM(Q577:Q579)</f>
        <v>0</v>
      </c>
      <c r="R580" s="1051">
        <f t="shared" ref="R580" si="2557">SUM(R577:R579)</f>
        <v>0</v>
      </c>
      <c r="S580" s="1051">
        <f t="shared" ref="S580" si="2558">SUM(S577:S579)</f>
        <v>0</v>
      </c>
      <c r="T580" s="1051">
        <f t="shared" ref="T580" si="2559">SUM(T577:T579)</f>
        <v>0</v>
      </c>
      <c r="U580" s="1052">
        <f t="shared" ref="U580" si="2560">SUM(U577:U579)</f>
        <v>0</v>
      </c>
      <c r="V580" s="1172"/>
      <c r="W580" s="1609">
        <f t="shared" ref="W580" si="2561">SUM(W577:W579)</f>
        <v>0</v>
      </c>
      <c r="X580" s="1610">
        <f t="shared" ref="X580" si="2562">SUM(X577:X579)</f>
        <v>0</v>
      </c>
      <c r="Y580" s="1610">
        <f t="shared" ref="Y580" si="2563">SUM(Y577:Y579)</f>
        <v>0</v>
      </c>
      <c r="Z580" s="1610">
        <f t="shared" ref="Z580" si="2564">SUM(Z577:Z579)</f>
        <v>0</v>
      </c>
      <c r="AA580" s="1611">
        <f t="shared" ref="AA580" si="2565">SUM(AA577:AA579)</f>
        <v>0</v>
      </c>
      <c r="AB580" s="1612"/>
      <c r="AC580" s="1609">
        <f t="shared" ref="AC580" si="2566">SUM(AC577:AC579)</f>
        <v>0</v>
      </c>
      <c r="AD580" s="1610">
        <f t="shared" ref="AD580" si="2567">SUM(AD577:AD579)</f>
        <v>0</v>
      </c>
      <c r="AE580" s="1610">
        <f t="shared" ref="AE580" si="2568">SUM(AE577:AE579)</f>
        <v>0</v>
      </c>
      <c r="AF580" s="1610">
        <f t="shared" ref="AF580" si="2569">SUM(AF577:AF579)</f>
        <v>0</v>
      </c>
      <c r="AG580" s="1610">
        <f t="shared" ref="AG580" si="2570">SUM(AG577:AG579)</f>
        <v>0</v>
      </c>
      <c r="AH580" s="1613"/>
      <c r="AI580" s="1172"/>
      <c r="AJ580" s="130"/>
      <c r="AK580" s="130"/>
      <c r="AL580" s="1050">
        <f t="shared" ref="AL580:AR580" si="2571">SUM(AL578:AL579)</f>
        <v>0</v>
      </c>
      <c r="AM580" s="1051">
        <f t="shared" si="2571"/>
        <v>0</v>
      </c>
      <c r="AN580" s="1051">
        <f t="shared" si="2571"/>
        <v>0</v>
      </c>
      <c r="AO580" s="1051">
        <f t="shared" si="2571"/>
        <v>0</v>
      </c>
      <c r="AP580" s="1052">
        <f t="shared" si="2571"/>
        <v>0</v>
      </c>
      <c r="AQ580" s="1050">
        <f t="shared" si="2571"/>
        <v>0</v>
      </c>
      <c r="AR580" s="1051">
        <f t="shared" si="2571"/>
        <v>0</v>
      </c>
      <c r="AS580" s="1052"/>
      <c r="AT580" s="130"/>
      <c r="AU580" s="130"/>
      <c r="AV580" s="130"/>
      <c r="AW580" s="130"/>
      <c r="AX580" s="130"/>
      <c r="AY580" s="130"/>
      <c r="AZ580" s="130"/>
      <c r="BA580" s="130"/>
      <c r="BB580" s="130"/>
      <c r="BC580" s="130"/>
      <c r="BD580" s="130"/>
      <c r="BE580" s="130"/>
      <c r="BF580" s="130"/>
      <c r="BG580" s="130"/>
      <c r="BH580" s="130"/>
      <c r="BI580" s="130"/>
      <c r="BJ580" s="130"/>
      <c r="BK580" s="130"/>
      <c r="BL580" s="130"/>
      <c r="BM580" s="130"/>
      <c r="BN580" s="130"/>
      <c r="BO580" s="130"/>
      <c r="BP580" s="130"/>
      <c r="BQ580" s="130"/>
      <c r="BR580" s="130"/>
      <c r="BS580" s="1155"/>
    </row>
    <row r="581" spans="5:71" s="474" customFormat="1">
      <c r="E581" s="4109"/>
      <c r="F581" s="1389" t="s">
        <v>35</v>
      </c>
      <c r="G581" s="255"/>
      <c r="H581" s="461"/>
      <c r="I581" s="461"/>
      <c r="J581" s="461"/>
      <c r="K581" s="281"/>
      <c r="L581" s="255"/>
      <c r="M581" s="461"/>
      <c r="N581" s="461"/>
      <c r="O581" s="461"/>
      <c r="P581" s="281"/>
      <c r="Q581" s="956"/>
      <c r="R581" s="461"/>
      <c r="S581" s="461"/>
      <c r="T581" s="461"/>
      <c r="U581" s="281"/>
      <c r="V581" s="1172"/>
      <c r="W581" s="255"/>
      <c r="X581" s="461"/>
      <c r="Y581" s="461"/>
      <c r="Z581" s="461"/>
      <c r="AA581" s="281"/>
      <c r="AB581" s="1004"/>
      <c r="AC581" s="255"/>
      <c r="AD581" s="461"/>
      <c r="AE581" s="461"/>
      <c r="AF581" s="461"/>
      <c r="AG581" s="461"/>
      <c r="AH581" s="1047"/>
      <c r="AI581" s="1172"/>
      <c r="AJ581" s="1155"/>
      <c r="AK581" s="1155"/>
      <c r="AL581" s="259"/>
      <c r="AM581" s="466"/>
      <c r="AN581" s="466"/>
      <c r="AO581" s="466"/>
      <c r="AP581" s="283"/>
      <c r="AQ581" s="259"/>
      <c r="AR581" s="466"/>
      <c r="AS581" s="283"/>
      <c r="AT581" s="1155"/>
      <c r="AU581" s="1155"/>
      <c r="AV581" s="1155"/>
      <c r="AW581" s="1155"/>
      <c r="AX581" s="1155"/>
      <c r="AY581" s="1155"/>
      <c r="AZ581" s="1155"/>
      <c r="BA581" s="1155"/>
      <c r="BB581" s="1155"/>
      <c r="BC581" s="1155"/>
      <c r="BD581" s="1155"/>
      <c r="BE581" s="1155"/>
      <c r="BF581" s="1155"/>
      <c r="BG581" s="1155"/>
      <c r="BH581" s="1155"/>
      <c r="BI581" s="1155"/>
      <c r="BJ581" s="1155"/>
      <c r="BK581" s="1155"/>
      <c r="BL581" s="1155"/>
      <c r="BM581" s="1155"/>
      <c r="BN581" s="1155"/>
      <c r="BO581" s="1155"/>
      <c r="BP581" s="1155"/>
      <c r="BQ581" s="1155"/>
      <c r="BR581" s="1155"/>
      <c r="BS581" s="1155"/>
    </row>
    <row r="582" spans="5:71" s="474" customFormat="1" ht="13.5" thickBot="1">
      <c r="E582" s="4109"/>
      <c r="F582" s="1387" t="s">
        <v>585</v>
      </c>
      <c r="G582" s="1055">
        <v>0</v>
      </c>
      <c r="H582" s="1056">
        <v>0</v>
      </c>
      <c r="I582" s="1056">
        <v>0</v>
      </c>
      <c r="J582" s="1056">
        <v>0</v>
      </c>
      <c r="K582" s="1057">
        <v>0</v>
      </c>
      <c r="L582" s="1567">
        <f>L580-L581</f>
        <v>0</v>
      </c>
      <c r="M582" s="1056">
        <f t="shared" ref="M582" si="2572">M580-M581</f>
        <v>0</v>
      </c>
      <c r="N582" s="1056">
        <f t="shared" ref="N582" si="2573">N580-N581</f>
        <v>2487455.9</v>
      </c>
      <c r="O582" s="1056">
        <f t="shared" ref="O582" si="2574">O580-O581</f>
        <v>0</v>
      </c>
      <c r="P582" s="1057">
        <f t="shared" ref="P582" si="2575">P580-P581</f>
        <v>0</v>
      </c>
      <c r="Q582" s="1093">
        <f t="shared" ref="Q582" si="2576">Q580-Q581</f>
        <v>0</v>
      </c>
      <c r="R582" s="1056">
        <f t="shared" ref="R582" si="2577">R580-R581</f>
        <v>0</v>
      </c>
      <c r="S582" s="1056">
        <f t="shared" ref="S582" si="2578">S580-S581</f>
        <v>0</v>
      </c>
      <c r="T582" s="1056">
        <f t="shared" ref="T582" si="2579">T580-T581</f>
        <v>0</v>
      </c>
      <c r="U582" s="1057">
        <f t="shared" ref="U582" si="2580">U580-U581</f>
        <v>0</v>
      </c>
      <c r="V582" s="1172"/>
      <c r="W582" s="1055">
        <f t="shared" ref="W582" si="2581">W580-W581</f>
        <v>0</v>
      </c>
      <c r="X582" s="1056">
        <f t="shared" ref="X582" si="2582">X580-X581</f>
        <v>0</v>
      </c>
      <c r="Y582" s="1056">
        <f t="shared" ref="Y582" si="2583">Y580-Y581</f>
        <v>0</v>
      </c>
      <c r="Z582" s="1056">
        <f t="shared" ref="Z582" si="2584">Z580-Z581</f>
        <v>0</v>
      </c>
      <c r="AA582" s="1057">
        <f t="shared" ref="AA582" si="2585">AA580-AA581</f>
        <v>0</v>
      </c>
      <c r="AB582" s="1075"/>
      <c r="AC582" s="1055">
        <f t="shared" ref="AC582" si="2586">AC580-AC581</f>
        <v>0</v>
      </c>
      <c r="AD582" s="1056">
        <f t="shared" ref="AD582" si="2587">AD580-AD581</f>
        <v>0</v>
      </c>
      <c r="AE582" s="1056">
        <f t="shared" ref="AE582" si="2588">AE580-AE581</f>
        <v>0</v>
      </c>
      <c r="AF582" s="1056">
        <f t="shared" ref="AF582" si="2589">AF580-AF581</f>
        <v>0</v>
      </c>
      <c r="AG582" s="1056">
        <f t="shared" ref="AG582" si="2590">AG580-AG581</f>
        <v>0</v>
      </c>
      <c r="AH582" s="1059"/>
      <c r="AI582" s="1172"/>
      <c r="AJ582" s="1155"/>
      <c r="AK582" s="1155"/>
      <c r="AL582" s="1567">
        <f>AL580-AL581</f>
        <v>0</v>
      </c>
      <c r="AM582" s="1056">
        <f t="shared" ref="AM582:AR582" si="2591">AM580-AM581</f>
        <v>0</v>
      </c>
      <c r="AN582" s="1056">
        <f t="shared" si="2591"/>
        <v>0</v>
      </c>
      <c r="AO582" s="1056">
        <f t="shared" si="2591"/>
        <v>0</v>
      </c>
      <c r="AP582" s="1057">
        <f t="shared" si="2591"/>
        <v>0</v>
      </c>
      <c r="AQ582" s="1567">
        <f t="shared" si="2591"/>
        <v>0</v>
      </c>
      <c r="AR582" s="1056">
        <f t="shared" si="2591"/>
        <v>0</v>
      </c>
      <c r="AS582" s="1057"/>
      <c r="AT582" s="1155"/>
      <c r="AU582" s="1155"/>
      <c r="AV582" s="1155"/>
      <c r="AW582" s="1155"/>
      <c r="AX582" s="1155"/>
      <c r="AY582" s="1155"/>
      <c r="AZ582" s="1155"/>
      <c r="BA582" s="1155"/>
      <c r="BB582" s="1155"/>
      <c r="BC582" s="1155"/>
      <c r="BD582" s="1155"/>
      <c r="BE582" s="1155"/>
      <c r="BF582" s="1155"/>
      <c r="BG582" s="1155"/>
      <c r="BH582" s="1155"/>
      <c r="BI582" s="1155"/>
      <c r="BJ582" s="1155"/>
      <c r="BK582" s="1155"/>
      <c r="BL582" s="1155"/>
      <c r="BM582" s="1155"/>
      <c r="BN582" s="1155"/>
      <c r="BO582" s="1155"/>
      <c r="BP582" s="1155"/>
      <c r="BQ582" s="1155"/>
      <c r="BR582" s="1155"/>
      <c r="BS582" s="1155"/>
    </row>
    <row r="583" spans="5:71" s="474" customFormat="1" ht="12.75" customHeight="1">
      <c r="E583" s="4110" t="s">
        <v>1510</v>
      </c>
      <c r="F583" s="433" t="s">
        <v>111</v>
      </c>
      <c r="G583" s="1086"/>
      <c r="H583" s="1087"/>
      <c r="I583" s="1087"/>
      <c r="J583" s="1087"/>
      <c r="K583" s="1088"/>
      <c r="L583" s="258"/>
      <c r="M583" s="465"/>
      <c r="N583" s="465"/>
      <c r="O583" s="465"/>
      <c r="P583" s="282"/>
      <c r="Q583" s="965"/>
      <c r="R583" s="465"/>
      <c r="S583" s="465"/>
      <c r="T583" s="465"/>
      <c r="U583" s="1044"/>
      <c r="V583" s="1172"/>
      <c r="W583" s="1043"/>
      <c r="X583" s="421"/>
      <c r="Y583" s="421"/>
      <c r="Z583" s="421"/>
      <c r="AA583" s="1044"/>
      <c r="AB583" s="1045"/>
      <c r="AC583" s="1043"/>
      <c r="AD583" s="421"/>
      <c r="AE583" s="421"/>
      <c r="AF583" s="421"/>
      <c r="AG583" s="421"/>
      <c r="AH583" s="1046"/>
      <c r="AI583" s="1172"/>
      <c r="AJ583" s="1155"/>
      <c r="AK583" s="1155"/>
      <c r="AL583" s="1086"/>
      <c r="AM583" s="1087"/>
      <c r="AN583" s="1087"/>
      <c r="AO583" s="1087"/>
      <c r="AP583" s="1088"/>
      <c r="AQ583" s="258"/>
      <c r="AR583" s="465"/>
      <c r="AS583" s="282"/>
      <c r="AT583" s="1155"/>
      <c r="AU583" s="1155"/>
      <c r="AV583" s="1155"/>
      <c r="AW583" s="1155"/>
      <c r="AX583" s="1155"/>
      <c r="AY583" s="1155"/>
      <c r="AZ583" s="1155"/>
      <c r="BA583" s="1155"/>
      <c r="BB583" s="1155"/>
      <c r="BC583" s="1155"/>
      <c r="BD583" s="1155"/>
      <c r="BE583" s="1155"/>
      <c r="BF583" s="1155"/>
      <c r="BG583" s="1155"/>
      <c r="BH583" s="1155"/>
      <c r="BI583" s="1155"/>
      <c r="BJ583" s="1155"/>
      <c r="BK583" s="1155"/>
      <c r="BL583" s="1155"/>
      <c r="BM583" s="1155"/>
      <c r="BN583" s="1155"/>
      <c r="BO583" s="1155"/>
      <c r="BP583" s="1155"/>
      <c r="BQ583" s="1155"/>
      <c r="BR583" s="1155"/>
      <c r="BS583" s="1155"/>
    </row>
    <row r="584" spans="5:71" s="474" customFormat="1" ht="12.75" customHeight="1">
      <c r="E584" s="4109"/>
      <c r="F584" s="1374" t="s">
        <v>588</v>
      </c>
      <c r="G584" s="1083"/>
      <c r="H584" s="1084"/>
      <c r="I584" s="1084"/>
      <c r="J584" s="1084"/>
      <c r="K584" s="1085"/>
      <c r="L584" s="255"/>
      <c r="M584" s="461"/>
      <c r="N584" s="461">
        <v>11509</v>
      </c>
      <c r="O584" s="461"/>
      <c r="P584" s="281"/>
      <c r="Q584" s="956"/>
      <c r="R584" s="461"/>
      <c r="S584" s="461"/>
      <c r="T584" s="461"/>
      <c r="U584" s="281"/>
      <c r="V584" s="1172"/>
      <c r="W584" s="255"/>
      <c r="X584" s="461"/>
      <c r="Y584" s="461"/>
      <c r="Z584" s="461"/>
      <c r="AA584" s="281"/>
      <c r="AB584" s="1041"/>
      <c r="AC584" s="255"/>
      <c r="AD584" s="461"/>
      <c r="AE584" s="461"/>
      <c r="AF584" s="461"/>
      <c r="AG584" s="461"/>
      <c r="AH584" s="1047"/>
      <c r="AI584" s="1172"/>
      <c r="AJ584" s="1155"/>
      <c r="AK584" s="1155"/>
      <c r="AL584" s="1083"/>
      <c r="AM584" s="1084"/>
      <c r="AN584" s="1084"/>
      <c r="AO584" s="1084"/>
      <c r="AP584" s="1085"/>
      <c r="AQ584" s="259"/>
      <c r="AR584" s="466"/>
      <c r="AS584" s="283"/>
      <c r="AT584" s="1155"/>
      <c r="AU584" s="1155"/>
      <c r="AV584" s="1155"/>
      <c r="AW584" s="1155"/>
      <c r="AX584" s="1155"/>
      <c r="AY584" s="1155"/>
      <c r="AZ584" s="1155"/>
      <c r="BA584" s="1155"/>
      <c r="BB584" s="1155"/>
      <c r="BC584" s="1155"/>
      <c r="BD584" s="1155"/>
      <c r="BE584" s="1155"/>
      <c r="BF584" s="1155"/>
      <c r="BG584" s="1155"/>
      <c r="BH584" s="1155"/>
      <c r="BI584" s="1155"/>
      <c r="BJ584" s="1155"/>
      <c r="BK584" s="1155"/>
      <c r="BL584" s="1155"/>
      <c r="BM584" s="1155"/>
      <c r="BN584" s="1155"/>
      <c r="BO584" s="1155"/>
      <c r="BP584" s="1155"/>
      <c r="BQ584" s="1155"/>
      <c r="BR584" s="1155"/>
      <c r="BS584" s="1155"/>
    </row>
    <row r="585" spans="5:71" s="474" customFormat="1" ht="12.75" customHeight="1">
      <c r="E585" s="4109"/>
      <c r="F585" s="1374" t="s">
        <v>589</v>
      </c>
      <c r="G585" s="1083"/>
      <c r="H585" s="1084"/>
      <c r="I585" s="1084"/>
      <c r="J585" s="1084"/>
      <c r="K585" s="1085"/>
      <c r="L585" s="255"/>
      <c r="M585" s="461"/>
      <c r="N585" s="461"/>
      <c r="O585" s="461"/>
      <c r="P585" s="281"/>
      <c r="Q585" s="956"/>
      <c r="R585" s="461"/>
      <c r="S585" s="461"/>
      <c r="T585" s="461"/>
      <c r="U585" s="281"/>
      <c r="V585" s="1172"/>
      <c r="W585" s="255"/>
      <c r="X585" s="461"/>
      <c r="Y585" s="461"/>
      <c r="Z585" s="461"/>
      <c r="AA585" s="281"/>
      <c r="AB585" s="1041"/>
      <c r="AC585" s="255"/>
      <c r="AD585" s="461"/>
      <c r="AE585" s="461"/>
      <c r="AF585" s="461"/>
      <c r="AG585" s="461"/>
      <c r="AH585" s="1047"/>
      <c r="AI585" s="1172"/>
      <c r="AJ585" s="1155"/>
      <c r="AK585" s="1155"/>
      <c r="AL585" s="1083"/>
      <c r="AM585" s="1084"/>
      <c r="AN585" s="1084"/>
      <c r="AO585" s="1084"/>
      <c r="AP585" s="1085"/>
      <c r="AQ585" s="259"/>
      <c r="AR585" s="466"/>
      <c r="AS585" s="283"/>
      <c r="AT585" s="1155"/>
      <c r="AU585" s="1155"/>
      <c r="AV585" s="1155"/>
      <c r="AW585" s="1155"/>
      <c r="AX585" s="1155"/>
      <c r="AY585" s="1155"/>
      <c r="AZ585" s="1155"/>
      <c r="BA585" s="1155"/>
      <c r="BB585" s="1155"/>
      <c r="BC585" s="1155"/>
      <c r="BD585" s="1155"/>
      <c r="BE585" s="1155"/>
      <c r="BF585" s="1155"/>
      <c r="BG585" s="1155"/>
      <c r="BH585" s="1155"/>
      <c r="BI585" s="1155"/>
      <c r="BJ585" s="1155"/>
      <c r="BK585" s="1155"/>
      <c r="BL585" s="1155"/>
      <c r="BM585" s="1155"/>
      <c r="BN585" s="1155"/>
      <c r="BO585" s="1155"/>
      <c r="BP585" s="1155"/>
      <c r="BQ585" s="1155"/>
      <c r="BR585" s="1155"/>
      <c r="BS585" s="1155"/>
    </row>
    <row r="586" spans="5:71" s="474" customFormat="1" ht="12.75" customHeight="1">
      <c r="E586" s="4109"/>
      <c r="F586" s="1374" t="s">
        <v>590</v>
      </c>
      <c r="G586" s="1083"/>
      <c r="H586" s="1084"/>
      <c r="I586" s="1084"/>
      <c r="J586" s="1084"/>
      <c r="K586" s="1085"/>
      <c r="L586" s="255"/>
      <c r="M586" s="461"/>
      <c r="N586" s="461"/>
      <c r="O586" s="461"/>
      <c r="P586" s="281"/>
      <c r="Q586" s="956"/>
      <c r="R586" s="461"/>
      <c r="S586" s="461"/>
      <c r="T586" s="461"/>
      <c r="U586" s="281"/>
      <c r="V586" s="1172"/>
      <c r="W586" s="255"/>
      <c r="X586" s="461"/>
      <c r="Y586" s="461"/>
      <c r="Z586" s="461"/>
      <c r="AA586" s="281"/>
      <c r="AB586" s="1041"/>
      <c r="AC586" s="255"/>
      <c r="AD586" s="461"/>
      <c r="AE586" s="461"/>
      <c r="AF586" s="461"/>
      <c r="AG586" s="461"/>
      <c r="AH586" s="1047"/>
      <c r="AI586" s="1172"/>
      <c r="AJ586" s="1155"/>
      <c r="AK586" s="1155"/>
      <c r="AL586" s="1083"/>
      <c r="AM586" s="1084"/>
      <c r="AN586" s="1084"/>
      <c r="AO586" s="1084"/>
      <c r="AP586" s="1085"/>
      <c r="AQ586" s="259"/>
      <c r="AR586" s="466"/>
      <c r="AS586" s="283"/>
      <c r="AT586" s="1155"/>
      <c r="AU586" s="1155"/>
      <c r="AV586" s="1155"/>
      <c r="AW586" s="1155"/>
      <c r="AX586" s="1155"/>
      <c r="AY586" s="1155"/>
      <c r="AZ586" s="1155"/>
      <c r="BA586" s="1155"/>
      <c r="BB586" s="1155"/>
      <c r="BC586" s="1155"/>
      <c r="BD586" s="1155"/>
      <c r="BE586" s="1155"/>
      <c r="BF586" s="1155"/>
      <c r="BG586" s="1155"/>
      <c r="BH586" s="1155"/>
      <c r="BI586" s="1155"/>
      <c r="BJ586" s="1155"/>
      <c r="BK586" s="1155"/>
      <c r="BL586" s="1155"/>
      <c r="BM586" s="1155"/>
      <c r="BN586" s="1155"/>
      <c r="BO586" s="1155"/>
      <c r="BP586" s="1155"/>
      <c r="BQ586" s="1155"/>
      <c r="BR586" s="1155"/>
      <c r="BS586" s="1155"/>
    </row>
    <row r="587" spans="5:71" s="474" customFormat="1" ht="12.75" customHeight="1">
      <c r="E587" s="4109"/>
      <c r="F587" s="1374" t="s">
        <v>591</v>
      </c>
      <c r="G587" s="1083"/>
      <c r="H587" s="1084"/>
      <c r="I587" s="1084"/>
      <c r="J587" s="1084"/>
      <c r="K587" s="1085"/>
      <c r="L587" s="255"/>
      <c r="M587" s="461"/>
      <c r="N587" s="461"/>
      <c r="O587" s="461"/>
      <c r="P587" s="281"/>
      <c r="Q587" s="956"/>
      <c r="R587" s="461"/>
      <c r="S587" s="461"/>
      <c r="T587" s="461"/>
      <c r="U587" s="281"/>
      <c r="V587" s="1172"/>
      <c r="W587" s="255"/>
      <c r="X587" s="461"/>
      <c r="Y587" s="461"/>
      <c r="Z587" s="461"/>
      <c r="AA587" s="281"/>
      <c r="AB587" s="1041"/>
      <c r="AC587" s="255"/>
      <c r="AD587" s="461"/>
      <c r="AE587" s="461"/>
      <c r="AF587" s="461"/>
      <c r="AG587" s="461"/>
      <c r="AH587" s="1047"/>
      <c r="AI587" s="1172"/>
      <c r="AJ587" s="1155"/>
      <c r="AK587" s="1155"/>
      <c r="AL587" s="1083"/>
      <c r="AM587" s="1084"/>
      <c r="AN587" s="1084"/>
      <c r="AO587" s="1084"/>
      <c r="AP587" s="1085"/>
      <c r="AQ587" s="259"/>
      <c r="AR587" s="466"/>
      <c r="AS587" s="283"/>
      <c r="AT587" s="1155"/>
      <c r="AU587" s="1155"/>
      <c r="AV587" s="1155"/>
      <c r="AW587" s="1155"/>
      <c r="AX587" s="1155"/>
      <c r="AY587" s="1155"/>
      <c r="AZ587" s="1155"/>
      <c r="BA587" s="1155"/>
      <c r="BB587" s="1155"/>
      <c r="BC587" s="1155"/>
      <c r="BD587" s="1155"/>
      <c r="BE587" s="1155"/>
      <c r="BF587" s="1155"/>
      <c r="BG587" s="1155"/>
      <c r="BH587" s="1155"/>
      <c r="BI587" s="1155"/>
      <c r="BJ587" s="1155"/>
      <c r="BK587" s="1155"/>
      <c r="BL587" s="1155"/>
      <c r="BM587" s="1155"/>
      <c r="BN587" s="1155"/>
      <c r="BO587" s="1155"/>
      <c r="BP587" s="1155"/>
      <c r="BQ587" s="1155"/>
      <c r="BR587" s="1155"/>
      <c r="BS587" s="1155"/>
    </row>
    <row r="588" spans="5:71" s="474" customFormat="1" ht="12.75" customHeight="1">
      <c r="E588" s="4109"/>
      <c r="F588" s="1374" t="s">
        <v>592</v>
      </c>
      <c r="G588" s="1083"/>
      <c r="H588" s="1084"/>
      <c r="I588" s="1084"/>
      <c r="J588" s="1084"/>
      <c r="K588" s="1085"/>
      <c r="L588" s="207"/>
      <c r="M588" s="456"/>
      <c r="N588" s="456"/>
      <c r="O588" s="456"/>
      <c r="P588" s="457"/>
      <c r="Q588" s="224"/>
      <c r="R588" s="456"/>
      <c r="S588" s="456"/>
      <c r="T588" s="456"/>
      <c r="U588" s="457"/>
      <c r="V588" s="1172"/>
      <c r="W588" s="207">
        <v>0</v>
      </c>
      <c r="X588" s="456">
        <v>0</v>
      </c>
      <c r="Y588" s="456">
        <v>0</v>
      </c>
      <c r="Z588" s="456">
        <v>0</v>
      </c>
      <c r="AA588" s="457">
        <v>0</v>
      </c>
      <c r="AB588" s="1041"/>
      <c r="AC588" s="207">
        <v>0</v>
      </c>
      <c r="AD588" s="456">
        <v>0</v>
      </c>
      <c r="AE588" s="456">
        <v>0</v>
      </c>
      <c r="AF588" s="456">
        <v>0</v>
      </c>
      <c r="AG588" s="456">
        <v>0</v>
      </c>
      <c r="AH588" s="1048"/>
      <c r="AI588" s="1172"/>
      <c r="AJ588" s="1155"/>
      <c r="AK588" s="1155"/>
      <c r="AL588" s="1083"/>
      <c r="AM588" s="1084"/>
      <c r="AN588" s="1084"/>
      <c r="AO588" s="1084"/>
      <c r="AP588" s="1085"/>
      <c r="AQ588" s="207">
        <f>SUM(AQ583:AQ587)</f>
        <v>0</v>
      </c>
      <c r="AR588" s="456">
        <f t="shared" ref="AR588" si="2592">SUM(AR583:AR587)</f>
        <v>0</v>
      </c>
      <c r="AS588" s="457"/>
      <c r="AT588" s="1155"/>
      <c r="AU588" s="1155"/>
      <c r="AV588" s="1155"/>
      <c r="AW588" s="1155"/>
      <c r="AX588" s="1155"/>
      <c r="AY588" s="1155"/>
      <c r="AZ588" s="1155"/>
      <c r="BA588" s="1155"/>
      <c r="BB588" s="1155"/>
      <c r="BC588" s="1155"/>
      <c r="BD588" s="1155"/>
      <c r="BE588" s="1155"/>
      <c r="BF588" s="1155"/>
      <c r="BG588" s="1155"/>
      <c r="BH588" s="1155"/>
      <c r="BI588" s="1155"/>
      <c r="BJ588" s="1155"/>
      <c r="BK588" s="1155"/>
      <c r="BL588" s="1155"/>
      <c r="BM588" s="1155"/>
      <c r="BN588" s="1155"/>
      <c r="BO588" s="1155"/>
      <c r="BP588" s="1155"/>
      <c r="BQ588" s="1155"/>
      <c r="BR588" s="1155"/>
      <c r="BS588" s="1155"/>
    </row>
    <row r="589" spans="5:71" s="474" customFormat="1">
      <c r="E589" s="4109"/>
      <c r="F589" s="1375" t="s">
        <v>587</v>
      </c>
      <c r="G589" s="1086"/>
      <c r="H589" s="1087"/>
      <c r="I589" s="1087"/>
      <c r="J589" s="1087"/>
      <c r="K589" s="1088"/>
      <c r="L589" s="258">
        <f>SUM(L584:L588)</f>
        <v>0</v>
      </c>
      <c r="M589" s="465">
        <f t="shared" ref="M589" si="2593">SUM(M584:M588)</f>
        <v>0</v>
      </c>
      <c r="N589" s="465">
        <f t="shared" ref="N589" si="2594">SUM(N584:N588)</f>
        <v>11509</v>
      </c>
      <c r="O589" s="465">
        <f t="shared" ref="O589" si="2595">SUM(O584:O588)</f>
        <v>0</v>
      </c>
      <c r="P589" s="282">
        <f t="shared" ref="P589" si="2596">SUM(P584:P588)</f>
        <v>0</v>
      </c>
      <c r="Q589" s="965">
        <f t="shared" ref="Q589" si="2597">SUM(Q584:Q588)</f>
        <v>0</v>
      </c>
      <c r="R589" s="465">
        <f t="shared" ref="R589" si="2598">SUM(R584:R588)</f>
        <v>0</v>
      </c>
      <c r="S589" s="465">
        <f t="shared" ref="S589" si="2599">SUM(S584:S588)</f>
        <v>0</v>
      </c>
      <c r="T589" s="465">
        <f t="shared" ref="T589" si="2600">SUM(T584:T588)</f>
        <v>0</v>
      </c>
      <c r="U589" s="282">
        <f t="shared" ref="U589" si="2601">SUM(U584:U588)</f>
        <v>0</v>
      </c>
      <c r="V589" s="1172"/>
      <c r="W589" s="258">
        <f t="shared" ref="W589" si="2602">SUM(W584:W588)</f>
        <v>0</v>
      </c>
      <c r="X589" s="465">
        <f t="shared" ref="X589" si="2603">SUM(X584:X588)</f>
        <v>0</v>
      </c>
      <c r="Y589" s="465">
        <f t="shared" ref="Y589" si="2604">SUM(Y584:Y588)</f>
        <v>0</v>
      </c>
      <c r="Z589" s="465">
        <f t="shared" ref="Z589" si="2605">SUM(Z584:Z588)</f>
        <v>0</v>
      </c>
      <c r="AA589" s="282">
        <f t="shared" ref="AA589" si="2606">SUM(AA584:AA588)</f>
        <v>0</v>
      </c>
      <c r="AB589" s="992"/>
      <c r="AC589" s="258">
        <f t="shared" ref="AC589" si="2607">SUM(AC584:AC588)</f>
        <v>0</v>
      </c>
      <c r="AD589" s="465">
        <f t="shared" ref="AD589" si="2608">SUM(AD584:AD588)</f>
        <v>0</v>
      </c>
      <c r="AE589" s="465">
        <f t="shared" ref="AE589" si="2609">SUM(AE584:AE588)</f>
        <v>0</v>
      </c>
      <c r="AF589" s="465">
        <f t="shared" ref="AF589" si="2610">SUM(AF584:AF588)</f>
        <v>0</v>
      </c>
      <c r="AG589" s="465">
        <f t="shared" ref="AG589" si="2611">SUM(AG584:AG588)</f>
        <v>0</v>
      </c>
      <c r="AH589" s="1049"/>
      <c r="AI589" s="1172"/>
      <c r="AJ589" s="1155"/>
      <c r="AK589" s="1155"/>
      <c r="AL589" s="1086"/>
      <c r="AM589" s="1087"/>
      <c r="AN589" s="1087"/>
      <c r="AO589" s="1087"/>
      <c r="AP589" s="1088"/>
      <c r="AQ589" s="258"/>
      <c r="AR589" s="465"/>
      <c r="AS589" s="282"/>
      <c r="AT589" s="1155"/>
      <c r="AU589" s="1155"/>
      <c r="AV589" s="1155"/>
      <c r="AW589" s="1155"/>
      <c r="AX589" s="1155"/>
      <c r="AY589" s="1155"/>
      <c r="AZ589" s="1155"/>
      <c r="BA589" s="1155"/>
      <c r="BB589" s="1155"/>
      <c r="BC589" s="1155"/>
      <c r="BD589" s="1155"/>
      <c r="BE589" s="1155"/>
      <c r="BF589" s="1155"/>
      <c r="BG589" s="1155"/>
      <c r="BH589" s="1155"/>
      <c r="BI589" s="1155"/>
      <c r="BJ589" s="1155"/>
      <c r="BK589" s="1155"/>
      <c r="BL589" s="1155"/>
      <c r="BM589" s="1155"/>
      <c r="BN589" s="1155"/>
      <c r="BO589" s="1155"/>
      <c r="BP589" s="1155"/>
      <c r="BQ589" s="1155"/>
      <c r="BR589" s="1155"/>
      <c r="BS589" s="1155"/>
    </row>
    <row r="590" spans="5:71" s="474" customFormat="1">
      <c r="E590" s="4109"/>
      <c r="F590" s="1376" t="s">
        <v>593</v>
      </c>
      <c r="G590" s="1083"/>
      <c r="H590" s="1084"/>
      <c r="I590" s="1084"/>
      <c r="J590" s="1084"/>
      <c r="K590" s="1085"/>
      <c r="L590" s="255"/>
      <c r="M590" s="461"/>
      <c r="N590" s="461"/>
      <c r="O590" s="461"/>
      <c r="P590" s="281"/>
      <c r="Q590" s="956"/>
      <c r="R590" s="461"/>
      <c r="S590" s="461"/>
      <c r="T590" s="461"/>
      <c r="U590" s="281"/>
      <c r="V590" s="1172"/>
      <c r="W590" s="255"/>
      <c r="X590" s="461"/>
      <c r="Y590" s="461"/>
      <c r="Z590" s="461"/>
      <c r="AA590" s="281"/>
      <c r="AB590" s="1041"/>
      <c r="AC590" s="255"/>
      <c r="AD590" s="461"/>
      <c r="AE590" s="461"/>
      <c r="AF590" s="461"/>
      <c r="AG590" s="461"/>
      <c r="AH590" s="1047"/>
      <c r="AI590" s="1172"/>
      <c r="AJ590" s="1155"/>
      <c r="AK590" s="1155"/>
      <c r="AL590" s="1083"/>
      <c r="AM590" s="1084"/>
      <c r="AN590" s="1084"/>
      <c r="AO590" s="1084"/>
      <c r="AP590" s="1085"/>
      <c r="AQ590" s="259"/>
      <c r="AR590" s="466"/>
      <c r="AS590" s="283"/>
      <c r="AT590" s="1155"/>
      <c r="AU590" s="1155"/>
      <c r="AV590" s="1155"/>
      <c r="AW590" s="1155"/>
      <c r="AX590" s="1155"/>
      <c r="AY590" s="1155"/>
      <c r="AZ590" s="1155"/>
      <c r="BA590" s="1155"/>
      <c r="BB590" s="1155"/>
      <c r="BC590" s="1155"/>
      <c r="BD590" s="1155"/>
      <c r="BE590" s="1155"/>
      <c r="BF590" s="1155"/>
      <c r="BG590" s="1155"/>
      <c r="BH590" s="1155"/>
      <c r="BI590" s="1155"/>
      <c r="BJ590" s="1155"/>
      <c r="BK590" s="1155"/>
      <c r="BL590" s="1155"/>
      <c r="BM590" s="1155"/>
      <c r="BN590" s="1155"/>
      <c r="BO590" s="1155"/>
      <c r="BP590" s="1155"/>
      <c r="BQ590" s="1155"/>
      <c r="BR590" s="1155"/>
      <c r="BS590" s="1155"/>
    </row>
    <row r="591" spans="5:71" s="474" customFormat="1">
      <c r="E591" s="4109"/>
      <c r="F591" s="431" t="s">
        <v>558</v>
      </c>
      <c r="G591" s="1083"/>
      <c r="H591" s="1084"/>
      <c r="I591" s="1084"/>
      <c r="J591" s="1084"/>
      <c r="K591" s="1085"/>
      <c r="L591" s="255"/>
      <c r="M591" s="461"/>
      <c r="N591" s="461">
        <v>2255514.52</v>
      </c>
      <c r="O591" s="461"/>
      <c r="P591" s="281"/>
      <c r="Q591" s="956"/>
      <c r="R591" s="461"/>
      <c r="S591" s="461"/>
      <c r="T591" s="461"/>
      <c r="U591" s="281"/>
      <c r="V591" s="1172"/>
      <c r="W591" s="255"/>
      <c r="X591" s="461"/>
      <c r="Y591" s="461"/>
      <c r="Z591" s="461"/>
      <c r="AA591" s="281"/>
      <c r="AB591" s="1041"/>
      <c r="AC591" s="255"/>
      <c r="AD591" s="461"/>
      <c r="AE591" s="461"/>
      <c r="AF591" s="461"/>
      <c r="AG591" s="461"/>
      <c r="AH591" s="1047"/>
      <c r="AI591" s="1172"/>
      <c r="AJ591" s="1155"/>
      <c r="AK591" s="1155"/>
      <c r="AL591" s="1083"/>
      <c r="AM591" s="1084"/>
      <c r="AN591" s="1084"/>
      <c r="AO591" s="1084"/>
      <c r="AP591" s="1085"/>
      <c r="AQ591" s="259"/>
      <c r="AR591" s="466"/>
      <c r="AS591" s="283"/>
      <c r="AT591" s="1155"/>
      <c r="AU591" s="1155"/>
      <c r="AV591" s="1155"/>
      <c r="AW591" s="1155"/>
      <c r="AX591" s="1155"/>
      <c r="AY591" s="1155"/>
      <c r="AZ591" s="1155"/>
      <c r="BA591" s="1155"/>
      <c r="BB591" s="1155"/>
      <c r="BC591" s="1155"/>
      <c r="BD591" s="1155"/>
      <c r="BE591" s="1155"/>
      <c r="BF591" s="1155"/>
      <c r="BG591" s="1155"/>
      <c r="BH591" s="1155"/>
      <c r="BI591" s="1155"/>
      <c r="BJ591" s="1155"/>
      <c r="BK591" s="1155"/>
      <c r="BL591" s="1155"/>
      <c r="BM591" s="1155"/>
      <c r="BN591" s="1155"/>
      <c r="BO591" s="1155"/>
      <c r="BP591" s="1155"/>
      <c r="BQ591" s="1155"/>
      <c r="BR591" s="1155"/>
      <c r="BS591" s="1155"/>
    </row>
    <row r="592" spans="5:71" s="474" customFormat="1">
      <c r="E592" s="4109"/>
      <c r="F592" s="431" t="s">
        <v>559</v>
      </c>
      <c r="G592" s="1083"/>
      <c r="H592" s="1084"/>
      <c r="I592" s="1084"/>
      <c r="J592" s="1084"/>
      <c r="K592" s="1085"/>
      <c r="L592" s="255"/>
      <c r="M592" s="461"/>
      <c r="N592" s="461"/>
      <c r="O592" s="461"/>
      <c r="P592" s="281"/>
      <c r="Q592" s="956"/>
      <c r="R592" s="461"/>
      <c r="S592" s="461"/>
      <c r="T592" s="461"/>
      <c r="U592" s="281"/>
      <c r="V592" s="1172"/>
      <c r="W592" s="255"/>
      <c r="X592" s="461"/>
      <c r="Y592" s="461"/>
      <c r="Z592" s="461"/>
      <c r="AA592" s="281"/>
      <c r="AB592" s="1041"/>
      <c r="AC592" s="255"/>
      <c r="AD592" s="461"/>
      <c r="AE592" s="461"/>
      <c r="AF592" s="461"/>
      <c r="AG592" s="461"/>
      <c r="AH592" s="1047"/>
      <c r="AI592" s="1172"/>
      <c r="AJ592" s="1155"/>
      <c r="AK592" s="1155"/>
      <c r="AL592" s="1083"/>
      <c r="AM592" s="1084"/>
      <c r="AN592" s="1084"/>
      <c r="AO592" s="1084"/>
      <c r="AP592" s="1085"/>
      <c r="AQ592" s="259"/>
      <c r="AR592" s="466"/>
      <c r="AS592" s="283"/>
      <c r="AT592" s="1155"/>
      <c r="AU592" s="1155"/>
      <c r="AV592" s="1155"/>
      <c r="AW592" s="1155"/>
      <c r="AX592" s="1155"/>
      <c r="AY592" s="1155"/>
      <c r="AZ592" s="1155"/>
      <c r="BA592" s="1155"/>
      <c r="BB592" s="1155"/>
      <c r="BC592" s="1155"/>
      <c r="BD592" s="1155"/>
      <c r="BE592" s="1155"/>
      <c r="BF592" s="1155"/>
      <c r="BG592" s="1155"/>
      <c r="BH592" s="1155"/>
      <c r="BI592" s="1155"/>
      <c r="BJ592" s="1155"/>
      <c r="BK592" s="1155"/>
      <c r="BL592" s="1155"/>
      <c r="BM592" s="1155"/>
      <c r="BN592" s="1155"/>
      <c r="BO592" s="1155"/>
      <c r="BP592" s="1155"/>
      <c r="BQ592" s="1155"/>
      <c r="BR592" s="1155"/>
      <c r="BS592" s="1155"/>
    </row>
    <row r="593" spans="5:71" s="474" customFormat="1">
      <c r="E593" s="4109"/>
      <c r="F593" s="431" t="s">
        <v>578</v>
      </c>
      <c r="G593" s="1089"/>
      <c r="H593" s="1090"/>
      <c r="I593" s="1090"/>
      <c r="J593" s="1090"/>
      <c r="K593" s="1091"/>
      <c r="L593" s="259"/>
      <c r="M593" s="456"/>
      <c r="N593" s="456"/>
      <c r="O593" s="456"/>
      <c r="P593" s="457"/>
      <c r="Q593" s="224"/>
      <c r="R593" s="456"/>
      <c r="S593" s="456"/>
      <c r="T593" s="456"/>
      <c r="U593" s="457"/>
      <c r="V593" s="1172"/>
      <c r="W593" s="207"/>
      <c r="X593" s="456"/>
      <c r="Y593" s="456"/>
      <c r="Z593" s="456"/>
      <c r="AA593" s="457"/>
      <c r="AB593" s="1041"/>
      <c r="AC593" s="207"/>
      <c r="AD593" s="456"/>
      <c r="AE593" s="456"/>
      <c r="AF593" s="456"/>
      <c r="AG593" s="456"/>
      <c r="AH593" s="1048"/>
      <c r="AI593" s="1172"/>
      <c r="AJ593" s="1155"/>
      <c r="AK593" s="1155"/>
      <c r="AL593" s="1089"/>
      <c r="AM593" s="1090"/>
      <c r="AN593" s="1090"/>
      <c r="AO593" s="1090"/>
      <c r="AP593" s="1091"/>
      <c r="AQ593" s="259"/>
      <c r="AR593" s="466"/>
      <c r="AS593" s="283"/>
      <c r="AT593" s="1155"/>
      <c r="AU593" s="1155"/>
      <c r="AV593" s="1155"/>
      <c r="AW593" s="1155"/>
      <c r="AX593" s="1155"/>
      <c r="AY593" s="1155"/>
      <c r="AZ593" s="1155"/>
      <c r="BA593" s="1155"/>
      <c r="BB593" s="1155"/>
      <c r="BC593" s="1155"/>
      <c r="BD593" s="1155"/>
      <c r="BE593" s="1155"/>
      <c r="BF593" s="1155"/>
      <c r="BG593" s="1155"/>
      <c r="BH593" s="1155"/>
      <c r="BI593" s="1155"/>
      <c r="BJ593" s="1155"/>
      <c r="BK593" s="1155"/>
      <c r="BL593" s="1155"/>
      <c r="BM593" s="1155"/>
      <c r="BN593" s="1155"/>
      <c r="BO593" s="1155"/>
      <c r="BP593" s="1155"/>
      <c r="BQ593" s="1155"/>
      <c r="BR593" s="1155"/>
      <c r="BS593" s="1155"/>
    </row>
    <row r="594" spans="5:71" s="474" customFormat="1">
      <c r="E594" s="4109"/>
      <c r="F594" s="1377" t="s">
        <v>579</v>
      </c>
      <c r="G594" s="1086"/>
      <c r="H594" s="1087"/>
      <c r="I594" s="1087"/>
      <c r="J594" s="1087"/>
      <c r="K594" s="1088"/>
      <c r="L594" s="258">
        <f>SUM(L590:L593)</f>
        <v>0</v>
      </c>
      <c r="M594" s="465">
        <f t="shared" ref="M594" si="2612">SUM(M590:M593)</f>
        <v>0</v>
      </c>
      <c r="N594" s="465">
        <f t="shared" ref="N594" si="2613">SUM(N590:N593)</f>
        <v>2255514.52</v>
      </c>
      <c r="O594" s="465">
        <f t="shared" ref="O594" si="2614">SUM(O590:O593)</f>
        <v>0</v>
      </c>
      <c r="P594" s="282">
        <f t="shared" ref="P594" si="2615">SUM(P590:P593)</f>
        <v>0</v>
      </c>
      <c r="Q594" s="965">
        <f t="shared" ref="Q594" si="2616">SUM(Q590:Q593)</f>
        <v>0</v>
      </c>
      <c r="R594" s="465">
        <f t="shared" ref="R594" si="2617">SUM(R590:R593)</f>
        <v>0</v>
      </c>
      <c r="S594" s="465">
        <f t="shared" ref="S594" si="2618">SUM(S590:S593)</f>
        <v>0</v>
      </c>
      <c r="T594" s="465">
        <f t="shared" ref="T594" si="2619">SUM(T590:T593)</f>
        <v>0</v>
      </c>
      <c r="U594" s="282">
        <f t="shared" ref="U594" si="2620">SUM(U590:U593)</f>
        <v>0</v>
      </c>
      <c r="V594" s="1172"/>
      <c r="W594" s="258">
        <f t="shared" ref="W594" si="2621">SUM(W590:W593)</f>
        <v>0</v>
      </c>
      <c r="X594" s="465">
        <f t="shared" ref="X594" si="2622">SUM(X590:X593)</f>
        <v>0</v>
      </c>
      <c r="Y594" s="465">
        <f t="shared" ref="Y594" si="2623">SUM(Y590:Y593)</f>
        <v>0</v>
      </c>
      <c r="Z594" s="465">
        <f t="shared" ref="Z594" si="2624">SUM(Z590:Z593)</f>
        <v>0</v>
      </c>
      <c r="AA594" s="282">
        <f t="shared" ref="AA594" si="2625">SUM(AA590:AA593)</f>
        <v>0</v>
      </c>
      <c r="AB594" s="992"/>
      <c r="AC594" s="258">
        <f t="shared" ref="AC594" si="2626">SUM(AC590:AC593)</f>
        <v>0</v>
      </c>
      <c r="AD594" s="465">
        <f t="shared" ref="AD594" si="2627">SUM(AD590:AD593)</f>
        <v>0</v>
      </c>
      <c r="AE594" s="465">
        <f t="shared" ref="AE594" si="2628">SUM(AE590:AE593)</f>
        <v>0</v>
      </c>
      <c r="AF594" s="465">
        <f t="shared" ref="AF594" si="2629">SUM(AF590:AF593)</f>
        <v>0</v>
      </c>
      <c r="AG594" s="465">
        <f t="shared" ref="AG594" si="2630">SUM(AG590:AG593)</f>
        <v>0</v>
      </c>
      <c r="AH594" s="1049"/>
      <c r="AI594" s="1172"/>
      <c r="AJ594" s="1155"/>
      <c r="AK594" s="1155"/>
      <c r="AL594" s="1086"/>
      <c r="AM594" s="1087"/>
      <c r="AN594" s="1087"/>
      <c r="AO594" s="1087"/>
      <c r="AP594" s="1088"/>
      <c r="AQ594" s="258">
        <f>SUM(AQ591:AQ593)</f>
        <v>0</v>
      </c>
      <c r="AR594" s="465">
        <f t="shared" ref="AR594" si="2631">SUM(AR591:AR593)</f>
        <v>0</v>
      </c>
      <c r="AS594" s="282"/>
      <c r="AT594" s="1155"/>
      <c r="AU594" s="1155"/>
      <c r="AV594" s="1155"/>
      <c r="AW594" s="1155"/>
      <c r="AX594" s="1155"/>
      <c r="AY594" s="1155"/>
      <c r="AZ594" s="1155"/>
      <c r="BA594" s="1155"/>
      <c r="BB594" s="1155"/>
      <c r="BC594" s="1155"/>
      <c r="BD594" s="1155"/>
      <c r="BE594" s="1155"/>
      <c r="BF594" s="1155"/>
      <c r="BG594" s="1155"/>
      <c r="BH594" s="1155"/>
      <c r="BI594" s="1155"/>
      <c r="BJ594" s="1155"/>
      <c r="BK594" s="1155"/>
      <c r="BL594" s="1155"/>
      <c r="BM594" s="1155"/>
      <c r="BN594" s="1155"/>
      <c r="BO594" s="1155"/>
      <c r="BP594" s="1155"/>
      <c r="BQ594" s="1155"/>
      <c r="BR594" s="1155"/>
      <c r="BS594" s="1155"/>
    </row>
    <row r="595" spans="5:71" s="474" customFormat="1" ht="13.5" thickBot="1">
      <c r="E595" s="4109"/>
      <c r="F595" s="1035" t="s">
        <v>583</v>
      </c>
      <c r="G595" s="255"/>
      <c r="H595" s="461"/>
      <c r="I595" s="461"/>
      <c r="J595" s="461"/>
      <c r="K595" s="281"/>
      <c r="L595" s="207"/>
      <c r="M595" s="456"/>
      <c r="N595" s="456"/>
      <c r="O595" s="456"/>
      <c r="P595" s="457"/>
      <c r="Q595" s="224"/>
      <c r="R595" s="456"/>
      <c r="S595" s="456"/>
      <c r="T595" s="456"/>
      <c r="U595" s="457"/>
      <c r="V595" s="1172"/>
      <c r="W595" s="207"/>
      <c r="X595" s="461"/>
      <c r="Y595" s="461"/>
      <c r="Z595" s="461"/>
      <c r="AA595" s="281"/>
      <c r="AB595" s="1041"/>
      <c r="AC595" s="207"/>
      <c r="AD595" s="456"/>
      <c r="AE595" s="456"/>
      <c r="AF595" s="456"/>
      <c r="AG595" s="456"/>
      <c r="AH595" s="1048"/>
      <c r="AI595" s="1172"/>
      <c r="AJ595" s="1155"/>
      <c r="AK595" s="1155"/>
      <c r="AL595" s="259"/>
      <c r="AM595" s="466"/>
      <c r="AN595" s="466"/>
      <c r="AO595" s="466"/>
      <c r="AP595" s="283"/>
      <c r="AQ595" s="259"/>
      <c r="AR595" s="466"/>
      <c r="AS595" s="283"/>
      <c r="AT595" s="1155"/>
      <c r="AU595" s="1155"/>
      <c r="AV595" s="1155"/>
      <c r="AW595" s="1155"/>
      <c r="AX595" s="1155"/>
      <c r="AY595" s="1155"/>
      <c r="AZ595" s="1155"/>
      <c r="BA595" s="1155"/>
      <c r="BB595" s="1155"/>
      <c r="BC595" s="1155"/>
      <c r="BD595" s="1155"/>
      <c r="BE595" s="1155"/>
      <c r="BF595" s="1155"/>
      <c r="BG595" s="1155"/>
      <c r="BH595" s="1155"/>
      <c r="BI595" s="1155"/>
      <c r="BJ595" s="1155"/>
      <c r="BK595" s="1155"/>
      <c r="BL595" s="1155"/>
      <c r="BM595" s="1155"/>
      <c r="BN595" s="1155"/>
      <c r="BO595" s="1155"/>
      <c r="BP595" s="1155"/>
      <c r="BQ595" s="1155"/>
      <c r="BR595" s="1155"/>
      <c r="BS595" s="1155"/>
    </row>
    <row r="596" spans="5:71" s="474" customFormat="1" ht="13.5" thickBot="1">
      <c r="E596" s="4109"/>
      <c r="F596" s="1380" t="s">
        <v>581</v>
      </c>
      <c r="G596" s="1599"/>
      <c r="H596" s="1600"/>
      <c r="I596" s="1600"/>
      <c r="J596" s="1600"/>
      <c r="K596" s="1601"/>
      <c r="L596" s="1599"/>
      <c r="M596" s="1600"/>
      <c r="N596" s="1600"/>
      <c r="O596" s="1600"/>
      <c r="P596" s="1601"/>
      <c r="Q596" s="1602"/>
      <c r="R596" s="1600"/>
      <c r="S596" s="1600"/>
      <c r="T596" s="1600"/>
      <c r="U596" s="1601"/>
      <c r="V596" s="1172"/>
      <c r="W596" s="1614"/>
      <c r="X596" s="1615"/>
      <c r="Y596" s="1615"/>
      <c r="Z596" s="1615"/>
      <c r="AA596" s="1615"/>
      <c r="AB596" s="1615"/>
      <c r="AC596" s="1615"/>
      <c r="AD596" s="1615"/>
      <c r="AE596" s="1615"/>
      <c r="AF596" s="1615"/>
      <c r="AG596" s="1615"/>
      <c r="AH596" s="1616"/>
      <c r="AI596" s="1172"/>
      <c r="AJ596" s="1155"/>
      <c r="AK596" s="1155"/>
      <c r="AL596" s="259"/>
      <c r="AM596" s="466"/>
      <c r="AN596" s="466"/>
      <c r="AO596" s="466"/>
      <c r="AP596" s="283"/>
      <c r="AQ596" s="259"/>
      <c r="AR596" s="466"/>
      <c r="AS596" s="283"/>
      <c r="AT596" s="1155"/>
      <c r="AU596" s="1155"/>
      <c r="AV596" s="1155"/>
      <c r="AW596" s="1155"/>
      <c r="AX596" s="1155"/>
      <c r="AY596" s="1155"/>
      <c r="AZ596" s="1155"/>
      <c r="BA596" s="1155"/>
      <c r="BB596" s="1155"/>
      <c r="BC596" s="1155"/>
      <c r="BD596" s="1155"/>
      <c r="BE596" s="1155"/>
      <c r="BF596" s="1155"/>
      <c r="BG596" s="1155"/>
      <c r="BH596" s="1155"/>
      <c r="BI596" s="1155"/>
      <c r="BJ596" s="1155"/>
      <c r="BK596" s="1155"/>
      <c r="BL596" s="1155"/>
      <c r="BM596" s="1155"/>
      <c r="BN596" s="1155"/>
      <c r="BO596" s="1155"/>
      <c r="BP596" s="1155"/>
      <c r="BQ596" s="1155"/>
      <c r="BR596" s="1155"/>
      <c r="BS596" s="1155"/>
    </row>
    <row r="597" spans="5:71" s="474" customFormat="1">
      <c r="E597" s="4109"/>
      <c r="F597" s="1378" t="s">
        <v>584</v>
      </c>
      <c r="G597" s="1050">
        <v>0</v>
      </c>
      <c r="H597" s="1051">
        <v>0</v>
      </c>
      <c r="I597" s="1051">
        <v>0</v>
      </c>
      <c r="J597" s="1051">
        <v>0</v>
      </c>
      <c r="K597" s="1052">
        <v>0</v>
      </c>
      <c r="L597" s="1050">
        <f>SUM(L594:L596)</f>
        <v>0</v>
      </c>
      <c r="M597" s="1051">
        <f t="shared" ref="M597" si="2632">SUM(M594:M596)</f>
        <v>0</v>
      </c>
      <c r="N597" s="1051">
        <f t="shared" ref="N597" si="2633">SUM(N594:N596)</f>
        <v>2255514.52</v>
      </c>
      <c r="O597" s="1051">
        <f t="shared" ref="O597" si="2634">SUM(O594:O596)</f>
        <v>0</v>
      </c>
      <c r="P597" s="1052">
        <f t="shared" ref="P597" si="2635">SUM(P594:P596)</f>
        <v>0</v>
      </c>
      <c r="Q597" s="1092">
        <f t="shared" ref="Q597" si="2636">SUM(Q594:Q596)</f>
        <v>0</v>
      </c>
      <c r="R597" s="1051">
        <f t="shared" ref="R597" si="2637">SUM(R594:R596)</f>
        <v>0</v>
      </c>
      <c r="S597" s="1051">
        <f t="shared" ref="S597" si="2638">SUM(S594:S596)</f>
        <v>0</v>
      </c>
      <c r="T597" s="1051">
        <f t="shared" ref="T597" si="2639">SUM(T594:T596)</f>
        <v>0</v>
      </c>
      <c r="U597" s="1052">
        <f t="shared" ref="U597" si="2640">SUM(U594:U596)</f>
        <v>0</v>
      </c>
      <c r="V597" s="1172"/>
      <c r="W597" s="1050">
        <f t="shared" ref="W597" si="2641">SUM(W594:W596)</f>
        <v>0</v>
      </c>
      <c r="X597" s="1051">
        <f t="shared" ref="X597" si="2642">SUM(X594:X596)</f>
        <v>0</v>
      </c>
      <c r="Y597" s="1051">
        <f t="shared" ref="Y597" si="2643">SUM(Y594:Y596)</f>
        <v>0</v>
      </c>
      <c r="Z597" s="1051">
        <f t="shared" ref="Z597" si="2644">SUM(Z594:Z596)</f>
        <v>0</v>
      </c>
      <c r="AA597" s="1052">
        <f t="shared" ref="AA597" si="2645">SUM(AA594:AA596)</f>
        <v>0</v>
      </c>
      <c r="AB597" s="1053"/>
      <c r="AC597" s="1050">
        <f t="shared" ref="AC597" si="2646">SUM(AC594:AC596)</f>
        <v>0</v>
      </c>
      <c r="AD597" s="1051">
        <f t="shared" ref="AD597" si="2647">SUM(AD594:AD596)</f>
        <v>0</v>
      </c>
      <c r="AE597" s="1051">
        <f t="shared" ref="AE597" si="2648">SUM(AE594:AE596)</f>
        <v>0</v>
      </c>
      <c r="AF597" s="1051">
        <f t="shared" ref="AF597" si="2649">SUM(AF594:AF596)</f>
        <v>0</v>
      </c>
      <c r="AG597" s="1051">
        <f t="shared" ref="AG597" si="2650">SUM(AG594:AG596)</f>
        <v>0</v>
      </c>
      <c r="AH597" s="1054"/>
      <c r="AI597" s="1172"/>
      <c r="AJ597" s="130"/>
      <c r="AK597" s="130"/>
      <c r="AL597" s="1050">
        <f t="shared" ref="AL597:AR597" si="2651">SUM(AL595:AL596)</f>
        <v>0</v>
      </c>
      <c r="AM597" s="1051">
        <f t="shared" si="2651"/>
        <v>0</v>
      </c>
      <c r="AN597" s="1051">
        <f t="shared" si="2651"/>
        <v>0</v>
      </c>
      <c r="AO597" s="1051">
        <f t="shared" si="2651"/>
        <v>0</v>
      </c>
      <c r="AP597" s="1052">
        <f t="shared" si="2651"/>
        <v>0</v>
      </c>
      <c r="AQ597" s="1050">
        <f t="shared" si="2651"/>
        <v>0</v>
      </c>
      <c r="AR597" s="1051">
        <f t="shared" si="2651"/>
        <v>0</v>
      </c>
      <c r="AS597" s="1052"/>
      <c r="AT597" s="130"/>
      <c r="AU597" s="130"/>
      <c r="AV597" s="130"/>
      <c r="AW597" s="130"/>
      <c r="AX597" s="130"/>
      <c r="AY597" s="130"/>
      <c r="AZ597" s="130"/>
      <c r="BA597" s="130"/>
      <c r="BB597" s="130"/>
      <c r="BC597" s="130"/>
      <c r="BD597" s="130"/>
      <c r="BE597" s="130"/>
      <c r="BF597" s="130"/>
      <c r="BG597" s="130"/>
      <c r="BH597" s="130"/>
      <c r="BI597" s="130"/>
      <c r="BJ597" s="130"/>
      <c r="BK597" s="130"/>
      <c r="BL597" s="130"/>
      <c r="BM597" s="130"/>
      <c r="BN597" s="130"/>
      <c r="BO597" s="130"/>
      <c r="BP597" s="130"/>
      <c r="BQ597" s="130"/>
      <c r="BR597" s="130"/>
      <c r="BS597" s="1155"/>
    </row>
    <row r="598" spans="5:71" s="474" customFormat="1">
      <c r="E598" s="4109"/>
      <c r="F598" s="1389" t="s">
        <v>35</v>
      </c>
      <c r="G598" s="255"/>
      <c r="H598" s="461"/>
      <c r="I598" s="461"/>
      <c r="J598" s="461"/>
      <c r="K598" s="281"/>
      <c r="L598" s="255"/>
      <c r="M598" s="461"/>
      <c r="N598" s="461"/>
      <c r="O598" s="461"/>
      <c r="P598" s="281"/>
      <c r="Q598" s="956"/>
      <c r="R598" s="461"/>
      <c r="S598" s="461"/>
      <c r="T598" s="461"/>
      <c r="U598" s="281"/>
      <c r="V598" s="1172"/>
      <c r="W598" s="255"/>
      <c r="X598" s="461"/>
      <c r="Y598" s="461"/>
      <c r="Z598" s="461"/>
      <c r="AA598" s="281"/>
      <c r="AB598" s="1004"/>
      <c r="AC598" s="255"/>
      <c r="AD598" s="461"/>
      <c r="AE598" s="461"/>
      <c r="AF598" s="461"/>
      <c r="AG598" s="461"/>
      <c r="AH598" s="1047"/>
      <c r="AI598" s="1172"/>
      <c r="AJ598" s="1155"/>
      <c r="AK598" s="1155"/>
      <c r="AL598" s="259"/>
      <c r="AM598" s="466"/>
      <c r="AN598" s="466"/>
      <c r="AO598" s="466"/>
      <c r="AP598" s="283"/>
      <c r="AQ598" s="259"/>
      <c r="AR598" s="466"/>
      <c r="AS598" s="283"/>
      <c r="AT598" s="1155"/>
      <c r="AU598" s="1155"/>
      <c r="AV598" s="1155"/>
      <c r="AW598" s="1155"/>
      <c r="AX598" s="1155"/>
      <c r="AY598" s="1155"/>
      <c r="AZ598" s="1155"/>
      <c r="BA598" s="1155"/>
      <c r="BB598" s="1155"/>
      <c r="BC598" s="1155"/>
      <c r="BD598" s="1155"/>
      <c r="BE598" s="1155"/>
      <c r="BF598" s="1155"/>
      <c r="BG598" s="1155"/>
      <c r="BH598" s="1155"/>
      <c r="BI598" s="1155"/>
      <c r="BJ598" s="1155"/>
      <c r="BK598" s="1155"/>
      <c r="BL598" s="1155"/>
      <c r="BM598" s="1155"/>
      <c r="BN598" s="1155"/>
      <c r="BO598" s="1155"/>
      <c r="BP598" s="1155"/>
      <c r="BQ598" s="1155"/>
      <c r="BR598" s="1155"/>
      <c r="BS598" s="1155"/>
    </row>
    <row r="599" spans="5:71" s="474" customFormat="1" ht="13.5" thickBot="1">
      <c r="E599" s="4109"/>
      <c r="F599" s="1387" t="s">
        <v>585</v>
      </c>
      <c r="G599" s="1055">
        <v>0</v>
      </c>
      <c r="H599" s="1056">
        <v>0</v>
      </c>
      <c r="I599" s="1056">
        <v>0</v>
      </c>
      <c r="J599" s="1056">
        <v>0</v>
      </c>
      <c r="K599" s="1057">
        <v>0</v>
      </c>
      <c r="L599" s="1567">
        <f>L597-L598</f>
        <v>0</v>
      </c>
      <c r="M599" s="1056">
        <f t="shared" ref="M599" si="2652">M597-M598</f>
        <v>0</v>
      </c>
      <c r="N599" s="1056">
        <f t="shared" ref="N599" si="2653">N597-N598</f>
        <v>2255514.52</v>
      </c>
      <c r="O599" s="1056">
        <f t="shared" ref="O599" si="2654">O597-O598</f>
        <v>0</v>
      </c>
      <c r="P599" s="1057">
        <f t="shared" ref="P599" si="2655">P597-P598</f>
        <v>0</v>
      </c>
      <c r="Q599" s="1093">
        <f t="shared" ref="Q599" si="2656">Q597-Q598</f>
        <v>0</v>
      </c>
      <c r="R599" s="1056">
        <f t="shared" ref="R599" si="2657">R597-R598</f>
        <v>0</v>
      </c>
      <c r="S599" s="1056">
        <f t="shared" ref="S599" si="2658">S597-S598</f>
        <v>0</v>
      </c>
      <c r="T599" s="1056">
        <f t="shared" ref="T599" si="2659">T597-T598</f>
        <v>0</v>
      </c>
      <c r="U599" s="1057">
        <f t="shared" ref="U599" si="2660">U597-U598</f>
        <v>0</v>
      </c>
      <c r="V599" s="1172"/>
      <c r="W599" s="1055">
        <f t="shared" ref="W599" si="2661">W597-W598</f>
        <v>0</v>
      </c>
      <c r="X599" s="1056">
        <f t="shared" ref="X599" si="2662">X597-X598</f>
        <v>0</v>
      </c>
      <c r="Y599" s="1056">
        <f t="shared" ref="Y599" si="2663">Y597-Y598</f>
        <v>0</v>
      </c>
      <c r="Z599" s="1056">
        <f t="shared" ref="Z599" si="2664">Z597-Z598</f>
        <v>0</v>
      </c>
      <c r="AA599" s="1057">
        <f t="shared" ref="AA599" si="2665">AA597-AA598</f>
        <v>0</v>
      </c>
      <c r="AB599" s="1075"/>
      <c r="AC599" s="1055">
        <f t="shared" ref="AC599" si="2666">AC597-AC598</f>
        <v>0</v>
      </c>
      <c r="AD599" s="1056">
        <f t="shared" ref="AD599" si="2667">AD597-AD598</f>
        <v>0</v>
      </c>
      <c r="AE599" s="1056">
        <f t="shared" ref="AE599" si="2668">AE597-AE598</f>
        <v>0</v>
      </c>
      <c r="AF599" s="1056">
        <f t="shared" ref="AF599" si="2669">AF597-AF598</f>
        <v>0</v>
      </c>
      <c r="AG599" s="1056">
        <f t="shared" ref="AG599" si="2670">AG597-AG598</f>
        <v>0</v>
      </c>
      <c r="AH599" s="1059"/>
      <c r="AI599" s="1172"/>
      <c r="AJ599" s="1155"/>
      <c r="AK599" s="1155"/>
      <c r="AL599" s="1567">
        <f>AL597-AL598</f>
        <v>0</v>
      </c>
      <c r="AM599" s="1056">
        <f t="shared" ref="AM599:AR599" si="2671">AM597-AM598</f>
        <v>0</v>
      </c>
      <c r="AN599" s="1056">
        <f t="shared" si="2671"/>
        <v>0</v>
      </c>
      <c r="AO599" s="1056">
        <f t="shared" si="2671"/>
        <v>0</v>
      </c>
      <c r="AP599" s="1057">
        <f t="shared" si="2671"/>
        <v>0</v>
      </c>
      <c r="AQ599" s="1567">
        <f t="shared" si="2671"/>
        <v>0</v>
      </c>
      <c r="AR599" s="1056">
        <f t="shared" si="2671"/>
        <v>0</v>
      </c>
      <c r="AS599" s="1057"/>
      <c r="AT599" s="1155"/>
      <c r="AU599" s="1155"/>
      <c r="AV599" s="1155"/>
      <c r="AW599" s="1155"/>
      <c r="AX599" s="1155"/>
      <c r="AY599" s="1155"/>
      <c r="AZ599" s="1155"/>
      <c r="BA599" s="1155"/>
      <c r="BB599" s="1155"/>
      <c r="BC599" s="1155"/>
      <c r="BD599" s="1155"/>
      <c r="BE599" s="1155"/>
      <c r="BF599" s="1155"/>
      <c r="BG599" s="1155"/>
      <c r="BH599" s="1155"/>
      <c r="BI599" s="1155"/>
      <c r="BJ599" s="1155"/>
      <c r="BK599" s="1155"/>
      <c r="BL599" s="1155"/>
      <c r="BM599" s="1155"/>
      <c r="BN599" s="1155"/>
      <c r="BO599" s="1155"/>
      <c r="BP599" s="1155"/>
      <c r="BQ599" s="1155"/>
      <c r="BR599" s="1155"/>
      <c r="BS599" s="1155"/>
    </row>
    <row r="600" spans="5:71" s="474" customFormat="1" ht="12.75" customHeight="1">
      <c r="E600" s="4110" t="s">
        <v>1511</v>
      </c>
      <c r="F600" s="433" t="s">
        <v>111</v>
      </c>
      <c r="G600" s="1086"/>
      <c r="H600" s="1087"/>
      <c r="I600" s="1087"/>
      <c r="J600" s="1087"/>
      <c r="K600" s="1088"/>
      <c r="L600" s="258"/>
      <c r="M600" s="465"/>
      <c r="N600" s="465"/>
      <c r="O600" s="465"/>
      <c r="P600" s="282"/>
      <c r="Q600" s="965"/>
      <c r="R600" s="465"/>
      <c r="S600" s="465"/>
      <c r="T600" s="465"/>
      <c r="U600" s="282"/>
      <c r="V600" s="1172"/>
      <c r="W600" s="1043"/>
      <c r="X600" s="421"/>
      <c r="Y600" s="421"/>
      <c r="Z600" s="421"/>
      <c r="AA600" s="1044"/>
      <c r="AB600" s="1045"/>
      <c r="AC600" s="1043"/>
      <c r="AD600" s="421"/>
      <c r="AE600" s="421"/>
      <c r="AF600" s="421"/>
      <c r="AG600" s="421"/>
      <c r="AH600" s="1046"/>
      <c r="AI600" s="1172"/>
      <c r="AJ600" s="1155"/>
      <c r="AK600" s="1155"/>
      <c r="AL600" s="1086"/>
      <c r="AM600" s="1087"/>
      <c r="AN600" s="1087"/>
      <c r="AO600" s="1087"/>
      <c r="AP600" s="1088"/>
      <c r="AQ600" s="258"/>
      <c r="AR600" s="465"/>
      <c r="AS600" s="282"/>
      <c r="AT600" s="1155"/>
      <c r="AU600" s="1155"/>
      <c r="AV600" s="1155"/>
      <c r="AW600" s="1155"/>
      <c r="AX600" s="1155"/>
      <c r="AY600" s="1155"/>
      <c r="AZ600" s="1155"/>
      <c r="BA600" s="1155"/>
      <c r="BB600" s="1155"/>
      <c r="BC600" s="1155"/>
      <c r="BD600" s="1155"/>
      <c r="BE600" s="1155"/>
      <c r="BF600" s="1155"/>
      <c r="BG600" s="1155"/>
      <c r="BH600" s="1155"/>
      <c r="BI600" s="1155"/>
      <c r="BJ600" s="1155"/>
      <c r="BK600" s="1155"/>
      <c r="BL600" s="1155"/>
      <c r="BM600" s="1155"/>
      <c r="BN600" s="1155"/>
      <c r="BO600" s="1155"/>
      <c r="BP600" s="1155"/>
      <c r="BQ600" s="1155"/>
      <c r="BR600" s="1155"/>
      <c r="BS600" s="1155"/>
    </row>
    <row r="601" spans="5:71" s="474" customFormat="1" ht="12.75" customHeight="1">
      <c r="E601" s="4109"/>
      <c r="F601" s="1374" t="s">
        <v>588</v>
      </c>
      <c r="G601" s="1083"/>
      <c r="H601" s="1084"/>
      <c r="I601" s="1084"/>
      <c r="J601" s="1084"/>
      <c r="K601" s="1085"/>
      <c r="L601" s="255"/>
      <c r="M601" s="461"/>
      <c r="N601" s="461">
        <v>12035</v>
      </c>
      <c r="O601" s="461"/>
      <c r="P601" s="281"/>
      <c r="Q601" s="956"/>
      <c r="R601" s="461"/>
      <c r="S601" s="461"/>
      <c r="T601" s="461"/>
      <c r="U601" s="281"/>
      <c r="V601" s="1172"/>
      <c r="W601" s="255"/>
      <c r="X601" s="461"/>
      <c r="Y601" s="461"/>
      <c r="Z601" s="461"/>
      <c r="AA601" s="281"/>
      <c r="AB601" s="1041"/>
      <c r="AC601" s="255"/>
      <c r="AD601" s="461"/>
      <c r="AE601" s="461"/>
      <c r="AF601" s="461"/>
      <c r="AG601" s="461"/>
      <c r="AH601" s="1047"/>
      <c r="AI601" s="1172"/>
      <c r="AJ601" s="1155"/>
      <c r="AK601" s="1155"/>
      <c r="AL601" s="1083"/>
      <c r="AM601" s="1084"/>
      <c r="AN601" s="1084"/>
      <c r="AO601" s="1084"/>
      <c r="AP601" s="1085"/>
      <c r="AQ601" s="259"/>
      <c r="AR601" s="466"/>
      <c r="AS601" s="283"/>
      <c r="AT601" s="1155"/>
      <c r="AU601" s="1155"/>
      <c r="AV601" s="1155"/>
      <c r="AW601" s="1155"/>
      <c r="AX601" s="1155"/>
      <c r="AY601" s="1155"/>
      <c r="AZ601" s="1155"/>
      <c r="BA601" s="1155"/>
      <c r="BB601" s="1155"/>
      <c r="BC601" s="1155"/>
      <c r="BD601" s="1155"/>
      <c r="BE601" s="1155"/>
      <c r="BF601" s="1155"/>
      <c r="BG601" s="1155"/>
      <c r="BH601" s="1155"/>
      <c r="BI601" s="1155"/>
      <c r="BJ601" s="1155"/>
      <c r="BK601" s="1155"/>
      <c r="BL601" s="1155"/>
      <c r="BM601" s="1155"/>
      <c r="BN601" s="1155"/>
      <c r="BO601" s="1155"/>
      <c r="BP601" s="1155"/>
      <c r="BQ601" s="1155"/>
      <c r="BR601" s="1155"/>
      <c r="BS601" s="1155"/>
    </row>
    <row r="602" spans="5:71" s="474" customFormat="1" ht="12.75" customHeight="1">
      <c r="E602" s="4109"/>
      <c r="F602" s="1374" t="s">
        <v>589</v>
      </c>
      <c r="G602" s="1083"/>
      <c r="H602" s="1084"/>
      <c r="I602" s="1084"/>
      <c r="J602" s="1084"/>
      <c r="K602" s="1085"/>
      <c r="L602" s="255"/>
      <c r="M602" s="461"/>
      <c r="N602" s="461"/>
      <c r="O602" s="461"/>
      <c r="P602" s="281"/>
      <c r="Q602" s="956"/>
      <c r="R602" s="461"/>
      <c r="S602" s="461"/>
      <c r="T602" s="461"/>
      <c r="U602" s="281"/>
      <c r="V602" s="1172"/>
      <c r="W602" s="255"/>
      <c r="X602" s="461"/>
      <c r="Y602" s="461"/>
      <c r="Z602" s="461"/>
      <c r="AA602" s="281"/>
      <c r="AB602" s="1041"/>
      <c r="AC602" s="255"/>
      <c r="AD602" s="461"/>
      <c r="AE602" s="461"/>
      <c r="AF602" s="461"/>
      <c r="AG602" s="461"/>
      <c r="AH602" s="1047"/>
      <c r="AI602" s="1172"/>
      <c r="AJ602" s="1155"/>
      <c r="AK602" s="1155"/>
      <c r="AL602" s="1083"/>
      <c r="AM602" s="1084"/>
      <c r="AN602" s="1084"/>
      <c r="AO602" s="1084"/>
      <c r="AP602" s="1085"/>
      <c r="AQ602" s="259"/>
      <c r="AR602" s="466"/>
      <c r="AS602" s="283"/>
      <c r="AT602" s="1155"/>
      <c r="AU602" s="1155"/>
      <c r="AV602" s="1155"/>
      <c r="AW602" s="1155"/>
      <c r="AX602" s="1155"/>
      <c r="AY602" s="1155"/>
      <c r="AZ602" s="1155"/>
      <c r="BA602" s="1155"/>
      <c r="BB602" s="1155"/>
      <c r="BC602" s="1155"/>
      <c r="BD602" s="1155"/>
      <c r="BE602" s="1155"/>
      <c r="BF602" s="1155"/>
      <c r="BG602" s="1155"/>
      <c r="BH602" s="1155"/>
      <c r="BI602" s="1155"/>
      <c r="BJ602" s="1155"/>
      <c r="BK602" s="1155"/>
      <c r="BL602" s="1155"/>
      <c r="BM602" s="1155"/>
      <c r="BN602" s="1155"/>
      <c r="BO602" s="1155"/>
      <c r="BP602" s="1155"/>
      <c r="BQ602" s="1155"/>
      <c r="BR602" s="1155"/>
      <c r="BS602" s="1155"/>
    </row>
    <row r="603" spans="5:71" s="474" customFormat="1" ht="12.75" customHeight="1">
      <c r="E603" s="4109"/>
      <c r="F603" s="1374" t="s">
        <v>590</v>
      </c>
      <c r="G603" s="1083"/>
      <c r="H603" s="1084"/>
      <c r="I603" s="1084"/>
      <c r="J603" s="1084"/>
      <c r="K603" s="1085"/>
      <c r="L603" s="255"/>
      <c r="M603" s="461"/>
      <c r="N603" s="461"/>
      <c r="O603" s="461"/>
      <c r="P603" s="281"/>
      <c r="Q603" s="956"/>
      <c r="R603" s="461"/>
      <c r="S603" s="461"/>
      <c r="T603" s="461"/>
      <c r="U603" s="281"/>
      <c r="V603" s="1172"/>
      <c r="W603" s="255"/>
      <c r="X603" s="461"/>
      <c r="Y603" s="461"/>
      <c r="Z603" s="461"/>
      <c r="AA603" s="281"/>
      <c r="AB603" s="1041"/>
      <c r="AC603" s="255"/>
      <c r="AD603" s="461"/>
      <c r="AE603" s="461"/>
      <c r="AF603" s="461"/>
      <c r="AG603" s="461"/>
      <c r="AH603" s="1047"/>
      <c r="AI603" s="1172"/>
      <c r="AJ603" s="1155"/>
      <c r="AK603" s="1155"/>
      <c r="AL603" s="1083"/>
      <c r="AM603" s="1084"/>
      <c r="AN603" s="1084"/>
      <c r="AO603" s="1084"/>
      <c r="AP603" s="1085"/>
      <c r="AQ603" s="259"/>
      <c r="AR603" s="466"/>
      <c r="AS603" s="283"/>
      <c r="AT603" s="1155"/>
      <c r="AU603" s="1155"/>
      <c r="AV603" s="1155"/>
      <c r="AW603" s="1155"/>
      <c r="AX603" s="1155"/>
      <c r="AY603" s="1155"/>
      <c r="AZ603" s="1155"/>
      <c r="BA603" s="1155"/>
      <c r="BB603" s="1155"/>
      <c r="BC603" s="1155"/>
      <c r="BD603" s="1155"/>
      <c r="BE603" s="1155"/>
      <c r="BF603" s="1155"/>
      <c r="BG603" s="1155"/>
      <c r="BH603" s="1155"/>
      <c r="BI603" s="1155"/>
      <c r="BJ603" s="1155"/>
      <c r="BK603" s="1155"/>
      <c r="BL603" s="1155"/>
      <c r="BM603" s="1155"/>
      <c r="BN603" s="1155"/>
      <c r="BO603" s="1155"/>
      <c r="BP603" s="1155"/>
      <c r="BQ603" s="1155"/>
      <c r="BR603" s="1155"/>
      <c r="BS603" s="1155"/>
    </row>
    <row r="604" spans="5:71" s="474" customFormat="1" ht="12.75" customHeight="1">
      <c r="E604" s="4109"/>
      <c r="F604" s="1374" t="s">
        <v>591</v>
      </c>
      <c r="G604" s="1083"/>
      <c r="H604" s="1084"/>
      <c r="I604" s="1084"/>
      <c r="J604" s="1084"/>
      <c r="K604" s="1085"/>
      <c r="L604" s="255"/>
      <c r="M604" s="461"/>
      <c r="N604" s="461"/>
      <c r="O604" s="461"/>
      <c r="P604" s="281"/>
      <c r="Q604" s="956"/>
      <c r="R604" s="461"/>
      <c r="S604" s="461"/>
      <c r="T604" s="461"/>
      <c r="U604" s="281"/>
      <c r="V604" s="1172"/>
      <c r="W604" s="255"/>
      <c r="X604" s="461"/>
      <c r="Y604" s="461"/>
      <c r="Z604" s="461"/>
      <c r="AA604" s="281"/>
      <c r="AB604" s="1041"/>
      <c r="AC604" s="255"/>
      <c r="AD604" s="461"/>
      <c r="AE604" s="461"/>
      <c r="AF604" s="461"/>
      <c r="AG604" s="461"/>
      <c r="AH604" s="1047"/>
      <c r="AI604" s="1172"/>
      <c r="AJ604" s="1155"/>
      <c r="AK604" s="1155"/>
      <c r="AL604" s="1083"/>
      <c r="AM604" s="1084"/>
      <c r="AN604" s="1084"/>
      <c r="AO604" s="1084"/>
      <c r="AP604" s="1085"/>
      <c r="AQ604" s="259"/>
      <c r="AR604" s="466"/>
      <c r="AS604" s="283"/>
      <c r="AT604" s="1155"/>
      <c r="AU604" s="1155"/>
      <c r="AV604" s="1155"/>
      <c r="AW604" s="1155"/>
      <c r="AX604" s="1155"/>
      <c r="AY604" s="1155"/>
      <c r="AZ604" s="1155"/>
      <c r="BA604" s="1155"/>
      <c r="BB604" s="1155"/>
      <c r="BC604" s="1155"/>
      <c r="BD604" s="1155"/>
      <c r="BE604" s="1155"/>
      <c r="BF604" s="1155"/>
      <c r="BG604" s="1155"/>
      <c r="BH604" s="1155"/>
      <c r="BI604" s="1155"/>
      <c r="BJ604" s="1155"/>
      <c r="BK604" s="1155"/>
      <c r="BL604" s="1155"/>
      <c r="BM604" s="1155"/>
      <c r="BN604" s="1155"/>
      <c r="BO604" s="1155"/>
      <c r="BP604" s="1155"/>
      <c r="BQ604" s="1155"/>
      <c r="BR604" s="1155"/>
      <c r="BS604" s="1155"/>
    </row>
    <row r="605" spans="5:71" s="474" customFormat="1" ht="12.75" customHeight="1">
      <c r="E605" s="4109"/>
      <c r="F605" s="1374" t="s">
        <v>592</v>
      </c>
      <c r="G605" s="1083"/>
      <c r="H605" s="1084"/>
      <c r="I605" s="1084"/>
      <c r="J605" s="1084"/>
      <c r="K605" s="1085"/>
      <c r="L605" s="207"/>
      <c r="M605" s="456"/>
      <c r="N605" s="456"/>
      <c r="O605" s="456"/>
      <c r="P605" s="457"/>
      <c r="Q605" s="224"/>
      <c r="R605" s="456"/>
      <c r="S605" s="456"/>
      <c r="T605" s="456"/>
      <c r="U605" s="457"/>
      <c r="V605" s="1172"/>
      <c r="W605" s="207">
        <v>0</v>
      </c>
      <c r="X605" s="456">
        <v>0</v>
      </c>
      <c r="Y605" s="456">
        <v>0</v>
      </c>
      <c r="Z605" s="456">
        <v>0</v>
      </c>
      <c r="AA605" s="457">
        <v>0</v>
      </c>
      <c r="AB605" s="1041"/>
      <c r="AC605" s="207">
        <v>0</v>
      </c>
      <c r="AD605" s="456">
        <v>0</v>
      </c>
      <c r="AE605" s="456">
        <v>0</v>
      </c>
      <c r="AF605" s="456">
        <v>0</v>
      </c>
      <c r="AG605" s="456">
        <v>0</v>
      </c>
      <c r="AH605" s="1048"/>
      <c r="AI605" s="1172"/>
      <c r="AJ605" s="1155"/>
      <c r="AK605" s="1155"/>
      <c r="AL605" s="1083"/>
      <c r="AM605" s="1084"/>
      <c r="AN605" s="1084"/>
      <c r="AO605" s="1084"/>
      <c r="AP605" s="1085"/>
      <c r="AQ605" s="207">
        <f>SUM(AQ600:AQ604)</f>
        <v>0</v>
      </c>
      <c r="AR605" s="456">
        <f t="shared" ref="AR605" si="2672">SUM(AR600:AR604)</f>
        <v>0</v>
      </c>
      <c r="AS605" s="457"/>
      <c r="AT605" s="1155"/>
      <c r="AU605" s="1155"/>
      <c r="AV605" s="1155"/>
      <c r="AW605" s="1155"/>
      <c r="AX605" s="1155"/>
      <c r="AY605" s="1155"/>
      <c r="AZ605" s="1155"/>
      <c r="BA605" s="1155"/>
      <c r="BB605" s="1155"/>
      <c r="BC605" s="1155"/>
      <c r="BD605" s="1155"/>
      <c r="BE605" s="1155"/>
      <c r="BF605" s="1155"/>
      <c r="BG605" s="1155"/>
      <c r="BH605" s="1155"/>
      <c r="BI605" s="1155"/>
      <c r="BJ605" s="1155"/>
      <c r="BK605" s="1155"/>
      <c r="BL605" s="1155"/>
      <c r="BM605" s="1155"/>
      <c r="BN605" s="1155"/>
      <c r="BO605" s="1155"/>
      <c r="BP605" s="1155"/>
      <c r="BQ605" s="1155"/>
      <c r="BR605" s="1155"/>
      <c r="BS605" s="1155"/>
    </row>
    <row r="606" spans="5:71" s="474" customFormat="1">
      <c r="E606" s="4109"/>
      <c r="F606" s="1375" t="s">
        <v>587</v>
      </c>
      <c r="G606" s="1086"/>
      <c r="H606" s="1087"/>
      <c r="I606" s="1087"/>
      <c r="J606" s="1087"/>
      <c r="K606" s="1088"/>
      <c r="L606" s="258">
        <f>SUM(L601:L605)</f>
        <v>0</v>
      </c>
      <c r="M606" s="465">
        <f t="shared" ref="M606" si="2673">SUM(M601:M605)</f>
        <v>0</v>
      </c>
      <c r="N606" s="465">
        <f t="shared" ref="N606" si="2674">SUM(N601:N605)</f>
        <v>12035</v>
      </c>
      <c r="O606" s="465">
        <f t="shared" ref="O606" si="2675">SUM(O601:O605)</f>
        <v>0</v>
      </c>
      <c r="P606" s="282">
        <f t="shared" ref="P606" si="2676">SUM(P601:P605)</f>
        <v>0</v>
      </c>
      <c r="Q606" s="965">
        <f t="shared" ref="Q606" si="2677">SUM(Q601:Q605)</f>
        <v>0</v>
      </c>
      <c r="R606" s="465">
        <f t="shared" ref="R606" si="2678">SUM(R601:R605)</f>
        <v>0</v>
      </c>
      <c r="S606" s="465">
        <f t="shared" ref="S606" si="2679">SUM(S601:S605)</f>
        <v>0</v>
      </c>
      <c r="T606" s="465">
        <f t="shared" ref="T606" si="2680">SUM(T601:T605)</f>
        <v>0</v>
      </c>
      <c r="U606" s="282">
        <f t="shared" ref="U606" si="2681">SUM(U601:U605)</f>
        <v>0</v>
      </c>
      <c r="V606" s="1172"/>
      <c r="W606" s="258">
        <f t="shared" ref="W606" si="2682">SUM(W601:W605)</f>
        <v>0</v>
      </c>
      <c r="X606" s="465">
        <f t="shared" ref="X606" si="2683">SUM(X601:X605)</f>
        <v>0</v>
      </c>
      <c r="Y606" s="465">
        <f t="shared" ref="Y606" si="2684">SUM(Y601:Y605)</f>
        <v>0</v>
      </c>
      <c r="Z606" s="465">
        <f t="shared" ref="Z606" si="2685">SUM(Z601:Z605)</f>
        <v>0</v>
      </c>
      <c r="AA606" s="282">
        <f t="shared" ref="AA606" si="2686">SUM(AA601:AA605)</f>
        <v>0</v>
      </c>
      <c r="AB606" s="992"/>
      <c r="AC606" s="258">
        <f t="shared" ref="AC606" si="2687">SUM(AC601:AC605)</f>
        <v>0</v>
      </c>
      <c r="AD606" s="465">
        <f t="shared" ref="AD606" si="2688">SUM(AD601:AD605)</f>
        <v>0</v>
      </c>
      <c r="AE606" s="465">
        <f t="shared" ref="AE606" si="2689">SUM(AE601:AE605)</f>
        <v>0</v>
      </c>
      <c r="AF606" s="465">
        <f t="shared" ref="AF606" si="2690">SUM(AF601:AF605)</f>
        <v>0</v>
      </c>
      <c r="AG606" s="465">
        <f t="shared" ref="AG606" si="2691">SUM(AG601:AG605)</f>
        <v>0</v>
      </c>
      <c r="AH606" s="1049"/>
      <c r="AI606" s="1172"/>
      <c r="AJ606" s="1155"/>
      <c r="AK606" s="1155"/>
      <c r="AL606" s="1086"/>
      <c r="AM606" s="1087"/>
      <c r="AN606" s="1087"/>
      <c r="AO606" s="1087"/>
      <c r="AP606" s="1088"/>
      <c r="AQ606" s="258"/>
      <c r="AR606" s="465"/>
      <c r="AS606" s="282"/>
      <c r="AT606" s="1155"/>
      <c r="AU606" s="1155"/>
      <c r="AV606" s="1155"/>
      <c r="AW606" s="1155"/>
      <c r="AX606" s="1155"/>
      <c r="AY606" s="1155"/>
      <c r="AZ606" s="1155"/>
      <c r="BA606" s="1155"/>
      <c r="BB606" s="1155"/>
      <c r="BC606" s="1155"/>
      <c r="BD606" s="1155"/>
      <c r="BE606" s="1155"/>
      <c r="BF606" s="1155"/>
      <c r="BG606" s="1155"/>
      <c r="BH606" s="1155"/>
      <c r="BI606" s="1155"/>
      <c r="BJ606" s="1155"/>
      <c r="BK606" s="1155"/>
      <c r="BL606" s="1155"/>
      <c r="BM606" s="1155"/>
      <c r="BN606" s="1155"/>
      <c r="BO606" s="1155"/>
      <c r="BP606" s="1155"/>
      <c r="BQ606" s="1155"/>
      <c r="BR606" s="1155"/>
      <c r="BS606" s="1155"/>
    </row>
    <row r="607" spans="5:71" s="474" customFormat="1">
      <c r="E607" s="4109"/>
      <c r="F607" s="1376" t="s">
        <v>593</v>
      </c>
      <c r="G607" s="1083"/>
      <c r="H607" s="1084"/>
      <c r="I607" s="1084"/>
      <c r="J607" s="1084"/>
      <c r="K607" s="1085"/>
      <c r="L607" s="255"/>
      <c r="M607" s="461"/>
      <c r="N607" s="461"/>
      <c r="O607" s="461"/>
      <c r="P607" s="281"/>
      <c r="Q607" s="956"/>
      <c r="R607" s="461"/>
      <c r="S607" s="461"/>
      <c r="T607" s="461"/>
      <c r="U607" s="281"/>
      <c r="V607" s="1172"/>
      <c r="W607" s="255"/>
      <c r="X607" s="461"/>
      <c r="Y607" s="461"/>
      <c r="Z607" s="461"/>
      <c r="AA607" s="281"/>
      <c r="AB607" s="1041"/>
      <c r="AC607" s="255"/>
      <c r="AD607" s="461"/>
      <c r="AE607" s="461"/>
      <c r="AF607" s="461"/>
      <c r="AG607" s="461"/>
      <c r="AH607" s="1047"/>
      <c r="AI607" s="1172"/>
      <c r="AJ607" s="1155"/>
      <c r="AK607" s="1155"/>
      <c r="AL607" s="1083"/>
      <c r="AM607" s="1084"/>
      <c r="AN607" s="1084"/>
      <c r="AO607" s="1084"/>
      <c r="AP607" s="1085"/>
      <c r="AQ607" s="259"/>
      <c r="AR607" s="466"/>
      <c r="AS607" s="283"/>
      <c r="AT607" s="1155"/>
      <c r="AU607" s="1155"/>
      <c r="AV607" s="1155"/>
      <c r="AW607" s="1155"/>
      <c r="AX607" s="1155"/>
      <c r="AY607" s="1155"/>
      <c r="AZ607" s="1155"/>
      <c r="BA607" s="1155"/>
      <c r="BB607" s="1155"/>
      <c r="BC607" s="1155"/>
      <c r="BD607" s="1155"/>
      <c r="BE607" s="1155"/>
      <c r="BF607" s="1155"/>
      <c r="BG607" s="1155"/>
      <c r="BH607" s="1155"/>
      <c r="BI607" s="1155"/>
      <c r="BJ607" s="1155"/>
      <c r="BK607" s="1155"/>
      <c r="BL607" s="1155"/>
      <c r="BM607" s="1155"/>
      <c r="BN607" s="1155"/>
      <c r="BO607" s="1155"/>
      <c r="BP607" s="1155"/>
      <c r="BQ607" s="1155"/>
      <c r="BR607" s="1155"/>
      <c r="BS607" s="1155"/>
    </row>
    <row r="608" spans="5:71" s="474" customFormat="1">
      <c r="E608" s="4109"/>
      <c r="F608" s="431" t="s">
        <v>558</v>
      </c>
      <c r="G608" s="1083"/>
      <c r="H608" s="1084"/>
      <c r="I608" s="1084"/>
      <c r="J608" s="1084"/>
      <c r="K608" s="1085"/>
      <c r="L608" s="255"/>
      <c r="M608" s="461"/>
      <c r="N608" s="461">
        <v>2932695.94</v>
      </c>
      <c r="O608" s="461"/>
      <c r="P608" s="281"/>
      <c r="Q608" s="956"/>
      <c r="R608" s="461"/>
      <c r="S608" s="461"/>
      <c r="T608" s="461"/>
      <c r="U608" s="281"/>
      <c r="V608" s="1172"/>
      <c r="W608" s="255"/>
      <c r="X608" s="461"/>
      <c r="Y608" s="461"/>
      <c r="Z608" s="461"/>
      <c r="AA608" s="281"/>
      <c r="AB608" s="1041"/>
      <c r="AC608" s="255"/>
      <c r="AD608" s="461"/>
      <c r="AE608" s="461"/>
      <c r="AF608" s="461"/>
      <c r="AG608" s="461"/>
      <c r="AH608" s="1047"/>
      <c r="AI608" s="1172"/>
      <c r="AJ608" s="1155"/>
      <c r="AK608" s="1155"/>
      <c r="AL608" s="1083"/>
      <c r="AM608" s="1084"/>
      <c r="AN608" s="1084"/>
      <c r="AO608" s="1084"/>
      <c r="AP608" s="1085"/>
      <c r="AQ608" s="259"/>
      <c r="AR608" s="466"/>
      <c r="AS608" s="283"/>
      <c r="AT608" s="1155"/>
      <c r="AU608" s="1155"/>
      <c r="AV608" s="1155"/>
      <c r="AW608" s="1155"/>
      <c r="AX608" s="1155"/>
      <c r="AY608" s="1155"/>
      <c r="AZ608" s="1155"/>
      <c r="BA608" s="1155"/>
      <c r="BB608" s="1155"/>
      <c r="BC608" s="1155"/>
      <c r="BD608" s="1155"/>
      <c r="BE608" s="1155"/>
      <c r="BF608" s="1155"/>
      <c r="BG608" s="1155"/>
      <c r="BH608" s="1155"/>
      <c r="BI608" s="1155"/>
      <c r="BJ608" s="1155"/>
      <c r="BK608" s="1155"/>
      <c r="BL608" s="1155"/>
      <c r="BM608" s="1155"/>
      <c r="BN608" s="1155"/>
      <c r="BO608" s="1155"/>
      <c r="BP608" s="1155"/>
      <c r="BQ608" s="1155"/>
      <c r="BR608" s="1155"/>
      <c r="BS608" s="1155"/>
    </row>
    <row r="609" spans="5:71" s="474" customFormat="1">
      <c r="E609" s="4109"/>
      <c r="F609" s="431" t="s">
        <v>559</v>
      </c>
      <c r="G609" s="1083"/>
      <c r="H609" s="1084"/>
      <c r="I609" s="1084"/>
      <c r="J609" s="1084"/>
      <c r="K609" s="1085"/>
      <c r="L609" s="255"/>
      <c r="M609" s="461"/>
      <c r="N609" s="461"/>
      <c r="O609" s="461"/>
      <c r="P609" s="281"/>
      <c r="Q609" s="956"/>
      <c r="R609" s="461"/>
      <c r="S609" s="461"/>
      <c r="T609" s="461"/>
      <c r="U609" s="281"/>
      <c r="V609" s="1172"/>
      <c r="W609" s="255"/>
      <c r="X609" s="461"/>
      <c r="Y609" s="461"/>
      <c r="Z609" s="461"/>
      <c r="AA609" s="281"/>
      <c r="AB609" s="1041"/>
      <c r="AC609" s="255"/>
      <c r="AD609" s="461"/>
      <c r="AE609" s="461"/>
      <c r="AF609" s="461"/>
      <c r="AG609" s="461"/>
      <c r="AH609" s="1047"/>
      <c r="AI609" s="1172"/>
      <c r="AJ609" s="1155"/>
      <c r="AK609" s="1155"/>
      <c r="AL609" s="1083"/>
      <c r="AM609" s="1084"/>
      <c r="AN609" s="1084"/>
      <c r="AO609" s="1084"/>
      <c r="AP609" s="1085"/>
      <c r="AQ609" s="259"/>
      <c r="AR609" s="466"/>
      <c r="AS609" s="283"/>
      <c r="AT609" s="1155"/>
      <c r="AU609" s="1155"/>
      <c r="AV609" s="1155"/>
      <c r="AW609" s="1155"/>
      <c r="AX609" s="1155"/>
      <c r="AY609" s="1155"/>
      <c r="AZ609" s="1155"/>
      <c r="BA609" s="1155"/>
      <c r="BB609" s="1155"/>
      <c r="BC609" s="1155"/>
      <c r="BD609" s="1155"/>
      <c r="BE609" s="1155"/>
      <c r="BF609" s="1155"/>
      <c r="BG609" s="1155"/>
      <c r="BH609" s="1155"/>
      <c r="BI609" s="1155"/>
      <c r="BJ609" s="1155"/>
      <c r="BK609" s="1155"/>
      <c r="BL609" s="1155"/>
      <c r="BM609" s="1155"/>
      <c r="BN609" s="1155"/>
      <c r="BO609" s="1155"/>
      <c r="BP609" s="1155"/>
      <c r="BQ609" s="1155"/>
      <c r="BR609" s="1155"/>
      <c r="BS609" s="1155"/>
    </row>
    <row r="610" spans="5:71" s="474" customFormat="1">
      <c r="E610" s="4109"/>
      <c r="F610" s="431" t="s">
        <v>578</v>
      </c>
      <c r="G610" s="1089"/>
      <c r="H610" s="1090"/>
      <c r="I610" s="1090"/>
      <c r="J610" s="1090"/>
      <c r="K610" s="1091"/>
      <c r="L610" s="259"/>
      <c r="M610" s="456"/>
      <c r="N610" s="456"/>
      <c r="O610" s="456"/>
      <c r="P610" s="457"/>
      <c r="Q610" s="224"/>
      <c r="R610" s="456"/>
      <c r="S610" s="456"/>
      <c r="T610" s="456"/>
      <c r="U610" s="457"/>
      <c r="V610" s="1172"/>
      <c r="W610" s="207"/>
      <c r="X610" s="456"/>
      <c r="Y610" s="456"/>
      <c r="Z610" s="456"/>
      <c r="AA610" s="457"/>
      <c r="AB610" s="1041"/>
      <c r="AC610" s="207"/>
      <c r="AD610" s="456"/>
      <c r="AE610" s="456"/>
      <c r="AF610" s="456"/>
      <c r="AG610" s="456"/>
      <c r="AH610" s="1048"/>
      <c r="AI610" s="1172"/>
      <c r="AJ610" s="1155"/>
      <c r="AK610" s="1155"/>
      <c r="AL610" s="1089"/>
      <c r="AM610" s="1090"/>
      <c r="AN610" s="1090"/>
      <c r="AO610" s="1090"/>
      <c r="AP610" s="1091"/>
      <c r="AQ610" s="259"/>
      <c r="AR610" s="456"/>
      <c r="AS610" s="457"/>
      <c r="AT610" s="1155"/>
      <c r="AU610" s="1155"/>
      <c r="AV610" s="1155"/>
      <c r="AW610" s="1155"/>
      <c r="AX610" s="1155"/>
      <c r="AY610" s="1155"/>
      <c r="AZ610" s="1155"/>
      <c r="BA610" s="1155"/>
      <c r="BB610" s="1155"/>
      <c r="BC610" s="1155"/>
      <c r="BD610" s="1155"/>
      <c r="BE610" s="1155"/>
      <c r="BF610" s="1155"/>
      <c r="BG610" s="1155"/>
      <c r="BH610" s="1155"/>
      <c r="BI610" s="1155"/>
      <c r="BJ610" s="1155"/>
      <c r="BK610" s="1155"/>
      <c r="BL610" s="1155"/>
      <c r="BM610" s="1155"/>
      <c r="BN610" s="1155"/>
      <c r="BO610" s="1155"/>
      <c r="BP610" s="1155"/>
      <c r="BQ610" s="1155"/>
      <c r="BR610" s="1155"/>
      <c r="BS610" s="1155"/>
    </row>
    <row r="611" spans="5:71" s="474" customFormat="1">
      <c r="E611" s="4109"/>
      <c r="F611" s="1377" t="s">
        <v>579</v>
      </c>
      <c r="G611" s="1086"/>
      <c r="H611" s="1087"/>
      <c r="I611" s="1087"/>
      <c r="J611" s="1087"/>
      <c r="K611" s="1088"/>
      <c r="L611" s="258">
        <f>SUM(L607:L610)</f>
        <v>0</v>
      </c>
      <c r="M611" s="465">
        <f t="shared" ref="M611" si="2692">SUM(M607:M610)</f>
        <v>0</v>
      </c>
      <c r="N611" s="465">
        <f t="shared" ref="N611" si="2693">SUM(N607:N610)</f>
        <v>2932695.94</v>
      </c>
      <c r="O611" s="465">
        <f t="shared" ref="O611" si="2694">SUM(O607:O610)</f>
        <v>0</v>
      </c>
      <c r="P611" s="282">
        <f t="shared" ref="P611" si="2695">SUM(P607:P610)</f>
        <v>0</v>
      </c>
      <c r="Q611" s="965">
        <f t="shared" ref="Q611" si="2696">SUM(Q607:Q610)</f>
        <v>0</v>
      </c>
      <c r="R611" s="465">
        <f t="shared" ref="R611" si="2697">SUM(R607:R610)</f>
        <v>0</v>
      </c>
      <c r="S611" s="465">
        <f t="shared" ref="S611" si="2698">SUM(S607:S610)</f>
        <v>0</v>
      </c>
      <c r="T611" s="465">
        <f t="shared" ref="T611" si="2699">SUM(T607:T610)</f>
        <v>0</v>
      </c>
      <c r="U611" s="282">
        <f t="shared" ref="U611" si="2700">SUM(U607:U610)</f>
        <v>0</v>
      </c>
      <c r="V611" s="1172"/>
      <c r="W611" s="258">
        <f t="shared" ref="W611" si="2701">SUM(W607:W610)</f>
        <v>0</v>
      </c>
      <c r="X611" s="465">
        <f t="shared" ref="X611" si="2702">SUM(X607:X610)</f>
        <v>0</v>
      </c>
      <c r="Y611" s="465">
        <f t="shared" ref="Y611" si="2703">SUM(Y607:Y610)</f>
        <v>0</v>
      </c>
      <c r="Z611" s="465">
        <f t="shared" ref="Z611" si="2704">SUM(Z607:Z610)</f>
        <v>0</v>
      </c>
      <c r="AA611" s="282">
        <f t="shared" ref="AA611" si="2705">SUM(AA607:AA610)</f>
        <v>0</v>
      </c>
      <c r="AB611" s="992"/>
      <c r="AC611" s="258">
        <f t="shared" ref="AC611" si="2706">SUM(AC607:AC610)</f>
        <v>0</v>
      </c>
      <c r="AD611" s="465">
        <f t="shared" ref="AD611" si="2707">SUM(AD607:AD610)</f>
        <v>0</v>
      </c>
      <c r="AE611" s="465">
        <f t="shared" ref="AE611" si="2708">SUM(AE607:AE610)</f>
        <v>0</v>
      </c>
      <c r="AF611" s="465">
        <f t="shared" ref="AF611" si="2709">SUM(AF607:AF610)</f>
        <v>0</v>
      </c>
      <c r="AG611" s="465">
        <f t="shared" ref="AG611" si="2710">SUM(AG607:AG610)</f>
        <v>0</v>
      </c>
      <c r="AH611" s="1049"/>
      <c r="AI611" s="1172"/>
      <c r="AJ611" s="1155"/>
      <c r="AK611" s="1155"/>
      <c r="AL611" s="1086"/>
      <c r="AM611" s="1087"/>
      <c r="AN611" s="1087"/>
      <c r="AO611" s="1087"/>
      <c r="AP611" s="1088"/>
      <c r="AQ611" s="258">
        <f>SUM(AQ608:AQ610)</f>
        <v>0</v>
      </c>
      <c r="AR611" s="465">
        <f t="shared" ref="AR611" si="2711">SUM(AR608:AR610)</f>
        <v>0</v>
      </c>
      <c r="AS611" s="282"/>
      <c r="AT611" s="1155"/>
      <c r="AU611" s="1155"/>
      <c r="AV611" s="1155"/>
      <c r="AW611" s="1155"/>
      <c r="AX611" s="1155"/>
      <c r="AY611" s="1155"/>
      <c r="AZ611" s="1155"/>
      <c r="BA611" s="1155"/>
      <c r="BB611" s="1155"/>
      <c r="BC611" s="1155"/>
      <c r="BD611" s="1155"/>
      <c r="BE611" s="1155"/>
      <c r="BF611" s="1155"/>
      <c r="BG611" s="1155"/>
      <c r="BH611" s="1155"/>
      <c r="BI611" s="1155"/>
      <c r="BJ611" s="1155"/>
      <c r="BK611" s="1155"/>
      <c r="BL611" s="1155"/>
      <c r="BM611" s="1155"/>
      <c r="BN611" s="1155"/>
      <c r="BO611" s="1155"/>
      <c r="BP611" s="1155"/>
      <c r="BQ611" s="1155"/>
      <c r="BR611" s="1155"/>
      <c r="BS611" s="1155"/>
    </row>
    <row r="612" spans="5:71" s="474" customFormat="1" ht="13.5" thickBot="1">
      <c r="E612" s="4109"/>
      <c r="F612" s="1385" t="s">
        <v>583</v>
      </c>
      <c r="G612" s="255"/>
      <c r="H612" s="461"/>
      <c r="I612" s="461"/>
      <c r="J612" s="461"/>
      <c r="K612" s="281"/>
      <c r="L612" s="207"/>
      <c r="M612" s="456"/>
      <c r="N612" s="456"/>
      <c r="O612" s="456"/>
      <c r="P612" s="457"/>
      <c r="Q612" s="224"/>
      <c r="R612" s="456"/>
      <c r="S612" s="456"/>
      <c r="T612" s="456"/>
      <c r="U612" s="457"/>
      <c r="V612" s="1172"/>
      <c r="W612" s="207"/>
      <c r="X612" s="461"/>
      <c r="Y612" s="461"/>
      <c r="Z612" s="461"/>
      <c r="AA612" s="281"/>
      <c r="AB612" s="1041"/>
      <c r="AC612" s="207"/>
      <c r="AD612" s="456"/>
      <c r="AE612" s="456"/>
      <c r="AF612" s="456"/>
      <c r="AG612" s="456"/>
      <c r="AH612" s="1048"/>
      <c r="AI612" s="1172"/>
      <c r="AJ612" s="1155"/>
      <c r="AK612" s="1155"/>
      <c r="AL612" s="259"/>
      <c r="AM612" s="466"/>
      <c r="AN612" s="466"/>
      <c r="AO612" s="466"/>
      <c r="AP612" s="283"/>
      <c r="AQ612" s="259"/>
      <c r="AR612" s="466"/>
      <c r="AS612" s="283"/>
      <c r="AT612" s="1155"/>
      <c r="AU612" s="1155"/>
      <c r="AV612" s="1155"/>
      <c r="AW612" s="1155"/>
      <c r="AX612" s="1155"/>
      <c r="AY612" s="1155"/>
      <c r="AZ612" s="1155"/>
      <c r="BA612" s="1155"/>
      <c r="BB612" s="1155"/>
      <c r="BC612" s="1155"/>
      <c r="BD612" s="1155"/>
      <c r="BE612" s="1155"/>
      <c r="BF612" s="1155"/>
      <c r="BG612" s="1155"/>
      <c r="BH612" s="1155"/>
      <c r="BI612" s="1155"/>
      <c r="BJ612" s="1155"/>
      <c r="BK612" s="1155"/>
      <c r="BL612" s="1155"/>
      <c r="BM612" s="1155"/>
      <c r="BN612" s="1155"/>
      <c r="BO612" s="1155"/>
      <c r="BP612" s="1155"/>
      <c r="BQ612" s="1155"/>
      <c r="BR612" s="1155"/>
      <c r="BS612" s="1155"/>
    </row>
    <row r="613" spans="5:71" s="474" customFormat="1" ht="13.5" thickBot="1">
      <c r="E613" s="4109"/>
      <c r="F613" s="1384" t="s">
        <v>581</v>
      </c>
      <c r="G613" s="1599"/>
      <c r="H613" s="1600"/>
      <c r="I613" s="1600"/>
      <c r="J613" s="1600"/>
      <c r="K613" s="1601"/>
      <c r="L613" s="1599"/>
      <c r="M613" s="1600"/>
      <c r="N613" s="1600"/>
      <c r="O613" s="1600"/>
      <c r="P613" s="1601"/>
      <c r="Q613" s="1602"/>
      <c r="R613" s="1600"/>
      <c r="S613" s="1600"/>
      <c r="T613" s="1600"/>
      <c r="U613" s="1601"/>
      <c r="V613" s="1172"/>
      <c r="W613" s="1614"/>
      <c r="X613" s="1615"/>
      <c r="Y613" s="1615"/>
      <c r="Z613" s="1615"/>
      <c r="AA613" s="1615"/>
      <c r="AB613" s="1615"/>
      <c r="AC613" s="1615"/>
      <c r="AD613" s="1615"/>
      <c r="AE613" s="1615"/>
      <c r="AF613" s="1615"/>
      <c r="AG613" s="1615"/>
      <c r="AH613" s="1616"/>
      <c r="AI613" s="1172"/>
      <c r="AJ613" s="1155"/>
      <c r="AK613" s="1155"/>
      <c r="AL613" s="259"/>
      <c r="AM613" s="466"/>
      <c r="AN613" s="466"/>
      <c r="AO613" s="466"/>
      <c r="AP613" s="283"/>
      <c r="AQ613" s="259"/>
      <c r="AR613" s="466"/>
      <c r="AS613" s="283"/>
      <c r="AT613" s="1155"/>
      <c r="AU613" s="1155"/>
      <c r="AV613" s="1155"/>
      <c r="AW613" s="1155"/>
      <c r="AX613" s="1155"/>
      <c r="AY613" s="1155"/>
      <c r="AZ613" s="1155"/>
      <c r="BA613" s="1155"/>
      <c r="BB613" s="1155"/>
      <c r="BC613" s="1155"/>
      <c r="BD613" s="1155"/>
      <c r="BE613" s="1155"/>
      <c r="BF613" s="1155"/>
      <c r="BG613" s="1155"/>
      <c r="BH613" s="1155"/>
      <c r="BI613" s="1155"/>
      <c r="BJ613" s="1155"/>
      <c r="BK613" s="1155"/>
      <c r="BL613" s="1155"/>
      <c r="BM613" s="1155"/>
      <c r="BN613" s="1155"/>
      <c r="BO613" s="1155"/>
      <c r="BP613" s="1155"/>
      <c r="BQ613" s="1155"/>
      <c r="BR613" s="1155"/>
      <c r="BS613" s="1155"/>
    </row>
    <row r="614" spans="5:71" s="474" customFormat="1">
      <c r="E614" s="4109"/>
      <c r="F614" s="1386" t="s">
        <v>584</v>
      </c>
      <c r="G614" s="1050">
        <v>0</v>
      </c>
      <c r="H614" s="1051">
        <v>0</v>
      </c>
      <c r="I614" s="1051">
        <v>0</v>
      </c>
      <c r="J614" s="1051">
        <v>0</v>
      </c>
      <c r="K614" s="1052">
        <v>0</v>
      </c>
      <c r="L614" s="1050">
        <f>SUM(L611:L613)</f>
        <v>0</v>
      </c>
      <c r="M614" s="1051">
        <f t="shared" ref="M614" si="2712">SUM(M611:M613)</f>
        <v>0</v>
      </c>
      <c r="N614" s="1051">
        <f t="shared" ref="N614" si="2713">SUM(N611:N613)</f>
        <v>2932695.94</v>
      </c>
      <c r="O614" s="1051">
        <f t="shared" ref="O614" si="2714">SUM(O611:O613)</f>
        <v>0</v>
      </c>
      <c r="P614" s="1052">
        <f t="shared" ref="P614" si="2715">SUM(P611:P613)</f>
        <v>0</v>
      </c>
      <c r="Q614" s="1092">
        <f t="shared" ref="Q614" si="2716">SUM(Q611:Q613)</f>
        <v>0</v>
      </c>
      <c r="R614" s="1051">
        <f t="shared" ref="R614" si="2717">SUM(R611:R613)</f>
        <v>0</v>
      </c>
      <c r="S614" s="1051">
        <f t="shared" ref="S614" si="2718">SUM(S611:S613)</f>
        <v>0</v>
      </c>
      <c r="T614" s="1051">
        <f t="shared" ref="T614" si="2719">SUM(T611:T613)</f>
        <v>0</v>
      </c>
      <c r="U614" s="1052">
        <f t="shared" ref="U614" si="2720">SUM(U611:U613)</f>
        <v>0</v>
      </c>
      <c r="V614" s="1172"/>
      <c r="W614" s="1050">
        <f t="shared" ref="W614" si="2721">SUM(W611:W613)</f>
        <v>0</v>
      </c>
      <c r="X614" s="1051">
        <f t="shared" ref="X614" si="2722">SUM(X611:X613)</f>
        <v>0</v>
      </c>
      <c r="Y614" s="1051">
        <f t="shared" ref="Y614" si="2723">SUM(Y611:Y613)</f>
        <v>0</v>
      </c>
      <c r="Z614" s="1051">
        <f t="shared" ref="Z614" si="2724">SUM(Z611:Z613)</f>
        <v>0</v>
      </c>
      <c r="AA614" s="1052">
        <f t="shared" ref="AA614" si="2725">SUM(AA611:AA613)</f>
        <v>0</v>
      </c>
      <c r="AB614" s="1053"/>
      <c r="AC614" s="1050">
        <f t="shared" ref="AC614" si="2726">SUM(AC611:AC613)</f>
        <v>0</v>
      </c>
      <c r="AD614" s="1051">
        <f t="shared" ref="AD614" si="2727">SUM(AD611:AD613)</f>
        <v>0</v>
      </c>
      <c r="AE614" s="1051">
        <f t="shared" ref="AE614" si="2728">SUM(AE611:AE613)</f>
        <v>0</v>
      </c>
      <c r="AF614" s="1051">
        <f t="shared" ref="AF614" si="2729">SUM(AF611:AF613)</f>
        <v>0</v>
      </c>
      <c r="AG614" s="1051">
        <f t="shared" ref="AG614" si="2730">SUM(AG611:AG613)</f>
        <v>0</v>
      </c>
      <c r="AH614" s="1054"/>
      <c r="AI614" s="1172"/>
      <c r="AJ614" s="130"/>
      <c r="AK614" s="130"/>
      <c r="AL614" s="1050">
        <f t="shared" ref="AL614:AR614" si="2731">SUM(AL612:AL613)</f>
        <v>0</v>
      </c>
      <c r="AM614" s="1051">
        <f t="shared" si="2731"/>
        <v>0</v>
      </c>
      <c r="AN614" s="1051">
        <f t="shared" si="2731"/>
        <v>0</v>
      </c>
      <c r="AO614" s="1051">
        <f t="shared" si="2731"/>
        <v>0</v>
      </c>
      <c r="AP614" s="1052">
        <f t="shared" si="2731"/>
        <v>0</v>
      </c>
      <c r="AQ614" s="1050">
        <f t="shared" si="2731"/>
        <v>0</v>
      </c>
      <c r="AR614" s="1051">
        <f t="shared" si="2731"/>
        <v>0</v>
      </c>
      <c r="AS614" s="1052"/>
      <c r="AT614" s="130"/>
      <c r="AU614" s="130"/>
      <c r="AV614" s="130"/>
      <c r="AW614" s="130"/>
      <c r="AX614" s="130"/>
      <c r="AY614" s="130"/>
      <c r="AZ614" s="130"/>
      <c r="BA614" s="130"/>
      <c r="BB614" s="130"/>
      <c r="BC614" s="130"/>
      <c r="BD614" s="130"/>
      <c r="BE614" s="130"/>
      <c r="BF614" s="130"/>
      <c r="BG614" s="130"/>
      <c r="BH614" s="130"/>
      <c r="BI614" s="130"/>
      <c r="BJ614" s="130"/>
      <c r="BK614" s="130"/>
      <c r="BL614" s="130"/>
      <c r="BM614" s="130"/>
      <c r="BN614" s="130"/>
      <c r="BO614" s="130"/>
      <c r="BP614" s="130"/>
      <c r="BQ614" s="130"/>
      <c r="BR614" s="130"/>
      <c r="BS614" s="1155"/>
    </row>
    <row r="615" spans="5:71" s="474" customFormat="1">
      <c r="E615" s="4109"/>
      <c r="F615" s="1388" t="s">
        <v>35</v>
      </c>
      <c r="G615" s="255"/>
      <c r="H615" s="461"/>
      <c r="I615" s="461"/>
      <c r="J615" s="461"/>
      <c r="K615" s="281"/>
      <c r="L615" s="255"/>
      <c r="M615" s="461"/>
      <c r="N615" s="461"/>
      <c r="O615" s="461"/>
      <c r="P615" s="281"/>
      <c r="Q615" s="956"/>
      <c r="R615" s="461"/>
      <c r="S615" s="461"/>
      <c r="T615" s="461"/>
      <c r="U615" s="281"/>
      <c r="V615" s="1172"/>
      <c r="W615" s="255"/>
      <c r="X615" s="461"/>
      <c r="Y615" s="461"/>
      <c r="Z615" s="461"/>
      <c r="AA615" s="281"/>
      <c r="AB615" s="1004"/>
      <c r="AC615" s="255"/>
      <c r="AD615" s="461"/>
      <c r="AE615" s="461"/>
      <c r="AF615" s="461"/>
      <c r="AG615" s="461"/>
      <c r="AH615" s="1047"/>
      <c r="AI615" s="1172"/>
      <c r="AJ615" s="1155"/>
      <c r="AK615" s="1155"/>
      <c r="AL615" s="259"/>
      <c r="AM615" s="466"/>
      <c r="AN615" s="466"/>
      <c r="AO615" s="466"/>
      <c r="AP615" s="283"/>
      <c r="AQ615" s="259"/>
      <c r="AR615" s="466"/>
      <c r="AS615" s="283"/>
      <c r="AT615" s="1155"/>
      <c r="AU615" s="1155"/>
      <c r="AV615" s="1155"/>
      <c r="AW615" s="1155"/>
      <c r="AX615" s="1155"/>
      <c r="AY615" s="1155"/>
      <c r="AZ615" s="1155"/>
      <c r="BA615" s="1155"/>
      <c r="BB615" s="1155"/>
      <c r="BC615" s="1155"/>
      <c r="BD615" s="1155"/>
      <c r="BE615" s="1155"/>
      <c r="BF615" s="1155"/>
      <c r="BG615" s="1155"/>
      <c r="BH615" s="1155"/>
      <c r="BI615" s="1155"/>
      <c r="BJ615" s="1155"/>
      <c r="BK615" s="1155"/>
      <c r="BL615" s="1155"/>
      <c r="BM615" s="1155"/>
      <c r="BN615" s="1155"/>
      <c r="BO615" s="1155"/>
      <c r="BP615" s="1155"/>
      <c r="BQ615" s="1155"/>
      <c r="BR615" s="1155"/>
      <c r="BS615" s="1155"/>
    </row>
    <row r="616" spans="5:71" s="474" customFormat="1" ht="13.5" thickBot="1">
      <c r="E616" s="4109"/>
      <c r="F616" s="1387" t="s">
        <v>585</v>
      </c>
      <c r="G616" s="1055">
        <v>0</v>
      </c>
      <c r="H616" s="1056">
        <v>0</v>
      </c>
      <c r="I616" s="1056">
        <v>0</v>
      </c>
      <c r="J616" s="1056">
        <v>0</v>
      </c>
      <c r="K616" s="1057">
        <v>0</v>
      </c>
      <c r="L616" s="1567">
        <f>L614-L615</f>
        <v>0</v>
      </c>
      <c r="M616" s="1056">
        <f t="shared" ref="M616" si="2732">M614-M615</f>
        <v>0</v>
      </c>
      <c r="N616" s="1056">
        <f t="shared" ref="N616" si="2733">N614-N615</f>
        <v>2932695.94</v>
      </c>
      <c r="O616" s="1056">
        <f t="shared" ref="O616" si="2734">O614-O615</f>
        <v>0</v>
      </c>
      <c r="P616" s="1057">
        <f t="shared" ref="P616" si="2735">P614-P615</f>
        <v>0</v>
      </c>
      <c r="Q616" s="1093">
        <f t="shared" ref="Q616" si="2736">Q614-Q615</f>
        <v>0</v>
      </c>
      <c r="R616" s="1056">
        <f t="shared" ref="R616" si="2737">R614-R615</f>
        <v>0</v>
      </c>
      <c r="S616" s="1056">
        <f t="shared" ref="S616" si="2738">S614-S615</f>
        <v>0</v>
      </c>
      <c r="T616" s="1056">
        <f t="shared" ref="T616" si="2739">T614-T615</f>
        <v>0</v>
      </c>
      <c r="U616" s="1057">
        <f t="shared" ref="U616" si="2740">U614-U615</f>
        <v>0</v>
      </c>
      <c r="V616" s="1172"/>
      <c r="W616" s="1055">
        <f t="shared" ref="W616" si="2741">W614-W615</f>
        <v>0</v>
      </c>
      <c r="X616" s="1056">
        <f t="shared" ref="X616" si="2742">X614-X615</f>
        <v>0</v>
      </c>
      <c r="Y616" s="1056">
        <f t="shared" ref="Y616" si="2743">Y614-Y615</f>
        <v>0</v>
      </c>
      <c r="Z616" s="1056">
        <f t="shared" ref="Z616" si="2744">Z614-Z615</f>
        <v>0</v>
      </c>
      <c r="AA616" s="1057">
        <f t="shared" ref="AA616" si="2745">AA614-AA615</f>
        <v>0</v>
      </c>
      <c r="AB616" s="1075"/>
      <c r="AC616" s="1055">
        <f t="shared" ref="AC616" si="2746">AC614-AC615</f>
        <v>0</v>
      </c>
      <c r="AD616" s="1056">
        <f t="shared" ref="AD616" si="2747">AD614-AD615</f>
        <v>0</v>
      </c>
      <c r="AE616" s="1056">
        <f t="shared" ref="AE616" si="2748">AE614-AE615</f>
        <v>0</v>
      </c>
      <c r="AF616" s="1056">
        <f t="shared" ref="AF616" si="2749">AF614-AF615</f>
        <v>0</v>
      </c>
      <c r="AG616" s="1056">
        <f t="shared" ref="AG616" si="2750">AG614-AG615</f>
        <v>0</v>
      </c>
      <c r="AH616" s="1059"/>
      <c r="AI616" s="1172"/>
      <c r="AJ616" s="1155"/>
      <c r="AK616" s="1155"/>
      <c r="AL616" s="1567">
        <f>AL614-AL615</f>
        <v>0</v>
      </c>
      <c r="AM616" s="1056">
        <f t="shared" ref="AM616:AR616" si="2751">AM614-AM615</f>
        <v>0</v>
      </c>
      <c r="AN616" s="1056">
        <f t="shared" si="2751"/>
        <v>0</v>
      </c>
      <c r="AO616" s="1056">
        <f t="shared" si="2751"/>
        <v>0</v>
      </c>
      <c r="AP616" s="1057">
        <f t="shared" si="2751"/>
        <v>0</v>
      </c>
      <c r="AQ616" s="1567">
        <f t="shared" si="2751"/>
        <v>0</v>
      </c>
      <c r="AR616" s="1056">
        <f t="shared" si="2751"/>
        <v>0</v>
      </c>
      <c r="AS616" s="1057"/>
      <c r="AT616" s="1155"/>
      <c r="AU616" s="1155"/>
      <c r="AV616" s="1155"/>
      <c r="AW616" s="1155"/>
      <c r="AX616" s="1155"/>
      <c r="AY616" s="1155"/>
      <c r="AZ616" s="1155"/>
      <c r="BA616" s="1155"/>
      <c r="BB616" s="1155"/>
      <c r="BC616" s="1155"/>
      <c r="BD616" s="1155"/>
      <c r="BE616" s="1155"/>
      <c r="BF616" s="1155"/>
      <c r="BG616" s="1155"/>
      <c r="BH616" s="1155"/>
      <c r="BI616" s="1155"/>
      <c r="BJ616" s="1155"/>
      <c r="BK616" s="1155"/>
      <c r="BL616" s="1155"/>
      <c r="BM616" s="1155"/>
      <c r="BN616" s="1155"/>
      <c r="BO616" s="1155"/>
      <c r="BP616" s="1155"/>
      <c r="BQ616" s="1155"/>
      <c r="BR616" s="1155"/>
      <c r="BS616" s="1155"/>
    </row>
    <row r="617" spans="5:71" s="474" customFormat="1" ht="12.75" customHeight="1">
      <c r="E617" s="4110" t="s">
        <v>1512</v>
      </c>
      <c r="F617" s="433" t="s">
        <v>111</v>
      </c>
      <c r="G617" s="1086"/>
      <c r="H617" s="1087"/>
      <c r="I617" s="1087"/>
      <c r="J617" s="1087"/>
      <c r="K617" s="1088"/>
      <c r="L617" s="258"/>
      <c r="M617" s="465"/>
      <c r="N617" s="465"/>
      <c r="O617" s="465"/>
      <c r="P617" s="282"/>
      <c r="Q617" s="1566"/>
      <c r="R617" s="421"/>
      <c r="S617" s="421"/>
      <c r="T617" s="421"/>
      <c r="U617" s="1044"/>
      <c r="V617" s="1172"/>
      <c r="W617" s="1043"/>
      <c r="X617" s="421"/>
      <c r="Y617" s="421"/>
      <c r="Z617" s="421"/>
      <c r="AA617" s="1044"/>
      <c r="AB617" s="1045"/>
      <c r="AC617" s="1043"/>
      <c r="AD617" s="421"/>
      <c r="AE617" s="421"/>
      <c r="AF617" s="421"/>
      <c r="AG617" s="421"/>
      <c r="AH617" s="1046"/>
      <c r="AI617" s="1172"/>
      <c r="AJ617" s="1155"/>
      <c r="AK617" s="1155"/>
      <c r="AL617" s="1086"/>
      <c r="AM617" s="1087"/>
      <c r="AN617" s="1087"/>
      <c r="AO617" s="1087"/>
      <c r="AP617" s="1088"/>
      <c r="AQ617" s="258"/>
      <c r="AR617" s="465"/>
      <c r="AS617" s="282"/>
      <c r="AT617" s="1155"/>
      <c r="AU617" s="1155"/>
      <c r="AV617" s="1155"/>
      <c r="AW617" s="1155"/>
      <c r="AX617" s="1155"/>
      <c r="AY617" s="1155"/>
      <c r="AZ617" s="1155"/>
      <c r="BA617" s="1155"/>
      <c r="BB617" s="1155"/>
      <c r="BC617" s="1155"/>
      <c r="BD617" s="1155"/>
      <c r="BE617" s="1155"/>
      <c r="BF617" s="1155"/>
      <c r="BG617" s="1155"/>
      <c r="BH617" s="1155"/>
      <c r="BI617" s="1155"/>
      <c r="BJ617" s="1155"/>
      <c r="BK617" s="1155"/>
      <c r="BL617" s="1155"/>
      <c r="BM617" s="1155"/>
      <c r="BN617" s="1155"/>
      <c r="BO617" s="1155"/>
      <c r="BP617" s="1155"/>
      <c r="BQ617" s="1155"/>
      <c r="BR617" s="1155"/>
      <c r="BS617" s="1155"/>
    </row>
    <row r="618" spans="5:71" s="474" customFormat="1" ht="12.75" customHeight="1">
      <c r="E618" s="4109"/>
      <c r="F618" s="1374" t="s">
        <v>588</v>
      </c>
      <c r="G618" s="1083"/>
      <c r="H618" s="1084"/>
      <c r="I618" s="1084"/>
      <c r="J618" s="1084"/>
      <c r="K618" s="1085"/>
      <c r="L618" s="255"/>
      <c r="M618" s="461"/>
      <c r="N618" s="461">
        <v>4419</v>
      </c>
      <c r="O618" s="461"/>
      <c r="P618" s="281"/>
      <c r="Q618" s="255"/>
      <c r="R618" s="461"/>
      <c r="S618" s="461"/>
      <c r="T618" s="461"/>
      <c r="U618" s="281"/>
      <c r="V618" s="1172"/>
      <c r="W618" s="255"/>
      <c r="X618" s="461"/>
      <c r="Y618" s="461"/>
      <c r="Z618" s="461"/>
      <c r="AA618" s="281"/>
      <c r="AB618" s="1041"/>
      <c r="AC618" s="255"/>
      <c r="AD618" s="461"/>
      <c r="AE618" s="461"/>
      <c r="AF618" s="461"/>
      <c r="AG618" s="461"/>
      <c r="AH618" s="1047"/>
      <c r="AI618" s="1172"/>
      <c r="AJ618" s="1155"/>
      <c r="AK618" s="1155"/>
      <c r="AL618" s="1083"/>
      <c r="AM618" s="1084"/>
      <c r="AN618" s="1084"/>
      <c r="AO618" s="1084"/>
      <c r="AP618" s="1085"/>
      <c r="AQ618" s="259"/>
      <c r="AR618" s="466"/>
      <c r="AS618" s="283"/>
      <c r="AT618" s="1155"/>
      <c r="AU618" s="1155"/>
      <c r="AV618" s="1155"/>
      <c r="AW618" s="1155"/>
      <c r="AX618" s="1155"/>
      <c r="AY618" s="1155"/>
      <c r="AZ618" s="1155"/>
      <c r="BA618" s="1155"/>
      <c r="BB618" s="1155"/>
      <c r="BC618" s="1155"/>
      <c r="BD618" s="1155"/>
      <c r="BE618" s="1155"/>
      <c r="BF618" s="1155"/>
      <c r="BG618" s="1155"/>
      <c r="BH618" s="1155"/>
      <c r="BI618" s="1155"/>
      <c r="BJ618" s="1155"/>
      <c r="BK618" s="1155"/>
      <c r="BL618" s="1155"/>
      <c r="BM618" s="1155"/>
      <c r="BN618" s="1155"/>
      <c r="BO618" s="1155"/>
      <c r="BP618" s="1155"/>
      <c r="BQ618" s="1155"/>
      <c r="BR618" s="1155"/>
      <c r="BS618" s="1155"/>
    </row>
    <row r="619" spans="5:71" s="474" customFormat="1" ht="12.75" customHeight="1">
      <c r="E619" s="4109"/>
      <c r="F619" s="1374" t="s">
        <v>589</v>
      </c>
      <c r="G619" s="1083"/>
      <c r="H619" s="1084"/>
      <c r="I619" s="1084"/>
      <c r="J619" s="1084"/>
      <c r="K619" s="1085"/>
      <c r="L619" s="255"/>
      <c r="M619" s="461"/>
      <c r="N619" s="461">
        <v>0</v>
      </c>
      <c r="O619" s="461"/>
      <c r="P619" s="281"/>
      <c r="Q619" s="255"/>
      <c r="R619" s="461"/>
      <c r="S619" s="461"/>
      <c r="T619" s="461"/>
      <c r="U619" s="281"/>
      <c r="V619" s="1172"/>
      <c r="W619" s="255"/>
      <c r="X619" s="461"/>
      <c r="Y619" s="461"/>
      <c r="Z619" s="461"/>
      <c r="AA619" s="281"/>
      <c r="AB619" s="1041"/>
      <c r="AC619" s="255"/>
      <c r="AD619" s="461"/>
      <c r="AE619" s="461"/>
      <c r="AF619" s="461"/>
      <c r="AG619" s="461"/>
      <c r="AH619" s="1047"/>
      <c r="AI619" s="1172"/>
      <c r="AJ619" s="1155"/>
      <c r="AK619" s="1155"/>
      <c r="AL619" s="1083"/>
      <c r="AM619" s="1084"/>
      <c r="AN619" s="1084"/>
      <c r="AO619" s="1084"/>
      <c r="AP619" s="1085"/>
      <c r="AQ619" s="259"/>
      <c r="AR619" s="466"/>
      <c r="AS619" s="283"/>
      <c r="AT619" s="1155"/>
      <c r="AU619" s="1155"/>
      <c r="AV619" s="1155"/>
      <c r="AW619" s="1155"/>
      <c r="AX619" s="1155"/>
      <c r="AY619" s="1155"/>
      <c r="AZ619" s="1155"/>
      <c r="BA619" s="1155"/>
      <c r="BB619" s="1155"/>
      <c r="BC619" s="1155"/>
      <c r="BD619" s="1155"/>
      <c r="BE619" s="1155"/>
      <c r="BF619" s="1155"/>
      <c r="BG619" s="1155"/>
      <c r="BH619" s="1155"/>
      <c r="BI619" s="1155"/>
      <c r="BJ619" s="1155"/>
      <c r="BK619" s="1155"/>
      <c r="BL619" s="1155"/>
      <c r="BM619" s="1155"/>
      <c r="BN619" s="1155"/>
      <c r="BO619" s="1155"/>
      <c r="BP619" s="1155"/>
      <c r="BQ619" s="1155"/>
      <c r="BR619" s="1155"/>
      <c r="BS619" s="1155"/>
    </row>
    <row r="620" spans="5:71" s="474" customFormat="1" ht="12.75" customHeight="1">
      <c r="E620" s="4109"/>
      <c r="F620" s="1374" t="s">
        <v>590</v>
      </c>
      <c r="G620" s="1083"/>
      <c r="H620" s="1084"/>
      <c r="I620" s="1084"/>
      <c r="J620" s="1084"/>
      <c r="K620" s="1085"/>
      <c r="L620" s="255"/>
      <c r="M620" s="461"/>
      <c r="N620" s="461"/>
      <c r="O620" s="461"/>
      <c r="P620" s="281"/>
      <c r="Q620" s="255"/>
      <c r="R620" s="461"/>
      <c r="S620" s="461"/>
      <c r="T620" s="461"/>
      <c r="U620" s="281"/>
      <c r="V620" s="1172"/>
      <c r="W620" s="255"/>
      <c r="X620" s="461"/>
      <c r="Y620" s="461"/>
      <c r="Z620" s="461"/>
      <c r="AA620" s="281"/>
      <c r="AB620" s="1041"/>
      <c r="AC620" s="255"/>
      <c r="AD620" s="461"/>
      <c r="AE620" s="461"/>
      <c r="AF620" s="461"/>
      <c r="AG620" s="461"/>
      <c r="AH620" s="1047"/>
      <c r="AI620" s="1172"/>
      <c r="AJ620" s="1155"/>
      <c r="AK620" s="1155"/>
      <c r="AL620" s="1083"/>
      <c r="AM620" s="1084"/>
      <c r="AN620" s="1084"/>
      <c r="AO620" s="1084"/>
      <c r="AP620" s="1085"/>
      <c r="AQ620" s="259"/>
      <c r="AR620" s="466"/>
      <c r="AS620" s="283"/>
      <c r="AT620" s="1155"/>
      <c r="AU620" s="1155"/>
      <c r="AV620" s="1155"/>
      <c r="AW620" s="1155"/>
      <c r="AX620" s="1155"/>
      <c r="AY620" s="1155"/>
      <c r="AZ620" s="1155"/>
      <c r="BA620" s="1155"/>
      <c r="BB620" s="1155"/>
      <c r="BC620" s="1155"/>
      <c r="BD620" s="1155"/>
      <c r="BE620" s="1155"/>
      <c r="BF620" s="1155"/>
      <c r="BG620" s="1155"/>
      <c r="BH620" s="1155"/>
      <c r="BI620" s="1155"/>
      <c r="BJ620" s="1155"/>
      <c r="BK620" s="1155"/>
      <c r="BL620" s="1155"/>
      <c r="BM620" s="1155"/>
      <c r="BN620" s="1155"/>
      <c r="BO620" s="1155"/>
      <c r="BP620" s="1155"/>
      <c r="BQ620" s="1155"/>
      <c r="BR620" s="1155"/>
      <c r="BS620" s="1155"/>
    </row>
    <row r="621" spans="5:71" s="474" customFormat="1" ht="12.75" customHeight="1">
      <c r="E621" s="4109"/>
      <c r="F621" s="1374" t="s">
        <v>591</v>
      </c>
      <c r="G621" s="1083"/>
      <c r="H621" s="1084"/>
      <c r="I621" s="1084"/>
      <c r="J621" s="1084"/>
      <c r="K621" s="1085"/>
      <c r="L621" s="255"/>
      <c r="M621" s="461"/>
      <c r="N621" s="461"/>
      <c r="O621" s="461"/>
      <c r="P621" s="281"/>
      <c r="Q621" s="255"/>
      <c r="R621" s="461"/>
      <c r="S621" s="461"/>
      <c r="T621" s="461"/>
      <c r="U621" s="281"/>
      <c r="V621" s="1172"/>
      <c r="W621" s="255"/>
      <c r="X621" s="461"/>
      <c r="Y621" s="461"/>
      <c r="Z621" s="461"/>
      <c r="AA621" s="281"/>
      <c r="AB621" s="1041"/>
      <c r="AC621" s="255"/>
      <c r="AD621" s="461"/>
      <c r="AE621" s="461"/>
      <c r="AF621" s="461"/>
      <c r="AG621" s="461"/>
      <c r="AH621" s="1047"/>
      <c r="AI621" s="1172"/>
      <c r="AJ621" s="1155"/>
      <c r="AK621" s="1155"/>
      <c r="AL621" s="1083"/>
      <c r="AM621" s="1084"/>
      <c r="AN621" s="1084"/>
      <c r="AO621" s="1084"/>
      <c r="AP621" s="1085"/>
      <c r="AQ621" s="259"/>
      <c r="AR621" s="466"/>
      <c r="AS621" s="283"/>
      <c r="AT621" s="1155"/>
      <c r="AU621" s="1155"/>
      <c r="AV621" s="1155"/>
      <c r="AW621" s="1155"/>
      <c r="AX621" s="1155"/>
      <c r="AY621" s="1155"/>
      <c r="AZ621" s="1155"/>
      <c r="BA621" s="1155"/>
      <c r="BB621" s="1155"/>
      <c r="BC621" s="1155"/>
      <c r="BD621" s="1155"/>
      <c r="BE621" s="1155"/>
      <c r="BF621" s="1155"/>
      <c r="BG621" s="1155"/>
      <c r="BH621" s="1155"/>
      <c r="BI621" s="1155"/>
      <c r="BJ621" s="1155"/>
      <c r="BK621" s="1155"/>
      <c r="BL621" s="1155"/>
      <c r="BM621" s="1155"/>
      <c r="BN621" s="1155"/>
      <c r="BO621" s="1155"/>
      <c r="BP621" s="1155"/>
      <c r="BQ621" s="1155"/>
      <c r="BR621" s="1155"/>
      <c r="BS621" s="1155"/>
    </row>
    <row r="622" spans="5:71" s="474" customFormat="1" ht="12.75" customHeight="1">
      <c r="E622" s="4109"/>
      <c r="F622" s="1374" t="s">
        <v>592</v>
      </c>
      <c r="G622" s="1083"/>
      <c r="H622" s="1084"/>
      <c r="I622" s="1084"/>
      <c r="J622" s="1084"/>
      <c r="K622" s="1085"/>
      <c r="L622" s="207"/>
      <c r="M622" s="456"/>
      <c r="N622" s="456"/>
      <c r="O622" s="456"/>
      <c r="P622" s="457"/>
      <c r="Q622" s="207"/>
      <c r="R622" s="456"/>
      <c r="S622" s="456"/>
      <c r="T622" s="456"/>
      <c r="U622" s="457"/>
      <c r="V622" s="1172"/>
      <c r="W622" s="207">
        <v>0</v>
      </c>
      <c r="X622" s="456">
        <v>0</v>
      </c>
      <c r="Y622" s="456">
        <v>0</v>
      </c>
      <c r="Z622" s="456">
        <v>0</v>
      </c>
      <c r="AA622" s="457">
        <v>0</v>
      </c>
      <c r="AB622" s="1041"/>
      <c r="AC622" s="207">
        <v>0</v>
      </c>
      <c r="AD622" s="456">
        <v>0</v>
      </c>
      <c r="AE622" s="456">
        <v>0</v>
      </c>
      <c r="AF622" s="456">
        <v>0</v>
      </c>
      <c r="AG622" s="456">
        <v>0</v>
      </c>
      <c r="AH622" s="1048"/>
      <c r="AI622" s="1172"/>
      <c r="AJ622" s="1155"/>
      <c r="AK622" s="1155"/>
      <c r="AL622" s="1083"/>
      <c r="AM622" s="1084"/>
      <c r="AN622" s="1084"/>
      <c r="AO622" s="1084"/>
      <c r="AP622" s="1085"/>
      <c r="AQ622" s="207">
        <f>SUM(AQ617:AQ621)</f>
        <v>0</v>
      </c>
      <c r="AR622" s="456">
        <f t="shared" ref="AR622" si="2752">SUM(AR617:AR621)</f>
        <v>0</v>
      </c>
      <c r="AS622" s="457"/>
      <c r="AT622" s="1155"/>
      <c r="AU622" s="1155"/>
      <c r="AV622" s="1155"/>
      <c r="AW622" s="1155"/>
      <c r="AX622" s="1155"/>
      <c r="AY622" s="1155"/>
      <c r="AZ622" s="1155"/>
      <c r="BA622" s="1155"/>
      <c r="BB622" s="1155"/>
      <c r="BC622" s="1155"/>
      <c r="BD622" s="1155"/>
      <c r="BE622" s="1155"/>
      <c r="BF622" s="1155"/>
      <c r="BG622" s="1155"/>
      <c r="BH622" s="1155"/>
      <c r="BI622" s="1155"/>
      <c r="BJ622" s="1155"/>
      <c r="BK622" s="1155"/>
      <c r="BL622" s="1155"/>
      <c r="BM622" s="1155"/>
      <c r="BN622" s="1155"/>
      <c r="BO622" s="1155"/>
      <c r="BP622" s="1155"/>
      <c r="BQ622" s="1155"/>
      <c r="BR622" s="1155"/>
      <c r="BS622" s="1155"/>
    </row>
    <row r="623" spans="5:71" s="474" customFormat="1">
      <c r="E623" s="4109"/>
      <c r="F623" s="1375" t="s">
        <v>587</v>
      </c>
      <c r="G623" s="1086"/>
      <c r="H623" s="1087"/>
      <c r="I623" s="1087"/>
      <c r="J623" s="1087"/>
      <c r="K623" s="1088"/>
      <c r="L623" s="258">
        <f>SUM(L618:L622)</f>
        <v>0</v>
      </c>
      <c r="M623" s="465">
        <f t="shared" ref="M623" si="2753">SUM(M618:M622)</f>
        <v>0</v>
      </c>
      <c r="N623" s="465">
        <f t="shared" ref="N623" si="2754">SUM(N618:N622)</f>
        <v>4419</v>
      </c>
      <c r="O623" s="465">
        <f t="shared" ref="O623" si="2755">SUM(O618:O622)</f>
        <v>0</v>
      </c>
      <c r="P623" s="282">
        <f t="shared" ref="P623" si="2756">SUM(P618:P622)</f>
        <v>0</v>
      </c>
      <c r="Q623" s="258">
        <f t="shared" ref="Q623" si="2757">SUM(Q618:Q622)</f>
        <v>0</v>
      </c>
      <c r="R623" s="465">
        <f t="shared" ref="R623" si="2758">SUM(R618:R622)</f>
        <v>0</v>
      </c>
      <c r="S623" s="465">
        <f t="shared" ref="S623" si="2759">SUM(S618:S622)</f>
        <v>0</v>
      </c>
      <c r="T623" s="465">
        <f t="shared" ref="T623" si="2760">SUM(T618:T622)</f>
        <v>0</v>
      </c>
      <c r="U623" s="282">
        <f t="shared" ref="U623" si="2761">SUM(U618:U622)</f>
        <v>0</v>
      </c>
      <c r="V623" s="1172"/>
      <c r="W623" s="258">
        <f t="shared" ref="W623" si="2762">SUM(W618:W622)</f>
        <v>0</v>
      </c>
      <c r="X623" s="465">
        <f t="shared" ref="X623" si="2763">SUM(X618:X622)</f>
        <v>0</v>
      </c>
      <c r="Y623" s="465">
        <f t="shared" ref="Y623" si="2764">SUM(Y618:Y622)</f>
        <v>0</v>
      </c>
      <c r="Z623" s="465">
        <f t="shared" ref="Z623" si="2765">SUM(Z618:Z622)</f>
        <v>0</v>
      </c>
      <c r="AA623" s="282">
        <f t="shared" ref="AA623" si="2766">SUM(AA618:AA622)</f>
        <v>0</v>
      </c>
      <c r="AB623" s="992"/>
      <c r="AC623" s="258">
        <f t="shared" ref="AC623" si="2767">SUM(AC618:AC622)</f>
        <v>0</v>
      </c>
      <c r="AD623" s="465">
        <f t="shared" ref="AD623" si="2768">SUM(AD618:AD622)</f>
        <v>0</v>
      </c>
      <c r="AE623" s="465">
        <f t="shared" ref="AE623" si="2769">SUM(AE618:AE622)</f>
        <v>0</v>
      </c>
      <c r="AF623" s="465">
        <f t="shared" ref="AF623" si="2770">SUM(AF618:AF622)</f>
        <v>0</v>
      </c>
      <c r="AG623" s="465">
        <f t="shared" ref="AG623" si="2771">SUM(AG618:AG622)</f>
        <v>0</v>
      </c>
      <c r="AH623" s="1049"/>
      <c r="AI623" s="1172"/>
      <c r="AJ623" s="1155"/>
      <c r="AK623" s="1155"/>
      <c r="AL623" s="1086"/>
      <c r="AM623" s="1087"/>
      <c r="AN623" s="1087"/>
      <c r="AO623" s="1087"/>
      <c r="AP623" s="1088"/>
      <c r="AQ623" s="258"/>
      <c r="AR623" s="465"/>
      <c r="AS623" s="282"/>
      <c r="AT623" s="1155"/>
      <c r="AU623" s="1155"/>
      <c r="AV623" s="1155"/>
      <c r="AW623" s="1155"/>
      <c r="AX623" s="1155"/>
      <c r="AY623" s="1155"/>
      <c r="AZ623" s="1155"/>
      <c r="BA623" s="1155"/>
      <c r="BB623" s="1155"/>
      <c r="BC623" s="1155"/>
      <c r="BD623" s="1155"/>
      <c r="BE623" s="1155"/>
      <c r="BF623" s="1155"/>
      <c r="BG623" s="1155"/>
      <c r="BH623" s="1155"/>
      <c r="BI623" s="1155"/>
      <c r="BJ623" s="1155"/>
      <c r="BK623" s="1155"/>
      <c r="BL623" s="1155"/>
      <c r="BM623" s="1155"/>
      <c r="BN623" s="1155"/>
      <c r="BO623" s="1155"/>
      <c r="BP623" s="1155"/>
      <c r="BQ623" s="1155"/>
      <c r="BR623" s="1155"/>
      <c r="BS623" s="1155"/>
    </row>
    <row r="624" spans="5:71" s="474" customFormat="1">
      <c r="E624" s="4109"/>
      <c r="F624" s="1376" t="s">
        <v>593</v>
      </c>
      <c r="G624" s="1083"/>
      <c r="H624" s="1084"/>
      <c r="I624" s="1084"/>
      <c r="J624" s="1084"/>
      <c r="K624" s="1085"/>
      <c r="L624" s="255"/>
      <c r="M624" s="461"/>
      <c r="N624" s="461"/>
      <c r="O624" s="461"/>
      <c r="P624" s="281"/>
      <c r="Q624" s="255"/>
      <c r="R624" s="461"/>
      <c r="S624" s="461"/>
      <c r="T624" s="461"/>
      <c r="U624" s="281"/>
      <c r="V624" s="1172"/>
      <c r="W624" s="255"/>
      <c r="X624" s="461"/>
      <c r="Y624" s="461"/>
      <c r="Z624" s="461"/>
      <c r="AA624" s="281"/>
      <c r="AB624" s="1041"/>
      <c r="AC624" s="255"/>
      <c r="AD624" s="461"/>
      <c r="AE624" s="461"/>
      <c r="AF624" s="461"/>
      <c r="AG624" s="461"/>
      <c r="AH624" s="1047"/>
      <c r="AI624" s="1172"/>
      <c r="AJ624" s="1155"/>
      <c r="AK624" s="1155"/>
      <c r="AL624" s="1083"/>
      <c r="AM624" s="1084"/>
      <c r="AN624" s="1084"/>
      <c r="AO624" s="1084"/>
      <c r="AP624" s="1085"/>
      <c r="AQ624" s="259"/>
      <c r="AR624" s="466"/>
      <c r="AS624" s="283"/>
      <c r="AT624" s="1155"/>
      <c r="AU624" s="1155"/>
      <c r="AV624" s="1155"/>
      <c r="AW624" s="1155"/>
      <c r="AX624" s="1155"/>
      <c r="AY624" s="1155"/>
      <c r="AZ624" s="1155"/>
      <c r="BA624" s="1155"/>
      <c r="BB624" s="1155"/>
      <c r="BC624" s="1155"/>
      <c r="BD624" s="1155"/>
      <c r="BE624" s="1155"/>
      <c r="BF624" s="1155"/>
      <c r="BG624" s="1155"/>
      <c r="BH624" s="1155"/>
      <c r="BI624" s="1155"/>
      <c r="BJ624" s="1155"/>
      <c r="BK624" s="1155"/>
      <c r="BL624" s="1155"/>
      <c r="BM624" s="1155"/>
      <c r="BN624" s="1155"/>
      <c r="BO624" s="1155"/>
      <c r="BP624" s="1155"/>
      <c r="BQ624" s="1155"/>
      <c r="BR624" s="1155"/>
      <c r="BS624" s="1155"/>
    </row>
    <row r="625" spans="5:71" s="474" customFormat="1">
      <c r="E625" s="4109"/>
      <c r="F625" s="431" t="s">
        <v>558</v>
      </c>
      <c r="G625" s="1083"/>
      <c r="H625" s="1084"/>
      <c r="I625" s="1084"/>
      <c r="J625" s="1084"/>
      <c r="K625" s="1085"/>
      <c r="L625" s="255"/>
      <c r="M625" s="461"/>
      <c r="N625" s="461">
        <v>1178301.22</v>
      </c>
      <c r="O625" s="461"/>
      <c r="P625" s="281"/>
      <c r="Q625" s="255"/>
      <c r="R625" s="461"/>
      <c r="S625" s="461"/>
      <c r="T625" s="461"/>
      <c r="U625" s="281"/>
      <c r="V625" s="1172"/>
      <c r="W625" s="255"/>
      <c r="X625" s="461"/>
      <c r="Y625" s="461"/>
      <c r="Z625" s="461"/>
      <c r="AA625" s="281"/>
      <c r="AB625" s="1041"/>
      <c r="AC625" s="255"/>
      <c r="AD625" s="461"/>
      <c r="AE625" s="461"/>
      <c r="AF625" s="461"/>
      <c r="AG625" s="461"/>
      <c r="AH625" s="1047"/>
      <c r="AI625" s="1172"/>
      <c r="AJ625" s="1155"/>
      <c r="AK625" s="1155"/>
      <c r="AL625" s="1083"/>
      <c r="AM625" s="1084"/>
      <c r="AN625" s="1084"/>
      <c r="AO625" s="1084"/>
      <c r="AP625" s="1085"/>
      <c r="AQ625" s="259"/>
      <c r="AR625" s="466"/>
      <c r="AS625" s="283"/>
      <c r="AT625" s="1155"/>
      <c r="AU625" s="1155"/>
      <c r="AV625" s="1155"/>
      <c r="AW625" s="1155"/>
      <c r="AX625" s="1155"/>
      <c r="AY625" s="1155"/>
      <c r="AZ625" s="1155"/>
      <c r="BA625" s="1155"/>
      <c r="BB625" s="1155"/>
      <c r="BC625" s="1155"/>
      <c r="BD625" s="1155"/>
      <c r="BE625" s="1155"/>
      <c r="BF625" s="1155"/>
      <c r="BG625" s="1155"/>
      <c r="BH625" s="1155"/>
      <c r="BI625" s="1155"/>
      <c r="BJ625" s="1155"/>
      <c r="BK625" s="1155"/>
      <c r="BL625" s="1155"/>
      <c r="BM625" s="1155"/>
      <c r="BN625" s="1155"/>
      <c r="BO625" s="1155"/>
      <c r="BP625" s="1155"/>
      <c r="BQ625" s="1155"/>
      <c r="BR625" s="1155"/>
      <c r="BS625" s="1155"/>
    </row>
    <row r="626" spans="5:71" s="474" customFormat="1">
      <c r="E626" s="4109"/>
      <c r="F626" s="431" t="s">
        <v>559</v>
      </c>
      <c r="G626" s="1083"/>
      <c r="H626" s="1084"/>
      <c r="I626" s="1084"/>
      <c r="J626" s="1084"/>
      <c r="K626" s="1085"/>
      <c r="L626" s="255"/>
      <c r="M626" s="461"/>
      <c r="N626" s="461"/>
      <c r="O626" s="461"/>
      <c r="P626" s="281"/>
      <c r="Q626" s="255"/>
      <c r="R626" s="461"/>
      <c r="S626" s="461"/>
      <c r="T626" s="461"/>
      <c r="U626" s="281"/>
      <c r="V626" s="1172"/>
      <c r="W626" s="255"/>
      <c r="X626" s="461"/>
      <c r="Y626" s="461"/>
      <c r="Z626" s="461"/>
      <c r="AA626" s="281"/>
      <c r="AB626" s="1041"/>
      <c r="AC626" s="255"/>
      <c r="AD626" s="461"/>
      <c r="AE626" s="461"/>
      <c r="AF626" s="461"/>
      <c r="AG626" s="461"/>
      <c r="AH626" s="1047"/>
      <c r="AI626" s="1172"/>
      <c r="AJ626" s="1155"/>
      <c r="AK626" s="1155"/>
      <c r="AL626" s="1083"/>
      <c r="AM626" s="1084"/>
      <c r="AN626" s="1084"/>
      <c r="AO626" s="1084"/>
      <c r="AP626" s="1085"/>
      <c r="AQ626" s="259"/>
      <c r="AR626" s="466"/>
      <c r="AS626" s="283"/>
      <c r="AT626" s="1155"/>
      <c r="AU626" s="1155"/>
      <c r="AV626" s="1155"/>
      <c r="AW626" s="1155"/>
      <c r="AX626" s="1155"/>
      <c r="AY626" s="1155"/>
      <c r="AZ626" s="1155"/>
      <c r="BA626" s="1155"/>
      <c r="BB626" s="1155"/>
      <c r="BC626" s="1155"/>
      <c r="BD626" s="1155"/>
      <c r="BE626" s="1155"/>
      <c r="BF626" s="1155"/>
      <c r="BG626" s="1155"/>
      <c r="BH626" s="1155"/>
      <c r="BI626" s="1155"/>
      <c r="BJ626" s="1155"/>
      <c r="BK626" s="1155"/>
      <c r="BL626" s="1155"/>
      <c r="BM626" s="1155"/>
      <c r="BN626" s="1155"/>
      <c r="BO626" s="1155"/>
      <c r="BP626" s="1155"/>
      <c r="BQ626" s="1155"/>
      <c r="BR626" s="1155"/>
      <c r="BS626" s="1155"/>
    </row>
    <row r="627" spans="5:71" s="474" customFormat="1">
      <c r="E627" s="4109"/>
      <c r="F627" s="431" t="s">
        <v>578</v>
      </c>
      <c r="G627" s="1089"/>
      <c r="H627" s="1090"/>
      <c r="I627" s="1090"/>
      <c r="J627" s="1090"/>
      <c r="K627" s="1091"/>
      <c r="L627" s="259"/>
      <c r="M627" s="456"/>
      <c r="N627" s="456"/>
      <c r="O627" s="456"/>
      <c r="P627" s="457"/>
      <c r="Q627" s="207"/>
      <c r="R627" s="456"/>
      <c r="S627" s="456"/>
      <c r="T627" s="456"/>
      <c r="U627" s="457"/>
      <c r="V627" s="1172"/>
      <c r="W627" s="207"/>
      <c r="X627" s="456"/>
      <c r="Y627" s="456"/>
      <c r="Z627" s="456"/>
      <c r="AA627" s="457"/>
      <c r="AB627" s="1041"/>
      <c r="AC627" s="207"/>
      <c r="AD627" s="456"/>
      <c r="AE627" s="456"/>
      <c r="AF627" s="456"/>
      <c r="AG627" s="456"/>
      <c r="AH627" s="1048"/>
      <c r="AI627" s="1172"/>
      <c r="AJ627" s="1155"/>
      <c r="AK627" s="1155"/>
      <c r="AL627" s="1089"/>
      <c r="AM627" s="1090"/>
      <c r="AN627" s="1090"/>
      <c r="AO627" s="1090"/>
      <c r="AP627" s="1091"/>
      <c r="AQ627" s="259"/>
      <c r="AR627" s="456"/>
      <c r="AS627" s="457"/>
      <c r="AT627" s="1155"/>
      <c r="AU627" s="1155"/>
      <c r="AV627" s="1155"/>
      <c r="AW627" s="1155"/>
      <c r="AX627" s="1155"/>
      <c r="AY627" s="1155"/>
      <c r="AZ627" s="1155"/>
      <c r="BA627" s="1155"/>
      <c r="BB627" s="1155"/>
      <c r="BC627" s="1155"/>
      <c r="BD627" s="1155"/>
      <c r="BE627" s="1155"/>
      <c r="BF627" s="1155"/>
      <c r="BG627" s="1155"/>
      <c r="BH627" s="1155"/>
      <c r="BI627" s="1155"/>
      <c r="BJ627" s="1155"/>
      <c r="BK627" s="1155"/>
      <c r="BL627" s="1155"/>
      <c r="BM627" s="1155"/>
      <c r="BN627" s="1155"/>
      <c r="BO627" s="1155"/>
      <c r="BP627" s="1155"/>
      <c r="BQ627" s="1155"/>
      <c r="BR627" s="1155"/>
      <c r="BS627" s="1155"/>
    </row>
    <row r="628" spans="5:71" s="474" customFormat="1">
      <c r="E628" s="4109"/>
      <c r="F628" s="1377" t="s">
        <v>579</v>
      </c>
      <c r="G628" s="1086"/>
      <c r="H628" s="1087"/>
      <c r="I628" s="1087"/>
      <c r="J628" s="1087"/>
      <c r="K628" s="1088"/>
      <c r="L628" s="258">
        <f>SUM(L624:L627)</f>
        <v>0</v>
      </c>
      <c r="M628" s="465">
        <f t="shared" ref="M628" si="2772">SUM(M624:M627)</f>
        <v>0</v>
      </c>
      <c r="N628" s="465">
        <f t="shared" ref="N628" si="2773">SUM(N624:N627)</f>
        <v>1178301.22</v>
      </c>
      <c r="O628" s="465">
        <f t="shared" ref="O628" si="2774">SUM(O624:O627)</f>
        <v>0</v>
      </c>
      <c r="P628" s="282">
        <f t="shared" ref="P628" si="2775">SUM(P624:P627)</f>
        <v>0</v>
      </c>
      <c r="Q628" s="258">
        <f t="shared" ref="Q628" si="2776">SUM(Q624:Q627)</f>
        <v>0</v>
      </c>
      <c r="R628" s="465">
        <f t="shared" ref="R628" si="2777">SUM(R624:R627)</f>
        <v>0</v>
      </c>
      <c r="S628" s="465">
        <f t="shared" ref="S628" si="2778">SUM(S624:S627)</f>
        <v>0</v>
      </c>
      <c r="T628" s="465">
        <f t="shared" ref="T628" si="2779">SUM(T624:T627)</f>
        <v>0</v>
      </c>
      <c r="U628" s="282">
        <f t="shared" ref="U628" si="2780">SUM(U624:U627)</f>
        <v>0</v>
      </c>
      <c r="V628" s="1172"/>
      <c r="W628" s="258">
        <f t="shared" ref="W628" si="2781">SUM(W624:W627)</f>
        <v>0</v>
      </c>
      <c r="X628" s="465">
        <f t="shared" ref="X628" si="2782">SUM(X624:X627)</f>
        <v>0</v>
      </c>
      <c r="Y628" s="465">
        <f t="shared" ref="Y628" si="2783">SUM(Y624:Y627)</f>
        <v>0</v>
      </c>
      <c r="Z628" s="465">
        <f t="shared" ref="Z628" si="2784">SUM(Z624:Z627)</f>
        <v>0</v>
      </c>
      <c r="AA628" s="282">
        <f t="shared" ref="AA628" si="2785">SUM(AA624:AA627)</f>
        <v>0</v>
      </c>
      <c r="AB628" s="992"/>
      <c r="AC628" s="258">
        <f t="shared" ref="AC628" si="2786">SUM(AC624:AC627)</f>
        <v>0</v>
      </c>
      <c r="AD628" s="465">
        <f t="shared" ref="AD628" si="2787">SUM(AD624:AD627)</f>
        <v>0</v>
      </c>
      <c r="AE628" s="465">
        <f t="shared" ref="AE628" si="2788">SUM(AE624:AE627)</f>
        <v>0</v>
      </c>
      <c r="AF628" s="465">
        <f t="shared" ref="AF628" si="2789">SUM(AF624:AF627)</f>
        <v>0</v>
      </c>
      <c r="AG628" s="465">
        <f t="shared" ref="AG628" si="2790">SUM(AG624:AG627)</f>
        <v>0</v>
      </c>
      <c r="AH628" s="1049"/>
      <c r="AI628" s="1172"/>
      <c r="AJ628" s="1155"/>
      <c r="AK628" s="1155"/>
      <c r="AL628" s="1086"/>
      <c r="AM628" s="1087"/>
      <c r="AN628" s="1087"/>
      <c r="AO628" s="1087"/>
      <c r="AP628" s="1088"/>
      <c r="AQ628" s="258">
        <f>SUM(AQ625:AQ627)</f>
        <v>0</v>
      </c>
      <c r="AR628" s="465">
        <f t="shared" ref="AR628" si="2791">SUM(AR625:AR627)</f>
        <v>0</v>
      </c>
      <c r="AS628" s="282"/>
      <c r="AT628" s="1155"/>
      <c r="AU628" s="1155"/>
      <c r="AV628" s="1155"/>
      <c r="AW628" s="1155"/>
      <c r="AX628" s="1155"/>
      <c r="AY628" s="1155"/>
      <c r="AZ628" s="1155"/>
      <c r="BA628" s="1155"/>
      <c r="BB628" s="1155"/>
      <c r="BC628" s="1155"/>
      <c r="BD628" s="1155"/>
      <c r="BE628" s="1155"/>
      <c r="BF628" s="1155"/>
      <c r="BG628" s="1155"/>
      <c r="BH628" s="1155"/>
      <c r="BI628" s="1155"/>
      <c r="BJ628" s="1155"/>
      <c r="BK628" s="1155"/>
      <c r="BL628" s="1155"/>
      <c r="BM628" s="1155"/>
      <c r="BN628" s="1155"/>
      <c r="BO628" s="1155"/>
      <c r="BP628" s="1155"/>
      <c r="BQ628" s="1155"/>
      <c r="BR628" s="1155"/>
      <c r="BS628" s="1155"/>
    </row>
    <row r="629" spans="5:71" s="474" customFormat="1" ht="13.5" thickBot="1">
      <c r="E629" s="4109"/>
      <c r="F629" s="1035" t="s">
        <v>583</v>
      </c>
      <c r="G629" s="255"/>
      <c r="H629" s="461"/>
      <c r="I629" s="461"/>
      <c r="J629" s="461"/>
      <c r="K629" s="281"/>
      <c r="L629" s="207"/>
      <c r="M629" s="456"/>
      <c r="N629" s="456"/>
      <c r="O629" s="456"/>
      <c r="P629" s="457"/>
      <c r="Q629" s="207"/>
      <c r="R629" s="456"/>
      <c r="S629" s="456"/>
      <c r="T629" s="456"/>
      <c r="U629" s="457"/>
      <c r="V629" s="1172"/>
      <c r="W629" s="207"/>
      <c r="X629" s="461"/>
      <c r="Y629" s="461"/>
      <c r="Z629" s="461"/>
      <c r="AA629" s="281"/>
      <c r="AB629" s="1041"/>
      <c r="AC629" s="207"/>
      <c r="AD629" s="456"/>
      <c r="AE629" s="456"/>
      <c r="AF629" s="456"/>
      <c r="AG629" s="456"/>
      <c r="AH629" s="1048"/>
      <c r="AI629" s="1172"/>
      <c r="AJ629" s="1155"/>
      <c r="AK629" s="1155"/>
      <c r="AL629" s="259"/>
      <c r="AM629" s="466"/>
      <c r="AN629" s="466"/>
      <c r="AO629" s="466"/>
      <c r="AP629" s="283"/>
      <c r="AQ629" s="207"/>
      <c r="AR629" s="456"/>
      <c r="AS629" s="457"/>
      <c r="AT629" s="1155"/>
      <c r="AU629" s="1155"/>
      <c r="AV629" s="1155"/>
      <c r="AW629" s="1155"/>
      <c r="AX629" s="1155"/>
      <c r="AY629" s="1155"/>
      <c r="AZ629" s="1155"/>
      <c r="BA629" s="1155"/>
      <c r="BB629" s="1155"/>
      <c r="BC629" s="1155"/>
      <c r="BD629" s="1155"/>
      <c r="BE629" s="1155"/>
      <c r="BF629" s="1155"/>
      <c r="BG629" s="1155"/>
      <c r="BH629" s="1155"/>
      <c r="BI629" s="1155"/>
      <c r="BJ629" s="1155"/>
      <c r="BK629" s="1155"/>
      <c r="BL629" s="1155"/>
      <c r="BM629" s="1155"/>
      <c r="BN629" s="1155"/>
      <c r="BO629" s="1155"/>
      <c r="BP629" s="1155"/>
      <c r="BQ629" s="1155"/>
      <c r="BR629" s="1155"/>
      <c r="BS629" s="1155"/>
    </row>
    <row r="630" spans="5:71" s="474" customFormat="1" ht="13.5" thickBot="1">
      <c r="E630" s="4109"/>
      <c r="F630" s="1380" t="s">
        <v>581</v>
      </c>
      <c r="G630" s="1599"/>
      <c r="H630" s="1600"/>
      <c r="I630" s="1600"/>
      <c r="J630" s="1600"/>
      <c r="K630" s="1601"/>
      <c r="L630" s="1599"/>
      <c r="M630" s="1600"/>
      <c r="N630" s="1600"/>
      <c r="O630" s="1600"/>
      <c r="P630" s="1601"/>
      <c r="Q630" s="1599"/>
      <c r="R630" s="1600"/>
      <c r="S630" s="1600"/>
      <c r="T630" s="1600"/>
      <c r="U630" s="1601"/>
      <c r="V630" s="1172"/>
      <c r="W630" s="1614"/>
      <c r="X630" s="1615"/>
      <c r="Y630" s="1615"/>
      <c r="Z630" s="1615"/>
      <c r="AA630" s="1615"/>
      <c r="AB630" s="1615"/>
      <c r="AC630" s="1615"/>
      <c r="AD630" s="1615"/>
      <c r="AE630" s="1615"/>
      <c r="AF630" s="1615"/>
      <c r="AG630" s="1615"/>
      <c r="AH630" s="1616"/>
      <c r="AI630" s="1172"/>
      <c r="AJ630" s="1155"/>
      <c r="AK630" s="1155"/>
      <c r="AL630" s="259"/>
      <c r="AM630" s="466"/>
      <c r="AN630" s="466"/>
      <c r="AO630" s="466"/>
      <c r="AP630" s="283"/>
      <c r="AQ630" s="259"/>
      <c r="AR630" s="466"/>
      <c r="AS630" s="283"/>
      <c r="AT630" s="1155"/>
      <c r="AU630" s="1155"/>
      <c r="AV630" s="1155"/>
      <c r="AW630" s="1155"/>
      <c r="AX630" s="1155"/>
      <c r="AY630" s="1155"/>
      <c r="AZ630" s="1155"/>
      <c r="BA630" s="1155"/>
      <c r="BB630" s="1155"/>
      <c r="BC630" s="1155"/>
      <c r="BD630" s="1155"/>
      <c r="BE630" s="1155"/>
      <c r="BF630" s="1155"/>
      <c r="BG630" s="1155"/>
      <c r="BH630" s="1155"/>
      <c r="BI630" s="1155"/>
      <c r="BJ630" s="1155"/>
      <c r="BK630" s="1155"/>
      <c r="BL630" s="1155"/>
      <c r="BM630" s="1155"/>
      <c r="BN630" s="1155"/>
      <c r="BO630" s="1155"/>
      <c r="BP630" s="1155"/>
      <c r="BQ630" s="1155"/>
      <c r="BR630" s="1155"/>
      <c r="BS630" s="1155"/>
    </row>
    <row r="631" spans="5:71" s="474" customFormat="1">
      <c r="E631" s="4109"/>
      <c r="F631" s="1378" t="s">
        <v>584</v>
      </c>
      <c r="G631" s="1050">
        <v>0</v>
      </c>
      <c r="H631" s="1051">
        <v>0</v>
      </c>
      <c r="I631" s="1051">
        <v>0</v>
      </c>
      <c r="J631" s="1051">
        <v>0</v>
      </c>
      <c r="K631" s="1052">
        <v>0</v>
      </c>
      <c r="L631" s="1050">
        <f>SUM(L628:L630)</f>
        <v>0</v>
      </c>
      <c r="M631" s="1051">
        <f t="shared" ref="M631" si="2792">SUM(M628:M630)</f>
        <v>0</v>
      </c>
      <c r="N631" s="1051">
        <f t="shared" ref="N631" si="2793">SUM(N628:N630)</f>
        <v>1178301.22</v>
      </c>
      <c r="O631" s="1051">
        <f t="shared" ref="O631" si="2794">SUM(O628:O630)</f>
        <v>0</v>
      </c>
      <c r="P631" s="1052">
        <f t="shared" ref="P631" si="2795">SUM(P628:P630)</f>
        <v>0</v>
      </c>
      <c r="Q631" s="1050">
        <f t="shared" ref="Q631" si="2796">SUM(Q628:Q630)</f>
        <v>0</v>
      </c>
      <c r="R631" s="1051">
        <f t="shared" ref="R631" si="2797">SUM(R628:R630)</f>
        <v>0</v>
      </c>
      <c r="S631" s="1051">
        <f t="shared" ref="S631" si="2798">SUM(S628:S630)</f>
        <v>0</v>
      </c>
      <c r="T631" s="1051">
        <f t="shared" ref="T631" si="2799">SUM(T628:T630)</f>
        <v>0</v>
      </c>
      <c r="U631" s="1052">
        <f t="shared" ref="U631" si="2800">SUM(U628:U630)</f>
        <v>0</v>
      </c>
      <c r="V631" s="1172"/>
      <c r="W631" s="1050">
        <f t="shared" ref="W631" si="2801">SUM(W628:W630)</f>
        <v>0</v>
      </c>
      <c r="X631" s="1051">
        <f t="shared" ref="X631" si="2802">SUM(X628:X630)</f>
        <v>0</v>
      </c>
      <c r="Y631" s="1051">
        <f t="shared" ref="Y631" si="2803">SUM(Y628:Y630)</f>
        <v>0</v>
      </c>
      <c r="Z631" s="1051">
        <f t="shared" ref="Z631" si="2804">SUM(Z628:Z630)</f>
        <v>0</v>
      </c>
      <c r="AA631" s="1052">
        <f t="shared" ref="AA631" si="2805">SUM(AA628:AA630)</f>
        <v>0</v>
      </c>
      <c r="AB631" s="1053"/>
      <c r="AC631" s="1050">
        <f t="shared" ref="AC631" si="2806">SUM(AC628:AC630)</f>
        <v>0</v>
      </c>
      <c r="AD631" s="1051">
        <f t="shared" ref="AD631" si="2807">SUM(AD628:AD630)</f>
        <v>0</v>
      </c>
      <c r="AE631" s="1051">
        <f t="shared" ref="AE631" si="2808">SUM(AE628:AE630)</f>
        <v>0</v>
      </c>
      <c r="AF631" s="1051">
        <f t="shared" ref="AF631" si="2809">SUM(AF628:AF630)</f>
        <v>0</v>
      </c>
      <c r="AG631" s="1051">
        <f t="shared" ref="AG631" si="2810">SUM(AG628:AG630)</f>
        <v>0</v>
      </c>
      <c r="AH631" s="1054"/>
      <c r="AI631" s="1172"/>
      <c r="AJ631" s="130"/>
      <c r="AK631" s="130"/>
      <c r="AL631" s="1050">
        <f t="shared" ref="AL631:AR631" si="2811">SUM(AL629:AL630)</f>
        <v>0</v>
      </c>
      <c r="AM631" s="1051">
        <f t="shared" si="2811"/>
        <v>0</v>
      </c>
      <c r="AN631" s="1051">
        <f t="shared" si="2811"/>
        <v>0</v>
      </c>
      <c r="AO631" s="1051">
        <f t="shared" si="2811"/>
        <v>0</v>
      </c>
      <c r="AP631" s="1052">
        <f t="shared" si="2811"/>
        <v>0</v>
      </c>
      <c r="AQ631" s="1050">
        <f t="shared" si="2811"/>
        <v>0</v>
      </c>
      <c r="AR631" s="1051">
        <f t="shared" si="2811"/>
        <v>0</v>
      </c>
      <c r="AS631" s="1052"/>
      <c r="AT631" s="130"/>
      <c r="AU631" s="130"/>
      <c r="AV631" s="130"/>
      <c r="AW631" s="130"/>
      <c r="AX631" s="130"/>
      <c r="AY631" s="130"/>
      <c r="AZ631" s="130"/>
      <c r="BA631" s="130"/>
      <c r="BB631" s="130"/>
      <c r="BC631" s="130"/>
      <c r="BD631" s="130"/>
      <c r="BE631" s="130"/>
      <c r="BF631" s="130"/>
      <c r="BG631" s="130"/>
      <c r="BH631" s="130"/>
      <c r="BI631" s="130"/>
      <c r="BJ631" s="130"/>
      <c r="BK631" s="130"/>
      <c r="BL631" s="130"/>
      <c r="BM631" s="130"/>
      <c r="BN631" s="130"/>
      <c r="BO631" s="130"/>
      <c r="BP631" s="130"/>
      <c r="BQ631" s="130"/>
      <c r="BR631" s="130"/>
      <c r="BS631" s="1155"/>
    </row>
    <row r="632" spans="5:71" s="474" customFormat="1">
      <c r="E632" s="4109"/>
      <c r="F632" s="1389" t="s">
        <v>35</v>
      </c>
      <c r="G632" s="255"/>
      <c r="H632" s="461"/>
      <c r="I632" s="461"/>
      <c r="J632" s="461"/>
      <c r="K632" s="281"/>
      <c r="L632" s="255"/>
      <c r="M632" s="461"/>
      <c r="N632" s="461"/>
      <c r="O632" s="461"/>
      <c r="P632" s="281"/>
      <c r="Q632" s="255"/>
      <c r="R632" s="461"/>
      <c r="S632" s="461"/>
      <c r="T632" s="461"/>
      <c r="U632" s="281"/>
      <c r="V632" s="1172"/>
      <c r="W632" s="255"/>
      <c r="X632" s="461"/>
      <c r="Y632" s="461"/>
      <c r="Z632" s="461"/>
      <c r="AA632" s="281"/>
      <c r="AB632" s="1004"/>
      <c r="AC632" s="255"/>
      <c r="AD632" s="461"/>
      <c r="AE632" s="461"/>
      <c r="AF632" s="461"/>
      <c r="AG632" s="461"/>
      <c r="AH632" s="1047"/>
      <c r="AI632" s="1172"/>
      <c r="AJ632" s="1155"/>
      <c r="AK632" s="1155"/>
      <c r="AL632" s="259"/>
      <c r="AM632" s="466"/>
      <c r="AN632" s="466"/>
      <c r="AO632" s="466"/>
      <c r="AP632" s="283"/>
      <c r="AQ632" s="259"/>
      <c r="AR632" s="466"/>
      <c r="AS632" s="283"/>
      <c r="AT632" s="1155"/>
      <c r="AU632" s="1155"/>
      <c r="AV632" s="1155"/>
      <c r="AW632" s="1155"/>
      <c r="AX632" s="1155"/>
      <c r="AY632" s="1155"/>
      <c r="AZ632" s="1155"/>
      <c r="BA632" s="1155"/>
      <c r="BB632" s="1155"/>
      <c r="BC632" s="1155"/>
      <c r="BD632" s="1155"/>
      <c r="BE632" s="1155"/>
      <c r="BF632" s="1155"/>
      <c r="BG632" s="1155"/>
      <c r="BH632" s="1155"/>
      <c r="BI632" s="1155"/>
      <c r="BJ632" s="1155"/>
      <c r="BK632" s="1155"/>
      <c r="BL632" s="1155"/>
      <c r="BM632" s="1155"/>
      <c r="BN632" s="1155"/>
      <c r="BO632" s="1155"/>
      <c r="BP632" s="1155"/>
      <c r="BQ632" s="1155"/>
      <c r="BR632" s="1155"/>
      <c r="BS632" s="1155"/>
    </row>
    <row r="633" spans="5:71" s="474" customFormat="1" ht="13.5" thickBot="1">
      <c r="E633" s="4109"/>
      <c r="F633" s="1379" t="s">
        <v>585</v>
      </c>
      <c r="G633" s="1094">
        <v>0</v>
      </c>
      <c r="H633" s="1095">
        <v>0</v>
      </c>
      <c r="I633" s="1095">
        <v>0</v>
      </c>
      <c r="J633" s="1095">
        <v>0</v>
      </c>
      <c r="K633" s="1096">
        <v>0</v>
      </c>
      <c r="L633" s="1094">
        <f>L631-L632</f>
        <v>0</v>
      </c>
      <c r="M633" s="1095">
        <f t="shared" ref="M633" si="2812">M631-M632</f>
        <v>0</v>
      </c>
      <c r="N633" s="1095">
        <f t="shared" ref="N633" si="2813">N631-N632</f>
        <v>1178301.22</v>
      </c>
      <c r="O633" s="1095">
        <f t="shared" ref="O633" si="2814">O631-O632</f>
        <v>0</v>
      </c>
      <c r="P633" s="1096">
        <f t="shared" ref="P633" si="2815">P631-P632</f>
        <v>0</v>
      </c>
      <c r="Q633" s="1567">
        <f t="shared" ref="Q633" si="2816">Q631-Q632</f>
        <v>0</v>
      </c>
      <c r="R633" s="1056">
        <f t="shared" ref="R633" si="2817">R631-R632</f>
        <v>0</v>
      </c>
      <c r="S633" s="1056">
        <f t="shared" ref="S633" si="2818">S631-S632</f>
        <v>0</v>
      </c>
      <c r="T633" s="1056">
        <f t="shared" ref="T633" si="2819">T631-T632</f>
        <v>0</v>
      </c>
      <c r="U633" s="1057">
        <f t="shared" ref="U633" si="2820">U631-U632</f>
        <v>0</v>
      </c>
      <c r="V633" s="1172"/>
      <c r="W633" s="1055">
        <f t="shared" ref="W633" si="2821">W631-W632</f>
        <v>0</v>
      </c>
      <c r="X633" s="1056">
        <f t="shared" ref="X633" si="2822">X631-X632</f>
        <v>0</v>
      </c>
      <c r="Y633" s="1056">
        <f t="shared" ref="Y633" si="2823">Y631-Y632</f>
        <v>0</v>
      </c>
      <c r="Z633" s="1056">
        <f t="shared" ref="Z633" si="2824">Z631-Z632</f>
        <v>0</v>
      </c>
      <c r="AA633" s="1057">
        <f t="shared" ref="AA633" si="2825">AA631-AA632</f>
        <v>0</v>
      </c>
      <c r="AB633" s="1075"/>
      <c r="AC633" s="1055">
        <f t="shared" ref="AC633" si="2826">AC631-AC632</f>
        <v>0</v>
      </c>
      <c r="AD633" s="1056">
        <f t="shared" ref="AD633" si="2827">AD631-AD632</f>
        <v>0</v>
      </c>
      <c r="AE633" s="1056">
        <f t="shared" ref="AE633" si="2828">AE631-AE632</f>
        <v>0</v>
      </c>
      <c r="AF633" s="1056">
        <f t="shared" ref="AF633" si="2829">AF631-AF632</f>
        <v>0</v>
      </c>
      <c r="AG633" s="1056">
        <f t="shared" ref="AG633" si="2830">AG631-AG632</f>
        <v>0</v>
      </c>
      <c r="AH633" s="1059"/>
      <c r="AI633" s="1172"/>
      <c r="AJ633" s="1155"/>
      <c r="AK633" s="1155"/>
      <c r="AL633" s="1094">
        <f>AL631-AL632</f>
        <v>0</v>
      </c>
      <c r="AM633" s="1095">
        <f t="shared" ref="AM633:AR633" si="2831">AM631-AM632</f>
        <v>0</v>
      </c>
      <c r="AN633" s="1095">
        <f t="shared" si="2831"/>
        <v>0</v>
      </c>
      <c r="AO633" s="1095">
        <f t="shared" si="2831"/>
        <v>0</v>
      </c>
      <c r="AP633" s="1096">
        <f t="shared" si="2831"/>
        <v>0</v>
      </c>
      <c r="AQ633" s="1094">
        <f t="shared" si="2831"/>
        <v>0</v>
      </c>
      <c r="AR633" s="1095">
        <f t="shared" si="2831"/>
        <v>0</v>
      </c>
      <c r="AS633" s="1096"/>
      <c r="AT633" s="1155"/>
      <c r="AU633" s="1155"/>
      <c r="AV633" s="1155"/>
      <c r="AW633" s="1155"/>
      <c r="AX633" s="1155"/>
      <c r="AY633" s="1155"/>
      <c r="AZ633" s="1155"/>
      <c r="BA633" s="1155"/>
      <c r="BB633" s="1155"/>
      <c r="BC633" s="1155"/>
      <c r="BD633" s="1155"/>
      <c r="BE633" s="1155"/>
      <c r="BF633" s="1155"/>
      <c r="BG633" s="1155"/>
      <c r="BH633" s="1155"/>
      <c r="BI633" s="1155"/>
      <c r="BJ633" s="1155"/>
      <c r="BK633" s="1155"/>
      <c r="BL633" s="1155"/>
      <c r="BM633" s="1155"/>
      <c r="BN633" s="1155"/>
      <c r="BO633" s="1155"/>
      <c r="BP633" s="1155"/>
      <c r="BQ633" s="1155"/>
      <c r="BR633" s="1155"/>
      <c r="BS633" s="1155"/>
    </row>
    <row r="634" spans="5:71" s="474" customFormat="1" ht="12.75" customHeight="1">
      <c r="E634" s="4110" t="s">
        <v>1513</v>
      </c>
      <c r="F634" s="433" t="s">
        <v>111</v>
      </c>
      <c r="G634" s="1077"/>
      <c r="H634" s="1078"/>
      <c r="I634" s="1078"/>
      <c r="J634" s="1078"/>
      <c r="K634" s="1079"/>
      <c r="L634" s="1566"/>
      <c r="M634" s="421"/>
      <c r="N634" s="421"/>
      <c r="O634" s="421"/>
      <c r="P634" s="1044"/>
      <c r="Q634" s="1080"/>
      <c r="R634" s="1081"/>
      <c r="S634" s="1081"/>
      <c r="T634" s="1081"/>
      <c r="U634" s="1082"/>
      <c r="V634" s="1172"/>
      <c r="W634" s="1043"/>
      <c r="X634" s="421"/>
      <c r="Y634" s="421"/>
      <c r="Z634" s="421"/>
      <c r="AA634" s="1044"/>
      <c r="AB634" s="1045"/>
      <c r="AC634" s="1043"/>
      <c r="AD634" s="421"/>
      <c r="AE634" s="421"/>
      <c r="AF634" s="421"/>
      <c r="AG634" s="421"/>
      <c r="AH634" s="1046"/>
      <c r="AI634" s="1172"/>
      <c r="AJ634" s="1155"/>
      <c r="AK634" s="1155"/>
      <c r="AL634" s="1077"/>
      <c r="AM634" s="1078"/>
      <c r="AN634" s="1078"/>
      <c r="AO634" s="1078"/>
      <c r="AP634" s="1079"/>
      <c r="AQ634" s="1566"/>
      <c r="AR634" s="421"/>
      <c r="AS634" s="1044"/>
      <c r="AT634" s="1155"/>
      <c r="AU634" s="1155"/>
      <c r="AV634" s="1155"/>
      <c r="AW634" s="1155"/>
      <c r="AX634" s="1155"/>
      <c r="AY634" s="1155"/>
      <c r="AZ634" s="1155"/>
      <c r="BA634" s="1155"/>
      <c r="BB634" s="1155"/>
      <c r="BC634" s="1155"/>
      <c r="BD634" s="1155"/>
      <c r="BE634" s="1155"/>
      <c r="BF634" s="1155"/>
      <c r="BG634" s="1155"/>
      <c r="BH634" s="1155"/>
      <c r="BI634" s="1155"/>
      <c r="BJ634" s="1155"/>
      <c r="BK634" s="1155"/>
      <c r="BL634" s="1155"/>
      <c r="BM634" s="1155"/>
      <c r="BN634" s="1155"/>
      <c r="BO634" s="1155"/>
      <c r="BP634" s="1155"/>
      <c r="BQ634" s="1155"/>
      <c r="BR634" s="1155"/>
      <c r="BS634" s="1155"/>
    </row>
    <row r="635" spans="5:71" s="474" customFormat="1" ht="12.75" customHeight="1">
      <c r="E635" s="4109"/>
      <c r="F635" s="1374" t="s">
        <v>588</v>
      </c>
      <c r="G635" s="1083"/>
      <c r="H635" s="1084"/>
      <c r="I635" s="1084"/>
      <c r="J635" s="1084"/>
      <c r="K635" s="1085"/>
      <c r="L635" s="255"/>
      <c r="M635" s="461"/>
      <c r="N635" s="461">
        <v>12315</v>
      </c>
      <c r="O635" s="461"/>
      <c r="P635" s="281"/>
      <c r="Q635" s="956"/>
      <c r="R635" s="461"/>
      <c r="S635" s="461"/>
      <c r="T635" s="461"/>
      <c r="U635" s="281"/>
      <c r="V635" s="1172"/>
      <c r="W635" s="255"/>
      <c r="X635" s="461"/>
      <c r="Y635" s="461"/>
      <c r="Z635" s="461"/>
      <c r="AA635" s="281"/>
      <c r="AB635" s="1041"/>
      <c r="AC635" s="255"/>
      <c r="AD635" s="461"/>
      <c r="AE635" s="461"/>
      <c r="AF635" s="461"/>
      <c r="AG635" s="461"/>
      <c r="AH635" s="1047"/>
      <c r="AI635" s="1172"/>
      <c r="AJ635" s="1155"/>
      <c r="AK635" s="1155"/>
      <c r="AL635" s="1083"/>
      <c r="AM635" s="1084"/>
      <c r="AN635" s="1084"/>
      <c r="AO635" s="1084"/>
      <c r="AP635" s="1085"/>
      <c r="AQ635" s="259"/>
      <c r="AR635" s="466"/>
      <c r="AS635" s="283"/>
      <c r="AT635" s="1155"/>
      <c r="AU635" s="1155"/>
      <c r="AV635" s="1155"/>
      <c r="AW635" s="1155"/>
      <c r="AX635" s="1155"/>
      <c r="AY635" s="1155"/>
      <c r="AZ635" s="1155"/>
      <c r="BA635" s="1155"/>
      <c r="BB635" s="1155"/>
      <c r="BC635" s="1155"/>
      <c r="BD635" s="1155"/>
      <c r="BE635" s="1155"/>
      <c r="BF635" s="1155"/>
      <c r="BG635" s="1155"/>
      <c r="BH635" s="1155"/>
      <c r="BI635" s="1155"/>
      <c r="BJ635" s="1155"/>
      <c r="BK635" s="1155"/>
      <c r="BL635" s="1155"/>
      <c r="BM635" s="1155"/>
      <c r="BN635" s="1155"/>
      <c r="BO635" s="1155"/>
      <c r="BP635" s="1155"/>
      <c r="BQ635" s="1155"/>
      <c r="BR635" s="1155"/>
      <c r="BS635" s="1155"/>
    </row>
    <row r="636" spans="5:71" s="474" customFormat="1" ht="12.75" customHeight="1">
      <c r="E636" s="4109"/>
      <c r="F636" s="1374" t="s">
        <v>589</v>
      </c>
      <c r="G636" s="1083"/>
      <c r="H636" s="1084"/>
      <c r="I636" s="1084"/>
      <c r="J636" s="1084"/>
      <c r="K636" s="1085"/>
      <c r="L636" s="255"/>
      <c r="M636" s="461"/>
      <c r="N636" s="461"/>
      <c r="O636" s="461"/>
      <c r="P636" s="281"/>
      <c r="Q636" s="956"/>
      <c r="R636" s="461"/>
      <c r="S636" s="461"/>
      <c r="T636" s="461"/>
      <c r="U636" s="281"/>
      <c r="V636" s="1172"/>
      <c r="W636" s="255"/>
      <c r="X636" s="461"/>
      <c r="Y636" s="461"/>
      <c r="Z636" s="461"/>
      <c r="AA636" s="281"/>
      <c r="AB636" s="1041"/>
      <c r="AC636" s="255"/>
      <c r="AD636" s="461"/>
      <c r="AE636" s="461"/>
      <c r="AF636" s="461"/>
      <c r="AG636" s="461"/>
      <c r="AH636" s="1047"/>
      <c r="AI636" s="1172"/>
      <c r="AJ636" s="1155"/>
      <c r="AK636" s="1155"/>
      <c r="AL636" s="1083"/>
      <c r="AM636" s="1084"/>
      <c r="AN636" s="1084"/>
      <c r="AO636" s="1084"/>
      <c r="AP636" s="1085"/>
      <c r="AQ636" s="259"/>
      <c r="AR636" s="466"/>
      <c r="AS636" s="283"/>
      <c r="AT636" s="1155"/>
      <c r="AU636" s="1155"/>
      <c r="AV636" s="1155"/>
      <c r="AW636" s="1155"/>
      <c r="AX636" s="1155"/>
      <c r="AY636" s="1155"/>
      <c r="AZ636" s="1155"/>
      <c r="BA636" s="1155"/>
      <c r="BB636" s="1155"/>
      <c r="BC636" s="1155"/>
      <c r="BD636" s="1155"/>
      <c r="BE636" s="1155"/>
      <c r="BF636" s="1155"/>
      <c r="BG636" s="1155"/>
      <c r="BH636" s="1155"/>
      <c r="BI636" s="1155"/>
      <c r="BJ636" s="1155"/>
      <c r="BK636" s="1155"/>
      <c r="BL636" s="1155"/>
      <c r="BM636" s="1155"/>
      <c r="BN636" s="1155"/>
      <c r="BO636" s="1155"/>
      <c r="BP636" s="1155"/>
      <c r="BQ636" s="1155"/>
      <c r="BR636" s="1155"/>
      <c r="BS636" s="1155"/>
    </row>
    <row r="637" spans="5:71" s="474" customFormat="1" ht="12.75" customHeight="1">
      <c r="E637" s="4109"/>
      <c r="F637" s="1374" t="s">
        <v>590</v>
      </c>
      <c r="G637" s="1083"/>
      <c r="H637" s="1084"/>
      <c r="I637" s="1084"/>
      <c r="J637" s="1084"/>
      <c r="K637" s="1085"/>
      <c r="L637" s="255"/>
      <c r="M637" s="461"/>
      <c r="N637" s="461"/>
      <c r="O637" s="461"/>
      <c r="P637" s="281"/>
      <c r="Q637" s="956"/>
      <c r="R637" s="461"/>
      <c r="S637" s="461"/>
      <c r="T637" s="461"/>
      <c r="U637" s="281"/>
      <c r="V637" s="1172"/>
      <c r="W637" s="255"/>
      <c r="X637" s="461"/>
      <c r="Y637" s="461"/>
      <c r="Z637" s="461"/>
      <c r="AA637" s="281"/>
      <c r="AB637" s="1041"/>
      <c r="AC637" s="255"/>
      <c r="AD637" s="461"/>
      <c r="AE637" s="461"/>
      <c r="AF637" s="461"/>
      <c r="AG637" s="461"/>
      <c r="AH637" s="1047"/>
      <c r="AI637" s="1172"/>
      <c r="AJ637" s="1155"/>
      <c r="AK637" s="1155"/>
      <c r="AL637" s="1083"/>
      <c r="AM637" s="1084"/>
      <c r="AN637" s="1084"/>
      <c r="AO637" s="1084"/>
      <c r="AP637" s="1085"/>
      <c r="AQ637" s="259"/>
      <c r="AR637" s="466"/>
      <c r="AS637" s="283"/>
      <c r="AT637" s="1155"/>
      <c r="AU637" s="1155"/>
      <c r="AV637" s="1155"/>
      <c r="AW637" s="1155"/>
      <c r="AX637" s="1155"/>
      <c r="AY637" s="1155"/>
      <c r="AZ637" s="1155"/>
      <c r="BA637" s="1155"/>
      <c r="BB637" s="1155"/>
      <c r="BC637" s="1155"/>
      <c r="BD637" s="1155"/>
      <c r="BE637" s="1155"/>
      <c r="BF637" s="1155"/>
      <c r="BG637" s="1155"/>
      <c r="BH637" s="1155"/>
      <c r="BI637" s="1155"/>
      <c r="BJ637" s="1155"/>
      <c r="BK637" s="1155"/>
      <c r="BL637" s="1155"/>
      <c r="BM637" s="1155"/>
      <c r="BN637" s="1155"/>
      <c r="BO637" s="1155"/>
      <c r="BP637" s="1155"/>
      <c r="BQ637" s="1155"/>
      <c r="BR637" s="1155"/>
      <c r="BS637" s="1155"/>
    </row>
    <row r="638" spans="5:71" s="474" customFormat="1" ht="12.75" customHeight="1">
      <c r="E638" s="4109"/>
      <c r="F638" s="1374" t="s">
        <v>591</v>
      </c>
      <c r="G638" s="1083"/>
      <c r="H638" s="1084"/>
      <c r="I638" s="1084"/>
      <c r="J638" s="1084"/>
      <c r="K638" s="1085"/>
      <c r="L638" s="255"/>
      <c r="M638" s="461"/>
      <c r="N638" s="461"/>
      <c r="O638" s="461"/>
      <c r="P638" s="281"/>
      <c r="Q638" s="956"/>
      <c r="R638" s="461"/>
      <c r="S638" s="461"/>
      <c r="T638" s="461"/>
      <c r="U638" s="281"/>
      <c r="V638" s="1172"/>
      <c r="W638" s="255"/>
      <c r="X638" s="461"/>
      <c r="Y638" s="461"/>
      <c r="Z638" s="461"/>
      <c r="AA638" s="281"/>
      <c r="AB638" s="1041"/>
      <c r="AC638" s="255"/>
      <c r="AD638" s="461"/>
      <c r="AE638" s="461"/>
      <c r="AF638" s="461"/>
      <c r="AG638" s="461"/>
      <c r="AH638" s="1047"/>
      <c r="AI638" s="1172"/>
      <c r="AJ638" s="1155"/>
      <c r="AK638" s="1155"/>
      <c r="AL638" s="1083"/>
      <c r="AM638" s="1084"/>
      <c r="AN638" s="1084"/>
      <c r="AO638" s="1084"/>
      <c r="AP638" s="1085"/>
      <c r="AQ638" s="259"/>
      <c r="AR638" s="466"/>
      <c r="AS638" s="283"/>
      <c r="AT638" s="1155"/>
      <c r="AU638" s="1155"/>
      <c r="AV638" s="1155"/>
      <c r="AW638" s="1155"/>
      <c r="AX638" s="1155"/>
      <c r="AY638" s="1155"/>
      <c r="AZ638" s="1155"/>
      <c r="BA638" s="1155"/>
      <c r="BB638" s="1155"/>
      <c r="BC638" s="1155"/>
      <c r="BD638" s="1155"/>
      <c r="BE638" s="1155"/>
      <c r="BF638" s="1155"/>
      <c r="BG638" s="1155"/>
      <c r="BH638" s="1155"/>
      <c r="BI638" s="1155"/>
      <c r="BJ638" s="1155"/>
      <c r="BK638" s="1155"/>
      <c r="BL638" s="1155"/>
      <c r="BM638" s="1155"/>
      <c r="BN638" s="1155"/>
      <c r="BO638" s="1155"/>
      <c r="BP638" s="1155"/>
      <c r="BQ638" s="1155"/>
      <c r="BR638" s="1155"/>
      <c r="BS638" s="1155"/>
    </row>
    <row r="639" spans="5:71" s="474" customFormat="1" ht="12.75" customHeight="1">
      <c r="E639" s="4109"/>
      <c r="F639" s="1374" t="s">
        <v>592</v>
      </c>
      <c r="G639" s="1083"/>
      <c r="H639" s="1084"/>
      <c r="I639" s="1084"/>
      <c r="J639" s="1084"/>
      <c r="K639" s="1085"/>
      <c r="L639" s="207"/>
      <c r="M639" s="456"/>
      <c r="N639" s="456"/>
      <c r="O639" s="456"/>
      <c r="P639" s="457"/>
      <c r="Q639" s="224"/>
      <c r="R639" s="456"/>
      <c r="S639" s="456"/>
      <c r="T639" s="456"/>
      <c r="U639" s="457"/>
      <c r="V639" s="1172"/>
      <c r="W639" s="207">
        <v>0</v>
      </c>
      <c r="X639" s="456">
        <v>0</v>
      </c>
      <c r="Y639" s="456">
        <v>0</v>
      </c>
      <c r="Z639" s="456">
        <v>0</v>
      </c>
      <c r="AA639" s="457">
        <v>0</v>
      </c>
      <c r="AB639" s="1041"/>
      <c r="AC639" s="207">
        <v>0</v>
      </c>
      <c r="AD639" s="456">
        <v>0</v>
      </c>
      <c r="AE639" s="456">
        <v>0</v>
      </c>
      <c r="AF639" s="456">
        <v>0</v>
      </c>
      <c r="AG639" s="456">
        <v>0</v>
      </c>
      <c r="AH639" s="1048"/>
      <c r="AI639" s="1172"/>
      <c r="AJ639" s="1155"/>
      <c r="AK639" s="1155"/>
      <c r="AL639" s="1083"/>
      <c r="AM639" s="1084"/>
      <c r="AN639" s="1084"/>
      <c r="AO639" s="1084"/>
      <c r="AP639" s="1085"/>
      <c r="AQ639" s="207">
        <f>SUM(AQ634:AQ638)</f>
        <v>0</v>
      </c>
      <c r="AR639" s="456">
        <f t="shared" ref="AR639" si="2832">SUM(AR634:AR638)</f>
        <v>0</v>
      </c>
      <c r="AS639" s="457"/>
      <c r="AT639" s="1155"/>
      <c r="AU639" s="1155"/>
      <c r="AV639" s="1155"/>
      <c r="AW639" s="1155"/>
      <c r="AX639" s="1155"/>
      <c r="AY639" s="1155"/>
      <c r="AZ639" s="1155"/>
      <c r="BA639" s="1155"/>
      <c r="BB639" s="1155"/>
      <c r="BC639" s="1155"/>
      <c r="BD639" s="1155"/>
      <c r="BE639" s="1155"/>
      <c r="BF639" s="1155"/>
      <c r="BG639" s="1155"/>
      <c r="BH639" s="1155"/>
      <c r="BI639" s="1155"/>
      <c r="BJ639" s="1155"/>
      <c r="BK639" s="1155"/>
      <c r="BL639" s="1155"/>
      <c r="BM639" s="1155"/>
      <c r="BN639" s="1155"/>
      <c r="BO639" s="1155"/>
      <c r="BP639" s="1155"/>
      <c r="BQ639" s="1155"/>
      <c r="BR639" s="1155"/>
      <c r="BS639" s="1155"/>
    </row>
    <row r="640" spans="5:71" s="474" customFormat="1">
      <c r="E640" s="4109"/>
      <c r="F640" s="1375" t="s">
        <v>587</v>
      </c>
      <c r="G640" s="1086"/>
      <c r="H640" s="1087"/>
      <c r="I640" s="1087"/>
      <c r="J640" s="1087"/>
      <c r="K640" s="1088"/>
      <c r="L640" s="258">
        <f>SUM(L635:L639)</f>
        <v>0</v>
      </c>
      <c r="M640" s="465">
        <f t="shared" ref="M640" si="2833">SUM(M635:M639)</f>
        <v>0</v>
      </c>
      <c r="N640" s="465">
        <f t="shared" ref="N640" si="2834">SUM(N635:N639)</f>
        <v>12315</v>
      </c>
      <c r="O640" s="465">
        <f t="shared" ref="O640" si="2835">SUM(O635:O639)</f>
        <v>0</v>
      </c>
      <c r="P640" s="282">
        <f t="shared" ref="P640" si="2836">SUM(P635:P639)</f>
        <v>0</v>
      </c>
      <c r="Q640" s="965">
        <f t="shared" ref="Q640" si="2837">SUM(Q635:Q639)</f>
        <v>0</v>
      </c>
      <c r="R640" s="465">
        <f t="shared" ref="R640" si="2838">SUM(R635:R639)</f>
        <v>0</v>
      </c>
      <c r="S640" s="465">
        <f t="shared" ref="S640" si="2839">SUM(S635:S639)</f>
        <v>0</v>
      </c>
      <c r="T640" s="465">
        <f t="shared" ref="T640" si="2840">SUM(T635:T639)</f>
        <v>0</v>
      </c>
      <c r="U640" s="282">
        <f t="shared" ref="U640" si="2841">SUM(U635:U639)</f>
        <v>0</v>
      </c>
      <c r="V640" s="1172"/>
      <c r="W640" s="258">
        <f t="shared" ref="W640" si="2842">SUM(W635:W639)</f>
        <v>0</v>
      </c>
      <c r="X640" s="465">
        <f t="shared" ref="X640" si="2843">SUM(X635:X639)</f>
        <v>0</v>
      </c>
      <c r="Y640" s="465">
        <f t="shared" ref="Y640" si="2844">SUM(Y635:Y639)</f>
        <v>0</v>
      </c>
      <c r="Z640" s="465">
        <f t="shared" ref="Z640" si="2845">SUM(Z635:Z639)</f>
        <v>0</v>
      </c>
      <c r="AA640" s="282">
        <f t="shared" ref="AA640" si="2846">SUM(AA635:AA639)</f>
        <v>0</v>
      </c>
      <c r="AB640" s="992"/>
      <c r="AC640" s="258">
        <f t="shared" ref="AC640" si="2847">SUM(AC635:AC639)</f>
        <v>0</v>
      </c>
      <c r="AD640" s="465">
        <f t="shared" ref="AD640" si="2848">SUM(AD635:AD639)</f>
        <v>0</v>
      </c>
      <c r="AE640" s="465">
        <f t="shared" ref="AE640" si="2849">SUM(AE635:AE639)</f>
        <v>0</v>
      </c>
      <c r="AF640" s="465">
        <f t="shared" ref="AF640" si="2850">SUM(AF635:AF639)</f>
        <v>0</v>
      </c>
      <c r="AG640" s="465">
        <f t="shared" ref="AG640" si="2851">SUM(AG635:AG639)</f>
        <v>0</v>
      </c>
      <c r="AH640" s="1049"/>
      <c r="AI640" s="1172"/>
      <c r="AJ640" s="1155"/>
      <c r="AK640" s="1155"/>
      <c r="AL640" s="1086"/>
      <c r="AM640" s="1087"/>
      <c r="AN640" s="1087"/>
      <c r="AO640" s="1087"/>
      <c r="AP640" s="1088"/>
      <c r="AQ640" s="258"/>
      <c r="AR640" s="465"/>
      <c r="AS640" s="282"/>
      <c r="AT640" s="1155"/>
      <c r="AU640" s="1155"/>
      <c r="AV640" s="1155"/>
      <c r="AW640" s="1155"/>
      <c r="AX640" s="1155"/>
      <c r="AY640" s="1155"/>
      <c r="AZ640" s="1155"/>
      <c r="BA640" s="1155"/>
      <c r="BB640" s="1155"/>
      <c r="BC640" s="1155"/>
      <c r="BD640" s="1155"/>
      <c r="BE640" s="1155"/>
      <c r="BF640" s="1155"/>
      <c r="BG640" s="1155"/>
      <c r="BH640" s="1155"/>
      <c r="BI640" s="1155"/>
      <c r="BJ640" s="1155"/>
      <c r="BK640" s="1155"/>
      <c r="BL640" s="1155"/>
      <c r="BM640" s="1155"/>
      <c r="BN640" s="1155"/>
      <c r="BO640" s="1155"/>
      <c r="BP640" s="1155"/>
      <c r="BQ640" s="1155"/>
      <c r="BR640" s="1155"/>
      <c r="BS640" s="1155"/>
    </row>
    <row r="641" spans="5:71" s="474" customFormat="1">
      <c r="E641" s="4109"/>
      <c r="F641" s="1376" t="s">
        <v>593</v>
      </c>
      <c r="G641" s="1083"/>
      <c r="H641" s="1084"/>
      <c r="I641" s="1084"/>
      <c r="J641" s="1084"/>
      <c r="K641" s="1085"/>
      <c r="L641" s="255"/>
      <c r="M641" s="461"/>
      <c r="N641" s="461"/>
      <c r="O641" s="461"/>
      <c r="P641" s="281"/>
      <c r="Q641" s="956"/>
      <c r="R641" s="461"/>
      <c r="S641" s="461"/>
      <c r="T641" s="461"/>
      <c r="U641" s="281"/>
      <c r="V641" s="1172"/>
      <c r="W641" s="255"/>
      <c r="X641" s="461"/>
      <c r="Y641" s="461"/>
      <c r="Z641" s="461"/>
      <c r="AA641" s="281"/>
      <c r="AB641" s="1041"/>
      <c r="AC641" s="255"/>
      <c r="AD641" s="461"/>
      <c r="AE641" s="461"/>
      <c r="AF641" s="461"/>
      <c r="AG641" s="461"/>
      <c r="AH641" s="1047"/>
      <c r="AI641" s="1172"/>
      <c r="AJ641" s="1155"/>
      <c r="AK641" s="1155"/>
      <c r="AL641" s="1083"/>
      <c r="AM641" s="1084"/>
      <c r="AN641" s="1084"/>
      <c r="AO641" s="1084"/>
      <c r="AP641" s="1085"/>
      <c r="AQ641" s="259"/>
      <c r="AR641" s="466"/>
      <c r="AS641" s="283"/>
      <c r="AT641" s="1155"/>
      <c r="AU641" s="1155"/>
      <c r="AV641" s="1155"/>
      <c r="AW641" s="1155"/>
      <c r="AX641" s="1155"/>
      <c r="AY641" s="1155"/>
      <c r="AZ641" s="1155"/>
      <c r="BA641" s="1155"/>
      <c r="BB641" s="1155"/>
      <c r="BC641" s="1155"/>
      <c r="BD641" s="1155"/>
      <c r="BE641" s="1155"/>
      <c r="BF641" s="1155"/>
      <c r="BG641" s="1155"/>
      <c r="BH641" s="1155"/>
      <c r="BI641" s="1155"/>
      <c r="BJ641" s="1155"/>
      <c r="BK641" s="1155"/>
      <c r="BL641" s="1155"/>
      <c r="BM641" s="1155"/>
      <c r="BN641" s="1155"/>
      <c r="BO641" s="1155"/>
      <c r="BP641" s="1155"/>
      <c r="BQ641" s="1155"/>
      <c r="BR641" s="1155"/>
      <c r="BS641" s="1155"/>
    </row>
    <row r="642" spans="5:71" s="474" customFormat="1">
      <c r="E642" s="4109"/>
      <c r="F642" s="431" t="s">
        <v>558</v>
      </c>
      <c r="G642" s="1083"/>
      <c r="H642" s="1084"/>
      <c r="I642" s="1084"/>
      <c r="J642" s="1084"/>
      <c r="K642" s="1085"/>
      <c r="L642" s="255"/>
      <c r="M642" s="461"/>
      <c r="N642" s="461">
        <v>2988111.89</v>
      </c>
      <c r="O642" s="461"/>
      <c r="P642" s="281"/>
      <c r="Q642" s="956"/>
      <c r="R642" s="461"/>
      <c r="S642" s="461"/>
      <c r="T642" s="461"/>
      <c r="U642" s="281"/>
      <c r="V642" s="1172"/>
      <c r="W642" s="255"/>
      <c r="X642" s="461"/>
      <c r="Y642" s="461"/>
      <c r="Z642" s="461"/>
      <c r="AA642" s="281"/>
      <c r="AB642" s="1041"/>
      <c r="AC642" s="255"/>
      <c r="AD642" s="461"/>
      <c r="AE642" s="461"/>
      <c r="AF642" s="461"/>
      <c r="AG642" s="461"/>
      <c r="AH642" s="1047"/>
      <c r="AI642" s="1172"/>
      <c r="AJ642" s="1155"/>
      <c r="AK642" s="1155"/>
      <c r="AL642" s="1083"/>
      <c r="AM642" s="1084"/>
      <c r="AN642" s="1084"/>
      <c r="AO642" s="1084"/>
      <c r="AP642" s="1085"/>
      <c r="AQ642" s="259"/>
      <c r="AR642" s="466"/>
      <c r="AS642" s="283"/>
      <c r="AT642" s="1155"/>
      <c r="AU642" s="1155"/>
      <c r="AV642" s="1155"/>
      <c r="AW642" s="1155"/>
      <c r="AX642" s="1155"/>
      <c r="AY642" s="1155"/>
      <c r="AZ642" s="1155"/>
      <c r="BA642" s="1155"/>
      <c r="BB642" s="1155"/>
      <c r="BC642" s="1155"/>
      <c r="BD642" s="1155"/>
      <c r="BE642" s="1155"/>
      <c r="BF642" s="1155"/>
      <c r="BG642" s="1155"/>
      <c r="BH642" s="1155"/>
      <c r="BI642" s="1155"/>
      <c r="BJ642" s="1155"/>
      <c r="BK642" s="1155"/>
      <c r="BL642" s="1155"/>
      <c r="BM642" s="1155"/>
      <c r="BN642" s="1155"/>
      <c r="BO642" s="1155"/>
      <c r="BP642" s="1155"/>
      <c r="BQ642" s="1155"/>
      <c r="BR642" s="1155"/>
      <c r="BS642" s="1155"/>
    </row>
    <row r="643" spans="5:71" s="474" customFormat="1">
      <c r="E643" s="4109"/>
      <c r="F643" s="431" t="s">
        <v>559</v>
      </c>
      <c r="G643" s="1083"/>
      <c r="H643" s="1084"/>
      <c r="I643" s="1084"/>
      <c r="J643" s="1084"/>
      <c r="K643" s="1085"/>
      <c r="L643" s="255"/>
      <c r="M643" s="461"/>
      <c r="N643" s="461"/>
      <c r="O643" s="461"/>
      <c r="P643" s="281"/>
      <c r="Q643" s="956"/>
      <c r="R643" s="461"/>
      <c r="S643" s="461"/>
      <c r="T643" s="461"/>
      <c r="U643" s="281"/>
      <c r="V643" s="1172"/>
      <c r="W643" s="255"/>
      <c r="X643" s="461"/>
      <c r="Y643" s="461"/>
      <c r="Z643" s="461"/>
      <c r="AA643" s="281"/>
      <c r="AB643" s="1041"/>
      <c r="AC643" s="255"/>
      <c r="AD643" s="461"/>
      <c r="AE643" s="461"/>
      <c r="AF643" s="461"/>
      <c r="AG643" s="461"/>
      <c r="AH643" s="1047"/>
      <c r="AI643" s="1172"/>
      <c r="AJ643" s="1155"/>
      <c r="AK643" s="1155"/>
      <c r="AL643" s="1083"/>
      <c r="AM643" s="1084"/>
      <c r="AN643" s="1084"/>
      <c r="AO643" s="1084"/>
      <c r="AP643" s="1085"/>
      <c r="AQ643" s="259"/>
      <c r="AR643" s="466"/>
      <c r="AS643" s="283"/>
      <c r="AT643" s="1155"/>
      <c r="AU643" s="1155"/>
      <c r="AV643" s="1155"/>
      <c r="AW643" s="1155"/>
      <c r="AX643" s="1155"/>
      <c r="AY643" s="1155"/>
      <c r="AZ643" s="1155"/>
      <c r="BA643" s="1155"/>
      <c r="BB643" s="1155"/>
      <c r="BC643" s="1155"/>
      <c r="BD643" s="1155"/>
      <c r="BE643" s="1155"/>
      <c r="BF643" s="1155"/>
      <c r="BG643" s="1155"/>
      <c r="BH643" s="1155"/>
      <c r="BI643" s="1155"/>
      <c r="BJ643" s="1155"/>
      <c r="BK643" s="1155"/>
      <c r="BL643" s="1155"/>
      <c r="BM643" s="1155"/>
      <c r="BN643" s="1155"/>
      <c r="BO643" s="1155"/>
      <c r="BP643" s="1155"/>
      <c r="BQ643" s="1155"/>
      <c r="BR643" s="1155"/>
      <c r="BS643" s="1155"/>
    </row>
    <row r="644" spans="5:71" s="474" customFormat="1">
      <c r="E644" s="4109"/>
      <c r="F644" s="431" t="s">
        <v>578</v>
      </c>
      <c r="G644" s="1089"/>
      <c r="H644" s="1090"/>
      <c r="I644" s="1090"/>
      <c r="J644" s="1090"/>
      <c r="K644" s="1091"/>
      <c r="L644" s="259"/>
      <c r="M644" s="456"/>
      <c r="N644" s="456"/>
      <c r="O644" s="456"/>
      <c r="P644" s="457"/>
      <c r="Q644" s="224"/>
      <c r="R644" s="456"/>
      <c r="S644" s="456"/>
      <c r="T644" s="456"/>
      <c r="U644" s="457"/>
      <c r="V644" s="1172"/>
      <c r="W644" s="207"/>
      <c r="X644" s="456"/>
      <c r="Y644" s="456"/>
      <c r="Z644" s="456"/>
      <c r="AA644" s="457"/>
      <c r="AB644" s="1041"/>
      <c r="AC644" s="207"/>
      <c r="AD644" s="456"/>
      <c r="AE644" s="456"/>
      <c r="AF644" s="456"/>
      <c r="AG644" s="456"/>
      <c r="AH644" s="1048"/>
      <c r="AI644" s="1172"/>
      <c r="AJ644" s="1155"/>
      <c r="AK644" s="1155"/>
      <c r="AL644" s="1089"/>
      <c r="AM644" s="1090"/>
      <c r="AN644" s="1090"/>
      <c r="AO644" s="1090"/>
      <c r="AP644" s="1091"/>
      <c r="AQ644" s="259"/>
      <c r="AR644" s="456"/>
      <c r="AS644" s="457"/>
      <c r="AT644" s="1155"/>
      <c r="AU644" s="1155"/>
      <c r="AV644" s="1155"/>
      <c r="AW644" s="1155"/>
      <c r="AX644" s="1155"/>
      <c r="AY644" s="1155"/>
      <c r="AZ644" s="1155"/>
      <c r="BA644" s="1155"/>
      <c r="BB644" s="1155"/>
      <c r="BC644" s="1155"/>
      <c r="BD644" s="1155"/>
      <c r="BE644" s="1155"/>
      <c r="BF644" s="1155"/>
      <c r="BG644" s="1155"/>
      <c r="BH644" s="1155"/>
      <c r="BI644" s="1155"/>
      <c r="BJ644" s="1155"/>
      <c r="BK644" s="1155"/>
      <c r="BL644" s="1155"/>
      <c r="BM644" s="1155"/>
      <c r="BN644" s="1155"/>
      <c r="BO644" s="1155"/>
      <c r="BP644" s="1155"/>
      <c r="BQ644" s="1155"/>
      <c r="BR644" s="1155"/>
      <c r="BS644" s="1155"/>
    </row>
    <row r="645" spans="5:71" s="474" customFormat="1">
      <c r="E645" s="4109"/>
      <c r="F645" s="1377" t="s">
        <v>579</v>
      </c>
      <c r="G645" s="1086"/>
      <c r="H645" s="1087"/>
      <c r="I645" s="1087"/>
      <c r="J645" s="1087"/>
      <c r="K645" s="1088"/>
      <c r="L645" s="258">
        <f>SUM(L641:L644)</f>
        <v>0</v>
      </c>
      <c r="M645" s="465">
        <f t="shared" ref="M645" si="2852">SUM(M641:M644)</f>
        <v>0</v>
      </c>
      <c r="N645" s="465">
        <f t="shared" ref="N645" si="2853">SUM(N641:N644)</f>
        <v>2988111.89</v>
      </c>
      <c r="O645" s="465">
        <f t="shared" ref="O645" si="2854">SUM(O641:O644)</f>
        <v>0</v>
      </c>
      <c r="P645" s="282">
        <f t="shared" ref="P645" si="2855">SUM(P641:P644)</f>
        <v>0</v>
      </c>
      <c r="Q645" s="965">
        <f t="shared" ref="Q645" si="2856">SUM(Q641:Q644)</f>
        <v>0</v>
      </c>
      <c r="R645" s="465">
        <f t="shared" ref="R645" si="2857">SUM(R641:R644)</f>
        <v>0</v>
      </c>
      <c r="S645" s="465">
        <f t="shared" ref="S645" si="2858">SUM(S641:S644)</f>
        <v>0</v>
      </c>
      <c r="T645" s="465">
        <f t="shared" ref="T645" si="2859">SUM(T641:T644)</f>
        <v>0</v>
      </c>
      <c r="U645" s="282">
        <f t="shared" ref="U645" si="2860">SUM(U641:U644)</f>
        <v>0</v>
      </c>
      <c r="V645" s="1172"/>
      <c r="W645" s="258">
        <f t="shared" ref="W645" si="2861">SUM(W641:W644)</f>
        <v>0</v>
      </c>
      <c r="X645" s="465">
        <f t="shared" ref="X645" si="2862">SUM(X641:X644)</f>
        <v>0</v>
      </c>
      <c r="Y645" s="465">
        <f t="shared" ref="Y645" si="2863">SUM(Y641:Y644)</f>
        <v>0</v>
      </c>
      <c r="Z645" s="465">
        <f t="shared" ref="Z645" si="2864">SUM(Z641:Z644)</f>
        <v>0</v>
      </c>
      <c r="AA645" s="282">
        <f t="shared" ref="AA645" si="2865">SUM(AA641:AA644)</f>
        <v>0</v>
      </c>
      <c r="AB645" s="992"/>
      <c r="AC645" s="258">
        <f t="shared" ref="AC645" si="2866">SUM(AC641:AC644)</f>
        <v>0</v>
      </c>
      <c r="AD645" s="465">
        <f t="shared" ref="AD645" si="2867">SUM(AD641:AD644)</f>
        <v>0</v>
      </c>
      <c r="AE645" s="465">
        <f t="shared" ref="AE645" si="2868">SUM(AE641:AE644)</f>
        <v>0</v>
      </c>
      <c r="AF645" s="465">
        <f t="shared" ref="AF645" si="2869">SUM(AF641:AF644)</f>
        <v>0</v>
      </c>
      <c r="AG645" s="465">
        <f t="shared" ref="AG645" si="2870">SUM(AG641:AG644)</f>
        <v>0</v>
      </c>
      <c r="AH645" s="1049"/>
      <c r="AI645" s="1172"/>
      <c r="AJ645" s="1155"/>
      <c r="AK645" s="1155"/>
      <c r="AL645" s="1086"/>
      <c r="AM645" s="1087"/>
      <c r="AN645" s="1087"/>
      <c r="AO645" s="1087"/>
      <c r="AP645" s="1088"/>
      <c r="AQ645" s="258">
        <f>SUM(AQ642:AQ644)</f>
        <v>0</v>
      </c>
      <c r="AR645" s="465">
        <f t="shared" ref="AR645" si="2871">SUM(AR642:AR644)</f>
        <v>0</v>
      </c>
      <c r="AS645" s="282"/>
      <c r="AT645" s="1155"/>
      <c r="AU645" s="1155"/>
      <c r="AV645" s="1155"/>
      <c r="AW645" s="1155"/>
      <c r="AX645" s="1155"/>
      <c r="AY645" s="1155"/>
      <c r="AZ645" s="1155"/>
      <c r="BA645" s="1155"/>
      <c r="BB645" s="1155"/>
      <c r="BC645" s="1155"/>
      <c r="BD645" s="1155"/>
      <c r="BE645" s="1155"/>
      <c r="BF645" s="1155"/>
      <c r="BG645" s="1155"/>
      <c r="BH645" s="1155"/>
      <c r="BI645" s="1155"/>
      <c r="BJ645" s="1155"/>
      <c r="BK645" s="1155"/>
      <c r="BL645" s="1155"/>
      <c r="BM645" s="1155"/>
      <c r="BN645" s="1155"/>
      <c r="BO645" s="1155"/>
      <c r="BP645" s="1155"/>
      <c r="BQ645" s="1155"/>
      <c r="BR645" s="1155"/>
      <c r="BS645" s="1155"/>
    </row>
    <row r="646" spans="5:71" s="474" customFormat="1" ht="13.5" thickBot="1">
      <c r="E646" s="4109"/>
      <c r="F646" s="1035" t="s">
        <v>583</v>
      </c>
      <c r="G646" s="255"/>
      <c r="H646" s="461"/>
      <c r="I646" s="461"/>
      <c r="J646" s="461"/>
      <c r="K646" s="281"/>
      <c r="L646" s="207"/>
      <c r="M646" s="456"/>
      <c r="N646" s="456"/>
      <c r="O646" s="456"/>
      <c r="P646" s="457"/>
      <c r="Q646" s="224"/>
      <c r="R646" s="456"/>
      <c r="S646" s="456"/>
      <c r="T646" s="456"/>
      <c r="U646" s="457"/>
      <c r="V646" s="1172"/>
      <c r="W646" s="1603"/>
      <c r="X646" s="1604"/>
      <c r="Y646" s="1604"/>
      <c r="Z646" s="1604"/>
      <c r="AA646" s="1605"/>
      <c r="AB646" s="1606"/>
      <c r="AC646" s="1603"/>
      <c r="AD646" s="1607"/>
      <c r="AE646" s="1607"/>
      <c r="AF646" s="1607"/>
      <c r="AG646" s="1607"/>
      <c r="AH646" s="1608"/>
      <c r="AI646" s="1172"/>
      <c r="AJ646" s="1155"/>
      <c r="AK646" s="1155"/>
      <c r="AL646" s="259"/>
      <c r="AM646" s="466"/>
      <c r="AN646" s="466"/>
      <c r="AO646" s="466"/>
      <c r="AP646" s="283"/>
      <c r="AQ646" s="259"/>
      <c r="AR646" s="466"/>
      <c r="AS646" s="283"/>
      <c r="AT646" s="1155"/>
      <c r="AU646" s="1155"/>
      <c r="AV646" s="1155"/>
      <c r="AW646" s="1155"/>
      <c r="AX646" s="1155"/>
      <c r="AY646" s="1155"/>
      <c r="AZ646" s="1155"/>
      <c r="BA646" s="1155"/>
      <c r="BB646" s="1155"/>
      <c r="BC646" s="1155"/>
      <c r="BD646" s="1155"/>
      <c r="BE646" s="1155"/>
      <c r="BF646" s="1155"/>
      <c r="BG646" s="1155"/>
      <c r="BH646" s="1155"/>
      <c r="BI646" s="1155"/>
      <c r="BJ646" s="1155"/>
      <c r="BK646" s="1155"/>
      <c r="BL646" s="1155"/>
      <c r="BM646" s="1155"/>
      <c r="BN646" s="1155"/>
      <c r="BO646" s="1155"/>
      <c r="BP646" s="1155"/>
      <c r="BQ646" s="1155"/>
      <c r="BR646" s="1155"/>
      <c r="BS646" s="1155"/>
    </row>
    <row r="647" spans="5:71" s="474" customFormat="1" ht="13.5" thickBot="1">
      <c r="E647" s="4109"/>
      <c r="F647" s="1380" t="s">
        <v>581</v>
      </c>
      <c r="G647" s="1599"/>
      <c r="H647" s="1600"/>
      <c r="I647" s="1600"/>
      <c r="J647" s="1600"/>
      <c r="K647" s="1601"/>
      <c r="L647" s="1599"/>
      <c r="M647" s="1600"/>
      <c r="N647" s="1600"/>
      <c r="O647" s="1600"/>
      <c r="P647" s="1601"/>
      <c r="Q647" s="1602"/>
      <c r="R647" s="1600"/>
      <c r="S647" s="1600"/>
      <c r="T647" s="1600"/>
      <c r="U647" s="1601"/>
      <c r="V647" s="1172"/>
      <c r="W647" s="1614"/>
      <c r="X647" s="1615"/>
      <c r="Y647" s="1615"/>
      <c r="Z647" s="1615"/>
      <c r="AA647" s="1615"/>
      <c r="AB647" s="1615"/>
      <c r="AC647" s="1615"/>
      <c r="AD647" s="1615"/>
      <c r="AE647" s="1615"/>
      <c r="AF647" s="1615"/>
      <c r="AG647" s="1615"/>
      <c r="AH647" s="1616"/>
      <c r="AI647" s="1172"/>
      <c r="AJ647" s="1155"/>
      <c r="AK647" s="1155"/>
      <c r="AL647" s="259"/>
      <c r="AM647" s="466"/>
      <c r="AN647" s="466"/>
      <c r="AO647" s="466"/>
      <c r="AP647" s="283"/>
      <c r="AQ647" s="259"/>
      <c r="AR647" s="466"/>
      <c r="AS647" s="283"/>
      <c r="AT647" s="1155"/>
      <c r="AU647" s="1155"/>
      <c r="AV647" s="1155"/>
      <c r="AW647" s="1155"/>
      <c r="AX647" s="1155"/>
      <c r="AY647" s="1155"/>
      <c r="AZ647" s="1155"/>
      <c r="BA647" s="1155"/>
      <c r="BB647" s="1155"/>
      <c r="BC647" s="1155"/>
      <c r="BD647" s="1155"/>
      <c r="BE647" s="1155"/>
      <c r="BF647" s="1155"/>
      <c r="BG647" s="1155"/>
      <c r="BH647" s="1155"/>
      <c r="BI647" s="1155"/>
      <c r="BJ647" s="1155"/>
      <c r="BK647" s="1155"/>
      <c r="BL647" s="1155"/>
      <c r="BM647" s="1155"/>
      <c r="BN647" s="1155"/>
      <c r="BO647" s="1155"/>
      <c r="BP647" s="1155"/>
      <c r="BQ647" s="1155"/>
      <c r="BR647" s="1155"/>
      <c r="BS647" s="1155"/>
    </row>
    <row r="648" spans="5:71" s="474" customFormat="1">
      <c r="E648" s="4109"/>
      <c r="F648" s="1378" t="s">
        <v>584</v>
      </c>
      <c r="G648" s="1050">
        <v>0</v>
      </c>
      <c r="H648" s="1051">
        <v>0</v>
      </c>
      <c r="I648" s="1051">
        <v>0</v>
      </c>
      <c r="J648" s="1051">
        <v>0</v>
      </c>
      <c r="K648" s="1052">
        <v>0</v>
      </c>
      <c r="L648" s="1050">
        <f>SUM(L645:L647)</f>
        <v>0</v>
      </c>
      <c r="M648" s="1051">
        <f t="shared" ref="M648" si="2872">SUM(M645:M647)</f>
        <v>0</v>
      </c>
      <c r="N648" s="1051">
        <f t="shared" ref="N648" si="2873">SUM(N645:N647)</f>
        <v>2988111.89</v>
      </c>
      <c r="O648" s="1051">
        <f t="shared" ref="O648" si="2874">SUM(O645:O647)</f>
        <v>0</v>
      </c>
      <c r="P648" s="1052">
        <f t="shared" ref="P648" si="2875">SUM(P645:P647)</f>
        <v>0</v>
      </c>
      <c r="Q648" s="1092">
        <f t="shared" ref="Q648" si="2876">SUM(Q645:Q647)</f>
        <v>0</v>
      </c>
      <c r="R648" s="1051">
        <f t="shared" ref="R648" si="2877">SUM(R645:R647)</f>
        <v>0</v>
      </c>
      <c r="S648" s="1051">
        <f t="shared" ref="S648" si="2878">SUM(S645:S647)</f>
        <v>0</v>
      </c>
      <c r="T648" s="1051">
        <f t="shared" ref="T648" si="2879">SUM(T645:T647)</f>
        <v>0</v>
      </c>
      <c r="U648" s="1052">
        <f t="shared" ref="U648" si="2880">SUM(U645:U647)</f>
        <v>0</v>
      </c>
      <c r="V648" s="1172"/>
      <c r="W648" s="1609">
        <f t="shared" ref="W648" si="2881">SUM(W645:W647)</f>
        <v>0</v>
      </c>
      <c r="X648" s="1610">
        <f t="shared" ref="X648" si="2882">SUM(X645:X647)</f>
        <v>0</v>
      </c>
      <c r="Y648" s="1610">
        <f t="shared" ref="Y648" si="2883">SUM(Y645:Y647)</f>
        <v>0</v>
      </c>
      <c r="Z648" s="1610">
        <f t="shared" ref="Z648" si="2884">SUM(Z645:Z647)</f>
        <v>0</v>
      </c>
      <c r="AA648" s="1611">
        <f t="shared" ref="AA648" si="2885">SUM(AA645:AA647)</f>
        <v>0</v>
      </c>
      <c r="AB648" s="1612"/>
      <c r="AC648" s="1609">
        <f t="shared" ref="AC648" si="2886">SUM(AC645:AC647)</f>
        <v>0</v>
      </c>
      <c r="AD648" s="1610">
        <f t="shared" ref="AD648" si="2887">SUM(AD645:AD647)</f>
        <v>0</v>
      </c>
      <c r="AE648" s="1610">
        <f t="shared" ref="AE648" si="2888">SUM(AE645:AE647)</f>
        <v>0</v>
      </c>
      <c r="AF648" s="1610">
        <f t="shared" ref="AF648" si="2889">SUM(AF645:AF647)</f>
        <v>0</v>
      </c>
      <c r="AG648" s="1610">
        <f t="shared" ref="AG648" si="2890">SUM(AG645:AG647)</f>
        <v>0</v>
      </c>
      <c r="AH648" s="1613"/>
      <c r="AI648" s="1172"/>
      <c r="AJ648" s="130"/>
      <c r="AK648" s="130"/>
      <c r="AL648" s="1050">
        <f t="shared" ref="AL648:AR648" si="2891">SUM(AL646:AL647)</f>
        <v>0</v>
      </c>
      <c r="AM648" s="1051">
        <f t="shared" si="2891"/>
        <v>0</v>
      </c>
      <c r="AN648" s="1051">
        <f t="shared" si="2891"/>
        <v>0</v>
      </c>
      <c r="AO648" s="1051">
        <f t="shared" si="2891"/>
        <v>0</v>
      </c>
      <c r="AP648" s="1052">
        <f t="shared" si="2891"/>
        <v>0</v>
      </c>
      <c r="AQ648" s="1050">
        <f t="shared" si="2891"/>
        <v>0</v>
      </c>
      <c r="AR648" s="1051">
        <f t="shared" si="2891"/>
        <v>0</v>
      </c>
      <c r="AS648" s="1052"/>
      <c r="AT648" s="130"/>
      <c r="AU648" s="130"/>
      <c r="AV648" s="130"/>
      <c r="AW648" s="130"/>
      <c r="AX648" s="130"/>
      <c r="AY648" s="130"/>
      <c r="AZ648" s="130"/>
      <c r="BA648" s="130"/>
      <c r="BB648" s="130"/>
      <c r="BC648" s="130"/>
      <c r="BD648" s="130"/>
      <c r="BE648" s="130"/>
      <c r="BF648" s="130"/>
      <c r="BG648" s="130"/>
      <c r="BH648" s="130"/>
      <c r="BI648" s="130"/>
      <c r="BJ648" s="130"/>
      <c r="BK648" s="130"/>
      <c r="BL648" s="130"/>
      <c r="BM648" s="130"/>
      <c r="BN648" s="130"/>
      <c r="BO648" s="130"/>
      <c r="BP648" s="130"/>
      <c r="BQ648" s="130"/>
      <c r="BR648" s="130"/>
      <c r="BS648" s="1155"/>
    </row>
    <row r="649" spans="5:71" s="474" customFormat="1">
      <c r="E649" s="4109"/>
      <c r="F649" s="1389" t="s">
        <v>35</v>
      </c>
      <c r="G649" s="255"/>
      <c r="H649" s="461"/>
      <c r="I649" s="461"/>
      <c r="J649" s="461"/>
      <c r="K649" s="281"/>
      <c r="L649" s="255"/>
      <c r="M649" s="461"/>
      <c r="N649" s="461"/>
      <c r="O649" s="461"/>
      <c r="P649" s="281"/>
      <c r="Q649" s="956"/>
      <c r="R649" s="461"/>
      <c r="S649" s="461"/>
      <c r="T649" s="461"/>
      <c r="U649" s="281"/>
      <c r="V649" s="1172"/>
      <c r="W649" s="255"/>
      <c r="X649" s="461"/>
      <c r="Y649" s="461"/>
      <c r="Z649" s="461"/>
      <c r="AA649" s="281"/>
      <c r="AB649" s="1004"/>
      <c r="AC649" s="255"/>
      <c r="AD649" s="461"/>
      <c r="AE649" s="461"/>
      <c r="AF649" s="461"/>
      <c r="AG649" s="461"/>
      <c r="AH649" s="1047"/>
      <c r="AI649" s="1172"/>
      <c r="AJ649" s="1155"/>
      <c r="AK649" s="1155"/>
      <c r="AL649" s="259"/>
      <c r="AM649" s="466"/>
      <c r="AN649" s="466"/>
      <c r="AO649" s="466"/>
      <c r="AP649" s="283"/>
      <c r="AQ649" s="259"/>
      <c r="AR649" s="466"/>
      <c r="AS649" s="283"/>
      <c r="AT649" s="1155"/>
      <c r="AU649" s="1155"/>
      <c r="AV649" s="1155"/>
      <c r="AW649" s="1155"/>
      <c r="AX649" s="1155"/>
      <c r="AY649" s="1155"/>
      <c r="AZ649" s="1155"/>
      <c r="BA649" s="1155"/>
      <c r="BB649" s="1155"/>
      <c r="BC649" s="1155"/>
      <c r="BD649" s="1155"/>
      <c r="BE649" s="1155"/>
      <c r="BF649" s="1155"/>
      <c r="BG649" s="1155"/>
      <c r="BH649" s="1155"/>
      <c r="BI649" s="1155"/>
      <c r="BJ649" s="1155"/>
      <c r="BK649" s="1155"/>
      <c r="BL649" s="1155"/>
      <c r="BM649" s="1155"/>
      <c r="BN649" s="1155"/>
      <c r="BO649" s="1155"/>
      <c r="BP649" s="1155"/>
      <c r="BQ649" s="1155"/>
      <c r="BR649" s="1155"/>
      <c r="BS649" s="1155"/>
    </row>
    <row r="650" spans="5:71" s="474" customFormat="1" ht="13.5" thickBot="1">
      <c r="E650" s="4109"/>
      <c r="F650" s="1387" t="s">
        <v>585</v>
      </c>
      <c r="G650" s="1055">
        <v>0</v>
      </c>
      <c r="H650" s="1056">
        <v>0</v>
      </c>
      <c r="I650" s="1056">
        <v>0</v>
      </c>
      <c r="J650" s="1056">
        <v>0</v>
      </c>
      <c r="K650" s="1057">
        <v>0</v>
      </c>
      <c r="L650" s="1567">
        <f>L648-L649</f>
        <v>0</v>
      </c>
      <c r="M650" s="1056">
        <f t="shared" ref="M650" si="2892">M648-M649</f>
        <v>0</v>
      </c>
      <c r="N650" s="1056">
        <f t="shared" ref="N650" si="2893">N648-N649</f>
        <v>2988111.89</v>
      </c>
      <c r="O650" s="1056">
        <f t="shared" ref="O650" si="2894">O648-O649</f>
        <v>0</v>
      </c>
      <c r="P650" s="1057">
        <f t="shared" ref="P650" si="2895">P648-P649</f>
        <v>0</v>
      </c>
      <c r="Q650" s="1093">
        <f t="shared" ref="Q650" si="2896">Q648-Q649</f>
        <v>0</v>
      </c>
      <c r="R650" s="1056">
        <f t="shared" ref="R650" si="2897">R648-R649</f>
        <v>0</v>
      </c>
      <c r="S650" s="1056">
        <f t="shared" ref="S650" si="2898">S648-S649</f>
        <v>0</v>
      </c>
      <c r="T650" s="1056">
        <f t="shared" ref="T650" si="2899">T648-T649</f>
        <v>0</v>
      </c>
      <c r="U650" s="1057">
        <f t="shared" ref="U650" si="2900">U648-U649</f>
        <v>0</v>
      </c>
      <c r="V650" s="1172"/>
      <c r="W650" s="1055">
        <f t="shared" ref="W650" si="2901">W648-W649</f>
        <v>0</v>
      </c>
      <c r="X650" s="1056">
        <f t="shared" ref="X650" si="2902">X648-X649</f>
        <v>0</v>
      </c>
      <c r="Y650" s="1056">
        <f t="shared" ref="Y650" si="2903">Y648-Y649</f>
        <v>0</v>
      </c>
      <c r="Z650" s="1056">
        <f t="shared" ref="Z650" si="2904">Z648-Z649</f>
        <v>0</v>
      </c>
      <c r="AA650" s="1057">
        <f t="shared" ref="AA650" si="2905">AA648-AA649</f>
        <v>0</v>
      </c>
      <c r="AB650" s="1075"/>
      <c r="AC650" s="1055">
        <f t="shared" ref="AC650" si="2906">AC648-AC649</f>
        <v>0</v>
      </c>
      <c r="AD650" s="1056">
        <f t="shared" ref="AD650" si="2907">AD648-AD649</f>
        <v>0</v>
      </c>
      <c r="AE650" s="1056">
        <f t="shared" ref="AE650" si="2908">AE648-AE649</f>
        <v>0</v>
      </c>
      <c r="AF650" s="1056">
        <f t="shared" ref="AF650" si="2909">AF648-AF649</f>
        <v>0</v>
      </c>
      <c r="AG650" s="1056">
        <f t="shared" ref="AG650" si="2910">AG648-AG649</f>
        <v>0</v>
      </c>
      <c r="AH650" s="1059"/>
      <c r="AI650" s="1172"/>
      <c r="AJ650" s="1155"/>
      <c r="AK650" s="1155"/>
      <c r="AL650" s="1567">
        <f>AL648-AL649</f>
        <v>0</v>
      </c>
      <c r="AM650" s="1056">
        <f t="shared" ref="AM650:AR650" si="2911">AM648-AM649</f>
        <v>0</v>
      </c>
      <c r="AN650" s="1056">
        <f t="shared" si="2911"/>
        <v>0</v>
      </c>
      <c r="AO650" s="1056">
        <f t="shared" si="2911"/>
        <v>0</v>
      </c>
      <c r="AP650" s="1057">
        <f t="shared" si="2911"/>
        <v>0</v>
      </c>
      <c r="AQ650" s="1567">
        <f t="shared" si="2911"/>
        <v>0</v>
      </c>
      <c r="AR650" s="1056">
        <f t="shared" si="2911"/>
        <v>0</v>
      </c>
      <c r="AS650" s="1057"/>
      <c r="AT650" s="1155"/>
      <c r="AU650" s="1155"/>
      <c r="AV650" s="1155"/>
      <c r="AW650" s="1155"/>
      <c r="AX650" s="1155"/>
      <c r="AY650" s="1155"/>
      <c r="AZ650" s="1155"/>
      <c r="BA650" s="1155"/>
      <c r="BB650" s="1155"/>
      <c r="BC650" s="1155"/>
      <c r="BD650" s="1155"/>
      <c r="BE650" s="1155"/>
      <c r="BF650" s="1155"/>
      <c r="BG650" s="1155"/>
      <c r="BH650" s="1155"/>
      <c r="BI650" s="1155"/>
      <c r="BJ650" s="1155"/>
      <c r="BK650" s="1155"/>
      <c r="BL650" s="1155"/>
      <c r="BM650" s="1155"/>
      <c r="BN650" s="1155"/>
      <c r="BO650" s="1155"/>
      <c r="BP650" s="1155"/>
      <c r="BQ650" s="1155"/>
      <c r="BR650" s="1155"/>
      <c r="BS650" s="1155"/>
    </row>
    <row r="651" spans="5:71" s="474" customFormat="1" ht="12.75" customHeight="1">
      <c r="E651" s="4110" t="s">
        <v>1514</v>
      </c>
      <c r="F651" s="433" t="s">
        <v>111</v>
      </c>
      <c r="G651" s="1086"/>
      <c r="H651" s="1087"/>
      <c r="I651" s="1087"/>
      <c r="J651" s="1087"/>
      <c r="K651" s="1088"/>
      <c r="L651" s="258"/>
      <c r="M651" s="465"/>
      <c r="N651" s="465"/>
      <c r="O651" s="465"/>
      <c r="P651" s="282"/>
      <c r="Q651" s="965"/>
      <c r="R651" s="465"/>
      <c r="S651" s="465"/>
      <c r="T651" s="465"/>
      <c r="U651" s="1044"/>
      <c r="V651" s="1172"/>
      <c r="W651" s="1043"/>
      <c r="X651" s="421"/>
      <c r="Y651" s="421"/>
      <c r="Z651" s="421"/>
      <c r="AA651" s="1044"/>
      <c r="AB651" s="1045"/>
      <c r="AC651" s="1043"/>
      <c r="AD651" s="421"/>
      <c r="AE651" s="421"/>
      <c r="AF651" s="421"/>
      <c r="AG651" s="421"/>
      <c r="AH651" s="1046"/>
      <c r="AI651" s="1172"/>
      <c r="AJ651" s="1155"/>
      <c r="AK651" s="1155"/>
      <c r="AL651" s="1086"/>
      <c r="AM651" s="1087"/>
      <c r="AN651" s="1087"/>
      <c r="AO651" s="1087"/>
      <c r="AP651" s="1088"/>
      <c r="AQ651" s="258"/>
      <c r="AR651" s="465"/>
      <c r="AS651" s="282"/>
      <c r="AT651" s="1155"/>
      <c r="AU651" s="1155"/>
      <c r="AV651" s="1155"/>
      <c r="AW651" s="1155"/>
      <c r="AX651" s="1155"/>
      <c r="AY651" s="1155"/>
      <c r="AZ651" s="1155"/>
      <c r="BA651" s="1155"/>
      <c r="BB651" s="1155"/>
      <c r="BC651" s="1155"/>
      <c r="BD651" s="1155"/>
      <c r="BE651" s="1155"/>
      <c r="BF651" s="1155"/>
      <c r="BG651" s="1155"/>
      <c r="BH651" s="1155"/>
      <c r="BI651" s="1155"/>
      <c r="BJ651" s="1155"/>
      <c r="BK651" s="1155"/>
      <c r="BL651" s="1155"/>
      <c r="BM651" s="1155"/>
      <c r="BN651" s="1155"/>
      <c r="BO651" s="1155"/>
      <c r="BP651" s="1155"/>
      <c r="BQ651" s="1155"/>
      <c r="BR651" s="1155"/>
      <c r="BS651" s="1155"/>
    </row>
    <row r="652" spans="5:71" s="474" customFormat="1" ht="12.75" customHeight="1">
      <c r="E652" s="4109"/>
      <c r="F652" s="1374" t="s">
        <v>588</v>
      </c>
      <c r="G652" s="1083"/>
      <c r="H652" s="1084"/>
      <c r="I652" s="1084"/>
      <c r="J652" s="1084"/>
      <c r="K652" s="1085"/>
      <c r="L652" s="255"/>
      <c r="M652" s="461"/>
      <c r="N652" s="461">
        <v>2230</v>
      </c>
      <c r="O652" s="461"/>
      <c r="P652" s="281"/>
      <c r="Q652" s="956"/>
      <c r="R652" s="461"/>
      <c r="S652" s="461"/>
      <c r="T652" s="461"/>
      <c r="U652" s="281"/>
      <c r="V652" s="1172"/>
      <c r="W652" s="255"/>
      <c r="X652" s="461"/>
      <c r="Y652" s="461"/>
      <c r="Z652" s="461"/>
      <c r="AA652" s="281"/>
      <c r="AB652" s="1041"/>
      <c r="AC652" s="255"/>
      <c r="AD652" s="461"/>
      <c r="AE652" s="461"/>
      <c r="AF652" s="461"/>
      <c r="AG652" s="461"/>
      <c r="AH652" s="1047"/>
      <c r="AI652" s="1172"/>
      <c r="AJ652" s="1155"/>
      <c r="AK652" s="1155"/>
      <c r="AL652" s="1083"/>
      <c r="AM652" s="1084"/>
      <c r="AN652" s="1084"/>
      <c r="AO652" s="1084"/>
      <c r="AP652" s="1085"/>
      <c r="AQ652" s="259"/>
      <c r="AR652" s="466"/>
      <c r="AS652" s="283"/>
      <c r="AT652" s="1155"/>
      <c r="AU652" s="1155"/>
      <c r="AV652" s="1155"/>
      <c r="AW652" s="1155"/>
      <c r="AX652" s="1155"/>
      <c r="AY652" s="1155"/>
      <c r="AZ652" s="1155"/>
      <c r="BA652" s="1155"/>
      <c r="BB652" s="1155"/>
      <c r="BC652" s="1155"/>
      <c r="BD652" s="1155"/>
      <c r="BE652" s="1155"/>
      <c r="BF652" s="1155"/>
      <c r="BG652" s="1155"/>
      <c r="BH652" s="1155"/>
      <c r="BI652" s="1155"/>
      <c r="BJ652" s="1155"/>
      <c r="BK652" s="1155"/>
      <c r="BL652" s="1155"/>
      <c r="BM652" s="1155"/>
      <c r="BN652" s="1155"/>
      <c r="BO652" s="1155"/>
      <c r="BP652" s="1155"/>
      <c r="BQ652" s="1155"/>
      <c r="BR652" s="1155"/>
      <c r="BS652" s="1155"/>
    </row>
    <row r="653" spans="5:71" s="474" customFormat="1" ht="12.75" customHeight="1">
      <c r="E653" s="4109"/>
      <c r="F653" s="1374" t="s">
        <v>589</v>
      </c>
      <c r="G653" s="1083"/>
      <c r="H653" s="1084"/>
      <c r="I653" s="1084"/>
      <c r="J653" s="1084"/>
      <c r="K653" s="1085"/>
      <c r="L653" s="255"/>
      <c r="M653" s="461"/>
      <c r="N653" s="461"/>
      <c r="O653" s="461"/>
      <c r="P653" s="281"/>
      <c r="Q653" s="956"/>
      <c r="R653" s="461"/>
      <c r="S653" s="461"/>
      <c r="T653" s="461"/>
      <c r="U653" s="281"/>
      <c r="V653" s="1172"/>
      <c r="W653" s="255"/>
      <c r="X653" s="461"/>
      <c r="Y653" s="461"/>
      <c r="Z653" s="461"/>
      <c r="AA653" s="281"/>
      <c r="AB653" s="1041"/>
      <c r="AC653" s="255"/>
      <c r="AD653" s="461"/>
      <c r="AE653" s="461"/>
      <c r="AF653" s="461"/>
      <c r="AG653" s="461"/>
      <c r="AH653" s="1047"/>
      <c r="AI653" s="1172"/>
      <c r="AJ653" s="1155"/>
      <c r="AK653" s="1155"/>
      <c r="AL653" s="1083"/>
      <c r="AM653" s="1084"/>
      <c r="AN653" s="1084"/>
      <c r="AO653" s="1084"/>
      <c r="AP653" s="1085"/>
      <c r="AQ653" s="259"/>
      <c r="AR653" s="466"/>
      <c r="AS653" s="283"/>
      <c r="AT653" s="1155"/>
      <c r="AU653" s="1155"/>
      <c r="AV653" s="1155"/>
      <c r="AW653" s="1155"/>
      <c r="AX653" s="1155"/>
      <c r="AY653" s="1155"/>
      <c r="AZ653" s="1155"/>
      <c r="BA653" s="1155"/>
      <c r="BB653" s="1155"/>
      <c r="BC653" s="1155"/>
      <c r="BD653" s="1155"/>
      <c r="BE653" s="1155"/>
      <c r="BF653" s="1155"/>
      <c r="BG653" s="1155"/>
      <c r="BH653" s="1155"/>
      <c r="BI653" s="1155"/>
      <c r="BJ653" s="1155"/>
      <c r="BK653" s="1155"/>
      <c r="BL653" s="1155"/>
      <c r="BM653" s="1155"/>
      <c r="BN653" s="1155"/>
      <c r="BO653" s="1155"/>
      <c r="BP653" s="1155"/>
      <c r="BQ653" s="1155"/>
      <c r="BR653" s="1155"/>
      <c r="BS653" s="1155"/>
    </row>
    <row r="654" spans="5:71" s="474" customFormat="1" ht="12.75" customHeight="1">
      <c r="E654" s="4109"/>
      <c r="F654" s="1374" t="s">
        <v>590</v>
      </c>
      <c r="G654" s="1083"/>
      <c r="H654" s="1084"/>
      <c r="I654" s="1084"/>
      <c r="J654" s="1084"/>
      <c r="K654" s="1085"/>
      <c r="L654" s="255"/>
      <c r="M654" s="461"/>
      <c r="N654" s="461"/>
      <c r="O654" s="461"/>
      <c r="P654" s="281"/>
      <c r="Q654" s="956"/>
      <c r="R654" s="461"/>
      <c r="S654" s="461"/>
      <c r="T654" s="461"/>
      <c r="U654" s="281"/>
      <c r="V654" s="1172"/>
      <c r="W654" s="255"/>
      <c r="X654" s="461"/>
      <c r="Y654" s="461"/>
      <c r="Z654" s="461"/>
      <c r="AA654" s="281"/>
      <c r="AB654" s="1041"/>
      <c r="AC654" s="255"/>
      <c r="AD654" s="461"/>
      <c r="AE654" s="461"/>
      <c r="AF654" s="461"/>
      <c r="AG654" s="461"/>
      <c r="AH654" s="1047"/>
      <c r="AI654" s="1172"/>
      <c r="AJ654" s="1155"/>
      <c r="AK654" s="1155"/>
      <c r="AL654" s="1083"/>
      <c r="AM654" s="1084"/>
      <c r="AN654" s="1084"/>
      <c r="AO654" s="1084"/>
      <c r="AP654" s="1085"/>
      <c r="AQ654" s="259"/>
      <c r="AR654" s="466"/>
      <c r="AS654" s="283"/>
      <c r="AT654" s="1155"/>
      <c r="AU654" s="1155"/>
      <c r="AV654" s="1155"/>
      <c r="AW654" s="1155"/>
      <c r="AX654" s="1155"/>
      <c r="AY654" s="1155"/>
      <c r="AZ654" s="1155"/>
      <c r="BA654" s="1155"/>
      <c r="BB654" s="1155"/>
      <c r="BC654" s="1155"/>
      <c r="BD654" s="1155"/>
      <c r="BE654" s="1155"/>
      <c r="BF654" s="1155"/>
      <c r="BG654" s="1155"/>
      <c r="BH654" s="1155"/>
      <c r="BI654" s="1155"/>
      <c r="BJ654" s="1155"/>
      <c r="BK654" s="1155"/>
      <c r="BL654" s="1155"/>
      <c r="BM654" s="1155"/>
      <c r="BN654" s="1155"/>
      <c r="BO654" s="1155"/>
      <c r="BP654" s="1155"/>
      <c r="BQ654" s="1155"/>
      <c r="BR654" s="1155"/>
      <c r="BS654" s="1155"/>
    </row>
    <row r="655" spans="5:71" s="474" customFormat="1" ht="12.75" customHeight="1">
      <c r="E655" s="4109"/>
      <c r="F655" s="1374" t="s">
        <v>591</v>
      </c>
      <c r="G655" s="1083"/>
      <c r="H655" s="1084"/>
      <c r="I655" s="1084"/>
      <c r="J655" s="1084"/>
      <c r="K655" s="1085"/>
      <c r="L655" s="255"/>
      <c r="M655" s="461"/>
      <c r="N655" s="461"/>
      <c r="O655" s="461"/>
      <c r="P655" s="281"/>
      <c r="Q655" s="956"/>
      <c r="R655" s="461"/>
      <c r="S655" s="461"/>
      <c r="T655" s="461"/>
      <c r="U655" s="281"/>
      <c r="V655" s="1172"/>
      <c r="W655" s="255"/>
      <c r="X655" s="461"/>
      <c r="Y655" s="461"/>
      <c r="Z655" s="461"/>
      <c r="AA655" s="281"/>
      <c r="AB655" s="1041"/>
      <c r="AC655" s="255"/>
      <c r="AD655" s="461"/>
      <c r="AE655" s="461"/>
      <c r="AF655" s="461"/>
      <c r="AG655" s="461"/>
      <c r="AH655" s="1047"/>
      <c r="AI655" s="1172"/>
      <c r="AJ655" s="1155"/>
      <c r="AK655" s="1155"/>
      <c r="AL655" s="1083"/>
      <c r="AM655" s="1084"/>
      <c r="AN655" s="1084"/>
      <c r="AO655" s="1084"/>
      <c r="AP655" s="1085"/>
      <c r="AQ655" s="259"/>
      <c r="AR655" s="466"/>
      <c r="AS655" s="283"/>
      <c r="AT655" s="1155"/>
      <c r="AU655" s="1155"/>
      <c r="AV655" s="1155"/>
      <c r="AW655" s="1155"/>
      <c r="AX655" s="1155"/>
      <c r="AY655" s="1155"/>
      <c r="AZ655" s="1155"/>
      <c r="BA655" s="1155"/>
      <c r="BB655" s="1155"/>
      <c r="BC655" s="1155"/>
      <c r="BD655" s="1155"/>
      <c r="BE655" s="1155"/>
      <c r="BF655" s="1155"/>
      <c r="BG655" s="1155"/>
      <c r="BH655" s="1155"/>
      <c r="BI655" s="1155"/>
      <c r="BJ655" s="1155"/>
      <c r="BK655" s="1155"/>
      <c r="BL655" s="1155"/>
      <c r="BM655" s="1155"/>
      <c r="BN655" s="1155"/>
      <c r="BO655" s="1155"/>
      <c r="BP655" s="1155"/>
      <c r="BQ655" s="1155"/>
      <c r="BR655" s="1155"/>
      <c r="BS655" s="1155"/>
    </row>
    <row r="656" spans="5:71" s="474" customFormat="1" ht="12.75" customHeight="1">
      <c r="E656" s="4109"/>
      <c r="F656" s="1374" t="s">
        <v>592</v>
      </c>
      <c r="G656" s="1083"/>
      <c r="H656" s="1084"/>
      <c r="I656" s="1084"/>
      <c r="J656" s="1084"/>
      <c r="K656" s="1085"/>
      <c r="L656" s="207"/>
      <c r="M656" s="456"/>
      <c r="N656" s="456"/>
      <c r="O656" s="456"/>
      <c r="P656" s="457"/>
      <c r="Q656" s="224"/>
      <c r="R656" s="456"/>
      <c r="S656" s="456"/>
      <c r="T656" s="456"/>
      <c r="U656" s="457"/>
      <c r="V656" s="1172"/>
      <c r="W656" s="207">
        <v>0</v>
      </c>
      <c r="X656" s="456">
        <v>0</v>
      </c>
      <c r="Y656" s="456">
        <v>0</v>
      </c>
      <c r="Z656" s="456">
        <v>0</v>
      </c>
      <c r="AA656" s="457">
        <v>0</v>
      </c>
      <c r="AB656" s="1041"/>
      <c r="AC656" s="207">
        <v>0</v>
      </c>
      <c r="AD656" s="456">
        <v>0</v>
      </c>
      <c r="AE656" s="456">
        <v>0</v>
      </c>
      <c r="AF656" s="456">
        <v>0</v>
      </c>
      <c r="AG656" s="456">
        <v>0</v>
      </c>
      <c r="AH656" s="1048"/>
      <c r="AI656" s="1172"/>
      <c r="AJ656" s="1155"/>
      <c r="AK656" s="1155"/>
      <c r="AL656" s="1083"/>
      <c r="AM656" s="1084"/>
      <c r="AN656" s="1084"/>
      <c r="AO656" s="1084"/>
      <c r="AP656" s="1085"/>
      <c r="AQ656" s="207">
        <f>SUM(AQ651:AQ655)</f>
        <v>0</v>
      </c>
      <c r="AR656" s="456">
        <f t="shared" ref="AR656" si="2912">SUM(AR651:AR655)</f>
        <v>0</v>
      </c>
      <c r="AS656" s="457"/>
      <c r="AT656" s="1155"/>
      <c r="AU656" s="1155"/>
      <c r="AV656" s="1155"/>
      <c r="AW656" s="1155"/>
      <c r="AX656" s="1155"/>
      <c r="AY656" s="1155"/>
      <c r="AZ656" s="1155"/>
      <c r="BA656" s="1155"/>
      <c r="BB656" s="1155"/>
      <c r="BC656" s="1155"/>
      <c r="BD656" s="1155"/>
      <c r="BE656" s="1155"/>
      <c r="BF656" s="1155"/>
      <c r="BG656" s="1155"/>
      <c r="BH656" s="1155"/>
      <c r="BI656" s="1155"/>
      <c r="BJ656" s="1155"/>
      <c r="BK656" s="1155"/>
      <c r="BL656" s="1155"/>
      <c r="BM656" s="1155"/>
      <c r="BN656" s="1155"/>
      <c r="BO656" s="1155"/>
      <c r="BP656" s="1155"/>
      <c r="BQ656" s="1155"/>
      <c r="BR656" s="1155"/>
      <c r="BS656" s="1155"/>
    </row>
    <row r="657" spans="5:71" s="474" customFormat="1">
      <c r="E657" s="4109"/>
      <c r="F657" s="1375" t="s">
        <v>587</v>
      </c>
      <c r="G657" s="1086"/>
      <c r="H657" s="1087"/>
      <c r="I657" s="1087"/>
      <c r="J657" s="1087"/>
      <c r="K657" s="1088"/>
      <c r="L657" s="258">
        <f>SUM(L652:L656)</f>
        <v>0</v>
      </c>
      <c r="M657" s="465">
        <f t="shared" ref="M657" si="2913">SUM(M652:M656)</f>
        <v>0</v>
      </c>
      <c r="N657" s="465">
        <f t="shared" ref="N657" si="2914">SUM(N652:N656)</f>
        <v>2230</v>
      </c>
      <c r="O657" s="465">
        <f t="shared" ref="O657" si="2915">SUM(O652:O656)</f>
        <v>0</v>
      </c>
      <c r="P657" s="282">
        <f t="shared" ref="P657" si="2916">SUM(P652:P656)</f>
        <v>0</v>
      </c>
      <c r="Q657" s="965">
        <f t="shared" ref="Q657" si="2917">SUM(Q652:Q656)</f>
        <v>0</v>
      </c>
      <c r="R657" s="465">
        <f t="shared" ref="R657" si="2918">SUM(R652:R656)</f>
        <v>0</v>
      </c>
      <c r="S657" s="465">
        <f t="shared" ref="S657" si="2919">SUM(S652:S656)</f>
        <v>0</v>
      </c>
      <c r="T657" s="465">
        <f t="shared" ref="T657" si="2920">SUM(T652:T656)</f>
        <v>0</v>
      </c>
      <c r="U657" s="282">
        <f t="shared" ref="U657" si="2921">SUM(U652:U656)</f>
        <v>0</v>
      </c>
      <c r="V657" s="1172"/>
      <c r="W657" s="258">
        <f t="shared" ref="W657" si="2922">SUM(W652:W656)</f>
        <v>0</v>
      </c>
      <c r="X657" s="465">
        <f t="shared" ref="X657" si="2923">SUM(X652:X656)</f>
        <v>0</v>
      </c>
      <c r="Y657" s="465">
        <f t="shared" ref="Y657" si="2924">SUM(Y652:Y656)</f>
        <v>0</v>
      </c>
      <c r="Z657" s="465">
        <f t="shared" ref="Z657" si="2925">SUM(Z652:Z656)</f>
        <v>0</v>
      </c>
      <c r="AA657" s="282">
        <f t="shared" ref="AA657" si="2926">SUM(AA652:AA656)</f>
        <v>0</v>
      </c>
      <c r="AB657" s="992"/>
      <c r="AC657" s="258">
        <f t="shared" ref="AC657" si="2927">SUM(AC652:AC656)</f>
        <v>0</v>
      </c>
      <c r="AD657" s="465">
        <f t="shared" ref="AD657" si="2928">SUM(AD652:AD656)</f>
        <v>0</v>
      </c>
      <c r="AE657" s="465">
        <f t="shared" ref="AE657" si="2929">SUM(AE652:AE656)</f>
        <v>0</v>
      </c>
      <c r="AF657" s="465">
        <f t="shared" ref="AF657" si="2930">SUM(AF652:AF656)</f>
        <v>0</v>
      </c>
      <c r="AG657" s="465">
        <f t="shared" ref="AG657" si="2931">SUM(AG652:AG656)</f>
        <v>0</v>
      </c>
      <c r="AH657" s="1049"/>
      <c r="AI657" s="1172"/>
      <c r="AJ657" s="1155"/>
      <c r="AK657" s="1155"/>
      <c r="AL657" s="1086"/>
      <c r="AM657" s="1087"/>
      <c r="AN657" s="1087"/>
      <c r="AO657" s="1087"/>
      <c r="AP657" s="1088"/>
      <c r="AQ657" s="258"/>
      <c r="AR657" s="465"/>
      <c r="AS657" s="282"/>
      <c r="AT657" s="1155"/>
      <c r="AU657" s="1155"/>
      <c r="AV657" s="1155"/>
      <c r="AW657" s="1155"/>
      <c r="AX657" s="1155"/>
      <c r="AY657" s="1155"/>
      <c r="AZ657" s="1155"/>
      <c r="BA657" s="1155"/>
      <c r="BB657" s="1155"/>
      <c r="BC657" s="1155"/>
      <c r="BD657" s="1155"/>
      <c r="BE657" s="1155"/>
      <c r="BF657" s="1155"/>
      <c r="BG657" s="1155"/>
      <c r="BH657" s="1155"/>
      <c r="BI657" s="1155"/>
      <c r="BJ657" s="1155"/>
      <c r="BK657" s="1155"/>
      <c r="BL657" s="1155"/>
      <c r="BM657" s="1155"/>
      <c r="BN657" s="1155"/>
      <c r="BO657" s="1155"/>
      <c r="BP657" s="1155"/>
      <c r="BQ657" s="1155"/>
      <c r="BR657" s="1155"/>
      <c r="BS657" s="1155"/>
    </row>
    <row r="658" spans="5:71" s="474" customFormat="1">
      <c r="E658" s="4109"/>
      <c r="F658" s="1376" t="s">
        <v>593</v>
      </c>
      <c r="G658" s="1083"/>
      <c r="H658" s="1084"/>
      <c r="I658" s="1084"/>
      <c r="J658" s="1084"/>
      <c r="K658" s="1085"/>
      <c r="L658" s="255"/>
      <c r="M658" s="461"/>
      <c r="N658" s="461"/>
      <c r="O658" s="461"/>
      <c r="P658" s="281"/>
      <c r="Q658" s="956"/>
      <c r="R658" s="461"/>
      <c r="S658" s="461"/>
      <c r="T658" s="461"/>
      <c r="U658" s="281"/>
      <c r="V658" s="1172"/>
      <c r="W658" s="255"/>
      <c r="X658" s="461"/>
      <c r="Y658" s="461"/>
      <c r="Z658" s="461"/>
      <c r="AA658" s="281"/>
      <c r="AB658" s="1041"/>
      <c r="AC658" s="255"/>
      <c r="AD658" s="461"/>
      <c r="AE658" s="461"/>
      <c r="AF658" s="461"/>
      <c r="AG658" s="461"/>
      <c r="AH658" s="1047"/>
      <c r="AI658" s="1172"/>
      <c r="AJ658" s="1155"/>
      <c r="AK658" s="1155"/>
      <c r="AL658" s="1083"/>
      <c r="AM658" s="1084"/>
      <c r="AN658" s="1084"/>
      <c r="AO658" s="1084"/>
      <c r="AP658" s="1085"/>
      <c r="AQ658" s="259"/>
      <c r="AR658" s="466"/>
      <c r="AS658" s="283"/>
      <c r="AT658" s="1155"/>
      <c r="AU658" s="1155"/>
      <c r="AV658" s="1155"/>
      <c r="AW658" s="1155"/>
      <c r="AX658" s="1155"/>
      <c r="AY658" s="1155"/>
      <c r="AZ658" s="1155"/>
      <c r="BA658" s="1155"/>
      <c r="BB658" s="1155"/>
      <c r="BC658" s="1155"/>
      <c r="BD658" s="1155"/>
      <c r="BE658" s="1155"/>
      <c r="BF658" s="1155"/>
      <c r="BG658" s="1155"/>
      <c r="BH658" s="1155"/>
      <c r="BI658" s="1155"/>
      <c r="BJ658" s="1155"/>
      <c r="BK658" s="1155"/>
      <c r="BL658" s="1155"/>
      <c r="BM658" s="1155"/>
      <c r="BN658" s="1155"/>
      <c r="BO658" s="1155"/>
      <c r="BP658" s="1155"/>
      <c r="BQ658" s="1155"/>
      <c r="BR658" s="1155"/>
      <c r="BS658" s="1155"/>
    </row>
    <row r="659" spans="5:71" s="474" customFormat="1">
      <c r="E659" s="4109"/>
      <c r="F659" s="431" t="s">
        <v>558</v>
      </c>
      <c r="G659" s="1083"/>
      <c r="H659" s="1084"/>
      <c r="I659" s="1084"/>
      <c r="J659" s="1084"/>
      <c r="K659" s="1085"/>
      <c r="L659" s="255"/>
      <c r="M659" s="461"/>
      <c r="N659" s="461">
        <v>507651.55</v>
      </c>
      <c r="O659" s="461"/>
      <c r="P659" s="281"/>
      <c r="Q659" s="956"/>
      <c r="R659" s="461"/>
      <c r="S659" s="461"/>
      <c r="T659" s="461"/>
      <c r="U659" s="281"/>
      <c r="V659" s="1172"/>
      <c r="W659" s="255"/>
      <c r="X659" s="461"/>
      <c r="Y659" s="461"/>
      <c r="Z659" s="461"/>
      <c r="AA659" s="281"/>
      <c r="AB659" s="1041"/>
      <c r="AC659" s="255"/>
      <c r="AD659" s="461"/>
      <c r="AE659" s="461"/>
      <c r="AF659" s="461"/>
      <c r="AG659" s="461"/>
      <c r="AH659" s="1047"/>
      <c r="AI659" s="1172"/>
      <c r="AJ659" s="1155"/>
      <c r="AK659" s="1155"/>
      <c r="AL659" s="1083"/>
      <c r="AM659" s="1084"/>
      <c r="AN659" s="1084"/>
      <c r="AO659" s="1084"/>
      <c r="AP659" s="1085"/>
      <c r="AQ659" s="259"/>
      <c r="AR659" s="466"/>
      <c r="AS659" s="283"/>
      <c r="AT659" s="1155"/>
      <c r="AU659" s="1155"/>
      <c r="AV659" s="1155"/>
      <c r="AW659" s="1155"/>
      <c r="AX659" s="1155"/>
      <c r="AY659" s="1155"/>
      <c r="AZ659" s="1155"/>
      <c r="BA659" s="1155"/>
      <c r="BB659" s="1155"/>
      <c r="BC659" s="1155"/>
      <c r="BD659" s="1155"/>
      <c r="BE659" s="1155"/>
      <c r="BF659" s="1155"/>
      <c r="BG659" s="1155"/>
      <c r="BH659" s="1155"/>
      <c r="BI659" s="1155"/>
      <c r="BJ659" s="1155"/>
      <c r="BK659" s="1155"/>
      <c r="BL659" s="1155"/>
      <c r="BM659" s="1155"/>
      <c r="BN659" s="1155"/>
      <c r="BO659" s="1155"/>
      <c r="BP659" s="1155"/>
      <c r="BQ659" s="1155"/>
      <c r="BR659" s="1155"/>
      <c r="BS659" s="1155"/>
    </row>
    <row r="660" spans="5:71" s="474" customFormat="1">
      <c r="E660" s="4109"/>
      <c r="F660" s="431" t="s">
        <v>559</v>
      </c>
      <c r="G660" s="1083"/>
      <c r="H660" s="1084"/>
      <c r="I660" s="1084"/>
      <c r="J660" s="1084"/>
      <c r="K660" s="1085"/>
      <c r="L660" s="255"/>
      <c r="M660" s="461"/>
      <c r="N660" s="461"/>
      <c r="O660" s="461"/>
      <c r="P660" s="281"/>
      <c r="Q660" s="956"/>
      <c r="R660" s="461"/>
      <c r="S660" s="461"/>
      <c r="T660" s="461"/>
      <c r="U660" s="281"/>
      <c r="V660" s="1172"/>
      <c r="W660" s="255"/>
      <c r="X660" s="461"/>
      <c r="Y660" s="461"/>
      <c r="Z660" s="461"/>
      <c r="AA660" s="281"/>
      <c r="AB660" s="1041"/>
      <c r="AC660" s="255"/>
      <c r="AD660" s="461"/>
      <c r="AE660" s="461"/>
      <c r="AF660" s="461"/>
      <c r="AG660" s="461"/>
      <c r="AH660" s="1047"/>
      <c r="AI660" s="1172"/>
      <c r="AJ660" s="1155"/>
      <c r="AK660" s="1155"/>
      <c r="AL660" s="1083"/>
      <c r="AM660" s="1084"/>
      <c r="AN660" s="1084"/>
      <c r="AO660" s="1084"/>
      <c r="AP660" s="1085"/>
      <c r="AQ660" s="259"/>
      <c r="AR660" s="466"/>
      <c r="AS660" s="283"/>
      <c r="AT660" s="1155"/>
      <c r="AU660" s="1155"/>
      <c r="AV660" s="1155"/>
      <c r="AW660" s="1155"/>
      <c r="AX660" s="1155"/>
      <c r="AY660" s="1155"/>
      <c r="AZ660" s="1155"/>
      <c r="BA660" s="1155"/>
      <c r="BB660" s="1155"/>
      <c r="BC660" s="1155"/>
      <c r="BD660" s="1155"/>
      <c r="BE660" s="1155"/>
      <c r="BF660" s="1155"/>
      <c r="BG660" s="1155"/>
      <c r="BH660" s="1155"/>
      <c r="BI660" s="1155"/>
      <c r="BJ660" s="1155"/>
      <c r="BK660" s="1155"/>
      <c r="BL660" s="1155"/>
      <c r="BM660" s="1155"/>
      <c r="BN660" s="1155"/>
      <c r="BO660" s="1155"/>
      <c r="BP660" s="1155"/>
      <c r="BQ660" s="1155"/>
      <c r="BR660" s="1155"/>
      <c r="BS660" s="1155"/>
    </row>
    <row r="661" spans="5:71" s="474" customFormat="1">
      <c r="E661" s="4109"/>
      <c r="F661" s="431" t="s">
        <v>578</v>
      </c>
      <c r="G661" s="1089"/>
      <c r="H661" s="1090"/>
      <c r="I661" s="1090"/>
      <c r="J661" s="1090"/>
      <c r="K661" s="1091"/>
      <c r="L661" s="259"/>
      <c r="M661" s="456"/>
      <c r="N661" s="456"/>
      <c r="O661" s="456"/>
      <c r="P661" s="457"/>
      <c r="Q661" s="224"/>
      <c r="R661" s="456"/>
      <c r="S661" s="456"/>
      <c r="T661" s="456"/>
      <c r="U661" s="457"/>
      <c r="V661" s="1172"/>
      <c r="W661" s="207"/>
      <c r="X661" s="456"/>
      <c r="Y661" s="456"/>
      <c r="Z661" s="456"/>
      <c r="AA661" s="457"/>
      <c r="AB661" s="1041"/>
      <c r="AC661" s="207"/>
      <c r="AD661" s="456"/>
      <c r="AE661" s="456"/>
      <c r="AF661" s="456"/>
      <c r="AG661" s="456"/>
      <c r="AH661" s="1048"/>
      <c r="AI661" s="1172"/>
      <c r="AJ661" s="1155"/>
      <c r="AK661" s="1155"/>
      <c r="AL661" s="1089"/>
      <c r="AM661" s="1090"/>
      <c r="AN661" s="1090"/>
      <c r="AO661" s="1090"/>
      <c r="AP661" s="1091"/>
      <c r="AQ661" s="259"/>
      <c r="AR661" s="466"/>
      <c r="AS661" s="283"/>
      <c r="AT661" s="1155"/>
      <c r="AU661" s="1155"/>
      <c r="AV661" s="1155"/>
      <c r="AW661" s="1155"/>
      <c r="AX661" s="1155"/>
      <c r="AY661" s="1155"/>
      <c r="AZ661" s="1155"/>
      <c r="BA661" s="1155"/>
      <c r="BB661" s="1155"/>
      <c r="BC661" s="1155"/>
      <c r="BD661" s="1155"/>
      <c r="BE661" s="1155"/>
      <c r="BF661" s="1155"/>
      <c r="BG661" s="1155"/>
      <c r="BH661" s="1155"/>
      <c r="BI661" s="1155"/>
      <c r="BJ661" s="1155"/>
      <c r="BK661" s="1155"/>
      <c r="BL661" s="1155"/>
      <c r="BM661" s="1155"/>
      <c r="BN661" s="1155"/>
      <c r="BO661" s="1155"/>
      <c r="BP661" s="1155"/>
      <c r="BQ661" s="1155"/>
      <c r="BR661" s="1155"/>
      <c r="BS661" s="1155"/>
    </row>
    <row r="662" spans="5:71" s="474" customFormat="1">
      <c r="E662" s="4109"/>
      <c r="F662" s="1377" t="s">
        <v>579</v>
      </c>
      <c r="G662" s="1086"/>
      <c r="H662" s="1087"/>
      <c r="I662" s="1087"/>
      <c r="J662" s="1087"/>
      <c r="K662" s="1088"/>
      <c r="L662" s="258">
        <f>SUM(L658:L661)</f>
        <v>0</v>
      </c>
      <c r="M662" s="465">
        <f t="shared" ref="M662" si="2932">SUM(M658:M661)</f>
        <v>0</v>
      </c>
      <c r="N662" s="465">
        <f t="shared" ref="N662" si="2933">SUM(N658:N661)</f>
        <v>507651.55</v>
      </c>
      <c r="O662" s="465">
        <f t="shared" ref="O662" si="2934">SUM(O658:O661)</f>
        <v>0</v>
      </c>
      <c r="P662" s="282">
        <f t="shared" ref="P662" si="2935">SUM(P658:P661)</f>
        <v>0</v>
      </c>
      <c r="Q662" s="965">
        <f t="shared" ref="Q662" si="2936">SUM(Q658:Q661)</f>
        <v>0</v>
      </c>
      <c r="R662" s="465">
        <f t="shared" ref="R662" si="2937">SUM(R658:R661)</f>
        <v>0</v>
      </c>
      <c r="S662" s="465">
        <f t="shared" ref="S662" si="2938">SUM(S658:S661)</f>
        <v>0</v>
      </c>
      <c r="T662" s="465">
        <f t="shared" ref="T662" si="2939">SUM(T658:T661)</f>
        <v>0</v>
      </c>
      <c r="U662" s="282">
        <f t="shared" ref="U662" si="2940">SUM(U658:U661)</f>
        <v>0</v>
      </c>
      <c r="V662" s="1172"/>
      <c r="W662" s="258">
        <f t="shared" ref="W662" si="2941">SUM(W658:W661)</f>
        <v>0</v>
      </c>
      <c r="X662" s="465">
        <f t="shared" ref="X662" si="2942">SUM(X658:X661)</f>
        <v>0</v>
      </c>
      <c r="Y662" s="465">
        <f t="shared" ref="Y662" si="2943">SUM(Y658:Y661)</f>
        <v>0</v>
      </c>
      <c r="Z662" s="465">
        <f t="shared" ref="Z662" si="2944">SUM(Z658:Z661)</f>
        <v>0</v>
      </c>
      <c r="AA662" s="282">
        <f t="shared" ref="AA662" si="2945">SUM(AA658:AA661)</f>
        <v>0</v>
      </c>
      <c r="AB662" s="992"/>
      <c r="AC662" s="258">
        <f t="shared" ref="AC662" si="2946">SUM(AC658:AC661)</f>
        <v>0</v>
      </c>
      <c r="AD662" s="465">
        <f t="shared" ref="AD662" si="2947">SUM(AD658:AD661)</f>
        <v>0</v>
      </c>
      <c r="AE662" s="465">
        <f t="shared" ref="AE662" si="2948">SUM(AE658:AE661)</f>
        <v>0</v>
      </c>
      <c r="AF662" s="465">
        <f t="shared" ref="AF662" si="2949">SUM(AF658:AF661)</f>
        <v>0</v>
      </c>
      <c r="AG662" s="465">
        <f t="shared" ref="AG662" si="2950">SUM(AG658:AG661)</f>
        <v>0</v>
      </c>
      <c r="AH662" s="1049"/>
      <c r="AI662" s="1172"/>
      <c r="AJ662" s="1155"/>
      <c r="AK662" s="1155"/>
      <c r="AL662" s="1086"/>
      <c r="AM662" s="1087"/>
      <c r="AN662" s="1087"/>
      <c r="AO662" s="1087"/>
      <c r="AP662" s="1088"/>
      <c r="AQ662" s="258">
        <f>SUM(AQ659:AQ661)</f>
        <v>0</v>
      </c>
      <c r="AR662" s="465">
        <f t="shared" ref="AR662" si="2951">SUM(AR659:AR661)</f>
        <v>0</v>
      </c>
      <c r="AS662" s="282"/>
      <c r="AT662" s="1155"/>
      <c r="AU662" s="1155"/>
      <c r="AV662" s="1155"/>
      <c r="AW662" s="1155"/>
      <c r="AX662" s="1155"/>
      <c r="AY662" s="1155"/>
      <c r="AZ662" s="1155"/>
      <c r="BA662" s="1155"/>
      <c r="BB662" s="1155"/>
      <c r="BC662" s="1155"/>
      <c r="BD662" s="1155"/>
      <c r="BE662" s="1155"/>
      <c r="BF662" s="1155"/>
      <c r="BG662" s="1155"/>
      <c r="BH662" s="1155"/>
      <c r="BI662" s="1155"/>
      <c r="BJ662" s="1155"/>
      <c r="BK662" s="1155"/>
      <c r="BL662" s="1155"/>
      <c r="BM662" s="1155"/>
      <c r="BN662" s="1155"/>
      <c r="BO662" s="1155"/>
      <c r="BP662" s="1155"/>
      <c r="BQ662" s="1155"/>
      <c r="BR662" s="1155"/>
      <c r="BS662" s="1155"/>
    </row>
    <row r="663" spans="5:71" s="474" customFormat="1" ht="13.5" thickBot="1">
      <c r="E663" s="4109"/>
      <c r="F663" s="1035" t="s">
        <v>583</v>
      </c>
      <c r="G663" s="255"/>
      <c r="H663" s="461"/>
      <c r="I663" s="461"/>
      <c r="J663" s="461"/>
      <c r="K663" s="281"/>
      <c r="L663" s="207"/>
      <c r="M663" s="456"/>
      <c r="N663" s="456"/>
      <c r="O663" s="456"/>
      <c r="P663" s="457"/>
      <c r="Q663" s="224"/>
      <c r="R663" s="456"/>
      <c r="S663" s="456"/>
      <c r="T663" s="456"/>
      <c r="U663" s="457"/>
      <c r="V663" s="1172"/>
      <c r="W663" s="207"/>
      <c r="X663" s="461"/>
      <c r="Y663" s="461"/>
      <c r="Z663" s="461"/>
      <c r="AA663" s="281"/>
      <c r="AB663" s="1041"/>
      <c r="AC663" s="207"/>
      <c r="AD663" s="456"/>
      <c r="AE663" s="456"/>
      <c r="AF663" s="456"/>
      <c r="AG663" s="456"/>
      <c r="AH663" s="1048"/>
      <c r="AI663" s="1172"/>
      <c r="AJ663" s="1155"/>
      <c r="AK663" s="1155"/>
      <c r="AL663" s="259"/>
      <c r="AM663" s="466"/>
      <c r="AN663" s="466"/>
      <c r="AO663" s="466"/>
      <c r="AP663" s="283"/>
      <c r="AQ663" s="259"/>
      <c r="AR663" s="466"/>
      <c r="AS663" s="283"/>
      <c r="AT663" s="1155"/>
      <c r="AU663" s="1155"/>
      <c r="AV663" s="1155"/>
      <c r="AW663" s="1155"/>
      <c r="AX663" s="1155"/>
      <c r="AY663" s="1155"/>
      <c r="AZ663" s="1155"/>
      <c r="BA663" s="1155"/>
      <c r="BB663" s="1155"/>
      <c r="BC663" s="1155"/>
      <c r="BD663" s="1155"/>
      <c r="BE663" s="1155"/>
      <c r="BF663" s="1155"/>
      <c r="BG663" s="1155"/>
      <c r="BH663" s="1155"/>
      <c r="BI663" s="1155"/>
      <c r="BJ663" s="1155"/>
      <c r="BK663" s="1155"/>
      <c r="BL663" s="1155"/>
      <c r="BM663" s="1155"/>
      <c r="BN663" s="1155"/>
      <c r="BO663" s="1155"/>
      <c r="BP663" s="1155"/>
      <c r="BQ663" s="1155"/>
      <c r="BR663" s="1155"/>
      <c r="BS663" s="1155"/>
    </row>
    <row r="664" spans="5:71" s="474" customFormat="1" ht="13.5" thickBot="1">
      <c r="E664" s="4109"/>
      <c r="F664" s="1380" t="s">
        <v>581</v>
      </c>
      <c r="G664" s="1599"/>
      <c r="H664" s="1600"/>
      <c r="I664" s="1600"/>
      <c r="J664" s="1600"/>
      <c r="K664" s="1601"/>
      <c r="L664" s="1599"/>
      <c r="M664" s="1600"/>
      <c r="N664" s="1600"/>
      <c r="O664" s="1600"/>
      <c r="P664" s="1601"/>
      <c r="Q664" s="1602"/>
      <c r="R664" s="1600"/>
      <c r="S664" s="1600"/>
      <c r="T664" s="1600"/>
      <c r="U664" s="1601"/>
      <c r="V664" s="1172"/>
      <c r="W664" s="1614"/>
      <c r="X664" s="1615"/>
      <c r="Y664" s="1615"/>
      <c r="Z664" s="1615"/>
      <c r="AA664" s="1615"/>
      <c r="AB664" s="1615"/>
      <c r="AC664" s="1615"/>
      <c r="AD664" s="1615"/>
      <c r="AE664" s="1615"/>
      <c r="AF664" s="1615"/>
      <c r="AG664" s="1615"/>
      <c r="AH664" s="1616"/>
      <c r="AI664" s="1172"/>
      <c r="AJ664" s="1155"/>
      <c r="AK664" s="1155"/>
      <c r="AL664" s="259"/>
      <c r="AM664" s="466"/>
      <c r="AN664" s="466"/>
      <c r="AO664" s="466"/>
      <c r="AP664" s="283"/>
      <c r="AQ664" s="259"/>
      <c r="AR664" s="466"/>
      <c r="AS664" s="283"/>
      <c r="AT664" s="1155"/>
      <c r="AU664" s="1155"/>
      <c r="AV664" s="1155"/>
      <c r="AW664" s="1155"/>
      <c r="AX664" s="1155"/>
      <c r="AY664" s="1155"/>
      <c r="AZ664" s="1155"/>
      <c r="BA664" s="1155"/>
      <c r="BB664" s="1155"/>
      <c r="BC664" s="1155"/>
      <c r="BD664" s="1155"/>
      <c r="BE664" s="1155"/>
      <c r="BF664" s="1155"/>
      <c r="BG664" s="1155"/>
      <c r="BH664" s="1155"/>
      <c r="BI664" s="1155"/>
      <c r="BJ664" s="1155"/>
      <c r="BK664" s="1155"/>
      <c r="BL664" s="1155"/>
      <c r="BM664" s="1155"/>
      <c r="BN664" s="1155"/>
      <c r="BO664" s="1155"/>
      <c r="BP664" s="1155"/>
      <c r="BQ664" s="1155"/>
      <c r="BR664" s="1155"/>
      <c r="BS664" s="1155"/>
    </row>
    <row r="665" spans="5:71" s="474" customFormat="1">
      <c r="E665" s="4109"/>
      <c r="F665" s="1378" t="s">
        <v>584</v>
      </c>
      <c r="G665" s="1050">
        <v>0</v>
      </c>
      <c r="H665" s="1051">
        <v>0</v>
      </c>
      <c r="I665" s="1051">
        <v>0</v>
      </c>
      <c r="J665" s="1051">
        <v>0</v>
      </c>
      <c r="K665" s="1052">
        <v>0</v>
      </c>
      <c r="L665" s="1050">
        <f>SUM(L662:L664)</f>
        <v>0</v>
      </c>
      <c r="M665" s="1051">
        <f t="shared" ref="M665" si="2952">SUM(M662:M664)</f>
        <v>0</v>
      </c>
      <c r="N665" s="1051">
        <f t="shared" ref="N665" si="2953">SUM(N662:N664)</f>
        <v>507651.55</v>
      </c>
      <c r="O665" s="1051">
        <f t="shared" ref="O665" si="2954">SUM(O662:O664)</f>
        <v>0</v>
      </c>
      <c r="P665" s="1052">
        <f t="shared" ref="P665" si="2955">SUM(P662:P664)</f>
        <v>0</v>
      </c>
      <c r="Q665" s="1092">
        <f t="shared" ref="Q665" si="2956">SUM(Q662:Q664)</f>
        <v>0</v>
      </c>
      <c r="R665" s="1051">
        <f t="shared" ref="R665" si="2957">SUM(R662:R664)</f>
        <v>0</v>
      </c>
      <c r="S665" s="1051">
        <f t="shared" ref="S665" si="2958">SUM(S662:S664)</f>
        <v>0</v>
      </c>
      <c r="T665" s="1051">
        <f t="shared" ref="T665" si="2959">SUM(T662:T664)</f>
        <v>0</v>
      </c>
      <c r="U665" s="1052">
        <f t="shared" ref="U665" si="2960">SUM(U662:U664)</f>
        <v>0</v>
      </c>
      <c r="V665" s="1172"/>
      <c r="W665" s="1050">
        <f t="shared" ref="W665" si="2961">SUM(W662:W664)</f>
        <v>0</v>
      </c>
      <c r="X665" s="1051">
        <f t="shared" ref="X665" si="2962">SUM(X662:X664)</f>
        <v>0</v>
      </c>
      <c r="Y665" s="1051">
        <f t="shared" ref="Y665" si="2963">SUM(Y662:Y664)</f>
        <v>0</v>
      </c>
      <c r="Z665" s="1051">
        <f t="shared" ref="Z665" si="2964">SUM(Z662:Z664)</f>
        <v>0</v>
      </c>
      <c r="AA665" s="1052">
        <f t="shared" ref="AA665" si="2965">SUM(AA662:AA664)</f>
        <v>0</v>
      </c>
      <c r="AB665" s="1053"/>
      <c r="AC665" s="1050">
        <f t="shared" ref="AC665" si="2966">SUM(AC662:AC664)</f>
        <v>0</v>
      </c>
      <c r="AD665" s="1051">
        <f t="shared" ref="AD665" si="2967">SUM(AD662:AD664)</f>
        <v>0</v>
      </c>
      <c r="AE665" s="1051">
        <f t="shared" ref="AE665" si="2968">SUM(AE662:AE664)</f>
        <v>0</v>
      </c>
      <c r="AF665" s="1051">
        <f t="shared" ref="AF665" si="2969">SUM(AF662:AF664)</f>
        <v>0</v>
      </c>
      <c r="AG665" s="1051">
        <f t="shared" ref="AG665" si="2970">SUM(AG662:AG664)</f>
        <v>0</v>
      </c>
      <c r="AH665" s="1054"/>
      <c r="AI665" s="1172"/>
      <c r="AJ665" s="130"/>
      <c r="AK665" s="130"/>
      <c r="AL665" s="1050">
        <f t="shared" ref="AL665:AR665" si="2971">SUM(AL663:AL664)</f>
        <v>0</v>
      </c>
      <c r="AM665" s="1051">
        <f t="shared" si="2971"/>
        <v>0</v>
      </c>
      <c r="AN665" s="1051">
        <f t="shared" si="2971"/>
        <v>0</v>
      </c>
      <c r="AO665" s="1051">
        <f t="shared" si="2971"/>
        <v>0</v>
      </c>
      <c r="AP665" s="1052">
        <f t="shared" si="2971"/>
        <v>0</v>
      </c>
      <c r="AQ665" s="1050">
        <f t="shared" si="2971"/>
        <v>0</v>
      </c>
      <c r="AR665" s="1051">
        <f t="shared" si="2971"/>
        <v>0</v>
      </c>
      <c r="AS665" s="1052"/>
      <c r="AT665" s="130"/>
      <c r="AU665" s="130"/>
      <c r="AV665" s="130"/>
      <c r="AW665" s="130"/>
      <c r="AX665" s="130"/>
      <c r="AY665" s="130"/>
      <c r="AZ665" s="130"/>
      <c r="BA665" s="130"/>
      <c r="BB665" s="130"/>
      <c r="BC665" s="130"/>
      <c r="BD665" s="130"/>
      <c r="BE665" s="130"/>
      <c r="BF665" s="130"/>
      <c r="BG665" s="130"/>
      <c r="BH665" s="130"/>
      <c r="BI665" s="130"/>
      <c r="BJ665" s="130"/>
      <c r="BK665" s="130"/>
      <c r="BL665" s="130"/>
      <c r="BM665" s="130"/>
      <c r="BN665" s="130"/>
      <c r="BO665" s="130"/>
      <c r="BP665" s="130"/>
      <c r="BQ665" s="130"/>
      <c r="BR665" s="130"/>
      <c r="BS665" s="1155"/>
    </row>
    <row r="666" spans="5:71" s="474" customFormat="1">
      <c r="E666" s="4109"/>
      <c r="F666" s="1389" t="s">
        <v>35</v>
      </c>
      <c r="G666" s="255"/>
      <c r="H666" s="461"/>
      <c r="I666" s="461"/>
      <c r="J666" s="461"/>
      <c r="K666" s="281"/>
      <c r="L666" s="255"/>
      <c r="M666" s="461"/>
      <c r="N666" s="461"/>
      <c r="O666" s="461"/>
      <c r="P666" s="281"/>
      <c r="Q666" s="956"/>
      <c r="R666" s="461"/>
      <c r="S666" s="461"/>
      <c r="T666" s="461"/>
      <c r="U666" s="281"/>
      <c r="V666" s="1172"/>
      <c r="W666" s="255"/>
      <c r="X666" s="461"/>
      <c r="Y666" s="461"/>
      <c r="Z666" s="461"/>
      <c r="AA666" s="281"/>
      <c r="AB666" s="1004"/>
      <c r="AC666" s="255"/>
      <c r="AD666" s="461"/>
      <c r="AE666" s="461"/>
      <c r="AF666" s="461"/>
      <c r="AG666" s="461"/>
      <c r="AH666" s="1047"/>
      <c r="AI666" s="1172"/>
      <c r="AJ666" s="1155"/>
      <c r="AK666" s="1155"/>
      <c r="AL666" s="259"/>
      <c r="AM666" s="466"/>
      <c r="AN666" s="466"/>
      <c r="AO666" s="466"/>
      <c r="AP666" s="283"/>
      <c r="AQ666" s="259"/>
      <c r="AR666" s="466"/>
      <c r="AS666" s="283"/>
      <c r="AT666" s="1155"/>
      <c r="AU666" s="1155"/>
      <c r="AV666" s="1155"/>
      <c r="AW666" s="1155"/>
      <c r="AX666" s="1155"/>
      <c r="AY666" s="1155"/>
      <c r="AZ666" s="1155"/>
      <c r="BA666" s="1155"/>
      <c r="BB666" s="1155"/>
      <c r="BC666" s="1155"/>
      <c r="BD666" s="1155"/>
      <c r="BE666" s="1155"/>
      <c r="BF666" s="1155"/>
      <c r="BG666" s="1155"/>
      <c r="BH666" s="1155"/>
      <c r="BI666" s="1155"/>
      <c r="BJ666" s="1155"/>
      <c r="BK666" s="1155"/>
      <c r="BL666" s="1155"/>
      <c r="BM666" s="1155"/>
      <c r="BN666" s="1155"/>
      <c r="BO666" s="1155"/>
      <c r="BP666" s="1155"/>
      <c r="BQ666" s="1155"/>
      <c r="BR666" s="1155"/>
      <c r="BS666" s="1155"/>
    </row>
    <row r="667" spans="5:71" s="474" customFormat="1" ht="13.5" thickBot="1">
      <c r="E667" s="4109"/>
      <c r="F667" s="1387" t="s">
        <v>585</v>
      </c>
      <c r="G667" s="1055">
        <v>0</v>
      </c>
      <c r="H667" s="1056">
        <v>0</v>
      </c>
      <c r="I667" s="1056">
        <v>0</v>
      </c>
      <c r="J667" s="1056">
        <v>0</v>
      </c>
      <c r="K667" s="1057">
        <v>0</v>
      </c>
      <c r="L667" s="1567">
        <f>L665-L666</f>
        <v>0</v>
      </c>
      <c r="M667" s="1056">
        <f t="shared" ref="M667" si="2972">M665-M666</f>
        <v>0</v>
      </c>
      <c r="N667" s="1056">
        <f t="shared" ref="N667" si="2973">N665-N666</f>
        <v>507651.55</v>
      </c>
      <c r="O667" s="1056">
        <f t="shared" ref="O667" si="2974">O665-O666</f>
        <v>0</v>
      </c>
      <c r="P667" s="1057">
        <f t="shared" ref="P667" si="2975">P665-P666</f>
        <v>0</v>
      </c>
      <c r="Q667" s="1093">
        <f t="shared" ref="Q667" si="2976">Q665-Q666</f>
        <v>0</v>
      </c>
      <c r="R667" s="1056">
        <f t="shared" ref="R667" si="2977">R665-R666</f>
        <v>0</v>
      </c>
      <c r="S667" s="1056">
        <f t="shared" ref="S667" si="2978">S665-S666</f>
        <v>0</v>
      </c>
      <c r="T667" s="1056">
        <f t="shared" ref="T667" si="2979">T665-T666</f>
        <v>0</v>
      </c>
      <c r="U667" s="1057">
        <f t="shared" ref="U667" si="2980">U665-U666</f>
        <v>0</v>
      </c>
      <c r="V667" s="1172"/>
      <c r="W667" s="1055">
        <f t="shared" ref="W667" si="2981">W665-W666</f>
        <v>0</v>
      </c>
      <c r="X667" s="1056">
        <f t="shared" ref="X667" si="2982">X665-X666</f>
        <v>0</v>
      </c>
      <c r="Y667" s="1056">
        <f t="shared" ref="Y667" si="2983">Y665-Y666</f>
        <v>0</v>
      </c>
      <c r="Z667" s="1056">
        <f t="shared" ref="Z667" si="2984">Z665-Z666</f>
        <v>0</v>
      </c>
      <c r="AA667" s="1057">
        <f t="shared" ref="AA667" si="2985">AA665-AA666</f>
        <v>0</v>
      </c>
      <c r="AB667" s="1075"/>
      <c r="AC667" s="1055">
        <f t="shared" ref="AC667" si="2986">AC665-AC666</f>
        <v>0</v>
      </c>
      <c r="AD667" s="1056">
        <f t="shared" ref="AD667" si="2987">AD665-AD666</f>
        <v>0</v>
      </c>
      <c r="AE667" s="1056">
        <f t="shared" ref="AE667" si="2988">AE665-AE666</f>
        <v>0</v>
      </c>
      <c r="AF667" s="1056">
        <f t="shared" ref="AF667" si="2989">AF665-AF666</f>
        <v>0</v>
      </c>
      <c r="AG667" s="1056">
        <f t="shared" ref="AG667" si="2990">AG665-AG666</f>
        <v>0</v>
      </c>
      <c r="AH667" s="1059"/>
      <c r="AI667" s="1172"/>
      <c r="AJ667" s="1155"/>
      <c r="AK667" s="1155"/>
      <c r="AL667" s="1567">
        <f>AL665-AL666</f>
        <v>0</v>
      </c>
      <c r="AM667" s="1056">
        <f t="shared" ref="AM667:AR667" si="2991">AM665-AM666</f>
        <v>0</v>
      </c>
      <c r="AN667" s="1056">
        <f t="shared" si="2991"/>
        <v>0</v>
      </c>
      <c r="AO667" s="1056">
        <f t="shared" si="2991"/>
        <v>0</v>
      </c>
      <c r="AP667" s="1057">
        <f t="shared" si="2991"/>
        <v>0</v>
      </c>
      <c r="AQ667" s="1567">
        <f t="shared" si="2991"/>
        <v>0</v>
      </c>
      <c r="AR667" s="1056">
        <f t="shared" si="2991"/>
        <v>0</v>
      </c>
      <c r="AS667" s="1057"/>
      <c r="AT667" s="1155"/>
      <c r="AU667" s="1155"/>
      <c r="AV667" s="1155"/>
      <c r="AW667" s="1155"/>
      <c r="AX667" s="1155"/>
      <c r="AY667" s="1155"/>
      <c r="AZ667" s="1155"/>
      <c r="BA667" s="1155"/>
      <c r="BB667" s="1155"/>
      <c r="BC667" s="1155"/>
      <c r="BD667" s="1155"/>
      <c r="BE667" s="1155"/>
      <c r="BF667" s="1155"/>
      <c r="BG667" s="1155"/>
      <c r="BH667" s="1155"/>
      <c r="BI667" s="1155"/>
      <c r="BJ667" s="1155"/>
      <c r="BK667" s="1155"/>
      <c r="BL667" s="1155"/>
      <c r="BM667" s="1155"/>
      <c r="BN667" s="1155"/>
      <c r="BO667" s="1155"/>
      <c r="BP667" s="1155"/>
      <c r="BQ667" s="1155"/>
      <c r="BR667" s="1155"/>
      <c r="BS667" s="1155"/>
    </row>
    <row r="668" spans="5:71" s="474" customFormat="1" ht="12.75" customHeight="1">
      <c r="E668" s="4110" t="s">
        <v>1515</v>
      </c>
      <c r="F668" s="433" t="s">
        <v>111</v>
      </c>
      <c r="G668" s="1086"/>
      <c r="H668" s="1087"/>
      <c r="I668" s="1087"/>
      <c r="J668" s="1087"/>
      <c r="K668" s="1088"/>
      <c r="L668" s="258"/>
      <c r="M668" s="465"/>
      <c r="N668" s="465"/>
      <c r="O668" s="465"/>
      <c r="P668" s="282"/>
      <c r="Q668" s="965"/>
      <c r="R668" s="465"/>
      <c r="S668" s="465"/>
      <c r="T668" s="465"/>
      <c r="U668" s="282"/>
      <c r="V668" s="1172"/>
      <c r="W668" s="1043"/>
      <c r="X668" s="421"/>
      <c r="Y668" s="421"/>
      <c r="Z668" s="421"/>
      <c r="AA668" s="1044"/>
      <c r="AB668" s="1045"/>
      <c r="AC668" s="1043"/>
      <c r="AD668" s="421"/>
      <c r="AE668" s="421"/>
      <c r="AF668" s="421"/>
      <c r="AG668" s="421"/>
      <c r="AH668" s="1046"/>
      <c r="AI668" s="1172"/>
      <c r="AJ668" s="1155"/>
      <c r="AK668" s="1155"/>
      <c r="AL668" s="1086"/>
      <c r="AM668" s="1087"/>
      <c r="AN668" s="1087"/>
      <c r="AO668" s="1087"/>
      <c r="AP668" s="1088"/>
      <c r="AQ668" s="258"/>
      <c r="AR668" s="465"/>
      <c r="AS668" s="282"/>
      <c r="AT668" s="1155"/>
      <c r="AU668" s="1155"/>
      <c r="AV668" s="1155"/>
      <c r="AW668" s="1155"/>
      <c r="AX668" s="1155"/>
      <c r="AY668" s="1155"/>
      <c r="AZ668" s="1155"/>
      <c r="BA668" s="1155"/>
      <c r="BB668" s="1155"/>
      <c r="BC668" s="1155"/>
      <c r="BD668" s="1155"/>
      <c r="BE668" s="1155"/>
      <c r="BF668" s="1155"/>
      <c r="BG668" s="1155"/>
      <c r="BH668" s="1155"/>
      <c r="BI668" s="1155"/>
      <c r="BJ668" s="1155"/>
      <c r="BK668" s="1155"/>
      <c r="BL668" s="1155"/>
      <c r="BM668" s="1155"/>
      <c r="BN668" s="1155"/>
      <c r="BO668" s="1155"/>
      <c r="BP668" s="1155"/>
      <c r="BQ668" s="1155"/>
      <c r="BR668" s="1155"/>
      <c r="BS668" s="1155"/>
    </row>
    <row r="669" spans="5:71" s="474" customFormat="1" ht="12.75" customHeight="1">
      <c r="E669" s="4109"/>
      <c r="F669" s="1374" t="s">
        <v>588</v>
      </c>
      <c r="G669" s="1083"/>
      <c r="H669" s="1084"/>
      <c r="I669" s="1084"/>
      <c r="J669" s="1084"/>
      <c r="K669" s="1085"/>
      <c r="L669" s="255"/>
      <c r="M669" s="461"/>
      <c r="N669" s="461">
        <v>6387</v>
      </c>
      <c r="O669" s="461"/>
      <c r="P669" s="281"/>
      <c r="Q669" s="956"/>
      <c r="R669" s="461"/>
      <c r="S669" s="461"/>
      <c r="T669" s="461"/>
      <c r="U669" s="281"/>
      <c r="V669" s="1172"/>
      <c r="W669" s="255"/>
      <c r="X669" s="461"/>
      <c r="Y669" s="461"/>
      <c r="Z669" s="461"/>
      <c r="AA669" s="281"/>
      <c r="AB669" s="1041"/>
      <c r="AC669" s="255"/>
      <c r="AD669" s="461"/>
      <c r="AE669" s="461"/>
      <c r="AF669" s="461"/>
      <c r="AG669" s="461"/>
      <c r="AH669" s="1047"/>
      <c r="AI669" s="1172"/>
      <c r="AJ669" s="1155"/>
      <c r="AK669" s="1155"/>
      <c r="AL669" s="1083"/>
      <c r="AM669" s="1084"/>
      <c r="AN669" s="1084"/>
      <c r="AO669" s="1084"/>
      <c r="AP669" s="1085"/>
      <c r="AQ669" s="259"/>
      <c r="AR669" s="466"/>
      <c r="AS669" s="283"/>
      <c r="AT669" s="1155"/>
      <c r="AU669" s="1155"/>
      <c r="AV669" s="1155"/>
      <c r="AW669" s="1155"/>
      <c r="AX669" s="1155"/>
      <c r="AY669" s="1155"/>
      <c r="AZ669" s="1155"/>
      <c r="BA669" s="1155"/>
      <c r="BB669" s="1155"/>
      <c r="BC669" s="1155"/>
      <c r="BD669" s="1155"/>
      <c r="BE669" s="1155"/>
      <c r="BF669" s="1155"/>
      <c r="BG669" s="1155"/>
      <c r="BH669" s="1155"/>
      <c r="BI669" s="1155"/>
      <c r="BJ669" s="1155"/>
      <c r="BK669" s="1155"/>
      <c r="BL669" s="1155"/>
      <c r="BM669" s="1155"/>
      <c r="BN669" s="1155"/>
      <c r="BO669" s="1155"/>
      <c r="BP669" s="1155"/>
      <c r="BQ669" s="1155"/>
      <c r="BR669" s="1155"/>
      <c r="BS669" s="1155"/>
    </row>
    <row r="670" spans="5:71" s="474" customFormat="1" ht="12.75" customHeight="1">
      <c r="E670" s="4109"/>
      <c r="F670" s="1374" t="s">
        <v>589</v>
      </c>
      <c r="G670" s="1083"/>
      <c r="H670" s="1084"/>
      <c r="I670" s="1084"/>
      <c r="J670" s="1084"/>
      <c r="K670" s="1085"/>
      <c r="L670" s="255"/>
      <c r="M670" s="461"/>
      <c r="N670" s="461"/>
      <c r="O670" s="461"/>
      <c r="P670" s="281"/>
      <c r="Q670" s="956"/>
      <c r="R670" s="461"/>
      <c r="S670" s="461"/>
      <c r="T670" s="461"/>
      <c r="U670" s="281"/>
      <c r="V670" s="1172"/>
      <c r="W670" s="255"/>
      <c r="X670" s="461"/>
      <c r="Y670" s="461"/>
      <c r="Z670" s="461"/>
      <c r="AA670" s="281"/>
      <c r="AB670" s="1041"/>
      <c r="AC670" s="255"/>
      <c r="AD670" s="461"/>
      <c r="AE670" s="461"/>
      <c r="AF670" s="461"/>
      <c r="AG670" s="461"/>
      <c r="AH670" s="1047"/>
      <c r="AI670" s="1172"/>
      <c r="AJ670" s="1155"/>
      <c r="AK670" s="1155"/>
      <c r="AL670" s="1083"/>
      <c r="AM670" s="1084"/>
      <c r="AN670" s="1084"/>
      <c r="AO670" s="1084"/>
      <c r="AP670" s="1085"/>
      <c r="AQ670" s="259"/>
      <c r="AR670" s="466"/>
      <c r="AS670" s="283"/>
      <c r="AT670" s="1155"/>
      <c r="AU670" s="1155"/>
      <c r="AV670" s="1155"/>
      <c r="AW670" s="1155"/>
      <c r="AX670" s="1155"/>
      <c r="AY670" s="1155"/>
      <c r="AZ670" s="1155"/>
      <c r="BA670" s="1155"/>
      <c r="BB670" s="1155"/>
      <c r="BC670" s="1155"/>
      <c r="BD670" s="1155"/>
      <c r="BE670" s="1155"/>
      <c r="BF670" s="1155"/>
      <c r="BG670" s="1155"/>
      <c r="BH670" s="1155"/>
      <c r="BI670" s="1155"/>
      <c r="BJ670" s="1155"/>
      <c r="BK670" s="1155"/>
      <c r="BL670" s="1155"/>
      <c r="BM670" s="1155"/>
      <c r="BN670" s="1155"/>
      <c r="BO670" s="1155"/>
      <c r="BP670" s="1155"/>
      <c r="BQ670" s="1155"/>
      <c r="BR670" s="1155"/>
      <c r="BS670" s="1155"/>
    </row>
    <row r="671" spans="5:71" s="474" customFormat="1" ht="12.75" customHeight="1">
      <c r="E671" s="4109"/>
      <c r="F671" s="1374" t="s">
        <v>590</v>
      </c>
      <c r="G671" s="1083"/>
      <c r="H671" s="1084"/>
      <c r="I671" s="1084"/>
      <c r="J671" s="1084"/>
      <c r="K671" s="1085"/>
      <c r="L671" s="255"/>
      <c r="M671" s="461"/>
      <c r="N671" s="461"/>
      <c r="O671" s="461"/>
      <c r="P671" s="281"/>
      <c r="Q671" s="956"/>
      <c r="R671" s="461"/>
      <c r="S671" s="461"/>
      <c r="T671" s="461"/>
      <c r="U671" s="281"/>
      <c r="V671" s="1172"/>
      <c r="W671" s="255"/>
      <c r="X671" s="461"/>
      <c r="Y671" s="461"/>
      <c r="Z671" s="461"/>
      <c r="AA671" s="281"/>
      <c r="AB671" s="1041"/>
      <c r="AC671" s="255"/>
      <c r="AD671" s="461"/>
      <c r="AE671" s="461"/>
      <c r="AF671" s="461"/>
      <c r="AG671" s="461"/>
      <c r="AH671" s="1047"/>
      <c r="AI671" s="1172"/>
      <c r="AJ671" s="1155"/>
      <c r="AK671" s="1155"/>
      <c r="AL671" s="1083"/>
      <c r="AM671" s="1084"/>
      <c r="AN671" s="1084"/>
      <c r="AO671" s="1084"/>
      <c r="AP671" s="1085"/>
      <c r="AQ671" s="259"/>
      <c r="AR671" s="466"/>
      <c r="AS671" s="283"/>
      <c r="AT671" s="1155"/>
      <c r="AU671" s="1155"/>
      <c r="AV671" s="1155"/>
      <c r="AW671" s="1155"/>
      <c r="AX671" s="1155"/>
      <c r="AY671" s="1155"/>
      <c r="AZ671" s="1155"/>
      <c r="BA671" s="1155"/>
      <c r="BB671" s="1155"/>
      <c r="BC671" s="1155"/>
      <c r="BD671" s="1155"/>
      <c r="BE671" s="1155"/>
      <c r="BF671" s="1155"/>
      <c r="BG671" s="1155"/>
      <c r="BH671" s="1155"/>
      <c r="BI671" s="1155"/>
      <c r="BJ671" s="1155"/>
      <c r="BK671" s="1155"/>
      <c r="BL671" s="1155"/>
      <c r="BM671" s="1155"/>
      <c r="BN671" s="1155"/>
      <c r="BO671" s="1155"/>
      <c r="BP671" s="1155"/>
      <c r="BQ671" s="1155"/>
      <c r="BR671" s="1155"/>
      <c r="BS671" s="1155"/>
    </row>
    <row r="672" spans="5:71" s="474" customFormat="1" ht="12.75" customHeight="1">
      <c r="E672" s="4109"/>
      <c r="F672" s="1374" t="s">
        <v>591</v>
      </c>
      <c r="G672" s="1083"/>
      <c r="H672" s="1084"/>
      <c r="I672" s="1084"/>
      <c r="J672" s="1084"/>
      <c r="K672" s="1085"/>
      <c r="L672" s="255"/>
      <c r="M672" s="461"/>
      <c r="N672" s="461"/>
      <c r="O672" s="461"/>
      <c r="P672" s="281"/>
      <c r="Q672" s="956"/>
      <c r="R672" s="461"/>
      <c r="S672" s="461"/>
      <c r="T672" s="461"/>
      <c r="U672" s="281"/>
      <c r="V672" s="1172"/>
      <c r="W672" s="255"/>
      <c r="X672" s="461"/>
      <c r="Y672" s="461"/>
      <c r="Z672" s="461"/>
      <c r="AA672" s="281"/>
      <c r="AB672" s="1041"/>
      <c r="AC672" s="255"/>
      <c r="AD672" s="461"/>
      <c r="AE672" s="461"/>
      <c r="AF672" s="461"/>
      <c r="AG672" s="461"/>
      <c r="AH672" s="1047"/>
      <c r="AI672" s="1172"/>
      <c r="AJ672" s="1155"/>
      <c r="AK672" s="1155"/>
      <c r="AL672" s="1083"/>
      <c r="AM672" s="1084"/>
      <c r="AN672" s="1084"/>
      <c r="AO672" s="1084"/>
      <c r="AP672" s="1085"/>
      <c r="AQ672" s="259"/>
      <c r="AR672" s="466"/>
      <c r="AS672" s="283"/>
      <c r="AT672" s="1155"/>
      <c r="AU672" s="1155"/>
      <c r="AV672" s="1155"/>
      <c r="AW672" s="1155"/>
      <c r="AX672" s="1155"/>
      <c r="AY672" s="1155"/>
      <c r="AZ672" s="1155"/>
      <c r="BA672" s="1155"/>
      <c r="BB672" s="1155"/>
      <c r="BC672" s="1155"/>
      <c r="BD672" s="1155"/>
      <c r="BE672" s="1155"/>
      <c r="BF672" s="1155"/>
      <c r="BG672" s="1155"/>
      <c r="BH672" s="1155"/>
      <c r="BI672" s="1155"/>
      <c r="BJ672" s="1155"/>
      <c r="BK672" s="1155"/>
      <c r="BL672" s="1155"/>
      <c r="BM672" s="1155"/>
      <c r="BN672" s="1155"/>
      <c r="BO672" s="1155"/>
      <c r="BP672" s="1155"/>
      <c r="BQ672" s="1155"/>
      <c r="BR672" s="1155"/>
      <c r="BS672" s="1155"/>
    </row>
    <row r="673" spans="5:71" s="474" customFormat="1" ht="12.75" customHeight="1">
      <c r="E673" s="4109"/>
      <c r="F673" s="1374" t="s">
        <v>592</v>
      </c>
      <c r="G673" s="1083"/>
      <c r="H673" s="1084"/>
      <c r="I673" s="1084"/>
      <c r="J673" s="1084"/>
      <c r="K673" s="1085"/>
      <c r="L673" s="207"/>
      <c r="M673" s="456"/>
      <c r="N673" s="456"/>
      <c r="O673" s="456"/>
      <c r="P673" s="457"/>
      <c r="Q673" s="224"/>
      <c r="R673" s="456"/>
      <c r="S673" s="456"/>
      <c r="T673" s="456"/>
      <c r="U673" s="457"/>
      <c r="V673" s="1172"/>
      <c r="W673" s="207">
        <v>0</v>
      </c>
      <c r="X673" s="456">
        <v>0</v>
      </c>
      <c r="Y673" s="456">
        <v>0</v>
      </c>
      <c r="Z673" s="456">
        <v>0</v>
      </c>
      <c r="AA673" s="457">
        <v>0</v>
      </c>
      <c r="AB673" s="1041"/>
      <c r="AC673" s="207">
        <v>0</v>
      </c>
      <c r="AD673" s="456">
        <v>0</v>
      </c>
      <c r="AE673" s="456">
        <v>0</v>
      </c>
      <c r="AF673" s="456">
        <v>0</v>
      </c>
      <c r="AG673" s="456">
        <v>0</v>
      </c>
      <c r="AH673" s="1048"/>
      <c r="AI673" s="1172"/>
      <c r="AJ673" s="1155"/>
      <c r="AK673" s="1155"/>
      <c r="AL673" s="1083"/>
      <c r="AM673" s="1084"/>
      <c r="AN673" s="1084"/>
      <c r="AO673" s="1084"/>
      <c r="AP673" s="1085"/>
      <c r="AQ673" s="207">
        <f>SUM(AQ668:AQ672)</f>
        <v>0</v>
      </c>
      <c r="AR673" s="456">
        <f t="shared" ref="AR673" si="2992">SUM(AR668:AR672)</f>
        <v>0</v>
      </c>
      <c r="AS673" s="457"/>
      <c r="AT673" s="1155"/>
      <c r="AU673" s="1155"/>
      <c r="AV673" s="1155"/>
      <c r="AW673" s="1155"/>
      <c r="AX673" s="1155"/>
      <c r="AY673" s="1155"/>
      <c r="AZ673" s="1155"/>
      <c r="BA673" s="1155"/>
      <c r="BB673" s="1155"/>
      <c r="BC673" s="1155"/>
      <c r="BD673" s="1155"/>
      <c r="BE673" s="1155"/>
      <c r="BF673" s="1155"/>
      <c r="BG673" s="1155"/>
      <c r="BH673" s="1155"/>
      <c r="BI673" s="1155"/>
      <c r="BJ673" s="1155"/>
      <c r="BK673" s="1155"/>
      <c r="BL673" s="1155"/>
      <c r="BM673" s="1155"/>
      <c r="BN673" s="1155"/>
      <c r="BO673" s="1155"/>
      <c r="BP673" s="1155"/>
      <c r="BQ673" s="1155"/>
      <c r="BR673" s="1155"/>
      <c r="BS673" s="1155"/>
    </row>
    <row r="674" spans="5:71" s="474" customFormat="1">
      <c r="E674" s="4109"/>
      <c r="F674" s="1375" t="s">
        <v>587</v>
      </c>
      <c r="G674" s="1086"/>
      <c r="H674" s="1087"/>
      <c r="I674" s="1087"/>
      <c r="J674" s="1087"/>
      <c r="K674" s="1088"/>
      <c r="L674" s="258">
        <f>SUM(L669:L673)</f>
        <v>0</v>
      </c>
      <c r="M674" s="465">
        <f t="shared" ref="M674" si="2993">SUM(M669:M673)</f>
        <v>0</v>
      </c>
      <c r="N674" s="465">
        <f t="shared" ref="N674" si="2994">SUM(N669:N673)</f>
        <v>6387</v>
      </c>
      <c r="O674" s="465">
        <f t="shared" ref="O674" si="2995">SUM(O669:O673)</f>
        <v>0</v>
      </c>
      <c r="P674" s="282">
        <f t="shared" ref="P674" si="2996">SUM(P669:P673)</f>
        <v>0</v>
      </c>
      <c r="Q674" s="965">
        <f t="shared" ref="Q674" si="2997">SUM(Q669:Q673)</f>
        <v>0</v>
      </c>
      <c r="R674" s="465">
        <f t="shared" ref="R674" si="2998">SUM(R669:R673)</f>
        <v>0</v>
      </c>
      <c r="S674" s="465">
        <f t="shared" ref="S674" si="2999">SUM(S669:S673)</f>
        <v>0</v>
      </c>
      <c r="T674" s="465">
        <f t="shared" ref="T674" si="3000">SUM(T669:T673)</f>
        <v>0</v>
      </c>
      <c r="U674" s="282">
        <f t="shared" ref="U674" si="3001">SUM(U669:U673)</f>
        <v>0</v>
      </c>
      <c r="V674" s="1172"/>
      <c r="W674" s="258">
        <f t="shared" ref="W674" si="3002">SUM(W669:W673)</f>
        <v>0</v>
      </c>
      <c r="X674" s="465">
        <f t="shared" ref="X674" si="3003">SUM(X669:X673)</f>
        <v>0</v>
      </c>
      <c r="Y674" s="465">
        <f t="shared" ref="Y674" si="3004">SUM(Y669:Y673)</f>
        <v>0</v>
      </c>
      <c r="Z674" s="465">
        <f t="shared" ref="Z674" si="3005">SUM(Z669:Z673)</f>
        <v>0</v>
      </c>
      <c r="AA674" s="282">
        <f t="shared" ref="AA674" si="3006">SUM(AA669:AA673)</f>
        <v>0</v>
      </c>
      <c r="AB674" s="992"/>
      <c r="AC674" s="258">
        <f t="shared" ref="AC674" si="3007">SUM(AC669:AC673)</f>
        <v>0</v>
      </c>
      <c r="AD674" s="465">
        <f t="shared" ref="AD674" si="3008">SUM(AD669:AD673)</f>
        <v>0</v>
      </c>
      <c r="AE674" s="465">
        <f t="shared" ref="AE674" si="3009">SUM(AE669:AE673)</f>
        <v>0</v>
      </c>
      <c r="AF674" s="465">
        <f t="shared" ref="AF674" si="3010">SUM(AF669:AF673)</f>
        <v>0</v>
      </c>
      <c r="AG674" s="465">
        <f t="shared" ref="AG674" si="3011">SUM(AG669:AG673)</f>
        <v>0</v>
      </c>
      <c r="AH674" s="1049"/>
      <c r="AI674" s="1172"/>
      <c r="AJ674" s="1155"/>
      <c r="AK674" s="1155"/>
      <c r="AL674" s="1086"/>
      <c r="AM674" s="1087"/>
      <c r="AN674" s="1087"/>
      <c r="AO674" s="1087"/>
      <c r="AP674" s="1088"/>
      <c r="AQ674" s="258"/>
      <c r="AR674" s="465"/>
      <c r="AS674" s="282"/>
      <c r="AT674" s="1155"/>
      <c r="AU674" s="1155"/>
      <c r="AV674" s="1155"/>
      <c r="AW674" s="1155"/>
      <c r="AX674" s="1155"/>
      <c r="AY674" s="1155"/>
      <c r="AZ674" s="1155"/>
      <c r="BA674" s="1155"/>
      <c r="BB674" s="1155"/>
      <c r="BC674" s="1155"/>
      <c r="BD674" s="1155"/>
      <c r="BE674" s="1155"/>
      <c r="BF674" s="1155"/>
      <c r="BG674" s="1155"/>
      <c r="BH674" s="1155"/>
      <c r="BI674" s="1155"/>
      <c r="BJ674" s="1155"/>
      <c r="BK674" s="1155"/>
      <c r="BL674" s="1155"/>
      <c r="BM674" s="1155"/>
      <c r="BN674" s="1155"/>
      <c r="BO674" s="1155"/>
      <c r="BP674" s="1155"/>
      <c r="BQ674" s="1155"/>
      <c r="BR674" s="1155"/>
      <c r="BS674" s="1155"/>
    </row>
    <row r="675" spans="5:71" s="474" customFormat="1">
      <c r="E675" s="4109"/>
      <c r="F675" s="1376" t="s">
        <v>593</v>
      </c>
      <c r="G675" s="1083"/>
      <c r="H675" s="1084"/>
      <c r="I675" s="1084"/>
      <c r="J675" s="1084"/>
      <c r="K675" s="1085"/>
      <c r="L675" s="255"/>
      <c r="M675" s="461"/>
      <c r="N675" s="461"/>
      <c r="O675" s="461"/>
      <c r="P675" s="281"/>
      <c r="Q675" s="956"/>
      <c r="R675" s="461"/>
      <c r="S675" s="461"/>
      <c r="T675" s="461"/>
      <c r="U675" s="281"/>
      <c r="V675" s="1172"/>
      <c r="W675" s="255"/>
      <c r="X675" s="461"/>
      <c r="Y675" s="461"/>
      <c r="Z675" s="461"/>
      <c r="AA675" s="281"/>
      <c r="AB675" s="1041"/>
      <c r="AC675" s="255"/>
      <c r="AD675" s="461"/>
      <c r="AE675" s="461"/>
      <c r="AF675" s="461"/>
      <c r="AG675" s="461"/>
      <c r="AH675" s="1047"/>
      <c r="AI675" s="1172"/>
      <c r="AJ675" s="1155"/>
      <c r="AK675" s="1155"/>
      <c r="AL675" s="1083"/>
      <c r="AM675" s="1084"/>
      <c r="AN675" s="1084"/>
      <c r="AO675" s="1084"/>
      <c r="AP675" s="1085"/>
      <c r="AQ675" s="259"/>
      <c r="AR675" s="466"/>
      <c r="AS675" s="283"/>
      <c r="AT675" s="1155"/>
      <c r="AU675" s="1155"/>
      <c r="AV675" s="1155"/>
      <c r="AW675" s="1155"/>
      <c r="AX675" s="1155"/>
      <c r="AY675" s="1155"/>
      <c r="AZ675" s="1155"/>
      <c r="BA675" s="1155"/>
      <c r="BB675" s="1155"/>
      <c r="BC675" s="1155"/>
      <c r="BD675" s="1155"/>
      <c r="BE675" s="1155"/>
      <c r="BF675" s="1155"/>
      <c r="BG675" s="1155"/>
      <c r="BH675" s="1155"/>
      <c r="BI675" s="1155"/>
      <c r="BJ675" s="1155"/>
      <c r="BK675" s="1155"/>
      <c r="BL675" s="1155"/>
      <c r="BM675" s="1155"/>
      <c r="BN675" s="1155"/>
      <c r="BO675" s="1155"/>
      <c r="BP675" s="1155"/>
      <c r="BQ675" s="1155"/>
      <c r="BR675" s="1155"/>
      <c r="BS675" s="1155"/>
    </row>
    <row r="676" spans="5:71" s="474" customFormat="1">
      <c r="E676" s="4109"/>
      <c r="F676" s="431" t="s">
        <v>558</v>
      </c>
      <c r="G676" s="1083"/>
      <c r="H676" s="1084"/>
      <c r="I676" s="1084"/>
      <c r="J676" s="1084"/>
      <c r="K676" s="1085"/>
      <c r="L676" s="255"/>
      <c r="M676" s="461"/>
      <c r="N676" s="461">
        <v>1617401.92</v>
      </c>
      <c r="O676" s="461"/>
      <c r="P676" s="281"/>
      <c r="Q676" s="956"/>
      <c r="R676" s="461"/>
      <c r="S676" s="461"/>
      <c r="T676" s="461"/>
      <c r="U676" s="281"/>
      <c r="V676" s="1172"/>
      <c r="W676" s="255"/>
      <c r="X676" s="461"/>
      <c r="Y676" s="461"/>
      <c r="Z676" s="461"/>
      <c r="AA676" s="281"/>
      <c r="AB676" s="1041"/>
      <c r="AC676" s="255"/>
      <c r="AD676" s="461"/>
      <c r="AE676" s="461"/>
      <c r="AF676" s="461"/>
      <c r="AG676" s="461"/>
      <c r="AH676" s="1047"/>
      <c r="AI676" s="1172"/>
      <c r="AJ676" s="1155"/>
      <c r="AK676" s="1155"/>
      <c r="AL676" s="1083"/>
      <c r="AM676" s="1084"/>
      <c r="AN676" s="1084"/>
      <c r="AO676" s="1084"/>
      <c r="AP676" s="1085"/>
      <c r="AQ676" s="259"/>
      <c r="AR676" s="466"/>
      <c r="AS676" s="283"/>
      <c r="AT676" s="1155"/>
      <c r="AU676" s="1155"/>
      <c r="AV676" s="1155"/>
      <c r="AW676" s="1155"/>
      <c r="AX676" s="1155"/>
      <c r="AY676" s="1155"/>
      <c r="AZ676" s="1155"/>
      <c r="BA676" s="1155"/>
      <c r="BB676" s="1155"/>
      <c r="BC676" s="1155"/>
      <c r="BD676" s="1155"/>
      <c r="BE676" s="1155"/>
      <c r="BF676" s="1155"/>
      <c r="BG676" s="1155"/>
      <c r="BH676" s="1155"/>
      <c r="BI676" s="1155"/>
      <c r="BJ676" s="1155"/>
      <c r="BK676" s="1155"/>
      <c r="BL676" s="1155"/>
      <c r="BM676" s="1155"/>
      <c r="BN676" s="1155"/>
      <c r="BO676" s="1155"/>
      <c r="BP676" s="1155"/>
      <c r="BQ676" s="1155"/>
      <c r="BR676" s="1155"/>
      <c r="BS676" s="1155"/>
    </row>
    <row r="677" spans="5:71" s="474" customFormat="1">
      <c r="E677" s="4109"/>
      <c r="F677" s="431" t="s">
        <v>559</v>
      </c>
      <c r="G677" s="1083"/>
      <c r="H677" s="1084"/>
      <c r="I677" s="1084"/>
      <c r="J677" s="1084"/>
      <c r="K677" s="1085"/>
      <c r="L677" s="255"/>
      <c r="M677" s="461"/>
      <c r="N677" s="461"/>
      <c r="O677" s="461"/>
      <c r="P677" s="281"/>
      <c r="Q677" s="956"/>
      <c r="R677" s="461"/>
      <c r="S677" s="461"/>
      <c r="T677" s="461"/>
      <c r="U677" s="281"/>
      <c r="V677" s="1172"/>
      <c r="W677" s="255"/>
      <c r="X677" s="461"/>
      <c r="Y677" s="461"/>
      <c r="Z677" s="461"/>
      <c r="AA677" s="281"/>
      <c r="AB677" s="1041"/>
      <c r="AC677" s="255"/>
      <c r="AD677" s="461"/>
      <c r="AE677" s="461"/>
      <c r="AF677" s="461"/>
      <c r="AG677" s="461"/>
      <c r="AH677" s="1047"/>
      <c r="AI677" s="1172"/>
      <c r="AJ677" s="1155"/>
      <c r="AK677" s="1155"/>
      <c r="AL677" s="1083"/>
      <c r="AM677" s="1084"/>
      <c r="AN677" s="1084"/>
      <c r="AO677" s="1084"/>
      <c r="AP677" s="1085"/>
      <c r="AQ677" s="259"/>
      <c r="AR677" s="466"/>
      <c r="AS677" s="283"/>
      <c r="AT677" s="1155"/>
      <c r="AU677" s="1155"/>
      <c r="AV677" s="1155"/>
      <c r="AW677" s="1155"/>
      <c r="AX677" s="1155"/>
      <c r="AY677" s="1155"/>
      <c r="AZ677" s="1155"/>
      <c r="BA677" s="1155"/>
      <c r="BB677" s="1155"/>
      <c r="BC677" s="1155"/>
      <c r="BD677" s="1155"/>
      <c r="BE677" s="1155"/>
      <c r="BF677" s="1155"/>
      <c r="BG677" s="1155"/>
      <c r="BH677" s="1155"/>
      <c r="BI677" s="1155"/>
      <c r="BJ677" s="1155"/>
      <c r="BK677" s="1155"/>
      <c r="BL677" s="1155"/>
      <c r="BM677" s="1155"/>
      <c r="BN677" s="1155"/>
      <c r="BO677" s="1155"/>
      <c r="BP677" s="1155"/>
      <c r="BQ677" s="1155"/>
      <c r="BR677" s="1155"/>
      <c r="BS677" s="1155"/>
    </row>
    <row r="678" spans="5:71" s="474" customFormat="1">
      <c r="E678" s="4109"/>
      <c r="F678" s="431" t="s">
        <v>578</v>
      </c>
      <c r="G678" s="1089"/>
      <c r="H678" s="1090"/>
      <c r="I678" s="1090"/>
      <c r="J678" s="1090"/>
      <c r="K678" s="1091"/>
      <c r="L678" s="259"/>
      <c r="M678" s="456"/>
      <c r="N678" s="456"/>
      <c r="O678" s="456"/>
      <c r="P678" s="457"/>
      <c r="Q678" s="224"/>
      <c r="R678" s="456"/>
      <c r="S678" s="456"/>
      <c r="T678" s="456"/>
      <c r="U678" s="457"/>
      <c r="V678" s="1172"/>
      <c r="W678" s="207"/>
      <c r="X678" s="456"/>
      <c r="Y678" s="456"/>
      <c r="Z678" s="456"/>
      <c r="AA678" s="457"/>
      <c r="AB678" s="1041"/>
      <c r="AC678" s="207"/>
      <c r="AD678" s="456"/>
      <c r="AE678" s="456"/>
      <c r="AF678" s="456"/>
      <c r="AG678" s="456"/>
      <c r="AH678" s="1048"/>
      <c r="AI678" s="1172"/>
      <c r="AJ678" s="1155"/>
      <c r="AK678" s="1155"/>
      <c r="AL678" s="1089"/>
      <c r="AM678" s="1090"/>
      <c r="AN678" s="1090"/>
      <c r="AO678" s="1090"/>
      <c r="AP678" s="1091"/>
      <c r="AQ678" s="259"/>
      <c r="AR678" s="456"/>
      <c r="AS678" s="457"/>
      <c r="AT678" s="1155"/>
      <c r="AU678" s="1155"/>
      <c r="AV678" s="1155"/>
      <c r="AW678" s="1155"/>
      <c r="AX678" s="1155"/>
      <c r="AY678" s="1155"/>
      <c r="AZ678" s="1155"/>
      <c r="BA678" s="1155"/>
      <c r="BB678" s="1155"/>
      <c r="BC678" s="1155"/>
      <c r="BD678" s="1155"/>
      <c r="BE678" s="1155"/>
      <c r="BF678" s="1155"/>
      <c r="BG678" s="1155"/>
      <c r="BH678" s="1155"/>
      <c r="BI678" s="1155"/>
      <c r="BJ678" s="1155"/>
      <c r="BK678" s="1155"/>
      <c r="BL678" s="1155"/>
      <c r="BM678" s="1155"/>
      <c r="BN678" s="1155"/>
      <c r="BO678" s="1155"/>
      <c r="BP678" s="1155"/>
      <c r="BQ678" s="1155"/>
      <c r="BR678" s="1155"/>
      <c r="BS678" s="1155"/>
    </row>
    <row r="679" spans="5:71" s="474" customFormat="1">
      <c r="E679" s="4109"/>
      <c r="F679" s="1377" t="s">
        <v>579</v>
      </c>
      <c r="G679" s="1086"/>
      <c r="H679" s="1087"/>
      <c r="I679" s="1087"/>
      <c r="J679" s="1087"/>
      <c r="K679" s="1088"/>
      <c r="L679" s="258">
        <f>SUM(L675:L678)</f>
        <v>0</v>
      </c>
      <c r="M679" s="465">
        <f t="shared" ref="M679" si="3012">SUM(M675:M678)</f>
        <v>0</v>
      </c>
      <c r="N679" s="465">
        <f t="shared" ref="N679" si="3013">SUM(N675:N678)</f>
        <v>1617401.92</v>
      </c>
      <c r="O679" s="465">
        <f t="shared" ref="O679" si="3014">SUM(O675:O678)</f>
        <v>0</v>
      </c>
      <c r="P679" s="282">
        <f t="shared" ref="P679" si="3015">SUM(P675:P678)</f>
        <v>0</v>
      </c>
      <c r="Q679" s="965">
        <f t="shared" ref="Q679" si="3016">SUM(Q675:Q678)</f>
        <v>0</v>
      </c>
      <c r="R679" s="465">
        <f t="shared" ref="R679" si="3017">SUM(R675:R678)</f>
        <v>0</v>
      </c>
      <c r="S679" s="465">
        <f t="shared" ref="S679" si="3018">SUM(S675:S678)</f>
        <v>0</v>
      </c>
      <c r="T679" s="465">
        <f t="shared" ref="T679" si="3019">SUM(T675:T678)</f>
        <v>0</v>
      </c>
      <c r="U679" s="282">
        <f t="shared" ref="U679" si="3020">SUM(U675:U678)</f>
        <v>0</v>
      </c>
      <c r="V679" s="1172"/>
      <c r="W679" s="258">
        <f t="shared" ref="W679" si="3021">SUM(W675:W678)</f>
        <v>0</v>
      </c>
      <c r="X679" s="465">
        <f t="shared" ref="X679" si="3022">SUM(X675:X678)</f>
        <v>0</v>
      </c>
      <c r="Y679" s="465">
        <f t="shared" ref="Y679" si="3023">SUM(Y675:Y678)</f>
        <v>0</v>
      </c>
      <c r="Z679" s="465">
        <f t="shared" ref="Z679" si="3024">SUM(Z675:Z678)</f>
        <v>0</v>
      </c>
      <c r="AA679" s="282">
        <f t="shared" ref="AA679" si="3025">SUM(AA675:AA678)</f>
        <v>0</v>
      </c>
      <c r="AB679" s="992"/>
      <c r="AC679" s="258">
        <f t="shared" ref="AC679" si="3026">SUM(AC675:AC678)</f>
        <v>0</v>
      </c>
      <c r="AD679" s="465">
        <f t="shared" ref="AD679" si="3027">SUM(AD675:AD678)</f>
        <v>0</v>
      </c>
      <c r="AE679" s="465">
        <f t="shared" ref="AE679" si="3028">SUM(AE675:AE678)</f>
        <v>0</v>
      </c>
      <c r="AF679" s="465">
        <f t="shared" ref="AF679" si="3029">SUM(AF675:AF678)</f>
        <v>0</v>
      </c>
      <c r="AG679" s="465">
        <f t="shared" ref="AG679" si="3030">SUM(AG675:AG678)</f>
        <v>0</v>
      </c>
      <c r="AH679" s="1049"/>
      <c r="AI679" s="1172"/>
      <c r="AJ679" s="1155"/>
      <c r="AK679" s="1155"/>
      <c r="AL679" s="1086"/>
      <c r="AM679" s="1087"/>
      <c r="AN679" s="1087"/>
      <c r="AO679" s="1087"/>
      <c r="AP679" s="1088"/>
      <c r="AQ679" s="258">
        <f>SUM(AQ676:AQ678)</f>
        <v>0</v>
      </c>
      <c r="AR679" s="465">
        <f t="shared" ref="AR679" si="3031">SUM(AR676:AR678)</f>
        <v>0</v>
      </c>
      <c r="AS679" s="282"/>
      <c r="AT679" s="1155"/>
      <c r="AU679" s="1155"/>
      <c r="AV679" s="1155"/>
      <c r="AW679" s="1155"/>
      <c r="AX679" s="1155"/>
      <c r="AY679" s="1155"/>
      <c r="AZ679" s="1155"/>
      <c r="BA679" s="1155"/>
      <c r="BB679" s="1155"/>
      <c r="BC679" s="1155"/>
      <c r="BD679" s="1155"/>
      <c r="BE679" s="1155"/>
      <c r="BF679" s="1155"/>
      <c r="BG679" s="1155"/>
      <c r="BH679" s="1155"/>
      <c r="BI679" s="1155"/>
      <c r="BJ679" s="1155"/>
      <c r="BK679" s="1155"/>
      <c r="BL679" s="1155"/>
      <c r="BM679" s="1155"/>
      <c r="BN679" s="1155"/>
      <c r="BO679" s="1155"/>
      <c r="BP679" s="1155"/>
      <c r="BQ679" s="1155"/>
      <c r="BR679" s="1155"/>
      <c r="BS679" s="1155"/>
    </row>
    <row r="680" spans="5:71" s="474" customFormat="1" ht="13.5" thickBot="1">
      <c r="E680" s="4109"/>
      <c r="F680" s="1385" t="s">
        <v>583</v>
      </c>
      <c r="G680" s="255"/>
      <c r="H680" s="461"/>
      <c r="I680" s="461"/>
      <c r="J680" s="461"/>
      <c r="K680" s="281"/>
      <c r="L680" s="207"/>
      <c r="M680" s="456"/>
      <c r="N680" s="456"/>
      <c r="O680" s="456"/>
      <c r="P680" s="457"/>
      <c r="Q680" s="224"/>
      <c r="R680" s="456"/>
      <c r="S680" s="456"/>
      <c r="T680" s="456"/>
      <c r="U680" s="457"/>
      <c r="V680" s="1172"/>
      <c r="W680" s="207"/>
      <c r="X680" s="461"/>
      <c r="Y680" s="461"/>
      <c r="Z680" s="461"/>
      <c r="AA680" s="281"/>
      <c r="AB680" s="1041"/>
      <c r="AC680" s="207"/>
      <c r="AD680" s="456"/>
      <c r="AE680" s="456"/>
      <c r="AF680" s="456"/>
      <c r="AG680" s="456"/>
      <c r="AH680" s="1048"/>
      <c r="AI680" s="1172"/>
      <c r="AJ680" s="1155"/>
      <c r="AK680" s="1155"/>
      <c r="AL680" s="259"/>
      <c r="AM680" s="466"/>
      <c r="AN680" s="466"/>
      <c r="AO680" s="466"/>
      <c r="AP680" s="283"/>
      <c r="AQ680" s="259"/>
      <c r="AR680" s="466"/>
      <c r="AS680" s="283"/>
      <c r="AT680" s="1155"/>
      <c r="AU680" s="1155"/>
      <c r="AV680" s="1155"/>
      <c r="AW680" s="1155"/>
      <c r="AX680" s="1155"/>
      <c r="AY680" s="1155"/>
      <c r="AZ680" s="1155"/>
      <c r="BA680" s="1155"/>
      <c r="BB680" s="1155"/>
      <c r="BC680" s="1155"/>
      <c r="BD680" s="1155"/>
      <c r="BE680" s="1155"/>
      <c r="BF680" s="1155"/>
      <c r="BG680" s="1155"/>
      <c r="BH680" s="1155"/>
      <c r="BI680" s="1155"/>
      <c r="BJ680" s="1155"/>
      <c r="BK680" s="1155"/>
      <c r="BL680" s="1155"/>
      <c r="BM680" s="1155"/>
      <c r="BN680" s="1155"/>
      <c r="BO680" s="1155"/>
      <c r="BP680" s="1155"/>
      <c r="BQ680" s="1155"/>
      <c r="BR680" s="1155"/>
      <c r="BS680" s="1155"/>
    </row>
    <row r="681" spans="5:71" s="474" customFormat="1" ht="13.5" thickBot="1">
      <c r="E681" s="4109"/>
      <c r="F681" s="1384" t="s">
        <v>581</v>
      </c>
      <c r="G681" s="1599"/>
      <c r="H681" s="1600"/>
      <c r="I681" s="1600"/>
      <c r="J681" s="1600"/>
      <c r="K681" s="1601"/>
      <c r="L681" s="1599"/>
      <c r="M681" s="1600"/>
      <c r="N681" s="1600"/>
      <c r="O681" s="1600"/>
      <c r="P681" s="1601"/>
      <c r="Q681" s="1602"/>
      <c r="R681" s="1600"/>
      <c r="S681" s="1600"/>
      <c r="T681" s="1600"/>
      <c r="U681" s="1601"/>
      <c r="V681" s="1172"/>
      <c r="W681" s="1614"/>
      <c r="X681" s="1615"/>
      <c r="Y681" s="1615"/>
      <c r="Z681" s="1615"/>
      <c r="AA681" s="1615"/>
      <c r="AB681" s="1615"/>
      <c r="AC681" s="1615"/>
      <c r="AD681" s="1615"/>
      <c r="AE681" s="1615"/>
      <c r="AF681" s="1615"/>
      <c r="AG681" s="1615"/>
      <c r="AH681" s="1616"/>
      <c r="AI681" s="1172"/>
      <c r="AJ681" s="1155"/>
      <c r="AK681" s="1155"/>
      <c r="AL681" s="259"/>
      <c r="AM681" s="466"/>
      <c r="AN681" s="466"/>
      <c r="AO681" s="466"/>
      <c r="AP681" s="283"/>
      <c r="AQ681" s="259"/>
      <c r="AR681" s="466"/>
      <c r="AS681" s="283"/>
      <c r="AT681" s="1155"/>
      <c r="AU681" s="1155"/>
      <c r="AV681" s="1155"/>
      <c r="AW681" s="1155"/>
      <c r="AX681" s="1155"/>
      <c r="AY681" s="1155"/>
      <c r="AZ681" s="1155"/>
      <c r="BA681" s="1155"/>
      <c r="BB681" s="1155"/>
      <c r="BC681" s="1155"/>
      <c r="BD681" s="1155"/>
      <c r="BE681" s="1155"/>
      <c r="BF681" s="1155"/>
      <c r="BG681" s="1155"/>
      <c r="BH681" s="1155"/>
      <c r="BI681" s="1155"/>
      <c r="BJ681" s="1155"/>
      <c r="BK681" s="1155"/>
      <c r="BL681" s="1155"/>
      <c r="BM681" s="1155"/>
      <c r="BN681" s="1155"/>
      <c r="BO681" s="1155"/>
      <c r="BP681" s="1155"/>
      <c r="BQ681" s="1155"/>
      <c r="BR681" s="1155"/>
      <c r="BS681" s="1155"/>
    </row>
    <row r="682" spans="5:71" s="474" customFormat="1">
      <c r="E682" s="4109"/>
      <c r="F682" s="1386" t="s">
        <v>584</v>
      </c>
      <c r="G682" s="1050">
        <v>0</v>
      </c>
      <c r="H682" s="1051">
        <v>0</v>
      </c>
      <c r="I682" s="1051">
        <v>0</v>
      </c>
      <c r="J682" s="1051">
        <v>0</v>
      </c>
      <c r="K682" s="1052">
        <v>0</v>
      </c>
      <c r="L682" s="1050">
        <f>SUM(L679:L681)</f>
        <v>0</v>
      </c>
      <c r="M682" s="1051">
        <f t="shared" ref="M682" si="3032">SUM(M679:M681)</f>
        <v>0</v>
      </c>
      <c r="N682" s="1051">
        <f t="shared" ref="N682" si="3033">SUM(N679:N681)</f>
        <v>1617401.92</v>
      </c>
      <c r="O682" s="1051">
        <f t="shared" ref="O682" si="3034">SUM(O679:O681)</f>
        <v>0</v>
      </c>
      <c r="P682" s="1052">
        <f t="shared" ref="P682" si="3035">SUM(P679:P681)</f>
        <v>0</v>
      </c>
      <c r="Q682" s="1092">
        <f t="shared" ref="Q682" si="3036">SUM(Q679:Q681)</f>
        <v>0</v>
      </c>
      <c r="R682" s="1051">
        <f t="shared" ref="R682" si="3037">SUM(R679:R681)</f>
        <v>0</v>
      </c>
      <c r="S682" s="1051">
        <f t="shared" ref="S682" si="3038">SUM(S679:S681)</f>
        <v>0</v>
      </c>
      <c r="T682" s="1051">
        <f t="shared" ref="T682" si="3039">SUM(T679:T681)</f>
        <v>0</v>
      </c>
      <c r="U682" s="1052">
        <f t="shared" ref="U682" si="3040">SUM(U679:U681)</f>
        <v>0</v>
      </c>
      <c r="V682" s="1172"/>
      <c r="W682" s="1050">
        <f t="shared" ref="W682" si="3041">SUM(W679:W681)</f>
        <v>0</v>
      </c>
      <c r="X682" s="1051">
        <f t="shared" ref="X682" si="3042">SUM(X679:X681)</f>
        <v>0</v>
      </c>
      <c r="Y682" s="1051">
        <f t="shared" ref="Y682" si="3043">SUM(Y679:Y681)</f>
        <v>0</v>
      </c>
      <c r="Z682" s="1051">
        <f t="shared" ref="Z682" si="3044">SUM(Z679:Z681)</f>
        <v>0</v>
      </c>
      <c r="AA682" s="1052">
        <f t="shared" ref="AA682" si="3045">SUM(AA679:AA681)</f>
        <v>0</v>
      </c>
      <c r="AB682" s="1053"/>
      <c r="AC682" s="1050">
        <f t="shared" ref="AC682" si="3046">SUM(AC679:AC681)</f>
        <v>0</v>
      </c>
      <c r="AD682" s="1051">
        <f t="shared" ref="AD682" si="3047">SUM(AD679:AD681)</f>
        <v>0</v>
      </c>
      <c r="AE682" s="1051">
        <f t="shared" ref="AE682" si="3048">SUM(AE679:AE681)</f>
        <v>0</v>
      </c>
      <c r="AF682" s="1051">
        <f t="shared" ref="AF682" si="3049">SUM(AF679:AF681)</f>
        <v>0</v>
      </c>
      <c r="AG682" s="1051">
        <f t="shared" ref="AG682" si="3050">SUM(AG679:AG681)</f>
        <v>0</v>
      </c>
      <c r="AH682" s="1054"/>
      <c r="AI682" s="1172"/>
      <c r="AJ682" s="130"/>
      <c r="AK682" s="130"/>
      <c r="AL682" s="1050">
        <f t="shared" ref="AL682:AR682" si="3051">SUM(AL680:AL681)</f>
        <v>0</v>
      </c>
      <c r="AM682" s="1051">
        <f t="shared" si="3051"/>
        <v>0</v>
      </c>
      <c r="AN682" s="1051">
        <f t="shared" si="3051"/>
        <v>0</v>
      </c>
      <c r="AO682" s="1051">
        <f t="shared" si="3051"/>
        <v>0</v>
      </c>
      <c r="AP682" s="1052">
        <f t="shared" si="3051"/>
        <v>0</v>
      </c>
      <c r="AQ682" s="1050">
        <f t="shared" si="3051"/>
        <v>0</v>
      </c>
      <c r="AR682" s="1051">
        <f t="shared" si="3051"/>
        <v>0</v>
      </c>
      <c r="AS682" s="1052"/>
      <c r="AT682" s="130"/>
      <c r="AU682" s="130"/>
      <c r="AV682" s="130"/>
      <c r="AW682" s="130"/>
      <c r="AX682" s="130"/>
      <c r="AY682" s="130"/>
      <c r="AZ682" s="130"/>
      <c r="BA682" s="130"/>
      <c r="BB682" s="130"/>
      <c r="BC682" s="130"/>
      <c r="BD682" s="130"/>
      <c r="BE682" s="130"/>
      <c r="BF682" s="130"/>
      <c r="BG682" s="130"/>
      <c r="BH682" s="130"/>
      <c r="BI682" s="130"/>
      <c r="BJ682" s="130"/>
      <c r="BK682" s="130"/>
      <c r="BL682" s="130"/>
      <c r="BM682" s="130"/>
      <c r="BN682" s="130"/>
      <c r="BO682" s="130"/>
      <c r="BP682" s="130"/>
      <c r="BQ682" s="130"/>
      <c r="BR682" s="130"/>
      <c r="BS682" s="1155"/>
    </row>
    <row r="683" spans="5:71" s="474" customFormat="1">
      <c r="E683" s="4109"/>
      <c r="F683" s="1388" t="s">
        <v>35</v>
      </c>
      <c r="G683" s="255"/>
      <c r="H683" s="461"/>
      <c r="I683" s="461"/>
      <c r="J683" s="461"/>
      <c r="K683" s="281"/>
      <c r="L683" s="255"/>
      <c r="M683" s="461"/>
      <c r="N683" s="461"/>
      <c r="O683" s="461"/>
      <c r="P683" s="281"/>
      <c r="Q683" s="956"/>
      <c r="R683" s="461"/>
      <c r="S683" s="461"/>
      <c r="T683" s="461"/>
      <c r="U683" s="281"/>
      <c r="V683" s="1172"/>
      <c r="W683" s="255"/>
      <c r="X683" s="461"/>
      <c r="Y683" s="461"/>
      <c r="Z683" s="461"/>
      <c r="AA683" s="281"/>
      <c r="AB683" s="1004"/>
      <c r="AC683" s="255"/>
      <c r="AD683" s="461"/>
      <c r="AE683" s="461"/>
      <c r="AF683" s="461"/>
      <c r="AG683" s="461"/>
      <c r="AH683" s="1047"/>
      <c r="AI683" s="1172"/>
      <c r="AJ683" s="1155"/>
      <c r="AK683" s="1155"/>
      <c r="AL683" s="259"/>
      <c r="AM683" s="466"/>
      <c r="AN683" s="466"/>
      <c r="AO683" s="466"/>
      <c r="AP683" s="283"/>
      <c r="AQ683" s="259"/>
      <c r="AR683" s="466"/>
      <c r="AS683" s="283"/>
      <c r="AT683" s="1155"/>
      <c r="AU683" s="1155"/>
      <c r="AV683" s="1155"/>
      <c r="AW683" s="1155"/>
      <c r="AX683" s="1155"/>
      <c r="AY683" s="1155"/>
      <c r="AZ683" s="1155"/>
      <c r="BA683" s="1155"/>
      <c r="BB683" s="1155"/>
      <c r="BC683" s="1155"/>
      <c r="BD683" s="1155"/>
      <c r="BE683" s="1155"/>
      <c r="BF683" s="1155"/>
      <c r="BG683" s="1155"/>
      <c r="BH683" s="1155"/>
      <c r="BI683" s="1155"/>
      <c r="BJ683" s="1155"/>
      <c r="BK683" s="1155"/>
      <c r="BL683" s="1155"/>
      <c r="BM683" s="1155"/>
      <c r="BN683" s="1155"/>
      <c r="BO683" s="1155"/>
      <c r="BP683" s="1155"/>
      <c r="BQ683" s="1155"/>
      <c r="BR683" s="1155"/>
      <c r="BS683" s="1155"/>
    </row>
    <row r="684" spans="5:71" s="474" customFormat="1" ht="13.5" thickBot="1">
      <c r="E684" s="4109"/>
      <c r="F684" s="1387" t="s">
        <v>585</v>
      </c>
      <c r="G684" s="1055">
        <v>0</v>
      </c>
      <c r="H684" s="1056">
        <v>0</v>
      </c>
      <c r="I684" s="1056">
        <v>0</v>
      </c>
      <c r="J684" s="1056">
        <v>0</v>
      </c>
      <c r="K684" s="1057">
        <v>0</v>
      </c>
      <c r="L684" s="1567">
        <f>L682-L683</f>
        <v>0</v>
      </c>
      <c r="M684" s="1056">
        <f t="shared" ref="M684" si="3052">M682-M683</f>
        <v>0</v>
      </c>
      <c r="N684" s="1056">
        <f t="shared" ref="N684" si="3053">N682-N683</f>
        <v>1617401.92</v>
      </c>
      <c r="O684" s="1056">
        <f t="shared" ref="O684" si="3054">O682-O683</f>
        <v>0</v>
      </c>
      <c r="P684" s="1057">
        <f t="shared" ref="P684" si="3055">P682-P683</f>
        <v>0</v>
      </c>
      <c r="Q684" s="1093">
        <f t="shared" ref="Q684" si="3056">Q682-Q683</f>
        <v>0</v>
      </c>
      <c r="R684" s="1056">
        <f t="shared" ref="R684" si="3057">R682-R683</f>
        <v>0</v>
      </c>
      <c r="S684" s="1056">
        <f t="shared" ref="S684" si="3058">S682-S683</f>
        <v>0</v>
      </c>
      <c r="T684" s="1056">
        <f t="shared" ref="T684" si="3059">T682-T683</f>
        <v>0</v>
      </c>
      <c r="U684" s="1057">
        <f t="shared" ref="U684" si="3060">U682-U683</f>
        <v>0</v>
      </c>
      <c r="V684" s="1172"/>
      <c r="W684" s="1055">
        <f t="shared" ref="W684" si="3061">W682-W683</f>
        <v>0</v>
      </c>
      <c r="X684" s="1056">
        <f t="shared" ref="X684" si="3062">X682-X683</f>
        <v>0</v>
      </c>
      <c r="Y684" s="1056">
        <f t="shared" ref="Y684" si="3063">Y682-Y683</f>
        <v>0</v>
      </c>
      <c r="Z684" s="1056">
        <f t="shared" ref="Z684" si="3064">Z682-Z683</f>
        <v>0</v>
      </c>
      <c r="AA684" s="1057">
        <f t="shared" ref="AA684" si="3065">AA682-AA683</f>
        <v>0</v>
      </c>
      <c r="AB684" s="1075"/>
      <c r="AC684" s="1055">
        <f t="shared" ref="AC684" si="3066">AC682-AC683</f>
        <v>0</v>
      </c>
      <c r="AD684" s="1056">
        <f t="shared" ref="AD684" si="3067">AD682-AD683</f>
        <v>0</v>
      </c>
      <c r="AE684" s="1056">
        <f t="shared" ref="AE684" si="3068">AE682-AE683</f>
        <v>0</v>
      </c>
      <c r="AF684" s="1056">
        <f t="shared" ref="AF684" si="3069">AF682-AF683</f>
        <v>0</v>
      </c>
      <c r="AG684" s="1056">
        <f t="shared" ref="AG684" si="3070">AG682-AG683</f>
        <v>0</v>
      </c>
      <c r="AH684" s="1059"/>
      <c r="AI684" s="1172"/>
      <c r="AJ684" s="1155"/>
      <c r="AK684" s="1155"/>
      <c r="AL684" s="1567">
        <f>AL682-AL683</f>
        <v>0</v>
      </c>
      <c r="AM684" s="1056">
        <f t="shared" ref="AM684:AR684" si="3071">AM682-AM683</f>
        <v>0</v>
      </c>
      <c r="AN684" s="1056">
        <f t="shared" si="3071"/>
        <v>0</v>
      </c>
      <c r="AO684" s="1056">
        <f t="shared" si="3071"/>
        <v>0</v>
      </c>
      <c r="AP684" s="1057">
        <f t="shared" si="3071"/>
        <v>0</v>
      </c>
      <c r="AQ684" s="1567">
        <f t="shared" si="3071"/>
        <v>0</v>
      </c>
      <c r="AR684" s="1056">
        <f t="shared" si="3071"/>
        <v>0</v>
      </c>
      <c r="AS684" s="1057"/>
      <c r="AT684" s="1155"/>
      <c r="AU684" s="1155"/>
      <c r="AV684" s="1155"/>
      <c r="AW684" s="1155"/>
      <c r="AX684" s="1155"/>
      <c r="AY684" s="1155"/>
      <c r="AZ684" s="1155"/>
      <c r="BA684" s="1155"/>
      <c r="BB684" s="1155"/>
      <c r="BC684" s="1155"/>
      <c r="BD684" s="1155"/>
      <c r="BE684" s="1155"/>
      <c r="BF684" s="1155"/>
      <c r="BG684" s="1155"/>
      <c r="BH684" s="1155"/>
      <c r="BI684" s="1155"/>
      <c r="BJ684" s="1155"/>
      <c r="BK684" s="1155"/>
      <c r="BL684" s="1155"/>
      <c r="BM684" s="1155"/>
      <c r="BN684" s="1155"/>
      <c r="BO684" s="1155"/>
      <c r="BP684" s="1155"/>
      <c r="BQ684" s="1155"/>
      <c r="BR684" s="1155"/>
      <c r="BS684" s="1155"/>
    </row>
    <row r="685" spans="5:71" s="474" customFormat="1" ht="12.75" customHeight="1">
      <c r="E685" s="4110" t="s">
        <v>1516</v>
      </c>
      <c r="F685" s="433" t="s">
        <v>111</v>
      </c>
      <c r="G685" s="1086"/>
      <c r="H685" s="1087"/>
      <c r="I685" s="1087"/>
      <c r="J685" s="1087"/>
      <c r="K685" s="1088"/>
      <c r="L685" s="258"/>
      <c r="M685" s="465"/>
      <c r="N685" s="465"/>
      <c r="O685" s="465"/>
      <c r="P685" s="282"/>
      <c r="Q685" s="965"/>
      <c r="R685" s="465"/>
      <c r="S685" s="465"/>
      <c r="T685" s="465"/>
      <c r="U685" s="282"/>
      <c r="V685" s="1172"/>
      <c r="W685" s="1043"/>
      <c r="X685" s="421"/>
      <c r="Y685" s="421"/>
      <c r="Z685" s="421"/>
      <c r="AA685" s="1044"/>
      <c r="AB685" s="1045"/>
      <c r="AC685" s="1043"/>
      <c r="AD685" s="421"/>
      <c r="AE685" s="421"/>
      <c r="AF685" s="421"/>
      <c r="AG685" s="421"/>
      <c r="AH685" s="1046"/>
      <c r="AI685" s="1172"/>
      <c r="AJ685" s="1155"/>
      <c r="AK685" s="1155"/>
      <c r="AL685" s="1086"/>
      <c r="AM685" s="1087"/>
      <c r="AN685" s="1087"/>
      <c r="AO685" s="1087"/>
      <c r="AP685" s="1088"/>
      <c r="AQ685" s="258"/>
      <c r="AR685" s="465"/>
      <c r="AS685" s="282"/>
      <c r="AT685" s="1155"/>
      <c r="AU685" s="1155"/>
      <c r="AV685" s="1155"/>
      <c r="AW685" s="1155"/>
      <c r="AX685" s="1155"/>
      <c r="AY685" s="1155"/>
      <c r="AZ685" s="1155"/>
      <c r="BA685" s="1155"/>
      <c r="BB685" s="1155"/>
      <c r="BC685" s="1155"/>
      <c r="BD685" s="1155"/>
      <c r="BE685" s="1155"/>
      <c r="BF685" s="1155"/>
      <c r="BG685" s="1155"/>
      <c r="BH685" s="1155"/>
      <c r="BI685" s="1155"/>
      <c r="BJ685" s="1155"/>
      <c r="BK685" s="1155"/>
      <c r="BL685" s="1155"/>
      <c r="BM685" s="1155"/>
      <c r="BN685" s="1155"/>
      <c r="BO685" s="1155"/>
      <c r="BP685" s="1155"/>
      <c r="BQ685" s="1155"/>
      <c r="BR685" s="1155"/>
      <c r="BS685" s="1155"/>
    </row>
    <row r="686" spans="5:71" s="474" customFormat="1" ht="12.75" customHeight="1">
      <c r="E686" s="4109"/>
      <c r="F686" s="1374" t="s">
        <v>588</v>
      </c>
      <c r="G686" s="1083"/>
      <c r="H686" s="1084"/>
      <c r="I686" s="1084"/>
      <c r="J686" s="1084"/>
      <c r="K686" s="1085"/>
      <c r="L686" s="255"/>
      <c r="M686" s="461"/>
      <c r="N686" s="461">
        <v>6895</v>
      </c>
      <c r="O686" s="461"/>
      <c r="P686" s="281"/>
      <c r="Q686" s="956"/>
      <c r="R686" s="461"/>
      <c r="S686" s="461"/>
      <c r="T686" s="461"/>
      <c r="U686" s="281"/>
      <c r="V686" s="1172"/>
      <c r="W686" s="255"/>
      <c r="X686" s="461"/>
      <c r="Y686" s="461"/>
      <c r="Z686" s="461"/>
      <c r="AA686" s="281"/>
      <c r="AB686" s="1041"/>
      <c r="AC686" s="255"/>
      <c r="AD686" s="461"/>
      <c r="AE686" s="461"/>
      <c r="AF686" s="461"/>
      <c r="AG686" s="461"/>
      <c r="AH686" s="1047"/>
      <c r="AI686" s="1172"/>
      <c r="AJ686" s="1155"/>
      <c r="AK686" s="1155"/>
      <c r="AL686" s="1083"/>
      <c r="AM686" s="1084"/>
      <c r="AN686" s="1084"/>
      <c r="AO686" s="1084"/>
      <c r="AP686" s="1085"/>
      <c r="AQ686" s="259"/>
      <c r="AR686" s="466"/>
      <c r="AS686" s="283"/>
      <c r="AT686" s="1155"/>
      <c r="AU686" s="1155"/>
      <c r="AV686" s="1155"/>
      <c r="AW686" s="1155"/>
      <c r="AX686" s="1155"/>
      <c r="AY686" s="1155"/>
      <c r="AZ686" s="1155"/>
      <c r="BA686" s="1155"/>
      <c r="BB686" s="1155"/>
      <c r="BC686" s="1155"/>
      <c r="BD686" s="1155"/>
      <c r="BE686" s="1155"/>
      <c r="BF686" s="1155"/>
      <c r="BG686" s="1155"/>
      <c r="BH686" s="1155"/>
      <c r="BI686" s="1155"/>
      <c r="BJ686" s="1155"/>
      <c r="BK686" s="1155"/>
      <c r="BL686" s="1155"/>
      <c r="BM686" s="1155"/>
      <c r="BN686" s="1155"/>
      <c r="BO686" s="1155"/>
      <c r="BP686" s="1155"/>
      <c r="BQ686" s="1155"/>
      <c r="BR686" s="1155"/>
      <c r="BS686" s="1155"/>
    </row>
    <row r="687" spans="5:71" s="474" customFormat="1" ht="12.75" customHeight="1">
      <c r="E687" s="4109"/>
      <c r="F687" s="1374" t="s">
        <v>589</v>
      </c>
      <c r="G687" s="1083"/>
      <c r="H687" s="1084"/>
      <c r="I687" s="1084"/>
      <c r="J687" s="1084"/>
      <c r="K687" s="1085"/>
      <c r="L687" s="255"/>
      <c r="M687" s="461"/>
      <c r="N687" s="461"/>
      <c r="O687" s="461"/>
      <c r="P687" s="281"/>
      <c r="Q687" s="956"/>
      <c r="R687" s="461"/>
      <c r="S687" s="461"/>
      <c r="T687" s="461"/>
      <c r="U687" s="281"/>
      <c r="V687" s="1172"/>
      <c r="W687" s="255"/>
      <c r="X687" s="461"/>
      <c r="Y687" s="461"/>
      <c r="Z687" s="461"/>
      <c r="AA687" s="281"/>
      <c r="AB687" s="1041"/>
      <c r="AC687" s="255"/>
      <c r="AD687" s="461"/>
      <c r="AE687" s="461"/>
      <c r="AF687" s="461"/>
      <c r="AG687" s="461"/>
      <c r="AH687" s="1047"/>
      <c r="AI687" s="1172"/>
      <c r="AJ687" s="1155"/>
      <c r="AK687" s="1155"/>
      <c r="AL687" s="1083"/>
      <c r="AM687" s="1084"/>
      <c r="AN687" s="1084"/>
      <c r="AO687" s="1084"/>
      <c r="AP687" s="1085"/>
      <c r="AQ687" s="259"/>
      <c r="AR687" s="466"/>
      <c r="AS687" s="283"/>
      <c r="AT687" s="1155"/>
      <c r="AU687" s="1155"/>
      <c r="AV687" s="1155"/>
      <c r="AW687" s="1155"/>
      <c r="AX687" s="1155"/>
      <c r="AY687" s="1155"/>
      <c r="AZ687" s="1155"/>
      <c r="BA687" s="1155"/>
      <c r="BB687" s="1155"/>
      <c r="BC687" s="1155"/>
      <c r="BD687" s="1155"/>
      <c r="BE687" s="1155"/>
      <c r="BF687" s="1155"/>
      <c r="BG687" s="1155"/>
      <c r="BH687" s="1155"/>
      <c r="BI687" s="1155"/>
      <c r="BJ687" s="1155"/>
      <c r="BK687" s="1155"/>
      <c r="BL687" s="1155"/>
      <c r="BM687" s="1155"/>
      <c r="BN687" s="1155"/>
      <c r="BO687" s="1155"/>
      <c r="BP687" s="1155"/>
      <c r="BQ687" s="1155"/>
      <c r="BR687" s="1155"/>
      <c r="BS687" s="1155"/>
    </row>
    <row r="688" spans="5:71" s="474" customFormat="1" ht="12.75" customHeight="1">
      <c r="E688" s="4109"/>
      <c r="F688" s="1374" t="s">
        <v>590</v>
      </c>
      <c r="G688" s="1083"/>
      <c r="H688" s="1084"/>
      <c r="I688" s="1084"/>
      <c r="J688" s="1084"/>
      <c r="K688" s="1085"/>
      <c r="L688" s="255"/>
      <c r="M688" s="461"/>
      <c r="N688" s="461"/>
      <c r="O688" s="461"/>
      <c r="P688" s="281"/>
      <c r="Q688" s="956"/>
      <c r="R688" s="461"/>
      <c r="S688" s="461"/>
      <c r="T688" s="461"/>
      <c r="U688" s="281"/>
      <c r="V688" s="1172"/>
      <c r="W688" s="255"/>
      <c r="X688" s="461"/>
      <c r="Y688" s="461"/>
      <c r="Z688" s="461"/>
      <c r="AA688" s="281"/>
      <c r="AB688" s="1041"/>
      <c r="AC688" s="255"/>
      <c r="AD688" s="461"/>
      <c r="AE688" s="461"/>
      <c r="AF688" s="461"/>
      <c r="AG688" s="461"/>
      <c r="AH688" s="1047"/>
      <c r="AI688" s="1172"/>
      <c r="AJ688" s="1155"/>
      <c r="AK688" s="1155"/>
      <c r="AL688" s="1083"/>
      <c r="AM688" s="1084"/>
      <c r="AN688" s="1084"/>
      <c r="AO688" s="1084"/>
      <c r="AP688" s="1085"/>
      <c r="AQ688" s="259"/>
      <c r="AR688" s="466"/>
      <c r="AS688" s="283"/>
      <c r="AT688" s="1155"/>
      <c r="AU688" s="1155"/>
      <c r="AV688" s="1155"/>
      <c r="AW688" s="1155"/>
      <c r="AX688" s="1155"/>
      <c r="AY688" s="1155"/>
      <c r="AZ688" s="1155"/>
      <c r="BA688" s="1155"/>
      <c r="BB688" s="1155"/>
      <c r="BC688" s="1155"/>
      <c r="BD688" s="1155"/>
      <c r="BE688" s="1155"/>
      <c r="BF688" s="1155"/>
      <c r="BG688" s="1155"/>
      <c r="BH688" s="1155"/>
      <c r="BI688" s="1155"/>
      <c r="BJ688" s="1155"/>
      <c r="BK688" s="1155"/>
      <c r="BL688" s="1155"/>
      <c r="BM688" s="1155"/>
      <c r="BN688" s="1155"/>
      <c r="BO688" s="1155"/>
      <c r="BP688" s="1155"/>
      <c r="BQ688" s="1155"/>
      <c r="BR688" s="1155"/>
      <c r="BS688" s="1155"/>
    </row>
    <row r="689" spans="5:71" s="474" customFormat="1" ht="12.75" customHeight="1">
      <c r="E689" s="4109"/>
      <c r="F689" s="1374" t="s">
        <v>591</v>
      </c>
      <c r="G689" s="1083"/>
      <c r="H689" s="1084"/>
      <c r="I689" s="1084"/>
      <c r="J689" s="1084"/>
      <c r="K689" s="1085"/>
      <c r="L689" s="255"/>
      <c r="M689" s="461"/>
      <c r="N689" s="461"/>
      <c r="O689" s="461"/>
      <c r="P689" s="281"/>
      <c r="Q689" s="956"/>
      <c r="R689" s="461"/>
      <c r="S689" s="461"/>
      <c r="T689" s="461"/>
      <c r="U689" s="281"/>
      <c r="V689" s="1172"/>
      <c r="W689" s="255"/>
      <c r="X689" s="461"/>
      <c r="Y689" s="461"/>
      <c r="Z689" s="461"/>
      <c r="AA689" s="281"/>
      <c r="AB689" s="1041"/>
      <c r="AC689" s="255"/>
      <c r="AD689" s="461"/>
      <c r="AE689" s="461"/>
      <c r="AF689" s="461"/>
      <c r="AG689" s="461"/>
      <c r="AH689" s="1047"/>
      <c r="AI689" s="1172"/>
      <c r="AJ689" s="1155"/>
      <c r="AK689" s="1155"/>
      <c r="AL689" s="1083"/>
      <c r="AM689" s="1084"/>
      <c r="AN689" s="1084"/>
      <c r="AO689" s="1084"/>
      <c r="AP689" s="1085"/>
      <c r="AQ689" s="259"/>
      <c r="AR689" s="466"/>
      <c r="AS689" s="283"/>
      <c r="AT689" s="1155"/>
      <c r="AU689" s="1155"/>
      <c r="AV689" s="1155"/>
      <c r="AW689" s="1155"/>
      <c r="AX689" s="1155"/>
      <c r="AY689" s="1155"/>
      <c r="AZ689" s="1155"/>
      <c r="BA689" s="1155"/>
      <c r="BB689" s="1155"/>
      <c r="BC689" s="1155"/>
      <c r="BD689" s="1155"/>
      <c r="BE689" s="1155"/>
      <c r="BF689" s="1155"/>
      <c r="BG689" s="1155"/>
      <c r="BH689" s="1155"/>
      <c r="BI689" s="1155"/>
      <c r="BJ689" s="1155"/>
      <c r="BK689" s="1155"/>
      <c r="BL689" s="1155"/>
      <c r="BM689" s="1155"/>
      <c r="BN689" s="1155"/>
      <c r="BO689" s="1155"/>
      <c r="BP689" s="1155"/>
      <c r="BQ689" s="1155"/>
      <c r="BR689" s="1155"/>
      <c r="BS689" s="1155"/>
    </row>
    <row r="690" spans="5:71" s="474" customFormat="1" ht="12.75" customHeight="1">
      <c r="E690" s="4109"/>
      <c r="F690" s="1374" t="s">
        <v>592</v>
      </c>
      <c r="G690" s="1083"/>
      <c r="H690" s="1084"/>
      <c r="I690" s="1084"/>
      <c r="J690" s="1084"/>
      <c r="K690" s="1085"/>
      <c r="L690" s="207"/>
      <c r="M690" s="456"/>
      <c r="N690" s="456"/>
      <c r="O690" s="456"/>
      <c r="P690" s="457"/>
      <c r="Q690" s="224"/>
      <c r="R690" s="456"/>
      <c r="S690" s="456"/>
      <c r="T690" s="456"/>
      <c r="U690" s="457"/>
      <c r="V690" s="1172"/>
      <c r="W690" s="207">
        <v>0</v>
      </c>
      <c r="X690" s="456">
        <v>0</v>
      </c>
      <c r="Y690" s="456">
        <v>0</v>
      </c>
      <c r="Z690" s="456">
        <v>0</v>
      </c>
      <c r="AA690" s="457">
        <v>0</v>
      </c>
      <c r="AB690" s="1041"/>
      <c r="AC690" s="207">
        <v>0</v>
      </c>
      <c r="AD690" s="456">
        <v>0</v>
      </c>
      <c r="AE690" s="456">
        <v>0</v>
      </c>
      <c r="AF690" s="456">
        <v>0</v>
      </c>
      <c r="AG690" s="456">
        <v>0</v>
      </c>
      <c r="AH690" s="1048"/>
      <c r="AI690" s="1172"/>
      <c r="AJ690" s="1155"/>
      <c r="AK690" s="1155"/>
      <c r="AL690" s="1083"/>
      <c r="AM690" s="1084"/>
      <c r="AN690" s="1084"/>
      <c r="AO690" s="1084"/>
      <c r="AP690" s="1085"/>
      <c r="AQ690" s="207">
        <f>SUM(AQ685:AQ689)</f>
        <v>0</v>
      </c>
      <c r="AR690" s="456">
        <f t="shared" ref="AR690" si="3072">SUM(AR685:AR689)</f>
        <v>0</v>
      </c>
      <c r="AS690" s="457"/>
      <c r="AT690" s="1155"/>
      <c r="AU690" s="1155"/>
      <c r="AV690" s="1155"/>
      <c r="AW690" s="1155"/>
      <c r="AX690" s="1155"/>
      <c r="AY690" s="1155"/>
      <c r="AZ690" s="1155"/>
      <c r="BA690" s="1155"/>
      <c r="BB690" s="1155"/>
      <c r="BC690" s="1155"/>
      <c r="BD690" s="1155"/>
      <c r="BE690" s="1155"/>
      <c r="BF690" s="1155"/>
      <c r="BG690" s="1155"/>
      <c r="BH690" s="1155"/>
      <c r="BI690" s="1155"/>
      <c r="BJ690" s="1155"/>
      <c r="BK690" s="1155"/>
      <c r="BL690" s="1155"/>
      <c r="BM690" s="1155"/>
      <c r="BN690" s="1155"/>
      <c r="BO690" s="1155"/>
      <c r="BP690" s="1155"/>
      <c r="BQ690" s="1155"/>
      <c r="BR690" s="1155"/>
      <c r="BS690" s="1155"/>
    </row>
    <row r="691" spans="5:71" s="474" customFormat="1">
      <c r="E691" s="4109"/>
      <c r="F691" s="1375" t="s">
        <v>587</v>
      </c>
      <c r="G691" s="1086"/>
      <c r="H691" s="1087"/>
      <c r="I691" s="1087"/>
      <c r="J691" s="1087"/>
      <c r="K691" s="1088"/>
      <c r="L691" s="258">
        <f>SUM(L686:L690)</f>
        <v>0</v>
      </c>
      <c r="M691" s="465">
        <f t="shared" ref="M691" si="3073">SUM(M686:M690)</f>
        <v>0</v>
      </c>
      <c r="N691" s="465">
        <f t="shared" ref="N691" si="3074">SUM(N686:N690)</f>
        <v>6895</v>
      </c>
      <c r="O691" s="465">
        <f t="shared" ref="O691" si="3075">SUM(O686:O690)</f>
        <v>0</v>
      </c>
      <c r="P691" s="282">
        <f t="shared" ref="P691" si="3076">SUM(P686:P690)</f>
        <v>0</v>
      </c>
      <c r="Q691" s="965">
        <f t="shared" ref="Q691" si="3077">SUM(Q686:Q690)</f>
        <v>0</v>
      </c>
      <c r="R691" s="465">
        <f t="shared" ref="R691" si="3078">SUM(R686:R690)</f>
        <v>0</v>
      </c>
      <c r="S691" s="465">
        <f t="shared" ref="S691" si="3079">SUM(S686:S690)</f>
        <v>0</v>
      </c>
      <c r="T691" s="465">
        <f t="shared" ref="T691" si="3080">SUM(T686:T690)</f>
        <v>0</v>
      </c>
      <c r="U691" s="282">
        <f t="shared" ref="U691" si="3081">SUM(U686:U690)</f>
        <v>0</v>
      </c>
      <c r="V691" s="1172"/>
      <c r="W691" s="258">
        <f t="shared" ref="W691" si="3082">SUM(W686:W690)</f>
        <v>0</v>
      </c>
      <c r="X691" s="465">
        <f t="shared" ref="X691" si="3083">SUM(X686:X690)</f>
        <v>0</v>
      </c>
      <c r="Y691" s="465">
        <f t="shared" ref="Y691" si="3084">SUM(Y686:Y690)</f>
        <v>0</v>
      </c>
      <c r="Z691" s="465">
        <f t="shared" ref="Z691" si="3085">SUM(Z686:Z690)</f>
        <v>0</v>
      </c>
      <c r="AA691" s="282">
        <f t="shared" ref="AA691" si="3086">SUM(AA686:AA690)</f>
        <v>0</v>
      </c>
      <c r="AB691" s="992"/>
      <c r="AC691" s="258">
        <f t="shared" ref="AC691" si="3087">SUM(AC686:AC690)</f>
        <v>0</v>
      </c>
      <c r="AD691" s="465">
        <f t="shared" ref="AD691" si="3088">SUM(AD686:AD690)</f>
        <v>0</v>
      </c>
      <c r="AE691" s="465">
        <f t="shared" ref="AE691" si="3089">SUM(AE686:AE690)</f>
        <v>0</v>
      </c>
      <c r="AF691" s="465">
        <f t="shared" ref="AF691" si="3090">SUM(AF686:AF690)</f>
        <v>0</v>
      </c>
      <c r="AG691" s="465">
        <f t="shared" ref="AG691" si="3091">SUM(AG686:AG690)</f>
        <v>0</v>
      </c>
      <c r="AH691" s="1049"/>
      <c r="AI691" s="1172"/>
      <c r="AJ691" s="1155"/>
      <c r="AK691" s="1155"/>
      <c r="AL691" s="1086"/>
      <c r="AM691" s="1087"/>
      <c r="AN691" s="1087"/>
      <c r="AO691" s="1087"/>
      <c r="AP691" s="1088"/>
      <c r="AQ691" s="258"/>
      <c r="AR691" s="465"/>
      <c r="AS691" s="282"/>
      <c r="AT691" s="1155"/>
      <c r="AU691" s="1155"/>
      <c r="AV691" s="1155"/>
      <c r="AW691" s="1155"/>
      <c r="AX691" s="1155"/>
      <c r="AY691" s="1155"/>
      <c r="AZ691" s="1155"/>
      <c r="BA691" s="1155"/>
      <c r="BB691" s="1155"/>
      <c r="BC691" s="1155"/>
      <c r="BD691" s="1155"/>
      <c r="BE691" s="1155"/>
      <c r="BF691" s="1155"/>
      <c r="BG691" s="1155"/>
      <c r="BH691" s="1155"/>
      <c r="BI691" s="1155"/>
      <c r="BJ691" s="1155"/>
      <c r="BK691" s="1155"/>
      <c r="BL691" s="1155"/>
      <c r="BM691" s="1155"/>
      <c r="BN691" s="1155"/>
      <c r="BO691" s="1155"/>
      <c r="BP691" s="1155"/>
      <c r="BQ691" s="1155"/>
      <c r="BR691" s="1155"/>
      <c r="BS691" s="1155"/>
    </row>
    <row r="692" spans="5:71" s="474" customFormat="1">
      <c r="E692" s="4109"/>
      <c r="F692" s="1376" t="s">
        <v>593</v>
      </c>
      <c r="G692" s="1083"/>
      <c r="H692" s="1084"/>
      <c r="I692" s="1084"/>
      <c r="J692" s="1084"/>
      <c r="K692" s="1085"/>
      <c r="L692" s="255"/>
      <c r="M692" s="461"/>
      <c r="N692" s="461"/>
      <c r="O692" s="461"/>
      <c r="P692" s="281"/>
      <c r="Q692" s="956"/>
      <c r="R692" s="461"/>
      <c r="S692" s="461"/>
      <c r="T692" s="461"/>
      <c r="U692" s="281"/>
      <c r="V692" s="1172"/>
      <c r="W692" s="255"/>
      <c r="X692" s="461"/>
      <c r="Y692" s="461"/>
      <c r="Z692" s="461"/>
      <c r="AA692" s="281"/>
      <c r="AB692" s="1041"/>
      <c r="AC692" s="255"/>
      <c r="AD692" s="461"/>
      <c r="AE692" s="461"/>
      <c r="AF692" s="461"/>
      <c r="AG692" s="461"/>
      <c r="AH692" s="1047"/>
      <c r="AI692" s="1172"/>
      <c r="AJ692" s="1155"/>
      <c r="AK692" s="1155"/>
      <c r="AL692" s="1083"/>
      <c r="AM692" s="1084"/>
      <c r="AN692" s="1084"/>
      <c r="AO692" s="1084"/>
      <c r="AP692" s="1085"/>
      <c r="AQ692" s="259"/>
      <c r="AR692" s="466"/>
      <c r="AS692" s="283"/>
      <c r="AT692" s="1155"/>
      <c r="AU692" s="1155"/>
      <c r="AV692" s="1155"/>
      <c r="AW692" s="1155"/>
      <c r="AX692" s="1155"/>
      <c r="AY692" s="1155"/>
      <c r="AZ692" s="1155"/>
      <c r="BA692" s="1155"/>
      <c r="BB692" s="1155"/>
      <c r="BC692" s="1155"/>
      <c r="BD692" s="1155"/>
      <c r="BE692" s="1155"/>
      <c r="BF692" s="1155"/>
      <c r="BG692" s="1155"/>
      <c r="BH692" s="1155"/>
      <c r="BI692" s="1155"/>
      <c r="BJ692" s="1155"/>
      <c r="BK692" s="1155"/>
      <c r="BL692" s="1155"/>
      <c r="BM692" s="1155"/>
      <c r="BN692" s="1155"/>
      <c r="BO692" s="1155"/>
      <c r="BP692" s="1155"/>
      <c r="BQ692" s="1155"/>
      <c r="BR692" s="1155"/>
      <c r="BS692" s="1155"/>
    </row>
    <row r="693" spans="5:71" s="474" customFormat="1">
      <c r="E693" s="4109"/>
      <c r="F693" s="431" t="s">
        <v>558</v>
      </c>
      <c r="G693" s="1083"/>
      <c r="H693" s="1084"/>
      <c r="I693" s="1084"/>
      <c r="J693" s="1084"/>
      <c r="K693" s="1085"/>
      <c r="L693" s="255"/>
      <c r="M693" s="461"/>
      <c r="N693" s="461">
        <v>1021316.62</v>
      </c>
      <c r="O693" s="461"/>
      <c r="P693" s="281"/>
      <c r="Q693" s="956"/>
      <c r="R693" s="461"/>
      <c r="S693" s="461"/>
      <c r="T693" s="461"/>
      <c r="U693" s="281"/>
      <c r="V693" s="1172"/>
      <c r="W693" s="255"/>
      <c r="X693" s="461"/>
      <c r="Y693" s="461"/>
      <c r="Z693" s="461"/>
      <c r="AA693" s="281"/>
      <c r="AB693" s="1041"/>
      <c r="AC693" s="255"/>
      <c r="AD693" s="461"/>
      <c r="AE693" s="461"/>
      <c r="AF693" s="461"/>
      <c r="AG693" s="461"/>
      <c r="AH693" s="1047"/>
      <c r="AI693" s="1172"/>
      <c r="AJ693" s="1155"/>
      <c r="AK693" s="1155"/>
      <c r="AL693" s="1083"/>
      <c r="AM693" s="1084"/>
      <c r="AN693" s="1084"/>
      <c r="AO693" s="1084"/>
      <c r="AP693" s="1085"/>
      <c r="AQ693" s="259"/>
      <c r="AR693" s="466"/>
      <c r="AS693" s="283"/>
      <c r="AT693" s="1155"/>
      <c r="AU693" s="1155"/>
      <c r="AV693" s="1155"/>
      <c r="AW693" s="1155"/>
      <c r="AX693" s="1155"/>
      <c r="AY693" s="1155"/>
      <c r="AZ693" s="1155"/>
      <c r="BA693" s="1155"/>
      <c r="BB693" s="1155"/>
      <c r="BC693" s="1155"/>
      <c r="BD693" s="1155"/>
      <c r="BE693" s="1155"/>
      <c r="BF693" s="1155"/>
      <c r="BG693" s="1155"/>
      <c r="BH693" s="1155"/>
      <c r="BI693" s="1155"/>
      <c r="BJ693" s="1155"/>
      <c r="BK693" s="1155"/>
      <c r="BL693" s="1155"/>
      <c r="BM693" s="1155"/>
      <c r="BN693" s="1155"/>
      <c r="BO693" s="1155"/>
      <c r="BP693" s="1155"/>
      <c r="BQ693" s="1155"/>
      <c r="BR693" s="1155"/>
      <c r="BS693" s="1155"/>
    </row>
    <row r="694" spans="5:71" s="474" customFormat="1">
      <c r="E694" s="4109"/>
      <c r="F694" s="431" t="s">
        <v>559</v>
      </c>
      <c r="G694" s="1083"/>
      <c r="H694" s="1084"/>
      <c r="I694" s="1084"/>
      <c r="J694" s="1084"/>
      <c r="K694" s="1085"/>
      <c r="L694" s="255"/>
      <c r="M694" s="461"/>
      <c r="N694" s="461"/>
      <c r="O694" s="461"/>
      <c r="P694" s="281"/>
      <c r="Q694" s="956"/>
      <c r="R694" s="461"/>
      <c r="S694" s="461"/>
      <c r="T694" s="461"/>
      <c r="U694" s="281"/>
      <c r="V694" s="1172"/>
      <c r="W694" s="255"/>
      <c r="X694" s="461"/>
      <c r="Y694" s="461"/>
      <c r="Z694" s="461"/>
      <c r="AA694" s="281"/>
      <c r="AB694" s="1041"/>
      <c r="AC694" s="255"/>
      <c r="AD694" s="461"/>
      <c r="AE694" s="461"/>
      <c r="AF694" s="461"/>
      <c r="AG694" s="461"/>
      <c r="AH694" s="1047"/>
      <c r="AI694" s="1172"/>
      <c r="AJ694" s="1155"/>
      <c r="AK694" s="1155"/>
      <c r="AL694" s="1083"/>
      <c r="AM694" s="1084"/>
      <c r="AN694" s="1084"/>
      <c r="AO694" s="1084"/>
      <c r="AP694" s="1085"/>
      <c r="AQ694" s="259"/>
      <c r="AR694" s="466"/>
      <c r="AS694" s="283"/>
      <c r="AT694" s="1155"/>
      <c r="AU694" s="1155"/>
      <c r="AV694" s="1155"/>
      <c r="AW694" s="1155"/>
      <c r="AX694" s="1155"/>
      <c r="AY694" s="1155"/>
      <c r="AZ694" s="1155"/>
      <c r="BA694" s="1155"/>
      <c r="BB694" s="1155"/>
      <c r="BC694" s="1155"/>
      <c r="BD694" s="1155"/>
      <c r="BE694" s="1155"/>
      <c r="BF694" s="1155"/>
      <c r="BG694" s="1155"/>
      <c r="BH694" s="1155"/>
      <c r="BI694" s="1155"/>
      <c r="BJ694" s="1155"/>
      <c r="BK694" s="1155"/>
      <c r="BL694" s="1155"/>
      <c r="BM694" s="1155"/>
      <c r="BN694" s="1155"/>
      <c r="BO694" s="1155"/>
      <c r="BP694" s="1155"/>
      <c r="BQ694" s="1155"/>
      <c r="BR694" s="1155"/>
      <c r="BS694" s="1155"/>
    </row>
    <row r="695" spans="5:71" s="474" customFormat="1">
      <c r="E695" s="4109"/>
      <c r="F695" s="431" t="s">
        <v>578</v>
      </c>
      <c r="G695" s="1089"/>
      <c r="H695" s="1090"/>
      <c r="I695" s="1090"/>
      <c r="J695" s="1090"/>
      <c r="K695" s="1091"/>
      <c r="L695" s="259"/>
      <c r="M695" s="456"/>
      <c r="N695" s="456"/>
      <c r="O695" s="456"/>
      <c r="P695" s="457"/>
      <c r="Q695" s="224"/>
      <c r="R695" s="456"/>
      <c r="S695" s="456"/>
      <c r="T695" s="456"/>
      <c r="U695" s="457"/>
      <c r="V695" s="1172"/>
      <c r="W695" s="207"/>
      <c r="X695" s="456"/>
      <c r="Y695" s="456"/>
      <c r="Z695" s="456"/>
      <c r="AA695" s="457"/>
      <c r="AB695" s="1041"/>
      <c r="AC695" s="207"/>
      <c r="AD695" s="456"/>
      <c r="AE695" s="456"/>
      <c r="AF695" s="456"/>
      <c r="AG695" s="456"/>
      <c r="AH695" s="1048"/>
      <c r="AI695" s="1172"/>
      <c r="AJ695" s="1155"/>
      <c r="AK695" s="1155"/>
      <c r="AL695" s="1089"/>
      <c r="AM695" s="1090"/>
      <c r="AN695" s="1090"/>
      <c r="AO695" s="1090"/>
      <c r="AP695" s="1091"/>
      <c r="AQ695" s="259"/>
      <c r="AR695" s="456"/>
      <c r="AS695" s="457"/>
      <c r="AT695" s="1155"/>
      <c r="AU695" s="1155"/>
      <c r="AV695" s="1155"/>
      <c r="AW695" s="1155"/>
      <c r="AX695" s="1155"/>
      <c r="AY695" s="1155"/>
      <c r="AZ695" s="1155"/>
      <c r="BA695" s="1155"/>
      <c r="BB695" s="1155"/>
      <c r="BC695" s="1155"/>
      <c r="BD695" s="1155"/>
      <c r="BE695" s="1155"/>
      <c r="BF695" s="1155"/>
      <c r="BG695" s="1155"/>
      <c r="BH695" s="1155"/>
      <c r="BI695" s="1155"/>
      <c r="BJ695" s="1155"/>
      <c r="BK695" s="1155"/>
      <c r="BL695" s="1155"/>
      <c r="BM695" s="1155"/>
      <c r="BN695" s="1155"/>
      <c r="BO695" s="1155"/>
      <c r="BP695" s="1155"/>
      <c r="BQ695" s="1155"/>
      <c r="BR695" s="1155"/>
      <c r="BS695" s="1155"/>
    </row>
    <row r="696" spans="5:71" s="474" customFormat="1">
      <c r="E696" s="4109"/>
      <c r="F696" s="1377" t="s">
        <v>579</v>
      </c>
      <c r="G696" s="1086"/>
      <c r="H696" s="1087"/>
      <c r="I696" s="1087"/>
      <c r="J696" s="1087"/>
      <c r="K696" s="1088"/>
      <c r="L696" s="258">
        <f>SUM(L692:L695)</f>
        <v>0</v>
      </c>
      <c r="M696" s="465">
        <f t="shared" ref="M696" si="3092">SUM(M692:M695)</f>
        <v>0</v>
      </c>
      <c r="N696" s="465">
        <f t="shared" ref="N696" si="3093">SUM(N692:N695)</f>
        <v>1021316.62</v>
      </c>
      <c r="O696" s="465">
        <f t="shared" ref="O696" si="3094">SUM(O692:O695)</f>
        <v>0</v>
      </c>
      <c r="P696" s="282">
        <f t="shared" ref="P696" si="3095">SUM(P692:P695)</f>
        <v>0</v>
      </c>
      <c r="Q696" s="965">
        <f t="shared" ref="Q696" si="3096">SUM(Q692:Q695)</f>
        <v>0</v>
      </c>
      <c r="R696" s="465">
        <f t="shared" ref="R696" si="3097">SUM(R692:R695)</f>
        <v>0</v>
      </c>
      <c r="S696" s="465">
        <f t="shared" ref="S696" si="3098">SUM(S692:S695)</f>
        <v>0</v>
      </c>
      <c r="T696" s="465">
        <f t="shared" ref="T696" si="3099">SUM(T692:T695)</f>
        <v>0</v>
      </c>
      <c r="U696" s="282">
        <f t="shared" ref="U696" si="3100">SUM(U692:U695)</f>
        <v>0</v>
      </c>
      <c r="V696" s="1172"/>
      <c r="W696" s="258">
        <f t="shared" ref="W696" si="3101">SUM(W692:W695)</f>
        <v>0</v>
      </c>
      <c r="X696" s="465">
        <f t="shared" ref="X696" si="3102">SUM(X692:X695)</f>
        <v>0</v>
      </c>
      <c r="Y696" s="465">
        <f t="shared" ref="Y696" si="3103">SUM(Y692:Y695)</f>
        <v>0</v>
      </c>
      <c r="Z696" s="465">
        <f t="shared" ref="Z696" si="3104">SUM(Z692:Z695)</f>
        <v>0</v>
      </c>
      <c r="AA696" s="282">
        <f t="shared" ref="AA696" si="3105">SUM(AA692:AA695)</f>
        <v>0</v>
      </c>
      <c r="AB696" s="992"/>
      <c r="AC696" s="258">
        <f t="shared" ref="AC696" si="3106">SUM(AC692:AC695)</f>
        <v>0</v>
      </c>
      <c r="AD696" s="465">
        <f t="shared" ref="AD696" si="3107">SUM(AD692:AD695)</f>
        <v>0</v>
      </c>
      <c r="AE696" s="465">
        <f t="shared" ref="AE696" si="3108">SUM(AE692:AE695)</f>
        <v>0</v>
      </c>
      <c r="AF696" s="465">
        <f t="shared" ref="AF696" si="3109">SUM(AF692:AF695)</f>
        <v>0</v>
      </c>
      <c r="AG696" s="465">
        <f t="shared" ref="AG696" si="3110">SUM(AG692:AG695)</f>
        <v>0</v>
      </c>
      <c r="AH696" s="1049"/>
      <c r="AI696" s="1172"/>
      <c r="AJ696" s="1155"/>
      <c r="AK696" s="1155"/>
      <c r="AL696" s="1086"/>
      <c r="AM696" s="1087"/>
      <c r="AN696" s="1087"/>
      <c r="AO696" s="1087"/>
      <c r="AP696" s="1088"/>
      <c r="AQ696" s="258">
        <f>SUM(AQ693:AQ695)</f>
        <v>0</v>
      </c>
      <c r="AR696" s="465">
        <f t="shared" ref="AR696" si="3111">SUM(AR693:AR695)</f>
        <v>0</v>
      </c>
      <c r="AS696" s="282"/>
      <c r="AT696" s="1155"/>
      <c r="AU696" s="1155"/>
      <c r="AV696" s="1155"/>
      <c r="AW696" s="1155"/>
      <c r="AX696" s="1155"/>
      <c r="AY696" s="1155"/>
      <c r="AZ696" s="1155"/>
      <c r="BA696" s="1155"/>
      <c r="BB696" s="1155"/>
      <c r="BC696" s="1155"/>
      <c r="BD696" s="1155"/>
      <c r="BE696" s="1155"/>
      <c r="BF696" s="1155"/>
      <c r="BG696" s="1155"/>
      <c r="BH696" s="1155"/>
      <c r="BI696" s="1155"/>
      <c r="BJ696" s="1155"/>
      <c r="BK696" s="1155"/>
      <c r="BL696" s="1155"/>
      <c r="BM696" s="1155"/>
      <c r="BN696" s="1155"/>
      <c r="BO696" s="1155"/>
      <c r="BP696" s="1155"/>
      <c r="BQ696" s="1155"/>
      <c r="BR696" s="1155"/>
      <c r="BS696" s="1155"/>
    </row>
    <row r="697" spans="5:71" s="474" customFormat="1" ht="13.5" thickBot="1">
      <c r="E697" s="4109"/>
      <c r="F697" s="1035" t="s">
        <v>583</v>
      </c>
      <c r="G697" s="255"/>
      <c r="H697" s="461"/>
      <c r="I697" s="461"/>
      <c r="J697" s="461"/>
      <c r="K697" s="281"/>
      <c r="L697" s="207"/>
      <c r="M697" s="456"/>
      <c r="N697" s="456"/>
      <c r="O697" s="456"/>
      <c r="P697" s="457"/>
      <c r="Q697" s="224"/>
      <c r="R697" s="456"/>
      <c r="S697" s="456"/>
      <c r="T697" s="456"/>
      <c r="U697" s="457"/>
      <c r="V697" s="1172"/>
      <c r="W697" s="207"/>
      <c r="X697" s="461"/>
      <c r="Y697" s="461"/>
      <c r="Z697" s="461"/>
      <c r="AA697" s="281"/>
      <c r="AB697" s="1041"/>
      <c r="AC697" s="207"/>
      <c r="AD697" s="456"/>
      <c r="AE697" s="456"/>
      <c r="AF697" s="456"/>
      <c r="AG697" s="456"/>
      <c r="AH697" s="1048"/>
      <c r="AI697" s="1172"/>
      <c r="AJ697" s="1155"/>
      <c r="AK697" s="1155"/>
      <c r="AL697" s="259"/>
      <c r="AM697" s="466"/>
      <c r="AN697" s="466"/>
      <c r="AO697" s="466"/>
      <c r="AP697" s="283"/>
      <c r="AQ697" s="207"/>
      <c r="AR697" s="456"/>
      <c r="AS697" s="457"/>
      <c r="AT697" s="1155"/>
      <c r="AU697" s="1155"/>
      <c r="AV697" s="1155"/>
      <c r="AW697" s="1155"/>
      <c r="AX697" s="1155"/>
      <c r="AY697" s="1155"/>
      <c r="AZ697" s="1155"/>
      <c r="BA697" s="1155"/>
      <c r="BB697" s="1155"/>
      <c r="BC697" s="1155"/>
      <c r="BD697" s="1155"/>
      <c r="BE697" s="1155"/>
      <c r="BF697" s="1155"/>
      <c r="BG697" s="1155"/>
      <c r="BH697" s="1155"/>
      <c r="BI697" s="1155"/>
      <c r="BJ697" s="1155"/>
      <c r="BK697" s="1155"/>
      <c r="BL697" s="1155"/>
      <c r="BM697" s="1155"/>
      <c r="BN697" s="1155"/>
      <c r="BO697" s="1155"/>
      <c r="BP697" s="1155"/>
      <c r="BQ697" s="1155"/>
      <c r="BR697" s="1155"/>
      <c r="BS697" s="1155"/>
    </row>
    <row r="698" spans="5:71" s="474" customFormat="1" ht="13.5" thickBot="1">
      <c r="E698" s="4109"/>
      <c r="F698" s="1380" t="s">
        <v>581</v>
      </c>
      <c r="G698" s="1599"/>
      <c r="H698" s="1600"/>
      <c r="I698" s="1600"/>
      <c r="J698" s="1600"/>
      <c r="K698" s="1601"/>
      <c r="L698" s="1599"/>
      <c r="M698" s="1600"/>
      <c r="N698" s="1600"/>
      <c r="O698" s="1600"/>
      <c r="P698" s="1601"/>
      <c r="Q698" s="1602"/>
      <c r="R698" s="1600"/>
      <c r="S698" s="1600"/>
      <c r="T698" s="1600"/>
      <c r="U698" s="1601"/>
      <c r="V698" s="1172"/>
      <c r="W698" s="1614"/>
      <c r="X698" s="1615"/>
      <c r="Y698" s="1615"/>
      <c r="Z698" s="1615"/>
      <c r="AA698" s="1615"/>
      <c r="AB698" s="1615"/>
      <c r="AC698" s="1615"/>
      <c r="AD698" s="1615"/>
      <c r="AE698" s="1615"/>
      <c r="AF698" s="1615"/>
      <c r="AG698" s="1615"/>
      <c r="AH698" s="1616"/>
      <c r="AI698" s="1172"/>
      <c r="AJ698" s="1155"/>
      <c r="AK698" s="1155"/>
      <c r="AL698" s="259"/>
      <c r="AM698" s="466"/>
      <c r="AN698" s="466"/>
      <c r="AO698" s="466"/>
      <c r="AP698" s="283"/>
      <c r="AQ698" s="259"/>
      <c r="AR698" s="466"/>
      <c r="AS698" s="283"/>
      <c r="AT698" s="1155"/>
      <c r="AU698" s="1155"/>
      <c r="AV698" s="1155"/>
      <c r="AW698" s="1155"/>
      <c r="AX698" s="1155"/>
      <c r="AY698" s="1155"/>
      <c r="AZ698" s="1155"/>
      <c r="BA698" s="1155"/>
      <c r="BB698" s="1155"/>
      <c r="BC698" s="1155"/>
      <c r="BD698" s="1155"/>
      <c r="BE698" s="1155"/>
      <c r="BF698" s="1155"/>
      <c r="BG698" s="1155"/>
      <c r="BH698" s="1155"/>
      <c r="BI698" s="1155"/>
      <c r="BJ698" s="1155"/>
      <c r="BK698" s="1155"/>
      <c r="BL698" s="1155"/>
      <c r="BM698" s="1155"/>
      <c r="BN698" s="1155"/>
      <c r="BO698" s="1155"/>
      <c r="BP698" s="1155"/>
      <c r="BQ698" s="1155"/>
      <c r="BR698" s="1155"/>
      <c r="BS698" s="1155"/>
    </row>
    <row r="699" spans="5:71" s="474" customFormat="1">
      <c r="E699" s="4109"/>
      <c r="F699" s="1378" t="s">
        <v>584</v>
      </c>
      <c r="G699" s="1050">
        <v>0</v>
      </c>
      <c r="H699" s="1051">
        <v>0</v>
      </c>
      <c r="I699" s="1051">
        <v>0</v>
      </c>
      <c r="J699" s="1051">
        <v>0</v>
      </c>
      <c r="K699" s="1052">
        <v>0</v>
      </c>
      <c r="L699" s="1050">
        <f>SUM(L696:L698)</f>
        <v>0</v>
      </c>
      <c r="M699" s="1051">
        <f t="shared" ref="M699" si="3112">SUM(M696:M698)</f>
        <v>0</v>
      </c>
      <c r="N699" s="1051">
        <f t="shared" ref="N699" si="3113">SUM(N696:N698)</f>
        <v>1021316.62</v>
      </c>
      <c r="O699" s="1051">
        <f t="shared" ref="O699" si="3114">SUM(O696:O698)</f>
        <v>0</v>
      </c>
      <c r="P699" s="1052">
        <f t="shared" ref="P699" si="3115">SUM(P696:P698)</f>
        <v>0</v>
      </c>
      <c r="Q699" s="1092">
        <f t="shared" ref="Q699" si="3116">SUM(Q696:Q698)</f>
        <v>0</v>
      </c>
      <c r="R699" s="1051">
        <f t="shared" ref="R699" si="3117">SUM(R696:R698)</f>
        <v>0</v>
      </c>
      <c r="S699" s="1051">
        <f t="shared" ref="S699" si="3118">SUM(S696:S698)</f>
        <v>0</v>
      </c>
      <c r="T699" s="1051">
        <f t="shared" ref="T699" si="3119">SUM(T696:T698)</f>
        <v>0</v>
      </c>
      <c r="U699" s="1052">
        <f t="shared" ref="U699" si="3120">SUM(U696:U698)</f>
        <v>0</v>
      </c>
      <c r="V699" s="1172"/>
      <c r="W699" s="1050">
        <f t="shared" ref="W699" si="3121">SUM(W696:W698)</f>
        <v>0</v>
      </c>
      <c r="X699" s="1051">
        <f t="shared" ref="X699" si="3122">SUM(X696:X698)</f>
        <v>0</v>
      </c>
      <c r="Y699" s="1051">
        <f t="shared" ref="Y699" si="3123">SUM(Y696:Y698)</f>
        <v>0</v>
      </c>
      <c r="Z699" s="1051">
        <f t="shared" ref="Z699" si="3124">SUM(Z696:Z698)</f>
        <v>0</v>
      </c>
      <c r="AA699" s="1052">
        <f t="shared" ref="AA699" si="3125">SUM(AA696:AA698)</f>
        <v>0</v>
      </c>
      <c r="AB699" s="1053"/>
      <c r="AC699" s="1050">
        <f t="shared" ref="AC699" si="3126">SUM(AC696:AC698)</f>
        <v>0</v>
      </c>
      <c r="AD699" s="1051">
        <f t="shared" ref="AD699" si="3127">SUM(AD696:AD698)</f>
        <v>0</v>
      </c>
      <c r="AE699" s="1051">
        <f t="shared" ref="AE699" si="3128">SUM(AE696:AE698)</f>
        <v>0</v>
      </c>
      <c r="AF699" s="1051">
        <f t="shared" ref="AF699" si="3129">SUM(AF696:AF698)</f>
        <v>0</v>
      </c>
      <c r="AG699" s="1051">
        <f t="shared" ref="AG699" si="3130">SUM(AG696:AG698)</f>
        <v>0</v>
      </c>
      <c r="AH699" s="1054"/>
      <c r="AI699" s="1172"/>
      <c r="AJ699" s="130"/>
      <c r="AK699" s="130"/>
      <c r="AL699" s="1050">
        <f t="shared" ref="AL699:AR699" si="3131">SUM(AL697:AL698)</f>
        <v>0</v>
      </c>
      <c r="AM699" s="1051">
        <f t="shared" si="3131"/>
        <v>0</v>
      </c>
      <c r="AN699" s="1051">
        <f t="shared" si="3131"/>
        <v>0</v>
      </c>
      <c r="AO699" s="1051">
        <f t="shared" si="3131"/>
        <v>0</v>
      </c>
      <c r="AP699" s="1052">
        <f t="shared" si="3131"/>
        <v>0</v>
      </c>
      <c r="AQ699" s="1050">
        <f t="shared" si="3131"/>
        <v>0</v>
      </c>
      <c r="AR699" s="1051">
        <f t="shared" si="3131"/>
        <v>0</v>
      </c>
      <c r="AS699" s="1052"/>
      <c r="AT699" s="130"/>
      <c r="AU699" s="130"/>
      <c r="AV699" s="130"/>
      <c r="AW699" s="130"/>
      <c r="AX699" s="130"/>
      <c r="AY699" s="130"/>
      <c r="AZ699" s="130"/>
      <c r="BA699" s="130"/>
      <c r="BB699" s="130"/>
      <c r="BC699" s="130"/>
      <c r="BD699" s="130"/>
      <c r="BE699" s="130"/>
      <c r="BF699" s="130"/>
      <c r="BG699" s="130"/>
      <c r="BH699" s="130"/>
      <c r="BI699" s="130"/>
      <c r="BJ699" s="130"/>
      <c r="BK699" s="130"/>
      <c r="BL699" s="130"/>
      <c r="BM699" s="130"/>
      <c r="BN699" s="130"/>
      <c r="BO699" s="130"/>
      <c r="BP699" s="130"/>
      <c r="BQ699" s="130"/>
      <c r="BR699" s="130"/>
      <c r="BS699" s="1155"/>
    </row>
    <row r="700" spans="5:71" s="474" customFormat="1">
      <c r="E700" s="4109"/>
      <c r="F700" s="1389" t="s">
        <v>35</v>
      </c>
      <c r="G700" s="255"/>
      <c r="H700" s="461"/>
      <c r="I700" s="461"/>
      <c r="J700" s="461"/>
      <c r="K700" s="281"/>
      <c r="L700" s="255"/>
      <c r="M700" s="461"/>
      <c r="N700" s="461"/>
      <c r="O700" s="461"/>
      <c r="P700" s="281"/>
      <c r="Q700" s="956"/>
      <c r="R700" s="461"/>
      <c r="S700" s="461"/>
      <c r="T700" s="461"/>
      <c r="U700" s="281"/>
      <c r="V700" s="1172"/>
      <c r="W700" s="255"/>
      <c r="X700" s="461"/>
      <c r="Y700" s="461"/>
      <c r="Z700" s="461"/>
      <c r="AA700" s="281"/>
      <c r="AB700" s="1004"/>
      <c r="AC700" s="255"/>
      <c r="AD700" s="461"/>
      <c r="AE700" s="461"/>
      <c r="AF700" s="461"/>
      <c r="AG700" s="461"/>
      <c r="AH700" s="1047"/>
      <c r="AI700" s="1172"/>
      <c r="AJ700" s="1155"/>
      <c r="AK700" s="1155"/>
      <c r="AL700" s="259"/>
      <c r="AM700" s="466"/>
      <c r="AN700" s="466"/>
      <c r="AO700" s="466"/>
      <c r="AP700" s="283"/>
      <c r="AQ700" s="259"/>
      <c r="AR700" s="466"/>
      <c r="AS700" s="283"/>
      <c r="AT700" s="1155"/>
      <c r="AU700" s="1155"/>
      <c r="AV700" s="1155"/>
      <c r="AW700" s="1155"/>
      <c r="AX700" s="1155"/>
      <c r="AY700" s="1155"/>
      <c r="AZ700" s="1155"/>
      <c r="BA700" s="1155"/>
      <c r="BB700" s="1155"/>
      <c r="BC700" s="1155"/>
      <c r="BD700" s="1155"/>
      <c r="BE700" s="1155"/>
      <c r="BF700" s="1155"/>
      <c r="BG700" s="1155"/>
      <c r="BH700" s="1155"/>
      <c r="BI700" s="1155"/>
      <c r="BJ700" s="1155"/>
      <c r="BK700" s="1155"/>
      <c r="BL700" s="1155"/>
      <c r="BM700" s="1155"/>
      <c r="BN700" s="1155"/>
      <c r="BO700" s="1155"/>
      <c r="BP700" s="1155"/>
      <c r="BQ700" s="1155"/>
      <c r="BR700" s="1155"/>
      <c r="BS700" s="1155"/>
    </row>
    <row r="701" spans="5:71" s="474" customFormat="1" ht="13.5" thickBot="1">
      <c r="E701" s="4109"/>
      <c r="F701" s="1379" t="s">
        <v>585</v>
      </c>
      <c r="G701" s="1094">
        <v>0</v>
      </c>
      <c r="H701" s="1095">
        <v>0</v>
      </c>
      <c r="I701" s="1095">
        <v>0</v>
      </c>
      <c r="J701" s="1095">
        <v>0</v>
      </c>
      <c r="K701" s="1096">
        <v>0</v>
      </c>
      <c r="L701" s="1094">
        <f>L699-L700</f>
        <v>0</v>
      </c>
      <c r="M701" s="1095">
        <f t="shared" ref="M701" si="3132">M699-M700</f>
        <v>0</v>
      </c>
      <c r="N701" s="1095">
        <f t="shared" ref="N701" si="3133">N699-N700</f>
        <v>1021316.62</v>
      </c>
      <c r="O701" s="1095">
        <f t="shared" ref="O701" si="3134">O699-O700</f>
        <v>0</v>
      </c>
      <c r="P701" s="1096">
        <f t="shared" ref="P701" si="3135">P699-P700</f>
        <v>0</v>
      </c>
      <c r="Q701" s="1097">
        <f t="shared" ref="Q701" si="3136">Q699-Q700</f>
        <v>0</v>
      </c>
      <c r="R701" s="1095">
        <f t="shared" ref="R701" si="3137">R699-R700</f>
        <v>0</v>
      </c>
      <c r="S701" s="1095">
        <f t="shared" ref="S701" si="3138">S699-S700</f>
        <v>0</v>
      </c>
      <c r="T701" s="1095">
        <f t="shared" ref="T701" si="3139">T699-T700</f>
        <v>0</v>
      </c>
      <c r="U701" s="1096">
        <f t="shared" ref="U701" si="3140">U699-U700</f>
        <v>0</v>
      </c>
      <c r="V701" s="1172"/>
      <c r="W701" s="1055">
        <f t="shared" ref="W701" si="3141">W699-W700</f>
        <v>0</v>
      </c>
      <c r="X701" s="1056">
        <f t="shared" ref="X701" si="3142">X699-X700</f>
        <v>0</v>
      </c>
      <c r="Y701" s="1056">
        <f t="shared" ref="Y701" si="3143">Y699-Y700</f>
        <v>0</v>
      </c>
      <c r="Z701" s="1056">
        <f t="shared" ref="Z701" si="3144">Z699-Z700</f>
        <v>0</v>
      </c>
      <c r="AA701" s="1057">
        <f t="shared" ref="AA701" si="3145">AA699-AA700</f>
        <v>0</v>
      </c>
      <c r="AB701" s="1075"/>
      <c r="AC701" s="1055">
        <f t="shared" ref="AC701" si="3146">AC699-AC700</f>
        <v>0</v>
      </c>
      <c r="AD701" s="1056">
        <f t="shared" ref="AD701" si="3147">AD699-AD700</f>
        <v>0</v>
      </c>
      <c r="AE701" s="1056">
        <f t="shared" ref="AE701" si="3148">AE699-AE700</f>
        <v>0</v>
      </c>
      <c r="AF701" s="1056">
        <f t="shared" ref="AF701" si="3149">AF699-AF700</f>
        <v>0</v>
      </c>
      <c r="AG701" s="1056">
        <f t="shared" ref="AG701" si="3150">AG699-AG700</f>
        <v>0</v>
      </c>
      <c r="AH701" s="1059"/>
      <c r="AI701" s="1172"/>
      <c r="AJ701" s="1155"/>
      <c r="AK701" s="1155"/>
      <c r="AL701" s="1094">
        <f>AL699-AL700</f>
        <v>0</v>
      </c>
      <c r="AM701" s="1095">
        <f t="shared" ref="AM701:AR701" si="3151">AM699-AM700</f>
        <v>0</v>
      </c>
      <c r="AN701" s="1095">
        <f t="shared" si="3151"/>
        <v>0</v>
      </c>
      <c r="AO701" s="1095">
        <f t="shared" si="3151"/>
        <v>0</v>
      </c>
      <c r="AP701" s="1096">
        <f t="shared" si="3151"/>
        <v>0</v>
      </c>
      <c r="AQ701" s="1094">
        <f t="shared" si="3151"/>
        <v>0</v>
      </c>
      <c r="AR701" s="1095">
        <f t="shared" si="3151"/>
        <v>0</v>
      </c>
      <c r="AS701" s="1096"/>
      <c r="AT701" s="1155"/>
      <c r="AU701" s="1155"/>
      <c r="AV701" s="1155"/>
      <c r="AW701" s="1155"/>
      <c r="AX701" s="1155"/>
      <c r="AY701" s="1155"/>
      <c r="AZ701" s="1155"/>
      <c r="BA701" s="1155"/>
      <c r="BB701" s="1155"/>
      <c r="BC701" s="1155"/>
      <c r="BD701" s="1155"/>
      <c r="BE701" s="1155"/>
      <c r="BF701" s="1155"/>
      <c r="BG701" s="1155"/>
      <c r="BH701" s="1155"/>
      <c r="BI701" s="1155"/>
      <c r="BJ701" s="1155"/>
      <c r="BK701" s="1155"/>
      <c r="BL701" s="1155"/>
      <c r="BM701" s="1155"/>
      <c r="BN701" s="1155"/>
      <c r="BO701" s="1155"/>
      <c r="BP701" s="1155"/>
      <c r="BQ701" s="1155"/>
      <c r="BR701" s="1155"/>
      <c r="BS701" s="1155"/>
    </row>
    <row r="702" spans="5:71" s="474" customFormat="1" ht="12.75" customHeight="1">
      <c r="E702" s="4110" t="s">
        <v>1517</v>
      </c>
      <c r="F702" s="433" t="s">
        <v>111</v>
      </c>
      <c r="G702" s="1077"/>
      <c r="H702" s="1078"/>
      <c r="I702" s="1078"/>
      <c r="J702" s="1078"/>
      <c r="K702" s="1079"/>
      <c r="L702" s="1566"/>
      <c r="M702" s="421"/>
      <c r="N702" s="421"/>
      <c r="O702" s="421"/>
      <c r="P702" s="1044"/>
      <c r="Q702" s="1566"/>
      <c r="R702" s="421"/>
      <c r="S702" s="421"/>
      <c r="T702" s="421"/>
      <c r="U702" s="1044"/>
      <c r="V702" s="1172"/>
      <c r="W702" s="1043"/>
      <c r="X702" s="421"/>
      <c r="Y702" s="421"/>
      <c r="Z702" s="421"/>
      <c r="AA702" s="1044"/>
      <c r="AB702" s="1045"/>
      <c r="AC702" s="1043"/>
      <c r="AD702" s="421"/>
      <c r="AE702" s="421"/>
      <c r="AF702" s="421"/>
      <c r="AG702" s="421"/>
      <c r="AH702" s="1046"/>
      <c r="AI702" s="1172"/>
      <c r="AJ702" s="1155"/>
      <c r="AK702" s="1155"/>
      <c r="AL702" s="1077"/>
      <c r="AM702" s="1078"/>
      <c r="AN702" s="1078"/>
      <c r="AO702" s="1078"/>
      <c r="AP702" s="1079"/>
      <c r="AQ702" s="1566"/>
      <c r="AR702" s="421"/>
      <c r="AS702" s="1044"/>
      <c r="AT702" s="1155"/>
      <c r="AU702" s="1155"/>
      <c r="AV702" s="1155"/>
      <c r="AW702" s="1155"/>
      <c r="AX702" s="1155"/>
      <c r="AY702" s="1155"/>
      <c r="AZ702" s="1155"/>
      <c r="BA702" s="1155"/>
      <c r="BB702" s="1155"/>
      <c r="BC702" s="1155"/>
      <c r="BD702" s="1155"/>
      <c r="BE702" s="1155"/>
      <c r="BF702" s="1155"/>
      <c r="BG702" s="1155"/>
      <c r="BH702" s="1155"/>
      <c r="BI702" s="1155"/>
      <c r="BJ702" s="1155"/>
      <c r="BK702" s="1155"/>
      <c r="BL702" s="1155"/>
      <c r="BM702" s="1155"/>
      <c r="BN702" s="1155"/>
      <c r="BO702" s="1155"/>
      <c r="BP702" s="1155"/>
      <c r="BQ702" s="1155"/>
      <c r="BR702" s="1155"/>
      <c r="BS702" s="1155"/>
    </row>
    <row r="703" spans="5:71" s="474" customFormat="1" ht="12.75" customHeight="1">
      <c r="E703" s="4109"/>
      <c r="F703" s="1374" t="s">
        <v>588</v>
      </c>
      <c r="G703" s="1083"/>
      <c r="H703" s="1084"/>
      <c r="I703" s="1084"/>
      <c r="J703" s="1084"/>
      <c r="K703" s="1085"/>
      <c r="L703" s="255"/>
      <c r="M703" s="461"/>
      <c r="N703" s="461">
        <v>7651</v>
      </c>
      <c r="O703" s="461"/>
      <c r="P703" s="281"/>
      <c r="Q703" s="255"/>
      <c r="R703" s="461"/>
      <c r="S703" s="461"/>
      <c r="T703" s="461"/>
      <c r="U703" s="281"/>
      <c r="V703" s="1172"/>
      <c r="W703" s="255"/>
      <c r="X703" s="461"/>
      <c r="Y703" s="461"/>
      <c r="Z703" s="461"/>
      <c r="AA703" s="281"/>
      <c r="AB703" s="1041"/>
      <c r="AC703" s="255"/>
      <c r="AD703" s="461"/>
      <c r="AE703" s="461"/>
      <c r="AF703" s="461"/>
      <c r="AG703" s="461"/>
      <c r="AH703" s="1047"/>
      <c r="AI703" s="1172"/>
      <c r="AJ703" s="1155"/>
      <c r="AK703" s="1155"/>
      <c r="AL703" s="1083"/>
      <c r="AM703" s="1084"/>
      <c r="AN703" s="1084"/>
      <c r="AO703" s="1084"/>
      <c r="AP703" s="1085"/>
      <c r="AQ703" s="259"/>
      <c r="AR703" s="466"/>
      <c r="AS703" s="283"/>
      <c r="AT703" s="1155"/>
      <c r="AU703" s="1155"/>
      <c r="AV703" s="1155"/>
      <c r="AW703" s="1155"/>
      <c r="AX703" s="1155"/>
      <c r="AY703" s="1155"/>
      <c r="AZ703" s="1155"/>
      <c r="BA703" s="1155"/>
      <c r="BB703" s="1155"/>
      <c r="BC703" s="1155"/>
      <c r="BD703" s="1155"/>
      <c r="BE703" s="1155"/>
      <c r="BF703" s="1155"/>
      <c r="BG703" s="1155"/>
      <c r="BH703" s="1155"/>
      <c r="BI703" s="1155"/>
      <c r="BJ703" s="1155"/>
      <c r="BK703" s="1155"/>
      <c r="BL703" s="1155"/>
      <c r="BM703" s="1155"/>
      <c r="BN703" s="1155"/>
      <c r="BO703" s="1155"/>
      <c r="BP703" s="1155"/>
      <c r="BQ703" s="1155"/>
      <c r="BR703" s="1155"/>
      <c r="BS703" s="1155"/>
    </row>
    <row r="704" spans="5:71" s="474" customFormat="1" ht="12.75" customHeight="1">
      <c r="E704" s="4109"/>
      <c r="F704" s="1374" t="s">
        <v>589</v>
      </c>
      <c r="G704" s="1083"/>
      <c r="H704" s="1084"/>
      <c r="I704" s="1084"/>
      <c r="J704" s="1084"/>
      <c r="K704" s="1085"/>
      <c r="L704" s="255"/>
      <c r="M704" s="461"/>
      <c r="N704" s="461"/>
      <c r="O704" s="461"/>
      <c r="P704" s="281"/>
      <c r="Q704" s="255"/>
      <c r="R704" s="461"/>
      <c r="S704" s="461"/>
      <c r="T704" s="461"/>
      <c r="U704" s="281"/>
      <c r="V704" s="1172"/>
      <c r="W704" s="255"/>
      <c r="X704" s="461"/>
      <c r="Y704" s="461"/>
      <c r="Z704" s="461"/>
      <c r="AA704" s="281"/>
      <c r="AB704" s="1041"/>
      <c r="AC704" s="255"/>
      <c r="AD704" s="461"/>
      <c r="AE704" s="461"/>
      <c r="AF704" s="461"/>
      <c r="AG704" s="461"/>
      <c r="AH704" s="1047"/>
      <c r="AI704" s="1172"/>
      <c r="AJ704" s="1155"/>
      <c r="AK704" s="1155"/>
      <c r="AL704" s="1083"/>
      <c r="AM704" s="1084"/>
      <c r="AN704" s="1084"/>
      <c r="AO704" s="1084"/>
      <c r="AP704" s="1085"/>
      <c r="AQ704" s="259"/>
      <c r="AR704" s="466"/>
      <c r="AS704" s="283"/>
      <c r="AT704" s="1155"/>
      <c r="AU704" s="1155"/>
      <c r="AV704" s="1155"/>
      <c r="AW704" s="1155"/>
      <c r="AX704" s="1155"/>
      <c r="AY704" s="1155"/>
      <c r="AZ704" s="1155"/>
      <c r="BA704" s="1155"/>
      <c r="BB704" s="1155"/>
      <c r="BC704" s="1155"/>
      <c r="BD704" s="1155"/>
      <c r="BE704" s="1155"/>
      <c r="BF704" s="1155"/>
      <c r="BG704" s="1155"/>
      <c r="BH704" s="1155"/>
      <c r="BI704" s="1155"/>
      <c r="BJ704" s="1155"/>
      <c r="BK704" s="1155"/>
      <c r="BL704" s="1155"/>
      <c r="BM704" s="1155"/>
      <c r="BN704" s="1155"/>
      <c r="BO704" s="1155"/>
      <c r="BP704" s="1155"/>
      <c r="BQ704" s="1155"/>
      <c r="BR704" s="1155"/>
      <c r="BS704" s="1155"/>
    </row>
    <row r="705" spans="5:71" s="474" customFormat="1" ht="12.75" customHeight="1">
      <c r="E705" s="4109"/>
      <c r="F705" s="1374" t="s">
        <v>590</v>
      </c>
      <c r="G705" s="1083"/>
      <c r="H705" s="1084"/>
      <c r="I705" s="1084"/>
      <c r="J705" s="1084"/>
      <c r="K705" s="1085"/>
      <c r="L705" s="255"/>
      <c r="M705" s="461"/>
      <c r="N705" s="461"/>
      <c r="O705" s="461"/>
      <c r="P705" s="281"/>
      <c r="Q705" s="255"/>
      <c r="R705" s="461"/>
      <c r="S705" s="461"/>
      <c r="T705" s="461"/>
      <c r="U705" s="281"/>
      <c r="V705" s="1172"/>
      <c r="W705" s="255"/>
      <c r="X705" s="461"/>
      <c r="Y705" s="461"/>
      <c r="Z705" s="461"/>
      <c r="AA705" s="281"/>
      <c r="AB705" s="1041"/>
      <c r="AC705" s="255"/>
      <c r="AD705" s="461"/>
      <c r="AE705" s="461"/>
      <c r="AF705" s="461"/>
      <c r="AG705" s="461"/>
      <c r="AH705" s="1047"/>
      <c r="AI705" s="1172"/>
      <c r="AJ705" s="1155"/>
      <c r="AK705" s="1155"/>
      <c r="AL705" s="1083"/>
      <c r="AM705" s="1084"/>
      <c r="AN705" s="1084"/>
      <c r="AO705" s="1084"/>
      <c r="AP705" s="1085"/>
      <c r="AQ705" s="259"/>
      <c r="AR705" s="466"/>
      <c r="AS705" s="283"/>
      <c r="AT705" s="1155"/>
      <c r="AU705" s="1155"/>
      <c r="AV705" s="1155"/>
      <c r="AW705" s="1155"/>
      <c r="AX705" s="1155"/>
      <c r="AY705" s="1155"/>
      <c r="AZ705" s="1155"/>
      <c r="BA705" s="1155"/>
      <c r="BB705" s="1155"/>
      <c r="BC705" s="1155"/>
      <c r="BD705" s="1155"/>
      <c r="BE705" s="1155"/>
      <c r="BF705" s="1155"/>
      <c r="BG705" s="1155"/>
      <c r="BH705" s="1155"/>
      <c r="BI705" s="1155"/>
      <c r="BJ705" s="1155"/>
      <c r="BK705" s="1155"/>
      <c r="BL705" s="1155"/>
      <c r="BM705" s="1155"/>
      <c r="BN705" s="1155"/>
      <c r="BO705" s="1155"/>
      <c r="BP705" s="1155"/>
      <c r="BQ705" s="1155"/>
      <c r="BR705" s="1155"/>
      <c r="BS705" s="1155"/>
    </row>
    <row r="706" spans="5:71" s="474" customFormat="1" ht="12.75" customHeight="1">
      <c r="E706" s="4109"/>
      <c r="F706" s="1374" t="s">
        <v>591</v>
      </c>
      <c r="G706" s="1083"/>
      <c r="H706" s="1084"/>
      <c r="I706" s="1084"/>
      <c r="J706" s="1084"/>
      <c r="K706" s="1085"/>
      <c r="L706" s="255"/>
      <c r="M706" s="461"/>
      <c r="N706" s="461"/>
      <c r="O706" s="461"/>
      <c r="P706" s="281"/>
      <c r="Q706" s="255"/>
      <c r="R706" s="461"/>
      <c r="S706" s="461"/>
      <c r="T706" s="461"/>
      <c r="U706" s="281"/>
      <c r="V706" s="1172"/>
      <c r="W706" s="255"/>
      <c r="X706" s="461"/>
      <c r="Y706" s="461"/>
      <c r="Z706" s="461"/>
      <c r="AA706" s="281"/>
      <c r="AB706" s="1041"/>
      <c r="AC706" s="255"/>
      <c r="AD706" s="461"/>
      <c r="AE706" s="461"/>
      <c r="AF706" s="461"/>
      <c r="AG706" s="461"/>
      <c r="AH706" s="1047"/>
      <c r="AI706" s="1172"/>
      <c r="AJ706" s="1155"/>
      <c r="AK706" s="1155"/>
      <c r="AL706" s="1083"/>
      <c r="AM706" s="1084"/>
      <c r="AN706" s="1084"/>
      <c r="AO706" s="1084"/>
      <c r="AP706" s="1085"/>
      <c r="AQ706" s="259"/>
      <c r="AR706" s="466"/>
      <c r="AS706" s="283"/>
      <c r="AT706" s="1155"/>
      <c r="AU706" s="1155"/>
      <c r="AV706" s="1155"/>
      <c r="AW706" s="1155"/>
      <c r="AX706" s="1155"/>
      <c r="AY706" s="1155"/>
      <c r="AZ706" s="1155"/>
      <c r="BA706" s="1155"/>
      <c r="BB706" s="1155"/>
      <c r="BC706" s="1155"/>
      <c r="BD706" s="1155"/>
      <c r="BE706" s="1155"/>
      <c r="BF706" s="1155"/>
      <c r="BG706" s="1155"/>
      <c r="BH706" s="1155"/>
      <c r="BI706" s="1155"/>
      <c r="BJ706" s="1155"/>
      <c r="BK706" s="1155"/>
      <c r="BL706" s="1155"/>
      <c r="BM706" s="1155"/>
      <c r="BN706" s="1155"/>
      <c r="BO706" s="1155"/>
      <c r="BP706" s="1155"/>
      <c r="BQ706" s="1155"/>
      <c r="BR706" s="1155"/>
      <c r="BS706" s="1155"/>
    </row>
    <row r="707" spans="5:71" s="474" customFormat="1" ht="12.75" customHeight="1">
      <c r="E707" s="4109"/>
      <c r="F707" s="1374" t="s">
        <v>592</v>
      </c>
      <c r="G707" s="1083"/>
      <c r="H707" s="1084"/>
      <c r="I707" s="1084"/>
      <c r="J707" s="1084"/>
      <c r="K707" s="1085"/>
      <c r="L707" s="207"/>
      <c r="M707" s="456"/>
      <c r="N707" s="456"/>
      <c r="O707" s="456"/>
      <c r="P707" s="457"/>
      <c r="Q707" s="207"/>
      <c r="R707" s="456"/>
      <c r="S707" s="456"/>
      <c r="T707" s="456"/>
      <c r="U707" s="457"/>
      <c r="V707" s="1172"/>
      <c r="W707" s="207">
        <v>0</v>
      </c>
      <c r="X707" s="456">
        <v>0</v>
      </c>
      <c r="Y707" s="456">
        <v>0</v>
      </c>
      <c r="Z707" s="456">
        <v>0</v>
      </c>
      <c r="AA707" s="457">
        <v>0</v>
      </c>
      <c r="AB707" s="1041"/>
      <c r="AC707" s="207">
        <v>0</v>
      </c>
      <c r="AD707" s="456">
        <v>0</v>
      </c>
      <c r="AE707" s="456">
        <v>0</v>
      </c>
      <c r="AF707" s="456">
        <v>0</v>
      </c>
      <c r="AG707" s="456">
        <v>0</v>
      </c>
      <c r="AH707" s="1048"/>
      <c r="AI707" s="1172"/>
      <c r="AJ707" s="1155"/>
      <c r="AK707" s="1155"/>
      <c r="AL707" s="1083"/>
      <c r="AM707" s="1084"/>
      <c r="AN707" s="1084"/>
      <c r="AO707" s="1084"/>
      <c r="AP707" s="1085"/>
      <c r="AQ707" s="207">
        <f>SUM(AQ702:AQ706)</f>
        <v>0</v>
      </c>
      <c r="AR707" s="456">
        <f t="shared" ref="AR707" si="3152">SUM(AR702:AR706)</f>
        <v>0</v>
      </c>
      <c r="AS707" s="457"/>
      <c r="AT707" s="1155"/>
      <c r="AU707" s="1155"/>
      <c r="AV707" s="1155"/>
      <c r="AW707" s="1155"/>
      <c r="AX707" s="1155"/>
      <c r="AY707" s="1155"/>
      <c r="AZ707" s="1155"/>
      <c r="BA707" s="1155"/>
      <c r="BB707" s="1155"/>
      <c r="BC707" s="1155"/>
      <c r="BD707" s="1155"/>
      <c r="BE707" s="1155"/>
      <c r="BF707" s="1155"/>
      <c r="BG707" s="1155"/>
      <c r="BH707" s="1155"/>
      <c r="BI707" s="1155"/>
      <c r="BJ707" s="1155"/>
      <c r="BK707" s="1155"/>
      <c r="BL707" s="1155"/>
      <c r="BM707" s="1155"/>
      <c r="BN707" s="1155"/>
      <c r="BO707" s="1155"/>
      <c r="BP707" s="1155"/>
      <c r="BQ707" s="1155"/>
      <c r="BR707" s="1155"/>
      <c r="BS707" s="1155"/>
    </row>
    <row r="708" spans="5:71" s="474" customFormat="1">
      <c r="E708" s="4109"/>
      <c r="F708" s="1375" t="s">
        <v>587</v>
      </c>
      <c r="G708" s="1086"/>
      <c r="H708" s="1087"/>
      <c r="I708" s="1087"/>
      <c r="J708" s="1087"/>
      <c r="K708" s="1088"/>
      <c r="L708" s="258">
        <f>SUM(L703:L707)</f>
        <v>0</v>
      </c>
      <c r="M708" s="465">
        <f t="shared" ref="M708" si="3153">SUM(M703:M707)</f>
        <v>0</v>
      </c>
      <c r="N708" s="465">
        <f t="shared" ref="N708" si="3154">SUM(N703:N707)</f>
        <v>7651</v>
      </c>
      <c r="O708" s="465">
        <f t="shared" ref="O708" si="3155">SUM(O703:O707)</f>
        <v>0</v>
      </c>
      <c r="P708" s="282">
        <f t="shared" ref="P708" si="3156">SUM(P703:P707)</f>
        <v>0</v>
      </c>
      <c r="Q708" s="258">
        <f t="shared" ref="Q708" si="3157">SUM(Q703:Q707)</f>
        <v>0</v>
      </c>
      <c r="R708" s="465">
        <f t="shared" ref="R708" si="3158">SUM(R703:R707)</f>
        <v>0</v>
      </c>
      <c r="S708" s="465">
        <f t="shared" ref="S708" si="3159">SUM(S703:S707)</f>
        <v>0</v>
      </c>
      <c r="T708" s="465">
        <f t="shared" ref="T708" si="3160">SUM(T703:T707)</f>
        <v>0</v>
      </c>
      <c r="U708" s="282">
        <f t="shared" ref="U708" si="3161">SUM(U703:U707)</f>
        <v>0</v>
      </c>
      <c r="V708" s="1172"/>
      <c r="W708" s="258">
        <f t="shared" ref="W708" si="3162">SUM(W703:W707)</f>
        <v>0</v>
      </c>
      <c r="X708" s="465">
        <f t="shared" ref="X708" si="3163">SUM(X703:X707)</f>
        <v>0</v>
      </c>
      <c r="Y708" s="465">
        <f t="shared" ref="Y708" si="3164">SUM(Y703:Y707)</f>
        <v>0</v>
      </c>
      <c r="Z708" s="465">
        <f t="shared" ref="Z708" si="3165">SUM(Z703:Z707)</f>
        <v>0</v>
      </c>
      <c r="AA708" s="282">
        <f t="shared" ref="AA708" si="3166">SUM(AA703:AA707)</f>
        <v>0</v>
      </c>
      <c r="AB708" s="992"/>
      <c r="AC708" s="258">
        <f t="shared" ref="AC708" si="3167">SUM(AC703:AC707)</f>
        <v>0</v>
      </c>
      <c r="AD708" s="465">
        <f t="shared" ref="AD708" si="3168">SUM(AD703:AD707)</f>
        <v>0</v>
      </c>
      <c r="AE708" s="465">
        <f t="shared" ref="AE708" si="3169">SUM(AE703:AE707)</f>
        <v>0</v>
      </c>
      <c r="AF708" s="465">
        <f t="shared" ref="AF708" si="3170">SUM(AF703:AF707)</f>
        <v>0</v>
      </c>
      <c r="AG708" s="465">
        <f t="shared" ref="AG708" si="3171">SUM(AG703:AG707)</f>
        <v>0</v>
      </c>
      <c r="AH708" s="1049"/>
      <c r="AI708" s="1172"/>
      <c r="AJ708" s="1155"/>
      <c r="AK708" s="1155"/>
      <c r="AL708" s="1086"/>
      <c r="AM708" s="1087"/>
      <c r="AN708" s="1087"/>
      <c r="AO708" s="1087"/>
      <c r="AP708" s="1088"/>
      <c r="AQ708" s="258"/>
      <c r="AR708" s="465"/>
      <c r="AS708" s="282"/>
      <c r="AT708" s="1155"/>
      <c r="AU708" s="1155"/>
      <c r="AV708" s="1155"/>
      <c r="AW708" s="1155"/>
      <c r="AX708" s="1155"/>
      <c r="AY708" s="1155"/>
      <c r="AZ708" s="1155"/>
      <c r="BA708" s="1155"/>
      <c r="BB708" s="1155"/>
      <c r="BC708" s="1155"/>
      <c r="BD708" s="1155"/>
      <c r="BE708" s="1155"/>
      <c r="BF708" s="1155"/>
      <c r="BG708" s="1155"/>
      <c r="BH708" s="1155"/>
      <c r="BI708" s="1155"/>
      <c r="BJ708" s="1155"/>
      <c r="BK708" s="1155"/>
      <c r="BL708" s="1155"/>
      <c r="BM708" s="1155"/>
      <c r="BN708" s="1155"/>
      <c r="BO708" s="1155"/>
      <c r="BP708" s="1155"/>
      <c r="BQ708" s="1155"/>
      <c r="BR708" s="1155"/>
      <c r="BS708" s="1155"/>
    </row>
    <row r="709" spans="5:71" s="474" customFormat="1">
      <c r="E709" s="4109"/>
      <c r="F709" s="1376" t="s">
        <v>593</v>
      </c>
      <c r="G709" s="1083"/>
      <c r="H709" s="1084"/>
      <c r="I709" s="1084"/>
      <c r="J709" s="1084"/>
      <c r="K709" s="1085"/>
      <c r="L709" s="255"/>
      <c r="M709" s="461"/>
      <c r="N709" s="461"/>
      <c r="O709" s="461"/>
      <c r="P709" s="281"/>
      <c r="Q709" s="255"/>
      <c r="R709" s="461"/>
      <c r="S709" s="461"/>
      <c r="T709" s="461"/>
      <c r="U709" s="281"/>
      <c r="V709" s="1172"/>
      <c r="W709" s="255"/>
      <c r="X709" s="461"/>
      <c r="Y709" s="461"/>
      <c r="Z709" s="461"/>
      <c r="AA709" s="281"/>
      <c r="AB709" s="1041"/>
      <c r="AC709" s="255"/>
      <c r="AD709" s="461"/>
      <c r="AE709" s="461"/>
      <c r="AF709" s="461"/>
      <c r="AG709" s="461"/>
      <c r="AH709" s="1047"/>
      <c r="AI709" s="1172"/>
      <c r="AJ709" s="1155"/>
      <c r="AK709" s="1155"/>
      <c r="AL709" s="1083"/>
      <c r="AM709" s="1084"/>
      <c r="AN709" s="1084"/>
      <c r="AO709" s="1084"/>
      <c r="AP709" s="1085"/>
      <c r="AQ709" s="259"/>
      <c r="AR709" s="466"/>
      <c r="AS709" s="283"/>
      <c r="AT709" s="1155"/>
      <c r="AU709" s="1155"/>
      <c r="AV709" s="1155"/>
      <c r="AW709" s="1155"/>
      <c r="AX709" s="1155"/>
      <c r="AY709" s="1155"/>
      <c r="AZ709" s="1155"/>
      <c r="BA709" s="1155"/>
      <c r="BB709" s="1155"/>
      <c r="BC709" s="1155"/>
      <c r="BD709" s="1155"/>
      <c r="BE709" s="1155"/>
      <c r="BF709" s="1155"/>
      <c r="BG709" s="1155"/>
      <c r="BH709" s="1155"/>
      <c r="BI709" s="1155"/>
      <c r="BJ709" s="1155"/>
      <c r="BK709" s="1155"/>
      <c r="BL709" s="1155"/>
      <c r="BM709" s="1155"/>
      <c r="BN709" s="1155"/>
      <c r="BO709" s="1155"/>
      <c r="BP709" s="1155"/>
      <c r="BQ709" s="1155"/>
      <c r="BR709" s="1155"/>
      <c r="BS709" s="1155"/>
    </row>
    <row r="710" spans="5:71" s="474" customFormat="1">
      <c r="E710" s="4109"/>
      <c r="F710" s="431" t="s">
        <v>558</v>
      </c>
      <c r="G710" s="1083"/>
      <c r="H710" s="1084"/>
      <c r="I710" s="1084"/>
      <c r="J710" s="1084"/>
      <c r="K710" s="1085"/>
      <c r="L710" s="255"/>
      <c r="M710" s="461"/>
      <c r="N710" s="461">
        <v>1049893.3899999999</v>
      </c>
      <c r="O710" s="461"/>
      <c r="P710" s="281"/>
      <c r="Q710" s="255"/>
      <c r="R710" s="461"/>
      <c r="S710" s="461"/>
      <c r="T710" s="461"/>
      <c r="U710" s="281"/>
      <c r="V710" s="1172"/>
      <c r="W710" s="255"/>
      <c r="X710" s="461"/>
      <c r="Y710" s="461"/>
      <c r="Z710" s="461"/>
      <c r="AA710" s="281"/>
      <c r="AB710" s="1041"/>
      <c r="AC710" s="255"/>
      <c r="AD710" s="461"/>
      <c r="AE710" s="461"/>
      <c r="AF710" s="461"/>
      <c r="AG710" s="461"/>
      <c r="AH710" s="1047"/>
      <c r="AI710" s="1172"/>
      <c r="AJ710" s="1155"/>
      <c r="AK710" s="1155"/>
      <c r="AL710" s="1083"/>
      <c r="AM710" s="1084"/>
      <c r="AN710" s="1084"/>
      <c r="AO710" s="1084"/>
      <c r="AP710" s="1085"/>
      <c r="AQ710" s="259"/>
      <c r="AR710" s="466"/>
      <c r="AS710" s="283"/>
      <c r="AT710" s="1155"/>
      <c r="AU710" s="1155"/>
      <c r="AV710" s="1155"/>
      <c r="AW710" s="1155"/>
      <c r="AX710" s="1155"/>
      <c r="AY710" s="1155"/>
      <c r="AZ710" s="1155"/>
      <c r="BA710" s="1155"/>
      <c r="BB710" s="1155"/>
      <c r="BC710" s="1155"/>
      <c r="BD710" s="1155"/>
      <c r="BE710" s="1155"/>
      <c r="BF710" s="1155"/>
      <c r="BG710" s="1155"/>
      <c r="BH710" s="1155"/>
      <c r="BI710" s="1155"/>
      <c r="BJ710" s="1155"/>
      <c r="BK710" s="1155"/>
      <c r="BL710" s="1155"/>
      <c r="BM710" s="1155"/>
      <c r="BN710" s="1155"/>
      <c r="BO710" s="1155"/>
      <c r="BP710" s="1155"/>
      <c r="BQ710" s="1155"/>
      <c r="BR710" s="1155"/>
      <c r="BS710" s="1155"/>
    </row>
    <row r="711" spans="5:71" s="474" customFormat="1">
      <c r="E711" s="4109"/>
      <c r="F711" s="431" t="s">
        <v>559</v>
      </c>
      <c r="G711" s="1083"/>
      <c r="H711" s="1084"/>
      <c r="I711" s="1084"/>
      <c r="J711" s="1084"/>
      <c r="K711" s="1085"/>
      <c r="L711" s="255"/>
      <c r="M711" s="461"/>
      <c r="N711" s="461"/>
      <c r="O711" s="461"/>
      <c r="P711" s="281"/>
      <c r="Q711" s="255"/>
      <c r="R711" s="461"/>
      <c r="S711" s="461"/>
      <c r="T711" s="461"/>
      <c r="U711" s="281"/>
      <c r="V711" s="1172"/>
      <c r="W711" s="255"/>
      <c r="X711" s="461"/>
      <c r="Y711" s="461"/>
      <c r="Z711" s="461"/>
      <c r="AA711" s="281"/>
      <c r="AB711" s="1041"/>
      <c r="AC711" s="255"/>
      <c r="AD711" s="461"/>
      <c r="AE711" s="461"/>
      <c r="AF711" s="461"/>
      <c r="AG711" s="461"/>
      <c r="AH711" s="1047"/>
      <c r="AI711" s="1172"/>
      <c r="AJ711" s="1155"/>
      <c r="AK711" s="1155"/>
      <c r="AL711" s="1083"/>
      <c r="AM711" s="1084"/>
      <c r="AN711" s="1084"/>
      <c r="AO711" s="1084"/>
      <c r="AP711" s="1085"/>
      <c r="AQ711" s="259"/>
      <c r="AR711" s="466"/>
      <c r="AS711" s="283"/>
      <c r="AT711" s="1155"/>
      <c r="AU711" s="1155"/>
      <c r="AV711" s="1155"/>
      <c r="AW711" s="1155"/>
      <c r="AX711" s="1155"/>
      <c r="AY711" s="1155"/>
      <c r="AZ711" s="1155"/>
      <c r="BA711" s="1155"/>
      <c r="BB711" s="1155"/>
      <c r="BC711" s="1155"/>
      <c r="BD711" s="1155"/>
      <c r="BE711" s="1155"/>
      <c r="BF711" s="1155"/>
      <c r="BG711" s="1155"/>
      <c r="BH711" s="1155"/>
      <c r="BI711" s="1155"/>
      <c r="BJ711" s="1155"/>
      <c r="BK711" s="1155"/>
      <c r="BL711" s="1155"/>
      <c r="BM711" s="1155"/>
      <c r="BN711" s="1155"/>
      <c r="BO711" s="1155"/>
      <c r="BP711" s="1155"/>
      <c r="BQ711" s="1155"/>
      <c r="BR711" s="1155"/>
      <c r="BS711" s="1155"/>
    </row>
    <row r="712" spans="5:71" s="474" customFormat="1">
      <c r="E712" s="4109"/>
      <c r="F712" s="431" t="s">
        <v>578</v>
      </c>
      <c r="G712" s="1089"/>
      <c r="H712" s="1090"/>
      <c r="I712" s="1090"/>
      <c r="J712" s="1090"/>
      <c r="K712" s="1091"/>
      <c r="L712" s="259"/>
      <c r="M712" s="456"/>
      <c r="N712" s="456"/>
      <c r="O712" s="456"/>
      <c r="P712" s="457"/>
      <c r="Q712" s="207"/>
      <c r="R712" s="456"/>
      <c r="S712" s="456"/>
      <c r="T712" s="456"/>
      <c r="U712" s="457"/>
      <c r="V712" s="1172"/>
      <c r="W712" s="207"/>
      <c r="X712" s="456"/>
      <c r="Y712" s="456"/>
      <c r="Z712" s="456"/>
      <c r="AA712" s="457"/>
      <c r="AB712" s="1041"/>
      <c r="AC712" s="207"/>
      <c r="AD712" s="456"/>
      <c r="AE712" s="456"/>
      <c r="AF712" s="456"/>
      <c r="AG712" s="456"/>
      <c r="AH712" s="1048"/>
      <c r="AI712" s="1172"/>
      <c r="AJ712" s="1155"/>
      <c r="AK712" s="1155"/>
      <c r="AL712" s="1089"/>
      <c r="AM712" s="1090"/>
      <c r="AN712" s="1090"/>
      <c r="AO712" s="1090"/>
      <c r="AP712" s="1091"/>
      <c r="AQ712" s="259"/>
      <c r="AR712" s="456"/>
      <c r="AS712" s="457"/>
      <c r="AT712" s="1155"/>
      <c r="AU712" s="1155"/>
      <c r="AV712" s="1155"/>
      <c r="AW712" s="1155"/>
      <c r="AX712" s="1155"/>
      <c r="AY712" s="1155"/>
      <c r="AZ712" s="1155"/>
      <c r="BA712" s="1155"/>
      <c r="BB712" s="1155"/>
      <c r="BC712" s="1155"/>
      <c r="BD712" s="1155"/>
      <c r="BE712" s="1155"/>
      <c r="BF712" s="1155"/>
      <c r="BG712" s="1155"/>
      <c r="BH712" s="1155"/>
      <c r="BI712" s="1155"/>
      <c r="BJ712" s="1155"/>
      <c r="BK712" s="1155"/>
      <c r="BL712" s="1155"/>
      <c r="BM712" s="1155"/>
      <c r="BN712" s="1155"/>
      <c r="BO712" s="1155"/>
      <c r="BP712" s="1155"/>
      <c r="BQ712" s="1155"/>
      <c r="BR712" s="1155"/>
      <c r="BS712" s="1155"/>
    </row>
    <row r="713" spans="5:71" s="474" customFormat="1">
      <c r="E713" s="4109"/>
      <c r="F713" s="1377" t="s">
        <v>579</v>
      </c>
      <c r="G713" s="1086"/>
      <c r="H713" s="1087"/>
      <c r="I713" s="1087"/>
      <c r="J713" s="1087"/>
      <c r="K713" s="1088"/>
      <c r="L713" s="258">
        <f>SUM(L709:L712)</f>
        <v>0</v>
      </c>
      <c r="M713" s="465">
        <f t="shared" ref="M713" si="3172">SUM(M709:M712)</f>
        <v>0</v>
      </c>
      <c r="N713" s="465">
        <f t="shared" ref="N713" si="3173">SUM(N709:N712)</f>
        <v>1049893.3899999999</v>
      </c>
      <c r="O713" s="465">
        <f t="shared" ref="O713" si="3174">SUM(O709:O712)</f>
        <v>0</v>
      </c>
      <c r="P713" s="282">
        <f t="shared" ref="P713" si="3175">SUM(P709:P712)</f>
        <v>0</v>
      </c>
      <c r="Q713" s="258">
        <f t="shared" ref="Q713" si="3176">SUM(Q709:Q712)</f>
        <v>0</v>
      </c>
      <c r="R713" s="465">
        <f t="shared" ref="R713" si="3177">SUM(R709:R712)</f>
        <v>0</v>
      </c>
      <c r="S713" s="465">
        <f t="shared" ref="S713" si="3178">SUM(S709:S712)</f>
        <v>0</v>
      </c>
      <c r="T713" s="465">
        <f t="shared" ref="T713" si="3179">SUM(T709:T712)</f>
        <v>0</v>
      </c>
      <c r="U713" s="282">
        <f t="shared" ref="U713" si="3180">SUM(U709:U712)</f>
        <v>0</v>
      </c>
      <c r="V713" s="1172"/>
      <c r="W713" s="258">
        <f t="shared" ref="W713" si="3181">SUM(W709:W712)</f>
        <v>0</v>
      </c>
      <c r="X713" s="465">
        <f t="shared" ref="X713" si="3182">SUM(X709:X712)</f>
        <v>0</v>
      </c>
      <c r="Y713" s="465">
        <f t="shared" ref="Y713" si="3183">SUM(Y709:Y712)</f>
        <v>0</v>
      </c>
      <c r="Z713" s="465">
        <f t="shared" ref="Z713" si="3184">SUM(Z709:Z712)</f>
        <v>0</v>
      </c>
      <c r="AA713" s="282">
        <f t="shared" ref="AA713" si="3185">SUM(AA709:AA712)</f>
        <v>0</v>
      </c>
      <c r="AB713" s="992"/>
      <c r="AC713" s="258">
        <f t="shared" ref="AC713" si="3186">SUM(AC709:AC712)</f>
        <v>0</v>
      </c>
      <c r="AD713" s="465">
        <f t="shared" ref="AD713" si="3187">SUM(AD709:AD712)</f>
        <v>0</v>
      </c>
      <c r="AE713" s="465">
        <f t="shared" ref="AE713" si="3188">SUM(AE709:AE712)</f>
        <v>0</v>
      </c>
      <c r="AF713" s="465">
        <f t="shared" ref="AF713" si="3189">SUM(AF709:AF712)</f>
        <v>0</v>
      </c>
      <c r="AG713" s="465">
        <f t="shared" ref="AG713" si="3190">SUM(AG709:AG712)</f>
        <v>0</v>
      </c>
      <c r="AH713" s="1049"/>
      <c r="AI713" s="1172"/>
      <c r="AJ713" s="1155"/>
      <c r="AK713" s="1155"/>
      <c r="AL713" s="1086"/>
      <c r="AM713" s="1087"/>
      <c r="AN713" s="1087"/>
      <c r="AO713" s="1087"/>
      <c r="AP713" s="1088"/>
      <c r="AQ713" s="258">
        <f>SUM(AQ710:AQ712)</f>
        <v>0</v>
      </c>
      <c r="AR713" s="465">
        <f t="shared" ref="AR713" si="3191">SUM(AR710:AR712)</f>
        <v>0</v>
      </c>
      <c r="AS713" s="282"/>
      <c r="AT713" s="1155"/>
      <c r="AU713" s="1155"/>
      <c r="AV713" s="1155"/>
      <c r="AW713" s="1155"/>
      <c r="AX713" s="1155"/>
      <c r="AY713" s="1155"/>
      <c r="AZ713" s="1155"/>
      <c r="BA713" s="1155"/>
      <c r="BB713" s="1155"/>
      <c r="BC713" s="1155"/>
      <c r="BD713" s="1155"/>
      <c r="BE713" s="1155"/>
      <c r="BF713" s="1155"/>
      <c r="BG713" s="1155"/>
      <c r="BH713" s="1155"/>
      <c r="BI713" s="1155"/>
      <c r="BJ713" s="1155"/>
      <c r="BK713" s="1155"/>
      <c r="BL713" s="1155"/>
      <c r="BM713" s="1155"/>
      <c r="BN713" s="1155"/>
      <c r="BO713" s="1155"/>
      <c r="BP713" s="1155"/>
      <c r="BQ713" s="1155"/>
      <c r="BR713" s="1155"/>
      <c r="BS713" s="1155"/>
    </row>
    <row r="714" spans="5:71" s="474" customFormat="1" ht="13.5" thickBot="1">
      <c r="E714" s="4109"/>
      <c r="F714" s="1035" t="s">
        <v>583</v>
      </c>
      <c r="G714" s="255"/>
      <c r="H714" s="461"/>
      <c r="I714" s="461"/>
      <c r="J714" s="461"/>
      <c r="K714" s="281"/>
      <c r="L714" s="207"/>
      <c r="M714" s="456"/>
      <c r="N714" s="456"/>
      <c r="O714" s="456"/>
      <c r="P714" s="457"/>
      <c r="Q714" s="207"/>
      <c r="R714" s="456"/>
      <c r="S714" s="456"/>
      <c r="T714" s="456"/>
      <c r="U714" s="457"/>
      <c r="V714" s="1172"/>
      <c r="W714" s="1603"/>
      <c r="X714" s="1604"/>
      <c r="Y714" s="1604"/>
      <c r="Z714" s="1604"/>
      <c r="AA714" s="1605"/>
      <c r="AB714" s="1606"/>
      <c r="AC714" s="1603"/>
      <c r="AD714" s="1607"/>
      <c r="AE714" s="1607"/>
      <c r="AF714" s="1607"/>
      <c r="AG714" s="1607"/>
      <c r="AH714" s="1608"/>
      <c r="AI714" s="1172"/>
      <c r="AJ714" s="1155"/>
      <c r="AK714" s="1155"/>
      <c r="AL714" s="259"/>
      <c r="AM714" s="466"/>
      <c r="AN714" s="466"/>
      <c r="AO714" s="466"/>
      <c r="AP714" s="283"/>
      <c r="AQ714" s="259"/>
      <c r="AR714" s="466"/>
      <c r="AS714" s="283"/>
      <c r="AT714" s="1155"/>
      <c r="AU714" s="1155"/>
      <c r="AV714" s="1155"/>
      <c r="AW714" s="1155"/>
      <c r="AX714" s="1155"/>
      <c r="AY714" s="1155"/>
      <c r="AZ714" s="1155"/>
      <c r="BA714" s="1155"/>
      <c r="BB714" s="1155"/>
      <c r="BC714" s="1155"/>
      <c r="BD714" s="1155"/>
      <c r="BE714" s="1155"/>
      <c r="BF714" s="1155"/>
      <c r="BG714" s="1155"/>
      <c r="BH714" s="1155"/>
      <c r="BI714" s="1155"/>
      <c r="BJ714" s="1155"/>
      <c r="BK714" s="1155"/>
      <c r="BL714" s="1155"/>
      <c r="BM714" s="1155"/>
      <c r="BN714" s="1155"/>
      <c r="BO714" s="1155"/>
      <c r="BP714" s="1155"/>
      <c r="BQ714" s="1155"/>
      <c r="BR714" s="1155"/>
      <c r="BS714" s="1155"/>
    </row>
    <row r="715" spans="5:71" s="474" customFormat="1" ht="13.5" thickBot="1">
      <c r="E715" s="4109"/>
      <c r="F715" s="1380" t="s">
        <v>581</v>
      </c>
      <c r="G715" s="1599"/>
      <c r="H715" s="1600"/>
      <c r="I715" s="1600"/>
      <c r="J715" s="1600"/>
      <c r="K715" s="1601"/>
      <c r="L715" s="1599"/>
      <c r="M715" s="1600"/>
      <c r="N715" s="1600"/>
      <c r="O715" s="1600"/>
      <c r="P715" s="1601"/>
      <c r="Q715" s="1599"/>
      <c r="R715" s="1600"/>
      <c r="S715" s="1600"/>
      <c r="T715" s="1600"/>
      <c r="U715" s="1601"/>
      <c r="V715" s="1172"/>
      <c r="W715" s="1614"/>
      <c r="X715" s="1615"/>
      <c r="Y715" s="1615"/>
      <c r="Z715" s="1615"/>
      <c r="AA715" s="1615"/>
      <c r="AB715" s="1615"/>
      <c r="AC715" s="1615"/>
      <c r="AD715" s="1615"/>
      <c r="AE715" s="1615"/>
      <c r="AF715" s="1615"/>
      <c r="AG715" s="1615"/>
      <c r="AH715" s="1616"/>
      <c r="AI715" s="1172"/>
      <c r="AJ715" s="1155"/>
      <c r="AK715" s="1155"/>
      <c r="AL715" s="259"/>
      <c r="AM715" s="466"/>
      <c r="AN715" s="466"/>
      <c r="AO715" s="466"/>
      <c r="AP715" s="283"/>
      <c r="AQ715" s="259"/>
      <c r="AR715" s="466"/>
      <c r="AS715" s="283"/>
      <c r="AT715" s="1155"/>
      <c r="AU715" s="1155"/>
      <c r="AV715" s="1155"/>
      <c r="AW715" s="1155"/>
      <c r="AX715" s="1155"/>
      <c r="AY715" s="1155"/>
      <c r="AZ715" s="1155"/>
      <c r="BA715" s="1155"/>
      <c r="BB715" s="1155"/>
      <c r="BC715" s="1155"/>
      <c r="BD715" s="1155"/>
      <c r="BE715" s="1155"/>
      <c r="BF715" s="1155"/>
      <c r="BG715" s="1155"/>
      <c r="BH715" s="1155"/>
      <c r="BI715" s="1155"/>
      <c r="BJ715" s="1155"/>
      <c r="BK715" s="1155"/>
      <c r="BL715" s="1155"/>
      <c r="BM715" s="1155"/>
      <c r="BN715" s="1155"/>
      <c r="BO715" s="1155"/>
      <c r="BP715" s="1155"/>
      <c r="BQ715" s="1155"/>
      <c r="BR715" s="1155"/>
      <c r="BS715" s="1155"/>
    </row>
    <row r="716" spans="5:71" s="474" customFormat="1">
      <c r="E716" s="4109"/>
      <c r="F716" s="1378" t="s">
        <v>584</v>
      </c>
      <c r="G716" s="1050">
        <v>0</v>
      </c>
      <c r="H716" s="1051">
        <v>0</v>
      </c>
      <c r="I716" s="1051">
        <v>0</v>
      </c>
      <c r="J716" s="1051">
        <v>0</v>
      </c>
      <c r="K716" s="1052">
        <v>0</v>
      </c>
      <c r="L716" s="1050">
        <f>SUM(L713:L715)</f>
        <v>0</v>
      </c>
      <c r="M716" s="1051">
        <f t="shared" ref="M716" si="3192">SUM(M713:M715)</f>
        <v>0</v>
      </c>
      <c r="N716" s="1051">
        <f t="shared" ref="N716" si="3193">SUM(N713:N715)</f>
        <v>1049893.3899999999</v>
      </c>
      <c r="O716" s="1051">
        <f t="shared" ref="O716" si="3194">SUM(O713:O715)</f>
        <v>0</v>
      </c>
      <c r="P716" s="1052">
        <f t="shared" ref="P716" si="3195">SUM(P713:P715)</f>
        <v>0</v>
      </c>
      <c r="Q716" s="1050">
        <f t="shared" ref="Q716" si="3196">SUM(Q713:Q715)</f>
        <v>0</v>
      </c>
      <c r="R716" s="1051">
        <f t="shared" ref="R716" si="3197">SUM(R713:R715)</f>
        <v>0</v>
      </c>
      <c r="S716" s="1051">
        <f t="shared" ref="S716" si="3198">SUM(S713:S715)</f>
        <v>0</v>
      </c>
      <c r="T716" s="1051">
        <f t="shared" ref="T716" si="3199">SUM(T713:T715)</f>
        <v>0</v>
      </c>
      <c r="U716" s="1052">
        <f t="shared" ref="U716" si="3200">SUM(U713:U715)</f>
        <v>0</v>
      </c>
      <c r="V716" s="1172"/>
      <c r="W716" s="1609">
        <f t="shared" ref="W716" si="3201">SUM(W713:W715)</f>
        <v>0</v>
      </c>
      <c r="X716" s="1610">
        <f t="shared" ref="X716" si="3202">SUM(X713:X715)</f>
        <v>0</v>
      </c>
      <c r="Y716" s="1610">
        <f t="shared" ref="Y716" si="3203">SUM(Y713:Y715)</f>
        <v>0</v>
      </c>
      <c r="Z716" s="1610">
        <f t="shared" ref="Z716" si="3204">SUM(Z713:Z715)</f>
        <v>0</v>
      </c>
      <c r="AA716" s="1611">
        <f t="shared" ref="AA716" si="3205">SUM(AA713:AA715)</f>
        <v>0</v>
      </c>
      <c r="AB716" s="1612"/>
      <c r="AC716" s="1609">
        <f t="shared" ref="AC716" si="3206">SUM(AC713:AC715)</f>
        <v>0</v>
      </c>
      <c r="AD716" s="1610">
        <f t="shared" ref="AD716" si="3207">SUM(AD713:AD715)</f>
        <v>0</v>
      </c>
      <c r="AE716" s="1610">
        <f t="shared" ref="AE716" si="3208">SUM(AE713:AE715)</f>
        <v>0</v>
      </c>
      <c r="AF716" s="1610">
        <f t="shared" ref="AF716" si="3209">SUM(AF713:AF715)</f>
        <v>0</v>
      </c>
      <c r="AG716" s="1610">
        <f t="shared" ref="AG716" si="3210">SUM(AG713:AG715)</f>
        <v>0</v>
      </c>
      <c r="AH716" s="1613"/>
      <c r="AI716" s="1172"/>
      <c r="AJ716" s="130"/>
      <c r="AK716" s="130"/>
      <c r="AL716" s="1050">
        <f t="shared" ref="AL716:AR716" si="3211">SUM(AL714:AL715)</f>
        <v>0</v>
      </c>
      <c r="AM716" s="1051">
        <f t="shared" si="3211"/>
        <v>0</v>
      </c>
      <c r="AN716" s="1051">
        <f t="shared" si="3211"/>
        <v>0</v>
      </c>
      <c r="AO716" s="1051">
        <f t="shared" si="3211"/>
        <v>0</v>
      </c>
      <c r="AP716" s="1052">
        <f t="shared" si="3211"/>
        <v>0</v>
      </c>
      <c r="AQ716" s="1050">
        <f t="shared" si="3211"/>
        <v>0</v>
      </c>
      <c r="AR716" s="1051">
        <f t="shared" si="3211"/>
        <v>0</v>
      </c>
      <c r="AS716" s="1052"/>
      <c r="AT716" s="130"/>
      <c r="AU716" s="130"/>
      <c r="AV716" s="130"/>
      <c r="AW716" s="130"/>
      <c r="AX716" s="130"/>
      <c r="AY716" s="130"/>
      <c r="AZ716" s="130"/>
      <c r="BA716" s="130"/>
      <c r="BB716" s="130"/>
      <c r="BC716" s="130"/>
      <c r="BD716" s="130"/>
      <c r="BE716" s="130"/>
      <c r="BF716" s="130"/>
      <c r="BG716" s="130"/>
      <c r="BH716" s="130"/>
      <c r="BI716" s="130"/>
      <c r="BJ716" s="130"/>
      <c r="BK716" s="130"/>
      <c r="BL716" s="130"/>
      <c r="BM716" s="130"/>
      <c r="BN716" s="130"/>
      <c r="BO716" s="130"/>
      <c r="BP716" s="130"/>
      <c r="BQ716" s="130"/>
      <c r="BR716" s="130"/>
      <c r="BS716" s="1155"/>
    </row>
    <row r="717" spans="5:71" s="474" customFormat="1">
      <c r="E717" s="4109"/>
      <c r="F717" s="1389" t="s">
        <v>35</v>
      </c>
      <c r="G717" s="255"/>
      <c r="H717" s="461"/>
      <c r="I717" s="461"/>
      <c r="J717" s="461"/>
      <c r="K717" s="281"/>
      <c r="L717" s="255"/>
      <c r="M717" s="461"/>
      <c r="N717" s="461"/>
      <c r="O717" s="461"/>
      <c r="P717" s="281"/>
      <c r="Q717" s="255"/>
      <c r="R717" s="461"/>
      <c r="S717" s="461"/>
      <c r="T717" s="461"/>
      <c r="U717" s="281"/>
      <c r="V717" s="1172"/>
      <c r="W717" s="255"/>
      <c r="X717" s="461"/>
      <c r="Y717" s="461"/>
      <c r="Z717" s="461"/>
      <c r="AA717" s="281"/>
      <c r="AB717" s="1004"/>
      <c r="AC717" s="255"/>
      <c r="AD717" s="461"/>
      <c r="AE717" s="461"/>
      <c r="AF717" s="461"/>
      <c r="AG717" s="461"/>
      <c r="AH717" s="1047"/>
      <c r="AI717" s="1172"/>
      <c r="AJ717" s="1155"/>
      <c r="AK717" s="1155"/>
      <c r="AL717" s="259"/>
      <c r="AM717" s="466"/>
      <c r="AN717" s="466"/>
      <c r="AO717" s="466"/>
      <c r="AP717" s="283"/>
      <c r="AQ717" s="259"/>
      <c r="AR717" s="466"/>
      <c r="AS717" s="283"/>
      <c r="AT717" s="1155"/>
      <c r="AU717" s="1155"/>
      <c r="AV717" s="1155"/>
      <c r="AW717" s="1155"/>
      <c r="AX717" s="1155"/>
      <c r="AY717" s="1155"/>
      <c r="AZ717" s="1155"/>
      <c r="BA717" s="1155"/>
      <c r="BB717" s="1155"/>
      <c r="BC717" s="1155"/>
      <c r="BD717" s="1155"/>
      <c r="BE717" s="1155"/>
      <c r="BF717" s="1155"/>
      <c r="BG717" s="1155"/>
      <c r="BH717" s="1155"/>
      <c r="BI717" s="1155"/>
      <c r="BJ717" s="1155"/>
      <c r="BK717" s="1155"/>
      <c r="BL717" s="1155"/>
      <c r="BM717" s="1155"/>
      <c r="BN717" s="1155"/>
      <c r="BO717" s="1155"/>
      <c r="BP717" s="1155"/>
      <c r="BQ717" s="1155"/>
      <c r="BR717" s="1155"/>
      <c r="BS717" s="1155"/>
    </row>
    <row r="718" spans="5:71" s="474" customFormat="1" ht="13.5" thickBot="1">
      <c r="E718" s="4109"/>
      <c r="F718" s="1387" t="s">
        <v>585</v>
      </c>
      <c r="G718" s="1055">
        <v>0</v>
      </c>
      <c r="H718" s="1056">
        <v>0</v>
      </c>
      <c r="I718" s="1056">
        <v>0</v>
      </c>
      <c r="J718" s="1056">
        <v>0</v>
      </c>
      <c r="K718" s="1057">
        <v>0</v>
      </c>
      <c r="L718" s="1567">
        <f>L716-L717</f>
        <v>0</v>
      </c>
      <c r="M718" s="1056">
        <f t="shared" ref="M718" si="3212">M716-M717</f>
        <v>0</v>
      </c>
      <c r="N718" s="1056">
        <f t="shared" ref="N718" si="3213">N716-N717</f>
        <v>1049893.3899999999</v>
      </c>
      <c r="O718" s="1056">
        <f t="shared" ref="O718" si="3214">O716-O717</f>
        <v>0</v>
      </c>
      <c r="P718" s="1057">
        <f t="shared" ref="P718" si="3215">P716-P717</f>
        <v>0</v>
      </c>
      <c r="Q718" s="1567">
        <f t="shared" ref="Q718" si="3216">Q716-Q717</f>
        <v>0</v>
      </c>
      <c r="R718" s="1056">
        <f t="shared" ref="R718" si="3217">R716-R717</f>
        <v>0</v>
      </c>
      <c r="S718" s="1056">
        <f t="shared" ref="S718" si="3218">S716-S717</f>
        <v>0</v>
      </c>
      <c r="T718" s="1056">
        <f t="shared" ref="T718" si="3219">T716-T717</f>
        <v>0</v>
      </c>
      <c r="U718" s="1057">
        <f t="shared" ref="U718" si="3220">U716-U717</f>
        <v>0</v>
      </c>
      <c r="V718" s="1172"/>
      <c r="W718" s="1055">
        <f t="shared" ref="W718" si="3221">W716-W717</f>
        <v>0</v>
      </c>
      <c r="X718" s="1056">
        <f t="shared" ref="X718" si="3222">X716-X717</f>
        <v>0</v>
      </c>
      <c r="Y718" s="1056">
        <f t="shared" ref="Y718" si="3223">Y716-Y717</f>
        <v>0</v>
      </c>
      <c r="Z718" s="1056">
        <f t="shared" ref="Z718" si="3224">Z716-Z717</f>
        <v>0</v>
      </c>
      <c r="AA718" s="1057">
        <f t="shared" ref="AA718" si="3225">AA716-AA717</f>
        <v>0</v>
      </c>
      <c r="AB718" s="1075"/>
      <c r="AC718" s="1055">
        <f t="shared" ref="AC718" si="3226">AC716-AC717</f>
        <v>0</v>
      </c>
      <c r="AD718" s="1056">
        <f t="shared" ref="AD718" si="3227">AD716-AD717</f>
        <v>0</v>
      </c>
      <c r="AE718" s="1056">
        <f t="shared" ref="AE718" si="3228">AE716-AE717</f>
        <v>0</v>
      </c>
      <c r="AF718" s="1056">
        <f t="shared" ref="AF718" si="3229">AF716-AF717</f>
        <v>0</v>
      </c>
      <c r="AG718" s="1056">
        <f t="shared" ref="AG718" si="3230">AG716-AG717</f>
        <v>0</v>
      </c>
      <c r="AH718" s="1059"/>
      <c r="AI718" s="1172"/>
      <c r="AJ718" s="1155"/>
      <c r="AK718" s="1155"/>
      <c r="AL718" s="1567">
        <f>AL716-AL717</f>
        <v>0</v>
      </c>
      <c r="AM718" s="1056">
        <f t="shared" ref="AM718:AR718" si="3231">AM716-AM717</f>
        <v>0</v>
      </c>
      <c r="AN718" s="1056">
        <f t="shared" si="3231"/>
        <v>0</v>
      </c>
      <c r="AO718" s="1056">
        <f t="shared" si="3231"/>
        <v>0</v>
      </c>
      <c r="AP718" s="1057">
        <f t="shared" si="3231"/>
        <v>0</v>
      </c>
      <c r="AQ718" s="1567">
        <f t="shared" si="3231"/>
        <v>0</v>
      </c>
      <c r="AR718" s="1056">
        <f t="shared" si="3231"/>
        <v>0</v>
      </c>
      <c r="AS718" s="1057"/>
      <c r="AT718" s="1155"/>
      <c r="AU718" s="1155"/>
      <c r="AV718" s="1155"/>
      <c r="AW718" s="1155"/>
      <c r="AX718" s="1155"/>
      <c r="AY718" s="1155"/>
      <c r="AZ718" s="1155"/>
      <c r="BA718" s="1155"/>
      <c r="BB718" s="1155"/>
      <c r="BC718" s="1155"/>
      <c r="BD718" s="1155"/>
      <c r="BE718" s="1155"/>
      <c r="BF718" s="1155"/>
      <c r="BG718" s="1155"/>
      <c r="BH718" s="1155"/>
      <c r="BI718" s="1155"/>
      <c r="BJ718" s="1155"/>
      <c r="BK718" s="1155"/>
      <c r="BL718" s="1155"/>
      <c r="BM718" s="1155"/>
      <c r="BN718" s="1155"/>
      <c r="BO718" s="1155"/>
      <c r="BP718" s="1155"/>
      <c r="BQ718" s="1155"/>
      <c r="BR718" s="1155"/>
      <c r="BS718" s="1155"/>
    </row>
    <row r="719" spans="5:71" s="474" customFormat="1" ht="12.75" customHeight="1">
      <c r="E719" s="4110" t="s">
        <v>1518</v>
      </c>
      <c r="F719" s="433" t="s">
        <v>111</v>
      </c>
      <c r="G719" s="1086"/>
      <c r="H719" s="1087"/>
      <c r="I719" s="1087"/>
      <c r="J719" s="1087"/>
      <c r="K719" s="1088"/>
      <c r="L719" s="258"/>
      <c r="M719" s="465"/>
      <c r="N719" s="465"/>
      <c r="O719" s="465"/>
      <c r="P719" s="282"/>
      <c r="Q719" s="965"/>
      <c r="R719" s="465"/>
      <c r="S719" s="465"/>
      <c r="T719" s="465"/>
      <c r="U719" s="1044"/>
      <c r="V719" s="1172"/>
      <c r="W719" s="1043"/>
      <c r="X719" s="421"/>
      <c r="Y719" s="421"/>
      <c r="Z719" s="421"/>
      <c r="AA719" s="1044"/>
      <c r="AB719" s="1045"/>
      <c r="AC719" s="1043"/>
      <c r="AD719" s="421"/>
      <c r="AE719" s="421"/>
      <c r="AF719" s="421"/>
      <c r="AG719" s="421"/>
      <c r="AH719" s="1046"/>
      <c r="AI719" s="1172"/>
      <c r="AJ719" s="1155"/>
      <c r="AK719" s="1155"/>
      <c r="AL719" s="1086"/>
      <c r="AM719" s="1087"/>
      <c r="AN719" s="1087"/>
      <c r="AO719" s="1087"/>
      <c r="AP719" s="1088"/>
      <c r="AQ719" s="258"/>
      <c r="AR719" s="465"/>
      <c r="AS719" s="282"/>
      <c r="AT719" s="1155"/>
      <c r="AU719" s="1155"/>
      <c r="AV719" s="1155"/>
      <c r="AW719" s="1155"/>
      <c r="AX719" s="1155"/>
      <c r="AY719" s="1155"/>
      <c r="AZ719" s="1155"/>
      <c r="BA719" s="1155"/>
      <c r="BB719" s="1155"/>
      <c r="BC719" s="1155"/>
      <c r="BD719" s="1155"/>
      <c r="BE719" s="1155"/>
      <c r="BF719" s="1155"/>
      <c r="BG719" s="1155"/>
      <c r="BH719" s="1155"/>
      <c r="BI719" s="1155"/>
      <c r="BJ719" s="1155"/>
      <c r="BK719" s="1155"/>
      <c r="BL719" s="1155"/>
      <c r="BM719" s="1155"/>
      <c r="BN719" s="1155"/>
      <c r="BO719" s="1155"/>
      <c r="BP719" s="1155"/>
      <c r="BQ719" s="1155"/>
      <c r="BR719" s="1155"/>
      <c r="BS719" s="1155"/>
    </row>
    <row r="720" spans="5:71" s="474" customFormat="1" ht="12.75" customHeight="1">
      <c r="E720" s="4109"/>
      <c r="F720" s="1374" t="s">
        <v>588</v>
      </c>
      <c r="G720" s="1083"/>
      <c r="H720" s="1084"/>
      <c r="I720" s="1084"/>
      <c r="J720" s="1084"/>
      <c r="K720" s="1085"/>
      <c r="L720" s="255"/>
      <c r="M720" s="461"/>
      <c r="N720" s="461">
        <v>13169</v>
      </c>
      <c r="O720" s="461"/>
      <c r="P720" s="281"/>
      <c r="Q720" s="956"/>
      <c r="R720" s="461"/>
      <c r="S720" s="461"/>
      <c r="T720" s="461"/>
      <c r="U720" s="281"/>
      <c r="V720" s="1172"/>
      <c r="W720" s="255"/>
      <c r="X720" s="461"/>
      <c r="Y720" s="461"/>
      <c r="Z720" s="461"/>
      <c r="AA720" s="281"/>
      <c r="AB720" s="1041"/>
      <c r="AC720" s="255"/>
      <c r="AD720" s="461"/>
      <c r="AE720" s="461"/>
      <c r="AF720" s="461"/>
      <c r="AG720" s="461"/>
      <c r="AH720" s="1047"/>
      <c r="AI720" s="1172"/>
      <c r="AJ720" s="1155"/>
      <c r="AK720" s="1155"/>
      <c r="AL720" s="1083"/>
      <c r="AM720" s="1084"/>
      <c r="AN720" s="1084"/>
      <c r="AO720" s="1084"/>
      <c r="AP720" s="1085"/>
      <c r="AQ720" s="259"/>
      <c r="AR720" s="466"/>
      <c r="AS720" s="283"/>
      <c r="AT720" s="1155"/>
      <c r="AU720" s="1155"/>
      <c r="AV720" s="1155"/>
      <c r="AW720" s="1155"/>
      <c r="AX720" s="1155"/>
      <c r="AY720" s="1155"/>
      <c r="AZ720" s="1155"/>
      <c r="BA720" s="1155"/>
      <c r="BB720" s="1155"/>
      <c r="BC720" s="1155"/>
      <c r="BD720" s="1155"/>
      <c r="BE720" s="1155"/>
      <c r="BF720" s="1155"/>
      <c r="BG720" s="1155"/>
      <c r="BH720" s="1155"/>
      <c r="BI720" s="1155"/>
      <c r="BJ720" s="1155"/>
      <c r="BK720" s="1155"/>
      <c r="BL720" s="1155"/>
      <c r="BM720" s="1155"/>
      <c r="BN720" s="1155"/>
      <c r="BO720" s="1155"/>
      <c r="BP720" s="1155"/>
      <c r="BQ720" s="1155"/>
      <c r="BR720" s="1155"/>
      <c r="BS720" s="1155"/>
    </row>
    <row r="721" spans="5:71" s="474" customFormat="1" ht="12.75" customHeight="1">
      <c r="E721" s="4109"/>
      <c r="F721" s="1374" t="s">
        <v>589</v>
      </c>
      <c r="G721" s="1083"/>
      <c r="H721" s="1084"/>
      <c r="I721" s="1084"/>
      <c r="J721" s="1084"/>
      <c r="K721" s="1085"/>
      <c r="L721" s="255"/>
      <c r="M721" s="461"/>
      <c r="N721" s="461"/>
      <c r="O721" s="461"/>
      <c r="P721" s="281"/>
      <c r="Q721" s="956"/>
      <c r="R721" s="461"/>
      <c r="S721" s="461"/>
      <c r="T721" s="461"/>
      <c r="U721" s="281"/>
      <c r="V721" s="1172"/>
      <c r="W721" s="255"/>
      <c r="X721" s="461"/>
      <c r="Y721" s="461"/>
      <c r="Z721" s="461"/>
      <c r="AA721" s="281"/>
      <c r="AB721" s="1041"/>
      <c r="AC721" s="255"/>
      <c r="AD721" s="461"/>
      <c r="AE721" s="461"/>
      <c r="AF721" s="461"/>
      <c r="AG721" s="461"/>
      <c r="AH721" s="1047"/>
      <c r="AI721" s="1172"/>
      <c r="AJ721" s="1155"/>
      <c r="AK721" s="1155"/>
      <c r="AL721" s="1083"/>
      <c r="AM721" s="1084"/>
      <c r="AN721" s="1084"/>
      <c r="AO721" s="1084"/>
      <c r="AP721" s="1085"/>
      <c r="AQ721" s="259"/>
      <c r="AR721" s="466"/>
      <c r="AS721" s="283"/>
      <c r="AT721" s="1155"/>
      <c r="AU721" s="1155"/>
      <c r="AV721" s="1155"/>
      <c r="AW721" s="1155"/>
      <c r="AX721" s="1155"/>
      <c r="AY721" s="1155"/>
      <c r="AZ721" s="1155"/>
      <c r="BA721" s="1155"/>
      <c r="BB721" s="1155"/>
      <c r="BC721" s="1155"/>
      <c r="BD721" s="1155"/>
      <c r="BE721" s="1155"/>
      <c r="BF721" s="1155"/>
      <c r="BG721" s="1155"/>
      <c r="BH721" s="1155"/>
      <c r="BI721" s="1155"/>
      <c r="BJ721" s="1155"/>
      <c r="BK721" s="1155"/>
      <c r="BL721" s="1155"/>
      <c r="BM721" s="1155"/>
      <c r="BN721" s="1155"/>
      <c r="BO721" s="1155"/>
      <c r="BP721" s="1155"/>
      <c r="BQ721" s="1155"/>
      <c r="BR721" s="1155"/>
      <c r="BS721" s="1155"/>
    </row>
    <row r="722" spans="5:71" s="474" customFormat="1" ht="12.75" customHeight="1">
      <c r="E722" s="4109"/>
      <c r="F722" s="1374" t="s">
        <v>590</v>
      </c>
      <c r="G722" s="1083"/>
      <c r="H722" s="1084"/>
      <c r="I722" s="1084"/>
      <c r="J722" s="1084"/>
      <c r="K722" s="1085"/>
      <c r="L722" s="255"/>
      <c r="M722" s="461"/>
      <c r="N722" s="461"/>
      <c r="O722" s="461"/>
      <c r="P722" s="281"/>
      <c r="Q722" s="956"/>
      <c r="R722" s="461"/>
      <c r="S722" s="461"/>
      <c r="T722" s="461"/>
      <c r="U722" s="281"/>
      <c r="V722" s="1172"/>
      <c r="W722" s="255"/>
      <c r="X722" s="461"/>
      <c r="Y722" s="461"/>
      <c r="Z722" s="461"/>
      <c r="AA722" s="281"/>
      <c r="AB722" s="1041"/>
      <c r="AC722" s="255"/>
      <c r="AD722" s="461"/>
      <c r="AE722" s="461"/>
      <c r="AF722" s="461"/>
      <c r="AG722" s="461"/>
      <c r="AH722" s="1047"/>
      <c r="AI722" s="1172"/>
      <c r="AJ722" s="1155"/>
      <c r="AK722" s="1155"/>
      <c r="AL722" s="1083"/>
      <c r="AM722" s="1084"/>
      <c r="AN722" s="1084"/>
      <c r="AO722" s="1084"/>
      <c r="AP722" s="1085"/>
      <c r="AQ722" s="259"/>
      <c r="AR722" s="466"/>
      <c r="AS722" s="283"/>
      <c r="AT722" s="1155"/>
      <c r="AU722" s="1155"/>
      <c r="AV722" s="1155"/>
      <c r="AW722" s="1155"/>
      <c r="AX722" s="1155"/>
      <c r="AY722" s="1155"/>
      <c r="AZ722" s="1155"/>
      <c r="BA722" s="1155"/>
      <c r="BB722" s="1155"/>
      <c r="BC722" s="1155"/>
      <c r="BD722" s="1155"/>
      <c r="BE722" s="1155"/>
      <c r="BF722" s="1155"/>
      <c r="BG722" s="1155"/>
      <c r="BH722" s="1155"/>
      <c r="BI722" s="1155"/>
      <c r="BJ722" s="1155"/>
      <c r="BK722" s="1155"/>
      <c r="BL722" s="1155"/>
      <c r="BM722" s="1155"/>
      <c r="BN722" s="1155"/>
      <c r="BO722" s="1155"/>
      <c r="BP722" s="1155"/>
      <c r="BQ722" s="1155"/>
      <c r="BR722" s="1155"/>
      <c r="BS722" s="1155"/>
    </row>
    <row r="723" spans="5:71" s="474" customFormat="1" ht="12.75" customHeight="1">
      <c r="E723" s="4109"/>
      <c r="F723" s="1374" t="s">
        <v>591</v>
      </c>
      <c r="G723" s="1083"/>
      <c r="H723" s="1084"/>
      <c r="I723" s="1084"/>
      <c r="J723" s="1084"/>
      <c r="K723" s="1085"/>
      <c r="L723" s="255"/>
      <c r="M723" s="461"/>
      <c r="N723" s="461"/>
      <c r="O723" s="461"/>
      <c r="P723" s="281"/>
      <c r="Q723" s="956"/>
      <c r="R723" s="461"/>
      <c r="S723" s="461"/>
      <c r="T723" s="461"/>
      <c r="U723" s="281"/>
      <c r="V723" s="1172"/>
      <c r="W723" s="255"/>
      <c r="X723" s="461"/>
      <c r="Y723" s="461"/>
      <c r="Z723" s="461"/>
      <c r="AA723" s="281"/>
      <c r="AB723" s="1041"/>
      <c r="AC723" s="255"/>
      <c r="AD723" s="461"/>
      <c r="AE723" s="461"/>
      <c r="AF723" s="461"/>
      <c r="AG723" s="461"/>
      <c r="AH723" s="1047"/>
      <c r="AI723" s="1172"/>
      <c r="AJ723" s="1155"/>
      <c r="AK723" s="1155"/>
      <c r="AL723" s="1083"/>
      <c r="AM723" s="1084"/>
      <c r="AN723" s="1084"/>
      <c r="AO723" s="1084"/>
      <c r="AP723" s="1085"/>
      <c r="AQ723" s="259"/>
      <c r="AR723" s="466"/>
      <c r="AS723" s="283"/>
      <c r="AT723" s="1155"/>
      <c r="AU723" s="1155"/>
      <c r="AV723" s="1155"/>
      <c r="AW723" s="1155"/>
      <c r="AX723" s="1155"/>
      <c r="AY723" s="1155"/>
      <c r="AZ723" s="1155"/>
      <c r="BA723" s="1155"/>
      <c r="BB723" s="1155"/>
      <c r="BC723" s="1155"/>
      <c r="BD723" s="1155"/>
      <c r="BE723" s="1155"/>
      <c r="BF723" s="1155"/>
      <c r="BG723" s="1155"/>
      <c r="BH723" s="1155"/>
      <c r="BI723" s="1155"/>
      <c r="BJ723" s="1155"/>
      <c r="BK723" s="1155"/>
      <c r="BL723" s="1155"/>
      <c r="BM723" s="1155"/>
      <c r="BN723" s="1155"/>
      <c r="BO723" s="1155"/>
      <c r="BP723" s="1155"/>
      <c r="BQ723" s="1155"/>
      <c r="BR723" s="1155"/>
      <c r="BS723" s="1155"/>
    </row>
    <row r="724" spans="5:71" s="474" customFormat="1" ht="12.75" customHeight="1">
      <c r="E724" s="4109"/>
      <c r="F724" s="1374" t="s">
        <v>592</v>
      </c>
      <c r="G724" s="1083"/>
      <c r="H724" s="1084"/>
      <c r="I724" s="1084"/>
      <c r="J724" s="1084"/>
      <c r="K724" s="1085"/>
      <c r="L724" s="207"/>
      <c r="M724" s="456"/>
      <c r="N724" s="456"/>
      <c r="O724" s="456"/>
      <c r="P724" s="457"/>
      <c r="Q724" s="224"/>
      <c r="R724" s="456"/>
      <c r="S724" s="456"/>
      <c r="T724" s="456"/>
      <c r="U724" s="457"/>
      <c r="V724" s="1172"/>
      <c r="W724" s="207">
        <v>0</v>
      </c>
      <c r="X724" s="456">
        <v>0</v>
      </c>
      <c r="Y724" s="456">
        <v>0</v>
      </c>
      <c r="Z724" s="456">
        <v>0</v>
      </c>
      <c r="AA724" s="457">
        <v>0</v>
      </c>
      <c r="AB724" s="1041"/>
      <c r="AC724" s="207">
        <v>0</v>
      </c>
      <c r="AD724" s="456">
        <v>0</v>
      </c>
      <c r="AE724" s="456">
        <v>0</v>
      </c>
      <c r="AF724" s="456">
        <v>0</v>
      </c>
      <c r="AG724" s="456">
        <v>0</v>
      </c>
      <c r="AH724" s="1048"/>
      <c r="AI724" s="1172"/>
      <c r="AJ724" s="1155"/>
      <c r="AK724" s="1155"/>
      <c r="AL724" s="1083"/>
      <c r="AM724" s="1084"/>
      <c r="AN724" s="1084"/>
      <c r="AO724" s="1084"/>
      <c r="AP724" s="1085"/>
      <c r="AQ724" s="207">
        <f>SUM(AQ719:AQ723)</f>
        <v>0</v>
      </c>
      <c r="AR724" s="456">
        <f t="shared" ref="AR724" si="3232">SUM(AR719:AR723)</f>
        <v>0</v>
      </c>
      <c r="AS724" s="457"/>
      <c r="AT724" s="1155"/>
      <c r="AU724" s="1155"/>
      <c r="AV724" s="1155"/>
      <c r="AW724" s="1155"/>
      <c r="AX724" s="1155"/>
      <c r="AY724" s="1155"/>
      <c r="AZ724" s="1155"/>
      <c r="BA724" s="1155"/>
      <c r="BB724" s="1155"/>
      <c r="BC724" s="1155"/>
      <c r="BD724" s="1155"/>
      <c r="BE724" s="1155"/>
      <c r="BF724" s="1155"/>
      <c r="BG724" s="1155"/>
      <c r="BH724" s="1155"/>
      <c r="BI724" s="1155"/>
      <c r="BJ724" s="1155"/>
      <c r="BK724" s="1155"/>
      <c r="BL724" s="1155"/>
      <c r="BM724" s="1155"/>
      <c r="BN724" s="1155"/>
      <c r="BO724" s="1155"/>
      <c r="BP724" s="1155"/>
      <c r="BQ724" s="1155"/>
      <c r="BR724" s="1155"/>
      <c r="BS724" s="1155"/>
    </row>
    <row r="725" spans="5:71" s="474" customFormat="1">
      <c r="E725" s="4109"/>
      <c r="F725" s="1375" t="s">
        <v>587</v>
      </c>
      <c r="G725" s="1086"/>
      <c r="H725" s="1087"/>
      <c r="I725" s="1087"/>
      <c r="J725" s="1087"/>
      <c r="K725" s="1088"/>
      <c r="L725" s="258">
        <f>SUM(L720:L724)</f>
        <v>0</v>
      </c>
      <c r="M725" s="465">
        <f t="shared" ref="M725" si="3233">SUM(M720:M724)</f>
        <v>0</v>
      </c>
      <c r="N725" s="465">
        <f t="shared" ref="N725" si="3234">SUM(N720:N724)</f>
        <v>13169</v>
      </c>
      <c r="O725" s="465">
        <f t="shared" ref="O725" si="3235">SUM(O720:O724)</f>
        <v>0</v>
      </c>
      <c r="P725" s="282">
        <f t="shared" ref="P725" si="3236">SUM(P720:P724)</f>
        <v>0</v>
      </c>
      <c r="Q725" s="965">
        <f t="shared" ref="Q725" si="3237">SUM(Q720:Q724)</f>
        <v>0</v>
      </c>
      <c r="R725" s="465">
        <f t="shared" ref="R725" si="3238">SUM(R720:R724)</f>
        <v>0</v>
      </c>
      <c r="S725" s="465">
        <f t="shared" ref="S725" si="3239">SUM(S720:S724)</f>
        <v>0</v>
      </c>
      <c r="T725" s="465">
        <f t="shared" ref="T725" si="3240">SUM(T720:T724)</f>
        <v>0</v>
      </c>
      <c r="U725" s="282">
        <f t="shared" ref="U725" si="3241">SUM(U720:U724)</f>
        <v>0</v>
      </c>
      <c r="V725" s="1172"/>
      <c r="W725" s="258">
        <f t="shared" ref="W725" si="3242">SUM(W720:W724)</f>
        <v>0</v>
      </c>
      <c r="X725" s="465">
        <f t="shared" ref="X725" si="3243">SUM(X720:X724)</f>
        <v>0</v>
      </c>
      <c r="Y725" s="465">
        <f t="shared" ref="Y725" si="3244">SUM(Y720:Y724)</f>
        <v>0</v>
      </c>
      <c r="Z725" s="465">
        <f t="shared" ref="Z725" si="3245">SUM(Z720:Z724)</f>
        <v>0</v>
      </c>
      <c r="AA725" s="282">
        <f t="shared" ref="AA725" si="3246">SUM(AA720:AA724)</f>
        <v>0</v>
      </c>
      <c r="AB725" s="992"/>
      <c r="AC725" s="258">
        <f t="shared" ref="AC725" si="3247">SUM(AC720:AC724)</f>
        <v>0</v>
      </c>
      <c r="AD725" s="465">
        <f t="shared" ref="AD725" si="3248">SUM(AD720:AD724)</f>
        <v>0</v>
      </c>
      <c r="AE725" s="465">
        <f t="shared" ref="AE725" si="3249">SUM(AE720:AE724)</f>
        <v>0</v>
      </c>
      <c r="AF725" s="465">
        <f t="shared" ref="AF725" si="3250">SUM(AF720:AF724)</f>
        <v>0</v>
      </c>
      <c r="AG725" s="465">
        <f t="shared" ref="AG725" si="3251">SUM(AG720:AG724)</f>
        <v>0</v>
      </c>
      <c r="AH725" s="1049"/>
      <c r="AI725" s="1172"/>
      <c r="AJ725" s="1155"/>
      <c r="AK725" s="1155"/>
      <c r="AL725" s="1086"/>
      <c r="AM725" s="1087"/>
      <c r="AN725" s="1087"/>
      <c r="AO725" s="1087"/>
      <c r="AP725" s="1088"/>
      <c r="AQ725" s="258"/>
      <c r="AR725" s="465"/>
      <c r="AS725" s="282"/>
      <c r="AT725" s="1155"/>
      <c r="AU725" s="1155"/>
      <c r="AV725" s="1155"/>
      <c r="AW725" s="1155"/>
      <c r="AX725" s="1155"/>
      <c r="AY725" s="1155"/>
      <c r="AZ725" s="1155"/>
      <c r="BA725" s="1155"/>
      <c r="BB725" s="1155"/>
      <c r="BC725" s="1155"/>
      <c r="BD725" s="1155"/>
      <c r="BE725" s="1155"/>
      <c r="BF725" s="1155"/>
      <c r="BG725" s="1155"/>
      <c r="BH725" s="1155"/>
      <c r="BI725" s="1155"/>
      <c r="BJ725" s="1155"/>
      <c r="BK725" s="1155"/>
      <c r="BL725" s="1155"/>
      <c r="BM725" s="1155"/>
      <c r="BN725" s="1155"/>
      <c r="BO725" s="1155"/>
      <c r="BP725" s="1155"/>
      <c r="BQ725" s="1155"/>
      <c r="BR725" s="1155"/>
      <c r="BS725" s="1155"/>
    </row>
    <row r="726" spans="5:71" s="474" customFormat="1">
      <c r="E726" s="4109"/>
      <c r="F726" s="1376" t="s">
        <v>593</v>
      </c>
      <c r="G726" s="1083"/>
      <c r="H726" s="1084"/>
      <c r="I726" s="1084"/>
      <c r="J726" s="1084"/>
      <c r="K726" s="1085"/>
      <c r="L726" s="255"/>
      <c r="M726" s="461"/>
      <c r="N726" s="461"/>
      <c r="O726" s="461"/>
      <c r="P726" s="281"/>
      <c r="Q726" s="956"/>
      <c r="R726" s="461"/>
      <c r="S726" s="461"/>
      <c r="T726" s="461"/>
      <c r="U726" s="281"/>
      <c r="V726" s="1172"/>
      <c r="W726" s="255"/>
      <c r="X726" s="461"/>
      <c r="Y726" s="461"/>
      <c r="Z726" s="461"/>
      <c r="AA726" s="281"/>
      <c r="AB726" s="1041"/>
      <c r="AC726" s="255"/>
      <c r="AD726" s="461"/>
      <c r="AE726" s="461"/>
      <c r="AF726" s="461"/>
      <c r="AG726" s="461"/>
      <c r="AH726" s="1047"/>
      <c r="AI726" s="1172"/>
      <c r="AJ726" s="1155"/>
      <c r="AK726" s="1155"/>
      <c r="AL726" s="1083"/>
      <c r="AM726" s="1084"/>
      <c r="AN726" s="1084"/>
      <c r="AO726" s="1084"/>
      <c r="AP726" s="1085"/>
      <c r="AQ726" s="259"/>
      <c r="AR726" s="466"/>
      <c r="AS726" s="283"/>
      <c r="AT726" s="1155"/>
      <c r="AU726" s="1155"/>
      <c r="AV726" s="1155"/>
      <c r="AW726" s="1155"/>
      <c r="AX726" s="1155"/>
      <c r="AY726" s="1155"/>
      <c r="AZ726" s="1155"/>
      <c r="BA726" s="1155"/>
      <c r="BB726" s="1155"/>
      <c r="BC726" s="1155"/>
      <c r="BD726" s="1155"/>
      <c r="BE726" s="1155"/>
      <c r="BF726" s="1155"/>
      <c r="BG726" s="1155"/>
      <c r="BH726" s="1155"/>
      <c r="BI726" s="1155"/>
      <c r="BJ726" s="1155"/>
      <c r="BK726" s="1155"/>
      <c r="BL726" s="1155"/>
      <c r="BM726" s="1155"/>
      <c r="BN726" s="1155"/>
      <c r="BO726" s="1155"/>
      <c r="BP726" s="1155"/>
      <c r="BQ726" s="1155"/>
      <c r="BR726" s="1155"/>
      <c r="BS726" s="1155"/>
    </row>
    <row r="727" spans="5:71" s="474" customFormat="1">
      <c r="E727" s="4109"/>
      <c r="F727" s="431" t="s">
        <v>558</v>
      </c>
      <c r="G727" s="1083"/>
      <c r="H727" s="1084"/>
      <c r="I727" s="1084"/>
      <c r="J727" s="1084"/>
      <c r="K727" s="1085"/>
      <c r="L727" s="255"/>
      <c r="M727" s="461"/>
      <c r="N727" s="461">
        <v>2236065.44</v>
      </c>
      <c r="O727" s="461"/>
      <c r="P727" s="281"/>
      <c r="Q727" s="956"/>
      <c r="R727" s="461"/>
      <c r="S727" s="461"/>
      <c r="T727" s="461"/>
      <c r="U727" s="281"/>
      <c r="V727" s="1172"/>
      <c r="W727" s="255"/>
      <c r="X727" s="461"/>
      <c r="Y727" s="461"/>
      <c r="Z727" s="461"/>
      <c r="AA727" s="281"/>
      <c r="AB727" s="1041"/>
      <c r="AC727" s="255"/>
      <c r="AD727" s="461"/>
      <c r="AE727" s="461"/>
      <c r="AF727" s="461"/>
      <c r="AG727" s="461"/>
      <c r="AH727" s="1047"/>
      <c r="AI727" s="1172"/>
      <c r="AJ727" s="1155"/>
      <c r="AK727" s="1155"/>
      <c r="AL727" s="1083"/>
      <c r="AM727" s="1084"/>
      <c r="AN727" s="1084"/>
      <c r="AO727" s="1084"/>
      <c r="AP727" s="1085"/>
      <c r="AQ727" s="259"/>
      <c r="AR727" s="466"/>
      <c r="AS727" s="283"/>
      <c r="AT727" s="1155"/>
      <c r="AU727" s="1155"/>
      <c r="AV727" s="1155"/>
      <c r="AW727" s="1155"/>
      <c r="AX727" s="1155"/>
      <c r="AY727" s="1155"/>
      <c r="AZ727" s="1155"/>
      <c r="BA727" s="1155"/>
      <c r="BB727" s="1155"/>
      <c r="BC727" s="1155"/>
      <c r="BD727" s="1155"/>
      <c r="BE727" s="1155"/>
      <c r="BF727" s="1155"/>
      <c r="BG727" s="1155"/>
      <c r="BH727" s="1155"/>
      <c r="BI727" s="1155"/>
      <c r="BJ727" s="1155"/>
      <c r="BK727" s="1155"/>
      <c r="BL727" s="1155"/>
      <c r="BM727" s="1155"/>
      <c r="BN727" s="1155"/>
      <c r="BO727" s="1155"/>
      <c r="BP727" s="1155"/>
      <c r="BQ727" s="1155"/>
      <c r="BR727" s="1155"/>
      <c r="BS727" s="1155"/>
    </row>
    <row r="728" spans="5:71" s="474" customFormat="1">
      <c r="E728" s="4109"/>
      <c r="F728" s="431" t="s">
        <v>559</v>
      </c>
      <c r="G728" s="1083"/>
      <c r="H728" s="1084"/>
      <c r="I728" s="1084"/>
      <c r="J728" s="1084"/>
      <c r="K728" s="1085"/>
      <c r="L728" s="255"/>
      <c r="M728" s="461"/>
      <c r="N728" s="461"/>
      <c r="O728" s="461"/>
      <c r="P728" s="281"/>
      <c r="Q728" s="956"/>
      <c r="R728" s="461"/>
      <c r="S728" s="461"/>
      <c r="T728" s="461"/>
      <c r="U728" s="281"/>
      <c r="V728" s="1172"/>
      <c r="W728" s="255"/>
      <c r="X728" s="461"/>
      <c r="Y728" s="461"/>
      <c r="Z728" s="461"/>
      <c r="AA728" s="281"/>
      <c r="AB728" s="1041"/>
      <c r="AC728" s="255"/>
      <c r="AD728" s="461"/>
      <c r="AE728" s="461"/>
      <c r="AF728" s="461"/>
      <c r="AG728" s="461"/>
      <c r="AH728" s="1047"/>
      <c r="AI728" s="1172"/>
      <c r="AJ728" s="1155"/>
      <c r="AK728" s="1155"/>
      <c r="AL728" s="1083"/>
      <c r="AM728" s="1084"/>
      <c r="AN728" s="1084"/>
      <c r="AO728" s="1084"/>
      <c r="AP728" s="1085"/>
      <c r="AQ728" s="259"/>
      <c r="AR728" s="466"/>
      <c r="AS728" s="283"/>
      <c r="AT728" s="1155"/>
      <c r="AU728" s="1155"/>
      <c r="AV728" s="1155"/>
      <c r="AW728" s="1155"/>
      <c r="AX728" s="1155"/>
      <c r="AY728" s="1155"/>
      <c r="AZ728" s="1155"/>
      <c r="BA728" s="1155"/>
      <c r="BB728" s="1155"/>
      <c r="BC728" s="1155"/>
      <c r="BD728" s="1155"/>
      <c r="BE728" s="1155"/>
      <c r="BF728" s="1155"/>
      <c r="BG728" s="1155"/>
      <c r="BH728" s="1155"/>
      <c r="BI728" s="1155"/>
      <c r="BJ728" s="1155"/>
      <c r="BK728" s="1155"/>
      <c r="BL728" s="1155"/>
      <c r="BM728" s="1155"/>
      <c r="BN728" s="1155"/>
      <c r="BO728" s="1155"/>
      <c r="BP728" s="1155"/>
      <c r="BQ728" s="1155"/>
      <c r="BR728" s="1155"/>
      <c r="BS728" s="1155"/>
    </row>
    <row r="729" spans="5:71" s="474" customFormat="1">
      <c r="E729" s="4109"/>
      <c r="F729" s="431" t="s">
        <v>578</v>
      </c>
      <c r="G729" s="1089"/>
      <c r="H729" s="1090"/>
      <c r="I729" s="1090"/>
      <c r="J729" s="1090"/>
      <c r="K729" s="1091"/>
      <c r="L729" s="259"/>
      <c r="M729" s="456"/>
      <c r="N729" s="456"/>
      <c r="O729" s="456"/>
      <c r="P729" s="457"/>
      <c r="Q729" s="224"/>
      <c r="R729" s="456"/>
      <c r="S729" s="456"/>
      <c r="T729" s="456"/>
      <c r="U729" s="457"/>
      <c r="V729" s="1172"/>
      <c r="W729" s="207"/>
      <c r="X729" s="456"/>
      <c r="Y729" s="456"/>
      <c r="Z729" s="456"/>
      <c r="AA729" s="457"/>
      <c r="AB729" s="1041"/>
      <c r="AC729" s="207"/>
      <c r="AD729" s="456"/>
      <c r="AE729" s="456"/>
      <c r="AF729" s="456"/>
      <c r="AG729" s="456"/>
      <c r="AH729" s="1048"/>
      <c r="AI729" s="1172"/>
      <c r="AJ729" s="1155"/>
      <c r="AK729" s="1155"/>
      <c r="AL729" s="1089"/>
      <c r="AM729" s="1090"/>
      <c r="AN729" s="1090"/>
      <c r="AO729" s="1090"/>
      <c r="AP729" s="1091"/>
      <c r="AQ729" s="259"/>
      <c r="AR729" s="466"/>
      <c r="AS729" s="283"/>
      <c r="AT729" s="1155"/>
      <c r="AU729" s="1155"/>
      <c r="AV729" s="1155"/>
      <c r="AW729" s="1155"/>
      <c r="AX729" s="1155"/>
      <c r="AY729" s="1155"/>
      <c r="AZ729" s="1155"/>
      <c r="BA729" s="1155"/>
      <c r="BB729" s="1155"/>
      <c r="BC729" s="1155"/>
      <c r="BD729" s="1155"/>
      <c r="BE729" s="1155"/>
      <c r="BF729" s="1155"/>
      <c r="BG729" s="1155"/>
      <c r="BH729" s="1155"/>
      <c r="BI729" s="1155"/>
      <c r="BJ729" s="1155"/>
      <c r="BK729" s="1155"/>
      <c r="BL729" s="1155"/>
      <c r="BM729" s="1155"/>
      <c r="BN729" s="1155"/>
      <c r="BO729" s="1155"/>
      <c r="BP729" s="1155"/>
      <c r="BQ729" s="1155"/>
      <c r="BR729" s="1155"/>
      <c r="BS729" s="1155"/>
    </row>
    <row r="730" spans="5:71" s="474" customFormat="1">
      <c r="E730" s="4109"/>
      <c r="F730" s="1377" t="s">
        <v>579</v>
      </c>
      <c r="G730" s="1086"/>
      <c r="H730" s="1087"/>
      <c r="I730" s="1087"/>
      <c r="J730" s="1087"/>
      <c r="K730" s="1088"/>
      <c r="L730" s="258">
        <f>SUM(L726:L729)</f>
        <v>0</v>
      </c>
      <c r="M730" s="465">
        <f t="shared" ref="M730" si="3252">SUM(M726:M729)</f>
        <v>0</v>
      </c>
      <c r="N730" s="465">
        <f t="shared" ref="N730" si="3253">SUM(N726:N729)</f>
        <v>2236065.44</v>
      </c>
      <c r="O730" s="465">
        <f t="shared" ref="O730" si="3254">SUM(O726:O729)</f>
        <v>0</v>
      </c>
      <c r="P730" s="282">
        <f t="shared" ref="P730" si="3255">SUM(P726:P729)</f>
        <v>0</v>
      </c>
      <c r="Q730" s="965">
        <f t="shared" ref="Q730" si="3256">SUM(Q726:Q729)</f>
        <v>0</v>
      </c>
      <c r="R730" s="465">
        <f t="shared" ref="R730" si="3257">SUM(R726:R729)</f>
        <v>0</v>
      </c>
      <c r="S730" s="465">
        <f t="shared" ref="S730" si="3258">SUM(S726:S729)</f>
        <v>0</v>
      </c>
      <c r="T730" s="465">
        <f t="shared" ref="T730" si="3259">SUM(T726:T729)</f>
        <v>0</v>
      </c>
      <c r="U730" s="282">
        <f t="shared" ref="U730" si="3260">SUM(U726:U729)</f>
        <v>0</v>
      </c>
      <c r="V730" s="1172"/>
      <c r="W730" s="258">
        <f t="shared" ref="W730" si="3261">SUM(W726:W729)</f>
        <v>0</v>
      </c>
      <c r="X730" s="465">
        <f t="shared" ref="X730" si="3262">SUM(X726:X729)</f>
        <v>0</v>
      </c>
      <c r="Y730" s="465">
        <f t="shared" ref="Y730" si="3263">SUM(Y726:Y729)</f>
        <v>0</v>
      </c>
      <c r="Z730" s="465">
        <f t="shared" ref="Z730" si="3264">SUM(Z726:Z729)</f>
        <v>0</v>
      </c>
      <c r="AA730" s="282">
        <f t="shared" ref="AA730" si="3265">SUM(AA726:AA729)</f>
        <v>0</v>
      </c>
      <c r="AB730" s="992"/>
      <c r="AC730" s="258">
        <f t="shared" ref="AC730" si="3266">SUM(AC726:AC729)</f>
        <v>0</v>
      </c>
      <c r="AD730" s="465">
        <f t="shared" ref="AD730" si="3267">SUM(AD726:AD729)</f>
        <v>0</v>
      </c>
      <c r="AE730" s="465">
        <f t="shared" ref="AE730" si="3268">SUM(AE726:AE729)</f>
        <v>0</v>
      </c>
      <c r="AF730" s="465">
        <f t="shared" ref="AF730" si="3269">SUM(AF726:AF729)</f>
        <v>0</v>
      </c>
      <c r="AG730" s="465">
        <f t="shared" ref="AG730" si="3270">SUM(AG726:AG729)</f>
        <v>0</v>
      </c>
      <c r="AH730" s="1049"/>
      <c r="AI730" s="1172"/>
      <c r="AJ730" s="1155"/>
      <c r="AK730" s="1155"/>
      <c r="AL730" s="1086"/>
      <c r="AM730" s="1087"/>
      <c r="AN730" s="1087"/>
      <c r="AO730" s="1087"/>
      <c r="AP730" s="1088"/>
      <c r="AQ730" s="258">
        <f>SUM(AQ727:AQ729)</f>
        <v>0</v>
      </c>
      <c r="AR730" s="465">
        <f t="shared" ref="AR730" si="3271">SUM(AR727:AR729)</f>
        <v>0</v>
      </c>
      <c r="AS730" s="282"/>
      <c r="AT730" s="1155"/>
      <c r="AU730" s="1155"/>
      <c r="AV730" s="1155"/>
      <c r="AW730" s="1155"/>
      <c r="AX730" s="1155"/>
      <c r="AY730" s="1155"/>
      <c r="AZ730" s="1155"/>
      <c r="BA730" s="1155"/>
      <c r="BB730" s="1155"/>
      <c r="BC730" s="1155"/>
      <c r="BD730" s="1155"/>
      <c r="BE730" s="1155"/>
      <c r="BF730" s="1155"/>
      <c r="BG730" s="1155"/>
      <c r="BH730" s="1155"/>
      <c r="BI730" s="1155"/>
      <c r="BJ730" s="1155"/>
      <c r="BK730" s="1155"/>
      <c r="BL730" s="1155"/>
      <c r="BM730" s="1155"/>
      <c r="BN730" s="1155"/>
      <c r="BO730" s="1155"/>
      <c r="BP730" s="1155"/>
      <c r="BQ730" s="1155"/>
      <c r="BR730" s="1155"/>
      <c r="BS730" s="1155"/>
    </row>
    <row r="731" spans="5:71" s="474" customFormat="1" ht="13.5" thickBot="1">
      <c r="E731" s="4109"/>
      <c r="F731" s="1035" t="s">
        <v>583</v>
      </c>
      <c r="G731" s="255"/>
      <c r="H731" s="461"/>
      <c r="I731" s="461"/>
      <c r="J731" s="461"/>
      <c r="K731" s="281"/>
      <c r="L731" s="207"/>
      <c r="M731" s="456"/>
      <c r="N731" s="456"/>
      <c r="O731" s="456"/>
      <c r="P731" s="457"/>
      <c r="Q731" s="224"/>
      <c r="R731" s="456"/>
      <c r="S731" s="456"/>
      <c r="T731" s="456"/>
      <c r="U731" s="457"/>
      <c r="V731" s="1172"/>
      <c r="W731" s="207"/>
      <c r="X731" s="461"/>
      <c r="Y731" s="461"/>
      <c r="Z731" s="461"/>
      <c r="AA731" s="281"/>
      <c r="AB731" s="1041"/>
      <c r="AC731" s="207"/>
      <c r="AD731" s="456"/>
      <c r="AE731" s="456"/>
      <c r="AF731" s="456"/>
      <c r="AG731" s="456"/>
      <c r="AH731" s="1048"/>
      <c r="AI731" s="1172"/>
      <c r="AJ731" s="1155"/>
      <c r="AK731" s="1155"/>
      <c r="AL731" s="259"/>
      <c r="AM731" s="466"/>
      <c r="AN731" s="466"/>
      <c r="AO731" s="466"/>
      <c r="AP731" s="283"/>
      <c r="AQ731" s="259"/>
      <c r="AR731" s="466"/>
      <c r="AS731" s="283"/>
      <c r="AT731" s="1155"/>
      <c r="AU731" s="1155"/>
      <c r="AV731" s="1155"/>
      <c r="AW731" s="1155"/>
      <c r="AX731" s="1155"/>
      <c r="AY731" s="1155"/>
      <c r="AZ731" s="1155"/>
      <c r="BA731" s="1155"/>
      <c r="BB731" s="1155"/>
      <c r="BC731" s="1155"/>
      <c r="BD731" s="1155"/>
      <c r="BE731" s="1155"/>
      <c r="BF731" s="1155"/>
      <c r="BG731" s="1155"/>
      <c r="BH731" s="1155"/>
      <c r="BI731" s="1155"/>
      <c r="BJ731" s="1155"/>
      <c r="BK731" s="1155"/>
      <c r="BL731" s="1155"/>
      <c r="BM731" s="1155"/>
      <c r="BN731" s="1155"/>
      <c r="BO731" s="1155"/>
      <c r="BP731" s="1155"/>
      <c r="BQ731" s="1155"/>
      <c r="BR731" s="1155"/>
      <c r="BS731" s="1155"/>
    </row>
    <row r="732" spans="5:71" s="474" customFormat="1" ht="13.5" thickBot="1">
      <c r="E732" s="4109"/>
      <c r="F732" s="1380" t="s">
        <v>581</v>
      </c>
      <c r="G732" s="1599"/>
      <c r="H732" s="1600"/>
      <c r="I732" s="1600"/>
      <c r="J732" s="1600"/>
      <c r="K732" s="1601"/>
      <c r="L732" s="1599"/>
      <c r="M732" s="1600"/>
      <c r="N732" s="1600"/>
      <c r="O732" s="1600"/>
      <c r="P732" s="1601"/>
      <c r="Q732" s="1602"/>
      <c r="R732" s="1600"/>
      <c r="S732" s="1600"/>
      <c r="T732" s="1600"/>
      <c r="U732" s="1601"/>
      <c r="V732" s="1172"/>
      <c r="W732" s="1614"/>
      <c r="X732" s="1615"/>
      <c r="Y732" s="1615"/>
      <c r="Z732" s="1615"/>
      <c r="AA732" s="1615"/>
      <c r="AB732" s="1615"/>
      <c r="AC732" s="1615"/>
      <c r="AD732" s="1615"/>
      <c r="AE732" s="1615"/>
      <c r="AF732" s="1615"/>
      <c r="AG732" s="1615"/>
      <c r="AH732" s="1616"/>
      <c r="AI732" s="1172"/>
      <c r="AJ732" s="1155"/>
      <c r="AK732" s="1155"/>
      <c r="AL732" s="259"/>
      <c r="AM732" s="466"/>
      <c r="AN732" s="466"/>
      <c r="AO732" s="466"/>
      <c r="AP732" s="283"/>
      <c r="AQ732" s="259"/>
      <c r="AR732" s="466"/>
      <c r="AS732" s="283"/>
      <c r="AT732" s="1155"/>
      <c r="AU732" s="1155"/>
      <c r="AV732" s="1155"/>
      <c r="AW732" s="1155"/>
      <c r="AX732" s="1155"/>
      <c r="AY732" s="1155"/>
      <c r="AZ732" s="1155"/>
      <c r="BA732" s="1155"/>
      <c r="BB732" s="1155"/>
      <c r="BC732" s="1155"/>
      <c r="BD732" s="1155"/>
      <c r="BE732" s="1155"/>
      <c r="BF732" s="1155"/>
      <c r="BG732" s="1155"/>
      <c r="BH732" s="1155"/>
      <c r="BI732" s="1155"/>
      <c r="BJ732" s="1155"/>
      <c r="BK732" s="1155"/>
      <c r="BL732" s="1155"/>
      <c r="BM732" s="1155"/>
      <c r="BN732" s="1155"/>
      <c r="BO732" s="1155"/>
      <c r="BP732" s="1155"/>
      <c r="BQ732" s="1155"/>
      <c r="BR732" s="1155"/>
      <c r="BS732" s="1155"/>
    </row>
    <row r="733" spans="5:71" s="474" customFormat="1">
      <c r="E733" s="4109"/>
      <c r="F733" s="1378" t="s">
        <v>584</v>
      </c>
      <c r="G733" s="1050">
        <v>0</v>
      </c>
      <c r="H733" s="1051">
        <v>0</v>
      </c>
      <c r="I733" s="1051">
        <v>0</v>
      </c>
      <c r="J733" s="1051">
        <v>0</v>
      </c>
      <c r="K733" s="1052">
        <v>0</v>
      </c>
      <c r="L733" s="1050">
        <f>SUM(L730:L732)</f>
        <v>0</v>
      </c>
      <c r="M733" s="1051">
        <f t="shared" ref="M733" si="3272">SUM(M730:M732)</f>
        <v>0</v>
      </c>
      <c r="N733" s="1051">
        <f t="shared" ref="N733" si="3273">SUM(N730:N732)</f>
        <v>2236065.44</v>
      </c>
      <c r="O733" s="1051">
        <f t="shared" ref="O733" si="3274">SUM(O730:O732)</f>
        <v>0</v>
      </c>
      <c r="P733" s="1052">
        <f t="shared" ref="P733" si="3275">SUM(P730:P732)</f>
        <v>0</v>
      </c>
      <c r="Q733" s="1092">
        <f t="shared" ref="Q733" si="3276">SUM(Q730:Q732)</f>
        <v>0</v>
      </c>
      <c r="R733" s="1051">
        <f t="shared" ref="R733" si="3277">SUM(R730:R732)</f>
        <v>0</v>
      </c>
      <c r="S733" s="1051">
        <f t="shared" ref="S733" si="3278">SUM(S730:S732)</f>
        <v>0</v>
      </c>
      <c r="T733" s="1051">
        <f t="shared" ref="T733" si="3279">SUM(T730:T732)</f>
        <v>0</v>
      </c>
      <c r="U733" s="1052">
        <f t="shared" ref="U733" si="3280">SUM(U730:U732)</f>
        <v>0</v>
      </c>
      <c r="V733" s="1172"/>
      <c r="W733" s="1050">
        <f t="shared" ref="W733" si="3281">SUM(W730:W732)</f>
        <v>0</v>
      </c>
      <c r="X733" s="1051">
        <f t="shared" ref="X733" si="3282">SUM(X730:X732)</f>
        <v>0</v>
      </c>
      <c r="Y733" s="1051">
        <f t="shared" ref="Y733" si="3283">SUM(Y730:Y732)</f>
        <v>0</v>
      </c>
      <c r="Z733" s="1051">
        <f t="shared" ref="Z733" si="3284">SUM(Z730:Z732)</f>
        <v>0</v>
      </c>
      <c r="AA733" s="1052">
        <f t="shared" ref="AA733" si="3285">SUM(AA730:AA732)</f>
        <v>0</v>
      </c>
      <c r="AB733" s="1053"/>
      <c r="AC733" s="1050">
        <f t="shared" ref="AC733" si="3286">SUM(AC730:AC732)</f>
        <v>0</v>
      </c>
      <c r="AD733" s="1051">
        <f t="shared" ref="AD733" si="3287">SUM(AD730:AD732)</f>
        <v>0</v>
      </c>
      <c r="AE733" s="1051">
        <f t="shared" ref="AE733" si="3288">SUM(AE730:AE732)</f>
        <v>0</v>
      </c>
      <c r="AF733" s="1051">
        <f t="shared" ref="AF733" si="3289">SUM(AF730:AF732)</f>
        <v>0</v>
      </c>
      <c r="AG733" s="1051">
        <f t="shared" ref="AG733" si="3290">SUM(AG730:AG732)</f>
        <v>0</v>
      </c>
      <c r="AH733" s="1054"/>
      <c r="AI733" s="1172"/>
      <c r="AJ733" s="130"/>
      <c r="AK733" s="130"/>
      <c r="AL733" s="1050">
        <f t="shared" ref="AL733:AR733" si="3291">SUM(AL731:AL732)</f>
        <v>0</v>
      </c>
      <c r="AM733" s="1051">
        <f t="shared" si="3291"/>
        <v>0</v>
      </c>
      <c r="AN733" s="1051">
        <f t="shared" si="3291"/>
        <v>0</v>
      </c>
      <c r="AO733" s="1051">
        <f t="shared" si="3291"/>
        <v>0</v>
      </c>
      <c r="AP733" s="1052">
        <f t="shared" si="3291"/>
        <v>0</v>
      </c>
      <c r="AQ733" s="1050">
        <f t="shared" si="3291"/>
        <v>0</v>
      </c>
      <c r="AR733" s="1051">
        <f t="shared" si="3291"/>
        <v>0</v>
      </c>
      <c r="AS733" s="1052"/>
      <c r="AT733" s="130"/>
      <c r="AU733" s="130"/>
      <c r="AV733" s="130"/>
      <c r="AW733" s="130"/>
      <c r="AX733" s="130"/>
      <c r="AY733" s="130"/>
      <c r="AZ733" s="130"/>
      <c r="BA733" s="130"/>
      <c r="BB733" s="130"/>
      <c r="BC733" s="130"/>
      <c r="BD733" s="130"/>
      <c r="BE733" s="130"/>
      <c r="BF733" s="130"/>
      <c r="BG733" s="130"/>
      <c r="BH733" s="130"/>
      <c r="BI733" s="130"/>
      <c r="BJ733" s="130"/>
      <c r="BK733" s="130"/>
      <c r="BL733" s="130"/>
      <c r="BM733" s="130"/>
      <c r="BN733" s="130"/>
      <c r="BO733" s="130"/>
      <c r="BP733" s="130"/>
      <c r="BQ733" s="130"/>
      <c r="BR733" s="130"/>
      <c r="BS733" s="1155"/>
    </row>
    <row r="734" spans="5:71" s="474" customFormat="1">
      <c r="E734" s="4109"/>
      <c r="F734" s="1389" t="s">
        <v>35</v>
      </c>
      <c r="G734" s="255"/>
      <c r="H734" s="461"/>
      <c r="I734" s="461"/>
      <c r="J734" s="461"/>
      <c r="K734" s="281"/>
      <c r="L734" s="255"/>
      <c r="M734" s="461"/>
      <c r="N734" s="461"/>
      <c r="O734" s="461"/>
      <c r="P734" s="281"/>
      <c r="Q734" s="956"/>
      <c r="R734" s="461"/>
      <c r="S734" s="461"/>
      <c r="T734" s="461"/>
      <c r="U734" s="281"/>
      <c r="V734" s="1172"/>
      <c r="W734" s="255"/>
      <c r="X734" s="461"/>
      <c r="Y734" s="461"/>
      <c r="Z734" s="461"/>
      <c r="AA734" s="281"/>
      <c r="AB734" s="1004"/>
      <c r="AC734" s="255"/>
      <c r="AD734" s="461"/>
      <c r="AE734" s="461"/>
      <c r="AF734" s="461"/>
      <c r="AG734" s="461"/>
      <c r="AH734" s="1047"/>
      <c r="AI734" s="1172"/>
      <c r="AJ734" s="1155"/>
      <c r="AK734" s="1155"/>
      <c r="AL734" s="259"/>
      <c r="AM734" s="466"/>
      <c r="AN734" s="466"/>
      <c r="AO734" s="466"/>
      <c r="AP734" s="283"/>
      <c r="AQ734" s="259"/>
      <c r="AR734" s="466"/>
      <c r="AS734" s="283"/>
      <c r="AT734" s="1155"/>
      <c r="AU734" s="1155"/>
      <c r="AV734" s="1155"/>
      <c r="AW734" s="1155"/>
      <c r="AX734" s="1155"/>
      <c r="AY734" s="1155"/>
      <c r="AZ734" s="1155"/>
      <c r="BA734" s="1155"/>
      <c r="BB734" s="1155"/>
      <c r="BC734" s="1155"/>
      <c r="BD734" s="1155"/>
      <c r="BE734" s="1155"/>
      <c r="BF734" s="1155"/>
      <c r="BG734" s="1155"/>
      <c r="BH734" s="1155"/>
      <c r="BI734" s="1155"/>
      <c r="BJ734" s="1155"/>
      <c r="BK734" s="1155"/>
      <c r="BL734" s="1155"/>
      <c r="BM734" s="1155"/>
      <c r="BN734" s="1155"/>
      <c r="BO734" s="1155"/>
      <c r="BP734" s="1155"/>
      <c r="BQ734" s="1155"/>
      <c r="BR734" s="1155"/>
      <c r="BS734" s="1155"/>
    </row>
    <row r="735" spans="5:71" s="474" customFormat="1" ht="13.5" thickBot="1">
      <c r="E735" s="4109"/>
      <c r="F735" s="1387" t="s">
        <v>585</v>
      </c>
      <c r="G735" s="1055">
        <v>0</v>
      </c>
      <c r="H735" s="1056">
        <v>0</v>
      </c>
      <c r="I735" s="1056">
        <v>0</v>
      </c>
      <c r="J735" s="1056">
        <v>0</v>
      </c>
      <c r="K735" s="1057">
        <v>0</v>
      </c>
      <c r="L735" s="1567">
        <f>L733-L734</f>
        <v>0</v>
      </c>
      <c r="M735" s="1056">
        <f t="shared" ref="M735" si="3292">M733-M734</f>
        <v>0</v>
      </c>
      <c r="N735" s="1056">
        <f t="shared" ref="N735" si="3293">N733-N734</f>
        <v>2236065.44</v>
      </c>
      <c r="O735" s="1056">
        <f t="shared" ref="O735" si="3294">O733-O734</f>
        <v>0</v>
      </c>
      <c r="P735" s="1057">
        <f t="shared" ref="P735" si="3295">P733-P734</f>
        <v>0</v>
      </c>
      <c r="Q735" s="1093">
        <f t="shared" ref="Q735" si="3296">Q733-Q734</f>
        <v>0</v>
      </c>
      <c r="R735" s="1056">
        <f t="shared" ref="R735" si="3297">R733-R734</f>
        <v>0</v>
      </c>
      <c r="S735" s="1056">
        <f t="shared" ref="S735" si="3298">S733-S734</f>
        <v>0</v>
      </c>
      <c r="T735" s="1056">
        <f t="shared" ref="T735" si="3299">T733-T734</f>
        <v>0</v>
      </c>
      <c r="U735" s="1057">
        <f t="shared" ref="U735" si="3300">U733-U734</f>
        <v>0</v>
      </c>
      <c r="V735" s="1172"/>
      <c r="W735" s="1055">
        <f t="shared" ref="W735" si="3301">W733-W734</f>
        <v>0</v>
      </c>
      <c r="X735" s="1056">
        <f t="shared" ref="X735" si="3302">X733-X734</f>
        <v>0</v>
      </c>
      <c r="Y735" s="1056">
        <f t="shared" ref="Y735" si="3303">Y733-Y734</f>
        <v>0</v>
      </c>
      <c r="Z735" s="1056">
        <f t="shared" ref="Z735" si="3304">Z733-Z734</f>
        <v>0</v>
      </c>
      <c r="AA735" s="1057">
        <f t="shared" ref="AA735" si="3305">AA733-AA734</f>
        <v>0</v>
      </c>
      <c r="AB735" s="1075"/>
      <c r="AC735" s="1055">
        <f t="shared" ref="AC735" si="3306">AC733-AC734</f>
        <v>0</v>
      </c>
      <c r="AD735" s="1056">
        <f t="shared" ref="AD735" si="3307">AD733-AD734</f>
        <v>0</v>
      </c>
      <c r="AE735" s="1056">
        <f t="shared" ref="AE735" si="3308">AE733-AE734</f>
        <v>0</v>
      </c>
      <c r="AF735" s="1056">
        <f t="shared" ref="AF735" si="3309">AF733-AF734</f>
        <v>0</v>
      </c>
      <c r="AG735" s="1056">
        <f t="shared" ref="AG735" si="3310">AG733-AG734</f>
        <v>0</v>
      </c>
      <c r="AH735" s="1059"/>
      <c r="AI735" s="1172"/>
      <c r="AJ735" s="1155"/>
      <c r="AK735" s="1155"/>
      <c r="AL735" s="1567">
        <f>AL733-AL734</f>
        <v>0</v>
      </c>
      <c r="AM735" s="1056">
        <f t="shared" ref="AM735:AR735" si="3311">AM733-AM734</f>
        <v>0</v>
      </c>
      <c r="AN735" s="1056">
        <f t="shared" si="3311"/>
        <v>0</v>
      </c>
      <c r="AO735" s="1056">
        <f t="shared" si="3311"/>
        <v>0</v>
      </c>
      <c r="AP735" s="1057">
        <f t="shared" si="3311"/>
        <v>0</v>
      </c>
      <c r="AQ735" s="1567">
        <f t="shared" si="3311"/>
        <v>0</v>
      </c>
      <c r="AR735" s="1056">
        <f t="shared" si="3311"/>
        <v>0</v>
      </c>
      <c r="AS735" s="1057"/>
      <c r="AT735" s="1155"/>
      <c r="AU735" s="1155"/>
      <c r="AV735" s="1155"/>
      <c r="AW735" s="1155"/>
      <c r="AX735" s="1155"/>
      <c r="AY735" s="1155"/>
      <c r="AZ735" s="1155"/>
      <c r="BA735" s="1155"/>
      <c r="BB735" s="1155"/>
      <c r="BC735" s="1155"/>
      <c r="BD735" s="1155"/>
      <c r="BE735" s="1155"/>
      <c r="BF735" s="1155"/>
      <c r="BG735" s="1155"/>
      <c r="BH735" s="1155"/>
      <c r="BI735" s="1155"/>
      <c r="BJ735" s="1155"/>
      <c r="BK735" s="1155"/>
      <c r="BL735" s="1155"/>
      <c r="BM735" s="1155"/>
      <c r="BN735" s="1155"/>
      <c r="BO735" s="1155"/>
      <c r="BP735" s="1155"/>
      <c r="BQ735" s="1155"/>
      <c r="BR735" s="1155"/>
      <c r="BS735" s="1155"/>
    </row>
    <row r="736" spans="5:71" s="474" customFormat="1" ht="12.75" customHeight="1">
      <c r="E736" s="4110" t="s">
        <v>1519</v>
      </c>
      <c r="F736" s="433" t="s">
        <v>111</v>
      </c>
      <c r="G736" s="1086"/>
      <c r="H736" s="1087"/>
      <c r="I736" s="1087"/>
      <c r="J736" s="1087"/>
      <c r="K736" s="1088"/>
      <c r="L736" s="258"/>
      <c r="M736" s="465"/>
      <c r="N736" s="465"/>
      <c r="O736" s="465"/>
      <c r="P736" s="282"/>
      <c r="Q736" s="965"/>
      <c r="R736" s="465"/>
      <c r="S736" s="465"/>
      <c r="T736" s="465"/>
      <c r="U736" s="282"/>
      <c r="V736" s="1172"/>
      <c r="W736" s="1043"/>
      <c r="X736" s="421"/>
      <c r="Y736" s="421"/>
      <c r="Z736" s="421"/>
      <c r="AA736" s="1044"/>
      <c r="AB736" s="1045"/>
      <c r="AC736" s="1043"/>
      <c r="AD736" s="421"/>
      <c r="AE736" s="421"/>
      <c r="AF736" s="421"/>
      <c r="AG736" s="421"/>
      <c r="AH736" s="1046"/>
      <c r="AI736" s="1172"/>
      <c r="AJ736" s="1155"/>
      <c r="AK736" s="1155"/>
      <c r="AL736" s="1086"/>
      <c r="AM736" s="1087"/>
      <c r="AN736" s="1087"/>
      <c r="AO736" s="1087"/>
      <c r="AP736" s="1088"/>
      <c r="AQ736" s="258"/>
      <c r="AR736" s="465"/>
      <c r="AS736" s="282"/>
      <c r="AT736" s="1155"/>
      <c r="AU736" s="1155"/>
      <c r="AV736" s="1155"/>
      <c r="AW736" s="1155"/>
      <c r="AX736" s="1155"/>
      <c r="AY736" s="1155"/>
      <c r="AZ736" s="1155"/>
      <c r="BA736" s="1155"/>
      <c r="BB736" s="1155"/>
      <c r="BC736" s="1155"/>
      <c r="BD736" s="1155"/>
      <c r="BE736" s="1155"/>
      <c r="BF736" s="1155"/>
      <c r="BG736" s="1155"/>
      <c r="BH736" s="1155"/>
      <c r="BI736" s="1155"/>
      <c r="BJ736" s="1155"/>
      <c r="BK736" s="1155"/>
      <c r="BL736" s="1155"/>
      <c r="BM736" s="1155"/>
      <c r="BN736" s="1155"/>
      <c r="BO736" s="1155"/>
      <c r="BP736" s="1155"/>
      <c r="BQ736" s="1155"/>
      <c r="BR736" s="1155"/>
      <c r="BS736" s="1155"/>
    </row>
    <row r="737" spans="5:71" s="474" customFormat="1" ht="12.75" customHeight="1">
      <c r="E737" s="4109"/>
      <c r="F737" s="1374" t="s">
        <v>588</v>
      </c>
      <c r="G737" s="1083"/>
      <c r="H737" s="1084"/>
      <c r="I737" s="1084"/>
      <c r="J737" s="1084"/>
      <c r="K737" s="1085"/>
      <c r="L737" s="255"/>
      <c r="M737" s="461"/>
      <c r="N737" s="461"/>
      <c r="O737" s="461"/>
      <c r="P737" s="281"/>
      <c r="Q737" s="956"/>
      <c r="R737" s="461"/>
      <c r="S737" s="461"/>
      <c r="T737" s="461"/>
      <c r="U737" s="281"/>
      <c r="V737" s="1172"/>
      <c r="W737" s="255"/>
      <c r="X737" s="461"/>
      <c r="Y737" s="461"/>
      <c r="Z737" s="461"/>
      <c r="AA737" s="281"/>
      <c r="AB737" s="1041"/>
      <c r="AC737" s="255"/>
      <c r="AD737" s="461"/>
      <c r="AE737" s="461"/>
      <c r="AF737" s="461"/>
      <c r="AG737" s="461"/>
      <c r="AH737" s="1047"/>
      <c r="AI737" s="1172"/>
      <c r="AJ737" s="1155"/>
      <c r="AK737" s="1155"/>
      <c r="AL737" s="1083"/>
      <c r="AM737" s="1084"/>
      <c r="AN737" s="1084"/>
      <c r="AO737" s="1084"/>
      <c r="AP737" s="1085"/>
      <c r="AQ737" s="259"/>
      <c r="AR737" s="466"/>
      <c r="AS737" s="283"/>
      <c r="AT737" s="1155"/>
      <c r="AU737" s="1155"/>
      <c r="AV737" s="1155"/>
      <c r="AW737" s="1155"/>
      <c r="AX737" s="1155"/>
      <c r="AY737" s="1155"/>
      <c r="AZ737" s="1155"/>
      <c r="BA737" s="1155"/>
      <c r="BB737" s="1155"/>
      <c r="BC737" s="1155"/>
      <c r="BD737" s="1155"/>
      <c r="BE737" s="1155"/>
      <c r="BF737" s="1155"/>
      <c r="BG737" s="1155"/>
      <c r="BH737" s="1155"/>
      <c r="BI737" s="1155"/>
      <c r="BJ737" s="1155"/>
      <c r="BK737" s="1155"/>
      <c r="BL737" s="1155"/>
      <c r="BM737" s="1155"/>
      <c r="BN737" s="1155"/>
      <c r="BO737" s="1155"/>
      <c r="BP737" s="1155"/>
      <c r="BQ737" s="1155"/>
      <c r="BR737" s="1155"/>
      <c r="BS737" s="1155"/>
    </row>
    <row r="738" spans="5:71" s="474" customFormat="1" ht="12.75" customHeight="1">
      <c r="E738" s="4109"/>
      <c r="F738" s="1374" t="s">
        <v>589</v>
      </c>
      <c r="G738" s="1083"/>
      <c r="H738" s="1084"/>
      <c r="I738" s="1084"/>
      <c r="J738" s="1084"/>
      <c r="K738" s="1085"/>
      <c r="L738" s="255"/>
      <c r="M738" s="461"/>
      <c r="N738" s="461"/>
      <c r="O738" s="461"/>
      <c r="P738" s="281"/>
      <c r="Q738" s="956"/>
      <c r="R738" s="461"/>
      <c r="S738" s="461"/>
      <c r="T738" s="461"/>
      <c r="U738" s="281"/>
      <c r="V738" s="1172"/>
      <c r="W738" s="255"/>
      <c r="X738" s="461"/>
      <c r="Y738" s="461"/>
      <c r="Z738" s="461"/>
      <c r="AA738" s="281"/>
      <c r="AB738" s="1041"/>
      <c r="AC738" s="255"/>
      <c r="AD738" s="461"/>
      <c r="AE738" s="461"/>
      <c r="AF738" s="461"/>
      <c r="AG738" s="461"/>
      <c r="AH738" s="1047"/>
      <c r="AI738" s="1172"/>
      <c r="AJ738" s="1155"/>
      <c r="AK738" s="1155"/>
      <c r="AL738" s="1083"/>
      <c r="AM738" s="1084"/>
      <c r="AN738" s="1084"/>
      <c r="AO738" s="1084"/>
      <c r="AP738" s="1085"/>
      <c r="AQ738" s="259"/>
      <c r="AR738" s="466"/>
      <c r="AS738" s="283"/>
      <c r="AT738" s="1155"/>
      <c r="AU738" s="1155"/>
      <c r="AV738" s="1155"/>
      <c r="AW738" s="1155"/>
      <c r="AX738" s="1155"/>
      <c r="AY738" s="1155"/>
      <c r="AZ738" s="1155"/>
      <c r="BA738" s="1155"/>
      <c r="BB738" s="1155"/>
      <c r="BC738" s="1155"/>
      <c r="BD738" s="1155"/>
      <c r="BE738" s="1155"/>
      <c r="BF738" s="1155"/>
      <c r="BG738" s="1155"/>
      <c r="BH738" s="1155"/>
      <c r="BI738" s="1155"/>
      <c r="BJ738" s="1155"/>
      <c r="BK738" s="1155"/>
      <c r="BL738" s="1155"/>
      <c r="BM738" s="1155"/>
      <c r="BN738" s="1155"/>
      <c r="BO738" s="1155"/>
      <c r="BP738" s="1155"/>
      <c r="BQ738" s="1155"/>
      <c r="BR738" s="1155"/>
      <c r="BS738" s="1155"/>
    </row>
    <row r="739" spans="5:71" s="474" customFormat="1" ht="12.75" customHeight="1">
      <c r="E739" s="4109"/>
      <c r="F739" s="1374" t="s">
        <v>590</v>
      </c>
      <c r="G739" s="1083"/>
      <c r="H739" s="1084"/>
      <c r="I739" s="1084"/>
      <c r="J739" s="1084"/>
      <c r="K739" s="1085"/>
      <c r="L739" s="255"/>
      <c r="M739" s="461"/>
      <c r="N739" s="461"/>
      <c r="O739" s="461"/>
      <c r="P739" s="281"/>
      <c r="Q739" s="956"/>
      <c r="R739" s="461"/>
      <c r="S739" s="461"/>
      <c r="T739" s="461"/>
      <c r="U739" s="281"/>
      <c r="V739" s="1172"/>
      <c r="W739" s="255"/>
      <c r="X739" s="461"/>
      <c r="Y739" s="461"/>
      <c r="Z739" s="461"/>
      <c r="AA739" s="281"/>
      <c r="AB739" s="1041"/>
      <c r="AC739" s="255"/>
      <c r="AD739" s="461"/>
      <c r="AE739" s="461"/>
      <c r="AF739" s="461"/>
      <c r="AG739" s="461"/>
      <c r="AH739" s="1047"/>
      <c r="AI739" s="1172"/>
      <c r="AJ739" s="1155"/>
      <c r="AK739" s="1155"/>
      <c r="AL739" s="1083"/>
      <c r="AM739" s="1084"/>
      <c r="AN739" s="1084"/>
      <c r="AO739" s="1084"/>
      <c r="AP739" s="1085"/>
      <c r="AQ739" s="259"/>
      <c r="AR739" s="466"/>
      <c r="AS739" s="283"/>
      <c r="AT739" s="1155"/>
      <c r="AU739" s="1155"/>
      <c r="AV739" s="1155"/>
      <c r="AW739" s="1155"/>
      <c r="AX739" s="1155"/>
      <c r="AY739" s="1155"/>
      <c r="AZ739" s="1155"/>
      <c r="BA739" s="1155"/>
      <c r="BB739" s="1155"/>
      <c r="BC739" s="1155"/>
      <c r="BD739" s="1155"/>
      <c r="BE739" s="1155"/>
      <c r="BF739" s="1155"/>
      <c r="BG739" s="1155"/>
      <c r="BH739" s="1155"/>
      <c r="BI739" s="1155"/>
      <c r="BJ739" s="1155"/>
      <c r="BK739" s="1155"/>
      <c r="BL739" s="1155"/>
      <c r="BM739" s="1155"/>
      <c r="BN739" s="1155"/>
      <c r="BO739" s="1155"/>
      <c r="BP739" s="1155"/>
      <c r="BQ739" s="1155"/>
      <c r="BR739" s="1155"/>
      <c r="BS739" s="1155"/>
    </row>
    <row r="740" spans="5:71" s="474" customFormat="1" ht="12.75" customHeight="1">
      <c r="E740" s="4109"/>
      <c r="F740" s="1374" t="s">
        <v>591</v>
      </c>
      <c r="G740" s="1083"/>
      <c r="H740" s="1084"/>
      <c r="I740" s="1084"/>
      <c r="J740" s="1084"/>
      <c r="K740" s="1085"/>
      <c r="L740" s="255"/>
      <c r="M740" s="461"/>
      <c r="N740" s="461"/>
      <c r="O740" s="461"/>
      <c r="P740" s="281"/>
      <c r="Q740" s="956"/>
      <c r="R740" s="461"/>
      <c r="S740" s="461"/>
      <c r="T740" s="461"/>
      <c r="U740" s="281"/>
      <c r="V740" s="1172"/>
      <c r="W740" s="255"/>
      <c r="X740" s="461"/>
      <c r="Y740" s="461"/>
      <c r="Z740" s="461"/>
      <c r="AA740" s="281"/>
      <c r="AB740" s="1041"/>
      <c r="AC740" s="255"/>
      <c r="AD740" s="461"/>
      <c r="AE740" s="461"/>
      <c r="AF740" s="461"/>
      <c r="AG740" s="461"/>
      <c r="AH740" s="1047"/>
      <c r="AI740" s="1172"/>
      <c r="AJ740" s="1155"/>
      <c r="AK740" s="1155"/>
      <c r="AL740" s="1083"/>
      <c r="AM740" s="1084"/>
      <c r="AN740" s="1084"/>
      <c r="AO740" s="1084"/>
      <c r="AP740" s="1085"/>
      <c r="AQ740" s="259"/>
      <c r="AR740" s="466"/>
      <c r="AS740" s="283"/>
      <c r="AT740" s="1155"/>
      <c r="AU740" s="1155"/>
      <c r="AV740" s="1155"/>
      <c r="AW740" s="1155"/>
      <c r="AX740" s="1155"/>
      <c r="AY740" s="1155"/>
      <c r="AZ740" s="1155"/>
      <c r="BA740" s="1155"/>
      <c r="BB740" s="1155"/>
      <c r="BC740" s="1155"/>
      <c r="BD740" s="1155"/>
      <c r="BE740" s="1155"/>
      <c r="BF740" s="1155"/>
      <c r="BG740" s="1155"/>
      <c r="BH740" s="1155"/>
      <c r="BI740" s="1155"/>
      <c r="BJ740" s="1155"/>
      <c r="BK740" s="1155"/>
      <c r="BL740" s="1155"/>
      <c r="BM740" s="1155"/>
      <c r="BN740" s="1155"/>
      <c r="BO740" s="1155"/>
      <c r="BP740" s="1155"/>
      <c r="BQ740" s="1155"/>
      <c r="BR740" s="1155"/>
      <c r="BS740" s="1155"/>
    </row>
    <row r="741" spans="5:71" s="474" customFormat="1" ht="12.75" customHeight="1">
      <c r="E741" s="4109"/>
      <c r="F741" s="1374" t="s">
        <v>592</v>
      </c>
      <c r="G741" s="1083"/>
      <c r="H741" s="1084"/>
      <c r="I741" s="1084"/>
      <c r="J741" s="1084"/>
      <c r="K741" s="1085"/>
      <c r="L741" s="207"/>
      <c r="M741" s="456"/>
      <c r="N741" s="456">
        <v>6708</v>
      </c>
      <c r="O741" s="456"/>
      <c r="P741" s="457"/>
      <c r="Q741" s="224"/>
      <c r="R741" s="456"/>
      <c r="S741" s="456"/>
      <c r="T741" s="456"/>
      <c r="U741" s="457"/>
      <c r="V741" s="1172"/>
      <c r="W741" s="207">
        <v>0</v>
      </c>
      <c r="X741" s="456">
        <v>0</v>
      </c>
      <c r="Y741" s="456">
        <v>0</v>
      </c>
      <c r="Z741" s="456">
        <v>0</v>
      </c>
      <c r="AA741" s="457">
        <v>0</v>
      </c>
      <c r="AB741" s="1041"/>
      <c r="AC741" s="207">
        <v>0</v>
      </c>
      <c r="AD741" s="456">
        <v>0</v>
      </c>
      <c r="AE741" s="456">
        <v>0</v>
      </c>
      <c r="AF741" s="456">
        <v>0</v>
      </c>
      <c r="AG741" s="456">
        <v>0</v>
      </c>
      <c r="AH741" s="1048"/>
      <c r="AI741" s="1172"/>
      <c r="AJ741" s="1155"/>
      <c r="AK741" s="1155"/>
      <c r="AL741" s="1083"/>
      <c r="AM741" s="1084"/>
      <c r="AN741" s="1084"/>
      <c r="AO741" s="1084"/>
      <c r="AP741" s="1085"/>
      <c r="AQ741" s="207">
        <f>SUM(AQ736:AQ740)</f>
        <v>0</v>
      </c>
      <c r="AR741" s="456">
        <f t="shared" ref="AR741" si="3312">SUM(AR736:AR740)</f>
        <v>0</v>
      </c>
      <c r="AS741" s="457"/>
      <c r="AT741" s="1155"/>
      <c r="AU741" s="1155"/>
      <c r="AV741" s="1155"/>
      <c r="AW741" s="1155"/>
      <c r="AX741" s="1155"/>
      <c r="AY741" s="1155"/>
      <c r="AZ741" s="1155"/>
      <c r="BA741" s="1155"/>
      <c r="BB741" s="1155"/>
      <c r="BC741" s="1155"/>
      <c r="BD741" s="1155"/>
      <c r="BE741" s="1155"/>
      <c r="BF741" s="1155"/>
      <c r="BG741" s="1155"/>
      <c r="BH741" s="1155"/>
      <c r="BI741" s="1155"/>
      <c r="BJ741" s="1155"/>
      <c r="BK741" s="1155"/>
      <c r="BL741" s="1155"/>
      <c r="BM741" s="1155"/>
      <c r="BN741" s="1155"/>
      <c r="BO741" s="1155"/>
      <c r="BP741" s="1155"/>
      <c r="BQ741" s="1155"/>
      <c r="BR741" s="1155"/>
      <c r="BS741" s="1155"/>
    </row>
    <row r="742" spans="5:71" s="474" customFormat="1">
      <c r="E742" s="4109"/>
      <c r="F742" s="1375" t="s">
        <v>587</v>
      </c>
      <c r="G742" s="1086"/>
      <c r="H742" s="1087"/>
      <c r="I742" s="1087"/>
      <c r="J742" s="1087"/>
      <c r="K742" s="1088"/>
      <c r="L742" s="258">
        <f>SUM(L737:L741)</f>
        <v>0</v>
      </c>
      <c r="M742" s="465">
        <f t="shared" ref="M742" si="3313">SUM(M737:M741)</f>
        <v>0</v>
      </c>
      <c r="N742" s="465">
        <f t="shared" ref="N742" si="3314">SUM(N737:N741)</f>
        <v>6708</v>
      </c>
      <c r="O742" s="465">
        <f t="shared" ref="O742" si="3315">SUM(O737:O741)</f>
        <v>0</v>
      </c>
      <c r="P742" s="282">
        <f t="shared" ref="P742" si="3316">SUM(P737:P741)</f>
        <v>0</v>
      </c>
      <c r="Q742" s="965">
        <f t="shared" ref="Q742" si="3317">SUM(Q737:Q741)</f>
        <v>0</v>
      </c>
      <c r="R742" s="465">
        <f t="shared" ref="R742" si="3318">SUM(R737:R741)</f>
        <v>0</v>
      </c>
      <c r="S742" s="465">
        <f t="shared" ref="S742" si="3319">SUM(S737:S741)</f>
        <v>0</v>
      </c>
      <c r="T742" s="465">
        <f t="shared" ref="T742" si="3320">SUM(T737:T741)</f>
        <v>0</v>
      </c>
      <c r="U742" s="282">
        <f t="shared" ref="U742" si="3321">SUM(U737:U741)</f>
        <v>0</v>
      </c>
      <c r="V742" s="1172"/>
      <c r="W742" s="258">
        <f t="shared" ref="W742" si="3322">SUM(W737:W741)</f>
        <v>0</v>
      </c>
      <c r="X742" s="465">
        <f t="shared" ref="X742" si="3323">SUM(X737:X741)</f>
        <v>0</v>
      </c>
      <c r="Y742" s="465">
        <f t="shared" ref="Y742" si="3324">SUM(Y737:Y741)</f>
        <v>0</v>
      </c>
      <c r="Z742" s="465">
        <f t="shared" ref="Z742" si="3325">SUM(Z737:Z741)</f>
        <v>0</v>
      </c>
      <c r="AA742" s="282">
        <f t="shared" ref="AA742" si="3326">SUM(AA737:AA741)</f>
        <v>0</v>
      </c>
      <c r="AB742" s="992"/>
      <c r="AC742" s="258">
        <f t="shared" ref="AC742" si="3327">SUM(AC737:AC741)</f>
        <v>0</v>
      </c>
      <c r="AD742" s="465">
        <f t="shared" ref="AD742" si="3328">SUM(AD737:AD741)</f>
        <v>0</v>
      </c>
      <c r="AE742" s="465">
        <f t="shared" ref="AE742" si="3329">SUM(AE737:AE741)</f>
        <v>0</v>
      </c>
      <c r="AF742" s="465">
        <f t="shared" ref="AF742" si="3330">SUM(AF737:AF741)</f>
        <v>0</v>
      </c>
      <c r="AG742" s="465">
        <f t="shared" ref="AG742" si="3331">SUM(AG737:AG741)</f>
        <v>0</v>
      </c>
      <c r="AH742" s="1049"/>
      <c r="AI742" s="1172"/>
      <c r="AJ742" s="1155"/>
      <c r="AK742" s="1155"/>
      <c r="AL742" s="1086"/>
      <c r="AM742" s="1087"/>
      <c r="AN742" s="1087"/>
      <c r="AO742" s="1087"/>
      <c r="AP742" s="1088"/>
      <c r="AQ742" s="258"/>
      <c r="AR742" s="465"/>
      <c r="AS742" s="282"/>
      <c r="AT742" s="1155"/>
      <c r="AU742" s="1155"/>
      <c r="AV742" s="1155"/>
      <c r="AW742" s="1155"/>
      <c r="AX742" s="1155"/>
      <c r="AY742" s="1155"/>
      <c r="AZ742" s="1155"/>
      <c r="BA742" s="1155"/>
      <c r="BB742" s="1155"/>
      <c r="BC742" s="1155"/>
      <c r="BD742" s="1155"/>
      <c r="BE742" s="1155"/>
      <c r="BF742" s="1155"/>
      <c r="BG742" s="1155"/>
      <c r="BH742" s="1155"/>
      <c r="BI742" s="1155"/>
      <c r="BJ742" s="1155"/>
      <c r="BK742" s="1155"/>
      <c r="BL742" s="1155"/>
      <c r="BM742" s="1155"/>
      <c r="BN742" s="1155"/>
      <c r="BO742" s="1155"/>
      <c r="BP742" s="1155"/>
      <c r="BQ742" s="1155"/>
      <c r="BR742" s="1155"/>
      <c r="BS742" s="1155"/>
    </row>
    <row r="743" spans="5:71" s="474" customFormat="1">
      <c r="E743" s="4109"/>
      <c r="F743" s="1376" t="s">
        <v>593</v>
      </c>
      <c r="G743" s="1083"/>
      <c r="H743" s="1084"/>
      <c r="I743" s="1084"/>
      <c r="J743" s="1084"/>
      <c r="K743" s="1085"/>
      <c r="L743" s="255"/>
      <c r="M743" s="461"/>
      <c r="N743" s="461"/>
      <c r="O743" s="461"/>
      <c r="P743" s="281"/>
      <c r="Q743" s="956"/>
      <c r="R743" s="461"/>
      <c r="S743" s="461"/>
      <c r="T743" s="461"/>
      <c r="U743" s="281"/>
      <c r="V743" s="1172"/>
      <c r="W743" s="255"/>
      <c r="X743" s="461"/>
      <c r="Y743" s="461"/>
      <c r="Z743" s="461"/>
      <c r="AA743" s="281"/>
      <c r="AB743" s="1041"/>
      <c r="AC743" s="255"/>
      <c r="AD743" s="461"/>
      <c r="AE743" s="461"/>
      <c r="AF743" s="461"/>
      <c r="AG743" s="461"/>
      <c r="AH743" s="1047"/>
      <c r="AI743" s="1172"/>
      <c r="AJ743" s="1155"/>
      <c r="AK743" s="1155"/>
      <c r="AL743" s="1083"/>
      <c r="AM743" s="1084"/>
      <c r="AN743" s="1084"/>
      <c r="AO743" s="1084"/>
      <c r="AP743" s="1085"/>
      <c r="AQ743" s="259"/>
      <c r="AR743" s="466"/>
      <c r="AS743" s="283"/>
      <c r="AT743" s="1155"/>
      <c r="AU743" s="1155"/>
      <c r="AV743" s="1155"/>
      <c r="AW743" s="1155"/>
      <c r="AX743" s="1155"/>
      <c r="AY743" s="1155"/>
      <c r="AZ743" s="1155"/>
      <c r="BA743" s="1155"/>
      <c r="BB743" s="1155"/>
      <c r="BC743" s="1155"/>
      <c r="BD743" s="1155"/>
      <c r="BE743" s="1155"/>
      <c r="BF743" s="1155"/>
      <c r="BG743" s="1155"/>
      <c r="BH743" s="1155"/>
      <c r="BI743" s="1155"/>
      <c r="BJ743" s="1155"/>
      <c r="BK743" s="1155"/>
      <c r="BL743" s="1155"/>
      <c r="BM743" s="1155"/>
      <c r="BN743" s="1155"/>
      <c r="BO743" s="1155"/>
      <c r="BP743" s="1155"/>
      <c r="BQ743" s="1155"/>
      <c r="BR743" s="1155"/>
      <c r="BS743" s="1155"/>
    </row>
    <row r="744" spans="5:71" s="474" customFormat="1">
      <c r="E744" s="4109"/>
      <c r="F744" s="431" t="s">
        <v>558</v>
      </c>
      <c r="G744" s="1083"/>
      <c r="H744" s="1084"/>
      <c r="I744" s="1084"/>
      <c r="J744" s="1084"/>
      <c r="K744" s="1085"/>
      <c r="L744" s="255"/>
      <c r="M744" s="461"/>
      <c r="N744" s="461">
        <v>1194503.94</v>
      </c>
      <c r="O744" s="461"/>
      <c r="P744" s="281"/>
      <c r="Q744" s="956"/>
      <c r="R744" s="461"/>
      <c r="S744" s="461"/>
      <c r="T744" s="461"/>
      <c r="U744" s="281"/>
      <c r="V744" s="1172"/>
      <c r="W744" s="255"/>
      <c r="X744" s="461"/>
      <c r="Y744" s="461"/>
      <c r="Z744" s="461"/>
      <c r="AA744" s="281"/>
      <c r="AB744" s="1041"/>
      <c r="AC744" s="255"/>
      <c r="AD744" s="461"/>
      <c r="AE744" s="461"/>
      <c r="AF744" s="461"/>
      <c r="AG744" s="461"/>
      <c r="AH744" s="1047"/>
      <c r="AI744" s="1172"/>
      <c r="AJ744" s="1155"/>
      <c r="AK744" s="1155"/>
      <c r="AL744" s="1083"/>
      <c r="AM744" s="1084"/>
      <c r="AN744" s="1084"/>
      <c r="AO744" s="1084"/>
      <c r="AP744" s="1085"/>
      <c r="AQ744" s="259"/>
      <c r="AR744" s="466"/>
      <c r="AS744" s="283"/>
      <c r="AT744" s="1155"/>
      <c r="AU744" s="1155"/>
      <c r="AV744" s="1155"/>
      <c r="AW744" s="1155"/>
      <c r="AX744" s="1155"/>
      <c r="AY744" s="1155"/>
      <c r="AZ744" s="1155"/>
      <c r="BA744" s="1155"/>
      <c r="BB744" s="1155"/>
      <c r="BC744" s="1155"/>
      <c r="BD744" s="1155"/>
      <c r="BE744" s="1155"/>
      <c r="BF744" s="1155"/>
      <c r="BG744" s="1155"/>
      <c r="BH744" s="1155"/>
      <c r="BI744" s="1155"/>
      <c r="BJ744" s="1155"/>
      <c r="BK744" s="1155"/>
      <c r="BL744" s="1155"/>
      <c r="BM744" s="1155"/>
      <c r="BN744" s="1155"/>
      <c r="BO744" s="1155"/>
      <c r="BP744" s="1155"/>
      <c r="BQ744" s="1155"/>
      <c r="BR744" s="1155"/>
      <c r="BS744" s="1155"/>
    </row>
    <row r="745" spans="5:71" s="474" customFormat="1">
      <c r="E745" s="4109"/>
      <c r="F745" s="431" t="s">
        <v>559</v>
      </c>
      <c r="G745" s="1083"/>
      <c r="H745" s="1084"/>
      <c r="I745" s="1084"/>
      <c r="J745" s="1084"/>
      <c r="K745" s="1085"/>
      <c r="L745" s="255"/>
      <c r="M745" s="461"/>
      <c r="N745" s="461"/>
      <c r="O745" s="461"/>
      <c r="P745" s="281"/>
      <c r="Q745" s="956"/>
      <c r="R745" s="461"/>
      <c r="S745" s="461"/>
      <c r="T745" s="461"/>
      <c r="U745" s="281"/>
      <c r="V745" s="1172"/>
      <c r="W745" s="255"/>
      <c r="X745" s="461"/>
      <c r="Y745" s="461"/>
      <c r="Z745" s="461"/>
      <c r="AA745" s="281"/>
      <c r="AB745" s="1041"/>
      <c r="AC745" s="255"/>
      <c r="AD745" s="461"/>
      <c r="AE745" s="461"/>
      <c r="AF745" s="461"/>
      <c r="AG745" s="461"/>
      <c r="AH745" s="1047"/>
      <c r="AI745" s="1172"/>
      <c r="AJ745" s="1155"/>
      <c r="AK745" s="1155"/>
      <c r="AL745" s="1083"/>
      <c r="AM745" s="1084"/>
      <c r="AN745" s="1084"/>
      <c r="AO745" s="1084"/>
      <c r="AP745" s="1085"/>
      <c r="AQ745" s="259"/>
      <c r="AR745" s="466"/>
      <c r="AS745" s="283"/>
      <c r="AT745" s="1155"/>
      <c r="AU745" s="1155"/>
      <c r="AV745" s="1155"/>
      <c r="AW745" s="1155"/>
      <c r="AX745" s="1155"/>
      <c r="AY745" s="1155"/>
      <c r="AZ745" s="1155"/>
      <c r="BA745" s="1155"/>
      <c r="BB745" s="1155"/>
      <c r="BC745" s="1155"/>
      <c r="BD745" s="1155"/>
      <c r="BE745" s="1155"/>
      <c r="BF745" s="1155"/>
      <c r="BG745" s="1155"/>
      <c r="BH745" s="1155"/>
      <c r="BI745" s="1155"/>
      <c r="BJ745" s="1155"/>
      <c r="BK745" s="1155"/>
      <c r="BL745" s="1155"/>
      <c r="BM745" s="1155"/>
      <c r="BN745" s="1155"/>
      <c r="BO745" s="1155"/>
      <c r="BP745" s="1155"/>
      <c r="BQ745" s="1155"/>
      <c r="BR745" s="1155"/>
      <c r="BS745" s="1155"/>
    </row>
    <row r="746" spans="5:71" s="474" customFormat="1">
      <c r="E746" s="4109"/>
      <c r="F746" s="431" t="s">
        <v>578</v>
      </c>
      <c r="G746" s="1089"/>
      <c r="H746" s="1090"/>
      <c r="I746" s="1090"/>
      <c r="J746" s="1090"/>
      <c r="K746" s="1091"/>
      <c r="L746" s="259"/>
      <c r="M746" s="456"/>
      <c r="N746" s="456"/>
      <c r="O746" s="456"/>
      <c r="P746" s="457"/>
      <c r="Q746" s="224"/>
      <c r="R746" s="456"/>
      <c r="S746" s="456"/>
      <c r="T746" s="456"/>
      <c r="U746" s="457"/>
      <c r="V746" s="1172"/>
      <c r="W746" s="207"/>
      <c r="X746" s="456"/>
      <c r="Y746" s="456"/>
      <c r="Z746" s="456"/>
      <c r="AA746" s="457"/>
      <c r="AB746" s="1041"/>
      <c r="AC746" s="207"/>
      <c r="AD746" s="456"/>
      <c r="AE746" s="456"/>
      <c r="AF746" s="456"/>
      <c r="AG746" s="456"/>
      <c r="AH746" s="1048"/>
      <c r="AI746" s="1172"/>
      <c r="AJ746" s="1155"/>
      <c r="AK746" s="1155"/>
      <c r="AL746" s="1089"/>
      <c r="AM746" s="1090"/>
      <c r="AN746" s="1090"/>
      <c r="AO746" s="1090"/>
      <c r="AP746" s="1091"/>
      <c r="AQ746" s="259"/>
      <c r="AR746" s="456"/>
      <c r="AS746" s="457"/>
      <c r="AT746" s="1155"/>
      <c r="AU746" s="1155"/>
      <c r="AV746" s="1155"/>
      <c r="AW746" s="1155"/>
      <c r="AX746" s="1155"/>
      <c r="AY746" s="1155"/>
      <c r="AZ746" s="1155"/>
      <c r="BA746" s="1155"/>
      <c r="BB746" s="1155"/>
      <c r="BC746" s="1155"/>
      <c r="BD746" s="1155"/>
      <c r="BE746" s="1155"/>
      <c r="BF746" s="1155"/>
      <c r="BG746" s="1155"/>
      <c r="BH746" s="1155"/>
      <c r="BI746" s="1155"/>
      <c r="BJ746" s="1155"/>
      <c r="BK746" s="1155"/>
      <c r="BL746" s="1155"/>
      <c r="BM746" s="1155"/>
      <c r="BN746" s="1155"/>
      <c r="BO746" s="1155"/>
      <c r="BP746" s="1155"/>
      <c r="BQ746" s="1155"/>
      <c r="BR746" s="1155"/>
      <c r="BS746" s="1155"/>
    </row>
    <row r="747" spans="5:71" s="474" customFormat="1">
      <c r="E747" s="4109"/>
      <c r="F747" s="1377" t="s">
        <v>579</v>
      </c>
      <c r="G747" s="1086"/>
      <c r="H747" s="1087"/>
      <c r="I747" s="1087"/>
      <c r="J747" s="1087"/>
      <c r="K747" s="1088"/>
      <c r="L747" s="258">
        <f>SUM(L743:L746)</f>
        <v>0</v>
      </c>
      <c r="M747" s="465">
        <f t="shared" ref="M747" si="3332">SUM(M743:M746)</f>
        <v>0</v>
      </c>
      <c r="N747" s="465">
        <f t="shared" ref="N747" si="3333">SUM(N743:N746)</f>
        <v>1194503.94</v>
      </c>
      <c r="O747" s="465">
        <f t="shared" ref="O747" si="3334">SUM(O743:O746)</f>
        <v>0</v>
      </c>
      <c r="P747" s="282">
        <f t="shared" ref="P747" si="3335">SUM(P743:P746)</f>
        <v>0</v>
      </c>
      <c r="Q747" s="965">
        <f t="shared" ref="Q747" si="3336">SUM(Q743:Q746)</f>
        <v>0</v>
      </c>
      <c r="R747" s="465">
        <f t="shared" ref="R747" si="3337">SUM(R743:R746)</f>
        <v>0</v>
      </c>
      <c r="S747" s="465">
        <f t="shared" ref="S747" si="3338">SUM(S743:S746)</f>
        <v>0</v>
      </c>
      <c r="T747" s="465">
        <f t="shared" ref="T747" si="3339">SUM(T743:T746)</f>
        <v>0</v>
      </c>
      <c r="U747" s="282">
        <f t="shared" ref="U747" si="3340">SUM(U743:U746)</f>
        <v>0</v>
      </c>
      <c r="V747" s="1172"/>
      <c r="W747" s="258">
        <f t="shared" ref="W747" si="3341">SUM(W743:W746)</f>
        <v>0</v>
      </c>
      <c r="X747" s="465">
        <f t="shared" ref="X747" si="3342">SUM(X743:X746)</f>
        <v>0</v>
      </c>
      <c r="Y747" s="465">
        <f t="shared" ref="Y747" si="3343">SUM(Y743:Y746)</f>
        <v>0</v>
      </c>
      <c r="Z747" s="465">
        <f t="shared" ref="Z747" si="3344">SUM(Z743:Z746)</f>
        <v>0</v>
      </c>
      <c r="AA747" s="282">
        <f t="shared" ref="AA747" si="3345">SUM(AA743:AA746)</f>
        <v>0</v>
      </c>
      <c r="AB747" s="992"/>
      <c r="AC747" s="258">
        <f t="shared" ref="AC747" si="3346">SUM(AC743:AC746)</f>
        <v>0</v>
      </c>
      <c r="AD747" s="465">
        <f t="shared" ref="AD747" si="3347">SUM(AD743:AD746)</f>
        <v>0</v>
      </c>
      <c r="AE747" s="465">
        <f t="shared" ref="AE747" si="3348">SUM(AE743:AE746)</f>
        <v>0</v>
      </c>
      <c r="AF747" s="465">
        <f t="shared" ref="AF747" si="3349">SUM(AF743:AF746)</f>
        <v>0</v>
      </c>
      <c r="AG747" s="465">
        <f t="shared" ref="AG747" si="3350">SUM(AG743:AG746)</f>
        <v>0</v>
      </c>
      <c r="AH747" s="1049"/>
      <c r="AI747" s="1172"/>
      <c r="AJ747" s="1155"/>
      <c r="AK747" s="1155"/>
      <c r="AL747" s="1086"/>
      <c r="AM747" s="1087"/>
      <c r="AN747" s="1087"/>
      <c r="AO747" s="1087"/>
      <c r="AP747" s="1088"/>
      <c r="AQ747" s="258">
        <f>SUM(AQ744:AQ746)</f>
        <v>0</v>
      </c>
      <c r="AR747" s="465">
        <f t="shared" ref="AR747" si="3351">SUM(AR744:AR746)</f>
        <v>0</v>
      </c>
      <c r="AS747" s="282"/>
      <c r="AT747" s="1155"/>
      <c r="AU747" s="1155"/>
      <c r="AV747" s="1155"/>
      <c r="AW747" s="1155"/>
      <c r="AX747" s="1155"/>
      <c r="AY747" s="1155"/>
      <c r="AZ747" s="1155"/>
      <c r="BA747" s="1155"/>
      <c r="BB747" s="1155"/>
      <c r="BC747" s="1155"/>
      <c r="BD747" s="1155"/>
      <c r="BE747" s="1155"/>
      <c r="BF747" s="1155"/>
      <c r="BG747" s="1155"/>
      <c r="BH747" s="1155"/>
      <c r="BI747" s="1155"/>
      <c r="BJ747" s="1155"/>
      <c r="BK747" s="1155"/>
      <c r="BL747" s="1155"/>
      <c r="BM747" s="1155"/>
      <c r="BN747" s="1155"/>
      <c r="BO747" s="1155"/>
      <c r="BP747" s="1155"/>
      <c r="BQ747" s="1155"/>
      <c r="BR747" s="1155"/>
      <c r="BS747" s="1155"/>
    </row>
    <row r="748" spans="5:71" s="474" customFormat="1" ht="13.5" thickBot="1">
      <c r="E748" s="4109"/>
      <c r="F748" s="1385" t="s">
        <v>583</v>
      </c>
      <c r="G748" s="255"/>
      <c r="H748" s="461"/>
      <c r="I748" s="461"/>
      <c r="J748" s="461"/>
      <c r="K748" s="281"/>
      <c r="L748" s="207"/>
      <c r="M748" s="456"/>
      <c r="N748" s="456"/>
      <c r="O748" s="456"/>
      <c r="P748" s="457"/>
      <c r="Q748" s="224"/>
      <c r="R748" s="456"/>
      <c r="S748" s="456"/>
      <c r="T748" s="456"/>
      <c r="U748" s="457"/>
      <c r="V748" s="1172"/>
      <c r="W748" s="207"/>
      <c r="X748" s="461"/>
      <c r="Y748" s="461"/>
      <c r="Z748" s="461"/>
      <c r="AA748" s="281"/>
      <c r="AB748" s="1041"/>
      <c r="AC748" s="207"/>
      <c r="AD748" s="456"/>
      <c r="AE748" s="456"/>
      <c r="AF748" s="456"/>
      <c r="AG748" s="456"/>
      <c r="AH748" s="1048"/>
      <c r="AI748" s="1172"/>
      <c r="AJ748" s="1155"/>
      <c r="AK748" s="1155"/>
      <c r="AL748" s="259"/>
      <c r="AM748" s="466"/>
      <c r="AN748" s="466"/>
      <c r="AO748" s="466"/>
      <c r="AP748" s="283"/>
      <c r="AQ748" s="259"/>
      <c r="AR748" s="466"/>
      <c r="AS748" s="283"/>
      <c r="AT748" s="1155"/>
      <c r="AU748" s="1155"/>
      <c r="AV748" s="1155"/>
      <c r="AW748" s="1155"/>
      <c r="AX748" s="1155"/>
      <c r="AY748" s="1155"/>
      <c r="AZ748" s="1155"/>
      <c r="BA748" s="1155"/>
      <c r="BB748" s="1155"/>
      <c r="BC748" s="1155"/>
      <c r="BD748" s="1155"/>
      <c r="BE748" s="1155"/>
      <c r="BF748" s="1155"/>
      <c r="BG748" s="1155"/>
      <c r="BH748" s="1155"/>
      <c r="BI748" s="1155"/>
      <c r="BJ748" s="1155"/>
      <c r="BK748" s="1155"/>
      <c r="BL748" s="1155"/>
      <c r="BM748" s="1155"/>
      <c r="BN748" s="1155"/>
      <c r="BO748" s="1155"/>
      <c r="BP748" s="1155"/>
      <c r="BQ748" s="1155"/>
      <c r="BR748" s="1155"/>
      <c r="BS748" s="1155"/>
    </row>
    <row r="749" spans="5:71" s="474" customFormat="1" ht="13.5" thickBot="1">
      <c r="E749" s="4109"/>
      <c r="F749" s="1384" t="s">
        <v>581</v>
      </c>
      <c r="G749" s="1599"/>
      <c r="H749" s="1600"/>
      <c r="I749" s="1600"/>
      <c r="J749" s="1600"/>
      <c r="K749" s="1601"/>
      <c r="L749" s="1599"/>
      <c r="M749" s="1600"/>
      <c r="N749" s="1600"/>
      <c r="O749" s="1600"/>
      <c r="P749" s="1601"/>
      <c r="Q749" s="1602"/>
      <c r="R749" s="1600"/>
      <c r="S749" s="1600"/>
      <c r="T749" s="1600"/>
      <c r="U749" s="1601"/>
      <c r="V749" s="1172"/>
      <c r="W749" s="1614"/>
      <c r="X749" s="1615"/>
      <c r="Y749" s="1615"/>
      <c r="Z749" s="1615"/>
      <c r="AA749" s="1615"/>
      <c r="AB749" s="1615"/>
      <c r="AC749" s="1615"/>
      <c r="AD749" s="1615"/>
      <c r="AE749" s="1615"/>
      <c r="AF749" s="1615"/>
      <c r="AG749" s="1615"/>
      <c r="AH749" s="1616"/>
      <c r="AI749" s="1172"/>
      <c r="AJ749" s="1155"/>
      <c r="AK749" s="1155"/>
      <c r="AL749" s="259"/>
      <c r="AM749" s="466"/>
      <c r="AN749" s="466"/>
      <c r="AO749" s="466"/>
      <c r="AP749" s="283"/>
      <c r="AQ749" s="259"/>
      <c r="AR749" s="466"/>
      <c r="AS749" s="283"/>
      <c r="AT749" s="1155"/>
      <c r="AU749" s="1155"/>
      <c r="AV749" s="1155"/>
      <c r="AW749" s="1155"/>
      <c r="AX749" s="1155"/>
      <c r="AY749" s="1155"/>
      <c r="AZ749" s="1155"/>
      <c r="BA749" s="1155"/>
      <c r="BB749" s="1155"/>
      <c r="BC749" s="1155"/>
      <c r="BD749" s="1155"/>
      <c r="BE749" s="1155"/>
      <c r="BF749" s="1155"/>
      <c r="BG749" s="1155"/>
      <c r="BH749" s="1155"/>
      <c r="BI749" s="1155"/>
      <c r="BJ749" s="1155"/>
      <c r="BK749" s="1155"/>
      <c r="BL749" s="1155"/>
      <c r="BM749" s="1155"/>
      <c r="BN749" s="1155"/>
      <c r="BO749" s="1155"/>
      <c r="BP749" s="1155"/>
      <c r="BQ749" s="1155"/>
      <c r="BR749" s="1155"/>
      <c r="BS749" s="1155"/>
    </row>
    <row r="750" spans="5:71" s="474" customFormat="1">
      <c r="E750" s="4109"/>
      <c r="F750" s="1386" t="s">
        <v>584</v>
      </c>
      <c r="G750" s="1050">
        <v>0</v>
      </c>
      <c r="H750" s="1051">
        <v>0</v>
      </c>
      <c r="I750" s="1051">
        <v>0</v>
      </c>
      <c r="J750" s="1051">
        <v>0</v>
      </c>
      <c r="K750" s="1052">
        <v>0</v>
      </c>
      <c r="L750" s="1050">
        <f>SUM(L747:L749)</f>
        <v>0</v>
      </c>
      <c r="M750" s="1051">
        <f t="shared" ref="M750" si="3352">SUM(M747:M749)</f>
        <v>0</v>
      </c>
      <c r="N750" s="1051">
        <f t="shared" ref="N750" si="3353">SUM(N747:N749)</f>
        <v>1194503.94</v>
      </c>
      <c r="O750" s="1051">
        <f t="shared" ref="O750" si="3354">SUM(O747:O749)</f>
        <v>0</v>
      </c>
      <c r="P750" s="1052">
        <f t="shared" ref="P750" si="3355">SUM(P747:P749)</f>
        <v>0</v>
      </c>
      <c r="Q750" s="1092">
        <f t="shared" ref="Q750" si="3356">SUM(Q747:Q749)</f>
        <v>0</v>
      </c>
      <c r="R750" s="1051">
        <f t="shared" ref="R750" si="3357">SUM(R747:R749)</f>
        <v>0</v>
      </c>
      <c r="S750" s="1051">
        <f t="shared" ref="S750" si="3358">SUM(S747:S749)</f>
        <v>0</v>
      </c>
      <c r="T750" s="1051">
        <f t="shared" ref="T750" si="3359">SUM(T747:T749)</f>
        <v>0</v>
      </c>
      <c r="U750" s="1052">
        <f t="shared" ref="U750" si="3360">SUM(U747:U749)</f>
        <v>0</v>
      </c>
      <c r="V750" s="1172"/>
      <c r="W750" s="1050">
        <f t="shared" ref="W750" si="3361">SUM(W747:W749)</f>
        <v>0</v>
      </c>
      <c r="X750" s="1051">
        <f t="shared" ref="X750" si="3362">SUM(X747:X749)</f>
        <v>0</v>
      </c>
      <c r="Y750" s="1051">
        <f t="shared" ref="Y750" si="3363">SUM(Y747:Y749)</f>
        <v>0</v>
      </c>
      <c r="Z750" s="1051">
        <f t="shared" ref="Z750" si="3364">SUM(Z747:Z749)</f>
        <v>0</v>
      </c>
      <c r="AA750" s="1052">
        <f t="shared" ref="AA750" si="3365">SUM(AA747:AA749)</f>
        <v>0</v>
      </c>
      <c r="AB750" s="1053"/>
      <c r="AC750" s="1050">
        <f t="shared" ref="AC750" si="3366">SUM(AC747:AC749)</f>
        <v>0</v>
      </c>
      <c r="AD750" s="1051">
        <f t="shared" ref="AD750" si="3367">SUM(AD747:AD749)</f>
        <v>0</v>
      </c>
      <c r="AE750" s="1051">
        <f t="shared" ref="AE750" si="3368">SUM(AE747:AE749)</f>
        <v>0</v>
      </c>
      <c r="AF750" s="1051">
        <f t="shared" ref="AF750" si="3369">SUM(AF747:AF749)</f>
        <v>0</v>
      </c>
      <c r="AG750" s="1051">
        <f t="shared" ref="AG750" si="3370">SUM(AG747:AG749)</f>
        <v>0</v>
      </c>
      <c r="AH750" s="1054"/>
      <c r="AI750" s="1172"/>
      <c r="AJ750" s="130"/>
      <c r="AK750" s="130"/>
      <c r="AL750" s="1050">
        <f t="shared" ref="AL750:AR750" si="3371">SUM(AL748:AL749)</f>
        <v>0</v>
      </c>
      <c r="AM750" s="1051">
        <f t="shared" si="3371"/>
        <v>0</v>
      </c>
      <c r="AN750" s="1051">
        <f t="shared" si="3371"/>
        <v>0</v>
      </c>
      <c r="AO750" s="1051">
        <f t="shared" si="3371"/>
        <v>0</v>
      </c>
      <c r="AP750" s="1052">
        <f t="shared" si="3371"/>
        <v>0</v>
      </c>
      <c r="AQ750" s="1050">
        <f t="shared" si="3371"/>
        <v>0</v>
      </c>
      <c r="AR750" s="1051">
        <f t="shared" si="3371"/>
        <v>0</v>
      </c>
      <c r="AS750" s="1052"/>
      <c r="AT750" s="130"/>
      <c r="AU750" s="130"/>
      <c r="AV750" s="130"/>
      <c r="AW750" s="130"/>
      <c r="AX750" s="130"/>
      <c r="AY750" s="130"/>
      <c r="AZ750" s="130"/>
      <c r="BA750" s="130"/>
      <c r="BB750" s="130"/>
      <c r="BC750" s="130"/>
      <c r="BD750" s="130"/>
      <c r="BE750" s="130"/>
      <c r="BF750" s="130"/>
      <c r="BG750" s="130"/>
      <c r="BH750" s="130"/>
      <c r="BI750" s="130"/>
      <c r="BJ750" s="130"/>
      <c r="BK750" s="130"/>
      <c r="BL750" s="130"/>
      <c r="BM750" s="130"/>
      <c r="BN750" s="130"/>
      <c r="BO750" s="130"/>
      <c r="BP750" s="130"/>
      <c r="BQ750" s="130"/>
      <c r="BR750" s="130"/>
      <c r="BS750" s="1155"/>
    </row>
    <row r="751" spans="5:71" s="474" customFormat="1">
      <c r="E751" s="4109"/>
      <c r="F751" s="1388" t="s">
        <v>35</v>
      </c>
      <c r="G751" s="255"/>
      <c r="H751" s="461"/>
      <c r="I751" s="461"/>
      <c r="J751" s="461"/>
      <c r="K751" s="281"/>
      <c r="L751" s="255"/>
      <c r="M751" s="461"/>
      <c r="N751" s="461"/>
      <c r="O751" s="461"/>
      <c r="P751" s="281"/>
      <c r="Q751" s="956"/>
      <c r="R751" s="461"/>
      <c r="S751" s="461"/>
      <c r="T751" s="461"/>
      <c r="U751" s="281"/>
      <c r="V751" s="1172"/>
      <c r="W751" s="255"/>
      <c r="X751" s="461"/>
      <c r="Y751" s="461"/>
      <c r="Z751" s="461"/>
      <c r="AA751" s="281"/>
      <c r="AB751" s="1004"/>
      <c r="AC751" s="255"/>
      <c r="AD751" s="461"/>
      <c r="AE751" s="461"/>
      <c r="AF751" s="461"/>
      <c r="AG751" s="461"/>
      <c r="AH751" s="1047"/>
      <c r="AI751" s="1172"/>
      <c r="AJ751" s="1155"/>
      <c r="AK751" s="1155"/>
      <c r="AL751" s="259"/>
      <c r="AM751" s="466"/>
      <c r="AN751" s="466"/>
      <c r="AO751" s="466"/>
      <c r="AP751" s="283"/>
      <c r="AQ751" s="259"/>
      <c r="AR751" s="466"/>
      <c r="AS751" s="283"/>
      <c r="AT751" s="1155"/>
      <c r="AU751" s="1155"/>
      <c r="AV751" s="1155"/>
      <c r="AW751" s="1155"/>
      <c r="AX751" s="1155"/>
      <c r="AY751" s="1155"/>
      <c r="AZ751" s="1155"/>
      <c r="BA751" s="1155"/>
      <c r="BB751" s="1155"/>
      <c r="BC751" s="1155"/>
      <c r="BD751" s="1155"/>
      <c r="BE751" s="1155"/>
      <c r="BF751" s="1155"/>
      <c r="BG751" s="1155"/>
      <c r="BH751" s="1155"/>
      <c r="BI751" s="1155"/>
      <c r="BJ751" s="1155"/>
      <c r="BK751" s="1155"/>
      <c r="BL751" s="1155"/>
      <c r="BM751" s="1155"/>
      <c r="BN751" s="1155"/>
      <c r="BO751" s="1155"/>
      <c r="BP751" s="1155"/>
      <c r="BQ751" s="1155"/>
      <c r="BR751" s="1155"/>
      <c r="BS751" s="1155"/>
    </row>
    <row r="752" spans="5:71" s="474" customFormat="1" ht="13.5" thickBot="1">
      <c r="E752" s="4109"/>
      <c r="F752" s="1387" t="s">
        <v>585</v>
      </c>
      <c r="G752" s="1055">
        <v>0</v>
      </c>
      <c r="H752" s="1056">
        <v>0</v>
      </c>
      <c r="I752" s="1056">
        <v>0</v>
      </c>
      <c r="J752" s="1056">
        <v>0</v>
      </c>
      <c r="K752" s="1057">
        <v>0</v>
      </c>
      <c r="L752" s="1567">
        <f>L750-L751</f>
        <v>0</v>
      </c>
      <c r="M752" s="1056">
        <f t="shared" ref="M752" si="3372">M750-M751</f>
        <v>0</v>
      </c>
      <c r="N752" s="1056">
        <f t="shared" ref="N752" si="3373">N750-N751</f>
        <v>1194503.94</v>
      </c>
      <c r="O752" s="1056">
        <f t="shared" ref="O752" si="3374">O750-O751</f>
        <v>0</v>
      </c>
      <c r="P752" s="1057">
        <f t="shared" ref="P752" si="3375">P750-P751</f>
        <v>0</v>
      </c>
      <c r="Q752" s="1093">
        <f t="shared" ref="Q752" si="3376">Q750-Q751</f>
        <v>0</v>
      </c>
      <c r="R752" s="1056">
        <f t="shared" ref="R752" si="3377">R750-R751</f>
        <v>0</v>
      </c>
      <c r="S752" s="1056">
        <f t="shared" ref="S752" si="3378">S750-S751</f>
        <v>0</v>
      </c>
      <c r="T752" s="1056">
        <f t="shared" ref="T752" si="3379">T750-T751</f>
        <v>0</v>
      </c>
      <c r="U752" s="1057">
        <f t="shared" ref="U752" si="3380">U750-U751</f>
        <v>0</v>
      </c>
      <c r="V752" s="1172"/>
      <c r="W752" s="1055">
        <f t="shared" ref="W752" si="3381">W750-W751</f>
        <v>0</v>
      </c>
      <c r="X752" s="1056">
        <f t="shared" ref="X752" si="3382">X750-X751</f>
        <v>0</v>
      </c>
      <c r="Y752" s="1056">
        <f t="shared" ref="Y752" si="3383">Y750-Y751</f>
        <v>0</v>
      </c>
      <c r="Z752" s="1056">
        <f t="shared" ref="Z752" si="3384">Z750-Z751</f>
        <v>0</v>
      </c>
      <c r="AA752" s="1057">
        <f t="shared" ref="AA752" si="3385">AA750-AA751</f>
        <v>0</v>
      </c>
      <c r="AB752" s="1075"/>
      <c r="AC752" s="1055">
        <f t="shared" ref="AC752" si="3386">AC750-AC751</f>
        <v>0</v>
      </c>
      <c r="AD752" s="1056">
        <f t="shared" ref="AD752" si="3387">AD750-AD751</f>
        <v>0</v>
      </c>
      <c r="AE752" s="1056">
        <f t="shared" ref="AE752" si="3388">AE750-AE751</f>
        <v>0</v>
      </c>
      <c r="AF752" s="1056">
        <f t="shared" ref="AF752" si="3389">AF750-AF751</f>
        <v>0</v>
      </c>
      <c r="AG752" s="1056">
        <f t="shared" ref="AG752" si="3390">AG750-AG751</f>
        <v>0</v>
      </c>
      <c r="AH752" s="1059"/>
      <c r="AI752" s="1172"/>
      <c r="AJ752" s="1155"/>
      <c r="AK752" s="1155"/>
      <c r="AL752" s="1567">
        <f>AL750-AL751</f>
        <v>0</v>
      </c>
      <c r="AM752" s="1056">
        <f t="shared" ref="AM752:AR752" si="3391">AM750-AM751</f>
        <v>0</v>
      </c>
      <c r="AN752" s="1056">
        <f t="shared" si="3391"/>
        <v>0</v>
      </c>
      <c r="AO752" s="1056">
        <f t="shared" si="3391"/>
        <v>0</v>
      </c>
      <c r="AP752" s="1057">
        <f t="shared" si="3391"/>
        <v>0</v>
      </c>
      <c r="AQ752" s="1567">
        <f t="shared" si="3391"/>
        <v>0</v>
      </c>
      <c r="AR752" s="1056">
        <f t="shared" si="3391"/>
        <v>0</v>
      </c>
      <c r="AS752" s="1057"/>
      <c r="AT752" s="1155"/>
      <c r="AU752" s="1155"/>
      <c r="AV752" s="1155"/>
      <c r="AW752" s="1155"/>
      <c r="AX752" s="1155"/>
      <c r="AY752" s="1155"/>
      <c r="AZ752" s="1155"/>
      <c r="BA752" s="1155"/>
      <c r="BB752" s="1155"/>
      <c r="BC752" s="1155"/>
      <c r="BD752" s="1155"/>
      <c r="BE752" s="1155"/>
      <c r="BF752" s="1155"/>
      <c r="BG752" s="1155"/>
      <c r="BH752" s="1155"/>
      <c r="BI752" s="1155"/>
      <c r="BJ752" s="1155"/>
      <c r="BK752" s="1155"/>
      <c r="BL752" s="1155"/>
      <c r="BM752" s="1155"/>
      <c r="BN752" s="1155"/>
      <c r="BO752" s="1155"/>
      <c r="BP752" s="1155"/>
      <c r="BQ752" s="1155"/>
      <c r="BR752" s="1155"/>
      <c r="BS752" s="1155"/>
    </row>
    <row r="753" spans="5:71" s="474" customFormat="1" ht="12.75" customHeight="1">
      <c r="E753" s="4110" t="s">
        <v>1520</v>
      </c>
      <c r="F753" s="433" t="s">
        <v>111</v>
      </c>
      <c r="G753" s="1086"/>
      <c r="H753" s="1087"/>
      <c r="I753" s="1087"/>
      <c r="J753" s="1087"/>
      <c r="K753" s="1088"/>
      <c r="L753" s="258"/>
      <c r="M753" s="465"/>
      <c r="N753" s="465"/>
      <c r="O753" s="465"/>
      <c r="P753" s="282"/>
      <c r="Q753" s="965"/>
      <c r="R753" s="465"/>
      <c r="S753" s="465"/>
      <c r="T753" s="465"/>
      <c r="U753" s="282"/>
      <c r="V753" s="1172"/>
      <c r="W753" s="1043"/>
      <c r="X753" s="421"/>
      <c r="Y753" s="421"/>
      <c r="Z753" s="421"/>
      <c r="AA753" s="1044"/>
      <c r="AB753" s="1045"/>
      <c r="AC753" s="1043"/>
      <c r="AD753" s="421"/>
      <c r="AE753" s="421"/>
      <c r="AF753" s="421"/>
      <c r="AG753" s="421"/>
      <c r="AH753" s="1046"/>
      <c r="AI753" s="1172"/>
      <c r="AJ753" s="1155"/>
      <c r="AK753" s="1155"/>
      <c r="AL753" s="1086"/>
      <c r="AM753" s="1087"/>
      <c r="AN753" s="1087"/>
      <c r="AO753" s="1087"/>
      <c r="AP753" s="1088"/>
      <c r="AQ753" s="258"/>
      <c r="AR753" s="465"/>
      <c r="AS753" s="282"/>
      <c r="AT753" s="1155"/>
      <c r="AU753" s="1155"/>
      <c r="AV753" s="1155"/>
      <c r="AW753" s="1155"/>
      <c r="AX753" s="1155"/>
      <c r="AY753" s="1155"/>
      <c r="AZ753" s="1155"/>
      <c r="BA753" s="1155"/>
      <c r="BB753" s="1155"/>
      <c r="BC753" s="1155"/>
      <c r="BD753" s="1155"/>
      <c r="BE753" s="1155"/>
      <c r="BF753" s="1155"/>
      <c r="BG753" s="1155"/>
      <c r="BH753" s="1155"/>
      <c r="BI753" s="1155"/>
      <c r="BJ753" s="1155"/>
      <c r="BK753" s="1155"/>
      <c r="BL753" s="1155"/>
      <c r="BM753" s="1155"/>
      <c r="BN753" s="1155"/>
      <c r="BO753" s="1155"/>
      <c r="BP753" s="1155"/>
      <c r="BQ753" s="1155"/>
      <c r="BR753" s="1155"/>
      <c r="BS753" s="1155"/>
    </row>
    <row r="754" spans="5:71" s="474" customFormat="1" ht="12.75" customHeight="1">
      <c r="E754" s="4109"/>
      <c r="F754" s="1374" t="s">
        <v>588</v>
      </c>
      <c r="G754" s="1083"/>
      <c r="H754" s="1084"/>
      <c r="I754" s="1084"/>
      <c r="J754" s="1084"/>
      <c r="K754" s="1085"/>
      <c r="L754" s="255"/>
      <c r="M754" s="461"/>
      <c r="N754" s="461"/>
      <c r="O754" s="461"/>
      <c r="P754" s="281"/>
      <c r="Q754" s="956"/>
      <c r="R754" s="461"/>
      <c r="S754" s="461"/>
      <c r="T754" s="461"/>
      <c r="U754" s="281"/>
      <c r="V754" s="1172"/>
      <c r="W754" s="255"/>
      <c r="X754" s="461"/>
      <c r="Y754" s="461"/>
      <c r="Z754" s="461"/>
      <c r="AA754" s="281"/>
      <c r="AB754" s="1041"/>
      <c r="AC754" s="255"/>
      <c r="AD754" s="461"/>
      <c r="AE754" s="461"/>
      <c r="AF754" s="461"/>
      <c r="AG754" s="461"/>
      <c r="AH754" s="1047"/>
      <c r="AI754" s="1172"/>
      <c r="AJ754" s="1155"/>
      <c r="AK754" s="1155"/>
      <c r="AL754" s="1083"/>
      <c r="AM754" s="1084"/>
      <c r="AN754" s="1084"/>
      <c r="AO754" s="1084"/>
      <c r="AP754" s="1085"/>
      <c r="AQ754" s="259"/>
      <c r="AR754" s="466"/>
      <c r="AS754" s="283"/>
      <c r="AT754" s="1155"/>
      <c r="AU754" s="1155"/>
      <c r="AV754" s="1155"/>
      <c r="AW754" s="1155"/>
      <c r="AX754" s="1155"/>
      <c r="AY754" s="1155"/>
      <c r="AZ754" s="1155"/>
      <c r="BA754" s="1155"/>
      <c r="BB754" s="1155"/>
      <c r="BC754" s="1155"/>
      <c r="BD754" s="1155"/>
      <c r="BE754" s="1155"/>
      <c r="BF754" s="1155"/>
      <c r="BG754" s="1155"/>
      <c r="BH754" s="1155"/>
      <c r="BI754" s="1155"/>
      <c r="BJ754" s="1155"/>
      <c r="BK754" s="1155"/>
      <c r="BL754" s="1155"/>
      <c r="BM754" s="1155"/>
      <c r="BN754" s="1155"/>
      <c r="BO754" s="1155"/>
      <c r="BP754" s="1155"/>
      <c r="BQ754" s="1155"/>
      <c r="BR754" s="1155"/>
      <c r="BS754" s="1155"/>
    </row>
    <row r="755" spans="5:71" s="474" customFormat="1" ht="12.75" customHeight="1">
      <c r="E755" s="4109"/>
      <c r="F755" s="1374" t="s">
        <v>589</v>
      </c>
      <c r="G755" s="1083"/>
      <c r="H755" s="1084"/>
      <c r="I755" s="1084"/>
      <c r="J755" s="1084"/>
      <c r="K755" s="1085"/>
      <c r="L755" s="255"/>
      <c r="M755" s="461"/>
      <c r="N755" s="461"/>
      <c r="O755" s="461"/>
      <c r="P755" s="281"/>
      <c r="Q755" s="956"/>
      <c r="R755" s="461"/>
      <c r="S755" s="461"/>
      <c r="T755" s="461"/>
      <c r="U755" s="281"/>
      <c r="V755" s="1172"/>
      <c r="W755" s="255"/>
      <c r="X755" s="461"/>
      <c r="Y755" s="461"/>
      <c r="Z755" s="461"/>
      <c r="AA755" s="281"/>
      <c r="AB755" s="1041"/>
      <c r="AC755" s="255"/>
      <c r="AD755" s="461"/>
      <c r="AE755" s="461"/>
      <c r="AF755" s="461"/>
      <c r="AG755" s="461"/>
      <c r="AH755" s="1047"/>
      <c r="AI755" s="1172"/>
      <c r="AJ755" s="1155"/>
      <c r="AK755" s="1155"/>
      <c r="AL755" s="1083"/>
      <c r="AM755" s="1084"/>
      <c r="AN755" s="1084"/>
      <c r="AO755" s="1084"/>
      <c r="AP755" s="1085"/>
      <c r="AQ755" s="259"/>
      <c r="AR755" s="466"/>
      <c r="AS755" s="283"/>
      <c r="AT755" s="1155"/>
      <c r="AU755" s="1155"/>
      <c r="AV755" s="1155"/>
      <c r="AW755" s="1155"/>
      <c r="AX755" s="1155"/>
      <c r="AY755" s="1155"/>
      <c r="AZ755" s="1155"/>
      <c r="BA755" s="1155"/>
      <c r="BB755" s="1155"/>
      <c r="BC755" s="1155"/>
      <c r="BD755" s="1155"/>
      <c r="BE755" s="1155"/>
      <c r="BF755" s="1155"/>
      <c r="BG755" s="1155"/>
      <c r="BH755" s="1155"/>
      <c r="BI755" s="1155"/>
      <c r="BJ755" s="1155"/>
      <c r="BK755" s="1155"/>
      <c r="BL755" s="1155"/>
      <c r="BM755" s="1155"/>
      <c r="BN755" s="1155"/>
      <c r="BO755" s="1155"/>
      <c r="BP755" s="1155"/>
      <c r="BQ755" s="1155"/>
      <c r="BR755" s="1155"/>
      <c r="BS755" s="1155"/>
    </row>
    <row r="756" spans="5:71" s="474" customFormat="1" ht="12.75" customHeight="1">
      <c r="E756" s="4109"/>
      <c r="F756" s="1374" t="s">
        <v>590</v>
      </c>
      <c r="G756" s="1083"/>
      <c r="H756" s="1084"/>
      <c r="I756" s="1084"/>
      <c r="J756" s="1084"/>
      <c r="K756" s="1085"/>
      <c r="L756" s="255"/>
      <c r="M756" s="461"/>
      <c r="N756" s="461"/>
      <c r="O756" s="461"/>
      <c r="P756" s="281"/>
      <c r="Q756" s="956"/>
      <c r="R756" s="461"/>
      <c r="S756" s="461"/>
      <c r="T756" s="461"/>
      <c r="U756" s="281"/>
      <c r="V756" s="1172"/>
      <c r="W756" s="255"/>
      <c r="X756" s="461"/>
      <c r="Y756" s="461"/>
      <c r="Z756" s="461"/>
      <c r="AA756" s="281"/>
      <c r="AB756" s="1041"/>
      <c r="AC756" s="255"/>
      <c r="AD756" s="461"/>
      <c r="AE756" s="461"/>
      <c r="AF756" s="461"/>
      <c r="AG756" s="461"/>
      <c r="AH756" s="1047"/>
      <c r="AI756" s="1172"/>
      <c r="AJ756" s="1155"/>
      <c r="AK756" s="1155"/>
      <c r="AL756" s="1083"/>
      <c r="AM756" s="1084"/>
      <c r="AN756" s="1084"/>
      <c r="AO756" s="1084"/>
      <c r="AP756" s="1085"/>
      <c r="AQ756" s="259"/>
      <c r="AR756" s="466"/>
      <c r="AS756" s="283"/>
      <c r="AT756" s="1155"/>
      <c r="AU756" s="1155"/>
      <c r="AV756" s="1155"/>
      <c r="AW756" s="1155"/>
      <c r="AX756" s="1155"/>
      <c r="AY756" s="1155"/>
      <c r="AZ756" s="1155"/>
      <c r="BA756" s="1155"/>
      <c r="BB756" s="1155"/>
      <c r="BC756" s="1155"/>
      <c r="BD756" s="1155"/>
      <c r="BE756" s="1155"/>
      <c r="BF756" s="1155"/>
      <c r="BG756" s="1155"/>
      <c r="BH756" s="1155"/>
      <c r="BI756" s="1155"/>
      <c r="BJ756" s="1155"/>
      <c r="BK756" s="1155"/>
      <c r="BL756" s="1155"/>
      <c r="BM756" s="1155"/>
      <c r="BN756" s="1155"/>
      <c r="BO756" s="1155"/>
      <c r="BP756" s="1155"/>
      <c r="BQ756" s="1155"/>
      <c r="BR756" s="1155"/>
      <c r="BS756" s="1155"/>
    </row>
    <row r="757" spans="5:71" s="474" customFormat="1" ht="12.75" customHeight="1">
      <c r="E757" s="4109"/>
      <c r="F757" s="1374" t="s">
        <v>591</v>
      </c>
      <c r="G757" s="1083"/>
      <c r="H757" s="1084"/>
      <c r="I757" s="1084"/>
      <c r="J757" s="1084"/>
      <c r="K757" s="1085"/>
      <c r="L757" s="255"/>
      <c r="M757" s="461"/>
      <c r="N757" s="461"/>
      <c r="O757" s="461"/>
      <c r="P757" s="281"/>
      <c r="Q757" s="956"/>
      <c r="R757" s="461"/>
      <c r="S757" s="461"/>
      <c r="T757" s="461"/>
      <c r="U757" s="281"/>
      <c r="V757" s="1172"/>
      <c r="W757" s="255"/>
      <c r="X757" s="461"/>
      <c r="Y757" s="461"/>
      <c r="Z757" s="461"/>
      <c r="AA757" s="281"/>
      <c r="AB757" s="1041"/>
      <c r="AC757" s="255"/>
      <c r="AD757" s="461"/>
      <c r="AE757" s="461"/>
      <c r="AF757" s="461"/>
      <c r="AG757" s="461"/>
      <c r="AH757" s="1047"/>
      <c r="AI757" s="1172"/>
      <c r="AJ757" s="1155"/>
      <c r="AK757" s="1155"/>
      <c r="AL757" s="1083"/>
      <c r="AM757" s="1084"/>
      <c r="AN757" s="1084"/>
      <c r="AO757" s="1084"/>
      <c r="AP757" s="1085"/>
      <c r="AQ757" s="259"/>
      <c r="AR757" s="466"/>
      <c r="AS757" s="283"/>
      <c r="AT757" s="1155"/>
      <c r="AU757" s="1155"/>
      <c r="AV757" s="1155"/>
      <c r="AW757" s="1155"/>
      <c r="AX757" s="1155"/>
      <c r="AY757" s="1155"/>
      <c r="AZ757" s="1155"/>
      <c r="BA757" s="1155"/>
      <c r="BB757" s="1155"/>
      <c r="BC757" s="1155"/>
      <c r="BD757" s="1155"/>
      <c r="BE757" s="1155"/>
      <c r="BF757" s="1155"/>
      <c r="BG757" s="1155"/>
      <c r="BH757" s="1155"/>
      <c r="BI757" s="1155"/>
      <c r="BJ757" s="1155"/>
      <c r="BK757" s="1155"/>
      <c r="BL757" s="1155"/>
      <c r="BM757" s="1155"/>
      <c r="BN757" s="1155"/>
      <c r="BO757" s="1155"/>
      <c r="BP757" s="1155"/>
      <c r="BQ757" s="1155"/>
      <c r="BR757" s="1155"/>
      <c r="BS757" s="1155"/>
    </row>
    <row r="758" spans="5:71" s="474" customFormat="1" ht="12.75" customHeight="1">
      <c r="E758" s="4109"/>
      <c r="F758" s="1374" t="s">
        <v>592</v>
      </c>
      <c r="G758" s="1083"/>
      <c r="H758" s="1084"/>
      <c r="I758" s="1084"/>
      <c r="J758" s="1084"/>
      <c r="K758" s="1085"/>
      <c r="L758" s="207"/>
      <c r="M758" s="456"/>
      <c r="N758" s="456">
        <v>468</v>
      </c>
      <c r="O758" s="456"/>
      <c r="P758" s="457"/>
      <c r="Q758" s="224"/>
      <c r="R758" s="456"/>
      <c r="S758" s="456"/>
      <c r="T758" s="456"/>
      <c r="U758" s="457"/>
      <c r="V758" s="1172"/>
      <c r="W758" s="207">
        <v>0</v>
      </c>
      <c r="X758" s="456">
        <v>0</v>
      </c>
      <c r="Y758" s="456">
        <v>0</v>
      </c>
      <c r="Z758" s="456">
        <v>0</v>
      </c>
      <c r="AA758" s="457">
        <v>0</v>
      </c>
      <c r="AB758" s="1041"/>
      <c r="AC758" s="207">
        <v>0</v>
      </c>
      <c r="AD758" s="456">
        <v>0</v>
      </c>
      <c r="AE758" s="456">
        <v>0</v>
      </c>
      <c r="AF758" s="456">
        <v>0</v>
      </c>
      <c r="AG758" s="456">
        <v>0</v>
      </c>
      <c r="AH758" s="1048"/>
      <c r="AI758" s="1172"/>
      <c r="AJ758" s="1155"/>
      <c r="AK758" s="1155"/>
      <c r="AL758" s="1083"/>
      <c r="AM758" s="1084"/>
      <c r="AN758" s="1084"/>
      <c r="AO758" s="1084"/>
      <c r="AP758" s="1085"/>
      <c r="AQ758" s="207">
        <f>SUM(AQ753:AQ757)</f>
        <v>0</v>
      </c>
      <c r="AR758" s="456">
        <f t="shared" ref="AR758" si="3392">SUM(AR753:AR757)</f>
        <v>0</v>
      </c>
      <c r="AS758" s="457"/>
      <c r="AT758" s="1155"/>
      <c r="AU758" s="1155"/>
      <c r="AV758" s="1155"/>
      <c r="AW758" s="1155"/>
      <c r="AX758" s="1155"/>
      <c r="AY758" s="1155"/>
      <c r="AZ758" s="1155"/>
      <c r="BA758" s="1155"/>
      <c r="BB758" s="1155"/>
      <c r="BC758" s="1155"/>
      <c r="BD758" s="1155"/>
      <c r="BE758" s="1155"/>
      <c r="BF758" s="1155"/>
      <c r="BG758" s="1155"/>
      <c r="BH758" s="1155"/>
      <c r="BI758" s="1155"/>
      <c r="BJ758" s="1155"/>
      <c r="BK758" s="1155"/>
      <c r="BL758" s="1155"/>
      <c r="BM758" s="1155"/>
      <c r="BN758" s="1155"/>
      <c r="BO758" s="1155"/>
      <c r="BP758" s="1155"/>
      <c r="BQ758" s="1155"/>
      <c r="BR758" s="1155"/>
      <c r="BS758" s="1155"/>
    </row>
    <row r="759" spans="5:71" s="474" customFormat="1">
      <c r="E759" s="4109"/>
      <c r="F759" s="1375" t="s">
        <v>587</v>
      </c>
      <c r="G759" s="1086"/>
      <c r="H759" s="1087"/>
      <c r="I759" s="1087"/>
      <c r="J759" s="1087"/>
      <c r="K759" s="1088"/>
      <c r="L759" s="258">
        <f>SUM(L754:L758)</f>
        <v>0</v>
      </c>
      <c r="M759" s="465">
        <f t="shared" ref="M759" si="3393">SUM(M754:M758)</f>
        <v>0</v>
      </c>
      <c r="N759" s="465">
        <f t="shared" ref="N759" si="3394">SUM(N754:N758)</f>
        <v>468</v>
      </c>
      <c r="O759" s="465">
        <f t="shared" ref="O759" si="3395">SUM(O754:O758)</f>
        <v>0</v>
      </c>
      <c r="P759" s="282">
        <f t="shared" ref="P759" si="3396">SUM(P754:P758)</f>
        <v>0</v>
      </c>
      <c r="Q759" s="965">
        <f t="shared" ref="Q759" si="3397">SUM(Q754:Q758)</f>
        <v>0</v>
      </c>
      <c r="R759" s="465">
        <f t="shared" ref="R759" si="3398">SUM(R754:R758)</f>
        <v>0</v>
      </c>
      <c r="S759" s="465">
        <f t="shared" ref="S759" si="3399">SUM(S754:S758)</f>
        <v>0</v>
      </c>
      <c r="T759" s="465">
        <f t="shared" ref="T759" si="3400">SUM(T754:T758)</f>
        <v>0</v>
      </c>
      <c r="U759" s="282">
        <f t="shared" ref="U759" si="3401">SUM(U754:U758)</f>
        <v>0</v>
      </c>
      <c r="V759" s="1172"/>
      <c r="W759" s="258">
        <f t="shared" ref="W759" si="3402">SUM(W754:W758)</f>
        <v>0</v>
      </c>
      <c r="X759" s="465">
        <f t="shared" ref="X759" si="3403">SUM(X754:X758)</f>
        <v>0</v>
      </c>
      <c r="Y759" s="465">
        <f t="shared" ref="Y759" si="3404">SUM(Y754:Y758)</f>
        <v>0</v>
      </c>
      <c r="Z759" s="465">
        <f t="shared" ref="Z759" si="3405">SUM(Z754:Z758)</f>
        <v>0</v>
      </c>
      <c r="AA759" s="282">
        <f t="shared" ref="AA759" si="3406">SUM(AA754:AA758)</f>
        <v>0</v>
      </c>
      <c r="AB759" s="992"/>
      <c r="AC759" s="258">
        <f t="shared" ref="AC759" si="3407">SUM(AC754:AC758)</f>
        <v>0</v>
      </c>
      <c r="AD759" s="465">
        <f t="shared" ref="AD759" si="3408">SUM(AD754:AD758)</f>
        <v>0</v>
      </c>
      <c r="AE759" s="465">
        <f t="shared" ref="AE759" si="3409">SUM(AE754:AE758)</f>
        <v>0</v>
      </c>
      <c r="AF759" s="465">
        <f t="shared" ref="AF759" si="3410">SUM(AF754:AF758)</f>
        <v>0</v>
      </c>
      <c r="AG759" s="465">
        <f t="shared" ref="AG759" si="3411">SUM(AG754:AG758)</f>
        <v>0</v>
      </c>
      <c r="AH759" s="1049"/>
      <c r="AI759" s="1172"/>
      <c r="AJ759" s="1155"/>
      <c r="AK759" s="1155"/>
      <c r="AL759" s="1086"/>
      <c r="AM759" s="1087"/>
      <c r="AN759" s="1087"/>
      <c r="AO759" s="1087"/>
      <c r="AP759" s="1088"/>
      <c r="AQ759" s="258"/>
      <c r="AR759" s="465"/>
      <c r="AS759" s="282"/>
      <c r="AT759" s="1155"/>
      <c r="AU759" s="1155"/>
      <c r="AV759" s="1155"/>
      <c r="AW759" s="1155"/>
      <c r="AX759" s="1155"/>
      <c r="AY759" s="1155"/>
      <c r="AZ759" s="1155"/>
      <c r="BA759" s="1155"/>
      <c r="BB759" s="1155"/>
      <c r="BC759" s="1155"/>
      <c r="BD759" s="1155"/>
      <c r="BE759" s="1155"/>
      <c r="BF759" s="1155"/>
      <c r="BG759" s="1155"/>
      <c r="BH759" s="1155"/>
      <c r="BI759" s="1155"/>
      <c r="BJ759" s="1155"/>
      <c r="BK759" s="1155"/>
      <c r="BL759" s="1155"/>
      <c r="BM759" s="1155"/>
      <c r="BN759" s="1155"/>
      <c r="BO759" s="1155"/>
      <c r="BP759" s="1155"/>
      <c r="BQ759" s="1155"/>
      <c r="BR759" s="1155"/>
      <c r="BS759" s="1155"/>
    </row>
    <row r="760" spans="5:71" s="474" customFormat="1">
      <c r="E760" s="4109"/>
      <c r="F760" s="1376" t="s">
        <v>593</v>
      </c>
      <c r="G760" s="1083"/>
      <c r="H760" s="1084"/>
      <c r="I760" s="1084"/>
      <c r="J760" s="1084"/>
      <c r="K760" s="1085"/>
      <c r="L760" s="255"/>
      <c r="M760" s="461"/>
      <c r="N760" s="461"/>
      <c r="O760" s="461"/>
      <c r="P760" s="281"/>
      <c r="Q760" s="956"/>
      <c r="R760" s="461"/>
      <c r="S760" s="461"/>
      <c r="T760" s="461"/>
      <c r="U760" s="281"/>
      <c r="V760" s="1172"/>
      <c r="W760" s="255"/>
      <c r="X760" s="461"/>
      <c r="Y760" s="461"/>
      <c r="Z760" s="461"/>
      <c r="AA760" s="281"/>
      <c r="AB760" s="1041"/>
      <c r="AC760" s="255"/>
      <c r="AD760" s="461"/>
      <c r="AE760" s="461"/>
      <c r="AF760" s="461"/>
      <c r="AG760" s="461"/>
      <c r="AH760" s="1047"/>
      <c r="AI760" s="1172"/>
      <c r="AJ760" s="1155"/>
      <c r="AK760" s="1155"/>
      <c r="AL760" s="1083"/>
      <c r="AM760" s="1084"/>
      <c r="AN760" s="1084"/>
      <c r="AO760" s="1084"/>
      <c r="AP760" s="1085"/>
      <c r="AQ760" s="259"/>
      <c r="AR760" s="466"/>
      <c r="AS760" s="283"/>
      <c r="AT760" s="1155"/>
      <c r="AU760" s="1155"/>
      <c r="AV760" s="1155"/>
      <c r="AW760" s="1155"/>
      <c r="AX760" s="1155"/>
      <c r="AY760" s="1155"/>
      <c r="AZ760" s="1155"/>
      <c r="BA760" s="1155"/>
      <c r="BB760" s="1155"/>
      <c r="BC760" s="1155"/>
      <c r="BD760" s="1155"/>
      <c r="BE760" s="1155"/>
      <c r="BF760" s="1155"/>
      <c r="BG760" s="1155"/>
      <c r="BH760" s="1155"/>
      <c r="BI760" s="1155"/>
      <c r="BJ760" s="1155"/>
      <c r="BK760" s="1155"/>
      <c r="BL760" s="1155"/>
      <c r="BM760" s="1155"/>
      <c r="BN760" s="1155"/>
      <c r="BO760" s="1155"/>
      <c r="BP760" s="1155"/>
      <c r="BQ760" s="1155"/>
      <c r="BR760" s="1155"/>
      <c r="BS760" s="1155"/>
    </row>
    <row r="761" spans="5:71" s="474" customFormat="1">
      <c r="E761" s="4109"/>
      <c r="F761" s="431" t="s">
        <v>558</v>
      </c>
      <c r="G761" s="1083"/>
      <c r="H761" s="1084"/>
      <c r="I761" s="1084"/>
      <c r="J761" s="1084"/>
      <c r="K761" s="1085"/>
      <c r="L761" s="255"/>
      <c r="M761" s="461"/>
      <c r="N761" s="461">
        <v>478351.85</v>
      </c>
      <c r="O761" s="461"/>
      <c r="P761" s="281"/>
      <c r="Q761" s="956"/>
      <c r="R761" s="461"/>
      <c r="S761" s="461"/>
      <c r="T761" s="461"/>
      <c r="U761" s="281"/>
      <c r="V761" s="1172"/>
      <c r="W761" s="255"/>
      <c r="X761" s="461"/>
      <c r="Y761" s="461"/>
      <c r="Z761" s="461"/>
      <c r="AA761" s="281"/>
      <c r="AB761" s="1041"/>
      <c r="AC761" s="255"/>
      <c r="AD761" s="461"/>
      <c r="AE761" s="461"/>
      <c r="AF761" s="461"/>
      <c r="AG761" s="461"/>
      <c r="AH761" s="1047"/>
      <c r="AI761" s="1172"/>
      <c r="AJ761" s="1155"/>
      <c r="AK761" s="1155"/>
      <c r="AL761" s="1083"/>
      <c r="AM761" s="1084"/>
      <c r="AN761" s="1084"/>
      <c r="AO761" s="1084"/>
      <c r="AP761" s="1085"/>
      <c r="AQ761" s="259"/>
      <c r="AR761" s="466"/>
      <c r="AS761" s="283"/>
      <c r="AT761" s="1155"/>
      <c r="AU761" s="1155"/>
      <c r="AV761" s="1155"/>
      <c r="AW761" s="1155"/>
      <c r="AX761" s="1155"/>
      <c r="AY761" s="1155"/>
      <c r="AZ761" s="1155"/>
      <c r="BA761" s="1155"/>
      <c r="BB761" s="1155"/>
      <c r="BC761" s="1155"/>
      <c r="BD761" s="1155"/>
      <c r="BE761" s="1155"/>
      <c r="BF761" s="1155"/>
      <c r="BG761" s="1155"/>
      <c r="BH761" s="1155"/>
      <c r="BI761" s="1155"/>
      <c r="BJ761" s="1155"/>
      <c r="BK761" s="1155"/>
      <c r="BL761" s="1155"/>
      <c r="BM761" s="1155"/>
      <c r="BN761" s="1155"/>
      <c r="BO761" s="1155"/>
      <c r="BP761" s="1155"/>
      <c r="BQ761" s="1155"/>
      <c r="BR761" s="1155"/>
      <c r="BS761" s="1155"/>
    </row>
    <row r="762" spans="5:71" s="474" customFormat="1">
      <c r="E762" s="4109"/>
      <c r="F762" s="431" t="s">
        <v>559</v>
      </c>
      <c r="G762" s="1083"/>
      <c r="H762" s="1084"/>
      <c r="I762" s="1084"/>
      <c r="J762" s="1084"/>
      <c r="K762" s="1085"/>
      <c r="L762" s="255"/>
      <c r="M762" s="461"/>
      <c r="N762" s="461"/>
      <c r="O762" s="461"/>
      <c r="P762" s="281"/>
      <c r="Q762" s="956"/>
      <c r="R762" s="461"/>
      <c r="S762" s="461"/>
      <c r="T762" s="461"/>
      <c r="U762" s="281"/>
      <c r="V762" s="1172"/>
      <c r="W762" s="255"/>
      <c r="X762" s="461"/>
      <c r="Y762" s="461"/>
      <c r="Z762" s="461"/>
      <c r="AA762" s="281"/>
      <c r="AB762" s="1041"/>
      <c r="AC762" s="255"/>
      <c r="AD762" s="461"/>
      <c r="AE762" s="461"/>
      <c r="AF762" s="461"/>
      <c r="AG762" s="461"/>
      <c r="AH762" s="1047"/>
      <c r="AI762" s="1172"/>
      <c r="AJ762" s="1155"/>
      <c r="AK762" s="1155"/>
      <c r="AL762" s="1083"/>
      <c r="AM762" s="1084"/>
      <c r="AN762" s="1084"/>
      <c r="AO762" s="1084"/>
      <c r="AP762" s="1085"/>
      <c r="AQ762" s="259"/>
      <c r="AR762" s="466"/>
      <c r="AS762" s="283"/>
      <c r="AT762" s="1155"/>
      <c r="AU762" s="1155"/>
      <c r="AV762" s="1155"/>
      <c r="AW762" s="1155"/>
      <c r="AX762" s="1155"/>
      <c r="AY762" s="1155"/>
      <c r="AZ762" s="1155"/>
      <c r="BA762" s="1155"/>
      <c r="BB762" s="1155"/>
      <c r="BC762" s="1155"/>
      <c r="BD762" s="1155"/>
      <c r="BE762" s="1155"/>
      <c r="BF762" s="1155"/>
      <c r="BG762" s="1155"/>
      <c r="BH762" s="1155"/>
      <c r="BI762" s="1155"/>
      <c r="BJ762" s="1155"/>
      <c r="BK762" s="1155"/>
      <c r="BL762" s="1155"/>
      <c r="BM762" s="1155"/>
      <c r="BN762" s="1155"/>
      <c r="BO762" s="1155"/>
      <c r="BP762" s="1155"/>
      <c r="BQ762" s="1155"/>
      <c r="BR762" s="1155"/>
      <c r="BS762" s="1155"/>
    </row>
    <row r="763" spans="5:71" s="474" customFormat="1">
      <c r="E763" s="4109"/>
      <c r="F763" s="431" t="s">
        <v>578</v>
      </c>
      <c r="G763" s="1089"/>
      <c r="H763" s="1090"/>
      <c r="I763" s="1090"/>
      <c r="J763" s="1090"/>
      <c r="K763" s="1091"/>
      <c r="L763" s="259"/>
      <c r="M763" s="456"/>
      <c r="N763" s="456"/>
      <c r="O763" s="456"/>
      <c r="P763" s="457"/>
      <c r="Q763" s="224"/>
      <c r="R763" s="456"/>
      <c r="S763" s="456"/>
      <c r="T763" s="456"/>
      <c r="U763" s="457"/>
      <c r="V763" s="1172"/>
      <c r="W763" s="207"/>
      <c r="X763" s="456"/>
      <c r="Y763" s="456"/>
      <c r="Z763" s="456"/>
      <c r="AA763" s="457"/>
      <c r="AB763" s="1041"/>
      <c r="AC763" s="207"/>
      <c r="AD763" s="456"/>
      <c r="AE763" s="456"/>
      <c r="AF763" s="456"/>
      <c r="AG763" s="456"/>
      <c r="AH763" s="1048"/>
      <c r="AI763" s="1172"/>
      <c r="AJ763" s="1155"/>
      <c r="AK763" s="1155"/>
      <c r="AL763" s="1089"/>
      <c r="AM763" s="1090"/>
      <c r="AN763" s="1090"/>
      <c r="AO763" s="1090"/>
      <c r="AP763" s="1091"/>
      <c r="AQ763" s="259"/>
      <c r="AR763" s="456"/>
      <c r="AS763" s="457"/>
      <c r="AT763" s="1155"/>
      <c r="AU763" s="1155"/>
      <c r="AV763" s="1155"/>
      <c r="AW763" s="1155"/>
      <c r="AX763" s="1155"/>
      <c r="AY763" s="1155"/>
      <c r="AZ763" s="1155"/>
      <c r="BA763" s="1155"/>
      <c r="BB763" s="1155"/>
      <c r="BC763" s="1155"/>
      <c r="BD763" s="1155"/>
      <c r="BE763" s="1155"/>
      <c r="BF763" s="1155"/>
      <c r="BG763" s="1155"/>
      <c r="BH763" s="1155"/>
      <c r="BI763" s="1155"/>
      <c r="BJ763" s="1155"/>
      <c r="BK763" s="1155"/>
      <c r="BL763" s="1155"/>
      <c r="BM763" s="1155"/>
      <c r="BN763" s="1155"/>
      <c r="BO763" s="1155"/>
      <c r="BP763" s="1155"/>
      <c r="BQ763" s="1155"/>
      <c r="BR763" s="1155"/>
      <c r="BS763" s="1155"/>
    </row>
    <row r="764" spans="5:71" s="474" customFormat="1">
      <c r="E764" s="4109"/>
      <c r="F764" s="1377" t="s">
        <v>579</v>
      </c>
      <c r="G764" s="1086"/>
      <c r="H764" s="1087"/>
      <c r="I764" s="1087"/>
      <c r="J764" s="1087"/>
      <c r="K764" s="1088"/>
      <c r="L764" s="258">
        <f>SUM(L760:L763)</f>
        <v>0</v>
      </c>
      <c r="M764" s="465">
        <f t="shared" ref="M764" si="3412">SUM(M760:M763)</f>
        <v>0</v>
      </c>
      <c r="N764" s="465">
        <f t="shared" ref="N764" si="3413">SUM(N760:N763)</f>
        <v>478351.85</v>
      </c>
      <c r="O764" s="465">
        <f t="shared" ref="O764" si="3414">SUM(O760:O763)</f>
        <v>0</v>
      </c>
      <c r="P764" s="282">
        <f t="shared" ref="P764" si="3415">SUM(P760:P763)</f>
        <v>0</v>
      </c>
      <c r="Q764" s="965">
        <f t="shared" ref="Q764" si="3416">SUM(Q760:Q763)</f>
        <v>0</v>
      </c>
      <c r="R764" s="465">
        <f t="shared" ref="R764" si="3417">SUM(R760:R763)</f>
        <v>0</v>
      </c>
      <c r="S764" s="465">
        <f t="shared" ref="S764" si="3418">SUM(S760:S763)</f>
        <v>0</v>
      </c>
      <c r="T764" s="465">
        <f t="shared" ref="T764" si="3419">SUM(T760:T763)</f>
        <v>0</v>
      </c>
      <c r="U764" s="282">
        <f t="shared" ref="U764" si="3420">SUM(U760:U763)</f>
        <v>0</v>
      </c>
      <c r="V764" s="1172"/>
      <c r="W764" s="258">
        <f t="shared" ref="W764" si="3421">SUM(W760:W763)</f>
        <v>0</v>
      </c>
      <c r="X764" s="465">
        <f t="shared" ref="X764" si="3422">SUM(X760:X763)</f>
        <v>0</v>
      </c>
      <c r="Y764" s="465">
        <f t="shared" ref="Y764" si="3423">SUM(Y760:Y763)</f>
        <v>0</v>
      </c>
      <c r="Z764" s="465">
        <f t="shared" ref="Z764" si="3424">SUM(Z760:Z763)</f>
        <v>0</v>
      </c>
      <c r="AA764" s="282">
        <f t="shared" ref="AA764" si="3425">SUM(AA760:AA763)</f>
        <v>0</v>
      </c>
      <c r="AB764" s="992"/>
      <c r="AC764" s="258">
        <f t="shared" ref="AC764" si="3426">SUM(AC760:AC763)</f>
        <v>0</v>
      </c>
      <c r="AD764" s="465">
        <f t="shared" ref="AD764" si="3427">SUM(AD760:AD763)</f>
        <v>0</v>
      </c>
      <c r="AE764" s="465">
        <f t="shared" ref="AE764" si="3428">SUM(AE760:AE763)</f>
        <v>0</v>
      </c>
      <c r="AF764" s="465">
        <f t="shared" ref="AF764" si="3429">SUM(AF760:AF763)</f>
        <v>0</v>
      </c>
      <c r="AG764" s="465">
        <f t="shared" ref="AG764" si="3430">SUM(AG760:AG763)</f>
        <v>0</v>
      </c>
      <c r="AH764" s="1049"/>
      <c r="AI764" s="1172"/>
      <c r="AJ764" s="1155"/>
      <c r="AK764" s="1155"/>
      <c r="AL764" s="1086"/>
      <c r="AM764" s="1087"/>
      <c r="AN764" s="1087"/>
      <c r="AO764" s="1087"/>
      <c r="AP764" s="1088"/>
      <c r="AQ764" s="258">
        <f>SUM(AQ761:AQ763)</f>
        <v>0</v>
      </c>
      <c r="AR764" s="465">
        <f t="shared" ref="AR764" si="3431">SUM(AR761:AR763)</f>
        <v>0</v>
      </c>
      <c r="AS764" s="282"/>
      <c r="AT764" s="1155"/>
      <c r="AU764" s="1155"/>
      <c r="AV764" s="1155"/>
      <c r="AW764" s="1155"/>
      <c r="AX764" s="1155"/>
      <c r="AY764" s="1155"/>
      <c r="AZ764" s="1155"/>
      <c r="BA764" s="1155"/>
      <c r="BB764" s="1155"/>
      <c r="BC764" s="1155"/>
      <c r="BD764" s="1155"/>
      <c r="BE764" s="1155"/>
      <c r="BF764" s="1155"/>
      <c r="BG764" s="1155"/>
      <c r="BH764" s="1155"/>
      <c r="BI764" s="1155"/>
      <c r="BJ764" s="1155"/>
      <c r="BK764" s="1155"/>
      <c r="BL764" s="1155"/>
      <c r="BM764" s="1155"/>
      <c r="BN764" s="1155"/>
      <c r="BO764" s="1155"/>
      <c r="BP764" s="1155"/>
      <c r="BQ764" s="1155"/>
      <c r="BR764" s="1155"/>
      <c r="BS764" s="1155"/>
    </row>
    <row r="765" spans="5:71" s="474" customFormat="1" ht="13.5" thickBot="1">
      <c r="E765" s="4109"/>
      <c r="F765" s="1035" t="s">
        <v>583</v>
      </c>
      <c r="G765" s="255"/>
      <c r="H765" s="461"/>
      <c r="I765" s="461"/>
      <c r="J765" s="461"/>
      <c r="K765" s="281"/>
      <c r="L765" s="207"/>
      <c r="M765" s="456"/>
      <c r="N765" s="456"/>
      <c r="O765" s="456"/>
      <c r="P765" s="457"/>
      <c r="Q765" s="224"/>
      <c r="R765" s="456"/>
      <c r="S765" s="456"/>
      <c r="T765" s="456"/>
      <c r="U765" s="457"/>
      <c r="V765" s="1172"/>
      <c r="W765" s="207"/>
      <c r="X765" s="461"/>
      <c r="Y765" s="461"/>
      <c r="Z765" s="461"/>
      <c r="AA765" s="281"/>
      <c r="AB765" s="1041"/>
      <c r="AC765" s="207"/>
      <c r="AD765" s="456"/>
      <c r="AE765" s="456"/>
      <c r="AF765" s="456"/>
      <c r="AG765" s="456"/>
      <c r="AH765" s="1048"/>
      <c r="AI765" s="1172"/>
      <c r="AJ765" s="1155"/>
      <c r="AK765" s="1155"/>
      <c r="AL765" s="259"/>
      <c r="AM765" s="466"/>
      <c r="AN765" s="466"/>
      <c r="AO765" s="466"/>
      <c r="AP765" s="283"/>
      <c r="AQ765" s="207"/>
      <c r="AR765" s="456"/>
      <c r="AS765" s="457"/>
      <c r="AT765" s="1155"/>
      <c r="AU765" s="1155"/>
      <c r="AV765" s="1155"/>
      <c r="AW765" s="1155"/>
      <c r="AX765" s="1155"/>
      <c r="AY765" s="1155"/>
      <c r="AZ765" s="1155"/>
      <c r="BA765" s="1155"/>
      <c r="BB765" s="1155"/>
      <c r="BC765" s="1155"/>
      <c r="BD765" s="1155"/>
      <c r="BE765" s="1155"/>
      <c r="BF765" s="1155"/>
      <c r="BG765" s="1155"/>
      <c r="BH765" s="1155"/>
      <c r="BI765" s="1155"/>
      <c r="BJ765" s="1155"/>
      <c r="BK765" s="1155"/>
      <c r="BL765" s="1155"/>
      <c r="BM765" s="1155"/>
      <c r="BN765" s="1155"/>
      <c r="BO765" s="1155"/>
      <c r="BP765" s="1155"/>
      <c r="BQ765" s="1155"/>
      <c r="BR765" s="1155"/>
      <c r="BS765" s="1155"/>
    </row>
    <row r="766" spans="5:71" s="474" customFormat="1" ht="13.5" thickBot="1">
      <c r="E766" s="4109"/>
      <c r="F766" s="1380" t="s">
        <v>581</v>
      </c>
      <c r="G766" s="1599"/>
      <c r="H766" s="1600"/>
      <c r="I766" s="1600"/>
      <c r="J766" s="1600"/>
      <c r="K766" s="1601"/>
      <c r="L766" s="1599"/>
      <c r="M766" s="1600"/>
      <c r="N766" s="1600"/>
      <c r="O766" s="1600"/>
      <c r="P766" s="1601"/>
      <c r="Q766" s="1602"/>
      <c r="R766" s="1600"/>
      <c r="S766" s="1600"/>
      <c r="T766" s="1600"/>
      <c r="U766" s="1601"/>
      <c r="V766" s="1172"/>
      <c r="W766" s="1614"/>
      <c r="X766" s="1615"/>
      <c r="Y766" s="1615"/>
      <c r="Z766" s="1615"/>
      <c r="AA766" s="1615"/>
      <c r="AB766" s="1615"/>
      <c r="AC766" s="1615"/>
      <c r="AD766" s="1615"/>
      <c r="AE766" s="1615"/>
      <c r="AF766" s="1615"/>
      <c r="AG766" s="1615"/>
      <c r="AH766" s="1616"/>
      <c r="AI766" s="1172"/>
      <c r="AJ766" s="1155"/>
      <c r="AK766" s="1155"/>
      <c r="AL766" s="259"/>
      <c r="AM766" s="466"/>
      <c r="AN766" s="466"/>
      <c r="AO766" s="466"/>
      <c r="AP766" s="283"/>
      <c r="AQ766" s="259"/>
      <c r="AR766" s="466"/>
      <c r="AS766" s="283"/>
      <c r="AT766" s="1155"/>
      <c r="AU766" s="1155"/>
      <c r="AV766" s="1155"/>
      <c r="AW766" s="1155"/>
      <c r="AX766" s="1155"/>
      <c r="AY766" s="1155"/>
      <c r="AZ766" s="1155"/>
      <c r="BA766" s="1155"/>
      <c r="BB766" s="1155"/>
      <c r="BC766" s="1155"/>
      <c r="BD766" s="1155"/>
      <c r="BE766" s="1155"/>
      <c r="BF766" s="1155"/>
      <c r="BG766" s="1155"/>
      <c r="BH766" s="1155"/>
      <c r="BI766" s="1155"/>
      <c r="BJ766" s="1155"/>
      <c r="BK766" s="1155"/>
      <c r="BL766" s="1155"/>
      <c r="BM766" s="1155"/>
      <c r="BN766" s="1155"/>
      <c r="BO766" s="1155"/>
      <c r="BP766" s="1155"/>
      <c r="BQ766" s="1155"/>
      <c r="BR766" s="1155"/>
      <c r="BS766" s="1155"/>
    </row>
    <row r="767" spans="5:71" s="474" customFormat="1">
      <c r="E767" s="4109"/>
      <c r="F767" s="1378" t="s">
        <v>584</v>
      </c>
      <c r="G767" s="1050">
        <v>0</v>
      </c>
      <c r="H767" s="1051">
        <v>0</v>
      </c>
      <c r="I767" s="1051">
        <v>0</v>
      </c>
      <c r="J767" s="1051">
        <v>0</v>
      </c>
      <c r="K767" s="1052">
        <v>0</v>
      </c>
      <c r="L767" s="1050">
        <f>SUM(L764:L766)</f>
        <v>0</v>
      </c>
      <c r="M767" s="1051">
        <f t="shared" ref="M767" si="3432">SUM(M764:M766)</f>
        <v>0</v>
      </c>
      <c r="N767" s="1051">
        <f t="shared" ref="N767" si="3433">SUM(N764:N766)</f>
        <v>478351.85</v>
      </c>
      <c r="O767" s="1051">
        <f t="shared" ref="O767" si="3434">SUM(O764:O766)</f>
        <v>0</v>
      </c>
      <c r="P767" s="1052">
        <f t="shared" ref="P767" si="3435">SUM(P764:P766)</f>
        <v>0</v>
      </c>
      <c r="Q767" s="1092">
        <f t="shared" ref="Q767" si="3436">SUM(Q764:Q766)</f>
        <v>0</v>
      </c>
      <c r="R767" s="1051">
        <f t="shared" ref="R767" si="3437">SUM(R764:R766)</f>
        <v>0</v>
      </c>
      <c r="S767" s="1051">
        <f t="shared" ref="S767" si="3438">SUM(S764:S766)</f>
        <v>0</v>
      </c>
      <c r="T767" s="1051">
        <f t="shared" ref="T767" si="3439">SUM(T764:T766)</f>
        <v>0</v>
      </c>
      <c r="U767" s="1052">
        <f t="shared" ref="U767" si="3440">SUM(U764:U766)</f>
        <v>0</v>
      </c>
      <c r="V767" s="1172"/>
      <c r="W767" s="1050">
        <f t="shared" ref="W767" si="3441">SUM(W764:W766)</f>
        <v>0</v>
      </c>
      <c r="X767" s="1051">
        <f t="shared" ref="X767" si="3442">SUM(X764:X766)</f>
        <v>0</v>
      </c>
      <c r="Y767" s="1051">
        <f t="shared" ref="Y767" si="3443">SUM(Y764:Y766)</f>
        <v>0</v>
      </c>
      <c r="Z767" s="1051">
        <f t="shared" ref="Z767" si="3444">SUM(Z764:Z766)</f>
        <v>0</v>
      </c>
      <c r="AA767" s="1052">
        <f t="shared" ref="AA767" si="3445">SUM(AA764:AA766)</f>
        <v>0</v>
      </c>
      <c r="AB767" s="1053"/>
      <c r="AC767" s="1050">
        <f t="shared" ref="AC767" si="3446">SUM(AC764:AC766)</f>
        <v>0</v>
      </c>
      <c r="AD767" s="1051">
        <f t="shared" ref="AD767" si="3447">SUM(AD764:AD766)</f>
        <v>0</v>
      </c>
      <c r="AE767" s="1051">
        <f t="shared" ref="AE767" si="3448">SUM(AE764:AE766)</f>
        <v>0</v>
      </c>
      <c r="AF767" s="1051">
        <f t="shared" ref="AF767" si="3449">SUM(AF764:AF766)</f>
        <v>0</v>
      </c>
      <c r="AG767" s="1051">
        <f t="shared" ref="AG767" si="3450">SUM(AG764:AG766)</f>
        <v>0</v>
      </c>
      <c r="AH767" s="1054"/>
      <c r="AI767" s="1172"/>
      <c r="AJ767" s="130"/>
      <c r="AK767" s="130"/>
      <c r="AL767" s="1050">
        <f t="shared" ref="AL767:AR767" si="3451">SUM(AL765:AL766)</f>
        <v>0</v>
      </c>
      <c r="AM767" s="1051">
        <f t="shared" si="3451"/>
        <v>0</v>
      </c>
      <c r="AN767" s="1051">
        <f t="shared" si="3451"/>
        <v>0</v>
      </c>
      <c r="AO767" s="1051">
        <f t="shared" si="3451"/>
        <v>0</v>
      </c>
      <c r="AP767" s="1052">
        <f t="shared" si="3451"/>
        <v>0</v>
      </c>
      <c r="AQ767" s="1050">
        <f t="shared" si="3451"/>
        <v>0</v>
      </c>
      <c r="AR767" s="1051">
        <f t="shared" si="3451"/>
        <v>0</v>
      </c>
      <c r="AS767" s="1052"/>
      <c r="AT767" s="130"/>
      <c r="AU767" s="130"/>
      <c r="AV767" s="130"/>
      <c r="AW767" s="130"/>
      <c r="AX767" s="130"/>
      <c r="AY767" s="130"/>
      <c r="AZ767" s="130"/>
      <c r="BA767" s="130"/>
      <c r="BB767" s="130"/>
      <c r="BC767" s="130"/>
      <c r="BD767" s="130"/>
      <c r="BE767" s="130"/>
      <c r="BF767" s="130"/>
      <c r="BG767" s="130"/>
      <c r="BH767" s="130"/>
      <c r="BI767" s="130"/>
      <c r="BJ767" s="130"/>
      <c r="BK767" s="130"/>
      <c r="BL767" s="130"/>
      <c r="BM767" s="130"/>
      <c r="BN767" s="130"/>
      <c r="BO767" s="130"/>
      <c r="BP767" s="130"/>
      <c r="BQ767" s="130"/>
      <c r="BR767" s="130"/>
      <c r="BS767" s="1155"/>
    </row>
    <row r="768" spans="5:71" s="474" customFormat="1">
      <c r="E768" s="4109"/>
      <c r="F768" s="1389" t="s">
        <v>35</v>
      </c>
      <c r="G768" s="255"/>
      <c r="H768" s="461"/>
      <c r="I768" s="461"/>
      <c r="J768" s="461"/>
      <c r="K768" s="281"/>
      <c r="L768" s="255"/>
      <c r="M768" s="461"/>
      <c r="N768" s="461"/>
      <c r="O768" s="461"/>
      <c r="P768" s="281"/>
      <c r="Q768" s="956"/>
      <c r="R768" s="461"/>
      <c r="S768" s="461"/>
      <c r="T768" s="461"/>
      <c r="U768" s="281"/>
      <c r="V768" s="1172"/>
      <c r="W768" s="255"/>
      <c r="X768" s="461"/>
      <c r="Y768" s="461"/>
      <c r="Z768" s="461"/>
      <c r="AA768" s="281"/>
      <c r="AB768" s="1004"/>
      <c r="AC768" s="255"/>
      <c r="AD768" s="461"/>
      <c r="AE768" s="461"/>
      <c r="AF768" s="461"/>
      <c r="AG768" s="461"/>
      <c r="AH768" s="1047"/>
      <c r="AI768" s="1172"/>
      <c r="AJ768" s="1155"/>
      <c r="AK768" s="1155"/>
      <c r="AL768" s="259"/>
      <c r="AM768" s="466"/>
      <c r="AN768" s="466"/>
      <c r="AO768" s="466"/>
      <c r="AP768" s="283"/>
      <c r="AQ768" s="259"/>
      <c r="AR768" s="466"/>
      <c r="AS768" s="283"/>
      <c r="AT768" s="1155"/>
      <c r="AU768" s="1155"/>
      <c r="AV768" s="1155"/>
      <c r="AW768" s="1155"/>
      <c r="AX768" s="1155"/>
      <c r="AY768" s="1155"/>
      <c r="AZ768" s="1155"/>
      <c r="BA768" s="1155"/>
      <c r="BB768" s="1155"/>
      <c r="BC768" s="1155"/>
      <c r="BD768" s="1155"/>
      <c r="BE768" s="1155"/>
      <c r="BF768" s="1155"/>
      <c r="BG768" s="1155"/>
      <c r="BH768" s="1155"/>
      <c r="BI768" s="1155"/>
      <c r="BJ768" s="1155"/>
      <c r="BK768" s="1155"/>
      <c r="BL768" s="1155"/>
      <c r="BM768" s="1155"/>
      <c r="BN768" s="1155"/>
      <c r="BO768" s="1155"/>
      <c r="BP768" s="1155"/>
      <c r="BQ768" s="1155"/>
      <c r="BR768" s="1155"/>
      <c r="BS768" s="1155"/>
    </row>
    <row r="769" spans="5:71" s="474" customFormat="1" ht="13.5" thickBot="1">
      <c r="E769" s="4109"/>
      <c r="F769" s="1379" t="s">
        <v>585</v>
      </c>
      <c r="G769" s="1094">
        <v>0</v>
      </c>
      <c r="H769" s="1095">
        <v>0</v>
      </c>
      <c r="I769" s="1095">
        <v>0</v>
      </c>
      <c r="J769" s="1095">
        <v>0</v>
      </c>
      <c r="K769" s="1096">
        <v>0</v>
      </c>
      <c r="L769" s="1094">
        <f>L767-L768</f>
        <v>0</v>
      </c>
      <c r="M769" s="1095">
        <f t="shared" ref="M769" si="3452">M767-M768</f>
        <v>0</v>
      </c>
      <c r="N769" s="1095">
        <f t="shared" ref="N769" si="3453">N767-N768</f>
        <v>478351.85</v>
      </c>
      <c r="O769" s="1095">
        <f t="shared" ref="O769" si="3454">O767-O768</f>
        <v>0</v>
      </c>
      <c r="P769" s="1096">
        <f t="shared" ref="P769" si="3455">P767-P768</f>
        <v>0</v>
      </c>
      <c r="Q769" s="1097">
        <f t="shared" ref="Q769" si="3456">Q767-Q768</f>
        <v>0</v>
      </c>
      <c r="R769" s="1095">
        <f t="shared" ref="R769" si="3457">R767-R768</f>
        <v>0</v>
      </c>
      <c r="S769" s="1095">
        <f t="shared" ref="S769" si="3458">S767-S768</f>
        <v>0</v>
      </c>
      <c r="T769" s="1095">
        <f t="shared" ref="T769" si="3459">T767-T768</f>
        <v>0</v>
      </c>
      <c r="U769" s="1096">
        <f t="shared" ref="U769" si="3460">U767-U768</f>
        <v>0</v>
      </c>
      <c r="V769" s="1172"/>
      <c r="W769" s="1055">
        <f t="shared" ref="W769" si="3461">W767-W768</f>
        <v>0</v>
      </c>
      <c r="X769" s="1056">
        <f t="shared" ref="X769" si="3462">X767-X768</f>
        <v>0</v>
      </c>
      <c r="Y769" s="1056">
        <f t="shared" ref="Y769" si="3463">Y767-Y768</f>
        <v>0</v>
      </c>
      <c r="Z769" s="1056">
        <f t="shared" ref="Z769" si="3464">Z767-Z768</f>
        <v>0</v>
      </c>
      <c r="AA769" s="1057">
        <f t="shared" ref="AA769" si="3465">AA767-AA768</f>
        <v>0</v>
      </c>
      <c r="AB769" s="1075"/>
      <c r="AC769" s="1055">
        <f t="shared" ref="AC769" si="3466">AC767-AC768</f>
        <v>0</v>
      </c>
      <c r="AD769" s="1056">
        <f t="shared" ref="AD769" si="3467">AD767-AD768</f>
        <v>0</v>
      </c>
      <c r="AE769" s="1056">
        <f t="shared" ref="AE769" si="3468">AE767-AE768</f>
        <v>0</v>
      </c>
      <c r="AF769" s="1056">
        <f t="shared" ref="AF769" si="3469">AF767-AF768</f>
        <v>0</v>
      </c>
      <c r="AG769" s="1056">
        <f t="shared" ref="AG769" si="3470">AG767-AG768</f>
        <v>0</v>
      </c>
      <c r="AH769" s="1059"/>
      <c r="AI769" s="1172"/>
      <c r="AJ769" s="1155"/>
      <c r="AK769" s="1155"/>
      <c r="AL769" s="1094">
        <f>AL767-AL768</f>
        <v>0</v>
      </c>
      <c r="AM769" s="1095">
        <f t="shared" ref="AM769:AR769" si="3471">AM767-AM768</f>
        <v>0</v>
      </c>
      <c r="AN769" s="1095">
        <f t="shared" si="3471"/>
        <v>0</v>
      </c>
      <c r="AO769" s="1095">
        <f t="shared" si="3471"/>
        <v>0</v>
      </c>
      <c r="AP769" s="1096">
        <f t="shared" si="3471"/>
        <v>0</v>
      </c>
      <c r="AQ769" s="1094">
        <f t="shared" si="3471"/>
        <v>0</v>
      </c>
      <c r="AR769" s="1095">
        <f t="shared" si="3471"/>
        <v>0</v>
      </c>
      <c r="AS769" s="1096"/>
      <c r="AT769" s="1155"/>
      <c r="AU769" s="1155"/>
      <c r="AV769" s="1155"/>
      <c r="AW769" s="1155"/>
      <c r="AX769" s="1155"/>
      <c r="AY769" s="1155"/>
      <c r="AZ769" s="1155"/>
      <c r="BA769" s="1155"/>
      <c r="BB769" s="1155"/>
      <c r="BC769" s="1155"/>
      <c r="BD769" s="1155"/>
      <c r="BE769" s="1155"/>
      <c r="BF769" s="1155"/>
      <c r="BG769" s="1155"/>
      <c r="BH769" s="1155"/>
      <c r="BI769" s="1155"/>
      <c r="BJ769" s="1155"/>
      <c r="BK769" s="1155"/>
      <c r="BL769" s="1155"/>
      <c r="BM769" s="1155"/>
      <c r="BN769" s="1155"/>
      <c r="BO769" s="1155"/>
      <c r="BP769" s="1155"/>
      <c r="BQ769" s="1155"/>
      <c r="BR769" s="1155"/>
      <c r="BS769" s="1155"/>
    </row>
    <row r="770" spans="5:71" s="474" customFormat="1" ht="12.75" customHeight="1">
      <c r="E770" s="4110" t="s">
        <v>1521</v>
      </c>
      <c r="F770" s="433" t="s">
        <v>111</v>
      </c>
      <c r="G770" s="1077"/>
      <c r="H770" s="1078"/>
      <c r="I770" s="1078"/>
      <c r="J770" s="1078"/>
      <c r="K770" s="1079"/>
      <c r="L770" s="1566"/>
      <c r="M770" s="421"/>
      <c r="N770" s="421"/>
      <c r="O770" s="421"/>
      <c r="P770" s="1044"/>
      <c r="Q770" s="1566"/>
      <c r="R770" s="421"/>
      <c r="S770" s="421"/>
      <c r="T770" s="421"/>
      <c r="U770" s="1044"/>
      <c r="V770" s="1172"/>
      <c r="W770" s="1043"/>
      <c r="X770" s="421"/>
      <c r="Y770" s="421"/>
      <c r="Z770" s="421"/>
      <c r="AA770" s="1044"/>
      <c r="AB770" s="1045"/>
      <c r="AC770" s="1043"/>
      <c r="AD770" s="421"/>
      <c r="AE770" s="421"/>
      <c r="AF770" s="421"/>
      <c r="AG770" s="421"/>
      <c r="AH770" s="1046"/>
      <c r="AI770" s="1172"/>
      <c r="AJ770" s="1155"/>
      <c r="AK770" s="1155"/>
      <c r="AL770" s="1077"/>
      <c r="AM770" s="1078"/>
      <c r="AN770" s="1078"/>
      <c r="AO770" s="1078"/>
      <c r="AP770" s="1079"/>
      <c r="AQ770" s="1566"/>
      <c r="AR770" s="421"/>
      <c r="AS770" s="1044"/>
      <c r="AT770" s="1155"/>
      <c r="AU770" s="1155"/>
      <c r="AV770" s="1155"/>
      <c r="AW770" s="1155"/>
      <c r="AX770" s="1155"/>
      <c r="AY770" s="1155"/>
      <c r="AZ770" s="1155"/>
      <c r="BA770" s="1155"/>
      <c r="BB770" s="1155"/>
      <c r="BC770" s="1155"/>
      <c r="BD770" s="1155"/>
      <c r="BE770" s="1155"/>
      <c r="BF770" s="1155"/>
      <c r="BG770" s="1155"/>
      <c r="BH770" s="1155"/>
      <c r="BI770" s="1155"/>
      <c r="BJ770" s="1155"/>
      <c r="BK770" s="1155"/>
      <c r="BL770" s="1155"/>
      <c r="BM770" s="1155"/>
      <c r="BN770" s="1155"/>
      <c r="BO770" s="1155"/>
      <c r="BP770" s="1155"/>
      <c r="BQ770" s="1155"/>
      <c r="BR770" s="1155"/>
      <c r="BS770" s="1155"/>
    </row>
    <row r="771" spans="5:71" s="474" customFormat="1" ht="12.75" customHeight="1">
      <c r="E771" s="4109"/>
      <c r="F771" s="1374" t="s">
        <v>588</v>
      </c>
      <c r="G771" s="1083"/>
      <c r="H771" s="1084"/>
      <c r="I771" s="1084"/>
      <c r="J771" s="1084"/>
      <c r="K771" s="1085"/>
      <c r="L771" s="255"/>
      <c r="M771" s="461"/>
      <c r="N771" s="461"/>
      <c r="O771" s="461"/>
      <c r="P771" s="281"/>
      <c r="Q771" s="255"/>
      <c r="R771" s="461"/>
      <c r="S771" s="461"/>
      <c r="T771" s="461"/>
      <c r="U771" s="281"/>
      <c r="V771" s="1172"/>
      <c r="W771" s="255"/>
      <c r="X771" s="461"/>
      <c r="Y771" s="461"/>
      <c r="Z771" s="461"/>
      <c r="AA771" s="281"/>
      <c r="AB771" s="1041"/>
      <c r="AC771" s="255"/>
      <c r="AD771" s="461"/>
      <c r="AE771" s="461"/>
      <c r="AF771" s="461"/>
      <c r="AG771" s="461"/>
      <c r="AH771" s="1047"/>
      <c r="AI771" s="1172"/>
      <c r="AJ771" s="1155"/>
      <c r="AK771" s="1155"/>
      <c r="AL771" s="1083"/>
      <c r="AM771" s="1084"/>
      <c r="AN771" s="1084"/>
      <c r="AO771" s="1084"/>
      <c r="AP771" s="1085"/>
      <c r="AQ771" s="259"/>
      <c r="AR771" s="466"/>
      <c r="AS771" s="283"/>
      <c r="AT771" s="1155"/>
      <c r="AU771" s="1155"/>
      <c r="AV771" s="1155"/>
      <c r="AW771" s="1155"/>
      <c r="AX771" s="1155"/>
      <c r="AY771" s="1155"/>
      <c r="AZ771" s="1155"/>
      <c r="BA771" s="1155"/>
      <c r="BB771" s="1155"/>
      <c r="BC771" s="1155"/>
      <c r="BD771" s="1155"/>
      <c r="BE771" s="1155"/>
      <c r="BF771" s="1155"/>
      <c r="BG771" s="1155"/>
      <c r="BH771" s="1155"/>
      <c r="BI771" s="1155"/>
      <c r="BJ771" s="1155"/>
      <c r="BK771" s="1155"/>
      <c r="BL771" s="1155"/>
      <c r="BM771" s="1155"/>
      <c r="BN771" s="1155"/>
      <c r="BO771" s="1155"/>
      <c r="BP771" s="1155"/>
      <c r="BQ771" s="1155"/>
      <c r="BR771" s="1155"/>
      <c r="BS771" s="1155"/>
    </row>
    <row r="772" spans="5:71" s="474" customFormat="1" ht="12.75" customHeight="1">
      <c r="E772" s="4109"/>
      <c r="F772" s="1374" t="s">
        <v>589</v>
      </c>
      <c r="G772" s="1083"/>
      <c r="H772" s="1084"/>
      <c r="I772" s="1084"/>
      <c r="J772" s="1084"/>
      <c r="K772" s="1085"/>
      <c r="L772" s="255"/>
      <c r="M772" s="461"/>
      <c r="N772" s="461"/>
      <c r="O772" s="461"/>
      <c r="P772" s="281"/>
      <c r="Q772" s="255"/>
      <c r="R772" s="461"/>
      <c r="S772" s="461"/>
      <c r="T772" s="461"/>
      <c r="U772" s="281"/>
      <c r="V772" s="1172"/>
      <c r="W772" s="255"/>
      <c r="X772" s="461"/>
      <c r="Y772" s="461"/>
      <c r="Z772" s="461"/>
      <c r="AA772" s="281"/>
      <c r="AB772" s="1041"/>
      <c r="AC772" s="255"/>
      <c r="AD772" s="461"/>
      <c r="AE772" s="461"/>
      <c r="AF772" s="461"/>
      <c r="AG772" s="461"/>
      <c r="AH772" s="1047"/>
      <c r="AI772" s="1172"/>
      <c r="AJ772" s="1155"/>
      <c r="AK772" s="1155"/>
      <c r="AL772" s="1083"/>
      <c r="AM772" s="1084"/>
      <c r="AN772" s="1084"/>
      <c r="AO772" s="1084"/>
      <c r="AP772" s="1085"/>
      <c r="AQ772" s="259"/>
      <c r="AR772" s="466"/>
      <c r="AS772" s="283"/>
      <c r="AT772" s="1155"/>
      <c r="AU772" s="1155"/>
      <c r="AV772" s="1155"/>
      <c r="AW772" s="1155"/>
      <c r="AX772" s="1155"/>
      <c r="AY772" s="1155"/>
      <c r="AZ772" s="1155"/>
      <c r="BA772" s="1155"/>
      <c r="BB772" s="1155"/>
      <c r="BC772" s="1155"/>
      <c r="BD772" s="1155"/>
      <c r="BE772" s="1155"/>
      <c r="BF772" s="1155"/>
      <c r="BG772" s="1155"/>
      <c r="BH772" s="1155"/>
      <c r="BI772" s="1155"/>
      <c r="BJ772" s="1155"/>
      <c r="BK772" s="1155"/>
      <c r="BL772" s="1155"/>
      <c r="BM772" s="1155"/>
      <c r="BN772" s="1155"/>
      <c r="BO772" s="1155"/>
      <c r="BP772" s="1155"/>
      <c r="BQ772" s="1155"/>
      <c r="BR772" s="1155"/>
      <c r="BS772" s="1155"/>
    </row>
    <row r="773" spans="5:71" s="474" customFormat="1" ht="12.75" customHeight="1">
      <c r="E773" s="4109"/>
      <c r="F773" s="1374" t="s">
        <v>590</v>
      </c>
      <c r="G773" s="1083"/>
      <c r="H773" s="1084"/>
      <c r="I773" s="1084"/>
      <c r="J773" s="1084"/>
      <c r="K773" s="1085"/>
      <c r="L773" s="255"/>
      <c r="M773" s="461"/>
      <c r="N773" s="461"/>
      <c r="O773" s="461"/>
      <c r="P773" s="281"/>
      <c r="Q773" s="255"/>
      <c r="R773" s="461"/>
      <c r="S773" s="461"/>
      <c r="T773" s="461"/>
      <c r="U773" s="281"/>
      <c r="V773" s="1172"/>
      <c r="W773" s="255"/>
      <c r="X773" s="461"/>
      <c r="Y773" s="461"/>
      <c r="Z773" s="461"/>
      <c r="AA773" s="281"/>
      <c r="AB773" s="1041"/>
      <c r="AC773" s="255"/>
      <c r="AD773" s="461"/>
      <c r="AE773" s="461"/>
      <c r="AF773" s="461"/>
      <c r="AG773" s="461"/>
      <c r="AH773" s="1047"/>
      <c r="AI773" s="1172"/>
      <c r="AJ773" s="1155"/>
      <c r="AK773" s="1155"/>
      <c r="AL773" s="1083"/>
      <c r="AM773" s="1084"/>
      <c r="AN773" s="1084"/>
      <c r="AO773" s="1084"/>
      <c r="AP773" s="1085"/>
      <c r="AQ773" s="259"/>
      <c r="AR773" s="466"/>
      <c r="AS773" s="283"/>
      <c r="AT773" s="1155"/>
      <c r="AU773" s="1155"/>
      <c r="AV773" s="1155"/>
      <c r="AW773" s="1155"/>
      <c r="AX773" s="1155"/>
      <c r="AY773" s="1155"/>
      <c r="AZ773" s="1155"/>
      <c r="BA773" s="1155"/>
      <c r="BB773" s="1155"/>
      <c r="BC773" s="1155"/>
      <c r="BD773" s="1155"/>
      <c r="BE773" s="1155"/>
      <c r="BF773" s="1155"/>
      <c r="BG773" s="1155"/>
      <c r="BH773" s="1155"/>
      <c r="BI773" s="1155"/>
      <c r="BJ773" s="1155"/>
      <c r="BK773" s="1155"/>
      <c r="BL773" s="1155"/>
      <c r="BM773" s="1155"/>
      <c r="BN773" s="1155"/>
      <c r="BO773" s="1155"/>
      <c r="BP773" s="1155"/>
      <c r="BQ773" s="1155"/>
      <c r="BR773" s="1155"/>
      <c r="BS773" s="1155"/>
    </row>
    <row r="774" spans="5:71" s="474" customFormat="1" ht="12.75" customHeight="1">
      <c r="E774" s="4109"/>
      <c r="F774" s="1374" t="s">
        <v>591</v>
      </c>
      <c r="G774" s="1083"/>
      <c r="H774" s="1084"/>
      <c r="I774" s="1084"/>
      <c r="J774" s="1084"/>
      <c r="K774" s="1085"/>
      <c r="L774" s="255"/>
      <c r="M774" s="461"/>
      <c r="N774" s="461"/>
      <c r="O774" s="461"/>
      <c r="P774" s="281"/>
      <c r="Q774" s="255"/>
      <c r="R774" s="461"/>
      <c r="S774" s="461"/>
      <c r="T774" s="461"/>
      <c r="U774" s="281"/>
      <c r="V774" s="1172"/>
      <c r="W774" s="255"/>
      <c r="X774" s="461"/>
      <c r="Y774" s="461"/>
      <c r="Z774" s="461"/>
      <c r="AA774" s="281"/>
      <c r="AB774" s="1041"/>
      <c r="AC774" s="255"/>
      <c r="AD774" s="461"/>
      <c r="AE774" s="461"/>
      <c r="AF774" s="461"/>
      <c r="AG774" s="461"/>
      <c r="AH774" s="1047"/>
      <c r="AI774" s="1172"/>
      <c r="AJ774" s="1155"/>
      <c r="AK774" s="1155"/>
      <c r="AL774" s="1083"/>
      <c r="AM774" s="1084"/>
      <c r="AN774" s="1084"/>
      <c r="AO774" s="1084"/>
      <c r="AP774" s="1085"/>
      <c r="AQ774" s="259"/>
      <c r="AR774" s="466"/>
      <c r="AS774" s="283"/>
      <c r="AT774" s="1155"/>
      <c r="AU774" s="1155"/>
      <c r="AV774" s="1155"/>
      <c r="AW774" s="1155"/>
      <c r="AX774" s="1155"/>
      <c r="AY774" s="1155"/>
      <c r="AZ774" s="1155"/>
      <c r="BA774" s="1155"/>
      <c r="BB774" s="1155"/>
      <c r="BC774" s="1155"/>
      <c r="BD774" s="1155"/>
      <c r="BE774" s="1155"/>
      <c r="BF774" s="1155"/>
      <c r="BG774" s="1155"/>
      <c r="BH774" s="1155"/>
      <c r="BI774" s="1155"/>
      <c r="BJ774" s="1155"/>
      <c r="BK774" s="1155"/>
      <c r="BL774" s="1155"/>
      <c r="BM774" s="1155"/>
      <c r="BN774" s="1155"/>
      <c r="BO774" s="1155"/>
      <c r="BP774" s="1155"/>
      <c r="BQ774" s="1155"/>
      <c r="BR774" s="1155"/>
      <c r="BS774" s="1155"/>
    </row>
    <row r="775" spans="5:71" s="474" customFormat="1" ht="12.75" customHeight="1">
      <c r="E775" s="4109"/>
      <c r="F775" s="1374" t="s">
        <v>592</v>
      </c>
      <c r="G775" s="1083"/>
      <c r="H775" s="1084"/>
      <c r="I775" s="1084"/>
      <c r="J775" s="1084"/>
      <c r="K775" s="1085"/>
      <c r="L775" s="207"/>
      <c r="M775" s="456"/>
      <c r="N775" s="456">
        <v>2579</v>
      </c>
      <c r="O775" s="456"/>
      <c r="P775" s="457"/>
      <c r="Q775" s="207"/>
      <c r="R775" s="456"/>
      <c r="S775" s="456"/>
      <c r="T775" s="456"/>
      <c r="U775" s="457"/>
      <c r="V775" s="1172"/>
      <c r="W775" s="207">
        <v>0</v>
      </c>
      <c r="X775" s="456">
        <v>0</v>
      </c>
      <c r="Y775" s="456">
        <v>0</v>
      </c>
      <c r="Z775" s="456">
        <v>0</v>
      </c>
      <c r="AA775" s="457">
        <v>0</v>
      </c>
      <c r="AB775" s="1041"/>
      <c r="AC775" s="207">
        <v>0</v>
      </c>
      <c r="AD775" s="456">
        <v>0</v>
      </c>
      <c r="AE775" s="456">
        <v>0</v>
      </c>
      <c r="AF775" s="456">
        <v>0</v>
      </c>
      <c r="AG775" s="456">
        <v>0</v>
      </c>
      <c r="AH775" s="1048"/>
      <c r="AI775" s="1172"/>
      <c r="AJ775" s="1155"/>
      <c r="AK775" s="1155"/>
      <c r="AL775" s="1083"/>
      <c r="AM775" s="1084"/>
      <c r="AN775" s="1084"/>
      <c r="AO775" s="1084"/>
      <c r="AP775" s="1085"/>
      <c r="AQ775" s="207">
        <f>SUM(AQ770:AQ774)</f>
        <v>0</v>
      </c>
      <c r="AR775" s="456">
        <f t="shared" ref="AR775" si="3472">SUM(AR770:AR774)</f>
        <v>0</v>
      </c>
      <c r="AS775" s="457"/>
      <c r="AT775" s="1155"/>
      <c r="AU775" s="1155"/>
      <c r="AV775" s="1155"/>
      <c r="AW775" s="1155"/>
      <c r="AX775" s="1155"/>
      <c r="AY775" s="1155"/>
      <c r="AZ775" s="1155"/>
      <c r="BA775" s="1155"/>
      <c r="BB775" s="1155"/>
      <c r="BC775" s="1155"/>
      <c r="BD775" s="1155"/>
      <c r="BE775" s="1155"/>
      <c r="BF775" s="1155"/>
      <c r="BG775" s="1155"/>
      <c r="BH775" s="1155"/>
      <c r="BI775" s="1155"/>
      <c r="BJ775" s="1155"/>
      <c r="BK775" s="1155"/>
      <c r="BL775" s="1155"/>
      <c r="BM775" s="1155"/>
      <c r="BN775" s="1155"/>
      <c r="BO775" s="1155"/>
      <c r="BP775" s="1155"/>
      <c r="BQ775" s="1155"/>
      <c r="BR775" s="1155"/>
      <c r="BS775" s="1155"/>
    </row>
    <row r="776" spans="5:71" s="474" customFormat="1">
      <c r="E776" s="4109"/>
      <c r="F776" s="1375" t="s">
        <v>587</v>
      </c>
      <c r="G776" s="1086"/>
      <c r="H776" s="1087"/>
      <c r="I776" s="1087"/>
      <c r="J776" s="1087"/>
      <c r="K776" s="1088"/>
      <c r="L776" s="258">
        <f>SUM(L771:L775)</f>
        <v>0</v>
      </c>
      <c r="M776" s="465">
        <f t="shared" ref="M776" si="3473">SUM(M771:M775)</f>
        <v>0</v>
      </c>
      <c r="N776" s="465">
        <f t="shared" ref="N776" si="3474">SUM(N771:N775)</f>
        <v>2579</v>
      </c>
      <c r="O776" s="465">
        <f t="shared" ref="O776" si="3475">SUM(O771:O775)</f>
        <v>0</v>
      </c>
      <c r="P776" s="282">
        <f t="shared" ref="P776" si="3476">SUM(P771:P775)</f>
        <v>0</v>
      </c>
      <c r="Q776" s="258">
        <f t="shared" ref="Q776" si="3477">SUM(Q771:Q775)</f>
        <v>0</v>
      </c>
      <c r="R776" s="465">
        <f t="shared" ref="R776" si="3478">SUM(R771:R775)</f>
        <v>0</v>
      </c>
      <c r="S776" s="465">
        <f t="shared" ref="S776" si="3479">SUM(S771:S775)</f>
        <v>0</v>
      </c>
      <c r="T776" s="465">
        <f t="shared" ref="T776" si="3480">SUM(T771:T775)</f>
        <v>0</v>
      </c>
      <c r="U776" s="282">
        <f t="shared" ref="U776" si="3481">SUM(U771:U775)</f>
        <v>0</v>
      </c>
      <c r="V776" s="1172"/>
      <c r="W776" s="258">
        <f t="shared" ref="W776" si="3482">SUM(W771:W775)</f>
        <v>0</v>
      </c>
      <c r="X776" s="465">
        <f t="shared" ref="X776" si="3483">SUM(X771:X775)</f>
        <v>0</v>
      </c>
      <c r="Y776" s="465">
        <f t="shared" ref="Y776" si="3484">SUM(Y771:Y775)</f>
        <v>0</v>
      </c>
      <c r="Z776" s="465">
        <f t="shared" ref="Z776" si="3485">SUM(Z771:Z775)</f>
        <v>0</v>
      </c>
      <c r="AA776" s="282">
        <f t="shared" ref="AA776" si="3486">SUM(AA771:AA775)</f>
        <v>0</v>
      </c>
      <c r="AB776" s="992"/>
      <c r="AC776" s="258">
        <f t="shared" ref="AC776" si="3487">SUM(AC771:AC775)</f>
        <v>0</v>
      </c>
      <c r="AD776" s="465">
        <f t="shared" ref="AD776" si="3488">SUM(AD771:AD775)</f>
        <v>0</v>
      </c>
      <c r="AE776" s="465">
        <f t="shared" ref="AE776" si="3489">SUM(AE771:AE775)</f>
        <v>0</v>
      </c>
      <c r="AF776" s="465">
        <f t="shared" ref="AF776" si="3490">SUM(AF771:AF775)</f>
        <v>0</v>
      </c>
      <c r="AG776" s="465">
        <f t="shared" ref="AG776" si="3491">SUM(AG771:AG775)</f>
        <v>0</v>
      </c>
      <c r="AH776" s="1049"/>
      <c r="AI776" s="1172"/>
      <c r="AJ776" s="1155"/>
      <c r="AK776" s="1155"/>
      <c r="AL776" s="1086"/>
      <c r="AM776" s="1087"/>
      <c r="AN776" s="1087"/>
      <c r="AO776" s="1087"/>
      <c r="AP776" s="1088"/>
      <c r="AQ776" s="258"/>
      <c r="AR776" s="465"/>
      <c r="AS776" s="282"/>
      <c r="AT776" s="1155"/>
      <c r="AU776" s="1155"/>
      <c r="AV776" s="1155"/>
      <c r="AW776" s="1155"/>
      <c r="AX776" s="1155"/>
      <c r="AY776" s="1155"/>
      <c r="AZ776" s="1155"/>
      <c r="BA776" s="1155"/>
      <c r="BB776" s="1155"/>
      <c r="BC776" s="1155"/>
      <c r="BD776" s="1155"/>
      <c r="BE776" s="1155"/>
      <c r="BF776" s="1155"/>
      <c r="BG776" s="1155"/>
      <c r="BH776" s="1155"/>
      <c r="BI776" s="1155"/>
      <c r="BJ776" s="1155"/>
      <c r="BK776" s="1155"/>
      <c r="BL776" s="1155"/>
      <c r="BM776" s="1155"/>
      <c r="BN776" s="1155"/>
      <c r="BO776" s="1155"/>
      <c r="BP776" s="1155"/>
      <c r="BQ776" s="1155"/>
      <c r="BR776" s="1155"/>
      <c r="BS776" s="1155"/>
    </row>
    <row r="777" spans="5:71" s="474" customFormat="1">
      <c r="E777" s="4109"/>
      <c r="F777" s="1376" t="s">
        <v>593</v>
      </c>
      <c r="G777" s="1083"/>
      <c r="H777" s="1084"/>
      <c r="I777" s="1084"/>
      <c r="J777" s="1084"/>
      <c r="K777" s="1085"/>
      <c r="L777" s="255"/>
      <c r="M777" s="461"/>
      <c r="N777" s="461"/>
      <c r="O777" s="461"/>
      <c r="P777" s="281"/>
      <c r="Q777" s="255"/>
      <c r="R777" s="461"/>
      <c r="S777" s="461"/>
      <c r="T777" s="461"/>
      <c r="U777" s="281"/>
      <c r="V777" s="1172"/>
      <c r="W777" s="255"/>
      <c r="X777" s="461"/>
      <c r="Y777" s="461"/>
      <c r="Z777" s="461"/>
      <c r="AA777" s="281"/>
      <c r="AB777" s="1041"/>
      <c r="AC777" s="255"/>
      <c r="AD777" s="461"/>
      <c r="AE777" s="461"/>
      <c r="AF777" s="461"/>
      <c r="AG777" s="461"/>
      <c r="AH777" s="1047"/>
      <c r="AI777" s="1172"/>
      <c r="AJ777" s="1155"/>
      <c r="AK777" s="1155"/>
      <c r="AL777" s="1083"/>
      <c r="AM777" s="1084"/>
      <c r="AN777" s="1084"/>
      <c r="AO777" s="1084"/>
      <c r="AP777" s="1085"/>
      <c r="AQ777" s="259"/>
      <c r="AR777" s="466"/>
      <c r="AS777" s="283"/>
      <c r="AT777" s="1155"/>
      <c r="AU777" s="1155"/>
      <c r="AV777" s="1155"/>
      <c r="AW777" s="1155"/>
      <c r="AX777" s="1155"/>
      <c r="AY777" s="1155"/>
      <c r="AZ777" s="1155"/>
      <c r="BA777" s="1155"/>
      <c r="BB777" s="1155"/>
      <c r="BC777" s="1155"/>
      <c r="BD777" s="1155"/>
      <c r="BE777" s="1155"/>
      <c r="BF777" s="1155"/>
      <c r="BG777" s="1155"/>
      <c r="BH777" s="1155"/>
      <c r="BI777" s="1155"/>
      <c r="BJ777" s="1155"/>
      <c r="BK777" s="1155"/>
      <c r="BL777" s="1155"/>
      <c r="BM777" s="1155"/>
      <c r="BN777" s="1155"/>
      <c r="BO777" s="1155"/>
      <c r="BP777" s="1155"/>
      <c r="BQ777" s="1155"/>
      <c r="BR777" s="1155"/>
      <c r="BS777" s="1155"/>
    </row>
    <row r="778" spans="5:71" s="474" customFormat="1">
      <c r="E778" s="4109"/>
      <c r="F778" s="431" t="s">
        <v>558</v>
      </c>
      <c r="G778" s="1083"/>
      <c r="H778" s="1084"/>
      <c r="I778" s="1084"/>
      <c r="J778" s="1084"/>
      <c r="K778" s="1085"/>
      <c r="L778" s="255"/>
      <c r="M778" s="461"/>
      <c r="N778" s="461">
        <v>419161.59999999998</v>
      </c>
      <c r="O778" s="461"/>
      <c r="P778" s="281"/>
      <c r="Q778" s="255"/>
      <c r="R778" s="461"/>
      <c r="S778" s="461"/>
      <c r="T778" s="461"/>
      <c r="U778" s="281"/>
      <c r="V778" s="1172"/>
      <c r="W778" s="255"/>
      <c r="X778" s="461"/>
      <c r="Y778" s="461"/>
      <c r="Z778" s="461"/>
      <c r="AA778" s="281"/>
      <c r="AB778" s="1041"/>
      <c r="AC778" s="255"/>
      <c r="AD778" s="461"/>
      <c r="AE778" s="461"/>
      <c r="AF778" s="461"/>
      <c r="AG778" s="461"/>
      <c r="AH778" s="1047"/>
      <c r="AI778" s="1172"/>
      <c r="AJ778" s="1155"/>
      <c r="AK778" s="1155"/>
      <c r="AL778" s="1083"/>
      <c r="AM778" s="1084"/>
      <c r="AN778" s="1084"/>
      <c r="AO778" s="1084"/>
      <c r="AP778" s="1085"/>
      <c r="AQ778" s="259"/>
      <c r="AR778" s="466"/>
      <c r="AS778" s="283"/>
      <c r="AT778" s="1155"/>
      <c r="AU778" s="1155"/>
      <c r="AV778" s="1155"/>
      <c r="AW778" s="1155"/>
      <c r="AX778" s="1155"/>
      <c r="AY778" s="1155"/>
      <c r="AZ778" s="1155"/>
      <c r="BA778" s="1155"/>
      <c r="BB778" s="1155"/>
      <c r="BC778" s="1155"/>
      <c r="BD778" s="1155"/>
      <c r="BE778" s="1155"/>
      <c r="BF778" s="1155"/>
      <c r="BG778" s="1155"/>
      <c r="BH778" s="1155"/>
      <c r="BI778" s="1155"/>
      <c r="BJ778" s="1155"/>
      <c r="BK778" s="1155"/>
      <c r="BL778" s="1155"/>
      <c r="BM778" s="1155"/>
      <c r="BN778" s="1155"/>
      <c r="BO778" s="1155"/>
      <c r="BP778" s="1155"/>
      <c r="BQ778" s="1155"/>
      <c r="BR778" s="1155"/>
      <c r="BS778" s="1155"/>
    </row>
    <row r="779" spans="5:71" s="474" customFormat="1">
      <c r="E779" s="4109"/>
      <c r="F779" s="431" t="s">
        <v>559</v>
      </c>
      <c r="G779" s="1083"/>
      <c r="H779" s="1084"/>
      <c r="I779" s="1084"/>
      <c r="J779" s="1084"/>
      <c r="K779" s="1085"/>
      <c r="L779" s="255"/>
      <c r="M779" s="461"/>
      <c r="N779" s="461"/>
      <c r="O779" s="461"/>
      <c r="P779" s="281"/>
      <c r="Q779" s="255"/>
      <c r="R779" s="461"/>
      <c r="S779" s="461"/>
      <c r="T779" s="461"/>
      <c r="U779" s="281"/>
      <c r="V779" s="1172"/>
      <c r="W779" s="255"/>
      <c r="X779" s="461"/>
      <c r="Y779" s="461"/>
      <c r="Z779" s="461"/>
      <c r="AA779" s="281"/>
      <c r="AB779" s="1041"/>
      <c r="AC779" s="255"/>
      <c r="AD779" s="461"/>
      <c r="AE779" s="461"/>
      <c r="AF779" s="461"/>
      <c r="AG779" s="461"/>
      <c r="AH779" s="1047"/>
      <c r="AI779" s="1172"/>
      <c r="AJ779" s="1155"/>
      <c r="AK779" s="1155"/>
      <c r="AL779" s="1083"/>
      <c r="AM779" s="1084"/>
      <c r="AN779" s="1084"/>
      <c r="AO779" s="1084"/>
      <c r="AP779" s="1085"/>
      <c r="AQ779" s="259"/>
      <c r="AR779" s="466"/>
      <c r="AS779" s="283"/>
      <c r="AT779" s="1155"/>
      <c r="AU779" s="1155"/>
      <c r="AV779" s="1155"/>
      <c r="AW779" s="1155"/>
      <c r="AX779" s="1155"/>
      <c r="AY779" s="1155"/>
      <c r="AZ779" s="1155"/>
      <c r="BA779" s="1155"/>
      <c r="BB779" s="1155"/>
      <c r="BC779" s="1155"/>
      <c r="BD779" s="1155"/>
      <c r="BE779" s="1155"/>
      <c r="BF779" s="1155"/>
      <c r="BG779" s="1155"/>
      <c r="BH779" s="1155"/>
      <c r="BI779" s="1155"/>
      <c r="BJ779" s="1155"/>
      <c r="BK779" s="1155"/>
      <c r="BL779" s="1155"/>
      <c r="BM779" s="1155"/>
      <c r="BN779" s="1155"/>
      <c r="BO779" s="1155"/>
      <c r="BP779" s="1155"/>
      <c r="BQ779" s="1155"/>
      <c r="BR779" s="1155"/>
      <c r="BS779" s="1155"/>
    </row>
    <row r="780" spans="5:71" s="474" customFormat="1">
      <c r="E780" s="4109"/>
      <c r="F780" s="431" t="s">
        <v>578</v>
      </c>
      <c r="G780" s="1089"/>
      <c r="H780" s="1090"/>
      <c r="I780" s="1090"/>
      <c r="J780" s="1090"/>
      <c r="K780" s="1091"/>
      <c r="L780" s="259"/>
      <c r="M780" s="456"/>
      <c r="N780" s="456"/>
      <c r="O780" s="456"/>
      <c r="P780" s="457"/>
      <c r="Q780" s="207"/>
      <c r="R780" s="456"/>
      <c r="S780" s="456"/>
      <c r="T780" s="456"/>
      <c r="U780" s="457"/>
      <c r="V780" s="1172"/>
      <c r="W780" s="207"/>
      <c r="X780" s="456"/>
      <c r="Y780" s="456"/>
      <c r="Z780" s="456"/>
      <c r="AA780" s="457"/>
      <c r="AB780" s="1041"/>
      <c r="AC780" s="207"/>
      <c r="AD780" s="456"/>
      <c r="AE780" s="456"/>
      <c r="AF780" s="456"/>
      <c r="AG780" s="456"/>
      <c r="AH780" s="1048"/>
      <c r="AI780" s="1172"/>
      <c r="AJ780" s="1155"/>
      <c r="AK780" s="1155"/>
      <c r="AL780" s="1089"/>
      <c r="AM780" s="1090"/>
      <c r="AN780" s="1090"/>
      <c r="AO780" s="1090"/>
      <c r="AP780" s="1091"/>
      <c r="AQ780" s="259"/>
      <c r="AR780" s="456"/>
      <c r="AS780" s="457"/>
      <c r="AT780" s="1155"/>
      <c r="AU780" s="1155"/>
      <c r="AV780" s="1155"/>
      <c r="AW780" s="1155"/>
      <c r="AX780" s="1155"/>
      <c r="AY780" s="1155"/>
      <c r="AZ780" s="1155"/>
      <c r="BA780" s="1155"/>
      <c r="BB780" s="1155"/>
      <c r="BC780" s="1155"/>
      <c r="BD780" s="1155"/>
      <c r="BE780" s="1155"/>
      <c r="BF780" s="1155"/>
      <c r="BG780" s="1155"/>
      <c r="BH780" s="1155"/>
      <c r="BI780" s="1155"/>
      <c r="BJ780" s="1155"/>
      <c r="BK780" s="1155"/>
      <c r="BL780" s="1155"/>
      <c r="BM780" s="1155"/>
      <c r="BN780" s="1155"/>
      <c r="BO780" s="1155"/>
      <c r="BP780" s="1155"/>
      <c r="BQ780" s="1155"/>
      <c r="BR780" s="1155"/>
      <c r="BS780" s="1155"/>
    </row>
    <row r="781" spans="5:71" s="474" customFormat="1">
      <c r="E781" s="4109"/>
      <c r="F781" s="1377" t="s">
        <v>579</v>
      </c>
      <c r="G781" s="1086"/>
      <c r="H781" s="1087"/>
      <c r="I781" s="1087"/>
      <c r="J781" s="1087"/>
      <c r="K781" s="1088"/>
      <c r="L781" s="258">
        <f>SUM(L777:L780)</f>
        <v>0</v>
      </c>
      <c r="M781" s="465">
        <f t="shared" ref="M781" si="3492">SUM(M777:M780)</f>
        <v>0</v>
      </c>
      <c r="N781" s="465">
        <f t="shared" ref="N781" si="3493">SUM(N777:N780)</f>
        <v>419161.59999999998</v>
      </c>
      <c r="O781" s="465">
        <f t="shared" ref="O781" si="3494">SUM(O777:O780)</f>
        <v>0</v>
      </c>
      <c r="P781" s="282">
        <f t="shared" ref="P781" si="3495">SUM(P777:P780)</f>
        <v>0</v>
      </c>
      <c r="Q781" s="258">
        <f t="shared" ref="Q781" si="3496">SUM(Q777:Q780)</f>
        <v>0</v>
      </c>
      <c r="R781" s="465">
        <f t="shared" ref="R781" si="3497">SUM(R777:R780)</f>
        <v>0</v>
      </c>
      <c r="S781" s="465">
        <f t="shared" ref="S781" si="3498">SUM(S777:S780)</f>
        <v>0</v>
      </c>
      <c r="T781" s="465">
        <f t="shared" ref="T781" si="3499">SUM(T777:T780)</f>
        <v>0</v>
      </c>
      <c r="U781" s="282">
        <f t="shared" ref="U781" si="3500">SUM(U777:U780)</f>
        <v>0</v>
      </c>
      <c r="V781" s="1172"/>
      <c r="W781" s="258">
        <f t="shared" ref="W781" si="3501">SUM(W777:W780)</f>
        <v>0</v>
      </c>
      <c r="X781" s="465">
        <f t="shared" ref="X781" si="3502">SUM(X777:X780)</f>
        <v>0</v>
      </c>
      <c r="Y781" s="465">
        <f t="shared" ref="Y781" si="3503">SUM(Y777:Y780)</f>
        <v>0</v>
      </c>
      <c r="Z781" s="465">
        <f t="shared" ref="Z781" si="3504">SUM(Z777:Z780)</f>
        <v>0</v>
      </c>
      <c r="AA781" s="282">
        <f t="shared" ref="AA781" si="3505">SUM(AA777:AA780)</f>
        <v>0</v>
      </c>
      <c r="AB781" s="992"/>
      <c r="AC781" s="258">
        <f t="shared" ref="AC781" si="3506">SUM(AC777:AC780)</f>
        <v>0</v>
      </c>
      <c r="AD781" s="465">
        <f t="shared" ref="AD781" si="3507">SUM(AD777:AD780)</f>
        <v>0</v>
      </c>
      <c r="AE781" s="465">
        <f t="shared" ref="AE781" si="3508">SUM(AE777:AE780)</f>
        <v>0</v>
      </c>
      <c r="AF781" s="465">
        <f t="shared" ref="AF781" si="3509">SUM(AF777:AF780)</f>
        <v>0</v>
      </c>
      <c r="AG781" s="465">
        <f t="shared" ref="AG781" si="3510">SUM(AG777:AG780)</f>
        <v>0</v>
      </c>
      <c r="AH781" s="1049"/>
      <c r="AI781" s="1172"/>
      <c r="AJ781" s="1155"/>
      <c r="AK781" s="1155"/>
      <c r="AL781" s="1086"/>
      <c r="AM781" s="1087"/>
      <c r="AN781" s="1087"/>
      <c r="AO781" s="1087"/>
      <c r="AP781" s="1088"/>
      <c r="AQ781" s="258">
        <f>SUM(AQ778:AQ780)</f>
        <v>0</v>
      </c>
      <c r="AR781" s="465">
        <f t="shared" ref="AR781" si="3511">SUM(AR778:AR780)</f>
        <v>0</v>
      </c>
      <c r="AS781" s="282"/>
      <c r="AT781" s="1155"/>
      <c r="AU781" s="1155"/>
      <c r="AV781" s="1155"/>
      <c r="AW781" s="1155"/>
      <c r="AX781" s="1155"/>
      <c r="AY781" s="1155"/>
      <c r="AZ781" s="1155"/>
      <c r="BA781" s="1155"/>
      <c r="BB781" s="1155"/>
      <c r="BC781" s="1155"/>
      <c r="BD781" s="1155"/>
      <c r="BE781" s="1155"/>
      <c r="BF781" s="1155"/>
      <c r="BG781" s="1155"/>
      <c r="BH781" s="1155"/>
      <c r="BI781" s="1155"/>
      <c r="BJ781" s="1155"/>
      <c r="BK781" s="1155"/>
      <c r="BL781" s="1155"/>
      <c r="BM781" s="1155"/>
      <c r="BN781" s="1155"/>
      <c r="BO781" s="1155"/>
      <c r="BP781" s="1155"/>
      <c r="BQ781" s="1155"/>
      <c r="BR781" s="1155"/>
      <c r="BS781" s="1155"/>
    </row>
    <row r="782" spans="5:71" s="474" customFormat="1" ht="13.5" thickBot="1">
      <c r="E782" s="4109"/>
      <c r="F782" s="1035" t="s">
        <v>583</v>
      </c>
      <c r="G782" s="255"/>
      <c r="H782" s="461"/>
      <c r="I782" s="461"/>
      <c r="J782" s="461"/>
      <c r="K782" s="281"/>
      <c r="L782" s="207"/>
      <c r="M782" s="456"/>
      <c r="N782" s="456"/>
      <c r="O782" s="456"/>
      <c r="P782" s="457"/>
      <c r="Q782" s="207"/>
      <c r="R782" s="456"/>
      <c r="S782" s="456"/>
      <c r="T782" s="456"/>
      <c r="U782" s="457"/>
      <c r="V782" s="1172"/>
      <c r="W782" s="1603"/>
      <c r="X782" s="1604"/>
      <c r="Y782" s="1604"/>
      <c r="Z782" s="1604"/>
      <c r="AA782" s="1605"/>
      <c r="AB782" s="1606"/>
      <c r="AC782" s="1603"/>
      <c r="AD782" s="1607"/>
      <c r="AE782" s="1607"/>
      <c r="AF782" s="1607"/>
      <c r="AG782" s="1607"/>
      <c r="AH782" s="1608"/>
      <c r="AI782" s="1172"/>
      <c r="AJ782" s="1155"/>
      <c r="AK782" s="1155"/>
      <c r="AL782" s="259"/>
      <c r="AM782" s="466"/>
      <c r="AN782" s="466"/>
      <c r="AO782" s="466"/>
      <c r="AP782" s="283"/>
      <c r="AQ782" s="259"/>
      <c r="AR782" s="466"/>
      <c r="AS782" s="283"/>
      <c r="AT782" s="1155"/>
      <c r="AU782" s="1155"/>
      <c r="AV782" s="1155"/>
      <c r="AW782" s="1155"/>
      <c r="AX782" s="1155"/>
      <c r="AY782" s="1155"/>
      <c r="AZ782" s="1155"/>
      <c r="BA782" s="1155"/>
      <c r="BB782" s="1155"/>
      <c r="BC782" s="1155"/>
      <c r="BD782" s="1155"/>
      <c r="BE782" s="1155"/>
      <c r="BF782" s="1155"/>
      <c r="BG782" s="1155"/>
      <c r="BH782" s="1155"/>
      <c r="BI782" s="1155"/>
      <c r="BJ782" s="1155"/>
      <c r="BK782" s="1155"/>
      <c r="BL782" s="1155"/>
      <c r="BM782" s="1155"/>
      <c r="BN782" s="1155"/>
      <c r="BO782" s="1155"/>
      <c r="BP782" s="1155"/>
      <c r="BQ782" s="1155"/>
      <c r="BR782" s="1155"/>
      <c r="BS782" s="1155"/>
    </row>
    <row r="783" spans="5:71" s="474" customFormat="1" ht="13.5" thickBot="1">
      <c r="E783" s="4109"/>
      <c r="F783" s="1380" t="s">
        <v>581</v>
      </c>
      <c r="G783" s="1599"/>
      <c r="H783" s="1600"/>
      <c r="I783" s="1600"/>
      <c r="J783" s="1600"/>
      <c r="K783" s="1601"/>
      <c r="L783" s="1599"/>
      <c r="M783" s="1600"/>
      <c r="N783" s="1600"/>
      <c r="O783" s="1600"/>
      <c r="P783" s="1601"/>
      <c r="Q783" s="1599"/>
      <c r="R783" s="1600"/>
      <c r="S783" s="1600"/>
      <c r="T783" s="1600"/>
      <c r="U783" s="1601"/>
      <c r="V783" s="1172"/>
      <c r="W783" s="1614"/>
      <c r="X783" s="1615"/>
      <c r="Y783" s="1615"/>
      <c r="Z783" s="1615"/>
      <c r="AA783" s="1615"/>
      <c r="AB783" s="1615"/>
      <c r="AC783" s="1615"/>
      <c r="AD783" s="1615"/>
      <c r="AE783" s="1615"/>
      <c r="AF783" s="1615"/>
      <c r="AG783" s="1615"/>
      <c r="AH783" s="1616"/>
      <c r="AI783" s="1172"/>
      <c r="AJ783" s="1155"/>
      <c r="AK783" s="1155"/>
      <c r="AL783" s="259"/>
      <c r="AM783" s="466"/>
      <c r="AN783" s="466"/>
      <c r="AO783" s="466"/>
      <c r="AP783" s="283"/>
      <c r="AQ783" s="259"/>
      <c r="AR783" s="466"/>
      <c r="AS783" s="283"/>
      <c r="AT783" s="1155"/>
      <c r="AU783" s="1155"/>
      <c r="AV783" s="1155"/>
      <c r="AW783" s="1155"/>
      <c r="AX783" s="1155"/>
      <c r="AY783" s="1155"/>
      <c r="AZ783" s="1155"/>
      <c r="BA783" s="1155"/>
      <c r="BB783" s="1155"/>
      <c r="BC783" s="1155"/>
      <c r="BD783" s="1155"/>
      <c r="BE783" s="1155"/>
      <c r="BF783" s="1155"/>
      <c r="BG783" s="1155"/>
      <c r="BH783" s="1155"/>
      <c r="BI783" s="1155"/>
      <c r="BJ783" s="1155"/>
      <c r="BK783" s="1155"/>
      <c r="BL783" s="1155"/>
      <c r="BM783" s="1155"/>
      <c r="BN783" s="1155"/>
      <c r="BO783" s="1155"/>
      <c r="BP783" s="1155"/>
      <c r="BQ783" s="1155"/>
      <c r="BR783" s="1155"/>
      <c r="BS783" s="1155"/>
    </row>
    <row r="784" spans="5:71" s="474" customFormat="1">
      <c r="E784" s="4109"/>
      <c r="F784" s="1378" t="s">
        <v>584</v>
      </c>
      <c r="G784" s="1050">
        <v>0</v>
      </c>
      <c r="H784" s="1051">
        <v>0</v>
      </c>
      <c r="I784" s="1051">
        <v>0</v>
      </c>
      <c r="J784" s="1051">
        <v>0</v>
      </c>
      <c r="K784" s="1052">
        <v>0</v>
      </c>
      <c r="L784" s="1050">
        <f>SUM(L781:L783)</f>
        <v>0</v>
      </c>
      <c r="M784" s="1051">
        <f t="shared" ref="M784" si="3512">SUM(M781:M783)</f>
        <v>0</v>
      </c>
      <c r="N784" s="1051">
        <f t="shared" ref="N784" si="3513">SUM(N781:N783)</f>
        <v>419161.59999999998</v>
      </c>
      <c r="O784" s="1051">
        <f t="shared" ref="O784" si="3514">SUM(O781:O783)</f>
        <v>0</v>
      </c>
      <c r="P784" s="1052">
        <f t="shared" ref="P784" si="3515">SUM(P781:P783)</f>
        <v>0</v>
      </c>
      <c r="Q784" s="1050">
        <f t="shared" ref="Q784" si="3516">SUM(Q781:Q783)</f>
        <v>0</v>
      </c>
      <c r="R784" s="1051">
        <f t="shared" ref="R784" si="3517">SUM(R781:R783)</f>
        <v>0</v>
      </c>
      <c r="S784" s="1051">
        <f t="shared" ref="S784" si="3518">SUM(S781:S783)</f>
        <v>0</v>
      </c>
      <c r="T784" s="1051">
        <f t="shared" ref="T784" si="3519">SUM(T781:T783)</f>
        <v>0</v>
      </c>
      <c r="U784" s="1052">
        <f t="shared" ref="U784" si="3520">SUM(U781:U783)</f>
        <v>0</v>
      </c>
      <c r="V784" s="1172"/>
      <c r="W784" s="1609">
        <f t="shared" ref="W784" si="3521">SUM(W781:W783)</f>
        <v>0</v>
      </c>
      <c r="X784" s="1610">
        <f t="shared" ref="X784" si="3522">SUM(X781:X783)</f>
        <v>0</v>
      </c>
      <c r="Y784" s="1610">
        <f t="shared" ref="Y784" si="3523">SUM(Y781:Y783)</f>
        <v>0</v>
      </c>
      <c r="Z784" s="1610">
        <f t="shared" ref="Z784" si="3524">SUM(Z781:Z783)</f>
        <v>0</v>
      </c>
      <c r="AA784" s="1611">
        <f t="shared" ref="AA784" si="3525">SUM(AA781:AA783)</f>
        <v>0</v>
      </c>
      <c r="AB784" s="1612"/>
      <c r="AC784" s="1609">
        <f t="shared" ref="AC784" si="3526">SUM(AC781:AC783)</f>
        <v>0</v>
      </c>
      <c r="AD784" s="1610">
        <f t="shared" ref="AD784" si="3527">SUM(AD781:AD783)</f>
        <v>0</v>
      </c>
      <c r="AE784" s="1610">
        <f t="shared" ref="AE784" si="3528">SUM(AE781:AE783)</f>
        <v>0</v>
      </c>
      <c r="AF784" s="1610">
        <f t="shared" ref="AF784" si="3529">SUM(AF781:AF783)</f>
        <v>0</v>
      </c>
      <c r="AG784" s="1610">
        <f t="shared" ref="AG784" si="3530">SUM(AG781:AG783)</f>
        <v>0</v>
      </c>
      <c r="AH784" s="1613"/>
      <c r="AI784" s="1172"/>
      <c r="AJ784" s="130"/>
      <c r="AK784" s="130"/>
      <c r="AL784" s="1050">
        <f t="shared" ref="AL784:AR784" si="3531">SUM(AL782:AL783)</f>
        <v>0</v>
      </c>
      <c r="AM784" s="1051">
        <f t="shared" si="3531"/>
        <v>0</v>
      </c>
      <c r="AN784" s="1051">
        <f t="shared" si="3531"/>
        <v>0</v>
      </c>
      <c r="AO784" s="1051">
        <f t="shared" si="3531"/>
        <v>0</v>
      </c>
      <c r="AP784" s="1052">
        <f t="shared" si="3531"/>
        <v>0</v>
      </c>
      <c r="AQ784" s="1050">
        <f t="shared" si="3531"/>
        <v>0</v>
      </c>
      <c r="AR784" s="1051">
        <f t="shared" si="3531"/>
        <v>0</v>
      </c>
      <c r="AS784" s="1052"/>
      <c r="AT784" s="130"/>
      <c r="AU784" s="130"/>
      <c r="AV784" s="130"/>
      <c r="AW784" s="130"/>
      <c r="AX784" s="130"/>
      <c r="AY784" s="130"/>
      <c r="AZ784" s="130"/>
      <c r="BA784" s="130"/>
      <c r="BB784" s="130"/>
      <c r="BC784" s="130"/>
      <c r="BD784" s="130"/>
      <c r="BE784" s="130"/>
      <c r="BF784" s="130"/>
      <c r="BG784" s="130"/>
      <c r="BH784" s="130"/>
      <c r="BI784" s="130"/>
      <c r="BJ784" s="130"/>
      <c r="BK784" s="130"/>
      <c r="BL784" s="130"/>
      <c r="BM784" s="130"/>
      <c r="BN784" s="130"/>
      <c r="BO784" s="130"/>
      <c r="BP784" s="130"/>
      <c r="BQ784" s="130"/>
      <c r="BR784" s="130"/>
      <c r="BS784" s="1155"/>
    </row>
    <row r="785" spans="5:71" s="474" customFormat="1">
      <c r="E785" s="4109"/>
      <c r="F785" s="1389" t="s">
        <v>35</v>
      </c>
      <c r="G785" s="255"/>
      <c r="H785" s="461"/>
      <c r="I785" s="461"/>
      <c r="J785" s="461"/>
      <c r="K785" s="281"/>
      <c r="L785" s="255"/>
      <c r="M785" s="461"/>
      <c r="N785" s="461"/>
      <c r="O785" s="461"/>
      <c r="P785" s="281"/>
      <c r="Q785" s="255"/>
      <c r="R785" s="461"/>
      <c r="S785" s="461"/>
      <c r="T785" s="461"/>
      <c r="U785" s="281"/>
      <c r="V785" s="1172"/>
      <c r="W785" s="255"/>
      <c r="X785" s="461"/>
      <c r="Y785" s="461"/>
      <c r="Z785" s="461"/>
      <c r="AA785" s="281"/>
      <c r="AB785" s="1004"/>
      <c r="AC785" s="255"/>
      <c r="AD785" s="461"/>
      <c r="AE785" s="461"/>
      <c r="AF785" s="461"/>
      <c r="AG785" s="461"/>
      <c r="AH785" s="1047"/>
      <c r="AI785" s="1172"/>
      <c r="AJ785" s="1155"/>
      <c r="AK785" s="1155"/>
      <c r="AL785" s="259"/>
      <c r="AM785" s="466"/>
      <c r="AN785" s="466"/>
      <c r="AO785" s="466"/>
      <c r="AP785" s="283"/>
      <c r="AQ785" s="259"/>
      <c r="AR785" s="466"/>
      <c r="AS785" s="283"/>
      <c r="AT785" s="1155"/>
      <c r="AU785" s="1155"/>
      <c r="AV785" s="1155"/>
      <c r="AW785" s="1155"/>
      <c r="AX785" s="1155"/>
      <c r="AY785" s="1155"/>
      <c r="AZ785" s="1155"/>
      <c r="BA785" s="1155"/>
      <c r="BB785" s="1155"/>
      <c r="BC785" s="1155"/>
      <c r="BD785" s="1155"/>
      <c r="BE785" s="1155"/>
      <c r="BF785" s="1155"/>
      <c r="BG785" s="1155"/>
      <c r="BH785" s="1155"/>
      <c r="BI785" s="1155"/>
      <c r="BJ785" s="1155"/>
      <c r="BK785" s="1155"/>
      <c r="BL785" s="1155"/>
      <c r="BM785" s="1155"/>
      <c r="BN785" s="1155"/>
      <c r="BO785" s="1155"/>
      <c r="BP785" s="1155"/>
      <c r="BQ785" s="1155"/>
      <c r="BR785" s="1155"/>
      <c r="BS785" s="1155"/>
    </row>
    <row r="786" spans="5:71" s="474" customFormat="1" ht="13.5" thickBot="1">
      <c r="E786" s="4109"/>
      <c r="F786" s="1387" t="s">
        <v>585</v>
      </c>
      <c r="G786" s="1055">
        <v>0</v>
      </c>
      <c r="H786" s="1056">
        <v>0</v>
      </c>
      <c r="I786" s="1056">
        <v>0</v>
      </c>
      <c r="J786" s="1056">
        <v>0</v>
      </c>
      <c r="K786" s="1057">
        <v>0</v>
      </c>
      <c r="L786" s="1567">
        <f>L784-L785</f>
        <v>0</v>
      </c>
      <c r="M786" s="1056">
        <f t="shared" ref="M786" si="3532">M784-M785</f>
        <v>0</v>
      </c>
      <c r="N786" s="1056">
        <f t="shared" ref="N786" si="3533">N784-N785</f>
        <v>419161.59999999998</v>
      </c>
      <c r="O786" s="1056">
        <f t="shared" ref="O786" si="3534">O784-O785</f>
        <v>0</v>
      </c>
      <c r="P786" s="1057">
        <f t="shared" ref="P786" si="3535">P784-P785</f>
        <v>0</v>
      </c>
      <c r="Q786" s="1567">
        <f t="shared" ref="Q786" si="3536">Q784-Q785</f>
        <v>0</v>
      </c>
      <c r="R786" s="1056">
        <f t="shared" ref="R786" si="3537">R784-R785</f>
        <v>0</v>
      </c>
      <c r="S786" s="1056">
        <f t="shared" ref="S786" si="3538">S784-S785</f>
        <v>0</v>
      </c>
      <c r="T786" s="1056">
        <f t="shared" ref="T786" si="3539">T784-T785</f>
        <v>0</v>
      </c>
      <c r="U786" s="1057">
        <f t="shared" ref="U786" si="3540">U784-U785</f>
        <v>0</v>
      </c>
      <c r="V786" s="1172"/>
      <c r="W786" s="1055">
        <f t="shared" ref="W786" si="3541">W784-W785</f>
        <v>0</v>
      </c>
      <c r="X786" s="1056">
        <f t="shared" ref="X786" si="3542">X784-X785</f>
        <v>0</v>
      </c>
      <c r="Y786" s="1056">
        <f t="shared" ref="Y786" si="3543">Y784-Y785</f>
        <v>0</v>
      </c>
      <c r="Z786" s="1056">
        <f t="shared" ref="Z786" si="3544">Z784-Z785</f>
        <v>0</v>
      </c>
      <c r="AA786" s="1057">
        <f t="shared" ref="AA786" si="3545">AA784-AA785</f>
        <v>0</v>
      </c>
      <c r="AB786" s="1075"/>
      <c r="AC786" s="1055">
        <f t="shared" ref="AC786" si="3546">AC784-AC785</f>
        <v>0</v>
      </c>
      <c r="AD786" s="1056">
        <f t="shared" ref="AD786" si="3547">AD784-AD785</f>
        <v>0</v>
      </c>
      <c r="AE786" s="1056">
        <f t="shared" ref="AE786" si="3548">AE784-AE785</f>
        <v>0</v>
      </c>
      <c r="AF786" s="1056">
        <f t="shared" ref="AF786" si="3549">AF784-AF785</f>
        <v>0</v>
      </c>
      <c r="AG786" s="1056">
        <f t="shared" ref="AG786" si="3550">AG784-AG785</f>
        <v>0</v>
      </c>
      <c r="AH786" s="1059"/>
      <c r="AI786" s="1172"/>
      <c r="AJ786" s="1155"/>
      <c r="AK786" s="1155"/>
      <c r="AL786" s="1567">
        <f>AL784-AL785</f>
        <v>0</v>
      </c>
      <c r="AM786" s="1056">
        <f t="shared" ref="AM786:AR786" si="3551">AM784-AM785</f>
        <v>0</v>
      </c>
      <c r="AN786" s="1056">
        <f t="shared" si="3551"/>
        <v>0</v>
      </c>
      <c r="AO786" s="1056">
        <f t="shared" si="3551"/>
        <v>0</v>
      </c>
      <c r="AP786" s="1057">
        <f t="shared" si="3551"/>
        <v>0</v>
      </c>
      <c r="AQ786" s="1567">
        <f t="shared" si="3551"/>
        <v>0</v>
      </c>
      <c r="AR786" s="1056">
        <f t="shared" si="3551"/>
        <v>0</v>
      </c>
      <c r="AS786" s="1057"/>
      <c r="AT786" s="1155"/>
      <c r="AU786" s="1155"/>
      <c r="AV786" s="1155"/>
      <c r="AW786" s="1155"/>
      <c r="AX786" s="1155"/>
      <c r="AY786" s="1155"/>
      <c r="AZ786" s="1155"/>
      <c r="BA786" s="1155"/>
      <c r="BB786" s="1155"/>
      <c r="BC786" s="1155"/>
      <c r="BD786" s="1155"/>
      <c r="BE786" s="1155"/>
      <c r="BF786" s="1155"/>
      <c r="BG786" s="1155"/>
      <c r="BH786" s="1155"/>
      <c r="BI786" s="1155"/>
      <c r="BJ786" s="1155"/>
      <c r="BK786" s="1155"/>
      <c r="BL786" s="1155"/>
      <c r="BM786" s="1155"/>
      <c r="BN786" s="1155"/>
      <c r="BO786" s="1155"/>
      <c r="BP786" s="1155"/>
      <c r="BQ786" s="1155"/>
      <c r="BR786" s="1155"/>
      <c r="BS786" s="1155"/>
    </row>
    <row r="787" spans="5:71" s="474" customFormat="1" ht="12.75" customHeight="1">
      <c r="E787" s="4124" t="s">
        <v>2122</v>
      </c>
      <c r="F787" s="433" t="s">
        <v>111</v>
      </c>
      <c r="G787" s="1086"/>
      <c r="H787" s="1087"/>
      <c r="I787" s="1087"/>
      <c r="J787" s="1087"/>
      <c r="K787" s="1088"/>
      <c r="L787" s="258"/>
      <c r="M787" s="465"/>
      <c r="N787" s="465"/>
      <c r="O787" s="465"/>
      <c r="P787" s="282"/>
      <c r="Q787" s="965"/>
      <c r="R787" s="465"/>
      <c r="S787" s="465"/>
      <c r="T787" s="465"/>
      <c r="U787" s="1044"/>
      <c r="V787" s="1172"/>
      <c r="W787" s="1043"/>
      <c r="X787" s="421"/>
      <c r="Y787" s="421"/>
      <c r="Z787" s="421"/>
      <c r="AA787" s="1044"/>
      <c r="AB787" s="1045"/>
      <c r="AC787" s="1043"/>
      <c r="AD787" s="421"/>
      <c r="AE787" s="421"/>
      <c r="AF787" s="421"/>
      <c r="AG787" s="421"/>
      <c r="AH787" s="1046"/>
      <c r="AI787" s="1172"/>
      <c r="AJ787" s="1155"/>
      <c r="AK787" s="1155"/>
      <c r="AL787" s="1086"/>
      <c r="AM787" s="1087"/>
      <c r="AN787" s="1087"/>
      <c r="AO787" s="1087"/>
      <c r="AP787" s="1088"/>
      <c r="AQ787" s="258"/>
      <c r="AR787" s="465"/>
      <c r="AS787" s="282"/>
      <c r="AT787" s="1155"/>
      <c r="AU787" s="1155"/>
      <c r="AV787" s="1155"/>
      <c r="AW787" s="1155"/>
      <c r="AX787" s="1155"/>
      <c r="AY787" s="1155"/>
      <c r="AZ787" s="1155"/>
      <c r="BA787" s="1155"/>
      <c r="BB787" s="1155"/>
      <c r="BC787" s="1155"/>
      <c r="BD787" s="1155"/>
      <c r="BE787" s="1155"/>
      <c r="BF787" s="1155"/>
      <c r="BG787" s="1155"/>
      <c r="BH787" s="1155"/>
      <c r="BI787" s="1155"/>
      <c r="BJ787" s="1155"/>
      <c r="BK787" s="1155"/>
      <c r="BL787" s="1155"/>
      <c r="BM787" s="1155"/>
      <c r="BN787" s="1155"/>
      <c r="BO787" s="1155"/>
      <c r="BP787" s="1155"/>
      <c r="BQ787" s="1155"/>
      <c r="BR787" s="1155"/>
      <c r="BS787" s="1155"/>
    </row>
    <row r="788" spans="5:71" s="474" customFormat="1" ht="12.75" customHeight="1">
      <c r="E788" s="4109"/>
      <c r="F788" s="1374" t="s">
        <v>588</v>
      </c>
      <c r="G788" s="1083"/>
      <c r="H788" s="1084"/>
      <c r="I788" s="1084"/>
      <c r="J788" s="1084"/>
      <c r="K788" s="1085"/>
      <c r="L788" s="255"/>
      <c r="M788" s="461"/>
      <c r="N788" s="461"/>
      <c r="O788" s="461"/>
      <c r="P788" s="281"/>
      <c r="Q788" s="956"/>
      <c r="R788" s="461"/>
      <c r="S788" s="461"/>
      <c r="T788" s="461"/>
      <c r="U788" s="281"/>
      <c r="V788" s="1172"/>
      <c r="W788" s="255"/>
      <c r="X788" s="461"/>
      <c r="Y788" s="461"/>
      <c r="Z788" s="461"/>
      <c r="AA788" s="281"/>
      <c r="AB788" s="1041"/>
      <c r="AC788" s="255"/>
      <c r="AD788" s="461"/>
      <c r="AE788" s="461"/>
      <c r="AF788" s="461"/>
      <c r="AG788" s="461"/>
      <c r="AH788" s="1047"/>
      <c r="AI788" s="1172"/>
      <c r="AJ788" s="1155"/>
      <c r="AK788" s="1155"/>
      <c r="AL788" s="1083"/>
      <c r="AM788" s="1084"/>
      <c r="AN788" s="1084"/>
      <c r="AO788" s="1084"/>
      <c r="AP788" s="1085"/>
      <c r="AQ788" s="259"/>
      <c r="AR788" s="466"/>
      <c r="AS788" s="283"/>
      <c r="AT788" s="1155"/>
      <c r="AU788" s="1155"/>
      <c r="AV788" s="1155"/>
      <c r="AW788" s="1155"/>
      <c r="AX788" s="1155"/>
      <c r="AY788" s="1155"/>
      <c r="AZ788" s="1155"/>
      <c r="BA788" s="1155"/>
      <c r="BB788" s="1155"/>
      <c r="BC788" s="1155"/>
      <c r="BD788" s="1155"/>
      <c r="BE788" s="1155"/>
      <c r="BF788" s="1155"/>
      <c r="BG788" s="1155"/>
      <c r="BH788" s="1155"/>
      <c r="BI788" s="1155"/>
      <c r="BJ788" s="1155"/>
      <c r="BK788" s="1155"/>
      <c r="BL788" s="1155"/>
      <c r="BM788" s="1155"/>
      <c r="BN788" s="1155"/>
      <c r="BO788" s="1155"/>
      <c r="BP788" s="1155"/>
      <c r="BQ788" s="1155"/>
      <c r="BR788" s="1155"/>
      <c r="BS788" s="1155"/>
    </row>
    <row r="789" spans="5:71" s="474" customFormat="1" ht="12.75" customHeight="1">
      <c r="E789" s="4109"/>
      <c r="F789" s="1374" t="s">
        <v>589</v>
      </c>
      <c r="G789" s="1083"/>
      <c r="H789" s="1084"/>
      <c r="I789" s="1084"/>
      <c r="J789" s="1084"/>
      <c r="K789" s="1085"/>
      <c r="L789" s="255"/>
      <c r="M789" s="461"/>
      <c r="N789" s="461"/>
      <c r="O789" s="461"/>
      <c r="P789" s="281"/>
      <c r="Q789" s="956"/>
      <c r="R789" s="461"/>
      <c r="S789" s="461"/>
      <c r="T789" s="461"/>
      <c r="U789" s="281"/>
      <c r="V789" s="1172"/>
      <c r="W789" s="255"/>
      <c r="X789" s="461"/>
      <c r="Y789" s="461"/>
      <c r="Z789" s="461"/>
      <c r="AA789" s="281"/>
      <c r="AB789" s="1041"/>
      <c r="AC789" s="255"/>
      <c r="AD789" s="461"/>
      <c r="AE789" s="461"/>
      <c r="AF789" s="461"/>
      <c r="AG789" s="461"/>
      <c r="AH789" s="1047"/>
      <c r="AI789" s="1172"/>
      <c r="AJ789" s="1155"/>
      <c r="AK789" s="1155"/>
      <c r="AL789" s="1083"/>
      <c r="AM789" s="1084"/>
      <c r="AN789" s="1084"/>
      <c r="AO789" s="1084"/>
      <c r="AP789" s="1085"/>
      <c r="AQ789" s="259"/>
      <c r="AR789" s="466"/>
      <c r="AS789" s="283"/>
      <c r="AT789" s="1155"/>
      <c r="AU789" s="1155"/>
      <c r="AV789" s="1155"/>
      <c r="AW789" s="1155"/>
      <c r="AX789" s="1155"/>
      <c r="AY789" s="1155"/>
      <c r="AZ789" s="1155"/>
      <c r="BA789" s="1155"/>
      <c r="BB789" s="1155"/>
      <c r="BC789" s="1155"/>
      <c r="BD789" s="1155"/>
      <c r="BE789" s="1155"/>
      <c r="BF789" s="1155"/>
      <c r="BG789" s="1155"/>
      <c r="BH789" s="1155"/>
      <c r="BI789" s="1155"/>
      <c r="BJ789" s="1155"/>
      <c r="BK789" s="1155"/>
      <c r="BL789" s="1155"/>
      <c r="BM789" s="1155"/>
      <c r="BN789" s="1155"/>
      <c r="BO789" s="1155"/>
      <c r="BP789" s="1155"/>
      <c r="BQ789" s="1155"/>
      <c r="BR789" s="1155"/>
      <c r="BS789" s="1155"/>
    </row>
    <row r="790" spans="5:71" s="474" customFormat="1" ht="12.75" customHeight="1">
      <c r="E790" s="4109"/>
      <c r="F790" s="1374" t="s">
        <v>590</v>
      </c>
      <c r="G790" s="1083"/>
      <c r="H790" s="1084"/>
      <c r="I790" s="1084"/>
      <c r="J790" s="1084"/>
      <c r="K790" s="1085"/>
      <c r="L790" s="255"/>
      <c r="M790" s="461"/>
      <c r="N790" s="461"/>
      <c r="O790" s="461"/>
      <c r="P790" s="281"/>
      <c r="Q790" s="956"/>
      <c r="R790" s="461"/>
      <c r="S790" s="461"/>
      <c r="T790" s="461"/>
      <c r="U790" s="281"/>
      <c r="V790" s="1172"/>
      <c r="W790" s="255"/>
      <c r="X790" s="461"/>
      <c r="Y790" s="461"/>
      <c r="Z790" s="461"/>
      <c r="AA790" s="281"/>
      <c r="AB790" s="1041"/>
      <c r="AC790" s="255"/>
      <c r="AD790" s="461"/>
      <c r="AE790" s="461"/>
      <c r="AF790" s="461"/>
      <c r="AG790" s="461"/>
      <c r="AH790" s="1047"/>
      <c r="AI790" s="1172"/>
      <c r="AJ790" s="1155"/>
      <c r="AK790" s="1155"/>
      <c r="AL790" s="1083"/>
      <c r="AM790" s="1084"/>
      <c r="AN790" s="1084"/>
      <c r="AO790" s="1084"/>
      <c r="AP790" s="1085"/>
      <c r="AQ790" s="259"/>
      <c r="AR790" s="466"/>
      <c r="AS790" s="283"/>
      <c r="AT790" s="1155"/>
      <c r="AU790" s="1155"/>
      <c r="AV790" s="1155"/>
      <c r="AW790" s="1155"/>
      <c r="AX790" s="1155"/>
      <c r="AY790" s="1155"/>
      <c r="AZ790" s="1155"/>
      <c r="BA790" s="1155"/>
      <c r="BB790" s="1155"/>
      <c r="BC790" s="1155"/>
      <c r="BD790" s="1155"/>
      <c r="BE790" s="1155"/>
      <c r="BF790" s="1155"/>
      <c r="BG790" s="1155"/>
      <c r="BH790" s="1155"/>
      <c r="BI790" s="1155"/>
      <c r="BJ790" s="1155"/>
      <c r="BK790" s="1155"/>
      <c r="BL790" s="1155"/>
      <c r="BM790" s="1155"/>
      <c r="BN790" s="1155"/>
      <c r="BO790" s="1155"/>
      <c r="BP790" s="1155"/>
      <c r="BQ790" s="1155"/>
      <c r="BR790" s="1155"/>
      <c r="BS790" s="1155"/>
    </row>
    <row r="791" spans="5:71" s="474" customFormat="1" ht="12.75" customHeight="1">
      <c r="E791" s="4109"/>
      <c r="F791" s="1374" t="s">
        <v>591</v>
      </c>
      <c r="G791" s="1083"/>
      <c r="H791" s="1084"/>
      <c r="I791" s="1084"/>
      <c r="J791" s="1084"/>
      <c r="K791" s="1085"/>
      <c r="L791" s="255"/>
      <c r="M791" s="461"/>
      <c r="N791" s="461"/>
      <c r="O791" s="461"/>
      <c r="P791" s="281"/>
      <c r="Q791" s="956"/>
      <c r="R791" s="461"/>
      <c r="S791" s="461"/>
      <c r="T791" s="461"/>
      <c r="U791" s="281"/>
      <c r="V791" s="1172"/>
      <c r="W791" s="255"/>
      <c r="X791" s="461"/>
      <c r="Y791" s="461"/>
      <c r="Z791" s="461"/>
      <c r="AA791" s="281"/>
      <c r="AB791" s="1041"/>
      <c r="AC791" s="255"/>
      <c r="AD791" s="461"/>
      <c r="AE791" s="461"/>
      <c r="AF791" s="461"/>
      <c r="AG791" s="461"/>
      <c r="AH791" s="1047"/>
      <c r="AI791" s="1172"/>
      <c r="AJ791" s="1155"/>
      <c r="AK791" s="1155"/>
      <c r="AL791" s="1083"/>
      <c r="AM791" s="1084"/>
      <c r="AN791" s="1084"/>
      <c r="AO791" s="1084"/>
      <c r="AP791" s="1085"/>
      <c r="AQ791" s="259"/>
      <c r="AR791" s="466"/>
      <c r="AS791" s="283"/>
      <c r="AT791" s="1155"/>
      <c r="AU791" s="1155"/>
      <c r="AV791" s="1155"/>
      <c r="AW791" s="1155"/>
      <c r="AX791" s="1155"/>
      <c r="AY791" s="1155"/>
      <c r="AZ791" s="1155"/>
      <c r="BA791" s="1155"/>
      <c r="BB791" s="1155"/>
      <c r="BC791" s="1155"/>
      <c r="BD791" s="1155"/>
      <c r="BE791" s="1155"/>
      <c r="BF791" s="1155"/>
      <c r="BG791" s="1155"/>
      <c r="BH791" s="1155"/>
      <c r="BI791" s="1155"/>
      <c r="BJ791" s="1155"/>
      <c r="BK791" s="1155"/>
      <c r="BL791" s="1155"/>
      <c r="BM791" s="1155"/>
      <c r="BN791" s="1155"/>
      <c r="BO791" s="1155"/>
      <c r="BP791" s="1155"/>
      <c r="BQ791" s="1155"/>
      <c r="BR791" s="1155"/>
      <c r="BS791" s="1155"/>
    </row>
    <row r="792" spans="5:71" s="474" customFormat="1" ht="12.75" customHeight="1">
      <c r="E792" s="4109"/>
      <c r="F792" s="1374" t="s">
        <v>592</v>
      </c>
      <c r="G792" s="1083"/>
      <c r="H792" s="1084"/>
      <c r="I792" s="1084"/>
      <c r="J792" s="1084"/>
      <c r="K792" s="1085"/>
      <c r="L792" s="207"/>
      <c r="M792" s="456"/>
      <c r="N792" s="456"/>
      <c r="O792" s="456"/>
      <c r="P792" s="457"/>
      <c r="Q792" s="224"/>
      <c r="R792" s="456"/>
      <c r="S792" s="456"/>
      <c r="T792" s="456"/>
      <c r="U792" s="457"/>
      <c r="V792" s="1172"/>
      <c r="W792" s="207"/>
      <c r="X792" s="456"/>
      <c r="Y792" s="456"/>
      <c r="Z792" s="456"/>
      <c r="AA792" s="457"/>
      <c r="AB792" s="1041"/>
      <c r="AC792" s="207"/>
      <c r="AD792" s="456"/>
      <c r="AE792" s="456"/>
      <c r="AF792" s="456"/>
      <c r="AG792" s="456"/>
      <c r="AH792" s="1048"/>
      <c r="AI792" s="1172"/>
      <c r="AJ792" s="1155"/>
      <c r="AK792" s="1155"/>
      <c r="AL792" s="1083"/>
      <c r="AM792" s="1084"/>
      <c r="AN792" s="1084"/>
      <c r="AO792" s="1084"/>
      <c r="AP792" s="1085"/>
      <c r="AQ792" s="207">
        <f>SUM(AQ787:AQ791)</f>
        <v>0</v>
      </c>
      <c r="AR792" s="456">
        <f t="shared" ref="AR792" si="3552">SUM(AR787:AR791)</f>
        <v>0</v>
      </c>
      <c r="AS792" s="457"/>
      <c r="AT792" s="1155"/>
      <c r="AU792" s="1155"/>
      <c r="AV792" s="1155"/>
      <c r="AW792" s="1155"/>
      <c r="AX792" s="1155"/>
      <c r="AY792" s="1155"/>
      <c r="AZ792" s="1155"/>
      <c r="BA792" s="1155"/>
      <c r="BB792" s="1155"/>
      <c r="BC792" s="1155"/>
      <c r="BD792" s="1155"/>
      <c r="BE792" s="1155"/>
      <c r="BF792" s="1155"/>
      <c r="BG792" s="1155"/>
      <c r="BH792" s="1155"/>
      <c r="BI792" s="1155"/>
      <c r="BJ792" s="1155"/>
      <c r="BK792" s="1155"/>
      <c r="BL792" s="1155"/>
      <c r="BM792" s="1155"/>
      <c r="BN792" s="1155"/>
      <c r="BO792" s="1155"/>
      <c r="BP792" s="1155"/>
      <c r="BQ792" s="1155"/>
      <c r="BR792" s="1155"/>
      <c r="BS792" s="1155"/>
    </row>
    <row r="793" spans="5:71" s="474" customFormat="1">
      <c r="E793" s="4109"/>
      <c r="F793" s="1375" t="s">
        <v>587</v>
      </c>
      <c r="G793" s="1086"/>
      <c r="H793" s="1087"/>
      <c r="I793" s="1087"/>
      <c r="J793" s="1087"/>
      <c r="K793" s="1088"/>
      <c r="L793" s="258">
        <f>SUM(L788:L792)</f>
        <v>0</v>
      </c>
      <c r="M793" s="465">
        <f t="shared" ref="M793:N793" si="3553">SUM(M788:M792)</f>
        <v>0</v>
      </c>
      <c r="N793" s="465">
        <f t="shared" si="3553"/>
        <v>0</v>
      </c>
      <c r="O793" s="465"/>
      <c r="P793" s="282"/>
      <c r="Q793" s="965"/>
      <c r="R793" s="465"/>
      <c r="S793" s="465"/>
      <c r="T793" s="465"/>
      <c r="U793" s="282"/>
      <c r="V793" s="1172"/>
      <c r="W793" s="258">
        <f t="shared" ref="W793:AG793" si="3554">SUM(W788:W792)</f>
        <v>0</v>
      </c>
      <c r="X793" s="465">
        <f t="shared" si="3554"/>
        <v>0</v>
      </c>
      <c r="Y793" s="465">
        <f t="shared" si="3554"/>
        <v>0</v>
      </c>
      <c r="Z793" s="465">
        <f t="shared" si="3554"/>
        <v>0</v>
      </c>
      <c r="AA793" s="282">
        <f t="shared" si="3554"/>
        <v>0</v>
      </c>
      <c r="AB793" s="992"/>
      <c r="AC793" s="258">
        <f t="shared" si="3554"/>
        <v>0</v>
      </c>
      <c r="AD793" s="465">
        <f t="shared" si="3554"/>
        <v>0</v>
      </c>
      <c r="AE793" s="465">
        <f t="shared" si="3554"/>
        <v>0</v>
      </c>
      <c r="AF793" s="465">
        <f t="shared" si="3554"/>
        <v>0</v>
      </c>
      <c r="AG793" s="465">
        <f t="shared" si="3554"/>
        <v>0</v>
      </c>
      <c r="AH793" s="1049"/>
      <c r="AI793" s="1172"/>
      <c r="AJ793" s="1155"/>
      <c r="AK793" s="1155"/>
      <c r="AL793" s="1086"/>
      <c r="AM793" s="1087"/>
      <c r="AN793" s="1087"/>
      <c r="AO793" s="1087"/>
      <c r="AP793" s="1088"/>
      <c r="AQ793" s="258"/>
      <c r="AR793" s="465"/>
      <c r="AS793" s="282"/>
      <c r="AT793" s="1155"/>
      <c r="AU793" s="1155"/>
      <c r="AV793" s="1155"/>
      <c r="AW793" s="1155"/>
      <c r="AX793" s="1155"/>
      <c r="AY793" s="1155"/>
      <c r="AZ793" s="1155"/>
      <c r="BA793" s="1155"/>
      <c r="BB793" s="1155"/>
      <c r="BC793" s="1155"/>
      <c r="BD793" s="1155"/>
      <c r="BE793" s="1155"/>
      <c r="BF793" s="1155"/>
      <c r="BG793" s="1155"/>
      <c r="BH793" s="1155"/>
      <c r="BI793" s="1155"/>
      <c r="BJ793" s="1155"/>
      <c r="BK793" s="1155"/>
      <c r="BL793" s="1155"/>
      <c r="BM793" s="1155"/>
      <c r="BN793" s="1155"/>
      <c r="BO793" s="1155"/>
      <c r="BP793" s="1155"/>
      <c r="BQ793" s="1155"/>
      <c r="BR793" s="1155"/>
      <c r="BS793" s="1155"/>
    </row>
    <row r="794" spans="5:71" s="474" customFormat="1">
      <c r="E794" s="4109"/>
      <c r="F794" s="1376" t="s">
        <v>593</v>
      </c>
      <c r="G794" s="1083"/>
      <c r="H794" s="1084"/>
      <c r="I794" s="1084"/>
      <c r="J794" s="1084"/>
      <c r="K794" s="1085"/>
      <c r="L794" s="255"/>
      <c r="M794" s="461"/>
      <c r="N794" s="461"/>
      <c r="O794" s="461"/>
      <c r="P794" s="281"/>
      <c r="Q794" s="956"/>
      <c r="R794" s="461"/>
      <c r="S794" s="461"/>
      <c r="T794" s="461"/>
      <c r="U794" s="281"/>
      <c r="V794" s="1172"/>
      <c r="W794" s="255"/>
      <c r="X794" s="461"/>
      <c r="Y794" s="461"/>
      <c r="Z794" s="461"/>
      <c r="AA794" s="281"/>
      <c r="AB794" s="1041"/>
      <c r="AC794" s="255"/>
      <c r="AD794" s="461"/>
      <c r="AE794" s="461"/>
      <c r="AF794" s="461"/>
      <c r="AG794" s="461"/>
      <c r="AH794" s="1047"/>
      <c r="AI794" s="1172"/>
      <c r="AJ794" s="1155"/>
      <c r="AK794" s="1155"/>
      <c r="AL794" s="1083"/>
      <c r="AM794" s="1084"/>
      <c r="AN794" s="1084"/>
      <c r="AO794" s="1084"/>
      <c r="AP794" s="1085"/>
      <c r="AQ794" s="259"/>
      <c r="AR794" s="466"/>
      <c r="AS794" s="283"/>
      <c r="AT794" s="1155"/>
      <c r="AU794" s="1155"/>
      <c r="AV794" s="1155"/>
      <c r="AW794" s="1155"/>
      <c r="AX794" s="1155"/>
      <c r="AY794" s="1155"/>
      <c r="AZ794" s="1155"/>
      <c r="BA794" s="1155"/>
      <c r="BB794" s="1155"/>
      <c r="BC794" s="1155"/>
      <c r="BD794" s="1155"/>
      <c r="BE794" s="1155"/>
      <c r="BF794" s="1155"/>
      <c r="BG794" s="1155"/>
      <c r="BH794" s="1155"/>
      <c r="BI794" s="1155"/>
      <c r="BJ794" s="1155"/>
      <c r="BK794" s="1155"/>
      <c r="BL794" s="1155"/>
      <c r="BM794" s="1155"/>
      <c r="BN794" s="1155"/>
      <c r="BO794" s="1155"/>
      <c r="BP794" s="1155"/>
      <c r="BQ794" s="1155"/>
      <c r="BR794" s="1155"/>
      <c r="BS794" s="1155"/>
    </row>
    <row r="795" spans="5:71" s="474" customFormat="1">
      <c r="E795" s="4109"/>
      <c r="F795" s="431" t="s">
        <v>558</v>
      </c>
      <c r="G795" s="1083"/>
      <c r="H795" s="1084"/>
      <c r="I795" s="1084"/>
      <c r="J795" s="1084"/>
      <c r="K795" s="1085"/>
      <c r="L795" s="255"/>
      <c r="M795" s="461"/>
      <c r="N795" s="461"/>
      <c r="O795" s="461"/>
      <c r="P795" s="281"/>
      <c r="Q795" s="956"/>
      <c r="R795" s="461"/>
      <c r="S795" s="461"/>
      <c r="T795" s="461"/>
      <c r="U795" s="281"/>
      <c r="V795" s="1172"/>
      <c r="W795" s="255"/>
      <c r="X795" s="461"/>
      <c r="Y795" s="461"/>
      <c r="Z795" s="461"/>
      <c r="AA795" s="281"/>
      <c r="AB795" s="1041"/>
      <c r="AC795" s="255"/>
      <c r="AD795" s="461"/>
      <c r="AE795" s="461"/>
      <c r="AF795" s="461"/>
      <c r="AG795" s="461"/>
      <c r="AH795" s="1047"/>
      <c r="AI795" s="1172"/>
      <c r="AJ795" s="1155"/>
      <c r="AK795" s="1155"/>
      <c r="AL795" s="1083"/>
      <c r="AM795" s="1084"/>
      <c r="AN795" s="1084"/>
      <c r="AO795" s="1084"/>
      <c r="AP795" s="1085"/>
      <c r="AQ795" s="259"/>
      <c r="AR795" s="466"/>
      <c r="AS795" s="283"/>
      <c r="AT795" s="1155"/>
      <c r="AU795" s="1155"/>
      <c r="AV795" s="1155"/>
      <c r="AW795" s="1155"/>
      <c r="AX795" s="1155"/>
      <c r="AY795" s="1155"/>
      <c r="AZ795" s="1155"/>
      <c r="BA795" s="1155"/>
      <c r="BB795" s="1155"/>
      <c r="BC795" s="1155"/>
      <c r="BD795" s="1155"/>
      <c r="BE795" s="1155"/>
      <c r="BF795" s="1155"/>
      <c r="BG795" s="1155"/>
      <c r="BH795" s="1155"/>
      <c r="BI795" s="1155"/>
      <c r="BJ795" s="1155"/>
      <c r="BK795" s="1155"/>
      <c r="BL795" s="1155"/>
      <c r="BM795" s="1155"/>
      <c r="BN795" s="1155"/>
      <c r="BO795" s="1155"/>
      <c r="BP795" s="1155"/>
      <c r="BQ795" s="1155"/>
      <c r="BR795" s="1155"/>
      <c r="BS795" s="1155"/>
    </row>
    <row r="796" spans="5:71" s="474" customFormat="1">
      <c r="E796" s="4109"/>
      <c r="F796" s="431" t="s">
        <v>559</v>
      </c>
      <c r="G796" s="1083"/>
      <c r="H796" s="1084"/>
      <c r="I796" s="1084"/>
      <c r="J796" s="1084"/>
      <c r="K796" s="1085"/>
      <c r="L796" s="255"/>
      <c r="M796" s="461"/>
      <c r="N796" s="461"/>
      <c r="O796" s="461"/>
      <c r="P796" s="281"/>
      <c r="Q796" s="956"/>
      <c r="R796" s="461"/>
      <c r="S796" s="461"/>
      <c r="T796" s="461"/>
      <c r="U796" s="281"/>
      <c r="V796" s="1172"/>
      <c r="W796" s="255"/>
      <c r="X796" s="461"/>
      <c r="Y796" s="461"/>
      <c r="Z796" s="461"/>
      <c r="AA796" s="281"/>
      <c r="AB796" s="1041"/>
      <c r="AC796" s="255"/>
      <c r="AD796" s="461"/>
      <c r="AE796" s="461"/>
      <c r="AF796" s="461"/>
      <c r="AG796" s="461"/>
      <c r="AH796" s="1047"/>
      <c r="AI796" s="1172"/>
      <c r="AJ796" s="1155"/>
      <c r="AK796" s="1155"/>
      <c r="AL796" s="1083"/>
      <c r="AM796" s="1084"/>
      <c r="AN796" s="1084"/>
      <c r="AO796" s="1084"/>
      <c r="AP796" s="1085"/>
      <c r="AQ796" s="259"/>
      <c r="AR796" s="466"/>
      <c r="AS796" s="283"/>
      <c r="AT796" s="1155"/>
      <c r="AU796" s="1155"/>
      <c r="AV796" s="1155"/>
      <c r="AW796" s="1155"/>
      <c r="AX796" s="1155"/>
      <c r="AY796" s="1155"/>
      <c r="AZ796" s="1155"/>
      <c r="BA796" s="1155"/>
      <c r="BB796" s="1155"/>
      <c r="BC796" s="1155"/>
      <c r="BD796" s="1155"/>
      <c r="BE796" s="1155"/>
      <c r="BF796" s="1155"/>
      <c r="BG796" s="1155"/>
      <c r="BH796" s="1155"/>
      <c r="BI796" s="1155"/>
      <c r="BJ796" s="1155"/>
      <c r="BK796" s="1155"/>
      <c r="BL796" s="1155"/>
      <c r="BM796" s="1155"/>
      <c r="BN796" s="1155"/>
      <c r="BO796" s="1155"/>
      <c r="BP796" s="1155"/>
      <c r="BQ796" s="1155"/>
      <c r="BR796" s="1155"/>
      <c r="BS796" s="1155"/>
    </row>
    <row r="797" spans="5:71" s="474" customFormat="1">
      <c r="E797" s="4109"/>
      <c r="F797" s="431" t="s">
        <v>578</v>
      </c>
      <c r="G797" s="1089"/>
      <c r="H797" s="1090"/>
      <c r="I797" s="1090"/>
      <c r="J797" s="1090"/>
      <c r="K797" s="1091"/>
      <c r="L797" s="259"/>
      <c r="M797" s="456"/>
      <c r="N797" s="456"/>
      <c r="O797" s="456"/>
      <c r="P797" s="457"/>
      <c r="Q797" s="224"/>
      <c r="R797" s="456"/>
      <c r="S797" s="456"/>
      <c r="T797" s="456"/>
      <c r="U797" s="457"/>
      <c r="V797" s="1172"/>
      <c r="W797" s="207"/>
      <c r="X797" s="456"/>
      <c r="Y797" s="456"/>
      <c r="Z797" s="456"/>
      <c r="AA797" s="457"/>
      <c r="AB797" s="1041"/>
      <c r="AC797" s="207"/>
      <c r="AD797" s="456"/>
      <c r="AE797" s="456"/>
      <c r="AF797" s="456"/>
      <c r="AG797" s="456"/>
      <c r="AH797" s="1048"/>
      <c r="AI797" s="1172"/>
      <c r="AJ797" s="1155"/>
      <c r="AK797" s="1155"/>
      <c r="AL797" s="1089"/>
      <c r="AM797" s="1090"/>
      <c r="AN797" s="1090"/>
      <c r="AO797" s="1090"/>
      <c r="AP797" s="1091"/>
      <c r="AQ797" s="259"/>
      <c r="AR797" s="466"/>
      <c r="AS797" s="283"/>
      <c r="AT797" s="1155"/>
      <c r="AU797" s="1155"/>
      <c r="AV797" s="1155"/>
      <c r="AW797" s="1155"/>
      <c r="AX797" s="1155"/>
      <c r="AY797" s="1155"/>
      <c r="AZ797" s="1155"/>
      <c r="BA797" s="1155"/>
      <c r="BB797" s="1155"/>
      <c r="BC797" s="1155"/>
      <c r="BD797" s="1155"/>
      <c r="BE797" s="1155"/>
      <c r="BF797" s="1155"/>
      <c r="BG797" s="1155"/>
      <c r="BH797" s="1155"/>
      <c r="BI797" s="1155"/>
      <c r="BJ797" s="1155"/>
      <c r="BK797" s="1155"/>
      <c r="BL797" s="1155"/>
      <c r="BM797" s="1155"/>
      <c r="BN797" s="1155"/>
      <c r="BO797" s="1155"/>
      <c r="BP797" s="1155"/>
      <c r="BQ797" s="1155"/>
      <c r="BR797" s="1155"/>
      <c r="BS797" s="1155"/>
    </row>
    <row r="798" spans="5:71" s="474" customFormat="1">
      <c r="E798" s="4109"/>
      <c r="F798" s="1377" t="s">
        <v>579</v>
      </c>
      <c r="G798" s="1086">
        <v>8609159</v>
      </c>
      <c r="H798" s="1087">
        <v>8360971</v>
      </c>
      <c r="I798" s="1087">
        <v>11012071</v>
      </c>
      <c r="J798" s="1087">
        <v>13004328</v>
      </c>
      <c r="K798" s="1088">
        <v>18916964</v>
      </c>
      <c r="L798" s="258">
        <f>SUM(L794:L797)</f>
        <v>0</v>
      </c>
      <c r="M798" s="465">
        <f t="shared" ref="M798:N798" si="3555">SUM(M794:M797)</f>
        <v>0</v>
      </c>
      <c r="N798" s="465">
        <f t="shared" si="3555"/>
        <v>0</v>
      </c>
      <c r="O798" s="465"/>
      <c r="P798" s="282"/>
      <c r="Q798" s="965"/>
      <c r="R798" s="465"/>
      <c r="S798" s="465"/>
      <c r="T798" s="465"/>
      <c r="U798" s="282"/>
      <c r="V798" s="1172"/>
      <c r="W798" s="258">
        <f t="shared" ref="W798:AA798" si="3556">SUM(W794:W797)</f>
        <v>0</v>
      </c>
      <c r="X798" s="465">
        <f t="shared" si="3556"/>
        <v>0</v>
      </c>
      <c r="Y798" s="465">
        <f t="shared" si="3556"/>
        <v>0</v>
      </c>
      <c r="Z798" s="465">
        <f t="shared" si="3556"/>
        <v>0</v>
      </c>
      <c r="AA798" s="282">
        <f t="shared" si="3556"/>
        <v>0</v>
      </c>
      <c r="AB798" s="992"/>
      <c r="AC798" s="258">
        <f t="shared" ref="AC798" si="3557">SUM(AC794:AC797)</f>
        <v>0</v>
      </c>
      <c r="AD798" s="465">
        <f t="shared" ref="AD798:AG798" si="3558">SUM(AD794:AD797)</f>
        <v>0</v>
      </c>
      <c r="AE798" s="465">
        <f t="shared" si="3558"/>
        <v>0</v>
      </c>
      <c r="AF798" s="465">
        <f t="shared" si="3558"/>
        <v>0</v>
      </c>
      <c r="AG798" s="465">
        <f t="shared" si="3558"/>
        <v>0</v>
      </c>
      <c r="AH798" s="1049"/>
      <c r="AI798" s="1172"/>
      <c r="AJ798" s="1155"/>
      <c r="AK798" s="1155"/>
      <c r="AL798" s="1086"/>
      <c r="AM798" s="1087"/>
      <c r="AN798" s="1087"/>
      <c r="AO798" s="1087"/>
      <c r="AP798" s="1088"/>
      <c r="AQ798" s="258">
        <f>SUM(AQ795:AQ797)</f>
        <v>0</v>
      </c>
      <c r="AR798" s="465">
        <f t="shared" ref="AR798" si="3559">SUM(AR795:AR797)</f>
        <v>0</v>
      </c>
      <c r="AS798" s="282"/>
      <c r="AT798" s="1155"/>
      <c r="AU798" s="1155"/>
      <c r="AV798" s="1155"/>
      <c r="AW798" s="1155"/>
      <c r="AX798" s="1155"/>
      <c r="AY798" s="1155"/>
      <c r="AZ798" s="1155"/>
      <c r="BA798" s="1155"/>
      <c r="BB798" s="1155"/>
      <c r="BC798" s="1155"/>
      <c r="BD798" s="1155"/>
      <c r="BE798" s="1155"/>
      <c r="BF798" s="1155"/>
      <c r="BG798" s="1155"/>
      <c r="BH798" s="1155"/>
      <c r="BI798" s="1155"/>
      <c r="BJ798" s="1155"/>
      <c r="BK798" s="1155"/>
      <c r="BL798" s="1155"/>
      <c r="BM798" s="1155"/>
      <c r="BN798" s="1155"/>
      <c r="BO798" s="1155"/>
      <c r="BP798" s="1155"/>
      <c r="BQ798" s="1155"/>
      <c r="BR798" s="1155"/>
      <c r="BS798" s="1155"/>
    </row>
    <row r="799" spans="5:71" s="474" customFormat="1" ht="13.5" thickBot="1">
      <c r="E799" s="4109"/>
      <c r="F799" s="1035" t="s">
        <v>583</v>
      </c>
      <c r="G799" s="255">
        <v>1614991.0966689279</v>
      </c>
      <c r="H799" s="461">
        <v>1332017.4001614091</v>
      </c>
      <c r="I799" s="461">
        <v>2005683.0050878969</v>
      </c>
      <c r="J799" s="461">
        <v>2107840.3175369478</v>
      </c>
      <c r="K799" s="281">
        <v>3518327.0312803965</v>
      </c>
      <c r="L799" s="207"/>
      <c r="M799" s="456"/>
      <c r="N799" s="456"/>
      <c r="O799" s="456"/>
      <c r="P799" s="457"/>
      <c r="Q799" s="224"/>
      <c r="R799" s="456"/>
      <c r="S799" s="456"/>
      <c r="T799" s="456"/>
      <c r="U799" s="457"/>
      <c r="V799" s="1172"/>
      <c r="W799" s="207"/>
      <c r="X799" s="461"/>
      <c r="Y799" s="461"/>
      <c r="Z799" s="461"/>
      <c r="AA799" s="281"/>
      <c r="AB799" s="1041"/>
      <c r="AC799" s="207"/>
      <c r="AD799" s="456"/>
      <c r="AE799" s="456"/>
      <c r="AF799" s="456"/>
      <c r="AG799" s="456"/>
      <c r="AH799" s="1048"/>
      <c r="AI799" s="1172"/>
      <c r="AJ799" s="1155"/>
      <c r="AK799" s="1155"/>
      <c r="AL799" s="259"/>
      <c r="AM799" s="466"/>
      <c r="AN799" s="466"/>
      <c r="AO799" s="466"/>
      <c r="AP799" s="283"/>
      <c r="AQ799" s="259"/>
      <c r="AR799" s="466"/>
      <c r="AS799" s="283"/>
      <c r="AT799" s="1155"/>
      <c r="AU799" s="1155"/>
      <c r="AV799" s="1155"/>
      <c r="AW799" s="1155"/>
      <c r="AX799" s="1155"/>
      <c r="AY799" s="1155"/>
      <c r="AZ799" s="1155"/>
      <c r="BA799" s="1155"/>
      <c r="BB799" s="1155"/>
      <c r="BC799" s="1155"/>
      <c r="BD799" s="1155"/>
      <c r="BE799" s="1155"/>
      <c r="BF799" s="1155"/>
      <c r="BG799" s="1155"/>
      <c r="BH799" s="1155"/>
      <c r="BI799" s="1155"/>
      <c r="BJ799" s="1155"/>
      <c r="BK799" s="1155"/>
      <c r="BL799" s="1155"/>
      <c r="BM799" s="1155"/>
      <c r="BN799" s="1155"/>
      <c r="BO799" s="1155"/>
      <c r="BP799" s="1155"/>
      <c r="BQ799" s="1155"/>
      <c r="BR799" s="1155"/>
      <c r="BS799" s="1155"/>
    </row>
    <row r="800" spans="5:71" s="474" customFormat="1" ht="13.5" thickBot="1">
      <c r="E800" s="4109"/>
      <c r="F800" s="1380" t="s">
        <v>581</v>
      </c>
      <c r="G800" s="1599"/>
      <c r="H800" s="1600"/>
      <c r="I800" s="1600"/>
      <c r="J800" s="1600"/>
      <c r="K800" s="1601"/>
      <c r="L800" s="1599"/>
      <c r="M800" s="1600"/>
      <c r="N800" s="1600"/>
      <c r="O800" s="1600"/>
      <c r="P800" s="1601"/>
      <c r="Q800" s="1602"/>
      <c r="R800" s="1600"/>
      <c r="S800" s="1600"/>
      <c r="T800" s="1600"/>
      <c r="U800" s="1601"/>
      <c r="V800" s="1172"/>
      <c r="W800" s="1614"/>
      <c r="X800" s="1615"/>
      <c r="Y800" s="1615"/>
      <c r="Z800" s="1615"/>
      <c r="AA800" s="1615"/>
      <c r="AB800" s="1615"/>
      <c r="AC800" s="1615"/>
      <c r="AD800" s="1615"/>
      <c r="AE800" s="1615"/>
      <c r="AF800" s="1615"/>
      <c r="AG800" s="1615"/>
      <c r="AH800" s="1616"/>
      <c r="AI800" s="1172"/>
      <c r="AJ800" s="1155"/>
      <c r="AK800" s="1155"/>
      <c r="AL800" s="259"/>
      <c r="AM800" s="466"/>
      <c r="AN800" s="466"/>
      <c r="AO800" s="466"/>
      <c r="AP800" s="283"/>
      <c r="AQ800" s="259"/>
      <c r="AR800" s="466"/>
      <c r="AS800" s="283"/>
      <c r="AT800" s="1155"/>
      <c r="AU800" s="1155"/>
      <c r="AV800" s="1155"/>
      <c r="AW800" s="1155"/>
      <c r="AX800" s="1155"/>
      <c r="AY800" s="1155"/>
      <c r="AZ800" s="1155"/>
      <c r="BA800" s="1155"/>
      <c r="BB800" s="1155"/>
      <c r="BC800" s="1155"/>
      <c r="BD800" s="1155"/>
      <c r="BE800" s="1155"/>
      <c r="BF800" s="1155"/>
      <c r="BG800" s="1155"/>
      <c r="BH800" s="1155"/>
      <c r="BI800" s="1155"/>
      <c r="BJ800" s="1155"/>
      <c r="BK800" s="1155"/>
      <c r="BL800" s="1155"/>
      <c r="BM800" s="1155"/>
      <c r="BN800" s="1155"/>
      <c r="BO800" s="1155"/>
      <c r="BP800" s="1155"/>
      <c r="BQ800" s="1155"/>
      <c r="BR800" s="1155"/>
      <c r="BS800" s="1155"/>
    </row>
    <row r="801" spans="5:71" s="474" customFormat="1">
      <c r="E801" s="4109"/>
      <c r="F801" s="1378" t="s">
        <v>584</v>
      </c>
      <c r="G801" s="1050">
        <f>SUM(G798:G799)</f>
        <v>10224150.096668929</v>
      </c>
      <c r="H801" s="1051">
        <f t="shared" ref="H801:K801" si="3560">SUM(H798:H799)</f>
        <v>9692988.4001614098</v>
      </c>
      <c r="I801" s="1051">
        <f t="shared" si="3560"/>
        <v>13017754.005087897</v>
      </c>
      <c r="J801" s="1051">
        <f t="shared" si="3560"/>
        <v>15112168.317536948</v>
      </c>
      <c r="K801" s="1052">
        <f t="shared" si="3560"/>
        <v>22435291.031280398</v>
      </c>
      <c r="L801" s="1050">
        <f>SUM(L798:L800)</f>
        <v>0</v>
      </c>
      <c r="M801" s="1051">
        <f t="shared" ref="M801:N801" si="3561">SUM(M798:M800)</f>
        <v>0</v>
      </c>
      <c r="N801" s="1051">
        <f t="shared" si="3561"/>
        <v>0</v>
      </c>
      <c r="O801" s="1051"/>
      <c r="P801" s="1052"/>
      <c r="Q801" s="1092"/>
      <c r="R801" s="1051"/>
      <c r="S801" s="1051"/>
      <c r="T801" s="1051"/>
      <c r="U801" s="1052"/>
      <c r="V801" s="1172"/>
      <c r="W801" s="1050">
        <f t="shared" ref="W801:AA801" si="3562">SUM(W798:W800)</f>
        <v>0</v>
      </c>
      <c r="X801" s="1051">
        <f t="shared" si="3562"/>
        <v>0</v>
      </c>
      <c r="Y801" s="1051">
        <f t="shared" si="3562"/>
        <v>0</v>
      </c>
      <c r="Z801" s="1051">
        <f t="shared" si="3562"/>
        <v>0</v>
      </c>
      <c r="AA801" s="1052">
        <f t="shared" si="3562"/>
        <v>0</v>
      </c>
      <c r="AB801" s="1053"/>
      <c r="AC801" s="1050">
        <f t="shared" ref="AC801:AG801" si="3563">SUM(AC798:AC800)</f>
        <v>0</v>
      </c>
      <c r="AD801" s="1051">
        <f t="shared" si="3563"/>
        <v>0</v>
      </c>
      <c r="AE801" s="1051">
        <f t="shared" si="3563"/>
        <v>0</v>
      </c>
      <c r="AF801" s="1051">
        <f t="shared" si="3563"/>
        <v>0</v>
      </c>
      <c r="AG801" s="1051">
        <f t="shared" si="3563"/>
        <v>0</v>
      </c>
      <c r="AH801" s="1054"/>
      <c r="AI801" s="1172"/>
      <c r="AJ801" s="130"/>
      <c r="AK801" s="130"/>
      <c r="AL801" s="1050">
        <f t="shared" ref="AL801:AR801" si="3564">SUM(AL799:AL800)</f>
        <v>0</v>
      </c>
      <c r="AM801" s="1051">
        <f t="shared" si="3564"/>
        <v>0</v>
      </c>
      <c r="AN801" s="1051">
        <f t="shared" si="3564"/>
        <v>0</v>
      </c>
      <c r="AO801" s="1051">
        <f t="shared" si="3564"/>
        <v>0</v>
      </c>
      <c r="AP801" s="1052">
        <f t="shared" si="3564"/>
        <v>0</v>
      </c>
      <c r="AQ801" s="1050">
        <f t="shared" si="3564"/>
        <v>0</v>
      </c>
      <c r="AR801" s="1051">
        <f t="shared" si="3564"/>
        <v>0</v>
      </c>
      <c r="AS801" s="1052"/>
      <c r="AT801" s="130"/>
      <c r="AU801" s="130"/>
      <c r="AV801" s="130"/>
      <c r="AW801" s="130"/>
      <c r="AX801" s="130"/>
      <c r="AY801" s="130"/>
      <c r="AZ801" s="130"/>
      <c r="BA801" s="130"/>
      <c r="BB801" s="130"/>
      <c r="BC801" s="130"/>
      <c r="BD801" s="130"/>
      <c r="BE801" s="130"/>
      <c r="BF801" s="130"/>
      <c r="BG801" s="130"/>
      <c r="BH801" s="130"/>
      <c r="BI801" s="130"/>
      <c r="BJ801" s="130"/>
      <c r="BK801" s="130"/>
      <c r="BL801" s="130"/>
      <c r="BM801" s="130"/>
      <c r="BN801" s="130"/>
      <c r="BO801" s="130"/>
      <c r="BP801" s="130"/>
      <c r="BQ801" s="130"/>
      <c r="BR801" s="130"/>
      <c r="BS801" s="1155"/>
    </row>
    <row r="802" spans="5:71" s="474" customFormat="1">
      <c r="E802" s="4109"/>
      <c r="F802" s="1389" t="s">
        <v>35</v>
      </c>
      <c r="G802" s="255"/>
      <c r="H802" s="461"/>
      <c r="I802" s="461"/>
      <c r="J802" s="461"/>
      <c r="K802" s="281"/>
      <c r="L802" s="255"/>
      <c r="M802" s="461"/>
      <c r="N802" s="461"/>
      <c r="O802" s="461"/>
      <c r="P802" s="281"/>
      <c r="Q802" s="956"/>
      <c r="R802" s="461"/>
      <c r="S802" s="461"/>
      <c r="T802" s="461"/>
      <c r="U802" s="281"/>
      <c r="V802" s="1172"/>
      <c r="W802" s="255"/>
      <c r="X802" s="461"/>
      <c r="Y802" s="461"/>
      <c r="Z802" s="461"/>
      <c r="AA802" s="281"/>
      <c r="AB802" s="1004"/>
      <c r="AC802" s="255"/>
      <c r="AD802" s="461"/>
      <c r="AE802" s="461"/>
      <c r="AF802" s="461"/>
      <c r="AG802" s="461"/>
      <c r="AH802" s="1047"/>
      <c r="AI802" s="1172"/>
      <c r="AJ802" s="1155"/>
      <c r="AK802" s="1155"/>
      <c r="AL802" s="259"/>
      <c r="AM802" s="466"/>
      <c r="AN802" s="466"/>
      <c r="AO802" s="466"/>
      <c r="AP802" s="283"/>
      <c r="AQ802" s="259"/>
      <c r="AR802" s="466"/>
      <c r="AS802" s="283"/>
      <c r="AT802" s="1155"/>
      <c r="AU802" s="1155"/>
      <c r="AV802" s="1155"/>
      <c r="AW802" s="1155"/>
      <c r="AX802" s="1155"/>
      <c r="AY802" s="1155"/>
      <c r="AZ802" s="1155"/>
      <c r="BA802" s="1155"/>
      <c r="BB802" s="1155"/>
      <c r="BC802" s="1155"/>
      <c r="BD802" s="1155"/>
      <c r="BE802" s="1155"/>
      <c r="BF802" s="1155"/>
      <c r="BG802" s="1155"/>
      <c r="BH802" s="1155"/>
      <c r="BI802" s="1155"/>
      <c r="BJ802" s="1155"/>
      <c r="BK802" s="1155"/>
      <c r="BL802" s="1155"/>
      <c r="BM802" s="1155"/>
      <c r="BN802" s="1155"/>
      <c r="BO802" s="1155"/>
      <c r="BP802" s="1155"/>
      <c r="BQ802" s="1155"/>
      <c r="BR802" s="1155"/>
      <c r="BS802" s="1155"/>
    </row>
    <row r="803" spans="5:71" s="474" customFormat="1" ht="13.5" thickBot="1">
      <c r="E803" s="4109"/>
      <c r="F803" s="1387" t="s">
        <v>585</v>
      </c>
      <c r="G803" s="1055"/>
      <c r="H803" s="1056"/>
      <c r="I803" s="1056"/>
      <c r="J803" s="1056"/>
      <c r="K803" s="1057"/>
      <c r="L803" s="1567">
        <f>L801-L802</f>
        <v>0</v>
      </c>
      <c r="M803" s="1056">
        <f t="shared" ref="M803:N803" si="3565">M801-M802</f>
        <v>0</v>
      </c>
      <c r="N803" s="1056">
        <f t="shared" si="3565"/>
        <v>0</v>
      </c>
      <c r="O803" s="1056"/>
      <c r="P803" s="1057"/>
      <c r="Q803" s="1093"/>
      <c r="R803" s="1056"/>
      <c r="S803" s="1056"/>
      <c r="T803" s="1056"/>
      <c r="U803" s="1057"/>
      <c r="V803" s="1172"/>
      <c r="W803" s="1055">
        <f t="shared" ref="W803:AA803" si="3566">W801-W802</f>
        <v>0</v>
      </c>
      <c r="X803" s="1056">
        <f t="shared" si="3566"/>
        <v>0</v>
      </c>
      <c r="Y803" s="1056">
        <f t="shared" si="3566"/>
        <v>0</v>
      </c>
      <c r="Z803" s="1056">
        <f t="shared" si="3566"/>
        <v>0</v>
      </c>
      <c r="AA803" s="1057">
        <f t="shared" si="3566"/>
        <v>0</v>
      </c>
      <c r="AB803" s="1075"/>
      <c r="AC803" s="1055">
        <f t="shared" ref="AC803:AG803" si="3567">AC801-AC802</f>
        <v>0</v>
      </c>
      <c r="AD803" s="1056">
        <f t="shared" si="3567"/>
        <v>0</v>
      </c>
      <c r="AE803" s="1056">
        <f t="shared" si="3567"/>
        <v>0</v>
      </c>
      <c r="AF803" s="1056">
        <f t="shared" si="3567"/>
        <v>0</v>
      </c>
      <c r="AG803" s="1056">
        <f t="shared" si="3567"/>
        <v>0</v>
      </c>
      <c r="AH803" s="1059"/>
      <c r="AI803" s="1172"/>
      <c r="AJ803" s="1155"/>
      <c r="AK803" s="1155"/>
      <c r="AL803" s="1567">
        <f>AL801-AL802</f>
        <v>0</v>
      </c>
      <c r="AM803" s="1056">
        <f t="shared" ref="AM803:AR803" si="3568">AM801-AM802</f>
        <v>0</v>
      </c>
      <c r="AN803" s="1056">
        <f t="shared" si="3568"/>
        <v>0</v>
      </c>
      <c r="AO803" s="1056">
        <f t="shared" si="3568"/>
        <v>0</v>
      </c>
      <c r="AP803" s="1057">
        <f t="shared" si="3568"/>
        <v>0</v>
      </c>
      <c r="AQ803" s="1567">
        <f t="shared" si="3568"/>
        <v>0</v>
      </c>
      <c r="AR803" s="1056">
        <f t="shared" si="3568"/>
        <v>0</v>
      </c>
      <c r="AS803" s="1057"/>
      <c r="AT803" s="1155"/>
      <c r="AU803" s="1155"/>
      <c r="AV803" s="1155"/>
      <c r="AW803" s="1155"/>
      <c r="AX803" s="1155"/>
      <c r="AY803" s="1155"/>
      <c r="AZ803" s="1155"/>
      <c r="BA803" s="1155"/>
      <c r="BB803" s="1155"/>
      <c r="BC803" s="1155"/>
      <c r="BD803" s="1155"/>
      <c r="BE803" s="1155"/>
      <c r="BF803" s="1155"/>
      <c r="BG803" s="1155"/>
      <c r="BH803" s="1155"/>
      <c r="BI803" s="1155"/>
      <c r="BJ803" s="1155"/>
      <c r="BK803" s="1155"/>
      <c r="BL803" s="1155"/>
      <c r="BM803" s="1155"/>
      <c r="BN803" s="1155"/>
      <c r="BO803" s="1155"/>
      <c r="BP803" s="1155"/>
      <c r="BQ803" s="1155"/>
      <c r="BR803" s="1155"/>
      <c r="BS803" s="1155"/>
    </row>
    <row r="804" spans="5:71" s="474" customFormat="1" ht="12.75" customHeight="1">
      <c r="E804" s="4110" t="s">
        <v>1522</v>
      </c>
      <c r="F804" s="433" t="s">
        <v>111</v>
      </c>
      <c r="G804" s="1086"/>
      <c r="H804" s="1087"/>
      <c r="I804" s="1087"/>
      <c r="J804" s="1087"/>
      <c r="K804" s="1088"/>
      <c r="L804" s="258"/>
      <c r="M804" s="465"/>
      <c r="N804" s="465"/>
      <c r="O804" s="465"/>
      <c r="P804" s="282"/>
      <c r="Q804" s="965"/>
      <c r="R804" s="465"/>
      <c r="S804" s="465"/>
      <c r="T804" s="465"/>
      <c r="U804" s="1044"/>
      <c r="V804" s="1172"/>
      <c r="W804" s="1043"/>
      <c r="X804" s="421"/>
      <c r="Y804" s="421"/>
      <c r="Z804" s="421"/>
      <c r="AA804" s="1044"/>
      <c r="AB804" s="1045"/>
      <c r="AC804" s="1043"/>
      <c r="AD804" s="421"/>
      <c r="AE804" s="421"/>
      <c r="AF804" s="421"/>
      <c r="AG804" s="421"/>
      <c r="AH804" s="1046"/>
      <c r="AI804" s="1172"/>
      <c r="AJ804" s="1155"/>
      <c r="AK804" s="1155"/>
      <c r="AL804" s="1086"/>
      <c r="AM804" s="1087"/>
      <c r="AN804" s="1087"/>
      <c r="AO804" s="1087"/>
      <c r="AP804" s="1088"/>
      <c r="AQ804" s="258"/>
      <c r="AR804" s="465"/>
      <c r="AS804" s="282"/>
      <c r="AT804" s="1155"/>
      <c r="AU804" s="1155"/>
      <c r="AV804" s="1155"/>
      <c r="AW804" s="1155"/>
      <c r="AX804" s="1155"/>
      <c r="AY804" s="1155"/>
      <c r="AZ804" s="1155"/>
      <c r="BA804" s="1155"/>
      <c r="BB804" s="1155"/>
      <c r="BC804" s="1155"/>
      <c r="BD804" s="1155"/>
      <c r="BE804" s="1155"/>
      <c r="BF804" s="1155"/>
      <c r="BG804" s="1155"/>
      <c r="BH804" s="1155"/>
      <c r="BI804" s="1155"/>
      <c r="BJ804" s="1155"/>
      <c r="BK804" s="1155"/>
      <c r="BL804" s="1155"/>
      <c r="BM804" s="1155"/>
      <c r="BN804" s="1155"/>
      <c r="BO804" s="1155"/>
      <c r="BP804" s="1155"/>
      <c r="BQ804" s="1155"/>
      <c r="BR804" s="1155"/>
      <c r="BS804" s="1155"/>
    </row>
    <row r="805" spans="5:71" s="474" customFormat="1" ht="12.75" customHeight="1">
      <c r="E805" s="4109"/>
      <c r="F805" s="1374" t="s">
        <v>588</v>
      </c>
      <c r="G805" s="1083"/>
      <c r="H805" s="1084"/>
      <c r="I805" s="1084"/>
      <c r="J805" s="1084"/>
      <c r="K805" s="1085"/>
      <c r="L805" s="255"/>
      <c r="M805" s="461"/>
      <c r="N805" s="461"/>
      <c r="O805" s="461">
        <v>65000</v>
      </c>
      <c r="P805" s="281">
        <v>120000</v>
      </c>
      <c r="Q805" s="956">
        <v>85243.9</v>
      </c>
      <c r="R805" s="461">
        <v>84436</v>
      </c>
      <c r="S805" s="461">
        <v>83184</v>
      </c>
      <c r="T805" s="461">
        <v>79220</v>
      </c>
      <c r="U805" s="281">
        <v>78026.000000000015</v>
      </c>
      <c r="V805" s="1172"/>
      <c r="W805" s="255"/>
      <c r="X805" s="461"/>
      <c r="Y805" s="461"/>
      <c r="Z805" s="461"/>
      <c r="AA805" s="281"/>
      <c r="AB805" s="1041"/>
      <c r="AC805" s="255"/>
      <c r="AD805" s="461"/>
      <c r="AE805" s="461"/>
      <c r="AF805" s="461"/>
      <c r="AG805" s="461"/>
      <c r="AH805" s="1047"/>
      <c r="AI805" s="1172"/>
      <c r="AJ805" s="1155"/>
      <c r="AK805" s="1155"/>
      <c r="AL805" s="1083"/>
      <c r="AM805" s="1084"/>
      <c r="AN805" s="1084"/>
      <c r="AO805" s="1084"/>
      <c r="AP805" s="1085"/>
      <c r="AQ805" s="259"/>
      <c r="AR805" s="466"/>
      <c r="AS805" s="283"/>
      <c r="AT805" s="1155"/>
      <c r="AU805" s="1155"/>
      <c r="AV805" s="1155"/>
      <c r="AW805" s="1155"/>
      <c r="AX805" s="1155"/>
      <c r="AY805" s="1155"/>
      <c r="AZ805" s="1155"/>
      <c r="BA805" s="1155"/>
      <c r="BB805" s="1155"/>
      <c r="BC805" s="1155"/>
      <c r="BD805" s="1155"/>
      <c r="BE805" s="1155"/>
      <c r="BF805" s="1155"/>
      <c r="BG805" s="1155"/>
      <c r="BH805" s="1155"/>
      <c r="BI805" s="1155"/>
      <c r="BJ805" s="1155"/>
      <c r="BK805" s="1155"/>
      <c r="BL805" s="1155"/>
      <c r="BM805" s="1155"/>
      <c r="BN805" s="1155"/>
      <c r="BO805" s="1155"/>
      <c r="BP805" s="1155"/>
      <c r="BQ805" s="1155"/>
      <c r="BR805" s="1155"/>
      <c r="BS805" s="1155"/>
    </row>
    <row r="806" spans="5:71" s="474" customFormat="1" ht="12.75" customHeight="1">
      <c r="E806" s="4109"/>
      <c r="F806" s="1374" t="s">
        <v>589</v>
      </c>
      <c r="G806" s="1083"/>
      <c r="H806" s="1084"/>
      <c r="I806" s="1084"/>
      <c r="J806" s="1084"/>
      <c r="K806" s="1085"/>
      <c r="L806" s="255"/>
      <c r="M806" s="461"/>
      <c r="N806" s="461"/>
      <c r="O806" s="461"/>
      <c r="P806" s="281"/>
      <c r="Q806" s="956"/>
      <c r="R806" s="461"/>
      <c r="S806" s="461"/>
      <c r="T806" s="461"/>
      <c r="U806" s="281"/>
      <c r="V806" s="1172"/>
      <c r="W806" s="255"/>
      <c r="X806" s="461"/>
      <c r="Y806" s="461"/>
      <c r="Z806" s="461"/>
      <c r="AA806" s="281"/>
      <c r="AB806" s="1041"/>
      <c r="AC806" s="255"/>
      <c r="AD806" s="461"/>
      <c r="AE806" s="461"/>
      <c r="AF806" s="461"/>
      <c r="AG806" s="461"/>
      <c r="AH806" s="1047"/>
      <c r="AI806" s="1172"/>
      <c r="AJ806" s="1155"/>
      <c r="AK806" s="1155"/>
      <c r="AL806" s="1083"/>
      <c r="AM806" s="1084"/>
      <c r="AN806" s="1084"/>
      <c r="AO806" s="1084"/>
      <c r="AP806" s="1085"/>
      <c r="AQ806" s="259"/>
      <c r="AR806" s="466"/>
      <c r="AS806" s="283"/>
      <c r="AT806" s="1155"/>
      <c r="AU806" s="1155"/>
      <c r="AV806" s="1155"/>
      <c r="AW806" s="1155"/>
      <c r="AX806" s="1155"/>
      <c r="AY806" s="1155"/>
      <c r="AZ806" s="1155"/>
      <c r="BA806" s="1155"/>
      <c r="BB806" s="1155"/>
      <c r="BC806" s="1155"/>
      <c r="BD806" s="1155"/>
      <c r="BE806" s="1155"/>
      <c r="BF806" s="1155"/>
      <c r="BG806" s="1155"/>
      <c r="BH806" s="1155"/>
      <c r="BI806" s="1155"/>
      <c r="BJ806" s="1155"/>
      <c r="BK806" s="1155"/>
      <c r="BL806" s="1155"/>
      <c r="BM806" s="1155"/>
      <c r="BN806" s="1155"/>
      <c r="BO806" s="1155"/>
      <c r="BP806" s="1155"/>
      <c r="BQ806" s="1155"/>
      <c r="BR806" s="1155"/>
      <c r="BS806" s="1155"/>
    </row>
    <row r="807" spans="5:71" s="474" customFormat="1" ht="12.75" customHeight="1">
      <c r="E807" s="4109"/>
      <c r="F807" s="1374" t="s">
        <v>590</v>
      </c>
      <c r="G807" s="1083"/>
      <c r="H807" s="1084"/>
      <c r="I807" s="1084"/>
      <c r="J807" s="1084"/>
      <c r="K807" s="1085"/>
      <c r="L807" s="255"/>
      <c r="M807" s="461"/>
      <c r="N807" s="461"/>
      <c r="O807" s="461"/>
      <c r="P807" s="281"/>
      <c r="Q807" s="956"/>
      <c r="R807" s="461"/>
      <c r="S807" s="461"/>
      <c r="T807" s="461"/>
      <c r="U807" s="281"/>
      <c r="V807" s="1172"/>
      <c r="W807" s="255"/>
      <c r="X807" s="461"/>
      <c r="Y807" s="461"/>
      <c r="Z807" s="461"/>
      <c r="AA807" s="281"/>
      <c r="AB807" s="1041"/>
      <c r="AC807" s="255"/>
      <c r="AD807" s="461"/>
      <c r="AE807" s="461"/>
      <c r="AF807" s="461"/>
      <c r="AG807" s="461"/>
      <c r="AH807" s="1047"/>
      <c r="AI807" s="1172"/>
      <c r="AJ807" s="1155"/>
      <c r="AK807" s="1155"/>
      <c r="AL807" s="1083"/>
      <c r="AM807" s="1084"/>
      <c r="AN807" s="1084"/>
      <c r="AO807" s="1084"/>
      <c r="AP807" s="1085"/>
      <c r="AQ807" s="259"/>
      <c r="AR807" s="466"/>
      <c r="AS807" s="283"/>
      <c r="AT807" s="1155"/>
      <c r="AU807" s="1155"/>
      <c r="AV807" s="1155"/>
      <c r="AW807" s="1155"/>
      <c r="AX807" s="1155"/>
      <c r="AY807" s="1155"/>
      <c r="AZ807" s="1155"/>
      <c r="BA807" s="1155"/>
      <c r="BB807" s="1155"/>
      <c r="BC807" s="1155"/>
      <c r="BD807" s="1155"/>
      <c r="BE807" s="1155"/>
      <c r="BF807" s="1155"/>
      <c r="BG807" s="1155"/>
      <c r="BH807" s="1155"/>
      <c r="BI807" s="1155"/>
      <c r="BJ807" s="1155"/>
      <c r="BK807" s="1155"/>
      <c r="BL807" s="1155"/>
      <c r="BM807" s="1155"/>
      <c r="BN807" s="1155"/>
      <c r="BO807" s="1155"/>
      <c r="BP807" s="1155"/>
      <c r="BQ807" s="1155"/>
      <c r="BR807" s="1155"/>
      <c r="BS807" s="1155"/>
    </row>
    <row r="808" spans="5:71" s="474" customFormat="1" ht="12.75" customHeight="1">
      <c r="E808" s="4109"/>
      <c r="F808" s="1374" t="s">
        <v>591</v>
      </c>
      <c r="G808" s="1083"/>
      <c r="H808" s="1084"/>
      <c r="I808" s="1084"/>
      <c r="J808" s="1084"/>
      <c r="K808" s="1085"/>
      <c r="L808" s="255"/>
      <c r="M808" s="461"/>
      <c r="N808" s="461"/>
      <c r="O808" s="461"/>
      <c r="P808" s="281"/>
      <c r="Q808" s="956"/>
      <c r="R808" s="461"/>
      <c r="S808" s="461"/>
      <c r="T808" s="461"/>
      <c r="U808" s="281"/>
      <c r="V808" s="1172"/>
      <c r="W808" s="255"/>
      <c r="X808" s="461"/>
      <c r="Y808" s="461"/>
      <c r="Z808" s="461"/>
      <c r="AA808" s="281"/>
      <c r="AB808" s="1041"/>
      <c r="AC808" s="255"/>
      <c r="AD808" s="461"/>
      <c r="AE808" s="461"/>
      <c r="AF808" s="461"/>
      <c r="AG808" s="461"/>
      <c r="AH808" s="1047"/>
      <c r="AI808" s="1172"/>
      <c r="AJ808" s="1155"/>
      <c r="AK808" s="1155"/>
      <c r="AL808" s="1083"/>
      <c r="AM808" s="1084"/>
      <c r="AN808" s="1084"/>
      <c r="AO808" s="1084"/>
      <c r="AP808" s="1085"/>
      <c r="AQ808" s="259"/>
      <c r="AR808" s="466"/>
      <c r="AS808" s="283"/>
      <c r="AT808" s="1155"/>
      <c r="AU808" s="1155"/>
      <c r="AV808" s="1155"/>
      <c r="AW808" s="1155"/>
      <c r="AX808" s="1155"/>
      <c r="AY808" s="1155"/>
      <c r="AZ808" s="1155"/>
      <c r="BA808" s="1155"/>
      <c r="BB808" s="1155"/>
      <c r="BC808" s="1155"/>
      <c r="BD808" s="1155"/>
      <c r="BE808" s="1155"/>
      <c r="BF808" s="1155"/>
      <c r="BG808" s="1155"/>
      <c r="BH808" s="1155"/>
      <c r="BI808" s="1155"/>
      <c r="BJ808" s="1155"/>
      <c r="BK808" s="1155"/>
      <c r="BL808" s="1155"/>
      <c r="BM808" s="1155"/>
      <c r="BN808" s="1155"/>
      <c r="BO808" s="1155"/>
      <c r="BP808" s="1155"/>
      <c r="BQ808" s="1155"/>
      <c r="BR808" s="1155"/>
      <c r="BS808" s="1155"/>
    </row>
    <row r="809" spans="5:71" s="474" customFormat="1" ht="12.75" customHeight="1">
      <c r="E809" s="4109"/>
      <c r="F809" s="1374" t="s">
        <v>592</v>
      </c>
      <c r="G809" s="1083"/>
      <c r="H809" s="1084"/>
      <c r="I809" s="1084"/>
      <c r="J809" s="1084"/>
      <c r="K809" s="1085"/>
      <c r="L809" s="207"/>
      <c r="M809" s="456"/>
      <c r="N809" s="456"/>
      <c r="O809" s="456"/>
      <c r="P809" s="457"/>
      <c r="Q809" s="224"/>
      <c r="R809" s="456"/>
      <c r="S809" s="456"/>
      <c r="T809" s="456"/>
      <c r="U809" s="457"/>
      <c r="V809" s="1172"/>
      <c r="W809" s="207"/>
      <c r="X809" s="456"/>
      <c r="Y809" s="456"/>
      <c r="Z809" s="456"/>
      <c r="AA809" s="457"/>
      <c r="AB809" s="1041"/>
      <c r="AC809" s="207"/>
      <c r="AD809" s="456"/>
      <c r="AE809" s="456"/>
      <c r="AF809" s="456"/>
      <c r="AG809" s="456"/>
      <c r="AH809" s="1048"/>
      <c r="AI809" s="1172"/>
      <c r="AJ809" s="1155"/>
      <c r="AK809" s="1155"/>
      <c r="AL809" s="1083"/>
      <c r="AM809" s="1084"/>
      <c r="AN809" s="1084"/>
      <c r="AO809" s="1084"/>
      <c r="AP809" s="1085"/>
      <c r="AQ809" s="207">
        <f>SUM(AQ804:AQ808)</f>
        <v>0</v>
      </c>
      <c r="AR809" s="456">
        <f t="shared" ref="AR809" si="3569">SUM(AR804:AR808)</f>
        <v>0</v>
      </c>
      <c r="AS809" s="457"/>
      <c r="AT809" s="1155"/>
      <c r="AU809" s="1155"/>
      <c r="AV809" s="1155"/>
      <c r="AW809" s="1155"/>
      <c r="AX809" s="1155"/>
      <c r="AY809" s="1155"/>
      <c r="AZ809" s="1155"/>
      <c r="BA809" s="1155"/>
      <c r="BB809" s="1155"/>
      <c r="BC809" s="1155"/>
      <c r="BD809" s="1155"/>
      <c r="BE809" s="1155"/>
      <c r="BF809" s="1155"/>
      <c r="BG809" s="1155"/>
      <c r="BH809" s="1155"/>
      <c r="BI809" s="1155"/>
      <c r="BJ809" s="1155"/>
      <c r="BK809" s="1155"/>
      <c r="BL809" s="1155"/>
      <c r="BM809" s="1155"/>
      <c r="BN809" s="1155"/>
      <c r="BO809" s="1155"/>
      <c r="BP809" s="1155"/>
      <c r="BQ809" s="1155"/>
      <c r="BR809" s="1155"/>
      <c r="BS809" s="1155"/>
    </row>
    <row r="810" spans="5:71" s="474" customFormat="1">
      <c r="E810" s="4109"/>
      <c r="F810" s="1375" t="s">
        <v>587</v>
      </c>
      <c r="G810" s="1086"/>
      <c r="H810" s="1087"/>
      <c r="I810" s="1087"/>
      <c r="J810" s="1087"/>
      <c r="K810" s="1088"/>
      <c r="L810" s="258">
        <f>SUM(L805:L809)</f>
        <v>0</v>
      </c>
      <c r="M810" s="465">
        <f t="shared" ref="M810" si="3570">SUM(M805:M809)</f>
        <v>0</v>
      </c>
      <c r="N810" s="465">
        <f t="shared" ref="N810" si="3571">SUM(N805:N809)</f>
        <v>0</v>
      </c>
      <c r="O810" s="465">
        <f t="shared" ref="O810" si="3572">SUM(O805:O809)</f>
        <v>65000</v>
      </c>
      <c r="P810" s="282">
        <f t="shared" ref="P810" si="3573">SUM(P805:P809)</f>
        <v>120000</v>
      </c>
      <c r="Q810" s="965">
        <f t="shared" ref="Q810" si="3574">SUM(Q805:Q809)</f>
        <v>85243.9</v>
      </c>
      <c r="R810" s="465">
        <f t="shared" ref="R810" si="3575">SUM(R805:R809)</f>
        <v>84436</v>
      </c>
      <c r="S810" s="465">
        <f t="shared" ref="S810" si="3576">SUM(S805:S809)</f>
        <v>83184</v>
      </c>
      <c r="T810" s="465">
        <f t="shared" ref="T810" si="3577">SUM(T805:T809)</f>
        <v>79220</v>
      </c>
      <c r="U810" s="282">
        <f t="shared" ref="U810" si="3578">SUM(U805:U809)</f>
        <v>78026.000000000015</v>
      </c>
      <c r="V810" s="1172"/>
      <c r="W810" s="258">
        <f t="shared" ref="W810" si="3579">SUM(W805:W809)</f>
        <v>0</v>
      </c>
      <c r="X810" s="465">
        <f t="shared" ref="X810" si="3580">SUM(X805:X809)</f>
        <v>0</v>
      </c>
      <c r="Y810" s="465">
        <f t="shared" ref="Y810" si="3581">SUM(Y805:Y809)</f>
        <v>0</v>
      </c>
      <c r="Z810" s="465">
        <f t="shared" ref="Z810" si="3582">SUM(Z805:Z809)</f>
        <v>0</v>
      </c>
      <c r="AA810" s="282">
        <f t="shared" ref="AA810" si="3583">SUM(AA805:AA809)</f>
        <v>0</v>
      </c>
      <c r="AB810" s="992"/>
      <c r="AC810" s="258">
        <f t="shared" ref="AC810" si="3584">SUM(AC805:AC809)</f>
        <v>0</v>
      </c>
      <c r="AD810" s="465">
        <f t="shared" ref="AD810" si="3585">SUM(AD805:AD809)</f>
        <v>0</v>
      </c>
      <c r="AE810" s="465">
        <f t="shared" ref="AE810" si="3586">SUM(AE805:AE809)</f>
        <v>0</v>
      </c>
      <c r="AF810" s="465">
        <f t="shared" ref="AF810" si="3587">SUM(AF805:AF809)</f>
        <v>0</v>
      </c>
      <c r="AG810" s="465">
        <f t="shared" ref="AG810" si="3588">SUM(AG805:AG809)</f>
        <v>0</v>
      </c>
      <c r="AH810" s="1049"/>
      <c r="AI810" s="1172"/>
      <c r="AJ810" s="1155"/>
      <c r="AK810" s="1155"/>
      <c r="AL810" s="1086"/>
      <c r="AM810" s="1087"/>
      <c r="AN810" s="1087"/>
      <c r="AO810" s="1087"/>
      <c r="AP810" s="1088"/>
      <c r="AQ810" s="258"/>
      <c r="AR810" s="465"/>
      <c r="AS810" s="282"/>
      <c r="AT810" s="1155"/>
      <c r="AU810" s="1155"/>
      <c r="AV810" s="1155"/>
      <c r="AW810" s="1155"/>
      <c r="AX810" s="1155"/>
      <c r="AY810" s="1155"/>
      <c r="AZ810" s="1155"/>
      <c r="BA810" s="1155"/>
      <c r="BB810" s="1155"/>
      <c r="BC810" s="1155"/>
      <c r="BD810" s="1155"/>
      <c r="BE810" s="1155"/>
      <c r="BF810" s="1155"/>
      <c r="BG810" s="1155"/>
      <c r="BH810" s="1155"/>
      <c r="BI810" s="1155"/>
      <c r="BJ810" s="1155"/>
      <c r="BK810" s="1155"/>
      <c r="BL810" s="1155"/>
      <c r="BM810" s="1155"/>
      <c r="BN810" s="1155"/>
      <c r="BO810" s="1155"/>
      <c r="BP810" s="1155"/>
      <c r="BQ810" s="1155"/>
      <c r="BR810" s="1155"/>
      <c r="BS810" s="1155"/>
    </row>
    <row r="811" spans="5:71" s="474" customFormat="1">
      <c r="E811" s="4109"/>
      <c r="F811" s="1376" t="s">
        <v>593</v>
      </c>
      <c r="G811" s="1083"/>
      <c r="H811" s="1084"/>
      <c r="I811" s="1084"/>
      <c r="J811" s="1084"/>
      <c r="K811" s="1085"/>
      <c r="L811" s="255"/>
      <c r="M811" s="461"/>
      <c r="N811" s="461"/>
      <c r="O811" s="461">
        <v>12525735.761073435</v>
      </c>
      <c r="P811" s="281">
        <v>20919676.467008591</v>
      </c>
      <c r="Q811" s="956">
        <v>24843251.542865418</v>
      </c>
      <c r="R811" s="461">
        <v>23276134.394622069</v>
      </c>
      <c r="S811" s="461">
        <v>24004407.509506546</v>
      </c>
      <c r="T811" s="461">
        <v>19710338.517763648</v>
      </c>
      <c r="U811" s="281">
        <v>18625927.439752009</v>
      </c>
      <c r="V811" s="1172"/>
      <c r="W811" s="255"/>
      <c r="X811" s="461"/>
      <c r="Y811" s="461"/>
      <c r="Z811" s="461"/>
      <c r="AA811" s="281"/>
      <c r="AB811" s="1041"/>
      <c r="AC811" s="255"/>
      <c r="AD811" s="461"/>
      <c r="AE811" s="461"/>
      <c r="AF811" s="461"/>
      <c r="AG811" s="461"/>
      <c r="AH811" s="1047"/>
      <c r="AI811" s="1172"/>
      <c r="AJ811" s="1155"/>
      <c r="AK811" s="1155"/>
      <c r="AL811" s="1083"/>
      <c r="AM811" s="1084"/>
      <c r="AN811" s="1084"/>
      <c r="AO811" s="1084"/>
      <c r="AP811" s="1085"/>
      <c r="AQ811" s="259"/>
      <c r="AR811" s="466"/>
      <c r="AS811" s="283"/>
      <c r="AT811" s="1155"/>
      <c r="AU811" s="1155"/>
      <c r="AV811" s="1155"/>
      <c r="AW811" s="1155"/>
      <c r="AX811" s="1155"/>
      <c r="AY811" s="1155"/>
      <c r="AZ811" s="1155"/>
      <c r="BA811" s="1155"/>
      <c r="BB811" s="1155"/>
      <c r="BC811" s="1155"/>
      <c r="BD811" s="1155"/>
      <c r="BE811" s="1155"/>
      <c r="BF811" s="1155"/>
      <c r="BG811" s="1155"/>
      <c r="BH811" s="1155"/>
      <c r="BI811" s="1155"/>
      <c r="BJ811" s="1155"/>
      <c r="BK811" s="1155"/>
      <c r="BL811" s="1155"/>
      <c r="BM811" s="1155"/>
      <c r="BN811" s="1155"/>
      <c r="BO811" s="1155"/>
      <c r="BP811" s="1155"/>
      <c r="BQ811" s="1155"/>
      <c r="BR811" s="1155"/>
      <c r="BS811" s="1155"/>
    </row>
    <row r="812" spans="5:71" s="474" customFormat="1">
      <c r="E812" s="4109"/>
      <c r="F812" s="431" t="s">
        <v>558</v>
      </c>
      <c r="G812" s="1083"/>
      <c r="H812" s="1084"/>
      <c r="I812" s="1084"/>
      <c r="J812" s="1084"/>
      <c r="K812" s="1085"/>
      <c r="L812" s="255"/>
      <c r="M812" s="461"/>
      <c r="N812" s="461"/>
      <c r="O812" s="461"/>
      <c r="P812" s="281"/>
      <c r="Q812" s="956"/>
      <c r="R812" s="461"/>
      <c r="S812" s="461"/>
      <c r="T812" s="461"/>
      <c r="U812" s="281"/>
      <c r="V812" s="1172"/>
      <c r="W812" s="255"/>
      <c r="X812" s="461"/>
      <c r="Y812" s="461"/>
      <c r="Z812" s="461"/>
      <c r="AA812" s="281"/>
      <c r="AB812" s="1041"/>
      <c r="AC812" s="255"/>
      <c r="AD812" s="461"/>
      <c r="AE812" s="461"/>
      <c r="AF812" s="461"/>
      <c r="AG812" s="461"/>
      <c r="AH812" s="1047"/>
      <c r="AI812" s="1172"/>
      <c r="AJ812" s="1155"/>
      <c r="AK812" s="1155"/>
      <c r="AL812" s="1083"/>
      <c r="AM812" s="1084"/>
      <c r="AN812" s="1084"/>
      <c r="AO812" s="1084"/>
      <c r="AP812" s="1085"/>
      <c r="AQ812" s="259"/>
      <c r="AR812" s="466"/>
      <c r="AS812" s="283"/>
      <c r="AT812" s="1155"/>
      <c r="AU812" s="1155"/>
      <c r="AV812" s="1155"/>
      <c r="AW812" s="1155"/>
      <c r="AX812" s="1155"/>
      <c r="AY812" s="1155"/>
      <c r="AZ812" s="1155"/>
      <c r="BA812" s="1155"/>
      <c r="BB812" s="1155"/>
      <c r="BC812" s="1155"/>
      <c r="BD812" s="1155"/>
      <c r="BE812" s="1155"/>
      <c r="BF812" s="1155"/>
      <c r="BG812" s="1155"/>
      <c r="BH812" s="1155"/>
      <c r="BI812" s="1155"/>
      <c r="BJ812" s="1155"/>
      <c r="BK812" s="1155"/>
      <c r="BL812" s="1155"/>
      <c r="BM812" s="1155"/>
      <c r="BN812" s="1155"/>
      <c r="BO812" s="1155"/>
      <c r="BP812" s="1155"/>
      <c r="BQ812" s="1155"/>
      <c r="BR812" s="1155"/>
      <c r="BS812" s="1155"/>
    </row>
    <row r="813" spans="5:71" s="474" customFormat="1">
      <c r="E813" s="4109"/>
      <c r="F813" s="431" t="s">
        <v>559</v>
      </c>
      <c r="G813" s="1083"/>
      <c r="H813" s="1084"/>
      <c r="I813" s="1084"/>
      <c r="J813" s="1084"/>
      <c r="K813" s="1085"/>
      <c r="L813" s="255"/>
      <c r="M813" s="461"/>
      <c r="N813" s="461"/>
      <c r="O813" s="461"/>
      <c r="P813" s="281"/>
      <c r="Q813" s="956"/>
      <c r="R813" s="461"/>
      <c r="S813" s="461"/>
      <c r="T813" s="461"/>
      <c r="U813" s="281"/>
      <c r="V813" s="1172"/>
      <c r="W813" s="255"/>
      <c r="X813" s="461"/>
      <c r="Y813" s="461"/>
      <c r="Z813" s="461"/>
      <c r="AA813" s="281"/>
      <c r="AB813" s="1041"/>
      <c r="AC813" s="255"/>
      <c r="AD813" s="461"/>
      <c r="AE813" s="461"/>
      <c r="AF813" s="461"/>
      <c r="AG813" s="461"/>
      <c r="AH813" s="1047"/>
      <c r="AI813" s="1172"/>
      <c r="AJ813" s="1155"/>
      <c r="AK813" s="1155"/>
      <c r="AL813" s="1083"/>
      <c r="AM813" s="1084"/>
      <c r="AN813" s="1084"/>
      <c r="AO813" s="1084"/>
      <c r="AP813" s="1085"/>
      <c r="AQ813" s="259"/>
      <c r="AR813" s="466"/>
      <c r="AS813" s="283"/>
      <c r="AT813" s="1155"/>
      <c r="AU813" s="1155"/>
      <c r="AV813" s="1155"/>
      <c r="AW813" s="1155"/>
      <c r="AX813" s="1155"/>
      <c r="AY813" s="1155"/>
      <c r="AZ813" s="1155"/>
      <c r="BA813" s="1155"/>
      <c r="BB813" s="1155"/>
      <c r="BC813" s="1155"/>
      <c r="BD813" s="1155"/>
      <c r="BE813" s="1155"/>
      <c r="BF813" s="1155"/>
      <c r="BG813" s="1155"/>
      <c r="BH813" s="1155"/>
      <c r="BI813" s="1155"/>
      <c r="BJ813" s="1155"/>
      <c r="BK813" s="1155"/>
      <c r="BL813" s="1155"/>
      <c r="BM813" s="1155"/>
      <c r="BN813" s="1155"/>
      <c r="BO813" s="1155"/>
      <c r="BP813" s="1155"/>
      <c r="BQ813" s="1155"/>
      <c r="BR813" s="1155"/>
      <c r="BS813" s="1155"/>
    </row>
    <row r="814" spans="5:71" s="474" customFormat="1">
      <c r="E814" s="4109"/>
      <c r="F814" s="431" t="s">
        <v>578</v>
      </c>
      <c r="G814" s="1089"/>
      <c r="H814" s="1090"/>
      <c r="I814" s="1090"/>
      <c r="J814" s="1090"/>
      <c r="K814" s="1091"/>
      <c r="L814" s="259"/>
      <c r="M814" s="456"/>
      <c r="N814" s="456"/>
      <c r="O814" s="456"/>
      <c r="P814" s="457"/>
      <c r="Q814" s="224"/>
      <c r="R814" s="456"/>
      <c r="S814" s="456"/>
      <c r="T814" s="456"/>
      <c r="U814" s="457"/>
      <c r="V814" s="1172"/>
      <c r="W814" s="207"/>
      <c r="X814" s="456"/>
      <c r="Y814" s="456"/>
      <c r="Z814" s="456"/>
      <c r="AA814" s="457"/>
      <c r="AB814" s="1041"/>
      <c r="AC814" s="207"/>
      <c r="AD814" s="456"/>
      <c r="AE814" s="456"/>
      <c r="AF814" s="456"/>
      <c r="AG814" s="456"/>
      <c r="AH814" s="1048"/>
      <c r="AI814" s="1172"/>
      <c r="AJ814" s="1155"/>
      <c r="AK814" s="1155"/>
      <c r="AL814" s="1089"/>
      <c r="AM814" s="1090"/>
      <c r="AN814" s="1090"/>
      <c r="AO814" s="1090"/>
      <c r="AP814" s="1091"/>
      <c r="AQ814" s="259"/>
      <c r="AR814" s="466"/>
      <c r="AS814" s="283"/>
      <c r="AT814" s="1155"/>
      <c r="AU814" s="1155"/>
      <c r="AV814" s="1155"/>
      <c r="AW814" s="1155"/>
      <c r="AX814" s="1155"/>
      <c r="AY814" s="1155"/>
      <c r="AZ814" s="1155"/>
      <c r="BA814" s="1155"/>
      <c r="BB814" s="1155"/>
      <c r="BC814" s="1155"/>
      <c r="BD814" s="1155"/>
      <c r="BE814" s="1155"/>
      <c r="BF814" s="1155"/>
      <c r="BG814" s="1155"/>
      <c r="BH814" s="1155"/>
      <c r="BI814" s="1155"/>
      <c r="BJ814" s="1155"/>
      <c r="BK814" s="1155"/>
      <c r="BL814" s="1155"/>
      <c r="BM814" s="1155"/>
      <c r="BN814" s="1155"/>
      <c r="BO814" s="1155"/>
      <c r="BP814" s="1155"/>
      <c r="BQ814" s="1155"/>
      <c r="BR814" s="1155"/>
      <c r="BS814" s="1155"/>
    </row>
    <row r="815" spans="5:71" s="474" customFormat="1">
      <c r="E815" s="4109"/>
      <c r="F815" s="1377" t="s">
        <v>579</v>
      </c>
      <c r="G815" s="1086"/>
      <c r="H815" s="1087"/>
      <c r="I815" s="1087"/>
      <c r="J815" s="1087"/>
      <c r="K815" s="1088"/>
      <c r="L815" s="258">
        <f>SUM(L811:L814)</f>
        <v>0</v>
      </c>
      <c r="M815" s="465">
        <f t="shared" ref="M815" si="3589">SUM(M811:M814)</f>
        <v>0</v>
      </c>
      <c r="N815" s="465">
        <f t="shared" ref="N815" si="3590">SUM(N811:N814)</f>
        <v>0</v>
      </c>
      <c r="O815" s="465">
        <f t="shared" ref="O815" si="3591">SUM(O811:O814)</f>
        <v>12525735.761073435</v>
      </c>
      <c r="P815" s="282">
        <f t="shared" ref="P815" si="3592">SUM(P811:P814)</f>
        <v>20919676.467008591</v>
      </c>
      <c r="Q815" s="965">
        <f t="shared" ref="Q815" si="3593">SUM(Q811:Q814)</f>
        <v>24843251.542865418</v>
      </c>
      <c r="R815" s="465">
        <f t="shared" ref="R815" si="3594">SUM(R811:R814)</f>
        <v>23276134.394622069</v>
      </c>
      <c r="S815" s="465">
        <f t="shared" ref="S815" si="3595">SUM(S811:S814)</f>
        <v>24004407.509506546</v>
      </c>
      <c r="T815" s="465">
        <f t="shared" ref="T815" si="3596">SUM(T811:T814)</f>
        <v>19710338.517763648</v>
      </c>
      <c r="U815" s="282">
        <f t="shared" ref="U815" si="3597">SUM(U811:U814)</f>
        <v>18625927.439752009</v>
      </c>
      <c r="V815" s="1172"/>
      <c r="W815" s="258">
        <f t="shared" ref="W815" si="3598">SUM(W811:W814)</f>
        <v>0</v>
      </c>
      <c r="X815" s="465">
        <f t="shared" ref="X815" si="3599">SUM(X811:X814)</f>
        <v>0</v>
      </c>
      <c r="Y815" s="465">
        <f t="shared" ref="Y815" si="3600">SUM(Y811:Y814)</f>
        <v>0</v>
      </c>
      <c r="Z815" s="465">
        <f t="shared" ref="Z815" si="3601">SUM(Z811:Z814)</f>
        <v>0</v>
      </c>
      <c r="AA815" s="282">
        <f t="shared" ref="AA815" si="3602">SUM(AA811:AA814)</f>
        <v>0</v>
      </c>
      <c r="AB815" s="992"/>
      <c r="AC815" s="258">
        <f t="shared" ref="AC815" si="3603">SUM(AC811:AC814)</f>
        <v>0</v>
      </c>
      <c r="AD815" s="465">
        <f t="shared" ref="AD815" si="3604">SUM(AD811:AD814)</f>
        <v>0</v>
      </c>
      <c r="AE815" s="465">
        <f t="shared" ref="AE815" si="3605">SUM(AE811:AE814)</f>
        <v>0</v>
      </c>
      <c r="AF815" s="465">
        <f t="shared" ref="AF815" si="3606">SUM(AF811:AF814)</f>
        <v>0</v>
      </c>
      <c r="AG815" s="465">
        <f t="shared" ref="AG815" si="3607">SUM(AG811:AG814)</f>
        <v>0</v>
      </c>
      <c r="AH815" s="1049"/>
      <c r="AI815" s="1172"/>
      <c r="AJ815" s="1155"/>
      <c r="AK815" s="1155"/>
      <c r="AL815" s="1086"/>
      <c r="AM815" s="1087"/>
      <c r="AN815" s="1087"/>
      <c r="AO815" s="1087"/>
      <c r="AP815" s="1088"/>
      <c r="AQ815" s="258">
        <f>SUM(AQ812:AQ814)</f>
        <v>0</v>
      </c>
      <c r="AR815" s="465">
        <f t="shared" ref="AR815" si="3608">SUM(AR812:AR814)</f>
        <v>0</v>
      </c>
      <c r="AS815" s="282"/>
      <c r="AT815" s="1155"/>
      <c r="AU815" s="1155"/>
      <c r="AV815" s="1155"/>
      <c r="AW815" s="1155"/>
      <c r="AX815" s="1155"/>
      <c r="AY815" s="1155"/>
      <c r="AZ815" s="1155"/>
      <c r="BA815" s="1155"/>
      <c r="BB815" s="1155"/>
      <c r="BC815" s="1155"/>
      <c r="BD815" s="1155"/>
      <c r="BE815" s="1155"/>
      <c r="BF815" s="1155"/>
      <c r="BG815" s="1155"/>
      <c r="BH815" s="1155"/>
      <c r="BI815" s="1155"/>
      <c r="BJ815" s="1155"/>
      <c r="BK815" s="1155"/>
      <c r="BL815" s="1155"/>
      <c r="BM815" s="1155"/>
      <c r="BN815" s="1155"/>
      <c r="BO815" s="1155"/>
      <c r="BP815" s="1155"/>
      <c r="BQ815" s="1155"/>
      <c r="BR815" s="1155"/>
      <c r="BS815" s="1155"/>
    </row>
    <row r="816" spans="5:71" s="474" customFormat="1" ht="13.5" thickBot="1">
      <c r="E816" s="4109"/>
      <c r="F816" s="1035" t="s">
        <v>583</v>
      </c>
      <c r="G816" s="255"/>
      <c r="H816" s="461"/>
      <c r="I816" s="461"/>
      <c r="J816" s="461"/>
      <c r="K816" s="281"/>
      <c r="L816" s="207"/>
      <c r="M816" s="456"/>
      <c r="N816" s="456"/>
      <c r="O816" s="456">
        <v>1700910.0464349762</v>
      </c>
      <c r="P816" s="457">
        <v>1568724.7164149359</v>
      </c>
      <c r="Q816" s="224">
        <v>1728809.5761766396</v>
      </c>
      <c r="R816" s="456">
        <v>1720842.9272881299</v>
      </c>
      <c r="S816" s="456">
        <v>1802153.9233765639</v>
      </c>
      <c r="T816" s="456">
        <v>1578266.455506999</v>
      </c>
      <c r="U816" s="457">
        <v>1512784.7247736417</v>
      </c>
      <c r="V816" s="1172"/>
      <c r="W816" s="207"/>
      <c r="X816" s="461"/>
      <c r="Y816" s="461"/>
      <c r="Z816" s="461"/>
      <c r="AA816" s="281"/>
      <c r="AB816" s="1041"/>
      <c r="AC816" s="207"/>
      <c r="AD816" s="456"/>
      <c r="AE816" s="456"/>
      <c r="AF816" s="456"/>
      <c r="AG816" s="456"/>
      <c r="AH816" s="1048"/>
      <c r="AI816" s="1172"/>
      <c r="AJ816" s="1155"/>
      <c r="AK816" s="1155"/>
      <c r="AL816" s="259"/>
      <c r="AM816" s="466"/>
      <c r="AN816" s="466"/>
      <c r="AO816" s="466"/>
      <c r="AP816" s="283"/>
      <c r="AQ816" s="259"/>
      <c r="AR816" s="466"/>
      <c r="AS816" s="283"/>
      <c r="AT816" s="1155"/>
      <c r="AU816" s="1155"/>
      <c r="AV816" s="1155"/>
      <c r="AW816" s="1155"/>
      <c r="AX816" s="1155"/>
      <c r="AY816" s="1155"/>
      <c r="AZ816" s="1155"/>
      <c r="BA816" s="1155"/>
      <c r="BB816" s="1155"/>
      <c r="BC816" s="1155"/>
      <c r="BD816" s="1155"/>
      <c r="BE816" s="1155"/>
      <c r="BF816" s="1155"/>
      <c r="BG816" s="1155"/>
      <c r="BH816" s="1155"/>
      <c r="BI816" s="1155"/>
      <c r="BJ816" s="1155"/>
      <c r="BK816" s="1155"/>
      <c r="BL816" s="1155"/>
      <c r="BM816" s="1155"/>
      <c r="BN816" s="1155"/>
      <c r="BO816" s="1155"/>
      <c r="BP816" s="1155"/>
      <c r="BQ816" s="1155"/>
      <c r="BR816" s="1155"/>
      <c r="BS816" s="1155"/>
    </row>
    <row r="817" spans="5:71" s="474" customFormat="1" ht="13.5" thickBot="1">
      <c r="E817" s="4109"/>
      <c r="F817" s="1380" t="s">
        <v>581</v>
      </c>
      <c r="G817" s="1599"/>
      <c r="H817" s="1600"/>
      <c r="I817" s="1600"/>
      <c r="J817" s="1600"/>
      <c r="K817" s="1601"/>
      <c r="L817" s="1599"/>
      <c r="M817" s="1600"/>
      <c r="N817" s="1600"/>
      <c r="O817" s="1600"/>
      <c r="P817" s="1601"/>
      <c r="Q817" s="1602"/>
      <c r="R817" s="1600"/>
      <c r="S817" s="1600"/>
      <c r="T817" s="1600"/>
      <c r="U817" s="1601"/>
      <c r="V817" s="1172"/>
      <c r="W817" s="1614"/>
      <c r="X817" s="1615"/>
      <c r="Y817" s="1615"/>
      <c r="Z817" s="1615"/>
      <c r="AA817" s="1615"/>
      <c r="AB817" s="1615"/>
      <c r="AC817" s="1615"/>
      <c r="AD817" s="1615"/>
      <c r="AE817" s="1615"/>
      <c r="AF817" s="1615"/>
      <c r="AG817" s="1615"/>
      <c r="AH817" s="1616"/>
      <c r="AI817" s="1172"/>
      <c r="AJ817" s="1155"/>
      <c r="AK817" s="1155"/>
      <c r="AL817" s="259"/>
      <c r="AM817" s="466"/>
      <c r="AN817" s="466"/>
      <c r="AO817" s="466"/>
      <c r="AP817" s="283"/>
      <c r="AQ817" s="259"/>
      <c r="AR817" s="466"/>
      <c r="AS817" s="283"/>
      <c r="AT817" s="1155"/>
      <c r="AU817" s="1155"/>
      <c r="AV817" s="1155"/>
      <c r="AW817" s="1155"/>
      <c r="AX817" s="1155"/>
      <c r="AY817" s="1155"/>
      <c r="AZ817" s="1155"/>
      <c r="BA817" s="1155"/>
      <c r="BB817" s="1155"/>
      <c r="BC817" s="1155"/>
      <c r="BD817" s="1155"/>
      <c r="BE817" s="1155"/>
      <c r="BF817" s="1155"/>
      <c r="BG817" s="1155"/>
      <c r="BH817" s="1155"/>
      <c r="BI817" s="1155"/>
      <c r="BJ817" s="1155"/>
      <c r="BK817" s="1155"/>
      <c r="BL817" s="1155"/>
      <c r="BM817" s="1155"/>
      <c r="BN817" s="1155"/>
      <c r="BO817" s="1155"/>
      <c r="BP817" s="1155"/>
      <c r="BQ817" s="1155"/>
      <c r="BR817" s="1155"/>
      <c r="BS817" s="1155"/>
    </row>
    <row r="818" spans="5:71" s="474" customFormat="1">
      <c r="E818" s="4109"/>
      <c r="F818" s="1378" t="s">
        <v>584</v>
      </c>
      <c r="G818" s="1050"/>
      <c r="H818" s="1051"/>
      <c r="I818" s="1051"/>
      <c r="J818" s="1051"/>
      <c r="K818" s="1052"/>
      <c r="L818" s="1050">
        <f>SUM(L815:L817)</f>
        <v>0</v>
      </c>
      <c r="M818" s="1051">
        <f t="shared" ref="M818" si="3609">SUM(M815:M817)</f>
        <v>0</v>
      </c>
      <c r="N818" s="1051">
        <f t="shared" ref="N818" si="3610">SUM(N815:N817)</f>
        <v>0</v>
      </c>
      <c r="O818" s="1051">
        <f t="shared" ref="O818" si="3611">SUM(O815:O817)</f>
        <v>14226645.807508411</v>
      </c>
      <c r="P818" s="1052">
        <f t="shared" ref="P818" si="3612">SUM(P815:P817)</f>
        <v>22488401.183423527</v>
      </c>
      <c r="Q818" s="1092">
        <f t="shared" ref="Q818" si="3613">SUM(Q815:Q817)</f>
        <v>26572061.119042058</v>
      </c>
      <c r="R818" s="1051">
        <f t="shared" ref="R818" si="3614">SUM(R815:R817)</f>
        <v>24996977.321910199</v>
      </c>
      <c r="S818" s="1051">
        <f t="shared" ref="S818" si="3615">SUM(S815:S817)</f>
        <v>25806561.43288311</v>
      </c>
      <c r="T818" s="1051">
        <f t="shared" ref="T818" si="3616">SUM(T815:T817)</f>
        <v>21288604.973270647</v>
      </c>
      <c r="U818" s="1052">
        <f t="shared" ref="U818" si="3617">SUM(U815:U817)</f>
        <v>20138712.16452565</v>
      </c>
      <c r="V818" s="1172"/>
      <c r="W818" s="1050">
        <f t="shared" ref="W818" si="3618">SUM(W815:W817)</f>
        <v>0</v>
      </c>
      <c r="X818" s="1051">
        <f t="shared" ref="X818" si="3619">SUM(X815:X817)</f>
        <v>0</v>
      </c>
      <c r="Y818" s="1051">
        <f t="shared" ref="Y818" si="3620">SUM(Y815:Y817)</f>
        <v>0</v>
      </c>
      <c r="Z818" s="1051">
        <f t="shared" ref="Z818" si="3621">SUM(Z815:Z817)</f>
        <v>0</v>
      </c>
      <c r="AA818" s="1052">
        <f t="shared" ref="AA818" si="3622">SUM(AA815:AA817)</f>
        <v>0</v>
      </c>
      <c r="AB818" s="1053"/>
      <c r="AC818" s="1050">
        <f t="shared" ref="AC818" si="3623">SUM(AC815:AC817)</f>
        <v>0</v>
      </c>
      <c r="AD818" s="1051">
        <f t="shared" ref="AD818" si="3624">SUM(AD815:AD817)</f>
        <v>0</v>
      </c>
      <c r="AE818" s="1051">
        <f t="shared" ref="AE818" si="3625">SUM(AE815:AE817)</f>
        <v>0</v>
      </c>
      <c r="AF818" s="1051">
        <f t="shared" ref="AF818" si="3626">SUM(AF815:AF817)</f>
        <v>0</v>
      </c>
      <c r="AG818" s="1051">
        <f t="shared" ref="AG818" si="3627">SUM(AG815:AG817)</f>
        <v>0</v>
      </c>
      <c r="AH818" s="1054"/>
      <c r="AI818" s="1172"/>
      <c r="AJ818" s="130"/>
      <c r="AK818" s="130"/>
      <c r="AL818" s="1050">
        <f t="shared" ref="AL818:AR818" si="3628">SUM(AL816:AL817)</f>
        <v>0</v>
      </c>
      <c r="AM818" s="1051">
        <f t="shared" si="3628"/>
        <v>0</v>
      </c>
      <c r="AN818" s="1051">
        <f t="shared" si="3628"/>
        <v>0</v>
      </c>
      <c r="AO818" s="1051">
        <f t="shared" si="3628"/>
        <v>0</v>
      </c>
      <c r="AP818" s="1052">
        <f t="shared" si="3628"/>
        <v>0</v>
      </c>
      <c r="AQ818" s="1050">
        <f t="shared" si="3628"/>
        <v>0</v>
      </c>
      <c r="AR818" s="1051">
        <f t="shared" si="3628"/>
        <v>0</v>
      </c>
      <c r="AS818" s="1052"/>
      <c r="AT818" s="130"/>
      <c r="AU818" s="130"/>
      <c r="AV818" s="130"/>
      <c r="AW818" s="130"/>
      <c r="AX818" s="130"/>
      <c r="AY818" s="130"/>
      <c r="AZ818" s="130"/>
      <c r="BA818" s="130"/>
      <c r="BB818" s="130"/>
      <c r="BC818" s="130"/>
      <c r="BD818" s="130"/>
      <c r="BE818" s="130"/>
      <c r="BF818" s="130"/>
      <c r="BG818" s="130"/>
      <c r="BH818" s="130"/>
      <c r="BI818" s="130"/>
      <c r="BJ818" s="130"/>
      <c r="BK818" s="130"/>
      <c r="BL818" s="130"/>
      <c r="BM818" s="130"/>
      <c r="BN818" s="130"/>
      <c r="BO818" s="130"/>
      <c r="BP818" s="130"/>
      <c r="BQ818" s="130"/>
      <c r="BR818" s="130"/>
      <c r="BS818" s="1155"/>
    </row>
    <row r="819" spans="5:71" s="474" customFormat="1">
      <c r="E819" s="4109"/>
      <c r="F819" s="1389" t="s">
        <v>35</v>
      </c>
      <c r="G819" s="255"/>
      <c r="H819" s="461"/>
      <c r="I819" s="461"/>
      <c r="J819" s="461"/>
      <c r="K819" s="281"/>
      <c r="L819" s="255"/>
      <c r="M819" s="461"/>
      <c r="N819" s="461"/>
      <c r="O819" s="461"/>
      <c r="P819" s="281"/>
      <c r="Q819" s="956"/>
      <c r="R819" s="461"/>
      <c r="S819" s="461"/>
      <c r="T819" s="461"/>
      <c r="U819" s="281"/>
      <c r="V819" s="1172"/>
      <c r="W819" s="255"/>
      <c r="X819" s="461"/>
      <c r="Y819" s="461"/>
      <c r="Z819" s="461"/>
      <c r="AA819" s="281"/>
      <c r="AB819" s="1004"/>
      <c r="AC819" s="255"/>
      <c r="AD819" s="461"/>
      <c r="AE819" s="461"/>
      <c r="AF819" s="461"/>
      <c r="AG819" s="461"/>
      <c r="AH819" s="1047"/>
      <c r="AI819" s="1172"/>
      <c r="AJ819" s="1155"/>
      <c r="AK819" s="1155"/>
      <c r="AL819" s="259"/>
      <c r="AM819" s="466"/>
      <c r="AN819" s="466"/>
      <c r="AO819" s="466"/>
      <c r="AP819" s="283"/>
      <c r="AQ819" s="259"/>
      <c r="AR819" s="466"/>
      <c r="AS819" s="283"/>
      <c r="AT819" s="1155"/>
      <c r="AU819" s="1155"/>
      <c r="AV819" s="1155"/>
      <c r="AW819" s="1155"/>
      <c r="AX819" s="1155"/>
      <c r="AY819" s="1155"/>
      <c r="AZ819" s="1155"/>
      <c r="BA819" s="1155"/>
      <c r="BB819" s="1155"/>
      <c r="BC819" s="1155"/>
      <c r="BD819" s="1155"/>
      <c r="BE819" s="1155"/>
      <c r="BF819" s="1155"/>
      <c r="BG819" s="1155"/>
      <c r="BH819" s="1155"/>
      <c r="BI819" s="1155"/>
      <c r="BJ819" s="1155"/>
      <c r="BK819" s="1155"/>
      <c r="BL819" s="1155"/>
      <c r="BM819" s="1155"/>
      <c r="BN819" s="1155"/>
      <c r="BO819" s="1155"/>
      <c r="BP819" s="1155"/>
      <c r="BQ819" s="1155"/>
      <c r="BR819" s="1155"/>
      <c r="BS819" s="1155"/>
    </row>
    <row r="820" spans="5:71" s="474" customFormat="1" ht="13.5" thickBot="1">
      <c r="E820" s="4109"/>
      <c r="F820" s="1387" t="s">
        <v>585</v>
      </c>
      <c r="G820" s="1055"/>
      <c r="H820" s="1056"/>
      <c r="I820" s="1056"/>
      <c r="J820" s="1056"/>
      <c r="K820" s="1057"/>
      <c r="L820" s="1567">
        <f>L818-L819</f>
        <v>0</v>
      </c>
      <c r="M820" s="1056">
        <f t="shared" ref="M820" si="3629">M818-M819</f>
        <v>0</v>
      </c>
      <c r="N820" s="1056">
        <f t="shared" ref="N820" si="3630">N818-N819</f>
        <v>0</v>
      </c>
      <c r="O820" s="3742">
        <f t="shared" ref="O820" si="3631">O818-O819</f>
        <v>14226645.807508411</v>
      </c>
      <c r="P820" s="3741">
        <f t="shared" ref="P820" si="3632">P818-P819</f>
        <v>22488401.183423527</v>
      </c>
      <c r="Q820" s="3740">
        <f t="shared" ref="Q820" si="3633">Q818-Q819</f>
        <v>26572061.119042058</v>
      </c>
      <c r="R820" s="3742">
        <f t="shared" ref="R820" si="3634">R818-R819</f>
        <v>24996977.321910199</v>
      </c>
      <c r="S820" s="3742">
        <f t="shared" ref="S820" si="3635">S818-S819</f>
        <v>25806561.43288311</v>
      </c>
      <c r="T820" s="3742">
        <f t="shared" ref="T820" si="3636">T818-T819</f>
        <v>21288604.973270647</v>
      </c>
      <c r="U820" s="3741">
        <f t="shared" ref="U820" si="3637">U818-U819</f>
        <v>20138712.16452565</v>
      </c>
      <c r="V820" s="1172"/>
      <c r="W820" s="1055">
        <f t="shared" ref="W820" si="3638">W818-W819</f>
        <v>0</v>
      </c>
      <c r="X820" s="1056">
        <f t="shared" ref="X820" si="3639">X818-X819</f>
        <v>0</v>
      </c>
      <c r="Y820" s="1056">
        <f t="shared" ref="Y820" si="3640">Y818-Y819</f>
        <v>0</v>
      </c>
      <c r="Z820" s="1056">
        <f t="shared" ref="Z820" si="3641">Z818-Z819</f>
        <v>0</v>
      </c>
      <c r="AA820" s="1057">
        <f t="shared" ref="AA820" si="3642">AA818-AA819</f>
        <v>0</v>
      </c>
      <c r="AB820" s="1075"/>
      <c r="AC820" s="1055">
        <f t="shared" ref="AC820" si="3643">AC818-AC819</f>
        <v>0</v>
      </c>
      <c r="AD820" s="1056">
        <f t="shared" ref="AD820" si="3644">AD818-AD819</f>
        <v>0</v>
      </c>
      <c r="AE820" s="1056">
        <f t="shared" ref="AE820" si="3645">AE818-AE819</f>
        <v>0</v>
      </c>
      <c r="AF820" s="1056">
        <f t="shared" ref="AF820" si="3646">AF818-AF819</f>
        <v>0</v>
      </c>
      <c r="AG820" s="1056">
        <f t="shared" ref="AG820" si="3647">AG818-AG819</f>
        <v>0</v>
      </c>
      <c r="AH820" s="1059"/>
      <c r="AI820" s="1172"/>
      <c r="AJ820" s="1155"/>
      <c r="AK820" s="1155"/>
      <c r="AL820" s="1567">
        <f>AL818-AL819</f>
        <v>0</v>
      </c>
      <c r="AM820" s="1056">
        <f t="shared" ref="AM820:AR820" si="3648">AM818-AM819</f>
        <v>0</v>
      </c>
      <c r="AN820" s="1056">
        <f t="shared" si="3648"/>
        <v>0</v>
      </c>
      <c r="AO820" s="1056">
        <f t="shared" si="3648"/>
        <v>0</v>
      </c>
      <c r="AP820" s="1057">
        <f t="shared" si="3648"/>
        <v>0</v>
      </c>
      <c r="AQ820" s="1567">
        <f t="shared" si="3648"/>
        <v>0</v>
      </c>
      <c r="AR820" s="1056">
        <f t="shared" si="3648"/>
        <v>0</v>
      </c>
      <c r="AS820" s="1057"/>
      <c r="AT820" s="1155"/>
      <c r="AU820" s="1155"/>
      <c r="AV820" s="1155"/>
      <c r="AW820" s="1155"/>
      <c r="AX820" s="1155"/>
      <c r="AY820" s="1155"/>
      <c r="AZ820" s="1155"/>
      <c r="BA820" s="1155"/>
      <c r="BB820" s="1155"/>
      <c r="BC820" s="1155"/>
      <c r="BD820" s="1155"/>
      <c r="BE820" s="1155"/>
      <c r="BF820" s="1155"/>
      <c r="BG820" s="1155"/>
      <c r="BH820" s="1155"/>
      <c r="BI820" s="1155"/>
      <c r="BJ820" s="1155"/>
      <c r="BK820" s="1155"/>
      <c r="BL820" s="1155"/>
      <c r="BM820" s="1155"/>
      <c r="BN820" s="1155"/>
      <c r="BO820" s="1155"/>
      <c r="BP820" s="1155"/>
      <c r="BQ820" s="1155"/>
      <c r="BR820" s="1155"/>
      <c r="BS820" s="1155"/>
    </row>
    <row r="821" spans="5:71" s="474" customFormat="1" ht="12.75" customHeight="1">
      <c r="E821" s="4110" t="s">
        <v>1523</v>
      </c>
      <c r="F821" s="433" t="s">
        <v>111</v>
      </c>
      <c r="G821" s="1086"/>
      <c r="H821" s="1087"/>
      <c r="I821" s="1087"/>
      <c r="J821" s="1087"/>
      <c r="K821" s="1088"/>
      <c r="L821" s="258"/>
      <c r="M821" s="465"/>
      <c r="N821" s="465"/>
      <c r="O821" s="465"/>
      <c r="P821" s="282"/>
      <c r="Q821" s="965"/>
      <c r="R821" s="465"/>
      <c r="S821" s="465"/>
      <c r="T821" s="465"/>
      <c r="U821" s="282"/>
      <c r="V821" s="1172"/>
      <c r="W821" s="1043"/>
      <c r="X821" s="421"/>
      <c r="Y821" s="421"/>
      <c r="Z821" s="421"/>
      <c r="AA821" s="1044"/>
      <c r="AB821" s="1045"/>
      <c r="AC821" s="1043"/>
      <c r="AD821" s="421"/>
      <c r="AE821" s="421"/>
      <c r="AF821" s="421"/>
      <c r="AG821" s="421"/>
      <c r="AH821" s="1046"/>
      <c r="AI821" s="1172"/>
      <c r="AJ821" s="1155"/>
      <c r="AK821" s="1155"/>
      <c r="AL821" s="1086"/>
      <c r="AM821" s="1087"/>
      <c r="AN821" s="1087"/>
      <c r="AO821" s="1087"/>
      <c r="AP821" s="1088"/>
      <c r="AQ821" s="258"/>
      <c r="AR821" s="465"/>
      <c r="AS821" s="282"/>
      <c r="AT821" s="1155"/>
      <c r="AU821" s="1155"/>
      <c r="AV821" s="1155"/>
      <c r="AW821" s="1155"/>
      <c r="AX821" s="1155"/>
      <c r="AY821" s="1155"/>
      <c r="AZ821" s="1155"/>
      <c r="BA821" s="1155"/>
      <c r="BB821" s="1155"/>
      <c r="BC821" s="1155"/>
      <c r="BD821" s="1155"/>
      <c r="BE821" s="1155"/>
      <c r="BF821" s="1155"/>
      <c r="BG821" s="1155"/>
      <c r="BH821" s="1155"/>
      <c r="BI821" s="1155"/>
      <c r="BJ821" s="1155"/>
      <c r="BK821" s="1155"/>
      <c r="BL821" s="1155"/>
      <c r="BM821" s="1155"/>
      <c r="BN821" s="1155"/>
      <c r="BO821" s="1155"/>
      <c r="BP821" s="1155"/>
      <c r="BQ821" s="1155"/>
      <c r="BR821" s="1155"/>
      <c r="BS821" s="1155"/>
    </row>
    <row r="822" spans="5:71" s="474" customFormat="1" ht="12.75" customHeight="1">
      <c r="E822" s="4109"/>
      <c r="F822" s="1374" t="s">
        <v>588</v>
      </c>
      <c r="G822" s="1083"/>
      <c r="H822" s="1084"/>
      <c r="I822" s="1084"/>
      <c r="J822" s="1084"/>
      <c r="K822" s="1085"/>
      <c r="L822" s="255"/>
      <c r="M822" s="461"/>
      <c r="N822" s="461"/>
      <c r="O822" s="461"/>
      <c r="P822" s="281"/>
      <c r="Q822" s="956"/>
      <c r="R822" s="461"/>
      <c r="S822" s="461"/>
      <c r="T822" s="461"/>
      <c r="U822" s="281"/>
      <c r="V822" s="1172"/>
      <c r="W822" s="255"/>
      <c r="X822" s="461"/>
      <c r="Y822" s="461"/>
      <c r="Z822" s="461"/>
      <c r="AA822" s="281"/>
      <c r="AB822" s="1041"/>
      <c r="AC822" s="255"/>
      <c r="AD822" s="461"/>
      <c r="AE822" s="461"/>
      <c r="AF822" s="461"/>
      <c r="AG822" s="461"/>
      <c r="AH822" s="1047"/>
      <c r="AI822" s="1172"/>
      <c r="AJ822" s="1155"/>
      <c r="AK822" s="1155"/>
      <c r="AL822" s="1083"/>
      <c r="AM822" s="1084"/>
      <c r="AN822" s="1084"/>
      <c r="AO822" s="1084"/>
      <c r="AP822" s="1085"/>
      <c r="AQ822" s="259"/>
      <c r="AR822" s="466"/>
      <c r="AS822" s="283"/>
      <c r="AT822" s="1155"/>
      <c r="AU822" s="1155"/>
      <c r="AV822" s="1155"/>
      <c r="AW822" s="1155"/>
      <c r="AX822" s="1155"/>
      <c r="AY822" s="1155"/>
      <c r="AZ822" s="1155"/>
      <c r="BA822" s="1155"/>
      <c r="BB822" s="1155"/>
      <c r="BC822" s="1155"/>
      <c r="BD822" s="1155"/>
      <c r="BE822" s="1155"/>
      <c r="BF822" s="1155"/>
      <c r="BG822" s="1155"/>
      <c r="BH822" s="1155"/>
      <c r="BI822" s="1155"/>
      <c r="BJ822" s="1155"/>
      <c r="BK822" s="1155"/>
      <c r="BL822" s="1155"/>
      <c r="BM822" s="1155"/>
      <c r="BN822" s="1155"/>
      <c r="BO822" s="1155"/>
      <c r="BP822" s="1155"/>
      <c r="BQ822" s="1155"/>
      <c r="BR822" s="1155"/>
      <c r="BS822" s="1155"/>
    </row>
    <row r="823" spans="5:71" s="474" customFormat="1" ht="12.75" customHeight="1">
      <c r="E823" s="4109"/>
      <c r="F823" s="1374" t="s">
        <v>589</v>
      </c>
      <c r="G823" s="1083"/>
      <c r="H823" s="1084"/>
      <c r="I823" s="1084"/>
      <c r="J823" s="1084"/>
      <c r="K823" s="1085"/>
      <c r="L823" s="255"/>
      <c r="M823" s="461"/>
      <c r="N823" s="461"/>
      <c r="O823" s="461"/>
      <c r="P823" s="281"/>
      <c r="Q823" s="956"/>
      <c r="R823" s="461"/>
      <c r="S823" s="461"/>
      <c r="T823" s="461"/>
      <c r="U823" s="281"/>
      <c r="V823" s="1172"/>
      <c r="W823" s="255"/>
      <c r="X823" s="461"/>
      <c r="Y823" s="461"/>
      <c r="Z823" s="461"/>
      <c r="AA823" s="281"/>
      <c r="AB823" s="1041"/>
      <c r="AC823" s="255"/>
      <c r="AD823" s="461"/>
      <c r="AE823" s="461"/>
      <c r="AF823" s="461"/>
      <c r="AG823" s="461"/>
      <c r="AH823" s="1047"/>
      <c r="AI823" s="1172"/>
      <c r="AJ823" s="1155"/>
      <c r="AK823" s="1155"/>
      <c r="AL823" s="1083"/>
      <c r="AM823" s="1084"/>
      <c r="AN823" s="1084"/>
      <c r="AO823" s="1084"/>
      <c r="AP823" s="1085"/>
      <c r="AQ823" s="259"/>
      <c r="AR823" s="466"/>
      <c r="AS823" s="283"/>
      <c r="AT823" s="1155"/>
      <c r="AU823" s="1155"/>
      <c r="AV823" s="1155"/>
      <c r="AW823" s="1155"/>
      <c r="AX823" s="1155"/>
      <c r="AY823" s="1155"/>
      <c r="AZ823" s="1155"/>
      <c r="BA823" s="1155"/>
      <c r="BB823" s="1155"/>
      <c r="BC823" s="1155"/>
      <c r="BD823" s="1155"/>
      <c r="BE823" s="1155"/>
      <c r="BF823" s="1155"/>
      <c r="BG823" s="1155"/>
      <c r="BH823" s="1155"/>
      <c r="BI823" s="1155"/>
      <c r="BJ823" s="1155"/>
      <c r="BK823" s="1155"/>
      <c r="BL823" s="1155"/>
      <c r="BM823" s="1155"/>
      <c r="BN823" s="1155"/>
      <c r="BO823" s="1155"/>
      <c r="BP823" s="1155"/>
      <c r="BQ823" s="1155"/>
      <c r="BR823" s="1155"/>
      <c r="BS823" s="1155"/>
    </row>
    <row r="824" spans="5:71" s="474" customFormat="1" ht="12.75" customHeight="1">
      <c r="E824" s="4109"/>
      <c r="F824" s="1374" t="s">
        <v>590</v>
      </c>
      <c r="G824" s="1083"/>
      <c r="H824" s="1084"/>
      <c r="I824" s="1084"/>
      <c r="J824" s="1084"/>
      <c r="K824" s="1085"/>
      <c r="L824" s="255"/>
      <c r="M824" s="461"/>
      <c r="N824" s="461"/>
      <c r="O824" s="461"/>
      <c r="P824" s="281"/>
      <c r="Q824" s="956"/>
      <c r="R824" s="461"/>
      <c r="S824" s="461"/>
      <c r="T824" s="461"/>
      <c r="U824" s="281"/>
      <c r="V824" s="1172"/>
      <c r="W824" s="255"/>
      <c r="X824" s="461"/>
      <c r="Y824" s="461"/>
      <c r="Z824" s="461"/>
      <c r="AA824" s="281"/>
      <c r="AB824" s="1041"/>
      <c r="AC824" s="255"/>
      <c r="AD824" s="461"/>
      <c r="AE824" s="461"/>
      <c r="AF824" s="461"/>
      <c r="AG824" s="461"/>
      <c r="AH824" s="1047"/>
      <c r="AI824" s="1172"/>
      <c r="AJ824" s="1155"/>
      <c r="AK824" s="1155"/>
      <c r="AL824" s="1083"/>
      <c r="AM824" s="1084"/>
      <c r="AN824" s="1084"/>
      <c r="AO824" s="1084"/>
      <c r="AP824" s="1085"/>
      <c r="AQ824" s="259"/>
      <c r="AR824" s="466"/>
      <c r="AS824" s="283"/>
      <c r="AT824" s="1155"/>
      <c r="AU824" s="1155"/>
      <c r="AV824" s="1155"/>
      <c r="AW824" s="1155"/>
      <c r="AX824" s="1155"/>
      <c r="AY824" s="1155"/>
      <c r="AZ824" s="1155"/>
      <c r="BA824" s="1155"/>
      <c r="BB824" s="1155"/>
      <c r="BC824" s="1155"/>
      <c r="BD824" s="1155"/>
      <c r="BE824" s="1155"/>
      <c r="BF824" s="1155"/>
      <c r="BG824" s="1155"/>
      <c r="BH824" s="1155"/>
      <c r="BI824" s="1155"/>
      <c r="BJ824" s="1155"/>
      <c r="BK824" s="1155"/>
      <c r="BL824" s="1155"/>
      <c r="BM824" s="1155"/>
      <c r="BN824" s="1155"/>
      <c r="BO824" s="1155"/>
      <c r="BP824" s="1155"/>
      <c r="BQ824" s="1155"/>
      <c r="BR824" s="1155"/>
      <c r="BS824" s="1155"/>
    </row>
    <row r="825" spans="5:71" s="474" customFormat="1" ht="12.75" customHeight="1">
      <c r="E825" s="4109"/>
      <c r="F825" s="1374" t="s">
        <v>591</v>
      </c>
      <c r="G825" s="1083"/>
      <c r="H825" s="1084"/>
      <c r="I825" s="1084"/>
      <c r="J825" s="1084"/>
      <c r="K825" s="1085"/>
      <c r="L825" s="255"/>
      <c r="M825" s="461"/>
      <c r="N825" s="461"/>
      <c r="O825" s="461"/>
      <c r="P825" s="281"/>
      <c r="Q825" s="956"/>
      <c r="R825" s="461"/>
      <c r="S825" s="461"/>
      <c r="T825" s="461"/>
      <c r="U825" s="281"/>
      <c r="V825" s="1172"/>
      <c r="W825" s="255"/>
      <c r="X825" s="461"/>
      <c r="Y825" s="461"/>
      <c r="Z825" s="461"/>
      <c r="AA825" s="281"/>
      <c r="AB825" s="1041"/>
      <c r="AC825" s="255"/>
      <c r="AD825" s="461"/>
      <c r="AE825" s="461"/>
      <c r="AF825" s="461"/>
      <c r="AG825" s="461"/>
      <c r="AH825" s="1047"/>
      <c r="AI825" s="1172"/>
      <c r="AJ825" s="1155"/>
      <c r="AK825" s="1155"/>
      <c r="AL825" s="1083"/>
      <c r="AM825" s="1084"/>
      <c r="AN825" s="1084"/>
      <c r="AO825" s="1084"/>
      <c r="AP825" s="1085"/>
      <c r="AQ825" s="259"/>
      <c r="AR825" s="466"/>
      <c r="AS825" s="283"/>
      <c r="AT825" s="1155"/>
      <c r="AU825" s="1155"/>
      <c r="AV825" s="1155"/>
      <c r="AW825" s="1155"/>
      <c r="AX825" s="1155"/>
      <c r="AY825" s="1155"/>
      <c r="AZ825" s="1155"/>
      <c r="BA825" s="1155"/>
      <c r="BB825" s="1155"/>
      <c r="BC825" s="1155"/>
      <c r="BD825" s="1155"/>
      <c r="BE825" s="1155"/>
      <c r="BF825" s="1155"/>
      <c r="BG825" s="1155"/>
      <c r="BH825" s="1155"/>
      <c r="BI825" s="1155"/>
      <c r="BJ825" s="1155"/>
      <c r="BK825" s="1155"/>
      <c r="BL825" s="1155"/>
      <c r="BM825" s="1155"/>
      <c r="BN825" s="1155"/>
      <c r="BO825" s="1155"/>
      <c r="BP825" s="1155"/>
      <c r="BQ825" s="1155"/>
      <c r="BR825" s="1155"/>
      <c r="BS825" s="1155"/>
    </row>
    <row r="826" spans="5:71" s="474" customFormat="1" ht="12.75" customHeight="1">
      <c r="E826" s="4109"/>
      <c r="F826" s="1374" t="s">
        <v>592</v>
      </c>
      <c r="G826" s="1083"/>
      <c r="H826" s="1084"/>
      <c r="I826" s="1084"/>
      <c r="J826" s="1084"/>
      <c r="K826" s="1085"/>
      <c r="L826" s="207"/>
      <c r="M826" s="456"/>
      <c r="N826" s="456"/>
      <c r="O826" s="456">
        <v>13000</v>
      </c>
      <c r="P826" s="457">
        <v>20000</v>
      </c>
      <c r="Q826" s="224">
        <v>16839</v>
      </c>
      <c r="R826" s="456">
        <v>14697</v>
      </c>
      <c r="S826" s="456">
        <v>16507</v>
      </c>
      <c r="T826" s="456">
        <v>3364</v>
      </c>
      <c r="U826" s="457">
        <v>3596</v>
      </c>
      <c r="V826" s="1172"/>
      <c r="W826" s="207"/>
      <c r="X826" s="456"/>
      <c r="Y826" s="456"/>
      <c r="Z826" s="456"/>
      <c r="AA826" s="457"/>
      <c r="AB826" s="1041"/>
      <c r="AC826" s="207"/>
      <c r="AD826" s="456"/>
      <c r="AE826" s="456"/>
      <c r="AF826" s="456"/>
      <c r="AG826" s="456"/>
      <c r="AH826" s="1048"/>
      <c r="AI826" s="1172"/>
      <c r="AJ826" s="1155"/>
      <c r="AK826" s="1155"/>
      <c r="AL826" s="1083"/>
      <c r="AM826" s="1084"/>
      <c r="AN826" s="1084"/>
      <c r="AO826" s="1084"/>
      <c r="AP826" s="1085"/>
      <c r="AQ826" s="207">
        <f>SUM(AQ821:AQ825)</f>
        <v>0</v>
      </c>
      <c r="AR826" s="456">
        <f t="shared" ref="AR826" si="3649">SUM(AR821:AR825)</f>
        <v>0</v>
      </c>
      <c r="AS826" s="457"/>
      <c r="AT826" s="1155"/>
      <c r="AU826" s="1155"/>
      <c r="AV826" s="1155"/>
      <c r="AW826" s="1155"/>
      <c r="AX826" s="1155"/>
      <c r="AY826" s="1155"/>
      <c r="AZ826" s="1155"/>
      <c r="BA826" s="1155"/>
      <c r="BB826" s="1155"/>
      <c r="BC826" s="1155"/>
      <c r="BD826" s="1155"/>
      <c r="BE826" s="1155"/>
      <c r="BF826" s="1155"/>
      <c r="BG826" s="1155"/>
      <c r="BH826" s="1155"/>
      <c r="BI826" s="1155"/>
      <c r="BJ826" s="1155"/>
      <c r="BK826" s="1155"/>
      <c r="BL826" s="1155"/>
      <c r="BM826" s="1155"/>
      <c r="BN826" s="1155"/>
      <c r="BO826" s="1155"/>
      <c r="BP826" s="1155"/>
      <c r="BQ826" s="1155"/>
      <c r="BR826" s="1155"/>
      <c r="BS826" s="1155"/>
    </row>
    <row r="827" spans="5:71" s="474" customFormat="1">
      <c r="E827" s="4109"/>
      <c r="F827" s="1375" t="s">
        <v>587</v>
      </c>
      <c r="G827" s="1086"/>
      <c r="H827" s="1087"/>
      <c r="I827" s="1087"/>
      <c r="J827" s="1087"/>
      <c r="K827" s="1088"/>
      <c r="L827" s="258">
        <f>SUM(L822:L826)</f>
        <v>0</v>
      </c>
      <c r="M827" s="465">
        <f t="shared" ref="M827" si="3650">SUM(M822:M826)</f>
        <v>0</v>
      </c>
      <c r="N827" s="465">
        <f t="shared" ref="N827" si="3651">SUM(N822:N826)</f>
        <v>0</v>
      </c>
      <c r="O827" s="465">
        <f t="shared" ref="O827" si="3652">SUM(O822:O826)</f>
        <v>13000</v>
      </c>
      <c r="P827" s="282">
        <f t="shared" ref="P827" si="3653">SUM(P822:P826)</f>
        <v>20000</v>
      </c>
      <c r="Q827" s="965">
        <f t="shared" ref="Q827" si="3654">SUM(Q822:Q826)</f>
        <v>16839</v>
      </c>
      <c r="R827" s="465">
        <f t="shared" ref="R827" si="3655">SUM(R822:R826)</f>
        <v>14697</v>
      </c>
      <c r="S827" s="465">
        <f t="shared" ref="S827" si="3656">SUM(S822:S826)</f>
        <v>16507</v>
      </c>
      <c r="T827" s="465">
        <f t="shared" ref="T827" si="3657">SUM(T822:T826)</f>
        <v>3364</v>
      </c>
      <c r="U827" s="282">
        <f t="shared" ref="U827" si="3658">SUM(U822:U826)</f>
        <v>3596</v>
      </c>
      <c r="V827" s="1172"/>
      <c r="W827" s="258">
        <f t="shared" ref="W827" si="3659">SUM(W822:W826)</f>
        <v>0</v>
      </c>
      <c r="X827" s="465">
        <f t="shared" ref="X827" si="3660">SUM(X822:X826)</f>
        <v>0</v>
      </c>
      <c r="Y827" s="465">
        <f t="shared" ref="Y827" si="3661">SUM(Y822:Y826)</f>
        <v>0</v>
      </c>
      <c r="Z827" s="465">
        <f t="shared" ref="Z827" si="3662">SUM(Z822:Z826)</f>
        <v>0</v>
      </c>
      <c r="AA827" s="282">
        <f t="shared" ref="AA827" si="3663">SUM(AA822:AA826)</f>
        <v>0</v>
      </c>
      <c r="AB827" s="992"/>
      <c r="AC827" s="258">
        <f t="shared" ref="AC827" si="3664">SUM(AC822:AC826)</f>
        <v>0</v>
      </c>
      <c r="AD827" s="465">
        <f t="shared" ref="AD827" si="3665">SUM(AD822:AD826)</f>
        <v>0</v>
      </c>
      <c r="AE827" s="465">
        <f t="shared" ref="AE827" si="3666">SUM(AE822:AE826)</f>
        <v>0</v>
      </c>
      <c r="AF827" s="465">
        <f t="shared" ref="AF827" si="3667">SUM(AF822:AF826)</f>
        <v>0</v>
      </c>
      <c r="AG827" s="465">
        <f t="shared" ref="AG827" si="3668">SUM(AG822:AG826)</f>
        <v>0</v>
      </c>
      <c r="AH827" s="1049"/>
      <c r="AI827" s="1172"/>
      <c r="AJ827" s="1155"/>
      <c r="AK827" s="1155"/>
      <c r="AL827" s="1086"/>
      <c r="AM827" s="1087"/>
      <c r="AN827" s="1087"/>
      <c r="AO827" s="1087"/>
      <c r="AP827" s="1088"/>
      <c r="AQ827" s="258"/>
      <c r="AR827" s="465"/>
      <c r="AS827" s="282"/>
      <c r="AT827" s="1155"/>
      <c r="AU827" s="1155"/>
      <c r="AV827" s="1155"/>
      <c r="AW827" s="1155"/>
      <c r="AX827" s="1155"/>
      <c r="AY827" s="1155"/>
      <c r="AZ827" s="1155"/>
      <c r="BA827" s="1155"/>
      <c r="BB827" s="1155"/>
      <c r="BC827" s="1155"/>
      <c r="BD827" s="1155"/>
      <c r="BE827" s="1155"/>
      <c r="BF827" s="1155"/>
      <c r="BG827" s="1155"/>
      <c r="BH827" s="1155"/>
      <c r="BI827" s="1155"/>
      <c r="BJ827" s="1155"/>
      <c r="BK827" s="1155"/>
      <c r="BL827" s="1155"/>
      <c r="BM827" s="1155"/>
      <c r="BN827" s="1155"/>
      <c r="BO827" s="1155"/>
      <c r="BP827" s="1155"/>
      <c r="BQ827" s="1155"/>
      <c r="BR827" s="1155"/>
      <c r="BS827" s="1155"/>
    </row>
    <row r="828" spans="5:71" s="474" customFormat="1">
      <c r="E828" s="4109"/>
      <c r="F828" s="1376" t="s">
        <v>593</v>
      </c>
      <c r="G828" s="1083"/>
      <c r="H828" s="1084"/>
      <c r="I828" s="1084"/>
      <c r="J828" s="1084"/>
      <c r="K828" s="1085"/>
      <c r="L828" s="255"/>
      <c r="M828" s="461"/>
      <c r="N828" s="461"/>
      <c r="O828" s="461">
        <v>2671794.7953832587</v>
      </c>
      <c r="P828" s="281"/>
      <c r="Q828" s="956"/>
      <c r="R828" s="461"/>
      <c r="S828" s="461"/>
      <c r="T828" s="461"/>
      <c r="U828" s="281"/>
      <c r="V828" s="1172"/>
      <c r="W828" s="255"/>
      <c r="X828" s="461"/>
      <c r="Y828" s="461"/>
      <c r="Z828" s="461"/>
      <c r="AA828" s="281"/>
      <c r="AB828" s="1041"/>
      <c r="AC828" s="255"/>
      <c r="AD828" s="461"/>
      <c r="AE828" s="461"/>
      <c r="AF828" s="461"/>
      <c r="AG828" s="461"/>
      <c r="AH828" s="1047"/>
      <c r="AI828" s="1172"/>
      <c r="AJ828" s="1155"/>
      <c r="AK828" s="1155"/>
      <c r="AL828" s="1083"/>
      <c r="AM828" s="1084"/>
      <c r="AN828" s="1084"/>
      <c r="AO828" s="1084"/>
      <c r="AP828" s="1085"/>
      <c r="AQ828" s="259"/>
      <c r="AR828" s="466"/>
      <c r="AS828" s="283"/>
      <c r="AT828" s="1155"/>
      <c r="AU828" s="1155"/>
      <c r="AV828" s="1155"/>
      <c r="AW828" s="1155"/>
      <c r="AX828" s="1155"/>
      <c r="AY828" s="1155"/>
      <c r="AZ828" s="1155"/>
      <c r="BA828" s="1155"/>
      <c r="BB828" s="1155"/>
      <c r="BC828" s="1155"/>
      <c r="BD828" s="1155"/>
      <c r="BE828" s="1155"/>
      <c r="BF828" s="1155"/>
      <c r="BG828" s="1155"/>
      <c r="BH828" s="1155"/>
      <c r="BI828" s="1155"/>
      <c r="BJ828" s="1155"/>
      <c r="BK828" s="1155"/>
      <c r="BL828" s="1155"/>
      <c r="BM828" s="1155"/>
      <c r="BN828" s="1155"/>
      <c r="BO828" s="1155"/>
      <c r="BP828" s="1155"/>
      <c r="BQ828" s="1155"/>
      <c r="BR828" s="1155"/>
      <c r="BS828" s="1155"/>
    </row>
    <row r="829" spans="5:71" s="474" customFormat="1">
      <c r="E829" s="4109"/>
      <c r="F829" s="431" t="s">
        <v>558</v>
      </c>
      <c r="G829" s="1083"/>
      <c r="H829" s="1084"/>
      <c r="I829" s="1084"/>
      <c r="J829" s="1084"/>
      <c r="K829" s="1085"/>
      <c r="L829" s="255"/>
      <c r="M829" s="461"/>
      <c r="N829" s="461"/>
      <c r="O829" s="461"/>
      <c r="P829" s="281">
        <v>5104102.978336161</v>
      </c>
      <c r="Q829" s="956">
        <v>5233619.5125490818</v>
      </c>
      <c r="R829" s="461">
        <v>4299895.7545377072</v>
      </c>
      <c r="S829" s="461">
        <v>5155969.5012362013</v>
      </c>
      <c r="T829" s="461">
        <v>1285208.7741383412</v>
      </c>
      <c r="U829" s="281">
        <v>1301807.9408116257</v>
      </c>
      <c r="V829" s="1172"/>
      <c r="W829" s="255"/>
      <c r="X829" s="461"/>
      <c r="Y829" s="461"/>
      <c r="Z829" s="461"/>
      <c r="AA829" s="281"/>
      <c r="AB829" s="1041"/>
      <c r="AC829" s="255"/>
      <c r="AD829" s="461"/>
      <c r="AE829" s="461"/>
      <c r="AF829" s="461"/>
      <c r="AG829" s="461"/>
      <c r="AH829" s="1047"/>
      <c r="AI829" s="1172"/>
      <c r="AJ829" s="1155"/>
      <c r="AK829" s="1155"/>
      <c r="AL829" s="1083"/>
      <c r="AM829" s="1084"/>
      <c r="AN829" s="1084"/>
      <c r="AO829" s="1084"/>
      <c r="AP829" s="1085"/>
      <c r="AQ829" s="259"/>
      <c r="AR829" s="466"/>
      <c r="AS829" s="283"/>
      <c r="AT829" s="1155"/>
      <c r="AU829" s="1155"/>
      <c r="AV829" s="1155"/>
      <c r="AW829" s="1155"/>
      <c r="AX829" s="1155"/>
      <c r="AY829" s="1155"/>
      <c r="AZ829" s="1155"/>
      <c r="BA829" s="1155"/>
      <c r="BB829" s="1155"/>
      <c r="BC829" s="1155"/>
      <c r="BD829" s="1155"/>
      <c r="BE829" s="1155"/>
      <c r="BF829" s="1155"/>
      <c r="BG829" s="1155"/>
      <c r="BH829" s="1155"/>
      <c r="BI829" s="1155"/>
      <c r="BJ829" s="1155"/>
      <c r="BK829" s="1155"/>
      <c r="BL829" s="1155"/>
      <c r="BM829" s="1155"/>
      <c r="BN829" s="1155"/>
      <c r="BO829" s="1155"/>
      <c r="BP829" s="1155"/>
      <c r="BQ829" s="1155"/>
      <c r="BR829" s="1155"/>
      <c r="BS829" s="1155"/>
    </row>
    <row r="830" spans="5:71" s="474" customFormat="1">
      <c r="E830" s="4109"/>
      <c r="F830" s="431" t="s">
        <v>559</v>
      </c>
      <c r="G830" s="1083"/>
      <c r="H830" s="1084"/>
      <c r="I830" s="1084"/>
      <c r="J830" s="1084"/>
      <c r="K830" s="1085"/>
      <c r="L830" s="255"/>
      <c r="M830" s="461"/>
      <c r="N830" s="461"/>
      <c r="O830" s="461"/>
      <c r="P830" s="281"/>
      <c r="Q830" s="956"/>
      <c r="R830" s="461"/>
      <c r="S830" s="461"/>
      <c r="T830" s="461"/>
      <c r="U830" s="281"/>
      <c r="V830" s="1172"/>
      <c r="W830" s="255"/>
      <c r="X830" s="461"/>
      <c r="Y830" s="461"/>
      <c r="Z830" s="461"/>
      <c r="AA830" s="281"/>
      <c r="AB830" s="1041"/>
      <c r="AC830" s="255"/>
      <c r="AD830" s="461"/>
      <c r="AE830" s="461"/>
      <c r="AF830" s="461"/>
      <c r="AG830" s="461"/>
      <c r="AH830" s="1047"/>
      <c r="AI830" s="1172"/>
      <c r="AJ830" s="1155"/>
      <c r="AK830" s="1155"/>
      <c r="AL830" s="1083"/>
      <c r="AM830" s="1084"/>
      <c r="AN830" s="1084"/>
      <c r="AO830" s="1084"/>
      <c r="AP830" s="1085"/>
      <c r="AQ830" s="259"/>
      <c r="AR830" s="466"/>
      <c r="AS830" s="283"/>
      <c r="AT830" s="1155"/>
      <c r="AU830" s="1155"/>
      <c r="AV830" s="1155"/>
      <c r="AW830" s="1155"/>
      <c r="AX830" s="1155"/>
      <c r="AY830" s="1155"/>
      <c r="AZ830" s="1155"/>
      <c r="BA830" s="1155"/>
      <c r="BB830" s="1155"/>
      <c r="BC830" s="1155"/>
      <c r="BD830" s="1155"/>
      <c r="BE830" s="1155"/>
      <c r="BF830" s="1155"/>
      <c r="BG830" s="1155"/>
      <c r="BH830" s="1155"/>
      <c r="BI830" s="1155"/>
      <c r="BJ830" s="1155"/>
      <c r="BK830" s="1155"/>
      <c r="BL830" s="1155"/>
      <c r="BM830" s="1155"/>
      <c r="BN830" s="1155"/>
      <c r="BO830" s="1155"/>
      <c r="BP830" s="1155"/>
      <c r="BQ830" s="1155"/>
      <c r="BR830" s="1155"/>
      <c r="BS830" s="1155"/>
    </row>
    <row r="831" spans="5:71" s="474" customFormat="1">
      <c r="E831" s="4109"/>
      <c r="F831" s="431" t="s">
        <v>578</v>
      </c>
      <c r="G831" s="1089"/>
      <c r="H831" s="1090"/>
      <c r="I831" s="1090"/>
      <c r="J831" s="1090"/>
      <c r="K831" s="1091"/>
      <c r="L831" s="259"/>
      <c r="M831" s="456"/>
      <c r="N831" s="456"/>
      <c r="O831" s="456"/>
      <c r="P831" s="457"/>
      <c r="Q831" s="224"/>
      <c r="R831" s="456"/>
      <c r="S831" s="456"/>
      <c r="T831" s="456"/>
      <c r="U831" s="457"/>
      <c r="V831" s="1172"/>
      <c r="W831" s="207"/>
      <c r="X831" s="456"/>
      <c r="Y831" s="456"/>
      <c r="Z831" s="456"/>
      <c r="AA831" s="457"/>
      <c r="AB831" s="1041"/>
      <c r="AC831" s="207"/>
      <c r="AD831" s="456"/>
      <c r="AE831" s="456"/>
      <c r="AF831" s="456"/>
      <c r="AG831" s="456"/>
      <c r="AH831" s="1048"/>
      <c r="AI831" s="1172"/>
      <c r="AJ831" s="1155"/>
      <c r="AK831" s="1155"/>
      <c r="AL831" s="1089"/>
      <c r="AM831" s="1090"/>
      <c r="AN831" s="1090"/>
      <c r="AO831" s="1090"/>
      <c r="AP831" s="1091"/>
      <c r="AQ831" s="259"/>
      <c r="AR831" s="456"/>
      <c r="AS831" s="457"/>
      <c r="AT831" s="1155"/>
      <c r="AU831" s="1155"/>
      <c r="AV831" s="1155"/>
      <c r="AW831" s="1155"/>
      <c r="AX831" s="1155"/>
      <c r="AY831" s="1155"/>
      <c r="AZ831" s="1155"/>
      <c r="BA831" s="1155"/>
      <c r="BB831" s="1155"/>
      <c r="BC831" s="1155"/>
      <c r="BD831" s="1155"/>
      <c r="BE831" s="1155"/>
      <c r="BF831" s="1155"/>
      <c r="BG831" s="1155"/>
      <c r="BH831" s="1155"/>
      <c r="BI831" s="1155"/>
      <c r="BJ831" s="1155"/>
      <c r="BK831" s="1155"/>
      <c r="BL831" s="1155"/>
      <c r="BM831" s="1155"/>
      <c r="BN831" s="1155"/>
      <c r="BO831" s="1155"/>
      <c r="BP831" s="1155"/>
      <c r="BQ831" s="1155"/>
      <c r="BR831" s="1155"/>
      <c r="BS831" s="1155"/>
    </row>
    <row r="832" spans="5:71" s="474" customFormat="1">
      <c r="E832" s="4109"/>
      <c r="F832" s="1377" t="s">
        <v>579</v>
      </c>
      <c r="G832" s="1086"/>
      <c r="H832" s="1087"/>
      <c r="I832" s="1087"/>
      <c r="J832" s="1087"/>
      <c r="K832" s="1088"/>
      <c r="L832" s="258">
        <f>SUM(L828:L831)</f>
        <v>0</v>
      </c>
      <c r="M832" s="465">
        <f t="shared" ref="M832" si="3669">SUM(M828:M831)</f>
        <v>0</v>
      </c>
      <c r="N832" s="465">
        <f t="shared" ref="N832" si="3670">SUM(N828:N831)</f>
        <v>0</v>
      </c>
      <c r="O832" s="465">
        <f t="shared" ref="O832" si="3671">SUM(O828:O831)</f>
        <v>2671794.7953832587</v>
      </c>
      <c r="P832" s="282">
        <f t="shared" ref="P832" si="3672">SUM(P828:P831)</f>
        <v>5104102.978336161</v>
      </c>
      <c r="Q832" s="965">
        <f t="shared" ref="Q832" si="3673">SUM(Q828:Q831)</f>
        <v>5233619.5125490818</v>
      </c>
      <c r="R832" s="465">
        <f t="shared" ref="R832" si="3674">SUM(R828:R831)</f>
        <v>4299895.7545377072</v>
      </c>
      <c r="S832" s="465">
        <f t="shared" ref="S832" si="3675">SUM(S828:S831)</f>
        <v>5155969.5012362013</v>
      </c>
      <c r="T832" s="465">
        <f t="shared" ref="T832" si="3676">SUM(T828:T831)</f>
        <v>1285208.7741383412</v>
      </c>
      <c r="U832" s="282">
        <f t="shared" ref="U832" si="3677">SUM(U828:U831)</f>
        <v>1301807.9408116257</v>
      </c>
      <c r="V832" s="1172"/>
      <c r="W832" s="258">
        <f t="shared" ref="W832" si="3678">SUM(W828:W831)</f>
        <v>0</v>
      </c>
      <c r="X832" s="465">
        <f t="shared" ref="X832" si="3679">SUM(X828:X831)</f>
        <v>0</v>
      </c>
      <c r="Y832" s="465">
        <f t="shared" ref="Y832" si="3680">SUM(Y828:Y831)</f>
        <v>0</v>
      </c>
      <c r="Z832" s="465">
        <f t="shared" ref="Z832" si="3681">SUM(Z828:Z831)</f>
        <v>0</v>
      </c>
      <c r="AA832" s="282">
        <f t="shared" ref="AA832" si="3682">SUM(AA828:AA831)</f>
        <v>0</v>
      </c>
      <c r="AB832" s="992"/>
      <c r="AC832" s="258">
        <f t="shared" ref="AC832" si="3683">SUM(AC828:AC831)</f>
        <v>0</v>
      </c>
      <c r="AD832" s="465">
        <f t="shared" ref="AD832" si="3684">SUM(AD828:AD831)</f>
        <v>0</v>
      </c>
      <c r="AE832" s="465">
        <f t="shared" ref="AE832" si="3685">SUM(AE828:AE831)</f>
        <v>0</v>
      </c>
      <c r="AF832" s="465">
        <f t="shared" ref="AF832" si="3686">SUM(AF828:AF831)</f>
        <v>0</v>
      </c>
      <c r="AG832" s="465">
        <f t="shared" ref="AG832" si="3687">SUM(AG828:AG831)</f>
        <v>0</v>
      </c>
      <c r="AH832" s="1049"/>
      <c r="AI832" s="1172"/>
      <c r="AJ832" s="1155"/>
      <c r="AK832" s="1155"/>
      <c r="AL832" s="1086"/>
      <c r="AM832" s="1087"/>
      <c r="AN832" s="1087"/>
      <c r="AO832" s="1087"/>
      <c r="AP832" s="1088"/>
      <c r="AQ832" s="258">
        <f>SUM(AQ829:AQ831)</f>
        <v>0</v>
      </c>
      <c r="AR832" s="465">
        <f t="shared" ref="AR832" si="3688">SUM(AR829:AR831)</f>
        <v>0</v>
      </c>
      <c r="AS832" s="282"/>
      <c r="AT832" s="1155"/>
      <c r="AU832" s="1155"/>
      <c r="AV832" s="1155"/>
      <c r="AW832" s="1155"/>
      <c r="AX832" s="1155"/>
      <c r="AY832" s="1155"/>
      <c r="AZ832" s="1155"/>
      <c r="BA832" s="1155"/>
      <c r="BB832" s="1155"/>
      <c r="BC832" s="1155"/>
      <c r="BD832" s="1155"/>
      <c r="BE832" s="1155"/>
      <c r="BF832" s="1155"/>
      <c r="BG832" s="1155"/>
      <c r="BH832" s="1155"/>
      <c r="BI832" s="1155"/>
      <c r="BJ832" s="1155"/>
      <c r="BK832" s="1155"/>
      <c r="BL832" s="1155"/>
      <c r="BM832" s="1155"/>
      <c r="BN832" s="1155"/>
      <c r="BO832" s="1155"/>
      <c r="BP832" s="1155"/>
      <c r="BQ832" s="1155"/>
      <c r="BR832" s="1155"/>
      <c r="BS832" s="1155"/>
    </row>
    <row r="833" spans="5:71" s="474" customFormat="1" ht="13.5" thickBot="1">
      <c r="E833" s="4109"/>
      <c r="F833" s="1385" t="s">
        <v>583</v>
      </c>
      <c r="G833" s="255"/>
      <c r="H833" s="461"/>
      <c r="I833" s="461"/>
      <c r="J833" s="461"/>
      <c r="K833" s="281"/>
      <c r="L833" s="207"/>
      <c r="M833" s="456"/>
      <c r="N833" s="456"/>
      <c r="O833" s="456">
        <v>117937.67964536796</v>
      </c>
      <c r="P833" s="457">
        <v>382752.30978560168</v>
      </c>
      <c r="Q833" s="224">
        <v>364214.24883383419</v>
      </c>
      <c r="R833" s="456">
        <v>317910.50905829109</v>
      </c>
      <c r="S833" s="456">
        <v>387141.00464680325</v>
      </c>
      <c r="T833" s="456">
        <v>102949.5809590607</v>
      </c>
      <c r="U833" s="457">
        <v>105759.62896330841</v>
      </c>
      <c r="V833" s="1172"/>
      <c r="W833" s="207"/>
      <c r="X833" s="461"/>
      <c r="Y833" s="461"/>
      <c r="Z833" s="461"/>
      <c r="AA833" s="281"/>
      <c r="AB833" s="1606"/>
      <c r="AC833" s="207"/>
      <c r="AD833" s="456"/>
      <c r="AE833" s="456"/>
      <c r="AF833" s="456"/>
      <c r="AG833" s="456"/>
      <c r="AH833" s="1608"/>
      <c r="AI833" s="1172"/>
      <c r="AJ833" s="1155"/>
      <c r="AK833" s="1155"/>
      <c r="AL833" s="259"/>
      <c r="AM833" s="466"/>
      <c r="AN833" s="466"/>
      <c r="AO833" s="466"/>
      <c r="AP833" s="283"/>
      <c r="AQ833" s="259"/>
      <c r="AR833" s="466"/>
      <c r="AS833" s="283"/>
      <c r="AT833" s="1155"/>
      <c r="AU833" s="1155"/>
      <c r="AV833" s="1155"/>
      <c r="AW833" s="1155"/>
      <c r="AX833" s="1155"/>
      <c r="AY833" s="1155"/>
      <c r="AZ833" s="1155"/>
      <c r="BA833" s="1155"/>
      <c r="BB833" s="1155"/>
      <c r="BC833" s="1155"/>
      <c r="BD833" s="1155"/>
      <c r="BE833" s="1155"/>
      <c r="BF833" s="1155"/>
      <c r="BG833" s="1155"/>
      <c r="BH833" s="1155"/>
      <c r="BI833" s="1155"/>
      <c r="BJ833" s="1155"/>
      <c r="BK833" s="1155"/>
      <c r="BL833" s="1155"/>
      <c r="BM833" s="1155"/>
      <c r="BN833" s="1155"/>
      <c r="BO833" s="1155"/>
      <c r="BP833" s="1155"/>
      <c r="BQ833" s="1155"/>
      <c r="BR833" s="1155"/>
      <c r="BS833" s="1155"/>
    </row>
    <row r="834" spans="5:71" s="474" customFormat="1" ht="13.5" thickBot="1">
      <c r="E834" s="4109"/>
      <c r="F834" s="1384" t="s">
        <v>581</v>
      </c>
      <c r="G834" s="1599"/>
      <c r="H834" s="1600"/>
      <c r="I834" s="1600"/>
      <c r="J834" s="1600"/>
      <c r="K834" s="1601"/>
      <c r="L834" s="1599"/>
      <c r="M834" s="1600"/>
      <c r="N834" s="1600"/>
      <c r="O834" s="1600"/>
      <c r="P834" s="1601"/>
      <c r="Q834" s="1602"/>
      <c r="R834" s="1600"/>
      <c r="S834" s="1600"/>
      <c r="T834" s="1600"/>
      <c r="U834" s="1601"/>
      <c r="V834" s="1172"/>
      <c r="W834" s="1614"/>
      <c r="X834" s="1615"/>
      <c r="Y834" s="1615"/>
      <c r="Z834" s="1615"/>
      <c r="AA834" s="1615"/>
      <c r="AB834" s="1615"/>
      <c r="AC834" s="1615"/>
      <c r="AD834" s="1615"/>
      <c r="AE834" s="1615"/>
      <c r="AF834" s="1615"/>
      <c r="AG834" s="1615"/>
      <c r="AH834" s="1616"/>
      <c r="AI834" s="1172"/>
      <c r="AJ834" s="1155"/>
      <c r="AK834" s="1155"/>
      <c r="AL834" s="259"/>
      <c r="AM834" s="466"/>
      <c r="AN834" s="466"/>
      <c r="AO834" s="466"/>
      <c r="AP834" s="283"/>
      <c r="AQ834" s="259"/>
      <c r="AR834" s="466"/>
      <c r="AS834" s="283"/>
      <c r="AT834" s="1155"/>
      <c r="AU834" s="1155"/>
      <c r="AV834" s="1155"/>
      <c r="AW834" s="1155"/>
      <c r="AX834" s="1155"/>
      <c r="AY834" s="1155"/>
      <c r="AZ834" s="1155"/>
      <c r="BA834" s="1155"/>
      <c r="BB834" s="1155"/>
      <c r="BC834" s="1155"/>
      <c r="BD834" s="1155"/>
      <c r="BE834" s="1155"/>
      <c r="BF834" s="1155"/>
      <c r="BG834" s="1155"/>
      <c r="BH834" s="1155"/>
      <c r="BI834" s="1155"/>
      <c r="BJ834" s="1155"/>
      <c r="BK834" s="1155"/>
      <c r="BL834" s="1155"/>
      <c r="BM834" s="1155"/>
      <c r="BN834" s="1155"/>
      <c r="BO834" s="1155"/>
      <c r="BP834" s="1155"/>
      <c r="BQ834" s="1155"/>
      <c r="BR834" s="1155"/>
      <c r="BS834" s="1155"/>
    </row>
    <row r="835" spans="5:71" s="474" customFormat="1">
      <c r="E835" s="4109"/>
      <c r="F835" s="1386" t="s">
        <v>584</v>
      </c>
      <c r="G835" s="1050"/>
      <c r="H835" s="1051"/>
      <c r="I835" s="1051"/>
      <c r="J835" s="1051"/>
      <c r="K835" s="1052"/>
      <c r="L835" s="1050">
        <f>SUM(L832:L834)</f>
        <v>0</v>
      </c>
      <c r="M835" s="1051">
        <f t="shared" ref="M835" si="3689">SUM(M832:M834)</f>
        <v>0</v>
      </c>
      <c r="N835" s="1051">
        <f t="shared" ref="N835" si="3690">SUM(N832:N834)</f>
        <v>0</v>
      </c>
      <c r="O835" s="1051">
        <f t="shared" ref="O835" si="3691">SUM(O832:O834)</f>
        <v>2789732.4750286266</v>
      </c>
      <c r="P835" s="1052">
        <f t="shared" ref="P835" si="3692">SUM(P832:P834)</f>
        <v>5486855.2881217627</v>
      </c>
      <c r="Q835" s="1092">
        <f t="shared" ref="Q835" si="3693">SUM(Q832:Q834)</f>
        <v>5597833.761382916</v>
      </c>
      <c r="R835" s="1051">
        <f t="shared" ref="R835" si="3694">SUM(R832:R834)</f>
        <v>4617806.2635959983</v>
      </c>
      <c r="S835" s="1051">
        <f t="shared" ref="S835" si="3695">SUM(S832:S834)</f>
        <v>5543110.5058830045</v>
      </c>
      <c r="T835" s="1051">
        <f t="shared" ref="T835" si="3696">SUM(T832:T834)</f>
        <v>1388158.3550974019</v>
      </c>
      <c r="U835" s="1052">
        <f t="shared" ref="U835" si="3697">SUM(U832:U834)</f>
        <v>1407567.5697749341</v>
      </c>
      <c r="V835" s="1172"/>
      <c r="W835" s="1050">
        <f t="shared" ref="W835" si="3698">SUM(W832:W834)</f>
        <v>0</v>
      </c>
      <c r="X835" s="1051">
        <f t="shared" ref="X835" si="3699">SUM(X832:X834)</f>
        <v>0</v>
      </c>
      <c r="Y835" s="1051">
        <f t="shared" ref="Y835" si="3700">SUM(Y832:Y834)</f>
        <v>0</v>
      </c>
      <c r="Z835" s="1051">
        <f t="shared" ref="Z835" si="3701">SUM(Z832:Z834)</f>
        <v>0</v>
      </c>
      <c r="AA835" s="1052">
        <f t="shared" ref="AA835" si="3702">SUM(AA832:AA834)</f>
        <v>0</v>
      </c>
      <c r="AB835" s="1612"/>
      <c r="AC835" s="1050">
        <f t="shared" ref="AC835" si="3703">SUM(AC832:AC834)</f>
        <v>0</v>
      </c>
      <c r="AD835" s="1051">
        <f t="shared" ref="AD835" si="3704">SUM(AD832:AD834)</f>
        <v>0</v>
      </c>
      <c r="AE835" s="1051">
        <f t="shared" ref="AE835" si="3705">SUM(AE832:AE834)</f>
        <v>0</v>
      </c>
      <c r="AF835" s="1051">
        <f t="shared" ref="AF835" si="3706">SUM(AF832:AF834)</f>
        <v>0</v>
      </c>
      <c r="AG835" s="1051">
        <f t="shared" ref="AG835" si="3707">SUM(AG832:AG834)</f>
        <v>0</v>
      </c>
      <c r="AH835" s="1613"/>
      <c r="AI835" s="1172"/>
      <c r="AJ835" s="130"/>
      <c r="AK835" s="130"/>
      <c r="AL835" s="1050">
        <f t="shared" ref="AL835:AR835" si="3708">SUM(AL833:AL834)</f>
        <v>0</v>
      </c>
      <c r="AM835" s="1051">
        <f t="shared" si="3708"/>
        <v>0</v>
      </c>
      <c r="AN835" s="1051">
        <f t="shared" si="3708"/>
        <v>0</v>
      </c>
      <c r="AO835" s="1051">
        <f t="shared" si="3708"/>
        <v>0</v>
      </c>
      <c r="AP835" s="1052">
        <f t="shared" si="3708"/>
        <v>0</v>
      </c>
      <c r="AQ835" s="1050">
        <f t="shared" si="3708"/>
        <v>0</v>
      </c>
      <c r="AR835" s="1051">
        <f t="shared" si="3708"/>
        <v>0</v>
      </c>
      <c r="AS835" s="1052"/>
      <c r="AT835" s="130"/>
      <c r="AU835" s="130"/>
      <c r="AV835" s="130"/>
      <c r="AW835" s="130"/>
      <c r="AX835" s="130"/>
      <c r="AY835" s="130"/>
      <c r="AZ835" s="130"/>
      <c r="BA835" s="130"/>
      <c r="BB835" s="130"/>
      <c r="BC835" s="130"/>
      <c r="BD835" s="130"/>
      <c r="BE835" s="130"/>
      <c r="BF835" s="130"/>
      <c r="BG835" s="130"/>
      <c r="BH835" s="130"/>
      <c r="BI835" s="130"/>
      <c r="BJ835" s="130"/>
      <c r="BK835" s="130"/>
      <c r="BL835" s="130"/>
      <c r="BM835" s="130"/>
      <c r="BN835" s="130"/>
      <c r="BO835" s="130"/>
      <c r="BP835" s="130"/>
      <c r="BQ835" s="130"/>
      <c r="BR835" s="130"/>
      <c r="BS835" s="1155"/>
    </row>
    <row r="836" spans="5:71" s="474" customFormat="1">
      <c r="E836" s="4109"/>
      <c r="F836" s="1388" t="s">
        <v>35</v>
      </c>
      <c r="G836" s="255"/>
      <c r="H836" s="461"/>
      <c r="I836" s="461"/>
      <c r="J836" s="461"/>
      <c r="K836" s="281"/>
      <c r="L836" s="255"/>
      <c r="M836" s="461"/>
      <c r="N836" s="461"/>
      <c r="O836" s="461"/>
      <c r="P836" s="281"/>
      <c r="Q836" s="956"/>
      <c r="R836" s="461"/>
      <c r="S836" s="461"/>
      <c r="T836" s="461"/>
      <c r="U836" s="281"/>
      <c r="V836" s="1172"/>
      <c r="W836" s="255"/>
      <c r="X836" s="461"/>
      <c r="Y836" s="461"/>
      <c r="Z836" s="461"/>
      <c r="AA836" s="281"/>
      <c r="AB836" s="1004"/>
      <c r="AC836" s="255"/>
      <c r="AD836" s="461"/>
      <c r="AE836" s="461"/>
      <c r="AF836" s="461"/>
      <c r="AG836" s="461"/>
      <c r="AH836" s="1047"/>
      <c r="AI836" s="1172"/>
      <c r="AJ836" s="1155"/>
      <c r="AK836" s="1155"/>
      <c r="AL836" s="259"/>
      <c r="AM836" s="466"/>
      <c r="AN836" s="466"/>
      <c r="AO836" s="466"/>
      <c r="AP836" s="283"/>
      <c r="AQ836" s="259"/>
      <c r="AR836" s="466"/>
      <c r="AS836" s="283"/>
      <c r="AT836" s="1155"/>
      <c r="AU836" s="1155"/>
      <c r="AV836" s="1155"/>
      <c r="AW836" s="1155"/>
      <c r="AX836" s="1155"/>
      <c r="AY836" s="1155"/>
      <c r="AZ836" s="1155"/>
      <c r="BA836" s="1155"/>
      <c r="BB836" s="1155"/>
      <c r="BC836" s="1155"/>
      <c r="BD836" s="1155"/>
      <c r="BE836" s="1155"/>
      <c r="BF836" s="1155"/>
      <c r="BG836" s="1155"/>
      <c r="BH836" s="1155"/>
      <c r="BI836" s="1155"/>
      <c r="BJ836" s="1155"/>
      <c r="BK836" s="1155"/>
      <c r="BL836" s="1155"/>
      <c r="BM836" s="1155"/>
      <c r="BN836" s="1155"/>
      <c r="BO836" s="1155"/>
      <c r="BP836" s="1155"/>
      <c r="BQ836" s="1155"/>
      <c r="BR836" s="1155"/>
      <c r="BS836" s="1155"/>
    </row>
    <row r="837" spans="5:71" s="474" customFormat="1" ht="13.5" thickBot="1">
      <c r="E837" s="4109"/>
      <c r="F837" s="1387" t="s">
        <v>585</v>
      </c>
      <c r="G837" s="1055"/>
      <c r="H837" s="1056"/>
      <c r="I837" s="1056"/>
      <c r="J837" s="1056"/>
      <c r="K837" s="1057"/>
      <c r="L837" s="1567">
        <f>L835-L836</f>
        <v>0</v>
      </c>
      <c r="M837" s="1056">
        <f t="shared" ref="M837" si="3709">M835-M836</f>
        <v>0</v>
      </c>
      <c r="N837" s="1056">
        <f t="shared" ref="N837" si="3710">N835-N836</f>
        <v>0</v>
      </c>
      <c r="O837" s="3742">
        <f t="shared" ref="O837" si="3711">O835-O836</f>
        <v>2789732.4750286266</v>
      </c>
      <c r="P837" s="3741">
        <f t="shared" ref="P837" si="3712">P835-P836</f>
        <v>5486855.2881217627</v>
      </c>
      <c r="Q837" s="3740">
        <f t="shared" ref="Q837" si="3713">Q835-Q836</f>
        <v>5597833.761382916</v>
      </c>
      <c r="R837" s="3742">
        <f t="shared" ref="R837" si="3714">R835-R836</f>
        <v>4617806.2635959983</v>
      </c>
      <c r="S837" s="3742">
        <f t="shared" ref="S837" si="3715">S835-S836</f>
        <v>5543110.5058830045</v>
      </c>
      <c r="T837" s="3742">
        <f t="shared" ref="T837" si="3716">T835-T836</f>
        <v>1388158.3550974019</v>
      </c>
      <c r="U837" s="3741">
        <f t="shared" ref="U837" si="3717">U835-U836</f>
        <v>1407567.5697749341</v>
      </c>
      <c r="V837" s="1172"/>
      <c r="W837" s="1055">
        <f t="shared" ref="W837" si="3718">W835-W836</f>
        <v>0</v>
      </c>
      <c r="X837" s="1056">
        <f t="shared" ref="X837" si="3719">X835-X836</f>
        <v>0</v>
      </c>
      <c r="Y837" s="1056">
        <f t="shared" ref="Y837" si="3720">Y835-Y836</f>
        <v>0</v>
      </c>
      <c r="Z837" s="1056">
        <f t="shared" ref="Z837" si="3721">Z835-Z836</f>
        <v>0</v>
      </c>
      <c r="AA837" s="1057">
        <f t="shared" ref="AA837" si="3722">AA835-AA836</f>
        <v>0</v>
      </c>
      <c r="AB837" s="1075"/>
      <c r="AC837" s="1055">
        <f t="shared" ref="AC837" si="3723">AC835-AC836</f>
        <v>0</v>
      </c>
      <c r="AD837" s="1056">
        <f t="shared" ref="AD837" si="3724">AD835-AD836</f>
        <v>0</v>
      </c>
      <c r="AE837" s="1056">
        <f t="shared" ref="AE837" si="3725">AE835-AE836</f>
        <v>0</v>
      </c>
      <c r="AF837" s="1056">
        <f t="shared" ref="AF837" si="3726">AF835-AF836</f>
        <v>0</v>
      </c>
      <c r="AG837" s="1056">
        <f t="shared" ref="AG837" si="3727">AG835-AG836</f>
        <v>0</v>
      </c>
      <c r="AH837" s="1059"/>
      <c r="AI837" s="1172"/>
      <c r="AJ837" s="1155"/>
      <c r="AK837" s="1155"/>
      <c r="AL837" s="1567">
        <f>AL835-AL836</f>
        <v>0</v>
      </c>
      <c r="AM837" s="1056">
        <f t="shared" ref="AM837:AR837" si="3728">AM835-AM836</f>
        <v>0</v>
      </c>
      <c r="AN837" s="1056">
        <f t="shared" si="3728"/>
        <v>0</v>
      </c>
      <c r="AO837" s="1056">
        <f t="shared" si="3728"/>
        <v>0</v>
      </c>
      <c r="AP837" s="1057">
        <f t="shared" si="3728"/>
        <v>0</v>
      </c>
      <c r="AQ837" s="1567">
        <f t="shared" si="3728"/>
        <v>0</v>
      </c>
      <c r="AR837" s="1056">
        <f t="shared" si="3728"/>
        <v>0</v>
      </c>
      <c r="AS837" s="1057"/>
      <c r="AT837" s="1155"/>
      <c r="AU837" s="1155"/>
      <c r="AV837" s="1155"/>
      <c r="AW837" s="1155"/>
      <c r="AX837" s="1155"/>
      <c r="AY837" s="1155"/>
      <c r="AZ837" s="1155"/>
      <c r="BA837" s="1155"/>
      <c r="BB837" s="1155"/>
      <c r="BC837" s="1155"/>
      <c r="BD837" s="1155"/>
      <c r="BE837" s="1155"/>
      <c r="BF837" s="1155"/>
      <c r="BG837" s="1155"/>
      <c r="BH837" s="1155"/>
      <c r="BI837" s="1155"/>
      <c r="BJ837" s="1155"/>
      <c r="BK837" s="1155"/>
      <c r="BL837" s="1155"/>
      <c r="BM837" s="1155"/>
      <c r="BN837" s="1155"/>
      <c r="BO837" s="1155"/>
      <c r="BP837" s="1155"/>
      <c r="BQ837" s="1155"/>
      <c r="BR837" s="1155"/>
      <c r="BS837" s="1155"/>
    </row>
    <row r="838" spans="5:71" customFormat="1" ht="13.5" customHeight="1" thickBot="1">
      <c r="E838" s="402"/>
      <c r="F838" s="403"/>
      <c r="G838" s="1060"/>
      <c r="H838" s="1061"/>
      <c r="I838" s="1061"/>
      <c r="J838" s="1061"/>
      <c r="K838" s="1062"/>
      <c r="L838" s="1060"/>
      <c r="M838" s="1061"/>
      <c r="N838" s="1061"/>
      <c r="O838" s="3739"/>
      <c r="P838" s="3738"/>
      <c r="Q838" s="3739"/>
      <c r="R838" s="3739"/>
      <c r="S838" s="3739"/>
      <c r="T838" s="3739"/>
      <c r="U838" s="3738"/>
      <c r="W838" s="1060"/>
      <c r="X838" s="1061"/>
      <c r="Y838" s="1061"/>
      <c r="Z838" s="1061"/>
      <c r="AA838" s="1062"/>
      <c r="AB838" s="1063"/>
      <c r="AC838" s="1060"/>
      <c r="AD838" s="1061"/>
      <c r="AE838" s="1061"/>
      <c r="AF838" s="1061"/>
      <c r="AG838" s="1061"/>
      <c r="AH838" s="1064"/>
      <c r="AL838" s="1060"/>
      <c r="AM838" s="1061"/>
      <c r="AN838" s="1061"/>
      <c r="AO838" s="1061"/>
      <c r="AP838" s="1062"/>
      <c r="AQ838" s="1060"/>
      <c r="AR838" s="1061"/>
      <c r="AS838" s="1062"/>
    </row>
    <row r="839" spans="5:71" s="106" customFormat="1">
      <c r="E839" s="4104" t="s">
        <v>138</v>
      </c>
      <c r="F839" s="1403" t="s">
        <v>111</v>
      </c>
      <c r="G839" s="1077">
        <f t="shared" ref="G839:K839" ca="1" si="3729">SUMIF($F$73:$AH$838,"Length of mains replaced (metres)",H73:H838)</f>
        <v>0</v>
      </c>
      <c r="H839" s="1078">
        <f t="shared" ca="1" si="3729"/>
        <v>0</v>
      </c>
      <c r="I839" s="1078">
        <f t="shared" ca="1" si="3729"/>
        <v>0</v>
      </c>
      <c r="J839" s="1078">
        <f t="shared" ca="1" si="3729"/>
        <v>0</v>
      </c>
      <c r="K839" s="1078">
        <f t="shared" ca="1" si="3729"/>
        <v>0</v>
      </c>
      <c r="L839" s="1077">
        <f ca="1">SUMIF($F$22:$AH$838,"Length of mains replaced (metres)",L22:L838)</f>
        <v>0</v>
      </c>
      <c r="M839" s="1078">
        <f t="shared" ref="M839:W839" ca="1" si="3730">SUMIF($F$22:$AH$838,"Length of mains replaced (metres)",M22:M838)</f>
        <v>0</v>
      </c>
      <c r="N839" s="1078">
        <f t="shared" ca="1" si="3730"/>
        <v>0</v>
      </c>
      <c r="O839" s="1078">
        <f t="shared" ca="1" si="3730"/>
        <v>0</v>
      </c>
      <c r="P839" s="1078">
        <f t="shared" ca="1" si="3730"/>
        <v>0</v>
      </c>
      <c r="Q839" s="1077">
        <f t="shared" ca="1" si="3730"/>
        <v>0</v>
      </c>
      <c r="R839" s="1078">
        <f t="shared" ca="1" si="3730"/>
        <v>0</v>
      </c>
      <c r="S839" s="1078">
        <f t="shared" ca="1" si="3730"/>
        <v>0</v>
      </c>
      <c r="T839" s="1078">
        <f t="shared" ca="1" si="3730"/>
        <v>0</v>
      </c>
      <c r="U839" s="1079">
        <f t="shared" ca="1" si="3730"/>
        <v>0</v>
      </c>
      <c r="V839"/>
      <c r="W839" s="1077">
        <f t="shared" ca="1" si="3730"/>
        <v>0</v>
      </c>
      <c r="X839" s="1078">
        <f t="shared" ref="X839" ca="1" si="3731">SUMIF($F$22:$AH$838,"Length of mains replaced (metres)",X22:X838)</f>
        <v>0</v>
      </c>
      <c r="Y839" s="1078">
        <f t="shared" ref="Y839" ca="1" si="3732">SUMIF($F$22:$AH$838,"Length of mains replaced (metres)",Y22:Y838)</f>
        <v>0</v>
      </c>
      <c r="Z839" s="1078">
        <f t="shared" ref="Z839" ca="1" si="3733">SUMIF($F$22:$AH$838,"Length of mains replaced (metres)",Z22:Z838)</f>
        <v>0</v>
      </c>
      <c r="AA839" s="1079">
        <f t="shared" ref="AA839" ca="1" si="3734">SUMIF($F$22:$AH$838,"Length of mains replaced (metres)",AA22:AA838)</f>
        <v>0</v>
      </c>
      <c r="AB839" s="992"/>
      <c r="AC839" s="1077">
        <f ca="1">SUMIF($F$22:$AH$838,"Length of mains replaced (metres)",AC22:AC838)</f>
        <v>0</v>
      </c>
      <c r="AD839" s="1078">
        <f t="shared" ref="AD839" ca="1" si="3735">SUMIF($F$22:$AH$838,"Length of mains replaced (metres)",AD22:AD838)</f>
        <v>0</v>
      </c>
      <c r="AE839" s="1078">
        <f t="shared" ref="AE839" ca="1" si="3736">SUMIF($F$22:$AH$838,"Length of mains replaced (metres)",AE22:AE838)</f>
        <v>0</v>
      </c>
      <c r="AF839" s="1078">
        <f t="shared" ref="AF839" ca="1" si="3737">SUMIF($F$22:$AH$838,"Length of mains replaced (metres)",AF22:AF838)</f>
        <v>0</v>
      </c>
      <c r="AG839" s="1079">
        <f t="shared" ref="AG839" ca="1" si="3738">SUMIF($F$22:$AH$838,"Length of mains replaced (metres)",AG22:AG838)</f>
        <v>0</v>
      </c>
      <c r="AH839" s="995"/>
      <c r="AJ839"/>
      <c r="AL839" s="1408">
        <f t="shared" ref="AL839:AQ839" ca="1" si="3739">SUMIF($F$73:$AH$838,"Length of mains replaced (metres)",AM73:AM838)</f>
        <v>0</v>
      </c>
      <c r="AM839" s="992">
        <f t="shared" ca="1" si="3739"/>
        <v>0</v>
      </c>
      <c r="AN839" s="992">
        <f t="shared" ca="1" si="3739"/>
        <v>0</v>
      </c>
      <c r="AO839" s="992">
        <f t="shared" ca="1" si="3739"/>
        <v>0</v>
      </c>
      <c r="AP839" s="995">
        <f t="shared" ca="1" si="3739"/>
        <v>0</v>
      </c>
      <c r="AQ839" s="258">
        <f t="shared" ca="1" si="3739"/>
        <v>0</v>
      </c>
      <c r="AR839" s="465">
        <f ca="1">SUMIF($F$73:$AH$838,"Length of mains replaced (metres)",AR73:AR838)</f>
        <v>0</v>
      </c>
      <c r="AS839" s="282"/>
    </row>
    <row r="840" spans="5:71" s="106" customFormat="1">
      <c r="E840" s="4105"/>
      <c r="F840" s="3468" t="s">
        <v>593</v>
      </c>
      <c r="G840" s="3471">
        <f>G798</f>
        <v>8609159</v>
      </c>
      <c r="H840" s="3472">
        <f t="shared" ref="H840:K840" si="3740">H798</f>
        <v>8360971</v>
      </c>
      <c r="I840" s="3472">
        <f t="shared" si="3740"/>
        <v>11012071</v>
      </c>
      <c r="J840" s="3472">
        <f t="shared" si="3740"/>
        <v>13004328</v>
      </c>
      <c r="K840" s="3472">
        <f t="shared" si="3740"/>
        <v>18916964</v>
      </c>
      <c r="L840" s="3472">
        <f t="shared" ref="L840:U840" si="3741">L828+L811+L777+L760+L743+L726+L709+L692+L675+L658+L641+L624+L607+L590+L573+L556+L539+L522+L505+L488+L471+L454+L437+L420+L403+L386+L369+L352+L335+L318+L301+L284+L267+L250+L233+L216+L199+L182+L165+L148+L131+L114+L97+L80+L63+L46+L29</f>
        <v>0</v>
      </c>
      <c r="M840" s="3472">
        <f t="shared" si="3741"/>
        <v>0</v>
      </c>
      <c r="N840" s="3472">
        <f t="shared" si="3741"/>
        <v>0</v>
      </c>
      <c r="O840" s="3472">
        <f t="shared" si="3741"/>
        <v>15197530.556456693</v>
      </c>
      <c r="P840" s="3472">
        <f t="shared" si="3741"/>
        <v>20919676.467008591</v>
      </c>
      <c r="Q840" s="3471">
        <f t="shared" si="3741"/>
        <v>24843251.542865418</v>
      </c>
      <c r="R840" s="3472">
        <f t="shared" si="3741"/>
        <v>23276134.394622069</v>
      </c>
      <c r="S840" s="3472">
        <f t="shared" si="3741"/>
        <v>24004407.509506546</v>
      </c>
      <c r="T840" s="3472">
        <f t="shared" si="3741"/>
        <v>19710338.517763648</v>
      </c>
      <c r="U840" s="3473">
        <f t="shared" si="3741"/>
        <v>18625927.439752009</v>
      </c>
      <c r="V840"/>
      <c r="W840" s="3471">
        <f t="shared" ref="W840:AA840" si="3742">W828+W811+W777+W760+W743+W726+W709+W692+W675+W658+W641+W624+W607+W590+W573+W556+W539+W522+W505+W488+W471+W454+W437+W420+W403+W386+W369+W352+W335+W318+W301+W284+W267+W250+W233+W216+W199+W182+W165+W148+W131+W114+W97+W80+W63+W46+W29</f>
        <v>0</v>
      </c>
      <c r="X840" s="3472">
        <f t="shared" si="3742"/>
        <v>0</v>
      </c>
      <c r="Y840" s="3472">
        <f t="shared" si="3742"/>
        <v>0</v>
      </c>
      <c r="Z840" s="3472">
        <f t="shared" si="3742"/>
        <v>0</v>
      </c>
      <c r="AA840" s="3473">
        <f t="shared" si="3742"/>
        <v>0</v>
      </c>
      <c r="AB840" s="1067"/>
      <c r="AC840" s="3471">
        <f t="shared" ref="AC840:AG840" si="3743">AC828+AC811+AC777+AC760+AC743+AC726+AC709+AC692+AC675+AC658+AC641+AC624+AC607+AC590+AC573+AC556+AC539+AC522+AC505+AC488+AC471+AC454+AC437+AC420+AC403+AC386+AC369+AC352+AC335+AC318+AC301+AC284+AC267+AC250+AC233+AC216+AC199+AC182+AC165+AC148+AC131+AC114+AC97+AC80+AC63+AC46+AC29</f>
        <v>0</v>
      </c>
      <c r="AD840" s="3472">
        <f t="shared" si="3743"/>
        <v>0</v>
      </c>
      <c r="AE840" s="3472">
        <f t="shared" si="3743"/>
        <v>0</v>
      </c>
      <c r="AF840" s="3472">
        <f t="shared" si="3743"/>
        <v>0</v>
      </c>
      <c r="AG840" s="3473">
        <f t="shared" si="3743"/>
        <v>0</v>
      </c>
      <c r="AH840" s="1068"/>
      <c r="AJ840" s="65"/>
      <c r="AL840" s="1086"/>
      <c r="AM840" s="1087"/>
      <c r="AN840" s="1087"/>
      <c r="AO840" s="1087"/>
      <c r="AP840" s="1088"/>
      <c r="AQ840" s="1098"/>
      <c r="AR840" s="1065"/>
      <c r="AS840" s="1066"/>
    </row>
    <row r="841" spans="5:71">
      <c r="E841" s="4105"/>
      <c r="F841" s="3469" t="s">
        <v>558</v>
      </c>
      <c r="G841" s="374">
        <f t="shared" ref="G841:K843" si="3744">G829+G812+G778+G761+G744+G727+G710+G693+G676+G659+G642+G625+G608+G591+G574+G557+G540+G523+G506+G489+G472+G455+G438+G421+G404+G387+G370+G353+G336+G319+G302+G285+G268+G251+G234+G217+G200+G183+G166+G149+G132+G115+G98+G81+G64+G47+G30</f>
        <v>0</v>
      </c>
      <c r="H841" s="375">
        <f t="shared" si="3744"/>
        <v>0</v>
      </c>
      <c r="I841" s="375">
        <f t="shared" si="3744"/>
        <v>0</v>
      </c>
      <c r="J841" s="375">
        <f t="shared" si="3744"/>
        <v>0</v>
      </c>
      <c r="K841" s="375">
        <f t="shared" si="3744"/>
        <v>0</v>
      </c>
      <c r="L841" s="374">
        <f t="shared" ref="L841:U841" si="3745">L829+L812+L778+L761+L744+L727+L710+L693+L676+L659+L642+L625+L608+L591+L574+L557+L540+L523+L506+L489+L472+L455+L438+L421+L404+L387+L370+L353+L336+L319+L302+L285+L268+L251+L234+L217+L200+L183+L166+L149+L132+L115+L98+L81+L64+L47+L30</f>
        <v>14351668.09</v>
      </c>
      <c r="M841" s="375">
        <f t="shared" si="3745"/>
        <v>19081166.450000003</v>
      </c>
      <c r="N841" s="375">
        <f t="shared" si="3745"/>
        <v>20366425.780000001</v>
      </c>
      <c r="O841" s="375">
        <f t="shared" si="3745"/>
        <v>0</v>
      </c>
      <c r="P841" s="375">
        <f t="shared" si="3745"/>
        <v>5104102.978336161</v>
      </c>
      <c r="Q841" s="374">
        <f t="shared" si="3745"/>
        <v>5233619.5125490818</v>
      </c>
      <c r="R841" s="375">
        <f t="shared" si="3745"/>
        <v>4299895.7545377072</v>
      </c>
      <c r="S841" s="375">
        <f t="shared" si="3745"/>
        <v>5155969.5012362013</v>
      </c>
      <c r="T841" s="375">
        <f t="shared" si="3745"/>
        <v>1285208.7741383412</v>
      </c>
      <c r="U841" s="3474">
        <f t="shared" si="3745"/>
        <v>1301807.9408116257</v>
      </c>
      <c r="W841" s="374">
        <f t="shared" ref="W841:AA841" si="3746">W829+W812+W778+W761+W744+W727+W710+W693+W676+W659+W642+W625+W608+W591+W574+W557+W540+W523+W506+W489+W472+W455+W438+W421+W404+W387+W370+W353+W336+W319+W302+W285+W268+W251+W234+W217+W200+W183+W166+W149+W132+W115+W98+W81+W64+W47+W30</f>
        <v>0</v>
      </c>
      <c r="X841" s="375">
        <f t="shared" si="3746"/>
        <v>0</v>
      </c>
      <c r="Y841" s="375">
        <f t="shared" si="3746"/>
        <v>0</v>
      </c>
      <c r="Z841" s="375">
        <f t="shared" si="3746"/>
        <v>0</v>
      </c>
      <c r="AA841" s="3474">
        <f t="shared" si="3746"/>
        <v>0</v>
      </c>
      <c r="AB841" s="1041">
        <f t="shared" ref="AB841:AH841" ca="1" si="3747">SUMIF($F$73:$AH$838,"Direct contractor expenditure (excl. escalation)",AB73:AB838)</f>
        <v>0</v>
      </c>
      <c r="AC841" s="374">
        <f t="shared" ref="AC841:AG841" si="3748">AC829+AC812+AC778+AC761+AC744+AC727+AC710+AC693+AC676+AC659+AC642+AC625+AC608+AC591+AC574+AC557+AC540+AC523+AC506+AC489+AC472+AC455+AC438+AC421+AC404+AC387+AC370+AC353+AC336+AC319+AC302+AC285+AC268+AC251+AC234+AC217+AC200+AC183+AC166+AC149+AC132+AC115+AC98+AC81+AC64+AC47+AC30</f>
        <v>0</v>
      </c>
      <c r="AD841" s="375">
        <f t="shared" si="3748"/>
        <v>0</v>
      </c>
      <c r="AE841" s="375">
        <f t="shared" si="3748"/>
        <v>0</v>
      </c>
      <c r="AF841" s="375">
        <f t="shared" si="3748"/>
        <v>0</v>
      </c>
      <c r="AG841" s="3474">
        <f t="shared" si="3748"/>
        <v>0</v>
      </c>
      <c r="AH841" s="1042">
        <f t="shared" ca="1" si="3747"/>
        <v>0</v>
      </c>
      <c r="AI841" s="106"/>
      <c r="AJ841"/>
      <c r="AL841" s="1083"/>
      <c r="AM841" s="1084"/>
      <c r="AN841" s="1084"/>
      <c r="AO841" s="1084"/>
      <c r="AP841" s="1085"/>
      <c r="AQ841" s="1040">
        <f ca="1">SUMIF($F$73:$AH$838,"Direct contractor expenditure (excl. escalation)",AR73:AR838)</f>
        <v>0</v>
      </c>
      <c r="AR841" s="479">
        <f ca="1">SUMIF($F$73:$AH$838,"Direct contractor expenditure (excl. escalation)",AR73:AR838)</f>
        <v>0</v>
      </c>
      <c r="AS841" s="425"/>
    </row>
    <row r="842" spans="5:71">
      <c r="E842" s="4105"/>
      <c r="F842" s="3469" t="s">
        <v>559</v>
      </c>
      <c r="G842" s="374">
        <f t="shared" si="3744"/>
        <v>0</v>
      </c>
      <c r="H842" s="375">
        <f t="shared" si="3744"/>
        <v>0</v>
      </c>
      <c r="I842" s="375">
        <f t="shared" si="3744"/>
        <v>0</v>
      </c>
      <c r="J842" s="375">
        <f t="shared" si="3744"/>
        <v>0</v>
      </c>
      <c r="K842" s="375">
        <f t="shared" si="3744"/>
        <v>0</v>
      </c>
      <c r="L842" s="374">
        <f t="shared" ref="L842:U842" si="3749">L830+L813+L779+L762+L745+L728+L711+L694+L677+L660+L643+L626+L609+L592+L575+L558+L541+L524+L507+L490+L473+L456+L439+L422+L405+L388+L371+L354+L337+L320+L303+L286+L269+L252+L235+L218+L201+L184+L167+L150+L133+L116+L99+L82+L65+L48+L31</f>
        <v>0</v>
      </c>
      <c r="M842" s="375">
        <f t="shared" si="3749"/>
        <v>0</v>
      </c>
      <c r="N842" s="375">
        <f t="shared" si="3749"/>
        <v>0</v>
      </c>
      <c r="O842" s="375">
        <f t="shared" si="3749"/>
        <v>0</v>
      </c>
      <c r="P842" s="375">
        <f t="shared" si="3749"/>
        <v>0</v>
      </c>
      <c r="Q842" s="374">
        <f t="shared" si="3749"/>
        <v>0</v>
      </c>
      <c r="R842" s="375">
        <f t="shared" si="3749"/>
        <v>0</v>
      </c>
      <c r="S842" s="375">
        <f t="shared" si="3749"/>
        <v>0</v>
      </c>
      <c r="T842" s="375">
        <f t="shared" si="3749"/>
        <v>0</v>
      </c>
      <c r="U842" s="3474">
        <f t="shared" si="3749"/>
        <v>0</v>
      </c>
      <c r="W842" s="374">
        <f t="shared" ref="W842:AA842" si="3750">W830+W813+W779+W762+W745+W728+W711+W694+W677+W660+W643+W626+W609+W592+W575+W558+W541+W524+W507+W490+W473+W456+W439+W422+W405+W388+W371+W354+W337+W320+W303+W286+W269+W252+W235+W218+W201+W184+W167+W150+W133+W116+W99+W82+W65+W48+W31</f>
        <v>0</v>
      </c>
      <c r="X842" s="375">
        <f t="shared" si="3750"/>
        <v>0</v>
      </c>
      <c r="Y842" s="375">
        <f t="shared" si="3750"/>
        <v>0</v>
      </c>
      <c r="Z842" s="375">
        <f t="shared" si="3750"/>
        <v>0</v>
      </c>
      <c r="AA842" s="3474">
        <f t="shared" si="3750"/>
        <v>0</v>
      </c>
      <c r="AB842" s="1041">
        <f t="shared" ref="AB842:AH842" ca="1" si="3751">SUMIF($F$73:$AH$838,"Direct internal labour expenditure (excl. escalation)",AB73:AB838)</f>
        <v>0</v>
      </c>
      <c r="AC842" s="374">
        <f t="shared" ref="AC842:AG842" si="3752">AC830+AC813+AC779+AC762+AC745+AC728+AC711+AC694+AC677+AC660+AC643+AC626+AC609+AC592+AC575+AC558+AC541+AC524+AC507+AC490+AC473+AC456+AC439+AC422+AC405+AC388+AC371+AC354+AC337+AC320+AC303+AC286+AC269+AC252+AC235+AC218+AC201+AC184+AC167+AC150+AC133+AC116+AC99+AC82+AC65+AC48+AC31</f>
        <v>0</v>
      </c>
      <c r="AD842" s="375">
        <f t="shared" si="3752"/>
        <v>0</v>
      </c>
      <c r="AE842" s="375">
        <f t="shared" si="3752"/>
        <v>0</v>
      </c>
      <c r="AF842" s="375">
        <f t="shared" si="3752"/>
        <v>0</v>
      </c>
      <c r="AG842" s="3474">
        <f t="shared" si="3752"/>
        <v>0</v>
      </c>
      <c r="AH842" s="1042">
        <f t="shared" ca="1" si="3751"/>
        <v>0</v>
      </c>
      <c r="AI842" s="106"/>
      <c r="AJ842"/>
      <c r="AL842" s="1083"/>
      <c r="AM842" s="1084"/>
      <c r="AN842" s="1084"/>
      <c r="AO842" s="1084"/>
      <c r="AP842" s="1085"/>
      <c r="AQ842" s="1040">
        <f ca="1">SUMIF($F$73:$AH$838,"Direct internal labour expenditure (excl. escalation)",AR73:AR838)</f>
        <v>0</v>
      </c>
      <c r="AR842" s="479">
        <f ca="1">SUMIF($F$73:$AH$838,"Direct internal labour expenditure (excl. escalation)",AR73:AR838)</f>
        <v>0</v>
      </c>
      <c r="AS842" s="425"/>
    </row>
    <row r="843" spans="5:71">
      <c r="E843" s="4105"/>
      <c r="F843" s="3469" t="s">
        <v>578</v>
      </c>
      <c r="G843" s="374">
        <f t="shared" si="3744"/>
        <v>0</v>
      </c>
      <c r="H843" s="375">
        <f t="shared" si="3744"/>
        <v>0</v>
      </c>
      <c r="I843" s="375">
        <f t="shared" si="3744"/>
        <v>0</v>
      </c>
      <c r="J843" s="375">
        <f t="shared" si="3744"/>
        <v>0</v>
      </c>
      <c r="K843" s="375">
        <f t="shared" si="3744"/>
        <v>0</v>
      </c>
      <c r="L843" s="374">
        <f t="shared" ref="L843:U843" si="3753">L831+L814+L780+L763+L746+L729+L712+L695+L678+L661+L644+L627+L610+L593+L576+L559+L542+L525+L508+L491+L474+L457+L440+L423+L406+L389+L372+L355+L338+L321+L304+L287+L270+L253+L236+L219+L202+L185+L168+L151+L134+L117+L100+L83+L66+L49+L32</f>
        <v>0</v>
      </c>
      <c r="M843" s="375">
        <f t="shared" si="3753"/>
        <v>1353604.9000000001</v>
      </c>
      <c r="N843" s="375">
        <f t="shared" si="3753"/>
        <v>0</v>
      </c>
      <c r="O843" s="375">
        <f t="shared" si="3753"/>
        <v>0</v>
      </c>
      <c r="P843" s="375">
        <f t="shared" si="3753"/>
        <v>0</v>
      </c>
      <c r="Q843" s="374">
        <f t="shared" si="3753"/>
        <v>0</v>
      </c>
      <c r="R843" s="375">
        <f t="shared" si="3753"/>
        <v>0</v>
      </c>
      <c r="S843" s="375">
        <f t="shared" si="3753"/>
        <v>0</v>
      </c>
      <c r="T843" s="375">
        <f t="shared" si="3753"/>
        <v>0</v>
      </c>
      <c r="U843" s="3474">
        <f t="shared" si="3753"/>
        <v>0</v>
      </c>
      <c r="W843" s="374">
        <f t="shared" ref="W843:AA843" si="3754">W831+W814+W780+W763+W746+W729+W712+W695+W678+W661+W644+W627+W610+W593+W576+W559+W542+W525+W508+W491+W474+W457+W440+W423+W406+W389+W372+W355+W338+W321+W304+W287+W270+W253+W236+W219+W202+W185+W168+W151+W134+W117+W100+W83+W66+W49+W32</f>
        <v>14328943.634734375</v>
      </c>
      <c r="X843" s="375">
        <f t="shared" si="3754"/>
        <v>14655045.471958956</v>
      </c>
      <c r="Y843" s="375">
        <f t="shared" si="3754"/>
        <v>14988568.819865137</v>
      </c>
      <c r="Z843" s="375">
        <f t="shared" si="3754"/>
        <v>15329682.579129057</v>
      </c>
      <c r="AA843" s="3474">
        <f t="shared" si="3754"/>
        <v>15678559.494312506</v>
      </c>
      <c r="AB843" s="1041">
        <f t="shared" ref="AB843:AH843" ca="1" si="3755">SUMIF($F$73:$AH$838,"Direct material expenditure (excl. escalation)",AB73:AB838)</f>
        <v>0</v>
      </c>
      <c r="AC843" s="374">
        <f t="shared" ref="AC843:AG843" si="3756">AC831+AC814+AC780+AC763+AC746+AC729+AC712+AC695+AC678+AC661+AC644+AC627+AC610+AC593+AC576+AC559+AC542+AC525+AC508+AC491+AC474+AC457+AC440+AC423+AC406+AC389+AC372+AC355+AC338+AC321+AC304+AC287+AC270+AC253+AC236+AC219+AC202+AC185+AC168+AC151+AC134+AC117+AC100+AC83+AC66+AC49+AC32</f>
        <v>23848.51947368501</v>
      </c>
      <c r="AD843" s="375">
        <f t="shared" si="3756"/>
        <v>24832.702834806973</v>
      </c>
      <c r="AE843" s="375">
        <f t="shared" si="3756"/>
        <v>27814.786876222093</v>
      </c>
      <c r="AF843" s="375">
        <f t="shared" si="3756"/>
        <v>23626.983817948683</v>
      </c>
      <c r="AG843" s="3474">
        <f t="shared" si="3756"/>
        <v>15151.102068286762</v>
      </c>
      <c r="AH843" s="1042">
        <f t="shared" ca="1" si="3755"/>
        <v>0</v>
      </c>
      <c r="AI843" s="106"/>
      <c r="AJ843"/>
      <c r="AL843" s="1083"/>
      <c r="AM843" s="1084"/>
      <c r="AN843" s="1084"/>
      <c r="AO843" s="1084"/>
      <c r="AP843" s="1085"/>
      <c r="AQ843" s="1040">
        <f ca="1">SUMIF($F$73:$AH$838,"Direct material expenditure (excl. escalation)",AR73:AR838)</f>
        <v>0</v>
      </c>
      <c r="AR843" s="479">
        <f ca="1">SUMIF($F$73:$AH$838,"Direct material expenditure (excl. escalation)",AR73:AR838)</f>
        <v>0</v>
      </c>
      <c r="AS843" s="425"/>
    </row>
    <row r="844" spans="5:71">
      <c r="E844" s="4105"/>
      <c r="F844" s="3470" t="s">
        <v>579</v>
      </c>
      <c r="G844" s="3476">
        <f>G840</f>
        <v>8609159</v>
      </c>
      <c r="H844" s="3475">
        <f t="shared" ref="H844:K844" si="3757">H840</f>
        <v>8360971</v>
      </c>
      <c r="I844" s="3475">
        <f t="shared" si="3757"/>
        <v>11012071</v>
      </c>
      <c r="J844" s="3475">
        <f t="shared" si="3757"/>
        <v>13004328</v>
      </c>
      <c r="K844" s="3475">
        <f t="shared" si="3757"/>
        <v>18916964</v>
      </c>
      <c r="L844" s="3476">
        <f t="shared" ref="L844:U844" si="3758">L832+L815+L781+L764+L747+L730+L713+L696+L679+L662+L645+L628+L611+L594+L577+L560+L543+L526+L509+L492+L475+L458+L441+L424+L407+L390+L373+L356+L339+L322+L305+L288+L271+L254+L237+L220+L203+L186+L169+L152+L135+L118+L101+L84+L67+L50+L33</f>
        <v>14351668.09</v>
      </c>
      <c r="M844" s="3475">
        <f t="shared" si="3758"/>
        <v>20434771.350000001</v>
      </c>
      <c r="N844" s="3475">
        <f t="shared" si="3758"/>
        <v>20366425.780000001</v>
      </c>
      <c r="O844" s="3475">
        <f t="shared" si="3758"/>
        <v>15197530.556456693</v>
      </c>
      <c r="P844" s="3475">
        <f t="shared" si="3758"/>
        <v>26023779.445344754</v>
      </c>
      <c r="Q844" s="3476">
        <f t="shared" si="3758"/>
        <v>30076871.055414498</v>
      </c>
      <c r="R844" s="3475">
        <f t="shared" si="3758"/>
        <v>27576030.149159774</v>
      </c>
      <c r="S844" s="3475">
        <f t="shared" si="3758"/>
        <v>29160377.010742746</v>
      </c>
      <c r="T844" s="3475">
        <f t="shared" si="3758"/>
        <v>20995547.291901991</v>
      </c>
      <c r="U844" s="3477">
        <f t="shared" si="3758"/>
        <v>19927735.380563635</v>
      </c>
      <c r="W844" s="3476">
        <f t="shared" ref="W844:AA844" si="3759">W832+W815+W781+W764+W747+W730+W713+W696+W679+W662+W645+W628+W611+W594+W577+W560+W543+W526+W509+W492+W475+W458+W441+W424+W407+W390+W373+W356+W339+W322+W305+W288+W271+W254+W237+W220+W203+W186+W169+W152+W135+W118+W101+W84+W67+W50+W33</f>
        <v>14328943.634734375</v>
      </c>
      <c r="X844" s="3475">
        <f t="shared" si="3759"/>
        <v>14655045.471958956</v>
      </c>
      <c r="Y844" s="3475">
        <f t="shared" si="3759"/>
        <v>14988568.819865137</v>
      </c>
      <c r="Z844" s="3475">
        <f t="shared" si="3759"/>
        <v>15329682.579129057</v>
      </c>
      <c r="AA844" s="3477">
        <f t="shared" si="3759"/>
        <v>15678559.494312506</v>
      </c>
      <c r="AB844" s="992">
        <f t="shared" ref="AB844:AH844" ca="1" si="3760">SUMIF($F$73:$AH$838,"Total direct expenditure (excl. escalation)",AB73:AB838)</f>
        <v>0</v>
      </c>
      <c r="AC844" s="3476">
        <f t="shared" ref="AC844:AG844" si="3761">AC832+AC815+AC781+AC764+AC747+AC730+AC713+AC696+AC679+AC662+AC645+AC628+AC611+AC594+AC577+AC560+AC543+AC526+AC509+AC492+AC475+AC458+AC441+AC424+AC407+AC390+AC373+AC356+AC339+AC322+AC305+AC288+AC271+AC254+AC237+AC220+AC203+AC186+AC169+AC152+AC135+AC118+AC101+AC84+AC67+AC50+AC33</f>
        <v>23848.51947368501</v>
      </c>
      <c r="AD844" s="3475">
        <f t="shared" si="3761"/>
        <v>24832.702834806973</v>
      </c>
      <c r="AE844" s="3475">
        <f t="shared" si="3761"/>
        <v>27814.786876222093</v>
      </c>
      <c r="AF844" s="3475">
        <f t="shared" si="3761"/>
        <v>23626.983817948683</v>
      </c>
      <c r="AG844" s="3477">
        <f t="shared" si="3761"/>
        <v>15151.102068286762</v>
      </c>
      <c r="AH844" s="995">
        <f t="shared" ca="1" si="3760"/>
        <v>0</v>
      </c>
      <c r="AI844" s="106"/>
      <c r="AJ844"/>
      <c r="AL844" s="1086"/>
      <c r="AM844" s="1087"/>
      <c r="AN844" s="1087"/>
      <c r="AO844" s="1087"/>
      <c r="AP844" s="1088"/>
      <c r="AQ844" s="258">
        <f ca="1">SUMIF($F$73:$AH$838,"Total direct expenditure (excl. escalation)",AR73:AR838)</f>
        <v>0</v>
      </c>
      <c r="AR844" s="465">
        <f ca="1">SUMIF($F$73:$AH$838,"Total direct expenditure (excl. escalation)",AR73:AR838)</f>
        <v>0</v>
      </c>
      <c r="AS844" s="282"/>
    </row>
    <row r="845" spans="5:71">
      <c r="E845" s="4105"/>
      <c r="F845" s="1404" t="s">
        <v>583</v>
      </c>
      <c r="G845" s="374">
        <v>1614991.0966689279</v>
      </c>
      <c r="H845" s="375">
        <v>1332017.4001614091</v>
      </c>
      <c r="I845" s="375">
        <v>2005683.0050878969</v>
      </c>
      <c r="J845" s="375">
        <v>2107840.3175369478</v>
      </c>
      <c r="K845" s="375">
        <v>3518327.0312803965</v>
      </c>
      <c r="L845" s="374">
        <f t="shared" ref="L845:U845" si="3762">L833+L816+L782+L765+L748+L731+L714+L697+L680+L663+L646+L629+L612+L595+L578+L561+L544+L527+L510+L493+L476+L459+L442+L425+L408+L391+L374+L357+L340+L323+L306+L289+L272+L255+L238+L221+L204+L187+L170+L153+L136+L119+L102+L85+L68+L51+L34</f>
        <v>0</v>
      </c>
      <c r="M845" s="375">
        <f t="shared" si="3762"/>
        <v>0</v>
      </c>
      <c r="N845" s="375">
        <f t="shared" si="3762"/>
        <v>0</v>
      </c>
      <c r="O845" s="375">
        <f t="shared" si="3762"/>
        <v>1818847.7260803441</v>
      </c>
      <c r="P845" s="375">
        <f t="shared" si="3762"/>
        <v>1951477.0262005376</v>
      </c>
      <c r="Q845" s="374">
        <f t="shared" si="3762"/>
        <v>2093023.8250104738</v>
      </c>
      <c r="R845" s="375">
        <f t="shared" si="3762"/>
        <v>2038753.436346421</v>
      </c>
      <c r="S845" s="375">
        <f t="shared" si="3762"/>
        <v>2189294.9280233672</v>
      </c>
      <c r="T845" s="375">
        <f t="shared" si="3762"/>
        <v>1681216.0364660597</v>
      </c>
      <c r="U845" s="1017">
        <f t="shared" si="3762"/>
        <v>1618544.3537369501</v>
      </c>
      <c r="W845" s="374">
        <f t="shared" ref="W845:AA845" si="3763">W833+W816+W782+W765+W748+W731+W714+W697+W680+W663+W646+W629+W612+W595+W578+W561+W544+W527+W510+W493+W476+W459+W442+W425+W408+W391+W374+W357+W340+W323+W306+W289+W272+W255+W238+W221+W204+W187+W170+W153+W136+W119+W102+W85+W68+W51+W34</f>
        <v>0</v>
      </c>
      <c r="X845" s="375">
        <f t="shared" si="3763"/>
        <v>0</v>
      </c>
      <c r="Y845" s="375">
        <f t="shared" si="3763"/>
        <v>0</v>
      </c>
      <c r="Z845" s="375">
        <f t="shared" si="3763"/>
        <v>0</v>
      </c>
      <c r="AA845" s="1017">
        <f t="shared" si="3763"/>
        <v>0</v>
      </c>
      <c r="AB845" s="1041"/>
      <c r="AC845" s="374">
        <f t="shared" ref="AC845:AG845" si="3764">AC833+AC816+AC782+AC765+AC748+AC731+AC714+AC697+AC680+AC663+AC646+AC629+AC612+AC595+AC578+AC561+AC544+AC527+AC510+AC493+AC476+AC459+AC442+AC425+AC408+AC391+AC374+AC357+AC340+AC323+AC306+AC289+AC272+AC255+AC238+AC221+AC204+AC187+AC170+AC153+AC136+AC119+AC102+AC85+AC68+AC51+AC34</f>
        <v>0</v>
      </c>
      <c r="AD845" s="375">
        <f t="shared" si="3764"/>
        <v>0</v>
      </c>
      <c r="AE845" s="375">
        <f t="shared" si="3764"/>
        <v>0</v>
      </c>
      <c r="AF845" s="375">
        <f t="shared" si="3764"/>
        <v>0</v>
      </c>
      <c r="AG845" s="1017">
        <f t="shared" si="3764"/>
        <v>0</v>
      </c>
      <c r="AH845" s="1042"/>
      <c r="AI845" s="106"/>
      <c r="AJ845"/>
      <c r="AL845" s="1037">
        <f t="shared" ref="AL845:AQ845" ca="1" si="3765">SUMIF($F$73:$AH$838,"Total overhead expenditure",AM73:AM838)</f>
        <v>0</v>
      </c>
      <c r="AM845" s="401">
        <f t="shared" ca="1" si="3765"/>
        <v>0</v>
      </c>
      <c r="AN845" s="401">
        <f t="shared" ca="1" si="3765"/>
        <v>0</v>
      </c>
      <c r="AO845" s="401">
        <f t="shared" ca="1" si="3765"/>
        <v>0</v>
      </c>
      <c r="AP845" s="1038">
        <f t="shared" ca="1" si="3765"/>
        <v>0</v>
      </c>
      <c r="AQ845" s="1040">
        <f t="shared" ca="1" si="3765"/>
        <v>0</v>
      </c>
      <c r="AR845" s="479">
        <f ca="1">SUMIF($F$73:$AH$838,"Total overhead expenditure",AR73:AR838)</f>
        <v>0</v>
      </c>
      <c r="AS845" s="425"/>
    </row>
    <row r="846" spans="5:71">
      <c r="E846" s="4105"/>
      <c r="F846" s="1395" t="s">
        <v>581</v>
      </c>
      <c r="G846" s="374">
        <f t="shared" ref="G846:K846" ca="1" si="3766">SUMIF($F$73:$AH$838,"Related party margin",H73:H838)</f>
        <v>0</v>
      </c>
      <c r="H846" s="375">
        <f t="shared" ca="1" si="3766"/>
        <v>0</v>
      </c>
      <c r="I846" s="375">
        <f t="shared" ca="1" si="3766"/>
        <v>0</v>
      </c>
      <c r="J846" s="375">
        <f t="shared" ca="1" si="3766"/>
        <v>0</v>
      </c>
      <c r="K846" s="375">
        <f t="shared" ca="1" si="3766"/>
        <v>0</v>
      </c>
      <c r="L846" s="374">
        <f t="shared" ref="L846:U846" si="3767">L834+L817+L783+L766+L749+L732+L715+L698+L681+L664+L647+L630+L613+L596+L579+L562+L545+L528+L511+L494+L477+L460+L443+L426+L409+L392+L375+L358+L341+L324+L307+L290+L273+L256+L239+L222+L205+L188+L171+L154+L137+L120+L103+L86+L69+L52+L35</f>
        <v>0</v>
      </c>
      <c r="M846" s="375">
        <f t="shared" si="3767"/>
        <v>0</v>
      </c>
      <c r="N846" s="375">
        <f t="shared" si="3767"/>
        <v>0</v>
      </c>
      <c r="O846" s="375">
        <f t="shared" si="3767"/>
        <v>0</v>
      </c>
      <c r="P846" s="375">
        <f t="shared" si="3767"/>
        <v>0</v>
      </c>
      <c r="Q846" s="374">
        <f t="shared" si="3767"/>
        <v>0</v>
      </c>
      <c r="R846" s="375">
        <f t="shared" si="3767"/>
        <v>0</v>
      </c>
      <c r="S846" s="375">
        <f t="shared" si="3767"/>
        <v>0</v>
      </c>
      <c r="T846" s="375">
        <f t="shared" si="3767"/>
        <v>0</v>
      </c>
      <c r="U846" s="1017">
        <f t="shared" si="3767"/>
        <v>0</v>
      </c>
      <c r="W846" s="374">
        <f t="shared" ref="W846:AA846" si="3768">W834+W817+W783+W766+W749+W732+W715+W698+W681+W664+W647+W630+W613+W596+W579+W562+W545+W528+W511+W494+W477+W460+W443+W426+W409+W392+W375+W358+W341+W324+W307+W290+W273+W256+W239+W222+W205+W188+W171+W154+W137+W120+W103+W86+W69+W52+W35</f>
        <v>0</v>
      </c>
      <c r="X846" s="375">
        <f t="shared" si="3768"/>
        <v>0</v>
      </c>
      <c r="Y846" s="375">
        <f t="shared" si="3768"/>
        <v>0</v>
      </c>
      <c r="Z846" s="375">
        <f t="shared" si="3768"/>
        <v>0</v>
      </c>
      <c r="AA846" s="1017">
        <f t="shared" si="3768"/>
        <v>0</v>
      </c>
      <c r="AB846" s="1041">
        <f t="shared" ref="AB846:AH846" ca="1" si="3769">SUMIF($F$73:$AH$838,"Related party margin",AB73:AB838)</f>
        <v>0</v>
      </c>
      <c r="AC846" s="374">
        <f t="shared" ref="AC846:AG846" si="3770">AC834+AC817+AC783+AC766+AC749+AC732+AC715+AC698+AC681+AC664+AC647+AC630+AC613+AC596+AC579+AC562+AC545+AC528+AC511+AC494+AC477+AC460+AC443+AC426+AC409+AC392+AC375+AC358+AC341+AC324+AC307+AC290+AC273+AC256+AC239+AC222+AC205+AC188+AC171+AC154+AC137+AC120+AC103+AC86+AC69+AC52+AC35</f>
        <v>0</v>
      </c>
      <c r="AD846" s="375">
        <f t="shared" si="3770"/>
        <v>0</v>
      </c>
      <c r="AE846" s="375">
        <f t="shared" si="3770"/>
        <v>0</v>
      </c>
      <c r="AF846" s="375">
        <f t="shared" si="3770"/>
        <v>0</v>
      </c>
      <c r="AG846" s="1017">
        <f t="shared" si="3770"/>
        <v>0</v>
      </c>
      <c r="AH846" s="1042">
        <f t="shared" ca="1" si="3769"/>
        <v>0</v>
      </c>
      <c r="AI846" s="106"/>
      <c r="AJ846"/>
      <c r="AL846" s="1037">
        <f t="shared" ref="AL846:AQ846" ca="1" si="3771">SUMIF($F$73:$AH$838,"Related party margin",AM73:AM838)</f>
        <v>0</v>
      </c>
      <c r="AM846" s="401">
        <f t="shared" ca="1" si="3771"/>
        <v>0</v>
      </c>
      <c r="AN846" s="401">
        <f t="shared" ca="1" si="3771"/>
        <v>0</v>
      </c>
      <c r="AO846" s="401">
        <f t="shared" ca="1" si="3771"/>
        <v>0</v>
      </c>
      <c r="AP846" s="1038">
        <f t="shared" ca="1" si="3771"/>
        <v>0</v>
      </c>
      <c r="AQ846" s="1040">
        <f t="shared" ca="1" si="3771"/>
        <v>0</v>
      </c>
      <c r="AR846" s="479">
        <f ca="1">SUMIF($F$73:$AH$838,"Related party margin",AR73:AR838)</f>
        <v>0</v>
      </c>
      <c r="AS846" s="425"/>
    </row>
    <row r="847" spans="5:71">
      <c r="E847" s="4105"/>
      <c r="F847" s="1405" t="s">
        <v>584</v>
      </c>
      <c r="G847" s="3462">
        <f ca="1">SUM(G844:G846)</f>
        <v>10224150.096668929</v>
      </c>
      <c r="H847" s="3463">
        <f t="shared" ref="H847:K847" ca="1" si="3772">SUM(H844:H846)</f>
        <v>9692988.4001614098</v>
      </c>
      <c r="I847" s="3463">
        <f t="shared" ca="1" si="3772"/>
        <v>13017754.005087897</v>
      </c>
      <c r="J847" s="3463">
        <f t="shared" ca="1" si="3772"/>
        <v>15112168.317536948</v>
      </c>
      <c r="K847" s="3463">
        <f t="shared" ca="1" si="3772"/>
        <v>22435291.031280398</v>
      </c>
      <c r="L847" s="3462">
        <f t="shared" ref="L847:U847" si="3773">L835+L818+L784+L767+L750+L733+L716+L699+L682+L665+L648+L631+L614+L597+L580+L563+L546+L529+L512+L495+L478+L461+L444+L427+L410+L393+L376+L359+L342+L325+L308+L291+L274+L257+L240+L223+L206+L189+L172+L155+L138+L121+L104+L87+L70+L53+L36</f>
        <v>14351668.09</v>
      </c>
      <c r="M847" s="3463">
        <f t="shared" si="3773"/>
        <v>20434771.350000001</v>
      </c>
      <c r="N847" s="3463">
        <f t="shared" si="3773"/>
        <v>20366425.780000001</v>
      </c>
      <c r="O847" s="3463">
        <f t="shared" si="3773"/>
        <v>17016378.282537036</v>
      </c>
      <c r="P847" s="3463">
        <f t="shared" si="3773"/>
        <v>27975256.47154529</v>
      </c>
      <c r="Q847" s="3462">
        <f t="shared" si="3773"/>
        <v>32169894.880424973</v>
      </c>
      <c r="R847" s="3463">
        <f t="shared" si="3773"/>
        <v>29614783.585506197</v>
      </c>
      <c r="S847" s="3463">
        <f t="shared" si="3773"/>
        <v>31349671.938766114</v>
      </c>
      <c r="T847" s="3463">
        <f t="shared" si="3773"/>
        <v>22676763.328368049</v>
      </c>
      <c r="U847" s="3464">
        <f t="shared" si="3773"/>
        <v>21546279.734300584</v>
      </c>
      <c r="W847" s="3462">
        <f t="shared" ref="W847:AA847" si="3774">W835+W818+W784+W767+W750+W733+W716+W699+W682+W665+W648+W631+W614+W597+W580+W563+W546+W529+W512+W495+W478+W461+W444+W427+W410+W393+W376+W359+W342+W325+W308+W291+W274+W257+W240+W223+W206+W189+W172+W155+W138+W121+W104+W87+W70+W53+W36</f>
        <v>14328943.634734375</v>
      </c>
      <c r="X847" s="3463">
        <f t="shared" si="3774"/>
        <v>14655045.471958956</v>
      </c>
      <c r="Y847" s="3463">
        <f t="shared" si="3774"/>
        <v>14988568.819865137</v>
      </c>
      <c r="Z847" s="3463">
        <f t="shared" si="3774"/>
        <v>15329682.579129057</v>
      </c>
      <c r="AA847" s="3464">
        <f t="shared" si="3774"/>
        <v>15678559.494312506</v>
      </c>
      <c r="AB847" s="1071"/>
      <c r="AC847" s="3462">
        <f t="shared" ref="AC847:AG847" si="3775">AC835+AC818+AC784+AC767+AC750+AC733+AC716+AC699+AC682+AC665+AC648+AC631+AC614+AC597+AC580+AC563+AC546+AC529+AC512+AC495+AC478+AC461+AC444+AC427+AC410+AC393+AC376+AC359+AC342+AC325+AC308+AC291+AC274+AC257+AC240+AC223+AC206+AC189+AC172+AC155+AC138+AC121+AC104+AC87+AC70+AC53+AC36</f>
        <v>23848.51947368501</v>
      </c>
      <c r="AD847" s="3463">
        <f t="shared" si="3775"/>
        <v>24832.702834806973</v>
      </c>
      <c r="AE847" s="3463">
        <f t="shared" si="3775"/>
        <v>27814.786876222093</v>
      </c>
      <c r="AF847" s="3463">
        <f t="shared" si="3775"/>
        <v>23626.983817948683</v>
      </c>
      <c r="AG847" s="3464">
        <f t="shared" si="3775"/>
        <v>15151.102068286762</v>
      </c>
      <c r="AH847" s="1072">
        <f t="shared" ref="AH847" ca="1" si="3776">SUM(AH845:AH846)</f>
        <v>0</v>
      </c>
      <c r="AI847" s="130"/>
      <c r="AJ847"/>
      <c r="AK847" s="130"/>
      <c r="AL847" s="1099">
        <f ca="1">SUM(AL845:AL846)</f>
        <v>0</v>
      </c>
      <c r="AM847" s="1100">
        <f ca="1">SUM(AM845:AM846)</f>
        <v>0</v>
      </c>
      <c r="AN847" s="1100">
        <f ca="1">SUMIF($F$73:$AH$838,"Gross total expenditure (incl. escalation)",AO73:AO838)</f>
        <v>0</v>
      </c>
      <c r="AO847" s="1100">
        <f ca="1">SUMIF($F$73:$AH$838,"Gross total expenditure (incl. escalation)",AP73:AP838)</f>
        <v>0</v>
      </c>
      <c r="AP847" s="1101">
        <f ca="1">SUMIF($F$73:$AH$838,"Gross total expenditure (incl. escalation)",AQ73:AQ838)</f>
        <v>0</v>
      </c>
      <c r="AQ847" s="1102">
        <f ca="1">SUMIF($F$73:$AH$838,"Gross total expenditure (incl. escalation)",AR73:AR838)</f>
        <v>0</v>
      </c>
      <c r="AR847" s="1069">
        <f ca="1">SUMIF($F$73:$AH$838,"Gross total expenditure (incl. escalation)",AR73:AR838)</f>
        <v>0</v>
      </c>
      <c r="AS847" s="1070"/>
      <c r="AT847" s="130"/>
      <c r="AU847" s="130"/>
      <c r="AV847" s="130"/>
      <c r="AW847" s="130"/>
      <c r="AX847" s="130"/>
      <c r="AY847" s="130"/>
      <c r="AZ847" s="130"/>
      <c r="BA847" s="130"/>
      <c r="BB847" s="130"/>
      <c r="BC847" s="130"/>
      <c r="BD847" s="130"/>
      <c r="BE847" s="130"/>
      <c r="BF847" s="130"/>
      <c r="BG847" s="130"/>
      <c r="BH847" s="130"/>
      <c r="BI847" s="130"/>
      <c r="BJ847" s="130"/>
      <c r="BK847" s="130"/>
      <c r="BL847" s="130"/>
      <c r="BM847" s="130"/>
      <c r="BN847" s="130"/>
      <c r="BO847" s="130"/>
      <c r="BP847" s="130"/>
      <c r="BQ847" s="130"/>
      <c r="BR847" s="130"/>
    </row>
    <row r="848" spans="5:71">
      <c r="E848" s="4105"/>
      <c r="F848" s="1406" t="s">
        <v>35</v>
      </c>
      <c r="G848" s="374">
        <f t="shared" ref="G848:K848" ca="1" si="3777">SUMIF($F$73:$AH$838,"Less customer contributions",H73:H838)</f>
        <v>0</v>
      </c>
      <c r="H848" s="375">
        <f t="shared" ca="1" si="3777"/>
        <v>0</v>
      </c>
      <c r="I848" s="375">
        <f t="shared" ca="1" si="3777"/>
        <v>0</v>
      </c>
      <c r="J848" s="375">
        <f t="shared" ca="1" si="3777"/>
        <v>0</v>
      </c>
      <c r="K848" s="375">
        <f t="shared" ca="1" si="3777"/>
        <v>0</v>
      </c>
      <c r="L848" s="374">
        <f t="shared" ref="L848:U848" si="3778">L836+L819+L785+L768+L751+L734+L717+L700+L683+L666+L649+L632+L615+L598+L581+L564+L547+L530+L513+L496+L479+L462+L445+L428+L411+L394+L377+L360+L343+L326+L309+L292+L275+L258+L241+L224+L207+L190+L173+L156+L139+L122+L105+L88+L71+L54+L37</f>
        <v>0</v>
      </c>
      <c r="M848" s="375">
        <f t="shared" si="3778"/>
        <v>0</v>
      </c>
      <c r="N848" s="375">
        <f t="shared" si="3778"/>
        <v>0</v>
      </c>
      <c r="O848" s="375">
        <f t="shared" si="3778"/>
        <v>0</v>
      </c>
      <c r="P848" s="375">
        <f t="shared" si="3778"/>
        <v>0</v>
      </c>
      <c r="Q848" s="374">
        <f t="shared" si="3778"/>
        <v>0</v>
      </c>
      <c r="R848" s="375">
        <f t="shared" si="3778"/>
        <v>0</v>
      </c>
      <c r="S848" s="375">
        <f t="shared" si="3778"/>
        <v>0</v>
      </c>
      <c r="T848" s="375">
        <f t="shared" si="3778"/>
        <v>0</v>
      </c>
      <c r="U848" s="1017">
        <f t="shared" si="3778"/>
        <v>0</v>
      </c>
      <c r="W848" s="374">
        <f t="shared" ref="W848:AA848" si="3779">W836+W819+W785+W768+W751+W734+W717+W700+W683+W666+W649+W632+W615+W598+W581+W564+W547+W530+W513+W496+W479+W462+W445+W428+W411+W394+W377+W360+W343+W326+W309+W292+W275+W258+W241+W224+W207+W190+W173+W156+W139+W122+W105+W88+W71+W54+W37</f>
        <v>0</v>
      </c>
      <c r="X848" s="375">
        <f t="shared" si="3779"/>
        <v>0</v>
      </c>
      <c r="Y848" s="375">
        <f t="shared" si="3779"/>
        <v>0</v>
      </c>
      <c r="Z848" s="375">
        <f t="shared" si="3779"/>
        <v>0</v>
      </c>
      <c r="AA848" s="1017">
        <f t="shared" si="3779"/>
        <v>0</v>
      </c>
      <c r="AB848" s="1041">
        <f t="shared" ref="AB848:AH848" ca="1" si="3780">SUMIF($F$73:$AH$838,"Less customer contributions",AB73:AB838)</f>
        <v>0</v>
      </c>
      <c r="AC848" s="374">
        <f t="shared" ref="AC848:AG848" si="3781">AC836+AC819+AC785+AC768+AC751+AC734+AC717+AC700+AC683+AC666+AC649+AC632+AC615+AC598+AC581+AC564+AC547+AC530+AC513+AC496+AC479+AC462+AC445+AC428+AC411+AC394+AC377+AC360+AC343+AC326+AC309+AC292+AC275+AC258+AC241+AC224+AC207+AC190+AC173+AC156+AC139+AC122+AC105+AC88+AC71+AC54+AC37</f>
        <v>0</v>
      </c>
      <c r="AD848" s="375">
        <f t="shared" si="3781"/>
        <v>0</v>
      </c>
      <c r="AE848" s="375">
        <f t="shared" si="3781"/>
        <v>0</v>
      </c>
      <c r="AF848" s="375">
        <f t="shared" si="3781"/>
        <v>0</v>
      </c>
      <c r="AG848" s="1017">
        <f t="shared" si="3781"/>
        <v>0</v>
      </c>
      <c r="AH848" s="1042">
        <f t="shared" ca="1" si="3780"/>
        <v>0</v>
      </c>
      <c r="AI848" s="106"/>
      <c r="AJ848"/>
      <c r="AL848" s="1037">
        <f t="shared" ref="AL848:AQ848" ca="1" si="3782">SUMIF($F$73:$AH$838,"Less customer contributions",AM73:AM838)</f>
        <v>0</v>
      </c>
      <c r="AM848" s="401">
        <f t="shared" ca="1" si="3782"/>
        <v>0</v>
      </c>
      <c r="AN848" s="401">
        <f t="shared" ca="1" si="3782"/>
        <v>0</v>
      </c>
      <c r="AO848" s="401">
        <f t="shared" ca="1" si="3782"/>
        <v>0</v>
      </c>
      <c r="AP848" s="1038">
        <f t="shared" ca="1" si="3782"/>
        <v>0</v>
      </c>
      <c r="AQ848" s="1040">
        <f t="shared" ca="1" si="3782"/>
        <v>0</v>
      </c>
      <c r="AR848" s="479">
        <f ca="1">SUMIF($F$73:$AH$838,"Less customer contributions",AR73:AR838)</f>
        <v>0</v>
      </c>
      <c r="AS848" s="425"/>
    </row>
    <row r="849" spans="1:70" ht="24" customHeight="1" thickBot="1">
      <c r="E849" s="4106"/>
      <c r="F849" s="1407" t="s">
        <v>585</v>
      </c>
      <c r="G849" s="3465">
        <f ca="1">G847-G848</f>
        <v>10224150.096668929</v>
      </c>
      <c r="H849" s="3466">
        <f ca="1">H847-H848</f>
        <v>9692988.4001614098</v>
      </c>
      <c r="I849" s="3466">
        <f t="shared" ref="I849:K849" ca="1" si="3783">I847-I848</f>
        <v>13017754.005087897</v>
      </c>
      <c r="J849" s="3466">
        <f t="shared" ca="1" si="3783"/>
        <v>15112168.317536948</v>
      </c>
      <c r="K849" s="3466">
        <f t="shared" ca="1" si="3783"/>
        <v>22435291.031280398</v>
      </c>
      <c r="L849" s="3465">
        <f>L837+L820+L786+L769+L752+L735+L718+L701+L684+L667+L650+L633+L616+L599+L582+L565+L548+L531+L514+L497+L480+L463+L446+L429+L412+L395+L378+L361+L344+L327+L310+L293+L276+L259+L242+L225+L208+L191+L174+L157+L140+L123+L106+L89+L72+L55+L38</f>
        <v>14351668.09</v>
      </c>
      <c r="M849" s="3466">
        <f t="shared" ref="M849:U849" si="3784">M837+M820+M786+M769+M752+M735+M718+M701+M684+M667+M650+M633+M616+M599+M582+M565+M548+M531+M514+M497+M480+M463+M446+M429+M412+M395+M378+M361+M344+M327+M310+M293+M276+M259+M242+M225+M208+M191+M174+M157+M140+M123+M106+M89+M72+M55+M38</f>
        <v>20434771.350000001</v>
      </c>
      <c r="N849" s="3466">
        <f t="shared" si="3784"/>
        <v>20366425.780000001</v>
      </c>
      <c r="O849" s="3466">
        <f t="shared" si="3784"/>
        <v>17016378.282537036</v>
      </c>
      <c r="P849" s="3466">
        <f t="shared" si="3784"/>
        <v>27975256.47154529</v>
      </c>
      <c r="Q849" s="3465">
        <f t="shared" si="3784"/>
        <v>32169894.880424973</v>
      </c>
      <c r="R849" s="3466">
        <f t="shared" si="3784"/>
        <v>29614783.585506197</v>
      </c>
      <c r="S849" s="3466">
        <f t="shared" si="3784"/>
        <v>31349671.938766114</v>
      </c>
      <c r="T849" s="3466">
        <f t="shared" si="3784"/>
        <v>22676763.328368049</v>
      </c>
      <c r="U849" s="3467">
        <f t="shared" si="3784"/>
        <v>21546279.734300584</v>
      </c>
      <c r="W849" s="3465">
        <f t="shared" ref="W849:AA849" si="3785">W837+W820+W786+W769+W752+W735+W718+W701+W684+W667+W650+W633+W616+W599+W582+W565+W548+W531+W514+W497+W480+W463+W446+W429+W412+W395+W378+W361+W344+W327+W310+W293+W276+W259+W242+W225+W208+W191+W174+W157+W140+W123+W106+W89+W72+W55+W38</f>
        <v>14328943.634734375</v>
      </c>
      <c r="X849" s="3466">
        <f t="shared" si="3785"/>
        <v>14655045.471958956</v>
      </c>
      <c r="Y849" s="3466">
        <f t="shared" si="3785"/>
        <v>14988568.819865137</v>
      </c>
      <c r="Z849" s="3466">
        <f t="shared" si="3785"/>
        <v>15329682.579129057</v>
      </c>
      <c r="AA849" s="3467">
        <f t="shared" si="3785"/>
        <v>15678559.494312506</v>
      </c>
      <c r="AB849" s="1075">
        <f t="shared" ref="AB849:AH849" ca="1" si="3786">SUMIF($F$73:$AH$838,"Net total expenditure (incl. escalation)",AB73:AB838)</f>
        <v>0</v>
      </c>
      <c r="AC849" s="3465">
        <f t="shared" ref="AC849:AG849" si="3787">AC837+AC820+AC786+AC769+AC752+AC735+AC718+AC701+AC684+AC667+AC650+AC633+AC616+AC599+AC582+AC565+AC548+AC531+AC514+AC497+AC480+AC463+AC446+AC429+AC412+AC395+AC378+AC361+AC344+AC327+AC310+AC293+AC276+AC259+AC242+AC225+AC208+AC191+AC174+AC157+AC140+AC123+AC106+AC89+AC72+AC55+AC38</f>
        <v>23848.51947368501</v>
      </c>
      <c r="AD849" s="3466">
        <f t="shared" si="3787"/>
        <v>24832.702834806973</v>
      </c>
      <c r="AE849" s="3466">
        <f t="shared" si="3787"/>
        <v>27814.786876222093</v>
      </c>
      <c r="AF849" s="3466">
        <f t="shared" si="3787"/>
        <v>23626.983817948683</v>
      </c>
      <c r="AG849" s="3467">
        <f t="shared" si="3787"/>
        <v>15151.102068286762</v>
      </c>
      <c r="AH849" s="1076">
        <f t="shared" ca="1" si="3786"/>
        <v>0</v>
      </c>
      <c r="AI849" s="106"/>
      <c r="AJ849"/>
      <c r="AL849" s="1103">
        <f ca="1">AL847-AL848</f>
        <v>0</v>
      </c>
      <c r="AM849" s="1104">
        <f ca="1">AM847-AM848</f>
        <v>0</v>
      </c>
      <c r="AN849" s="1104">
        <f ca="1">SUMIF($F$73:$AH$838,"Net total expenditure (incl. escalation)",AO73:AO838)</f>
        <v>0</v>
      </c>
      <c r="AO849" s="1104">
        <f ca="1">SUMIF($F$73:$AH$838,"Net total expenditure (incl. escalation)",AP73:AP838)</f>
        <v>0</v>
      </c>
      <c r="AP849" s="1105">
        <f ca="1">SUMIF($F$73:$AH$838,"Net total expenditure (incl. escalation)",AQ73:AQ838)</f>
        <v>0</v>
      </c>
      <c r="AQ849" s="1106">
        <f ca="1">SUMIF($F$73:$AH$838,"Net total expenditure (incl. escalation)",AR73:AR838)</f>
        <v>0</v>
      </c>
      <c r="AR849" s="1073">
        <f ca="1">SUMIF($F$73:$AH$838,"Net total expenditure (incl. escalation)",AR73:AR838)</f>
        <v>0</v>
      </c>
      <c r="AS849" s="1074"/>
    </row>
    <row r="850" spans="1:70" s="69" customFormat="1" ht="45.75" customHeight="1" thickBot="1">
      <c r="A850" s="75"/>
      <c r="B850" s="75"/>
      <c r="C850" s="75"/>
      <c r="D850" s="75"/>
      <c r="E850" s="1383" t="s">
        <v>121</v>
      </c>
      <c r="F850" s="263"/>
      <c r="G850" s="4085" t="s">
        <v>1566</v>
      </c>
      <c r="H850" s="4086"/>
      <c r="I850" s="4086"/>
      <c r="J850" s="264"/>
      <c r="K850" s="264"/>
      <c r="L850" s="4126" t="s">
        <v>1566</v>
      </c>
      <c r="M850" s="4086"/>
      <c r="N850" s="4086"/>
      <c r="O850" s="4086" t="s">
        <v>1786</v>
      </c>
      <c r="P850" s="4086"/>
      <c r="Q850" s="4086"/>
      <c r="R850" s="4086"/>
      <c r="S850" s="4086"/>
      <c r="T850" s="4086"/>
      <c r="U850" s="4125"/>
      <c r="V850" s="449"/>
      <c r="W850" s="3982" t="s">
        <v>1787</v>
      </c>
      <c r="X850" s="3980"/>
      <c r="Y850" s="3980"/>
      <c r="Z850" s="3980"/>
      <c r="AA850" s="3980"/>
      <c r="AB850" s="3631"/>
      <c r="AC850" s="3983" t="s">
        <v>1788</v>
      </c>
      <c r="AD850" s="3983"/>
      <c r="AE850" s="3983"/>
      <c r="AF850" s="3983"/>
      <c r="AG850" s="3983"/>
      <c r="AH850" s="3984"/>
      <c r="AI850" s="65"/>
      <c r="AJ850" s="74"/>
      <c r="AK850" s="74"/>
      <c r="AL850" s="1663"/>
      <c r="AM850" s="1644"/>
      <c r="AN850" s="1644"/>
      <c r="AO850" s="1644"/>
      <c r="AP850" s="1644"/>
      <c r="AQ850" s="1644"/>
      <c r="AR850" s="1644"/>
      <c r="AS850" s="1647"/>
      <c r="AT850" s="74"/>
      <c r="AU850" s="74"/>
      <c r="AV850" s="74"/>
      <c r="AW850" s="74"/>
      <c r="AX850" s="74"/>
      <c r="AY850" s="74"/>
      <c r="AZ850" s="74"/>
      <c r="BA850" s="74"/>
      <c r="BB850" s="74"/>
      <c r="BC850" s="74"/>
      <c r="BD850" s="74"/>
      <c r="BE850" s="74"/>
      <c r="BF850" s="74"/>
      <c r="BG850" s="74"/>
      <c r="BH850" s="74"/>
      <c r="BI850" s="74"/>
      <c r="BJ850" s="74"/>
      <c r="BK850" s="74"/>
      <c r="BL850" s="74"/>
      <c r="BM850" s="74"/>
      <c r="BN850" s="74"/>
      <c r="BO850" s="74"/>
      <c r="BP850" s="74"/>
      <c r="BQ850" s="74"/>
      <c r="BR850" s="74"/>
    </row>
    <row r="851" spans="1:70" s="90" customFormat="1" ht="27.75" customHeight="1" thickBot="1">
      <c r="F851" s="89"/>
      <c r="G851" s="89"/>
      <c r="H851" s="89"/>
      <c r="I851" s="89"/>
      <c r="J851" s="89"/>
      <c r="K851" s="23"/>
      <c r="L851" s="23"/>
      <c r="M851" s="23"/>
      <c r="N851" s="23"/>
      <c r="O851" s="23"/>
      <c r="P851" s="23"/>
      <c r="Q851" s="23"/>
      <c r="R851" s="23"/>
      <c r="S851" s="23"/>
      <c r="T851" s="23"/>
      <c r="U851" s="23"/>
      <c r="V851"/>
      <c r="W851" s="23"/>
      <c r="X851" s="23"/>
      <c r="Y851" s="23"/>
      <c r="Z851" s="23"/>
      <c r="AA851" s="23"/>
      <c r="AB851" s="398"/>
      <c r="AC851" s="23"/>
      <c r="AD851" s="23"/>
      <c r="AE851" s="23"/>
      <c r="AF851" s="23"/>
      <c r="AG851" s="23"/>
      <c r="AH851" s="400"/>
      <c r="AI851"/>
      <c r="AJ851" s="106"/>
      <c r="AK851" s="106"/>
      <c r="AL851" s="89"/>
      <c r="AM851" s="89"/>
      <c r="AN851" s="89"/>
      <c r="AO851" s="89"/>
      <c r="AP851" s="23"/>
      <c r="AQ851" s="23"/>
      <c r="AR851" s="23"/>
      <c r="AS851" s="23"/>
      <c r="AT851" s="106"/>
      <c r="AU851" s="106"/>
      <c r="AV851" s="106"/>
      <c r="AW851" s="106"/>
      <c r="AX851" s="106"/>
      <c r="AY851" s="106"/>
      <c r="AZ851" s="106"/>
      <c r="BA851" s="106"/>
      <c r="BB851" s="106"/>
      <c r="BC851" s="106"/>
      <c r="BD851" s="106"/>
      <c r="BE851" s="106"/>
      <c r="BF851" s="106"/>
      <c r="BG851" s="106"/>
      <c r="BH851" s="106"/>
      <c r="BI851" s="106"/>
      <c r="BJ851" s="106"/>
      <c r="BK851" s="106"/>
      <c r="BL851" s="106"/>
      <c r="BM851" s="106"/>
      <c r="BN851" s="106"/>
      <c r="BO851" s="106"/>
      <c r="BP851" s="106"/>
      <c r="BQ851" s="106"/>
      <c r="BR851" s="106"/>
    </row>
    <row r="852" spans="1:70" s="65" customFormat="1" ht="28.5" customHeight="1" thickBot="1">
      <c r="E852" s="252" t="s">
        <v>431</v>
      </c>
      <c r="F852" s="271"/>
      <c r="G852" s="271"/>
      <c r="H852" s="271"/>
      <c r="I852" s="271"/>
      <c r="J852" s="271"/>
      <c r="K852" s="271"/>
      <c r="L852" s="271"/>
      <c r="M852" s="271"/>
      <c r="N852" s="271"/>
      <c r="O852" s="271"/>
      <c r="P852" s="271"/>
      <c r="Q852" s="271"/>
      <c r="R852" s="271"/>
      <c r="S852" s="271"/>
      <c r="T852" s="271"/>
      <c r="U852" s="272"/>
      <c r="V852" s="449"/>
      <c r="W852" s="271"/>
      <c r="X852" s="271"/>
      <c r="Y852" s="271"/>
      <c r="Z852" s="271"/>
      <c r="AA852" s="271"/>
      <c r="AB852" s="271"/>
      <c r="AC852" s="271"/>
      <c r="AD852" s="271"/>
      <c r="AE852" s="271"/>
      <c r="AF852" s="271"/>
      <c r="AG852" s="271"/>
      <c r="AH852" s="272"/>
      <c r="AL852" s="1661"/>
      <c r="AM852" s="271"/>
      <c r="AN852" s="271"/>
      <c r="AO852" s="271"/>
      <c r="AP852" s="271"/>
      <c r="AQ852" s="271"/>
      <c r="AR852" s="271"/>
      <c r="AS852" s="272"/>
    </row>
    <row r="853" spans="1:70" s="65" customFormat="1" ht="18">
      <c r="E853" s="4114"/>
      <c r="F853" s="4115"/>
      <c r="G853" s="4120" t="s">
        <v>36</v>
      </c>
      <c r="H853" s="3997"/>
      <c r="I853" s="3997"/>
      <c r="J853" s="3997"/>
      <c r="K853" s="3997"/>
      <c r="L853" s="4088" t="s">
        <v>37</v>
      </c>
      <c r="M853" s="4075"/>
      <c r="N853" s="4075"/>
      <c r="O853" s="4075"/>
      <c r="P853" s="4075"/>
      <c r="Q853" s="4129" t="s">
        <v>73</v>
      </c>
      <c r="R853" s="4129"/>
      <c r="S853" s="4129"/>
      <c r="T853" s="4129"/>
      <c r="U853" s="4130"/>
      <c r="V853" s="188"/>
      <c r="W853" s="4120" t="s">
        <v>36</v>
      </c>
      <c r="X853" s="4127"/>
      <c r="Y853" s="4127"/>
      <c r="Z853" s="4127"/>
      <c r="AA853" s="4127"/>
      <c r="AB853" s="4128"/>
      <c r="AC853" s="4074" t="s">
        <v>37</v>
      </c>
      <c r="AD853" s="4100"/>
      <c r="AE853" s="4100"/>
      <c r="AF853" s="4100"/>
      <c r="AG853" s="4100"/>
      <c r="AH853" s="4101"/>
      <c r="AL853" s="4087" t="s">
        <v>36</v>
      </c>
      <c r="AM853" s="3997"/>
      <c r="AN853" s="3997"/>
      <c r="AO853" s="3997"/>
      <c r="AP853" s="3997"/>
      <c r="AQ853" s="4088" t="s">
        <v>37</v>
      </c>
      <c r="AR853" s="4075"/>
      <c r="AS853" s="4082"/>
    </row>
    <row r="854" spans="1:70" s="65" customFormat="1" ht="15" customHeight="1">
      <c r="E854" s="4116"/>
      <c r="F854" s="4117"/>
      <c r="G854" s="3985" t="s">
        <v>543</v>
      </c>
      <c r="H854" s="3986"/>
      <c r="I854" s="3986"/>
      <c r="J854" s="3986"/>
      <c r="K854" s="3986"/>
      <c r="L854" s="3986"/>
      <c r="M854" s="3986"/>
      <c r="N854" s="3987"/>
      <c r="O854" s="3988" t="str">
        <f>CONCATENATE("$0's, real ",dms_DollarReal)</f>
        <v>$0's, real December 2017</v>
      </c>
      <c r="P854" s="3989"/>
      <c r="Q854" s="3989"/>
      <c r="R854" s="3989"/>
      <c r="S854" s="3989"/>
      <c r="T854" s="3989"/>
      <c r="U854" s="3990"/>
      <c r="V854" s="188"/>
      <c r="W854" s="3991" t="str">
        <f>CONCATENATE("$0's, real ",dms_DollarReal)</f>
        <v>$0's, real December 2017</v>
      </c>
      <c r="X854" s="3992"/>
      <c r="Y854" s="3992"/>
      <c r="Z854" s="3992"/>
      <c r="AA854" s="3992"/>
      <c r="AB854" s="405" t="s">
        <v>114</v>
      </c>
      <c r="AC854" s="3993" t="str">
        <f>CONCATENATE("$0's, real ",dms_DollarReal)</f>
        <v>$0's, real December 2017</v>
      </c>
      <c r="AD854" s="3993"/>
      <c r="AE854" s="3993"/>
      <c r="AF854" s="3993"/>
      <c r="AG854" s="3993"/>
      <c r="AH854" s="404" t="s">
        <v>114</v>
      </c>
      <c r="AL854" s="3985" t="str">
        <f>CONCATENATE("$0's, real ",dms_DollarReal)</f>
        <v>$0's, real December 2017</v>
      </c>
      <c r="AM854" s="3986"/>
      <c r="AN854" s="3986"/>
      <c r="AO854" s="3986"/>
      <c r="AP854" s="3986"/>
      <c r="AQ854" s="3986"/>
      <c r="AR854" s="3986"/>
      <c r="AS854" s="4030"/>
    </row>
    <row r="855" spans="1:70" s="65" customFormat="1" ht="25.5">
      <c r="E855" s="4116"/>
      <c r="F855" s="4117"/>
      <c r="G855" s="3985" t="s">
        <v>54</v>
      </c>
      <c r="H855" s="3986"/>
      <c r="I855" s="3986"/>
      <c r="J855" s="3986"/>
      <c r="K855" s="3986"/>
      <c r="L855" s="3986"/>
      <c r="M855" s="3986"/>
      <c r="N855" s="3987"/>
      <c r="O855" s="3988" t="s">
        <v>55</v>
      </c>
      <c r="P855" s="3989"/>
      <c r="Q855" s="3989"/>
      <c r="R855" s="3989"/>
      <c r="S855" s="3989"/>
      <c r="T855" s="3989"/>
      <c r="U855" s="3990"/>
      <c r="V855" s="188"/>
      <c r="W855" s="3991" t="s">
        <v>74</v>
      </c>
      <c r="X855" s="3992"/>
      <c r="Y855" s="3992"/>
      <c r="Z855" s="3992"/>
      <c r="AA855" s="3992"/>
      <c r="AB855" s="352" t="s">
        <v>113</v>
      </c>
      <c r="AC855" s="3993" t="s">
        <v>74</v>
      </c>
      <c r="AD855" s="3993"/>
      <c r="AE855" s="3993"/>
      <c r="AF855" s="3993"/>
      <c r="AG855" s="3993"/>
      <c r="AH855" s="352" t="s">
        <v>113</v>
      </c>
      <c r="AL855" s="3985" t="s">
        <v>54</v>
      </c>
      <c r="AM855" s="3986"/>
      <c r="AN855" s="3986"/>
      <c r="AO855" s="3986"/>
      <c r="AP855" s="3986"/>
      <c r="AQ855" s="3986"/>
      <c r="AR855" s="3986"/>
      <c r="AS855" s="4030"/>
    </row>
    <row r="856" spans="1:70" s="65" customFormat="1" ht="15.75" thickBot="1">
      <c r="E856" s="4118"/>
      <c r="F856" s="4119"/>
      <c r="G856" s="343">
        <f t="array" ref="G856:K856">PRCP</f>
        <v>2008</v>
      </c>
      <c r="H856" s="342">
        <v>2009</v>
      </c>
      <c r="I856" s="342">
        <v>2010</v>
      </c>
      <c r="J856" s="342">
        <v>2011</v>
      </c>
      <c r="K856" s="342">
        <v>2012</v>
      </c>
      <c r="L856" s="344">
        <f>CRCP_y1</f>
        <v>2013</v>
      </c>
      <c r="M856" s="344">
        <f>CRCP_y2</f>
        <v>2014</v>
      </c>
      <c r="N856" s="344">
        <f>CRCP_y3</f>
        <v>2015</v>
      </c>
      <c r="O856" s="344">
        <f>CRCP_y4</f>
        <v>2016</v>
      </c>
      <c r="P856" s="344">
        <f>CRCP_y5</f>
        <v>2017</v>
      </c>
      <c r="Q856" s="342" t="str">
        <f t="array" ref="Q856:U856">FRCP</f>
        <v>2018</v>
      </c>
      <c r="R856" s="342">
        <v>2019</v>
      </c>
      <c r="S856" s="342">
        <v>2020</v>
      </c>
      <c r="T856" s="342">
        <v>2021</v>
      </c>
      <c r="U856" s="443">
        <v>2022</v>
      </c>
      <c r="W856" s="343">
        <f t="array" ref="W856:AA856">PRCP</f>
        <v>2008</v>
      </c>
      <c r="X856" s="342">
        <v>2009</v>
      </c>
      <c r="Y856" s="342">
        <v>2010</v>
      </c>
      <c r="Z856" s="342">
        <v>2011</v>
      </c>
      <c r="AA856" s="342">
        <v>2012</v>
      </c>
      <c r="AB856" s="750" t="s">
        <v>112</v>
      </c>
      <c r="AC856" s="344">
        <f>CRCP_y1</f>
        <v>2013</v>
      </c>
      <c r="AD856" s="344">
        <f>CRCP_y2</f>
        <v>2014</v>
      </c>
      <c r="AE856" s="344">
        <f>CRCP_y3</f>
        <v>2015</v>
      </c>
      <c r="AF856" s="344">
        <f>CRCP_y4</f>
        <v>2016</v>
      </c>
      <c r="AG856" s="344">
        <f>CRCP_y5</f>
        <v>2017</v>
      </c>
      <c r="AH856" s="750" t="s">
        <v>112</v>
      </c>
      <c r="AL856" s="1438">
        <f t="array" ref="AL856:AP856">PRCP</f>
        <v>2008</v>
      </c>
      <c r="AM856" s="342">
        <v>2009</v>
      </c>
      <c r="AN856" s="342">
        <v>2010</v>
      </c>
      <c r="AO856" s="342">
        <v>2011</v>
      </c>
      <c r="AP856" s="342">
        <v>2012</v>
      </c>
      <c r="AQ856" s="344">
        <f>CRCP_y1</f>
        <v>2013</v>
      </c>
      <c r="AR856" s="344">
        <f>CRCP_y2</f>
        <v>2014</v>
      </c>
      <c r="AS856" s="542">
        <f>CRCP_y3</f>
        <v>2015</v>
      </c>
    </row>
    <row r="857" spans="1:70">
      <c r="E857" s="4121" t="s">
        <v>338</v>
      </c>
      <c r="F857" s="433" t="s">
        <v>111</v>
      </c>
      <c r="G857" s="1107"/>
      <c r="H857" s="428"/>
      <c r="I857" s="428"/>
      <c r="J857" s="428"/>
      <c r="K857" s="1108"/>
      <c r="L857" s="1112">
        <v>889</v>
      </c>
      <c r="M857" s="1113">
        <v>482</v>
      </c>
      <c r="N857" s="1113">
        <v>181</v>
      </c>
      <c r="O857" s="1113">
        <v>517</v>
      </c>
      <c r="P857" s="1114">
        <v>1400</v>
      </c>
      <c r="Q857" s="423">
        <v>1280</v>
      </c>
      <c r="R857" s="420">
        <v>1280</v>
      </c>
      <c r="S857" s="420">
        <v>1280</v>
      </c>
      <c r="T857" s="420">
        <v>1280</v>
      </c>
      <c r="U857" s="451">
        <v>1280</v>
      </c>
      <c r="V857" s="1130"/>
      <c r="W857" s="1112"/>
      <c r="X857" s="1113"/>
      <c r="Y857" s="1113"/>
      <c r="Z857" s="1113"/>
      <c r="AA857" s="1114"/>
      <c r="AB857" s="1131"/>
      <c r="AC857" s="1112"/>
      <c r="AD857" s="1113"/>
      <c r="AE857" s="1113"/>
      <c r="AF857" s="1113"/>
      <c r="AG857" s="1113"/>
      <c r="AH857" s="1136"/>
      <c r="AI857" s="400"/>
      <c r="AJ857"/>
      <c r="AL857" s="1664"/>
      <c r="AM857" s="1665"/>
      <c r="AN857" s="1665"/>
      <c r="AO857" s="1665"/>
      <c r="AP857" s="1666"/>
      <c r="AQ857" s="1667"/>
      <c r="AR857" s="1668"/>
      <c r="AS857" s="1669"/>
    </row>
    <row r="858" spans="1:70">
      <c r="E858" s="4122"/>
      <c r="F858" s="432" t="s">
        <v>598</v>
      </c>
      <c r="G858" s="441"/>
      <c r="H858" s="414"/>
      <c r="I858" s="414"/>
      <c r="J858" s="414"/>
      <c r="K858" s="452"/>
      <c r="L858" s="1115"/>
      <c r="M858" s="1116"/>
      <c r="N858" s="1116"/>
      <c r="O858" s="1116"/>
      <c r="P858" s="1117"/>
      <c r="Q858" s="448"/>
      <c r="R858" s="414"/>
      <c r="S858" s="414"/>
      <c r="T858" s="414"/>
      <c r="U858" s="452"/>
      <c r="W858" s="1115"/>
      <c r="X858" s="1116"/>
      <c r="Y858" s="1116"/>
      <c r="Z858" s="1116"/>
      <c r="AA858" s="1117"/>
      <c r="AB858" s="1132"/>
      <c r="AC858" s="1115"/>
      <c r="AD858" s="1116"/>
      <c r="AE858" s="1116"/>
      <c r="AF858" s="1116"/>
      <c r="AG858" s="1116"/>
      <c r="AH858" s="1137"/>
      <c r="AI858" s="400"/>
      <c r="AJ858" s="65"/>
      <c r="AL858" s="441"/>
      <c r="AM858" s="414"/>
      <c r="AN858" s="414"/>
      <c r="AO858" s="414"/>
      <c r="AP858" s="452"/>
      <c r="AQ858" s="1115"/>
      <c r="AR858" s="1116"/>
      <c r="AS858" s="1117"/>
    </row>
    <row r="859" spans="1:70">
      <c r="E859" s="4122"/>
      <c r="F859" s="431" t="s">
        <v>558</v>
      </c>
      <c r="G859" s="427"/>
      <c r="H859" s="397"/>
      <c r="I859" s="397"/>
      <c r="J859" s="397"/>
      <c r="K859" s="1036"/>
      <c r="L859" s="459">
        <v>964695.3984158457</v>
      </c>
      <c r="M859" s="458">
        <v>965670.21114497434</v>
      </c>
      <c r="N859" s="458">
        <v>255202.2</v>
      </c>
      <c r="O859" s="458">
        <v>504923.97279827442</v>
      </c>
      <c r="P859" s="460"/>
      <c r="Q859" s="413"/>
      <c r="R859" s="254"/>
      <c r="S859" s="254"/>
      <c r="T859" s="254"/>
      <c r="U859" s="460"/>
      <c r="W859" s="459"/>
      <c r="X859" s="458"/>
      <c r="Y859" s="458"/>
      <c r="Z859" s="458"/>
      <c r="AA859" s="460"/>
      <c r="AB859" s="1004"/>
      <c r="AC859" s="255"/>
      <c r="AD859" s="458"/>
      <c r="AE859" s="458"/>
      <c r="AF859" s="458"/>
      <c r="AG859" s="458"/>
      <c r="AH859" s="1138"/>
      <c r="AI859" s="400"/>
      <c r="AJ859"/>
      <c r="AL859" s="427"/>
      <c r="AM859" s="397"/>
      <c r="AN859" s="397"/>
      <c r="AO859" s="397"/>
      <c r="AP859" s="1036"/>
      <c r="AQ859" s="462"/>
      <c r="AR859" s="463"/>
      <c r="AS859" s="464"/>
    </row>
    <row r="860" spans="1:70">
      <c r="E860" s="4122"/>
      <c r="F860" s="431" t="s">
        <v>559</v>
      </c>
      <c r="G860" s="427"/>
      <c r="H860" s="397"/>
      <c r="I860" s="397"/>
      <c r="J860" s="397"/>
      <c r="K860" s="1036"/>
      <c r="L860" s="459"/>
      <c r="M860" s="458"/>
      <c r="N860" s="458"/>
      <c r="O860" s="458"/>
      <c r="P860" s="460"/>
      <c r="Q860" s="413"/>
      <c r="R860" s="254"/>
      <c r="S860" s="254"/>
      <c r="T860" s="254"/>
      <c r="U860" s="460"/>
      <c r="W860" s="459"/>
      <c r="X860" s="458"/>
      <c r="Y860" s="458"/>
      <c r="Z860" s="458"/>
      <c r="AA860" s="460"/>
      <c r="AB860" s="1004"/>
      <c r="AC860" s="255"/>
      <c r="AD860" s="458"/>
      <c r="AE860" s="458"/>
      <c r="AF860" s="458"/>
      <c r="AG860" s="458"/>
      <c r="AH860" s="1138"/>
      <c r="AI860" s="400"/>
      <c r="AJ860"/>
      <c r="AL860" s="427"/>
      <c r="AM860" s="397"/>
      <c r="AN860" s="397"/>
      <c r="AO860" s="397"/>
      <c r="AP860" s="1036"/>
      <c r="AQ860" s="462"/>
      <c r="AR860" s="463"/>
      <c r="AS860" s="464"/>
    </row>
    <row r="861" spans="1:70">
      <c r="E861" s="4122"/>
      <c r="F861" s="431" t="s">
        <v>578</v>
      </c>
      <c r="G861" s="427"/>
      <c r="H861" s="397"/>
      <c r="I861" s="397"/>
      <c r="J861" s="397"/>
      <c r="K861" s="1036"/>
      <c r="L861" s="459"/>
      <c r="M861" s="458"/>
      <c r="N861" s="458"/>
      <c r="O861" s="458"/>
      <c r="P861" s="460"/>
      <c r="Q861" s="413"/>
      <c r="R861" s="254"/>
      <c r="S861" s="254"/>
      <c r="T861" s="254"/>
      <c r="U861" s="460"/>
      <c r="W861" s="459"/>
      <c r="X861" s="458"/>
      <c r="Y861" s="458"/>
      <c r="Z861" s="458"/>
      <c r="AA861" s="460"/>
      <c r="AB861" s="1004"/>
      <c r="AC861" s="255"/>
      <c r="AD861" s="458"/>
      <c r="AE861" s="458"/>
      <c r="AF861" s="458"/>
      <c r="AG861" s="458"/>
      <c r="AH861" s="1138"/>
      <c r="AI861" s="400"/>
      <c r="AJ861"/>
      <c r="AL861" s="427"/>
      <c r="AM861" s="397"/>
      <c r="AN861" s="397"/>
      <c r="AO861" s="397"/>
      <c r="AP861" s="1036"/>
      <c r="AQ861" s="462"/>
      <c r="AR861" s="463"/>
      <c r="AS861" s="464"/>
    </row>
    <row r="862" spans="1:70">
      <c r="E862" s="4122"/>
      <c r="F862" s="1377" t="s">
        <v>579</v>
      </c>
      <c r="G862" s="427"/>
      <c r="H862" s="397"/>
      <c r="I862" s="397"/>
      <c r="J862" s="397"/>
      <c r="K862" s="1036"/>
      <c r="L862" s="353">
        <f>SUM(L859:L861)</f>
        <v>964695.3984158457</v>
      </c>
      <c r="M862" s="354">
        <f t="shared" ref="M862:O862" si="3788">SUM(M859:M861)</f>
        <v>965670.21114497434</v>
      </c>
      <c r="N862" s="354">
        <f t="shared" si="3788"/>
        <v>255202.2</v>
      </c>
      <c r="O862" s="354">
        <f t="shared" si="3788"/>
        <v>504923.97279827442</v>
      </c>
      <c r="P862" s="450">
        <v>310154.8369596923</v>
      </c>
      <c r="Q862" s="447">
        <v>305655.66507171193</v>
      </c>
      <c r="R862" s="354">
        <v>307906.40975327056</v>
      </c>
      <c r="S862" s="354">
        <v>310812.17673497595</v>
      </c>
      <c r="T862" s="354">
        <v>314647.16474295221</v>
      </c>
      <c r="U862" s="450">
        <v>318816.55065917177</v>
      </c>
      <c r="W862" s="353">
        <f t="shared" ref="W862:AA862" si="3789">SUM(W859:W861)</f>
        <v>0</v>
      </c>
      <c r="X862" s="354">
        <f t="shared" si="3789"/>
        <v>0</v>
      </c>
      <c r="Y862" s="354">
        <f t="shared" si="3789"/>
        <v>0</v>
      </c>
      <c r="Z862" s="354">
        <f t="shared" si="3789"/>
        <v>0</v>
      </c>
      <c r="AA862" s="450">
        <f t="shared" si="3789"/>
        <v>0</v>
      </c>
      <c r="AB862" s="992"/>
      <c r="AC862" s="258">
        <v>1233.0801741448249</v>
      </c>
      <c r="AD862" s="354">
        <v>1235.1104180998423</v>
      </c>
      <c r="AE862" s="354">
        <v>1240.1525525728507</v>
      </c>
      <c r="AF862" s="354">
        <v>1243.265059944378</v>
      </c>
      <c r="AG862" s="354">
        <v>1250.2932675569741</v>
      </c>
      <c r="AH862" s="995">
        <f>SUM(L862:P862)/SUM(AC862:AG862)-1</f>
        <v>482.82687675895227</v>
      </c>
      <c r="AI862" s="400"/>
      <c r="AJ862"/>
      <c r="AL862" s="427"/>
      <c r="AM862" s="397"/>
      <c r="AN862" s="397"/>
      <c r="AO862" s="397"/>
      <c r="AP862" s="1036"/>
      <c r="AQ862" s="353">
        <f>SUM(AQ859:AQ861)</f>
        <v>0</v>
      </c>
      <c r="AR862" s="354">
        <f t="shared" ref="AR862:AS862" si="3790">SUM(AR859:AR861)</f>
        <v>0</v>
      </c>
      <c r="AS862" s="450">
        <f t="shared" si="3790"/>
        <v>0</v>
      </c>
    </row>
    <row r="863" spans="1:70">
      <c r="E863" s="4122"/>
      <c r="F863" s="1390" t="s">
        <v>583</v>
      </c>
      <c r="G863" s="936"/>
      <c r="H863" s="415"/>
      <c r="I863" s="415"/>
      <c r="J863" s="415"/>
      <c r="K863" s="937"/>
      <c r="L863" s="429"/>
      <c r="M863" s="476"/>
      <c r="N863" s="476"/>
      <c r="O863" s="476"/>
      <c r="P863" s="435"/>
      <c r="Q863" s="413"/>
      <c r="R863" s="254"/>
      <c r="S863" s="254"/>
      <c r="T863" s="254"/>
      <c r="U863" s="460"/>
      <c r="W863" s="459"/>
      <c r="X863" s="458"/>
      <c r="Y863" s="458"/>
      <c r="Z863" s="458"/>
      <c r="AA863" s="460"/>
      <c r="AB863" s="1004"/>
      <c r="AC863" s="1142"/>
      <c r="AD863" s="476"/>
      <c r="AE863" s="476"/>
      <c r="AF863" s="476"/>
      <c r="AG863" s="476"/>
      <c r="AH863" s="1138"/>
      <c r="AI863" s="400"/>
      <c r="AJ863"/>
      <c r="AL863" s="1670"/>
      <c r="AM863" s="1671"/>
      <c r="AN863" s="1671"/>
      <c r="AO863" s="1671"/>
      <c r="AP863" s="1672"/>
      <c r="AQ863" s="511"/>
      <c r="AR863" s="512"/>
      <c r="AS863" s="547"/>
    </row>
    <row r="864" spans="1:70">
      <c r="E864" s="4122"/>
      <c r="F864" s="1380" t="s">
        <v>581</v>
      </c>
      <c r="G864" s="936"/>
      <c r="H864" s="415"/>
      <c r="I864" s="415"/>
      <c r="J864" s="415"/>
      <c r="K864" s="937"/>
      <c r="L864" s="459"/>
      <c r="M864" s="458"/>
      <c r="N864" s="458"/>
      <c r="O864" s="458"/>
      <c r="P864" s="460"/>
      <c r="Q864" s="413"/>
      <c r="R864" s="254"/>
      <c r="S864" s="254"/>
      <c r="T864" s="254"/>
      <c r="U864" s="460"/>
      <c r="W864" s="459"/>
      <c r="X864" s="458"/>
      <c r="Y864" s="458"/>
      <c r="Z864" s="458"/>
      <c r="AA864" s="460"/>
      <c r="AB864" s="1004"/>
      <c r="AC864" s="255"/>
      <c r="AD864" s="458"/>
      <c r="AE864" s="458"/>
      <c r="AF864" s="458"/>
      <c r="AG864" s="458"/>
      <c r="AH864" s="1138"/>
      <c r="AI864" s="400"/>
      <c r="AJ864"/>
      <c r="AL864" s="1670"/>
      <c r="AM864" s="1671"/>
      <c r="AN864" s="1671"/>
      <c r="AO864" s="1671"/>
      <c r="AP864" s="1672"/>
      <c r="AQ864" s="462"/>
      <c r="AR864" s="463"/>
      <c r="AS864" s="464"/>
    </row>
    <row r="865" spans="5:71">
      <c r="E865" s="4122"/>
      <c r="F865" s="1386" t="s">
        <v>584</v>
      </c>
      <c r="G865" s="446">
        <f>SUM(G863:G864)</f>
        <v>0</v>
      </c>
      <c r="H865" s="416">
        <f t="shared" ref="H865:K865" si="3791">SUM(H863:H864)</f>
        <v>0</v>
      </c>
      <c r="I865" s="416">
        <f t="shared" si="3791"/>
        <v>0</v>
      </c>
      <c r="J865" s="416">
        <f t="shared" si="3791"/>
        <v>0</v>
      </c>
      <c r="K865" s="440">
        <f t="shared" si="3791"/>
        <v>0</v>
      </c>
      <c r="L865" s="1118">
        <f>L862+L863+L864</f>
        <v>964695.3984158457</v>
      </c>
      <c r="M865" s="1119">
        <f t="shared" ref="M865:U865" si="3792">M862+M863+M864</f>
        <v>965670.21114497434</v>
      </c>
      <c r="N865" s="1119">
        <f t="shared" si="3792"/>
        <v>255202.2</v>
      </c>
      <c r="O865" s="1119">
        <f t="shared" si="3792"/>
        <v>504923.97279827442</v>
      </c>
      <c r="P865" s="1120">
        <f t="shared" si="3792"/>
        <v>310154.8369596923</v>
      </c>
      <c r="Q865" s="434">
        <f t="shared" si="3792"/>
        <v>305655.66507171193</v>
      </c>
      <c r="R865" s="416">
        <f t="shared" si="3792"/>
        <v>307906.40975327056</v>
      </c>
      <c r="S865" s="416">
        <f t="shared" si="3792"/>
        <v>310812.17673497595</v>
      </c>
      <c r="T865" s="416">
        <f t="shared" si="3792"/>
        <v>314647.16474295221</v>
      </c>
      <c r="U865" s="440">
        <f t="shared" si="3792"/>
        <v>318816.55065917177</v>
      </c>
      <c r="W865" s="1118">
        <f t="shared" ref="W865:AA865" si="3793">W862+W863+W864</f>
        <v>0</v>
      </c>
      <c r="X865" s="1119">
        <f t="shared" si="3793"/>
        <v>0</v>
      </c>
      <c r="Y865" s="1119">
        <f t="shared" si="3793"/>
        <v>0</v>
      </c>
      <c r="Z865" s="1119">
        <f t="shared" si="3793"/>
        <v>0</v>
      </c>
      <c r="AA865" s="1120">
        <f t="shared" si="3793"/>
        <v>0</v>
      </c>
      <c r="AB865" s="1133"/>
      <c r="AC865" s="1118">
        <f t="shared" ref="AC865:AG865" si="3794">AC862+AC863+AC864</f>
        <v>1233.0801741448249</v>
      </c>
      <c r="AD865" s="1119">
        <f t="shared" si="3794"/>
        <v>1235.1104180998423</v>
      </c>
      <c r="AE865" s="1119">
        <f t="shared" si="3794"/>
        <v>1240.1525525728507</v>
      </c>
      <c r="AF865" s="1119">
        <f t="shared" si="3794"/>
        <v>1243.265059944378</v>
      </c>
      <c r="AG865" s="1119">
        <f t="shared" si="3794"/>
        <v>1250.2932675569741</v>
      </c>
      <c r="AH865" s="1139">
        <f t="shared" ref="AH865:AH867" si="3795">SUM(L865:P865)/SUM(AC865:AG865)-1</f>
        <v>482.82687675895227</v>
      </c>
      <c r="AI865" s="400"/>
      <c r="AJ865"/>
      <c r="AL865" s="446">
        <f>SUM(AL863:AL864)</f>
        <v>0</v>
      </c>
      <c r="AM865" s="416">
        <f t="shared" ref="AM865:AS865" si="3796">SUM(AM863:AM864)</f>
        <v>0</v>
      </c>
      <c r="AN865" s="416">
        <f t="shared" si="3796"/>
        <v>0</v>
      </c>
      <c r="AO865" s="416">
        <f t="shared" si="3796"/>
        <v>0</v>
      </c>
      <c r="AP865" s="440">
        <f t="shared" si="3796"/>
        <v>0</v>
      </c>
      <c r="AQ865" s="1118">
        <f t="shared" si="3796"/>
        <v>0</v>
      </c>
      <c r="AR865" s="1119">
        <f t="shared" si="3796"/>
        <v>0</v>
      </c>
      <c r="AS865" s="1120">
        <f t="shared" si="3796"/>
        <v>0</v>
      </c>
    </row>
    <row r="866" spans="5:71">
      <c r="E866" s="4122"/>
      <c r="F866" s="1388" t="s">
        <v>35</v>
      </c>
      <c r="G866" s="445"/>
      <c r="H866" s="417"/>
      <c r="I866" s="417"/>
      <c r="J866" s="417"/>
      <c r="K866" s="439"/>
      <c r="L866" s="1121"/>
      <c r="M866" s="1122"/>
      <c r="N866" s="1122"/>
      <c r="O866" s="1122"/>
      <c r="P866" s="1123"/>
      <c r="Q866" s="1568"/>
      <c r="R866" s="417"/>
      <c r="S866" s="417"/>
      <c r="T866" s="417"/>
      <c r="U866" s="439"/>
      <c r="W866" s="1121"/>
      <c r="X866" s="1122"/>
      <c r="Y866" s="1122"/>
      <c r="Z866" s="1122"/>
      <c r="AA866" s="1123"/>
      <c r="AB866" s="1134"/>
      <c r="AC866" s="1121"/>
      <c r="AD866" s="1122"/>
      <c r="AE866" s="1122"/>
      <c r="AF866" s="1122"/>
      <c r="AG866" s="1122"/>
      <c r="AH866" s="1140"/>
      <c r="AI866" s="400"/>
      <c r="AJ866"/>
      <c r="AL866" s="1673"/>
      <c r="AM866" s="1674"/>
      <c r="AN866" s="1674"/>
      <c r="AO866" s="1674"/>
      <c r="AP866" s="1675"/>
      <c r="AQ866" s="1676"/>
      <c r="AR866" s="1677"/>
      <c r="AS866" s="1678"/>
    </row>
    <row r="867" spans="5:71" ht="13.5" thickBot="1">
      <c r="E867" s="4123"/>
      <c r="F867" s="1387" t="s">
        <v>585</v>
      </c>
      <c r="G867" s="430">
        <f t="shared" ref="G867:K867" si="3797">G865-G866</f>
        <v>0</v>
      </c>
      <c r="H867" s="418">
        <f t="shared" si="3797"/>
        <v>0</v>
      </c>
      <c r="I867" s="418">
        <f t="shared" si="3797"/>
        <v>0</v>
      </c>
      <c r="J867" s="418">
        <f t="shared" si="3797"/>
        <v>0</v>
      </c>
      <c r="K867" s="444">
        <f t="shared" si="3797"/>
        <v>0</v>
      </c>
      <c r="L867" s="1124">
        <f>L865-L866</f>
        <v>964695.3984158457</v>
      </c>
      <c r="M867" s="1125">
        <f t="shared" ref="M867:U867" si="3798">M865-M866</f>
        <v>965670.21114497434</v>
      </c>
      <c r="N867" s="1125">
        <f t="shared" si="3798"/>
        <v>255202.2</v>
      </c>
      <c r="O867" s="1125">
        <f t="shared" si="3798"/>
        <v>504923.97279827442</v>
      </c>
      <c r="P867" s="1126">
        <f t="shared" si="3798"/>
        <v>310154.8369596923</v>
      </c>
      <c r="Q867" s="422">
        <f t="shared" si="3798"/>
        <v>305655.66507171193</v>
      </c>
      <c r="R867" s="418">
        <f t="shared" si="3798"/>
        <v>307906.40975327056</v>
      </c>
      <c r="S867" s="418">
        <f t="shared" si="3798"/>
        <v>310812.17673497595</v>
      </c>
      <c r="T867" s="418">
        <f t="shared" si="3798"/>
        <v>314647.16474295221</v>
      </c>
      <c r="U867" s="444">
        <f t="shared" si="3798"/>
        <v>318816.55065917177</v>
      </c>
      <c r="W867" s="1124">
        <f t="shared" ref="W867:AA867" si="3799">W865-W866</f>
        <v>0</v>
      </c>
      <c r="X867" s="1125">
        <f t="shared" si="3799"/>
        <v>0</v>
      </c>
      <c r="Y867" s="1125">
        <f t="shared" si="3799"/>
        <v>0</v>
      </c>
      <c r="Z867" s="1125">
        <f t="shared" si="3799"/>
        <v>0</v>
      </c>
      <c r="AA867" s="1126">
        <f t="shared" si="3799"/>
        <v>0</v>
      </c>
      <c r="AB867" s="1135"/>
      <c r="AC867" s="1124">
        <f t="shared" ref="AC867:AG867" si="3800">AC865-AC866</f>
        <v>1233.0801741448249</v>
      </c>
      <c r="AD867" s="1125">
        <f t="shared" si="3800"/>
        <v>1235.1104180998423</v>
      </c>
      <c r="AE867" s="1125">
        <f t="shared" si="3800"/>
        <v>1240.1525525728507</v>
      </c>
      <c r="AF867" s="1125">
        <f t="shared" si="3800"/>
        <v>1243.265059944378</v>
      </c>
      <c r="AG867" s="1125">
        <f t="shared" si="3800"/>
        <v>1250.2932675569741</v>
      </c>
      <c r="AH867" s="1141">
        <f t="shared" si="3795"/>
        <v>482.82687675895227</v>
      </c>
      <c r="AI867" s="400"/>
      <c r="AJ867"/>
      <c r="AL867" s="430">
        <f t="shared" ref="AL867:AS867" si="3801">AL865-AL866</f>
        <v>0</v>
      </c>
      <c r="AM867" s="418">
        <f t="shared" si="3801"/>
        <v>0</v>
      </c>
      <c r="AN867" s="418">
        <f t="shared" si="3801"/>
        <v>0</v>
      </c>
      <c r="AO867" s="418">
        <f t="shared" si="3801"/>
        <v>0</v>
      </c>
      <c r="AP867" s="444">
        <f t="shared" si="3801"/>
        <v>0</v>
      </c>
      <c r="AQ867" s="1124">
        <f t="shared" si="3801"/>
        <v>0</v>
      </c>
      <c r="AR867" s="1125">
        <f t="shared" si="3801"/>
        <v>0</v>
      </c>
      <c r="AS867" s="1126">
        <f t="shared" si="3801"/>
        <v>0</v>
      </c>
    </row>
    <row r="868" spans="5:71">
      <c r="E868" s="4121" t="s">
        <v>339</v>
      </c>
      <c r="F868" s="433" t="s">
        <v>110</v>
      </c>
      <c r="G868" s="438"/>
      <c r="H868" s="420"/>
      <c r="I868" s="420"/>
      <c r="J868" s="420"/>
      <c r="K868" s="451"/>
      <c r="L868" s="1127"/>
      <c r="M868" s="1128"/>
      <c r="N868" s="1128"/>
      <c r="O868" s="1128">
        <v>410</v>
      </c>
      <c r="P868" s="1129">
        <v>389</v>
      </c>
      <c r="Q868" s="423">
        <v>389</v>
      </c>
      <c r="R868" s="420">
        <v>389</v>
      </c>
      <c r="S868" s="420">
        <v>389</v>
      </c>
      <c r="T868" s="420">
        <v>389</v>
      </c>
      <c r="U868" s="451">
        <v>389</v>
      </c>
      <c r="W868" s="1112"/>
      <c r="X868" s="1113"/>
      <c r="Y868" s="1113"/>
      <c r="Z868" s="1113"/>
      <c r="AA868" s="1114"/>
      <c r="AB868" s="3781"/>
      <c r="AC868" s="1112"/>
      <c r="AD868" s="1113"/>
      <c r="AE868" s="1113"/>
      <c r="AF868" s="1113"/>
      <c r="AG868" s="1113"/>
      <c r="AH868" s="3782"/>
      <c r="AI868" s="400"/>
      <c r="AJ868"/>
      <c r="AL868" s="1679"/>
      <c r="AM868" s="1680"/>
      <c r="AN868" s="1680"/>
      <c r="AO868" s="1680"/>
      <c r="AP868" s="1681"/>
      <c r="AQ868" s="1682"/>
      <c r="AR868" s="1683"/>
      <c r="AS868" s="1684"/>
    </row>
    <row r="869" spans="5:71">
      <c r="E869" s="4122"/>
      <c r="F869" s="432" t="s">
        <v>598</v>
      </c>
      <c r="G869" s="441"/>
      <c r="H869" s="414"/>
      <c r="I869" s="414"/>
      <c r="J869" s="414"/>
      <c r="K869" s="452"/>
      <c r="L869" s="1115"/>
      <c r="M869" s="1116"/>
      <c r="N869" s="1116"/>
      <c r="O869" s="1116"/>
      <c r="P869" s="1117"/>
      <c r="Q869" s="448"/>
      <c r="R869" s="414"/>
      <c r="S869" s="414"/>
      <c r="T869" s="414"/>
      <c r="U869" s="452"/>
      <c r="W869" s="1115"/>
      <c r="X869" s="1116"/>
      <c r="Y869" s="1116"/>
      <c r="Z869" s="1116"/>
      <c r="AA869" s="1117"/>
      <c r="AB869" s="1132"/>
      <c r="AC869" s="1115"/>
      <c r="AD869" s="1116"/>
      <c r="AE869" s="1116"/>
      <c r="AF869" s="1116"/>
      <c r="AG869" s="1116"/>
      <c r="AH869" s="1137"/>
      <c r="AI869" s="400"/>
      <c r="AJ869"/>
      <c r="AL869" s="441"/>
      <c r="AM869" s="414"/>
      <c r="AN869" s="414"/>
      <c r="AO869" s="414"/>
      <c r="AP869" s="452"/>
      <c r="AQ869" s="1115"/>
      <c r="AR869" s="1116"/>
      <c r="AS869" s="1117"/>
    </row>
    <row r="870" spans="5:71">
      <c r="E870" s="4122"/>
      <c r="F870" s="431" t="s">
        <v>558</v>
      </c>
      <c r="G870" s="427"/>
      <c r="H870" s="397"/>
      <c r="I870" s="397"/>
      <c r="J870" s="397"/>
      <c r="K870" s="1036"/>
      <c r="L870" s="459"/>
      <c r="M870" s="458"/>
      <c r="N870" s="458"/>
      <c r="O870" s="458">
        <v>1178155.9365293072</v>
      </c>
      <c r="P870" s="460"/>
      <c r="Q870" s="413"/>
      <c r="R870" s="254"/>
      <c r="S870" s="254"/>
      <c r="T870" s="254"/>
      <c r="U870" s="460"/>
      <c r="W870" s="459"/>
      <c r="X870" s="458"/>
      <c r="Y870" s="458"/>
      <c r="Z870" s="458"/>
      <c r="AA870" s="460"/>
      <c r="AB870" s="1004"/>
      <c r="AC870" s="459"/>
      <c r="AD870" s="458"/>
      <c r="AE870" s="458"/>
      <c r="AF870" s="458"/>
      <c r="AG870" s="458"/>
      <c r="AH870" s="1138"/>
      <c r="AI870" s="400"/>
      <c r="AJ870"/>
      <c r="AL870" s="427"/>
      <c r="AM870" s="397"/>
      <c r="AN870" s="397"/>
      <c r="AO870" s="397"/>
      <c r="AP870" s="1036"/>
      <c r="AQ870" s="462"/>
      <c r="AR870" s="463"/>
      <c r="AS870" s="464"/>
    </row>
    <row r="871" spans="5:71">
      <c r="E871" s="4122"/>
      <c r="F871" s="431" t="s">
        <v>559</v>
      </c>
      <c r="G871" s="427"/>
      <c r="H871" s="397"/>
      <c r="I871" s="397"/>
      <c r="J871" s="397"/>
      <c r="K871" s="1036"/>
      <c r="L871" s="459"/>
      <c r="M871" s="458"/>
      <c r="N871" s="458"/>
      <c r="O871" s="458"/>
      <c r="P871" s="460"/>
      <c r="Q871" s="413"/>
      <c r="R871" s="254"/>
      <c r="S871" s="254"/>
      <c r="T871" s="254"/>
      <c r="U871" s="460"/>
      <c r="W871" s="459"/>
      <c r="X871" s="458"/>
      <c r="Y871" s="458"/>
      <c r="Z871" s="458"/>
      <c r="AA871" s="460"/>
      <c r="AB871" s="1004"/>
      <c r="AC871" s="459"/>
      <c r="AD871" s="458"/>
      <c r="AE871" s="458"/>
      <c r="AF871" s="458"/>
      <c r="AG871" s="458"/>
      <c r="AH871" s="1138"/>
      <c r="AI871" s="400"/>
      <c r="AJ871"/>
      <c r="AL871" s="427"/>
      <c r="AM871" s="397"/>
      <c r="AN871" s="397"/>
      <c r="AO871" s="397"/>
      <c r="AP871" s="1036"/>
      <c r="AQ871" s="462"/>
      <c r="AR871" s="463"/>
      <c r="AS871" s="464"/>
    </row>
    <row r="872" spans="5:71">
      <c r="E872" s="4122"/>
      <c r="F872" s="431" t="s">
        <v>578</v>
      </c>
      <c r="G872" s="427"/>
      <c r="H872" s="397"/>
      <c r="I872" s="397"/>
      <c r="J872" s="397"/>
      <c r="K872" s="1036"/>
      <c r="L872" s="459"/>
      <c r="M872" s="458"/>
      <c r="N872" s="458"/>
      <c r="O872" s="458"/>
      <c r="P872" s="460"/>
      <c r="Q872" s="413"/>
      <c r="R872" s="254"/>
      <c r="S872" s="254"/>
      <c r="T872" s="254"/>
      <c r="U872" s="460"/>
      <c r="W872" s="459"/>
      <c r="X872" s="458"/>
      <c r="Y872" s="458"/>
      <c r="Z872" s="458"/>
      <c r="AA872" s="460"/>
      <c r="AB872" s="1004"/>
      <c r="AC872" s="459"/>
      <c r="AD872" s="458"/>
      <c r="AE872" s="458"/>
      <c r="AF872" s="458"/>
      <c r="AG872" s="458"/>
      <c r="AH872" s="1138"/>
      <c r="AI872" s="400"/>
      <c r="AJ872"/>
      <c r="AL872" s="427"/>
      <c r="AM872" s="397"/>
      <c r="AN872" s="397"/>
      <c r="AO872" s="397"/>
      <c r="AP872" s="1036"/>
      <c r="AQ872" s="462"/>
      <c r="AR872" s="463"/>
      <c r="AS872" s="464"/>
    </row>
    <row r="873" spans="5:71">
      <c r="E873" s="4122"/>
      <c r="F873" s="1377" t="s">
        <v>579</v>
      </c>
      <c r="G873" s="427"/>
      <c r="H873" s="397"/>
      <c r="I873" s="397"/>
      <c r="J873" s="397"/>
      <c r="K873" s="1036"/>
      <c r="L873" s="353">
        <f>SUM(L870:L872)</f>
        <v>0</v>
      </c>
      <c r="M873" s="354">
        <f t="shared" ref="M873:O873" si="3802">SUM(M870:M872)</f>
        <v>0</v>
      </c>
      <c r="N873" s="354">
        <f t="shared" si="3802"/>
        <v>0</v>
      </c>
      <c r="O873" s="354">
        <f t="shared" si="3802"/>
        <v>1178155.9365293072</v>
      </c>
      <c r="P873" s="450">
        <v>723694.61957261537</v>
      </c>
      <c r="Q873" s="447">
        <v>713196.55183399469</v>
      </c>
      <c r="R873" s="354">
        <v>718448.28942429798</v>
      </c>
      <c r="S873" s="354">
        <v>725228.4123816106</v>
      </c>
      <c r="T873" s="354">
        <v>734176.71773355524</v>
      </c>
      <c r="U873" s="450">
        <v>743905.2848714008</v>
      </c>
      <c r="W873" s="353">
        <f t="shared" ref="W873:AA873" si="3803">SUM(W870:W872)</f>
        <v>0</v>
      </c>
      <c r="X873" s="354">
        <f t="shared" si="3803"/>
        <v>0</v>
      </c>
      <c r="Y873" s="354">
        <f t="shared" si="3803"/>
        <v>0</v>
      </c>
      <c r="Z873" s="354">
        <f t="shared" si="3803"/>
        <v>0</v>
      </c>
      <c r="AA873" s="450">
        <f t="shared" si="3803"/>
        <v>0</v>
      </c>
      <c r="AB873" s="992"/>
      <c r="AC873" s="353">
        <v>0</v>
      </c>
      <c r="AD873" s="354">
        <v>0</v>
      </c>
      <c r="AE873" s="354">
        <v>0</v>
      </c>
      <c r="AF873" s="354"/>
      <c r="AG873" s="354">
        <v>0</v>
      </c>
      <c r="AH873" s="995"/>
      <c r="AI873" s="400"/>
      <c r="AJ873"/>
      <c r="AL873" s="427"/>
      <c r="AM873" s="397"/>
      <c r="AN873" s="397"/>
      <c r="AO873" s="397"/>
      <c r="AP873" s="1036"/>
      <c r="AQ873" s="353">
        <f>SUM(AQ870:AQ872)</f>
        <v>0</v>
      </c>
      <c r="AR873" s="354">
        <f t="shared" ref="AR873:AS873" si="3804">SUM(AR870:AR872)</f>
        <v>0</v>
      </c>
      <c r="AS873" s="450">
        <f t="shared" si="3804"/>
        <v>0</v>
      </c>
    </row>
    <row r="874" spans="5:71">
      <c r="E874" s="4122"/>
      <c r="F874" s="1390" t="s">
        <v>583</v>
      </c>
      <c r="G874" s="459"/>
      <c r="H874" s="458"/>
      <c r="I874" s="458"/>
      <c r="J874" s="458"/>
      <c r="K874" s="460"/>
      <c r="L874" s="429"/>
      <c r="M874" s="476"/>
      <c r="N874" s="476"/>
      <c r="O874" s="476"/>
      <c r="P874" s="435"/>
      <c r="Q874" s="520"/>
      <c r="R874" s="292"/>
      <c r="S874" s="292"/>
      <c r="T874" s="292"/>
      <c r="U874" s="435"/>
      <c r="W874" s="429"/>
      <c r="X874" s="476"/>
      <c r="Y874" s="476"/>
      <c r="Z874" s="476"/>
      <c r="AA874" s="435"/>
      <c r="AB874" s="1131"/>
      <c r="AC874" s="429"/>
      <c r="AD874" s="476"/>
      <c r="AE874" s="476"/>
      <c r="AF874" s="476"/>
      <c r="AG874" s="476"/>
      <c r="AH874" s="3783"/>
      <c r="AI874" s="400"/>
      <c r="AJ874"/>
      <c r="AL874" s="462"/>
      <c r="AM874" s="463"/>
      <c r="AN874" s="463"/>
      <c r="AO874" s="463"/>
      <c r="AP874" s="464"/>
      <c r="AQ874" s="511"/>
      <c r="AR874" s="512"/>
      <c r="AS874" s="547"/>
    </row>
    <row r="875" spans="5:71">
      <c r="E875" s="4122"/>
      <c r="F875" s="1380" t="s">
        <v>581</v>
      </c>
      <c r="G875" s="459"/>
      <c r="H875" s="458"/>
      <c r="I875" s="458"/>
      <c r="J875" s="458"/>
      <c r="K875" s="460"/>
      <c r="L875" s="459"/>
      <c r="M875" s="458"/>
      <c r="N875" s="458"/>
      <c r="O875" s="458"/>
      <c r="P875" s="460"/>
      <c r="Q875" s="413"/>
      <c r="R875" s="254"/>
      <c r="S875" s="254"/>
      <c r="T875" s="254"/>
      <c r="U875" s="460"/>
      <c r="W875" s="459"/>
      <c r="X875" s="458"/>
      <c r="Y875" s="458"/>
      <c r="Z875" s="458"/>
      <c r="AA875" s="460"/>
      <c r="AB875" s="1131"/>
      <c r="AC875" s="459"/>
      <c r="AD875" s="458"/>
      <c r="AE875" s="458"/>
      <c r="AF875" s="458"/>
      <c r="AG875" s="458"/>
      <c r="AH875" s="3783"/>
      <c r="AI875" s="400"/>
      <c r="AJ875"/>
      <c r="AL875" s="462"/>
      <c r="AM875" s="463"/>
      <c r="AN875" s="463"/>
      <c r="AO875" s="463"/>
      <c r="AP875" s="464"/>
      <c r="AQ875" s="462"/>
      <c r="AR875" s="463"/>
      <c r="AS875" s="464"/>
    </row>
    <row r="876" spans="5:71" s="474" customFormat="1">
      <c r="E876" s="4122"/>
      <c r="F876" s="1386" t="s">
        <v>584</v>
      </c>
      <c r="G876" s="446">
        <f>SUM(G874:G875)</f>
        <v>0</v>
      </c>
      <c r="H876" s="416">
        <f t="shared" ref="H876:K876" si="3805">SUM(H874:H875)</f>
        <v>0</v>
      </c>
      <c r="I876" s="416">
        <f t="shared" si="3805"/>
        <v>0</v>
      </c>
      <c r="J876" s="416">
        <f t="shared" si="3805"/>
        <v>0</v>
      </c>
      <c r="K876" s="440">
        <f t="shared" si="3805"/>
        <v>0</v>
      </c>
      <c r="L876" s="1118">
        <f>L873+L874+L875</f>
        <v>0</v>
      </c>
      <c r="M876" s="1119">
        <f t="shared" ref="M876" si="3806">M873+M874+M875</f>
        <v>0</v>
      </c>
      <c r="N876" s="1119">
        <f t="shared" ref="N876" si="3807">N873+N874+N875</f>
        <v>0</v>
      </c>
      <c r="O876" s="1119">
        <f t="shared" ref="O876" si="3808">O873+O874+O875</f>
        <v>1178155.9365293072</v>
      </c>
      <c r="P876" s="1120">
        <f t="shared" ref="P876" si="3809">P873+P874+P875</f>
        <v>723694.61957261537</v>
      </c>
      <c r="Q876" s="434">
        <f t="shared" ref="Q876" si="3810">Q873+Q874+Q875</f>
        <v>713196.55183399469</v>
      </c>
      <c r="R876" s="416">
        <f t="shared" ref="R876" si="3811">R873+R874+R875</f>
        <v>718448.28942429798</v>
      </c>
      <c r="S876" s="416">
        <f t="shared" ref="S876" si="3812">S873+S874+S875</f>
        <v>725228.4123816106</v>
      </c>
      <c r="T876" s="416">
        <f t="shared" ref="T876" si="3813">T873+T874+T875</f>
        <v>734176.71773355524</v>
      </c>
      <c r="U876" s="440">
        <f t="shared" ref="U876" si="3814">U873+U874+U875</f>
        <v>743905.2848714008</v>
      </c>
      <c r="V876" s="1172"/>
      <c r="W876" s="1118">
        <f t="shared" ref="W876" si="3815">W873+W874+W875</f>
        <v>0</v>
      </c>
      <c r="X876" s="1119">
        <f t="shared" ref="X876" si="3816">X873+X874+X875</f>
        <v>0</v>
      </c>
      <c r="Y876" s="1119">
        <f t="shared" ref="Y876" si="3817">Y873+Y874+Y875</f>
        <v>0</v>
      </c>
      <c r="Z876" s="1119">
        <f t="shared" ref="Z876" si="3818">Z873+Z874+Z875</f>
        <v>0</v>
      </c>
      <c r="AA876" s="1120">
        <f t="shared" ref="AA876" si="3819">AA873+AA874+AA875</f>
        <v>0</v>
      </c>
      <c r="AB876" s="1133"/>
      <c r="AC876" s="1118">
        <f t="shared" ref="AC876" si="3820">AC873+AC874+AC875</f>
        <v>0</v>
      </c>
      <c r="AD876" s="1119">
        <f t="shared" ref="AD876" si="3821">AD873+AD874+AD875</f>
        <v>0</v>
      </c>
      <c r="AE876" s="1119">
        <f t="shared" ref="AE876" si="3822">AE873+AE874+AE875</f>
        <v>0</v>
      </c>
      <c r="AF876" s="1119">
        <f t="shared" ref="AF876" si="3823">AF873+AF874+AF875</f>
        <v>0</v>
      </c>
      <c r="AG876" s="1119">
        <f t="shared" ref="AG876" si="3824">AG873+AG874+AG875</f>
        <v>0</v>
      </c>
      <c r="AH876" s="1139"/>
      <c r="AI876" s="400"/>
      <c r="AJ876" s="1172"/>
      <c r="AK876" s="1155"/>
      <c r="AL876" s="446">
        <f>SUM(AL874:AL875)</f>
        <v>0</v>
      </c>
      <c r="AM876" s="416">
        <f t="shared" ref="AM876:AS876" si="3825">SUM(AM874:AM875)</f>
        <v>0</v>
      </c>
      <c r="AN876" s="416">
        <f t="shared" si="3825"/>
        <v>0</v>
      </c>
      <c r="AO876" s="416">
        <f t="shared" si="3825"/>
        <v>0</v>
      </c>
      <c r="AP876" s="440">
        <f t="shared" si="3825"/>
        <v>0</v>
      </c>
      <c r="AQ876" s="1118">
        <f t="shared" si="3825"/>
        <v>0</v>
      </c>
      <c r="AR876" s="1119">
        <f t="shared" si="3825"/>
        <v>0</v>
      </c>
      <c r="AS876" s="1120">
        <f t="shared" si="3825"/>
        <v>0</v>
      </c>
      <c r="AT876" s="1155"/>
      <c r="AU876" s="1155"/>
      <c r="AV876" s="1155"/>
      <c r="AW876" s="1155"/>
      <c r="AX876" s="1155"/>
      <c r="AY876" s="1155"/>
      <c r="AZ876" s="1155"/>
      <c r="BA876" s="1155"/>
      <c r="BB876" s="1155"/>
      <c r="BC876" s="1155"/>
      <c r="BD876" s="1155"/>
      <c r="BE876" s="1155"/>
      <c r="BF876" s="1155"/>
      <c r="BG876" s="1155"/>
      <c r="BH876" s="1155"/>
      <c r="BI876" s="1155"/>
      <c r="BJ876" s="1155"/>
      <c r="BK876" s="1155"/>
      <c r="BL876" s="1155"/>
      <c r="BM876" s="1155"/>
      <c r="BN876" s="1155"/>
      <c r="BO876" s="1155"/>
      <c r="BP876" s="1155"/>
      <c r="BQ876" s="1155"/>
      <c r="BR876" s="1155"/>
      <c r="BS876" s="1155"/>
    </row>
    <row r="877" spans="5:71">
      <c r="E877" s="4122"/>
      <c r="F877" s="1388" t="s">
        <v>35</v>
      </c>
      <c r="G877" s="445"/>
      <c r="H877" s="417"/>
      <c r="I877" s="417"/>
      <c r="J877" s="417"/>
      <c r="K877" s="439"/>
      <c r="L877" s="1121"/>
      <c r="M877" s="1122"/>
      <c r="N877" s="1122"/>
      <c r="O877" s="1122"/>
      <c r="P877" s="1123"/>
      <c r="Q877" s="1568"/>
      <c r="R877" s="417"/>
      <c r="S877" s="417"/>
      <c r="T877" s="417"/>
      <c r="U877" s="439"/>
      <c r="W877" s="1121"/>
      <c r="X877" s="1122"/>
      <c r="Y877" s="1122"/>
      <c r="Z877" s="1122"/>
      <c r="AA877" s="1123"/>
      <c r="AB877" s="1134"/>
      <c r="AC877" s="1121"/>
      <c r="AD877" s="1122"/>
      <c r="AE877" s="1122"/>
      <c r="AF877" s="1122"/>
      <c r="AG877" s="1122"/>
      <c r="AH877" s="1140"/>
      <c r="AI877" s="400"/>
      <c r="AJ877"/>
      <c r="AL877" s="1673"/>
      <c r="AM877" s="1674"/>
      <c r="AN877" s="1674"/>
      <c r="AO877" s="1674"/>
      <c r="AP877" s="1675"/>
      <c r="AQ877" s="1676"/>
      <c r="AR877" s="1677"/>
      <c r="AS877" s="1678"/>
    </row>
    <row r="878" spans="5:71" ht="13.5" thickBot="1">
      <c r="E878" s="4123"/>
      <c r="F878" s="1387" t="s">
        <v>585</v>
      </c>
      <c r="G878" s="430">
        <f t="shared" ref="G878:K878" si="3826">G876-G877</f>
        <v>0</v>
      </c>
      <c r="H878" s="418">
        <f t="shared" si="3826"/>
        <v>0</v>
      </c>
      <c r="I878" s="418">
        <f t="shared" si="3826"/>
        <v>0</v>
      </c>
      <c r="J878" s="418">
        <f t="shared" si="3826"/>
        <v>0</v>
      </c>
      <c r="K878" s="444">
        <f t="shared" si="3826"/>
        <v>0</v>
      </c>
      <c r="L878" s="1124">
        <f>L876-L877</f>
        <v>0</v>
      </c>
      <c r="M878" s="1125">
        <f t="shared" ref="M878" si="3827">M876-M877</f>
        <v>0</v>
      </c>
      <c r="N878" s="1125">
        <f t="shared" ref="N878" si="3828">N876-N877</f>
        <v>0</v>
      </c>
      <c r="O878" s="1125">
        <f t="shared" ref="O878" si="3829">O876-O877</f>
        <v>1178155.9365293072</v>
      </c>
      <c r="P878" s="1126">
        <f t="shared" ref="P878" si="3830">P876-P877</f>
        <v>723694.61957261537</v>
      </c>
      <c r="Q878" s="422">
        <f t="shared" ref="Q878" si="3831">Q876-Q877</f>
        <v>713196.55183399469</v>
      </c>
      <c r="R878" s="418">
        <f t="shared" ref="R878" si="3832">R876-R877</f>
        <v>718448.28942429798</v>
      </c>
      <c r="S878" s="418">
        <f t="shared" ref="S878" si="3833">S876-S877</f>
        <v>725228.4123816106</v>
      </c>
      <c r="T878" s="418">
        <f t="shared" ref="T878" si="3834">T876-T877</f>
        <v>734176.71773355524</v>
      </c>
      <c r="U878" s="444">
        <f t="shared" ref="U878" si="3835">U876-U877</f>
        <v>743905.2848714008</v>
      </c>
      <c r="W878" s="1124">
        <f t="shared" ref="W878" si="3836">W876-W877</f>
        <v>0</v>
      </c>
      <c r="X878" s="1125">
        <f t="shared" ref="X878" si="3837">X876-X877</f>
        <v>0</v>
      </c>
      <c r="Y878" s="1125">
        <f t="shared" ref="Y878" si="3838">Y876-Y877</f>
        <v>0</v>
      </c>
      <c r="Z878" s="1125">
        <f t="shared" ref="Z878" si="3839">Z876-Z877</f>
        <v>0</v>
      </c>
      <c r="AA878" s="1126">
        <f t="shared" ref="AA878" si="3840">AA876-AA877</f>
        <v>0</v>
      </c>
      <c r="AB878" s="1135"/>
      <c r="AC878" s="1124">
        <f t="shared" ref="AC878" si="3841">AC876-AC877</f>
        <v>0</v>
      </c>
      <c r="AD878" s="1125">
        <f t="shared" ref="AD878" si="3842">AD876-AD877</f>
        <v>0</v>
      </c>
      <c r="AE878" s="1125">
        <f t="shared" ref="AE878" si="3843">AE876-AE877</f>
        <v>0</v>
      </c>
      <c r="AF878" s="1125">
        <f t="shared" ref="AF878" si="3844">AF876-AF877</f>
        <v>0</v>
      </c>
      <c r="AG878" s="1125">
        <f t="shared" ref="AG878" si="3845">AG876-AG877</f>
        <v>0</v>
      </c>
      <c r="AH878" s="1141"/>
      <c r="AI878" s="400"/>
      <c r="AJ878"/>
      <c r="AL878" s="430">
        <f t="shared" ref="AL878:AS878" si="3846">AL876-AL877</f>
        <v>0</v>
      </c>
      <c r="AM878" s="418">
        <f t="shared" si="3846"/>
        <v>0</v>
      </c>
      <c r="AN878" s="418">
        <f t="shared" si="3846"/>
        <v>0</v>
      </c>
      <c r="AO878" s="418">
        <f t="shared" si="3846"/>
        <v>0</v>
      </c>
      <c r="AP878" s="444">
        <f t="shared" si="3846"/>
        <v>0</v>
      </c>
      <c r="AQ878" s="1124">
        <f t="shared" si="3846"/>
        <v>0</v>
      </c>
      <c r="AR878" s="1125">
        <f t="shared" si="3846"/>
        <v>0</v>
      </c>
      <c r="AS878" s="1126">
        <f t="shared" si="3846"/>
        <v>0</v>
      </c>
    </row>
    <row r="879" spans="5:71">
      <c r="E879" s="4121" t="s">
        <v>63</v>
      </c>
      <c r="F879" s="1391" t="s">
        <v>566</v>
      </c>
      <c r="G879" s="438"/>
      <c r="H879" s="420"/>
      <c r="I879" s="420"/>
      <c r="J879" s="420"/>
      <c r="K879" s="451"/>
      <c r="L879" s="459">
        <f t="shared" ref="L879:U888" si="3847">L869+L858</f>
        <v>0</v>
      </c>
      <c r="M879" s="458">
        <f t="shared" si="3847"/>
        <v>0</v>
      </c>
      <c r="N879" s="458">
        <f t="shared" si="3847"/>
        <v>0</v>
      </c>
      <c r="O879" s="458">
        <f t="shared" si="3847"/>
        <v>0</v>
      </c>
      <c r="P879" s="460">
        <f t="shared" si="3847"/>
        <v>0</v>
      </c>
      <c r="Q879" s="413">
        <f t="shared" si="3847"/>
        <v>0</v>
      </c>
      <c r="R879" s="254">
        <f t="shared" si="3847"/>
        <v>0</v>
      </c>
      <c r="S879" s="254">
        <f t="shared" si="3847"/>
        <v>0</v>
      </c>
      <c r="T879" s="254">
        <f t="shared" si="3847"/>
        <v>0</v>
      </c>
      <c r="U879" s="460">
        <f t="shared" si="3847"/>
        <v>0</v>
      </c>
      <c r="W879" s="459">
        <f t="shared" ref="W879:AA879" si="3848">W869+W858</f>
        <v>0</v>
      </c>
      <c r="X879" s="458">
        <f t="shared" si="3848"/>
        <v>0</v>
      </c>
      <c r="Y879" s="458">
        <f t="shared" si="3848"/>
        <v>0</v>
      </c>
      <c r="Z879" s="458">
        <f t="shared" si="3848"/>
        <v>0</v>
      </c>
      <c r="AA879" s="460">
        <f t="shared" si="3848"/>
        <v>0</v>
      </c>
      <c r="AB879" s="1004"/>
      <c r="AC879" s="255">
        <f t="shared" ref="AC879:AG879" si="3849">AC869+AC858</f>
        <v>0</v>
      </c>
      <c r="AD879" s="458">
        <f t="shared" si="3849"/>
        <v>0</v>
      </c>
      <c r="AE879" s="458">
        <f t="shared" si="3849"/>
        <v>0</v>
      </c>
      <c r="AF879" s="458">
        <f t="shared" si="3849"/>
        <v>0</v>
      </c>
      <c r="AG879" s="458">
        <f t="shared" si="3849"/>
        <v>0</v>
      </c>
      <c r="AH879" s="1138"/>
      <c r="AI879" s="400"/>
      <c r="AJ879" s="65"/>
      <c r="AL879" s="1679"/>
      <c r="AM879" s="1680"/>
      <c r="AN879" s="1680"/>
      <c r="AO879" s="1680"/>
      <c r="AP879" s="1681"/>
      <c r="AQ879" s="462"/>
      <c r="AR879" s="463"/>
      <c r="AS879" s="464"/>
    </row>
    <row r="880" spans="5:71" ht="12.75" customHeight="1">
      <c r="E880" s="4122"/>
      <c r="F880" s="1392" t="s">
        <v>594</v>
      </c>
      <c r="G880" s="427"/>
      <c r="H880" s="397"/>
      <c r="I880" s="397"/>
      <c r="J880" s="397"/>
      <c r="K880" s="1036"/>
      <c r="L880" s="353">
        <f t="shared" si="3847"/>
        <v>964695.3984158457</v>
      </c>
      <c r="M880" s="354">
        <f t="shared" si="3847"/>
        <v>965670.21114497434</v>
      </c>
      <c r="N880" s="354">
        <f t="shared" si="3847"/>
        <v>255202.2</v>
      </c>
      <c r="O880" s="354">
        <f t="shared" si="3847"/>
        <v>1683079.9093275815</v>
      </c>
      <c r="P880" s="450">
        <f t="shared" si="3847"/>
        <v>0</v>
      </c>
      <c r="Q880" s="447">
        <f t="shared" si="3847"/>
        <v>0</v>
      </c>
      <c r="R880" s="354">
        <f t="shared" si="3847"/>
        <v>0</v>
      </c>
      <c r="S880" s="354">
        <f t="shared" si="3847"/>
        <v>0</v>
      </c>
      <c r="T880" s="354">
        <f t="shared" si="3847"/>
        <v>0</v>
      </c>
      <c r="U880" s="450">
        <f t="shared" si="3847"/>
        <v>0</v>
      </c>
      <c r="W880" s="353">
        <f t="shared" ref="W880:AA880" si="3850">W870+W859</f>
        <v>0</v>
      </c>
      <c r="X880" s="354">
        <f t="shared" si="3850"/>
        <v>0</v>
      </c>
      <c r="Y880" s="354">
        <f t="shared" si="3850"/>
        <v>0</v>
      </c>
      <c r="Z880" s="354">
        <f t="shared" si="3850"/>
        <v>0</v>
      </c>
      <c r="AA880" s="450">
        <f t="shared" si="3850"/>
        <v>0</v>
      </c>
      <c r="AB880" s="992"/>
      <c r="AC880" s="258">
        <f t="shared" ref="AC880:AG880" si="3851">AC870+AC859</f>
        <v>0</v>
      </c>
      <c r="AD880" s="354">
        <f t="shared" si="3851"/>
        <v>0</v>
      </c>
      <c r="AE880" s="354">
        <f t="shared" si="3851"/>
        <v>0</v>
      </c>
      <c r="AF880" s="354">
        <f t="shared" si="3851"/>
        <v>0</v>
      </c>
      <c r="AG880" s="354">
        <f t="shared" si="3851"/>
        <v>0</v>
      </c>
      <c r="AH880" s="995"/>
      <c r="AI880" s="400"/>
      <c r="AJ880"/>
      <c r="AL880" s="427"/>
      <c r="AM880" s="397"/>
      <c r="AN880" s="397"/>
      <c r="AO880" s="397"/>
      <c r="AP880" s="1036"/>
      <c r="AQ880" s="353">
        <f t="shared" ref="AQ880:AS880" si="3852">SUM(AQ859,AQ870)</f>
        <v>0</v>
      </c>
      <c r="AR880" s="354">
        <f t="shared" si="3852"/>
        <v>0</v>
      </c>
      <c r="AS880" s="450">
        <f t="shared" si="3852"/>
        <v>0</v>
      </c>
    </row>
    <row r="881" spans="1:71" ht="12.75" customHeight="1">
      <c r="E881" s="4122"/>
      <c r="F881" s="1392" t="s">
        <v>595</v>
      </c>
      <c r="G881" s="427"/>
      <c r="H881" s="397"/>
      <c r="I881" s="397"/>
      <c r="J881" s="397"/>
      <c r="K881" s="1036"/>
      <c r="L881" s="353">
        <f t="shared" si="3847"/>
        <v>0</v>
      </c>
      <c r="M881" s="354">
        <f t="shared" si="3847"/>
        <v>0</v>
      </c>
      <c r="N881" s="354">
        <f t="shared" si="3847"/>
        <v>0</v>
      </c>
      <c r="O881" s="354">
        <f t="shared" si="3847"/>
        <v>0</v>
      </c>
      <c r="P881" s="450">
        <f t="shared" si="3847"/>
        <v>0</v>
      </c>
      <c r="Q881" s="447">
        <f t="shared" si="3847"/>
        <v>0</v>
      </c>
      <c r="R881" s="354">
        <f t="shared" si="3847"/>
        <v>0</v>
      </c>
      <c r="S881" s="354">
        <f t="shared" si="3847"/>
        <v>0</v>
      </c>
      <c r="T881" s="354">
        <f t="shared" si="3847"/>
        <v>0</v>
      </c>
      <c r="U881" s="450">
        <f t="shared" si="3847"/>
        <v>0</v>
      </c>
      <c r="W881" s="353">
        <f t="shared" ref="W881:AA881" si="3853">W871+W860</f>
        <v>0</v>
      </c>
      <c r="X881" s="354">
        <f t="shared" si="3853"/>
        <v>0</v>
      </c>
      <c r="Y881" s="354">
        <f t="shared" si="3853"/>
        <v>0</v>
      </c>
      <c r="Z881" s="354">
        <f t="shared" si="3853"/>
        <v>0</v>
      </c>
      <c r="AA881" s="450">
        <f t="shared" si="3853"/>
        <v>0</v>
      </c>
      <c r="AB881" s="992"/>
      <c r="AC881" s="258">
        <f t="shared" ref="AC881:AG881" si="3854">AC871+AC860</f>
        <v>0</v>
      </c>
      <c r="AD881" s="354">
        <f t="shared" si="3854"/>
        <v>0</v>
      </c>
      <c r="AE881" s="354">
        <f t="shared" si="3854"/>
        <v>0</v>
      </c>
      <c r="AF881" s="354">
        <f t="shared" si="3854"/>
        <v>0</v>
      </c>
      <c r="AG881" s="354">
        <f t="shared" si="3854"/>
        <v>0</v>
      </c>
      <c r="AH881" s="995"/>
      <c r="AI881" s="400"/>
      <c r="AJ881"/>
      <c r="AL881" s="427"/>
      <c r="AM881" s="397"/>
      <c r="AN881" s="397"/>
      <c r="AO881" s="397"/>
      <c r="AP881" s="1036"/>
      <c r="AQ881" s="353">
        <f t="shared" ref="AQ881:AS881" si="3855">SUM(AQ860,AQ871)</f>
        <v>0</v>
      </c>
      <c r="AR881" s="354">
        <f t="shared" si="3855"/>
        <v>0</v>
      </c>
      <c r="AS881" s="450">
        <f t="shared" si="3855"/>
        <v>0</v>
      </c>
    </row>
    <row r="882" spans="1:71" ht="12.75" customHeight="1">
      <c r="E882" s="4122"/>
      <c r="F882" s="1392" t="s">
        <v>596</v>
      </c>
      <c r="G882" s="427"/>
      <c r="H882" s="397"/>
      <c r="I882" s="397"/>
      <c r="J882" s="397"/>
      <c r="K882" s="1036"/>
      <c r="L882" s="353">
        <f t="shared" si="3847"/>
        <v>0</v>
      </c>
      <c r="M882" s="354">
        <f t="shared" si="3847"/>
        <v>0</v>
      </c>
      <c r="N882" s="354">
        <f t="shared" si="3847"/>
        <v>0</v>
      </c>
      <c r="O882" s="354">
        <f t="shared" si="3847"/>
        <v>0</v>
      </c>
      <c r="P882" s="450">
        <f t="shared" si="3847"/>
        <v>0</v>
      </c>
      <c r="Q882" s="447">
        <f t="shared" si="3847"/>
        <v>0</v>
      </c>
      <c r="R882" s="354">
        <f t="shared" si="3847"/>
        <v>0</v>
      </c>
      <c r="S882" s="354">
        <f t="shared" si="3847"/>
        <v>0</v>
      </c>
      <c r="T882" s="354">
        <f t="shared" si="3847"/>
        <v>0</v>
      </c>
      <c r="U882" s="450">
        <f t="shared" si="3847"/>
        <v>0</v>
      </c>
      <c r="W882" s="353">
        <f t="shared" ref="W882:AA882" si="3856">W872+W861</f>
        <v>0</v>
      </c>
      <c r="X882" s="354">
        <f t="shared" si="3856"/>
        <v>0</v>
      </c>
      <c r="Y882" s="354">
        <f t="shared" si="3856"/>
        <v>0</v>
      </c>
      <c r="Z882" s="354">
        <f t="shared" si="3856"/>
        <v>0</v>
      </c>
      <c r="AA882" s="450">
        <f t="shared" si="3856"/>
        <v>0</v>
      </c>
      <c r="AB882" s="992"/>
      <c r="AC882" s="258">
        <f t="shared" ref="AC882:AG882" si="3857">AC872+AC861</f>
        <v>0</v>
      </c>
      <c r="AD882" s="354">
        <f t="shared" si="3857"/>
        <v>0</v>
      </c>
      <c r="AE882" s="354">
        <f t="shared" si="3857"/>
        <v>0</v>
      </c>
      <c r="AF882" s="354">
        <f t="shared" si="3857"/>
        <v>0</v>
      </c>
      <c r="AG882" s="354">
        <f t="shared" si="3857"/>
        <v>0</v>
      </c>
      <c r="AH882" s="995"/>
      <c r="AI882" s="400"/>
      <c r="AJ882"/>
      <c r="AL882" s="427"/>
      <c r="AM882" s="397"/>
      <c r="AN882" s="397"/>
      <c r="AO882" s="397"/>
      <c r="AP882" s="1036"/>
      <c r="AQ882" s="353">
        <f t="shared" ref="AQ882:AS882" si="3858">SUM(AQ861,AQ872)</f>
        <v>0</v>
      </c>
      <c r="AR882" s="354">
        <f t="shared" si="3858"/>
        <v>0</v>
      </c>
      <c r="AS882" s="450">
        <f t="shared" si="3858"/>
        <v>0</v>
      </c>
    </row>
    <row r="883" spans="1:71" ht="12.75" customHeight="1">
      <c r="E883" s="4122"/>
      <c r="F883" s="1393" t="s">
        <v>579</v>
      </c>
      <c r="G883" s="427"/>
      <c r="H883" s="397"/>
      <c r="I883" s="397"/>
      <c r="J883" s="397"/>
      <c r="K883" s="1036"/>
      <c r="L883" s="353">
        <f t="shared" si="3847"/>
        <v>964695.3984158457</v>
      </c>
      <c r="M883" s="354">
        <f t="shared" si="3847"/>
        <v>965670.21114497434</v>
      </c>
      <c r="N883" s="354">
        <f t="shared" si="3847"/>
        <v>255202.2</v>
      </c>
      <c r="O883" s="354">
        <f t="shared" si="3847"/>
        <v>1683079.9093275815</v>
      </c>
      <c r="P883" s="450">
        <f t="shared" si="3847"/>
        <v>1033849.4565323077</v>
      </c>
      <c r="Q883" s="447">
        <f t="shared" si="3847"/>
        <v>1018852.2169057066</v>
      </c>
      <c r="R883" s="354">
        <f t="shared" si="3847"/>
        <v>1026354.6991775685</v>
      </c>
      <c r="S883" s="354">
        <f t="shared" si="3847"/>
        <v>1036040.5891165866</v>
      </c>
      <c r="T883" s="354">
        <f t="shared" si="3847"/>
        <v>1048823.8824765075</v>
      </c>
      <c r="U883" s="450">
        <f t="shared" si="3847"/>
        <v>1062721.8355305726</v>
      </c>
      <c r="W883" s="353">
        <f t="shared" ref="W883:AA883" si="3859">W873+W862</f>
        <v>0</v>
      </c>
      <c r="X883" s="354">
        <f t="shared" si="3859"/>
        <v>0</v>
      </c>
      <c r="Y883" s="354">
        <f t="shared" si="3859"/>
        <v>0</v>
      </c>
      <c r="Z883" s="354">
        <f t="shared" si="3859"/>
        <v>0</v>
      </c>
      <c r="AA883" s="450">
        <f t="shared" si="3859"/>
        <v>0</v>
      </c>
      <c r="AB883" s="992"/>
      <c r="AC883" s="258">
        <f t="shared" ref="AC883:AG883" si="3860">AC873+AC862</f>
        <v>1233.0801741448249</v>
      </c>
      <c r="AD883" s="354">
        <f t="shared" si="3860"/>
        <v>1235.1104180998423</v>
      </c>
      <c r="AE883" s="354">
        <f t="shared" si="3860"/>
        <v>1240.1525525728507</v>
      </c>
      <c r="AF883" s="354">
        <f t="shared" si="3860"/>
        <v>1243.265059944378</v>
      </c>
      <c r="AG883" s="354">
        <f t="shared" si="3860"/>
        <v>1250.2932675569741</v>
      </c>
      <c r="AH883" s="995">
        <f t="shared" ref="AH883:AH888" si="3861">SUM(L883:P883)/SUM(AC883:AG883)-1</f>
        <v>789.48291839239448</v>
      </c>
      <c r="AI883" s="400"/>
      <c r="AJ883"/>
      <c r="AL883" s="427"/>
      <c r="AM883" s="397"/>
      <c r="AN883" s="397"/>
      <c r="AO883" s="397"/>
      <c r="AP883" s="1036"/>
      <c r="AQ883" s="353">
        <f t="shared" ref="AQ883:AS883" si="3862">SUM(AQ862,AQ873)</f>
        <v>0</v>
      </c>
      <c r="AR883" s="354">
        <f t="shared" si="3862"/>
        <v>0</v>
      </c>
      <c r="AS883" s="450">
        <f t="shared" si="3862"/>
        <v>0</v>
      </c>
    </row>
    <row r="884" spans="1:71" ht="12.75" customHeight="1">
      <c r="E884" s="4122"/>
      <c r="F884" s="1394" t="s">
        <v>583</v>
      </c>
      <c r="G884" s="353">
        <f t="shared" ref="G884:K886" si="3863">SUM(G863,G874)</f>
        <v>0</v>
      </c>
      <c r="H884" s="354">
        <f t="shared" si="3863"/>
        <v>0</v>
      </c>
      <c r="I884" s="354">
        <f t="shared" si="3863"/>
        <v>0</v>
      </c>
      <c r="J884" s="354">
        <f t="shared" si="3863"/>
        <v>0</v>
      </c>
      <c r="K884" s="450">
        <f t="shared" si="3863"/>
        <v>0</v>
      </c>
      <c r="L884" s="353">
        <f t="shared" si="3847"/>
        <v>0</v>
      </c>
      <c r="M884" s="354">
        <f t="shared" si="3847"/>
        <v>0</v>
      </c>
      <c r="N884" s="354">
        <f t="shared" si="3847"/>
        <v>0</v>
      </c>
      <c r="O884" s="354">
        <f t="shared" si="3847"/>
        <v>0</v>
      </c>
      <c r="P884" s="450">
        <f t="shared" si="3847"/>
        <v>0</v>
      </c>
      <c r="Q884" s="447">
        <f t="shared" si="3847"/>
        <v>0</v>
      </c>
      <c r="R884" s="354">
        <f t="shared" si="3847"/>
        <v>0</v>
      </c>
      <c r="S884" s="354">
        <f t="shared" si="3847"/>
        <v>0</v>
      </c>
      <c r="T884" s="354">
        <f t="shared" si="3847"/>
        <v>0</v>
      </c>
      <c r="U884" s="450">
        <f t="shared" si="3847"/>
        <v>0</v>
      </c>
      <c r="W884" s="353">
        <f t="shared" ref="W884:AA884" si="3864">W874+W863</f>
        <v>0</v>
      </c>
      <c r="X884" s="354">
        <f t="shared" si="3864"/>
        <v>0</v>
      </c>
      <c r="Y884" s="354">
        <f t="shared" si="3864"/>
        <v>0</v>
      </c>
      <c r="Z884" s="354">
        <f t="shared" si="3864"/>
        <v>0</v>
      </c>
      <c r="AA884" s="450">
        <f t="shared" si="3864"/>
        <v>0</v>
      </c>
      <c r="AB884" s="992"/>
      <c r="AC884" s="353">
        <f t="shared" ref="AC884:AG884" si="3865">AC874+AC863</f>
        <v>0</v>
      </c>
      <c r="AD884" s="354">
        <f t="shared" si="3865"/>
        <v>0</v>
      </c>
      <c r="AE884" s="354">
        <f t="shared" si="3865"/>
        <v>0</v>
      </c>
      <c r="AF884" s="354">
        <f t="shared" si="3865"/>
        <v>0</v>
      </c>
      <c r="AG884" s="354">
        <f t="shared" si="3865"/>
        <v>0</v>
      </c>
      <c r="AH884" s="995"/>
      <c r="AI884" s="400"/>
      <c r="AJ884"/>
      <c r="AL884" s="353">
        <f t="shared" ref="AL884:AS884" si="3866">SUM(AL863,AL874)</f>
        <v>0</v>
      </c>
      <c r="AM884" s="354">
        <f t="shared" si="3866"/>
        <v>0</v>
      </c>
      <c r="AN884" s="354">
        <f t="shared" si="3866"/>
        <v>0</v>
      </c>
      <c r="AO884" s="354">
        <f t="shared" si="3866"/>
        <v>0</v>
      </c>
      <c r="AP884" s="450">
        <f t="shared" si="3866"/>
        <v>0</v>
      </c>
      <c r="AQ884" s="353">
        <f t="shared" si="3866"/>
        <v>0</v>
      </c>
      <c r="AR884" s="354">
        <f t="shared" si="3866"/>
        <v>0</v>
      </c>
      <c r="AS884" s="450">
        <f t="shared" si="3866"/>
        <v>0</v>
      </c>
    </row>
    <row r="885" spans="1:71" ht="12.75" customHeight="1">
      <c r="E885" s="4122"/>
      <c r="F885" s="1395" t="s">
        <v>581</v>
      </c>
      <c r="G885" s="353">
        <f t="shared" si="3863"/>
        <v>0</v>
      </c>
      <c r="H885" s="354">
        <f t="shared" si="3863"/>
        <v>0</v>
      </c>
      <c r="I885" s="354">
        <f t="shared" si="3863"/>
        <v>0</v>
      </c>
      <c r="J885" s="354">
        <f t="shared" si="3863"/>
        <v>0</v>
      </c>
      <c r="K885" s="450">
        <f t="shared" si="3863"/>
        <v>0</v>
      </c>
      <c r="L885" s="353">
        <f t="shared" si="3847"/>
        <v>0</v>
      </c>
      <c r="M885" s="354">
        <f t="shared" si="3847"/>
        <v>0</v>
      </c>
      <c r="N885" s="354">
        <f t="shared" si="3847"/>
        <v>0</v>
      </c>
      <c r="O885" s="354">
        <f t="shared" si="3847"/>
        <v>0</v>
      </c>
      <c r="P885" s="450">
        <f t="shared" si="3847"/>
        <v>0</v>
      </c>
      <c r="Q885" s="447">
        <f t="shared" si="3847"/>
        <v>0</v>
      </c>
      <c r="R885" s="354">
        <f t="shared" si="3847"/>
        <v>0</v>
      </c>
      <c r="S885" s="354">
        <f t="shared" si="3847"/>
        <v>0</v>
      </c>
      <c r="T885" s="354">
        <f t="shared" si="3847"/>
        <v>0</v>
      </c>
      <c r="U885" s="450">
        <f t="shared" si="3847"/>
        <v>0</v>
      </c>
      <c r="W885" s="353">
        <f t="shared" ref="W885:AA885" si="3867">W875+W864</f>
        <v>0</v>
      </c>
      <c r="X885" s="354">
        <f t="shared" si="3867"/>
        <v>0</v>
      </c>
      <c r="Y885" s="354">
        <f t="shared" si="3867"/>
        <v>0</v>
      </c>
      <c r="Z885" s="354">
        <f t="shared" si="3867"/>
        <v>0</v>
      </c>
      <c r="AA885" s="450">
        <f t="shared" si="3867"/>
        <v>0</v>
      </c>
      <c r="AB885" s="992"/>
      <c r="AC885" s="353">
        <f t="shared" ref="AC885:AG885" si="3868">AC875+AC864</f>
        <v>0</v>
      </c>
      <c r="AD885" s="354">
        <f t="shared" si="3868"/>
        <v>0</v>
      </c>
      <c r="AE885" s="354">
        <f t="shared" si="3868"/>
        <v>0</v>
      </c>
      <c r="AF885" s="354">
        <f t="shared" si="3868"/>
        <v>0</v>
      </c>
      <c r="AG885" s="354">
        <f t="shared" si="3868"/>
        <v>0</v>
      </c>
      <c r="AH885" s="995"/>
      <c r="AI885" s="400"/>
      <c r="AJ885"/>
      <c r="AL885" s="353">
        <f t="shared" ref="AL885:AS885" si="3869">SUM(AL864,AL875)</f>
        <v>0</v>
      </c>
      <c r="AM885" s="354">
        <f t="shared" si="3869"/>
        <v>0</v>
      </c>
      <c r="AN885" s="354">
        <f t="shared" si="3869"/>
        <v>0</v>
      </c>
      <c r="AO885" s="354">
        <f t="shared" si="3869"/>
        <v>0</v>
      </c>
      <c r="AP885" s="450">
        <f t="shared" si="3869"/>
        <v>0</v>
      </c>
      <c r="AQ885" s="353">
        <f t="shared" si="3869"/>
        <v>0</v>
      </c>
      <c r="AR885" s="354">
        <f t="shared" si="3869"/>
        <v>0</v>
      </c>
      <c r="AS885" s="450">
        <f t="shared" si="3869"/>
        <v>0</v>
      </c>
    </row>
    <row r="886" spans="1:71">
      <c r="E886" s="4122"/>
      <c r="F886" s="1396" t="s">
        <v>584</v>
      </c>
      <c r="G886" s="446">
        <f t="shared" si="3863"/>
        <v>0</v>
      </c>
      <c r="H886" s="416">
        <f t="shared" si="3863"/>
        <v>0</v>
      </c>
      <c r="I886" s="416">
        <f t="shared" si="3863"/>
        <v>0</v>
      </c>
      <c r="J886" s="416">
        <f t="shared" si="3863"/>
        <v>0</v>
      </c>
      <c r="K886" s="440">
        <f t="shared" si="3863"/>
        <v>0</v>
      </c>
      <c r="L886" s="1118">
        <f t="shared" si="3847"/>
        <v>964695.3984158457</v>
      </c>
      <c r="M886" s="1119">
        <f t="shared" si="3847"/>
        <v>965670.21114497434</v>
      </c>
      <c r="N886" s="1119">
        <f t="shared" si="3847"/>
        <v>255202.2</v>
      </c>
      <c r="O886" s="1119">
        <f t="shared" si="3847"/>
        <v>1683079.9093275815</v>
      </c>
      <c r="P886" s="1120">
        <f t="shared" si="3847"/>
        <v>1033849.4565323077</v>
      </c>
      <c r="Q886" s="434">
        <f t="shared" si="3847"/>
        <v>1018852.2169057066</v>
      </c>
      <c r="R886" s="416">
        <f t="shared" si="3847"/>
        <v>1026354.6991775685</v>
      </c>
      <c r="S886" s="416">
        <f t="shared" si="3847"/>
        <v>1036040.5891165866</v>
      </c>
      <c r="T886" s="416">
        <f t="shared" si="3847"/>
        <v>1048823.8824765075</v>
      </c>
      <c r="U886" s="440">
        <f t="shared" si="3847"/>
        <v>1062721.8355305726</v>
      </c>
      <c r="W886" s="1118">
        <f t="shared" ref="W886:AA886" si="3870">W876+W865</f>
        <v>0</v>
      </c>
      <c r="X886" s="1119">
        <f t="shared" si="3870"/>
        <v>0</v>
      </c>
      <c r="Y886" s="1119">
        <f t="shared" si="3870"/>
        <v>0</v>
      </c>
      <c r="Z886" s="1119">
        <f t="shared" si="3870"/>
        <v>0</v>
      </c>
      <c r="AA886" s="1120">
        <f t="shared" si="3870"/>
        <v>0</v>
      </c>
      <c r="AB886" s="1133"/>
      <c r="AC886" s="1118">
        <f t="shared" ref="AC886:AG886" si="3871">AC876+AC865</f>
        <v>1233.0801741448249</v>
      </c>
      <c r="AD886" s="1119">
        <f t="shared" si="3871"/>
        <v>1235.1104180998423</v>
      </c>
      <c r="AE886" s="1119">
        <f t="shared" si="3871"/>
        <v>1240.1525525728507</v>
      </c>
      <c r="AF886" s="1119">
        <f t="shared" si="3871"/>
        <v>1243.265059944378</v>
      </c>
      <c r="AG886" s="1119">
        <f t="shared" si="3871"/>
        <v>1250.2932675569741</v>
      </c>
      <c r="AH886" s="1139">
        <f t="shared" si="3861"/>
        <v>789.48291839239448</v>
      </c>
      <c r="AI886" s="400"/>
      <c r="AJ886"/>
      <c r="AL886" s="446">
        <f t="shared" ref="AL886:AS886" si="3872">SUM(AL865,AL876)</f>
        <v>0</v>
      </c>
      <c r="AM886" s="416"/>
      <c r="AN886" s="416">
        <f t="shared" si="3872"/>
        <v>0</v>
      </c>
      <c r="AO886" s="416">
        <f t="shared" si="3872"/>
        <v>0</v>
      </c>
      <c r="AP886" s="440">
        <f t="shared" si="3872"/>
        <v>0</v>
      </c>
      <c r="AQ886" s="1118">
        <f t="shared" si="3872"/>
        <v>0</v>
      </c>
      <c r="AR886" s="1119">
        <f t="shared" si="3872"/>
        <v>0</v>
      </c>
      <c r="AS886" s="1120">
        <f t="shared" si="3872"/>
        <v>0</v>
      </c>
    </row>
    <row r="887" spans="1:71" ht="12.75" customHeight="1">
      <c r="E887" s="4122"/>
      <c r="F887" s="1398" t="s">
        <v>35</v>
      </c>
      <c r="G887" s="441">
        <f ca="1">SUMIF($F$73:$AH$191,"Less customer contributions",G191:G875)</f>
        <v>0</v>
      </c>
      <c r="H887" s="414">
        <f ca="1">SUMIF($F$73:$AH$191,"Less customer contributions",H191:H875)</f>
        <v>0</v>
      </c>
      <c r="I887" s="414">
        <f>SUM(I866,I877)</f>
        <v>0</v>
      </c>
      <c r="J887" s="414">
        <f>SUM(J866,J877)</f>
        <v>0</v>
      </c>
      <c r="K887" s="452">
        <f>SUM(K866,K877)</f>
        <v>0</v>
      </c>
      <c r="L887" s="1115">
        <f t="shared" si="3847"/>
        <v>0</v>
      </c>
      <c r="M887" s="1116">
        <f t="shared" si="3847"/>
        <v>0</v>
      </c>
      <c r="N887" s="1116">
        <f t="shared" si="3847"/>
        <v>0</v>
      </c>
      <c r="O887" s="1116">
        <f t="shared" si="3847"/>
        <v>0</v>
      </c>
      <c r="P887" s="1117">
        <f t="shared" si="3847"/>
        <v>0</v>
      </c>
      <c r="Q887" s="448">
        <f t="shared" si="3847"/>
        <v>0</v>
      </c>
      <c r="R887" s="414">
        <f t="shared" si="3847"/>
        <v>0</v>
      </c>
      <c r="S887" s="414">
        <f t="shared" si="3847"/>
        <v>0</v>
      </c>
      <c r="T887" s="414">
        <f t="shared" si="3847"/>
        <v>0</v>
      </c>
      <c r="U887" s="452">
        <f t="shared" si="3847"/>
        <v>0</v>
      </c>
      <c r="W887" s="1115">
        <f t="shared" ref="W887:AA887" si="3873">W877+W866</f>
        <v>0</v>
      </c>
      <c r="X887" s="1116">
        <f t="shared" si="3873"/>
        <v>0</v>
      </c>
      <c r="Y887" s="1116">
        <f t="shared" si="3873"/>
        <v>0</v>
      </c>
      <c r="Z887" s="1116">
        <f t="shared" si="3873"/>
        <v>0</v>
      </c>
      <c r="AA887" s="1117">
        <f t="shared" si="3873"/>
        <v>0</v>
      </c>
      <c r="AB887" s="1132"/>
      <c r="AC887" s="1115">
        <f t="shared" ref="AC887:AG887" si="3874">AC877+AC866</f>
        <v>0</v>
      </c>
      <c r="AD887" s="1116">
        <f t="shared" si="3874"/>
        <v>0</v>
      </c>
      <c r="AE887" s="1116">
        <f t="shared" si="3874"/>
        <v>0</v>
      </c>
      <c r="AF887" s="1116">
        <f t="shared" si="3874"/>
        <v>0</v>
      </c>
      <c r="AG887" s="1116">
        <f t="shared" si="3874"/>
        <v>0</v>
      </c>
      <c r="AH887" s="1137"/>
      <c r="AI887" s="400"/>
      <c r="AJ887"/>
      <c r="AL887" s="441"/>
      <c r="AM887" s="414"/>
      <c r="AN887" s="414"/>
      <c r="AO887" s="414"/>
      <c r="AP887" s="452"/>
      <c r="AQ887" s="1115"/>
      <c r="AR887" s="1116"/>
      <c r="AS887" s="1117"/>
    </row>
    <row r="888" spans="1:71" ht="26.25" customHeight="1" thickBot="1">
      <c r="E888" s="4122"/>
      <c r="F888" s="1397" t="s">
        <v>585</v>
      </c>
      <c r="G888" s="430">
        <f t="shared" ref="G888:K888" ca="1" si="3875">G886-G887</f>
        <v>0</v>
      </c>
      <c r="H888" s="418">
        <f t="shared" ca="1" si="3875"/>
        <v>0</v>
      </c>
      <c r="I888" s="418">
        <f t="shared" si="3875"/>
        <v>0</v>
      </c>
      <c r="J888" s="418">
        <f t="shared" si="3875"/>
        <v>0</v>
      </c>
      <c r="K888" s="444">
        <f t="shared" si="3875"/>
        <v>0</v>
      </c>
      <c r="L888" s="1124">
        <f t="shared" si="3847"/>
        <v>964695.3984158457</v>
      </c>
      <c r="M888" s="1125">
        <f t="shared" si="3847"/>
        <v>965670.21114497434</v>
      </c>
      <c r="N888" s="1125">
        <f t="shared" si="3847"/>
        <v>255202.2</v>
      </c>
      <c r="O888" s="1125">
        <f t="shared" si="3847"/>
        <v>1683079.9093275815</v>
      </c>
      <c r="P888" s="1126">
        <f t="shared" si="3847"/>
        <v>1033849.4565323077</v>
      </c>
      <c r="Q888" s="422">
        <f t="shared" si="3847"/>
        <v>1018852.2169057066</v>
      </c>
      <c r="R888" s="418">
        <f t="shared" si="3847"/>
        <v>1026354.6991775685</v>
      </c>
      <c r="S888" s="418">
        <f t="shared" si="3847"/>
        <v>1036040.5891165866</v>
      </c>
      <c r="T888" s="418">
        <f t="shared" si="3847"/>
        <v>1048823.8824765075</v>
      </c>
      <c r="U888" s="444">
        <f t="shared" si="3847"/>
        <v>1062721.8355305726</v>
      </c>
      <c r="W888" s="1124">
        <f t="shared" ref="W888:AA888" si="3876">W878+W867</f>
        <v>0</v>
      </c>
      <c r="X888" s="1125">
        <f t="shared" si="3876"/>
        <v>0</v>
      </c>
      <c r="Y888" s="1125">
        <f t="shared" si="3876"/>
        <v>0</v>
      </c>
      <c r="Z888" s="1125">
        <f t="shared" si="3876"/>
        <v>0</v>
      </c>
      <c r="AA888" s="1126">
        <f t="shared" si="3876"/>
        <v>0</v>
      </c>
      <c r="AB888" s="1135"/>
      <c r="AC888" s="1124">
        <f t="shared" ref="AC888:AG888" si="3877">AC878+AC867</f>
        <v>1233.0801741448249</v>
      </c>
      <c r="AD888" s="1125">
        <f t="shared" si="3877"/>
        <v>1235.1104180998423</v>
      </c>
      <c r="AE888" s="1125">
        <f t="shared" si="3877"/>
        <v>1240.1525525728507</v>
      </c>
      <c r="AF888" s="1125">
        <f t="shared" si="3877"/>
        <v>1243.265059944378</v>
      </c>
      <c r="AG888" s="1125">
        <f t="shared" si="3877"/>
        <v>1250.2932675569741</v>
      </c>
      <c r="AH888" s="1141">
        <f t="shared" si="3861"/>
        <v>789.48291839239448</v>
      </c>
      <c r="AI888" s="400"/>
      <c r="AJ888"/>
      <c r="AL888" s="430"/>
      <c r="AM888" s="418"/>
      <c r="AN888" s="418"/>
      <c r="AO888" s="418"/>
      <c r="AP888" s="444"/>
      <c r="AQ888" s="1124"/>
      <c r="AR888" s="1125"/>
      <c r="AS888" s="1126"/>
    </row>
    <row r="889" spans="1:71" s="69" customFormat="1" ht="45.75" customHeight="1" thickBot="1">
      <c r="A889" s="75"/>
      <c r="B889" s="75"/>
      <c r="C889" s="75"/>
      <c r="D889" s="75"/>
      <c r="E889" s="1382" t="s">
        <v>121</v>
      </c>
      <c r="F889" s="263"/>
      <c r="G889" s="407"/>
      <c r="H889" s="407"/>
      <c r="I889" s="407"/>
      <c r="J889" s="407"/>
      <c r="K889" s="407"/>
      <c r="L889" s="4085" t="s">
        <v>1566</v>
      </c>
      <c r="M889" s="4086"/>
      <c r="N889" s="4086"/>
      <c r="O889" s="4086" t="s">
        <v>1786</v>
      </c>
      <c r="P889" s="4086"/>
      <c r="Q889" s="4086"/>
      <c r="R889" s="4086"/>
      <c r="S889" s="4086"/>
      <c r="T889" s="4086"/>
      <c r="U889" s="4125"/>
      <c r="V889" s="449"/>
      <c r="W889" s="2968"/>
      <c r="X889" s="2968"/>
      <c r="Y889" s="2968"/>
      <c r="Z889" s="2968"/>
      <c r="AA889" s="2968"/>
      <c r="AB889" s="2968"/>
      <c r="AC889" s="3983" t="s">
        <v>1788</v>
      </c>
      <c r="AD889" s="3983"/>
      <c r="AE889" s="3983"/>
      <c r="AF889" s="3983"/>
      <c r="AG889" s="3983"/>
      <c r="AH889" s="3984"/>
      <c r="AJ889" s="65"/>
      <c r="AK889" s="74"/>
      <c r="AL889" s="1685"/>
      <c r="AM889" s="1686"/>
      <c r="AN889" s="1686"/>
      <c r="AO889" s="1686"/>
      <c r="AP889" s="1686"/>
      <c r="AQ889" s="1686"/>
      <c r="AR889" s="1686"/>
      <c r="AS889" s="1687"/>
      <c r="AT889" s="74"/>
      <c r="AU889" s="74"/>
      <c r="AV889" s="74"/>
      <c r="AW889" s="74"/>
      <c r="AX889" s="74"/>
      <c r="AY889" s="74"/>
      <c r="AZ889" s="74"/>
      <c r="BA889" s="74"/>
      <c r="BB889" s="74"/>
      <c r="BC889" s="74"/>
      <c r="BD889" s="74"/>
      <c r="BE889" s="74"/>
      <c r="BF889" s="74"/>
      <c r="BG889" s="74"/>
      <c r="BH889" s="74"/>
      <c r="BI889" s="74"/>
      <c r="BJ889" s="74"/>
      <c r="BK889" s="74"/>
      <c r="BL889" s="74"/>
      <c r="BM889" s="74"/>
      <c r="BN889" s="74"/>
      <c r="BO889" s="74"/>
      <c r="BP889" s="74"/>
      <c r="BQ889" s="74"/>
      <c r="BR889" s="74"/>
      <c r="BS889" s="74"/>
    </row>
    <row r="890" spans="1:71" ht="18.75" customHeight="1" thickBot="1">
      <c r="W890" s="474"/>
      <c r="X890" s="474"/>
      <c r="Y890" s="474"/>
      <c r="Z890" s="474"/>
      <c r="AA890" s="474"/>
      <c r="AB890" s="474"/>
      <c r="AC890" s="399"/>
      <c r="AD890" s="474"/>
      <c r="AE890" s="474"/>
      <c r="AF890" s="474"/>
      <c r="AG890" s="474"/>
      <c r="AH890" s="474"/>
      <c r="AI890" s="400"/>
      <c r="AJ890"/>
    </row>
    <row r="891" spans="1:71" s="395" customFormat="1" ht="16.5" thickBot="1">
      <c r="E891" s="252" t="s">
        <v>483</v>
      </c>
      <c r="F891" s="454"/>
      <c r="G891" s="454"/>
      <c r="H891" s="454"/>
      <c r="I891" s="454"/>
      <c r="J891" s="454"/>
      <c r="K891" s="454"/>
      <c r="L891" s="454"/>
      <c r="M891" s="454"/>
      <c r="N891" s="454"/>
      <c r="O891" s="454"/>
      <c r="P891" s="454"/>
      <c r="Q891" s="454"/>
      <c r="R891" s="454"/>
      <c r="S891" s="454"/>
      <c r="T891" s="454"/>
      <c r="U891" s="424"/>
      <c r="V891"/>
      <c r="W891" s="454"/>
      <c r="X891" s="454"/>
      <c r="Y891" s="454"/>
      <c r="Z891" s="454"/>
      <c r="AA891" s="454"/>
      <c r="AB891" s="454"/>
      <c r="AC891" s="454"/>
      <c r="AD891" s="454"/>
      <c r="AE891" s="454"/>
      <c r="AF891" s="454"/>
      <c r="AG891" s="454"/>
      <c r="AH891" s="454"/>
      <c r="AI891" s="65"/>
      <c r="AL891" s="1662"/>
      <c r="AM891" s="454"/>
      <c r="AN891" s="454"/>
      <c r="AO891" s="454"/>
      <c r="AP891" s="454"/>
      <c r="AQ891" s="454"/>
      <c r="AR891" s="454"/>
      <c r="AS891" s="424"/>
    </row>
    <row r="892" spans="1:71">
      <c r="E892" s="4111"/>
      <c r="F892" s="1399" t="s">
        <v>579</v>
      </c>
      <c r="G892" s="426">
        <f>G879+G844</f>
        <v>8609159</v>
      </c>
      <c r="H892" s="453">
        <f t="shared" ref="H892:U892" si="3878">H879+H844</f>
        <v>8360971</v>
      </c>
      <c r="I892" s="453">
        <f t="shared" si="3878"/>
        <v>11012071</v>
      </c>
      <c r="J892" s="453">
        <f t="shared" si="3878"/>
        <v>13004328</v>
      </c>
      <c r="K892" s="526">
        <f t="shared" si="3878"/>
        <v>18916964</v>
      </c>
      <c r="L892" s="1572">
        <f t="shared" si="3878"/>
        <v>14351668.09</v>
      </c>
      <c r="M892" s="437">
        <f t="shared" si="3878"/>
        <v>20434771.350000001</v>
      </c>
      <c r="N892" s="437">
        <f t="shared" si="3878"/>
        <v>20366425.780000001</v>
      </c>
      <c r="O892" s="437">
        <f t="shared" si="3878"/>
        <v>15197530.556456693</v>
      </c>
      <c r="P892" s="436">
        <f t="shared" si="3878"/>
        <v>26023779.445344754</v>
      </c>
      <c r="Q892" s="1569">
        <f t="shared" si="3878"/>
        <v>30076871.055414498</v>
      </c>
      <c r="R892" s="437">
        <f t="shared" si="3878"/>
        <v>27576030.149159774</v>
      </c>
      <c r="S892" s="437">
        <f t="shared" si="3878"/>
        <v>29160377.010742746</v>
      </c>
      <c r="T892" s="437">
        <f t="shared" si="3878"/>
        <v>20995547.291901991</v>
      </c>
      <c r="U892" s="436">
        <f t="shared" si="3878"/>
        <v>19927735.380563635</v>
      </c>
      <c r="W892" s="1572">
        <f t="shared" ref="W892:AA892" si="3879">W879+W844</f>
        <v>14328943.634734375</v>
      </c>
      <c r="X892" s="437">
        <f t="shared" si="3879"/>
        <v>14655045.471958956</v>
      </c>
      <c r="Y892" s="437">
        <f t="shared" si="3879"/>
        <v>14988568.819865137</v>
      </c>
      <c r="Z892" s="437">
        <f t="shared" si="3879"/>
        <v>15329682.579129057</v>
      </c>
      <c r="AA892" s="436">
        <f t="shared" si="3879"/>
        <v>15678559.494312506</v>
      </c>
      <c r="AB892" s="1045">
        <f t="shared" ref="AB892:AB897" si="3880">SUM(G892:K892)/SUM(W892:AA892)-1</f>
        <v>-0.2010822370526858</v>
      </c>
      <c r="AC892" s="1572">
        <f t="shared" ref="AC892:AG892" si="3881">AC879+AC844</f>
        <v>23848.51947368501</v>
      </c>
      <c r="AD892" s="437">
        <f t="shared" si="3881"/>
        <v>24832.702834806973</v>
      </c>
      <c r="AE892" s="437">
        <f t="shared" si="3881"/>
        <v>27814.786876222093</v>
      </c>
      <c r="AF892" s="437">
        <f t="shared" si="3881"/>
        <v>23626.983817948683</v>
      </c>
      <c r="AG892" s="437">
        <f t="shared" si="3881"/>
        <v>15151.102068286762</v>
      </c>
      <c r="AH892" s="17" t="e">
        <f>SUM(#REF!,AH885)</f>
        <v>#REF!</v>
      </c>
      <c r="AI892" s="400"/>
      <c r="AJ892"/>
      <c r="AL892" s="1521"/>
      <c r="AM892" s="453"/>
      <c r="AN892" s="453"/>
      <c r="AO892" s="453"/>
      <c r="AP892" s="526"/>
      <c r="AQ892" s="1572">
        <f ca="1">SUM(AQ844,AQ883)</f>
        <v>0</v>
      </c>
      <c r="AR892" s="437">
        <f>SUM(AS844,AR883)</f>
        <v>0</v>
      </c>
      <c r="AS892" s="436">
        <f t="shared" ref="AS892" si="3882">SUM(AS844,AS883)</f>
        <v>0</v>
      </c>
    </row>
    <row r="893" spans="1:71">
      <c r="E893" s="4112"/>
      <c r="F893" s="532" t="s">
        <v>583</v>
      </c>
      <c r="G893" s="353">
        <f>G884+G845</f>
        <v>1614991.0966689279</v>
      </c>
      <c r="H893" s="354">
        <f t="shared" ref="H893:U893" si="3883">H884+H845</f>
        <v>1332017.4001614091</v>
      </c>
      <c r="I893" s="354">
        <f t="shared" si="3883"/>
        <v>2005683.0050878969</v>
      </c>
      <c r="J893" s="354">
        <f t="shared" si="3883"/>
        <v>2107840.3175369478</v>
      </c>
      <c r="K893" s="450">
        <f t="shared" si="3883"/>
        <v>3518327.0312803965</v>
      </c>
      <c r="L893" s="353">
        <f t="shared" si="3883"/>
        <v>0</v>
      </c>
      <c r="M893" s="354">
        <f t="shared" si="3883"/>
        <v>0</v>
      </c>
      <c r="N893" s="354">
        <f t="shared" si="3883"/>
        <v>0</v>
      </c>
      <c r="O893" s="354">
        <f t="shared" si="3883"/>
        <v>1818847.7260803441</v>
      </c>
      <c r="P893" s="450">
        <f t="shared" si="3883"/>
        <v>1951477.0262005376</v>
      </c>
      <c r="Q893" s="447">
        <f t="shared" si="3883"/>
        <v>2093023.8250104738</v>
      </c>
      <c r="R893" s="354">
        <f t="shared" si="3883"/>
        <v>2038753.436346421</v>
      </c>
      <c r="S893" s="354">
        <f t="shared" si="3883"/>
        <v>2189294.9280233672</v>
      </c>
      <c r="T893" s="354">
        <f t="shared" si="3883"/>
        <v>1681216.0364660597</v>
      </c>
      <c r="U893" s="450">
        <f t="shared" si="3883"/>
        <v>1618544.3537369501</v>
      </c>
      <c r="W893" s="353">
        <f t="shared" ref="W893:AA893" si="3884">W884+W845</f>
        <v>0</v>
      </c>
      <c r="X893" s="354">
        <f t="shared" si="3884"/>
        <v>0</v>
      </c>
      <c r="Y893" s="354">
        <f t="shared" si="3884"/>
        <v>0</v>
      </c>
      <c r="Z893" s="354">
        <f t="shared" si="3884"/>
        <v>0</v>
      </c>
      <c r="AA893" s="450">
        <f t="shared" si="3884"/>
        <v>0</v>
      </c>
      <c r="AB893" s="992"/>
      <c r="AC893" s="353">
        <f t="shared" ref="AC893:AG893" si="3885">AC884+AC845</f>
        <v>0</v>
      </c>
      <c r="AD893" s="354">
        <f t="shared" si="3885"/>
        <v>0</v>
      </c>
      <c r="AE893" s="354">
        <f t="shared" si="3885"/>
        <v>0</v>
      </c>
      <c r="AF893" s="354">
        <f t="shared" si="3885"/>
        <v>0</v>
      </c>
      <c r="AG893" s="354">
        <f t="shared" si="3885"/>
        <v>0</v>
      </c>
      <c r="AH893" s="995"/>
      <c r="AI893" s="400"/>
      <c r="AJ893"/>
      <c r="AL893" s="353">
        <f ca="1">SUM(AL845,AL884)</f>
        <v>0</v>
      </c>
      <c r="AM893" s="354">
        <f ca="1">SUM(AM845,AM884)</f>
        <v>0</v>
      </c>
      <c r="AN893" s="354">
        <f ca="1">SUM(AN845,AN884)</f>
        <v>0</v>
      </c>
      <c r="AO893" s="354">
        <f ca="1">SUM(AO845,AO884)</f>
        <v>0</v>
      </c>
      <c r="AP893" s="450">
        <f ca="1">SUM(AP845,AP884)</f>
        <v>0</v>
      </c>
      <c r="AQ893" s="353">
        <f ca="1">SUM(AQ845,AQ884)</f>
        <v>0</v>
      </c>
      <c r="AR893" s="354">
        <f>SUM(AS845,AR884)</f>
        <v>0</v>
      </c>
      <c r="AS893" s="450">
        <f t="shared" ref="AS893" si="3886">SUM(AS845,AS884)</f>
        <v>0</v>
      </c>
    </row>
    <row r="894" spans="1:71">
      <c r="E894" s="4112"/>
      <c r="F894" s="1380" t="s">
        <v>581</v>
      </c>
      <c r="G894" s="353">
        <f ca="1">G885+G846</f>
        <v>0</v>
      </c>
      <c r="H894" s="354">
        <f t="shared" ref="H894:U894" ca="1" si="3887">H885+H846</f>
        <v>0</v>
      </c>
      <c r="I894" s="354">
        <f t="shared" ca="1" si="3887"/>
        <v>0</v>
      </c>
      <c r="J894" s="354">
        <f t="shared" ca="1" si="3887"/>
        <v>0</v>
      </c>
      <c r="K894" s="450">
        <f t="shared" ca="1" si="3887"/>
        <v>0</v>
      </c>
      <c r="L894" s="353">
        <f t="shared" si="3887"/>
        <v>0</v>
      </c>
      <c r="M894" s="354">
        <f t="shared" si="3887"/>
        <v>0</v>
      </c>
      <c r="N894" s="354">
        <f t="shared" si="3887"/>
        <v>0</v>
      </c>
      <c r="O894" s="354">
        <f t="shared" si="3887"/>
        <v>0</v>
      </c>
      <c r="P894" s="450">
        <f t="shared" si="3887"/>
        <v>0</v>
      </c>
      <c r="Q894" s="447">
        <f t="shared" si="3887"/>
        <v>0</v>
      </c>
      <c r="R894" s="354">
        <f t="shared" si="3887"/>
        <v>0</v>
      </c>
      <c r="S894" s="354">
        <f t="shared" si="3887"/>
        <v>0</v>
      </c>
      <c r="T894" s="354">
        <f t="shared" si="3887"/>
        <v>0</v>
      </c>
      <c r="U894" s="450">
        <f t="shared" si="3887"/>
        <v>0</v>
      </c>
      <c r="W894" s="353">
        <f t="shared" ref="W894:AA894" si="3888">W885+W846</f>
        <v>0</v>
      </c>
      <c r="X894" s="354">
        <f t="shared" si="3888"/>
        <v>0</v>
      </c>
      <c r="Y894" s="354">
        <f t="shared" si="3888"/>
        <v>0</v>
      </c>
      <c r="Z894" s="354">
        <f t="shared" si="3888"/>
        <v>0</v>
      </c>
      <c r="AA894" s="450">
        <f t="shared" si="3888"/>
        <v>0</v>
      </c>
      <c r="AB894" s="992"/>
      <c r="AC894" s="353">
        <f t="shared" ref="AC894:AG894" si="3889">AC885+AC846</f>
        <v>0</v>
      </c>
      <c r="AD894" s="354">
        <f t="shared" si="3889"/>
        <v>0</v>
      </c>
      <c r="AE894" s="354">
        <f t="shared" si="3889"/>
        <v>0</v>
      </c>
      <c r="AF894" s="354">
        <f t="shared" si="3889"/>
        <v>0</v>
      </c>
      <c r="AG894" s="354">
        <f t="shared" si="3889"/>
        <v>0</v>
      </c>
      <c r="AH894" s="995"/>
      <c r="AI894" s="400"/>
      <c r="AJ894"/>
      <c r="AL894" s="353">
        <f t="shared" ref="AL894:AR894" ca="1" si="3890">SUMIF($F$73:$AH$838,"Related party margin",AL839:AL891)</f>
        <v>0</v>
      </c>
      <c r="AM894" s="354">
        <f t="shared" ca="1" si="3890"/>
        <v>0</v>
      </c>
      <c r="AN894" s="354">
        <f t="shared" ca="1" si="3890"/>
        <v>0</v>
      </c>
      <c r="AO894" s="354">
        <f t="shared" ca="1" si="3890"/>
        <v>0</v>
      </c>
      <c r="AP894" s="450">
        <f t="shared" ca="1" si="3890"/>
        <v>0</v>
      </c>
      <c r="AQ894" s="353">
        <f t="shared" ca="1" si="3890"/>
        <v>0</v>
      </c>
      <c r="AR894" s="354">
        <f t="shared" ca="1" si="3890"/>
        <v>0</v>
      </c>
      <c r="AS894" s="450">
        <f ca="1">SUMIF($F$73:$AH$838,"Related party margin",AR839:AR891)</f>
        <v>0</v>
      </c>
    </row>
    <row r="895" spans="1:71">
      <c r="E895" s="4112"/>
      <c r="F895" s="1400" t="s">
        <v>584</v>
      </c>
      <c r="G895" s="846">
        <f ca="1">G886+G847</f>
        <v>10224150.096668929</v>
      </c>
      <c r="H895" s="841">
        <f t="shared" ref="H895:U895" ca="1" si="3891">H886+H847</f>
        <v>9692988.4001614098</v>
      </c>
      <c r="I895" s="841">
        <f t="shared" ca="1" si="3891"/>
        <v>13017754.005087897</v>
      </c>
      <c r="J895" s="841">
        <f t="shared" ca="1" si="3891"/>
        <v>15112168.317536948</v>
      </c>
      <c r="K895" s="847">
        <f t="shared" ca="1" si="3891"/>
        <v>22435291.031280398</v>
      </c>
      <c r="L895" s="846">
        <f t="shared" si="3891"/>
        <v>15316363.488415845</v>
      </c>
      <c r="M895" s="841">
        <f t="shared" si="3891"/>
        <v>21400441.561144974</v>
      </c>
      <c r="N895" s="841">
        <f t="shared" si="3891"/>
        <v>20621627.98</v>
      </c>
      <c r="O895" s="841">
        <f t="shared" si="3891"/>
        <v>18699458.191864617</v>
      </c>
      <c r="P895" s="847">
        <f t="shared" si="3891"/>
        <v>29009105.928077597</v>
      </c>
      <c r="Q895" s="1570">
        <f t="shared" si="3891"/>
        <v>33188747.097330678</v>
      </c>
      <c r="R895" s="841">
        <f t="shared" si="3891"/>
        <v>30641138.284683764</v>
      </c>
      <c r="S895" s="841">
        <f t="shared" si="3891"/>
        <v>32385712.527882703</v>
      </c>
      <c r="T895" s="841">
        <f t="shared" si="3891"/>
        <v>23725587.210844558</v>
      </c>
      <c r="U895" s="847">
        <f t="shared" si="3891"/>
        <v>22609001.569831155</v>
      </c>
      <c r="W895" s="846">
        <f t="shared" ref="W895:AA895" si="3892">W886+W847</f>
        <v>14328943.634734375</v>
      </c>
      <c r="X895" s="841">
        <f t="shared" si="3892"/>
        <v>14655045.471958956</v>
      </c>
      <c r="Y895" s="841">
        <f t="shared" si="3892"/>
        <v>14988568.819865137</v>
      </c>
      <c r="Z895" s="841">
        <f t="shared" si="3892"/>
        <v>15329682.579129057</v>
      </c>
      <c r="AA895" s="847">
        <f t="shared" si="3892"/>
        <v>15678559.494312506</v>
      </c>
      <c r="AB895" s="1053">
        <f t="shared" ca="1" si="3880"/>
        <v>-5.999466729168601E-2</v>
      </c>
      <c r="AC895" s="846">
        <f t="shared" ref="AC895:AG895" si="3893">AC886+AC847</f>
        <v>25081.599647829833</v>
      </c>
      <c r="AD895" s="841">
        <f t="shared" si="3893"/>
        <v>26067.813252906813</v>
      </c>
      <c r="AE895" s="841">
        <f t="shared" si="3893"/>
        <v>29054.939428794944</v>
      </c>
      <c r="AF895" s="841">
        <f t="shared" si="3893"/>
        <v>24870.24887789306</v>
      </c>
      <c r="AG895" s="841">
        <f t="shared" si="3893"/>
        <v>16401.395335843736</v>
      </c>
      <c r="AH895" s="18"/>
      <c r="AI895" s="400"/>
      <c r="AJ895"/>
      <c r="AL895" s="846">
        <f t="shared" ref="AL895:AQ895" ca="1" si="3894">SUM(AL847,AL886)</f>
        <v>0</v>
      </c>
      <c r="AM895" s="841">
        <f t="shared" ca="1" si="3894"/>
        <v>0</v>
      </c>
      <c r="AN895" s="841">
        <f t="shared" ca="1" si="3894"/>
        <v>0</v>
      </c>
      <c r="AO895" s="841">
        <f t="shared" ca="1" si="3894"/>
        <v>0</v>
      </c>
      <c r="AP895" s="847">
        <f t="shared" ca="1" si="3894"/>
        <v>0</v>
      </c>
      <c r="AQ895" s="846">
        <f t="shared" ca="1" si="3894"/>
        <v>0</v>
      </c>
      <c r="AR895" s="841">
        <f>SUM(AS847,AR886)</f>
        <v>0</v>
      </c>
      <c r="AS895" s="847">
        <f t="shared" ref="AS895" si="3895">SUM(AS847,AS886)</f>
        <v>0</v>
      </c>
    </row>
    <row r="896" spans="1:71">
      <c r="E896" s="4112"/>
      <c r="F896" s="1402" t="s">
        <v>35</v>
      </c>
      <c r="G896" s="353">
        <f ca="1">G887+G848</f>
        <v>0</v>
      </c>
      <c r="H896" s="354">
        <f t="shared" ref="H896:U896" ca="1" si="3896">H887+H848</f>
        <v>0</v>
      </c>
      <c r="I896" s="354">
        <f t="shared" ca="1" si="3896"/>
        <v>0</v>
      </c>
      <c r="J896" s="354">
        <f t="shared" ca="1" si="3896"/>
        <v>0</v>
      </c>
      <c r="K896" s="450">
        <f t="shared" ca="1" si="3896"/>
        <v>0</v>
      </c>
      <c r="L896" s="353">
        <f t="shared" si="3896"/>
        <v>0</v>
      </c>
      <c r="M896" s="354">
        <f t="shared" si="3896"/>
        <v>0</v>
      </c>
      <c r="N896" s="354">
        <f t="shared" si="3896"/>
        <v>0</v>
      </c>
      <c r="O896" s="354">
        <f t="shared" si="3896"/>
        <v>0</v>
      </c>
      <c r="P896" s="450">
        <f t="shared" si="3896"/>
        <v>0</v>
      </c>
      <c r="Q896" s="447">
        <f t="shared" si="3896"/>
        <v>0</v>
      </c>
      <c r="R896" s="354">
        <f t="shared" si="3896"/>
        <v>0</v>
      </c>
      <c r="S896" s="354">
        <f t="shared" si="3896"/>
        <v>0</v>
      </c>
      <c r="T896" s="354">
        <f t="shared" si="3896"/>
        <v>0</v>
      </c>
      <c r="U896" s="450">
        <f t="shared" si="3896"/>
        <v>0</v>
      </c>
      <c r="W896" s="353">
        <f t="shared" ref="W896:AA896" si="3897">W887+W848</f>
        <v>0</v>
      </c>
      <c r="X896" s="354">
        <f t="shared" si="3897"/>
        <v>0</v>
      </c>
      <c r="Y896" s="354">
        <f t="shared" si="3897"/>
        <v>0</v>
      </c>
      <c r="Z896" s="354">
        <f t="shared" si="3897"/>
        <v>0</v>
      </c>
      <c r="AA896" s="450">
        <f t="shared" si="3897"/>
        <v>0</v>
      </c>
      <c r="AB896" s="992"/>
      <c r="AC896" s="353">
        <f t="shared" ref="AC896:AG896" si="3898">AC887+AC848</f>
        <v>0</v>
      </c>
      <c r="AD896" s="354">
        <f t="shared" si="3898"/>
        <v>0</v>
      </c>
      <c r="AE896" s="354">
        <f t="shared" si="3898"/>
        <v>0</v>
      </c>
      <c r="AF896" s="354">
        <f t="shared" si="3898"/>
        <v>0</v>
      </c>
      <c r="AG896" s="354">
        <f t="shared" si="3898"/>
        <v>0</v>
      </c>
      <c r="AH896" s="995"/>
      <c r="AI896" s="400"/>
      <c r="AJ896"/>
      <c r="AL896" s="353">
        <f t="shared" ref="AL896:AR896" ca="1" si="3899">SUMIF($F$73:$AH$838,"Less customer contributions",AL839:AL891)</f>
        <v>0</v>
      </c>
      <c r="AM896" s="354">
        <f t="shared" ca="1" si="3899"/>
        <v>0</v>
      </c>
      <c r="AN896" s="354">
        <f t="shared" ca="1" si="3899"/>
        <v>0</v>
      </c>
      <c r="AO896" s="354">
        <f t="shared" ca="1" si="3899"/>
        <v>0</v>
      </c>
      <c r="AP896" s="450">
        <f t="shared" ca="1" si="3899"/>
        <v>0</v>
      </c>
      <c r="AQ896" s="353">
        <f t="shared" ca="1" si="3899"/>
        <v>0</v>
      </c>
      <c r="AR896" s="354">
        <f t="shared" ca="1" si="3899"/>
        <v>0</v>
      </c>
      <c r="AS896" s="450">
        <f ca="1">SUMIF($F$73:$AH$838,"Less customer contributions",AR839:AR891)</f>
        <v>0</v>
      </c>
    </row>
    <row r="897" spans="1:71" ht="13.5" thickBot="1">
      <c r="E897" s="4113"/>
      <c r="F897" s="1401" t="s">
        <v>585</v>
      </c>
      <c r="G897" s="1109">
        <f t="shared" ref="G897" ca="1" si="3900">G895-G896</f>
        <v>10224150.096668929</v>
      </c>
      <c r="H897" s="1110">
        <f t="shared" ref="H897:U897" ca="1" si="3901">H895-H896</f>
        <v>9692988.4001614098</v>
      </c>
      <c r="I897" s="1110">
        <f t="shared" ca="1" si="3901"/>
        <v>13017754.005087897</v>
      </c>
      <c r="J897" s="1110">
        <f t="shared" ca="1" si="3901"/>
        <v>15112168.317536948</v>
      </c>
      <c r="K897" s="1111">
        <f t="shared" ca="1" si="3901"/>
        <v>22435291.031280398</v>
      </c>
      <c r="L897" s="1573">
        <f t="shared" si="3901"/>
        <v>15316363.488415845</v>
      </c>
      <c r="M897" s="1110">
        <f t="shared" si="3901"/>
        <v>21400441.561144974</v>
      </c>
      <c r="N897" s="1110">
        <f t="shared" si="3901"/>
        <v>20621627.98</v>
      </c>
      <c r="O897" s="1110">
        <f t="shared" si="3901"/>
        <v>18699458.191864617</v>
      </c>
      <c r="P897" s="1111">
        <f t="shared" si="3901"/>
        <v>29009105.928077597</v>
      </c>
      <c r="Q897" s="1571">
        <f t="shared" si="3901"/>
        <v>33188747.097330678</v>
      </c>
      <c r="R897" s="1110">
        <f t="shared" si="3901"/>
        <v>30641138.284683764</v>
      </c>
      <c r="S897" s="1110">
        <f t="shared" si="3901"/>
        <v>32385712.527882703</v>
      </c>
      <c r="T897" s="1110">
        <f t="shared" si="3901"/>
        <v>23725587.210844558</v>
      </c>
      <c r="U897" s="1111">
        <f t="shared" si="3901"/>
        <v>22609001.569831155</v>
      </c>
      <c r="W897" s="1573">
        <f t="shared" ref="W897:AA897" si="3902">W895-W896</f>
        <v>14328943.634734375</v>
      </c>
      <c r="X897" s="1110">
        <f t="shared" si="3902"/>
        <v>14655045.471958956</v>
      </c>
      <c r="Y897" s="1110">
        <f t="shared" si="3902"/>
        <v>14988568.819865137</v>
      </c>
      <c r="Z897" s="1110">
        <f t="shared" si="3902"/>
        <v>15329682.579129057</v>
      </c>
      <c r="AA897" s="1111">
        <f t="shared" si="3902"/>
        <v>15678559.494312506</v>
      </c>
      <c r="AB897" s="1143">
        <f t="shared" ca="1" si="3880"/>
        <v>-5.999466729168601E-2</v>
      </c>
      <c r="AC897" s="1573">
        <f t="shared" ref="AC897:AG897" si="3903">AC895-AC896</f>
        <v>25081.599647829833</v>
      </c>
      <c r="AD897" s="1110">
        <f t="shared" si="3903"/>
        <v>26067.813252906813</v>
      </c>
      <c r="AE897" s="1110">
        <f t="shared" si="3903"/>
        <v>29054.939428794944</v>
      </c>
      <c r="AF897" s="1110">
        <f t="shared" si="3903"/>
        <v>24870.24887789306</v>
      </c>
      <c r="AG897" s="1110">
        <f t="shared" si="3903"/>
        <v>16401.395335843736</v>
      </c>
      <c r="AH897" s="9"/>
      <c r="AI897" s="400"/>
      <c r="AJ897"/>
      <c r="AL897" s="1573">
        <f t="shared" ref="AL897:AS897" ca="1" si="3904">AL895-AL896</f>
        <v>0</v>
      </c>
      <c r="AM897" s="1110">
        <f t="shared" ca="1" si="3904"/>
        <v>0</v>
      </c>
      <c r="AN897" s="1110">
        <f t="shared" ca="1" si="3904"/>
        <v>0</v>
      </c>
      <c r="AO897" s="1110">
        <f t="shared" ca="1" si="3904"/>
        <v>0</v>
      </c>
      <c r="AP897" s="1111">
        <f t="shared" ca="1" si="3904"/>
        <v>0</v>
      </c>
      <c r="AQ897" s="1573">
        <f t="shared" ca="1" si="3904"/>
        <v>0</v>
      </c>
      <c r="AR897" s="1110">
        <f t="shared" ca="1" si="3904"/>
        <v>0</v>
      </c>
      <c r="AS897" s="1111">
        <f t="shared" ca="1" si="3904"/>
        <v>0</v>
      </c>
    </row>
    <row r="898" spans="1:71" s="69" customFormat="1" ht="45.75" customHeight="1" thickBot="1">
      <c r="A898" s="75"/>
      <c r="B898" s="75"/>
      <c r="C898" s="75"/>
      <c r="D898" s="75"/>
      <c r="E898" s="1381" t="s">
        <v>121</v>
      </c>
      <c r="F898" s="337" t="s">
        <v>2110</v>
      </c>
      <c r="G898" s="419"/>
      <c r="H898" s="419"/>
      <c r="I898" s="419"/>
      <c r="J898" s="419"/>
      <c r="K898" s="419"/>
      <c r="L898" s="419"/>
      <c r="M898" s="419"/>
      <c r="N898" s="419"/>
      <c r="O898" s="419"/>
      <c r="P898" s="419"/>
      <c r="Q898" s="419"/>
      <c r="R898" s="419"/>
      <c r="S898" s="419"/>
      <c r="T898" s="419"/>
      <c r="U898" s="406"/>
      <c r="V898" s="449"/>
      <c r="W898" s="419"/>
      <c r="X898" s="419"/>
      <c r="Y898" s="419"/>
      <c r="Z898" s="419"/>
      <c r="AA898" s="419"/>
      <c r="AB898" s="419"/>
      <c r="AC898" s="419"/>
      <c r="AD898" s="419"/>
      <c r="AE898" s="419"/>
      <c r="AF898" s="419"/>
      <c r="AG898" s="419"/>
      <c r="AH898" s="442"/>
      <c r="AJ898" s="65"/>
      <c r="AK898" s="74"/>
      <c r="AL898" s="1685"/>
      <c r="AM898" s="1686"/>
      <c r="AN898" s="1686"/>
      <c r="AO898" s="1686"/>
      <c r="AP898" s="1686"/>
      <c r="AQ898" s="1686"/>
      <c r="AR898" s="1686"/>
      <c r="AS898" s="1687"/>
      <c r="AT898" s="74"/>
      <c r="AU898" s="74"/>
      <c r="AV898" s="74"/>
      <c r="AW898" s="74"/>
      <c r="AX898" s="74"/>
      <c r="AY898" s="74"/>
      <c r="AZ898" s="74"/>
      <c r="BA898" s="74"/>
      <c r="BB898" s="74"/>
      <c r="BC898" s="74"/>
      <c r="BD898" s="74"/>
      <c r="BE898" s="74"/>
      <c r="BF898" s="74"/>
      <c r="BG898" s="74"/>
      <c r="BH898" s="74"/>
      <c r="BI898" s="74"/>
      <c r="BJ898" s="74"/>
      <c r="BK898" s="74"/>
      <c r="BL898" s="74"/>
      <c r="BM898" s="74"/>
      <c r="BN898" s="74"/>
      <c r="BO898" s="74"/>
      <c r="BP898" s="74"/>
      <c r="BQ898" s="74"/>
      <c r="BR898" s="74"/>
      <c r="BS898" s="74"/>
    </row>
    <row r="906" spans="1:71">
      <c r="F906" s="140"/>
    </row>
  </sheetData>
  <mergeCells count="101">
    <mergeCell ref="G850:I850"/>
    <mergeCell ref="AC850:AH850"/>
    <mergeCell ref="L889:N889"/>
    <mergeCell ref="O889:U889"/>
    <mergeCell ref="AC889:AH889"/>
    <mergeCell ref="L850:N850"/>
    <mergeCell ref="O850:U850"/>
    <mergeCell ref="W850:AA850"/>
    <mergeCell ref="W855:AA855"/>
    <mergeCell ref="AC855:AG855"/>
    <mergeCell ref="W853:AB853"/>
    <mergeCell ref="AC853:AH853"/>
    <mergeCell ref="W854:AA854"/>
    <mergeCell ref="AC854:AG854"/>
    <mergeCell ref="Q853:U853"/>
    <mergeCell ref="E770:E786"/>
    <mergeCell ref="E804:E820"/>
    <mergeCell ref="E821:E837"/>
    <mergeCell ref="E668:E684"/>
    <mergeCell ref="E685:E701"/>
    <mergeCell ref="E702:E718"/>
    <mergeCell ref="E719:E735"/>
    <mergeCell ref="E736:E752"/>
    <mergeCell ref="E787:E803"/>
    <mergeCell ref="E617:E633"/>
    <mergeCell ref="E634:E650"/>
    <mergeCell ref="E651:E667"/>
    <mergeCell ref="E498:E514"/>
    <mergeCell ref="E515:E531"/>
    <mergeCell ref="E532:E548"/>
    <mergeCell ref="E549:E565"/>
    <mergeCell ref="E566:E582"/>
    <mergeCell ref="E753:E769"/>
    <mergeCell ref="E464:E480"/>
    <mergeCell ref="E481:E497"/>
    <mergeCell ref="E328:E344"/>
    <mergeCell ref="E345:E361"/>
    <mergeCell ref="E362:E378"/>
    <mergeCell ref="E379:E395"/>
    <mergeCell ref="E396:E412"/>
    <mergeCell ref="E583:E599"/>
    <mergeCell ref="E600:E616"/>
    <mergeCell ref="E892:E897"/>
    <mergeCell ref="E853:F856"/>
    <mergeCell ref="G853:K853"/>
    <mergeCell ref="L853:P853"/>
    <mergeCell ref="E857:E867"/>
    <mergeCell ref="E868:E878"/>
    <mergeCell ref="E879:E888"/>
    <mergeCell ref="O854:U854"/>
    <mergeCell ref="O855:U855"/>
    <mergeCell ref="G854:N854"/>
    <mergeCell ref="G855:N855"/>
    <mergeCell ref="G19:N19"/>
    <mergeCell ref="G20:N20"/>
    <mergeCell ref="E839:E849"/>
    <mergeCell ref="E73:E89"/>
    <mergeCell ref="E56:E72"/>
    <mergeCell ref="E39:E55"/>
    <mergeCell ref="E22:E38"/>
    <mergeCell ref="E90:E106"/>
    <mergeCell ref="E107:E123"/>
    <mergeCell ref="E124:E140"/>
    <mergeCell ref="E141:E157"/>
    <mergeCell ref="E158:E174"/>
    <mergeCell ref="E175:E191"/>
    <mergeCell ref="E192:E208"/>
    <mergeCell ref="E209:E225"/>
    <mergeCell ref="E226:E242"/>
    <mergeCell ref="E243:E259"/>
    <mergeCell ref="E260:E276"/>
    <mergeCell ref="E277:E293"/>
    <mergeCell ref="E294:E310"/>
    <mergeCell ref="E311:E327"/>
    <mergeCell ref="E413:E429"/>
    <mergeCell ref="E430:E446"/>
    <mergeCell ref="E447:E463"/>
    <mergeCell ref="AL854:AS854"/>
    <mergeCell ref="AL855:AS855"/>
    <mergeCell ref="AL18:AP18"/>
    <mergeCell ref="AQ18:AS18"/>
    <mergeCell ref="AL19:AS19"/>
    <mergeCell ref="AL20:AS20"/>
    <mergeCell ref="AL853:AP853"/>
    <mergeCell ref="AQ853:AS853"/>
    <mergeCell ref="E8:I8"/>
    <mergeCell ref="E9:I9"/>
    <mergeCell ref="E10:I10"/>
    <mergeCell ref="AC19:AG19"/>
    <mergeCell ref="E11:I11"/>
    <mergeCell ref="E18:F21"/>
    <mergeCell ref="G18:K18"/>
    <mergeCell ref="Q18:U18"/>
    <mergeCell ref="W20:AA20"/>
    <mergeCell ref="AC20:AG20"/>
    <mergeCell ref="AC18:AH18"/>
    <mergeCell ref="W18:AB18"/>
    <mergeCell ref="L18:P18"/>
    <mergeCell ref="W19:AA19"/>
    <mergeCell ref="O19:U19"/>
    <mergeCell ref="O20:U20"/>
  </mergeCells>
  <pageMargins left="0.75" right="0.75" top="1" bottom="1" header="0.5" footer="0.5"/>
  <pageSetup paperSize="9" orientation="portrait" horizontalDpi="4294967293" r:id="rId1"/>
  <headerFooter alignWithMargins="0"/>
  <customProperties>
    <customPr name="_pios_id" r:id="rId2"/>
  </customProperties>
  <ignoredErrors>
    <ignoredError sqref="AB840 F839 AH840 AB846 G846:K846 AH846:AH848 G848:K848 G849:H849 AB848" evalError="1"/>
  </ignoredError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autoPageBreaks="0"/>
  </sheetPr>
  <dimension ref="A1:AK387"/>
  <sheetViews>
    <sheetView showGridLines="0" topLeftCell="F304" zoomScale="50" zoomScaleNormal="50" workbookViewId="0">
      <selection activeCell="AF252" sqref="AF252"/>
    </sheetView>
  </sheetViews>
  <sheetFormatPr defaultColWidth="9.140625" defaultRowHeight="12.75" outlineLevelRow="1"/>
  <cols>
    <col min="1" max="3" width="11" style="164" hidden="1" customWidth="1"/>
    <col min="4" max="4" width="23.28515625" style="164" customWidth="1"/>
    <col min="5" max="5" width="44.28515625" style="164" customWidth="1"/>
    <col min="6" max="6" width="65.85546875" style="164" customWidth="1"/>
    <col min="7" max="22" width="15.7109375" style="164" customWidth="1"/>
    <col min="23" max="23" width="36.7109375" style="164" customWidth="1"/>
    <col min="24" max="24" width="3.28515625" customWidth="1"/>
    <col min="25" max="26" width="3" customWidth="1"/>
    <col min="27" max="34" width="15.7109375" style="1172" customWidth="1"/>
    <col min="35" max="16384" width="9.140625" style="164"/>
  </cols>
  <sheetData>
    <row r="1" spans="1:35" s="177" customFormat="1" ht="24" customHeight="1">
      <c r="E1" s="2522" t="str">
        <f>IF(dms_DataQuality="backcast",INDEX(dms_Worksheet_List,MATCH(dms_Model,dms_Model_List))&amp;" BACKCAST",INDEX(dms_Worksheet_List,MATCH(dms_Model,dms_Model_List)))</f>
        <v>REGULATORY REPORTING STATEMENT</v>
      </c>
      <c r="F1" s="491"/>
      <c r="G1" s="491"/>
      <c r="H1" s="179"/>
      <c r="I1" s="179"/>
      <c r="J1" s="179"/>
      <c r="K1" s="179"/>
      <c r="L1" s="179"/>
      <c r="M1" s="179"/>
      <c r="N1" s="179"/>
      <c r="O1" s="179"/>
      <c r="P1" s="179"/>
      <c r="Q1" s="179"/>
      <c r="R1" s="179"/>
      <c r="S1" s="179"/>
      <c r="T1" s="179"/>
      <c r="U1" s="179"/>
      <c r="V1" s="179"/>
      <c r="W1" s="179"/>
      <c r="X1" s="179"/>
      <c r="Y1" s="179"/>
      <c r="Z1" s="179"/>
      <c r="AA1" s="491"/>
      <c r="AB1" s="179"/>
      <c r="AC1" s="179"/>
      <c r="AD1" s="179"/>
      <c r="AE1" s="179"/>
      <c r="AF1" s="179"/>
      <c r="AG1" s="179"/>
      <c r="AH1" s="179"/>
      <c r="AI1" s="65"/>
    </row>
    <row r="2" spans="1:35" s="177" customFormat="1" ht="24" customHeight="1">
      <c r="E2" s="2526" t="str">
        <f>INDEX(dms_TradingNameFull_List,MATCH(dms_TradingName,dms_TradingName_List))</f>
        <v>AusNet Gas Services</v>
      </c>
      <c r="F2" s="180"/>
      <c r="G2" s="180"/>
      <c r="H2" s="179"/>
      <c r="I2" s="179"/>
      <c r="J2" s="179"/>
      <c r="K2" s="179"/>
      <c r="L2" s="179"/>
      <c r="M2" s="179"/>
      <c r="N2" s="179"/>
      <c r="O2" s="179"/>
      <c r="P2" s="179"/>
      <c r="Q2" s="179"/>
      <c r="R2" s="179"/>
      <c r="S2" s="179"/>
      <c r="T2" s="179"/>
      <c r="U2" s="179"/>
      <c r="V2" s="179"/>
      <c r="W2" s="179"/>
      <c r="X2" s="179"/>
      <c r="Y2" s="179"/>
      <c r="Z2" s="179"/>
      <c r="AA2" s="1173"/>
      <c r="AB2" s="179"/>
      <c r="AC2" s="179"/>
      <c r="AD2" s="179"/>
      <c r="AE2" s="179"/>
      <c r="AF2" s="179"/>
      <c r="AG2" s="179"/>
      <c r="AH2" s="179"/>
      <c r="AI2" s="65"/>
    </row>
    <row r="3" spans="1:35" s="177" customFormat="1" ht="24" customHeight="1">
      <c r="E3" s="2526" t="str">
        <f ca="1">IF(SUM(dms_SingleYear_Model)&gt;0,CRY,CONCATENATE(FRCP_y1," to ",dms_MultiYear_FinalYear_Result))</f>
        <v>2018 to 2022</v>
      </c>
      <c r="F3" s="181"/>
      <c r="G3" s="181"/>
      <c r="H3" s="182"/>
      <c r="I3" s="181"/>
      <c r="J3" s="181"/>
      <c r="K3" s="181"/>
      <c r="L3" s="181"/>
      <c r="M3" s="181"/>
      <c r="N3" s="181"/>
      <c r="O3" s="181"/>
      <c r="P3" s="181"/>
      <c r="Q3" s="181"/>
      <c r="R3" s="181"/>
      <c r="S3" s="181"/>
      <c r="T3" s="181"/>
      <c r="U3" s="181"/>
      <c r="V3" s="181"/>
      <c r="W3" s="181"/>
      <c r="X3" s="1171"/>
      <c r="Y3" s="1171"/>
      <c r="Z3" s="1171"/>
      <c r="AA3" s="1171"/>
      <c r="AB3" s="182"/>
      <c r="AC3" s="1171"/>
      <c r="AD3" s="1171"/>
      <c r="AE3" s="1171"/>
      <c r="AF3" s="1171"/>
      <c r="AG3" s="1171"/>
      <c r="AH3" s="1171"/>
      <c r="AI3" s="65"/>
    </row>
    <row r="4" spans="1:35" s="159" customFormat="1" ht="24" customHeight="1">
      <c r="B4" s="10"/>
      <c r="C4" s="12"/>
      <c r="D4"/>
      <c r="E4" s="12" t="s">
        <v>442</v>
      </c>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row>
    <row r="5" spans="1:35" s="474" customFormat="1" ht="25.5" customHeight="1" thickBot="1">
      <c r="A5" s="262"/>
      <c r="B5" s="262"/>
      <c r="C5" s="262"/>
      <c r="D5" s="262"/>
      <c r="E5" s="242"/>
      <c r="F5" s="242"/>
      <c r="G5"/>
      <c r="H5"/>
      <c r="I5"/>
      <c r="J5"/>
      <c r="K5"/>
      <c r="L5"/>
      <c r="M5"/>
      <c r="N5"/>
      <c r="O5"/>
      <c r="P5"/>
      <c r="Q5"/>
      <c r="R5"/>
      <c r="S5"/>
      <c r="T5"/>
      <c r="U5"/>
      <c r="V5"/>
      <c r="W5"/>
      <c r="X5"/>
      <c r="Y5"/>
      <c r="Z5"/>
      <c r="AA5"/>
      <c r="AB5"/>
      <c r="AC5"/>
      <c r="AD5"/>
      <c r="AE5"/>
      <c r="AF5"/>
      <c r="AG5"/>
      <c r="AH5"/>
    </row>
    <row r="6" spans="1:35" s="474" customFormat="1">
      <c r="A6" s="904" t="s">
        <v>186</v>
      </c>
      <c r="B6" s="905" t="s">
        <v>192</v>
      </c>
      <c r="C6" s="910"/>
      <c r="D6" s="262"/>
      <c r="E6" s="153" t="s">
        <v>59</v>
      </c>
      <c r="F6" s="153"/>
      <c r="G6" s="153"/>
      <c r="H6" s="153"/>
      <c r="I6" s="153"/>
      <c r="J6" s="153"/>
      <c r="K6" s="153"/>
      <c r="L6" s="153"/>
      <c r="M6" s="242"/>
      <c r="N6" s="242"/>
      <c r="O6" s="242"/>
      <c r="P6" s="242"/>
      <c r="Q6" s="242"/>
      <c r="R6" s="242"/>
      <c r="S6" s="242"/>
      <c r="U6" s="262"/>
      <c r="V6" s="262"/>
      <c r="W6"/>
      <c r="X6"/>
      <c r="Y6"/>
      <c r="Z6"/>
      <c r="AA6"/>
      <c r="AB6"/>
      <c r="AC6"/>
      <c r="AD6"/>
      <c r="AE6"/>
      <c r="AF6"/>
      <c r="AG6"/>
      <c r="AH6"/>
    </row>
    <row r="7" spans="1:35" s="474" customFormat="1" ht="15.75" customHeight="1">
      <c r="A7" s="906" t="s">
        <v>187</v>
      </c>
      <c r="B7" s="907" t="s">
        <v>193</v>
      </c>
      <c r="C7" s="911"/>
      <c r="D7" s="262"/>
      <c r="E7" s="4077" t="s">
        <v>443</v>
      </c>
      <c r="F7" s="4077"/>
      <c r="G7" s="4077"/>
      <c r="H7" s="4077"/>
      <c r="I7" s="4077"/>
      <c r="J7" s="4077"/>
      <c r="K7" s="4077"/>
      <c r="L7" s="4077"/>
      <c r="M7" s="242"/>
      <c r="N7" s="242"/>
      <c r="O7" s="242"/>
      <c r="P7" s="242"/>
      <c r="Q7" s="242"/>
      <c r="R7" s="242"/>
      <c r="S7" s="242"/>
      <c r="U7" s="262"/>
      <c r="V7" s="262"/>
      <c r="W7"/>
      <c r="X7"/>
      <c r="Y7"/>
      <c r="Z7"/>
      <c r="AA7"/>
      <c r="AB7"/>
      <c r="AC7"/>
      <c r="AD7"/>
      <c r="AE7"/>
      <c r="AF7"/>
      <c r="AG7"/>
      <c r="AH7"/>
    </row>
    <row r="8" spans="1:35" s="69" customFormat="1" ht="34.5" customHeight="1">
      <c r="A8" s="906" t="s">
        <v>188</v>
      </c>
      <c r="B8" s="907" t="s">
        <v>194</v>
      </c>
      <c r="C8" s="912"/>
      <c r="D8" s="361"/>
      <c r="E8" s="4024" t="str">
        <f>CONCATENATE("As set out in cl.6.1 of the ", dms_TradingName, " RIN, for tables 7.1 to 7.2, where the requested data is captured in the ", dms_TradingName, " capex model it is not required to be reentered in the RIN template tables.  If the requested data has not been provided in the ", dms_TradingName, " RIN please enter into the tables. This may require the insertion of new lines in each table.")</f>
        <v>As set out in cl.6.1 of the AusNet (Gas) RIN, for tables 7.1 to 7.2, where the requested data is captured in the AusNet (Gas) capex model it is not required to be reentered in the RIN template tables.  If the requested data has not been provided in the AusNet (Gas) RIN please enter into the tables. This may require the insertion of new lines in each table.</v>
      </c>
      <c r="F8" s="4024"/>
      <c r="G8" s="4024"/>
      <c r="H8" s="4024"/>
      <c r="I8" s="4024"/>
      <c r="J8" s="4024"/>
      <c r="K8" s="4024"/>
      <c r="L8" s="4024"/>
      <c r="M8" s="242"/>
      <c r="N8" s="242"/>
      <c r="O8" s="242"/>
      <c r="P8" s="242"/>
      <c r="Q8" s="242"/>
      <c r="R8" s="242"/>
      <c r="S8" s="242"/>
      <c r="T8" s="484"/>
      <c r="U8" s="484"/>
      <c r="V8" s="484"/>
      <c r="W8"/>
      <c r="X8"/>
      <c r="Y8"/>
      <c r="Z8"/>
      <c r="AA8"/>
      <c r="AB8"/>
      <c r="AC8"/>
      <c r="AD8"/>
      <c r="AE8"/>
      <c r="AF8"/>
      <c r="AG8"/>
      <c r="AH8"/>
    </row>
    <row r="9" spans="1:35" s="69" customFormat="1" ht="39" customHeight="1">
      <c r="A9" s="906" t="s">
        <v>189</v>
      </c>
      <c r="B9" s="907" t="s">
        <v>195</v>
      </c>
      <c r="C9" s="912"/>
      <c r="D9" s="361"/>
      <c r="E9" s="4024" t="s">
        <v>424</v>
      </c>
      <c r="F9" s="4024"/>
      <c r="G9" s="4024"/>
      <c r="H9" s="4024"/>
      <c r="I9" s="4024"/>
      <c r="J9" s="4024"/>
      <c r="K9" s="4024"/>
      <c r="L9" s="4024"/>
      <c r="M9" s="242"/>
      <c r="N9" s="242"/>
      <c r="O9" s="242"/>
      <c r="P9" s="242"/>
      <c r="Q9" s="242"/>
      <c r="R9" s="242"/>
      <c r="S9" s="242"/>
      <c r="T9" s="484"/>
      <c r="U9" s="484"/>
      <c r="V9" s="484"/>
      <c r="W9" s="484"/>
      <c r="X9"/>
      <c r="Y9"/>
      <c r="Z9"/>
      <c r="AA9"/>
      <c r="AB9"/>
      <c r="AC9"/>
      <c r="AD9"/>
      <c r="AE9"/>
      <c r="AF9"/>
      <c r="AG9"/>
      <c r="AH9"/>
    </row>
    <row r="10" spans="1:35" s="94" customFormat="1" ht="34.5" customHeight="1">
      <c r="A10" s="906" t="s">
        <v>185</v>
      </c>
      <c r="B10" s="907" t="s">
        <v>191</v>
      </c>
      <c r="C10" s="913"/>
      <c r="D10" s="486"/>
      <c r="E10" s="4024" t="str">
        <f>CONCATENATE("Subject to cl.6.1 of the ", dms_TradingName, " RIN, where linked/adjustable overhead expenditure and related party margin expenditure is not provided in the ", dms_TradingName, " capex model, overhead expenditure and related party margin expenditure should be linked to allocations derived in tabs '14. Overheads' and '15. Related party transactions'.")</f>
        <v>Subject to cl.6.1 of the AusNet (Gas) RIN, where linked/adjustable overhead expenditure and related party margin expenditure is not provided in the AusNet (Gas) capex model, overhead expenditure and related party margin expenditure should be linked to allocations derived in tabs '14. Overheads' and '15. Related party transactions'.</v>
      </c>
      <c r="F10" s="4024"/>
      <c r="G10" s="4024"/>
      <c r="H10" s="4024"/>
      <c r="I10" s="4024"/>
      <c r="J10" s="4024"/>
      <c r="K10" s="4024"/>
      <c r="L10" s="4024"/>
      <c r="M10" s="487"/>
      <c r="N10" s="487"/>
      <c r="O10" s="488"/>
      <c r="P10" s="488"/>
      <c r="Q10" s="486"/>
      <c r="R10" s="486"/>
      <c r="S10" s="486"/>
      <c r="T10" s="486"/>
      <c r="U10" s="486"/>
      <c r="V10" s="486"/>
      <c r="W10" s="486"/>
      <c r="X10"/>
      <c r="Y10"/>
      <c r="Z10"/>
      <c r="AA10"/>
      <c r="AB10"/>
      <c r="AC10"/>
      <c r="AD10"/>
      <c r="AE10"/>
      <c r="AG10" s="487"/>
      <c r="AH10" s="487"/>
    </row>
    <row r="11" spans="1:35" s="94" customFormat="1" ht="22.5" customHeight="1">
      <c r="A11" s="906" t="s">
        <v>190</v>
      </c>
      <c r="B11" s="907" t="s">
        <v>196</v>
      </c>
      <c r="C11" s="913"/>
      <c r="D11" s="486"/>
      <c r="E11" s="4024" t="s">
        <v>153</v>
      </c>
      <c r="F11" s="4024"/>
      <c r="G11" s="4024"/>
      <c r="H11" s="4078"/>
      <c r="I11" s="4078"/>
      <c r="J11" s="4078"/>
      <c r="K11" s="4078"/>
      <c r="L11" s="4078"/>
      <c r="M11" s="487"/>
      <c r="N11" s="487"/>
      <c r="O11" s="488"/>
      <c r="P11" s="488"/>
      <c r="Q11" s="486"/>
      <c r="R11" s="486"/>
      <c r="S11" s="486"/>
      <c r="T11" s="486"/>
      <c r="U11" s="486"/>
      <c r="V11" s="486"/>
      <c r="W11" s="486"/>
      <c r="X11"/>
      <c r="Y11"/>
      <c r="Z11"/>
      <c r="AA11"/>
      <c r="AB11"/>
      <c r="AC11"/>
      <c r="AD11"/>
      <c r="AE11"/>
      <c r="AG11" s="487"/>
      <c r="AH11" s="487"/>
    </row>
    <row r="12" spans="1:35" s="78" customFormat="1" ht="28.5" customHeight="1" thickBot="1">
      <c r="A12" s="908" t="s">
        <v>265</v>
      </c>
      <c r="B12" s="909" t="s">
        <v>597</v>
      </c>
      <c r="C12" s="914"/>
      <c r="D12" s="262"/>
      <c r="E12" s="508"/>
      <c r="F12" s="508"/>
      <c r="G12" s="508"/>
      <c r="H12" s="262"/>
      <c r="I12" s="262"/>
      <c r="J12" s="262"/>
      <c r="K12" s="262"/>
      <c r="L12" s="262"/>
      <c r="M12" s="262"/>
      <c r="N12" s="262"/>
      <c r="O12" s="262"/>
      <c r="P12" s="262"/>
      <c r="Q12" s="262"/>
      <c r="R12" s="262"/>
      <c r="S12" s="262"/>
      <c r="T12" s="262"/>
      <c r="U12" s="262"/>
      <c r="V12" s="262"/>
      <c r="W12" s="262"/>
      <c r="X12"/>
      <c r="Y12"/>
      <c r="Z12"/>
      <c r="AA12" s="508"/>
      <c r="AB12" s="262"/>
      <c r="AC12" s="262"/>
      <c r="AD12" s="262"/>
      <c r="AE12" s="262"/>
      <c r="AF12" s="262"/>
      <c r="AG12" s="262"/>
      <c r="AH12" s="262"/>
    </row>
    <row r="13" spans="1:35" s="65" customFormat="1" ht="45" customHeight="1" thickBot="1">
      <c r="A13" s="242"/>
      <c r="B13" s="242"/>
      <c r="C13" s="242"/>
      <c r="D13" s="242"/>
      <c r="E13" s="242"/>
      <c r="F13" s="242"/>
      <c r="G13" s="242"/>
      <c r="H13" s="242"/>
      <c r="I13" s="242"/>
      <c r="J13" s="242"/>
      <c r="K13" s="242"/>
      <c r="L13" s="242"/>
      <c r="M13" s="242"/>
      <c r="N13" s="242"/>
      <c r="O13" s="242"/>
      <c r="P13" s="242"/>
      <c r="Q13" s="242"/>
      <c r="R13" s="242"/>
      <c r="S13" s="242"/>
      <c r="T13" s="242"/>
      <c r="U13" s="242"/>
      <c r="V13" s="242"/>
      <c r="W13" s="242"/>
      <c r="X13"/>
      <c r="Y13"/>
      <c r="Z13"/>
      <c r="AA13" s="1174"/>
      <c r="AB13" s="1174"/>
      <c r="AC13" s="1174"/>
      <c r="AD13" s="1174"/>
      <c r="AE13" s="1174"/>
      <c r="AF13" s="1174"/>
      <c r="AG13" s="1174"/>
      <c r="AH13" s="1174"/>
    </row>
    <row r="14" spans="1:35" s="1172" customFormat="1" ht="23.25" customHeight="1" thickBot="1">
      <c r="A14" s="262"/>
      <c r="B14" s="262"/>
      <c r="C14" s="262"/>
      <c r="D14" s="262"/>
      <c r="E14" s="735" t="s">
        <v>484</v>
      </c>
      <c r="F14" s="735"/>
      <c r="G14" s="735"/>
      <c r="H14" s="735"/>
      <c r="I14" s="735"/>
      <c r="J14" s="735"/>
      <c r="K14" s="735"/>
      <c r="L14" s="735"/>
      <c r="M14" s="735"/>
      <c r="N14" s="735"/>
      <c r="O14" s="735"/>
      <c r="P14" s="735"/>
      <c r="Q14" s="735"/>
      <c r="R14" s="735"/>
      <c r="S14" s="735"/>
      <c r="T14" s="735"/>
      <c r="U14" s="735"/>
      <c r="V14" s="735"/>
      <c r="W14" s="735"/>
      <c r="AA14" s="735" t="s">
        <v>642</v>
      </c>
      <c r="AB14" s="735"/>
      <c r="AC14" s="735"/>
      <c r="AD14" s="735"/>
      <c r="AE14" s="735"/>
      <c r="AF14" s="735"/>
      <c r="AG14" s="735"/>
      <c r="AH14" s="1201"/>
    </row>
    <row r="15" spans="1:35" s="65" customFormat="1" ht="23.25" customHeight="1" thickBot="1">
      <c r="A15" s="243"/>
      <c r="B15" s="243"/>
      <c r="C15" s="243"/>
      <c r="D15" s="243"/>
      <c r="E15" s="2760" t="s">
        <v>641</v>
      </c>
      <c r="F15" s="1259"/>
      <c r="G15" s="1259"/>
      <c r="H15" s="1259"/>
      <c r="I15" s="1259"/>
      <c r="J15" s="1259"/>
      <c r="K15" s="1259"/>
      <c r="L15" s="1259"/>
      <c r="M15" s="1259"/>
      <c r="N15" s="1259"/>
      <c r="O15" s="1259"/>
      <c r="P15" s="1259"/>
      <c r="Q15" s="1259"/>
      <c r="R15" s="1259"/>
      <c r="S15" s="1259"/>
      <c r="T15" s="1259"/>
      <c r="U15" s="1259"/>
      <c r="V15" s="1259"/>
      <c r="W15" s="1260"/>
      <c r="X15" s="1172"/>
      <c r="Y15" s="1172"/>
      <c r="Z15" s="1172"/>
      <c r="AA15" s="2760"/>
      <c r="AB15" s="1259"/>
      <c r="AC15" s="1259"/>
      <c r="AD15" s="1259"/>
      <c r="AE15" s="1259"/>
      <c r="AF15" s="1259"/>
      <c r="AG15" s="1259"/>
      <c r="AH15" s="1260"/>
    </row>
    <row r="16" spans="1:35" s="474" customFormat="1" ht="51.75" customHeight="1">
      <c r="A16" s="262"/>
      <c r="B16" s="262"/>
      <c r="C16" s="262"/>
      <c r="D16" s="262"/>
      <c r="E16" s="244"/>
      <c r="F16" s="521"/>
      <c r="G16" s="4073" t="s">
        <v>36</v>
      </c>
      <c r="H16" s="3997"/>
      <c r="I16" s="3997"/>
      <c r="J16" s="3997"/>
      <c r="K16" s="3997"/>
      <c r="L16" s="4074" t="s">
        <v>37</v>
      </c>
      <c r="M16" s="4075"/>
      <c r="N16" s="4075"/>
      <c r="O16" s="4075"/>
      <c r="P16" s="4075"/>
      <c r="Q16" s="4149" t="s">
        <v>336</v>
      </c>
      <c r="R16" s="3960" t="s">
        <v>73</v>
      </c>
      <c r="S16" s="3997"/>
      <c r="T16" s="3997"/>
      <c r="U16" s="3997"/>
      <c r="V16" s="4038"/>
      <c r="W16" s="4150" t="s">
        <v>154</v>
      </c>
      <c r="X16" s="1172"/>
      <c r="Y16" s="1172"/>
      <c r="Z16" s="1172"/>
      <c r="AA16" s="4073" t="s">
        <v>36</v>
      </c>
      <c r="AB16" s="3997"/>
      <c r="AC16" s="3997"/>
      <c r="AD16" s="3997"/>
      <c r="AE16" s="3997"/>
      <c r="AF16" s="4074" t="s">
        <v>37</v>
      </c>
      <c r="AG16" s="4075"/>
      <c r="AH16" s="4082"/>
    </row>
    <row r="17" spans="1:34" s="474" customFormat="1" ht="36" customHeight="1">
      <c r="A17" s="262"/>
      <c r="B17" s="262"/>
      <c r="C17" s="262"/>
      <c r="D17" s="262"/>
      <c r="E17" s="1179"/>
      <c r="F17" s="522"/>
      <c r="G17" s="3985" t="s">
        <v>543</v>
      </c>
      <c r="H17" s="3986"/>
      <c r="I17" s="3986"/>
      <c r="J17" s="3986"/>
      <c r="K17" s="3986"/>
      <c r="L17" s="3986"/>
      <c r="M17" s="3986"/>
      <c r="N17" s="3986"/>
      <c r="O17" s="3989" t="s">
        <v>542</v>
      </c>
      <c r="P17" s="4076"/>
      <c r="Q17" s="4040"/>
      <c r="R17" s="3992" t="str">
        <f>CONCATENATE("$0's, real ",dms_DollarReal)</f>
        <v>$0's, real December 2017</v>
      </c>
      <c r="S17" s="3992"/>
      <c r="T17" s="3992"/>
      <c r="U17" s="3992"/>
      <c r="V17" s="4152"/>
      <c r="W17" s="4151"/>
      <c r="X17" s="1172"/>
      <c r="Y17" s="1172"/>
      <c r="Z17" s="1172"/>
      <c r="AA17" s="3985" t="str">
        <f>CONCATENATE("$0's, real ",dms_DollarReal)</f>
        <v>$0's, real December 2017</v>
      </c>
      <c r="AB17" s="3986"/>
      <c r="AC17" s="3986"/>
      <c r="AD17" s="3986"/>
      <c r="AE17" s="3986"/>
      <c r="AF17" s="3986"/>
      <c r="AG17" s="3986"/>
      <c r="AH17" s="4030"/>
    </row>
    <row r="18" spans="1:34" s="474" customFormat="1" ht="35.25" customHeight="1">
      <c r="A18" s="373" t="s">
        <v>183</v>
      </c>
      <c r="B18" s="373" t="s">
        <v>184</v>
      </c>
      <c r="C18" s="507" t="s">
        <v>197</v>
      </c>
      <c r="D18" s="242"/>
      <c r="E18" s="1179"/>
      <c r="F18" s="522"/>
      <c r="G18" s="3985" t="s">
        <v>54</v>
      </c>
      <c r="H18" s="3986"/>
      <c r="I18" s="3986"/>
      <c r="J18" s="3986"/>
      <c r="K18" s="3986"/>
      <c r="L18" s="3986"/>
      <c r="M18" s="3986"/>
      <c r="N18" s="3987"/>
      <c r="O18" s="3988" t="s">
        <v>55</v>
      </c>
      <c r="P18" s="4076"/>
      <c r="Q18" s="3456" t="s">
        <v>327</v>
      </c>
      <c r="R18" s="3992" t="s">
        <v>55</v>
      </c>
      <c r="S18" s="3992"/>
      <c r="T18" s="3992"/>
      <c r="U18" s="3992"/>
      <c r="V18" s="4152"/>
      <c r="W18" s="4151"/>
      <c r="X18" s="1172"/>
      <c r="Y18" s="1172"/>
      <c r="Z18" s="1172"/>
      <c r="AA18" s="3985" t="s">
        <v>54</v>
      </c>
      <c r="AB18" s="3986"/>
      <c r="AC18" s="3986"/>
      <c r="AD18" s="3986"/>
      <c r="AE18" s="3986"/>
      <c r="AF18" s="3986"/>
      <c r="AG18" s="3986"/>
      <c r="AH18" s="4030"/>
    </row>
    <row r="19" spans="1:34" s="474" customFormat="1" ht="21" customHeight="1" thickBot="1">
      <c r="A19" s="65"/>
      <c r="B19" s="65"/>
      <c r="C19" s="65"/>
      <c r="D19" s="242"/>
      <c r="E19" s="3478"/>
      <c r="F19" s="3546"/>
      <c r="G19" s="1206">
        <f t="array" ref="G19:K19">PRCP</f>
        <v>2008</v>
      </c>
      <c r="H19" s="1207">
        <v>2009</v>
      </c>
      <c r="I19" s="1207">
        <v>2010</v>
      </c>
      <c r="J19" s="1207">
        <v>2011</v>
      </c>
      <c r="K19" s="1207">
        <v>2012</v>
      </c>
      <c r="L19" s="347">
        <f>CRCP_y1</f>
        <v>2013</v>
      </c>
      <c r="M19" s="347">
        <f>CRCP_y2</f>
        <v>2014</v>
      </c>
      <c r="N19" s="347">
        <f>CRCP_y3</f>
        <v>2015</v>
      </c>
      <c r="O19" s="347">
        <f>CRCP_y4</f>
        <v>2016</v>
      </c>
      <c r="P19" s="347">
        <f>CRCP_y5</f>
        <v>2017</v>
      </c>
      <c r="Q19" s="348" t="s">
        <v>112</v>
      </c>
      <c r="R19" s="1207" t="str">
        <f t="array" ref="R19:V19">FRCP</f>
        <v>2018</v>
      </c>
      <c r="S19" s="1207">
        <v>2019</v>
      </c>
      <c r="T19" s="1207">
        <v>2020</v>
      </c>
      <c r="U19" s="1207">
        <v>2021</v>
      </c>
      <c r="V19" s="349">
        <v>2022</v>
      </c>
      <c r="W19" s="350"/>
      <c r="X19" s="1172"/>
      <c r="Y19" s="1172"/>
      <c r="Z19" s="1172"/>
      <c r="AA19" s="1206">
        <f t="array" ref="AA19:AE19">PRCP</f>
        <v>2008</v>
      </c>
      <c r="AB19" s="1207">
        <v>2009</v>
      </c>
      <c r="AC19" s="1207">
        <v>2010</v>
      </c>
      <c r="AD19" s="1207">
        <v>2011</v>
      </c>
      <c r="AE19" s="1207">
        <v>2012</v>
      </c>
      <c r="AF19" s="347">
        <f>CRCP_y1</f>
        <v>2013</v>
      </c>
      <c r="AG19" s="347">
        <f>CRCP_y2</f>
        <v>2014</v>
      </c>
      <c r="AH19" s="1645">
        <f>CRCP_y3</f>
        <v>2015</v>
      </c>
    </row>
    <row r="20" spans="1:34" s="78" customFormat="1" ht="40.5" customHeight="1" thickBot="1">
      <c r="A20" s="262"/>
      <c r="B20" s="262"/>
      <c r="C20" s="262"/>
      <c r="D20" s="262"/>
      <c r="E20" s="4135" t="s">
        <v>1549</v>
      </c>
      <c r="F20" s="4136"/>
      <c r="G20" s="1581"/>
      <c r="H20" s="1582"/>
      <c r="I20" s="1582"/>
      <c r="J20" s="1582"/>
      <c r="K20" s="1582"/>
      <c r="L20" s="1582"/>
      <c r="M20" s="1582"/>
      <c r="N20" s="1582"/>
      <c r="O20" s="1582"/>
      <c r="P20" s="1582"/>
      <c r="Q20" s="1582"/>
      <c r="R20" s="1582"/>
      <c r="S20" s="1582"/>
      <c r="T20" s="1582"/>
      <c r="U20" s="1582"/>
      <c r="V20" s="1582"/>
      <c r="W20" s="1583"/>
      <c r="X20" s="1172"/>
      <c r="Y20" s="1172"/>
      <c r="Z20" s="1172"/>
      <c r="AA20" s="1693"/>
      <c r="AB20" s="1582"/>
      <c r="AC20" s="1582"/>
      <c r="AD20" s="1582"/>
      <c r="AE20" s="1582"/>
      <c r="AF20" s="1582"/>
      <c r="AG20" s="1582"/>
      <c r="AH20" s="1583"/>
    </row>
    <row r="21" spans="1:34" s="474" customFormat="1" ht="27.75" customHeight="1" outlineLevel="1">
      <c r="A21" s="78"/>
      <c r="B21" s="78"/>
      <c r="C21" s="78"/>
      <c r="D21" s="262"/>
      <c r="E21" s="3457" t="s">
        <v>1524</v>
      </c>
      <c r="F21" s="842" t="s">
        <v>593</v>
      </c>
      <c r="G21" s="1574"/>
      <c r="H21" s="1575"/>
      <c r="I21" s="1575"/>
      <c r="J21" s="1575"/>
      <c r="K21" s="1584"/>
      <c r="L21" s="538"/>
      <c r="M21" s="539"/>
      <c r="N21" s="539"/>
      <c r="O21" s="539"/>
      <c r="P21" s="540"/>
      <c r="Q21" s="1182"/>
      <c r="R21" s="539"/>
      <c r="S21" s="539"/>
      <c r="T21" s="539"/>
      <c r="U21" s="539"/>
      <c r="V21" s="540"/>
      <c r="W21" s="4140"/>
      <c r="X21" s="1172"/>
      <c r="Y21" s="1172"/>
      <c r="Z21" s="1172"/>
      <c r="AA21" s="527"/>
      <c r="AB21" s="528"/>
      <c r="AC21" s="528"/>
      <c r="AD21" s="528"/>
      <c r="AE21" s="529"/>
      <c r="AF21" s="538"/>
      <c r="AG21" s="539"/>
      <c r="AH21" s="540"/>
    </row>
    <row r="22" spans="1:34" s="474" customFormat="1" ht="12.75" customHeight="1" outlineLevel="1">
      <c r="A22" s="78"/>
      <c r="B22" s="78"/>
      <c r="C22" s="78"/>
      <c r="D22" s="262"/>
      <c r="E22" s="498"/>
      <c r="F22" s="516" t="s">
        <v>559</v>
      </c>
      <c r="G22" s="1576"/>
      <c r="H22" s="1577"/>
      <c r="I22" s="1577"/>
      <c r="J22" s="1577"/>
      <c r="K22" s="1585"/>
      <c r="L22" s="459">
        <v>64144.670000000006</v>
      </c>
      <c r="M22" s="458"/>
      <c r="N22" s="458"/>
      <c r="O22" s="458"/>
      <c r="P22" s="460"/>
      <c r="Q22" s="1183"/>
      <c r="R22" s="413"/>
      <c r="S22" s="458"/>
      <c r="T22" s="458"/>
      <c r="U22" s="458"/>
      <c r="V22" s="460"/>
      <c r="W22" s="4141"/>
      <c r="X22" s="1172"/>
      <c r="Y22" s="1172"/>
      <c r="Z22" s="1172"/>
      <c r="AA22" s="470"/>
      <c r="AB22" s="468"/>
      <c r="AC22" s="468"/>
      <c r="AD22" s="468"/>
      <c r="AE22" s="530"/>
      <c r="AF22" s="462"/>
      <c r="AG22" s="463"/>
      <c r="AH22" s="464"/>
    </row>
    <row r="23" spans="1:34" s="474" customFormat="1" ht="12.75" customHeight="1" outlineLevel="1">
      <c r="D23" s="262"/>
      <c r="E23" s="498"/>
      <c r="F23" s="516" t="s">
        <v>558</v>
      </c>
      <c r="G23" s="1576"/>
      <c r="H23" s="1577"/>
      <c r="I23" s="1577"/>
      <c r="J23" s="1577"/>
      <c r="K23" s="1585"/>
      <c r="L23" s="459">
        <v>50017</v>
      </c>
      <c r="M23" s="458"/>
      <c r="N23" s="458"/>
      <c r="O23" s="458"/>
      <c r="P23" s="460"/>
      <c r="Q23" s="1183"/>
      <c r="R23" s="413"/>
      <c r="S23" s="458"/>
      <c r="T23" s="458"/>
      <c r="U23" s="458"/>
      <c r="V23" s="460"/>
      <c r="W23" s="4141"/>
      <c r="X23" s="1172"/>
      <c r="Y23" s="1172"/>
      <c r="Z23" s="1172"/>
      <c r="AA23" s="470"/>
      <c r="AB23" s="468"/>
      <c r="AC23" s="468"/>
      <c r="AD23" s="468"/>
      <c r="AE23" s="530"/>
      <c r="AF23" s="462"/>
      <c r="AG23" s="463"/>
      <c r="AH23" s="464"/>
    </row>
    <row r="24" spans="1:34" s="474" customFormat="1" ht="12.75" customHeight="1" outlineLevel="1">
      <c r="D24" s="262"/>
      <c r="E24" s="498"/>
      <c r="F24" s="516" t="s">
        <v>578</v>
      </c>
      <c r="G24" s="1576"/>
      <c r="H24" s="1577"/>
      <c r="I24" s="1577"/>
      <c r="J24" s="1577"/>
      <c r="K24" s="1585"/>
      <c r="L24" s="459">
        <v>38681.49</v>
      </c>
      <c r="M24" s="458"/>
      <c r="N24" s="458"/>
      <c r="O24" s="458"/>
      <c r="P24" s="460"/>
      <c r="Q24" s="1183"/>
      <c r="R24" s="413"/>
      <c r="S24" s="458"/>
      <c r="T24" s="458"/>
      <c r="U24" s="458"/>
      <c r="V24" s="460"/>
      <c r="W24" s="4141"/>
      <c r="X24" s="1172"/>
      <c r="Y24" s="1172"/>
      <c r="Z24" s="1172"/>
      <c r="AA24" s="470"/>
      <c r="AB24" s="468"/>
      <c r="AC24" s="468"/>
      <c r="AD24" s="468"/>
      <c r="AE24" s="530"/>
      <c r="AF24" s="462"/>
      <c r="AG24" s="463"/>
      <c r="AH24" s="464"/>
    </row>
    <row r="25" spans="1:34" s="474" customFormat="1" ht="12.75" customHeight="1" outlineLevel="1">
      <c r="D25" s="262"/>
      <c r="E25" s="498"/>
      <c r="F25" s="517" t="s">
        <v>579</v>
      </c>
      <c r="G25" s="459"/>
      <c r="H25" s="458"/>
      <c r="I25" s="458"/>
      <c r="J25" s="458"/>
      <c r="K25" s="460"/>
      <c r="L25" s="353">
        <f t="shared" ref="L25:P25" si="0">SUM(L22:L24)</f>
        <v>152843.16</v>
      </c>
      <c r="M25" s="354">
        <f t="shared" si="0"/>
        <v>0</v>
      </c>
      <c r="N25" s="354">
        <f t="shared" si="0"/>
        <v>0</v>
      </c>
      <c r="O25" s="354">
        <f t="shared" si="0"/>
        <v>0</v>
      </c>
      <c r="P25" s="450">
        <f t="shared" si="0"/>
        <v>0</v>
      </c>
      <c r="Q25" s="1184"/>
      <c r="R25" s="447">
        <f>SUM(R22:R24)</f>
        <v>0</v>
      </c>
      <c r="S25" s="354">
        <f>SUM(S22:S24)</f>
        <v>0</v>
      </c>
      <c r="T25" s="354">
        <f>SUM(T22:T24)</f>
        <v>0</v>
      </c>
      <c r="U25" s="354">
        <f>SUM(U22:U24)</f>
        <v>0</v>
      </c>
      <c r="V25" s="450">
        <f>SUM(V22:V24)</f>
        <v>0</v>
      </c>
      <c r="W25" s="4141"/>
      <c r="X25" s="1172"/>
      <c r="Y25" s="1172"/>
      <c r="Z25" s="1172"/>
      <c r="AA25" s="462"/>
      <c r="AB25" s="463"/>
      <c r="AC25" s="463"/>
      <c r="AD25" s="463"/>
      <c r="AE25" s="464"/>
      <c r="AF25" s="353">
        <f t="shared" ref="AF25:AH25" si="1">SUM(AF22:AF24)</f>
        <v>0</v>
      </c>
      <c r="AG25" s="354">
        <f t="shared" si="1"/>
        <v>0</v>
      </c>
      <c r="AH25" s="450">
        <f t="shared" si="1"/>
        <v>0</v>
      </c>
    </row>
    <row r="26" spans="1:34" s="474" customFormat="1" ht="12.75" customHeight="1" outlineLevel="1">
      <c r="D26" s="262"/>
      <c r="E26" s="498"/>
      <c r="F26" s="516" t="s">
        <v>583</v>
      </c>
      <c r="G26" s="459"/>
      <c r="H26" s="458"/>
      <c r="I26" s="458"/>
      <c r="J26" s="458"/>
      <c r="K26" s="460"/>
      <c r="L26" s="511">
        <v>0</v>
      </c>
      <c r="M26" s="512">
        <v>0</v>
      </c>
      <c r="N26" s="512">
        <v>0</v>
      </c>
      <c r="O26" s="512">
        <v>0</v>
      </c>
      <c r="P26" s="547">
        <v>0</v>
      </c>
      <c r="Q26" s="1183"/>
      <c r="R26" s="504"/>
      <c r="S26" s="477"/>
      <c r="T26" s="477"/>
      <c r="U26" s="477"/>
      <c r="V26" s="519"/>
      <c r="W26" s="4141"/>
      <c r="X26" s="1172"/>
      <c r="Y26" s="1172"/>
      <c r="Z26" s="1172"/>
      <c r="AA26" s="462"/>
      <c r="AB26" s="463"/>
      <c r="AC26" s="463"/>
      <c r="AD26" s="463"/>
      <c r="AE26" s="464"/>
      <c r="AF26" s="511">
        <v>0</v>
      </c>
      <c r="AG26" s="512">
        <v>0</v>
      </c>
      <c r="AH26" s="547">
        <v>0</v>
      </c>
    </row>
    <row r="27" spans="1:34" s="474" customFormat="1" ht="12.75" customHeight="1" outlineLevel="1">
      <c r="D27" s="262"/>
      <c r="E27" s="498"/>
      <c r="F27" s="516" t="s">
        <v>581</v>
      </c>
      <c r="G27" s="459"/>
      <c r="H27" s="458"/>
      <c r="I27" s="458"/>
      <c r="J27" s="458"/>
      <c r="K27" s="460"/>
      <c r="L27" s="462">
        <v>0</v>
      </c>
      <c r="M27" s="463">
        <v>0</v>
      </c>
      <c r="N27" s="463">
        <v>0</v>
      </c>
      <c r="O27" s="463">
        <v>0</v>
      </c>
      <c r="P27" s="464">
        <v>0</v>
      </c>
      <c r="Q27" s="1183"/>
      <c r="R27" s="413"/>
      <c r="S27" s="458"/>
      <c r="T27" s="458"/>
      <c r="U27" s="458"/>
      <c r="V27" s="460"/>
      <c r="W27" s="4141"/>
      <c r="X27" s="1172"/>
      <c r="Y27" s="1172"/>
      <c r="Z27" s="1172"/>
      <c r="AA27" s="462"/>
      <c r="AB27" s="463"/>
      <c r="AC27" s="463"/>
      <c r="AD27" s="463"/>
      <c r="AE27" s="464"/>
      <c r="AF27" s="462">
        <v>0</v>
      </c>
      <c r="AG27" s="463">
        <v>0</v>
      </c>
      <c r="AH27" s="464">
        <v>0</v>
      </c>
    </row>
    <row r="28" spans="1:34" s="474" customFormat="1" ht="12.75" customHeight="1" outlineLevel="1">
      <c r="D28" s="262"/>
      <c r="E28" s="498"/>
      <c r="F28" s="517" t="s">
        <v>584</v>
      </c>
      <c r="G28" s="353">
        <f t="shared" ref="G28:P28" si="2">SUM(G26:G27)</f>
        <v>0</v>
      </c>
      <c r="H28" s="354">
        <f t="shared" si="2"/>
        <v>0</v>
      </c>
      <c r="I28" s="354">
        <f t="shared" si="2"/>
        <v>0</v>
      </c>
      <c r="J28" s="354">
        <f t="shared" si="2"/>
        <v>0</v>
      </c>
      <c r="K28" s="450">
        <f t="shared" si="2"/>
        <v>0</v>
      </c>
      <c r="L28" s="353">
        <f t="shared" si="2"/>
        <v>0</v>
      </c>
      <c r="M28" s="354">
        <f t="shared" si="2"/>
        <v>0</v>
      </c>
      <c r="N28" s="354">
        <f t="shared" si="2"/>
        <v>0</v>
      </c>
      <c r="O28" s="354">
        <f t="shared" si="2"/>
        <v>0</v>
      </c>
      <c r="P28" s="450">
        <f t="shared" si="2"/>
        <v>0</v>
      </c>
      <c r="Q28" s="1184"/>
      <c r="R28" s="447">
        <f>SUM(R26:R27)</f>
        <v>0</v>
      </c>
      <c r="S28" s="354">
        <f>SUM(S26:S27)</f>
        <v>0</v>
      </c>
      <c r="T28" s="354">
        <f>SUM(T26:T27)</f>
        <v>0</v>
      </c>
      <c r="U28" s="354">
        <f>SUM(U26:U27)</f>
        <v>0</v>
      </c>
      <c r="V28" s="450">
        <f>SUM(V26:V27)</f>
        <v>0</v>
      </c>
      <c r="W28" s="4141"/>
      <c r="X28" s="1172"/>
      <c r="Y28" s="1172"/>
      <c r="Z28" s="1172"/>
      <c r="AA28" s="353">
        <f t="shared" ref="AA28:AH28" si="3">SUM(AA26:AA27)</f>
        <v>0</v>
      </c>
      <c r="AB28" s="354">
        <f t="shared" si="3"/>
        <v>0</v>
      </c>
      <c r="AC28" s="354">
        <f t="shared" si="3"/>
        <v>0</v>
      </c>
      <c r="AD28" s="354">
        <f t="shared" si="3"/>
        <v>0</v>
      </c>
      <c r="AE28" s="450">
        <f t="shared" si="3"/>
        <v>0</v>
      </c>
      <c r="AF28" s="353">
        <f t="shared" si="3"/>
        <v>0</v>
      </c>
      <c r="AG28" s="354">
        <f t="shared" si="3"/>
        <v>0</v>
      </c>
      <c r="AH28" s="450">
        <f t="shared" si="3"/>
        <v>0</v>
      </c>
    </row>
    <row r="29" spans="1:34" s="474" customFormat="1" ht="12.75" customHeight="1" outlineLevel="1">
      <c r="D29" s="262"/>
      <c r="E29" s="498"/>
      <c r="F29" s="516" t="s">
        <v>35</v>
      </c>
      <c r="G29" s="459"/>
      <c r="H29" s="458"/>
      <c r="I29" s="458"/>
      <c r="J29" s="458"/>
      <c r="K29" s="460"/>
      <c r="L29" s="459"/>
      <c r="M29" s="458"/>
      <c r="N29" s="458"/>
      <c r="O29" s="458"/>
      <c r="P29" s="460"/>
      <c r="Q29" s="1183"/>
      <c r="R29" s="413"/>
      <c r="S29" s="458"/>
      <c r="T29" s="458"/>
      <c r="U29" s="458"/>
      <c r="V29" s="460"/>
      <c r="W29" s="4141"/>
      <c r="X29" s="1172"/>
      <c r="Y29" s="1172"/>
      <c r="Z29" s="1172"/>
      <c r="AA29" s="462"/>
      <c r="AB29" s="463"/>
      <c r="AC29" s="463"/>
      <c r="AD29" s="463"/>
      <c r="AE29" s="464"/>
      <c r="AF29" s="462"/>
      <c r="AG29" s="463"/>
      <c r="AH29" s="464"/>
    </row>
    <row r="30" spans="1:34" s="474" customFormat="1" ht="12.75" customHeight="1" outlineLevel="1" thickBot="1">
      <c r="D30" s="262"/>
      <c r="E30" s="499"/>
      <c r="F30" s="1409" t="s">
        <v>585</v>
      </c>
      <c r="G30" s="1370">
        <f t="shared" ref="G30:P30" si="4">G28-G29</f>
        <v>0</v>
      </c>
      <c r="H30" s="356">
        <f t="shared" si="4"/>
        <v>0</v>
      </c>
      <c r="I30" s="356">
        <f t="shared" si="4"/>
        <v>0</v>
      </c>
      <c r="J30" s="356">
        <f t="shared" si="4"/>
        <v>0</v>
      </c>
      <c r="K30" s="503">
        <f t="shared" si="4"/>
        <v>0</v>
      </c>
      <c r="L30" s="1370">
        <f t="shared" si="4"/>
        <v>0</v>
      </c>
      <c r="M30" s="356">
        <f t="shared" si="4"/>
        <v>0</v>
      </c>
      <c r="N30" s="356">
        <f t="shared" si="4"/>
        <v>0</v>
      </c>
      <c r="O30" s="356">
        <f t="shared" si="4"/>
        <v>0</v>
      </c>
      <c r="P30" s="503">
        <f t="shared" si="4"/>
        <v>0</v>
      </c>
      <c r="Q30" s="1185"/>
      <c r="R30" s="502">
        <f>R28-R29</f>
        <v>0</v>
      </c>
      <c r="S30" s="356">
        <f>S28-S29</f>
        <v>0</v>
      </c>
      <c r="T30" s="356">
        <f>T28-T29</f>
        <v>0</v>
      </c>
      <c r="U30" s="356">
        <f>U28-U29</f>
        <v>0</v>
      </c>
      <c r="V30" s="503">
        <f>V28-V29</f>
        <v>0</v>
      </c>
      <c r="W30" s="4142"/>
      <c r="X30" s="1172"/>
      <c r="Y30" s="1172"/>
      <c r="Z30" s="1172"/>
      <c r="AA30" s="1370">
        <f t="shared" ref="AA30:AH30" si="5">AA28-AA29</f>
        <v>0</v>
      </c>
      <c r="AB30" s="356">
        <f t="shared" si="5"/>
        <v>0</v>
      </c>
      <c r="AC30" s="356">
        <f t="shared" si="5"/>
        <v>0</v>
      </c>
      <c r="AD30" s="356">
        <f t="shared" si="5"/>
        <v>0</v>
      </c>
      <c r="AE30" s="503">
        <f t="shared" si="5"/>
        <v>0</v>
      </c>
      <c r="AF30" s="1370">
        <f t="shared" si="5"/>
        <v>0</v>
      </c>
      <c r="AG30" s="356">
        <f t="shared" si="5"/>
        <v>0</v>
      </c>
      <c r="AH30" s="503">
        <f t="shared" si="5"/>
        <v>0</v>
      </c>
    </row>
    <row r="31" spans="1:34" s="474" customFormat="1" ht="23.25" customHeight="1" outlineLevel="1">
      <c r="A31" s="78"/>
      <c r="B31" s="78"/>
      <c r="C31" s="78"/>
      <c r="D31" s="262"/>
      <c r="E31" s="3457" t="s">
        <v>1525</v>
      </c>
      <c r="F31" s="842" t="s">
        <v>593</v>
      </c>
      <c r="G31" s="1574"/>
      <c r="H31" s="1575"/>
      <c r="I31" s="1575"/>
      <c r="J31" s="1575"/>
      <c r="K31" s="1584"/>
      <c r="L31" s="538"/>
      <c r="M31" s="539"/>
      <c r="N31" s="539"/>
      <c r="O31" s="539"/>
      <c r="P31" s="540"/>
      <c r="Q31" s="1182"/>
      <c r="R31" s="539"/>
      <c r="S31" s="539"/>
      <c r="T31" s="539"/>
      <c r="U31" s="539"/>
      <c r="V31" s="540"/>
      <c r="W31" s="4140"/>
      <c r="X31" s="1172"/>
      <c r="Y31" s="1172"/>
      <c r="Z31" s="1172"/>
      <c r="AA31" s="527"/>
      <c r="AB31" s="528"/>
      <c r="AC31" s="528"/>
      <c r="AD31" s="528"/>
      <c r="AE31" s="529"/>
      <c r="AF31" s="538"/>
      <c r="AG31" s="539"/>
      <c r="AH31" s="540"/>
    </row>
    <row r="32" spans="1:34" s="474" customFormat="1" ht="12.75" customHeight="1" outlineLevel="1">
      <c r="D32" s="262"/>
      <c r="E32" s="498"/>
      <c r="F32" s="516" t="s">
        <v>559</v>
      </c>
      <c r="G32" s="1576"/>
      <c r="H32" s="1577"/>
      <c r="I32" s="1577"/>
      <c r="J32" s="1577"/>
      <c r="K32" s="1585"/>
      <c r="L32" s="459"/>
      <c r="M32" s="458">
        <v>19501.469999999994</v>
      </c>
      <c r="N32" s="458"/>
      <c r="O32" s="458"/>
      <c r="P32" s="460"/>
      <c r="Q32" s="1183"/>
      <c r="R32" s="413"/>
      <c r="S32" s="458"/>
      <c r="T32" s="458"/>
      <c r="U32" s="458"/>
      <c r="V32" s="460"/>
      <c r="W32" s="4141"/>
      <c r="X32" s="1172"/>
      <c r="Y32" s="1172"/>
      <c r="Z32" s="1172"/>
      <c r="AA32" s="470"/>
      <c r="AB32" s="468"/>
      <c r="AC32" s="468"/>
      <c r="AD32" s="468"/>
      <c r="AE32" s="530"/>
      <c r="AF32" s="462"/>
      <c r="AG32" s="463"/>
      <c r="AH32" s="464"/>
    </row>
    <row r="33" spans="1:34" s="474" customFormat="1" ht="12.75" customHeight="1" outlineLevel="1">
      <c r="D33" s="262"/>
      <c r="E33" s="498"/>
      <c r="F33" s="516" t="s">
        <v>558</v>
      </c>
      <c r="G33" s="1576"/>
      <c r="H33" s="1577"/>
      <c r="I33" s="1577"/>
      <c r="J33" s="1577"/>
      <c r="K33" s="1585"/>
      <c r="L33" s="459"/>
      <c r="M33" s="458">
        <v>58057.18</v>
      </c>
      <c r="N33" s="458"/>
      <c r="O33" s="458"/>
      <c r="P33" s="460"/>
      <c r="Q33" s="1183"/>
      <c r="R33" s="413"/>
      <c r="S33" s="458"/>
      <c r="T33" s="458"/>
      <c r="U33" s="458"/>
      <c r="V33" s="460"/>
      <c r="W33" s="4141"/>
      <c r="X33" s="1172"/>
      <c r="Y33" s="1172"/>
      <c r="Z33" s="1172"/>
      <c r="AA33" s="470"/>
      <c r="AB33" s="468"/>
      <c r="AC33" s="468"/>
      <c r="AD33" s="468"/>
      <c r="AE33" s="530"/>
      <c r="AF33" s="462"/>
      <c r="AG33" s="463"/>
      <c r="AH33" s="464"/>
    </row>
    <row r="34" spans="1:34" s="474" customFormat="1" ht="12.75" customHeight="1" outlineLevel="1">
      <c r="D34" s="262"/>
      <c r="E34" s="498"/>
      <c r="F34" s="516" t="s">
        <v>578</v>
      </c>
      <c r="G34" s="1576"/>
      <c r="H34" s="1577"/>
      <c r="I34" s="1577"/>
      <c r="J34" s="1577"/>
      <c r="K34" s="1585"/>
      <c r="L34" s="459"/>
      <c r="M34" s="458">
        <v>1306.8</v>
      </c>
      <c r="N34" s="458"/>
      <c r="O34" s="458"/>
      <c r="P34" s="460"/>
      <c r="Q34" s="1183"/>
      <c r="R34" s="413"/>
      <c r="S34" s="458"/>
      <c r="T34" s="458"/>
      <c r="U34" s="458"/>
      <c r="V34" s="460"/>
      <c r="W34" s="4141"/>
      <c r="X34" s="1172"/>
      <c r="Y34" s="1172"/>
      <c r="Z34" s="1172"/>
      <c r="AA34" s="470"/>
      <c r="AB34" s="468"/>
      <c r="AC34" s="468"/>
      <c r="AD34" s="468"/>
      <c r="AE34" s="530"/>
      <c r="AF34" s="462"/>
      <c r="AG34" s="463"/>
      <c r="AH34" s="464"/>
    </row>
    <row r="35" spans="1:34" s="474" customFormat="1" ht="12.75" customHeight="1" outlineLevel="1">
      <c r="D35" s="262"/>
      <c r="E35" s="498"/>
      <c r="F35" s="517" t="s">
        <v>579</v>
      </c>
      <c r="G35" s="459"/>
      <c r="H35" s="458"/>
      <c r="I35" s="458"/>
      <c r="J35" s="458"/>
      <c r="K35" s="460"/>
      <c r="L35" s="353">
        <f>SUM(L32:L34)</f>
        <v>0</v>
      </c>
      <c r="M35" s="354">
        <f>SUM(M32:M34)</f>
        <v>78865.45</v>
      </c>
      <c r="N35" s="354">
        <f t="shared" ref="N35:P35" si="6">SUM(N32:N34)</f>
        <v>0</v>
      </c>
      <c r="O35" s="354">
        <f t="shared" si="6"/>
        <v>0</v>
      </c>
      <c r="P35" s="450">
        <f t="shared" si="6"/>
        <v>0</v>
      </c>
      <c r="Q35" s="1184"/>
      <c r="R35" s="447">
        <f>SUM(R32:R34)</f>
        <v>0</v>
      </c>
      <c r="S35" s="354">
        <f>SUM(S32:S34)</f>
        <v>0</v>
      </c>
      <c r="T35" s="354">
        <f>SUM(T32:T34)</f>
        <v>0</v>
      </c>
      <c r="U35" s="354">
        <f>SUM(U32:U34)</f>
        <v>0</v>
      </c>
      <c r="V35" s="450">
        <f>SUM(V32:V34)</f>
        <v>0</v>
      </c>
      <c r="W35" s="4141"/>
      <c r="X35" s="1172"/>
      <c r="Y35" s="1172"/>
      <c r="Z35" s="1172"/>
      <c r="AA35" s="462"/>
      <c r="AB35" s="463"/>
      <c r="AC35" s="463"/>
      <c r="AD35" s="463"/>
      <c r="AE35" s="464"/>
      <c r="AF35" s="353">
        <f t="shared" ref="AF35:AH35" si="7">SUM(AF32:AF34)</f>
        <v>0</v>
      </c>
      <c r="AG35" s="354">
        <f t="shared" si="7"/>
        <v>0</v>
      </c>
      <c r="AH35" s="450">
        <f t="shared" si="7"/>
        <v>0</v>
      </c>
    </row>
    <row r="36" spans="1:34" s="474" customFormat="1" ht="12.75" customHeight="1" outlineLevel="1">
      <c r="D36" s="262"/>
      <c r="E36" s="498"/>
      <c r="F36" s="516" t="s">
        <v>583</v>
      </c>
      <c r="G36" s="459"/>
      <c r="H36" s="458"/>
      <c r="I36" s="458"/>
      <c r="J36" s="458"/>
      <c r="K36" s="460"/>
      <c r="L36" s="511">
        <v>0</v>
      </c>
      <c r="M36" s="512">
        <v>0</v>
      </c>
      <c r="N36" s="512">
        <v>0</v>
      </c>
      <c r="O36" s="512">
        <v>0</v>
      </c>
      <c r="P36" s="547">
        <v>0</v>
      </c>
      <c r="Q36" s="1183"/>
      <c r="R36" s="504"/>
      <c r="S36" s="477"/>
      <c r="T36" s="477"/>
      <c r="U36" s="477"/>
      <c r="V36" s="519"/>
      <c r="W36" s="4141"/>
      <c r="X36" s="1172"/>
      <c r="Y36" s="1172"/>
      <c r="Z36" s="1172"/>
      <c r="AA36" s="462"/>
      <c r="AB36" s="463"/>
      <c r="AC36" s="463"/>
      <c r="AD36" s="463"/>
      <c r="AE36" s="464"/>
      <c r="AF36" s="511">
        <v>0</v>
      </c>
      <c r="AG36" s="512">
        <v>0</v>
      </c>
      <c r="AH36" s="547">
        <v>0</v>
      </c>
    </row>
    <row r="37" spans="1:34" s="474" customFormat="1" ht="12.75" customHeight="1" outlineLevel="1">
      <c r="D37" s="262"/>
      <c r="E37" s="498"/>
      <c r="F37" s="516" t="s">
        <v>581</v>
      </c>
      <c r="G37" s="459"/>
      <c r="H37" s="458"/>
      <c r="I37" s="458"/>
      <c r="J37" s="458"/>
      <c r="K37" s="460"/>
      <c r="L37" s="462">
        <v>0</v>
      </c>
      <c r="M37" s="463">
        <v>0</v>
      </c>
      <c r="N37" s="463">
        <v>0</v>
      </c>
      <c r="O37" s="463">
        <v>0</v>
      </c>
      <c r="P37" s="464">
        <v>0</v>
      </c>
      <c r="Q37" s="1183"/>
      <c r="R37" s="413"/>
      <c r="S37" s="458"/>
      <c r="T37" s="458"/>
      <c r="U37" s="458"/>
      <c r="V37" s="460"/>
      <c r="W37" s="4141"/>
      <c r="X37" s="1172"/>
      <c r="Y37" s="1172"/>
      <c r="Z37" s="1172"/>
      <c r="AA37" s="462"/>
      <c r="AB37" s="463"/>
      <c r="AC37" s="463"/>
      <c r="AD37" s="463"/>
      <c r="AE37" s="464"/>
      <c r="AF37" s="462">
        <v>0</v>
      </c>
      <c r="AG37" s="463">
        <v>0</v>
      </c>
      <c r="AH37" s="464">
        <v>0</v>
      </c>
    </row>
    <row r="38" spans="1:34" s="474" customFormat="1" ht="12.75" customHeight="1" outlineLevel="1">
      <c r="D38" s="262"/>
      <c r="E38" s="498"/>
      <c r="F38" s="517" t="s">
        <v>584</v>
      </c>
      <c r="G38" s="353">
        <f t="shared" ref="G38:P38" si="8">SUM(G36:G37)</f>
        <v>0</v>
      </c>
      <c r="H38" s="354">
        <f t="shared" si="8"/>
        <v>0</v>
      </c>
      <c r="I38" s="354">
        <f t="shared" si="8"/>
        <v>0</v>
      </c>
      <c r="J38" s="354">
        <f t="shared" si="8"/>
        <v>0</v>
      </c>
      <c r="K38" s="450">
        <f t="shared" si="8"/>
        <v>0</v>
      </c>
      <c r="L38" s="353">
        <f t="shared" si="8"/>
        <v>0</v>
      </c>
      <c r="M38" s="354">
        <f t="shared" si="8"/>
        <v>0</v>
      </c>
      <c r="N38" s="354">
        <f t="shared" si="8"/>
        <v>0</v>
      </c>
      <c r="O38" s="354">
        <f t="shared" si="8"/>
        <v>0</v>
      </c>
      <c r="P38" s="450">
        <f t="shared" si="8"/>
        <v>0</v>
      </c>
      <c r="Q38" s="1184"/>
      <c r="R38" s="447">
        <f>SUM(R36:R37)</f>
        <v>0</v>
      </c>
      <c r="S38" s="354">
        <f>SUM(S36:S37)</f>
        <v>0</v>
      </c>
      <c r="T38" s="354">
        <f>SUM(T36:T37)</f>
        <v>0</v>
      </c>
      <c r="U38" s="354">
        <f>SUM(U36:U37)</f>
        <v>0</v>
      </c>
      <c r="V38" s="450">
        <f>SUM(V36:V37)</f>
        <v>0</v>
      </c>
      <c r="W38" s="4141"/>
      <c r="X38" s="1172"/>
      <c r="Y38" s="1172"/>
      <c r="Z38" s="1172"/>
      <c r="AA38" s="353">
        <f t="shared" ref="AA38:AH38" si="9">SUM(AA36:AA37)</f>
        <v>0</v>
      </c>
      <c r="AB38" s="354">
        <f t="shared" si="9"/>
        <v>0</v>
      </c>
      <c r="AC38" s="354">
        <f t="shared" si="9"/>
        <v>0</v>
      </c>
      <c r="AD38" s="354">
        <f t="shared" si="9"/>
        <v>0</v>
      </c>
      <c r="AE38" s="450">
        <f t="shared" si="9"/>
        <v>0</v>
      </c>
      <c r="AF38" s="353">
        <f t="shared" si="9"/>
        <v>0</v>
      </c>
      <c r="AG38" s="354">
        <f t="shared" si="9"/>
        <v>0</v>
      </c>
      <c r="AH38" s="450">
        <f t="shared" si="9"/>
        <v>0</v>
      </c>
    </row>
    <row r="39" spans="1:34" s="474" customFormat="1" ht="12.75" customHeight="1" outlineLevel="1">
      <c r="D39" s="262"/>
      <c r="E39" s="498"/>
      <c r="F39" s="516" t="s">
        <v>35</v>
      </c>
      <c r="G39" s="459"/>
      <c r="H39" s="458"/>
      <c r="I39" s="458"/>
      <c r="J39" s="458"/>
      <c r="K39" s="460"/>
      <c r="L39" s="459"/>
      <c r="M39" s="458"/>
      <c r="N39" s="458"/>
      <c r="O39" s="458"/>
      <c r="P39" s="460"/>
      <c r="Q39" s="1183"/>
      <c r="R39" s="413"/>
      <c r="S39" s="458"/>
      <c r="T39" s="458"/>
      <c r="U39" s="458"/>
      <c r="V39" s="460"/>
      <c r="W39" s="4141"/>
      <c r="X39" s="1172"/>
      <c r="Y39" s="1172"/>
      <c r="Z39" s="1172"/>
      <c r="AA39" s="462"/>
      <c r="AB39" s="463"/>
      <c r="AC39" s="463"/>
      <c r="AD39" s="463"/>
      <c r="AE39" s="464"/>
      <c r="AF39" s="462"/>
      <c r="AG39" s="463"/>
      <c r="AH39" s="464"/>
    </row>
    <row r="40" spans="1:34" s="474" customFormat="1" ht="12.75" customHeight="1" outlineLevel="1" thickBot="1">
      <c r="D40" s="262"/>
      <c r="E40" s="498"/>
      <c r="F40" s="1409" t="s">
        <v>585</v>
      </c>
      <c r="G40" s="1370">
        <f t="shared" ref="G40:P40" si="10">G38-G39</f>
        <v>0</v>
      </c>
      <c r="H40" s="356">
        <f t="shared" si="10"/>
        <v>0</v>
      </c>
      <c r="I40" s="356">
        <f t="shared" si="10"/>
        <v>0</v>
      </c>
      <c r="J40" s="356">
        <f t="shared" si="10"/>
        <v>0</v>
      </c>
      <c r="K40" s="503">
        <f t="shared" si="10"/>
        <v>0</v>
      </c>
      <c r="L40" s="1370">
        <f t="shared" si="10"/>
        <v>0</v>
      </c>
      <c r="M40" s="356">
        <f t="shared" si="10"/>
        <v>0</v>
      </c>
      <c r="N40" s="356">
        <f t="shared" si="10"/>
        <v>0</v>
      </c>
      <c r="O40" s="356">
        <f t="shared" si="10"/>
        <v>0</v>
      </c>
      <c r="P40" s="503">
        <f t="shared" si="10"/>
        <v>0</v>
      </c>
      <c r="Q40" s="1185"/>
      <c r="R40" s="502">
        <f>R38-R39</f>
        <v>0</v>
      </c>
      <c r="S40" s="356">
        <f>S38-S39</f>
        <v>0</v>
      </c>
      <c r="T40" s="356">
        <f>T38-T39</f>
        <v>0</v>
      </c>
      <c r="U40" s="356">
        <f>U38-U39</f>
        <v>0</v>
      </c>
      <c r="V40" s="503">
        <f>V38-V39</f>
        <v>0</v>
      </c>
      <c r="W40" s="4142"/>
      <c r="X40" s="1172"/>
      <c r="Y40" s="1172"/>
      <c r="Z40" s="1172"/>
      <c r="AA40" s="1370">
        <f t="shared" ref="AA40:AH40" si="11">AA38-AA39</f>
        <v>0</v>
      </c>
      <c r="AB40" s="356">
        <f t="shared" si="11"/>
        <v>0</v>
      </c>
      <c r="AC40" s="356">
        <f t="shared" si="11"/>
        <v>0</v>
      </c>
      <c r="AD40" s="356">
        <f t="shared" si="11"/>
        <v>0</v>
      </c>
      <c r="AE40" s="503">
        <f t="shared" si="11"/>
        <v>0</v>
      </c>
      <c r="AF40" s="1370">
        <f t="shared" si="11"/>
        <v>0</v>
      </c>
      <c r="AG40" s="356">
        <f t="shared" si="11"/>
        <v>0</v>
      </c>
      <c r="AH40" s="503">
        <f t="shared" si="11"/>
        <v>0</v>
      </c>
    </row>
    <row r="41" spans="1:34" s="474" customFormat="1" ht="27.75" customHeight="1" outlineLevel="1">
      <c r="A41" s="183"/>
      <c r="B41" s="183"/>
      <c r="C41" s="183"/>
      <c r="D41" s="262"/>
      <c r="E41" s="3457" t="s">
        <v>1526</v>
      </c>
      <c r="F41" s="842" t="s">
        <v>593</v>
      </c>
      <c r="G41" s="1574"/>
      <c r="H41" s="1575"/>
      <c r="I41" s="1575"/>
      <c r="J41" s="1575"/>
      <c r="K41" s="1584"/>
      <c r="L41" s="538"/>
      <c r="M41" s="539"/>
      <c r="N41" s="539"/>
      <c r="O41" s="539"/>
      <c r="P41" s="540"/>
      <c r="Q41" s="1182"/>
      <c r="R41" s="539"/>
      <c r="S41" s="539"/>
      <c r="T41" s="539"/>
      <c r="U41" s="539"/>
      <c r="V41" s="540"/>
      <c r="W41" s="4140"/>
      <c r="X41" s="1172"/>
      <c r="Y41" s="1172"/>
      <c r="Z41" s="1172"/>
      <c r="AA41" s="527"/>
      <c r="AB41" s="528"/>
      <c r="AC41" s="528"/>
      <c r="AD41" s="528"/>
      <c r="AE41" s="529"/>
      <c r="AF41" s="538"/>
      <c r="AG41" s="539"/>
      <c r="AH41" s="540"/>
    </row>
    <row r="42" spans="1:34" s="474" customFormat="1" ht="12.75" customHeight="1" outlineLevel="1">
      <c r="A42" s="183"/>
      <c r="B42" s="183"/>
      <c r="C42" s="183"/>
      <c r="D42" s="262"/>
      <c r="E42" s="498"/>
      <c r="F42" s="516" t="s">
        <v>559</v>
      </c>
      <c r="G42" s="1576"/>
      <c r="H42" s="1577"/>
      <c r="I42" s="1577"/>
      <c r="J42" s="1577"/>
      <c r="K42" s="1585"/>
      <c r="L42" s="459">
        <v>19032.350000000002</v>
      </c>
      <c r="M42" s="458"/>
      <c r="N42" s="458"/>
      <c r="O42" s="458"/>
      <c r="P42" s="460"/>
      <c r="Q42" s="1183"/>
      <c r="R42" s="413"/>
      <c r="S42" s="458"/>
      <c r="T42" s="458"/>
      <c r="U42" s="458"/>
      <c r="V42" s="460"/>
      <c r="W42" s="4141"/>
      <c r="X42" s="1172"/>
      <c r="Y42" s="1172"/>
      <c r="Z42" s="1172"/>
      <c r="AA42" s="470"/>
      <c r="AB42" s="468"/>
      <c r="AC42" s="468"/>
      <c r="AD42" s="468"/>
      <c r="AE42" s="530"/>
      <c r="AF42" s="462"/>
      <c r="AG42" s="463"/>
      <c r="AH42" s="464"/>
    </row>
    <row r="43" spans="1:34" s="474" customFormat="1" ht="12.75" customHeight="1" outlineLevel="1">
      <c r="D43" s="262"/>
      <c r="E43" s="498"/>
      <c r="F43" s="516" t="s">
        <v>558</v>
      </c>
      <c r="G43" s="1576"/>
      <c r="H43" s="1577"/>
      <c r="I43" s="1577"/>
      <c r="J43" s="1577"/>
      <c r="K43" s="1585"/>
      <c r="L43" s="459">
        <v>42604.030000000006</v>
      </c>
      <c r="M43" s="458"/>
      <c r="N43" s="458"/>
      <c r="O43" s="458"/>
      <c r="P43" s="460"/>
      <c r="Q43" s="1183"/>
      <c r="R43" s="413"/>
      <c r="S43" s="458"/>
      <c r="T43" s="458"/>
      <c r="U43" s="458"/>
      <c r="V43" s="460"/>
      <c r="W43" s="4141"/>
      <c r="X43" s="1172"/>
      <c r="Y43" s="1172"/>
      <c r="Z43" s="1172"/>
      <c r="AA43" s="470"/>
      <c r="AB43" s="468"/>
      <c r="AC43" s="468"/>
      <c r="AD43" s="468"/>
      <c r="AE43" s="530"/>
      <c r="AF43" s="462"/>
      <c r="AG43" s="463"/>
      <c r="AH43" s="464"/>
    </row>
    <row r="44" spans="1:34" s="474" customFormat="1" ht="12.75" customHeight="1" outlineLevel="1">
      <c r="D44" s="262"/>
      <c r="E44" s="498"/>
      <c r="F44" s="516" t="s">
        <v>578</v>
      </c>
      <c r="G44" s="1576"/>
      <c r="H44" s="1577"/>
      <c r="I44" s="1577"/>
      <c r="J44" s="1577"/>
      <c r="K44" s="1585"/>
      <c r="L44" s="459">
        <v>-4589</v>
      </c>
      <c r="M44" s="458"/>
      <c r="N44" s="458"/>
      <c r="O44" s="458"/>
      <c r="P44" s="460"/>
      <c r="Q44" s="1183"/>
      <c r="R44" s="413"/>
      <c r="S44" s="458"/>
      <c r="T44" s="458"/>
      <c r="U44" s="458"/>
      <c r="V44" s="460"/>
      <c r="W44" s="4141"/>
      <c r="X44" s="1172"/>
      <c r="Y44" s="1172"/>
      <c r="Z44" s="1172"/>
      <c r="AA44" s="470"/>
      <c r="AB44" s="468"/>
      <c r="AC44" s="468"/>
      <c r="AD44" s="468"/>
      <c r="AE44" s="530"/>
      <c r="AF44" s="462"/>
      <c r="AG44" s="463"/>
      <c r="AH44" s="464"/>
    </row>
    <row r="45" spans="1:34" s="474" customFormat="1" ht="12.75" customHeight="1" outlineLevel="1">
      <c r="D45" s="262"/>
      <c r="E45" s="498"/>
      <c r="F45" s="517" t="s">
        <v>579</v>
      </c>
      <c r="G45" s="459"/>
      <c r="H45" s="458"/>
      <c r="I45" s="458"/>
      <c r="J45" s="458"/>
      <c r="K45" s="460"/>
      <c r="L45" s="353">
        <f t="shared" ref="L45:P45" si="12">SUM(L42:L44)</f>
        <v>57047.380000000005</v>
      </c>
      <c r="M45" s="354">
        <f t="shared" si="12"/>
        <v>0</v>
      </c>
      <c r="N45" s="354">
        <f t="shared" si="12"/>
        <v>0</v>
      </c>
      <c r="O45" s="354">
        <f t="shared" si="12"/>
        <v>0</v>
      </c>
      <c r="P45" s="450">
        <f t="shared" si="12"/>
        <v>0</v>
      </c>
      <c r="Q45" s="1184"/>
      <c r="R45" s="447">
        <f>SUM(R42:R44)</f>
        <v>0</v>
      </c>
      <c r="S45" s="354">
        <f>SUM(S42:S44)</f>
        <v>0</v>
      </c>
      <c r="T45" s="354">
        <f>SUM(T42:T44)</f>
        <v>0</v>
      </c>
      <c r="U45" s="354">
        <f>SUM(U42:U44)</f>
        <v>0</v>
      </c>
      <c r="V45" s="450">
        <f>SUM(V42:V44)</f>
        <v>0</v>
      </c>
      <c r="W45" s="4141"/>
      <c r="X45" s="1172"/>
      <c r="Y45" s="1172"/>
      <c r="Z45" s="1172"/>
      <c r="AA45" s="462"/>
      <c r="AB45" s="463"/>
      <c r="AC45" s="463"/>
      <c r="AD45" s="463"/>
      <c r="AE45" s="464"/>
      <c r="AF45" s="353">
        <f t="shared" ref="AF45:AH45" si="13">SUM(AF42:AF44)</f>
        <v>0</v>
      </c>
      <c r="AG45" s="354">
        <f t="shared" si="13"/>
        <v>0</v>
      </c>
      <c r="AH45" s="450">
        <f t="shared" si="13"/>
        <v>0</v>
      </c>
    </row>
    <row r="46" spans="1:34" s="474" customFormat="1" ht="12.75" customHeight="1" outlineLevel="1">
      <c r="D46" s="262"/>
      <c r="E46" s="498"/>
      <c r="F46" s="516" t="s">
        <v>583</v>
      </c>
      <c r="G46" s="459"/>
      <c r="H46" s="458"/>
      <c r="I46" s="458"/>
      <c r="J46" s="458"/>
      <c r="K46" s="460"/>
      <c r="L46" s="511">
        <v>0</v>
      </c>
      <c r="M46" s="512">
        <v>0</v>
      </c>
      <c r="N46" s="512">
        <v>0</v>
      </c>
      <c r="O46" s="512">
        <v>0</v>
      </c>
      <c r="P46" s="547">
        <v>0</v>
      </c>
      <c r="Q46" s="1183"/>
      <c r="R46" s="504"/>
      <c r="S46" s="477"/>
      <c r="T46" s="477"/>
      <c r="U46" s="477"/>
      <c r="V46" s="519"/>
      <c r="W46" s="4141"/>
      <c r="X46" s="1172"/>
      <c r="Y46" s="1172"/>
      <c r="Z46" s="1172"/>
      <c r="AA46" s="462"/>
      <c r="AB46" s="463"/>
      <c r="AC46" s="463"/>
      <c r="AD46" s="463"/>
      <c r="AE46" s="464"/>
      <c r="AF46" s="511">
        <v>0</v>
      </c>
      <c r="AG46" s="512">
        <v>0</v>
      </c>
      <c r="AH46" s="547">
        <v>0</v>
      </c>
    </row>
    <row r="47" spans="1:34" s="474" customFormat="1" ht="12.75" customHeight="1" outlineLevel="1">
      <c r="D47" s="262"/>
      <c r="E47" s="498"/>
      <c r="F47" s="516" t="s">
        <v>581</v>
      </c>
      <c r="G47" s="459"/>
      <c r="H47" s="458"/>
      <c r="I47" s="458"/>
      <c r="J47" s="458"/>
      <c r="K47" s="460"/>
      <c r="L47" s="462">
        <v>0</v>
      </c>
      <c r="M47" s="463">
        <v>0</v>
      </c>
      <c r="N47" s="463">
        <v>0</v>
      </c>
      <c r="O47" s="463">
        <v>0</v>
      </c>
      <c r="P47" s="464">
        <v>0</v>
      </c>
      <c r="Q47" s="1183"/>
      <c r="R47" s="413"/>
      <c r="S47" s="458"/>
      <c r="T47" s="458"/>
      <c r="U47" s="458"/>
      <c r="V47" s="460"/>
      <c r="W47" s="4141"/>
      <c r="X47" s="1172"/>
      <c r="Y47" s="1172"/>
      <c r="Z47" s="1172"/>
      <c r="AA47" s="462"/>
      <c r="AB47" s="463"/>
      <c r="AC47" s="463"/>
      <c r="AD47" s="463"/>
      <c r="AE47" s="464"/>
      <c r="AF47" s="462">
        <v>0</v>
      </c>
      <c r="AG47" s="463">
        <v>0</v>
      </c>
      <c r="AH47" s="464">
        <v>0</v>
      </c>
    </row>
    <row r="48" spans="1:34" s="474" customFormat="1" ht="12.75" customHeight="1" outlineLevel="1">
      <c r="D48" s="262"/>
      <c r="E48" s="498"/>
      <c r="F48" s="517" t="s">
        <v>584</v>
      </c>
      <c r="G48" s="353">
        <f t="shared" ref="G48:P48" si="14">SUM(G46:G47)</f>
        <v>0</v>
      </c>
      <c r="H48" s="354">
        <f t="shared" si="14"/>
        <v>0</v>
      </c>
      <c r="I48" s="354">
        <f t="shared" si="14"/>
        <v>0</v>
      </c>
      <c r="J48" s="354">
        <f t="shared" si="14"/>
        <v>0</v>
      </c>
      <c r="K48" s="450">
        <f t="shared" si="14"/>
        <v>0</v>
      </c>
      <c r="L48" s="353">
        <f t="shared" si="14"/>
        <v>0</v>
      </c>
      <c r="M48" s="354">
        <f t="shared" si="14"/>
        <v>0</v>
      </c>
      <c r="N48" s="354">
        <f t="shared" si="14"/>
        <v>0</v>
      </c>
      <c r="O48" s="354">
        <f t="shared" si="14"/>
        <v>0</v>
      </c>
      <c r="P48" s="450">
        <f t="shared" si="14"/>
        <v>0</v>
      </c>
      <c r="Q48" s="1184"/>
      <c r="R48" s="447">
        <f>SUM(R46:R47)</f>
        <v>0</v>
      </c>
      <c r="S48" s="354">
        <f>SUM(S46:S47)</f>
        <v>0</v>
      </c>
      <c r="T48" s="354">
        <f>SUM(T46:T47)</f>
        <v>0</v>
      </c>
      <c r="U48" s="354">
        <f>SUM(U46:U47)</f>
        <v>0</v>
      </c>
      <c r="V48" s="450">
        <f>SUM(V46:V47)</f>
        <v>0</v>
      </c>
      <c r="W48" s="4141"/>
      <c r="X48" s="1172"/>
      <c r="Y48" s="1172"/>
      <c r="Z48" s="1172"/>
      <c r="AA48" s="353">
        <f t="shared" ref="AA48:AH48" si="15">SUM(AA46:AA47)</f>
        <v>0</v>
      </c>
      <c r="AB48" s="354">
        <f t="shared" si="15"/>
        <v>0</v>
      </c>
      <c r="AC48" s="354">
        <f t="shared" si="15"/>
        <v>0</v>
      </c>
      <c r="AD48" s="354">
        <f t="shared" si="15"/>
        <v>0</v>
      </c>
      <c r="AE48" s="450">
        <f t="shared" si="15"/>
        <v>0</v>
      </c>
      <c r="AF48" s="353">
        <f t="shared" si="15"/>
        <v>0</v>
      </c>
      <c r="AG48" s="354">
        <f t="shared" si="15"/>
        <v>0</v>
      </c>
      <c r="AH48" s="450">
        <f t="shared" si="15"/>
        <v>0</v>
      </c>
    </row>
    <row r="49" spans="1:34" s="474" customFormat="1" ht="12.75" customHeight="1" outlineLevel="1">
      <c r="D49" s="262"/>
      <c r="E49" s="498"/>
      <c r="F49" s="516" t="s">
        <v>35</v>
      </c>
      <c r="G49" s="459"/>
      <c r="H49" s="458"/>
      <c r="I49" s="458"/>
      <c r="J49" s="458"/>
      <c r="K49" s="460"/>
      <c r="L49" s="459"/>
      <c r="M49" s="458"/>
      <c r="N49" s="458"/>
      <c r="O49" s="458"/>
      <c r="P49" s="460"/>
      <c r="Q49" s="1183"/>
      <c r="R49" s="413"/>
      <c r="S49" s="458"/>
      <c r="T49" s="458"/>
      <c r="U49" s="458"/>
      <c r="V49" s="460"/>
      <c r="W49" s="4141"/>
      <c r="X49" s="1172"/>
      <c r="Y49" s="1172"/>
      <c r="Z49" s="1172"/>
      <c r="AA49" s="462"/>
      <c r="AB49" s="463"/>
      <c r="AC49" s="463"/>
      <c r="AD49" s="463"/>
      <c r="AE49" s="464"/>
      <c r="AF49" s="462"/>
      <c r="AG49" s="463"/>
      <c r="AH49" s="464"/>
    </row>
    <row r="50" spans="1:34" s="474" customFormat="1" ht="12.75" customHeight="1" outlineLevel="1" thickBot="1">
      <c r="D50" s="262"/>
      <c r="E50" s="498"/>
      <c r="F50" s="1409" t="s">
        <v>585</v>
      </c>
      <c r="G50" s="1370">
        <f t="shared" ref="G50:P50" si="16">G48-G49</f>
        <v>0</v>
      </c>
      <c r="H50" s="356">
        <f t="shared" si="16"/>
        <v>0</v>
      </c>
      <c r="I50" s="356">
        <f t="shared" si="16"/>
        <v>0</v>
      </c>
      <c r="J50" s="356">
        <f t="shared" si="16"/>
        <v>0</v>
      </c>
      <c r="K50" s="503">
        <f t="shared" si="16"/>
        <v>0</v>
      </c>
      <c r="L50" s="1370">
        <f t="shared" si="16"/>
        <v>0</v>
      </c>
      <c r="M50" s="356">
        <f t="shared" si="16"/>
        <v>0</v>
      </c>
      <c r="N50" s="356">
        <f t="shared" si="16"/>
        <v>0</v>
      </c>
      <c r="O50" s="356">
        <f t="shared" si="16"/>
        <v>0</v>
      </c>
      <c r="P50" s="503">
        <f t="shared" si="16"/>
        <v>0</v>
      </c>
      <c r="Q50" s="1185"/>
      <c r="R50" s="502">
        <f>R48-R49</f>
        <v>0</v>
      </c>
      <c r="S50" s="356">
        <f>S48-S49</f>
        <v>0</v>
      </c>
      <c r="T50" s="356">
        <f>T48-T49</f>
        <v>0</v>
      </c>
      <c r="U50" s="356">
        <f>U48-U49</f>
        <v>0</v>
      </c>
      <c r="V50" s="503">
        <f>V48-V49</f>
        <v>0</v>
      </c>
      <c r="W50" s="4142"/>
      <c r="X50" s="1172"/>
      <c r="Y50" s="1172"/>
      <c r="Z50" s="1172"/>
      <c r="AA50" s="1370">
        <f t="shared" ref="AA50:AH50" si="17">AA48-AA49</f>
        <v>0</v>
      </c>
      <c r="AB50" s="356">
        <f t="shared" si="17"/>
        <v>0</v>
      </c>
      <c r="AC50" s="356">
        <f t="shared" si="17"/>
        <v>0</v>
      </c>
      <c r="AD50" s="356">
        <f t="shared" si="17"/>
        <v>0</v>
      </c>
      <c r="AE50" s="503">
        <f t="shared" si="17"/>
        <v>0</v>
      </c>
      <c r="AF50" s="1370">
        <f t="shared" si="17"/>
        <v>0</v>
      </c>
      <c r="AG50" s="356">
        <f t="shared" si="17"/>
        <v>0</v>
      </c>
      <c r="AH50" s="503">
        <f t="shared" si="17"/>
        <v>0</v>
      </c>
    </row>
    <row r="51" spans="1:34" s="474" customFormat="1" ht="23.25" customHeight="1" outlineLevel="1">
      <c r="A51" s="183"/>
      <c r="B51" s="183"/>
      <c r="C51" s="183"/>
      <c r="D51" s="262"/>
      <c r="E51" s="3457" t="s">
        <v>1527</v>
      </c>
      <c r="F51" s="842" t="s">
        <v>593</v>
      </c>
      <c r="G51" s="1574"/>
      <c r="H51" s="1575"/>
      <c r="I51" s="1575"/>
      <c r="J51" s="1575"/>
      <c r="K51" s="1584"/>
      <c r="L51" s="538"/>
      <c r="M51" s="539"/>
      <c r="N51" s="539"/>
      <c r="O51" s="539"/>
      <c r="P51" s="540"/>
      <c r="Q51" s="1182"/>
      <c r="R51" s="539"/>
      <c r="S51" s="539"/>
      <c r="T51" s="539"/>
      <c r="U51" s="539"/>
      <c r="V51" s="540"/>
      <c r="W51" s="4140"/>
      <c r="X51" s="1172"/>
      <c r="Y51" s="1172"/>
      <c r="Z51" s="1172"/>
      <c r="AA51" s="527"/>
      <c r="AB51" s="528"/>
      <c r="AC51" s="528"/>
      <c r="AD51" s="528"/>
      <c r="AE51" s="529"/>
      <c r="AF51" s="538"/>
      <c r="AG51" s="539"/>
      <c r="AH51" s="540"/>
    </row>
    <row r="52" spans="1:34" s="474" customFormat="1" ht="12.75" customHeight="1" outlineLevel="1">
      <c r="D52" s="262"/>
      <c r="E52" s="498"/>
      <c r="F52" s="516" t="s">
        <v>559</v>
      </c>
      <c r="G52" s="1576"/>
      <c r="H52" s="1577"/>
      <c r="I52" s="1577"/>
      <c r="J52" s="1577"/>
      <c r="K52" s="1585"/>
      <c r="L52" s="459">
        <v>27841.949999999997</v>
      </c>
      <c r="M52" s="458"/>
      <c r="N52" s="458"/>
      <c r="O52" s="458"/>
      <c r="P52" s="460"/>
      <c r="Q52" s="1183"/>
      <c r="R52" s="413"/>
      <c r="S52" s="458"/>
      <c r="T52" s="458"/>
      <c r="U52" s="458"/>
      <c r="V52" s="460"/>
      <c r="W52" s="4141"/>
      <c r="X52" s="1172"/>
      <c r="Y52" s="1172"/>
      <c r="Z52" s="1172"/>
      <c r="AA52" s="470"/>
      <c r="AB52" s="468"/>
      <c r="AC52" s="468"/>
      <c r="AD52" s="468"/>
      <c r="AE52" s="530"/>
      <c r="AF52" s="462"/>
      <c r="AG52" s="463"/>
      <c r="AH52" s="464"/>
    </row>
    <row r="53" spans="1:34" s="474" customFormat="1" ht="12.75" customHeight="1" outlineLevel="1">
      <c r="D53" s="262"/>
      <c r="E53" s="498"/>
      <c r="F53" s="516" t="s">
        <v>558</v>
      </c>
      <c r="G53" s="1576"/>
      <c r="H53" s="1577"/>
      <c r="I53" s="1577"/>
      <c r="J53" s="1577"/>
      <c r="K53" s="1585"/>
      <c r="L53" s="459">
        <v>34661.160000000003</v>
      </c>
      <c r="M53" s="458"/>
      <c r="N53" s="458"/>
      <c r="O53" s="458"/>
      <c r="P53" s="460"/>
      <c r="Q53" s="1183"/>
      <c r="R53" s="413"/>
      <c r="S53" s="458"/>
      <c r="T53" s="458"/>
      <c r="U53" s="458"/>
      <c r="V53" s="460"/>
      <c r="W53" s="4141"/>
      <c r="X53" s="1172"/>
      <c r="Y53" s="1172"/>
      <c r="Z53" s="1172"/>
      <c r="AA53" s="470"/>
      <c r="AB53" s="468"/>
      <c r="AC53" s="468"/>
      <c r="AD53" s="468"/>
      <c r="AE53" s="530"/>
      <c r="AF53" s="462"/>
      <c r="AG53" s="463"/>
      <c r="AH53" s="464"/>
    </row>
    <row r="54" spans="1:34" s="474" customFormat="1" ht="12.75" customHeight="1" outlineLevel="1">
      <c r="D54" s="262"/>
      <c r="E54" s="498"/>
      <c r="F54" s="516" t="s">
        <v>578</v>
      </c>
      <c r="G54" s="1576"/>
      <c r="H54" s="1577"/>
      <c r="I54" s="1577"/>
      <c r="J54" s="1577"/>
      <c r="K54" s="1585"/>
      <c r="L54" s="459">
        <v>-3879</v>
      </c>
      <c r="M54" s="458"/>
      <c r="N54" s="458"/>
      <c r="O54" s="458"/>
      <c r="P54" s="460"/>
      <c r="Q54" s="1183"/>
      <c r="R54" s="413"/>
      <c r="S54" s="458"/>
      <c r="T54" s="458"/>
      <c r="U54" s="458"/>
      <c r="V54" s="460"/>
      <c r="W54" s="4141"/>
      <c r="X54" s="1172"/>
      <c r="Y54" s="1172"/>
      <c r="Z54" s="1172"/>
      <c r="AA54" s="470"/>
      <c r="AB54" s="468"/>
      <c r="AC54" s="468"/>
      <c r="AD54" s="468"/>
      <c r="AE54" s="530"/>
      <c r="AF54" s="462"/>
      <c r="AG54" s="463"/>
      <c r="AH54" s="464"/>
    </row>
    <row r="55" spans="1:34" s="474" customFormat="1" ht="12.75" customHeight="1" outlineLevel="1">
      <c r="D55" s="262"/>
      <c r="E55" s="498"/>
      <c r="F55" s="517" t="s">
        <v>579</v>
      </c>
      <c r="G55" s="459"/>
      <c r="H55" s="458"/>
      <c r="I55" s="458"/>
      <c r="J55" s="458"/>
      <c r="K55" s="460"/>
      <c r="L55" s="353">
        <f t="shared" ref="L55:P55" si="18">SUM(L52:L54)</f>
        <v>58624.11</v>
      </c>
      <c r="M55" s="354">
        <f t="shared" si="18"/>
        <v>0</v>
      </c>
      <c r="N55" s="354">
        <f t="shared" si="18"/>
        <v>0</v>
      </c>
      <c r="O55" s="354">
        <f t="shared" si="18"/>
        <v>0</v>
      </c>
      <c r="P55" s="450">
        <f t="shared" si="18"/>
        <v>0</v>
      </c>
      <c r="Q55" s="1184"/>
      <c r="R55" s="447">
        <f>SUM(R52:R54)</f>
        <v>0</v>
      </c>
      <c r="S55" s="354">
        <f>SUM(S52:S54)</f>
        <v>0</v>
      </c>
      <c r="T55" s="354">
        <f>SUM(T52:T54)</f>
        <v>0</v>
      </c>
      <c r="U55" s="354">
        <f>SUM(U52:U54)</f>
        <v>0</v>
      </c>
      <c r="V55" s="450">
        <f>SUM(V52:V54)</f>
        <v>0</v>
      </c>
      <c r="W55" s="4141"/>
      <c r="X55" s="1172"/>
      <c r="Y55" s="1172"/>
      <c r="Z55" s="1172"/>
      <c r="AA55" s="462"/>
      <c r="AB55" s="463"/>
      <c r="AC55" s="463"/>
      <c r="AD55" s="463"/>
      <c r="AE55" s="464"/>
      <c r="AF55" s="353">
        <f t="shared" ref="AF55:AH55" si="19">SUM(AF52:AF54)</f>
        <v>0</v>
      </c>
      <c r="AG55" s="354">
        <f t="shared" si="19"/>
        <v>0</v>
      </c>
      <c r="AH55" s="450">
        <f t="shared" si="19"/>
        <v>0</v>
      </c>
    </row>
    <row r="56" spans="1:34" s="474" customFormat="1" ht="12.75" customHeight="1" outlineLevel="1">
      <c r="D56" s="262"/>
      <c r="E56" s="498"/>
      <c r="F56" s="516" t="s">
        <v>583</v>
      </c>
      <c r="G56" s="459"/>
      <c r="H56" s="458"/>
      <c r="I56" s="458"/>
      <c r="J56" s="458"/>
      <c r="K56" s="460"/>
      <c r="L56" s="511">
        <v>0</v>
      </c>
      <c r="M56" s="512">
        <v>0</v>
      </c>
      <c r="N56" s="512">
        <v>0</v>
      </c>
      <c r="O56" s="512">
        <v>0</v>
      </c>
      <c r="P56" s="547">
        <v>0</v>
      </c>
      <c r="Q56" s="1183"/>
      <c r="R56" s="504"/>
      <c r="S56" s="477"/>
      <c r="T56" s="477"/>
      <c r="U56" s="477"/>
      <c r="V56" s="519"/>
      <c r="W56" s="4141"/>
      <c r="X56" s="1172"/>
      <c r="Y56" s="1172"/>
      <c r="Z56" s="1172"/>
      <c r="AA56" s="462"/>
      <c r="AB56" s="463"/>
      <c r="AC56" s="463"/>
      <c r="AD56" s="463"/>
      <c r="AE56" s="464"/>
      <c r="AF56" s="511">
        <v>0</v>
      </c>
      <c r="AG56" s="512">
        <v>0</v>
      </c>
      <c r="AH56" s="547">
        <v>0</v>
      </c>
    </row>
    <row r="57" spans="1:34" s="474" customFormat="1" ht="12.75" customHeight="1" outlineLevel="1">
      <c r="D57" s="262"/>
      <c r="E57" s="498"/>
      <c r="F57" s="516" t="s">
        <v>581</v>
      </c>
      <c r="G57" s="459"/>
      <c r="H57" s="458"/>
      <c r="I57" s="458"/>
      <c r="J57" s="458"/>
      <c r="K57" s="460"/>
      <c r="L57" s="462">
        <v>0</v>
      </c>
      <c r="M57" s="463">
        <v>0</v>
      </c>
      <c r="N57" s="463">
        <v>0</v>
      </c>
      <c r="O57" s="463">
        <v>0</v>
      </c>
      <c r="P57" s="464">
        <v>0</v>
      </c>
      <c r="Q57" s="1183"/>
      <c r="R57" s="413"/>
      <c r="S57" s="458"/>
      <c r="T57" s="458"/>
      <c r="U57" s="458"/>
      <c r="V57" s="460"/>
      <c r="W57" s="4141"/>
      <c r="X57" s="1172"/>
      <c r="Y57" s="1172"/>
      <c r="Z57" s="1172"/>
      <c r="AA57" s="462"/>
      <c r="AB57" s="463"/>
      <c r="AC57" s="463"/>
      <c r="AD57" s="463"/>
      <c r="AE57" s="464"/>
      <c r="AF57" s="462">
        <v>0</v>
      </c>
      <c r="AG57" s="463">
        <v>0</v>
      </c>
      <c r="AH57" s="464">
        <v>0</v>
      </c>
    </row>
    <row r="58" spans="1:34" s="474" customFormat="1" ht="12.75" customHeight="1" outlineLevel="1">
      <c r="D58" s="262"/>
      <c r="E58" s="498"/>
      <c r="F58" s="517" t="s">
        <v>584</v>
      </c>
      <c r="G58" s="353">
        <f t="shared" ref="G58:P58" si="20">SUM(G56:G57)</f>
        <v>0</v>
      </c>
      <c r="H58" s="354">
        <f t="shared" si="20"/>
        <v>0</v>
      </c>
      <c r="I58" s="354">
        <f t="shared" si="20"/>
        <v>0</v>
      </c>
      <c r="J58" s="354">
        <f t="shared" si="20"/>
        <v>0</v>
      </c>
      <c r="K58" s="450">
        <f t="shared" si="20"/>
        <v>0</v>
      </c>
      <c r="L58" s="353">
        <f t="shared" si="20"/>
        <v>0</v>
      </c>
      <c r="M58" s="354">
        <f t="shared" si="20"/>
        <v>0</v>
      </c>
      <c r="N58" s="354">
        <f t="shared" si="20"/>
        <v>0</v>
      </c>
      <c r="O58" s="354">
        <f t="shared" si="20"/>
        <v>0</v>
      </c>
      <c r="P58" s="450">
        <f t="shared" si="20"/>
        <v>0</v>
      </c>
      <c r="Q58" s="1184"/>
      <c r="R58" s="447">
        <f>SUM(R56:R57)</f>
        <v>0</v>
      </c>
      <c r="S58" s="354">
        <f>SUM(S56:S57)</f>
        <v>0</v>
      </c>
      <c r="T58" s="354">
        <f>SUM(T56:T57)</f>
        <v>0</v>
      </c>
      <c r="U58" s="354">
        <f>SUM(U56:U57)</f>
        <v>0</v>
      </c>
      <c r="V58" s="450">
        <f>SUM(V56:V57)</f>
        <v>0</v>
      </c>
      <c r="W58" s="4141"/>
      <c r="X58" s="1172"/>
      <c r="Y58" s="1172"/>
      <c r="Z58" s="1172"/>
      <c r="AA58" s="353">
        <f t="shared" ref="AA58:AH58" si="21">SUM(AA56:AA57)</f>
        <v>0</v>
      </c>
      <c r="AB58" s="354">
        <f t="shared" si="21"/>
        <v>0</v>
      </c>
      <c r="AC58" s="354">
        <f t="shared" si="21"/>
        <v>0</v>
      </c>
      <c r="AD58" s="354">
        <f t="shared" si="21"/>
        <v>0</v>
      </c>
      <c r="AE58" s="450">
        <f t="shared" si="21"/>
        <v>0</v>
      </c>
      <c r="AF58" s="353">
        <f t="shared" si="21"/>
        <v>0</v>
      </c>
      <c r="AG58" s="354">
        <f t="shared" si="21"/>
        <v>0</v>
      </c>
      <c r="AH58" s="450">
        <f t="shared" si="21"/>
        <v>0</v>
      </c>
    </row>
    <row r="59" spans="1:34" s="474" customFormat="1" ht="12.75" customHeight="1" outlineLevel="1">
      <c r="D59" s="262"/>
      <c r="E59" s="498"/>
      <c r="F59" s="516" t="s">
        <v>35</v>
      </c>
      <c r="G59" s="459"/>
      <c r="H59" s="458"/>
      <c r="I59" s="458"/>
      <c r="J59" s="458"/>
      <c r="K59" s="460"/>
      <c r="L59" s="459"/>
      <c r="M59" s="458"/>
      <c r="N59" s="458"/>
      <c r="O59" s="458"/>
      <c r="P59" s="460"/>
      <c r="Q59" s="1183"/>
      <c r="R59" s="413"/>
      <c r="S59" s="458"/>
      <c r="T59" s="458"/>
      <c r="U59" s="458"/>
      <c r="V59" s="460"/>
      <c r="W59" s="4141"/>
      <c r="X59" s="1172"/>
      <c r="Y59" s="1172"/>
      <c r="Z59" s="1172"/>
      <c r="AA59" s="462"/>
      <c r="AB59" s="463"/>
      <c r="AC59" s="463"/>
      <c r="AD59" s="463"/>
      <c r="AE59" s="464"/>
      <c r="AF59" s="462"/>
      <c r="AG59" s="463"/>
      <c r="AH59" s="464"/>
    </row>
    <row r="60" spans="1:34" s="474" customFormat="1" ht="12.75" customHeight="1" outlineLevel="1" thickBot="1">
      <c r="D60" s="262"/>
      <c r="E60" s="498"/>
      <c r="F60" s="1409" t="s">
        <v>585</v>
      </c>
      <c r="G60" s="1370">
        <f t="shared" ref="G60:P60" si="22">G58-G59</f>
        <v>0</v>
      </c>
      <c r="H60" s="356">
        <f t="shared" si="22"/>
        <v>0</v>
      </c>
      <c r="I60" s="356">
        <f t="shared" si="22"/>
        <v>0</v>
      </c>
      <c r="J60" s="356">
        <f t="shared" si="22"/>
        <v>0</v>
      </c>
      <c r="K60" s="503">
        <f t="shared" si="22"/>
        <v>0</v>
      </c>
      <c r="L60" s="1370">
        <f t="shared" si="22"/>
        <v>0</v>
      </c>
      <c r="M60" s="356">
        <f t="shared" si="22"/>
        <v>0</v>
      </c>
      <c r="N60" s="356">
        <f t="shared" si="22"/>
        <v>0</v>
      </c>
      <c r="O60" s="356">
        <f t="shared" si="22"/>
        <v>0</v>
      </c>
      <c r="P60" s="503">
        <f t="shared" si="22"/>
        <v>0</v>
      </c>
      <c r="Q60" s="1185"/>
      <c r="R60" s="502">
        <f>R58-R59</f>
        <v>0</v>
      </c>
      <c r="S60" s="356">
        <f>S58-S59</f>
        <v>0</v>
      </c>
      <c r="T60" s="356">
        <f>T58-T59</f>
        <v>0</v>
      </c>
      <c r="U60" s="356">
        <f>U58-U59</f>
        <v>0</v>
      </c>
      <c r="V60" s="503">
        <f>V58-V59</f>
        <v>0</v>
      </c>
      <c r="W60" s="4142"/>
      <c r="X60" s="1172"/>
      <c r="Y60" s="1172"/>
      <c r="Z60" s="1172"/>
      <c r="AA60" s="1370">
        <f t="shared" ref="AA60:AH60" si="23">AA58-AA59</f>
        <v>0</v>
      </c>
      <c r="AB60" s="356">
        <f t="shared" si="23"/>
        <v>0</v>
      </c>
      <c r="AC60" s="356">
        <f t="shared" si="23"/>
        <v>0</v>
      </c>
      <c r="AD60" s="356">
        <f t="shared" si="23"/>
        <v>0</v>
      </c>
      <c r="AE60" s="503">
        <f t="shared" si="23"/>
        <v>0</v>
      </c>
      <c r="AF60" s="1370">
        <f t="shared" si="23"/>
        <v>0</v>
      </c>
      <c r="AG60" s="356">
        <f t="shared" si="23"/>
        <v>0</v>
      </c>
      <c r="AH60" s="503">
        <f t="shared" si="23"/>
        <v>0</v>
      </c>
    </row>
    <row r="61" spans="1:34" s="474" customFormat="1" ht="27.75" customHeight="1" outlineLevel="1">
      <c r="A61" s="183"/>
      <c r="B61" s="183"/>
      <c r="C61" s="183"/>
      <c r="D61" s="262"/>
      <c r="E61" s="3457" t="s">
        <v>1528</v>
      </c>
      <c r="F61" s="842" t="s">
        <v>593</v>
      </c>
      <c r="G61" s="1574"/>
      <c r="H61" s="1575"/>
      <c r="I61" s="1575"/>
      <c r="J61" s="1575"/>
      <c r="K61" s="1584"/>
      <c r="L61" s="538"/>
      <c r="M61" s="539"/>
      <c r="N61" s="539"/>
      <c r="O61" s="539"/>
      <c r="P61" s="540"/>
      <c r="Q61" s="1182"/>
      <c r="R61" s="539"/>
      <c r="S61" s="539"/>
      <c r="T61" s="539"/>
      <c r="U61" s="539"/>
      <c r="V61" s="540"/>
      <c r="W61" s="4140"/>
      <c r="X61" s="1172"/>
      <c r="Y61" s="1172"/>
      <c r="Z61" s="1172"/>
      <c r="AA61" s="527"/>
      <c r="AB61" s="528"/>
      <c r="AC61" s="528"/>
      <c r="AD61" s="528"/>
      <c r="AE61" s="529"/>
      <c r="AF61" s="538"/>
      <c r="AG61" s="539"/>
      <c r="AH61" s="540"/>
    </row>
    <row r="62" spans="1:34" s="474" customFormat="1" ht="12.75" customHeight="1" outlineLevel="1">
      <c r="A62" s="183"/>
      <c r="B62" s="183"/>
      <c r="C62" s="183"/>
      <c r="D62" s="262"/>
      <c r="E62" s="498"/>
      <c r="F62" s="516" t="s">
        <v>559</v>
      </c>
      <c r="G62" s="1576"/>
      <c r="H62" s="1577"/>
      <c r="I62" s="1577"/>
      <c r="J62" s="1577"/>
      <c r="K62" s="1585"/>
      <c r="L62" s="459">
        <v>41902.53</v>
      </c>
      <c r="M62" s="458"/>
      <c r="N62" s="458"/>
      <c r="O62" s="458"/>
      <c r="P62" s="460"/>
      <c r="Q62" s="1183"/>
      <c r="R62" s="413"/>
      <c r="S62" s="458"/>
      <c r="T62" s="458"/>
      <c r="U62" s="458"/>
      <c r="V62" s="460"/>
      <c r="W62" s="4141"/>
      <c r="X62" s="1172"/>
      <c r="Y62" s="1172"/>
      <c r="Z62" s="1172"/>
      <c r="AA62" s="470"/>
      <c r="AB62" s="468"/>
      <c r="AC62" s="468"/>
      <c r="AD62" s="468"/>
      <c r="AE62" s="530"/>
      <c r="AF62" s="462"/>
      <c r="AG62" s="463"/>
      <c r="AH62" s="464"/>
    </row>
    <row r="63" spans="1:34" s="474" customFormat="1" ht="12.75" customHeight="1" outlineLevel="1">
      <c r="D63" s="262"/>
      <c r="E63" s="498"/>
      <c r="F63" s="516" t="s">
        <v>558</v>
      </c>
      <c r="G63" s="1576"/>
      <c r="H63" s="1577"/>
      <c r="I63" s="1577"/>
      <c r="J63" s="1577"/>
      <c r="K63" s="1585"/>
      <c r="L63" s="459">
        <v>30021.019999999997</v>
      </c>
      <c r="M63" s="458"/>
      <c r="N63" s="458"/>
      <c r="O63" s="458"/>
      <c r="P63" s="460"/>
      <c r="Q63" s="1183"/>
      <c r="R63" s="413"/>
      <c r="S63" s="458"/>
      <c r="T63" s="458"/>
      <c r="U63" s="458"/>
      <c r="V63" s="460"/>
      <c r="W63" s="4141"/>
      <c r="X63" s="1172"/>
      <c r="Y63" s="1172"/>
      <c r="Z63" s="1172"/>
      <c r="AA63" s="470"/>
      <c r="AB63" s="468"/>
      <c r="AC63" s="468"/>
      <c r="AD63" s="468"/>
      <c r="AE63" s="530"/>
      <c r="AF63" s="462"/>
      <c r="AG63" s="463"/>
      <c r="AH63" s="464"/>
    </row>
    <row r="64" spans="1:34" s="474" customFormat="1" ht="12.75" customHeight="1" outlineLevel="1">
      <c r="D64" s="262"/>
      <c r="E64" s="498"/>
      <c r="F64" s="516" t="s">
        <v>578</v>
      </c>
      <c r="G64" s="1576"/>
      <c r="H64" s="1577"/>
      <c r="I64" s="1577"/>
      <c r="J64" s="1577"/>
      <c r="K64" s="1585"/>
      <c r="L64" s="459">
        <v>-2401</v>
      </c>
      <c r="M64" s="458"/>
      <c r="N64" s="458"/>
      <c r="O64" s="458"/>
      <c r="P64" s="460"/>
      <c r="Q64" s="1183"/>
      <c r="R64" s="413"/>
      <c r="S64" s="458"/>
      <c r="T64" s="458"/>
      <c r="U64" s="458"/>
      <c r="V64" s="460"/>
      <c r="W64" s="4141"/>
      <c r="X64" s="1172"/>
      <c r="Y64" s="1172"/>
      <c r="Z64" s="1172"/>
      <c r="AA64" s="470"/>
      <c r="AB64" s="468"/>
      <c r="AC64" s="468"/>
      <c r="AD64" s="468"/>
      <c r="AE64" s="530"/>
      <c r="AF64" s="462"/>
      <c r="AG64" s="463"/>
      <c r="AH64" s="464"/>
    </row>
    <row r="65" spans="1:34" s="474" customFormat="1" ht="12.75" customHeight="1" outlineLevel="1">
      <c r="D65" s="262"/>
      <c r="E65" s="498"/>
      <c r="F65" s="517" t="s">
        <v>579</v>
      </c>
      <c r="G65" s="459"/>
      <c r="H65" s="458"/>
      <c r="I65" s="458"/>
      <c r="J65" s="458"/>
      <c r="K65" s="460"/>
      <c r="L65" s="353">
        <f t="shared" ref="L65:P65" si="24">SUM(L62:L64)</f>
        <v>69522.549999999988</v>
      </c>
      <c r="M65" s="354">
        <f t="shared" si="24"/>
        <v>0</v>
      </c>
      <c r="N65" s="354">
        <f t="shared" si="24"/>
        <v>0</v>
      </c>
      <c r="O65" s="354">
        <f t="shared" si="24"/>
        <v>0</v>
      </c>
      <c r="P65" s="450">
        <f t="shared" si="24"/>
        <v>0</v>
      </c>
      <c r="Q65" s="1184"/>
      <c r="R65" s="447">
        <f>SUM(R62:R64)</f>
        <v>0</v>
      </c>
      <c r="S65" s="354">
        <f>SUM(S62:S64)</f>
        <v>0</v>
      </c>
      <c r="T65" s="354">
        <f>SUM(T62:T64)</f>
        <v>0</v>
      </c>
      <c r="U65" s="354">
        <f>SUM(U62:U64)</f>
        <v>0</v>
      </c>
      <c r="V65" s="450">
        <f>SUM(V62:V64)</f>
        <v>0</v>
      </c>
      <c r="W65" s="4141"/>
      <c r="X65" s="1172"/>
      <c r="Y65" s="1172"/>
      <c r="Z65" s="1172"/>
      <c r="AA65" s="462"/>
      <c r="AB65" s="463"/>
      <c r="AC65" s="463"/>
      <c r="AD65" s="463"/>
      <c r="AE65" s="464"/>
      <c r="AF65" s="353">
        <f t="shared" ref="AF65:AH65" si="25">SUM(AF62:AF64)</f>
        <v>0</v>
      </c>
      <c r="AG65" s="354">
        <f t="shared" si="25"/>
        <v>0</v>
      </c>
      <c r="AH65" s="450">
        <f t="shared" si="25"/>
        <v>0</v>
      </c>
    </row>
    <row r="66" spans="1:34" s="474" customFormat="1" ht="12.75" customHeight="1" outlineLevel="1">
      <c r="D66" s="262"/>
      <c r="E66" s="498"/>
      <c r="F66" s="516" t="s">
        <v>583</v>
      </c>
      <c r="G66" s="459"/>
      <c r="H66" s="458"/>
      <c r="I66" s="458"/>
      <c r="J66" s="458"/>
      <c r="K66" s="460"/>
      <c r="L66" s="511">
        <v>0</v>
      </c>
      <c r="M66" s="512">
        <v>0</v>
      </c>
      <c r="N66" s="512">
        <v>0</v>
      </c>
      <c r="O66" s="512">
        <v>0</v>
      </c>
      <c r="P66" s="547">
        <v>0</v>
      </c>
      <c r="Q66" s="1183"/>
      <c r="R66" s="504"/>
      <c r="S66" s="477"/>
      <c r="T66" s="477"/>
      <c r="U66" s="477"/>
      <c r="V66" s="519"/>
      <c r="W66" s="4141"/>
      <c r="X66" s="1172"/>
      <c r="Y66" s="1172"/>
      <c r="Z66" s="1172"/>
      <c r="AA66" s="462"/>
      <c r="AB66" s="463"/>
      <c r="AC66" s="463"/>
      <c r="AD66" s="463"/>
      <c r="AE66" s="464"/>
      <c r="AF66" s="511">
        <v>0</v>
      </c>
      <c r="AG66" s="512">
        <v>0</v>
      </c>
      <c r="AH66" s="547">
        <v>0</v>
      </c>
    </row>
    <row r="67" spans="1:34" s="474" customFormat="1" ht="12.75" customHeight="1" outlineLevel="1">
      <c r="D67" s="262"/>
      <c r="E67" s="498"/>
      <c r="F67" s="516" t="s">
        <v>581</v>
      </c>
      <c r="G67" s="459"/>
      <c r="H67" s="458"/>
      <c r="I67" s="458"/>
      <c r="J67" s="458"/>
      <c r="K67" s="460"/>
      <c r="L67" s="462">
        <v>0</v>
      </c>
      <c r="M67" s="463">
        <v>0</v>
      </c>
      <c r="N67" s="463">
        <v>0</v>
      </c>
      <c r="O67" s="463">
        <v>0</v>
      </c>
      <c r="P67" s="464">
        <v>0</v>
      </c>
      <c r="Q67" s="1183"/>
      <c r="R67" s="413"/>
      <c r="S67" s="458"/>
      <c r="T67" s="458"/>
      <c r="U67" s="458"/>
      <c r="V67" s="460"/>
      <c r="W67" s="4141"/>
      <c r="X67" s="1172"/>
      <c r="Y67" s="1172"/>
      <c r="Z67" s="1172"/>
      <c r="AA67" s="462"/>
      <c r="AB67" s="463"/>
      <c r="AC67" s="463"/>
      <c r="AD67" s="463"/>
      <c r="AE67" s="464"/>
      <c r="AF67" s="462">
        <v>0</v>
      </c>
      <c r="AG67" s="463">
        <v>0</v>
      </c>
      <c r="AH67" s="464">
        <v>0</v>
      </c>
    </row>
    <row r="68" spans="1:34" s="474" customFormat="1" ht="12.75" customHeight="1" outlineLevel="1">
      <c r="D68" s="262"/>
      <c r="E68" s="498"/>
      <c r="F68" s="517" t="s">
        <v>584</v>
      </c>
      <c r="G68" s="353">
        <f t="shared" ref="G68:P68" si="26">SUM(G66:G67)</f>
        <v>0</v>
      </c>
      <c r="H68" s="354">
        <f t="shared" si="26"/>
        <v>0</v>
      </c>
      <c r="I68" s="354">
        <f t="shared" si="26"/>
        <v>0</v>
      </c>
      <c r="J68" s="354">
        <f t="shared" si="26"/>
        <v>0</v>
      </c>
      <c r="K68" s="450">
        <f t="shared" si="26"/>
        <v>0</v>
      </c>
      <c r="L68" s="353">
        <f t="shared" si="26"/>
        <v>0</v>
      </c>
      <c r="M68" s="354">
        <f t="shared" si="26"/>
        <v>0</v>
      </c>
      <c r="N68" s="354">
        <f t="shared" si="26"/>
        <v>0</v>
      </c>
      <c r="O68" s="354">
        <f t="shared" si="26"/>
        <v>0</v>
      </c>
      <c r="P68" s="450">
        <f t="shared" si="26"/>
        <v>0</v>
      </c>
      <c r="Q68" s="1184"/>
      <c r="R68" s="447">
        <f>SUM(R66:R67)</f>
        <v>0</v>
      </c>
      <c r="S68" s="354">
        <f>SUM(S66:S67)</f>
        <v>0</v>
      </c>
      <c r="T68" s="354">
        <f>SUM(T66:T67)</f>
        <v>0</v>
      </c>
      <c r="U68" s="354">
        <f>SUM(U66:U67)</f>
        <v>0</v>
      </c>
      <c r="V68" s="450">
        <f>SUM(V66:V67)</f>
        <v>0</v>
      </c>
      <c r="W68" s="4141"/>
      <c r="X68" s="1172"/>
      <c r="Y68" s="1172"/>
      <c r="Z68" s="1172"/>
      <c r="AA68" s="353">
        <f t="shared" ref="AA68:AH68" si="27">SUM(AA66:AA67)</f>
        <v>0</v>
      </c>
      <c r="AB68" s="354">
        <f t="shared" si="27"/>
        <v>0</v>
      </c>
      <c r="AC68" s="354">
        <f t="shared" si="27"/>
        <v>0</v>
      </c>
      <c r="AD68" s="354">
        <f t="shared" si="27"/>
        <v>0</v>
      </c>
      <c r="AE68" s="450">
        <f t="shared" si="27"/>
        <v>0</v>
      </c>
      <c r="AF68" s="353">
        <f t="shared" si="27"/>
        <v>0</v>
      </c>
      <c r="AG68" s="354">
        <f t="shared" si="27"/>
        <v>0</v>
      </c>
      <c r="AH68" s="450">
        <f t="shared" si="27"/>
        <v>0</v>
      </c>
    </row>
    <row r="69" spans="1:34" s="474" customFormat="1" ht="12.75" customHeight="1" outlineLevel="1">
      <c r="D69" s="262"/>
      <c r="E69" s="498"/>
      <c r="F69" s="516" t="s">
        <v>35</v>
      </c>
      <c r="G69" s="459"/>
      <c r="H69" s="458"/>
      <c r="I69" s="458"/>
      <c r="J69" s="458"/>
      <c r="K69" s="460"/>
      <c r="L69" s="459"/>
      <c r="M69" s="458"/>
      <c r="N69" s="458"/>
      <c r="O69" s="458"/>
      <c r="P69" s="460"/>
      <c r="Q69" s="1183"/>
      <c r="R69" s="413"/>
      <c r="S69" s="458"/>
      <c r="T69" s="458"/>
      <c r="U69" s="458"/>
      <c r="V69" s="460"/>
      <c r="W69" s="4141"/>
      <c r="X69" s="1172"/>
      <c r="Y69" s="1172"/>
      <c r="Z69" s="1172"/>
      <c r="AA69" s="462"/>
      <c r="AB69" s="463"/>
      <c r="AC69" s="463"/>
      <c r="AD69" s="463"/>
      <c r="AE69" s="464"/>
      <c r="AF69" s="462"/>
      <c r="AG69" s="463"/>
      <c r="AH69" s="464"/>
    </row>
    <row r="70" spans="1:34" s="474" customFormat="1" ht="12.75" customHeight="1" outlineLevel="1" thickBot="1">
      <c r="D70" s="262"/>
      <c r="E70" s="498"/>
      <c r="F70" s="1409" t="s">
        <v>585</v>
      </c>
      <c r="G70" s="1370">
        <f t="shared" ref="G70:P70" si="28">G68-G69</f>
        <v>0</v>
      </c>
      <c r="H70" s="356">
        <f t="shared" si="28"/>
        <v>0</v>
      </c>
      <c r="I70" s="356">
        <f t="shared" si="28"/>
        <v>0</v>
      </c>
      <c r="J70" s="356">
        <f t="shared" si="28"/>
        <v>0</v>
      </c>
      <c r="K70" s="503">
        <f t="shared" si="28"/>
        <v>0</v>
      </c>
      <c r="L70" s="1370">
        <f t="shared" si="28"/>
        <v>0</v>
      </c>
      <c r="M70" s="356">
        <f t="shared" si="28"/>
        <v>0</v>
      </c>
      <c r="N70" s="356">
        <f t="shared" si="28"/>
        <v>0</v>
      </c>
      <c r="O70" s="356">
        <f t="shared" si="28"/>
        <v>0</v>
      </c>
      <c r="P70" s="503">
        <f t="shared" si="28"/>
        <v>0</v>
      </c>
      <c r="Q70" s="1185"/>
      <c r="R70" s="502">
        <f>R68-R69</f>
        <v>0</v>
      </c>
      <c r="S70" s="356">
        <f>S68-S69</f>
        <v>0</v>
      </c>
      <c r="T70" s="356">
        <f>T68-T69</f>
        <v>0</v>
      </c>
      <c r="U70" s="356">
        <f>U68-U69</f>
        <v>0</v>
      </c>
      <c r="V70" s="503">
        <f>V68-V69</f>
        <v>0</v>
      </c>
      <c r="W70" s="4142"/>
      <c r="X70" s="1172"/>
      <c r="Y70" s="1172"/>
      <c r="Z70" s="1172"/>
      <c r="AA70" s="1370">
        <f t="shared" ref="AA70:AH70" si="29">AA68-AA69</f>
        <v>0</v>
      </c>
      <c r="AB70" s="356">
        <f t="shared" si="29"/>
        <v>0</v>
      </c>
      <c r="AC70" s="356">
        <f t="shared" si="29"/>
        <v>0</v>
      </c>
      <c r="AD70" s="356">
        <f t="shared" si="29"/>
        <v>0</v>
      </c>
      <c r="AE70" s="503">
        <f t="shared" si="29"/>
        <v>0</v>
      </c>
      <c r="AF70" s="1370">
        <f t="shared" si="29"/>
        <v>0</v>
      </c>
      <c r="AG70" s="356">
        <f t="shared" si="29"/>
        <v>0</v>
      </c>
      <c r="AH70" s="503">
        <f t="shared" si="29"/>
        <v>0</v>
      </c>
    </row>
    <row r="71" spans="1:34" s="474" customFormat="1" ht="23.25" customHeight="1" outlineLevel="1">
      <c r="A71" s="183"/>
      <c r="B71" s="183"/>
      <c r="C71" s="183"/>
      <c r="D71" s="262"/>
      <c r="E71" s="3457" t="s">
        <v>1529</v>
      </c>
      <c r="F71" s="842" t="s">
        <v>593</v>
      </c>
      <c r="G71" s="1574"/>
      <c r="H71" s="1575"/>
      <c r="I71" s="1575"/>
      <c r="J71" s="1575"/>
      <c r="K71" s="1584"/>
      <c r="L71" s="538"/>
      <c r="M71" s="539"/>
      <c r="N71" s="539"/>
      <c r="O71" s="539"/>
      <c r="P71" s="540"/>
      <c r="Q71" s="1182"/>
      <c r="R71" s="539"/>
      <c r="S71" s="539"/>
      <c r="T71" s="539"/>
      <c r="U71" s="539"/>
      <c r="V71" s="540"/>
      <c r="W71" s="4140"/>
      <c r="X71" s="1172"/>
      <c r="Y71" s="1172"/>
      <c r="Z71" s="1172"/>
      <c r="AA71" s="527"/>
      <c r="AB71" s="528"/>
      <c r="AC71" s="528"/>
      <c r="AD71" s="528"/>
      <c r="AE71" s="529"/>
      <c r="AF71" s="538"/>
      <c r="AG71" s="539"/>
      <c r="AH71" s="540"/>
    </row>
    <row r="72" spans="1:34" s="474" customFormat="1" ht="12.75" customHeight="1" outlineLevel="1">
      <c r="D72" s="262"/>
      <c r="E72" s="498"/>
      <c r="F72" s="516" t="s">
        <v>559</v>
      </c>
      <c r="G72" s="1576"/>
      <c r="H72" s="1577"/>
      <c r="I72" s="1577"/>
      <c r="J72" s="1577"/>
      <c r="K72" s="1585"/>
      <c r="L72" s="459"/>
      <c r="M72" s="458">
        <v>30850.340000000004</v>
      </c>
      <c r="N72" s="458"/>
      <c r="O72" s="458"/>
      <c r="P72" s="460"/>
      <c r="Q72" s="1183"/>
      <c r="R72" s="413"/>
      <c r="S72" s="458"/>
      <c r="T72" s="458"/>
      <c r="U72" s="458"/>
      <c r="V72" s="460"/>
      <c r="W72" s="4141"/>
      <c r="X72" s="1172"/>
      <c r="Y72" s="1172"/>
      <c r="Z72" s="1172"/>
      <c r="AA72" s="470"/>
      <c r="AB72" s="468"/>
      <c r="AC72" s="468"/>
      <c r="AD72" s="468"/>
      <c r="AE72" s="530"/>
      <c r="AF72" s="462"/>
      <c r="AG72" s="463"/>
      <c r="AH72" s="464"/>
    </row>
    <row r="73" spans="1:34" s="474" customFormat="1" ht="12.75" customHeight="1" outlineLevel="1">
      <c r="D73" s="262"/>
      <c r="E73" s="498"/>
      <c r="F73" s="516" t="s">
        <v>558</v>
      </c>
      <c r="G73" s="1576"/>
      <c r="H73" s="1577"/>
      <c r="I73" s="1577"/>
      <c r="J73" s="1577"/>
      <c r="K73" s="1585"/>
      <c r="L73" s="458"/>
      <c r="M73" s="458">
        <v>4710.26</v>
      </c>
      <c r="N73" s="458"/>
      <c r="O73" s="458"/>
      <c r="P73" s="460"/>
      <c r="Q73" s="1183"/>
      <c r="R73" s="413"/>
      <c r="S73" s="458"/>
      <c r="T73" s="458"/>
      <c r="U73" s="458"/>
      <c r="V73" s="460"/>
      <c r="W73" s="4141"/>
      <c r="X73" s="1172"/>
      <c r="Y73" s="1172"/>
      <c r="Z73" s="1172"/>
      <c r="AA73" s="470"/>
      <c r="AB73" s="468"/>
      <c r="AC73" s="468"/>
      <c r="AD73" s="468"/>
      <c r="AE73" s="530"/>
      <c r="AF73" s="462"/>
      <c r="AG73" s="463"/>
      <c r="AH73" s="464"/>
    </row>
    <row r="74" spans="1:34" s="474" customFormat="1" ht="12.75" customHeight="1" outlineLevel="1">
      <c r="D74" s="262"/>
      <c r="E74" s="498"/>
      <c r="F74" s="516" t="s">
        <v>578</v>
      </c>
      <c r="G74" s="1576"/>
      <c r="H74" s="1577"/>
      <c r="I74" s="1577"/>
      <c r="J74" s="1577"/>
      <c r="K74" s="1585"/>
      <c r="L74" s="458"/>
      <c r="M74" s="458">
        <v>18437.41</v>
      </c>
      <c r="N74" s="458"/>
      <c r="O74" s="458"/>
      <c r="P74" s="460"/>
      <c r="Q74" s="1183"/>
      <c r="R74" s="413"/>
      <c r="S74" s="458"/>
      <c r="T74" s="458"/>
      <c r="U74" s="458"/>
      <c r="V74" s="460"/>
      <c r="W74" s="4141"/>
      <c r="X74" s="1172"/>
      <c r="Y74" s="1172"/>
      <c r="Z74" s="1172"/>
      <c r="AA74" s="470"/>
      <c r="AB74" s="468"/>
      <c r="AC74" s="468"/>
      <c r="AD74" s="468"/>
      <c r="AE74" s="530"/>
      <c r="AF74" s="462"/>
      <c r="AG74" s="463"/>
      <c r="AH74" s="464"/>
    </row>
    <row r="75" spans="1:34" s="474" customFormat="1" ht="12.75" customHeight="1" outlineLevel="1">
      <c r="D75" s="262"/>
      <c r="E75" s="498"/>
      <c r="F75" s="517" t="s">
        <v>579</v>
      </c>
      <c r="G75" s="459"/>
      <c r="H75" s="458"/>
      <c r="I75" s="458"/>
      <c r="J75" s="458"/>
      <c r="K75" s="460"/>
      <c r="L75" s="353">
        <f t="shared" ref="L75:P75" si="30">SUM(L72:L74)</f>
        <v>0</v>
      </c>
      <c r="M75" s="354">
        <f t="shared" si="30"/>
        <v>53998.010000000009</v>
      </c>
      <c r="N75" s="354">
        <f t="shared" si="30"/>
        <v>0</v>
      </c>
      <c r="O75" s="354">
        <f t="shared" si="30"/>
        <v>0</v>
      </c>
      <c r="P75" s="450">
        <f t="shared" si="30"/>
        <v>0</v>
      </c>
      <c r="Q75" s="1184"/>
      <c r="R75" s="447">
        <f>SUM(R72:R74)</f>
        <v>0</v>
      </c>
      <c r="S75" s="354">
        <f>SUM(S72:S74)</f>
        <v>0</v>
      </c>
      <c r="T75" s="354">
        <f>SUM(T72:T74)</f>
        <v>0</v>
      </c>
      <c r="U75" s="354">
        <f>SUM(U72:U74)</f>
        <v>0</v>
      </c>
      <c r="V75" s="450">
        <f>SUM(V72:V74)</f>
        <v>0</v>
      </c>
      <c r="W75" s="4141"/>
      <c r="X75" s="1172"/>
      <c r="Y75" s="1172"/>
      <c r="Z75" s="1172"/>
      <c r="AA75" s="462"/>
      <c r="AB75" s="463"/>
      <c r="AC75" s="463"/>
      <c r="AD75" s="463"/>
      <c r="AE75" s="464"/>
      <c r="AF75" s="353">
        <f t="shared" ref="AF75:AH75" si="31">SUM(AF72:AF74)</f>
        <v>0</v>
      </c>
      <c r="AG75" s="354">
        <f t="shared" si="31"/>
        <v>0</v>
      </c>
      <c r="AH75" s="450">
        <f t="shared" si="31"/>
        <v>0</v>
      </c>
    </row>
    <row r="76" spans="1:34" s="474" customFormat="1" ht="12.75" customHeight="1" outlineLevel="1">
      <c r="D76" s="262"/>
      <c r="E76" s="498"/>
      <c r="F76" s="516" t="s">
        <v>583</v>
      </c>
      <c r="G76" s="459"/>
      <c r="H76" s="458"/>
      <c r="I76" s="458"/>
      <c r="J76" s="458"/>
      <c r="K76" s="460"/>
      <c r="L76" s="511">
        <v>0</v>
      </c>
      <c r="M76" s="512">
        <v>0</v>
      </c>
      <c r="N76" s="512">
        <v>0</v>
      </c>
      <c r="O76" s="512">
        <v>0</v>
      </c>
      <c r="P76" s="547">
        <v>0</v>
      </c>
      <c r="Q76" s="1183"/>
      <c r="R76" s="504"/>
      <c r="S76" s="477"/>
      <c r="T76" s="477"/>
      <c r="U76" s="477"/>
      <c r="V76" s="519"/>
      <c r="W76" s="4141"/>
      <c r="X76" s="1172"/>
      <c r="Y76" s="1172"/>
      <c r="Z76" s="1172"/>
      <c r="AA76" s="462"/>
      <c r="AB76" s="463"/>
      <c r="AC76" s="463"/>
      <c r="AD76" s="463"/>
      <c r="AE76" s="464"/>
      <c r="AF76" s="511">
        <v>0</v>
      </c>
      <c r="AG76" s="512">
        <v>0</v>
      </c>
      <c r="AH76" s="547">
        <v>0</v>
      </c>
    </row>
    <row r="77" spans="1:34" s="474" customFormat="1" ht="12.75" customHeight="1" outlineLevel="1">
      <c r="D77" s="262"/>
      <c r="E77" s="498"/>
      <c r="F77" s="516" t="s">
        <v>581</v>
      </c>
      <c r="G77" s="459"/>
      <c r="H77" s="458"/>
      <c r="I77" s="458"/>
      <c r="J77" s="458"/>
      <c r="K77" s="460"/>
      <c r="L77" s="462">
        <v>0</v>
      </c>
      <c r="M77" s="463">
        <v>0</v>
      </c>
      <c r="N77" s="463">
        <v>0</v>
      </c>
      <c r="O77" s="463">
        <v>0</v>
      </c>
      <c r="P77" s="464">
        <v>0</v>
      </c>
      <c r="Q77" s="1183"/>
      <c r="R77" s="413"/>
      <c r="S77" s="458"/>
      <c r="T77" s="458"/>
      <c r="U77" s="458"/>
      <c r="V77" s="460"/>
      <c r="W77" s="4141"/>
      <c r="X77" s="1172"/>
      <c r="Y77" s="1172"/>
      <c r="Z77" s="1172"/>
      <c r="AA77" s="462"/>
      <c r="AB77" s="463"/>
      <c r="AC77" s="463"/>
      <c r="AD77" s="463"/>
      <c r="AE77" s="464"/>
      <c r="AF77" s="462">
        <v>0</v>
      </c>
      <c r="AG77" s="463">
        <v>0</v>
      </c>
      <c r="AH77" s="464">
        <v>0</v>
      </c>
    </row>
    <row r="78" spans="1:34" s="474" customFormat="1" ht="12.75" customHeight="1" outlineLevel="1">
      <c r="D78" s="262"/>
      <c r="E78" s="498"/>
      <c r="F78" s="517" t="s">
        <v>584</v>
      </c>
      <c r="G78" s="353">
        <f t="shared" ref="G78:P78" si="32">SUM(G76:G77)</f>
        <v>0</v>
      </c>
      <c r="H78" s="354">
        <f t="shared" si="32"/>
        <v>0</v>
      </c>
      <c r="I78" s="354">
        <f t="shared" si="32"/>
        <v>0</v>
      </c>
      <c r="J78" s="354">
        <f t="shared" si="32"/>
        <v>0</v>
      </c>
      <c r="K78" s="450">
        <f t="shared" si="32"/>
        <v>0</v>
      </c>
      <c r="L78" s="353">
        <f t="shared" si="32"/>
        <v>0</v>
      </c>
      <c r="M78" s="354">
        <f t="shared" si="32"/>
        <v>0</v>
      </c>
      <c r="N78" s="354">
        <f t="shared" si="32"/>
        <v>0</v>
      </c>
      <c r="O78" s="354">
        <f t="shared" si="32"/>
        <v>0</v>
      </c>
      <c r="P78" s="450">
        <f t="shared" si="32"/>
        <v>0</v>
      </c>
      <c r="Q78" s="1184"/>
      <c r="R78" s="447">
        <f>SUM(R76:R77)</f>
        <v>0</v>
      </c>
      <c r="S78" s="354">
        <f>SUM(S76:S77)</f>
        <v>0</v>
      </c>
      <c r="T78" s="354">
        <f>SUM(T76:T77)</f>
        <v>0</v>
      </c>
      <c r="U78" s="354">
        <f>SUM(U76:U77)</f>
        <v>0</v>
      </c>
      <c r="V78" s="450">
        <f>SUM(V76:V77)</f>
        <v>0</v>
      </c>
      <c r="W78" s="4141"/>
      <c r="X78" s="1172"/>
      <c r="Y78" s="1172"/>
      <c r="Z78" s="1172"/>
      <c r="AA78" s="353">
        <f t="shared" ref="AA78:AH78" si="33">SUM(AA76:AA77)</f>
        <v>0</v>
      </c>
      <c r="AB78" s="354">
        <f t="shared" si="33"/>
        <v>0</v>
      </c>
      <c r="AC78" s="354">
        <f t="shared" si="33"/>
        <v>0</v>
      </c>
      <c r="AD78" s="354">
        <f t="shared" si="33"/>
        <v>0</v>
      </c>
      <c r="AE78" s="450">
        <f t="shared" si="33"/>
        <v>0</v>
      </c>
      <c r="AF78" s="353">
        <f t="shared" si="33"/>
        <v>0</v>
      </c>
      <c r="AG78" s="354">
        <f t="shared" si="33"/>
        <v>0</v>
      </c>
      <c r="AH78" s="450">
        <f t="shared" si="33"/>
        <v>0</v>
      </c>
    </row>
    <row r="79" spans="1:34" s="474" customFormat="1" ht="12.75" customHeight="1" outlineLevel="1">
      <c r="D79" s="262"/>
      <c r="E79" s="498"/>
      <c r="F79" s="516" t="s">
        <v>35</v>
      </c>
      <c r="G79" s="459"/>
      <c r="H79" s="458"/>
      <c r="I79" s="458"/>
      <c r="J79" s="458"/>
      <c r="K79" s="460"/>
      <c r="L79" s="459"/>
      <c r="M79" s="458"/>
      <c r="N79" s="458"/>
      <c r="O79" s="458"/>
      <c r="P79" s="460"/>
      <c r="Q79" s="1183"/>
      <c r="R79" s="413"/>
      <c r="S79" s="458"/>
      <c r="T79" s="458"/>
      <c r="U79" s="458"/>
      <c r="V79" s="460"/>
      <c r="W79" s="4141"/>
      <c r="X79" s="1172"/>
      <c r="Y79" s="1172"/>
      <c r="Z79" s="1172"/>
      <c r="AA79" s="462"/>
      <c r="AB79" s="463"/>
      <c r="AC79" s="463"/>
      <c r="AD79" s="463"/>
      <c r="AE79" s="464"/>
      <c r="AF79" s="462"/>
      <c r="AG79" s="463"/>
      <c r="AH79" s="464"/>
    </row>
    <row r="80" spans="1:34" s="474" customFormat="1" ht="12.75" customHeight="1" outlineLevel="1" thickBot="1">
      <c r="D80" s="262"/>
      <c r="E80" s="498"/>
      <c r="F80" s="1409" t="s">
        <v>585</v>
      </c>
      <c r="G80" s="1370">
        <f t="shared" ref="G80:P80" si="34">G78-G79</f>
        <v>0</v>
      </c>
      <c r="H80" s="356">
        <f t="shared" si="34"/>
        <v>0</v>
      </c>
      <c r="I80" s="356">
        <f t="shared" si="34"/>
        <v>0</v>
      </c>
      <c r="J80" s="356">
        <f t="shared" si="34"/>
        <v>0</v>
      </c>
      <c r="K80" s="503">
        <f t="shared" si="34"/>
        <v>0</v>
      </c>
      <c r="L80" s="1370">
        <f t="shared" si="34"/>
        <v>0</v>
      </c>
      <c r="M80" s="356">
        <f t="shared" si="34"/>
        <v>0</v>
      </c>
      <c r="N80" s="356">
        <f t="shared" si="34"/>
        <v>0</v>
      </c>
      <c r="O80" s="356">
        <f t="shared" si="34"/>
        <v>0</v>
      </c>
      <c r="P80" s="503">
        <f t="shared" si="34"/>
        <v>0</v>
      </c>
      <c r="Q80" s="1185"/>
      <c r="R80" s="502">
        <f>R78-R79</f>
        <v>0</v>
      </c>
      <c r="S80" s="356">
        <f>S78-S79</f>
        <v>0</v>
      </c>
      <c r="T80" s="356">
        <f>T78-T79</f>
        <v>0</v>
      </c>
      <c r="U80" s="356">
        <f>U78-U79</f>
        <v>0</v>
      </c>
      <c r="V80" s="503">
        <f>V78-V79</f>
        <v>0</v>
      </c>
      <c r="W80" s="4142"/>
      <c r="X80" s="1172"/>
      <c r="Y80" s="1172"/>
      <c r="Z80" s="1172"/>
      <c r="AA80" s="1370">
        <f t="shared" ref="AA80:AH80" si="35">AA78-AA79</f>
        <v>0</v>
      </c>
      <c r="AB80" s="356">
        <f t="shared" si="35"/>
        <v>0</v>
      </c>
      <c r="AC80" s="356">
        <f t="shared" si="35"/>
        <v>0</v>
      </c>
      <c r="AD80" s="356">
        <f t="shared" si="35"/>
        <v>0</v>
      </c>
      <c r="AE80" s="503">
        <f t="shared" si="35"/>
        <v>0</v>
      </c>
      <c r="AF80" s="1370">
        <f t="shared" si="35"/>
        <v>0</v>
      </c>
      <c r="AG80" s="356">
        <f t="shared" si="35"/>
        <v>0</v>
      </c>
      <c r="AH80" s="503">
        <f t="shared" si="35"/>
        <v>0</v>
      </c>
    </row>
    <row r="81" spans="1:34" s="474" customFormat="1" ht="27.75" customHeight="1" outlineLevel="1">
      <c r="A81" s="183"/>
      <c r="B81" s="183"/>
      <c r="C81" s="183"/>
      <c r="D81" s="262"/>
      <c r="E81" s="3457" t="s">
        <v>1530</v>
      </c>
      <c r="F81" s="842" t="s">
        <v>593</v>
      </c>
      <c r="G81" s="1574"/>
      <c r="H81" s="1575"/>
      <c r="I81" s="1575"/>
      <c r="J81" s="1575"/>
      <c r="K81" s="1584"/>
      <c r="L81" s="538"/>
      <c r="M81" s="539"/>
      <c r="N81" s="539"/>
      <c r="O81" s="539"/>
      <c r="P81" s="540"/>
      <c r="Q81" s="1182"/>
      <c r="R81" s="539"/>
      <c r="S81" s="539"/>
      <c r="T81" s="539"/>
      <c r="U81" s="539"/>
      <c r="V81" s="540"/>
      <c r="W81" s="4140"/>
      <c r="X81" s="1172"/>
      <c r="Y81" s="1172"/>
      <c r="Z81" s="1172"/>
      <c r="AA81" s="527"/>
      <c r="AB81" s="528"/>
      <c r="AC81" s="528"/>
      <c r="AD81" s="528"/>
      <c r="AE81" s="529"/>
      <c r="AF81" s="538"/>
      <c r="AG81" s="539"/>
      <c r="AH81" s="540"/>
    </row>
    <row r="82" spans="1:34" s="474" customFormat="1" ht="12.75" customHeight="1" outlineLevel="1">
      <c r="A82" s="183"/>
      <c r="B82" s="183"/>
      <c r="C82" s="183"/>
      <c r="D82" s="262"/>
      <c r="E82" s="498"/>
      <c r="F82" s="516" t="s">
        <v>559</v>
      </c>
      <c r="G82" s="1576"/>
      <c r="H82" s="1577"/>
      <c r="I82" s="1577"/>
      <c r="J82" s="1577"/>
      <c r="K82" s="1585"/>
      <c r="L82" s="459"/>
      <c r="M82" s="458">
        <v>20252.82</v>
      </c>
      <c r="N82" s="458"/>
      <c r="O82" s="458"/>
      <c r="P82" s="460"/>
      <c r="Q82" s="1183"/>
      <c r="R82" s="413"/>
      <c r="S82" s="458"/>
      <c r="T82" s="458"/>
      <c r="U82" s="458"/>
      <c r="V82" s="460"/>
      <c r="W82" s="4141"/>
      <c r="X82" s="1172"/>
      <c r="Y82" s="1172"/>
      <c r="Z82" s="1172"/>
      <c r="AA82" s="470"/>
      <c r="AB82" s="468"/>
      <c r="AC82" s="468"/>
      <c r="AD82" s="468"/>
      <c r="AE82" s="530"/>
      <c r="AF82" s="462"/>
      <c r="AG82" s="463"/>
      <c r="AH82" s="464"/>
    </row>
    <row r="83" spans="1:34" s="474" customFormat="1" ht="12.75" customHeight="1" outlineLevel="1">
      <c r="D83" s="262"/>
      <c r="E83" s="498"/>
      <c r="F83" s="516" t="s">
        <v>558</v>
      </c>
      <c r="G83" s="1576"/>
      <c r="H83" s="1577"/>
      <c r="I83" s="1577"/>
      <c r="J83" s="1577"/>
      <c r="K83" s="1585"/>
      <c r="L83" s="458"/>
      <c r="M83" s="458">
        <v>735.68000000000006</v>
      </c>
      <c r="N83" s="458"/>
      <c r="O83" s="458"/>
      <c r="P83" s="460"/>
      <c r="Q83" s="1183"/>
      <c r="R83" s="413"/>
      <c r="S83" s="458"/>
      <c r="T83" s="458"/>
      <c r="U83" s="458"/>
      <c r="V83" s="460"/>
      <c r="W83" s="4141"/>
      <c r="X83" s="1172"/>
      <c r="Y83" s="1172"/>
      <c r="Z83" s="1172"/>
      <c r="AA83" s="470"/>
      <c r="AB83" s="468"/>
      <c r="AC83" s="468"/>
      <c r="AD83" s="468"/>
      <c r="AE83" s="530"/>
      <c r="AF83" s="462"/>
      <c r="AG83" s="463"/>
      <c r="AH83" s="464"/>
    </row>
    <row r="84" spans="1:34" s="474" customFormat="1" ht="12.75" customHeight="1" outlineLevel="1">
      <c r="D84" s="262"/>
      <c r="E84" s="498"/>
      <c r="F84" s="516" t="s">
        <v>578</v>
      </c>
      <c r="G84" s="1576"/>
      <c r="H84" s="1577"/>
      <c r="I84" s="1577"/>
      <c r="J84" s="1577"/>
      <c r="K84" s="1585"/>
      <c r="L84" s="458"/>
      <c r="M84" s="458">
        <v>2313.27</v>
      </c>
      <c r="N84" s="458"/>
      <c r="O84" s="458"/>
      <c r="P84" s="460"/>
      <c r="Q84" s="1183"/>
      <c r="R84" s="413"/>
      <c r="S84" s="458"/>
      <c r="T84" s="458"/>
      <c r="U84" s="458"/>
      <c r="V84" s="460"/>
      <c r="W84" s="4141"/>
      <c r="X84" s="1172"/>
      <c r="Y84" s="1172"/>
      <c r="Z84" s="1172"/>
      <c r="AA84" s="470"/>
      <c r="AB84" s="468"/>
      <c r="AC84" s="468"/>
      <c r="AD84" s="468"/>
      <c r="AE84" s="530"/>
      <c r="AF84" s="462"/>
      <c r="AG84" s="463"/>
      <c r="AH84" s="464"/>
    </row>
    <row r="85" spans="1:34" s="474" customFormat="1" ht="12.75" customHeight="1" outlineLevel="1">
      <c r="D85" s="262"/>
      <c r="E85" s="498"/>
      <c r="F85" s="517" t="s">
        <v>579</v>
      </c>
      <c r="G85" s="459"/>
      <c r="H85" s="458"/>
      <c r="I85" s="458"/>
      <c r="J85" s="458"/>
      <c r="K85" s="460"/>
      <c r="L85" s="353">
        <f t="shared" ref="L85:P85" si="36">SUM(L82:L84)</f>
        <v>0</v>
      </c>
      <c r="M85" s="354">
        <f t="shared" si="36"/>
        <v>23301.77</v>
      </c>
      <c r="N85" s="354">
        <f t="shared" si="36"/>
        <v>0</v>
      </c>
      <c r="O85" s="354">
        <f t="shared" si="36"/>
        <v>0</v>
      </c>
      <c r="P85" s="450">
        <f t="shared" si="36"/>
        <v>0</v>
      </c>
      <c r="Q85" s="1184"/>
      <c r="R85" s="447">
        <f>SUM(R82:R84)</f>
        <v>0</v>
      </c>
      <c r="S85" s="354">
        <f>SUM(S82:S84)</f>
        <v>0</v>
      </c>
      <c r="T85" s="354">
        <f>SUM(T82:T84)</f>
        <v>0</v>
      </c>
      <c r="U85" s="354">
        <f>SUM(U82:U84)</f>
        <v>0</v>
      </c>
      <c r="V85" s="450">
        <f>SUM(V82:V84)</f>
        <v>0</v>
      </c>
      <c r="W85" s="4141"/>
      <c r="X85" s="1172"/>
      <c r="Y85" s="1172"/>
      <c r="Z85" s="1172"/>
      <c r="AA85" s="462"/>
      <c r="AB85" s="463"/>
      <c r="AC85" s="463"/>
      <c r="AD85" s="463"/>
      <c r="AE85" s="464"/>
      <c r="AF85" s="353">
        <f t="shared" ref="AF85:AH85" si="37">SUM(AF82:AF84)</f>
        <v>0</v>
      </c>
      <c r="AG85" s="354">
        <f t="shared" si="37"/>
        <v>0</v>
      </c>
      <c r="AH85" s="450">
        <f t="shared" si="37"/>
        <v>0</v>
      </c>
    </row>
    <row r="86" spans="1:34" s="474" customFormat="1" ht="12.75" customHeight="1" outlineLevel="1">
      <c r="D86" s="262"/>
      <c r="E86" s="498"/>
      <c r="F86" s="516" t="s">
        <v>583</v>
      </c>
      <c r="G86" s="459"/>
      <c r="H86" s="458"/>
      <c r="I86" s="458"/>
      <c r="J86" s="458"/>
      <c r="K86" s="460"/>
      <c r="L86" s="511">
        <v>0</v>
      </c>
      <c r="M86" s="512">
        <v>0</v>
      </c>
      <c r="N86" s="512">
        <v>0</v>
      </c>
      <c r="O86" s="512">
        <v>0</v>
      </c>
      <c r="P86" s="547">
        <v>0</v>
      </c>
      <c r="Q86" s="1183"/>
      <c r="R86" s="504"/>
      <c r="S86" s="477"/>
      <c r="T86" s="477"/>
      <c r="U86" s="477"/>
      <c r="V86" s="519"/>
      <c r="W86" s="4141"/>
      <c r="X86" s="1172"/>
      <c r="Y86" s="1172"/>
      <c r="Z86" s="1172"/>
      <c r="AA86" s="462"/>
      <c r="AB86" s="463"/>
      <c r="AC86" s="463"/>
      <c r="AD86" s="463"/>
      <c r="AE86" s="464"/>
      <c r="AF86" s="511">
        <v>0</v>
      </c>
      <c r="AG86" s="512">
        <v>0</v>
      </c>
      <c r="AH86" s="547">
        <v>0</v>
      </c>
    </row>
    <row r="87" spans="1:34" s="474" customFormat="1" ht="12.75" customHeight="1" outlineLevel="1">
      <c r="D87" s="262"/>
      <c r="E87" s="498"/>
      <c r="F87" s="516" t="s">
        <v>581</v>
      </c>
      <c r="G87" s="459"/>
      <c r="H87" s="458"/>
      <c r="I87" s="458"/>
      <c r="J87" s="458"/>
      <c r="K87" s="460"/>
      <c r="L87" s="462">
        <v>0</v>
      </c>
      <c r="M87" s="463">
        <v>0</v>
      </c>
      <c r="N87" s="463">
        <v>0</v>
      </c>
      <c r="O87" s="463">
        <v>0</v>
      </c>
      <c r="P87" s="464">
        <v>0</v>
      </c>
      <c r="Q87" s="1183"/>
      <c r="R87" s="413"/>
      <c r="S87" s="458"/>
      <c r="T87" s="458"/>
      <c r="U87" s="458"/>
      <c r="V87" s="460"/>
      <c r="W87" s="4141"/>
      <c r="X87" s="1172"/>
      <c r="Y87" s="1172"/>
      <c r="Z87" s="1172"/>
      <c r="AA87" s="462"/>
      <c r="AB87" s="463"/>
      <c r="AC87" s="463"/>
      <c r="AD87" s="463"/>
      <c r="AE87" s="464"/>
      <c r="AF87" s="462">
        <v>0</v>
      </c>
      <c r="AG87" s="463">
        <v>0</v>
      </c>
      <c r="AH87" s="464">
        <v>0</v>
      </c>
    </row>
    <row r="88" spans="1:34" s="474" customFormat="1" ht="12.75" customHeight="1" outlineLevel="1">
      <c r="D88" s="262"/>
      <c r="E88" s="498"/>
      <c r="F88" s="517" t="s">
        <v>584</v>
      </c>
      <c r="G88" s="353">
        <f t="shared" ref="G88:P88" si="38">SUM(G86:G87)</f>
        <v>0</v>
      </c>
      <c r="H88" s="354">
        <f t="shared" si="38"/>
        <v>0</v>
      </c>
      <c r="I88" s="354">
        <f t="shared" si="38"/>
        <v>0</v>
      </c>
      <c r="J88" s="354">
        <f t="shared" si="38"/>
        <v>0</v>
      </c>
      <c r="K88" s="450">
        <f t="shared" si="38"/>
        <v>0</v>
      </c>
      <c r="L88" s="353">
        <f t="shared" si="38"/>
        <v>0</v>
      </c>
      <c r="M88" s="354">
        <f t="shared" si="38"/>
        <v>0</v>
      </c>
      <c r="N88" s="354">
        <f t="shared" si="38"/>
        <v>0</v>
      </c>
      <c r="O88" s="354">
        <f t="shared" si="38"/>
        <v>0</v>
      </c>
      <c r="P88" s="450">
        <f t="shared" si="38"/>
        <v>0</v>
      </c>
      <c r="Q88" s="1184"/>
      <c r="R88" s="447">
        <f>SUM(R86:R87)</f>
        <v>0</v>
      </c>
      <c r="S88" s="354">
        <f>SUM(S86:S87)</f>
        <v>0</v>
      </c>
      <c r="T88" s="354">
        <f>SUM(T86:T87)</f>
        <v>0</v>
      </c>
      <c r="U88" s="354">
        <f>SUM(U86:U87)</f>
        <v>0</v>
      </c>
      <c r="V88" s="450">
        <f>SUM(V86:V87)</f>
        <v>0</v>
      </c>
      <c r="W88" s="4141"/>
      <c r="X88" s="1172"/>
      <c r="Y88" s="1172"/>
      <c r="Z88" s="1172"/>
      <c r="AA88" s="353">
        <f t="shared" ref="AA88:AH88" si="39">SUM(AA86:AA87)</f>
        <v>0</v>
      </c>
      <c r="AB88" s="354">
        <f t="shared" si="39"/>
        <v>0</v>
      </c>
      <c r="AC88" s="354">
        <f t="shared" si="39"/>
        <v>0</v>
      </c>
      <c r="AD88" s="354">
        <f t="shared" si="39"/>
        <v>0</v>
      </c>
      <c r="AE88" s="450">
        <f t="shared" si="39"/>
        <v>0</v>
      </c>
      <c r="AF88" s="353">
        <f t="shared" si="39"/>
        <v>0</v>
      </c>
      <c r="AG88" s="354">
        <f t="shared" si="39"/>
        <v>0</v>
      </c>
      <c r="AH88" s="450">
        <f t="shared" si="39"/>
        <v>0</v>
      </c>
    </row>
    <row r="89" spans="1:34" s="474" customFormat="1" ht="12.75" customHeight="1" outlineLevel="1">
      <c r="D89" s="262"/>
      <c r="E89" s="498"/>
      <c r="F89" s="516" t="s">
        <v>35</v>
      </c>
      <c r="G89" s="459"/>
      <c r="H89" s="458"/>
      <c r="I89" s="458"/>
      <c r="J89" s="458"/>
      <c r="K89" s="460"/>
      <c r="L89" s="459"/>
      <c r="M89" s="458"/>
      <c r="N89" s="458"/>
      <c r="O89" s="458"/>
      <c r="P89" s="460"/>
      <c r="Q89" s="1183"/>
      <c r="R89" s="413"/>
      <c r="S89" s="458"/>
      <c r="T89" s="458"/>
      <c r="U89" s="458"/>
      <c r="V89" s="460"/>
      <c r="W89" s="4141"/>
      <c r="X89" s="1172"/>
      <c r="Y89" s="1172"/>
      <c r="Z89" s="1172"/>
      <c r="AA89" s="462"/>
      <c r="AB89" s="463"/>
      <c r="AC89" s="463"/>
      <c r="AD89" s="463"/>
      <c r="AE89" s="464"/>
      <c r="AF89" s="462"/>
      <c r="AG89" s="463"/>
      <c r="AH89" s="464"/>
    </row>
    <row r="90" spans="1:34" s="474" customFormat="1" ht="12.75" customHeight="1" outlineLevel="1" thickBot="1">
      <c r="D90" s="262"/>
      <c r="E90" s="498"/>
      <c r="F90" s="1409" t="s">
        <v>585</v>
      </c>
      <c r="G90" s="1370">
        <f t="shared" ref="G90:P90" si="40">G88-G89</f>
        <v>0</v>
      </c>
      <c r="H90" s="356">
        <f t="shared" si="40"/>
        <v>0</v>
      </c>
      <c r="I90" s="356">
        <f t="shared" si="40"/>
        <v>0</v>
      </c>
      <c r="J90" s="356">
        <f t="shared" si="40"/>
        <v>0</v>
      </c>
      <c r="K90" s="503">
        <f t="shared" si="40"/>
        <v>0</v>
      </c>
      <c r="L90" s="1370">
        <f t="shared" si="40"/>
        <v>0</v>
      </c>
      <c r="M90" s="356">
        <f t="shared" si="40"/>
        <v>0</v>
      </c>
      <c r="N90" s="356">
        <f t="shared" si="40"/>
        <v>0</v>
      </c>
      <c r="O90" s="356">
        <f t="shared" si="40"/>
        <v>0</v>
      </c>
      <c r="P90" s="503">
        <f t="shared" si="40"/>
        <v>0</v>
      </c>
      <c r="Q90" s="1185"/>
      <c r="R90" s="502">
        <f>R88-R89</f>
        <v>0</v>
      </c>
      <c r="S90" s="356">
        <f>S88-S89</f>
        <v>0</v>
      </c>
      <c r="T90" s="356">
        <f>T88-T89</f>
        <v>0</v>
      </c>
      <c r="U90" s="356">
        <f>U88-U89</f>
        <v>0</v>
      </c>
      <c r="V90" s="503">
        <f>V88-V89</f>
        <v>0</v>
      </c>
      <c r="W90" s="4142"/>
      <c r="X90" s="1172"/>
      <c r="Y90" s="1172"/>
      <c r="Z90" s="1172"/>
      <c r="AA90" s="1370">
        <f t="shared" ref="AA90:AH90" si="41">AA88-AA89</f>
        <v>0</v>
      </c>
      <c r="AB90" s="356">
        <f t="shared" si="41"/>
        <v>0</v>
      </c>
      <c r="AC90" s="356">
        <f t="shared" si="41"/>
        <v>0</v>
      </c>
      <c r="AD90" s="356">
        <f t="shared" si="41"/>
        <v>0</v>
      </c>
      <c r="AE90" s="503">
        <f t="shared" si="41"/>
        <v>0</v>
      </c>
      <c r="AF90" s="1370">
        <f t="shared" si="41"/>
        <v>0</v>
      </c>
      <c r="AG90" s="356">
        <f t="shared" si="41"/>
        <v>0</v>
      </c>
      <c r="AH90" s="503">
        <f t="shared" si="41"/>
        <v>0</v>
      </c>
    </row>
    <row r="91" spans="1:34" s="474" customFormat="1" ht="23.25" customHeight="1" outlineLevel="1">
      <c r="A91" s="183"/>
      <c r="B91" s="183"/>
      <c r="C91" s="183"/>
      <c r="D91" s="262"/>
      <c r="E91" s="3457" t="s">
        <v>1531</v>
      </c>
      <c r="F91" s="842" t="s">
        <v>593</v>
      </c>
      <c r="G91" s="1574"/>
      <c r="H91" s="1575"/>
      <c r="I91" s="1575"/>
      <c r="J91" s="1575"/>
      <c r="K91" s="1584"/>
      <c r="L91" s="538"/>
      <c r="M91" s="539"/>
      <c r="N91" s="539"/>
      <c r="O91" s="539"/>
      <c r="P91" s="540"/>
      <c r="Q91" s="1182"/>
      <c r="R91" s="539"/>
      <c r="S91" s="539"/>
      <c r="T91" s="539"/>
      <c r="U91" s="539"/>
      <c r="V91" s="540"/>
      <c r="W91" s="4140"/>
      <c r="X91" s="1172"/>
      <c r="Y91" s="1172"/>
      <c r="Z91" s="1172"/>
      <c r="AA91" s="527"/>
      <c r="AB91" s="528"/>
      <c r="AC91" s="528"/>
      <c r="AD91" s="528"/>
      <c r="AE91" s="529"/>
      <c r="AF91" s="538"/>
      <c r="AG91" s="539"/>
      <c r="AH91" s="540"/>
    </row>
    <row r="92" spans="1:34" s="474" customFormat="1" ht="12.75" customHeight="1" outlineLevel="1">
      <c r="D92" s="262"/>
      <c r="E92" s="498"/>
      <c r="F92" s="516" t="s">
        <v>559</v>
      </c>
      <c r="G92" s="1576"/>
      <c r="H92" s="1577"/>
      <c r="I92" s="1577"/>
      <c r="J92" s="1577"/>
      <c r="K92" s="1585"/>
      <c r="L92" s="459"/>
      <c r="M92" s="458">
        <v>42704.94999999999</v>
      </c>
      <c r="N92" s="458"/>
      <c r="O92" s="458"/>
      <c r="P92" s="460"/>
      <c r="Q92" s="1183"/>
      <c r="R92" s="413"/>
      <c r="S92" s="458"/>
      <c r="T92" s="458"/>
      <c r="U92" s="458"/>
      <c r="V92" s="460"/>
      <c r="W92" s="4141"/>
      <c r="X92" s="1172"/>
      <c r="Y92" s="1172"/>
      <c r="Z92" s="1172"/>
      <c r="AA92" s="470"/>
      <c r="AB92" s="468"/>
      <c r="AC92" s="468"/>
      <c r="AD92" s="468"/>
      <c r="AE92" s="530"/>
      <c r="AF92" s="462"/>
      <c r="AG92" s="463"/>
      <c r="AH92" s="464"/>
    </row>
    <row r="93" spans="1:34" s="474" customFormat="1" ht="12.75" customHeight="1" outlineLevel="1">
      <c r="D93" s="262"/>
      <c r="E93" s="498"/>
      <c r="F93" s="516" t="s">
        <v>558</v>
      </c>
      <c r="G93" s="1576"/>
      <c r="H93" s="1577"/>
      <c r="I93" s="1577"/>
      <c r="J93" s="1577"/>
      <c r="K93" s="1585"/>
      <c r="L93" s="459"/>
      <c r="M93" s="458">
        <v>1104.5500000000002</v>
      </c>
      <c r="N93" s="458"/>
      <c r="O93" s="458"/>
      <c r="P93" s="460"/>
      <c r="Q93" s="1183"/>
      <c r="R93" s="413"/>
      <c r="S93" s="458"/>
      <c r="T93" s="458"/>
      <c r="U93" s="458"/>
      <c r="V93" s="460"/>
      <c r="W93" s="4141"/>
      <c r="X93" s="1172"/>
      <c r="Y93" s="1172"/>
      <c r="Z93" s="1172"/>
      <c r="AA93" s="470"/>
      <c r="AB93" s="468"/>
      <c r="AC93" s="468"/>
      <c r="AD93" s="468"/>
      <c r="AE93" s="530"/>
      <c r="AF93" s="462"/>
      <c r="AG93" s="463"/>
      <c r="AH93" s="464"/>
    </row>
    <row r="94" spans="1:34" s="474" customFormat="1" ht="12.75" customHeight="1" outlineLevel="1">
      <c r="D94" s="262"/>
      <c r="E94" s="498"/>
      <c r="F94" s="516" t="s">
        <v>578</v>
      </c>
      <c r="G94" s="1576"/>
      <c r="H94" s="1577"/>
      <c r="I94" s="1577"/>
      <c r="J94" s="1577"/>
      <c r="K94" s="1585"/>
      <c r="L94" s="459"/>
      <c r="M94" s="458">
        <v>24167.58</v>
      </c>
      <c r="N94" s="458"/>
      <c r="O94" s="458"/>
      <c r="P94" s="460"/>
      <c r="Q94" s="1183"/>
      <c r="R94" s="413"/>
      <c r="S94" s="458"/>
      <c r="T94" s="458"/>
      <c r="U94" s="458"/>
      <c r="V94" s="460"/>
      <c r="W94" s="4141"/>
      <c r="X94" s="1172"/>
      <c r="Y94" s="1172"/>
      <c r="Z94" s="1172"/>
      <c r="AA94" s="470"/>
      <c r="AB94" s="468"/>
      <c r="AC94" s="468"/>
      <c r="AD94" s="468"/>
      <c r="AE94" s="530"/>
      <c r="AF94" s="462"/>
      <c r="AG94" s="463"/>
      <c r="AH94" s="464"/>
    </row>
    <row r="95" spans="1:34" s="474" customFormat="1" ht="12.75" customHeight="1" outlineLevel="1">
      <c r="D95" s="262"/>
      <c r="E95" s="498"/>
      <c r="F95" s="517" t="s">
        <v>579</v>
      </c>
      <c r="G95" s="459"/>
      <c r="H95" s="458"/>
      <c r="I95" s="458"/>
      <c r="J95" s="458"/>
      <c r="K95" s="460"/>
      <c r="L95" s="353">
        <f t="shared" ref="L95:P95" si="42">SUM(L92:L94)</f>
        <v>0</v>
      </c>
      <c r="M95" s="354">
        <f t="shared" si="42"/>
        <v>67977.079999999987</v>
      </c>
      <c r="N95" s="354">
        <f t="shared" si="42"/>
        <v>0</v>
      </c>
      <c r="O95" s="354">
        <f t="shared" si="42"/>
        <v>0</v>
      </c>
      <c r="P95" s="450">
        <f t="shared" si="42"/>
        <v>0</v>
      </c>
      <c r="Q95" s="1184"/>
      <c r="R95" s="447">
        <f>SUM(R92:R94)</f>
        <v>0</v>
      </c>
      <c r="S95" s="354">
        <f>SUM(S92:S94)</f>
        <v>0</v>
      </c>
      <c r="T95" s="354">
        <f>SUM(T92:T94)</f>
        <v>0</v>
      </c>
      <c r="U95" s="354">
        <f>SUM(U92:U94)</f>
        <v>0</v>
      </c>
      <c r="V95" s="450">
        <f>SUM(V92:V94)</f>
        <v>0</v>
      </c>
      <c r="W95" s="4141"/>
      <c r="X95" s="1172"/>
      <c r="Y95" s="1172"/>
      <c r="Z95" s="1172"/>
      <c r="AA95" s="462"/>
      <c r="AB95" s="463"/>
      <c r="AC95" s="463"/>
      <c r="AD95" s="463"/>
      <c r="AE95" s="464"/>
      <c r="AF95" s="353">
        <f t="shared" ref="AF95:AH95" si="43">SUM(AF92:AF94)</f>
        <v>0</v>
      </c>
      <c r="AG95" s="354">
        <f t="shared" si="43"/>
        <v>0</v>
      </c>
      <c r="AH95" s="450">
        <f t="shared" si="43"/>
        <v>0</v>
      </c>
    </row>
    <row r="96" spans="1:34" s="474" customFormat="1" ht="12.75" customHeight="1" outlineLevel="1">
      <c r="D96" s="262"/>
      <c r="E96" s="498"/>
      <c r="F96" s="516" t="s">
        <v>583</v>
      </c>
      <c r="G96" s="459"/>
      <c r="H96" s="458"/>
      <c r="I96" s="458"/>
      <c r="J96" s="458"/>
      <c r="K96" s="460"/>
      <c r="L96" s="511">
        <v>0</v>
      </c>
      <c r="M96" s="512">
        <v>0</v>
      </c>
      <c r="N96" s="512">
        <v>0</v>
      </c>
      <c r="O96" s="512">
        <v>0</v>
      </c>
      <c r="P96" s="547">
        <v>0</v>
      </c>
      <c r="Q96" s="1183"/>
      <c r="R96" s="504"/>
      <c r="S96" s="477"/>
      <c r="T96" s="477"/>
      <c r="U96" s="477"/>
      <c r="V96" s="519"/>
      <c r="W96" s="4141"/>
      <c r="X96" s="1172"/>
      <c r="Y96" s="1172"/>
      <c r="Z96" s="1172"/>
      <c r="AA96" s="462"/>
      <c r="AB96" s="463"/>
      <c r="AC96" s="463"/>
      <c r="AD96" s="463"/>
      <c r="AE96" s="464"/>
      <c r="AF96" s="511">
        <v>0</v>
      </c>
      <c r="AG96" s="512">
        <v>0</v>
      </c>
      <c r="AH96" s="547">
        <v>0</v>
      </c>
    </row>
    <row r="97" spans="1:34" s="474" customFormat="1" ht="12.75" customHeight="1" outlineLevel="1">
      <c r="D97" s="262"/>
      <c r="E97" s="498"/>
      <c r="F97" s="516" t="s">
        <v>581</v>
      </c>
      <c r="G97" s="459"/>
      <c r="H97" s="458"/>
      <c r="I97" s="458"/>
      <c r="J97" s="458"/>
      <c r="K97" s="460"/>
      <c r="L97" s="462">
        <v>0</v>
      </c>
      <c r="M97" s="463">
        <v>0</v>
      </c>
      <c r="N97" s="463">
        <v>0</v>
      </c>
      <c r="O97" s="463">
        <v>0</v>
      </c>
      <c r="P97" s="464">
        <v>0</v>
      </c>
      <c r="Q97" s="1183"/>
      <c r="R97" s="413"/>
      <c r="S97" s="458"/>
      <c r="T97" s="458"/>
      <c r="U97" s="458"/>
      <c r="V97" s="460"/>
      <c r="W97" s="4141"/>
      <c r="X97" s="1172"/>
      <c r="Y97" s="1172"/>
      <c r="Z97" s="1172"/>
      <c r="AA97" s="462"/>
      <c r="AB97" s="463"/>
      <c r="AC97" s="463"/>
      <c r="AD97" s="463"/>
      <c r="AE97" s="464"/>
      <c r="AF97" s="462">
        <v>0</v>
      </c>
      <c r="AG97" s="463">
        <v>0</v>
      </c>
      <c r="AH97" s="464">
        <v>0</v>
      </c>
    </row>
    <row r="98" spans="1:34" s="474" customFormat="1" ht="12.75" customHeight="1" outlineLevel="1">
      <c r="D98" s="262"/>
      <c r="E98" s="498"/>
      <c r="F98" s="517" t="s">
        <v>584</v>
      </c>
      <c r="G98" s="353">
        <f t="shared" ref="G98:P98" si="44">SUM(G96:G97)</f>
        <v>0</v>
      </c>
      <c r="H98" s="354">
        <f t="shared" si="44"/>
        <v>0</v>
      </c>
      <c r="I98" s="354">
        <f t="shared" si="44"/>
        <v>0</v>
      </c>
      <c r="J98" s="354">
        <f t="shared" si="44"/>
        <v>0</v>
      </c>
      <c r="K98" s="450">
        <f t="shared" si="44"/>
        <v>0</v>
      </c>
      <c r="L98" s="353">
        <f t="shared" si="44"/>
        <v>0</v>
      </c>
      <c r="M98" s="354">
        <f t="shared" si="44"/>
        <v>0</v>
      </c>
      <c r="N98" s="354">
        <f t="shared" si="44"/>
        <v>0</v>
      </c>
      <c r="O98" s="354">
        <f t="shared" si="44"/>
        <v>0</v>
      </c>
      <c r="P98" s="450">
        <f t="shared" si="44"/>
        <v>0</v>
      </c>
      <c r="Q98" s="1184"/>
      <c r="R98" s="447">
        <f>SUM(R96:R97)</f>
        <v>0</v>
      </c>
      <c r="S98" s="354">
        <f>SUM(S96:S97)</f>
        <v>0</v>
      </c>
      <c r="T98" s="354">
        <f>SUM(T96:T97)</f>
        <v>0</v>
      </c>
      <c r="U98" s="354">
        <f>SUM(U96:U97)</f>
        <v>0</v>
      </c>
      <c r="V98" s="450">
        <f>SUM(V96:V97)</f>
        <v>0</v>
      </c>
      <c r="W98" s="4141"/>
      <c r="X98" s="1172"/>
      <c r="Y98" s="1172"/>
      <c r="Z98" s="1172"/>
      <c r="AA98" s="353">
        <f t="shared" ref="AA98:AH98" si="45">SUM(AA96:AA97)</f>
        <v>0</v>
      </c>
      <c r="AB98" s="354">
        <f t="shared" si="45"/>
        <v>0</v>
      </c>
      <c r="AC98" s="354">
        <f t="shared" si="45"/>
        <v>0</v>
      </c>
      <c r="AD98" s="354">
        <f t="shared" si="45"/>
        <v>0</v>
      </c>
      <c r="AE98" s="450">
        <f t="shared" si="45"/>
        <v>0</v>
      </c>
      <c r="AF98" s="353">
        <f t="shared" si="45"/>
        <v>0</v>
      </c>
      <c r="AG98" s="354">
        <f t="shared" si="45"/>
        <v>0</v>
      </c>
      <c r="AH98" s="450">
        <f t="shared" si="45"/>
        <v>0</v>
      </c>
    </row>
    <row r="99" spans="1:34" s="474" customFormat="1" ht="12.75" customHeight="1" outlineLevel="1">
      <c r="D99" s="262"/>
      <c r="E99" s="498"/>
      <c r="F99" s="516" t="s">
        <v>35</v>
      </c>
      <c r="G99" s="459"/>
      <c r="H99" s="458"/>
      <c r="I99" s="458"/>
      <c r="J99" s="458"/>
      <c r="K99" s="460"/>
      <c r="L99" s="459"/>
      <c r="M99" s="458"/>
      <c r="N99" s="458"/>
      <c r="O99" s="458"/>
      <c r="P99" s="460"/>
      <c r="Q99" s="1183"/>
      <c r="R99" s="413"/>
      <c r="S99" s="458"/>
      <c r="T99" s="458"/>
      <c r="U99" s="458"/>
      <c r="V99" s="460"/>
      <c r="W99" s="4141"/>
      <c r="X99" s="1172"/>
      <c r="Y99" s="1172"/>
      <c r="Z99" s="1172"/>
      <c r="AA99" s="462"/>
      <c r="AB99" s="463"/>
      <c r="AC99" s="463"/>
      <c r="AD99" s="463"/>
      <c r="AE99" s="464"/>
      <c r="AF99" s="462"/>
      <c r="AG99" s="463"/>
      <c r="AH99" s="464"/>
    </row>
    <row r="100" spans="1:34" s="474" customFormat="1" ht="12.75" customHeight="1" outlineLevel="1" thickBot="1">
      <c r="D100" s="262"/>
      <c r="E100" s="498"/>
      <c r="F100" s="1409" t="s">
        <v>585</v>
      </c>
      <c r="G100" s="1370">
        <f t="shared" ref="G100:P100" si="46">G98-G99</f>
        <v>0</v>
      </c>
      <c r="H100" s="356">
        <f t="shared" si="46"/>
        <v>0</v>
      </c>
      <c r="I100" s="356">
        <f t="shared" si="46"/>
        <v>0</v>
      </c>
      <c r="J100" s="356">
        <f t="shared" si="46"/>
        <v>0</v>
      </c>
      <c r="K100" s="503">
        <f t="shared" si="46"/>
        <v>0</v>
      </c>
      <c r="L100" s="1370">
        <f t="shared" si="46"/>
        <v>0</v>
      </c>
      <c r="M100" s="356">
        <f t="shared" si="46"/>
        <v>0</v>
      </c>
      <c r="N100" s="356">
        <f t="shared" si="46"/>
        <v>0</v>
      </c>
      <c r="O100" s="356">
        <f t="shared" si="46"/>
        <v>0</v>
      </c>
      <c r="P100" s="503">
        <f t="shared" si="46"/>
        <v>0</v>
      </c>
      <c r="Q100" s="1185"/>
      <c r="R100" s="502">
        <f>R98-R99</f>
        <v>0</v>
      </c>
      <c r="S100" s="356">
        <f>S98-S99</f>
        <v>0</v>
      </c>
      <c r="T100" s="356">
        <f>T98-T99</f>
        <v>0</v>
      </c>
      <c r="U100" s="356">
        <f>U98-U99</f>
        <v>0</v>
      </c>
      <c r="V100" s="503">
        <f>V98-V99</f>
        <v>0</v>
      </c>
      <c r="W100" s="4142"/>
      <c r="X100" s="1172"/>
      <c r="Y100" s="1172"/>
      <c r="Z100" s="1172"/>
      <c r="AA100" s="1370">
        <f t="shared" ref="AA100:AH100" si="47">AA98-AA99</f>
        <v>0</v>
      </c>
      <c r="AB100" s="356">
        <f t="shared" si="47"/>
        <v>0</v>
      </c>
      <c r="AC100" s="356">
        <f t="shared" si="47"/>
        <v>0</v>
      </c>
      <c r="AD100" s="356">
        <f t="shared" si="47"/>
        <v>0</v>
      </c>
      <c r="AE100" s="503">
        <f t="shared" si="47"/>
        <v>0</v>
      </c>
      <c r="AF100" s="1370">
        <f t="shared" si="47"/>
        <v>0</v>
      </c>
      <c r="AG100" s="356">
        <f t="shared" si="47"/>
        <v>0</v>
      </c>
      <c r="AH100" s="503">
        <f t="shared" si="47"/>
        <v>0</v>
      </c>
    </row>
    <row r="101" spans="1:34" s="474" customFormat="1" ht="27.75" customHeight="1" outlineLevel="1">
      <c r="A101" s="183"/>
      <c r="B101" s="183"/>
      <c r="C101" s="183"/>
      <c r="D101" s="262"/>
      <c r="E101" s="3457" t="s">
        <v>1532</v>
      </c>
      <c r="F101" s="842" t="s">
        <v>593</v>
      </c>
      <c r="G101" s="1574"/>
      <c r="H101" s="1575"/>
      <c r="I101" s="1575"/>
      <c r="J101" s="1575"/>
      <c r="K101" s="1584"/>
      <c r="L101" s="538"/>
      <c r="M101" s="539"/>
      <c r="N101" s="539"/>
      <c r="O101" s="539"/>
      <c r="P101" s="540"/>
      <c r="Q101" s="1182"/>
      <c r="R101" s="539"/>
      <c r="S101" s="539"/>
      <c r="T101" s="539"/>
      <c r="U101" s="539"/>
      <c r="V101" s="540"/>
      <c r="W101" s="4140"/>
      <c r="X101" s="1172"/>
      <c r="Y101" s="1172"/>
      <c r="Z101" s="1172"/>
      <c r="AA101" s="527"/>
      <c r="AB101" s="528"/>
      <c r="AC101" s="528"/>
      <c r="AD101" s="528"/>
      <c r="AE101" s="529"/>
      <c r="AF101" s="538"/>
      <c r="AG101" s="539"/>
      <c r="AH101" s="540"/>
    </row>
    <row r="102" spans="1:34" s="474" customFormat="1" ht="12.75" customHeight="1" outlineLevel="1">
      <c r="A102" s="183"/>
      <c r="B102" s="183"/>
      <c r="C102" s="183"/>
      <c r="D102" s="262"/>
      <c r="E102" s="498"/>
      <c r="F102" s="516" t="s">
        <v>559</v>
      </c>
      <c r="G102" s="1576"/>
      <c r="H102" s="1577"/>
      <c r="I102" s="1577"/>
      <c r="J102" s="1577"/>
      <c r="K102" s="1585"/>
      <c r="L102" s="459"/>
      <c r="M102" s="458">
        <v>2086.4299999999998</v>
      </c>
      <c r="N102" s="458"/>
      <c r="O102" s="458"/>
      <c r="P102" s="460"/>
      <c r="Q102" s="1183"/>
      <c r="R102" s="413"/>
      <c r="S102" s="458"/>
      <c r="T102" s="458"/>
      <c r="U102" s="458"/>
      <c r="V102" s="460"/>
      <c r="W102" s="4141"/>
      <c r="X102" s="1172"/>
      <c r="Y102" s="1172"/>
      <c r="Z102" s="1172"/>
      <c r="AA102" s="470"/>
      <c r="AB102" s="468"/>
      <c r="AC102" s="468"/>
      <c r="AD102" s="468"/>
      <c r="AE102" s="530"/>
      <c r="AF102" s="462"/>
      <c r="AG102" s="463"/>
      <c r="AH102" s="464"/>
    </row>
    <row r="103" spans="1:34" s="474" customFormat="1" ht="12.75" customHeight="1" outlineLevel="1">
      <c r="D103" s="262"/>
      <c r="E103" s="498"/>
      <c r="F103" s="516" t="s">
        <v>558</v>
      </c>
      <c r="G103" s="1576"/>
      <c r="H103" s="1577"/>
      <c r="I103" s="1577"/>
      <c r="J103" s="1577"/>
      <c r="K103" s="1585"/>
      <c r="L103" s="459"/>
      <c r="M103" s="458">
        <v>18034.990000000002</v>
      </c>
      <c r="N103" s="458"/>
      <c r="O103" s="458"/>
      <c r="P103" s="460"/>
      <c r="Q103" s="1183"/>
      <c r="R103" s="413"/>
      <c r="S103" s="458"/>
      <c r="T103" s="458"/>
      <c r="U103" s="458"/>
      <c r="V103" s="460"/>
      <c r="W103" s="4141"/>
      <c r="X103" s="1172"/>
      <c r="Y103" s="1172"/>
      <c r="Z103" s="1172"/>
      <c r="AA103" s="470"/>
      <c r="AB103" s="468"/>
      <c r="AC103" s="468"/>
      <c r="AD103" s="468"/>
      <c r="AE103" s="530"/>
      <c r="AF103" s="462"/>
      <c r="AG103" s="463"/>
      <c r="AH103" s="464"/>
    </row>
    <row r="104" spans="1:34" s="474" customFormat="1" ht="12.75" customHeight="1" outlineLevel="1">
      <c r="D104" s="262"/>
      <c r="E104" s="498"/>
      <c r="F104" s="516" t="s">
        <v>578</v>
      </c>
      <c r="G104" s="1576"/>
      <c r="H104" s="1577"/>
      <c r="I104" s="1577"/>
      <c r="J104" s="1577"/>
      <c r="K104" s="1585"/>
      <c r="L104" s="459"/>
      <c r="M104" s="458">
        <v>37897.230000000003</v>
      </c>
      <c r="N104" s="458"/>
      <c r="O104" s="458"/>
      <c r="P104" s="460"/>
      <c r="Q104" s="1183"/>
      <c r="R104" s="413"/>
      <c r="S104" s="458"/>
      <c r="T104" s="458"/>
      <c r="U104" s="458"/>
      <c r="V104" s="460"/>
      <c r="W104" s="4141"/>
      <c r="X104" s="1172"/>
      <c r="Y104" s="1172"/>
      <c r="Z104" s="1172"/>
      <c r="AA104" s="470"/>
      <c r="AB104" s="468"/>
      <c r="AC104" s="468"/>
      <c r="AD104" s="468"/>
      <c r="AE104" s="530"/>
      <c r="AF104" s="462"/>
      <c r="AG104" s="463"/>
      <c r="AH104" s="464"/>
    </row>
    <row r="105" spans="1:34" s="474" customFormat="1" ht="12.75" customHeight="1" outlineLevel="1">
      <c r="D105" s="262"/>
      <c r="E105" s="498"/>
      <c r="F105" s="517" t="s">
        <v>579</v>
      </c>
      <c r="G105" s="459"/>
      <c r="H105" s="458"/>
      <c r="I105" s="458"/>
      <c r="J105" s="458"/>
      <c r="K105" s="460"/>
      <c r="L105" s="353">
        <f t="shared" ref="L105:P105" si="48">SUM(L102:L104)</f>
        <v>0</v>
      </c>
      <c r="M105" s="354">
        <f t="shared" si="48"/>
        <v>58018.650000000009</v>
      </c>
      <c r="N105" s="354">
        <f t="shared" si="48"/>
        <v>0</v>
      </c>
      <c r="O105" s="354">
        <f t="shared" si="48"/>
        <v>0</v>
      </c>
      <c r="P105" s="450">
        <f t="shared" si="48"/>
        <v>0</v>
      </c>
      <c r="Q105" s="1184"/>
      <c r="R105" s="447">
        <f>SUM(R102:R104)</f>
        <v>0</v>
      </c>
      <c r="S105" s="354">
        <f>SUM(S102:S104)</f>
        <v>0</v>
      </c>
      <c r="T105" s="354">
        <f>SUM(T102:T104)</f>
        <v>0</v>
      </c>
      <c r="U105" s="354">
        <f>SUM(U102:U104)</f>
        <v>0</v>
      </c>
      <c r="V105" s="450">
        <f>SUM(V102:V104)</f>
        <v>0</v>
      </c>
      <c r="W105" s="4141"/>
      <c r="X105" s="1172"/>
      <c r="Y105" s="1172"/>
      <c r="Z105" s="1172"/>
      <c r="AA105" s="462"/>
      <c r="AB105" s="463"/>
      <c r="AC105" s="463"/>
      <c r="AD105" s="463"/>
      <c r="AE105" s="464"/>
      <c r="AF105" s="353">
        <f t="shared" ref="AF105:AH105" si="49">SUM(AF102:AF104)</f>
        <v>0</v>
      </c>
      <c r="AG105" s="354">
        <f t="shared" si="49"/>
        <v>0</v>
      </c>
      <c r="AH105" s="450">
        <f t="shared" si="49"/>
        <v>0</v>
      </c>
    </row>
    <row r="106" spans="1:34" s="474" customFormat="1" ht="12.75" customHeight="1" outlineLevel="1">
      <c r="D106" s="262"/>
      <c r="E106" s="498"/>
      <c r="F106" s="516" t="s">
        <v>583</v>
      </c>
      <c r="G106" s="459"/>
      <c r="H106" s="458"/>
      <c r="I106" s="458"/>
      <c r="J106" s="458"/>
      <c r="K106" s="460"/>
      <c r="L106" s="511">
        <v>0</v>
      </c>
      <c r="M106" s="512">
        <v>0</v>
      </c>
      <c r="N106" s="512">
        <v>0</v>
      </c>
      <c r="O106" s="512">
        <v>0</v>
      </c>
      <c r="P106" s="547">
        <v>0</v>
      </c>
      <c r="Q106" s="1183"/>
      <c r="R106" s="504"/>
      <c r="S106" s="477"/>
      <c r="T106" s="477"/>
      <c r="U106" s="477"/>
      <c r="V106" s="519"/>
      <c r="W106" s="4141"/>
      <c r="X106" s="1172"/>
      <c r="Y106" s="1172"/>
      <c r="Z106" s="1172"/>
      <c r="AA106" s="462"/>
      <c r="AB106" s="463"/>
      <c r="AC106" s="463"/>
      <c r="AD106" s="463"/>
      <c r="AE106" s="464"/>
      <c r="AF106" s="511">
        <v>0</v>
      </c>
      <c r="AG106" s="512">
        <v>0</v>
      </c>
      <c r="AH106" s="547">
        <v>0</v>
      </c>
    </row>
    <row r="107" spans="1:34" s="474" customFormat="1" ht="12.75" customHeight="1" outlineLevel="1">
      <c r="D107" s="262"/>
      <c r="E107" s="498"/>
      <c r="F107" s="516" t="s">
        <v>581</v>
      </c>
      <c r="G107" s="459"/>
      <c r="H107" s="458"/>
      <c r="I107" s="458"/>
      <c r="J107" s="458"/>
      <c r="K107" s="460"/>
      <c r="L107" s="462">
        <v>0</v>
      </c>
      <c r="M107" s="463">
        <v>0</v>
      </c>
      <c r="N107" s="463">
        <v>0</v>
      </c>
      <c r="O107" s="463">
        <v>0</v>
      </c>
      <c r="P107" s="464">
        <v>0</v>
      </c>
      <c r="Q107" s="1183"/>
      <c r="R107" s="413"/>
      <c r="S107" s="458"/>
      <c r="T107" s="458"/>
      <c r="U107" s="458"/>
      <c r="V107" s="460"/>
      <c r="W107" s="4141"/>
      <c r="X107" s="1172"/>
      <c r="Y107" s="1172"/>
      <c r="Z107" s="1172"/>
      <c r="AA107" s="462"/>
      <c r="AB107" s="463"/>
      <c r="AC107" s="463"/>
      <c r="AD107" s="463"/>
      <c r="AE107" s="464"/>
      <c r="AF107" s="462">
        <v>0</v>
      </c>
      <c r="AG107" s="463">
        <v>0</v>
      </c>
      <c r="AH107" s="464">
        <v>0</v>
      </c>
    </row>
    <row r="108" spans="1:34" s="474" customFormat="1" ht="12.75" customHeight="1" outlineLevel="1">
      <c r="D108" s="262"/>
      <c r="E108" s="498"/>
      <c r="F108" s="517" t="s">
        <v>584</v>
      </c>
      <c r="G108" s="353">
        <f t="shared" ref="G108:P108" si="50">SUM(G106:G107)</f>
        <v>0</v>
      </c>
      <c r="H108" s="354">
        <f t="shared" si="50"/>
        <v>0</v>
      </c>
      <c r="I108" s="354">
        <f t="shared" si="50"/>
        <v>0</v>
      </c>
      <c r="J108" s="354">
        <f t="shared" si="50"/>
        <v>0</v>
      </c>
      <c r="K108" s="450">
        <f t="shared" si="50"/>
        <v>0</v>
      </c>
      <c r="L108" s="353">
        <f t="shared" si="50"/>
        <v>0</v>
      </c>
      <c r="M108" s="354">
        <f t="shared" si="50"/>
        <v>0</v>
      </c>
      <c r="N108" s="354">
        <f t="shared" si="50"/>
        <v>0</v>
      </c>
      <c r="O108" s="354">
        <f t="shared" si="50"/>
        <v>0</v>
      </c>
      <c r="P108" s="450">
        <f t="shared" si="50"/>
        <v>0</v>
      </c>
      <c r="Q108" s="1184"/>
      <c r="R108" s="447">
        <f>SUM(R106:R107)</f>
        <v>0</v>
      </c>
      <c r="S108" s="354">
        <f>SUM(S106:S107)</f>
        <v>0</v>
      </c>
      <c r="T108" s="354">
        <f>SUM(T106:T107)</f>
        <v>0</v>
      </c>
      <c r="U108" s="354">
        <f>SUM(U106:U107)</f>
        <v>0</v>
      </c>
      <c r="V108" s="450">
        <f>SUM(V106:V107)</f>
        <v>0</v>
      </c>
      <c r="W108" s="4141"/>
      <c r="X108" s="1172"/>
      <c r="Y108" s="1172"/>
      <c r="Z108" s="1172"/>
      <c r="AA108" s="353">
        <f t="shared" ref="AA108:AH108" si="51">SUM(AA106:AA107)</f>
        <v>0</v>
      </c>
      <c r="AB108" s="354">
        <f t="shared" si="51"/>
        <v>0</v>
      </c>
      <c r="AC108" s="354">
        <f t="shared" si="51"/>
        <v>0</v>
      </c>
      <c r="AD108" s="354">
        <f t="shared" si="51"/>
        <v>0</v>
      </c>
      <c r="AE108" s="450">
        <f t="shared" si="51"/>
        <v>0</v>
      </c>
      <c r="AF108" s="353">
        <f t="shared" si="51"/>
        <v>0</v>
      </c>
      <c r="AG108" s="354">
        <f t="shared" si="51"/>
        <v>0</v>
      </c>
      <c r="AH108" s="450">
        <f t="shared" si="51"/>
        <v>0</v>
      </c>
    </row>
    <row r="109" spans="1:34" s="474" customFormat="1" ht="12.75" customHeight="1" outlineLevel="1">
      <c r="D109" s="262"/>
      <c r="E109" s="498"/>
      <c r="F109" s="516" t="s">
        <v>35</v>
      </c>
      <c r="G109" s="459"/>
      <c r="H109" s="458"/>
      <c r="I109" s="458"/>
      <c r="J109" s="458"/>
      <c r="K109" s="460"/>
      <c r="L109" s="459"/>
      <c r="M109" s="458"/>
      <c r="N109" s="458"/>
      <c r="O109" s="458"/>
      <c r="P109" s="460"/>
      <c r="Q109" s="1183"/>
      <c r="R109" s="413"/>
      <c r="S109" s="458"/>
      <c r="T109" s="458"/>
      <c r="U109" s="458"/>
      <c r="V109" s="460"/>
      <c r="W109" s="4141"/>
      <c r="X109" s="1172"/>
      <c r="Y109" s="1172"/>
      <c r="Z109" s="1172"/>
      <c r="AA109" s="462"/>
      <c r="AB109" s="463"/>
      <c r="AC109" s="463"/>
      <c r="AD109" s="463"/>
      <c r="AE109" s="464"/>
      <c r="AF109" s="462"/>
      <c r="AG109" s="463"/>
      <c r="AH109" s="464"/>
    </row>
    <row r="110" spans="1:34" s="474" customFormat="1" ht="12.75" customHeight="1" outlineLevel="1" thickBot="1">
      <c r="D110" s="262"/>
      <c r="E110" s="498"/>
      <c r="F110" s="1409" t="s">
        <v>585</v>
      </c>
      <c r="G110" s="1370">
        <f t="shared" ref="G110:P110" si="52">G108-G109</f>
        <v>0</v>
      </c>
      <c r="H110" s="356">
        <f t="shared" si="52"/>
        <v>0</v>
      </c>
      <c r="I110" s="356">
        <f t="shared" si="52"/>
        <v>0</v>
      </c>
      <c r="J110" s="356">
        <f t="shared" si="52"/>
        <v>0</v>
      </c>
      <c r="K110" s="503">
        <f t="shared" si="52"/>
        <v>0</v>
      </c>
      <c r="L110" s="1370">
        <f t="shared" si="52"/>
        <v>0</v>
      </c>
      <c r="M110" s="356">
        <f t="shared" si="52"/>
        <v>0</v>
      </c>
      <c r="N110" s="356">
        <f t="shared" si="52"/>
        <v>0</v>
      </c>
      <c r="O110" s="356">
        <f t="shared" si="52"/>
        <v>0</v>
      </c>
      <c r="P110" s="503">
        <f t="shared" si="52"/>
        <v>0</v>
      </c>
      <c r="Q110" s="1185"/>
      <c r="R110" s="502">
        <f>R108-R109</f>
        <v>0</v>
      </c>
      <c r="S110" s="356">
        <f>S108-S109</f>
        <v>0</v>
      </c>
      <c r="T110" s="356">
        <f>T108-T109</f>
        <v>0</v>
      </c>
      <c r="U110" s="356">
        <f>U108-U109</f>
        <v>0</v>
      </c>
      <c r="V110" s="503">
        <f>V108-V109</f>
        <v>0</v>
      </c>
      <c r="W110" s="4142"/>
      <c r="X110" s="1172"/>
      <c r="Y110" s="1172"/>
      <c r="Z110" s="1172"/>
      <c r="AA110" s="1370">
        <f t="shared" ref="AA110:AH110" si="53">AA108-AA109</f>
        <v>0</v>
      </c>
      <c r="AB110" s="356">
        <f t="shared" si="53"/>
        <v>0</v>
      </c>
      <c r="AC110" s="356">
        <f t="shared" si="53"/>
        <v>0</v>
      </c>
      <c r="AD110" s="356">
        <f t="shared" si="53"/>
        <v>0</v>
      </c>
      <c r="AE110" s="503">
        <f t="shared" si="53"/>
        <v>0</v>
      </c>
      <c r="AF110" s="1370">
        <f t="shared" si="53"/>
        <v>0</v>
      </c>
      <c r="AG110" s="356">
        <f t="shared" si="53"/>
        <v>0</v>
      </c>
      <c r="AH110" s="503">
        <f t="shared" si="53"/>
        <v>0</v>
      </c>
    </row>
    <row r="111" spans="1:34" s="474" customFormat="1" ht="23.25" customHeight="1" outlineLevel="1">
      <c r="A111" s="183"/>
      <c r="B111" s="183"/>
      <c r="C111" s="183"/>
      <c r="D111" s="262"/>
      <c r="E111" s="3457" t="s">
        <v>1533</v>
      </c>
      <c r="F111" s="842" t="s">
        <v>593</v>
      </c>
      <c r="G111" s="1574"/>
      <c r="H111" s="1575"/>
      <c r="I111" s="1575"/>
      <c r="J111" s="1575"/>
      <c r="K111" s="1584"/>
      <c r="L111" s="538"/>
      <c r="M111" s="539"/>
      <c r="N111" s="539"/>
      <c r="O111" s="539"/>
      <c r="P111" s="540"/>
      <c r="Q111" s="1182"/>
      <c r="R111" s="539"/>
      <c r="S111" s="539"/>
      <c r="T111" s="539"/>
      <c r="U111" s="539"/>
      <c r="V111" s="540"/>
      <c r="W111" s="4140"/>
      <c r="X111" s="1172"/>
      <c r="Y111" s="1172"/>
      <c r="Z111" s="1172"/>
      <c r="AA111" s="527"/>
      <c r="AB111" s="528"/>
      <c r="AC111" s="528"/>
      <c r="AD111" s="528"/>
      <c r="AE111" s="529"/>
      <c r="AF111" s="538"/>
      <c r="AG111" s="539"/>
      <c r="AH111" s="540"/>
    </row>
    <row r="112" spans="1:34" s="474" customFormat="1" ht="12.75" customHeight="1" outlineLevel="1">
      <c r="D112" s="262"/>
      <c r="E112" s="498"/>
      <c r="F112" s="516" t="s">
        <v>559</v>
      </c>
      <c r="G112" s="1576"/>
      <c r="H112" s="1577"/>
      <c r="I112" s="1577"/>
      <c r="J112" s="1577"/>
      <c r="K112" s="1585"/>
      <c r="L112" s="459"/>
      <c r="M112" s="458">
        <v>43271.68</v>
      </c>
      <c r="N112" s="458"/>
      <c r="O112" s="458"/>
      <c r="P112" s="460"/>
      <c r="Q112" s="1183"/>
      <c r="R112" s="413"/>
      <c r="S112" s="458"/>
      <c r="T112" s="458"/>
      <c r="U112" s="458"/>
      <c r="V112" s="460"/>
      <c r="W112" s="4141"/>
      <c r="X112" s="1172"/>
      <c r="Y112" s="1172"/>
      <c r="Z112" s="1172"/>
      <c r="AA112" s="470"/>
      <c r="AB112" s="468"/>
      <c r="AC112" s="468"/>
      <c r="AD112" s="468"/>
      <c r="AE112" s="530"/>
      <c r="AF112" s="462"/>
      <c r="AG112" s="463"/>
      <c r="AH112" s="464"/>
    </row>
    <row r="113" spans="1:34" s="474" customFormat="1" ht="12.75" customHeight="1" outlineLevel="1">
      <c r="D113" s="262"/>
      <c r="E113" s="498"/>
      <c r="F113" s="516" t="s">
        <v>558</v>
      </c>
      <c r="G113" s="1576"/>
      <c r="H113" s="1577"/>
      <c r="I113" s="1577"/>
      <c r="J113" s="1577"/>
      <c r="K113" s="1585"/>
      <c r="L113" s="459"/>
      <c r="M113" s="458">
        <v>2603.1</v>
      </c>
      <c r="N113" s="458"/>
      <c r="O113" s="458"/>
      <c r="P113" s="460"/>
      <c r="Q113" s="1183"/>
      <c r="R113" s="413"/>
      <c r="S113" s="458"/>
      <c r="T113" s="458"/>
      <c r="U113" s="458"/>
      <c r="V113" s="460"/>
      <c r="W113" s="4141"/>
      <c r="X113" s="1172"/>
      <c r="Y113" s="1172"/>
      <c r="Z113" s="1172"/>
      <c r="AA113" s="470"/>
      <c r="AB113" s="468"/>
      <c r="AC113" s="468"/>
      <c r="AD113" s="468"/>
      <c r="AE113" s="530"/>
      <c r="AF113" s="462"/>
      <c r="AG113" s="463"/>
      <c r="AH113" s="464"/>
    </row>
    <row r="114" spans="1:34" s="474" customFormat="1" ht="12.75" customHeight="1" outlineLevel="1">
      <c r="D114" s="262"/>
      <c r="E114" s="498"/>
      <c r="F114" s="516" t="s">
        <v>578</v>
      </c>
      <c r="G114" s="1576"/>
      <c r="H114" s="1577"/>
      <c r="I114" s="1577"/>
      <c r="J114" s="1577"/>
      <c r="K114" s="1585"/>
      <c r="L114" s="459"/>
      <c r="M114" s="458">
        <v>17608.25</v>
      </c>
      <c r="N114" s="458"/>
      <c r="O114" s="458"/>
      <c r="P114" s="460"/>
      <c r="Q114" s="1183"/>
      <c r="R114" s="413"/>
      <c r="S114" s="458"/>
      <c r="T114" s="458"/>
      <c r="U114" s="458"/>
      <c r="V114" s="460"/>
      <c r="W114" s="4141"/>
      <c r="X114" s="1172"/>
      <c r="Y114" s="1172"/>
      <c r="Z114" s="1172"/>
      <c r="AA114" s="470"/>
      <c r="AB114" s="468"/>
      <c r="AC114" s="468"/>
      <c r="AD114" s="468"/>
      <c r="AE114" s="530"/>
      <c r="AF114" s="462"/>
      <c r="AG114" s="463"/>
      <c r="AH114" s="464"/>
    </row>
    <row r="115" spans="1:34" s="474" customFormat="1" ht="12.75" customHeight="1" outlineLevel="1">
      <c r="D115" s="262"/>
      <c r="E115" s="498"/>
      <c r="F115" s="517" t="s">
        <v>579</v>
      </c>
      <c r="G115" s="459"/>
      <c r="H115" s="458"/>
      <c r="I115" s="458"/>
      <c r="J115" s="458"/>
      <c r="K115" s="460"/>
      <c r="L115" s="353">
        <f t="shared" ref="L115:P115" si="54">SUM(L112:L114)</f>
        <v>0</v>
      </c>
      <c r="M115" s="354">
        <f t="shared" si="54"/>
        <v>63483.03</v>
      </c>
      <c r="N115" s="354">
        <f t="shared" si="54"/>
        <v>0</v>
      </c>
      <c r="O115" s="354">
        <f t="shared" si="54"/>
        <v>0</v>
      </c>
      <c r="P115" s="450">
        <f t="shared" si="54"/>
        <v>0</v>
      </c>
      <c r="Q115" s="1184"/>
      <c r="R115" s="447">
        <f>SUM(R112:R114)</f>
        <v>0</v>
      </c>
      <c r="S115" s="354">
        <f>SUM(S112:S114)</f>
        <v>0</v>
      </c>
      <c r="T115" s="354">
        <f>SUM(T112:T114)</f>
        <v>0</v>
      </c>
      <c r="U115" s="354">
        <f>SUM(U112:U114)</f>
        <v>0</v>
      </c>
      <c r="V115" s="450">
        <f>SUM(V112:V114)</f>
        <v>0</v>
      </c>
      <c r="W115" s="4141"/>
      <c r="X115" s="1172"/>
      <c r="Y115" s="1172"/>
      <c r="Z115" s="1172"/>
      <c r="AA115" s="462"/>
      <c r="AB115" s="463"/>
      <c r="AC115" s="463"/>
      <c r="AD115" s="463"/>
      <c r="AE115" s="464"/>
      <c r="AF115" s="353">
        <f t="shared" ref="AF115:AH115" si="55">SUM(AF112:AF114)</f>
        <v>0</v>
      </c>
      <c r="AG115" s="354">
        <f t="shared" si="55"/>
        <v>0</v>
      </c>
      <c r="AH115" s="450">
        <f t="shared" si="55"/>
        <v>0</v>
      </c>
    </row>
    <row r="116" spans="1:34" s="474" customFormat="1" ht="12.75" customHeight="1" outlineLevel="1">
      <c r="D116" s="262"/>
      <c r="E116" s="498"/>
      <c r="F116" s="516" t="s">
        <v>583</v>
      </c>
      <c r="G116" s="459"/>
      <c r="H116" s="458"/>
      <c r="I116" s="458"/>
      <c r="J116" s="458"/>
      <c r="K116" s="460"/>
      <c r="L116" s="511">
        <v>0</v>
      </c>
      <c r="M116" s="512">
        <v>0</v>
      </c>
      <c r="N116" s="512">
        <v>0</v>
      </c>
      <c r="O116" s="512">
        <v>0</v>
      </c>
      <c r="P116" s="547">
        <v>0</v>
      </c>
      <c r="Q116" s="1183"/>
      <c r="R116" s="504"/>
      <c r="S116" s="477"/>
      <c r="T116" s="477"/>
      <c r="U116" s="477"/>
      <c r="V116" s="519"/>
      <c r="W116" s="4141"/>
      <c r="X116" s="1172"/>
      <c r="Y116" s="1172"/>
      <c r="Z116" s="1172"/>
      <c r="AA116" s="462"/>
      <c r="AB116" s="463"/>
      <c r="AC116" s="463"/>
      <c r="AD116" s="463"/>
      <c r="AE116" s="464"/>
      <c r="AF116" s="511">
        <v>0</v>
      </c>
      <c r="AG116" s="512">
        <v>0</v>
      </c>
      <c r="AH116" s="547">
        <v>0</v>
      </c>
    </row>
    <row r="117" spans="1:34" s="474" customFormat="1" ht="12.75" customHeight="1" outlineLevel="1">
      <c r="D117" s="262"/>
      <c r="E117" s="498"/>
      <c r="F117" s="516" t="s">
        <v>581</v>
      </c>
      <c r="G117" s="459"/>
      <c r="H117" s="458"/>
      <c r="I117" s="458"/>
      <c r="J117" s="458"/>
      <c r="K117" s="460"/>
      <c r="L117" s="462">
        <v>0</v>
      </c>
      <c r="M117" s="463">
        <v>0</v>
      </c>
      <c r="N117" s="463">
        <v>0</v>
      </c>
      <c r="O117" s="463">
        <v>0</v>
      </c>
      <c r="P117" s="464">
        <v>0</v>
      </c>
      <c r="Q117" s="1183"/>
      <c r="R117" s="413"/>
      <c r="S117" s="458"/>
      <c r="T117" s="458"/>
      <c r="U117" s="458"/>
      <c r="V117" s="460"/>
      <c r="W117" s="4141"/>
      <c r="X117" s="1172"/>
      <c r="Y117" s="1172"/>
      <c r="Z117" s="1172"/>
      <c r="AA117" s="462"/>
      <c r="AB117" s="463"/>
      <c r="AC117" s="463"/>
      <c r="AD117" s="463"/>
      <c r="AE117" s="464"/>
      <c r="AF117" s="462">
        <v>0</v>
      </c>
      <c r="AG117" s="463">
        <v>0</v>
      </c>
      <c r="AH117" s="464">
        <v>0</v>
      </c>
    </row>
    <row r="118" spans="1:34" s="474" customFormat="1" ht="12.75" customHeight="1" outlineLevel="1">
      <c r="D118" s="262"/>
      <c r="E118" s="498"/>
      <c r="F118" s="517" t="s">
        <v>584</v>
      </c>
      <c r="G118" s="353">
        <f t="shared" ref="G118:P118" si="56">SUM(G116:G117)</f>
        <v>0</v>
      </c>
      <c r="H118" s="354">
        <f t="shared" si="56"/>
        <v>0</v>
      </c>
      <c r="I118" s="354">
        <f t="shared" si="56"/>
        <v>0</v>
      </c>
      <c r="J118" s="354">
        <f t="shared" si="56"/>
        <v>0</v>
      </c>
      <c r="K118" s="450">
        <f t="shared" si="56"/>
        <v>0</v>
      </c>
      <c r="L118" s="353">
        <f t="shared" si="56"/>
        <v>0</v>
      </c>
      <c r="M118" s="354">
        <f t="shared" si="56"/>
        <v>0</v>
      </c>
      <c r="N118" s="354">
        <f t="shared" si="56"/>
        <v>0</v>
      </c>
      <c r="O118" s="354">
        <f t="shared" si="56"/>
        <v>0</v>
      </c>
      <c r="P118" s="450">
        <f t="shared" si="56"/>
        <v>0</v>
      </c>
      <c r="Q118" s="1184"/>
      <c r="R118" s="447">
        <f>SUM(R116:R117)</f>
        <v>0</v>
      </c>
      <c r="S118" s="354">
        <f>SUM(S116:S117)</f>
        <v>0</v>
      </c>
      <c r="T118" s="354">
        <f>SUM(T116:T117)</f>
        <v>0</v>
      </c>
      <c r="U118" s="354">
        <f>SUM(U116:U117)</f>
        <v>0</v>
      </c>
      <c r="V118" s="450">
        <f>SUM(V116:V117)</f>
        <v>0</v>
      </c>
      <c r="W118" s="4141"/>
      <c r="X118" s="1172"/>
      <c r="Y118" s="1172"/>
      <c r="Z118" s="1172"/>
      <c r="AA118" s="353">
        <f t="shared" ref="AA118:AH118" si="57">SUM(AA116:AA117)</f>
        <v>0</v>
      </c>
      <c r="AB118" s="354">
        <f t="shared" si="57"/>
        <v>0</v>
      </c>
      <c r="AC118" s="354">
        <f t="shared" si="57"/>
        <v>0</v>
      </c>
      <c r="AD118" s="354">
        <f t="shared" si="57"/>
        <v>0</v>
      </c>
      <c r="AE118" s="450">
        <f t="shared" si="57"/>
        <v>0</v>
      </c>
      <c r="AF118" s="353">
        <f t="shared" si="57"/>
        <v>0</v>
      </c>
      <c r="AG118" s="354">
        <f t="shared" si="57"/>
        <v>0</v>
      </c>
      <c r="AH118" s="450">
        <f t="shared" si="57"/>
        <v>0</v>
      </c>
    </row>
    <row r="119" spans="1:34" s="474" customFormat="1" ht="12.75" customHeight="1" outlineLevel="1">
      <c r="D119" s="262"/>
      <c r="E119" s="498"/>
      <c r="F119" s="516" t="s">
        <v>35</v>
      </c>
      <c r="G119" s="459"/>
      <c r="H119" s="458"/>
      <c r="I119" s="458"/>
      <c r="J119" s="458"/>
      <c r="K119" s="460"/>
      <c r="L119" s="459"/>
      <c r="M119" s="458"/>
      <c r="N119" s="458"/>
      <c r="O119" s="458"/>
      <c r="P119" s="460"/>
      <c r="Q119" s="1183"/>
      <c r="R119" s="413"/>
      <c r="S119" s="458"/>
      <c r="T119" s="458"/>
      <c r="U119" s="458"/>
      <c r="V119" s="460"/>
      <c r="W119" s="4141"/>
      <c r="X119" s="1172"/>
      <c r="Y119" s="1172"/>
      <c r="Z119" s="1172"/>
      <c r="AA119" s="462"/>
      <c r="AB119" s="463"/>
      <c r="AC119" s="463"/>
      <c r="AD119" s="463"/>
      <c r="AE119" s="464"/>
      <c r="AF119" s="462"/>
      <c r="AG119" s="463"/>
      <c r="AH119" s="464"/>
    </row>
    <row r="120" spans="1:34" s="474" customFormat="1" ht="12.75" customHeight="1" outlineLevel="1" thickBot="1">
      <c r="D120" s="262"/>
      <c r="E120" s="498"/>
      <c r="F120" s="1409" t="s">
        <v>585</v>
      </c>
      <c r="G120" s="1370">
        <f t="shared" ref="G120:P120" si="58">G118-G119</f>
        <v>0</v>
      </c>
      <c r="H120" s="356">
        <f t="shared" si="58"/>
        <v>0</v>
      </c>
      <c r="I120" s="356">
        <f t="shared" si="58"/>
        <v>0</v>
      </c>
      <c r="J120" s="356">
        <f t="shared" si="58"/>
        <v>0</v>
      </c>
      <c r="K120" s="503">
        <f t="shared" si="58"/>
        <v>0</v>
      </c>
      <c r="L120" s="1370">
        <f t="shared" si="58"/>
        <v>0</v>
      </c>
      <c r="M120" s="356">
        <f t="shared" si="58"/>
        <v>0</v>
      </c>
      <c r="N120" s="356">
        <f t="shared" si="58"/>
        <v>0</v>
      </c>
      <c r="O120" s="356">
        <f t="shared" si="58"/>
        <v>0</v>
      </c>
      <c r="P120" s="503">
        <f t="shared" si="58"/>
        <v>0</v>
      </c>
      <c r="Q120" s="1185"/>
      <c r="R120" s="502">
        <f>R118-R119</f>
        <v>0</v>
      </c>
      <c r="S120" s="356">
        <f>S118-S119</f>
        <v>0</v>
      </c>
      <c r="T120" s="356">
        <f>T118-T119</f>
        <v>0</v>
      </c>
      <c r="U120" s="356">
        <f>U118-U119</f>
        <v>0</v>
      </c>
      <c r="V120" s="503">
        <f>V118-V119</f>
        <v>0</v>
      </c>
      <c r="W120" s="4142"/>
      <c r="X120" s="1172"/>
      <c r="Y120" s="1172"/>
      <c r="Z120" s="1172"/>
      <c r="AA120" s="1370">
        <f t="shared" ref="AA120:AH120" si="59">AA118-AA119</f>
        <v>0</v>
      </c>
      <c r="AB120" s="356">
        <f t="shared" si="59"/>
        <v>0</v>
      </c>
      <c r="AC120" s="356">
        <f t="shared" si="59"/>
        <v>0</v>
      </c>
      <c r="AD120" s="356">
        <f t="shared" si="59"/>
        <v>0</v>
      </c>
      <c r="AE120" s="503">
        <f t="shared" si="59"/>
        <v>0</v>
      </c>
      <c r="AF120" s="1370">
        <f t="shared" si="59"/>
        <v>0</v>
      </c>
      <c r="AG120" s="356">
        <f t="shared" si="59"/>
        <v>0</v>
      </c>
      <c r="AH120" s="503">
        <f t="shared" si="59"/>
        <v>0</v>
      </c>
    </row>
    <row r="121" spans="1:34" s="474" customFormat="1" ht="27.75" customHeight="1" outlineLevel="1">
      <c r="A121" s="183"/>
      <c r="B121" s="183"/>
      <c r="C121" s="183"/>
      <c r="D121" s="262"/>
      <c r="E121" s="3457" t="s">
        <v>1534</v>
      </c>
      <c r="F121" s="842" t="s">
        <v>593</v>
      </c>
      <c r="G121" s="1574"/>
      <c r="H121" s="1575"/>
      <c r="I121" s="1575"/>
      <c r="J121" s="1575"/>
      <c r="K121" s="1584"/>
      <c r="L121" s="538"/>
      <c r="M121" s="539"/>
      <c r="N121" s="539"/>
      <c r="O121" s="539"/>
      <c r="P121" s="540"/>
      <c r="Q121" s="1182"/>
      <c r="R121" s="539"/>
      <c r="S121" s="539"/>
      <c r="T121" s="539"/>
      <c r="U121" s="539"/>
      <c r="V121" s="540"/>
      <c r="W121" s="4140"/>
      <c r="X121" s="1172"/>
      <c r="Y121" s="1172"/>
      <c r="Z121" s="1172"/>
      <c r="AA121" s="527"/>
      <c r="AB121" s="528"/>
      <c r="AC121" s="528"/>
      <c r="AD121" s="528"/>
      <c r="AE121" s="529"/>
      <c r="AF121" s="538"/>
      <c r="AG121" s="539"/>
      <c r="AH121" s="540"/>
    </row>
    <row r="122" spans="1:34" s="474" customFormat="1" ht="12.75" customHeight="1" outlineLevel="1">
      <c r="A122" s="183"/>
      <c r="B122" s="183"/>
      <c r="C122" s="183"/>
      <c r="D122" s="262"/>
      <c r="E122" s="498"/>
      <c r="F122" s="516" t="s">
        <v>559</v>
      </c>
      <c r="G122" s="1576"/>
      <c r="H122" s="1577"/>
      <c r="I122" s="1577"/>
      <c r="J122" s="1577"/>
      <c r="K122" s="1585"/>
      <c r="L122" s="459"/>
      <c r="M122" s="458">
        <v>9390.23</v>
      </c>
      <c r="N122" s="458"/>
      <c r="O122" s="458"/>
      <c r="P122" s="460"/>
      <c r="Q122" s="1183"/>
      <c r="R122" s="413"/>
      <c r="S122" s="458"/>
      <c r="T122" s="458"/>
      <c r="U122" s="458"/>
      <c r="V122" s="460"/>
      <c r="W122" s="4141"/>
      <c r="X122" s="1172"/>
      <c r="Y122" s="1172"/>
      <c r="Z122" s="1172"/>
      <c r="AA122" s="470"/>
      <c r="AB122" s="468"/>
      <c r="AC122" s="468"/>
      <c r="AD122" s="468"/>
      <c r="AE122" s="530"/>
      <c r="AF122" s="462"/>
      <c r="AG122" s="463"/>
      <c r="AH122" s="464"/>
    </row>
    <row r="123" spans="1:34" s="474" customFormat="1" ht="12.75" customHeight="1" outlineLevel="1">
      <c r="D123" s="262"/>
      <c r="E123" s="498"/>
      <c r="F123" s="516" t="s">
        <v>558</v>
      </c>
      <c r="G123" s="1576"/>
      <c r="H123" s="1577"/>
      <c r="I123" s="1577"/>
      <c r="J123" s="1577"/>
      <c r="K123" s="1585"/>
      <c r="L123" s="459"/>
      <c r="M123" s="458">
        <v>14604</v>
      </c>
      <c r="N123" s="458"/>
      <c r="O123" s="458"/>
      <c r="P123" s="460"/>
      <c r="Q123" s="1183"/>
      <c r="R123" s="413"/>
      <c r="S123" s="458"/>
      <c r="T123" s="458"/>
      <c r="U123" s="458"/>
      <c r="V123" s="460"/>
      <c r="W123" s="4141"/>
      <c r="X123" s="1172"/>
      <c r="Y123" s="1172"/>
      <c r="Z123" s="1172"/>
      <c r="AA123" s="470"/>
      <c r="AB123" s="468"/>
      <c r="AC123" s="468"/>
      <c r="AD123" s="468"/>
      <c r="AE123" s="530"/>
      <c r="AF123" s="462"/>
      <c r="AG123" s="463"/>
      <c r="AH123" s="464"/>
    </row>
    <row r="124" spans="1:34" s="474" customFormat="1" ht="12.75" customHeight="1" outlineLevel="1">
      <c r="D124" s="262"/>
      <c r="E124" s="498"/>
      <c r="F124" s="516" t="s">
        <v>578</v>
      </c>
      <c r="G124" s="1576"/>
      <c r="H124" s="1577"/>
      <c r="I124" s="1577"/>
      <c r="J124" s="1577"/>
      <c r="K124" s="1585"/>
      <c r="L124" s="459"/>
      <c r="M124" s="458">
        <v>-3207</v>
      </c>
      <c r="N124" s="458"/>
      <c r="O124" s="458"/>
      <c r="P124" s="460"/>
      <c r="Q124" s="1183"/>
      <c r="R124" s="413"/>
      <c r="S124" s="458"/>
      <c r="T124" s="458"/>
      <c r="U124" s="458"/>
      <c r="V124" s="460"/>
      <c r="W124" s="4141"/>
      <c r="X124" s="1172"/>
      <c r="Y124" s="1172"/>
      <c r="Z124" s="1172"/>
      <c r="AA124" s="470"/>
      <c r="AB124" s="468"/>
      <c r="AC124" s="468"/>
      <c r="AD124" s="468"/>
      <c r="AE124" s="530"/>
      <c r="AF124" s="462"/>
      <c r="AG124" s="463"/>
      <c r="AH124" s="464"/>
    </row>
    <row r="125" spans="1:34" s="474" customFormat="1" ht="12.75" customHeight="1" outlineLevel="1">
      <c r="D125" s="262"/>
      <c r="E125" s="498"/>
      <c r="F125" s="517" t="s">
        <v>579</v>
      </c>
      <c r="G125" s="459"/>
      <c r="H125" s="458"/>
      <c r="I125" s="458"/>
      <c r="J125" s="458"/>
      <c r="K125" s="460"/>
      <c r="L125" s="353">
        <f t="shared" ref="L125:P125" si="60">SUM(L122:L124)</f>
        <v>0</v>
      </c>
      <c r="M125" s="354">
        <f t="shared" si="60"/>
        <v>20787.23</v>
      </c>
      <c r="N125" s="354">
        <f t="shared" si="60"/>
        <v>0</v>
      </c>
      <c r="O125" s="354">
        <f t="shared" si="60"/>
        <v>0</v>
      </c>
      <c r="P125" s="450">
        <f t="shared" si="60"/>
        <v>0</v>
      </c>
      <c r="Q125" s="1184"/>
      <c r="R125" s="447">
        <f>SUM(R122:R124)</f>
        <v>0</v>
      </c>
      <c r="S125" s="354">
        <f>SUM(S122:S124)</f>
        <v>0</v>
      </c>
      <c r="T125" s="354">
        <f>SUM(T122:T124)</f>
        <v>0</v>
      </c>
      <c r="U125" s="354">
        <f>SUM(U122:U124)</f>
        <v>0</v>
      </c>
      <c r="V125" s="450">
        <f>SUM(V122:V124)</f>
        <v>0</v>
      </c>
      <c r="W125" s="4141"/>
      <c r="X125" s="1172"/>
      <c r="Y125" s="1172"/>
      <c r="Z125" s="1172"/>
      <c r="AA125" s="462"/>
      <c r="AB125" s="463"/>
      <c r="AC125" s="463"/>
      <c r="AD125" s="463"/>
      <c r="AE125" s="464"/>
      <c r="AF125" s="353">
        <f t="shared" ref="AF125:AH125" si="61">SUM(AF122:AF124)</f>
        <v>0</v>
      </c>
      <c r="AG125" s="354">
        <f t="shared" si="61"/>
        <v>0</v>
      </c>
      <c r="AH125" s="450">
        <f t="shared" si="61"/>
        <v>0</v>
      </c>
    </row>
    <row r="126" spans="1:34" s="474" customFormat="1" ht="12.75" customHeight="1" outlineLevel="1">
      <c r="D126" s="262"/>
      <c r="E126" s="498"/>
      <c r="F126" s="516" t="s">
        <v>583</v>
      </c>
      <c r="G126" s="459"/>
      <c r="H126" s="458"/>
      <c r="I126" s="458"/>
      <c r="J126" s="458"/>
      <c r="K126" s="460"/>
      <c r="L126" s="511">
        <v>0</v>
      </c>
      <c r="M126" s="512">
        <v>0</v>
      </c>
      <c r="N126" s="512">
        <v>0</v>
      </c>
      <c r="O126" s="512">
        <v>0</v>
      </c>
      <c r="P126" s="547">
        <v>0</v>
      </c>
      <c r="Q126" s="1183"/>
      <c r="R126" s="504"/>
      <c r="S126" s="477"/>
      <c r="T126" s="477"/>
      <c r="U126" s="477"/>
      <c r="V126" s="519"/>
      <c r="W126" s="4141"/>
      <c r="X126" s="1172"/>
      <c r="Y126" s="1172"/>
      <c r="Z126" s="1172"/>
      <c r="AA126" s="462"/>
      <c r="AB126" s="463"/>
      <c r="AC126" s="463"/>
      <c r="AD126" s="463"/>
      <c r="AE126" s="464"/>
      <c r="AF126" s="511">
        <v>0</v>
      </c>
      <c r="AG126" s="512">
        <v>0</v>
      </c>
      <c r="AH126" s="547">
        <v>0</v>
      </c>
    </row>
    <row r="127" spans="1:34" s="474" customFormat="1" ht="12.75" customHeight="1" outlineLevel="1">
      <c r="D127" s="262"/>
      <c r="E127" s="498"/>
      <c r="F127" s="516" t="s">
        <v>581</v>
      </c>
      <c r="G127" s="459"/>
      <c r="H127" s="458"/>
      <c r="I127" s="458"/>
      <c r="J127" s="458"/>
      <c r="K127" s="460"/>
      <c r="L127" s="462">
        <v>0</v>
      </c>
      <c r="M127" s="463">
        <v>0</v>
      </c>
      <c r="N127" s="463">
        <v>0</v>
      </c>
      <c r="O127" s="463">
        <v>0</v>
      </c>
      <c r="P127" s="464">
        <v>0</v>
      </c>
      <c r="Q127" s="1183"/>
      <c r="R127" s="413"/>
      <c r="S127" s="458"/>
      <c r="T127" s="458"/>
      <c r="U127" s="458"/>
      <c r="V127" s="460"/>
      <c r="W127" s="4141"/>
      <c r="X127" s="1172"/>
      <c r="Y127" s="1172"/>
      <c r="Z127" s="1172"/>
      <c r="AA127" s="462"/>
      <c r="AB127" s="463"/>
      <c r="AC127" s="463"/>
      <c r="AD127" s="463"/>
      <c r="AE127" s="464"/>
      <c r="AF127" s="462">
        <v>0</v>
      </c>
      <c r="AG127" s="463">
        <v>0</v>
      </c>
      <c r="AH127" s="464">
        <v>0</v>
      </c>
    </row>
    <row r="128" spans="1:34" s="474" customFormat="1" ht="12.75" customHeight="1" outlineLevel="1">
      <c r="D128" s="262"/>
      <c r="E128" s="498"/>
      <c r="F128" s="517" t="s">
        <v>584</v>
      </c>
      <c r="G128" s="353">
        <f t="shared" ref="G128:P128" si="62">SUM(G126:G127)</f>
        <v>0</v>
      </c>
      <c r="H128" s="354">
        <f t="shared" si="62"/>
        <v>0</v>
      </c>
      <c r="I128" s="354">
        <f t="shared" si="62"/>
        <v>0</v>
      </c>
      <c r="J128" s="354">
        <f t="shared" si="62"/>
        <v>0</v>
      </c>
      <c r="K128" s="450">
        <f t="shared" si="62"/>
        <v>0</v>
      </c>
      <c r="L128" s="353">
        <f t="shared" si="62"/>
        <v>0</v>
      </c>
      <c r="M128" s="354">
        <f t="shared" si="62"/>
        <v>0</v>
      </c>
      <c r="N128" s="354">
        <f t="shared" si="62"/>
        <v>0</v>
      </c>
      <c r="O128" s="354">
        <f t="shared" si="62"/>
        <v>0</v>
      </c>
      <c r="P128" s="450">
        <f t="shared" si="62"/>
        <v>0</v>
      </c>
      <c r="Q128" s="1184"/>
      <c r="R128" s="447">
        <f>SUM(R126:R127)</f>
        <v>0</v>
      </c>
      <c r="S128" s="354">
        <f>SUM(S126:S127)</f>
        <v>0</v>
      </c>
      <c r="T128" s="354">
        <f>SUM(T126:T127)</f>
        <v>0</v>
      </c>
      <c r="U128" s="354">
        <f>SUM(U126:U127)</f>
        <v>0</v>
      </c>
      <c r="V128" s="450">
        <f>SUM(V126:V127)</f>
        <v>0</v>
      </c>
      <c r="W128" s="4141"/>
      <c r="X128" s="1172"/>
      <c r="Y128" s="1172"/>
      <c r="Z128" s="1172"/>
      <c r="AA128" s="353">
        <f t="shared" ref="AA128:AH128" si="63">SUM(AA126:AA127)</f>
        <v>0</v>
      </c>
      <c r="AB128" s="354">
        <f t="shared" si="63"/>
        <v>0</v>
      </c>
      <c r="AC128" s="354">
        <f t="shared" si="63"/>
        <v>0</v>
      </c>
      <c r="AD128" s="354">
        <f t="shared" si="63"/>
        <v>0</v>
      </c>
      <c r="AE128" s="450">
        <f t="shared" si="63"/>
        <v>0</v>
      </c>
      <c r="AF128" s="353">
        <f t="shared" si="63"/>
        <v>0</v>
      </c>
      <c r="AG128" s="354">
        <f t="shared" si="63"/>
        <v>0</v>
      </c>
      <c r="AH128" s="450">
        <f t="shared" si="63"/>
        <v>0</v>
      </c>
    </row>
    <row r="129" spans="1:34" s="474" customFormat="1" ht="12.75" customHeight="1" outlineLevel="1">
      <c r="D129" s="262"/>
      <c r="E129" s="498"/>
      <c r="F129" s="516" t="s">
        <v>35</v>
      </c>
      <c r="G129" s="459"/>
      <c r="H129" s="458"/>
      <c r="I129" s="458"/>
      <c r="J129" s="458"/>
      <c r="K129" s="460"/>
      <c r="L129" s="459"/>
      <c r="M129" s="458"/>
      <c r="N129" s="458"/>
      <c r="O129" s="458"/>
      <c r="P129" s="460"/>
      <c r="Q129" s="1183"/>
      <c r="R129" s="413"/>
      <c r="S129" s="458"/>
      <c r="T129" s="458"/>
      <c r="U129" s="458"/>
      <c r="V129" s="460"/>
      <c r="W129" s="4141"/>
      <c r="X129" s="1172"/>
      <c r="Y129" s="1172"/>
      <c r="Z129" s="1172"/>
      <c r="AA129" s="462"/>
      <c r="AB129" s="463"/>
      <c r="AC129" s="463"/>
      <c r="AD129" s="463"/>
      <c r="AE129" s="464"/>
      <c r="AF129" s="462"/>
      <c r="AG129" s="463"/>
      <c r="AH129" s="464"/>
    </row>
    <row r="130" spans="1:34" s="474" customFormat="1" ht="12.75" customHeight="1" outlineLevel="1" thickBot="1">
      <c r="D130" s="262"/>
      <c r="E130" s="498"/>
      <c r="F130" s="1409" t="s">
        <v>585</v>
      </c>
      <c r="G130" s="1370">
        <f t="shared" ref="G130:P130" si="64">G128-G129</f>
        <v>0</v>
      </c>
      <c r="H130" s="356">
        <f t="shared" si="64"/>
        <v>0</v>
      </c>
      <c r="I130" s="356">
        <f t="shared" si="64"/>
        <v>0</v>
      </c>
      <c r="J130" s="356">
        <f t="shared" si="64"/>
        <v>0</v>
      </c>
      <c r="K130" s="503">
        <f t="shared" si="64"/>
        <v>0</v>
      </c>
      <c r="L130" s="1370">
        <f t="shared" si="64"/>
        <v>0</v>
      </c>
      <c r="M130" s="356">
        <f t="shared" si="64"/>
        <v>0</v>
      </c>
      <c r="N130" s="356">
        <f t="shared" si="64"/>
        <v>0</v>
      </c>
      <c r="O130" s="356">
        <f t="shared" si="64"/>
        <v>0</v>
      </c>
      <c r="P130" s="503">
        <f t="shared" si="64"/>
        <v>0</v>
      </c>
      <c r="Q130" s="1185"/>
      <c r="R130" s="502">
        <f>R128-R129</f>
        <v>0</v>
      </c>
      <c r="S130" s="356">
        <f>S128-S129</f>
        <v>0</v>
      </c>
      <c r="T130" s="356">
        <f>T128-T129</f>
        <v>0</v>
      </c>
      <c r="U130" s="356">
        <f>U128-U129</f>
        <v>0</v>
      </c>
      <c r="V130" s="503">
        <f>V128-V129</f>
        <v>0</v>
      </c>
      <c r="W130" s="4142"/>
      <c r="X130" s="1172"/>
      <c r="Y130" s="1172"/>
      <c r="Z130" s="1172"/>
      <c r="AA130" s="1370">
        <f t="shared" ref="AA130:AH130" si="65">AA128-AA129</f>
        <v>0</v>
      </c>
      <c r="AB130" s="356">
        <f t="shared" si="65"/>
        <v>0</v>
      </c>
      <c r="AC130" s="356">
        <f t="shared" si="65"/>
        <v>0</v>
      </c>
      <c r="AD130" s="356">
        <f t="shared" si="65"/>
        <v>0</v>
      </c>
      <c r="AE130" s="503">
        <f t="shared" si="65"/>
        <v>0</v>
      </c>
      <c r="AF130" s="1370">
        <f t="shared" si="65"/>
        <v>0</v>
      </c>
      <c r="AG130" s="356">
        <f t="shared" si="65"/>
        <v>0</v>
      </c>
      <c r="AH130" s="503">
        <f t="shared" si="65"/>
        <v>0</v>
      </c>
    </row>
    <row r="131" spans="1:34" s="474" customFormat="1" ht="23.25" customHeight="1" outlineLevel="1">
      <c r="A131" s="183"/>
      <c r="B131" s="183"/>
      <c r="C131" s="183"/>
      <c r="D131" s="262"/>
      <c r="E131" s="3457" t="s">
        <v>1535</v>
      </c>
      <c r="F131" s="842" t="s">
        <v>593</v>
      </c>
      <c r="G131" s="1574"/>
      <c r="H131" s="1575"/>
      <c r="I131" s="1575"/>
      <c r="J131" s="1575"/>
      <c r="K131" s="1584"/>
      <c r="L131" s="538"/>
      <c r="M131" s="539"/>
      <c r="N131" s="539"/>
      <c r="O131" s="539"/>
      <c r="P131" s="540"/>
      <c r="Q131" s="1182"/>
      <c r="R131" s="539"/>
      <c r="S131" s="539"/>
      <c r="T131" s="539"/>
      <c r="U131" s="539"/>
      <c r="V131" s="540"/>
      <c r="W131" s="4140"/>
      <c r="X131" s="1172"/>
      <c r="Y131" s="1172"/>
      <c r="Z131" s="1172"/>
      <c r="AA131" s="527"/>
      <c r="AB131" s="528"/>
      <c r="AC131" s="528"/>
      <c r="AD131" s="528"/>
      <c r="AE131" s="529"/>
      <c r="AF131" s="538"/>
      <c r="AG131" s="539"/>
      <c r="AH131" s="540"/>
    </row>
    <row r="132" spans="1:34" s="474" customFormat="1" ht="12.75" customHeight="1" outlineLevel="1">
      <c r="D132" s="262"/>
      <c r="E132" s="498"/>
      <c r="F132" s="516" t="s">
        <v>559</v>
      </c>
      <c r="G132" s="1576"/>
      <c r="H132" s="1577"/>
      <c r="I132" s="1577"/>
      <c r="J132" s="1577"/>
      <c r="K132" s="1585"/>
      <c r="L132" s="459">
        <v>20649.600000000002</v>
      </c>
      <c r="M132" s="458"/>
      <c r="N132" s="458"/>
      <c r="O132" s="458"/>
      <c r="P132" s="460"/>
      <c r="Q132" s="1183"/>
      <c r="R132" s="413"/>
      <c r="S132" s="458"/>
      <c r="T132" s="458"/>
      <c r="U132" s="458"/>
      <c r="V132" s="460"/>
      <c r="W132" s="4141"/>
      <c r="X132" s="1172"/>
      <c r="Y132" s="1172"/>
      <c r="Z132" s="1172"/>
      <c r="AA132" s="470"/>
      <c r="AB132" s="468"/>
      <c r="AC132" s="468"/>
      <c r="AD132" s="468"/>
      <c r="AE132" s="530"/>
      <c r="AF132" s="462"/>
      <c r="AG132" s="463"/>
      <c r="AH132" s="464"/>
    </row>
    <row r="133" spans="1:34" s="474" customFormat="1" ht="12.75" customHeight="1" outlineLevel="1">
      <c r="D133" s="262"/>
      <c r="E133" s="498"/>
      <c r="F133" s="516" t="s">
        <v>558</v>
      </c>
      <c r="G133" s="1576"/>
      <c r="H133" s="1577"/>
      <c r="I133" s="1577"/>
      <c r="J133" s="1577"/>
      <c r="K133" s="1585"/>
      <c r="L133" s="458">
        <v>554.25</v>
      </c>
      <c r="M133" s="458"/>
      <c r="N133" s="458"/>
      <c r="O133" s="458"/>
      <c r="P133" s="460"/>
      <c r="Q133" s="1183"/>
      <c r="R133" s="413"/>
      <c r="S133" s="458"/>
      <c r="T133" s="458"/>
      <c r="U133" s="458"/>
      <c r="V133" s="460"/>
      <c r="W133" s="4141"/>
      <c r="X133" s="1172"/>
      <c r="Y133" s="1172"/>
      <c r="Z133" s="1172"/>
      <c r="AA133" s="470"/>
      <c r="AB133" s="468"/>
      <c r="AC133" s="468"/>
      <c r="AD133" s="468"/>
      <c r="AE133" s="530"/>
      <c r="AF133" s="462"/>
      <c r="AG133" s="463"/>
      <c r="AH133" s="464"/>
    </row>
    <row r="134" spans="1:34" s="474" customFormat="1" ht="12.75" customHeight="1" outlineLevel="1">
      <c r="D134" s="262"/>
      <c r="E134" s="498"/>
      <c r="F134" s="516" t="s">
        <v>578</v>
      </c>
      <c r="G134" s="1576"/>
      <c r="H134" s="1577"/>
      <c r="I134" s="1577"/>
      <c r="J134" s="1577"/>
      <c r="K134" s="1585"/>
      <c r="L134" s="458">
        <v>18829.22</v>
      </c>
      <c r="M134" s="458"/>
      <c r="N134" s="458"/>
      <c r="O134" s="458"/>
      <c r="P134" s="460"/>
      <c r="Q134" s="1183"/>
      <c r="R134" s="413"/>
      <c r="S134" s="458"/>
      <c r="T134" s="458"/>
      <c r="U134" s="458"/>
      <c r="V134" s="460"/>
      <c r="W134" s="4141"/>
      <c r="X134" s="1172"/>
      <c r="Y134" s="1172"/>
      <c r="Z134" s="1172"/>
      <c r="AA134" s="470"/>
      <c r="AB134" s="468"/>
      <c r="AC134" s="468"/>
      <c r="AD134" s="468"/>
      <c r="AE134" s="530"/>
      <c r="AF134" s="462"/>
      <c r="AG134" s="463"/>
      <c r="AH134" s="464"/>
    </row>
    <row r="135" spans="1:34" s="474" customFormat="1" ht="12.75" customHeight="1" outlineLevel="1">
      <c r="D135" s="262"/>
      <c r="E135" s="498"/>
      <c r="F135" s="517" t="s">
        <v>579</v>
      </c>
      <c r="G135" s="459"/>
      <c r="H135" s="458"/>
      <c r="I135" s="458"/>
      <c r="J135" s="458"/>
      <c r="K135" s="460"/>
      <c r="L135" s="353">
        <f t="shared" ref="L135:P135" si="66">SUM(L132:L134)</f>
        <v>40033.070000000007</v>
      </c>
      <c r="M135" s="354">
        <f t="shared" si="66"/>
        <v>0</v>
      </c>
      <c r="N135" s="354">
        <f t="shared" si="66"/>
        <v>0</v>
      </c>
      <c r="O135" s="354">
        <f t="shared" si="66"/>
        <v>0</v>
      </c>
      <c r="P135" s="450">
        <f t="shared" si="66"/>
        <v>0</v>
      </c>
      <c r="Q135" s="1184"/>
      <c r="R135" s="447">
        <f>SUM(R132:R134)</f>
        <v>0</v>
      </c>
      <c r="S135" s="354">
        <f>SUM(S132:S134)</f>
        <v>0</v>
      </c>
      <c r="T135" s="354">
        <f>SUM(T132:T134)</f>
        <v>0</v>
      </c>
      <c r="U135" s="354">
        <f>SUM(U132:U134)</f>
        <v>0</v>
      </c>
      <c r="V135" s="450">
        <f>SUM(V132:V134)</f>
        <v>0</v>
      </c>
      <c r="W135" s="4141"/>
      <c r="X135" s="1172"/>
      <c r="Y135" s="1172"/>
      <c r="Z135" s="1172"/>
      <c r="AA135" s="462"/>
      <c r="AB135" s="463"/>
      <c r="AC135" s="463"/>
      <c r="AD135" s="463"/>
      <c r="AE135" s="464"/>
      <c r="AF135" s="353">
        <f t="shared" ref="AF135:AH135" si="67">SUM(AF132:AF134)</f>
        <v>0</v>
      </c>
      <c r="AG135" s="354">
        <f t="shared" si="67"/>
        <v>0</v>
      </c>
      <c r="AH135" s="450">
        <f t="shared" si="67"/>
        <v>0</v>
      </c>
    </row>
    <row r="136" spans="1:34" s="474" customFormat="1" ht="12.75" customHeight="1" outlineLevel="1">
      <c r="D136" s="262"/>
      <c r="E136" s="498"/>
      <c r="F136" s="516" t="s">
        <v>583</v>
      </c>
      <c r="G136" s="459"/>
      <c r="H136" s="458"/>
      <c r="I136" s="458"/>
      <c r="J136" s="458"/>
      <c r="K136" s="460"/>
      <c r="L136" s="511">
        <v>0</v>
      </c>
      <c r="M136" s="512">
        <v>0</v>
      </c>
      <c r="N136" s="512">
        <v>0</v>
      </c>
      <c r="O136" s="512">
        <v>0</v>
      </c>
      <c r="P136" s="547">
        <v>0</v>
      </c>
      <c r="Q136" s="1183"/>
      <c r="R136" s="504"/>
      <c r="S136" s="477"/>
      <c r="T136" s="477"/>
      <c r="U136" s="477"/>
      <c r="V136" s="519"/>
      <c r="W136" s="4141"/>
      <c r="X136" s="1172"/>
      <c r="Y136" s="1172"/>
      <c r="Z136" s="1172"/>
      <c r="AA136" s="462"/>
      <c r="AB136" s="463"/>
      <c r="AC136" s="463"/>
      <c r="AD136" s="463"/>
      <c r="AE136" s="464"/>
      <c r="AF136" s="511">
        <v>0</v>
      </c>
      <c r="AG136" s="512">
        <v>0</v>
      </c>
      <c r="AH136" s="547">
        <v>0</v>
      </c>
    </row>
    <row r="137" spans="1:34" s="474" customFormat="1" ht="12.75" customHeight="1" outlineLevel="1">
      <c r="D137" s="262"/>
      <c r="E137" s="498"/>
      <c r="F137" s="516" t="s">
        <v>581</v>
      </c>
      <c r="G137" s="459"/>
      <c r="H137" s="458"/>
      <c r="I137" s="458"/>
      <c r="J137" s="458"/>
      <c r="K137" s="460"/>
      <c r="L137" s="462">
        <v>0</v>
      </c>
      <c r="M137" s="463">
        <v>0</v>
      </c>
      <c r="N137" s="463">
        <v>0</v>
      </c>
      <c r="O137" s="463">
        <v>0</v>
      </c>
      <c r="P137" s="464">
        <v>0</v>
      </c>
      <c r="Q137" s="1183"/>
      <c r="R137" s="413"/>
      <c r="S137" s="458"/>
      <c r="T137" s="458"/>
      <c r="U137" s="458"/>
      <c r="V137" s="460"/>
      <c r="W137" s="4141"/>
      <c r="X137" s="1172"/>
      <c r="Y137" s="1172"/>
      <c r="Z137" s="1172"/>
      <c r="AA137" s="462"/>
      <c r="AB137" s="463"/>
      <c r="AC137" s="463"/>
      <c r="AD137" s="463"/>
      <c r="AE137" s="464"/>
      <c r="AF137" s="462">
        <v>0</v>
      </c>
      <c r="AG137" s="463">
        <v>0</v>
      </c>
      <c r="AH137" s="464">
        <v>0</v>
      </c>
    </row>
    <row r="138" spans="1:34" s="474" customFormat="1" ht="12.75" customHeight="1" outlineLevel="1">
      <c r="D138" s="262"/>
      <c r="E138" s="498"/>
      <c r="F138" s="517" t="s">
        <v>584</v>
      </c>
      <c r="G138" s="353">
        <f t="shared" ref="G138:P138" si="68">SUM(G136:G137)</f>
        <v>0</v>
      </c>
      <c r="H138" s="354">
        <f t="shared" si="68"/>
        <v>0</v>
      </c>
      <c r="I138" s="354">
        <f t="shared" si="68"/>
        <v>0</v>
      </c>
      <c r="J138" s="354">
        <f t="shared" si="68"/>
        <v>0</v>
      </c>
      <c r="K138" s="450">
        <f t="shared" si="68"/>
        <v>0</v>
      </c>
      <c r="L138" s="353">
        <f t="shared" si="68"/>
        <v>0</v>
      </c>
      <c r="M138" s="354">
        <f t="shared" si="68"/>
        <v>0</v>
      </c>
      <c r="N138" s="354">
        <f t="shared" si="68"/>
        <v>0</v>
      </c>
      <c r="O138" s="354">
        <f t="shared" si="68"/>
        <v>0</v>
      </c>
      <c r="P138" s="450">
        <f t="shared" si="68"/>
        <v>0</v>
      </c>
      <c r="Q138" s="1184"/>
      <c r="R138" s="447">
        <f>SUM(R136:R137)</f>
        <v>0</v>
      </c>
      <c r="S138" s="354">
        <f>SUM(S136:S137)</f>
        <v>0</v>
      </c>
      <c r="T138" s="354">
        <f>SUM(T136:T137)</f>
        <v>0</v>
      </c>
      <c r="U138" s="354">
        <f>SUM(U136:U137)</f>
        <v>0</v>
      </c>
      <c r="V138" s="450">
        <f>SUM(V136:V137)</f>
        <v>0</v>
      </c>
      <c r="W138" s="4141"/>
      <c r="X138" s="1172"/>
      <c r="Y138" s="1172"/>
      <c r="Z138" s="1172"/>
      <c r="AA138" s="353">
        <f t="shared" ref="AA138:AH138" si="69">SUM(AA136:AA137)</f>
        <v>0</v>
      </c>
      <c r="AB138" s="354">
        <f t="shared" si="69"/>
        <v>0</v>
      </c>
      <c r="AC138" s="354">
        <f t="shared" si="69"/>
        <v>0</v>
      </c>
      <c r="AD138" s="354">
        <f t="shared" si="69"/>
        <v>0</v>
      </c>
      <c r="AE138" s="450">
        <f t="shared" si="69"/>
        <v>0</v>
      </c>
      <c r="AF138" s="353">
        <f t="shared" si="69"/>
        <v>0</v>
      </c>
      <c r="AG138" s="354">
        <f t="shared" si="69"/>
        <v>0</v>
      </c>
      <c r="AH138" s="450">
        <f t="shared" si="69"/>
        <v>0</v>
      </c>
    </row>
    <row r="139" spans="1:34" s="474" customFormat="1" ht="12.75" customHeight="1" outlineLevel="1">
      <c r="D139" s="262"/>
      <c r="E139" s="498"/>
      <c r="F139" s="516" t="s">
        <v>35</v>
      </c>
      <c r="G139" s="459"/>
      <c r="H139" s="458"/>
      <c r="I139" s="458"/>
      <c r="J139" s="458"/>
      <c r="K139" s="460"/>
      <c r="L139" s="459"/>
      <c r="M139" s="458"/>
      <c r="N139" s="458"/>
      <c r="O139" s="458"/>
      <c r="P139" s="460"/>
      <c r="Q139" s="1183"/>
      <c r="R139" s="413"/>
      <c r="S139" s="458"/>
      <c r="T139" s="458"/>
      <c r="U139" s="458"/>
      <c r="V139" s="460"/>
      <c r="W139" s="4141"/>
      <c r="X139" s="1172"/>
      <c r="Y139" s="1172"/>
      <c r="Z139" s="1172"/>
      <c r="AA139" s="462"/>
      <c r="AB139" s="463"/>
      <c r="AC139" s="463"/>
      <c r="AD139" s="463"/>
      <c r="AE139" s="464"/>
      <c r="AF139" s="462"/>
      <c r="AG139" s="463"/>
      <c r="AH139" s="464"/>
    </row>
    <row r="140" spans="1:34" s="474" customFormat="1" ht="12.75" customHeight="1" outlineLevel="1" thickBot="1">
      <c r="D140" s="262"/>
      <c r="E140" s="498"/>
      <c r="F140" s="1409" t="s">
        <v>585</v>
      </c>
      <c r="G140" s="1370">
        <f t="shared" ref="G140:P140" si="70">G138-G139</f>
        <v>0</v>
      </c>
      <c r="H140" s="356">
        <f t="shared" si="70"/>
        <v>0</v>
      </c>
      <c r="I140" s="356">
        <f t="shared" si="70"/>
        <v>0</v>
      </c>
      <c r="J140" s="356">
        <f t="shared" si="70"/>
        <v>0</v>
      </c>
      <c r="K140" s="503">
        <f t="shared" si="70"/>
        <v>0</v>
      </c>
      <c r="L140" s="1370">
        <f t="shared" si="70"/>
        <v>0</v>
      </c>
      <c r="M140" s="356">
        <f t="shared" si="70"/>
        <v>0</v>
      </c>
      <c r="N140" s="356">
        <f t="shared" si="70"/>
        <v>0</v>
      </c>
      <c r="O140" s="356">
        <f t="shared" si="70"/>
        <v>0</v>
      </c>
      <c r="P140" s="503">
        <f t="shared" si="70"/>
        <v>0</v>
      </c>
      <c r="Q140" s="1185"/>
      <c r="R140" s="502">
        <f>R138-R139</f>
        <v>0</v>
      </c>
      <c r="S140" s="356">
        <f>S138-S139</f>
        <v>0</v>
      </c>
      <c r="T140" s="356">
        <f>T138-T139</f>
        <v>0</v>
      </c>
      <c r="U140" s="356">
        <f>U138-U139</f>
        <v>0</v>
      </c>
      <c r="V140" s="503">
        <f>V138-V139</f>
        <v>0</v>
      </c>
      <c r="W140" s="4142"/>
      <c r="X140" s="1172"/>
      <c r="Y140" s="1172"/>
      <c r="Z140" s="1172"/>
      <c r="AA140" s="1370">
        <f t="shared" ref="AA140:AH140" si="71">AA138-AA139</f>
        <v>0</v>
      </c>
      <c r="AB140" s="356">
        <f t="shared" si="71"/>
        <v>0</v>
      </c>
      <c r="AC140" s="356">
        <f t="shared" si="71"/>
        <v>0</v>
      </c>
      <c r="AD140" s="356">
        <f t="shared" si="71"/>
        <v>0</v>
      </c>
      <c r="AE140" s="503">
        <f t="shared" si="71"/>
        <v>0</v>
      </c>
      <c r="AF140" s="1370">
        <f t="shared" si="71"/>
        <v>0</v>
      </c>
      <c r="AG140" s="356">
        <f t="shared" si="71"/>
        <v>0</v>
      </c>
      <c r="AH140" s="503">
        <f t="shared" si="71"/>
        <v>0</v>
      </c>
    </row>
    <row r="141" spans="1:34" s="474" customFormat="1" ht="27.75" customHeight="1" outlineLevel="1">
      <c r="A141" s="183"/>
      <c r="B141" s="183"/>
      <c r="C141" s="183"/>
      <c r="D141" s="262"/>
      <c r="E141" s="3457" t="s">
        <v>1536</v>
      </c>
      <c r="F141" s="842" t="s">
        <v>593</v>
      </c>
      <c r="G141" s="1574"/>
      <c r="H141" s="1575"/>
      <c r="I141" s="1575"/>
      <c r="J141" s="1575"/>
      <c r="K141" s="1584"/>
      <c r="L141" s="538"/>
      <c r="M141" s="539"/>
      <c r="N141" s="539"/>
      <c r="O141" s="539"/>
      <c r="P141" s="540"/>
      <c r="Q141" s="1182"/>
      <c r="R141" s="539"/>
      <c r="S141" s="539"/>
      <c r="T141" s="539"/>
      <c r="U141" s="539"/>
      <c r="V141" s="540"/>
      <c r="W141" s="4140"/>
      <c r="X141" s="1172"/>
      <c r="Y141" s="1172"/>
      <c r="Z141" s="1172"/>
      <c r="AA141" s="527"/>
      <c r="AB141" s="528"/>
      <c r="AC141" s="528"/>
      <c r="AD141" s="528"/>
      <c r="AE141" s="529"/>
      <c r="AF141" s="538"/>
      <c r="AG141" s="539"/>
      <c r="AH141" s="540"/>
    </row>
    <row r="142" spans="1:34" s="474" customFormat="1" ht="12.75" customHeight="1" outlineLevel="1">
      <c r="A142" s="183"/>
      <c r="B142" s="183"/>
      <c r="C142" s="183"/>
      <c r="D142" s="262"/>
      <c r="E142" s="498"/>
      <c r="F142" s="516" t="s">
        <v>559</v>
      </c>
      <c r="G142" s="1576"/>
      <c r="H142" s="1577"/>
      <c r="I142" s="1577"/>
      <c r="J142" s="1577"/>
      <c r="K142" s="1585"/>
      <c r="L142" s="459">
        <v>3988.0099999999998</v>
      </c>
      <c r="M142" s="458"/>
      <c r="N142" s="458"/>
      <c r="O142" s="458"/>
      <c r="P142" s="460"/>
      <c r="Q142" s="1183"/>
      <c r="R142" s="413"/>
      <c r="S142" s="458"/>
      <c r="T142" s="458"/>
      <c r="U142" s="458"/>
      <c r="V142" s="460"/>
      <c r="W142" s="4141"/>
      <c r="X142" s="1172"/>
      <c r="Y142" s="1172"/>
      <c r="Z142" s="1172"/>
      <c r="AA142" s="470"/>
      <c r="AB142" s="468"/>
      <c r="AC142" s="468"/>
      <c r="AD142" s="468"/>
      <c r="AE142" s="530"/>
      <c r="AF142" s="462"/>
      <c r="AG142" s="463"/>
      <c r="AH142" s="464"/>
    </row>
    <row r="143" spans="1:34" s="474" customFormat="1" ht="12.75" customHeight="1" outlineLevel="1">
      <c r="D143" s="262"/>
      <c r="E143" s="498"/>
      <c r="F143" s="516" t="s">
        <v>558</v>
      </c>
      <c r="G143" s="1576"/>
      <c r="H143" s="1577"/>
      <c r="I143" s="1577"/>
      <c r="J143" s="1577"/>
      <c r="K143" s="1585"/>
      <c r="L143" s="458">
        <v>3045</v>
      </c>
      <c r="M143" s="458"/>
      <c r="N143" s="458"/>
      <c r="O143" s="458"/>
      <c r="P143" s="460"/>
      <c r="Q143" s="1183"/>
      <c r="R143" s="413"/>
      <c r="S143" s="458"/>
      <c r="T143" s="458"/>
      <c r="U143" s="458"/>
      <c r="V143" s="460"/>
      <c r="W143" s="4141"/>
      <c r="X143" s="1172"/>
      <c r="Y143" s="1172"/>
      <c r="Z143" s="1172"/>
      <c r="AA143" s="470"/>
      <c r="AB143" s="468"/>
      <c r="AC143" s="468"/>
      <c r="AD143" s="468"/>
      <c r="AE143" s="530"/>
      <c r="AF143" s="462"/>
      <c r="AG143" s="463"/>
      <c r="AH143" s="464"/>
    </row>
    <row r="144" spans="1:34" s="474" customFormat="1" ht="12.75" customHeight="1" outlineLevel="1">
      <c r="D144" s="262"/>
      <c r="E144" s="498"/>
      <c r="F144" s="516" t="s">
        <v>578</v>
      </c>
      <c r="G144" s="1576"/>
      <c r="H144" s="1577"/>
      <c r="I144" s="1577"/>
      <c r="J144" s="1577"/>
      <c r="K144" s="1585"/>
      <c r="L144" s="459"/>
      <c r="M144" s="458"/>
      <c r="N144" s="458"/>
      <c r="O144" s="458"/>
      <c r="P144" s="460"/>
      <c r="Q144" s="1183"/>
      <c r="R144" s="413"/>
      <c r="S144" s="458"/>
      <c r="T144" s="458"/>
      <c r="U144" s="458"/>
      <c r="V144" s="460"/>
      <c r="W144" s="4141"/>
      <c r="X144" s="1172"/>
      <c r="Y144" s="1172"/>
      <c r="Z144" s="1172"/>
      <c r="AA144" s="470"/>
      <c r="AB144" s="468"/>
      <c r="AC144" s="468"/>
      <c r="AD144" s="468"/>
      <c r="AE144" s="530"/>
      <c r="AF144" s="462"/>
      <c r="AG144" s="463"/>
      <c r="AH144" s="464"/>
    </row>
    <row r="145" spans="1:34" s="474" customFormat="1" ht="12.75" customHeight="1" outlineLevel="1">
      <c r="D145" s="262"/>
      <c r="E145" s="498"/>
      <c r="F145" s="517" t="s">
        <v>579</v>
      </c>
      <c r="G145" s="459"/>
      <c r="H145" s="458"/>
      <c r="I145" s="458"/>
      <c r="J145" s="458"/>
      <c r="K145" s="460"/>
      <c r="L145" s="353">
        <f t="shared" ref="L145:P145" si="72">SUM(L142:L144)</f>
        <v>7033.01</v>
      </c>
      <c r="M145" s="354">
        <f t="shared" si="72"/>
        <v>0</v>
      </c>
      <c r="N145" s="354">
        <f t="shared" si="72"/>
        <v>0</v>
      </c>
      <c r="O145" s="354">
        <f t="shared" si="72"/>
        <v>0</v>
      </c>
      <c r="P145" s="450">
        <f t="shared" si="72"/>
        <v>0</v>
      </c>
      <c r="Q145" s="1184"/>
      <c r="R145" s="447">
        <f>SUM(R142:R144)</f>
        <v>0</v>
      </c>
      <c r="S145" s="354">
        <f>SUM(S142:S144)</f>
        <v>0</v>
      </c>
      <c r="T145" s="354">
        <f>SUM(T142:T144)</f>
        <v>0</v>
      </c>
      <c r="U145" s="354">
        <f>SUM(U142:U144)</f>
        <v>0</v>
      </c>
      <c r="V145" s="450">
        <f>SUM(V142:V144)</f>
        <v>0</v>
      </c>
      <c r="W145" s="4141"/>
      <c r="X145" s="1172"/>
      <c r="Y145" s="1172"/>
      <c r="Z145" s="1172"/>
      <c r="AA145" s="462"/>
      <c r="AB145" s="463"/>
      <c r="AC145" s="463"/>
      <c r="AD145" s="463"/>
      <c r="AE145" s="464"/>
      <c r="AF145" s="353">
        <f t="shared" ref="AF145:AH145" si="73">SUM(AF142:AF144)</f>
        <v>0</v>
      </c>
      <c r="AG145" s="354">
        <f t="shared" si="73"/>
        <v>0</v>
      </c>
      <c r="AH145" s="450">
        <f t="shared" si="73"/>
        <v>0</v>
      </c>
    </row>
    <row r="146" spans="1:34" s="474" customFormat="1" ht="12.75" customHeight="1" outlineLevel="1">
      <c r="D146" s="262"/>
      <c r="E146" s="498"/>
      <c r="F146" s="516" t="s">
        <v>583</v>
      </c>
      <c r="G146" s="459"/>
      <c r="H146" s="458"/>
      <c r="I146" s="458"/>
      <c r="J146" s="458"/>
      <c r="K146" s="460"/>
      <c r="L146" s="511">
        <v>0</v>
      </c>
      <c r="M146" s="512">
        <v>0</v>
      </c>
      <c r="N146" s="512">
        <v>0</v>
      </c>
      <c r="O146" s="512">
        <v>0</v>
      </c>
      <c r="P146" s="547">
        <v>0</v>
      </c>
      <c r="Q146" s="1183"/>
      <c r="R146" s="504"/>
      <c r="S146" s="477"/>
      <c r="T146" s="477"/>
      <c r="U146" s="477"/>
      <c r="V146" s="519"/>
      <c r="W146" s="4141"/>
      <c r="X146" s="1172"/>
      <c r="Y146" s="1172"/>
      <c r="Z146" s="1172"/>
      <c r="AA146" s="462"/>
      <c r="AB146" s="463"/>
      <c r="AC146" s="463"/>
      <c r="AD146" s="463"/>
      <c r="AE146" s="464"/>
      <c r="AF146" s="511">
        <v>0</v>
      </c>
      <c r="AG146" s="512">
        <v>0</v>
      </c>
      <c r="AH146" s="547">
        <v>0</v>
      </c>
    </row>
    <row r="147" spans="1:34" s="474" customFormat="1" ht="12.75" customHeight="1" outlineLevel="1">
      <c r="D147" s="262"/>
      <c r="E147" s="498"/>
      <c r="F147" s="516" t="s">
        <v>581</v>
      </c>
      <c r="G147" s="459"/>
      <c r="H147" s="458"/>
      <c r="I147" s="458"/>
      <c r="J147" s="458"/>
      <c r="K147" s="460"/>
      <c r="L147" s="462">
        <v>0</v>
      </c>
      <c r="M147" s="463">
        <v>0</v>
      </c>
      <c r="N147" s="463">
        <v>0</v>
      </c>
      <c r="O147" s="463">
        <v>0</v>
      </c>
      <c r="P147" s="464">
        <v>0</v>
      </c>
      <c r="Q147" s="1183"/>
      <c r="R147" s="413"/>
      <c r="S147" s="458"/>
      <c r="T147" s="458"/>
      <c r="U147" s="458"/>
      <c r="V147" s="460"/>
      <c r="W147" s="4141"/>
      <c r="X147" s="1172"/>
      <c r="Y147" s="1172"/>
      <c r="Z147" s="1172"/>
      <c r="AA147" s="462"/>
      <c r="AB147" s="463"/>
      <c r="AC147" s="463"/>
      <c r="AD147" s="463"/>
      <c r="AE147" s="464"/>
      <c r="AF147" s="462">
        <v>0</v>
      </c>
      <c r="AG147" s="463">
        <v>0</v>
      </c>
      <c r="AH147" s="464">
        <v>0</v>
      </c>
    </row>
    <row r="148" spans="1:34" s="474" customFormat="1" ht="12.75" customHeight="1" outlineLevel="1">
      <c r="D148" s="262"/>
      <c r="E148" s="498"/>
      <c r="F148" s="517" t="s">
        <v>584</v>
      </c>
      <c r="G148" s="353">
        <f t="shared" ref="G148:P148" si="74">SUM(G146:G147)</f>
        <v>0</v>
      </c>
      <c r="H148" s="354">
        <f t="shared" si="74"/>
        <v>0</v>
      </c>
      <c r="I148" s="354">
        <f t="shared" si="74"/>
        <v>0</v>
      </c>
      <c r="J148" s="354">
        <f t="shared" si="74"/>
        <v>0</v>
      </c>
      <c r="K148" s="450">
        <f t="shared" si="74"/>
        <v>0</v>
      </c>
      <c r="L148" s="353">
        <f t="shared" si="74"/>
        <v>0</v>
      </c>
      <c r="M148" s="354">
        <f t="shared" si="74"/>
        <v>0</v>
      </c>
      <c r="N148" s="354">
        <f t="shared" si="74"/>
        <v>0</v>
      </c>
      <c r="O148" s="354">
        <f t="shared" si="74"/>
        <v>0</v>
      </c>
      <c r="P148" s="450">
        <f t="shared" si="74"/>
        <v>0</v>
      </c>
      <c r="Q148" s="1184"/>
      <c r="R148" s="447">
        <f>SUM(R146:R147)</f>
        <v>0</v>
      </c>
      <c r="S148" s="354">
        <f>SUM(S146:S147)</f>
        <v>0</v>
      </c>
      <c r="T148" s="354">
        <f>SUM(T146:T147)</f>
        <v>0</v>
      </c>
      <c r="U148" s="354">
        <f>SUM(U146:U147)</f>
        <v>0</v>
      </c>
      <c r="V148" s="450">
        <f>SUM(V146:V147)</f>
        <v>0</v>
      </c>
      <c r="W148" s="4141"/>
      <c r="X148" s="1172"/>
      <c r="Y148" s="1172"/>
      <c r="Z148" s="1172"/>
      <c r="AA148" s="353">
        <f t="shared" ref="AA148:AH148" si="75">SUM(AA146:AA147)</f>
        <v>0</v>
      </c>
      <c r="AB148" s="354">
        <f t="shared" si="75"/>
        <v>0</v>
      </c>
      <c r="AC148" s="354">
        <f t="shared" si="75"/>
        <v>0</v>
      </c>
      <c r="AD148" s="354">
        <f t="shared" si="75"/>
        <v>0</v>
      </c>
      <c r="AE148" s="450">
        <f t="shared" si="75"/>
        <v>0</v>
      </c>
      <c r="AF148" s="353">
        <f t="shared" si="75"/>
        <v>0</v>
      </c>
      <c r="AG148" s="354">
        <f t="shared" si="75"/>
        <v>0</v>
      </c>
      <c r="AH148" s="450">
        <f t="shared" si="75"/>
        <v>0</v>
      </c>
    </row>
    <row r="149" spans="1:34" s="474" customFormat="1" ht="12.75" customHeight="1" outlineLevel="1">
      <c r="D149" s="262"/>
      <c r="E149" s="498"/>
      <c r="F149" s="516" t="s">
        <v>35</v>
      </c>
      <c r="G149" s="459"/>
      <c r="H149" s="458"/>
      <c r="I149" s="458"/>
      <c r="J149" s="458"/>
      <c r="K149" s="460"/>
      <c r="L149" s="459"/>
      <c r="M149" s="458"/>
      <c r="N149" s="458"/>
      <c r="O149" s="458"/>
      <c r="P149" s="460"/>
      <c r="Q149" s="1183"/>
      <c r="R149" s="413"/>
      <c r="S149" s="458"/>
      <c r="T149" s="458"/>
      <c r="U149" s="458"/>
      <c r="V149" s="460"/>
      <c r="W149" s="4141"/>
      <c r="X149" s="1172"/>
      <c r="Y149" s="1172"/>
      <c r="Z149" s="1172"/>
      <c r="AA149" s="462"/>
      <c r="AB149" s="463"/>
      <c r="AC149" s="463"/>
      <c r="AD149" s="463"/>
      <c r="AE149" s="464"/>
      <c r="AF149" s="462"/>
      <c r="AG149" s="463"/>
      <c r="AH149" s="464"/>
    </row>
    <row r="150" spans="1:34" s="474" customFormat="1" ht="12.75" customHeight="1" outlineLevel="1" thickBot="1">
      <c r="D150" s="262"/>
      <c r="E150" s="498"/>
      <c r="F150" s="1409" t="s">
        <v>585</v>
      </c>
      <c r="G150" s="1370">
        <f t="shared" ref="G150:P150" si="76">G148-G149</f>
        <v>0</v>
      </c>
      <c r="H150" s="356">
        <f t="shared" si="76"/>
        <v>0</v>
      </c>
      <c r="I150" s="356">
        <f t="shared" si="76"/>
        <v>0</v>
      </c>
      <c r="J150" s="356">
        <f t="shared" si="76"/>
        <v>0</v>
      </c>
      <c r="K150" s="503">
        <f t="shared" si="76"/>
        <v>0</v>
      </c>
      <c r="L150" s="1370">
        <f t="shared" si="76"/>
        <v>0</v>
      </c>
      <c r="M150" s="356">
        <f t="shared" si="76"/>
        <v>0</v>
      </c>
      <c r="N150" s="356">
        <f t="shared" si="76"/>
        <v>0</v>
      </c>
      <c r="O150" s="356">
        <f t="shared" si="76"/>
        <v>0</v>
      </c>
      <c r="P150" s="503">
        <f t="shared" si="76"/>
        <v>0</v>
      </c>
      <c r="Q150" s="1185"/>
      <c r="R150" s="502">
        <f>R148-R149</f>
        <v>0</v>
      </c>
      <c r="S150" s="356">
        <f>S148-S149</f>
        <v>0</v>
      </c>
      <c r="T150" s="356">
        <f>T148-T149</f>
        <v>0</v>
      </c>
      <c r="U150" s="356">
        <f>U148-U149</f>
        <v>0</v>
      </c>
      <c r="V150" s="503">
        <f>V148-V149</f>
        <v>0</v>
      </c>
      <c r="W150" s="4142"/>
      <c r="X150" s="1172"/>
      <c r="Y150" s="1172"/>
      <c r="Z150" s="1172"/>
      <c r="AA150" s="1370">
        <f t="shared" ref="AA150:AH150" si="77">AA148-AA149</f>
        <v>0</v>
      </c>
      <c r="AB150" s="356">
        <f t="shared" si="77"/>
        <v>0</v>
      </c>
      <c r="AC150" s="356">
        <f t="shared" si="77"/>
        <v>0</v>
      </c>
      <c r="AD150" s="356">
        <f t="shared" si="77"/>
        <v>0</v>
      </c>
      <c r="AE150" s="503">
        <f t="shared" si="77"/>
        <v>0</v>
      </c>
      <c r="AF150" s="1370">
        <f t="shared" si="77"/>
        <v>0</v>
      </c>
      <c r="AG150" s="356">
        <f t="shared" si="77"/>
        <v>0</v>
      </c>
      <c r="AH150" s="503">
        <f t="shared" si="77"/>
        <v>0</v>
      </c>
    </row>
    <row r="151" spans="1:34" s="474" customFormat="1" ht="23.25" customHeight="1" outlineLevel="1">
      <c r="A151" s="183"/>
      <c r="B151" s="183"/>
      <c r="C151" s="183"/>
      <c r="D151" s="262"/>
      <c r="E151" s="3457" t="s">
        <v>1537</v>
      </c>
      <c r="F151" s="842" t="s">
        <v>593</v>
      </c>
      <c r="G151" s="1574"/>
      <c r="H151" s="1575"/>
      <c r="I151" s="1575"/>
      <c r="J151" s="1575"/>
      <c r="K151" s="1584"/>
      <c r="L151" s="538"/>
      <c r="M151" s="539"/>
      <c r="N151" s="539"/>
      <c r="O151" s="539"/>
      <c r="P151" s="540"/>
      <c r="Q151" s="1182"/>
      <c r="R151" s="539"/>
      <c r="S151" s="539"/>
      <c r="T151" s="539"/>
      <c r="U151" s="539"/>
      <c r="V151" s="540"/>
      <c r="W151" s="4140"/>
      <c r="X151" s="1172"/>
      <c r="Y151" s="1172"/>
      <c r="Z151" s="1172"/>
      <c r="AA151" s="527"/>
      <c r="AB151" s="528"/>
      <c r="AC151" s="528"/>
      <c r="AD151" s="528"/>
      <c r="AE151" s="529"/>
      <c r="AF151" s="538"/>
      <c r="AG151" s="539"/>
      <c r="AH151" s="540"/>
    </row>
    <row r="152" spans="1:34" s="474" customFormat="1" ht="12.75" customHeight="1" outlineLevel="1">
      <c r="D152" s="262"/>
      <c r="E152" s="498"/>
      <c r="F152" s="516" t="s">
        <v>559</v>
      </c>
      <c r="G152" s="1576"/>
      <c r="H152" s="1577"/>
      <c r="I152" s="1577"/>
      <c r="J152" s="1577"/>
      <c r="K152" s="1585"/>
      <c r="L152" s="459">
        <v>54972.160000000003</v>
      </c>
      <c r="M152" s="458"/>
      <c r="N152" s="458"/>
      <c r="O152" s="458"/>
      <c r="P152" s="460"/>
      <c r="Q152" s="1183"/>
      <c r="R152" s="413"/>
      <c r="S152" s="458"/>
      <c r="T152" s="458"/>
      <c r="U152" s="458"/>
      <c r="V152" s="460"/>
      <c r="W152" s="4141"/>
      <c r="X152" s="1172"/>
      <c r="Y152" s="1172"/>
      <c r="Z152" s="1172"/>
      <c r="AA152" s="470"/>
      <c r="AB152" s="468"/>
      <c r="AC152" s="468"/>
      <c r="AD152" s="468"/>
      <c r="AE152" s="530"/>
      <c r="AF152" s="462"/>
      <c r="AG152" s="463"/>
      <c r="AH152" s="464"/>
    </row>
    <row r="153" spans="1:34" s="474" customFormat="1" ht="12.75" customHeight="1" outlineLevel="1">
      <c r="D153" s="262"/>
      <c r="E153" s="498"/>
      <c r="F153" s="516" t="s">
        <v>558</v>
      </c>
      <c r="G153" s="1576"/>
      <c r="H153" s="1577"/>
      <c r="I153" s="1577"/>
      <c r="J153" s="1577"/>
      <c r="K153" s="1585"/>
      <c r="L153" s="459">
        <v>771.47</v>
      </c>
      <c r="M153" s="458"/>
      <c r="N153" s="458"/>
      <c r="O153" s="458"/>
      <c r="P153" s="460"/>
      <c r="Q153" s="1183"/>
      <c r="R153" s="413"/>
      <c r="S153" s="458"/>
      <c r="T153" s="458"/>
      <c r="U153" s="458"/>
      <c r="V153" s="460"/>
      <c r="W153" s="4141"/>
      <c r="X153" s="1172"/>
      <c r="Y153" s="1172"/>
      <c r="Z153" s="1172"/>
      <c r="AA153" s="470"/>
      <c r="AB153" s="468"/>
      <c r="AC153" s="468"/>
      <c r="AD153" s="468"/>
      <c r="AE153" s="530"/>
      <c r="AF153" s="462"/>
      <c r="AG153" s="463"/>
      <c r="AH153" s="464"/>
    </row>
    <row r="154" spans="1:34" s="474" customFormat="1" ht="12.75" customHeight="1" outlineLevel="1">
      <c r="D154" s="262"/>
      <c r="E154" s="498"/>
      <c r="F154" s="516" t="s">
        <v>578</v>
      </c>
      <c r="G154" s="1576"/>
      <c r="H154" s="1577"/>
      <c r="I154" s="1577"/>
      <c r="J154" s="1577"/>
      <c r="K154" s="1585"/>
      <c r="L154" s="459">
        <v>4350.24</v>
      </c>
      <c r="M154" s="458"/>
      <c r="N154" s="458"/>
      <c r="O154" s="458"/>
      <c r="P154" s="460"/>
      <c r="Q154" s="1183"/>
      <c r="R154" s="413"/>
      <c r="S154" s="458"/>
      <c r="T154" s="458"/>
      <c r="U154" s="458"/>
      <c r="V154" s="460"/>
      <c r="W154" s="4141"/>
      <c r="X154" s="1172"/>
      <c r="Y154" s="1172"/>
      <c r="Z154" s="1172"/>
      <c r="AA154" s="470"/>
      <c r="AB154" s="468"/>
      <c r="AC154" s="468"/>
      <c r="AD154" s="468"/>
      <c r="AE154" s="530"/>
      <c r="AF154" s="462"/>
      <c r="AG154" s="463"/>
      <c r="AH154" s="464"/>
    </row>
    <row r="155" spans="1:34" s="474" customFormat="1" ht="12.75" customHeight="1" outlineLevel="1">
      <c r="D155" s="262"/>
      <c r="E155" s="498"/>
      <c r="F155" s="517" t="s">
        <v>579</v>
      </c>
      <c r="G155" s="459"/>
      <c r="H155" s="458"/>
      <c r="I155" s="458"/>
      <c r="J155" s="458"/>
      <c r="K155" s="460"/>
      <c r="L155" s="353">
        <f t="shared" ref="L155:P155" si="78">SUM(L152:L154)</f>
        <v>60093.87</v>
      </c>
      <c r="M155" s="354">
        <f t="shared" si="78"/>
        <v>0</v>
      </c>
      <c r="N155" s="354">
        <f t="shared" si="78"/>
        <v>0</v>
      </c>
      <c r="O155" s="354">
        <f t="shared" si="78"/>
        <v>0</v>
      </c>
      <c r="P155" s="450">
        <f t="shared" si="78"/>
        <v>0</v>
      </c>
      <c r="Q155" s="1184"/>
      <c r="R155" s="447">
        <f>SUM(R152:R154)</f>
        <v>0</v>
      </c>
      <c r="S155" s="354">
        <f>SUM(S152:S154)</f>
        <v>0</v>
      </c>
      <c r="T155" s="354">
        <f>SUM(T152:T154)</f>
        <v>0</v>
      </c>
      <c r="U155" s="354">
        <f>SUM(U152:U154)</f>
        <v>0</v>
      </c>
      <c r="V155" s="450">
        <f>SUM(V152:V154)</f>
        <v>0</v>
      </c>
      <c r="W155" s="4141"/>
      <c r="X155" s="1172"/>
      <c r="Y155" s="1172"/>
      <c r="Z155" s="1172"/>
      <c r="AA155" s="462"/>
      <c r="AB155" s="463"/>
      <c r="AC155" s="463"/>
      <c r="AD155" s="463"/>
      <c r="AE155" s="464"/>
      <c r="AF155" s="353">
        <f t="shared" ref="AF155:AH155" si="79">SUM(AF152:AF154)</f>
        <v>0</v>
      </c>
      <c r="AG155" s="354">
        <f t="shared" si="79"/>
        <v>0</v>
      </c>
      <c r="AH155" s="450">
        <f t="shared" si="79"/>
        <v>0</v>
      </c>
    </row>
    <row r="156" spans="1:34" s="474" customFormat="1" ht="12.75" customHeight="1" outlineLevel="1">
      <c r="D156" s="262"/>
      <c r="E156" s="498"/>
      <c r="F156" s="516" t="s">
        <v>583</v>
      </c>
      <c r="G156" s="459"/>
      <c r="H156" s="458"/>
      <c r="I156" s="458"/>
      <c r="J156" s="458"/>
      <c r="K156" s="460"/>
      <c r="L156" s="511">
        <v>0</v>
      </c>
      <c r="M156" s="512">
        <v>0</v>
      </c>
      <c r="N156" s="512">
        <v>0</v>
      </c>
      <c r="O156" s="512">
        <v>0</v>
      </c>
      <c r="P156" s="547">
        <v>0</v>
      </c>
      <c r="Q156" s="1183"/>
      <c r="R156" s="504"/>
      <c r="S156" s="477"/>
      <c r="T156" s="477"/>
      <c r="U156" s="477"/>
      <c r="V156" s="519"/>
      <c r="W156" s="4141"/>
      <c r="X156" s="1172"/>
      <c r="Y156" s="1172"/>
      <c r="Z156" s="1172"/>
      <c r="AA156" s="462"/>
      <c r="AB156" s="463"/>
      <c r="AC156" s="463"/>
      <c r="AD156" s="463"/>
      <c r="AE156" s="464"/>
      <c r="AF156" s="511">
        <v>0</v>
      </c>
      <c r="AG156" s="512">
        <v>0</v>
      </c>
      <c r="AH156" s="547">
        <v>0</v>
      </c>
    </row>
    <row r="157" spans="1:34" s="474" customFormat="1" ht="12.75" customHeight="1" outlineLevel="1">
      <c r="D157" s="262"/>
      <c r="E157" s="498"/>
      <c r="F157" s="516" t="s">
        <v>581</v>
      </c>
      <c r="G157" s="459"/>
      <c r="H157" s="458"/>
      <c r="I157" s="458"/>
      <c r="J157" s="458"/>
      <c r="K157" s="460"/>
      <c r="L157" s="462">
        <v>0</v>
      </c>
      <c r="M157" s="463">
        <v>0</v>
      </c>
      <c r="N157" s="463">
        <v>0</v>
      </c>
      <c r="O157" s="463">
        <v>0</v>
      </c>
      <c r="P157" s="464">
        <v>0</v>
      </c>
      <c r="Q157" s="1183"/>
      <c r="R157" s="413"/>
      <c r="S157" s="458"/>
      <c r="T157" s="458"/>
      <c r="U157" s="458"/>
      <c r="V157" s="460"/>
      <c r="W157" s="4141"/>
      <c r="X157" s="1172"/>
      <c r="Y157" s="1172"/>
      <c r="Z157" s="1172"/>
      <c r="AA157" s="462"/>
      <c r="AB157" s="463"/>
      <c r="AC157" s="463"/>
      <c r="AD157" s="463"/>
      <c r="AE157" s="464"/>
      <c r="AF157" s="462">
        <v>0</v>
      </c>
      <c r="AG157" s="463">
        <v>0</v>
      </c>
      <c r="AH157" s="464">
        <v>0</v>
      </c>
    </row>
    <row r="158" spans="1:34" s="474" customFormat="1" ht="12.75" customHeight="1" outlineLevel="1">
      <c r="D158" s="262"/>
      <c r="E158" s="498"/>
      <c r="F158" s="517" t="s">
        <v>584</v>
      </c>
      <c r="G158" s="353">
        <f t="shared" ref="G158:P158" si="80">SUM(G156:G157)</f>
        <v>0</v>
      </c>
      <c r="H158" s="354">
        <f t="shared" si="80"/>
        <v>0</v>
      </c>
      <c r="I158" s="354">
        <f t="shared" si="80"/>
        <v>0</v>
      </c>
      <c r="J158" s="354">
        <f t="shared" si="80"/>
        <v>0</v>
      </c>
      <c r="K158" s="450">
        <f t="shared" si="80"/>
        <v>0</v>
      </c>
      <c r="L158" s="353">
        <f t="shared" si="80"/>
        <v>0</v>
      </c>
      <c r="M158" s="354">
        <f t="shared" si="80"/>
        <v>0</v>
      </c>
      <c r="N158" s="354">
        <f t="shared" si="80"/>
        <v>0</v>
      </c>
      <c r="O158" s="354">
        <f t="shared" si="80"/>
        <v>0</v>
      </c>
      <c r="P158" s="450">
        <f t="shared" si="80"/>
        <v>0</v>
      </c>
      <c r="Q158" s="1184"/>
      <c r="R158" s="447">
        <f>SUM(R156:R157)</f>
        <v>0</v>
      </c>
      <c r="S158" s="354">
        <f>SUM(S156:S157)</f>
        <v>0</v>
      </c>
      <c r="T158" s="354">
        <f>SUM(T156:T157)</f>
        <v>0</v>
      </c>
      <c r="U158" s="354">
        <f>SUM(U156:U157)</f>
        <v>0</v>
      </c>
      <c r="V158" s="450">
        <f>SUM(V156:V157)</f>
        <v>0</v>
      </c>
      <c r="W158" s="4141"/>
      <c r="X158" s="1172"/>
      <c r="Y158" s="1172"/>
      <c r="Z158" s="1172"/>
      <c r="AA158" s="353">
        <f t="shared" ref="AA158:AH158" si="81">SUM(AA156:AA157)</f>
        <v>0</v>
      </c>
      <c r="AB158" s="354">
        <f t="shared" si="81"/>
        <v>0</v>
      </c>
      <c r="AC158" s="354">
        <f t="shared" si="81"/>
        <v>0</v>
      </c>
      <c r="AD158" s="354">
        <f t="shared" si="81"/>
        <v>0</v>
      </c>
      <c r="AE158" s="450">
        <f t="shared" si="81"/>
        <v>0</v>
      </c>
      <c r="AF158" s="353">
        <f t="shared" si="81"/>
        <v>0</v>
      </c>
      <c r="AG158" s="354">
        <f t="shared" si="81"/>
        <v>0</v>
      </c>
      <c r="AH158" s="450">
        <f t="shared" si="81"/>
        <v>0</v>
      </c>
    </row>
    <row r="159" spans="1:34" s="474" customFormat="1" ht="12.75" customHeight="1" outlineLevel="1">
      <c r="D159" s="262"/>
      <c r="E159" s="498"/>
      <c r="F159" s="516" t="s">
        <v>35</v>
      </c>
      <c r="G159" s="459"/>
      <c r="H159" s="458"/>
      <c r="I159" s="458"/>
      <c r="J159" s="458"/>
      <c r="K159" s="460"/>
      <c r="L159" s="459"/>
      <c r="M159" s="458"/>
      <c r="N159" s="458"/>
      <c r="O159" s="458"/>
      <c r="P159" s="460"/>
      <c r="Q159" s="1183"/>
      <c r="R159" s="413"/>
      <c r="S159" s="458"/>
      <c r="T159" s="458"/>
      <c r="U159" s="458"/>
      <c r="V159" s="460"/>
      <c r="W159" s="4141"/>
      <c r="X159" s="1172"/>
      <c r="Y159" s="1172"/>
      <c r="Z159" s="1172"/>
      <c r="AA159" s="462"/>
      <c r="AB159" s="463"/>
      <c r="AC159" s="463"/>
      <c r="AD159" s="463"/>
      <c r="AE159" s="464"/>
      <c r="AF159" s="462"/>
      <c r="AG159" s="463"/>
      <c r="AH159" s="464"/>
    </row>
    <row r="160" spans="1:34" s="474" customFormat="1" ht="12.75" customHeight="1" outlineLevel="1" thickBot="1">
      <c r="D160" s="262"/>
      <c r="E160" s="498"/>
      <c r="F160" s="1409" t="s">
        <v>585</v>
      </c>
      <c r="G160" s="1370">
        <f t="shared" ref="G160:P160" si="82">G158-G159</f>
        <v>0</v>
      </c>
      <c r="H160" s="356">
        <f t="shared" si="82"/>
        <v>0</v>
      </c>
      <c r="I160" s="356">
        <f t="shared" si="82"/>
        <v>0</v>
      </c>
      <c r="J160" s="356">
        <f t="shared" si="82"/>
        <v>0</v>
      </c>
      <c r="K160" s="503">
        <f t="shared" si="82"/>
        <v>0</v>
      </c>
      <c r="L160" s="1370">
        <f t="shared" si="82"/>
        <v>0</v>
      </c>
      <c r="M160" s="356">
        <f t="shared" si="82"/>
        <v>0</v>
      </c>
      <c r="N160" s="356">
        <f t="shared" si="82"/>
        <v>0</v>
      </c>
      <c r="O160" s="356">
        <f t="shared" si="82"/>
        <v>0</v>
      </c>
      <c r="P160" s="503">
        <f t="shared" si="82"/>
        <v>0</v>
      </c>
      <c r="Q160" s="1185"/>
      <c r="R160" s="502">
        <f>R158-R159</f>
        <v>0</v>
      </c>
      <c r="S160" s="356">
        <f>S158-S159</f>
        <v>0</v>
      </c>
      <c r="T160" s="356">
        <f>T158-T159</f>
        <v>0</v>
      </c>
      <c r="U160" s="356">
        <f>U158-U159</f>
        <v>0</v>
      </c>
      <c r="V160" s="503">
        <f>V158-V159</f>
        <v>0</v>
      </c>
      <c r="W160" s="4142"/>
      <c r="X160" s="1172"/>
      <c r="Y160" s="1172"/>
      <c r="Z160" s="1172"/>
      <c r="AA160" s="1370">
        <f t="shared" ref="AA160:AH160" si="83">AA158-AA159</f>
        <v>0</v>
      </c>
      <c r="AB160" s="356">
        <f t="shared" si="83"/>
        <v>0</v>
      </c>
      <c r="AC160" s="356">
        <f t="shared" si="83"/>
        <v>0</v>
      </c>
      <c r="AD160" s="356">
        <f t="shared" si="83"/>
        <v>0</v>
      </c>
      <c r="AE160" s="503">
        <f t="shared" si="83"/>
        <v>0</v>
      </c>
      <c r="AF160" s="1370">
        <f t="shared" si="83"/>
        <v>0</v>
      </c>
      <c r="AG160" s="356">
        <f t="shared" si="83"/>
        <v>0</v>
      </c>
      <c r="AH160" s="503">
        <f t="shared" si="83"/>
        <v>0</v>
      </c>
    </row>
    <row r="161" spans="1:34" s="474" customFormat="1" ht="27.75" customHeight="1" outlineLevel="1">
      <c r="A161" s="183"/>
      <c r="B161" s="183"/>
      <c r="C161" s="183"/>
      <c r="D161" s="262"/>
      <c r="E161" s="3457" t="s">
        <v>1538</v>
      </c>
      <c r="F161" s="842" t="s">
        <v>593</v>
      </c>
      <c r="G161" s="1574"/>
      <c r="H161" s="1575"/>
      <c r="I161" s="1575"/>
      <c r="J161" s="1575"/>
      <c r="K161" s="1584"/>
      <c r="L161" s="538"/>
      <c r="M161" s="539"/>
      <c r="N161" s="539"/>
      <c r="O161" s="539"/>
      <c r="P161" s="540"/>
      <c r="Q161" s="1182"/>
      <c r="R161" s="539"/>
      <c r="S161" s="539"/>
      <c r="T161" s="539"/>
      <c r="U161" s="539"/>
      <c r="V161" s="540"/>
      <c r="W161" s="4140"/>
      <c r="X161" s="1172"/>
      <c r="Y161" s="1172"/>
      <c r="Z161" s="1172"/>
      <c r="AA161" s="527"/>
      <c r="AB161" s="528"/>
      <c r="AC161" s="528"/>
      <c r="AD161" s="528"/>
      <c r="AE161" s="529"/>
      <c r="AF161" s="538"/>
      <c r="AG161" s="539"/>
      <c r="AH161" s="540"/>
    </row>
    <row r="162" spans="1:34" s="474" customFormat="1" ht="12.75" customHeight="1" outlineLevel="1">
      <c r="A162" s="183"/>
      <c r="B162" s="183"/>
      <c r="C162" s="183"/>
      <c r="D162" s="262"/>
      <c r="E162" s="498"/>
      <c r="F162" s="516" t="s">
        <v>559</v>
      </c>
      <c r="G162" s="1576"/>
      <c r="H162" s="1577"/>
      <c r="I162" s="1577"/>
      <c r="J162" s="1577"/>
      <c r="K162" s="1585"/>
      <c r="L162" s="459">
        <v>36287.06</v>
      </c>
      <c r="M162" s="458"/>
      <c r="N162" s="458"/>
      <c r="O162" s="458"/>
      <c r="P162" s="460"/>
      <c r="Q162" s="1183"/>
      <c r="R162" s="413"/>
      <c r="S162" s="458"/>
      <c r="T162" s="458"/>
      <c r="U162" s="458"/>
      <c r="V162" s="460"/>
      <c r="W162" s="4141"/>
      <c r="X162" s="1172"/>
      <c r="Y162" s="1172"/>
      <c r="Z162" s="1172"/>
      <c r="AA162" s="470"/>
      <c r="AB162" s="468"/>
      <c r="AC162" s="468"/>
      <c r="AD162" s="468"/>
      <c r="AE162" s="530"/>
      <c r="AF162" s="462"/>
      <c r="AG162" s="463"/>
      <c r="AH162" s="464"/>
    </row>
    <row r="163" spans="1:34" s="474" customFormat="1" ht="12.75" customHeight="1" outlineLevel="1">
      <c r="D163" s="262"/>
      <c r="E163" s="498"/>
      <c r="F163" s="516" t="s">
        <v>558</v>
      </c>
      <c r="G163" s="1576"/>
      <c r="H163" s="1577"/>
      <c r="I163" s="1577"/>
      <c r="J163" s="1577"/>
      <c r="K163" s="1585"/>
      <c r="L163" s="458">
        <v>2169.98</v>
      </c>
      <c r="M163" s="458"/>
      <c r="N163" s="458"/>
      <c r="O163" s="458"/>
      <c r="P163" s="460"/>
      <c r="Q163" s="1183"/>
      <c r="R163" s="413"/>
      <c r="S163" s="458"/>
      <c r="T163" s="458"/>
      <c r="U163" s="458"/>
      <c r="V163" s="460"/>
      <c r="W163" s="4141"/>
      <c r="X163" s="1172"/>
      <c r="Y163" s="1172"/>
      <c r="Z163" s="1172"/>
      <c r="AA163" s="470"/>
      <c r="AB163" s="468"/>
      <c r="AC163" s="468"/>
      <c r="AD163" s="468"/>
      <c r="AE163" s="530"/>
      <c r="AF163" s="462"/>
      <c r="AG163" s="463"/>
      <c r="AH163" s="464"/>
    </row>
    <row r="164" spans="1:34" s="474" customFormat="1" ht="12.75" customHeight="1" outlineLevel="1">
      <c r="D164" s="262"/>
      <c r="E164" s="498"/>
      <c r="F164" s="516" t="s">
        <v>578</v>
      </c>
      <c r="G164" s="1576"/>
      <c r="H164" s="1577"/>
      <c r="I164" s="1577"/>
      <c r="J164" s="1577"/>
      <c r="K164" s="1585"/>
      <c r="L164" s="458">
        <v>17579.539999999997</v>
      </c>
      <c r="M164" s="458"/>
      <c r="N164" s="458"/>
      <c r="O164" s="458"/>
      <c r="P164" s="460"/>
      <c r="Q164" s="1183"/>
      <c r="R164" s="413"/>
      <c r="S164" s="458"/>
      <c r="T164" s="458"/>
      <c r="U164" s="458"/>
      <c r="V164" s="460"/>
      <c r="W164" s="4141"/>
      <c r="X164" s="1172"/>
      <c r="Y164" s="1172"/>
      <c r="Z164" s="1172"/>
      <c r="AA164" s="470"/>
      <c r="AB164" s="468"/>
      <c r="AC164" s="468"/>
      <c r="AD164" s="468"/>
      <c r="AE164" s="530"/>
      <c r="AF164" s="462"/>
      <c r="AG164" s="463"/>
      <c r="AH164" s="464"/>
    </row>
    <row r="165" spans="1:34" s="474" customFormat="1" ht="12.75" customHeight="1" outlineLevel="1">
      <c r="D165" s="262"/>
      <c r="E165" s="498"/>
      <c r="F165" s="517" t="s">
        <v>579</v>
      </c>
      <c r="G165" s="459"/>
      <c r="H165" s="458"/>
      <c r="I165" s="458"/>
      <c r="J165" s="458"/>
      <c r="K165" s="460"/>
      <c r="L165" s="353">
        <f t="shared" ref="L165:P165" si="84">SUM(L162:L164)</f>
        <v>56036.58</v>
      </c>
      <c r="M165" s="354">
        <f t="shared" si="84"/>
        <v>0</v>
      </c>
      <c r="N165" s="354">
        <f t="shared" si="84"/>
        <v>0</v>
      </c>
      <c r="O165" s="354">
        <f t="shared" si="84"/>
        <v>0</v>
      </c>
      <c r="P165" s="450">
        <f t="shared" si="84"/>
        <v>0</v>
      </c>
      <c r="Q165" s="1184"/>
      <c r="R165" s="447">
        <f>SUM(R162:R164)</f>
        <v>0</v>
      </c>
      <c r="S165" s="354">
        <f>SUM(S162:S164)</f>
        <v>0</v>
      </c>
      <c r="T165" s="354">
        <f>SUM(T162:T164)</f>
        <v>0</v>
      </c>
      <c r="U165" s="354">
        <f>SUM(U162:U164)</f>
        <v>0</v>
      </c>
      <c r="V165" s="450">
        <f>SUM(V162:V164)</f>
        <v>0</v>
      </c>
      <c r="W165" s="4141"/>
      <c r="X165" s="1172"/>
      <c r="Y165" s="1172"/>
      <c r="Z165" s="1172"/>
      <c r="AA165" s="462"/>
      <c r="AB165" s="463"/>
      <c r="AC165" s="463"/>
      <c r="AD165" s="463"/>
      <c r="AE165" s="464"/>
      <c r="AF165" s="353">
        <f t="shared" ref="AF165:AH165" si="85">SUM(AF162:AF164)</f>
        <v>0</v>
      </c>
      <c r="AG165" s="354">
        <f t="shared" si="85"/>
        <v>0</v>
      </c>
      <c r="AH165" s="450">
        <f t="shared" si="85"/>
        <v>0</v>
      </c>
    </row>
    <row r="166" spans="1:34" s="474" customFormat="1" ht="12.75" customHeight="1" outlineLevel="1">
      <c r="D166" s="262"/>
      <c r="E166" s="498"/>
      <c r="F166" s="516" t="s">
        <v>583</v>
      </c>
      <c r="G166" s="459"/>
      <c r="H166" s="458"/>
      <c r="I166" s="458"/>
      <c r="J166" s="458"/>
      <c r="K166" s="460"/>
      <c r="L166" s="511">
        <v>0</v>
      </c>
      <c r="M166" s="512">
        <v>0</v>
      </c>
      <c r="N166" s="512">
        <v>0</v>
      </c>
      <c r="O166" s="512">
        <v>0</v>
      </c>
      <c r="P166" s="547">
        <v>0</v>
      </c>
      <c r="Q166" s="1183"/>
      <c r="R166" s="504"/>
      <c r="S166" s="477"/>
      <c r="T166" s="477"/>
      <c r="U166" s="477"/>
      <c r="V166" s="519"/>
      <c r="W166" s="4141"/>
      <c r="X166" s="1172"/>
      <c r="Y166" s="1172"/>
      <c r="Z166" s="1172"/>
      <c r="AA166" s="462"/>
      <c r="AB166" s="463"/>
      <c r="AC166" s="463"/>
      <c r="AD166" s="463"/>
      <c r="AE166" s="464"/>
      <c r="AF166" s="511">
        <v>0</v>
      </c>
      <c r="AG166" s="512">
        <v>0</v>
      </c>
      <c r="AH166" s="547">
        <v>0</v>
      </c>
    </row>
    <row r="167" spans="1:34" s="474" customFormat="1" ht="12.75" customHeight="1" outlineLevel="1">
      <c r="D167" s="262"/>
      <c r="E167" s="498"/>
      <c r="F167" s="516" t="s">
        <v>581</v>
      </c>
      <c r="G167" s="459"/>
      <c r="H167" s="458"/>
      <c r="I167" s="458"/>
      <c r="J167" s="458"/>
      <c r="K167" s="460"/>
      <c r="L167" s="462">
        <v>0</v>
      </c>
      <c r="M167" s="463">
        <v>0</v>
      </c>
      <c r="N167" s="463">
        <v>0</v>
      </c>
      <c r="O167" s="463">
        <v>0</v>
      </c>
      <c r="P167" s="464">
        <v>0</v>
      </c>
      <c r="Q167" s="1183"/>
      <c r="R167" s="413"/>
      <c r="S167" s="458"/>
      <c r="T167" s="458"/>
      <c r="U167" s="458"/>
      <c r="V167" s="460"/>
      <c r="W167" s="4141"/>
      <c r="X167" s="1172"/>
      <c r="Y167" s="1172"/>
      <c r="Z167" s="1172"/>
      <c r="AA167" s="462"/>
      <c r="AB167" s="463"/>
      <c r="AC167" s="463"/>
      <c r="AD167" s="463"/>
      <c r="AE167" s="464"/>
      <c r="AF167" s="462">
        <v>0</v>
      </c>
      <c r="AG167" s="463">
        <v>0</v>
      </c>
      <c r="AH167" s="464">
        <v>0</v>
      </c>
    </row>
    <row r="168" spans="1:34" s="474" customFormat="1" ht="12.75" customHeight="1" outlineLevel="1">
      <c r="D168" s="262"/>
      <c r="E168" s="498"/>
      <c r="F168" s="517" t="s">
        <v>584</v>
      </c>
      <c r="G168" s="353">
        <f t="shared" ref="G168:P168" si="86">SUM(G166:G167)</f>
        <v>0</v>
      </c>
      <c r="H168" s="354">
        <f t="shared" si="86"/>
        <v>0</v>
      </c>
      <c r="I168" s="354">
        <f t="shared" si="86"/>
        <v>0</v>
      </c>
      <c r="J168" s="354">
        <f t="shared" si="86"/>
        <v>0</v>
      </c>
      <c r="K168" s="450">
        <f t="shared" si="86"/>
        <v>0</v>
      </c>
      <c r="L168" s="353">
        <f t="shared" si="86"/>
        <v>0</v>
      </c>
      <c r="M168" s="354">
        <f t="shared" si="86"/>
        <v>0</v>
      </c>
      <c r="N168" s="354">
        <f t="shared" si="86"/>
        <v>0</v>
      </c>
      <c r="O168" s="354">
        <f t="shared" si="86"/>
        <v>0</v>
      </c>
      <c r="P168" s="450">
        <f t="shared" si="86"/>
        <v>0</v>
      </c>
      <c r="Q168" s="1184"/>
      <c r="R168" s="447">
        <f>SUM(R166:R167)</f>
        <v>0</v>
      </c>
      <c r="S168" s="354">
        <f>SUM(S166:S167)</f>
        <v>0</v>
      </c>
      <c r="T168" s="354">
        <f>SUM(T166:T167)</f>
        <v>0</v>
      </c>
      <c r="U168" s="354">
        <f>SUM(U166:U167)</f>
        <v>0</v>
      </c>
      <c r="V168" s="450">
        <f>SUM(V166:V167)</f>
        <v>0</v>
      </c>
      <c r="W168" s="4141"/>
      <c r="X168" s="1172"/>
      <c r="Y168" s="1172"/>
      <c r="Z168" s="1172"/>
      <c r="AA168" s="353">
        <f t="shared" ref="AA168:AH168" si="87">SUM(AA166:AA167)</f>
        <v>0</v>
      </c>
      <c r="AB168" s="354">
        <f t="shared" si="87"/>
        <v>0</v>
      </c>
      <c r="AC168" s="354">
        <f t="shared" si="87"/>
        <v>0</v>
      </c>
      <c r="AD168" s="354">
        <f t="shared" si="87"/>
        <v>0</v>
      </c>
      <c r="AE168" s="450">
        <f t="shared" si="87"/>
        <v>0</v>
      </c>
      <c r="AF168" s="353">
        <f t="shared" si="87"/>
        <v>0</v>
      </c>
      <c r="AG168" s="354">
        <f t="shared" si="87"/>
        <v>0</v>
      </c>
      <c r="AH168" s="450">
        <f t="shared" si="87"/>
        <v>0</v>
      </c>
    </row>
    <row r="169" spans="1:34" s="474" customFormat="1" ht="12.75" customHeight="1" outlineLevel="1">
      <c r="D169" s="262"/>
      <c r="E169" s="498"/>
      <c r="F169" s="516" t="s">
        <v>35</v>
      </c>
      <c r="G169" s="459"/>
      <c r="H169" s="458"/>
      <c r="I169" s="458"/>
      <c r="J169" s="458"/>
      <c r="K169" s="460"/>
      <c r="L169" s="459"/>
      <c r="M169" s="458"/>
      <c r="N169" s="458"/>
      <c r="O169" s="458"/>
      <c r="P169" s="460"/>
      <c r="Q169" s="1183"/>
      <c r="R169" s="413"/>
      <c r="S169" s="458"/>
      <c r="T169" s="458"/>
      <c r="U169" s="458"/>
      <c r="V169" s="460"/>
      <c r="W169" s="4141"/>
      <c r="X169" s="1172"/>
      <c r="Y169" s="1172"/>
      <c r="Z169" s="1172"/>
      <c r="AA169" s="462"/>
      <c r="AB169" s="463"/>
      <c r="AC169" s="463"/>
      <c r="AD169" s="463"/>
      <c r="AE169" s="464"/>
      <c r="AF169" s="462"/>
      <c r="AG169" s="463"/>
      <c r="AH169" s="464"/>
    </row>
    <row r="170" spans="1:34" s="474" customFormat="1" ht="12.75" customHeight="1" outlineLevel="1" thickBot="1">
      <c r="D170" s="262"/>
      <c r="E170" s="498"/>
      <c r="F170" s="1409" t="s">
        <v>585</v>
      </c>
      <c r="G170" s="1370">
        <f t="shared" ref="G170:P170" si="88">G168-G169</f>
        <v>0</v>
      </c>
      <c r="H170" s="356">
        <f t="shared" si="88"/>
        <v>0</v>
      </c>
      <c r="I170" s="356">
        <f t="shared" si="88"/>
        <v>0</v>
      </c>
      <c r="J170" s="356">
        <f t="shared" si="88"/>
        <v>0</v>
      </c>
      <c r="K170" s="503">
        <f t="shared" si="88"/>
        <v>0</v>
      </c>
      <c r="L170" s="1370">
        <f t="shared" si="88"/>
        <v>0</v>
      </c>
      <c r="M170" s="356">
        <f t="shared" si="88"/>
        <v>0</v>
      </c>
      <c r="N170" s="356">
        <f t="shared" si="88"/>
        <v>0</v>
      </c>
      <c r="O170" s="356">
        <f t="shared" si="88"/>
        <v>0</v>
      </c>
      <c r="P170" s="503">
        <f t="shared" si="88"/>
        <v>0</v>
      </c>
      <c r="Q170" s="1185"/>
      <c r="R170" s="502">
        <f>R168-R169</f>
        <v>0</v>
      </c>
      <c r="S170" s="356">
        <f>S168-S169</f>
        <v>0</v>
      </c>
      <c r="T170" s="356">
        <f>T168-T169</f>
        <v>0</v>
      </c>
      <c r="U170" s="356">
        <f>U168-U169</f>
        <v>0</v>
      </c>
      <c r="V170" s="503">
        <f>V168-V169</f>
        <v>0</v>
      </c>
      <c r="W170" s="4142"/>
      <c r="X170" s="1172"/>
      <c r="Y170" s="1172"/>
      <c r="Z170" s="1172"/>
      <c r="AA170" s="1370">
        <f t="shared" ref="AA170:AH170" si="89">AA168-AA169</f>
        <v>0</v>
      </c>
      <c r="AB170" s="356">
        <f t="shared" si="89"/>
        <v>0</v>
      </c>
      <c r="AC170" s="356">
        <f t="shared" si="89"/>
        <v>0</v>
      </c>
      <c r="AD170" s="356">
        <f t="shared" si="89"/>
        <v>0</v>
      </c>
      <c r="AE170" s="503">
        <f t="shared" si="89"/>
        <v>0</v>
      </c>
      <c r="AF170" s="1370">
        <f t="shared" si="89"/>
        <v>0</v>
      </c>
      <c r="AG170" s="356">
        <f t="shared" si="89"/>
        <v>0</v>
      </c>
      <c r="AH170" s="503">
        <f t="shared" si="89"/>
        <v>0</v>
      </c>
    </row>
    <row r="171" spans="1:34" s="474" customFormat="1" ht="23.25" customHeight="1" outlineLevel="1">
      <c r="A171" s="183"/>
      <c r="B171" s="183"/>
      <c r="C171" s="183"/>
      <c r="D171" s="262"/>
      <c r="E171" s="3457" t="s">
        <v>1539</v>
      </c>
      <c r="F171" s="842" t="s">
        <v>593</v>
      </c>
      <c r="G171" s="1574"/>
      <c r="H171" s="1575"/>
      <c r="I171" s="1575"/>
      <c r="J171" s="1575"/>
      <c r="K171" s="1584"/>
      <c r="L171" s="538"/>
      <c r="M171" s="539"/>
      <c r="N171" s="539"/>
      <c r="O171" s="539"/>
      <c r="P171" s="540"/>
      <c r="Q171" s="1182"/>
      <c r="R171" s="539"/>
      <c r="S171" s="539"/>
      <c r="T171" s="539"/>
      <c r="U171" s="539"/>
      <c r="V171" s="540"/>
      <c r="W171" s="4140"/>
      <c r="X171" s="1172"/>
      <c r="Y171" s="1172"/>
      <c r="Z171" s="1172"/>
      <c r="AA171" s="527"/>
      <c r="AB171" s="528"/>
      <c r="AC171" s="528"/>
      <c r="AD171" s="528"/>
      <c r="AE171" s="529"/>
      <c r="AF171" s="538"/>
      <c r="AG171" s="539"/>
      <c r="AH171" s="540"/>
    </row>
    <row r="172" spans="1:34" s="474" customFormat="1" ht="12.75" customHeight="1" outlineLevel="1">
      <c r="D172" s="262"/>
      <c r="E172" s="498"/>
      <c r="F172" s="516" t="s">
        <v>559</v>
      </c>
      <c r="G172" s="1576"/>
      <c r="H172" s="1577"/>
      <c r="I172" s="1577"/>
      <c r="J172" s="1577"/>
      <c r="K172" s="1585"/>
      <c r="L172" s="459"/>
      <c r="M172" s="458"/>
      <c r="N172" s="458">
        <v>68852.810000000012</v>
      </c>
      <c r="O172" s="458"/>
      <c r="P172" s="460"/>
      <c r="Q172" s="1183"/>
      <c r="R172" s="413"/>
      <c r="S172" s="458"/>
      <c r="T172" s="458"/>
      <c r="U172" s="458"/>
      <c r="V172" s="460"/>
      <c r="W172" s="4141"/>
      <c r="X172" s="1172"/>
      <c r="Y172" s="1172"/>
      <c r="Z172" s="1172"/>
      <c r="AA172" s="470"/>
      <c r="AB172" s="468"/>
      <c r="AC172" s="468"/>
      <c r="AD172" s="468"/>
      <c r="AE172" s="530"/>
      <c r="AF172" s="462"/>
      <c r="AG172" s="463"/>
      <c r="AH172" s="464"/>
    </row>
    <row r="173" spans="1:34" s="474" customFormat="1" ht="12.75" customHeight="1" outlineLevel="1">
      <c r="D173" s="262"/>
      <c r="E173" s="498"/>
      <c r="F173" s="516" t="s">
        <v>558</v>
      </c>
      <c r="G173" s="1576"/>
      <c r="H173" s="1577"/>
      <c r="I173" s="1577"/>
      <c r="J173" s="1577"/>
      <c r="K173" s="1585"/>
      <c r="L173" s="459"/>
      <c r="M173" s="458"/>
      <c r="N173" s="458">
        <v>4973.49</v>
      </c>
      <c r="O173" s="458"/>
      <c r="P173" s="460"/>
      <c r="Q173" s="1183"/>
      <c r="R173" s="413"/>
      <c r="S173" s="458"/>
      <c r="T173" s="458"/>
      <c r="U173" s="458"/>
      <c r="V173" s="460"/>
      <c r="W173" s="4141"/>
      <c r="X173" s="1172"/>
      <c r="Y173" s="1172"/>
      <c r="Z173" s="1172"/>
      <c r="AA173" s="470"/>
      <c r="AB173" s="468"/>
      <c r="AC173" s="468"/>
      <c r="AD173" s="468"/>
      <c r="AE173" s="530"/>
      <c r="AF173" s="462"/>
      <c r="AG173" s="463"/>
      <c r="AH173" s="464"/>
    </row>
    <row r="174" spans="1:34" s="474" customFormat="1" ht="12.75" customHeight="1" outlineLevel="1">
      <c r="D174" s="262"/>
      <c r="E174" s="498"/>
      <c r="F174" s="516" t="s">
        <v>578</v>
      </c>
      <c r="G174" s="1576"/>
      <c r="H174" s="1577"/>
      <c r="I174" s="1577"/>
      <c r="J174" s="1577"/>
      <c r="K174" s="1585"/>
      <c r="L174" s="459"/>
      <c r="M174" s="458"/>
      <c r="N174" s="458">
        <v>85457.78</v>
      </c>
      <c r="O174" s="458"/>
      <c r="P174" s="460"/>
      <c r="Q174" s="1183"/>
      <c r="R174" s="413"/>
      <c r="S174" s="458"/>
      <c r="T174" s="458"/>
      <c r="U174" s="458"/>
      <c r="V174" s="460"/>
      <c r="W174" s="4141"/>
      <c r="X174" s="1172"/>
      <c r="Y174" s="1172"/>
      <c r="Z174" s="1172"/>
      <c r="AA174" s="470"/>
      <c r="AB174" s="468"/>
      <c r="AC174" s="468"/>
      <c r="AD174" s="468"/>
      <c r="AE174" s="530"/>
      <c r="AF174" s="462"/>
      <c r="AG174" s="463"/>
      <c r="AH174" s="464"/>
    </row>
    <row r="175" spans="1:34" s="474" customFormat="1" ht="12.75" customHeight="1" outlineLevel="1">
      <c r="D175" s="262"/>
      <c r="E175" s="498"/>
      <c r="F175" s="517" t="s">
        <v>579</v>
      </c>
      <c r="G175" s="459"/>
      <c r="H175" s="458"/>
      <c r="I175" s="458"/>
      <c r="J175" s="458"/>
      <c r="K175" s="460"/>
      <c r="L175" s="353">
        <f t="shared" ref="L175:P175" si="90">SUM(L172:L174)</f>
        <v>0</v>
      </c>
      <c r="M175" s="354">
        <f t="shared" si="90"/>
        <v>0</v>
      </c>
      <c r="N175" s="354">
        <f t="shared" si="90"/>
        <v>159284.08000000002</v>
      </c>
      <c r="O175" s="354">
        <f t="shared" si="90"/>
        <v>0</v>
      </c>
      <c r="P175" s="450">
        <f t="shared" si="90"/>
        <v>0</v>
      </c>
      <c r="Q175" s="1184"/>
      <c r="R175" s="447">
        <f>SUM(R172:R174)</f>
        <v>0</v>
      </c>
      <c r="S175" s="354">
        <f>SUM(S172:S174)</f>
        <v>0</v>
      </c>
      <c r="T175" s="354">
        <f>SUM(T172:T174)</f>
        <v>0</v>
      </c>
      <c r="U175" s="354">
        <f>SUM(U172:U174)</f>
        <v>0</v>
      </c>
      <c r="V175" s="450">
        <f>SUM(V172:V174)</f>
        <v>0</v>
      </c>
      <c r="W175" s="4141"/>
      <c r="X175" s="1172"/>
      <c r="Y175" s="1172"/>
      <c r="Z175" s="1172"/>
      <c r="AA175" s="462"/>
      <c r="AB175" s="463"/>
      <c r="AC175" s="463"/>
      <c r="AD175" s="463"/>
      <c r="AE175" s="464"/>
      <c r="AF175" s="353">
        <f t="shared" ref="AF175:AH175" si="91">SUM(AF172:AF174)</f>
        <v>0</v>
      </c>
      <c r="AG175" s="354">
        <f t="shared" si="91"/>
        <v>0</v>
      </c>
      <c r="AH175" s="450">
        <f t="shared" si="91"/>
        <v>0</v>
      </c>
    </row>
    <row r="176" spans="1:34" s="474" customFormat="1" ht="12.75" customHeight="1" outlineLevel="1">
      <c r="D176" s="262"/>
      <c r="E176" s="498"/>
      <c r="F176" s="516" t="s">
        <v>583</v>
      </c>
      <c r="G176" s="459"/>
      <c r="H176" s="458"/>
      <c r="I176" s="458"/>
      <c r="J176" s="458"/>
      <c r="K176" s="460"/>
      <c r="L176" s="511">
        <v>0</v>
      </c>
      <c r="M176" s="512">
        <v>0</v>
      </c>
      <c r="N176" s="512">
        <v>0</v>
      </c>
      <c r="O176" s="512">
        <v>0</v>
      </c>
      <c r="P176" s="547">
        <v>0</v>
      </c>
      <c r="Q176" s="1183"/>
      <c r="R176" s="504"/>
      <c r="S176" s="477"/>
      <c r="T176" s="477"/>
      <c r="U176" s="477"/>
      <c r="V176" s="519"/>
      <c r="W176" s="4141"/>
      <c r="X176" s="1172"/>
      <c r="Y176" s="1172"/>
      <c r="Z176" s="1172"/>
      <c r="AA176" s="462"/>
      <c r="AB176" s="463"/>
      <c r="AC176" s="463"/>
      <c r="AD176" s="463"/>
      <c r="AE176" s="464"/>
      <c r="AF176" s="511">
        <v>0</v>
      </c>
      <c r="AG176" s="512">
        <v>0</v>
      </c>
      <c r="AH176" s="547">
        <v>0</v>
      </c>
    </row>
    <row r="177" spans="1:34" s="474" customFormat="1" ht="12.75" customHeight="1" outlineLevel="1">
      <c r="D177" s="262"/>
      <c r="E177" s="498"/>
      <c r="F177" s="516" t="s">
        <v>581</v>
      </c>
      <c r="G177" s="459"/>
      <c r="H177" s="458"/>
      <c r="I177" s="458"/>
      <c r="J177" s="458"/>
      <c r="K177" s="460"/>
      <c r="L177" s="462">
        <v>0</v>
      </c>
      <c r="M177" s="463">
        <v>0</v>
      </c>
      <c r="N177" s="463">
        <v>0</v>
      </c>
      <c r="O177" s="463">
        <v>0</v>
      </c>
      <c r="P177" s="464">
        <v>0</v>
      </c>
      <c r="Q177" s="1183"/>
      <c r="R177" s="413"/>
      <c r="S177" s="458"/>
      <c r="T177" s="458"/>
      <c r="U177" s="458"/>
      <c r="V177" s="460"/>
      <c r="W177" s="4141"/>
      <c r="X177" s="1172"/>
      <c r="Y177" s="1172"/>
      <c r="Z177" s="1172"/>
      <c r="AA177" s="462"/>
      <c r="AB177" s="463"/>
      <c r="AC177" s="463"/>
      <c r="AD177" s="463"/>
      <c r="AE177" s="464"/>
      <c r="AF177" s="462">
        <v>0</v>
      </c>
      <c r="AG177" s="463">
        <v>0</v>
      </c>
      <c r="AH177" s="464">
        <v>0</v>
      </c>
    </row>
    <row r="178" spans="1:34" s="474" customFormat="1" ht="12.75" customHeight="1" outlineLevel="1">
      <c r="D178" s="262"/>
      <c r="E178" s="498"/>
      <c r="F178" s="517" t="s">
        <v>584</v>
      </c>
      <c r="G178" s="353">
        <f t="shared" ref="G178:P178" si="92">SUM(G176:G177)</f>
        <v>0</v>
      </c>
      <c r="H178" s="354">
        <f t="shared" si="92"/>
        <v>0</v>
      </c>
      <c r="I178" s="354">
        <f t="shared" si="92"/>
        <v>0</v>
      </c>
      <c r="J178" s="354">
        <f t="shared" si="92"/>
        <v>0</v>
      </c>
      <c r="K178" s="450">
        <f t="shared" si="92"/>
        <v>0</v>
      </c>
      <c r="L178" s="353">
        <f t="shared" si="92"/>
        <v>0</v>
      </c>
      <c r="M178" s="354">
        <f t="shared" si="92"/>
        <v>0</v>
      </c>
      <c r="N178" s="354">
        <f t="shared" si="92"/>
        <v>0</v>
      </c>
      <c r="O178" s="354">
        <f t="shared" si="92"/>
        <v>0</v>
      </c>
      <c r="P178" s="450">
        <f t="shared" si="92"/>
        <v>0</v>
      </c>
      <c r="Q178" s="1184"/>
      <c r="R178" s="447">
        <f>SUM(R176:R177)</f>
        <v>0</v>
      </c>
      <c r="S178" s="354">
        <f>SUM(S176:S177)</f>
        <v>0</v>
      </c>
      <c r="T178" s="354">
        <f>SUM(T176:T177)</f>
        <v>0</v>
      </c>
      <c r="U178" s="354">
        <f>SUM(U176:U177)</f>
        <v>0</v>
      </c>
      <c r="V178" s="450">
        <f>SUM(V176:V177)</f>
        <v>0</v>
      </c>
      <c r="W178" s="4141"/>
      <c r="X178" s="1172"/>
      <c r="Y178" s="1172"/>
      <c r="Z178" s="1172"/>
      <c r="AA178" s="353">
        <f t="shared" ref="AA178:AH178" si="93">SUM(AA176:AA177)</f>
        <v>0</v>
      </c>
      <c r="AB178" s="354">
        <f t="shared" si="93"/>
        <v>0</v>
      </c>
      <c r="AC178" s="354">
        <f t="shared" si="93"/>
        <v>0</v>
      </c>
      <c r="AD178" s="354">
        <f t="shared" si="93"/>
        <v>0</v>
      </c>
      <c r="AE178" s="450">
        <f t="shared" si="93"/>
        <v>0</v>
      </c>
      <c r="AF178" s="353">
        <f t="shared" si="93"/>
        <v>0</v>
      </c>
      <c r="AG178" s="354">
        <f t="shared" si="93"/>
        <v>0</v>
      </c>
      <c r="AH178" s="450">
        <f t="shared" si="93"/>
        <v>0</v>
      </c>
    </row>
    <row r="179" spans="1:34" s="474" customFormat="1" ht="12.75" customHeight="1" outlineLevel="1">
      <c r="D179" s="262"/>
      <c r="E179" s="498"/>
      <c r="F179" s="516" t="s">
        <v>35</v>
      </c>
      <c r="G179" s="459"/>
      <c r="H179" s="458"/>
      <c r="I179" s="458"/>
      <c r="J179" s="458"/>
      <c r="K179" s="460"/>
      <c r="L179" s="459"/>
      <c r="M179" s="458"/>
      <c r="N179" s="458"/>
      <c r="O179" s="458"/>
      <c r="P179" s="460"/>
      <c r="Q179" s="1183"/>
      <c r="R179" s="413"/>
      <c r="S179" s="458"/>
      <c r="T179" s="458"/>
      <c r="U179" s="458"/>
      <c r="V179" s="460"/>
      <c r="W179" s="4141"/>
      <c r="X179" s="1172"/>
      <c r="Y179" s="1172"/>
      <c r="Z179" s="1172"/>
      <c r="AA179" s="462"/>
      <c r="AB179" s="463"/>
      <c r="AC179" s="463"/>
      <c r="AD179" s="463"/>
      <c r="AE179" s="464"/>
      <c r="AF179" s="462"/>
      <c r="AG179" s="463"/>
      <c r="AH179" s="464"/>
    </row>
    <row r="180" spans="1:34" s="474" customFormat="1" ht="12.75" customHeight="1" outlineLevel="1" thickBot="1">
      <c r="D180" s="262"/>
      <c r="E180" s="498"/>
      <c r="F180" s="1409" t="s">
        <v>585</v>
      </c>
      <c r="G180" s="1370">
        <f t="shared" ref="G180:P180" si="94">G178-G179</f>
        <v>0</v>
      </c>
      <c r="H180" s="356">
        <f t="shared" si="94"/>
        <v>0</v>
      </c>
      <c r="I180" s="356">
        <f t="shared" si="94"/>
        <v>0</v>
      </c>
      <c r="J180" s="356">
        <f t="shared" si="94"/>
        <v>0</v>
      </c>
      <c r="K180" s="503">
        <f t="shared" si="94"/>
        <v>0</v>
      </c>
      <c r="L180" s="1370">
        <f t="shared" si="94"/>
        <v>0</v>
      </c>
      <c r="M180" s="356">
        <f t="shared" si="94"/>
        <v>0</v>
      </c>
      <c r="N180" s="356">
        <f t="shared" si="94"/>
        <v>0</v>
      </c>
      <c r="O180" s="356">
        <f t="shared" si="94"/>
        <v>0</v>
      </c>
      <c r="P180" s="503">
        <f t="shared" si="94"/>
        <v>0</v>
      </c>
      <c r="Q180" s="1185"/>
      <c r="R180" s="502">
        <f>R178-R179</f>
        <v>0</v>
      </c>
      <c r="S180" s="356">
        <f>S178-S179</f>
        <v>0</v>
      </c>
      <c r="T180" s="356">
        <f>T178-T179</f>
        <v>0</v>
      </c>
      <c r="U180" s="356">
        <f>U178-U179</f>
        <v>0</v>
      </c>
      <c r="V180" s="503">
        <f>V178-V179</f>
        <v>0</v>
      </c>
      <c r="W180" s="4142"/>
      <c r="X180" s="1172"/>
      <c r="Y180" s="1172"/>
      <c r="Z180" s="1172"/>
      <c r="AA180" s="1370">
        <f t="shared" ref="AA180:AH180" si="95">AA178-AA179</f>
        <v>0</v>
      </c>
      <c r="AB180" s="356">
        <f t="shared" si="95"/>
        <v>0</v>
      </c>
      <c r="AC180" s="356">
        <f t="shared" si="95"/>
        <v>0</v>
      </c>
      <c r="AD180" s="356">
        <f t="shared" si="95"/>
        <v>0</v>
      </c>
      <c r="AE180" s="503">
        <f t="shared" si="95"/>
        <v>0</v>
      </c>
      <c r="AF180" s="1370">
        <f t="shared" si="95"/>
        <v>0</v>
      </c>
      <c r="AG180" s="356">
        <f t="shared" si="95"/>
        <v>0</v>
      </c>
      <c r="AH180" s="503">
        <f t="shared" si="95"/>
        <v>0</v>
      </c>
    </row>
    <row r="181" spans="1:34" s="474" customFormat="1" ht="27.75" customHeight="1" outlineLevel="1">
      <c r="A181" s="183"/>
      <c r="B181" s="183"/>
      <c r="C181" s="183"/>
      <c r="D181" s="262"/>
      <c r="E181" s="3457" t="s">
        <v>1540</v>
      </c>
      <c r="F181" s="842" t="s">
        <v>593</v>
      </c>
      <c r="G181" s="1574"/>
      <c r="H181" s="1575"/>
      <c r="I181" s="1575"/>
      <c r="J181" s="1575"/>
      <c r="K181" s="1584"/>
      <c r="L181" s="538"/>
      <c r="M181" s="539"/>
      <c r="N181" s="539"/>
      <c r="O181" s="539"/>
      <c r="P181" s="540"/>
      <c r="Q181" s="1182"/>
      <c r="R181" s="539"/>
      <c r="S181" s="539"/>
      <c r="T181" s="539"/>
      <c r="U181" s="539"/>
      <c r="V181" s="540"/>
      <c r="W181" s="4140"/>
      <c r="X181" s="1172"/>
      <c r="Y181" s="1172"/>
      <c r="Z181" s="1172"/>
      <c r="AA181" s="527"/>
      <c r="AB181" s="528"/>
      <c r="AC181" s="528"/>
      <c r="AD181" s="528"/>
      <c r="AE181" s="529"/>
      <c r="AF181" s="538"/>
      <c r="AG181" s="539"/>
      <c r="AH181" s="540"/>
    </row>
    <row r="182" spans="1:34" s="474" customFormat="1" ht="12.75" customHeight="1" outlineLevel="1">
      <c r="A182" s="183"/>
      <c r="B182" s="183"/>
      <c r="C182" s="183"/>
      <c r="D182" s="262"/>
      <c r="E182" s="498"/>
      <c r="F182" s="516" t="s">
        <v>559</v>
      </c>
      <c r="G182" s="1576"/>
      <c r="H182" s="1577"/>
      <c r="I182" s="1577"/>
      <c r="J182" s="1577"/>
      <c r="K182" s="1585"/>
      <c r="L182" s="459"/>
      <c r="M182" s="458">
        <v>1706.14</v>
      </c>
      <c r="N182" s="458"/>
      <c r="O182" s="458"/>
      <c r="P182" s="460"/>
      <c r="Q182" s="1183"/>
      <c r="R182" s="413"/>
      <c r="S182" s="458"/>
      <c r="T182" s="458"/>
      <c r="U182" s="458"/>
      <c r="V182" s="460"/>
      <c r="W182" s="4141"/>
      <c r="X182" s="1172"/>
      <c r="Y182" s="1172"/>
      <c r="Z182" s="1172"/>
      <c r="AA182" s="470"/>
      <c r="AB182" s="468"/>
      <c r="AC182" s="468"/>
      <c r="AD182" s="468"/>
      <c r="AE182" s="530"/>
      <c r="AF182" s="462"/>
      <c r="AG182" s="463"/>
      <c r="AH182" s="464"/>
    </row>
    <row r="183" spans="1:34" s="474" customFormat="1" ht="12.75" customHeight="1" outlineLevel="1">
      <c r="D183" s="262"/>
      <c r="E183" s="498"/>
      <c r="F183" s="516" t="s">
        <v>558</v>
      </c>
      <c r="G183" s="1576"/>
      <c r="H183" s="1577"/>
      <c r="I183" s="1577"/>
      <c r="J183" s="1577"/>
      <c r="K183" s="1585"/>
      <c r="L183" s="459"/>
      <c r="M183" s="458">
        <v>108.67</v>
      </c>
      <c r="N183" s="458"/>
      <c r="O183" s="458"/>
      <c r="P183" s="460"/>
      <c r="Q183" s="1183"/>
      <c r="R183" s="413"/>
      <c r="S183" s="458"/>
      <c r="T183" s="458"/>
      <c r="U183" s="458"/>
      <c r="V183" s="460"/>
      <c r="W183" s="4141"/>
      <c r="X183" s="1172"/>
      <c r="Y183" s="1172"/>
      <c r="Z183" s="1172"/>
      <c r="AA183" s="470"/>
      <c r="AB183" s="468"/>
      <c r="AC183" s="468"/>
      <c r="AD183" s="468"/>
      <c r="AE183" s="530"/>
      <c r="AF183" s="462"/>
      <c r="AG183" s="463"/>
      <c r="AH183" s="464"/>
    </row>
    <row r="184" spans="1:34" s="474" customFormat="1" ht="12.75" customHeight="1" outlineLevel="1">
      <c r="D184" s="262"/>
      <c r="E184" s="498"/>
      <c r="F184" s="516" t="s">
        <v>578</v>
      </c>
      <c r="G184" s="1576"/>
      <c r="H184" s="1577"/>
      <c r="I184" s="1577"/>
      <c r="J184" s="1577"/>
      <c r="K184" s="1585"/>
      <c r="L184" s="459"/>
      <c r="M184" s="458">
        <v>2820.2500000000005</v>
      </c>
      <c r="N184" s="458"/>
      <c r="O184" s="458"/>
      <c r="P184" s="460"/>
      <c r="Q184" s="1183"/>
      <c r="R184" s="413"/>
      <c r="S184" s="458"/>
      <c r="T184" s="458"/>
      <c r="U184" s="458"/>
      <c r="V184" s="460"/>
      <c r="W184" s="4141"/>
      <c r="X184" s="1172"/>
      <c r="Y184" s="1172"/>
      <c r="Z184" s="1172"/>
      <c r="AA184" s="470"/>
      <c r="AB184" s="468"/>
      <c r="AC184" s="468"/>
      <c r="AD184" s="468"/>
      <c r="AE184" s="530"/>
      <c r="AF184" s="462"/>
      <c r="AG184" s="463"/>
      <c r="AH184" s="464"/>
    </row>
    <row r="185" spans="1:34" s="474" customFormat="1" ht="12.75" customHeight="1" outlineLevel="1">
      <c r="D185" s="262"/>
      <c r="E185" s="498"/>
      <c r="F185" s="517" t="s">
        <v>579</v>
      </c>
      <c r="G185" s="459"/>
      <c r="H185" s="458"/>
      <c r="I185" s="458"/>
      <c r="J185" s="458"/>
      <c r="K185" s="460"/>
      <c r="L185" s="353">
        <f t="shared" ref="L185:P185" si="96">SUM(L182:L184)</f>
        <v>0</v>
      </c>
      <c r="M185" s="354">
        <f t="shared" si="96"/>
        <v>4635.0600000000004</v>
      </c>
      <c r="N185" s="354">
        <f t="shared" si="96"/>
        <v>0</v>
      </c>
      <c r="O185" s="354">
        <f t="shared" si="96"/>
        <v>0</v>
      </c>
      <c r="P185" s="450">
        <f t="shared" si="96"/>
        <v>0</v>
      </c>
      <c r="Q185" s="1184"/>
      <c r="R185" s="447">
        <f>SUM(R182:R184)</f>
        <v>0</v>
      </c>
      <c r="S185" s="354">
        <f>SUM(S182:S184)</f>
        <v>0</v>
      </c>
      <c r="T185" s="354">
        <f>SUM(T182:T184)</f>
        <v>0</v>
      </c>
      <c r="U185" s="354">
        <f>SUM(U182:U184)</f>
        <v>0</v>
      </c>
      <c r="V185" s="450">
        <f>SUM(V182:V184)</f>
        <v>0</v>
      </c>
      <c r="W185" s="4141"/>
      <c r="X185" s="1172"/>
      <c r="Y185" s="1172"/>
      <c r="Z185" s="1172"/>
      <c r="AA185" s="462"/>
      <c r="AB185" s="463"/>
      <c r="AC185" s="463"/>
      <c r="AD185" s="463"/>
      <c r="AE185" s="464"/>
      <c r="AF185" s="353">
        <f t="shared" ref="AF185:AH185" si="97">SUM(AF182:AF184)</f>
        <v>0</v>
      </c>
      <c r="AG185" s="354">
        <f t="shared" si="97"/>
        <v>0</v>
      </c>
      <c r="AH185" s="450">
        <f t="shared" si="97"/>
        <v>0</v>
      </c>
    </row>
    <row r="186" spans="1:34" s="474" customFormat="1" ht="12.75" customHeight="1" outlineLevel="1">
      <c r="D186" s="262"/>
      <c r="E186" s="498"/>
      <c r="F186" s="516" t="s">
        <v>583</v>
      </c>
      <c r="G186" s="459"/>
      <c r="H186" s="458"/>
      <c r="I186" s="458"/>
      <c r="J186" s="458"/>
      <c r="K186" s="460"/>
      <c r="L186" s="511">
        <v>0</v>
      </c>
      <c r="M186" s="512">
        <v>0</v>
      </c>
      <c r="N186" s="512">
        <v>0</v>
      </c>
      <c r="O186" s="512">
        <v>0</v>
      </c>
      <c r="P186" s="547">
        <v>0</v>
      </c>
      <c r="Q186" s="1183"/>
      <c r="R186" s="504"/>
      <c r="S186" s="477"/>
      <c r="T186" s="477"/>
      <c r="U186" s="477"/>
      <c r="V186" s="519"/>
      <c r="W186" s="4141"/>
      <c r="X186" s="1172"/>
      <c r="Y186" s="1172"/>
      <c r="Z186" s="1172"/>
      <c r="AA186" s="462"/>
      <c r="AB186" s="463"/>
      <c r="AC186" s="463"/>
      <c r="AD186" s="463"/>
      <c r="AE186" s="464"/>
      <c r="AF186" s="511">
        <v>0</v>
      </c>
      <c r="AG186" s="512">
        <v>0</v>
      </c>
      <c r="AH186" s="547">
        <v>0</v>
      </c>
    </row>
    <row r="187" spans="1:34" s="474" customFormat="1" ht="12.75" customHeight="1" outlineLevel="1">
      <c r="D187" s="262"/>
      <c r="E187" s="498"/>
      <c r="F187" s="516" t="s">
        <v>581</v>
      </c>
      <c r="G187" s="459"/>
      <c r="H187" s="458"/>
      <c r="I187" s="458"/>
      <c r="J187" s="458"/>
      <c r="K187" s="460"/>
      <c r="L187" s="462">
        <v>0</v>
      </c>
      <c r="M187" s="463">
        <v>0</v>
      </c>
      <c r="N187" s="463">
        <v>0</v>
      </c>
      <c r="O187" s="463">
        <v>0</v>
      </c>
      <c r="P187" s="464">
        <v>0</v>
      </c>
      <c r="Q187" s="1183"/>
      <c r="R187" s="413"/>
      <c r="S187" s="458"/>
      <c r="T187" s="458"/>
      <c r="U187" s="458"/>
      <c r="V187" s="460"/>
      <c r="W187" s="4141"/>
      <c r="X187" s="1172"/>
      <c r="Y187" s="1172"/>
      <c r="Z187" s="1172"/>
      <c r="AA187" s="462"/>
      <c r="AB187" s="463"/>
      <c r="AC187" s="463"/>
      <c r="AD187" s="463"/>
      <c r="AE187" s="464"/>
      <c r="AF187" s="462">
        <v>0</v>
      </c>
      <c r="AG187" s="463">
        <v>0</v>
      </c>
      <c r="AH187" s="464">
        <v>0</v>
      </c>
    </row>
    <row r="188" spans="1:34" s="474" customFormat="1" ht="12.75" customHeight="1" outlineLevel="1">
      <c r="D188" s="262"/>
      <c r="E188" s="498"/>
      <c r="F188" s="517" t="s">
        <v>584</v>
      </c>
      <c r="G188" s="353">
        <f t="shared" ref="G188:P188" si="98">SUM(G186:G187)</f>
        <v>0</v>
      </c>
      <c r="H188" s="354">
        <f t="shared" si="98"/>
        <v>0</v>
      </c>
      <c r="I188" s="354">
        <f t="shared" si="98"/>
        <v>0</v>
      </c>
      <c r="J188" s="354">
        <f t="shared" si="98"/>
        <v>0</v>
      </c>
      <c r="K188" s="450">
        <f t="shared" si="98"/>
        <v>0</v>
      </c>
      <c r="L188" s="353">
        <f t="shared" si="98"/>
        <v>0</v>
      </c>
      <c r="M188" s="354">
        <f t="shared" si="98"/>
        <v>0</v>
      </c>
      <c r="N188" s="354">
        <f t="shared" si="98"/>
        <v>0</v>
      </c>
      <c r="O188" s="354">
        <f t="shared" si="98"/>
        <v>0</v>
      </c>
      <c r="P188" s="450">
        <f t="shared" si="98"/>
        <v>0</v>
      </c>
      <c r="Q188" s="1184"/>
      <c r="R188" s="447">
        <f>SUM(R186:R187)</f>
        <v>0</v>
      </c>
      <c r="S188" s="354">
        <f>SUM(S186:S187)</f>
        <v>0</v>
      </c>
      <c r="T188" s="354">
        <f>SUM(T186:T187)</f>
        <v>0</v>
      </c>
      <c r="U188" s="354">
        <f>SUM(U186:U187)</f>
        <v>0</v>
      </c>
      <c r="V188" s="450">
        <f>SUM(V186:V187)</f>
        <v>0</v>
      </c>
      <c r="W188" s="4141"/>
      <c r="X188" s="1172"/>
      <c r="Y188" s="1172"/>
      <c r="Z188" s="1172"/>
      <c r="AA188" s="353">
        <f t="shared" ref="AA188:AH188" si="99">SUM(AA186:AA187)</f>
        <v>0</v>
      </c>
      <c r="AB188" s="354">
        <f t="shared" si="99"/>
        <v>0</v>
      </c>
      <c r="AC188" s="354">
        <f t="shared" si="99"/>
        <v>0</v>
      </c>
      <c r="AD188" s="354">
        <f t="shared" si="99"/>
        <v>0</v>
      </c>
      <c r="AE188" s="450">
        <f t="shared" si="99"/>
        <v>0</v>
      </c>
      <c r="AF188" s="353">
        <f t="shared" si="99"/>
        <v>0</v>
      </c>
      <c r="AG188" s="354">
        <f t="shared" si="99"/>
        <v>0</v>
      </c>
      <c r="AH188" s="450">
        <f t="shared" si="99"/>
        <v>0</v>
      </c>
    </row>
    <row r="189" spans="1:34" s="474" customFormat="1" ht="12.75" customHeight="1" outlineLevel="1">
      <c r="D189" s="262"/>
      <c r="E189" s="498"/>
      <c r="F189" s="516" t="s">
        <v>35</v>
      </c>
      <c r="G189" s="459"/>
      <c r="H189" s="458"/>
      <c r="I189" s="458"/>
      <c r="J189" s="458"/>
      <c r="K189" s="460"/>
      <c r="L189" s="459"/>
      <c r="M189" s="458"/>
      <c r="N189" s="458"/>
      <c r="O189" s="458"/>
      <c r="P189" s="460"/>
      <c r="Q189" s="1183"/>
      <c r="R189" s="413"/>
      <c r="S189" s="458"/>
      <c r="T189" s="458"/>
      <c r="U189" s="458"/>
      <c r="V189" s="460"/>
      <c r="W189" s="4141"/>
      <c r="X189" s="1172"/>
      <c r="Y189" s="1172"/>
      <c r="Z189" s="1172"/>
      <c r="AA189" s="462"/>
      <c r="AB189" s="463"/>
      <c r="AC189" s="463"/>
      <c r="AD189" s="463"/>
      <c r="AE189" s="464"/>
      <c r="AF189" s="462"/>
      <c r="AG189" s="463"/>
      <c r="AH189" s="464"/>
    </row>
    <row r="190" spans="1:34" s="474" customFormat="1" ht="12.75" customHeight="1" outlineLevel="1" thickBot="1">
      <c r="D190" s="262"/>
      <c r="E190" s="498"/>
      <c r="F190" s="1409" t="s">
        <v>585</v>
      </c>
      <c r="G190" s="1370">
        <f t="shared" ref="G190:P190" si="100">G188-G189</f>
        <v>0</v>
      </c>
      <c r="H190" s="356">
        <f t="shared" si="100"/>
        <v>0</v>
      </c>
      <c r="I190" s="356">
        <f t="shared" si="100"/>
        <v>0</v>
      </c>
      <c r="J190" s="356">
        <f t="shared" si="100"/>
        <v>0</v>
      </c>
      <c r="K190" s="503">
        <f t="shared" si="100"/>
        <v>0</v>
      </c>
      <c r="L190" s="1370">
        <f t="shared" si="100"/>
        <v>0</v>
      </c>
      <c r="M190" s="356">
        <f t="shared" si="100"/>
        <v>0</v>
      </c>
      <c r="N190" s="356">
        <f t="shared" si="100"/>
        <v>0</v>
      </c>
      <c r="O190" s="356">
        <f t="shared" si="100"/>
        <v>0</v>
      </c>
      <c r="P190" s="503">
        <f t="shared" si="100"/>
        <v>0</v>
      </c>
      <c r="Q190" s="1185"/>
      <c r="R190" s="502">
        <f>R188-R189</f>
        <v>0</v>
      </c>
      <c r="S190" s="356">
        <f>S188-S189</f>
        <v>0</v>
      </c>
      <c r="T190" s="356">
        <f>T188-T189</f>
        <v>0</v>
      </c>
      <c r="U190" s="356">
        <f>U188-U189</f>
        <v>0</v>
      </c>
      <c r="V190" s="503">
        <f>V188-V189</f>
        <v>0</v>
      </c>
      <c r="W190" s="4142"/>
      <c r="X190" s="1172"/>
      <c r="Y190" s="1172"/>
      <c r="Z190" s="1172"/>
      <c r="AA190" s="1370">
        <f t="shared" ref="AA190:AH190" si="101">AA188-AA189</f>
        <v>0</v>
      </c>
      <c r="AB190" s="356">
        <f t="shared" si="101"/>
        <v>0</v>
      </c>
      <c r="AC190" s="356">
        <f t="shared" si="101"/>
        <v>0</v>
      </c>
      <c r="AD190" s="356">
        <f t="shared" si="101"/>
        <v>0</v>
      </c>
      <c r="AE190" s="503">
        <f t="shared" si="101"/>
        <v>0</v>
      </c>
      <c r="AF190" s="1370">
        <f t="shared" si="101"/>
        <v>0</v>
      </c>
      <c r="AG190" s="356">
        <f t="shared" si="101"/>
        <v>0</v>
      </c>
      <c r="AH190" s="503">
        <f t="shared" si="101"/>
        <v>0</v>
      </c>
    </row>
    <row r="191" spans="1:34" s="474" customFormat="1" ht="23.25" customHeight="1" outlineLevel="1">
      <c r="A191" s="183"/>
      <c r="B191" s="183"/>
      <c r="C191" s="183"/>
      <c r="D191" s="262"/>
      <c r="E191" s="3457" t="s">
        <v>1541</v>
      </c>
      <c r="F191" s="842" t="s">
        <v>593</v>
      </c>
      <c r="G191" s="1574"/>
      <c r="H191" s="1575"/>
      <c r="I191" s="1575"/>
      <c r="J191" s="1575"/>
      <c r="K191" s="1584"/>
      <c r="L191" s="538"/>
      <c r="M191" s="539"/>
      <c r="N191" s="539"/>
      <c r="O191" s="539"/>
      <c r="P191" s="540"/>
      <c r="Q191" s="1182"/>
      <c r="R191" s="539"/>
      <c r="S191" s="539"/>
      <c r="T191" s="539"/>
      <c r="U191" s="539"/>
      <c r="V191" s="540"/>
      <c r="W191" s="4140"/>
      <c r="X191" s="1172"/>
      <c r="Y191" s="1172"/>
      <c r="Z191" s="1172"/>
      <c r="AA191" s="527"/>
      <c r="AB191" s="528"/>
      <c r="AC191" s="528"/>
      <c r="AD191" s="528"/>
      <c r="AE191" s="529"/>
      <c r="AF191" s="538"/>
      <c r="AG191" s="539"/>
      <c r="AH191" s="540"/>
    </row>
    <row r="192" spans="1:34" s="474" customFormat="1" ht="12.75" customHeight="1" outlineLevel="1">
      <c r="D192" s="262"/>
      <c r="E192" s="498"/>
      <c r="F192" s="516" t="s">
        <v>559</v>
      </c>
      <c r="G192" s="1576"/>
      <c r="H192" s="1577"/>
      <c r="I192" s="1577"/>
      <c r="J192" s="1577"/>
      <c r="K192" s="1585"/>
      <c r="L192" s="459">
        <v>1793.5100000000002</v>
      </c>
      <c r="M192" s="458"/>
      <c r="N192" s="458"/>
      <c r="O192" s="458"/>
      <c r="P192" s="460"/>
      <c r="Q192" s="1183"/>
      <c r="R192" s="413"/>
      <c r="S192" s="458"/>
      <c r="T192" s="458"/>
      <c r="U192" s="458"/>
      <c r="V192" s="460"/>
      <c r="W192" s="4141"/>
      <c r="X192" s="1172"/>
      <c r="Y192" s="1172"/>
      <c r="Z192" s="1172"/>
      <c r="AA192" s="470"/>
      <c r="AB192" s="468"/>
      <c r="AC192" s="468"/>
      <c r="AD192" s="468"/>
      <c r="AE192" s="530"/>
      <c r="AF192" s="462"/>
      <c r="AG192" s="463"/>
      <c r="AH192" s="464"/>
    </row>
    <row r="193" spans="1:34" s="474" customFormat="1" ht="12.75" customHeight="1" outlineLevel="1">
      <c r="D193" s="262"/>
      <c r="E193" s="498"/>
      <c r="F193" s="516" t="s">
        <v>558</v>
      </c>
      <c r="G193" s="1576"/>
      <c r="H193" s="1577"/>
      <c r="I193" s="1577"/>
      <c r="J193" s="1577"/>
      <c r="K193" s="1585"/>
      <c r="L193" s="459">
        <v>0</v>
      </c>
      <c r="M193" s="458"/>
      <c r="N193" s="458"/>
      <c r="O193" s="458"/>
      <c r="P193" s="460"/>
      <c r="Q193" s="1183"/>
      <c r="R193" s="413"/>
      <c r="S193" s="458"/>
      <c r="T193" s="458"/>
      <c r="U193" s="458"/>
      <c r="V193" s="460"/>
      <c r="W193" s="4141"/>
      <c r="X193" s="1172"/>
      <c r="Y193" s="1172"/>
      <c r="Z193" s="1172"/>
      <c r="AA193" s="470"/>
      <c r="AB193" s="468"/>
      <c r="AC193" s="468"/>
      <c r="AD193" s="468"/>
      <c r="AE193" s="530"/>
      <c r="AF193" s="462"/>
      <c r="AG193" s="463"/>
      <c r="AH193" s="464"/>
    </row>
    <row r="194" spans="1:34" s="474" customFormat="1" ht="12.75" customHeight="1" outlineLevel="1">
      <c r="D194" s="262"/>
      <c r="E194" s="498"/>
      <c r="F194" s="516" t="s">
        <v>578</v>
      </c>
      <c r="G194" s="1576"/>
      <c r="H194" s="1577"/>
      <c r="I194" s="1577"/>
      <c r="J194" s="1577"/>
      <c r="K194" s="1585"/>
      <c r="L194" s="458">
        <v>3937.25</v>
      </c>
      <c r="M194" s="458"/>
      <c r="N194" s="458"/>
      <c r="O194" s="458"/>
      <c r="P194" s="460"/>
      <c r="Q194" s="1183"/>
      <c r="R194" s="413"/>
      <c r="S194" s="458"/>
      <c r="T194" s="458"/>
      <c r="U194" s="458"/>
      <c r="V194" s="460"/>
      <c r="W194" s="4141"/>
      <c r="X194" s="1172"/>
      <c r="Y194" s="1172"/>
      <c r="Z194" s="1172"/>
      <c r="AA194" s="470"/>
      <c r="AB194" s="468"/>
      <c r="AC194" s="468"/>
      <c r="AD194" s="468"/>
      <c r="AE194" s="530"/>
      <c r="AF194" s="462"/>
      <c r="AG194" s="463"/>
      <c r="AH194" s="464"/>
    </row>
    <row r="195" spans="1:34" s="474" customFormat="1" ht="12.75" customHeight="1" outlineLevel="1">
      <c r="D195" s="262"/>
      <c r="E195" s="498"/>
      <c r="F195" s="517" t="s">
        <v>579</v>
      </c>
      <c r="G195" s="459"/>
      <c r="H195" s="458"/>
      <c r="I195" s="458"/>
      <c r="J195" s="458"/>
      <c r="K195" s="460"/>
      <c r="L195" s="353">
        <f t="shared" ref="L195:P195" si="102">SUM(L192:L194)</f>
        <v>5730.76</v>
      </c>
      <c r="M195" s="354">
        <f t="shared" si="102"/>
        <v>0</v>
      </c>
      <c r="N195" s="354">
        <f t="shared" si="102"/>
        <v>0</v>
      </c>
      <c r="O195" s="354">
        <f t="shared" si="102"/>
        <v>0</v>
      </c>
      <c r="P195" s="450">
        <f t="shared" si="102"/>
        <v>0</v>
      </c>
      <c r="Q195" s="1184"/>
      <c r="R195" s="447">
        <f>SUM(R192:R194)</f>
        <v>0</v>
      </c>
      <c r="S195" s="354">
        <f>SUM(S192:S194)</f>
        <v>0</v>
      </c>
      <c r="T195" s="354">
        <f>SUM(T192:T194)</f>
        <v>0</v>
      </c>
      <c r="U195" s="354">
        <f>SUM(U192:U194)</f>
        <v>0</v>
      </c>
      <c r="V195" s="450">
        <f>SUM(V192:V194)</f>
        <v>0</v>
      </c>
      <c r="W195" s="4141"/>
      <c r="X195" s="1172"/>
      <c r="Y195" s="1172"/>
      <c r="Z195" s="1172"/>
      <c r="AA195" s="462"/>
      <c r="AB195" s="463"/>
      <c r="AC195" s="463"/>
      <c r="AD195" s="463"/>
      <c r="AE195" s="464"/>
      <c r="AF195" s="353">
        <f t="shared" ref="AF195:AH195" si="103">SUM(AF192:AF194)</f>
        <v>0</v>
      </c>
      <c r="AG195" s="354">
        <f t="shared" si="103"/>
        <v>0</v>
      </c>
      <c r="AH195" s="450">
        <f t="shared" si="103"/>
        <v>0</v>
      </c>
    </row>
    <row r="196" spans="1:34" s="474" customFormat="1" ht="12.75" customHeight="1" outlineLevel="1">
      <c r="D196" s="262"/>
      <c r="E196" s="498"/>
      <c r="F196" s="516" t="s">
        <v>583</v>
      </c>
      <c r="G196" s="459"/>
      <c r="H196" s="458"/>
      <c r="I196" s="458"/>
      <c r="J196" s="458"/>
      <c r="K196" s="460"/>
      <c r="L196" s="511">
        <v>0</v>
      </c>
      <c r="M196" s="512">
        <v>0</v>
      </c>
      <c r="N196" s="512">
        <v>0</v>
      </c>
      <c r="O196" s="512">
        <v>0</v>
      </c>
      <c r="P196" s="547">
        <v>0</v>
      </c>
      <c r="Q196" s="1183"/>
      <c r="R196" s="504"/>
      <c r="S196" s="477"/>
      <c r="T196" s="477"/>
      <c r="U196" s="477"/>
      <c r="V196" s="519"/>
      <c r="W196" s="4141"/>
      <c r="X196" s="1172"/>
      <c r="Y196" s="1172"/>
      <c r="Z196" s="1172"/>
      <c r="AA196" s="462"/>
      <c r="AB196" s="463"/>
      <c r="AC196" s="463"/>
      <c r="AD196" s="463"/>
      <c r="AE196" s="464"/>
      <c r="AF196" s="511">
        <v>0</v>
      </c>
      <c r="AG196" s="512">
        <v>0</v>
      </c>
      <c r="AH196" s="547">
        <v>0</v>
      </c>
    </row>
    <row r="197" spans="1:34" s="474" customFormat="1" ht="12.75" customHeight="1" outlineLevel="1">
      <c r="D197" s="262"/>
      <c r="E197" s="498"/>
      <c r="F197" s="516" t="s">
        <v>581</v>
      </c>
      <c r="G197" s="459"/>
      <c r="H197" s="458"/>
      <c r="I197" s="458"/>
      <c r="J197" s="458"/>
      <c r="K197" s="460"/>
      <c r="L197" s="462">
        <v>0</v>
      </c>
      <c r="M197" s="463">
        <v>0</v>
      </c>
      <c r="N197" s="463">
        <v>0</v>
      </c>
      <c r="O197" s="463">
        <v>0</v>
      </c>
      <c r="P197" s="464">
        <v>0</v>
      </c>
      <c r="Q197" s="1183"/>
      <c r="R197" s="413"/>
      <c r="S197" s="458"/>
      <c r="T197" s="458"/>
      <c r="U197" s="458"/>
      <c r="V197" s="460"/>
      <c r="W197" s="4141"/>
      <c r="X197" s="1172"/>
      <c r="Y197" s="1172"/>
      <c r="Z197" s="1172"/>
      <c r="AA197" s="462"/>
      <c r="AB197" s="463"/>
      <c r="AC197" s="463"/>
      <c r="AD197" s="463"/>
      <c r="AE197" s="464"/>
      <c r="AF197" s="462">
        <v>0</v>
      </c>
      <c r="AG197" s="463">
        <v>0</v>
      </c>
      <c r="AH197" s="464">
        <v>0</v>
      </c>
    </row>
    <row r="198" spans="1:34" s="474" customFormat="1" ht="12.75" customHeight="1" outlineLevel="1">
      <c r="D198" s="262"/>
      <c r="E198" s="498"/>
      <c r="F198" s="517" t="s">
        <v>584</v>
      </c>
      <c r="G198" s="353">
        <f t="shared" ref="G198:P198" si="104">SUM(G196:G197)</f>
        <v>0</v>
      </c>
      <c r="H198" s="354">
        <f t="shared" si="104"/>
        <v>0</v>
      </c>
      <c r="I198" s="354">
        <f t="shared" si="104"/>
        <v>0</v>
      </c>
      <c r="J198" s="354">
        <f t="shared" si="104"/>
        <v>0</v>
      </c>
      <c r="K198" s="450">
        <f t="shared" si="104"/>
        <v>0</v>
      </c>
      <c r="L198" s="353">
        <f t="shared" si="104"/>
        <v>0</v>
      </c>
      <c r="M198" s="354">
        <f t="shared" si="104"/>
        <v>0</v>
      </c>
      <c r="N198" s="354">
        <f t="shared" si="104"/>
        <v>0</v>
      </c>
      <c r="O198" s="354">
        <f t="shared" si="104"/>
        <v>0</v>
      </c>
      <c r="P198" s="450">
        <f t="shared" si="104"/>
        <v>0</v>
      </c>
      <c r="Q198" s="1184"/>
      <c r="R198" s="447">
        <f>SUM(R196:R197)</f>
        <v>0</v>
      </c>
      <c r="S198" s="354">
        <f>SUM(S196:S197)</f>
        <v>0</v>
      </c>
      <c r="T198" s="354">
        <f>SUM(T196:T197)</f>
        <v>0</v>
      </c>
      <c r="U198" s="354">
        <f>SUM(U196:U197)</f>
        <v>0</v>
      </c>
      <c r="V198" s="450">
        <f>SUM(V196:V197)</f>
        <v>0</v>
      </c>
      <c r="W198" s="4141"/>
      <c r="X198" s="1172"/>
      <c r="Y198" s="1172"/>
      <c r="Z198" s="1172"/>
      <c r="AA198" s="353">
        <f t="shared" ref="AA198:AH198" si="105">SUM(AA196:AA197)</f>
        <v>0</v>
      </c>
      <c r="AB198" s="354">
        <f t="shared" si="105"/>
        <v>0</v>
      </c>
      <c r="AC198" s="354">
        <f t="shared" si="105"/>
        <v>0</v>
      </c>
      <c r="AD198" s="354">
        <f t="shared" si="105"/>
        <v>0</v>
      </c>
      <c r="AE198" s="450">
        <f t="shared" si="105"/>
        <v>0</v>
      </c>
      <c r="AF198" s="353">
        <f t="shared" si="105"/>
        <v>0</v>
      </c>
      <c r="AG198" s="354">
        <f t="shared" si="105"/>
        <v>0</v>
      </c>
      <c r="AH198" s="450">
        <f t="shared" si="105"/>
        <v>0</v>
      </c>
    </row>
    <row r="199" spans="1:34" s="474" customFormat="1" ht="12.75" customHeight="1" outlineLevel="1">
      <c r="D199" s="262"/>
      <c r="E199" s="498"/>
      <c r="F199" s="516" t="s">
        <v>35</v>
      </c>
      <c r="G199" s="459"/>
      <c r="H199" s="458"/>
      <c r="I199" s="458"/>
      <c r="J199" s="458"/>
      <c r="K199" s="460"/>
      <c r="L199" s="459"/>
      <c r="M199" s="458"/>
      <c r="N199" s="458"/>
      <c r="O199" s="458"/>
      <c r="P199" s="460"/>
      <c r="Q199" s="1183"/>
      <c r="R199" s="413"/>
      <c r="S199" s="458"/>
      <c r="T199" s="458"/>
      <c r="U199" s="458"/>
      <c r="V199" s="460"/>
      <c r="W199" s="4141"/>
      <c r="X199" s="1172"/>
      <c r="Y199" s="1172"/>
      <c r="Z199" s="1172"/>
      <c r="AA199" s="462"/>
      <c r="AB199" s="463"/>
      <c r="AC199" s="463"/>
      <c r="AD199" s="463"/>
      <c r="AE199" s="464"/>
      <c r="AF199" s="462"/>
      <c r="AG199" s="463"/>
      <c r="AH199" s="464"/>
    </row>
    <row r="200" spans="1:34" s="474" customFormat="1" ht="12.75" customHeight="1" outlineLevel="1" thickBot="1">
      <c r="D200" s="262"/>
      <c r="E200" s="498"/>
      <c r="F200" s="1409" t="s">
        <v>585</v>
      </c>
      <c r="G200" s="1370">
        <f t="shared" ref="G200:P200" si="106">G198-G199</f>
        <v>0</v>
      </c>
      <c r="H200" s="356">
        <f t="shared" si="106"/>
        <v>0</v>
      </c>
      <c r="I200" s="356">
        <f t="shared" si="106"/>
        <v>0</v>
      </c>
      <c r="J200" s="356">
        <f t="shared" si="106"/>
        <v>0</v>
      </c>
      <c r="K200" s="503">
        <f t="shared" si="106"/>
        <v>0</v>
      </c>
      <c r="L200" s="1370">
        <f t="shared" si="106"/>
        <v>0</v>
      </c>
      <c r="M200" s="356">
        <f t="shared" si="106"/>
        <v>0</v>
      </c>
      <c r="N200" s="356">
        <f t="shared" si="106"/>
        <v>0</v>
      </c>
      <c r="O200" s="356">
        <f t="shared" si="106"/>
        <v>0</v>
      </c>
      <c r="P200" s="503">
        <f t="shared" si="106"/>
        <v>0</v>
      </c>
      <c r="Q200" s="1185"/>
      <c r="R200" s="502">
        <f>R198-R199</f>
        <v>0</v>
      </c>
      <c r="S200" s="356">
        <f>S198-S199</f>
        <v>0</v>
      </c>
      <c r="T200" s="356">
        <f>T198-T199</f>
        <v>0</v>
      </c>
      <c r="U200" s="356">
        <f>U198-U199</f>
        <v>0</v>
      </c>
      <c r="V200" s="503">
        <f>V198-V199</f>
        <v>0</v>
      </c>
      <c r="W200" s="4142"/>
      <c r="X200" s="1172"/>
      <c r="Y200" s="1172"/>
      <c r="Z200" s="1172"/>
      <c r="AA200" s="1370">
        <f t="shared" ref="AA200:AH200" si="107">AA198-AA199</f>
        <v>0</v>
      </c>
      <c r="AB200" s="356">
        <f t="shared" si="107"/>
        <v>0</v>
      </c>
      <c r="AC200" s="356">
        <f t="shared" si="107"/>
        <v>0</v>
      </c>
      <c r="AD200" s="356">
        <f t="shared" si="107"/>
        <v>0</v>
      </c>
      <c r="AE200" s="503">
        <f t="shared" si="107"/>
        <v>0</v>
      </c>
      <c r="AF200" s="1370">
        <f t="shared" si="107"/>
        <v>0</v>
      </c>
      <c r="AG200" s="356">
        <f t="shared" si="107"/>
        <v>0</v>
      </c>
      <c r="AH200" s="503">
        <f t="shared" si="107"/>
        <v>0</v>
      </c>
    </row>
    <row r="201" spans="1:34" s="474" customFormat="1" ht="27.75" customHeight="1" outlineLevel="1">
      <c r="A201" s="183"/>
      <c r="B201" s="183"/>
      <c r="C201" s="183"/>
      <c r="D201" s="262"/>
      <c r="E201" s="3457" t="s">
        <v>1542</v>
      </c>
      <c r="F201" s="842" t="s">
        <v>593</v>
      </c>
      <c r="G201" s="1574"/>
      <c r="H201" s="1575"/>
      <c r="I201" s="1575"/>
      <c r="J201" s="1575"/>
      <c r="K201" s="1584"/>
      <c r="L201" s="538"/>
      <c r="M201" s="539"/>
      <c r="N201" s="539"/>
      <c r="O201" s="539"/>
      <c r="P201" s="540"/>
      <c r="Q201" s="1182"/>
      <c r="R201" s="539"/>
      <c r="S201" s="539"/>
      <c r="T201" s="539"/>
      <c r="U201" s="539"/>
      <c r="V201" s="540"/>
      <c r="W201" s="4140"/>
      <c r="X201" s="1172"/>
      <c r="Y201" s="1172"/>
      <c r="Z201" s="1172"/>
      <c r="AA201" s="527"/>
      <c r="AB201" s="528"/>
      <c r="AC201" s="528"/>
      <c r="AD201" s="528"/>
      <c r="AE201" s="529"/>
      <c r="AF201" s="538"/>
      <c r="AG201" s="539"/>
      <c r="AH201" s="540"/>
    </row>
    <row r="202" spans="1:34" s="474" customFormat="1" ht="12.75" customHeight="1" outlineLevel="1">
      <c r="A202" s="183"/>
      <c r="B202" s="183"/>
      <c r="C202" s="183"/>
      <c r="D202" s="262"/>
      <c r="E202" s="498"/>
      <c r="F202" s="516" t="s">
        <v>559</v>
      </c>
      <c r="G202" s="1576"/>
      <c r="H202" s="1577"/>
      <c r="I202" s="1577"/>
      <c r="J202" s="1577"/>
      <c r="K202" s="1585"/>
      <c r="L202" s="459">
        <v>11351.219999999998</v>
      </c>
      <c r="M202" s="458"/>
      <c r="N202" s="458"/>
      <c r="O202" s="458"/>
      <c r="P202" s="460"/>
      <c r="Q202" s="1183"/>
      <c r="R202" s="413"/>
      <c r="S202" s="458"/>
      <c r="T202" s="458"/>
      <c r="U202" s="458"/>
      <c r="V202" s="460"/>
      <c r="W202" s="4141"/>
      <c r="X202" s="1172"/>
      <c r="Y202" s="1172"/>
      <c r="Z202" s="1172"/>
      <c r="AA202" s="470"/>
      <c r="AB202" s="468"/>
      <c r="AC202" s="468"/>
      <c r="AD202" s="468"/>
      <c r="AE202" s="530"/>
      <c r="AF202" s="462"/>
      <c r="AG202" s="463"/>
      <c r="AH202" s="464"/>
    </row>
    <row r="203" spans="1:34" s="474" customFormat="1" ht="12.75" customHeight="1" outlineLevel="1">
      <c r="D203" s="262"/>
      <c r="E203" s="498"/>
      <c r="F203" s="516" t="s">
        <v>558</v>
      </c>
      <c r="G203" s="1576"/>
      <c r="H203" s="1577"/>
      <c r="I203" s="1577"/>
      <c r="J203" s="1577"/>
      <c r="K203" s="1585"/>
      <c r="L203" s="459">
        <v>0</v>
      </c>
      <c r="M203" s="458"/>
      <c r="N203" s="458"/>
      <c r="O203" s="458"/>
      <c r="P203" s="460"/>
      <c r="Q203" s="1183"/>
      <c r="R203" s="413"/>
      <c r="S203" s="458"/>
      <c r="T203" s="458"/>
      <c r="U203" s="458"/>
      <c r="V203" s="460"/>
      <c r="W203" s="4141"/>
      <c r="X203" s="1172"/>
      <c r="Y203" s="1172"/>
      <c r="Z203" s="1172"/>
      <c r="AA203" s="470"/>
      <c r="AB203" s="468"/>
      <c r="AC203" s="468"/>
      <c r="AD203" s="468"/>
      <c r="AE203" s="530"/>
      <c r="AF203" s="462"/>
      <c r="AG203" s="463"/>
      <c r="AH203" s="464"/>
    </row>
    <row r="204" spans="1:34" s="474" customFormat="1" ht="12.75" customHeight="1" outlineLevel="1">
      <c r="D204" s="262"/>
      <c r="E204" s="498"/>
      <c r="F204" s="516" t="s">
        <v>578</v>
      </c>
      <c r="G204" s="1576"/>
      <c r="H204" s="1577"/>
      <c r="I204" s="1577"/>
      <c r="J204" s="1577"/>
      <c r="K204" s="1585"/>
      <c r="L204" s="458">
        <v>1587.97</v>
      </c>
      <c r="M204" s="458"/>
      <c r="N204" s="458"/>
      <c r="O204" s="458"/>
      <c r="P204" s="460"/>
      <c r="Q204" s="1183"/>
      <c r="R204" s="413"/>
      <c r="S204" s="458"/>
      <c r="T204" s="458"/>
      <c r="U204" s="458"/>
      <c r="V204" s="460"/>
      <c r="W204" s="4141"/>
      <c r="X204" s="1172"/>
      <c r="Y204" s="1172"/>
      <c r="Z204" s="1172"/>
      <c r="AA204" s="470"/>
      <c r="AB204" s="468"/>
      <c r="AC204" s="468"/>
      <c r="AD204" s="468"/>
      <c r="AE204" s="530"/>
      <c r="AF204" s="462"/>
      <c r="AG204" s="463"/>
      <c r="AH204" s="464"/>
    </row>
    <row r="205" spans="1:34" s="474" customFormat="1" ht="12.75" customHeight="1" outlineLevel="1">
      <c r="D205" s="262"/>
      <c r="E205" s="498"/>
      <c r="F205" s="517" t="s">
        <v>579</v>
      </c>
      <c r="G205" s="459"/>
      <c r="H205" s="458"/>
      <c r="I205" s="458"/>
      <c r="J205" s="458"/>
      <c r="K205" s="460"/>
      <c r="L205" s="353">
        <f t="shared" ref="L205:P205" si="108">SUM(L202:L204)</f>
        <v>12939.189999999997</v>
      </c>
      <c r="M205" s="354">
        <f t="shared" si="108"/>
        <v>0</v>
      </c>
      <c r="N205" s="354">
        <f t="shared" si="108"/>
        <v>0</v>
      </c>
      <c r="O205" s="354">
        <f t="shared" si="108"/>
        <v>0</v>
      </c>
      <c r="P205" s="450">
        <f t="shared" si="108"/>
        <v>0</v>
      </c>
      <c r="Q205" s="1184"/>
      <c r="R205" s="447">
        <f>SUM(R202:R204)</f>
        <v>0</v>
      </c>
      <c r="S205" s="354">
        <f>SUM(S202:S204)</f>
        <v>0</v>
      </c>
      <c r="T205" s="354">
        <f>SUM(T202:T204)</f>
        <v>0</v>
      </c>
      <c r="U205" s="354">
        <f>SUM(U202:U204)</f>
        <v>0</v>
      </c>
      <c r="V205" s="450">
        <f>SUM(V202:V204)</f>
        <v>0</v>
      </c>
      <c r="W205" s="4141"/>
      <c r="X205" s="1172"/>
      <c r="Y205" s="1172"/>
      <c r="Z205" s="1172"/>
      <c r="AA205" s="462"/>
      <c r="AB205" s="463"/>
      <c r="AC205" s="463"/>
      <c r="AD205" s="463"/>
      <c r="AE205" s="464"/>
      <c r="AF205" s="353">
        <f t="shared" ref="AF205:AH205" si="109">SUM(AF202:AF204)</f>
        <v>0</v>
      </c>
      <c r="AG205" s="354">
        <f t="shared" si="109"/>
        <v>0</v>
      </c>
      <c r="AH205" s="450">
        <f t="shared" si="109"/>
        <v>0</v>
      </c>
    </row>
    <row r="206" spans="1:34" s="474" customFormat="1" ht="12.75" customHeight="1" outlineLevel="1">
      <c r="D206" s="262"/>
      <c r="E206" s="498"/>
      <c r="F206" s="516" t="s">
        <v>583</v>
      </c>
      <c r="G206" s="459"/>
      <c r="H206" s="458"/>
      <c r="I206" s="458"/>
      <c r="J206" s="458"/>
      <c r="K206" s="460"/>
      <c r="L206" s="511">
        <v>0</v>
      </c>
      <c r="M206" s="512">
        <v>0</v>
      </c>
      <c r="N206" s="512">
        <v>0</v>
      </c>
      <c r="O206" s="512">
        <v>0</v>
      </c>
      <c r="P206" s="547">
        <v>0</v>
      </c>
      <c r="Q206" s="1183"/>
      <c r="R206" s="504"/>
      <c r="S206" s="477"/>
      <c r="T206" s="477"/>
      <c r="U206" s="477"/>
      <c r="V206" s="519"/>
      <c r="W206" s="4141"/>
      <c r="X206" s="1172"/>
      <c r="Y206" s="1172"/>
      <c r="Z206" s="1172"/>
      <c r="AA206" s="462"/>
      <c r="AB206" s="463"/>
      <c r="AC206" s="463"/>
      <c r="AD206" s="463"/>
      <c r="AE206" s="464"/>
      <c r="AF206" s="511">
        <v>0</v>
      </c>
      <c r="AG206" s="512">
        <v>0</v>
      </c>
      <c r="AH206" s="547">
        <v>0</v>
      </c>
    </row>
    <row r="207" spans="1:34" s="474" customFormat="1" ht="12.75" customHeight="1" outlineLevel="1">
      <c r="D207" s="262"/>
      <c r="E207" s="498"/>
      <c r="F207" s="516" t="s">
        <v>581</v>
      </c>
      <c r="G207" s="459"/>
      <c r="H207" s="458"/>
      <c r="I207" s="458"/>
      <c r="J207" s="458"/>
      <c r="K207" s="460"/>
      <c r="L207" s="462">
        <v>0</v>
      </c>
      <c r="M207" s="463">
        <v>0</v>
      </c>
      <c r="N207" s="463">
        <v>0</v>
      </c>
      <c r="O207" s="463">
        <v>0</v>
      </c>
      <c r="P207" s="464">
        <v>0</v>
      </c>
      <c r="Q207" s="1183"/>
      <c r="R207" s="413"/>
      <c r="S207" s="458"/>
      <c r="T207" s="458"/>
      <c r="U207" s="458"/>
      <c r="V207" s="460"/>
      <c r="W207" s="4141"/>
      <c r="X207" s="1172"/>
      <c r="Y207" s="1172"/>
      <c r="Z207" s="1172"/>
      <c r="AA207" s="462"/>
      <c r="AB207" s="463"/>
      <c r="AC207" s="463"/>
      <c r="AD207" s="463"/>
      <c r="AE207" s="464"/>
      <c r="AF207" s="462">
        <v>0</v>
      </c>
      <c r="AG207" s="463">
        <v>0</v>
      </c>
      <c r="AH207" s="464">
        <v>0</v>
      </c>
    </row>
    <row r="208" spans="1:34" s="474" customFormat="1" ht="12.75" customHeight="1" outlineLevel="1">
      <c r="D208" s="262"/>
      <c r="E208" s="498"/>
      <c r="F208" s="517" t="s">
        <v>584</v>
      </c>
      <c r="G208" s="353">
        <f t="shared" ref="G208:P208" si="110">SUM(G206:G207)</f>
        <v>0</v>
      </c>
      <c r="H208" s="354">
        <f t="shared" si="110"/>
        <v>0</v>
      </c>
      <c r="I208" s="354">
        <f t="shared" si="110"/>
        <v>0</v>
      </c>
      <c r="J208" s="354">
        <f t="shared" si="110"/>
        <v>0</v>
      </c>
      <c r="K208" s="450">
        <f t="shared" si="110"/>
        <v>0</v>
      </c>
      <c r="L208" s="353">
        <f t="shared" si="110"/>
        <v>0</v>
      </c>
      <c r="M208" s="354">
        <f t="shared" si="110"/>
        <v>0</v>
      </c>
      <c r="N208" s="354">
        <f t="shared" si="110"/>
        <v>0</v>
      </c>
      <c r="O208" s="354">
        <f t="shared" si="110"/>
        <v>0</v>
      </c>
      <c r="P208" s="450">
        <f t="shared" si="110"/>
        <v>0</v>
      </c>
      <c r="Q208" s="1184"/>
      <c r="R208" s="447">
        <f>SUM(R206:R207)</f>
        <v>0</v>
      </c>
      <c r="S208" s="354">
        <f>SUM(S206:S207)</f>
        <v>0</v>
      </c>
      <c r="T208" s="354">
        <f>SUM(T206:T207)</f>
        <v>0</v>
      </c>
      <c r="U208" s="354">
        <f>SUM(U206:U207)</f>
        <v>0</v>
      </c>
      <c r="V208" s="450">
        <f>SUM(V206:V207)</f>
        <v>0</v>
      </c>
      <c r="W208" s="4141"/>
      <c r="X208" s="1172"/>
      <c r="Y208" s="1172"/>
      <c r="Z208" s="1172"/>
      <c r="AA208" s="353">
        <f t="shared" ref="AA208:AH208" si="111">SUM(AA206:AA207)</f>
        <v>0</v>
      </c>
      <c r="AB208" s="354">
        <f t="shared" si="111"/>
        <v>0</v>
      </c>
      <c r="AC208" s="354">
        <f t="shared" si="111"/>
        <v>0</v>
      </c>
      <c r="AD208" s="354">
        <f t="shared" si="111"/>
        <v>0</v>
      </c>
      <c r="AE208" s="450">
        <f t="shared" si="111"/>
        <v>0</v>
      </c>
      <c r="AF208" s="353">
        <f t="shared" si="111"/>
        <v>0</v>
      </c>
      <c r="AG208" s="354">
        <f t="shared" si="111"/>
        <v>0</v>
      </c>
      <c r="AH208" s="450">
        <f t="shared" si="111"/>
        <v>0</v>
      </c>
    </row>
    <row r="209" spans="1:34" s="474" customFormat="1" ht="12.75" customHeight="1" outlineLevel="1">
      <c r="D209" s="262"/>
      <c r="E209" s="498"/>
      <c r="F209" s="516" t="s">
        <v>35</v>
      </c>
      <c r="G209" s="459"/>
      <c r="H209" s="458"/>
      <c r="I209" s="458"/>
      <c r="J209" s="458"/>
      <c r="K209" s="460"/>
      <c r="L209" s="459"/>
      <c r="M209" s="458"/>
      <c r="N209" s="458"/>
      <c r="O209" s="458"/>
      <c r="P209" s="460"/>
      <c r="Q209" s="1183"/>
      <c r="R209" s="413"/>
      <c r="S209" s="458"/>
      <c r="T209" s="458"/>
      <c r="U209" s="458"/>
      <c r="V209" s="460"/>
      <c r="W209" s="4141"/>
      <c r="X209" s="1172"/>
      <c r="Y209" s="1172"/>
      <c r="Z209" s="1172"/>
      <c r="AA209" s="462"/>
      <c r="AB209" s="463"/>
      <c r="AC209" s="463"/>
      <c r="AD209" s="463"/>
      <c r="AE209" s="464"/>
      <c r="AF209" s="462"/>
      <c r="AG209" s="463"/>
      <c r="AH209" s="464"/>
    </row>
    <row r="210" spans="1:34" s="474" customFormat="1" ht="12.75" customHeight="1" outlineLevel="1" thickBot="1">
      <c r="D210" s="262"/>
      <c r="E210" s="498"/>
      <c r="F210" s="1409" t="s">
        <v>585</v>
      </c>
      <c r="G210" s="1370">
        <f t="shared" ref="G210:P210" si="112">G208-G209</f>
        <v>0</v>
      </c>
      <c r="H210" s="356">
        <f t="shared" si="112"/>
        <v>0</v>
      </c>
      <c r="I210" s="356">
        <f t="shared" si="112"/>
        <v>0</v>
      </c>
      <c r="J210" s="356">
        <f t="shared" si="112"/>
        <v>0</v>
      </c>
      <c r="K210" s="503">
        <f t="shared" si="112"/>
        <v>0</v>
      </c>
      <c r="L210" s="1370">
        <f t="shared" si="112"/>
        <v>0</v>
      </c>
      <c r="M210" s="356">
        <f t="shared" si="112"/>
        <v>0</v>
      </c>
      <c r="N210" s="356">
        <f t="shared" si="112"/>
        <v>0</v>
      </c>
      <c r="O210" s="356">
        <f t="shared" si="112"/>
        <v>0</v>
      </c>
      <c r="P210" s="503">
        <f t="shared" si="112"/>
        <v>0</v>
      </c>
      <c r="Q210" s="1185"/>
      <c r="R210" s="502">
        <f>R208-R209</f>
        <v>0</v>
      </c>
      <c r="S210" s="356">
        <f>S208-S209</f>
        <v>0</v>
      </c>
      <c r="T210" s="356">
        <f>T208-T209</f>
        <v>0</v>
      </c>
      <c r="U210" s="356">
        <f>U208-U209</f>
        <v>0</v>
      </c>
      <c r="V210" s="503">
        <f>V208-V209</f>
        <v>0</v>
      </c>
      <c r="W210" s="4142"/>
      <c r="X210" s="1172"/>
      <c r="Y210" s="1172"/>
      <c r="Z210" s="1172"/>
      <c r="AA210" s="1370">
        <f t="shared" ref="AA210:AH210" si="113">AA208-AA209</f>
        <v>0</v>
      </c>
      <c r="AB210" s="356">
        <f t="shared" si="113"/>
        <v>0</v>
      </c>
      <c r="AC210" s="356">
        <f t="shared" si="113"/>
        <v>0</v>
      </c>
      <c r="AD210" s="356">
        <f t="shared" si="113"/>
        <v>0</v>
      </c>
      <c r="AE210" s="503">
        <f t="shared" si="113"/>
        <v>0</v>
      </c>
      <c r="AF210" s="1370">
        <f t="shared" si="113"/>
        <v>0</v>
      </c>
      <c r="AG210" s="356">
        <f t="shared" si="113"/>
        <v>0</v>
      </c>
      <c r="AH210" s="503">
        <f t="shared" si="113"/>
        <v>0</v>
      </c>
    </row>
    <row r="211" spans="1:34" s="474" customFormat="1" ht="23.25" customHeight="1" outlineLevel="1">
      <c r="A211" s="183"/>
      <c r="B211" s="183"/>
      <c r="C211" s="183"/>
      <c r="D211" s="262"/>
      <c r="E211" s="3457" t="s">
        <v>1543</v>
      </c>
      <c r="F211" s="842" t="s">
        <v>593</v>
      </c>
      <c r="G211" s="1574"/>
      <c r="H211" s="1575"/>
      <c r="I211" s="1575"/>
      <c r="J211" s="1575"/>
      <c r="K211" s="1584"/>
      <c r="L211" s="538"/>
      <c r="M211" s="539"/>
      <c r="N211" s="539"/>
      <c r="O211" s="539"/>
      <c r="P211" s="540"/>
      <c r="Q211" s="1182"/>
      <c r="R211" s="539"/>
      <c r="S211" s="539"/>
      <c r="T211" s="539"/>
      <c r="U211" s="539"/>
      <c r="V211" s="540"/>
      <c r="W211" s="4140"/>
      <c r="X211" s="1172"/>
      <c r="Y211" s="1172"/>
      <c r="Z211" s="1172"/>
      <c r="AA211" s="527"/>
      <c r="AB211" s="528"/>
      <c r="AC211" s="528"/>
      <c r="AD211" s="528"/>
      <c r="AE211" s="529"/>
      <c r="AF211" s="538"/>
      <c r="AG211" s="539"/>
      <c r="AH211" s="540"/>
    </row>
    <row r="212" spans="1:34" s="474" customFormat="1" ht="12.75" customHeight="1" outlineLevel="1">
      <c r="D212" s="262"/>
      <c r="E212" s="498"/>
      <c r="F212" s="516" t="s">
        <v>559</v>
      </c>
      <c r="G212" s="1576"/>
      <c r="H212" s="1577"/>
      <c r="I212" s="1577"/>
      <c r="J212" s="1577"/>
      <c r="K212" s="1585"/>
      <c r="L212" s="459"/>
      <c r="M212" s="458"/>
      <c r="N212" s="458">
        <v>17331.72</v>
      </c>
      <c r="O212" s="458"/>
      <c r="P212" s="460"/>
      <c r="Q212" s="1183"/>
      <c r="R212" s="413"/>
      <c r="S212" s="458"/>
      <c r="T212" s="458"/>
      <c r="U212" s="458"/>
      <c r="V212" s="460"/>
      <c r="W212" s="4141"/>
      <c r="X212" s="1172"/>
      <c r="Y212" s="1172"/>
      <c r="Z212" s="1172"/>
      <c r="AA212" s="470"/>
      <c r="AB212" s="468"/>
      <c r="AC212" s="468"/>
      <c r="AD212" s="468"/>
      <c r="AE212" s="530"/>
      <c r="AF212" s="462"/>
      <c r="AG212" s="463"/>
      <c r="AH212" s="464"/>
    </row>
    <row r="213" spans="1:34" s="474" customFormat="1" ht="12.75" customHeight="1" outlineLevel="1">
      <c r="D213" s="262"/>
      <c r="E213" s="498"/>
      <c r="F213" s="516" t="s">
        <v>558</v>
      </c>
      <c r="G213" s="1576"/>
      <c r="H213" s="1577"/>
      <c r="I213" s="1577"/>
      <c r="J213" s="1577"/>
      <c r="K213" s="1585"/>
      <c r="L213" s="459"/>
      <c r="M213" s="458"/>
      <c r="N213" s="458">
        <v>0</v>
      </c>
      <c r="O213" s="458"/>
      <c r="P213" s="460"/>
      <c r="Q213" s="1183"/>
      <c r="R213" s="413"/>
      <c r="S213" s="458"/>
      <c r="T213" s="458"/>
      <c r="U213" s="458"/>
      <c r="V213" s="460"/>
      <c r="W213" s="4141"/>
      <c r="X213" s="1172"/>
      <c r="Y213" s="1172"/>
      <c r="Z213" s="1172"/>
      <c r="AA213" s="470"/>
      <c r="AB213" s="468"/>
      <c r="AC213" s="468"/>
      <c r="AD213" s="468"/>
      <c r="AE213" s="530"/>
      <c r="AF213" s="462"/>
      <c r="AG213" s="463"/>
      <c r="AH213" s="464"/>
    </row>
    <row r="214" spans="1:34" s="474" customFormat="1" ht="12.75" customHeight="1" outlineLevel="1">
      <c r="D214" s="262"/>
      <c r="E214" s="498"/>
      <c r="F214" s="516" t="s">
        <v>578</v>
      </c>
      <c r="G214" s="1576"/>
      <c r="H214" s="1577"/>
      <c r="I214" s="1577"/>
      <c r="J214" s="1577"/>
      <c r="K214" s="1585"/>
      <c r="L214" s="458"/>
      <c r="M214" s="458"/>
      <c r="N214" s="458">
        <v>15206.6</v>
      </c>
      <c r="O214" s="458"/>
      <c r="P214" s="460"/>
      <c r="Q214" s="1183"/>
      <c r="R214" s="413"/>
      <c r="S214" s="458"/>
      <c r="T214" s="458"/>
      <c r="U214" s="458"/>
      <c r="V214" s="460"/>
      <c r="W214" s="4141"/>
      <c r="X214" s="1172"/>
      <c r="Y214" s="1172"/>
      <c r="Z214" s="1172"/>
      <c r="AA214" s="470"/>
      <c r="AB214" s="468"/>
      <c r="AC214" s="468"/>
      <c r="AD214" s="468"/>
      <c r="AE214" s="530"/>
      <c r="AF214" s="462"/>
      <c r="AG214" s="463"/>
      <c r="AH214" s="464"/>
    </row>
    <row r="215" spans="1:34" s="474" customFormat="1" ht="12.75" customHeight="1" outlineLevel="1">
      <c r="D215" s="262"/>
      <c r="E215" s="498"/>
      <c r="F215" s="517" t="s">
        <v>579</v>
      </c>
      <c r="G215" s="459"/>
      <c r="H215" s="458"/>
      <c r="I215" s="458"/>
      <c r="J215" s="458"/>
      <c r="K215" s="460"/>
      <c r="L215" s="353">
        <f t="shared" ref="L215:P215" si="114">SUM(L212:L214)</f>
        <v>0</v>
      </c>
      <c r="M215" s="354">
        <f t="shared" si="114"/>
        <v>0</v>
      </c>
      <c r="N215" s="354">
        <f t="shared" si="114"/>
        <v>32538.32</v>
      </c>
      <c r="O215" s="354">
        <f t="shared" si="114"/>
        <v>0</v>
      </c>
      <c r="P215" s="450">
        <f t="shared" si="114"/>
        <v>0</v>
      </c>
      <c r="Q215" s="1184"/>
      <c r="R215" s="447">
        <f>SUM(R212:R214)</f>
        <v>0</v>
      </c>
      <c r="S215" s="354">
        <f>SUM(S212:S214)</f>
        <v>0</v>
      </c>
      <c r="T215" s="354">
        <f>SUM(T212:T214)</f>
        <v>0</v>
      </c>
      <c r="U215" s="354">
        <f>SUM(U212:U214)</f>
        <v>0</v>
      </c>
      <c r="V215" s="450">
        <f>SUM(V212:V214)</f>
        <v>0</v>
      </c>
      <c r="W215" s="4141"/>
      <c r="X215" s="1172"/>
      <c r="Y215" s="1172"/>
      <c r="Z215" s="1172"/>
      <c r="AA215" s="462"/>
      <c r="AB215" s="463"/>
      <c r="AC215" s="463"/>
      <c r="AD215" s="463"/>
      <c r="AE215" s="464"/>
      <c r="AF215" s="353">
        <f t="shared" ref="AF215:AH215" si="115">SUM(AF212:AF214)</f>
        <v>0</v>
      </c>
      <c r="AG215" s="354">
        <f t="shared" si="115"/>
        <v>0</v>
      </c>
      <c r="AH215" s="450">
        <f t="shared" si="115"/>
        <v>0</v>
      </c>
    </row>
    <row r="216" spans="1:34" s="474" customFormat="1" ht="12.75" customHeight="1" outlineLevel="1">
      <c r="D216" s="262"/>
      <c r="E216" s="498"/>
      <c r="F216" s="516" t="s">
        <v>583</v>
      </c>
      <c r="G216" s="459"/>
      <c r="H216" s="458"/>
      <c r="I216" s="458"/>
      <c r="J216" s="458"/>
      <c r="K216" s="460"/>
      <c r="L216" s="511">
        <v>0</v>
      </c>
      <c r="M216" s="512">
        <v>0</v>
      </c>
      <c r="N216" s="512">
        <v>0</v>
      </c>
      <c r="O216" s="512">
        <v>0</v>
      </c>
      <c r="P216" s="547">
        <v>0</v>
      </c>
      <c r="Q216" s="1183"/>
      <c r="R216" s="504"/>
      <c r="S216" s="477"/>
      <c r="T216" s="477"/>
      <c r="U216" s="477"/>
      <c r="V216" s="519"/>
      <c r="W216" s="4141"/>
      <c r="X216" s="1172"/>
      <c r="Y216" s="1172"/>
      <c r="Z216" s="1172"/>
      <c r="AA216" s="462"/>
      <c r="AB216" s="463"/>
      <c r="AC216" s="463"/>
      <c r="AD216" s="463"/>
      <c r="AE216" s="464"/>
      <c r="AF216" s="511">
        <v>0</v>
      </c>
      <c r="AG216" s="512">
        <v>0</v>
      </c>
      <c r="AH216" s="547">
        <v>0</v>
      </c>
    </row>
    <row r="217" spans="1:34" s="474" customFormat="1" ht="12.75" customHeight="1" outlineLevel="1">
      <c r="D217" s="262"/>
      <c r="E217" s="498"/>
      <c r="F217" s="516" t="s">
        <v>581</v>
      </c>
      <c r="G217" s="459"/>
      <c r="H217" s="458"/>
      <c r="I217" s="458"/>
      <c r="J217" s="458"/>
      <c r="K217" s="460"/>
      <c r="L217" s="462">
        <v>0</v>
      </c>
      <c r="M217" s="463">
        <v>0</v>
      </c>
      <c r="N217" s="463">
        <v>0</v>
      </c>
      <c r="O217" s="463">
        <v>0</v>
      </c>
      <c r="P217" s="464">
        <v>0</v>
      </c>
      <c r="Q217" s="1183"/>
      <c r="R217" s="413"/>
      <c r="S217" s="458"/>
      <c r="T217" s="458"/>
      <c r="U217" s="458"/>
      <c r="V217" s="460"/>
      <c r="W217" s="4141"/>
      <c r="X217" s="1172"/>
      <c r="Y217" s="1172"/>
      <c r="Z217" s="1172"/>
      <c r="AA217" s="462"/>
      <c r="AB217" s="463"/>
      <c r="AC217" s="463"/>
      <c r="AD217" s="463"/>
      <c r="AE217" s="464"/>
      <c r="AF217" s="462">
        <v>0</v>
      </c>
      <c r="AG217" s="463">
        <v>0</v>
      </c>
      <c r="AH217" s="464">
        <v>0</v>
      </c>
    </row>
    <row r="218" spans="1:34" s="474" customFormat="1" ht="12.75" customHeight="1" outlineLevel="1">
      <c r="D218" s="262"/>
      <c r="E218" s="498"/>
      <c r="F218" s="517" t="s">
        <v>584</v>
      </c>
      <c r="G218" s="353">
        <f t="shared" ref="G218:P218" si="116">SUM(G216:G217)</f>
        <v>0</v>
      </c>
      <c r="H218" s="354">
        <f t="shared" si="116"/>
        <v>0</v>
      </c>
      <c r="I218" s="354">
        <f t="shared" si="116"/>
        <v>0</v>
      </c>
      <c r="J218" s="354">
        <f t="shared" si="116"/>
        <v>0</v>
      </c>
      <c r="K218" s="450">
        <f t="shared" si="116"/>
        <v>0</v>
      </c>
      <c r="L218" s="353">
        <f t="shared" si="116"/>
        <v>0</v>
      </c>
      <c r="M218" s="354">
        <f t="shared" si="116"/>
        <v>0</v>
      </c>
      <c r="N218" s="354">
        <f t="shared" si="116"/>
        <v>0</v>
      </c>
      <c r="O218" s="354">
        <f t="shared" si="116"/>
        <v>0</v>
      </c>
      <c r="P218" s="450">
        <f t="shared" si="116"/>
        <v>0</v>
      </c>
      <c r="Q218" s="1184"/>
      <c r="R218" s="447">
        <f>SUM(R216:R217)</f>
        <v>0</v>
      </c>
      <c r="S218" s="354">
        <f>SUM(S216:S217)</f>
        <v>0</v>
      </c>
      <c r="T218" s="354">
        <f>SUM(T216:T217)</f>
        <v>0</v>
      </c>
      <c r="U218" s="354">
        <f>SUM(U216:U217)</f>
        <v>0</v>
      </c>
      <c r="V218" s="450">
        <f>SUM(V216:V217)</f>
        <v>0</v>
      </c>
      <c r="W218" s="4141"/>
      <c r="X218" s="1172"/>
      <c r="Y218" s="1172"/>
      <c r="Z218" s="1172"/>
      <c r="AA218" s="353">
        <f t="shared" ref="AA218:AH218" si="117">SUM(AA216:AA217)</f>
        <v>0</v>
      </c>
      <c r="AB218" s="354">
        <f t="shared" si="117"/>
        <v>0</v>
      </c>
      <c r="AC218" s="354">
        <f t="shared" si="117"/>
        <v>0</v>
      </c>
      <c r="AD218" s="354">
        <f t="shared" si="117"/>
        <v>0</v>
      </c>
      <c r="AE218" s="450">
        <f t="shared" si="117"/>
        <v>0</v>
      </c>
      <c r="AF218" s="353">
        <f t="shared" si="117"/>
        <v>0</v>
      </c>
      <c r="AG218" s="354">
        <f t="shared" si="117"/>
        <v>0</v>
      </c>
      <c r="AH218" s="450">
        <f t="shared" si="117"/>
        <v>0</v>
      </c>
    </row>
    <row r="219" spans="1:34" s="474" customFormat="1" ht="12.75" customHeight="1" outlineLevel="1">
      <c r="D219" s="262"/>
      <c r="E219" s="498"/>
      <c r="F219" s="516" t="s">
        <v>35</v>
      </c>
      <c r="G219" s="459"/>
      <c r="H219" s="458"/>
      <c r="I219" s="458"/>
      <c r="J219" s="458"/>
      <c r="K219" s="460"/>
      <c r="L219" s="459"/>
      <c r="M219" s="458"/>
      <c r="N219" s="458"/>
      <c r="O219" s="458"/>
      <c r="P219" s="460"/>
      <c r="Q219" s="1183"/>
      <c r="R219" s="413"/>
      <c r="S219" s="458"/>
      <c r="T219" s="458"/>
      <c r="U219" s="458"/>
      <c r="V219" s="460"/>
      <c r="W219" s="4141"/>
      <c r="X219" s="1172"/>
      <c r="Y219" s="1172"/>
      <c r="Z219" s="1172"/>
      <c r="AA219" s="462"/>
      <c r="AB219" s="463"/>
      <c r="AC219" s="463"/>
      <c r="AD219" s="463"/>
      <c r="AE219" s="464"/>
      <c r="AF219" s="462"/>
      <c r="AG219" s="463"/>
      <c r="AH219" s="464"/>
    </row>
    <row r="220" spans="1:34" s="474" customFormat="1" ht="12.75" customHeight="1" outlineLevel="1" thickBot="1">
      <c r="D220" s="262"/>
      <c r="E220" s="498"/>
      <c r="F220" s="1409" t="s">
        <v>585</v>
      </c>
      <c r="G220" s="1370">
        <f t="shared" ref="G220:P220" si="118">G218-G219</f>
        <v>0</v>
      </c>
      <c r="H220" s="356">
        <f t="shared" si="118"/>
        <v>0</v>
      </c>
      <c r="I220" s="356">
        <f t="shared" si="118"/>
        <v>0</v>
      </c>
      <c r="J220" s="356">
        <f t="shared" si="118"/>
        <v>0</v>
      </c>
      <c r="K220" s="503">
        <f t="shared" si="118"/>
        <v>0</v>
      </c>
      <c r="L220" s="1370">
        <f t="shared" si="118"/>
        <v>0</v>
      </c>
      <c r="M220" s="356">
        <f t="shared" si="118"/>
        <v>0</v>
      </c>
      <c r="N220" s="356">
        <f t="shared" si="118"/>
        <v>0</v>
      </c>
      <c r="O220" s="356">
        <f t="shared" si="118"/>
        <v>0</v>
      </c>
      <c r="P220" s="503">
        <f t="shared" si="118"/>
        <v>0</v>
      </c>
      <c r="Q220" s="1185"/>
      <c r="R220" s="502">
        <f>R218-R219</f>
        <v>0</v>
      </c>
      <c r="S220" s="356">
        <f>S218-S219</f>
        <v>0</v>
      </c>
      <c r="T220" s="356">
        <f>T218-T219</f>
        <v>0</v>
      </c>
      <c r="U220" s="356">
        <f>U218-U219</f>
        <v>0</v>
      </c>
      <c r="V220" s="503">
        <f>V218-V219</f>
        <v>0</v>
      </c>
      <c r="W220" s="4142"/>
      <c r="X220" s="1172"/>
      <c r="Y220" s="1172"/>
      <c r="Z220" s="1172"/>
      <c r="AA220" s="1370">
        <f t="shared" ref="AA220:AH220" si="119">AA218-AA219</f>
        <v>0</v>
      </c>
      <c r="AB220" s="356">
        <f t="shared" si="119"/>
        <v>0</v>
      </c>
      <c r="AC220" s="356">
        <f t="shared" si="119"/>
        <v>0</v>
      </c>
      <c r="AD220" s="356">
        <f t="shared" si="119"/>
        <v>0</v>
      </c>
      <c r="AE220" s="503">
        <f t="shared" si="119"/>
        <v>0</v>
      </c>
      <c r="AF220" s="1370">
        <f t="shared" si="119"/>
        <v>0</v>
      </c>
      <c r="AG220" s="356">
        <f t="shared" si="119"/>
        <v>0</v>
      </c>
      <c r="AH220" s="503">
        <f t="shared" si="119"/>
        <v>0</v>
      </c>
    </row>
    <row r="221" spans="1:34" s="474" customFormat="1" ht="27.75" customHeight="1" outlineLevel="1">
      <c r="A221" s="183"/>
      <c r="B221" s="183"/>
      <c r="C221" s="183"/>
      <c r="D221" s="262"/>
      <c r="E221" s="3457" t="s">
        <v>1544</v>
      </c>
      <c r="F221" s="842" t="s">
        <v>593</v>
      </c>
      <c r="G221" s="1574"/>
      <c r="H221" s="1575"/>
      <c r="I221" s="1575"/>
      <c r="J221" s="1575"/>
      <c r="K221" s="1584"/>
      <c r="L221" s="538"/>
      <c r="M221" s="539"/>
      <c r="N221" s="539"/>
      <c r="O221" s="539"/>
      <c r="P221" s="540"/>
      <c r="Q221" s="1182"/>
      <c r="R221" s="539"/>
      <c r="S221" s="539"/>
      <c r="T221" s="539"/>
      <c r="U221" s="539"/>
      <c r="V221" s="540"/>
      <c r="W221" s="4140"/>
      <c r="X221" s="1172"/>
      <c r="Y221" s="1172"/>
      <c r="Z221" s="1172"/>
      <c r="AA221" s="527"/>
      <c r="AB221" s="528"/>
      <c r="AC221" s="528"/>
      <c r="AD221" s="528"/>
      <c r="AE221" s="529"/>
      <c r="AF221" s="538"/>
      <c r="AG221" s="539"/>
      <c r="AH221" s="540"/>
    </row>
    <row r="222" spans="1:34" s="474" customFormat="1" ht="12.75" customHeight="1" outlineLevel="1">
      <c r="A222" s="183"/>
      <c r="B222" s="183"/>
      <c r="C222" s="183"/>
      <c r="D222" s="262"/>
      <c r="E222" s="498"/>
      <c r="F222" s="516" t="s">
        <v>559</v>
      </c>
      <c r="G222" s="1576"/>
      <c r="H222" s="1577"/>
      <c r="I222" s="1577"/>
      <c r="J222" s="1577"/>
      <c r="K222" s="1585"/>
      <c r="L222" s="459"/>
      <c r="M222" s="458"/>
      <c r="N222" s="458">
        <v>20203.989999999998</v>
      </c>
      <c r="O222" s="458"/>
      <c r="P222" s="460"/>
      <c r="Q222" s="1183"/>
      <c r="R222" s="413"/>
      <c r="S222" s="458"/>
      <c r="T222" s="458"/>
      <c r="U222" s="458"/>
      <c r="V222" s="460"/>
      <c r="W222" s="4141"/>
      <c r="X222" s="1172"/>
      <c r="Y222" s="1172"/>
      <c r="Z222" s="1172"/>
      <c r="AA222" s="470"/>
      <c r="AB222" s="468"/>
      <c r="AC222" s="468"/>
      <c r="AD222" s="468"/>
      <c r="AE222" s="530"/>
      <c r="AF222" s="462"/>
      <c r="AG222" s="463"/>
      <c r="AH222" s="464"/>
    </row>
    <row r="223" spans="1:34" s="474" customFormat="1" ht="12.75" customHeight="1" outlineLevel="1">
      <c r="D223" s="262"/>
      <c r="E223" s="498"/>
      <c r="F223" s="516" t="s">
        <v>558</v>
      </c>
      <c r="G223" s="1576"/>
      <c r="H223" s="1577"/>
      <c r="I223" s="1577"/>
      <c r="J223" s="1577"/>
      <c r="K223" s="1585"/>
      <c r="L223" s="459"/>
      <c r="M223" s="458"/>
      <c r="N223" s="458">
        <v>2011.95</v>
      </c>
      <c r="O223" s="458"/>
      <c r="P223" s="460"/>
      <c r="Q223" s="1183"/>
      <c r="R223" s="413"/>
      <c r="S223" s="458"/>
      <c r="T223" s="458"/>
      <c r="U223" s="458"/>
      <c r="V223" s="460"/>
      <c r="W223" s="4141"/>
      <c r="X223" s="1172"/>
      <c r="Y223" s="1172"/>
      <c r="Z223" s="1172"/>
      <c r="AA223" s="470"/>
      <c r="AB223" s="468"/>
      <c r="AC223" s="468"/>
      <c r="AD223" s="468"/>
      <c r="AE223" s="530"/>
      <c r="AF223" s="462"/>
      <c r="AG223" s="463"/>
      <c r="AH223" s="464"/>
    </row>
    <row r="224" spans="1:34" s="474" customFormat="1" ht="12.75" customHeight="1" outlineLevel="1">
      <c r="D224" s="262"/>
      <c r="E224" s="498"/>
      <c r="F224" s="516" t="s">
        <v>578</v>
      </c>
      <c r="G224" s="1576"/>
      <c r="H224" s="1577"/>
      <c r="I224" s="1577"/>
      <c r="J224" s="1577"/>
      <c r="K224" s="1585"/>
      <c r="L224" s="459"/>
      <c r="M224" s="458"/>
      <c r="N224" s="458">
        <v>891.51</v>
      </c>
      <c r="O224" s="458"/>
      <c r="P224" s="460"/>
      <c r="Q224" s="1183"/>
      <c r="R224" s="413"/>
      <c r="S224" s="458"/>
      <c r="T224" s="458"/>
      <c r="U224" s="458"/>
      <c r="V224" s="460"/>
      <c r="W224" s="4141"/>
      <c r="X224" s="1172"/>
      <c r="Y224" s="1172"/>
      <c r="Z224" s="1172"/>
      <c r="AA224" s="470"/>
      <c r="AB224" s="468"/>
      <c r="AC224" s="468"/>
      <c r="AD224" s="468"/>
      <c r="AE224" s="530"/>
      <c r="AF224" s="462"/>
      <c r="AG224" s="463"/>
      <c r="AH224" s="464"/>
    </row>
    <row r="225" spans="1:34" s="474" customFormat="1" ht="12.75" customHeight="1" outlineLevel="1">
      <c r="D225" s="262"/>
      <c r="E225" s="498"/>
      <c r="F225" s="517" t="s">
        <v>579</v>
      </c>
      <c r="G225" s="459"/>
      <c r="H225" s="458"/>
      <c r="I225" s="458"/>
      <c r="J225" s="458"/>
      <c r="K225" s="460"/>
      <c r="L225" s="353">
        <f t="shared" ref="L225:P225" si="120">SUM(L222:L224)</f>
        <v>0</v>
      </c>
      <c r="M225" s="354">
        <f t="shared" si="120"/>
        <v>0</v>
      </c>
      <c r="N225" s="354">
        <f t="shared" si="120"/>
        <v>23107.449999999997</v>
      </c>
      <c r="O225" s="354">
        <f t="shared" si="120"/>
        <v>0</v>
      </c>
      <c r="P225" s="450">
        <f t="shared" si="120"/>
        <v>0</v>
      </c>
      <c r="Q225" s="1184"/>
      <c r="R225" s="447">
        <f>SUM(R222:R224)</f>
        <v>0</v>
      </c>
      <c r="S225" s="354">
        <f>SUM(S222:S224)</f>
        <v>0</v>
      </c>
      <c r="T225" s="354">
        <f>SUM(T222:T224)</f>
        <v>0</v>
      </c>
      <c r="U225" s="354">
        <f>SUM(U222:U224)</f>
        <v>0</v>
      </c>
      <c r="V225" s="450">
        <f>SUM(V222:V224)</f>
        <v>0</v>
      </c>
      <c r="W225" s="4141"/>
      <c r="X225" s="1172"/>
      <c r="Y225" s="1172"/>
      <c r="Z225" s="1172"/>
      <c r="AA225" s="462"/>
      <c r="AB225" s="463"/>
      <c r="AC225" s="463"/>
      <c r="AD225" s="463"/>
      <c r="AE225" s="464"/>
      <c r="AF225" s="353">
        <f t="shared" ref="AF225:AH225" si="121">SUM(AF222:AF224)</f>
        <v>0</v>
      </c>
      <c r="AG225" s="354">
        <f t="shared" si="121"/>
        <v>0</v>
      </c>
      <c r="AH225" s="450">
        <f t="shared" si="121"/>
        <v>0</v>
      </c>
    </row>
    <row r="226" spans="1:34" s="474" customFormat="1" ht="12.75" customHeight="1" outlineLevel="1">
      <c r="D226" s="262"/>
      <c r="E226" s="498"/>
      <c r="F226" s="516" t="s">
        <v>583</v>
      </c>
      <c r="G226" s="459"/>
      <c r="H226" s="458"/>
      <c r="I226" s="458"/>
      <c r="J226" s="458"/>
      <c r="K226" s="460"/>
      <c r="L226" s="511">
        <v>0</v>
      </c>
      <c r="M226" s="512">
        <v>0</v>
      </c>
      <c r="N226" s="512">
        <v>0</v>
      </c>
      <c r="O226" s="512">
        <v>0</v>
      </c>
      <c r="P226" s="547">
        <v>0</v>
      </c>
      <c r="Q226" s="1183"/>
      <c r="R226" s="504"/>
      <c r="S226" s="477"/>
      <c r="T226" s="477"/>
      <c r="U226" s="477"/>
      <c r="V226" s="519"/>
      <c r="W226" s="4141"/>
      <c r="X226" s="1172"/>
      <c r="Y226" s="1172"/>
      <c r="Z226" s="1172"/>
      <c r="AA226" s="462"/>
      <c r="AB226" s="463"/>
      <c r="AC226" s="463"/>
      <c r="AD226" s="463"/>
      <c r="AE226" s="464"/>
      <c r="AF226" s="511">
        <v>0</v>
      </c>
      <c r="AG226" s="512">
        <v>0</v>
      </c>
      <c r="AH226" s="547">
        <v>0</v>
      </c>
    </row>
    <row r="227" spans="1:34" s="474" customFormat="1" ht="12.75" customHeight="1" outlineLevel="1">
      <c r="D227" s="262"/>
      <c r="E227" s="498"/>
      <c r="F227" s="516" t="s">
        <v>581</v>
      </c>
      <c r="G227" s="459"/>
      <c r="H227" s="458"/>
      <c r="I227" s="458"/>
      <c r="J227" s="458"/>
      <c r="K227" s="460"/>
      <c r="L227" s="462">
        <v>0</v>
      </c>
      <c r="M227" s="463">
        <v>0</v>
      </c>
      <c r="N227" s="463">
        <v>0</v>
      </c>
      <c r="O227" s="463">
        <v>0</v>
      </c>
      <c r="P227" s="464">
        <v>0</v>
      </c>
      <c r="Q227" s="1183"/>
      <c r="R227" s="413"/>
      <c r="S227" s="458"/>
      <c r="T227" s="458"/>
      <c r="U227" s="458"/>
      <c r="V227" s="460"/>
      <c r="W227" s="4141"/>
      <c r="X227" s="1172"/>
      <c r="Y227" s="1172"/>
      <c r="Z227" s="1172"/>
      <c r="AA227" s="462"/>
      <c r="AB227" s="463"/>
      <c r="AC227" s="463"/>
      <c r="AD227" s="463"/>
      <c r="AE227" s="464"/>
      <c r="AF227" s="462">
        <v>0</v>
      </c>
      <c r="AG227" s="463">
        <v>0</v>
      </c>
      <c r="AH227" s="464">
        <v>0</v>
      </c>
    </row>
    <row r="228" spans="1:34" s="474" customFormat="1" ht="12.75" customHeight="1" outlineLevel="1">
      <c r="D228" s="262"/>
      <c r="E228" s="498"/>
      <c r="F228" s="517" t="s">
        <v>584</v>
      </c>
      <c r="G228" s="353">
        <f t="shared" ref="G228:P228" si="122">SUM(G226:G227)</f>
        <v>0</v>
      </c>
      <c r="H228" s="354">
        <f t="shared" si="122"/>
        <v>0</v>
      </c>
      <c r="I228" s="354">
        <f t="shared" si="122"/>
        <v>0</v>
      </c>
      <c r="J228" s="354">
        <f t="shared" si="122"/>
        <v>0</v>
      </c>
      <c r="K228" s="450">
        <f t="shared" si="122"/>
        <v>0</v>
      </c>
      <c r="L228" s="353">
        <f t="shared" si="122"/>
        <v>0</v>
      </c>
      <c r="M228" s="354">
        <f t="shared" si="122"/>
        <v>0</v>
      </c>
      <c r="N228" s="354">
        <f t="shared" si="122"/>
        <v>0</v>
      </c>
      <c r="O228" s="354">
        <f t="shared" si="122"/>
        <v>0</v>
      </c>
      <c r="P228" s="450">
        <f t="shared" si="122"/>
        <v>0</v>
      </c>
      <c r="Q228" s="1184"/>
      <c r="R228" s="447">
        <f>SUM(R226:R227)</f>
        <v>0</v>
      </c>
      <c r="S228" s="354">
        <f>SUM(S226:S227)</f>
        <v>0</v>
      </c>
      <c r="T228" s="354">
        <f>SUM(T226:T227)</f>
        <v>0</v>
      </c>
      <c r="U228" s="354">
        <f>SUM(U226:U227)</f>
        <v>0</v>
      </c>
      <c r="V228" s="450">
        <f>SUM(V226:V227)</f>
        <v>0</v>
      </c>
      <c r="W228" s="4141"/>
      <c r="X228" s="1172"/>
      <c r="Y228" s="1172"/>
      <c r="Z228" s="1172"/>
      <c r="AA228" s="353">
        <f t="shared" ref="AA228:AH228" si="123">SUM(AA226:AA227)</f>
        <v>0</v>
      </c>
      <c r="AB228" s="354">
        <f t="shared" si="123"/>
        <v>0</v>
      </c>
      <c r="AC228" s="354">
        <f t="shared" si="123"/>
        <v>0</v>
      </c>
      <c r="AD228" s="354">
        <f t="shared" si="123"/>
        <v>0</v>
      </c>
      <c r="AE228" s="450">
        <f t="shared" si="123"/>
        <v>0</v>
      </c>
      <c r="AF228" s="353">
        <f t="shared" si="123"/>
        <v>0</v>
      </c>
      <c r="AG228" s="354">
        <f t="shared" si="123"/>
        <v>0</v>
      </c>
      <c r="AH228" s="450">
        <f t="shared" si="123"/>
        <v>0</v>
      </c>
    </row>
    <row r="229" spans="1:34" s="474" customFormat="1" ht="12.75" customHeight="1" outlineLevel="1">
      <c r="D229" s="262"/>
      <c r="E229" s="498"/>
      <c r="F229" s="516" t="s">
        <v>35</v>
      </c>
      <c r="G229" s="459"/>
      <c r="H229" s="458"/>
      <c r="I229" s="458"/>
      <c r="J229" s="458"/>
      <c r="K229" s="460"/>
      <c r="L229" s="459"/>
      <c r="M229" s="458"/>
      <c r="N229" s="458"/>
      <c r="O229" s="458"/>
      <c r="P229" s="460"/>
      <c r="Q229" s="1183"/>
      <c r="R229" s="413"/>
      <c r="S229" s="458"/>
      <c r="T229" s="458"/>
      <c r="U229" s="458"/>
      <c r="V229" s="460"/>
      <c r="W229" s="4141"/>
      <c r="X229" s="1172"/>
      <c r="Y229" s="1172"/>
      <c r="Z229" s="1172"/>
      <c r="AA229" s="462"/>
      <c r="AB229" s="463"/>
      <c r="AC229" s="463"/>
      <c r="AD229" s="463"/>
      <c r="AE229" s="464"/>
      <c r="AF229" s="462"/>
      <c r="AG229" s="463"/>
      <c r="AH229" s="464"/>
    </row>
    <row r="230" spans="1:34" s="474" customFormat="1" ht="12.75" customHeight="1" outlineLevel="1" thickBot="1">
      <c r="D230" s="262"/>
      <c r="E230" s="498"/>
      <c r="F230" s="1409" t="s">
        <v>585</v>
      </c>
      <c r="G230" s="1370">
        <f t="shared" ref="G230:P230" si="124">G228-G229</f>
        <v>0</v>
      </c>
      <c r="H230" s="356">
        <f t="shared" si="124"/>
        <v>0</v>
      </c>
      <c r="I230" s="356">
        <f t="shared" si="124"/>
        <v>0</v>
      </c>
      <c r="J230" s="356">
        <f t="shared" si="124"/>
        <v>0</v>
      </c>
      <c r="K230" s="503">
        <f t="shared" si="124"/>
        <v>0</v>
      </c>
      <c r="L230" s="1370">
        <f t="shared" si="124"/>
        <v>0</v>
      </c>
      <c r="M230" s="356">
        <f t="shared" si="124"/>
        <v>0</v>
      </c>
      <c r="N230" s="356">
        <f t="shared" si="124"/>
        <v>0</v>
      </c>
      <c r="O230" s="356">
        <f t="shared" si="124"/>
        <v>0</v>
      </c>
      <c r="P230" s="503">
        <f t="shared" si="124"/>
        <v>0</v>
      </c>
      <c r="Q230" s="1185"/>
      <c r="R230" s="502">
        <f>R228-R229</f>
        <v>0</v>
      </c>
      <c r="S230" s="356">
        <f>S228-S229</f>
        <v>0</v>
      </c>
      <c r="T230" s="356">
        <f>T228-T229</f>
        <v>0</v>
      </c>
      <c r="U230" s="356">
        <f>U228-U229</f>
        <v>0</v>
      </c>
      <c r="V230" s="503">
        <f>V228-V229</f>
        <v>0</v>
      </c>
      <c r="W230" s="4142"/>
      <c r="X230" s="1172"/>
      <c r="Y230" s="1172"/>
      <c r="Z230" s="1172"/>
      <c r="AA230" s="1370">
        <f t="shared" ref="AA230:AH230" si="125">AA228-AA229</f>
        <v>0</v>
      </c>
      <c r="AB230" s="356">
        <f t="shared" si="125"/>
        <v>0</v>
      </c>
      <c r="AC230" s="356">
        <f t="shared" si="125"/>
        <v>0</v>
      </c>
      <c r="AD230" s="356">
        <f t="shared" si="125"/>
        <v>0</v>
      </c>
      <c r="AE230" s="503">
        <f t="shared" si="125"/>
        <v>0</v>
      </c>
      <c r="AF230" s="1370">
        <f t="shared" si="125"/>
        <v>0</v>
      </c>
      <c r="AG230" s="356">
        <f t="shared" si="125"/>
        <v>0</v>
      </c>
      <c r="AH230" s="503">
        <f t="shared" si="125"/>
        <v>0</v>
      </c>
    </row>
    <row r="231" spans="1:34" s="474" customFormat="1" ht="23.25" customHeight="1" outlineLevel="1">
      <c r="A231" s="183"/>
      <c r="B231" s="183"/>
      <c r="C231" s="183"/>
      <c r="D231" s="262"/>
      <c r="E231" s="3457" t="s">
        <v>1545</v>
      </c>
      <c r="F231" s="842" t="s">
        <v>593</v>
      </c>
      <c r="G231" s="1574"/>
      <c r="H231" s="1575"/>
      <c r="I231" s="1575"/>
      <c r="J231" s="1575"/>
      <c r="K231" s="1584"/>
      <c r="L231" s="538"/>
      <c r="M231" s="539"/>
      <c r="N231" s="539"/>
      <c r="O231" s="539"/>
      <c r="P231" s="540"/>
      <c r="Q231" s="1182"/>
      <c r="R231" s="539"/>
      <c r="S231" s="539"/>
      <c r="T231" s="539"/>
      <c r="U231" s="539"/>
      <c r="V231" s="540"/>
      <c r="W231" s="4140"/>
      <c r="X231" s="1172"/>
      <c r="Y231" s="1172"/>
      <c r="Z231" s="1172"/>
      <c r="AA231" s="527"/>
      <c r="AB231" s="528"/>
      <c r="AC231" s="528"/>
      <c r="AD231" s="528"/>
      <c r="AE231" s="529"/>
      <c r="AF231" s="538"/>
      <c r="AG231" s="539"/>
      <c r="AH231" s="540"/>
    </row>
    <row r="232" spans="1:34" s="474" customFormat="1" ht="12.75" customHeight="1" outlineLevel="1">
      <c r="D232" s="262"/>
      <c r="E232" s="498"/>
      <c r="F232" s="516" t="s">
        <v>559</v>
      </c>
      <c r="G232" s="1576"/>
      <c r="H232" s="1577"/>
      <c r="I232" s="1577"/>
      <c r="J232" s="1577"/>
      <c r="K232" s="1585"/>
      <c r="L232" s="459"/>
      <c r="M232" s="458"/>
      <c r="N232" s="458">
        <v>83382.349999999962</v>
      </c>
      <c r="O232" s="458"/>
      <c r="P232" s="460"/>
      <c r="Q232" s="1183"/>
      <c r="R232" s="413"/>
      <c r="S232" s="458"/>
      <c r="T232" s="458"/>
      <c r="U232" s="458"/>
      <c r="V232" s="460"/>
      <c r="W232" s="4141"/>
      <c r="X232" s="1172"/>
      <c r="Y232" s="1172"/>
      <c r="Z232" s="1172"/>
      <c r="AA232" s="470"/>
      <c r="AB232" s="468"/>
      <c r="AC232" s="468"/>
      <c r="AD232" s="468"/>
      <c r="AE232" s="530"/>
      <c r="AF232" s="462"/>
      <c r="AG232" s="463"/>
      <c r="AH232" s="464"/>
    </row>
    <row r="233" spans="1:34" s="474" customFormat="1" ht="12.75" customHeight="1" outlineLevel="1">
      <c r="D233" s="262"/>
      <c r="E233" s="498"/>
      <c r="F233" s="516" t="s">
        <v>558</v>
      </c>
      <c r="G233" s="1576"/>
      <c r="H233" s="1577"/>
      <c r="I233" s="1577"/>
      <c r="J233" s="1577"/>
      <c r="K233" s="1585"/>
      <c r="L233" s="459"/>
      <c r="M233" s="458"/>
      <c r="N233" s="458">
        <v>73954.709999999992</v>
      </c>
      <c r="O233" s="458"/>
      <c r="P233" s="460"/>
      <c r="Q233" s="1183"/>
      <c r="R233" s="413"/>
      <c r="S233" s="458"/>
      <c r="T233" s="458"/>
      <c r="U233" s="458"/>
      <c r="V233" s="460"/>
      <c r="W233" s="4141"/>
      <c r="X233" s="1172"/>
      <c r="Y233" s="1172"/>
      <c r="Z233" s="1172"/>
      <c r="AA233" s="470"/>
      <c r="AB233" s="468"/>
      <c r="AC233" s="468"/>
      <c r="AD233" s="468"/>
      <c r="AE233" s="530"/>
      <c r="AF233" s="462"/>
      <c r="AG233" s="463"/>
      <c r="AH233" s="464"/>
    </row>
    <row r="234" spans="1:34" s="474" customFormat="1" ht="12.75" customHeight="1" outlineLevel="1">
      <c r="D234" s="262"/>
      <c r="E234" s="498"/>
      <c r="F234" s="516" t="s">
        <v>578</v>
      </c>
      <c r="G234" s="1576"/>
      <c r="H234" s="1577"/>
      <c r="I234" s="1577"/>
      <c r="J234" s="1577"/>
      <c r="K234" s="1585"/>
      <c r="L234" s="459"/>
      <c r="M234" s="458"/>
      <c r="N234" s="458">
        <v>44439.690000000017</v>
      </c>
      <c r="O234" s="458"/>
      <c r="P234" s="460"/>
      <c r="Q234" s="1183"/>
      <c r="R234" s="413"/>
      <c r="S234" s="458"/>
      <c r="T234" s="458"/>
      <c r="U234" s="458"/>
      <c r="V234" s="460"/>
      <c r="W234" s="4141"/>
      <c r="X234" s="1172"/>
      <c r="Y234" s="1172"/>
      <c r="Z234" s="1172"/>
      <c r="AA234" s="470"/>
      <c r="AB234" s="468"/>
      <c r="AC234" s="468"/>
      <c r="AD234" s="468"/>
      <c r="AE234" s="530"/>
      <c r="AF234" s="462"/>
      <c r="AG234" s="463"/>
      <c r="AH234" s="464"/>
    </row>
    <row r="235" spans="1:34" s="474" customFormat="1" ht="12.75" customHeight="1" outlineLevel="1">
      <c r="D235" s="262"/>
      <c r="E235" s="498"/>
      <c r="F235" s="517" t="s">
        <v>579</v>
      </c>
      <c r="G235" s="459"/>
      <c r="H235" s="458"/>
      <c r="I235" s="458"/>
      <c r="J235" s="458"/>
      <c r="K235" s="460"/>
      <c r="L235" s="353">
        <f t="shared" ref="L235:P235" si="126">SUM(L232:L234)</f>
        <v>0</v>
      </c>
      <c r="M235" s="354">
        <f t="shared" si="126"/>
        <v>0</v>
      </c>
      <c r="N235" s="354">
        <f t="shared" si="126"/>
        <v>201776.74999999994</v>
      </c>
      <c r="O235" s="354">
        <f t="shared" si="126"/>
        <v>0</v>
      </c>
      <c r="P235" s="450">
        <f t="shared" si="126"/>
        <v>0</v>
      </c>
      <c r="Q235" s="1184"/>
      <c r="R235" s="447">
        <f>SUM(R232:R234)</f>
        <v>0</v>
      </c>
      <c r="S235" s="354">
        <f>SUM(S232:S234)</f>
        <v>0</v>
      </c>
      <c r="T235" s="354">
        <f>SUM(T232:T234)</f>
        <v>0</v>
      </c>
      <c r="U235" s="354">
        <f>SUM(U232:U234)</f>
        <v>0</v>
      </c>
      <c r="V235" s="450">
        <f>SUM(V232:V234)</f>
        <v>0</v>
      </c>
      <c r="W235" s="4141"/>
      <c r="X235" s="1172"/>
      <c r="Y235" s="1172"/>
      <c r="Z235" s="1172"/>
      <c r="AA235" s="462"/>
      <c r="AB235" s="463"/>
      <c r="AC235" s="463"/>
      <c r="AD235" s="463"/>
      <c r="AE235" s="464"/>
      <c r="AF235" s="353">
        <f t="shared" ref="AF235:AH235" si="127">SUM(AF232:AF234)</f>
        <v>0</v>
      </c>
      <c r="AG235" s="354">
        <f t="shared" si="127"/>
        <v>0</v>
      </c>
      <c r="AH235" s="450">
        <f t="shared" si="127"/>
        <v>0</v>
      </c>
    </row>
    <row r="236" spans="1:34" s="474" customFormat="1" ht="12.75" customHeight="1" outlineLevel="1">
      <c r="D236" s="262"/>
      <c r="E236" s="498"/>
      <c r="F236" s="516" t="s">
        <v>583</v>
      </c>
      <c r="G236" s="459"/>
      <c r="H236" s="458"/>
      <c r="I236" s="458"/>
      <c r="J236" s="458"/>
      <c r="K236" s="460"/>
      <c r="L236" s="511">
        <v>0</v>
      </c>
      <c r="M236" s="512">
        <v>0</v>
      </c>
      <c r="N236" s="512">
        <v>0</v>
      </c>
      <c r="O236" s="512">
        <v>0</v>
      </c>
      <c r="P236" s="547">
        <v>0</v>
      </c>
      <c r="Q236" s="1183"/>
      <c r="R236" s="504"/>
      <c r="S236" s="477"/>
      <c r="T236" s="477"/>
      <c r="U236" s="477"/>
      <c r="V236" s="519"/>
      <c r="W236" s="4141"/>
      <c r="X236" s="1172"/>
      <c r="Y236" s="1172"/>
      <c r="Z236" s="1172"/>
      <c r="AA236" s="462"/>
      <c r="AB236" s="463"/>
      <c r="AC236" s="463"/>
      <c r="AD236" s="463"/>
      <c r="AE236" s="464"/>
      <c r="AF236" s="511">
        <v>0</v>
      </c>
      <c r="AG236" s="512">
        <v>0</v>
      </c>
      <c r="AH236" s="547">
        <v>0</v>
      </c>
    </row>
    <row r="237" spans="1:34" s="474" customFormat="1" ht="12.75" customHeight="1" outlineLevel="1">
      <c r="D237" s="262"/>
      <c r="E237" s="498"/>
      <c r="F237" s="516" t="s">
        <v>581</v>
      </c>
      <c r="G237" s="459"/>
      <c r="H237" s="458"/>
      <c r="I237" s="458"/>
      <c r="J237" s="458"/>
      <c r="K237" s="460"/>
      <c r="L237" s="462">
        <v>0</v>
      </c>
      <c r="M237" s="463">
        <v>0</v>
      </c>
      <c r="N237" s="463">
        <v>0</v>
      </c>
      <c r="O237" s="463">
        <v>0</v>
      </c>
      <c r="P237" s="464">
        <v>0</v>
      </c>
      <c r="Q237" s="1183"/>
      <c r="R237" s="413"/>
      <c r="S237" s="458"/>
      <c r="T237" s="458"/>
      <c r="U237" s="458"/>
      <c r="V237" s="460"/>
      <c r="W237" s="4141"/>
      <c r="X237" s="1172"/>
      <c r="Y237" s="1172"/>
      <c r="Z237" s="1172"/>
      <c r="AA237" s="462"/>
      <c r="AB237" s="463"/>
      <c r="AC237" s="463"/>
      <c r="AD237" s="463"/>
      <c r="AE237" s="464"/>
      <c r="AF237" s="462">
        <v>0</v>
      </c>
      <c r="AG237" s="463">
        <v>0</v>
      </c>
      <c r="AH237" s="464">
        <v>0</v>
      </c>
    </row>
    <row r="238" spans="1:34" s="474" customFormat="1" ht="12.75" customHeight="1" outlineLevel="1">
      <c r="D238" s="262"/>
      <c r="E238" s="498"/>
      <c r="F238" s="517" t="s">
        <v>584</v>
      </c>
      <c r="G238" s="353">
        <f t="shared" ref="G238:P238" si="128">SUM(G236:G237)</f>
        <v>0</v>
      </c>
      <c r="H238" s="354">
        <f t="shared" si="128"/>
        <v>0</v>
      </c>
      <c r="I238" s="354">
        <f t="shared" si="128"/>
        <v>0</v>
      </c>
      <c r="J238" s="354">
        <f t="shared" si="128"/>
        <v>0</v>
      </c>
      <c r="K238" s="450">
        <f t="shared" si="128"/>
        <v>0</v>
      </c>
      <c r="L238" s="353">
        <f t="shared" si="128"/>
        <v>0</v>
      </c>
      <c r="M238" s="354">
        <f t="shared" si="128"/>
        <v>0</v>
      </c>
      <c r="N238" s="354">
        <f t="shared" si="128"/>
        <v>0</v>
      </c>
      <c r="O238" s="354">
        <f t="shared" si="128"/>
        <v>0</v>
      </c>
      <c r="P238" s="450">
        <f t="shared" si="128"/>
        <v>0</v>
      </c>
      <c r="Q238" s="1184"/>
      <c r="R238" s="447">
        <f>SUM(R236:R237)</f>
        <v>0</v>
      </c>
      <c r="S238" s="354">
        <f>SUM(S236:S237)</f>
        <v>0</v>
      </c>
      <c r="T238" s="354">
        <f>SUM(T236:T237)</f>
        <v>0</v>
      </c>
      <c r="U238" s="354">
        <f>SUM(U236:U237)</f>
        <v>0</v>
      </c>
      <c r="V238" s="450">
        <f>SUM(V236:V237)</f>
        <v>0</v>
      </c>
      <c r="W238" s="4141"/>
      <c r="X238" s="1172"/>
      <c r="Y238" s="1172"/>
      <c r="Z238" s="1172"/>
      <c r="AA238" s="353">
        <f t="shared" ref="AA238:AH238" si="129">SUM(AA236:AA237)</f>
        <v>0</v>
      </c>
      <c r="AB238" s="354">
        <f t="shared" si="129"/>
        <v>0</v>
      </c>
      <c r="AC238" s="354">
        <f t="shared" si="129"/>
        <v>0</v>
      </c>
      <c r="AD238" s="354">
        <f t="shared" si="129"/>
        <v>0</v>
      </c>
      <c r="AE238" s="450">
        <f t="shared" si="129"/>
        <v>0</v>
      </c>
      <c r="AF238" s="353">
        <f t="shared" si="129"/>
        <v>0</v>
      </c>
      <c r="AG238" s="354">
        <f t="shared" si="129"/>
        <v>0</v>
      </c>
      <c r="AH238" s="450">
        <f t="shared" si="129"/>
        <v>0</v>
      </c>
    </row>
    <row r="239" spans="1:34" s="474" customFormat="1" ht="12.75" customHeight="1" outlineLevel="1">
      <c r="D239" s="262"/>
      <c r="E239" s="498"/>
      <c r="F239" s="516" t="s">
        <v>35</v>
      </c>
      <c r="G239" s="459"/>
      <c r="H239" s="458"/>
      <c r="I239" s="458"/>
      <c r="J239" s="458"/>
      <c r="K239" s="460"/>
      <c r="L239" s="459"/>
      <c r="M239" s="458"/>
      <c r="N239" s="458"/>
      <c r="O239" s="458"/>
      <c r="P239" s="460"/>
      <c r="Q239" s="1183"/>
      <c r="R239" s="413"/>
      <c r="S239" s="458"/>
      <c r="T239" s="458"/>
      <c r="U239" s="458"/>
      <c r="V239" s="460"/>
      <c r="W239" s="4141"/>
      <c r="X239" s="1172"/>
      <c r="Y239" s="1172"/>
      <c r="Z239" s="1172"/>
      <c r="AA239" s="462"/>
      <c r="AB239" s="463"/>
      <c r="AC239" s="463"/>
      <c r="AD239" s="463"/>
      <c r="AE239" s="464"/>
      <c r="AF239" s="462"/>
      <c r="AG239" s="463"/>
      <c r="AH239" s="464"/>
    </row>
    <row r="240" spans="1:34" s="474" customFormat="1" ht="12.75" customHeight="1" outlineLevel="1" thickBot="1">
      <c r="D240" s="262"/>
      <c r="E240" s="498"/>
      <c r="F240" s="1409" t="s">
        <v>585</v>
      </c>
      <c r="G240" s="1370">
        <f t="shared" ref="G240:P240" si="130">G238-G239</f>
        <v>0</v>
      </c>
      <c r="H240" s="356">
        <f t="shared" si="130"/>
        <v>0</v>
      </c>
      <c r="I240" s="356">
        <f t="shared" si="130"/>
        <v>0</v>
      </c>
      <c r="J240" s="356">
        <f t="shared" si="130"/>
        <v>0</v>
      </c>
      <c r="K240" s="503">
        <f t="shared" si="130"/>
        <v>0</v>
      </c>
      <c r="L240" s="1370">
        <f t="shared" si="130"/>
        <v>0</v>
      </c>
      <c r="M240" s="356">
        <f t="shared" si="130"/>
        <v>0</v>
      </c>
      <c r="N240" s="356">
        <f t="shared" si="130"/>
        <v>0</v>
      </c>
      <c r="O240" s="356">
        <f t="shared" si="130"/>
        <v>0</v>
      </c>
      <c r="P240" s="503">
        <f t="shared" si="130"/>
        <v>0</v>
      </c>
      <c r="Q240" s="1185"/>
      <c r="R240" s="502">
        <f>R238-R239</f>
        <v>0</v>
      </c>
      <c r="S240" s="356">
        <f>S238-S239</f>
        <v>0</v>
      </c>
      <c r="T240" s="356">
        <f>T238-T239</f>
        <v>0</v>
      </c>
      <c r="U240" s="356">
        <f>U238-U239</f>
        <v>0</v>
      </c>
      <c r="V240" s="503">
        <f>V238-V239</f>
        <v>0</v>
      </c>
      <c r="W240" s="4142"/>
      <c r="X240" s="1172"/>
      <c r="Y240" s="1172"/>
      <c r="Z240" s="1172"/>
      <c r="AA240" s="1370">
        <f t="shared" ref="AA240:AH240" si="131">AA238-AA239</f>
        <v>0</v>
      </c>
      <c r="AB240" s="356">
        <f t="shared" si="131"/>
        <v>0</v>
      </c>
      <c r="AC240" s="356">
        <f t="shared" si="131"/>
        <v>0</v>
      </c>
      <c r="AD240" s="356">
        <f t="shared" si="131"/>
        <v>0</v>
      </c>
      <c r="AE240" s="503">
        <f t="shared" si="131"/>
        <v>0</v>
      </c>
      <c r="AF240" s="1370">
        <f t="shared" si="131"/>
        <v>0</v>
      </c>
      <c r="AG240" s="356">
        <f t="shared" si="131"/>
        <v>0</v>
      </c>
      <c r="AH240" s="503">
        <f t="shared" si="131"/>
        <v>0</v>
      </c>
    </row>
    <row r="241" spans="1:34" s="474" customFormat="1" ht="27.75" customHeight="1" outlineLevel="1">
      <c r="A241" s="183"/>
      <c r="B241" s="183"/>
      <c r="C241" s="183"/>
      <c r="D241" s="262"/>
      <c r="E241" s="3457" t="s">
        <v>1546</v>
      </c>
      <c r="F241" s="842" t="s">
        <v>593</v>
      </c>
      <c r="G241" s="1574"/>
      <c r="H241" s="1575"/>
      <c r="I241" s="1575"/>
      <c r="J241" s="1575"/>
      <c r="K241" s="1584"/>
      <c r="L241" s="538"/>
      <c r="M241" s="539"/>
      <c r="N241" s="539"/>
      <c r="O241" s="539"/>
      <c r="P241" s="540"/>
      <c r="Q241" s="1182"/>
      <c r="R241" s="539"/>
      <c r="S241" s="539"/>
      <c r="T241" s="539"/>
      <c r="U241" s="539"/>
      <c r="V241" s="540"/>
      <c r="W241" s="4140"/>
      <c r="X241" s="1172"/>
      <c r="Y241" s="1172"/>
      <c r="Z241" s="1172"/>
      <c r="AA241" s="527"/>
      <c r="AB241" s="528"/>
      <c r="AC241" s="528"/>
      <c r="AD241" s="528"/>
      <c r="AE241" s="529"/>
      <c r="AF241" s="538"/>
      <c r="AG241" s="539"/>
      <c r="AH241" s="540"/>
    </row>
    <row r="242" spans="1:34" s="474" customFormat="1" ht="12.75" customHeight="1" outlineLevel="1">
      <c r="A242" s="183"/>
      <c r="B242" s="183"/>
      <c r="C242" s="183"/>
      <c r="D242" s="262"/>
      <c r="E242" s="498"/>
      <c r="F242" s="516" t="s">
        <v>559</v>
      </c>
      <c r="G242" s="1576"/>
      <c r="H242" s="1577"/>
      <c r="I242" s="1577"/>
      <c r="J242" s="1577"/>
      <c r="K242" s="1585"/>
      <c r="L242" s="459"/>
      <c r="M242" s="458"/>
      <c r="N242" s="458"/>
      <c r="O242" s="458">
        <v>40191.230000000003</v>
      </c>
      <c r="P242" s="460"/>
      <c r="Q242" s="1183"/>
      <c r="R242" s="413"/>
      <c r="S242" s="458"/>
      <c r="T242" s="458"/>
      <c r="U242" s="458"/>
      <c r="V242" s="460"/>
      <c r="W242" s="4141"/>
      <c r="X242" s="1172"/>
      <c r="Y242" s="1172"/>
      <c r="Z242" s="1172"/>
      <c r="AA242" s="470"/>
      <c r="AB242" s="468"/>
      <c r="AC242" s="468"/>
      <c r="AD242" s="468"/>
      <c r="AE242" s="530"/>
      <c r="AF242" s="462"/>
      <c r="AG242" s="463"/>
      <c r="AH242" s="464"/>
    </row>
    <row r="243" spans="1:34" s="474" customFormat="1" ht="12.75" customHeight="1" outlineLevel="1">
      <c r="D243" s="262"/>
      <c r="E243" s="498"/>
      <c r="F243" s="516" t="s">
        <v>558</v>
      </c>
      <c r="G243" s="1576"/>
      <c r="H243" s="1577"/>
      <c r="I243" s="1577"/>
      <c r="J243" s="1577"/>
      <c r="K243" s="1585"/>
      <c r="L243" s="459"/>
      <c r="M243" s="458"/>
      <c r="N243" s="458"/>
      <c r="O243" s="458">
        <v>41999</v>
      </c>
      <c r="P243" s="460"/>
      <c r="Q243" s="1183"/>
      <c r="R243" s="413"/>
      <c r="S243" s="458"/>
      <c r="T243" s="458"/>
      <c r="U243" s="458"/>
      <c r="V243" s="460"/>
      <c r="W243" s="4141"/>
      <c r="X243" s="1172"/>
      <c r="Y243" s="1172"/>
      <c r="Z243" s="1172"/>
      <c r="AA243" s="470"/>
      <c r="AB243" s="468"/>
      <c r="AC243" s="468"/>
      <c r="AD243" s="468"/>
      <c r="AE243" s="530"/>
      <c r="AF243" s="462"/>
      <c r="AG243" s="463"/>
      <c r="AH243" s="464"/>
    </row>
    <row r="244" spans="1:34" s="474" customFormat="1" ht="12.75" customHeight="1" outlineLevel="1">
      <c r="D244" s="262"/>
      <c r="E244" s="498"/>
      <c r="F244" s="516" t="s">
        <v>578</v>
      </c>
      <c r="G244" s="1576"/>
      <c r="H244" s="1577"/>
      <c r="I244" s="1577"/>
      <c r="J244" s="1577"/>
      <c r="K244" s="1585"/>
      <c r="L244" s="459"/>
      <c r="M244" s="458"/>
      <c r="N244" s="458"/>
      <c r="O244" s="458">
        <v>132579.81999999998</v>
      </c>
      <c r="P244" s="460"/>
      <c r="Q244" s="1183"/>
      <c r="R244" s="413"/>
      <c r="S244" s="458"/>
      <c r="T244" s="458"/>
      <c r="U244" s="458"/>
      <c r="V244" s="460"/>
      <c r="W244" s="4141"/>
      <c r="X244" s="1172"/>
      <c r="Y244" s="1172"/>
      <c r="Z244" s="1172"/>
      <c r="AA244" s="470"/>
      <c r="AB244" s="468"/>
      <c r="AC244" s="468"/>
      <c r="AD244" s="468"/>
      <c r="AE244" s="530"/>
      <c r="AF244" s="462"/>
      <c r="AG244" s="463"/>
      <c r="AH244" s="464"/>
    </row>
    <row r="245" spans="1:34" s="474" customFormat="1" ht="12.75" customHeight="1" outlineLevel="1">
      <c r="D245" s="262"/>
      <c r="E245" s="498"/>
      <c r="F245" s="517" t="s">
        <v>579</v>
      </c>
      <c r="G245" s="459"/>
      <c r="H245" s="458"/>
      <c r="I245" s="458"/>
      <c r="J245" s="458"/>
      <c r="K245" s="460"/>
      <c r="L245" s="353">
        <f t="shared" ref="L245:P245" si="132">SUM(L242:L244)</f>
        <v>0</v>
      </c>
      <c r="M245" s="354">
        <f t="shared" si="132"/>
        <v>0</v>
      </c>
      <c r="N245" s="354">
        <f t="shared" si="132"/>
        <v>0</v>
      </c>
      <c r="O245" s="354">
        <f t="shared" si="132"/>
        <v>214770.05</v>
      </c>
      <c r="P245" s="450">
        <f t="shared" si="132"/>
        <v>0</v>
      </c>
      <c r="Q245" s="1184"/>
      <c r="R245" s="447">
        <f>SUM(R242:R244)</f>
        <v>0</v>
      </c>
      <c r="S245" s="354">
        <f>SUM(S242:S244)</f>
        <v>0</v>
      </c>
      <c r="T245" s="354">
        <f>SUM(T242:T244)</f>
        <v>0</v>
      </c>
      <c r="U245" s="354">
        <f>SUM(U242:U244)</f>
        <v>0</v>
      </c>
      <c r="V245" s="450">
        <f>SUM(V242:V244)</f>
        <v>0</v>
      </c>
      <c r="W245" s="4141"/>
      <c r="X245" s="1172"/>
      <c r="Y245" s="1172"/>
      <c r="Z245" s="1172"/>
      <c r="AA245" s="462"/>
      <c r="AB245" s="463"/>
      <c r="AC245" s="463"/>
      <c r="AD245" s="463"/>
      <c r="AE245" s="464"/>
      <c r="AF245" s="353">
        <f t="shared" ref="AF245:AH245" si="133">SUM(AF242:AF244)</f>
        <v>0</v>
      </c>
      <c r="AG245" s="354">
        <f t="shared" si="133"/>
        <v>0</v>
      </c>
      <c r="AH245" s="450">
        <f t="shared" si="133"/>
        <v>0</v>
      </c>
    </row>
    <row r="246" spans="1:34" s="474" customFormat="1" ht="12.75" customHeight="1" outlineLevel="1">
      <c r="D246" s="262"/>
      <c r="E246" s="498"/>
      <c r="F246" s="516" t="s">
        <v>583</v>
      </c>
      <c r="G246" s="459"/>
      <c r="H246" s="458"/>
      <c r="I246" s="458"/>
      <c r="J246" s="458"/>
      <c r="K246" s="460"/>
      <c r="L246" s="511">
        <v>0</v>
      </c>
      <c r="M246" s="512">
        <v>0</v>
      </c>
      <c r="N246" s="512">
        <v>0</v>
      </c>
      <c r="O246" s="512">
        <v>0</v>
      </c>
      <c r="P246" s="547">
        <v>0</v>
      </c>
      <c r="Q246" s="1183"/>
      <c r="R246" s="504"/>
      <c r="S246" s="477"/>
      <c r="T246" s="477"/>
      <c r="U246" s="477"/>
      <c r="V246" s="519"/>
      <c r="W246" s="4141"/>
      <c r="X246" s="1172"/>
      <c r="Y246" s="1172"/>
      <c r="Z246" s="1172"/>
      <c r="AA246" s="462"/>
      <c r="AB246" s="463"/>
      <c r="AC246" s="463"/>
      <c r="AD246" s="463"/>
      <c r="AE246" s="464"/>
      <c r="AF246" s="511">
        <v>0</v>
      </c>
      <c r="AG246" s="512">
        <v>0</v>
      </c>
      <c r="AH246" s="547">
        <v>0</v>
      </c>
    </row>
    <row r="247" spans="1:34" s="474" customFormat="1" ht="12.75" customHeight="1" outlineLevel="1">
      <c r="D247" s="262"/>
      <c r="E247" s="498"/>
      <c r="F247" s="516" t="s">
        <v>581</v>
      </c>
      <c r="G247" s="459"/>
      <c r="H247" s="458"/>
      <c r="I247" s="458"/>
      <c r="J247" s="458"/>
      <c r="K247" s="460"/>
      <c r="L247" s="462">
        <v>0</v>
      </c>
      <c r="M247" s="463">
        <v>0</v>
      </c>
      <c r="N247" s="463">
        <v>0</v>
      </c>
      <c r="O247" s="463">
        <v>0</v>
      </c>
      <c r="P247" s="464">
        <v>0</v>
      </c>
      <c r="Q247" s="1183"/>
      <c r="R247" s="413"/>
      <c r="S247" s="458"/>
      <c r="T247" s="458"/>
      <c r="U247" s="458"/>
      <c r="V247" s="460"/>
      <c r="W247" s="4141"/>
      <c r="X247" s="1172"/>
      <c r="Y247" s="1172"/>
      <c r="Z247" s="1172"/>
      <c r="AA247" s="462"/>
      <c r="AB247" s="463"/>
      <c r="AC247" s="463"/>
      <c r="AD247" s="463"/>
      <c r="AE247" s="464"/>
      <c r="AF247" s="462">
        <v>0</v>
      </c>
      <c r="AG247" s="463">
        <v>0</v>
      </c>
      <c r="AH247" s="464">
        <v>0</v>
      </c>
    </row>
    <row r="248" spans="1:34" s="474" customFormat="1" ht="12.75" customHeight="1" outlineLevel="1">
      <c r="D248" s="262"/>
      <c r="E248" s="498"/>
      <c r="F248" s="517" t="s">
        <v>584</v>
      </c>
      <c r="G248" s="353">
        <f t="shared" ref="G248:P248" si="134">SUM(G246:G247)</f>
        <v>0</v>
      </c>
      <c r="H248" s="354">
        <f t="shared" si="134"/>
        <v>0</v>
      </c>
      <c r="I248" s="354">
        <f t="shared" si="134"/>
        <v>0</v>
      </c>
      <c r="J248" s="354">
        <f t="shared" si="134"/>
        <v>0</v>
      </c>
      <c r="K248" s="450">
        <f t="shared" si="134"/>
        <v>0</v>
      </c>
      <c r="L248" s="353">
        <f t="shared" si="134"/>
        <v>0</v>
      </c>
      <c r="M248" s="354">
        <f t="shared" si="134"/>
        <v>0</v>
      </c>
      <c r="N248" s="354">
        <f t="shared" si="134"/>
        <v>0</v>
      </c>
      <c r="O248" s="354">
        <f t="shared" si="134"/>
        <v>0</v>
      </c>
      <c r="P248" s="450">
        <f t="shared" si="134"/>
        <v>0</v>
      </c>
      <c r="Q248" s="1184"/>
      <c r="R248" s="447">
        <f>SUM(R246:R247)</f>
        <v>0</v>
      </c>
      <c r="S248" s="354">
        <f>SUM(S246:S247)</f>
        <v>0</v>
      </c>
      <c r="T248" s="354">
        <f>SUM(T246:T247)</f>
        <v>0</v>
      </c>
      <c r="U248" s="354">
        <f>SUM(U246:U247)</f>
        <v>0</v>
      </c>
      <c r="V248" s="450">
        <f>SUM(V246:V247)</f>
        <v>0</v>
      </c>
      <c r="W248" s="4141"/>
      <c r="X248" s="1172"/>
      <c r="Y248" s="1172"/>
      <c r="Z248" s="1172"/>
      <c r="AA248" s="353">
        <f t="shared" ref="AA248:AH248" si="135">SUM(AA246:AA247)</f>
        <v>0</v>
      </c>
      <c r="AB248" s="354">
        <f t="shared" si="135"/>
        <v>0</v>
      </c>
      <c r="AC248" s="354">
        <f t="shared" si="135"/>
        <v>0</v>
      </c>
      <c r="AD248" s="354">
        <f t="shared" si="135"/>
        <v>0</v>
      </c>
      <c r="AE248" s="450">
        <f t="shared" si="135"/>
        <v>0</v>
      </c>
      <c r="AF248" s="353">
        <f t="shared" si="135"/>
        <v>0</v>
      </c>
      <c r="AG248" s="354">
        <f t="shared" si="135"/>
        <v>0</v>
      </c>
      <c r="AH248" s="450">
        <f t="shared" si="135"/>
        <v>0</v>
      </c>
    </row>
    <row r="249" spans="1:34" s="474" customFormat="1" ht="12.75" customHeight="1" outlineLevel="1">
      <c r="D249" s="262"/>
      <c r="E249" s="498"/>
      <c r="F249" s="516" t="s">
        <v>35</v>
      </c>
      <c r="G249" s="459"/>
      <c r="H249" s="458"/>
      <c r="I249" s="458"/>
      <c r="J249" s="458"/>
      <c r="K249" s="460"/>
      <c r="L249" s="459"/>
      <c r="M249" s="458"/>
      <c r="N249" s="458"/>
      <c r="O249" s="458"/>
      <c r="P249" s="460"/>
      <c r="Q249" s="1183"/>
      <c r="R249" s="413"/>
      <c r="S249" s="458"/>
      <c r="T249" s="458"/>
      <c r="U249" s="458"/>
      <c r="V249" s="460"/>
      <c r="W249" s="4141"/>
      <c r="X249" s="1172"/>
      <c r="Y249" s="1172"/>
      <c r="Z249" s="1172"/>
      <c r="AA249" s="462"/>
      <c r="AB249" s="463"/>
      <c r="AC249" s="463"/>
      <c r="AD249" s="463"/>
      <c r="AE249" s="464"/>
      <c r="AF249" s="462"/>
      <c r="AG249" s="463"/>
      <c r="AH249" s="464"/>
    </row>
    <row r="250" spans="1:34" s="474" customFormat="1" ht="12.75" customHeight="1" outlineLevel="1" thickBot="1">
      <c r="D250" s="262"/>
      <c r="E250" s="498"/>
      <c r="F250" s="1409" t="s">
        <v>585</v>
      </c>
      <c r="G250" s="1370">
        <f t="shared" ref="G250:P250" si="136">G248-G249</f>
        <v>0</v>
      </c>
      <c r="H250" s="356">
        <f t="shared" si="136"/>
        <v>0</v>
      </c>
      <c r="I250" s="356">
        <f t="shared" si="136"/>
        <v>0</v>
      </c>
      <c r="J250" s="356">
        <f t="shared" si="136"/>
        <v>0</v>
      </c>
      <c r="K250" s="503">
        <f t="shared" si="136"/>
        <v>0</v>
      </c>
      <c r="L250" s="1370">
        <f t="shared" si="136"/>
        <v>0</v>
      </c>
      <c r="M250" s="356">
        <f t="shared" si="136"/>
        <v>0</v>
      </c>
      <c r="N250" s="356">
        <f t="shared" si="136"/>
        <v>0</v>
      </c>
      <c r="O250" s="356">
        <f t="shared" si="136"/>
        <v>0</v>
      </c>
      <c r="P250" s="503">
        <f t="shared" si="136"/>
        <v>0</v>
      </c>
      <c r="Q250" s="1185"/>
      <c r="R250" s="502">
        <f>R248-R249</f>
        <v>0</v>
      </c>
      <c r="S250" s="356">
        <f>S248-S249</f>
        <v>0</v>
      </c>
      <c r="T250" s="356">
        <f>T248-T249</f>
        <v>0</v>
      </c>
      <c r="U250" s="356">
        <f>U248-U249</f>
        <v>0</v>
      </c>
      <c r="V250" s="503">
        <f>V248-V249</f>
        <v>0</v>
      </c>
      <c r="W250" s="4142"/>
      <c r="X250" s="1172"/>
      <c r="Y250" s="1172"/>
      <c r="Z250" s="1172"/>
      <c r="AA250" s="1370">
        <f t="shared" ref="AA250:AH250" si="137">AA248-AA249</f>
        <v>0</v>
      </c>
      <c r="AB250" s="356">
        <f t="shared" si="137"/>
        <v>0</v>
      </c>
      <c r="AC250" s="356">
        <f t="shared" si="137"/>
        <v>0</v>
      </c>
      <c r="AD250" s="356">
        <f t="shared" si="137"/>
        <v>0</v>
      </c>
      <c r="AE250" s="503">
        <f t="shared" si="137"/>
        <v>0</v>
      </c>
      <c r="AF250" s="1370">
        <f t="shared" si="137"/>
        <v>0</v>
      </c>
      <c r="AG250" s="356">
        <f t="shared" si="137"/>
        <v>0</v>
      </c>
      <c r="AH250" s="503">
        <f t="shared" si="137"/>
        <v>0</v>
      </c>
    </row>
    <row r="251" spans="1:34" s="474" customFormat="1" ht="23.25" customHeight="1" outlineLevel="1">
      <c r="A251" s="183"/>
      <c r="B251" s="183"/>
      <c r="C251" s="183"/>
      <c r="D251" s="262"/>
      <c r="E251" s="3457" t="s">
        <v>1547</v>
      </c>
      <c r="F251" s="842" t="s">
        <v>593</v>
      </c>
      <c r="G251" s="1574"/>
      <c r="H251" s="1575"/>
      <c r="I251" s="1575"/>
      <c r="J251" s="1575"/>
      <c r="K251" s="1584"/>
      <c r="L251" s="538"/>
      <c r="M251" s="539"/>
      <c r="N251" s="539"/>
      <c r="O251" s="539"/>
      <c r="P251" s="540"/>
      <c r="Q251" s="1182"/>
      <c r="R251" s="539"/>
      <c r="S251" s="539"/>
      <c r="T251" s="539"/>
      <c r="U251" s="539"/>
      <c r="V251" s="540"/>
      <c r="W251" s="4140"/>
      <c r="X251" s="1172"/>
      <c r="Y251" s="1172"/>
      <c r="Z251" s="1172"/>
      <c r="AA251" s="527"/>
      <c r="AB251" s="528"/>
      <c r="AC251" s="528"/>
      <c r="AD251" s="528"/>
      <c r="AE251" s="529"/>
      <c r="AF251" s="538"/>
      <c r="AG251" s="539"/>
      <c r="AH251" s="540"/>
    </row>
    <row r="252" spans="1:34" s="474" customFormat="1" ht="12.75" customHeight="1" outlineLevel="1">
      <c r="D252" s="262"/>
      <c r="E252" s="498"/>
      <c r="F252" s="516" t="s">
        <v>559</v>
      </c>
      <c r="G252" s="1576"/>
      <c r="H252" s="1577"/>
      <c r="I252" s="1577"/>
      <c r="J252" s="1577"/>
      <c r="K252" s="1585"/>
      <c r="L252" s="459"/>
      <c r="M252" s="458"/>
      <c r="N252" s="458"/>
      <c r="O252" s="458"/>
      <c r="P252" s="460"/>
      <c r="Q252" s="1183"/>
      <c r="R252" s="413"/>
      <c r="S252" s="458"/>
      <c r="T252" s="458"/>
      <c r="U252" s="458"/>
      <c r="V252" s="460"/>
      <c r="W252" s="4141"/>
      <c r="X252" s="1172"/>
      <c r="Y252" s="1172"/>
      <c r="Z252" s="1172"/>
      <c r="AA252" s="470"/>
      <c r="AB252" s="468"/>
      <c r="AC252" s="468"/>
      <c r="AD252" s="468"/>
      <c r="AE252" s="530"/>
      <c r="AF252" s="462"/>
      <c r="AG252" s="463"/>
      <c r="AH252" s="464"/>
    </row>
    <row r="253" spans="1:34" s="474" customFormat="1" ht="12.75" customHeight="1" outlineLevel="1">
      <c r="D253" s="262"/>
      <c r="E253" s="498"/>
      <c r="F253" s="516" t="s">
        <v>558</v>
      </c>
      <c r="G253" s="1576"/>
      <c r="H253" s="1577"/>
      <c r="I253" s="1577"/>
      <c r="J253" s="1577"/>
      <c r="K253" s="1585"/>
      <c r="L253" s="459"/>
      <c r="M253" s="458"/>
      <c r="N253" s="458"/>
      <c r="O253" s="458"/>
      <c r="P253" s="460"/>
      <c r="Q253" s="1183"/>
      <c r="R253" s="413"/>
      <c r="S253" s="458"/>
      <c r="T253" s="458"/>
      <c r="U253" s="458"/>
      <c r="V253" s="460"/>
      <c r="W253" s="4141"/>
      <c r="X253" s="1172"/>
      <c r="Y253" s="1172"/>
      <c r="Z253" s="1172"/>
      <c r="AA253" s="470"/>
      <c r="AB253" s="468"/>
      <c r="AC253" s="468"/>
      <c r="AD253" s="468"/>
      <c r="AE253" s="530"/>
      <c r="AF253" s="462"/>
      <c r="AG253" s="463"/>
      <c r="AH253" s="464"/>
    </row>
    <row r="254" spans="1:34" s="474" customFormat="1" ht="12.75" customHeight="1" outlineLevel="1">
      <c r="D254" s="262"/>
      <c r="E254" s="498"/>
      <c r="F254" s="516" t="s">
        <v>578</v>
      </c>
      <c r="G254" s="1576"/>
      <c r="H254" s="1577"/>
      <c r="I254" s="1577"/>
      <c r="J254" s="1577"/>
      <c r="K254" s="1585"/>
      <c r="L254" s="459"/>
      <c r="M254" s="458"/>
      <c r="N254" s="458"/>
      <c r="O254" s="458"/>
      <c r="P254" s="460"/>
      <c r="Q254" s="1183"/>
      <c r="R254" s="413"/>
      <c r="S254" s="458"/>
      <c r="T254" s="458"/>
      <c r="U254" s="458"/>
      <c r="V254" s="460"/>
      <c r="W254" s="4141"/>
      <c r="X254" s="1172"/>
      <c r="Y254" s="1172"/>
      <c r="Z254" s="1172"/>
      <c r="AA254" s="470">
        <v>1000</v>
      </c>
      <c r="AB254" s="468"/>
      <c r="AC254" s="468"/>
      <c r="AD254" s="468"/>
      <c r="AE254" s="530"/>
      <c r="AF254" s="462"/>
      <c r="AG254" s="463"/>
      <c r="AH254" s="464"/>
    </row>
    <row r="255" spans="1:34" s="474" customFormat="1" ht="12.75" customHeight="1" outlineLevel="1">
      <c r="D255" s="262"/>
      <c r="E255" s="498"/>
      <c r="F255" s="517" t="s">
        <v>579</v>
      </c>
      <c r="G255" s="459">
        <v>13981.008808991697</v>
      </c>
      <c r="H255" s="458">
        <v>1472624.0948832289</v>
      </c>
      <c r="I255" s="458">
        <v>772313.36184213718</v>
      </c>
      <c r="J255" s="458">
        <v>727918.42859096476</v>
      </c>
      <c r="K255" s="460">
        <v>324355.36649957829</v>
      </c>
      <c r="L255" s="353">
        <f t="shared" ref="L255:P255" si="138">SUM(L252:L254)</f>
        <v>0</v>
      </c>
      <c r="M255" s="354">
        <f t="shared" si="138"/>
        <v>0</v>
      </c>
      <c r="N255" s="354">
        <f t="shared" si="138"/>
        <v>0</v>
      </c>
      <c r="O255" s="354">
        <f t="shared" si="138"/>
        <v>0</v>
      </c>
      <c r="P255" s="450">
        <f t="shared" si="138"/>
        <v>0</v>
      </c>
      <c r="Q255" s="1184"/>
      <c r="R255" s="447">
        <f>SUM(R252:R254)</f>
        <v>0</v>
      </c>
      <c r="S255" s="354">
        <f>SUM(S252:S254)</f>
        <v>0</v>
      </c>
      <c r="T255" s="354">
        <f>SUM(T252:T254)</f>
        <v>0</v>
      </c>
      <c r="U255" s="354">
        <f>SUM(U252:U254)</f>
        <v>0</v>
      </c>
      <c r="V255" s="450">
        <f>SUM(V252:V254)</f>
        <v>0</v>
      </c>
      <c r="W255" s="4141"/>
      <c r="X255" s="1172"/>
      <c r="Y255" s="1172"/>
      <c r="Z255" s="1172"/>
      <c r="AA255" s="462">
        <v>17464.204945568912</v>
      </c>
      <c r="AB255" s="463">
        <v>1752198.0045342566</v>
      </c>
      <c r="AC255" s="463">
        <v>908158.64981692249</v>
      </c>
      <c r="AD255" s="463">
        <v>832005.91649354948</v>
      </c>
      <c r="AE255" s="464">
        <v>358477.21754463401</v>
      </c>
      <c r="AF255" s="353">
        <f t="shared" ref="AF255:AH255" si="139">SUM(AF252:AF254)</f>
        <v>0</v>
      </c>
      <c r="AG255" s="354">
        <f t="shared" si="139"/>
        <v>0</v>
      </c>
      <c r="AH255" s="450">
        <f t="shared" si="139"/>
        <v>0</v>
      </c>
    </row>
    <row r="256" spans="1:34" s="474" customFormat="1" ht="12.75" customHeight="1" outlineLevel="1">
      <c r="D256" s="262"/>
      <c r="E256" s="498"/>
      <c r="F256" s="516" t="s">
        <v>583</v>
      </c>
      <c r="G256" s="459"/>
      <c r="H256" s="458"/>
      <c r="I256" s="458"/>
      <c r="J256" s="458"/>
      <c r="K256" s="460"/>
      <c r="L256" s="511">
        <v>0</v>
      </c>
      <c r="M256" s="512">
        <v>0</v>
      </c>
      <c r="N256" s="512">
        <v>0</v>
      </c>
      <c r="O256" s="512">
        <v>0</v>
      </c>
      <c r="P256" s="547">
        <v>0</v>
      </c>
      <c r="Q256" s="1183"/>
      <c r="R256" s="504"/>
      <c r="S256" s="477"/>
      <c r="T256" s="477"/>
      <c r="U256" s="477"/>
      <c r="V256" s="519"/>
      <c r="W256" s="4141"/>
      <c r="X256" s="1172"/>
      <c r="Y256" s="1172"/>
      <c r="Z256" s="1172"/>
      <c r="AA256" s="462"/>
      <c r="AB256" s="463"/>
      <c r="AC256" s="463"/>
      <c r="AD256" s="463"/>
      <c r="AE256" s="464"/>
      <c r="AF256" s="511">
        <v>0</v>
      </c>
      <c r="AG256" s="512">
        <v>0</v>
      </c>
      <c r="AH256" s="547">
        <v>0</v>
      </c>
    </row>
    <row r="257" spans="1:34" s="474" customFormat="1" ht="12.75" customHeight="1" outlineLevel="1">
      <c r="D257" s="262"/>
      <c r="E257" s="498"/>
      <c r="F257" s="516" t="s">
        <v>581</v>
      </c>
      <c r="G257" s="459"/>
      <c r="H257" s="458"/>
      <c r="I257" s="458"/>
      <c r="J257" s="458"/>
      <c r="K257" s="460"/>
      <c r="L257" s="462">
        <v>0</v>
      </c>
      <c r="M257" s="463">
        <v>0</v>
      </c>
      <c r="N257" s="463">
        <v>0</v>
      </c>
      <c r="O257" s="463">
        <v>0</v>
      </c>
      <c r="P257" s="464">
        <v>0</v>
      </c>
      <c r="Q257" s="1183"/>
      <c r="R257" s="413"/>
      <c r="S257" s="458"/>
      <c r="T257" s="458"/>
      <c r="U257" s="458"/>
      <c r="V257" s="460"/>
      <c r="W257" s="4141"/>
      <c r="X257" s="1172"/>
      <c r="Y257" s="1172"/>
      <c r="Z257" s="1172"/>
      <c r="AA257" s="462"/>
      <c r="AB257" s="463"/>
      <c r="AC257" s="463"/>
      <c r="AD257" s="463"/>
      <c r="AE257" s="464"/>
      <c r="AF257" s="462">
        <v>0</v>
      </c>
      <c r="AG257" s="463">
        <v>0</v>
      </c>
      <c r="AH257" s="464">
        <v>0</v>
      </c>
    </row>
    <row r="258" spans="1:34" s="474" customFormat="1" ht="12.75" customHeight="1" outlineLevel="1">
      <c r="D258" s="262"/>
      <c r="E258" s="498"/>
      <c r="F258" s="517" t="s">
        <v>584</v>
      </c>
      <c r="G258" s="353">
        <f t="shared" ref="G258:P258" si="140">SUM(G256:G257)</f>
        <v>0</v>
      </c>
      <c r="H258" s="354">
        <f t="shared" si="140"/>
        <v>0</v>
      </c>
      <c r="I258" s="354">
        <f t="shared" si="140"/>
        <v>0</v>
      </c>
      <c r="J258" s="354">
        <f t="shared" si="140"/>
        <v>0</v>
      </c>
      <c r="K258" s="450">
        <f t="shared" si="140"/>
        <v>0</v>
      </c>
      <c r="L258" s="353">
        <f t="shared" si="140"/>
        <v>0</v>
      </c>
      <c r="M258" s="354">
        <f t="shared" si="140"/>
        <v>0</v>
      </c>
      <c r="N258" s="354">
        <f t="shared" si="140"/>
        <v>0</v>
      </c>
      <c r="O258" s="354">
        <f t="shared" si="140"/>
        <v>0</v>
      </c>
      <c r="P258" s="450">
        <f t="shared" si="140"/>
        <v>0</v>
      </c>
      <c r="Q258" s="1184"/>
      <c r="R258" s="447">
        <f>SUM(R256:R257)</f>
        <v>0</v>
      </c>
      <c r="S258" s="354">
        <f>SUM(S256:S257)</f>
        <v>0</v>
      </c>
      <c r="T258" s="354">
        <f>SUM(T256:T257)</f>
        <v>0</v>
      </c>
      <c r="U258" s="354">
        <f>SUM(U256:U257)</f>
        <v>0</v>
      </c>
      <c r="V258" s="450">
        <f>SUM(V256:V257)</f>
        <v>0</v>
      </c>
      <c r="W258" s="4141"/>
      <c r="X258" s="1172"/>
      <c r="Y258" s="1172"/>
      <c r="Z258" s="1172"/>
      <c r="AA258" s="353">
        <f t="shared" ref="AA258:AH258" si="141">SUM(AA256:AA257)</f>
        <v>0</v>
      </c>
      <c r="AB258" s="354">
        <f t="shared" si="141"/>
        <v>0</v>
      </c>
      <c r="AC258" s="354">
        <f t="shared" si="141"/>
        <v>0</v>
      </c>
      <c r="AD258" s="354">
        <f t="shared" si="141"/>
        <v>0</v>
      </c>
      <c r="AE258" s="450">
        <f t="shared" si="141"/>
        <v>0</v>
      </c>
      <c r="AF258" s="353">
        <f t="shared" si="141"/>
        <v>0</v>
      </c>
      <c r="AG258" s="354">
        <f t="shared" si="141"/>
        <v>0</v>
      </c>
      <c r="AH258" s="450">
        <f t="shared" si="141"/>
        <v>0</v>
      </c>
    </row>
    <row r="259" spans="1:34" s="474" customFormat="1" ht="12.75" customHeight="1" outlineLevel="1">
      <c r="D259" s="262"/>
      <c r="E259" s="498"/>
      <c r="F259" s="516" t="s">
        <v>35</v>
      </c>
      <c r="G259" s="459"/>
      <c r="H259" s="458"/>
      <c r="I259" s="458"/>
      <c r="J259" s="458"/>
      <c r="K259" s="460"/>
      <c r="L259" s="459"/>
      <c r="M259" s="458"/>
      <c r="N259" s="458"/>
      <c r="O259" s="458"/>
      <c r="P259" s="460"/>
      <c r="Q259" s="1183"/>
      <c r="R259" s="413"/>
      <c r="S259" s="458"/>
      <c r="T259" s="458"/>
      <c r="U259" s="458"/>
      <c r="V259" s="460"/>
      <c r="W259" s="4141"/>
      <c r="X259" s="1172"/>
      <c r="Y259" s="1172"/>
      <c r="Z259" s="1172"/>
      <c r="AA259" s="462"/>
      <c r="AB259" s="463"/>
      <c r="AC259" s="463"/>
      <c r="AD259" s="463"/>
      <c r="AE259" s="464"/>
      <c r="AF259" s="462"/>
      <c r="AG259" s="463"/>
      <c r="AH259" s="464"/>
    </row>
    <row r="260" spans="1:34" s="474" customFormat="1" ht="12.75" customHeight="1" outlineLevel="1" thickBot="1">
      <c r="D260" s="262"/>
      <c r="E260" s="498"/>
      <c r="F260" s="1409" t="s">
        <v>585</v>
      </c>
      <c r="G260" s="1370">
        <f t="shared" ref="G260:P260" si="142">G258-G259</f>
        <v>0</v>
      </c>
      <c r="H260" s="356">
        <f t="shared" si="142"/>
        <v>0</v>
      </c>
      <c r="I260" s="356">
        <f t="shared" si="142"/>
        <v>0</v>
      </c>
      <c r="J260" s="356">
        <f t="shared" si="142"/>
        <v>0</v>
      </c>
      <c r="K260" s="503">
        <f t="shared" si="142"/>
        <v>0</v>
      </c>
      <c r="L260" s="1370">
        <f t="shared" si="142"/>
        <v>0</v>
      </c>
      <c r="M260" s="356">
        <f t="shared" si="142"/>
        <v>0</v>
      </c>
      <c r="N260" s="356">
        <f t="shared" si="142"/>
        <v>0</v>
      </c>
      <c r="O260" s="356">
        <f t="shared" si="142"/>
        <v>0</v>
      </c>
      <c r="P260" s="503">
        <f t="shared" si="142"/>
        <v>0</v>
      </c>
      <c r="Q260" s="1185"/>
      <c r="R260" s="502">
        <f>R258-R259</f>
        <v>0</v>
      </c>
      <c r="S260" s="356">
        <f>S258-S259</f>
        <v>0</v>
      </c>
      <c r="T260" s="356">
        <f>T258-T259</f>
        <v>0</v>
      </c>
      <c r="U260" s="356">
        <f>U258-U259</f>
        <v>0</v>
      </c>
      <c r="V260" s="503">
        <f>V258-V259</f>
        <v>0</v>
      </c>
      <c r="W260" s="4142"/>
      <c r="X260" s="1172"/>
      <c r="Y260" s="1172"/>
      <c r="Z260" s="1172"/>
      <c r="AA260" s="1370">
        <f t="shared" ref="AA260:AH260" si="143">AA258-AA259</f>
        <v>0</v>
      </c>
      <c r="AB260" s="356">
        <f t="shared" si="143"/>
        <v>0</v>
      </c>
      <c r="AC260" s="356">
        <f t="shared" si="143"/>
        <v>0</v>
      </c>
      <c r="AD260" s="356">
        <f t="shared" si="143"/>
        <v>0</v>
      </c>
      <c r="AE260" s="503">
        <f t="shared" si="143"/>
        <v>0</v>
      </c>
      <c r="AF260" s="1370">
        <f t="shared" si="143"/>
        <v>0</v>
      </c>
      <c r="AG260" s="356">
        <f t="shared" si="143"/>
        <v>0</v>
      </c>
      <c r="AH260" s="503">
        <f t="shared" si="143"/>
        <v>0</v>
      </c>
    </row>
    <row r="261" spans="1:34" s="474" customFormat="1" ht="27.75" customHeight="1" outlineLevel="1">
      <c r="A261" s="183"/>
      <c r="B261" s="183"/>
      <c r="C261" s="183"/>
      <c r="D261" s="262"/>
      <c r="E261" s="3457" t="s">
        <v>1548</v>
      </c>
      <c r="F261" s="842" t="s">
        <v>593</v>
      </c>
      <c r="G261" s="1574"/>
      <c r="H261" s="1575"/>
      <c r="I261" s="1575"/>
      <c r="J261" s="1575"/>
      <c r="K261" s="1584"/>
      <c r="L261" s="538"/>
      <c r="M261" s="539"/>
      <c r="N261" s="539"/>
      <c r="O261" s="539"/>
      <c r="P261" s="540"/>
      <c r="Q261" s="1182"/>
      <c r="R261" s="539"/>
      <c r="S261" s="539"/>
      <c r="T261" s="539"/>
      <c r="U261" s="539"/>
      <c r="V261" s="540"/>
      <c r="W261" s="4140"/>
      <c r="X261" s="1172"/>
      <c r="Y261" s="1172"/>
      <c r="Z261" s="1172"/>
      <c r="AA261" s="527"/>
      <c r="AB261" s="528"/>
      <c r="AC261" s="528"/>
      <c r="AD261" s="528"/>
      <c r="AE261" s="529"/>
      <c r="AF261" s="538"/>
      <c r="AG261" s="539"/>
      <c r="AH261" s="540"/>
    </row>
    <row r="262" spans="1:34" s="474" customFormat="1" ht="12.75" customHeight="1" outlineLevel="1">
      <c r="A262" s="183"/>
      <c r="B262" s="183"/>
      <c r="C262" s="183"/>
      <c r="D262" s="262"/>
      <c r="E262" s="498"/>
      <c r="F262" s="516" t="s">
        <v>559</v>
      </c>
      <c r="G262" s="1576"/>
      <c r="H262" s="1577"/>
      <c r="I262" s="1577"/>
      <c r="J262" s="1577"/>
      <c r="K262" s="1585"/>
      <c r="L262" s="459"/>
      <c r="M262" s="458"/>
      <c r="N262" s="458"/>
      <c r="O262" s="458"/>
      <c r="P262" s="460">
        <v>13170.085698823457</v>
      </c>
      <c r="Q262" s="1183"/>
      <c r="R262" s="413">
        <v>12108.486011163011</v>
      </c>
      <c r="S262" s="458">
        <v>10865.934967943756</v>
      </c>
      <c r="T262" s="458">
        <v>9894.2810531530631</v>
      </c>
      <c r="U262" s="458">
        <v>39575.928937312747</v>
      </c>
      <c r="V262" s="460">
        <v>42672.055339734958</v>
      </c>
      <c r="W262" s="4141"/>
      <c r="X262" s="1172"/>
      <c r="Y262" s="1172"/>
      <c r="Z262" s="1172"/>
      <c r="AA262" s="470"/>
      <c r="AB262" s="468"/>
      <c r="AC262" s="468"/>
      <c r="AD262" s="468"/>
      <c r="AE262" s="530"/>
      <c r="AF262" s="462"/>
      <c r="AG262" s="463"/>
      <c r="AH262" s="464"/>
    </row>
    <row r="263" spans="1:34" s="474" customFormat="1" ht="12.75" customHeight="1" outlineLevel="1">
      <c r="D263" s="262"/>
      <c r="E263" s="498"/>
      <c r="F263" s="516" t="s">
        <v>558</v>
      </c>
      <c r="G263" s="1576"/>
      <c r="H263" s="1577"/>
      <c r="I263" s="1577"/>
      <c r="J263" s="1577"/>
      <c r="K263" s="1585"/>
      <c r="L263" s="459"/>
      <c r="M263" s="458"/>
      <c r="N263" s="458"/>
      <c r="O263" s="458"/>
      <c r="P263" s="460">
        <v>250231.62827764568</v>
      </c>
      <c r="Q263" s="1183"/>
      <c r="R263" s="413">
        <v>230061.23421209722</v>
      </c>
      <c r="S263" s="458">
        <v>206452.76439093135</v>
      </c>
      <c r="T263" s="458">
        <v>187991.34000990819</v>
      </c>
      <c r="U263" s="458">
        <v>751942.64980894222</v>
      </c>
      <c r="V263" s="460">
        <v>810769.05145496421</v>
      </c>
      <c r="W263" s="4141"/>
      <c r="X263" s="1172"/>
      <c r="Y263" s="1172"/>
      <c r="Z263" s="1172"/>
      <c r="AA263" s="470"/>
      <c r="AB263" s="468"/>
      <c r="AC263" s="468"/>
      <c r="AD263" s="468"/>
      <c r="AE263" s="530"/>
      <c r="AF263" s="462"/>
      <c r="AG263" s="463"/>
      <c r="AH263" s="464"/>
    </row>
    <row r="264" spans="1:34" s="474" customFormat="1" ht="12.75" customHeight="1" outlineLevel="1">
      <c r="D264" s="262"/>
      <c r="E264" s="498"/>
      <c r="F264" s="516" t="s">
        <v>578</v>
      </c>
      <c r="G264" s="1576"/>
      <c r="H264" s="1577"/>
      <c r="I264" s="1577"/>
      <c r="J264" s="1577"/>
      <c r="K264" s="1585"/>
      <c r="L264" s="459"/>
      <c r="M264" s="458"/>
      <c r="N264" s="458"/>
      <c r="O264" s="458"/>
      <c r="P264" s="460">
        <v>175601.14265097945</v>
      </c>
      <c r="Q264" s="1183"/>
      <c r="R264" s="413">
        <v>161446.48014884017</v>
      </c>
      <c r="S264" s="458">
        <v>144879.13290591675</v>
      </c>
      <c r="T264" s="458">
        <v>131923.74737537417</v>
      </c>
      <c r="U264" s="458">
        <v>527679.05249750335</v>
      </c>
      <c r="V264" s="460">
        <v>568960.73786313285</v>
      </c>
      <c r="W264" s="4141"/>
      <c r="X264" s="1172"/>
      <c r="Y264" s="1172"/>
      <c r="Z264" s="1172"/>
      <c r="AA264" s="470"/>
      <c r="AB264" s="468"/>
      <c r="AC264" s="468"/>
      <c r="AD264" s="468"/>
      <c r="AE264" s="530"/>
      <c r="AF264" s="462"/>
      <c r="AG264" s="463"/>
      <c r="AH264" s="464"/>
    </row>
    <row r="265" spans="1:34" s="474" customFormat="1" ht="12.75" customHeight="1" outlineLevel="1">
      <c r="D265" s="262"/>
      <c r="E265" s="498"/>
      <c r="F265" s="517" t="s">
        <v>579</v>
      </c>
      <c r="G265" s="459"/>
      <c r="H265" s="458"/>
      <c r="I265" s="458"/>
      <c r="J265" s="458"/>
      <c r="K265" s="460"/>
      <c r="L265" s="353">
        <f t="shared" ref="L265:P265" si="144">SUM(L262:L264)</f>
        <v>0</v>
      </c>
      <c r="M265" s="354">
        <f t="shared" si="144"/>
        <v>0</v>
      </c>
      <c r="N265" s="354">
        <f t="shared" si="144"/>
        <v>0</v>
      </c>
      <c r="O265" s="354">
        <f t="shared" si="144"/>
        <v>0</v>
      </c>
      <c r="P265" s="450">
        <f t="shared" si="144"/>
        <v>439002.85662744858</v>
      </c>
      <c r="Q265" s="1184"/>
      <c r="R265" s="447">
        <f>SUM(R262:R264)</f>
        <v>403616.2003721004</v>
      </c>
      <c r="S265" s="354">
        <f>SUM(S262:S264)</f>
        <v>362197.83226479182</v>
      </c>
      <c r="T265" s="354">
        <f>SUM(T262:T264)</f>
        <v>329809.36843843543</v>
      </c>
      <c r="U265" s="354">
        <f>SUM(U262:U264)</f>
        <v>1319197.6312437584</v>
      </c>
      <c r="V265" s="450">
        <f>SUM(V262:V264)</f>
        <v>1422401.8446578321</v>
      </c>
      <c r="W265" s="4141"/>
      <c r="X265" s="1172"/>
      <c r="Y265" s="1172"/>
      <c r="Z265" s="1172"/>
      <c r="AA265" s="462"/>
      <c r="AB265" s="463"/>
      <c r="AC265" s="463"/>
      <c r="AD265" s="463"/>
      <c r="AE265" s="464"/>
      <c r="AF265" s="353">
        <f t="shared" ref="AF265:AH265" si="145">SUM(AF262:AF264)</f>
        <v>0</v>
      </c>
      <c r="AG265" s="354">
        <f t="shared" si="145"/>
        <v>0</v>
      </c>
      <c r="AH265" s="450">
        <f t="shared" si="145"/>
        <v>0</v>
      </c>
    </row>
    <row r="266" spans="1:34" s="474" customFormat="1" ht="12.75" customHeight="1" outlineLevel="1">
      <c r="D266" s="262"/>
      <c r="E266" s="498"/>
      <c r="F266" s="516" t="s">
        <v>583</v>
      </c>
      <c r="G266" s="459"/>
      <c r="H266" s="458"/>
      <c r="I266" s="458"/>
      <c r="J266" s="458"/>
      <c r="K266" s="460"/>
      <c r="L266" s="511">
        <v>0</v>
      </c>
      <c r="M266" s="512">
        <v>0</v>
      </c>
      <c r="N266" s="512">
        <v>0</v>
      </c>
      <c r="O266" s="512">
        <v>0</v>
      </c>
      <c r="P266" s="547">
        <v>0</v>
      </c>
      <c r="Q266" s="1183"/>
      <c r="R266" s="1011">
        <v>28088.16553882265</v>
      </c>
      <c r="S266" s="467">
        <v>26778.904375436188</v>
      </c>
      <c r="T266" s="467">
        <v>24764.058477958457</v>
      </c>
      <c r="U266" s="467">
        <v>105672.20366962084</v>
      </c>
      <c r="V266" s="480">
        <v>115556.74736009762</v>
      </c>
      <c r="W266" s="4141"/>
      <c r="X266" s="1172"/>
      <c r="Y266" s="1172"/>
      <c r="Z266" s="1172"/>
      <c r="AA266" s="462"/>
      <c r="AB266" s="463"/>
      <c r="AC266" s="463"/>
      <c r="AD266" s="463"/>
      <c r="AE266" s="464"/>
      <c r="AF266" s="511">
        <v>0</v>
      </c>
      <c r="AG266" s="512">
        <v>0</v>
      </c>
      <c r="AH266" s="547">
        <v>0</v>
      </c>
    </row>
    <row r="267" spans="1:34" s="474" customFormat="1" ht="12.75" customHeight="1" outlineLevel="1">
      <c r="D267" s="262"/>
      <c r="E267" s="498"/>
      <c r="F267" s="516" t="s">
        <v>581</v>
      </c>
      <c r="G267" s="459"/>
      <c r="H267" s="458"/>
      <c r="I267" s="458"/>
      <c r="J267" s="458"/>
      <c r="K267" s="460"/>
      <c r="L267" s="462">
        <v>0</v>
      </c>
      <c r="M267" s="463">
        <v>0</v>
      </c>
      <c r="N267" s="463">
        <v>0</v>
      </c>
      <c r="O267" s="463">
        <v>0</v>
      </c>
      <c r="P267" s="464">
        <v>0</v>
      </c>
      <c r="Q267" s="1183"/>
      <c r="R267" s="413">
        <v>0</v>
      </c>
      <c r="S267" s="458">
        <v>0</v>
      </c>
      <c r="T267" s="458">
        <v>0</v>
      </c>
      <c r="U267" s="458">
        <v>0</v>
      </c>
      <c r="V267" s="460">
        <v>0</v>
      </c>
      <c r="W267" s="4141"/>
      <c r="X267" s="1172"/>
      <c r="Y267" s="1172"/>
      <c r="Z267" s="1172"/>
      <c r="AA267" s="462"/>
      <c r="AB267" s="463"/>
      <c r="AC267" s="463"/>
      <c r="AD267" s="463"/>
      <c r="AE267" s="464"/>
      <c r="AF267" s="462">
        <v>0</v>
      </c>
      <c r="AG267" s="463">
        <v>0</v>
      </c>
      <c r="AH267" s="464">
        <v>0</v>
      </c>
    </row>
    <row r="268" spans="1:34" s="474" customFormat="1" ht="12.75" customHeight="1" outlineLevel="1">
      <c r="D268" s="262"/>
      <c r="E268" s="498"/>
      <c r="F268" s="517" t="s">
        <v>584</v>
      </c>
      <c r="G268" s="353">
        <f t="shared" ref="G268:P268" si="146">SUM(G266:G267)</f>
        <v>0</v>
      </c>
      <c r="H268" s="354">
        <f t="shared" si="146"/>
        <v>0</v>
      </c>
      <c r="I268" s="354">
        <f t="shared" si="146"/>
        <v>0</v>
      </c>
      <c r="J268" s="354">
        <f t="shared" si="146"/>
        <v>0</v>
      </c>
      <c r="K268" s="450">
        <f t="shared" si="146"/>
        <v>0</v>
      </c>
      <c r="L268" s="353">
        <f t="shared" si="146"/>
        <v>0</v>
      </c>
      <c r="M268" s="354">
        <f t="shared" si="146"/>
        <v>0</v>
      </c>
      <c r="N268" s="354">
        <f t="shared" si="146"/>
        <v>0</v>
      </c>
      <c r="O268" s="354">
        <f t="shared" si="146"/>
        <v>0</v>
      </c>
      <c r="P268" s="450">
        <f t="shared" si="146"/>
        <v>0</v>
      </c>
      <c r="Q268" s="1184"/>
      <c r="R268" s="447">
        <f>SUM(R265:R267)</f>
        <v>431704.36591092305</v>
      </c>
      <c r="S268" s="447">
        <f>SUM(S265:S267)</f>
        <v>388976.73664022802</v>
      </c>
      <c r="T268" s="447">
        <f>SUM(T265:T267)</f>
        <v>354573.42691639386</v>
      </c>
      <c r="U268" s="447">
        <f>SUM(U265:U267)</f>
        <v>1424869.8349133793</v>
      </c>
      <c r="V268" s="447">
        <f>SUM(V265:V267)</f>
        <v>1537958.5920179298</v>
      </c>
      <c r="W268" s="4141"/>
      <c r="X268" s="1172"/>
      <c r="Y268" s="1172"/>
      <c r="Z268" s="1172"/>
      <c r="AA268" s="353">
        <f t="shared" ref="AA268:AH268" si="147">SUM(AA266:AA267)</f>
        <v>0</v>
      </c>
      <c r="AB268" s="354">
        <f t="shared" si="147"/>
        <v>0</v>
      </c>
      <c r="AC268" s="354">
        <f t="shared" si="147"/>
        <v>0</v>
      </c>
      <c r="AD268" s="354">
        <f t="shared" si="147"/>
        <v>0</v>
      </c>
      <c r="AE268" s="450">
        <f t="shared" si="147"/>
        <v>0</v>
      </c>
      <c r="AF268" s="353">
        <f t="shared" si="147"/>
        <v>0</v>
      </c>
      <c r="AG268" s="354">
        <f t="shared" si="147"/>
        <v>0</v>
      </c>
      <c r="AH268" s="450">
        <f t="shared" si="147"/>
        <v>0</v>
      </c>
    </row>
    <row r="269" spans="1:34" s="474" customFormat="1" ht="12.75" customHeight="1" outlineLevel="1" thickBot="1">
      <c r="D269" s="262"/>
      <c r="E269" s="498"/>
      <c r="F269" s="516" t="s">
        <v>35</v>
      </c>
      <c r="G269" s="459"/>
      <c r="H269" s="458"/>
      <c r="I269" s="458"/>
      <c r="J269" s="458"/>
      <c r="K269" s="460"/>
      <c r="L269" s="459"/>
      <c r="M269" s="458"/>
      <c r="N269" s="458"/>
      <c r="O269" s="458"/>
      <c r="P269" s="460">
        <v>0</v>
      </c>
      <c r="Q269" s="1183"/>
      <c r="R269" s="3681">
        <v>0</v>
      </c>
      <c r="S269" s="667">
        <v>0</v>
      </c>
      <c r="T269" s="667">
        <v>0</v>
      </c>
      <c r="U269" s="667">
        <v>0</v>
      </c>
      <c r="V269" s="670">
        <v>0</v>
      </c>
      <c r="W269" s="4141"/>
      <c r="X269" s="1172"/>
      <c r="Y269" s="1172"/>
      <c r="Z269" s="1172"/>
      <c r="AA269" s="462"/>
      <c r="AB269" s="463"/>
      <c r="AC269" s="463"/>
      <c r="AD269" s="463"/>
      <c r="AE269" s="464"/>
      <c r="AF269" s="462"/>
      <c r="AG269" s="463"/>
      <c r="AH269" s="464"/>
    </row>
    <row r="270" spans="1:34" s="474" customFormat="1" ht="12.75" customHeight="1" outlineLevel="1" thickBot="1">
      <c r="D270" s="262"/>
      <c r="E270" s="498"/>
      <c r="F270" s="1409" t="s">
        <v>585</v>
      </c>
      <c r="G270" s="3662">
        <f t="shared" ref="G270:P270" si="148">G268-G269</f>
        <v>0</v>
      </c>
      <c r="H270" s="3663">
        <f t="shared" si="148"/>
        <v>0</v>
      </c>
      <c r="I270" s="3663">
        <f t="shared" si="148"/>
        <v>0</v>
      </c>
      <c r="J270" s="3663">
        <f t="shared" si="148"/>
        <v>0</v>
      </c>
      <c r="K270" s="3664">
        <f t="shared" si="148"/>
        <v>0</v>
      </c>
      <c r="L270" s="3662">
        <f t="shared" si="148"/>
        <v>0</v>
      </c>
      <c r="M270" s="3663">
        <f t="shared" si="148"/>
        <v>0</v>
      </c>
      <c r="N270" s="3663">
        <f t="shared" si="148"/>
        <v>0</v>
      </c>
      <c r="O270" s="3663">
        <f t="shared" si="148"/>
        <v>0</v>
      </c>
      <c r="P270" s="3664">
        <f t="shared" si="148"/>
        <v>0</v>
      </c>
      <c r="Q270" s="3677"/>
      <c r="R270" s="3682">
        <f>R268-R269</f>
        <v>431704.36591092305</v>
      </c>
      <c r="S270" s="2993">
        <f>S268-S269</f>
        <v>388976.73664022802</v>
      </c>
      <c r="T270" s="2993">
        <f>T268-T269</f>
        <v>354573.42691639386</v>
      </c>
      <c r="U270" s="2993">
        <f>U268-U269</f>
        <v>1424869.8349133793</v>
      </c>
      <c r="V270" s="2994">
        <f>V268-V269</f>
        <v>1537958.5920179298</v>
      </c>
      <c r="W270" s="4143"/>
      <c r="X270" s="1172"/>
      <c r="Y270" s="1172"/>
      <c r="Z270" s="1172"/>
      <c r="AA270" s="1370">
        <f t="shared" ref="AA270:AH270" si="149">AA268-AA269</f>
        <v>0</v>
      </c>
      <c r="AB270" s="356">
        <f t="shared" si="149"/>
        <v>0</v>
      </c>
      <c r="AC270" s="356">
        <f t="shared" si="149"/>
        <v>0</v>
      </c>
      <c r="AD270" s="356">
        <f t="shared" si="149"/>
        <v>0</v>
      </c>
      <c r="AE270" s="503">
        <f t="shared" si="149"/>
        <v>0</v>
      </c>
      <c r="AF270" s="1370">
        <f t="shared" si="149"/>
        <v>0</v>
      </c>
      <c r="AG270" s="356">
        <f t="shared" si="149"/>
        <v>0</v>
      </c>
      <c r="AH270" s="503">
        <f t="shared" si="149"/>
        <v>0</v>
      </c>
    </row>
    <row r="271" spans="1:34" s="474" customFormat="1" ht="18">
      <c r="D271" s="262"/>
      <c r="E271" s="1586" t="str">
        <f>CONCATENATE(E20, " Totals")</f>
        <v>SCADA Totals</v>
      </c>
      <c r="F271" s="1587" t="str">
        <f>CONCATENATE("Total direct expenditure - ",E20)</f>
        <v>Total direct expenditure - SCADA</v>
      </c>
      <c r="G271" s="3667">
        <f t="shared" ref="G271" ca="1" si="150">SUMIF($E$21:$P$270,"Total direct expenditure",F$21:F$270)</f>
        <v>13981.008808991697</v>
      </c>
      <c r="H271" s="3668">
        <f t="shared" ref="H271" ca="1" si="151">SUMIF($E$21:$P$270,"Total direct expenditure",G$21:G$270)</f>
        <v>1472624.0948832289</v>
      </c>
      <c r="I271" s="3668">
        <f t="shared" ref="I271" ca="1" si="152">SUMIF($E$21:$P$270,"Total direct expenditure",H$21:H$270)</f>
        <v>772313.36184213718</v>
      </c>
      <c r="J271" s="3668">
        <f t="shared" ref="J271" ca="1" si="153">SUMIF($E$21:$P$270,"Total direct expenditure",I$21:I$270)</f>
        <v>727918.42859096476</v>
      </c>
      <c r="K271" s="3668">
        <f t="shared" ref="K271" ca="1" si="154">SUMIF($E$21:$P$270,"Total direct expenditure",J$21:J$270)</f>
        <v>324355.36649957829</v>
      </c>
      <c r="L271" s="3667">
        <f t="shared" ref="L271" ca="1" si="155">SUMIF($E$21:$P$270,"Total direct expenditure",K$21:K$270)</f>
        <v>519903.68000000005</v>
      </c>
      <c r="M271" s="3668">
        <f t="shared" ref="M271" ca="1" si="156">SUMIF($E$21:$P$270,"Total direct expenditure",L$21:L$270)</f>
        <v>371066.27999999997</v>
      </c>
      <c r="N271" s="3668">
        <f t="shared" ref="N271" ca="1" si="157">SUMIF($E$21:$P$270,"Total direct expenditure",M$21:M$270)</f>
        <v>416706.6</v>
      </c>
      <c r="O271" s="3668">
        <f t="shared" ref="O271" ca="1" si="158">SUMIF($E$21:$P$270,"Total direct expenditure",N$21:N$270)</f>
        <v>214770.05</v>
      </c>
      <c r="P271" s="3669">
        <f t="shared" ref="P271" ca="1" si="159">SUMIF($E$21:$P$270,"Total direct expenditure",O$21:O$270)</f>
        <v>439002.85662744858</v>
      </c>
      <c r="Q271" s="3678">
        <f t="shared" ref="Q271" ca="1" si="160">SUMIF($E$21:$P$270,"Total direct expenditure",P$21:P$270)</f>
        <v>0</v>
      </c>
      <c r="R271" s="533">
        <f t="shared" ref="R271" ca="1" si="161">SUMIF($E$21:$P$270,"Total direct expenditure",Q$21:Q$270)</f>
        <v>403616.2003721004</v>
      </c>
      <c r="S271" s="534">
        <f t="shared" ref="S271" ca="1" si="162">SUMIF($E$21:$P$270,"Total direct expenditure",R$21:R$270)</f>
        <v>362197.83226479182</v>
      </c>
      <c r="T271" s="534">
        <f t="shared" ref="T271" ca="1" si="163">SUMIF($E$21:$P$270,"Total direct expenditure",S$21:S$270)</f>
        <v>329809.36843843543</v>
      </c>
      <c r="U271" s="534">
        <f t="shared" ref="U271" ca="1" si="164">SUMIF($E$21:$P$270,"Total direct expenditure",T$21:T$270)</f>
        <v>1319197.6312437584</v>
      </c>
      <c r="V271" s="3661">
        <f t="shared" ref="V271" ca="1" si="165">SUMIF($E$21:$P$270,"Total direct expenditure",U$21:U$270)</f>
        <v>1422401.8446578321</v>
      </c>
      <c r="W271" s="4146"/>
      <c r="X271" s="1172"/>
      <c r="Y271" s="1172"/>
      <c r="Z271" s="1172"/>
      <c r="AA271" s="1446">
        <f t="shared" ref="AA271:AH271" ca="1" si="166">SUMIF($E$21:$P$40,"Total direct expenditure",AA$21:AA$40)</f>
        <v>0</v>
      </c>
      <c r="AB271" s="536">
        <f t="shared" ca="1" si="166"/>
        <v>0</v>
      </c>
      <c r="AC271" s="536">
        <f t="shared" ca="1" si="166"/>
        <v>0</v>
      </c>
      <c r="AD271" s="536">
        <f t="shared" ca="1" si="166"/>
        <v>0</v>
      </c>
      <c r="AE271" s="537">
        <f t="shared" ca="1" si="166"/>
        <v>0</v>
      </c>
      <c r="AF271" s="1446">
        <f t="shared" ca="1" si="166"/>
        <v>0</v>
      </c>
      <c r="AG271" s="536">
        <f t="shared" ca="1" si="166"/>
        <v>0</v>
      </c>
      <c r="AH271" s="537">
        <f t="shared" ca="1" si="166"/>
        <v>0</v>
      </c>
    </row>
    <row r="272" spans="1:34" s="474" customFormat="1">
      <c r="D272" s="262"/>
      <c r="E272" s="1588"/>
      <c r="F272" s="1587" t="str">
        <f>CONCATENATE("Total direct expenditure - ",E20)</f>
        <v>Total direct expenditure - SCADA</v>
      </c>
      <c r="G272" s="3670">
        <f ca="1">G271</f>
        <v>13981.008808991697</v>
      </c>
      <c r="H272" s="3665">
        <f t="shared" ref="H272:V272" ca="1" si="167">H271</f>
        <v>1472624.0948832289</v>
      </c>
      <c r="I272" s="3665">
        <f t="shared" ca="1" si="167"/>
        <v>772313.36184213718</v>
      </c>
      <c r="J272" s="3665">
        <f t="shared" ca="1" si="167"/>
        <v>727918.42859096476</v>
      </c>
      <c r="K272" s="3665">
        <f t="shared" ca="1" si="167"/>
        <v>324355.36649957829</v>
      </c>
      <c r="L272" s="3670">
        <f t="shared" ca="1" si="167"/>
        <v>519903.68000000005</v>
      </c>
      <c r="M272" s="3665">
        <f t="shared" ca="1" si="167"/>
        <v>371066.27999999997</v>
      </c>
      <c r="N272" s="3665">
        <f t="shared" ca="1" si="167"/>
        <v>416706.6</v>
      </c>
      <c r="O272" s="3665">
        <f t="shared" ca="1" si="167"/>
        <v>214770.05</v>
      </c>
      <c r="P272" s="3671">
        <f t="shared" ca="1" si="167"/>
        <v>439002.85662744858</v>
      </c>
      <c r="Q272" s="3679">
        <f t="shared" ca="1" si="167"/>
        <v>0</v>
      </c>
      <c r="R272" s="533">
        <f t="shared" ca="1" si="167"/>
        <v>403616.2003721004</v>
      </c>
      <c r="S272" s="496">
        <f t="shared" ca="1" si="167"/>
        <v>362197.83226479182</v>
      </c>
      <c r="T272" s="496">
        <f t="shared" ca="1" si="167"/>
        <v>329809.36843843543</v>
      </c>
      <c r="U272" s="496">
        <f t="shared" ca="1" si="167"/>
        <v>1319197.6312437584</v>
      </c>
      <c r="V272" s="497">
        <f t="shared" ca="1" si="167"/>
        <v>1422401.8446578321</v>
      </c>
      <c r="W272" s="4147"/>
      <c r="X272" s="1172"/>
      <c r="Y272" s="1172"/>
      <c r="Z272" s="1172"/>
      <c r="AA272" s="533">
        <f t="shared" ref="AA272:AH272" ca="1" si="168">SUMIF($E$21:$P$40,"Total direct expenditure (incl escalation)",AA$21:AA$40)</f>
        <v>0</v>
      </c>
      <c r="AB272" s="496">
        <f t="shared" ca="1" si="168"/>
        <v>0</v>
      </c>
      <c r="AC272" s="496">
        <f t="shared" ca="1" si="168"/>
        <v>0</v>
      </c>
      <c r="AD272" s="496">
        <f t="shared" ca="1" si="168"/>
        <v>0</v>
      </c>
      <c r="AE272" s="497">
        <f t="shared" ca="1" si="168"/>
        <v>0</v>
      </c>
      <c r="AF272" s="533">
        <f t="shared" ca="1" si="168"/>
        <v>0</v>
      </c>
      <c r="AG272" s="496">
        <f t="shared" ca="1" si="168"/>
        <v>0</v>
      </c>
      <c r="AH272" s="497">
        <f t="shared" ca="1" si="168"/>
        <v>0</v>
      </c>
    </row>
    <row r="273" spans="1:37" s="474" customFormat="1">
      <c r="D273" s="262"/>
      <c r="E273" s="1588"/>
      <c r="F273" s="1589" t="str">
        <f>CONCATENATE("Total overhead expenditure - ", E20)</f>
        <v>Total overhead expenditure - SCADA</v>
      </c>
      <c r="G273" s="3670">
        <f t="shared" ref="G273:Q273" ca="1" si="169">SUMIF($E$21:$P$40,"Total overhead expenditure",G$21:G$40)</f>
        <v>0</v>
      </c>
      <c r="H273" s="3665">
        <f t="shared" ca="1" si="169"/>
        <v>0</v>
      </c>
      <c r="I273" s="3665">
        <f t="shared" ca="1" si="169"/>
        <v>0</v>
      </c>
      <c r="J273" s="3665">
        <f t="shared" ca="1" si="169"/>
        <v>0</v>
      </c>
      <c r="K273" s="3665">
        <f t="shared" ca="1" si="169"/>
        <v>0</v>
      </c>
      <c r="L273" s="3670">
        <f t="shared" ca="1" si="169"/>
        <v>0</v>
      </c>
      <c r="M273" s="3665">
        <f t="shared" ca="1" si="169"/>
        <v>0</v>
      </c>
      <c r="N273" s="3665">
        <f t="shared" ca="1" si="169"/>
        <v>0</v>
      </c>
      <c r="O273" s="3665">
        <f t="shared" ca="1" si="169"/>
        <v>0</v>
      </c>
      <c r="P273" s="3671">
        <f t="shared" ca="1" si="169"/>
        <v>0</v>
      </c>
      <c r="Q273" s="3679">
        <f t="shared" ca="1" si="169"/>
        <v>0</v>
      </c>
      <c r="R273" s="533">
        <f>R266</f>
        <v>28088.16553882265</v>
      </c>
      <c r="S273" s="496">
        <f t="shared" ref="S273:V273" si="170">S266</f>
        <v>26778.904375436188</v>
      </c>
      <c r="T273" s="496">
        <f t="shared" si="170"/>
        <v>24764.058477958457</v>
      </c>
      <c r="U273" s="496">
        <f t="shared" si="170"/>
        <v>105672.20366962084</v>
      </c>
      <c r="V273" s="497">
        <f t="shared" si="170"/>
        <v>115556.74736009762</v>
      </c>
      <c r="W273" s="4147"/>
      <c r="X273" s="1172"/>
      <c r="Y273" s="1172"/>
      <c r="Z273" s="1172"/>
      <c r="AA273" s="533">
        <f t="shared" ref="AA273:AH273" ca="1" si="171">SUMIF($E$21:$P$40,"Total overhead expenditure",AA$21:AA$40)</f>
        <v>0</v>
      </c>
      <c r="AB273" s="496">
        <f t="shared" ca="1" si="171"/>
        <v>0</v>
      </c>
      <c r="AC273" s="496">
        <f t="shared" ca="1" si="171"/>
        <v>0</v>
      </c>
      <c r="AD273" s="496">
        <f t="shared" ca="1" si="171"/>
        <v>0</v>
      </c>
      <c r="AE273" s="497">
        <f t="shared" ca="1" si="171"/>
        <v>0</v>
      </c>
      <c r="AF273" s="533">
        <f t="shared" ca="1" si="171"/>
        <v>0</v>
      </c>
      <c r="AG273" s="496">
        <f t="shared" ca="1" si="171"/>
        <v>0</v>
      </c>
      <c r="AH273" s="497">
        <f t="shared" ca="1" si="171"/>
        <v>0</v>
      </c>
    </row>
    <row r="274" spans="1:37" s="474" customFormat="1">
      <c r="D274" s="262"/>
      <c r="E274" s="1588"/>
      <c r="F274" s="1589" t="str">
        <f>CONCATENATE("Related party margin expenditure - ",E20)</f>
        <v>Related party margin expenditure - SCADA</v>
      </c>
      <c r="G274" s="3670">
        <f t="shared" ref="G274:V274" ca="1" si="172">SUMIF($E$21:$P$40,"Related party margin",G$21:G$40)</f>
        <v>0</v>
      </c>
      <c r="H274" s="3665">
        <f t="shared" ca="1" si="172"/>
        <v>0</v>
      </c>
      <c r="I274" s="3665">
        <f t="shared" ca="1" si="172"/>
        <v>0</v>
      </c>
      <c r="J274" s="3665">
        <f t="shared" ca="1" si="172"/>
        <v>0</v>
      </c>
      <c r="K274" s="3665">
        <f t="shared" ca="1" si="172"/>
        <v>0</v>
      </c>
      <c r="L274" s="3670">
        <f t="shared" ca="1" si="172"/>
        <v>0</v>
      </c>
      <c r="M274" s="3665">
        <f t="shared" ca="1" si="172"/>
        <v>0</v>
      </c>
      <c r="N274" s="3665">
        <f t="shared" ca="1" si="172"/>
        <v>0</v>
      </c>
      <c r="O274" s="3665">
        <f t="shared" ca="1" si="172"/>
        <v>0</v>
      </c>
      <c r="P274" s="3671">
        <f t="shared" ca="1" si="172"/>
        <v>0</v>
      </c>
      <c r="Q274" s="3679">
        <f t="shared" ca="1" si="172"/>
        <v>0</v>
      </c>
      <c r="R274" s="533">
        <f t="shared" ca="1" si="172"/>
        <v>0</v>
      </c>
      <c r="S274" s="496">
        <f t="shared" ca="1" si="172"/>
        <v>0</v>
      </c>
      <c r="T274" s="496">
        <f t="shared" ca="1" si="172"/>
        <v>0</v>
      </c>
      <c r="U274" s="496">
        <f t="shared" ca="1" si="172"/>
        <v>0</v>
      </c>
      <c r="V274" s="497">
        <f t="shared" ca="1" si="172"/>
        <v>0</v>
      </c>
      <c r="W274" s="4147"/>
      <c r="X274" s="1172"/>
      <c r="Y274" s="1172"/>
      <c r="Z274" s="1172"/>
      <c r="AA274" s="533">
        <f t="shared" ref="AA274:AH274" ca="1" si="173">SUMIF($E$21:$P$40,"Related party margin",AA$21:AA$40)</f>
        <v>0</v>
      </c>
      <c r="AB274" s="496">
        <f t="shared" ca="1" si="173"/>
        <v>0</v>
      </c>
      <c r="AC274" s="496">
        <f t="shared" ca="1" si="173"/>
        <v>0</v>
      </c>
      <c r="AD274" s="496">
        <f t="shared" ca="1" si="173"/>
        <v>0</v>
      </c>
      <c r="AE274" s="497">
        <f t="shared" ca="1" si="173"/>
        <v>0</v>
      </c>
      <c r="AF274" s="533">
        <f t="shared" ca="1" si="173"/>
        <v>0</v>
      </c>
      <c r="AG274" s="496">
        <f t="shared" ca="1" si="173"/>
        <v>0</v>
      </c>
      <c r="AH274" s="497">
        <f t="shared" ca="1" si="173"/>
        <v>0</v>
      </c>
    </row>
    <row r="275" spans="1:37" s="69" customFormat="1">
      <c r="A275" s="75"/>
      <c r="B275" s="75"/>
      <c r="C275" s="75"/>
      <c r="D275" s="314"/>
      <c r="E275" s="1590"/>
      <c r="F275" s="1591" t="str">
        <f>CONCATENATE("Total gross expenditure - ",E20)</f>
        <v>Total gross expenditure - SCADA</v>
      </c>
      <c r="G275" s="3672">
        <f ca="1">SUM(G272:G274)</f>
        <v>13981.008808991697</v>
      </c>
      <c r="H275" s="3666">
        <f t="shared" ref="H275:V275" ca="1" si="174">SUM(H272:H274)</f>
        <v>1472624.0948832289</v>
      </c>
      <c r="I275" s="3666">
        <f t="shared" ca="1" si="174"/>
        <v>772313.36184213718</v>
      </c>
      <c r="J275" s="3666">
        <f t="shared" ca="1" si="174"/>
        <v>727918.42859096476</v>
      </c>
      <c r="K275" s="3666">
        <f t="shared" ca="1" si="174"/>
        <v>324355.36649957829</v>
      </c>
      <c r="L275" s="3672">
        <f t="shared" ca="1" si="174"/>
        <v>519903.68000000005</v>
      </c>
      <c r="M275" s="3666">
        <f t="shared" ca="1" si="174"/>
        <v>371066.27999999997</v>
      </c>
      <c r="N275" s="3666">
        <f t="shared" ca="1" si="174"/>
        <v>416706.6</v>
      </c>
      <c r="O275" s="3666">
        <f t="shared" ca="1" si="174"/>
        <v>214770.05</v>
      </c>
      <c r="P275" s="3673">
        <f t="shared" ca="1" si="174"/>
        <v>439002.85662744858</v>
      </c>
      <c r="Q275" s="3680">
        <f t="shared" ca="1" si="174"/>
        <v>0</v>
      </c>
      <c r="R275" s="1144">
        <f t="shared" ca="1" si="174"/>
        <v>431704.36591092305</v>
      </c>
      <c r="S275" s="1145">
        <f t="shared" ca="1" si="174"/>
        <v>388976.73664022802</v>
      </c>
      <c r="T275" s="1145">
        <f t="shared" ca="1" si="174"/>
        <v>354573.42691639386</v>
      </c>
      <c r="U275" s="1145">
        <f t="shared" ca="1" si="174"/>
        <v>1424869.8349133793</v>
      </c>
      <c r="V275" s="1146">
        <f t="shared" ca="1" si="174"/>
        <v>1537958.5920179298</v>
      </c>
      <c r="W275" s="4147"/>
      <c r="X275" s="1172"/>
      <c r="Y275" s="1172"/>
      <c r="Z275" s="1172"/>
      <c r="AA275" s="1144">
        <f t="shared" ref="AA275:AH275" ca="1" si="175">SUMIF($E$21:$P$40,"Total gross expenditure",AA$21:AA$40)</f>
        <v>0</v>
      </c>
      <c r="AB275" s="1145">
        <f t="shared" ca="1" si="175"/>
        <v>0</v>
      </c>
      <c r="AC275" s="1145">
        <f t="shared" ca="1" si="175"/>
        <v>0</v>
      </c>
      <c r="AD275" s="1145">
        <f t="shared" ca="1" si="175"/>
        <v>0</v>
      </c>
      <c r="AE275" s="1146">
        <f t="shared" ca="1" si="175"/>
        <v>0</v>
      </c>
      <c r="AF275" s="1144">
        <f t="shared" ca="1" si="175"/>
        <v>0</v>
      </c>
      <c r="AG275" s="1145">
        <f t="shared" ca="1" si="175"/>
        <v>0</v>
      </c>
      <c r="AH275" s="1146">
        <f t="shared" ca="1" si="175"/>
        <v>0</v>
      </c>
    </row>
    <row r="276" spans="1:37" s="69" customFormat="1">
      <c r="A276" s="75"/>
      <c r="B276" s="75"/>
      <c r="C276" s="75"/>
      <c r="D276" s="314"/>
      <c r="E276" s="1590"/>
      <c r="F276" s="1589" t="s">
        <v>35</v>
      </c>
      <c r="G276" s="3670">
        <f t="shared" ref="G276:V276" ca="1" si="176">SUMIF($E$21:$P$40,"Less customer contributions",G$21:G$40)</f>
        <v>0</v>
      </c>
      <c r="H276" s="3665">
        <f t="shared" ca="1" si="176"/>
        <v>0</v>
      </c>
      <c r="I276" s="3665">
        <f t="shared" ca="1" si="176"/>
        <v>0</v>
      </c>
      <c r="J276" s="3665">
        <f t="shared" ca="1" si="176"/>
        <v>0</v>
      </c>
      <c r="K276" s="3665">
        <f t="shared" ca="1" si="176"/>
        <v>0</v>
      </c>
      <c r="L276" s="3670">
        <f t="shared" ca="1" si="176"/>
        <v>0</v>
      </c>
      <c r="M276" s="3665">
        <f t="shared" ca="1" si="176"/>
        <v>0</v>
      </c>
      <c r="N276" s="3665">
        <f t="shared" ca="1" si="176"/>
        <v>0</v>
      </c>
      <c r="O276" s="3665">
        <f t="shared" ca="1" si="176"/>
        <v>0</v>
      </c>
      <c r="P276" s="3671">
        <f t="shared" ca="1" si="176"/>
        <v>0</v>
      </c>
      <c r="Q276" s="3679">
        <f t="shared" ca="1" si="176"/>
        <v>0</v>
      </c>
      <c r="R276" s="533">
        <f t="shared" ca="1" si="176"/>
        <v>0</v>
      </c>
      <c r="S276" s="496">
        <f t="shared" ca="1" si="176"/>
        <v>0</v>
      </c>
      <c r="T276" s="496">
        <f t="shared" ca="1" si="176"/>
        <v>0</v>
      </c>
      <c r="U276" s="496">
        <f t="shared" ca="1" si="176"/>
        <v>0</v>
      </c>
      <c r="V276" s="497">
        <f t="shared" ca="1" si="176"/>
        <v>0</v>
      </c>
      <c r="W276" s="4147"/>
      <c r="X276" s="1172"/>
      <c r="Y276" s="1172"/>
      <c r="Z276" s="1172"/>
      <c r="AA276" s="533">
        <f t="shared" ref="AA276:AH276" ca="1" si="177">SUMIF($E$21:$P$40,"Less customer contributions",AA$21:AA$40)</f>
        <v>0</v>
      </c>
      <c r="AB276" s="496">
        <f t="shared" ca="1" si="177"/>
        <v>0</v>
      </c>
      <c r="AC276" s="496">
        <f t="shared" ca="1" si="177"/>
        <v>0</v>
      </c>
      <c r="AD276" s="496">
        <f t="shared" ca="1" si="177"/>
        <v>0</v>
      </c>
      <c r="AE276" s="497">
        <f t="shared" ca="1" si="177"/>
        <v>0</v>
      </c>
      <c r="AF276" s="533">
        <f t="shared" ca="1" si="177"/>
        <v>0</v>
      </c>
      <c r="AG276" s="496">
        <f t="shared" ca="1" si="177"/>
        <v>0</v>
      </c>
      <c r="AH276" s="497">
        <f t="shared" ca="1" si="177"/>
        <v>0</v>
      </c>
    </row>
    <row r="277" spans="1:37" s="69" customFormat="1" ht="13.5" thickBot="1">
      <c r="A277" s="75"/>
      <c r="B277" s="75"/>
      <c r="C277" s="75"/>
      <c r="D277" s="314"/>
      <c r="E277" s="1592"/>
      <c r="F277" s="1593" t="str">
        <f>CONCATENATE("Total net expenditure - ",E20)</f>
        <v>Total net expenditure - SCADA</v>
      </c>
      <c r="G277" s="3674">
        <f ca="1">G275-G276</f>
        <v>13981.008808991697</v>
      </c>
      <c r="H277" s="3675">
        <f t="shared" ref="H277:V277" ca="1" si="178">H275-H276</f>
        <v>1472624.0948832289</v>
      </c>
      <c r="I277" s="3675">
        <f t="shared" ca="1" si="178"/>
        <v>772313.36184213718</v>
      </c>
      <c r="J277" s="3675">
        <f t="shared" ca="1" si="178"/>
        <v>727918.42859096476</v>
      </c>
      <c r="K277" s="3675">
        <f t="shared" ca="1" si="178"/>
        <v>324355.36649957829</v>
      </c>
      <c r="L277" s="3674">
        <f t="shared" ca="1" si="178"/>
        <v>519903.68000000005</v>
      </c>
      <c r="M277" s="3675">
        <f t="shared" ca="1" si="178"/>
        <v>371066.27999999997</v>
      </c>
      <c r="N277" s="3675">
        <f t="shared" ca="1" si="178"/>
        <v>416706.6</v>
      </c>
      <c r="O277" s="3675">
        <f t="shared" ca="1" si="178"/>
        <v>214770.05</v>
      </c>
      <c r="P277" s="3676">
        <f t="shared" ca="1" si="178"/>
        <v>439002.85662744858</v>
      </c>
      <c r="Q277" s="3481">
        <f t="shared" ca="1" si="178"/>
        <v>0</v>
      </c>
      <c r="R277" s="1447">
        <f t="shared" ca="1" si="178"/>
        <v>431704.36591092305</v>
      </c>
      <c r="S277" s="1150">
        <f t="shared" ca="1" si="178"/>
        <v>388976.73664022802</v>
      </c>
      <c r="T277" s="1150">
        <f t="shared" ca="1" si="178"/>
        <v>354573.42691639386</v>
      </c>
      <c r="U277" s="1150">
        <f t="shared" ca="1" si="178"/>
        <v>1424869.8349133793</v>
      </c>
      <c r="V277" s="1151">
        <f t="shared" ca="1" si="178"/>
        <v>1537958.5920179298</v>
      </c>
      <c r="W277" s="4148"/>
      <c r="X277" s="1172"/>
      <c r="Y277" s="1172"/>
      <c r="Z277" s="1172"/>
      <c r="AA277" s="1447">
        <f t="shared" ref="AA277:AH277" ca="1" si="179">SUMIF($E$21:$P$40,"Total net expenditure",AA$21:AA$40)</f>
        <v>0</v>
      </c>
      <c r="AB277" s="1150">
        <f t="shared" ca="1" si="179"/>
        <v>0</v>
      </c>
      <c r="AC277" s="1150">
        <f t="shared" ca="1" si="179"/>
        <v>0</v>
      </c>
      <c r="AD277" s="1150">
        <f t="shared" ca="1" si="179"/>
        <v>0</v>
      </c>
      <c r="AE277" s="1151">
        <f t="shared" ca="1" si="179"/>
        <v>0</v>
      </c>
      <c r="AF277" s="1447">
        <f t="shared" ca="1" si="179"/>
        <v>0</v>
      </c>
      <c r="AG277" s="1150">
        <f t="shared" ca="1" si="179"/>
        <v>0</v>
      </c>
      <c r="AH277" s="1151">
        <f t="shared" ca="1" si="179"/>
        <v>0</v>
      </c>
    </row>
    <row r="278" spans="1:37" s="474" customFormat="1" ht="12.75" customHeight="1" thickBot="1">
      <c r="D278" s="262"/>
      <c r="E278" s="371"/>
      <c r="F278" s="135"/>
      <c r="G278" s="135"/>
      <c r="H278" s="135"/>
      <c r="I278" s="135"/>
      <c r="J278" s="135"/>
      <c r="K278" s="135"/>
      <c r="L278" s="135"/>
      <c r="M278" s="135"/>
      <c r="N278" s="135"/>
      <c r="O278" s="135"/>
      <c r="P278" s="135"/>
      <c r="Q278" s="139"/>
      <c r="R278" s="3683"/>
      <c r="S278" s="135"/>
      <c r="T278" s="135"/>
      <c r="U278" s="135"/>
      <c r="V278" s="3684"/>
      <c r="W278" s="135"/>
      <c r="X278" s="1172"/>
      <c r="Y278" s="1172"/>
      <c r="Z278" s="1172"/>
      <c r="AA278" s="1691"/>
      <c r="AB278" s="139"/>
      <c r="AC278" s="139"/>
      <c r="AD278" s="139"/>
      <c r="AE278" s="139"/>
      <c r="AF278" s="139"/>
      <c r="AG278" s="139"/>
      <c r="AH278" s="1692"/>
    </row>
    <row r="279" spans="1:37" s="474" customFormat="1" ht="18" customHeight="1">
      <c r="D279" s="262"/>
      <c r="E279" s="4137" t="s">
        <v>341</v>
      </c>
      <c r="F279" s="1596" t="s">
        <v>579</v>
      </c>
      <c r="G279" s="3667">
        <f ca="1">SUM(G271)</f>
        <v>13981.008808991697</v>
      </c>
      <c r="H279" s="3668">
        <f t="shared" ref="H279:V279" ca="1" si="180">SUM(H271)</f>
        <v>1472624.0948832289</v>
      </c>
      <c r="I279" s="3668">
        <f t="shared" ca="1" si="180"/>
        <v>772313.36184213718</v>
      </c>
      <c r="J279" s="3668">
        <f t="shared" ca="1" si="180"/>
        <v>727918.42859096476</v>
      </c>
      <c r="K279" s="3668">
        <f t="shared" ca="1" si="180"/>
        <v>324355.36649957829</v>
      </c>
      <c r="L279" s="3667">
        <f t="shared" ca="1" si="180"/>
        <v>519903.68000000005</v>
      </c>
      <c r="M279" s="3668">
        <f t="shared" ca="1" si="180"/>
        <v>371066.27999999997</v>
      </c>
      <c r="N279" s="3668">
        <f t="shared" ca="1" si="180"/>
        <v>416706.6</v>
      </c>
      <c r="O279" s="3668">
        <f t="shared" ca="1" si="180"/>
        <v>214770.05</v>
      </c>
      <c r="P279" s="3668">
        <f t="shared" ca="1" si="180"/>
        <v>439002.85662744858</v>
      </c>
      <c r="Q279" s="3667">
        <f t="shared" ca="1" si="180"/>
        <v>0</v>
      </c>
      <c r="R279" s="3667">
        <f t="shared" ca="1" si="180"/>
        <v>403616.2003721004</v>
      </c>
      <c r="S279" s="3668">
        <f t="shared" ca="1" si="180"/>
        <v>362197.83226479182</v>
      </c>
      <c r="T279" s="3668">
        <f t="shared" ca="1" si="180"/>
        <v>329809.36843843543</v>
      </c>
      <c r="U279" s="3668">
        <f t="shared" ca="1" si="180"/>
        <v>1319197.6312437584</v>
      </c>
      <c r="V279" s="3669">
        <f t="shared" ca="1" si="180"/>
        <v>1422401.8446578321</v>
      </c>
      <c r="W279" s="4144"/>
      <c r="X279" s="1172"/>
      <c r="Y279" s="1172"/>
      <c r="Z279" s="1172"/>
      <c r="AA279" s="1446"/>
      <c r="AB279" s="536"/>
      <c r="AC279" s="536"/>
      <c r="AD279" s="536"/>
      <c r="AE279" s="548"/>
      <c r="AF279" s="1446"/>
      <c r="AG279" s="536"/>
      <c r="AH279" s="537"/>
    </row>
    <row r="280" spans="1:37" s="474" customFormat="1" ht="12.75" customHeight="1">
      <c r="D280" s="262"/>
      <c r="E280" s="4138"/>
      <c r="F280" s="3459" t="s">
        <v>583</v>
      </c>
      <c r="G280" s="3670">
        <f ca="1">SUM(G273)</f>
        <v>0</v>
      </c>
      <c r="H280" s="3665">
        <f t="shared" ref="H280:V280" ca="1" si="181">SUM(H273)</f>
        <v>0</v>
      </c>
      <c r="I280" s="3665">
        <f t="shared" ca="1" si="181"/>
        <v>0</v>
      </c>
      <c r="J280" s="3665">
        <f t="shared" ca="1" si="181"/>
        <v>0</v>
      </c>
      <c r="K280" s="3665">
        <f t="shared" ca="1" si="181"/>
        <v>0</v>
      </c>
      <c r="L280" s="3670">
        <f t="shared" ca="1" si="181"/>
        <v>0</v>
      </c>
      <c r="M280" s="3665">
        <f t="shared" ca="1" si="181"/>
        <v>0</v>
      </c>
      <c r="N280" s="3665">
        <f t="shared" ca="1" si="181"/>
        <v>0</v>
      </c>
      <c r="O280" s="3665">
        <f t="shared" ca="1" si="181"/>
        <v>0</v>
      </c>
      <c r="P280" s="3665">
        <f t="shared" ca="1" si="181"/>
        <v>0</v>
      </c>
      <c r="Q280" s="3670">
        <f t="shared" ca="1" si="181"/>
        <v>0</v>
      </c>
      <c r="R280" s="3670">
        <f t="shared" si="181"/>
        <v>28088.16553882265</v>
      </c>
      <c r="S280" s="3665">
        <f t="shared" si="181"/>
        <v>26778.904375436188</v>
      </c>
      <c r="T280" s="3665">
        <f t="shared" si="181"/>
        <v>24764.058477958457</v>
      </c>
      <c r="U280" s="3665">
        <f t="shared" si="181"/>
        <v>105672.20366962084</v>
      </c>
      <c r="V280" s="3671">
        <f t="shared" si="181"/>
        <v>115556.74736009762</v>
      </c>
      <c r="W280" s="4145"/>
      <c r="X280" s="1172"/>
      <c r="Y280" s="1172"/>
      <c r="Z280" s="1172"/>
      <c r="AA280" s="533"/>
      <c r="AB280" s="496"/>
      <c r="AC280" s="496"/>
      <c r="AD280" s="496"/>
      <c r="AE280" s="500"/>
      <c r="AF280" s="533"/>
      <c r="AG280" s="496"/>
      <c r="AH280" s="497"/>
    </row>
    <row r="281" spans="1:37" s="474" customFormat="1" ht="12.75" customHeight="1">
      <c r="D281" s="262"/>
      <c r="E281" s="4138"/>
      <c r="F281" s="1597" t="s">
        <v>581</v>
      </c>
      <c r="G281" s="3670">
        <f ca="1">SUM(G274)</f>
        <v>0</v>
      </c>
      <c r="H281" s="3665">
        <f t="shared" ref="H281:V281" ca="1" si="182">SUM(H274)</f>
        <v>0</v>
      </c>
      <c r="I281" s="3665">
        <f t="shared" ca="1" si="182"/>
        <v>0</v>
      </c>
      <c r="J281" s="3665">
        <f t="shared" ca="1" si="182"/>
        <v>0</v>
      </c>
      <c r="K281" s="3665">
        <f t="shared" ca="1" si="182"/>
        <v>0</v>
      </c>
      <c r="L281" s="3670">
        <f t="shared" ca="1" si="182"/>
        <v>0</v>
      </c>
      <c r="M281" s="3665">
        <f t="shared" ca="1" si="182"/>
        <v>0</v>
      </c>
      <c r="N281" s="3665">
        <f t="shared" ca="1" si="182"/>
        <v>0</v>
      </c>
      <c r="O281" s="3665">
        <f t="shared" ca="1" si="182"/>
        <v>0</v>
      </c>
      <c r="P281" s="3665">
        <f t="shared" ca="1" si="182"/>
        <v>0</v>
      </c>
      <c r="Q281" s="3670">
        <f t="shared" ca="1" si="182"/>
        <v>0</v>
      </c>
      <c r="R281" s="3670">
        <f t="shared" ca="1" si="182"/>
        <v>0</v>
      </c>
      <c r="S281" s="3665">
        <f t="shared" ca="1" si="182"/>
        <v>0</v>
      </c>
      <c r="T281" s="3665">
        <f t="shared" ca="1" si="182"/>
        <v>0</v>
      </c>
      <c r="U281" s="3665">
        <f t="shared" ca="1" si="182"/>
        <v>0</v>
      </c>
      <c r="V281" s="3671">
        <f t="shared" ca="1" si="182"/>
        <v>0</v>
      </c>
      <c r="W281" s="4145"/>
      <c r="X281" s="1172"/>
      <c r="Y281" s="1172"/>
      <c r="Z281" s="1172"/>
      <c r="AA281" s="533"/>
      <c r="AB281" s="496"/>
      <c r="AC281" s="496"/>
      <c r="AD281" s="496"/>
      <c r="AE281" s="500"/>
      <c r="AF281" s="533"/>
      <c r="AG281" s="496"/>
      <c r="AH281" s="497"/>
    </row>
    <row r="282" spans="1:37" s="474" customFormat="1" ht="12.75" customHeight="1">
      <c r="D282" s="262"/>
      <c r="E282" s="4138"/>
      <c r="F282" s="3461" t="s">
        <v>584</v>
      </c>
      <c r="G282" s="3672">
        <f ca="1">SUM(G275)</f>
        <v>13981.008808991697</v>
      </c>
      <c r="H282" s="3666">
        <f t="shared" ref="H282:V282" ca="1" si="183">SUM(H275)</f>
        <v>1472624.0948832289</v>
      </c>
      <c r="I282" s="3666">
        <f t="shared" ca="1" si="183"/>
        <v>772313.36184213718</v>
      </c>
      <c r="J282" s="3666">
        <f t="shared" ca="1" si="183"/>
        <v>727918.42859096476</v>
      </c>
      <c r="K282" s="3666">
        <f t="shared" ca="1" si="183"/>
        <v>324355.36649957829</v>
      </c>
      <c r="L282" s="3672">
        <f t="shared" ca="1" si="183"/>
        <v>519903.68000000005</v>
      </c>
      <c r="M282" s="3666">
        <f t="shared" ca="1" si="183"/>
        <v>371066.27999999997</v>
      </c>
      <c r="N282" s="3666">
        <f t="shared" ca="1" si="183"/>
        <v>416706.6</v>
      </c>
      <c r="O282" s="3666">
        <f t="shared" ca="1" si="183"/>
        <v>214770.05</v>
      </c>
      <c r="P282" s="3673">
        <f t="shared" ca="1" si="183"/>
        <v>439002.85662744858</v>
      </c>
      <c r="Q282" s="3680">
        <f t="shared" ca="1" si="183"/>
        <v>0</v>
      </c>
      <c r="R282" s="1144">
        <f t="shared" ca="1" si="183"/>
        <v>431704.36591092305</v>
      </c>
      <c r="S282" s="1145">
        <f t="shared" ca="1" si="183"/>
        <v>388976.73664022802</v>
      </c>
      <c r="T282" s="1145">
        <f t="shared" ca="1" si="183"/>
        <v>354573.42691639386</v>
      </c>
      <c r="U282" s="1145">
        <f t="shared" ca="1" si="183"/>
        <v>1424869.8349133793</v>
      </c>
      <c r="V282" s="1146">
        <f t="shared" ca="1" si="183"/>
        <v>1537958.5920179298</v>
      </c>
      <c r="W282" s="4145"/>
      <c r="X282" s="1172"/>
      <c r="Y282" s="1172"/>
      <c r="Z282" s="1172"/>
      <c r="AA282" s="1144"/>
      <c r="AB282" s="1145"/>
      <c r="AC282" s="1145"/>
      <c r="AD282" s="1145"/>
      <c r="AE282" s="1148"/>
      <c r="AF282" s="1144"/>
      <c r="AG282" s="1145"/>
      <c r="AH282" s="1146"/>
    </row>
    <row r="283" spans="1:37" s="474" customFormat="1" ht="12.75" customHeight="1">
      <c r="D283" s="262"/>
      <c r="E283" s="4138"/>
      <c r="F283" s="294" t="s">
        <v>35</v>
      </c>
      <c r="G283" s="3670">
        <f ca="1">SUM(G276)</f>
        <v>0</v>
      </c>
      <c r="H283" s="3665">
        <f t="shared" ref="H283:V283" ca="1" si="184">SUM(H276)</f>
        <v>0</v>
      </c>
      <c r="I283" s="3665">
        <f t="shared" ca="1" si="184"/>
        <v>0</v>
      </c>
      <c r="J283" s="3665">
        <f t="shared" ca="1" si="184"/>
        <v>0</v>
      </c>
      <c r="K283" s="3665">
        <f t="shared" ca="1" si="184"/>
        <v>0</v>
      </c>
      <c r="L283" s="3670">
        <f t="shared" ca="1" si="184"/>
        <v>0</v>
      </c>
      <c r="M283" s="3665">
        <f t="shared" ca="1" si="184"/>
        <v>0</v>
      </c>
      <c r="N283" s="3665">
        <f t="shared" ca="1" si="184"/>
        <v>0</v>
      </c>
      <c r="O283" s="3665">
        <f t="shared" ca="1" si="184"/>
        <v>0</v>
      </c>
      <c r="P283" s="3665">
        <f t="shared" ca="1" si="184"/>
        <v>0</v>
      </c>
      <c r="Q283" s="3670">
        <f t="shared" ca="1" si="184"/>
        <v>0</v>
      </c>
      <c r="R283" s="3670">
        <f t="shared" ca="1" si="184"/>
        <v>0</v>
      </c>
      <c r="S283" s="3665">
        <f t="shared" ca="1" si="184"/>
        <v>0</v>
      </c>
      <c r="T283" s="3665">
        <f t="shared" ca="1" si="184"/>
        <v>0</v>
      </c>
      <c r="U283" s="3665">
        <f t="shared" ca="1" si="184"/>
        <v>0</v>
      </c>
      <c r="V283" s="3671">
        <f t="shared" ca="1" si="184"/>
        <v>0</v>
      </c>
      <c r="W283" s="4145"/>
      <c r="X283" s="1172"/>
      <c r="Y283" s="1172"/>
      <c r="Z283" s="1172"/>
      <c r="AA283" s="533"/>
      <c r="AB283" s="496"/>
      <c r="AC283" s="496"/>
      <c r="AD283" s="496"/>
      <c r="AE283" s="500"/>
      <c r="AF283" s="533"/>
      <c r="AG283" s="496"/>
      <c r="AH283" s="497"/>
    </row>
    <row r="284" spans="1:37" s="474" customFormat="1" ht="13.5" customHeight="1" thickBot="1">
      <c r="D284" s="262"/>
      <c r="E284" s="4139"/>
      <c r="F284" s="3458" t="s">
        <v>585</v>
      </c>
      <c r="G284" s="3674">
        <f ca="1">G277</f>
        <v>13981.008808991697</v>
      </c>
      <c r="H284" s="3675">
        <f t="shared" ref="H284:V284" ca="1" si="185">H277</f>
        <v>1472624.0948832289</v>
      </c>
      <c r="I284" s="3675">
        <f t="shared" ca="1" si="185"/>
        <v>772313.36184213718</v>
      </c>
      <c r="J284" s="3675">
        <f t="shared" ca="1" si="185"/>
        <v>727918.42859096476</v>
      </c>
      <c r="K284" s="3675">
        <f t="shared" ca="1" si="185"/>
        <v>324355.36649957829</v>
      </c>
      <c r="L284" s="3674">
        <f t="shared" ca="1" si="185"/>
        <v>519903.68000000005</v>
      </c>
      <c r="M284" s="3675">
        <f t="shared" ca="1" si="185"/>
        <v>371066.27999999997</v>
      </c>
      <c r="N284" s="3675">
        <f t="shared" ca="1" si="185"/>
        <v>416706.6</v>
      </c>
      <c r="O284" s="3675">
        <f t="shared" ca="1" si="185"/>
        <v>214770.05</v>
      </c>
      <c r="P284" s="3676">
        <f t="shared" ca="1" si="185"/>
        <v>439002.85662744858</v>
      </c>
      <c r="Q284" s="3481">
        <f t="shared" ca="1" si="185"/>
        <v>0</v>
      </c>
      <c r="R284" s="1447">
        <f t="shared" ca="1" si="185"/>
        <v>431704.36591092305</v>
      </c>
      <c r="S284" s="1150">
        <f t="shared" ca="1" si="185"/>
        <v>388976.73664022802</v>
      </c>
      <c r="T284" s="1150">
        <f t="shared" ca="1" si="185"/>
        <v>354573.42691639386</v>
      </c>
      <c r="U284" s="1150">
        <f t="shared" ca="1" si="185"/>
        <v>1424869.8349133793</v>
      </c>
      <c r="V284" s="1151">
        <f t="shared" ca="1" si="185"/>
        <v>1537958.5920179298</v>
      </c>
      <c r="W284" s="4145"/>
      <c r="X284" s="1172"/>
      <c r="Y284" s="1172"/>
      <c r="Z284" s="1172"/>
      <c r="AA284" s="1156"/>
      <c r="AB284" s="1157"/>
      <c r="AC284" s="1157"/>
      <c r="AD284" s="1157"/>
      <c r="AE284" s="1158"/>
      <c r="AF284" s="1447"/>
      <c r="AG284" s="1150"/>
      <c r="AH284" s="1151"/>
    </row>
    <row r="285" spans="1:37" s="69" customFormat="1" ht="32.25" customHeight="1" thickBot="1">
      <c r="A285" s="75"/>
      <c r="B285" s="75"/>
      <c r="C285" s="75"/>
      <c r="D285" s="314"/>
      <c r="E285" s="4059" t="s">
        <v>121</v>
      </c>
      <c r="F285" s="4060"/>
      <c r="G285" s="4153" t="s">
        <v>1566</v>
      </c>
      <c r="H285" s="4154"/>
      <c r="I285" s="4154"/>
      <c r="J285" s="4154"/>
      <c r="K285" s="4154"/>
      <c r="L285" s="4154" t="s">
        <v>2106</v>
      </c>
      <c r="M285" s="4154"/>
      <c r="N285" s="4154"/>
      <c r="O285" s="4154" t="s">
        <v>2095</v>
      </c>
      <c r="P285" s="4154"/>
      <c r="Q285" s="4154"/>
      <c r="R285" s="4154"/>
      <c r="S285" s="4154"/>
      <c r="T285" s="4154"/>
      <c r="U285" s="4154"/>
      <c r="V285" s="4154"/>
      <c r="W285" s="1161"/>
      <c r="X285" s="1172"/>
      <c r="Y285" s="1172"/>
      <c r="Z285" s="1172"/>
      <c r="AA285" s="1663"/>
      <c r="AB285" s="1644"/>
      <c r="AC285" s="1644"/>
      <c r="AD285" s="1644"/>
      <c r="AE285" s="1644"/>
      <c r="AF285" s="1644"/>
      <c r="AG285" s="1644"/>
      <c r="AH285" s="1647"/>
    </row>
    <row r="286" spans="1:37" s="78" customFormat="1" ht="75.75" customHeight="1" thickBot="1">
      <c r="D286" s="262"/>
      <c r="E286" s="82"/>
      <c r="F286" s="82"/>
      <c r="G286" s="183"/>
      <c r="H286" s="183"/>
      <c r="I286" s="183"/>
      <c r="J286" s="183"/>
      <c r="K286" s="183"/>
      <c r="L286" s="183"/>
      <c r="M286" s="183"/>
      <c r="N286" s="183"/>
      <c r="O286" s="183"/>
      <c r="P286" s="183"/>
      <c r="Q286" s="183"/>
      <c r="R286" s="183"/>
      <c r="S286" s="183"/>
      <c r="T286" s="183"/>
      <c r="U286" s="183"/>
      <c r="V286" s="183"/>
      <c r="W286" s="183"/>
      <c r="X286" s="1172"/>
      <c r="Y286" s="1172"/>
      <c r="Z286" s="1172"/>
      <c r="AA286" s="1172"/>
      <c r="AB286" s="1172"/>
      <c r="AC286" s="1172"/>
      <c r="AD286" s="1172"/>
      <c r="AE286" s="1172"/>
      <c r="AF286" s="1172"/>
      <c r="AG286" s="1172"/>
      <c r="AH286" s="1172"/>
      <c r="AI286"/>
      <c r="AJ286"/>
      <c r="AK286"/>
    </row>
    <row r="287" spans="1:37" s="1172" customFormat="1" ht="23.25" customHeight="1" thickBot="1">
      <c r="A287" s="262"/>
      <c r="B287" s="262"/>
      <c r="C287" s="262"/>
      <c r="D287" s="262"/>
      <c r="E287" s="2760" t="s">
        <v>640</v>
      </c>
      <c r="F287" s="1259"/>
      <c r="G287" s="1259"/>
      <c r="H287" s="1259"/>
      <c r="I287" s="1259"/>
      <c r="J287" s="1259"/>
      <c r="K287" s="1259"/>
      <c r="L287" s="1259"/>
      <c r="M287" s="1259"/>
      <c r="N287" s="1259"/>
      <c r="O287" s="1259"/>
      <c r="P287" s="1260"/>
      <c r="AI287"/>
      <c r="AJ287"/>
      <c r="AK287"/>
    </row>
    <row r="288" spans="1:37" s="474" customFormat="1" ht="23.25" customHeight="1">
      <c r="A288" s="78"/>
      <c r="B288" s="78"/>
      <c r="C288" s="78"/>
      <c r="D288" s="262"/>
      <c r="E288" s="3967"/>
      <c r="F288" s="1242"/>
      <c r="G288" s="4087" t="s">
        <v>36</v>
      </c>
      <c r="H288" s="3997"/>
      <c r="I288" s="3997"/>
      <c r="J288" s="3997"/>
      <c r="K288" s="3997"/>
      <c r="L288" s="4088" t="s">
        <v>37</v>
      </c>
      <c r="M288" s="4075"/>
      <c r="N288" s="4075"/>
      <c r="O288" s="4075"/>
      <c r="P288" s="4082"/>
      <c r="X288" s="1172"/>
      <c r="Y288" s="1172"/>
      <c r="Z288" s="1172"/>
      <c r="AA288" s="1172"/>
      <c r="AB288" s="1172"/>
      <c r="AC288" s="1172"/>
      <c r="AD288" s="1172"/>
      <c r="AE288" s="1172"/>
      <c r="AF288" s="1172"/>
      <c r="AG288" s="1172"/>
      <c r="AH288" s="1172"/>
      <c r="AI288"/>
      <c r="AJ288"/>
      <c r="AK288"/>
    </row>
    <row r="289" spans="1:37" s="474" customFormat="1" ht="16.5" customHeight="1">
      <c r="A289" s="78"/>
      <c r="B289" s="78"/>
      <c r="C289" s="78"/>
      <c r="D289" s="262"/>
      <c r="E289" s="3968"/>
      <c r="F289" s="1243"/>
      <c r="G289" s="3991" t="str">
        <f>CONCATENATE("$0's, real ",dms_DollarReal)</f>
        <v>$0's, real December 2017</v>
      </c>
      <c r="H289" s="3992"/>
      <c r="I289" s="3992"/>
      <c r="J289" s="3992"/>
      <c r="K289" s="3992"/>
      <c r="L289" s="3992"/>
      <c r="M289" s="3992"/>
      <c r="N289" s="3992"/>
      <c r="O289" s="3992"/>
      <c r="P289" s="4084"/>
      <c r="X289" s="1172"/>
      <c r="Y289" s="1172"/>
      <c r="Z289" s="1172"/>
      <c r="AA289" s="1172"/>
      <c r="AB289" s="1172"/>
      <c r="AC289" s="1172"/>
      <c r="AD289" s="1172"/>
      <c r="AE289" s="1172"/>
      <c r="AF289" s="1172"/>
      <c r="AG289" s="1172"/>
      <c r="AH289" s="1172"/>
      <c r="AI289"/>
      <c r="AJ289"/>
      <c r="AK289"/>
    </row>
    <row r="290" spans="1:37" s="474" customFormat="1" ht="16.5" customHeight="1">
      <c r="D290" s="262"/>
      <c r="E290" s="3968"/>
      <c r="F290" s="1243"/>
      <c r="G290" s="3991" t="s">
        <v>74</v>
      </c>
      <c r="H290" s="3992"/>
      <c r="I290" s="3992"/>
      <c r="J290" s="3992"/>
      <c r="K290" s="3992"/>
      <c r="L290" s="3992"/>
      <c r="M290" s="3992"/>
      <c r="N290" s="3992"/>
      <c r="O290" s="3992"/>
      <c r="P290" s="4084"/>
      <c r="X290" s="1172"/>
      <c r="Y290" s="1172"/>
      <c r="Z290" s="1172"/>
      <c r="AA290" s="1172"/>
      <c r="AB290" s="1172"/>
      <c r="AC290" s="1172"/>
      <c r="AD290" s="1172"/>
      <c r="AE290" s="1172"/>
      <c r="AF290" s="1172"/>
      <c r="AG290" s="1172"/>
      <c r="AH290" s="1172"/>
      <c r="AI290"/>
      <c r="AJ290"/>
      <c r="AK290"/>
    </row>
    <row r="291" spans="1:37" s="474" customFormat="1" ht="12.75" customHeight="1" thickBot="1">
      <c r="D291" s="262"/>
      <c r="E291" s="4131"/>
      <c r="F291" s="3547"/>
      <c r="G291" s="1438">
        <f t="array" ref="G291:K291">PRCP</f>
        <v>2008</v>
      </c>
      <c r="H291" s="342">
        <v>2009</v>
      </c>
      <c r="I291" s="342">
        <v>2010</v>
      </c>
      <c r="J291" s="342">
        <v>2011</v>
      </c>
      <c r="K291" s="342">
        <v>2012</v>
      </c>
      <c r="L291" s="344">
        <f>CRCP_y1</f>
        <v>2013</v>
      </c>
      <c r="M291" s="344">
        <f>CRCP_y2</f>
        <v>2014</v>
      </c>
      <c r="N291" s="344">
        <f>CRCP_y3</f>
        <v>2015</v>
      </c>
      <c r="O291" s="344">
        <f>CRCP_y4</f>
        <v>2016</v>
      </c>
      <c r="P291" s="542">
        <f>CRCP_y5</f>
        <v>2017</v>
      </c>
      <c r="X291" s="1172"/>
      <c r="Y291" s="1172"/>
      <c r="Z291" s="1172"/>
      <c r="AA291" s="1172"/>
      <c r="AB291" s="1172"/>
      <c r="AC291" s="1172"/>
      <c r="AD291" s="1172"/>
      <c r="AE291" s="1172"/>
      <c r="AF291" s="1172"/>
      <c r="AG291" s="1172"/>
      <c r="AH291" s="1172"/>
      <c r="AI291"/>
      <c r="AJ291"/>
      <c r="AK291"/>
    </row>
    <row r="292" spans="1:37" s="78" customFormat="1" ht="48.75" customHeight="1" thickBot="1">
      <c r="A292" s="262"/>
      <c r="B292" s="262"/>
      <c r="C292" s="262"/>
      <c r="D292" s="262"/>
      <c r="E292" s="4135" t="s">
        <v>343</v>
      </c>
      <c r="F292" s="4136"/>
      <c r="G292" s="3548"/>
      <c r="H292" s="3549"/>
      <c r="I292" s="3549"/>
      <c r="J292" s="3549"/>
      <c r="K292" s="3549"/>
      <c r="L292" s="3549"/>
      <c r="M292" s="3549"/>
      <c r="N292" s="3549"/>
      <c r="O292" s="3549"/>
      <c r="P292" s="3550"/>
      <c r="Q292" s="474"/>
      <c r="R292" s="474"/>
      <c r="S292" s="474"/>
      <c r="T292" s="474"/>
      <c r="U292" s="474"/>
      <c r="V292" s="474"/>
      <c r="W292" s="474"/>
      <c r="X292" s="1172"/>
      <c r="Y292" s="1172"/>
      <c r="Z292" s="1172"/>
      <c r="AA292" s="1172"/>
      <c r="AB292" s="1172"/>
      <c r="AC292" s="1172"/>
      <c r="AD292" s="1172"/>
      <c r="AE292" s="1172"/>
      <c r="AF292" s="1172"/>
      <c r="AG292" s="1172"/>
      <c r="AH292" s="1172"/>
      <c r="AI292"/>
      <c r="AJ292"/>
      <c r="AK292"/>
    </row>
    <row r="293" spans="1:37" s="78" customFormat="1" ht="18" outlineLevel="1">
      <c r="D293" s="262"/>
      <c r="E293" s="541" t="s">
        <v>88</v>
      </c>
      <c r="F293" s="842" t="s">
        <v>593</v>
      </c>
      <c r="G293" s="1574"/>
      <c r="H293" s="1575"/>
      <c r="I293" s="1575"/>
      <c r="J293" s="1575"/>
      <c r="K293" s="1575"/>
      <c r="L293" s="1578"/>
      <c r="M293" s="1579"/>
      <c r="N293" s="1579"/>
      <c r="O293" s="1579"/>
      <c r="P293" s="1580"/>
      <c r="Q293" s="474"/>
      <c r="R293" s="474"/>
      <c r="S293" s="474"/>
      <c r="T293" s="474"/>
      <c r="U293" s="474"/>
      <c r="V293" s="474"/>
      <c r="W293" s="474"/>
      <c r="X293" s="1172"/>
      <c r="Y293" s="1172"/>
      <c r="Z293" s="1172"/>
      <c r="AA293" s="1172"/>
      <c r="AB293" s="1172"/>
      <c r="AC293" s="1172"/>
      <c r="AD293" s="1172"/>
      <c r="AE293" s="1172"/>
      <c r="AF293" s="1172"/>
      <c r="AG293" s="1172"/>
      <c r="AH293" s="1172"/>
      <c r="AI293"/>
      <c r="AJ293"/>
      <c r="AK293"/>
    </row>
    <row r="294" spans="1:37" s="474" customFormat="1" ht="12.75" customHeight="1" outlineLevel="1">
      <c r="A294" s="78"/>
      <c r="B294" s="78"/>
      <c r="C294" s="78"/>
      <c r="D294" s="262"/>
      <c r="E294" s="498"/>
      <c r="F294" s="516" t="s">
        <v>559</v>
      </c>
      <c r="G294" s="1576"/>
      <c r="H294" s="1577"/>
      <c r="I294" s="1577"/>
      <c r="J294" s="1577"/>
      <c r="K294" s="1577"/>
      <c r="L294" s="459">
        <v>977301.99285483162</v>
      </c>
      <c r="M294" s="458">
        <v>916136.38269703637</v>
      </c>
      <c r="N294" s="458">
        <v>956304.27363145887</v>
      </c>
      <c r="O294" s="458">
        <v>853995.84378475219</v>
      </c>
      <c r="P294" s="460">
        <v>890554.68259363482</v>
      </c>
      <c r="Q294" s="455"/>
      <c r="R294" s="455"/>
      <c r="S294" s="455"/>
      <c r="T294" s="455"/>
      <c r="U294" s="455"/>
      <c r="V294" s="455"/>
      <c r="W294" s="134"/>
      <c r="X294" s="1172"/>
      <c r="Y294" s="1172"/>
      <c r="Z294" s="1172"/>
      <c r="AA294" s="1172"/>
      <c r="AB294" s="1172"/>
      <c r="AC294" s="1172"/>
      <c r="AD294" s="1172"/>
      <c r="AE294" s="1172"/>
      <c r="AF294" s="1172"/>
      <c r="AG294" s="1172"/>
      <c r="AH294" s="1172"/>
      <c r="AI294"/>
      <c r="AJ294"/>
      <c r="AK294"/>
    </row>
    <row r="295" spans="1:37" s="474" customFormat="1" ht="12.75" customHeight="1" outlineLevel="1">
      <c r="D295" s="262"/>
      <c r="E295" s="498"/>
      <c r="F295" s="516" t="s">
        <v>558</v>
      </c>
      <c r="G295" s="1576"/>
      <c r="H295" s="1577"/>
      <c r="I295" s="1577"/>
      <c r="J295" s="1577"/>
      <c r="K295" s="1577"/>
      <c r="L295" s="459"/>
      <c r="M295" s="458"/>
      <c r="N295" s="458"/>
      <c r="O295" s="458"/>
      <c r="P295" s="460"/>
      <c r="Q295" s="455"/>
      <c r="R295" s="455"/>
      <c r="S295" s="455"/>
      <c r="T295" s="455"/>
      <c r="U295" s="455"/>
      <c r="V295" s="455"/>
      <c r="W295" s="134"/>
      <c r="X295" s="1172"/>
      <c r="Y295" s="1172"/>
      <c r="Z295" s="1172"/>
      <c r="AA295" s="1172"/>
      <c r="AB295" s="1172"/>
      <c r="AC295" s="1172"/>
      <c r="AD295" s="1172"/>
      <c r="AE295" s="1172"/>
      <c r="AF295" s="1172"/>
      <c r="AG295" s="1172"/>
      <c r="AH295" s="1172"/>
      <c r="AI295"/>
      <c r="AJ295"/>
      <c r="AK295"/>
    </row>
    <row r="296" spans="1:37" s="474" customFormat="1" ht="12.75" customHeight="1" outlineLevel="1">
      <c r="D296" s="262"/>
      <c r="E296" s="498"/>
      <c r="F296" s="516" t="s">
        <v>578</v>
      </c>
      <c r="G296" s="1576"/>
      <c r="H296" s="1577"/>
      <c r="I296" s="1577"/>
      <c r="J296" s="1577"/>
      <c r="K296" s="1577"/>
      <c r="L296" s="459"/>
      <c r="M296" s="458"/>
      <c r="N296" s="458"/>
      <c r="O296" s="458"/>
      <c r="P296" s="460"/>
      <c r="Q296" s="455"/>
      <c r="R296" s="455"/>
      <c r="S296" s="455"/>
      <c r="T296" s="455"/>
      <c r="U296" s="455"/>
      <c r="V296" s="455"/>
      <c r="W296" s="134"/>
      <c r="X296" s="1172"/>
      <c r="Y296" s="1172"/>
      <c r="Z296" s="1172"/>
      <c r="AA296" s="1172"/>
      <c r="AB296" s="1172"/>
      <c r="AC296" s="1172"/>
      <c r="AD296" s="1172"/>
      <c r="AE296" s="1172"/>
      <c r="AF296" s="1172"/>
      <c r="AG296" s="1172"/>
      <c r="AH296" s="1172"/>
      <c r="AI296"/>
      <c r="AJ296"/>
      <c r="AK296"/>
    </row>
    <row r="297" spans="1:37" s="474" customFormat="1" ht="12.75" customHeight="1" outlineLevel="1">
      <c r="D297" s="262"/>
      <c r="E297" s="498"/>
      <c r="F297" s="517" t="s">
        <v>579</v>
      </c>
      <c r="G297" s="459"/>
      <c r="H297" s="458"/>
      <c r="I297" s="458"/>
      <c r="J297" s="458"/>
      <c r="K297" s="625"/>
      <c r="L297" s="353">
        <v>977301.99285483162</v>
      </c>
      <c r="M297" s="354">
        <v>916136.38269703637</v>
      </c>
      <c r="N297" s="354">
        <v>956304.27363145887</v>
      </c>
      <c r="O297" s="354">
        <v>853995.84378475219</v>
      </c>
      <c r="P297" s="450">
        <v>890554.68259363482</v>
      </c>
      <c r="Q297" s="455"/>
      <c r="R297" s="455"/>
      <c r="S297" s="455"/>
      <c r="T297" s="455"/>
      <c r="U297" s="455"/>
      <c r="V297" s="455"/>
      <c r="W297" s="134"/>
      <c r="X297" s="1172"/>
      <c r="Y297" s="1172"/>
      <c r="Z297" s="1172"/>
      <c r="AA297" s="1172"/>
      <c r="AB297" s="1172"/>
      <c r="AC297" s="1172"/>
      <c r="AD297" s="1172"/>
      <c r="AE297" s="1172"/>
      <c r="AF297" s="1172"/>
      <c r="AG297" s="1172"/>
      <c r="AH297" s="1172"/>
      <c r="AI297"/>
      <c r="AJ297"/>
      <c r="AK297"/>
    </row>
    <row r="298" spans="1:37" s="474" customFormat="1" ht="12.75" customHeight="1" outlineLevel="1">
      <c r="D298" s="262"/>
      <c r="E298" s="498"/>
      <c r="F298" s="516" t="s">
        <v>583</v>
      </c>
      <c r="G298" s="459"/>
      <c r="H298" s="458"/>
      <c r="I298" s="458"/>
      <c r="J298" s="458"/>
      <c r="K298" s="625"/>
      <c r="L298" s="511"/>
      <c r="M298" s="512"/>
      <c r="N298" s="512"/>
      <c r="O298" s="512"/>
      <c r="P298" s="547"/>
      <c r="Q298" s="455"/>
      <c r="R298" s="455"/>
      <c r="S298" s="455"/>
      <c r="T298" s="455"/>
      <c r="U298" s="455"/>
      <c r="V298" s="455"/>
      <c r="W298" s="134"/>
      <c r="X298" s="1172"/>
      <c r="Y298" s="1172"/>
      <c r="Z298" s="1172"/>
      <c r="AA298" s="1172"/>
      <c r="AB298" s="1172"/>
      <c r="AC298" s="1172"/>
      <c r="AD298" s="1172"/>
      <c r="AE298" s="1172"/>
      <c r="AF298" s="1172"/>
      <c r="AG298" s="1172"/>
      <c r="AH298" s="1172"/>
      <c r="AI298"/>
      <c r="AJ298"/>
      <c r="AK298"/>
    </row>
    <row r="299" spans="1:37" s="474" customFormat="1" ht="12.75" customHeight="1" outlineLevel="1">
      <c r="D299" s="262"/>
      <c r="E299" s="498"/>
      <c r="F299" s="516" t="s">
        <v>581</v>
      </c>
      <c r="G299" s="459"/>
      <c r="H299" s="458"/>
      <c r="I299" s="458"/>
      <c r="J299" s="458"/>
      <c r="K299" s="625"/>
      <c r="L299" s="462"/>
      <c r="M299" s="463"/>
      <c r="N299" s="463"/>
      <c r="O299" s="463"/>
      <c r="P299" s="464"/>
      <c r="Q299" s="455"/>
      <c r="R299" s="455"/>
      <c r="S299" s="455"/>
      <c r="T299" s="455"/>
      <c r="U299" s="455"/>
      <c r="V299" s="455"/>
      <c r="W299" s="134"/>
      <c r="X299" s="1172"/>
      <c r="Y299" s="1172"/>
      <c r="Z299" s="1172"/>
      <c r="AA299" s="1172"/>
      <c r="AB299" s="1172"/>
      <c r="AC299" s="1172"/>
      <c r="AD299" s="1172"/>
      <c r="AE299" s="1172"/>
      <c r="AF299" s="1172"/>
      <c r="AG299" s="1172"/>
      <c r="AH299" s="1172"/>
      <c r="AI299"/>
      <c r="AJ299"/>
      <c r="AK299"/>
    </row>
    <row r="300" spans="1:37" s="474" customFormat="1" ht="12.75" customHeight="1" outlineLevel="1">
      <c r="D300" s="262"/>
      <c r="E300" s="498"/>
      <c r="F300" s="517" t="s">
        <v>584</v>
      </c>
      <c r="G300" s="353">
        <f t="shared" ref="G300:K300" si="186">SUM(G297:G299)</f>
        <v>0</v>
      </c>
      <c r="H300" s="354">
        <f t="shared" si="186"/>
        <v>0</v>
      </c>
      <c r="I300" s="354">
        <f t="shared" si="186"/>
        <v>0</v>
      </c>
      <c r="J300" s="354">
        <f t="shared" si="186"/>
        <v>0</v>
      </c>
      <c r="K300" s="626">
        <f t="shared" si="186"/>
        <v>0</v>
      </c>
      <c r="L300" s="353">
        <v>977301.99285483162</v>
      </c>
      <c r="M300" s="354">
        <v>916136.38269703637</v>
      </c>
      <c r="N300" s="354">
        <v>956304.27363145887</v>
      </c>
      <c r="O300" s="354">
        <v>853995.84378475219</v>
      </c>
      <c r="P300" s="450">
        <v>890554.68259363482</v>
      </c>
      <c r="Q300" s="455"/>
      <c r="R300" s="455"/>
      <c r="S300" s="455"/>
      <c r="T300" s="455"/>
      <c r="U300" s="455"/>
      <c r="V300" s="455"/>
      <c r="W300" s="134"/>
      <c r="X300" s="1172"/>
      <c r="Y300" s="1172"/>
      <c r="Z300" s="1172"/>
      <c r="AA300" s="1172"/>
      <c r="AB300" s="1172"/>
      <c r="AC300" s="1172"/>
      <c r="AD300" s="1172"/>
      <c r="AE300" s="1172"/>
      <c r="AF300" s="1172"/>
      <c r="AG300" s="1172"/>
      <c r="AH300" s="1172"/>
      <c r="AI300"/>
      <c r="AJ300"/>
      <c r="AK300"/>
    </row>
    <row r="301" spans="1:37" s="474" customFormat="1" ht="12.75" customHeight="1" outlineLevel="1">
      <c r="D301" s="262"/>
      <c r="E301" s="498"/>
      <c r="F301" s="516" t="s">
        <v>35</v>
      </c>
      <c r="G301" s="459"/>
      <c r="H301" s="458"/>
      <c r="I301" s="458"/>
      <c r="J301" s="458"/>
      <c r="K301" s="625"/>
      <c r="L301" s="459"/>
      <c r="M301" s="458"/>
      <c r="N301" s="458"/>
      <c r="O301" s="458"/>
      <c r="P301" s="460"/>
      <c r="Q301" s="455"/>
      <c r="R301" s="455"/>
      <c r="S301" s="455"/>
      <c r="T301" s="455"/>
      <c r="U301" s="455"/>
      <c r="V301" s="455"/>
      <c r="W301" s="134"/>
      <c r="X301" s="1172"/>
      <c r="Y301" s="1172"/>
      <c r="Z301" s="1172"/>
      <c r="AA301" s="1172"/>
      <c r="AB301" s="1172"/>
      <c r="AC301" s="1172"/>
      <c r="AD301" s="1172"/>
      <c r="AE301" s="1172"/>
      <c r="AF301" s="1172"/>
      <c r="AG301" s="1172"/>
      <c r="AH301" s="1172"/>
      <c r="AI301"/>
      <c r="AJ301"/>
      <c r="AK301"/>
    </row>
    <row r="302" spans="1:37" s="474" customFormat="1" ht="12.75" customHeight="1" outlineLevel="1" thickBot="1">
      <c r="D302" s="262"/>
      <c r="E302" s="498"/>
      <c r="F302" s="1409" t="s">
        <v>585</v>
      </c>
      <c r="G302" s="1370">
        <f t="shared" ref="G302:K302" si="187">G300-G301</f>
        <v>0</v>
      </c>
      <c r="H302" s="356">
        <f t="shared" si="187"/>
        <v>0</v>
      </c>
      <c r="I302" s="356">
        <f t="shared" si="187"/>
        <v>0</v>
      </c>
      <c r="J302" s="356">
        <f t="shared" si="187"/>
        <v>0</v>
      </c>
      <c r="K302" s="627">
        <f t="shared" si="187"/>
        <v>0</v>
      </c>
      <c r="L302" s="1370">
        <v>977301.99285483162</v>
      </c>
      <c r="M302" s="356">
        <v>916136.38269703637</v>
      </c>
      <c r="N302" s="356">
        <v>956304.27363145887</v>
      </c>
      <c r="O302" s="356">
        <v>853995.84378475219</v>
      </c>
      <c r="P302" s="503">
        <v>890554.68259363482</v>
      </c>
      <c r="Q302" s="455"/>
      <c r="R302" s="455"/>
      <c r="S302" s="455"/>
      <c r="T302" s="455"/>
      <c r="U302" s="455"/>
      <c r="V302" s="455"/>
      <c r="W302" s="134"/>
      <c r="X302" s="1172"/>
      <c r="Y302" s="1172"/>
      <c r="Z302" s="1172"/>
      <c r="AA302" s="1172"/>
      <c r="AB302" s="1172"/>
      <c r="AC302" s="1172"/>
      <c r="AD302" s="1172"/>
      <c r="AE302" s="1172"/>
      <c r="AF302" s="1172"/>
      <c r="AG302" s="1172"/>
      <c r="AH302" s="1172"/>
      <c r="AI302"/>
      <c r="AJ302"/>
      <c r="AK302"/>
    </row>
    <row r="303" spans="1:37" s="78" customFormat="1" ht="30" customHeight="1" outlineLevel="1">
      <c r="D303" s="262"/>
      <c r="E303" s="541" t="s">
        <v>88</v>
      </c>
      <c r="F303" s="842" t="s">
        <v>593</v>
      </c>
      <c r="G303" s="1574"/>
      <c r="H303" s="1575"/>
      <c r="I303" s="1575"/>
      <c r="J303" s="1575"/>
      <c r="K303" s="1575"/>
      <c r="L303" s="1578"/>
      <c r="M303" s="1579"/>
      <c r="N303" s="1579"/>
      <c r="O303" s="1579"/>
      <c r="P303" s="1580"/>
      <c r="Q303" s="134"/>
      <c r="R303" s="134"/>
      <c r="S303" s="134"/>
      <c r="T303" s="134"/>
      <c r="U303" s="134"/>
      <c r="V303" s="134"/>
      <c r="W303" s="1155"/>
      <c r="X303" s="1172"/>
      <c r="Y303" s="1172"/>
      <c r="Z303" s="1172"/>
      <c r="AA303" s="1172"/>
      <c r="AB303" s="1172"/>
      <c r="AC303" s="1172"/>
      <c r="AD303" s="1172"/>
      <c r="AE303" s="1172"/>
      <c r="AF303" s="1172"/>
      <c r="AG303" s="1172"/>
      <c r="AH303" s="1172"/>
      <c r="AI303"/>
      <c r="AJ303"/>
      <c r="AK303"/>
    </row>
    <row r="304" spans="1:37" s="474" customFormat="1" ht="12.75" customHeight="1" outlineLevel="1">
      <c r="A304" s="78"/>
      <c r="B304" s="78"/>
      <c r="C304" s="78"/>
      <c r="D304" s="262"/>
      <c r="E304" s="498"/>
      <c r="F304" s="516" t="s">
        <v>559</v>
      </c>
      <c r="G304" s="1576"/>
      <c r="H304" s="1577"/>
      <c r="I304" s="1577"/>
      <c r="J304" s="1577"/>
      <c r="K304" s="1577"/>
      <c r="L304" s="459"/>
      <c r="M304" s="458"/>
      <c r="N304" s="458"/>
      <c r="O304" s="458"/>
      <c r="P304" s="460"/>
      <c r="Q304" s="455"/>
      <c r="R304" s="455"/>
      <c r="S304" s="455"/>
      <c r="T304" s="455"/>
      <c r="U304" s="455"/>
      <c r="V304" s="455"/>
      <c r="W304" s="134"/>
      <c r="X304" s="1172"/>
      <c r="Y304" s="1172"/>
      <c r="Z304" s="1172"/>
      <c r="AA304" s="1172"/>
      <c r="AB304" s="1172"/>
      <c r="AC304" s="1172"/>
      <c r="AD304" s="1172"/>
      <c r="AE304" s="1172"/>
      <c r="AF304" s="1172"/>
      <c r="AG304" s="1172"/>
      <c r="AH304" s="1172"/>
      <c r="AI304"/>
      <c r="AJ304"/>
      <c r="AK304"/>
    </row>
    <row r="305" spans="1:37" s="474" customFormat="1" ht="12.75" customHeight="1" outlineLevel="1">
      <c r="D305" s="262"/>
      <c r="E305" s="498"/>
      <c r="F305" s="516" t="s">
        <v>558</v>
      </c>
      <c r="G305" s="1576"/>
      <c r="H305" s="1577"/>
      <c r="I305" s="1577"/>
      <c r="J305" s="1577"/>
      <c r="K305" s="1577"/>
      <c r="L305" s="459"/>
      <c r="M305" s="458"/>
      <c r="N305" s="458"/>
      <c r="O305" s="458"/>
      <c r="P305" s="460"/>
      <c r="Q305" s="455"/>
      <c r="R305" s="455"/>
      <c r="S305" s="455"/>
      <c r="T305" s="455"/>
      <c r="U305" s="455"/>
      <c r="V305" s="455"/>
      <c r="W305" s="134"/>
      <c r="X305" s="1172"/>
      <c r="Y305" s="1172"/>
      <c r="Z305" s="1172"/>
      <c r="AA305" s="1172"/>
      <c r="AB305" s="1172"/>
      <c r="AC305" s="1172"/>
      <c r="AD305" s="1172"/>
      <c r="AE305" s="1172"/>
      <c r="AF305" s="1172"/>
      <c r="AG305" s="1172"/>
      <c r="AH305" s="1172"/>
      <c r="AI305"/>
      <c r="AJ305"/>
      <c r="AK305"/>
    </row>
    <row r="306" spans="1:37" s="474" customFormat="1" ht="12.75" customHeight="1" outlineLevel="1">
      <c r="D306" s="262"/>
      <c r="E306" s="498"/>
      <c r="F306" s="516" t="s">
        <v>578</v>
      </c>
      <c r="G306" s="1576"/>
      <c r="H306" s="1577"/>
      <c r="I306" s="1577"/>
      <c r="J306" s="1577"/>
      <c r="K306" s="1577"/>
      <c r="L306" s="459"/>
      <c r="M306" s="458"/>
      <c r="N306" s="458"/>
      <c r="O306" s="458"/>
      <c r="P306" s="460"/>
      <c r="Q306" s="455"/>
      <c r="R306" s="455"/>
      <c r="S306" s="455"/>
      <c r="T306" s="455"/>
      <c r="U306" s="455"/>
      <c r="V306" s="455"/>
      <c r="W306" s="134"/>
      <c r="X306" s="1172"/>
      <c r="Y306" s="1172"/>
      <c r="Z306" s="1172"/>
      <c r="AA306" s="1172"/>
      <c r="AB306" s="1172"/>
      <c r="AC306" s="1172"/>
      <c r="AD306" s="1172"/>
      <c r="AE306" s="1172"/>
      <c r="AF306" s="1172"/>
      <c r="AG306" s="1172"/>
      <c r="AH306" s="1172"/>
      <c r="AI306"/>
      <c r="AJ306"/>
      <c r="AK306"/>
    </row>
    <row r="307" spans="1:37" s="474" customFormat="1" ht="12.75" customHeight="1" outlineLevel="1">
      <c r="D307" s="262"/>
      <c r="E307" s="498"/>
      <c r="F307" s="517" t="s">
        <v>579</v>
      </c>
      <c r="G307" s="459"/>
      <c r="H307" s="458"/>
      <c r="I307" s="458"/>
      <c r="J307" s="458"/>
      <c r="K307" s="625"/>
      <c r="L307" s="353">
        <v>0</v>
      </c>
      <c r="M307" s="354">
        <v>0</v>
      </c>
      <c r="N307" s="354">
        <v>0</v>
      </c>
      <c r="O307" s="354">
        <v>0</v>
      </c>
      <c r="P307" s="450">
        <v>0</v>
      </c>
      <c r="Q307" s="455"/>
      <c r="R307" s="455"/>
      <c r="S307" s="455"/>
      <c r="T307" s="455"/>
      <c r="U307" s="455"/>
      <c r="V307" s="455"/>
      <c r="W307" s="134"/>
      <c r="X307" s="1172"/>
      <c r="Y307" s="1172"/>
      <c r="Z307" s="1172"/>
      <c r="AA307" s="1172"/>
      <c r="AB307" s="1172"/>
      <c r="AC307" s="1172"/>
      <c r="AD307" s="1172"/>
      <c r="AE307" s="1172"/>
      <c r="AF307" s="1172"/>
      <c r="AG307" s="1172"/>
      <c r="AH307" s="1172"/>
      <c r="AI307"/>
      <c r="AJ307"/>
      <c r="AK307"/>
    </row>
    <row r="308" spans="1:37" s="474" customFormat="1" ht="12.75" customHeight="1" outlineLevel="1">
      <c r="D308" s="262"/>
      <c r="E308" s="498"/>
      <c r="F308" s="516" t="s">
        <v>583</v>
      </c>
      <c r="G308" s="459"/>
      <c r="H308" s="458"/>
      <c r="I308" s="458"/>
      <c r="J308" s="458"/>
      <c r="K308" s="625"/>
      <c r="L308" s="511">
        <v>0</v>
      </c>
      <c r="M308" s="512">
        <v>0</v>
      </c>
      <c r="N308" s="512">
        <v>0</v>
      </c>
      <c r="O308" s="512">
        <v>0</v>
      </c>
      <c r="P308" s="547">
        <v>0</v>
      </c>
      <c r="Q308" s="455"/>
      <c r="R308" s="455"/>
      <c r="S308" s="455"/>
      <c r="T308" s="455"/>
      <c r="U308" s="455"/>
      <c r="V308" s="455"/>
      <c r="W308" s="134"/>
      <c r="X308" s="1172"/>
      <c r="Y308" s="1172"/>
      <c r="Z308" s="1172"/>
      <c r="AA308" s="1172"/>
      <c r="AB308" s="1172"/>
      <c r="AC308" s="1172"/>
      <c r="AD308" s="1172"/>
      <c r="AE308" s="1172"/>
      <c r="AF308" s="1172"/>
      <c r="AG308" s="1172"/>
      <c r="AH308" s="1172"/>
      <c r="AI308"/>
      <c r="AJ308"/>
      <c r="AK308"/>
    </row>
    <row r="309" spans="1:37" s="474" customFormat="1" ht="12.75" customHeight="1" outlineLevel="1">
      <c r="D309" s="262"/>
      <c r="E309" s="498"/>
      <c r="F309" s="516" t="s">
        <v>581</v>
      </c>
      <c r="G309" s="459"/>
      <c r="H309" s="458"/>
      <c r="I309" s="458"/>
      <c r="J309" s="458"/>
      <c r="K309" s="625"/>
      <c r="L309" s="462">
        <v>0</v>
      </c>
      <c r="M309" s="463">
        <v>0</v>
      </c>
      <c r="N309" s="463">
        <v>0</v>
      </c>
      <c r="O309" s="463">
        <v>0</v>
      </c>
      <c r="P309" s="464">
        <v>0</v>
      </c>
      <c r="Q309" s="455"/>
      <c r="R309" s="455"/>
      <c r="S309" s="455"/>
      <c r="T309" s="455"/>
      <c r="U309" s="455"/>
      <c r="V309" s="455"/>
      <c r="W309" s="134"/>
      <c r="X309" s="1172"/>
      <c r="Y309" s="1172"/>
      <c r="Z309" s="1172"/>
      <c r="AA309" s="1172"/>
      <c r="AB309" s="1172"/>
      <c r="AC309" s="1172"/>
      <c r="AD309" s="1172"/>
      <c r="AE309" s="1172"/>
      <c r="AF309" s="1172"/>
      <c r="AG309" s="1172"/>
      <c r="AH309" s="1172"/>
      <c r="AI309"/>
      <c r="AJ309"/>
      <c r="AK309"/>
    </row>
    <row r="310" spans="1:37" s="474" customFormat="1" ht="12.75" customHeight="1" outlineLevel="1">
      <c r="D310" s="262"/>
      <c r="E310" s="498"/>
      <c r="F310" s="517" t="s">
        <v>584</v>
      </c>
      <c r="G310" s="353">
        <f t="shared" ref="G310:K310" si="188">SUM(G307:G309)</f>
        <v>0</v>
      </c>
      <c r="H310" s="354">
        <f t="shared" si="188"/>
        <v>0</v>
      </c>
      <c r="I310" s="354">
        <f t="shared" si="188"/>
        <v>0</v>
      </c>
      <c r="J310" s="354">
        <f t="shared" si="188"/>
        <v>0</v>
      </c>
      <c r="K310" s="626">
        <f t="shared" si="188"/>
        <v>0</v>
      </c>
      <c r="L310" s="353">
        <v>0</v>
      </c>
      <c r="M310" s="354">
        <v>0</v>
      </c>
      <c r="N310" s="354">
        <v>0</v>
      </c>
      <c r="O310" s="354">
        <v>0</v>
      </c>
      <c r="P310" s="450">
        <v>0</v>
      </c>
      <c r="Q310" s="455"/>
      <c r="R310" s="455"/>
      <c r="S310" s="455"/>
      <c r="T310" s="455"/>
      <c r="U310" s="455"/>
      <c r="V310" s="455"/>
      <c r="W310" s="134"/>
      <c r="X310" s="1172"/>
      <c r="Y310" s="1172"/>
      <c r="Z310" s="1172"/>
      <c r="AA310" s="1172"/>
      <c r="AB310" s="1172"/>
      <c r="AC310" s="1172"/>
      <c r="AD310" s="1172"/>
      <c r="AE310" s="1172"/>
      <c r="AF310" s="1172"/>
      <c r="AG310" s="1172"/>
      <c r="AH310" s="1172"/>
      <c r="AI310"/>
      <c r="AJ310"/>
      <c r="AK310"/>
    </row>
    <row r="311" spans="1:37" s="474" customFormat="1" ht="12.75" customHeight="1" outlineLevel="1">
      <c r="D311" s="262"/>
      <c r="E311" s="498"/>
      <c r="F311" s="516" t="s">
        <v>35</v>
      </c>
      <c r="G311" s="459"/>
      <c r="H311" s="458"/>
      <c r="I311" s="458"/>
      <c r="J311" s="458"/>
      <c r="K311" s="625"/>
      <c r="L311" s="459"/>
      <c r="M311" s="458"/>
      <c r="N311" s="458"/>
      <c r="O311" s="458"/>
      <c r="P311" s="460"/>
      <c r="Q311" s="455"/>
      <c r="R311" s="455"/>
      <c r="S311" s="455"/>
      <c r="T311" s="455"/>
      <c r="U311" s="455"/>
      <c r="V311" s="455"/>
      <c r="W311" s="134"/>
      <c r="X311" s="1172"/>
      <c r="Y311" s="1172"/>
      <c r="Z311" s="1172"/>
      <c r="AA311" s="1172"/>
      <c r="AB311" s="1172"/>
      <c r="AC311" s="1172"/>
      <c r="AD311" s="1172"/>
      <c r="AE311" s="1172"/>
      <c r="AF311" s="1172"/>
      <c r="AG311" s="1172"/>
      <c r="AH311" s="1172"/>
      <c r="AI311"/>
      <c r="AJ311"/>
      <c r="AK311"/>
    </row>
    <row r="312" spans="1:37" s="474" customFormat="1" ht="12.75" customHeight="1" outlineLevel="1" thickBot="1">
      <c r="D312" s="262"/>
      <c r="E312" s="499"/>
      <c r="F312" s="1409" t="s">
        <v>585</v>
      </c>
      <c r="G312" s="1370">
        <f t="shared" ref="G312:K312" si="189">G310-G311</f>
        <v>0</v>
      </c>
      <c r="H312" s="356">
        <f t="shared" si="189"/>
        <v>0</v>
      </c>
      <c r="I312" s="356">
        <f t="shared" si="189"/>
        <v>0</v>
      </c>
      <c r="J312" s="356">
        <f t="shared" si="189"/>
        <v>0</v>
      </c>
      <c r="K312" s="627">
        <f t="shared" si="189"/>
        <v>0</v>
      </c>
      <c r="L312" s="1370">
        <v>0</v>
      </c>
      <c r="M312" s="356">
        <v>0</v>
      </c>
      <c r="N312" s="356">
        <v>0</v>
      </c>
      <c r="O312" s="356">
        <v>0</v>
      </c>
      <c r="P312" s="503">
        <v>0</v>
      </c>
      <c r="Q312" s="455"/>
      <c r="R312" s="455"/>
      <c r="S312" s="455"/>
      <c r="T312" s="455"/>
      <c r="U312" s="455"/>
      <c r="V312" s="455"/>
      <c r="W312" s="134"/>
      <c r="X312" s="1172"/>
      <c r="Y312" s="1172"/>
      <c r="Z312" s="1172"/>
      <c r="AA312" s="1172"/>
      <c r="AB312" s="1172"/>
      <c r="AC312" s="1172"/>
      <c r="AD312" s="1172"/>
      <c r="AE312" s="1172"/>
      <c r="AF312" s="1172"/>
      <c r="AG312" s="1172"/>
      <c r="AH312" s="1172"/>
      <c r="AI312"/>
      <c r="AJ312"/>
      <c r="AK312"/>
    </row>
    <row r="313" spans="1:37" s="474" customFormat="1" ht="19.5" customHeight="1">
      <c r="D313" s="262"/>
      <c r="E313" s="4132" t="str">
        <f>CONCATENATE(E292, " Totals")</f>
        <v>&lt; insert sub-category &gt; Totals</v>
      </c>
      <c r="F313" s="3460" t="str">
        <f>CONCATENATE("Total direct expenditure - ",E292)</f>
        <v>Total direct expenditure - &lt; insert sub-category &gt;</v>
      </c>
      <c r="G313" s="1446">
        <f t="shared" ref="G313:K313" ca="1" si="190">SUMIF($E$293:$P$312,"Total direct expenditure",G$293:G$312)</f>
        <v>0</v>
      </c>
      <c r="H313" s="536">
        <f t="shared" ca="1" si="190"/>
        <v>0</v>
      </c>
      <c r="I313" s="536">
        <f t="shared" ca="1" si="190"/>
        <v>0</v>
      </c>
      <c r="J313" s="536">
        <f t="shared" ca="1" si="190"/>
        <v>0</v>
      </c>
      <c r="K313" s="548">
        <f t="shared" ca="1" si="190"/>
        <v>977301.99285483162</v>
      </c>
      <c r="L313" s="1446">
        <v>977301.99285483162</v>
      </c>
      <c r="M313" s="536">
        <v>916136.38269703637</v>
      </c>
      <c r="N313" s="536">
        <v>956304.27363145887</v>
      </c>
      <c r="O313" s="536">
        <v>853995.84378475219</v>
      </c>
      <c r="P313" s="537">
        <v>890554.68259363482</v>
      </c>
      <c r="Q313" s="134"/>
      <c r="R313" s="134"/>
      <c r="S313" s="134"/>
      <c r="T313" s="134"/>
      <c r="U313" s="134"/>
      <c r="V313" s="134"/>
      <c r="W313" s="1155"/>
      <c r="X313" s="1172"/>
      <c r="Y313" s="1172"/>
      <c r="Z313" s="1172"/>
      <c r="AA313" s="1172"/>
      <c r="AB313" s="1172"/>
      <c r="AC313" s="1172"/>
      <c r="AD313" s="1172"/>
      <c r="AE313" s="1172"/>
      <c r="AF313" s="1172"/>
      <c r="AG313" s="1172"/>
      <c r="AH313" s="1172"/>
      <c r="AI313"/>
      <c r="AJ313"/>
      <c r="AK313"/>
    </row>
    <row r="314" spans="1:37" s="474" customFormat="1" ht="12.75" customHeight="1">
      <c r="D314" s="262"/>
      <c r="E314" s="4133"/>
      <c r="F314" s="294" t="str">
        <f>CONCATENATE("Total overhead expenditure - ",E292)</f>
        <v>Total overhead expenditure - &lt; insert sub-category &gt;</v>
      </c>
      <c r="G314" s="533">
        <f t="shared" ref="G314:K314" ca="1" si="191">SUMIF($E$293:$P$312,"Total overhead expenditure",G$293:G$312)</f>
        <v>0</v>
      </c>
      <c r="H314" s="496">
        <f t="shared" ca="1" si="191"/>
        <v>0</v>
      </c>
      <c r="I314" s="496">
        <f t="shared" ca="1" si="191"/>
        <v>0</v>
      </c>
      <c r="J314" s="496">
        <f t="shared" ca="1" si="191"/>
        <v>0</v>
      </c>
      <c r="K314" s="500">
        <f t="shared" ca="1" si="191"/>
        <v>0</v>
      </c>
      <c r="L314" s="533">
        <v>0</v>
      </c>
      <c r="M314" s="496">
        <v>0</v>
      </c>
      <c r="N314" s="496">
        <v>0</v>
      </c>
      <c r="O314" s="496">
        <v>0</v>
      </c>
      <c r="P314" s="497">
        <v>0</v>
      </c>
      <c r="Q314" s="1154"/>
      <c r="R314" s="455"/>
      <c r="S314" s="455"/>
      <c r="T314" s="455"/>
      <c r="U314" s="455"/>
      <c r="V314" s="455"/>
      <c r="W314" s="1155"/>
      <c r="X314" s="1172"/>
      <c r="Y314" s="1172"/>
      <c r="Z314" s="1172"/>
      <c r="AA314" s="1172"/>
      <c r="AB314" s="1172"/>
      <c r="AC314" s="1172"/>
      <c r="AD314" s="1172"/>
      <c r="AE314" s="1172"/>
      <c r="AF314" s="1172"/>
      <c r="AG314" s="1172"/>
      <c r="AH314" s="1172"/>
      <c r="AI314"/>
      <c r="AJ314"/>
      <c r="AK314"/>
    </row>
    <row r="315" spans="1:37" s="474" customFormat="1" ht="12.75" customHeight="1">
      <c r="D315" s="262"/>
      <c r="E315" s="4133"/>
      <c r="F315" s="294" t="str">
        <f>CONCATENATE("Related party margin expenditure - ",E292)</f>
        <v>Related party margin expenditure - &lt; insert sub-category &gt;</v>
      </c>
      <c r="G315" s="533">
        <f t="shared" ref="G315:K315" ca="1" si="192">SUMIF($E$293:$P$312,"Related party margin",G$293:G$312)</f>
        <v>0</v>
      </c>
      <c r="H315" s="496">
        <f t="shared" ca="1" si="192"/>
        <v>0</v>
      </c>
      <c r="I315" s="496">
        <f t="shared" ca="1" si="192"/>
        <v>0</v>
      </c>
      <c r="J315" s="496">
        <f t="shared" ca="1" si="192"/>
        <v>0</v>
      </c>
      <c r="K315" s="500">
        <f t="shared" ca="1" si="192"/>
        <v>0</v>
      </c>
      <c r="L315" s="533">
        <v>0</v>
      </c>
      <c r="M315" s="496">
        <v>0</v>
      </c>
      <c r="N315" s="496">
        <v>0</v>
      </c>
      <c r="O315" s="496">
        <v>0</v>
      </c>
      <c r="P315" s="497">
        <v>0</v>
      </c>
      <c r="Q315" s="455"/>
      <c r="R315" s="455"/>
      <c r="S315" s="455"/>
      <c r="T315" s="455"/>
      <c r="U315" s="455"/>
      <c r="V315" s="455"/>
      <c r="W315" s="1155"/>
      <c r="X315" s="1172"/>
      <c r="Y315" s="1172"/>
      <c r="Z315" s="1172"/>
      <c r="AA315" s="1172"/>
      <c r="AB315" s="1172"/>
      <c r="AC315" s="1172"/>
      <c r="AD315" s="1172"/>
      <c r="AE315" s="1172"/>
      <c r="AF315" s="1172"/>
      <c r="AG315" s="1172"/>
      <c r="AH315" s="1172"/>
      <c r="AI315"/>
      <c r="AJ315"/>
      <c r="AK315"/>
    </row>
    <row r="316" spans="1:37" s="69" customFormat="1" ht="12.75" customHeight="1">
      <c r="A316" s="75"/>
      <c r="B316" s="75"/>
      <c r="C316" s="75"/>
      <c r="D316" s="314"/>
      <c r="E316" s="4133"/>
      <c r="F316" s="1594" t="str">
        <f>CONCATENATE("Total gross expenditure - ",E292)</f>
        <v>Total gross expenditure - &lt; insert sub-category &gt;</v>
      </c>
      <c r="G316" s="1144">
        <f t="shared" ref="G316:K316" ca="1" si="193">SUMIF($E$293:$P$312,"Total gross expenditure",G$293:G$312)</f>
        <v>0</v>
      </c>
      <c r="H316" s="1145">
        <f t="shared" ca="1" si="193"/>
        <v>0</v>
      </c>
      <c r="I316" s="1145">
        <f t="shared" ca="1" si="193"/>
        <v>0</v>
      </c>
      <c r="J316" s="1145">
        <f t="shared" ca="1" si="193"/>
        <v>0</v>
      </c>
      <c r="K316" s="1148">
        <f t="shared" ca="1" si="193"/>
        <v>977301.99285483162</v>
      </c>
      <c r="L316" s="1144">
        <v>977301.99285483162</v>
      </c>
      <c r="M316" s="1145">
        <v>916136.38269703637</v>
      </c>
      <c r="N316" s="1145">
        <v>956304.27363145887</v>
      </c>
      <c r="O316" s="1145">
        <v>853995.84378475219</v>
      </c>
      <c r="P316" s="1146">
        <v>890554.68259363482</v>
      </c>
      <c r="Q316" s="156"/>
      <c r="R316" s="134"/>
      <c r="S316" s="134"/>
      <c r="T316" s="134"/>
      <c r="U316" s="134"/>
      <c r="V316" s="134"/>
      <c r="W316" s="1155"/>
      <c r="X316" s="1172"/>
      <c r="Y316" s="1172"/>
      <c r="Z316" s="1172"/>
      <c r="AA316" s="1172"/>
      <c r="AB316" s="1172"/>
      <c r="AC316" s="1172"/>
      <c r="AD316" s="1172"/>
      <c r="AE316" s="1172"/>
      <c r="AF316" s="1172"/>
      <c r="AG316" s="1172"/>
      <c r="AH316" s="1172"/>
      <c r="AI316"/>
      <c r="AJ316"/>
      <c r="AK316"/>
    </row>
    <row r="317" spans="1:37" s="69" customFormat="1" ht="12.75" customHeight="1">
      <c r="A317" s="75"/>
      <c r="B317" s="75"/>
      <c r="C317" s="75"/>
      <c r="D317" s="314"/>
      <c r="E317" s="4133"/>
      <c r="F317" s="294" t="s">
        <v>35</v>
      </c>
      <c r="G317" s="533">
        <f t="shared" ref="G317:K317" ca="1" si="194">SUMIF($E$293:$P$312,"Less customer contributions",G$293:G$312)</f>
        <v>0</v>
      </c>
      <c r="H317" s="496">
        <f t="shared" ca="1" si="194"/>
        <v>0</v>
      </c>
      <c r="I317" s="496">
        <f t="shared" ca="1" si="194"/>
        <v>0</v>
      </c>
      <c r="J317" s="496">
        <f t="shared" ca="1" si="194"/>
        <v>0</v>
      </c>
      <c r="K317" s="500">
        <f t="shared" ca="1" si="194"/>
        <v>0</v>
      </c>
      <c r="L317" s="533">
        <v>0</v>
      </c>
      <c r="M317" s="496">
        <v>0</v>
      </c>
      <c r="N317" s="496">
        <v>0</v>
      </c>
      <c r="O317" s="496">
        <v>0</v>
      </c>
      <c r="P317" s="497">
        <v>0</v>
      </c>
      <c r="Q317" s="138"/>
      <c r="R317" s="138"/>
      <c r="S317" s="138"/>
      <c r="T317" s="138"/>
      <c r="U317" s="138"/>
      <c r="V317" s="138"/>
      <c r="W317" s="1155"/>
      <c r="X317" s="1172"/>
      <c r="Y317" s="1172"/>
      <c r="Z317" s="1172"/>
      <c r="AA317" s="1172"/>
      <c r="AB317" s="1172"/>
      <c r="AC317" s="1172"/>
      <c r="AD317" s="1172"/>
      <c r="AE317" s="1172"/>
      <c r="AF317" s="1172"/>
      <c r="AG317" s="1172"/>
      <c r="AH317" s="1172"/>
      <c r="AI317"/>
      <c r="AJ317"/>
      <c r="AK317"/>
    </row>
    <row r="318" spans="1:37" s="69" customFormat="1" ht="12.75" customHeight="1" thickBot="1">
      <c r="A318" s="75"/>
      <c r="B318" s="75"/>
      <c r="C318" s="75"/>
      <c r="D318" s="314"/>
      <c r="E318" s="4134"/>
      <c r="F318" s="1595" t="str">
        <f>CONCATENATE("Total net expenditure - ",E292)</f>
        <v>Total net expenditure - &lt; insert sub-category &gt;</v>
      </c>
      <c r="G318" s="1447">
        <f t="shared" ref="G318:K318" ca="1" si="195">SUMIF($E$293:$P$312,"Total net expenditure",G$293:G$312)</f>
        <v>0</v>
      </c>
      <c r="H318" s="1150">
        <f t="shared" ca="1" si="195"/>
        <v>0</v>
      </c>
      <c r="I318" s="1150">
        <f t="shared" ca="1" si="195"/>
        <v>0</v>
      </c>
      <c r="J318" s="1150">
        <f t="shared" ca="1" si="195"/>
        <v>0</v>
      </c>
      <c r="K318" s="1153">
        <f t="shared" ca="1" si="195"/>
        <v>977301.99285483162</v>
      </c>
      <c r="L318" s="1447">
        <v>977301.99285483162</v>
      </c>
      <c r="M318" s="1150">
        <v>916136.38269703637</v>
      </c>
      <c r="N318" s="1150">
        <v>956304.27363145887</v>
      </c>
      <c r="O318" s="1150">
        <v>853995.84378475219</v>
      </c>
      <c r="P318" s="1151">
        <v>890554.68259363482</v>
      </c>
      <c r="Q318" s="138"/>
      <c r="R318" s="138"/>
      <c r="S318" s="138"/>
      <c r="T318" s="138"/>
      <c r="U318" s="138"/>
      <c r="V318" s="138"/>
      <c r="W318" s="1155"/>
      <c r="X318" s="1172"/>
      <c r="Y318" s="1172"/>
      <c r="Z318" s="1172"/>
      <c r="AA318" s="1172"/>
      <c r="AB318" s="1172"/>
      <c r="AC318" s="1172"/>
      <c r="AD318" s="1172"/>
      <c r="AE318" s="1172"/>
      <c r="AF318" s="1172"/>
      <c r="AG318" s="1172"/>
      <c r="AH318" s="1172"/>
      <c r="AI318"/>
      <c r="AJ318"/>
      <c r="AK318"/>
    </row>
    <row r="319" spans="1:37" s="78" customFormat="1" ht="30.75" customHeight="1" thickBot="1">
      <c r="A319" s="262"/>
      <c r="B319" s="262"/>
      <c r="C319" s="262"/>
      <c r="D319" s="262"/>
      <c r="E319" s="4135" t="s">
        <v>343</v>
      </c>
      <c r="F319" s="4136"/>
      <c r="G319" s="3548"/>
      <c r="H319" s="3549"/>
      <c r="I319" s="3549"/>
      <c r="J319" s="3549"/>
      <c r="K319" s="3549"/>
      <c r="L319" s="3549"/>
      <c r="M319" s="3549"/>
      <c r="N319" s="3549"/>
      <c r="O319" s="3549"/>
      <c r="P319" s="3550"/>
      <c r="Q319" s="474"/>
      <c r="R319" s="474"/>
      <c r="S319" s="474"/>
      <c r="T319" s="474"/>
      <c r="U319" s="474"/>
      <c r="V319" s="474"/>
      <c r="W319" s="474"/>
      <c r="X319" s="1172"/>
      <c r="Y319" s="1172"/>
      <c r="Z319" s="1172"/>
      <c r="AA319" s="1172"/>
      <c r="AB319" s="1172"/>
      <c r="AC319" s="1172"/>
      <c r="AD319" s="1172"/>
      <c r="AE319" s="1172"/>
      <c r="AF319" s="1172"/>
      <c r="AG319" s="1172"/>
      <c r="AH319" s="1172"/>
      <c r="AI319"/>
      <c r="AJ319"/>
      <c r="AK319"/>
    </row>
    <row r="320" spans="1:37" s="474" customFormat="1" ht="30" customHeight="1" outlineLevel="1">
      <c r="D320" s="262"/>
      <c r="E320" s="541" t="s">
        <v>88</v>
      </c>
      <c r="F320" s="842" t="s">
        <v>593</v>
      </c>
      <c r="G320" s="1574"/>
      <c r="H320" s="1575"/>
      <c r="I320" s="1575"/>
      <c r="J320" s="1575"/>
      <c r="K320" s="1575"/>
      <c r="L320" s="1578"/>
      <c r="M320" s="1579"/>
      <c r="N320" s="1579"/>
      <c r="O320" s="1579"/>
      <c r="P320" s="1580"/>
      <c r="Q320" s="134"/>
      <c r="R320" s="134"/>
      <c r="S320" s="134"/>
      <c r="T320" s="134"/>
      <c r="U320" s="134"/>
      <c r="V320" s="134"/>
      <c r="W320" s="1155"/>
      <c r="X320" s="1172"/>
      <c r="Y320" s="1172"/>
      <c r="Z320" s="1172"/>
      <c r="AA320" s="1172"/>
      <c r="AB320" s="1172"/>
      <c r="AC320" s="1172"/>
      <c r="AD320" s="1172"/>
      <c r="AE320" s="1172"/>
      <c r="AF320" s="1172"/>
      <c r="AG320" s="1172"/>
      <c r="AH320" s="1172"/>
      <c r="AI320"/>
      <c r="AJ320"/>
      <c r="AK320"/>
    </row>
    <row r="321" spans="1:37" s="474" customFormat="1" ht="12.75" customHeight="1" outlineLevel="1">
      <c r="A321" s="78"/>
      <c r="B321" s="78"/>
      <c r="C321" s="78"/>
      <c r="D321" s="262"/>
      <c r="E321" s="498"/>
      <c r="F321" s="516" t="s">
        <v>559</v>
      </c>
      <c r="G321" s="1576"/>
      <c r="H321" s="1577"/>
      <c r="I321" s="1577"/>
      <c r="J321" s="1577"/>
      <c r="K321" s="1577"/>
      <c r="L321" s="459"/>
      <c r="M321" s="458"/>
      <c r="N321" s="458"/>
      <c r="O321" s="458"/>
      <c r="P321" s="460"/>
      <c r="Q321" s="455"/>
      <c r="R321" s="455"/>
      <c r="S321" s="455"/>
      <c r="T321" s="455"/>
      <c r="U321" s="455"/>
      <c r="V321" s="455"/>
      <c r="W321" s="134"/>
      <c r="X321" s="1172"/>
      <c r="Y321" s="1172"/>
      <c r="Z321" s="1172"/>
      <c r="AA321" s="1172"/>
      <c r="AB321" s="1172"/>
      <c r="AC321" s="1172"/>
      <c r="AD321" s="1172"/>
      <c r="AE321" s="1172"/>
      <c r="AF321" s="1172"/>
      <c r="AG321" s="1172"/>
      <c r="AH321" s="1172"/>
      <c r="AI321"/>
      <c r="AJ321"/>
      <c r="AK321"/>
    </row>
    <row r="322" spans="1:37" s="474" customFormat="1" ht="12.75" customHeight="1" outlineLevel="1">
      <c r="D322" s="262"/>
      <c r="E322" s="498"/>
      <c r="F322" s="516" t="s">
        <v>558</v>
      </c>
      <c r="G322" s="1576"/>
      <c r="H322" s="1577"/>
      <c r="I322" s="1577"/>
      <c r="J322" s="1577"/>
      <c r="K322" s="1577"/>
      <c r="L322" s="459"/>
      <c r="M322" s="458"/>
      <c r="N322" s="458"/>
      <c r="O322" s="458"/>
      <c r="P322" s="460"/>
      <c r="Q322" s="455"/>
      <c r="R322" s="455"/>
      <c r="S322" s="455"/>
      <c r="T322" s="455"/>
      <c r="U322" s="455"/>
      <c r="V322" s="455"/>
      <c r="W322" s="134"/>
      <c r="X322" s="1172"/>
      <c r="Y322" s="1172"/>
      <c r="Z322" s="1172"/>
      <c r="AA322" s="1172"/>
      <c r="AB322" s="1172"/>
      <c r="AC322" s="1172"/>
      <c r="AD322" s="1172"/>
      <c r="AE322" s="1172"/>
      <c r="AF322" s="1172"/>
      <c r="AG322" s="1172"/>
      <c r="AH322" s="1172"/>
      <c r="AI322"/>
      <c r="AJ322"/>
      <c r="AK322"/>
    </row>
    <row r="323" spans="1:37" s="474" customFormat="1" ht="12.75" customHeight="1" outlineLevel="1">
      <c r="D323" s="262"/>
      <c r="E323" s="498"/>
      <c r="F323" s="516" t="s">
        <v>578</v>
      </c>
      <c r="G323" s="1576"/>
      <c r="H323" s="1577"/>
      <c r="I323" s="1577"/>
      <c r="J323" s="1577"/>
      <c r="K323" s="1577"/>
      <c r="L323" s="459"/>
      <c r="M323" s="458"/>
      <c r="N323" s="458"/>
      <c r="O323" s="458"/>
      <c r="P323" s="460"/>
      <c r="Q323" s="455"/>
      <c r="R323" s="455"/>
      <c r="S323" s="455"/>
      <c r="T323" s="455"/>
      <c r="U323" s="455"/>
      <c r="V323" s="455"/>
      <c r="W323" s="134"/>
      <c r="X323" s="1172"/>
      <c r="Y323" s="1172"/>
      <c r="Z323" s="1172"/>
      <c r="AA323" s="1172"/>
      <c r="AB323" s="1172"/>
      <c r="AC323" s="1172"/>
      <c r="AD323" s="1172"/>
      <c r="AE323" s="1172"/>
      <c r="AF323" s="1172"/>
      <c r="AG323" s="1172"/>
      <c r="AH323" s="1172"/>
      <c r="AI323"/>
      <c r="AJ323"/>
      <c r="AK323"/>
    </row>
    <row r="324" spans="1:37" s="474" customFormat="1" ht="12.75" customHeight="1" outlineLevel="1">
      <c r="D324" s="262"/>
      <c r="E324" s="498"/>
      <c r="F324" s="517" t="s">
        <v>579</v>
      </c>
      <c r="G324" s="459"/>
      <c r="H324" s="458"/>
      <c r="I324" s="458"/>
      <c r="J324" s="458"/>
      <c r="K324" s="625"/>
      <c r="L324" s="353">
        <v>0</v>
      </c>
      <c r="M324" s="354">
        <v>0</v>
      </c>
      <c r="N324" s="354">
        <v>0</v>
      </c>
      <c r="O324" s="354">
        <v>0</v>
      </c>
      <c r="P324" s="450">
        <v>0</v>
      </c>
      <c r="Q324" s="455"/>
      <c r="R324" s="455"/>
      <c r="S324" s="455"/>
      <c r="T324" s="455"/>
      <c r="U324" s="455"/>
      <c r="V324" s="455"/>
      <c r="W324" s="134"/>
      <c r="X324" s="1172"/>
      <c r="Y324" s="1172"/>
      <c r="Z324" s="1172"/>
      <c r="AA324" s="1172"/>
      <c r="AB324" s="1172"/>
      <c r="AC324" s="1172"/>
      <c r="AD324" s="1172"/>
      <c r="AE324" s="1172"/>
      <c r="AF324" s="1172"/>
      <c r="AG324" s="1172"/>
      <c r="AH324" s="1172"/>
      <c r="AI324"/>
      <c r="AJ324"/>
      <c r="AK324"/>
    </row>
    <row r="325" spans="1:37" s="474" customFormat="1" ht="12.75" customHeight="1" outlineLevel="1">
      <c r="D325" s="262"/>
      <c r="E325" s="498"/>
      <c r="F325" s="516" t="s">
        <v>583</v>
      </c>
      <c r="G325" s="459"/>
      <c r="H325" s="458"/>
      <c r="I325" s="458"/>
      <c r="J325" s="458"/>
      <c r="K325" s="625"/>
      <c r="L325" s="511">
        <v>0</v>
      </c>
      <c r="M325" s="512">
        <v>0</v>
      </c>
      <c r="N325" s="512">
        <v>0</v>
      </c>
      <c r="O325" s="512">
        <v>0</v>
      </c>
      <c r="P325" s="547">
        <v>0</v>
      </c>
      <c r="Q325" s="455"/>
      <c r="R325" s="455"/>
      <c r="S325" s="455"/>
      <c r="T325" s="455"/>
      <c r="U325" s="455"/>
      <c r="V325" s="455"/>
      <c r="W325" s="134"/>
      <c r="X325" s="1172"/>
      <c r="Y325" s="1172"/>
      <c r="Z325" s="1172"/>
      <c r="AA325" s="1172"/>
      <c r="AB325" s="1172"/>
      <c r="AC325" s="1172"/>
      <c r="AD325" s="1172"/>
      <c r="AE325" s="1172"/>
      <c r="AF325" s="1172"/>
      <c r="AG325" s="1172"/>
      <c r="AH325" s="1172"/>
      <c r="AI325"/>
      <c r="AJ325"/>
      <c r="AK325"/>
    </row>
    <row r="326" spans="1:37" s="474" customFormat="1" ht="12.75" customHeight="1" outlineLevel="1">
      <c r="D326" s="262"/>
      <c r="E326" s="498"/>
      <c r="F326" s="516" t="s">
        <v>581</v>
      </c>
      <c r="G326" s="459"/>
      <c r="H326" s="458"/>
      <c r="I326" s="458"/>
      <c r="J326" s="458"/>
      <c r="K326" s="625"/>
      <c r="L326" s="462">
        <v>0</v>
      </c>
      <c r="M326" s="463">
        <v>0</v>
      </c>
      <c r="N326" s="463">
        <v>0</v>
      </c>
      <c r="O326" s="463">
        <v>0</v>
      </c>
      <c r="P326" s="464">
        <v>0</v>
      </c>
      <c r="Q326" s="455"/>
      <c r="R326" s="455"/>
      <c r="S326" s="455"/>
      <c r="T326" s="455"/>
      <c r="U326" s="455"/>
      <c r="V326" s="455"/>
      <c r="W326" s="134"/>
      <c r="X326" s="1172"/>
      <c r="Y326" s="1172"/>
      <c r="Z326" s="1172"/>
      <c r="AA326" s="1172"/>
      <c r="AB326" s="1172"/>
      <c r="AC326" s="1172"/>
      <c r="AD326" s="1172"/>
      <c r="AE326" s="1172"/>
      <c r="AF326" s="1172"/>
      <c r="AG326" s="1172"/>
      <c r="AH326" s="1172"/>
      <c r="AI326"/>
      <c r="AJ326"/>
      <c r="AK326"/>
    </row>
    <row r="327" spans="1:37" s="474" customFormat="1" ht="12.75" customHeight="1" outlineLevel="1">
      <c r="D327" s="262"/>
      <c r="E327" s="498"/>
      <c r="F327" s="517" t="s">
        <v>584</v>
      </c>
      <c r="G327" s="353">
        <f t="shared" ref="G327:K327" si="196">SUM(G324:G326)</f>
        <v>0</v>
      </c>
      <c r="H327" s="354">
        <f t="shared" si="196"/>
        <v>0</v>
      </c>
      <c r="I327" s="354">
        <f t="shared" si="196"/>
        <v>0</v>
      </c>
      <c r="J327" s="354">
        <f t="shared" si="196"/>
        <v>0</v>
      </c>
      <c r="K327" s="626">
        <f t="shared" si="196"/>
        <v>0</v>
      </c>
      <c r="L327" s="353">
        <v>0</v>
      </c>
      <c r="M327" s="354">
        <v>0</v>
      </c>
      <c r="N327" s="354">
        <v>0</v>
      </c>
      <c r="O327" s="354">
        <v>0</v>
      </c>
      <c r="P327" s="450">
        <v>0</v>
      </c>
      <c r="Q327" s="455"/>
      <c r="R327" s="455"/>
      <c r="S327" s="455"/>
      <c r="T327" s="455"/>
      <c r="U327" s="455"/>
      <c r="V327" s="455"/>
      <c r="W327" s="134"/>
      <c r="X327" s="1172"/>
      <c r="Y327" s="1172"/>
      <c r="Z327" s="1172"/>
      <c r="AA327" s="1172"/>
      <c r="AB327" s="1172"/>
      <c r="AC327" s="1172"/>
      <c r="AD327" s="1172"/>
      <c r="AE327" s="1172"/>
      <c r="AF327" s="1172"/>
      <c r="AG327" s="1172"/>
      <c r="AH327" s="1172"/>
      <c r="AI327"/>
      <c r="AJ327"/>
      <c r="AK327"/>
    </row>
    <row r="328" spans="1:37" s="474" customFormat="1" ht="12.75" customHeight="1" outlineLevel="1">
      <c r="D328" s="262"/>
      <c r="E328" s="498"/>
      <c r="F328" s="516" t="s">
        <v>35</v>
      </c>
      <c r="G328" s="459"/>
      <c r="H328" s="458"/>
      <c r="I328" s="458"/>
      <c r="J328" s="458"/>
      <c r="K328" s="625"/>
      <c r="L328" s="459"/>
      <c r="M328" s="458"/>
      <c r="N328" s="458"/>
      <c r="O328" s="458"/>
      <c r="P328" s="460"/>
      <c r="Q328" s="455"/>
      <c r="R328" s="455"/>
      <c r="S328" s="455"/>
      <c r="T328" s="455"/>
      <c r="U328" s="455"/>
      <c r="V328" s="455"/>
      <c r="W328" s="134"/>
      <c r="X328" s="1172"/>
      <c r="Y328" s="1172"/>
      <c r="Z328" s="1172"/>
      <c r="AA328" s="1172"/>
      <c r="AB328" s="1172"/>
      <c r="AC328" s="1172"/>
      <c r="AD328" s="1172"/>
      <c r="AE328" s="1172"/>
      <c r="AF328" s="1172"/>
      <c r="AG328" s="1172"/>
      <c r="AH328" s="1172"/>
      <c r="AI328"/>
      <c r="AJ328"/>
      <c r="AK328"/>
    </row>
    <row r="329" spans="1:37" s="474" customFormat="1" ht="12.75" customHeight="1" outlineLevel="1" thickBot="1">
      <c r="D329" s="262"/>
      <c r="E329" s="498"/>
      <c r="F329" s="1409" t="s">
        <v>585</v>
      </c>
      <c r="G329" s="1370">
        <f t="shared" ref="G329:K329" si="197">G327-G328</f>
        <v>0</v>
      </c>
      <c r="H329" s="356">
        <f t="shared" si="197"/>
        <v>0</v>
      </c>
      <c r="I329" s="356">
        <f t="shared" si="197"/>
        <v>0</v>
      </c>
      <c r="J329" s="356">
        <f t="shared" si="197"/>
        <v>0</v>
      </c>
      <c r="K329" s="627">
        <f t="shared" si="197"/>
        <v>0</v>
      </c>
      <c r="L329" s="1370">
        <v>0</v>
      </c>
      <c r="M329" s="356">
        <v>0</v>
      </c>
      <c r="N329" s="356">
        <v>0</v>
      </c>
      <c r="O329" s="356">
        <v>0</v>
      </c>
      <c r="P329" s="503">
        <v>0</v>
      </c>
      <c r="Q329" s="455"/>
      <c r="R329" s="455"/>
      <c r="S329" s="455"/>
      <c r="T329" s="455"/>
      <c r="U329" s="455"/>
      <c r="V329" s="455"/>
      <c r="W329" s="134"/>
      <c r="X329" s="1172"/>
      <c r="Y329" s="1172"/>
      <c r="Z329" s="1172"/>
      <c r="AA329" s="1172"/>
      <c r="AB329" s="1172"/>
      <c r="AC329" s="1172"/>
      <c r="AD329" s="1172"/>
      <c r="AE329" s="1172"/>
      <c r="AF329" s="1172"/>
      <c r="AG329" s="1172"/>
      <c r="AH329" s="1172"/>
      <c r="AI329"/>
      <c r="AJ329"/>
      <c r="AK329"/>
    </row>
    <row r="330" spans="1:37" s="474" customFormat="1" ht="24.75" customHeight="1" outlineLevel="1">
      <c r="D330" s="262"/>
      <c r="E330" s="541" t="s">
        <v>88</v>
      </c>
      <c r="F330" s="842" t="s">
        <v>593</v>
      </c>
      <c r="G330" s="1574"/>
      <c r="H330" s="1575"/>
      <c r="I330" s="1575"/>
      <c r="J330" s="1575"/>
      <c r="K330" s="1575"/>
      <c r="L330" s="1578"/>
      <c r="M330" s="1579"/>
      <c r="N330" s="1579"/>
      <c r="O330" s="1579"/>
      <c r="P330" s="1580"/>
      <c r="Q330" s="134"/>
      <c r="R330" s="134"/>
      <c r="S330" s="134"/>
      <c r="T330" s="134"/>
      <c r="U330" s="134"/>
      <c r="V330" s="134"/>
      <c r="W330" s="1155"/>
      <c r="X330" s="1172"/>
      <c r="Y330" s="1172"/>
      <c r="Z330" s="1172"/>
      <c r="AA330" s="1172"/>
      <c r="AB330" s="1172"/>
      <c r="AC330" s="1172"/>
      <c r="AD330" s="1172"/>
      <c r="AE330" s="1172"/>
      <c r="AF330" s="1172"/>
      <c r="AG330" s="1172"/>
      <c r="AH330" s="1172"/>
      <c r="AI330"/>
      <c r="AJ330"/>
      <c r="AK330"/>
    </row>
    <row r="331" spans="1:37" s="474" customFormat="1" ht="12.75" customHeight="1" outlineLevel="1">
      <c r="A331" s="78"/>
      <c r="B331" s="78"/>
      <c r="C331" s="78"/>
      <c r="D331" s="262"/>
      <c r="E331" s="498"/>
      <c r="F331" s="516" t="s">
        <v>559</v>
      </c>
      <c r="G331" s="1576"/>
      <c r="H331" s="1577"/>
      <c r="I331" s="1577"/>
      <c r="J331" s="1577"/>
      <c r="K331" s="1577"/>
      <c r="L331" s="459"/>
      <c r="M331" s="458"/>
      <c r="N331" s="458"/>
      <c r="O331" s="458"/>
      <c r="P331" s="460"/>
      <c r="Q331" s="455"/>
      <c r="R331" s="455"/>
      <c r="S331" s="455"/>
      <c r="T331" s="455"/>
      <c r="U331" s="455"/>
      <c r="V331" s="455"/>
      <c r="W331" s="134"/>
      <c r="X331" s="1172"/>
      <c r="Y331" s="1172"/>
      <c r="Z331" s="1172"/>
      <c r="AA331" s="1172"/>
      <c r="AB331" s="1172"/>
      <c r="AC331" s="1172"/>
      <c r="AD331" s="1172"/>
      <c r="AE331" s="1172"/>
      <c r="AF331" s="1172"/>
      <c r="AG331" s="1172"/>
      <c r="AH331" s="1172"/>
      <c r="AI331"/>
      <c r="AJ331"/>
      <c r="AK331"/>
    </row>
    <row r="332" spans="1:37" s="474" customFormat="1" ht="12.75" customHeight="1" outlineLevel="1">
      <c r="D332" s="262"/>
      <c r="E332" s="498"/>
      <c r="F332" s="516" t="s">
        <v>558</v>
      </c>
      <c r="G332" s="1576"/>
      <c r="H332" s="1577"/>
      <c r="I332" s="1577"/>
      <c r="J332" s="1577"/>
      <c r="K332" s="1577"/>
      <c r="L332" s="459"/>
      <c r="M332" s="458"/>
      <c r="N332" s="458"/>
      <c r="O332" s="458"/>
      <c r="P332" s="460"/>
      <c r="Q332" s="455"/>
      <c r="R332" s="455"/>
      <c r="S332" s="455"/>
      <c r="T332" s="455"/>
      <c r="U332" s="455"/>
      <c r="V332" s="455"/>
      <c r="W332" s="134"/>
      <c r="X332" s="1172"/>
      <c r="Y332" s="1172"/>
      <c r="Z332" s="1172"/>
      <c r="AA332" s="1172"/>
      <c r="AB332" s="1172"/>
      <c r="AC332" s="1172"/>
      <c r="AD332" s="1172"/>
      <c r="AE332" s="1172"/>
      <c r="AF332" s="1172"/>
      <c r="AG332" s="1172"/>
      <c r="AH332" s="1172"/>
      <c r="AI332"/>
      <c r="AJ332"/>
      <c r="AK332"/>
    </row>
    <row r="333" spans="1:37" s="474" customFormat="1" ht="12.75" customHeight="1" outlineLevel="1">
      <c r="D333" s="262"/>
      <c r="E333" s="498"/>
      <c r="F333" s="516" t="s">
        <v>578</v>
      </c>
      <c r="G333" s="1576"/>
      <c r="H333" s="1577"/>
      <c r="I333" s="1577"/>
      <c r="J333" s="1577"/>
      <c r="K333" s="1577"/>
      <c r="L333" s="459"/>
      <c r="M333" s="458"/>
      <c r="N333" s="458"/>
      <c r="O333" s="458"/>
      <c r="P333" s="460"/>
      <c r="Q333" s="455"/>
      <c r="R333" s="455"/>
      <c r="S333" s="455"/>
      <c r="T333" s="455"/>
      <c r="U333" s="455"/>
      <c r="V333" s="455"/>
      <c r="W333" s="134"/>
      <c r="X333" s="1172"/>
      <c r="Y333" s="1172"/>
      <c r="Z333" s="1172"/>
      <c r="AA333" s="1172"/>
      <c r="AB333" s="1172"/>
      <c r="AC333" s="1172"/>
      <c r="AD333" s="1172"/>
      <c r="AE333" s="1172"/>
      <c r="AF333" s="1172"/>
      <c r="AG333" s="1172"/>
      <c r="AH333" s="1172"/>
      <c r="AI333"/>
      <c r="AJ333"/>
      <c r="AK333"/>
    </row>
    <row r="334" spans="1:37" s="474" customFormat="1" ht="12.75" customHeight="1" outlineLevel="1">
      <c r="D334" s="262"/>
      <c r="E334" s="498"/>
      <c r="F334" s="517" t="s">
        <v>579</v>
      </c>
      <c r="G334" s="459"/>
      <c r="H334" s="458"/>
      <c r="I334" s="458"/>
      <c r="J334" s="458"/>
      <c r="K334" s="625"/>
      <c r="L334" s="353">
        <v>0</v>
      </c>
      <c r="M334" s="354">
        <v>0</v>
      </c>
      <c r="N334" s="354">
        <v>0</v>
      </c>
      <c r="O334" s="354">
        <v>0</v>
      </c>
      <c r="P334" s="450">
        <v>0</v>
      </c>
      <c r="Q334" s="455"/>
      <c r="R334" s="455"/>
      <c r="S334" s="455"/>
      <c r="T334" s="455"/>
      <c r="U334" s="455"/>
      <c r="V334" s="455"/>
      <c r="W334" s="134"/>
      <c r="X334" s="1172"/>
      <c r="Y334" s="1172"/>
      <c r="Z334" s="1172"/>
      <c r="AA334" s="1172"/>
      <c r="AB334" s="1172"/>
      <c r="AC334" s="1172"/>
      <c r="AD334" s="1172"/>
      <c r="AE334" s="1172"/>
      <c r="AF334" s="1172"/>
      <c r="AG334" s="1172"/>
      <c r="AH334" s="1172"/>
      <c r="AI334"/>
      <c r="AJ334"/>
      <c r="AK334"/>
    </row>
    <row r="335" spans="1:37" s="474" customFormat="1" ht="12.75" customHeight="1" outlineLevel="1">
      <c r="D335" s="262"/>
      <c r="E335" s="498"/>
      <c r="F335" s="516" t="s">
        <v>583</v>
      </c>
      <c r="G335" s="459"/>
      <c r="H335" s="458"/>
      <c r="I335" s="458"/>
      <c r="J335" s="458"/>
      <c r="K335" s="625"/>
      <c r="L335" s="511">
        <v>0</v>
      </c>
      <c r="M335" s="512">
        <v>0</v>
      </c>
      <c r="N335" s="512">
        <v>0</v>
      </c>
      <c r="O335" s="512">
        <v>0</v>
      </c>
      <c r="P335" s="547">
        <v>0</v>
      </c>
      <c r="Q335" s="455"/>
      <c r="R335" s="455"/>
      <c r="S335" s="455"/>
      <c r="T335" s="455"/>
      <c r="U335" s="455"/>
      <c r="V335" s="455"/>
      <c r="W335" s="134"/>
      <c r="X335" s="1172"/>
      <c r="Y335" s="1172"/>
      <c r="Z335" s="1172"/>
      <c r="AA335" s="1172"/>
      <c r="AB335" s="1172"/>
      <c r="AC335" s="1172"/>
      <c r="AD335" s="1172"/>
      <c r="AE335" s="1172"/>
      <c r="AF335" s="1172"/>
      <c r="AG335" s="1172"/>
      <c r="AH335" s="1172"/>
      <c r="AI335"/>
      <c r="AJ335"/>
      <c r="AK335"/>
    </row>
    <row r="336" spans="1:37" s="474" customFormat="1" ht="12.75" customHeight="1" outlineLevel="1">
      <c r="D336" s="262"/>
      <c r="E336" s="498"/>
      <c r="F336" s="516" t="s">
        <v>581</v>
      </c>
      <c r="G336" s="459"/>
      <c r="H336" s="458"/>
      <c r="I336" s="458"/>
      <c r="J336" s="458"/>
      <c r="K336" s="625"/>
      <c r="L336" s="462">
        <v>0</v>
      </c>
      <c r="M336" s="463">
        <v>0</v>
      </c>
      <c r="N336" s="463">
        <v>0</v>
      </c>
      <c r="O336" s="463">
        <v>0</v>
      </c>
      <c r="P336" s="464">
        <v>0</v>
      </c>
      <c r="Q336" s="455"/>
      <c r="R336" s="455"/>
      <c r="S336" s="455"/>
      <c r="T336" s="455"/>
      <c r="U336" s="455"/>
      <c r="V336" s="455"/>
      <c r="W336" s="134"/>
      <c r="X336" s="1172"/>
      <c r="Y336" s="1172"/>
      <c r="Z336" s="1172"/>
      <c r="AA336" s="1172"/>
      <c r="AB336" s="1172"/>
      <c r="AC336" s="1172"/>
      <c r="AD336" s="1172"/>
      <c r="AE336" s="1172"/>
      <c r="AF336" s="1172"/>
      <c r="AG336" s="1172"/>
      <c r="AH336" s="1172"/>
      <c r="AI336"/>
      <c r="AJ336"/>
      <c r="AK336"/>
    </row>
    <row r="337" spans="1:37" s="474" customFormat="1" ht="12.75" customHeight="1" outlineLevel="1">
      <c r="D337" s="262"/>
      <c r="E337" s="498"/>
      <c r="F337" s="517" t="s">
        <v>584</v>
      </c>
      <c r="G337" s="353">
        <f t="shared" ref="G337:K337" si="198">SUM(G334:G336)</f>
        <v>0</v>
      </c>
      <c r="H337" s="354">
        <f t="shared" si="198"/>
        <v>0</v>
      </c>
      <c r="I337" s="354">
        <f t="shared" si="198"/>
        <v>0</v>
      </c>
      <c r="J337" s="354">
        <f t="shared" si="198"/>
        <v>0</v>
      </c>
      <c r="K337" s="626">
        <f t="shared" si="198"/>
        <v>0</v>
      </c>
      <c r="L337" s="353">
        <v>0</v>
      </c>
      <c r="M337" s="354">
        <v>0</v>
      </c>
      <c r="N337" s="354">
        <v>0</v>
      </c>
      <c r="O337" s="354">
        <v>0</v>
      </c>
      <c r="P337" s="450">
        <v>0</v>
      </c>
      <c r="Q337" s="455"/>
      <c r="R337" s="455"/>
      <c r="S337" s="455"/>
      <c r="T337" s="455"/>
      <c r="U337" s="455"/>
      <c r="V337" s="455"/>
      <c r="W337" s="134"/>
      <c r="X337" s="1172"/>
      <c r="Y337" s="1172"/>
      <c r="Z337" s="1172"/>
      <c r="AA337" s="1172"/>
      <c r="AB337" s="1172"/>
      <c r="AC337" s="1172"/>
      <c r="AD337" s="1172"/>
      <c r="AE337" s="1172"/>
      <c r="AF337" s="1172"/>
      <c r="AG337" s="1172"/>
      <c r="AH337" s="1172"/>
      <c r="AI337"/>
      <c r="AJ337"/>
      <c r="AK337"/>
    </row>
    <row r="338" spans="1:37" s="474" customFormat="1" ht="12.75" customHeight="1" outlineLevel="1">
      <c r="D338" s="262"/>
      <c r="E338" s="498"/>
      <c r="F338" s="516" t="s">
        <v>35</v>
      </c>
      <c r="G338" s="459"/>
      <c r="H338" s="458"/>
      <c r="I338" s="458"/>
      <c r="J338" s="458"/>
      <c r="K338" s="625"/>
      <c r="L338" s="459"/>
      <c r="M338" s="458"/>
      <c r="N338" s="458"/>
      <c r="O338" s="458"/>
      <c r="P338" s="460"/>
      <c r="Q338" s="455"/>
      <c r="R338" s="455"/>
      <c r="S338" s="455"/>
      <c r="T338" s="455"/>
      <c r="U338" s="455"/>
      <c r="V338" s="455"/>
      <c r="W338" s="134"/>
      <c r="X338" s="1172"/>
      <c r="Y338" s="1172"/>
      <c r="Z338" s="1172"/>
      <c r="AA338" s="1172"/>
      <c r="AB338" s="1172"/>
      <c r="AC338" s="1172"/>
      <c r="AD338" s="1172"/>
      <c r="AE338" s="1172"/>
      <c r="AF338" s="1172"/>
      <c r="AG338" s="1172"/>
      <c r="AH338" s="1172"/>
      <c r="AI338"/>
      <c r="AJ338"/>
      <c r="AK338"/>
    </row>
    <row r="339" spans="1:37" s="474" customFormat="1" ht="12.75" customHeight="1" outlineLevel="1" thickBot="1">
      <c r="D339" s="262"/>
      <c r="E339" s="499"/>
      <c r="F339" s="1409" t="s">
        <v>585</v>
      </c>
      <c r="G339" s="1370">
        <f t="shared" ref="G339:K339" si="199">G337-G338</f>
        <v>0</v>
      </c>
      <c r="H339" s="356">
        <f t="shared" si="199"/>
        <v>0</v>
      </c>
      <c r="I339" s="356">
        <f t="shared" si="199"/>
        <v>0</v>
      </c>
      <c r="J339" s="356">
        <f t="shared" si="199"/>
        <v>0</v>
      </c>
      <c r="K339" s="627">
        <f t="shared" si="199"/>
        <v>0</v>
      </c>
      <c r="L339" s="1370">
        <v>0</v>
      </c>
      <c r="M339" s="356">
        <v>0</v>
      </c>
      <c r="N339" s="356">
        <v>0</v>
      </c>
      <c r="O339" s="356">
        <v>0</v>
      </c>
      <c r="P339" s="503">
        <v>0</v>
      </c>
      <c r="Q339" s="455"/>
      <c r="R339" s="455"/>
      <c r="S339" s="455"/>
      <c r="T339" s="455"/>
      <c r="U339" s="455"/>
      <c r="V339" s="455"/>
      <c r="W339" s="134"/>
      <c r="X339" s="1172"/>
      <c r="Y339" s="1172"/>
      <c r="Z339" s="1172"/>
      <c r="AA339" s="1172"/>
      <c r="AB339" s="1172"/>
      <c r="AC339" s="1172"/>
      <c r="AD339" s="1172"/>
      <c r="AE339" s="1172"/>
      <c r="AF339" s="1172"/>
      <c r="AG339" s="1172"/>
      <c r="AH339" s="1172"/>
      <c r="AI339"/>
      <c r="AJ339"/>
      <c r="AK339"/>
    </row>
    <row r="340" spans="1:37" s="84" customFormat="1" ht="12.75" customHeight="1">
      <c r="D340" s="543"/>
      <c r="E340" s="4132" t="str">
        <f>CONCATENATE(E319, " Totals")</f>
        <v>&lt; insert sub-category &gt; Totals</v>
      </c>
      <c r="F340" s="3460" t="str">
        <f>CONCATENATE("Total direct expenditure - ",E319)</f>
        <v>Total direct expenditure - &lt; insert sub-category &gt;</v>
      </c>
      <c r="G340" s="1446">
        <f ca="1">SUMIF($E$320:$P$339,"Total direct expenditure",G$320:G$339)</f>
        <v>0</v>
      </c>
      <c r="H340" s="536">
        <f ca="1">SUMIF($E$320:$P$339,"Total direct expenditure",H$320:H$339)</f>
        <v>0</v>
      </c>
      <c r="I340" s="536">
        <f ca="1">SUMIF($E$320:$P$339,"Total direct expenditure",I$320:I$339)</f>
        <v>0</v>
      </c>
      <c r="J340" s="536">
        <f ca="1">SUMIF($E$320:$P$339,"Total direct expenditure",J$320:J$339)</f>
        <v>0</v>
      </c>
      <c r="K340" s="548">
        <f ca="1">SUMIF($E$320:$P$339,"Total direct expenditure",K$320:K$339)</f>
        <v>0</v>
      </c>
      <c r="L340" s="1446">
        <v>0</v>
      </c>
      <c r="M340" s="536">
        <v>0</v>
      </c>
      <c r="N340" s="536">
        <v>0</v>
      </c>
      <c r="O340" s="536">
        <v>0</v>
      </c>
      <c r="P340" s="537">
        <v>0</v>
      </c>
      <c r="Q340" s="544"/>
      <c r="R340" s="544"/>
      <c r="S340" s="544"/>
      <c r="T340" s="544"/>
      <c r="U340" s="544"/>
      <c r="V340" s="544"/>
      <c r="W340" s="545"/>
      <c r="X340" s="1172"/>
      <c r="Y340" s="1172"/>
      <c r="Z340" s="1172"/>
      <c r="AA340" s="1172"/>
      <c r="AB340" s="1172"/>
      <c r="AC340" s="1172"/>
      <c r="AD340" s="1172"/>
      <c r="AE340" s="1172"/>
      <c r="AF340" s="1172"/>
      <c r="AG340" s="1172"/>
      <c r="AH340" s="1172"/>
      <c r="AI340"/>
      <c r="AJ340"/>
      <c r="AK340"/>
    </row>
    <row r="341" spans="1:37" s="474" customFormat="1" ht="12.75" customHeight="1">
      <c r="D341" s="262"/>
      <c r="E341" s="4133"/>
      <c r="F341" s="294" t="str">
        <f>CONCATENATE("Total overhead expenditure - ",E319)</f>
        <v>Total overhead expenditure - &lt; insert sub-category &gt;</v>
      </c>
      <c r="G341" s="533">
        <f ca="1">SUMIF($E$320:$P$339,"Total overhead expenditure",G$320:G$339)</f>
        <v>0</v>
      </c>
      <c r="H341" s="496">
        <f ca="1">SUMIF($E$320:$P$339,"Total overhead expenditure",H$320:H$339)</f>
        <v>0</v>
      </c>
      <c r="I341" s="496">
        <f ca="1">SUMIF($E$320:$P$339,"Total overhead expenditure",I$320:I$339)</f>
        <v>0</v>
      </c>
      <c r="J341" s="496">
        <f ca="1">SUMIF($E$320:$P$339,"Total overhead expenditure",J$320:J$339)</f>
        <v>0</v>
      </c>
      <c r="K341" s="500">
        <f ca="1">SUMIF($E$320:$P$339,"Total overhead expenditure",K$320:K$339)</f>
        <v>0</v>
      </c>
      <c r="L341" s="533">
        <v>0</v>
      </c>
      <c r="M341" s="496">
        <v>0</v>
      </c>
      <c r="N341" s="496">
        <v>0</v>
      </c>
      <c r="O341" s="496">
        <v>0</v>
      </c>
      <c r="P341" s="497">
        <v>0</v>
      </c>
      <c r="Q341" s="1154"/>
      <c r="R341" s="455"/>
      <c r="S341" s="455"/>
      <c r="T341" s="455"/>
      <c r="U341" s="455"/>
      <c r="V341" s="455"/>
      <c r="W341" s="1155"/>
      <c r="X341" s="1172"/>
      <c r="Y341" s="1172"/>
      <c r="Z341" s="1172"/>
      <c r="AA341" s="1172"/>
      <c r="AB341" s="1172"/>
      <c r="AC341" s="1172"/>
      <c r="AD341" s="1172"/>
      <c r="AE341" s="1172"/>
      <c r="AF341" s="1172"/>
      <c r="AG341" s="1172"/>
      <c r="AH341" s="1172"/>
      <c r="AI341"/>
      <c r="AJ341"/>
      <c r="AK341"/>
    </row>
    <row r="342" spans="1:37" s="474" customFormat="1" ht="12.75" customHeight="1">
      <c r="D342" s="262"/>
      <c r="E342" s="4133"/>
      <c r="F342" s="294" t="str">
        <f>CONCATENATE("Related party margin expenditure - ",E319)</f>
        <v>Related party margin expenditure - &lt; insert sub-category &gt;</v>
      </c>
      <c r="G342" s="533">
        <f ca="1">SUMIF($E$320:$P$339,"Related party margin",G$320:G$339)</f>
        <v>0</v>
      </c>
      <c r="H342" s="496">
        <f ca="1">SUMIF($E$320:$P$339,"Related party margin",H$320:H$339)</f>
        <v>0</v>
      </c>
      <c r="I342" s="496">
        <f ca="1">SUMIF($E$320:$P$339,"Related party margin",I$320:I$339)</f>
        <v>0</v>
      </c>
      <c r="J342" s="496">
        <f ca="1">SUMIF($E$320:$P$339,"Related party margin",J$320:J$339)</f>
        <v>0</v>
      </c>
      <c r="K342" s="500">
        <f ca="1">SUMIF($E$320:$P$339,"Related party margin",K$320:K$339)</f>
        <v>0</v>
      </c>
      <c r="L342" s="533">
        <v>0</v>
      </c>
      <c r="M342" s="496">
        <v>0</v>
      </c>
      <c r="N342" s="496">
        <v>0</v>
      </c>
      <c r="O342" s="496">
        <v>0</v>
      </c>
      <c r="P342" s="497">
        <v>0</v>
      </c>
      <c r="Q342" s="455"/>
      <c r="R342" s="455"/>
      <c r="S342" s="455"/>
      <c r="T342" s="455"/>
      <c r="U342" s="455"/>
      <c r="V342" s="455"/>
      <c r="W342" s="1155"/>
      <c r="X342" s="1172"/>
      <c r="Y342" s="1172"/>
      <c r="Z342" s="1172"/>
      <c r="AA342" s="1172"/>
      <c r="AB342" s="1172"/>
      <c r="AC342" s="1172"/>
      <c r="AD342" s="1172"/>
      <c r="AE342" s="1172"/>
      <c r="AF342" s="1172"/>
      <c r="AG342" s="1172"/>
      <c r="AH342" s="1172"/>
      <c r="AI342"/>
      <c r="AJ342"/>
      <c r="AK342"/>
    </row>
    <row r="343" spans="1:37" s="69" customFormat="1" ht="12.75" customHeight="1">
      <c r="A343" s="75"/>
      <c r="B343" s="75"/>
      <c r="C343" s="75"/>
      <c r="D343" s="314"/>
      <c r="E343" s="4133"/>
      <c r="F343" s="1594" t="str">
        <f>CONCATENATE("Total gross expenditure - ",E319)</f>
        <v>Total gross expenditure - &lt; insert sub-category &gt;</v>
      </c>
      <c r="G343" s="1144">
        <f ca="1">SUMIF($E$320:$P$339,"Total gross expenditure",G$320:G$339)</f>
        <v>0</v>
      </c>
      <c r="H343" s="1145">
        <f ca="1">SUMIF($E$320:$P$339,"Total gross expenditure",H$320:H$339)</f>
        <v>0</v>
      </c>
      <c r="I343" s="1145">
        <f ca="1">SUMIF($E$320:$P$339,"Total gross expenditure",I$320:I$339)</f>
        <v>0</v>
      </c>
      <c r="J343" s="1145">
        <f ca="1">SUMIF($E$320:$P$339,"Total gross expenditure",J$320:J$339)</f>
        <v>0</v>
      </c>
      <c r="K343" s="1148">
        <f ca="1">SUMIF($E$320:$P$339,"Total gross expenditure",K$320:K$339)</f>
        <v>0</v>
      </c>
      <c r="L343" s="1144">
        <v>0</v>
      </c>
      <c r="M343" s="1145">
        <v>0</v>
      </c>
      <c r="N343" s="1145">
        <v>0</v>
      </c>
      <c r="O343" s="1145">
        <v>0</v>
      </c>
      <c r="P343" s="1146">
        <v>0</v>
      </c>
      <c r="Q343" s="156"/>
      <c r="R343" s="134"/>
      <c r="S343" s="134"/>
      <c r="T343" s="134"/>
      <c r="U343" s="134"/>
      <c r="V343" s="134"/>
      <c r="W343" s="1155"/>
      <c r="X343" s="1172"/>
      <c r="Y343" s="1172"/>
      <c r="Z343" s="1172"/>
      <c r="AA343" s="1172"/>
      <c r="AB343" s="1172"/>
      <c r="AC343" s="1172"/>
      <c r="AD343" s="1172"/>
      <c r="AE343" s="1172"/>
      <c r="AF343" s="1172"/>
      <c r="AG343" s="1172"/>
      <c r="AH343" s="1172"/>
      <c r="AI343"/>
      <c r="AJ343"/>
      <c r="AK343"/>
    </row>
    <row r="344" spans="1:37" s="69" customFormat="1" ht="12.75" customHeight="1">
      <c r="A344" s="75"/>
      <c r="B344" s="75"/>
      <c r="C344" s="75"/>
      <c r="D344" s="314"/>
      <c r="E344" s="4133"/>
      <c r="F344" s="294" t="s">
        <v>35</v>
      </c>
      <c r="G344" s="533">
        <f ca="1">SUMIF($E$320:$P$339,"Less customer contributions",G$320:G$339)</f>
        <v>0</v>
      </c>
      <c r="H344" s="496">
        <f ca="1">SUMIF($E$320:$P$339,"Less customer contributions",H$320:H$339)</f>
        <v>0</v>
      </c>
      <c r="I344" s="496">
        <f ca="1">SUMIF($E$320:$P$339,"Less customer contributions",I$320:I$339)</f>
        <v>0</v>
      </c>
      <c r="J344" s="496">
        <f ca="1">SUMIF($E$320:$P$339,"Less customer contributions",J$320:J$339)</f>
        <v>0</v>
      </c>
      <c r="K344" s="500">
        <f ca="1">SUMIF($E$320:$P$339,"Less customer contributions",K$320:K$339)</f>
        <v>0</v>
      </c>
      <c r="L344" s="533">
        <v>0</v>
      </c>
      <c r="M344" s="496">
        <v>0</v>
      </c>
      <c r="N344" s="496">
        <v>0</v>
      </c>
      <c r="O344" s="496">
        <v>0</v>
      </c>
      <c r="P344" s="497">
        <v>0</v>
      </c>
      <c r="Q344" s="138"/>
      <c r="R344" s="138"/>
      <c r="S344" s="138"/>
      <c r="T344" s="138"/>
      <c r="U344" s="138"/>
      <c r="V344" s="138"/>
      <c r="W344" s="1155"/>
      <c r="X344" s="1172"/>
      <c r="Y344" s="1172"/>
      <c r="Z344" s="1172"/>
      <c r="AA344" s="1172"/>
      <c r="AB344" s="1172"/>
      <c r="AC344" s="1172"/>
      <c r="AD344" s="1172"/>
      <c r="AE344" s="1172"/>
      <c r="AF344" s="1172"/>
      <c r="AG344" s="1172"/>
      <c r="AH344" s="1172"/>
      <c r="AI344"/>
      <c r="AJ344"/>
      <c r="AK344"/>
    </row>
    <row r="345" spans="1:37" s="69" customFormat="1" ht="13.5" customHeight="1" thickBot="1">
      <c r="A345" s="75"/>
      <c r="B345" s="75"/>
      <c r="C345" s="75"/>
      <c r="D345" s="314"/>
      <c r="E345" s="4134"/>
      <c r="F345" s="1595" t="str">
        <f>CONCATENATE("Total net expenditure - ",E319)</f>
        <v>Total net expenditure - &lt; insert sub-category &gt;</v>
      </c>
      <c r="G345" s="1447">
        <f ca="1">SUMIF($E$320:$P$339,"Total net expenditure",G$320:G$339)</f>
        <v>0</v>
      </c>
      <c r="H345" s="1150">
        <f ca="1">SUMIF($E$320:$P$339,"Total net expenditure",H$320:H$339)</f>
        <v>0</v>
      </c>
      <c r="I345" s="1150">
        <f ca="1">SUMIF($E$320:$P$339,"Total net expenditure",I$320:I$339)</f>
        <v>0</v>
      </c>
      <c r="J345" s="1150">
        <f ca="1">SUMIF($E$320:$P$339,"Total net expenditure",J$320:J$339)</f>
        <v>0</v>
      </c>
      <c r="K345" s="1153">
        <f ca="1">SUMIF($E$320:$P$339,"Total net expenditure",K$320:K$339)</f>
        <v>0</v>
      </c>
      <c r="L345" s="1447">
        <v>0</v>
      </c>
      <c r="M345" s="1150">
        <v>0</v>
      </c>
      <c r="N345" s="1150">
        <v>0</v>
      </c>
      <c r="O345" s="1150">
        <v>0</v>
      </c>
      <c r="P345" s="1151">
        <v>0</v>
      </c>
      <c r="Q345" s="474"/>
      <c r="R345" s="474"/>
      <c r="S345" s="474"/>
      <c r="T345" s="474"/>
      <c r="U345" s="474"/>
      <c r="V345" s="474"/>
      <c r="W345" s="474"/>
      <c r="X345" s="1172"/>
      <c r="Y345" s="1172"/>
      <c r="Z345" s="1172"/>
      <c r="AA345" s="1172"/>
      <c r="AB345" s="1172"/>
      <c r="AC345" s="1172"/>
      <c r="AD345" s="1172"/>
      <c r="AE345" s="1172"/>
      <c r="AF345" s="1172"/>
      <c r="AG345" s="1172"/>
      <c r="AH345" s="1172"/>
      <c r="AI345"/>
      <c r="AJ345"/>
      <c r="AK345"/>
    </row>
    <row r="346" spans="1:37" s="474" customFormat="1" ht="12.75" customHeight="1" thickBot="1">
      <c r="D346" s="262"/>
      <c r="E346" s="371"/>
      <c r="F346" s="481"/>
      <c r="G346" s="546"/>
      <c r="H346" s="546"/>
      <c r="I346" s="546"/>
      <c r="J346" s="546"/>
      <c r="K346" s="1186"/>
      <c r="L346" s="1187"/>
      <c r="M346" s="546"/>
      <c r="N346" s="546"/>
      <c r="O346" s="546"/>
      <c r="P346" s="1188"/>
      <c r="X346" s="1172"/>
      <c r="Y346" s="1172"/>
      <c r="Z346" s="1172"/>
      <c r="AA346" s="1172"/>
      <c r="AB346" s="1172"/>
      <c r="AC346" s="1172"/>
      <c r="AD346" s="1172"/>
      <c r="AE346" s="1172"/>
      <c r="AF346" s="1172"/>
      <c r="AG346" s="1172"/>
      <c r="AH346" s="1172"/>
      <c r="AI346"/>
      <c r="AJ346"/>
      <c r="AK346"/>
    </row>
    <row r="347" spans="1:37" s="84" customFormat="1" ht="18" customHeight="1">
      <c r="D347" s="543"/>
      <c r="E347" s="4137" t="s">
        <v>341</v>
      </c>
      <c r="F347" s="1598" t="s">
        <v>579</v>
      </c>
      <c r="G347" s="1446">
        <f t="shared" ref="G347:K352" ca="1" si="200">SUM(G313,G340)</f>
        <v>0</v>
      </c>
      <c r="H347" s="536">
        <f t="shared" ca="1" si="200"/>
        <v>0</v>
      </c>
      <c r="I347" s="536">
        <f t="shared" ca="1" si="200"/>
        <v>0</v>
      </c>
      <c r="J347" s="536">
        <f t="shared" ca="1" si="200"/>
        <v>0</v>
      </c>
      <c r="K347" s="548">
        <f t="shared" ca="1" si="200"/>
        <v>977301.99285483162</v>
      </c>
      <c r="L347" s="1446">
        <v>977301.99285483162</v>
      </c>
      <c r="M347" s="536">
        <v>916136.38269703637</v>
      </c>
      <c r="N347" s="536">
        <v>956304.27363145887</v>
      </c>
      <c r="O347" s="536">
        <v>853995.84378475219</v>
      </c>
      <c r="P347" s="537">
        <v>890554.68259363482</v>
      </c>
      <c r="Q347" s="474"/>
      <c r="R347" s="474"/>
      <c r="S347" s="474"/>
      <c r="T347" s="474"/>
      <c r="U347" s="474"/>
      <c r="V347" s="474"/>
      <c r="W347" s="474"/>
      <c r="X347" s="1172"/>
      <c r="Y347" s="1172"/>
      <c r="Z347" s="1172"/>
      <c r="AA347" s="1172"/>
      <c r="AB347" s="1172"/>
      <c r="AC347" s="1172"/>
      <c r="AD347" s="1172"/>
      <c r="AE347" s="1172"/>
      <c r="AF347" s="1172"/>
      <c r="AG347" s="1172"/>
      <c r="AH347" s="1172"/>
      <c r="AI347"/>
      <c r="AJ347"/>
      <c r="AK347"/>
    </row>
    <row r="348" spans="1:37" s="474" customFormat="1" ht="12.75" customHeight="1">
      <c r="D348" s="262"/>
      <c r="E348" s="4138"/>
      <c r="F348" s="294" t="s">
        <v>583</v>
      </c>
      <c r="G348" s="533">
        <f t="shared" ca="1" si="200"/>
        <v>0</v>
      </c>
      <c r="H348" s="496">
        <f t="shared" ca="1" si="200"/>
        <v>0</v>
      </c>
      <c r="I348" s="496">
        <f t="shared" ca="1" si="200"/>
        <v>0</v>
      </c>
      <c r="J348" s="496">
        <f t="shared" ca="1" si="200"/>
        <v>0</v>
      </c>
      <c r="K348" s="500">
        <f t="shared" ca="1" si="200"/>
        <v>0</v>
      </c>
      <c r="L348" s="533">
        <v>0</v>
      </c>
      <c r="M348" s="496">
        <v>0</v>
      </c>
      <c r="N348" s="496">
        <v>0</v>
      </c>
      <c r="O348" s="496">
        <v>0</v>
      </c>
      <c r="P348" s="497">
        <v>0</v>
      </c>
      <c r="X348" s="1172"/>
      <c r="Y348" s="1172"/>
      <c r="Z348" s="1172"/>
      <c r="AA348" s="1172"/>
      <c r="AB348" s="1172"/>
      <c r="AC348" s="1172"/>
      <c r="AD348" s="1172"/>
      <c r="AE348" s="1172"/>
      <c r="AF348" s="1172"/>
      <c r="AG348" s="1172"/>
      <c r="AH348" s="1172"/>
      <c r="AI348"/>
      <c r="AJ348"/>
      <c r="AK348"/>
    </row>
    <row r="349" spans="1:37" s="474" customFormat="1" ht="12.75" customHeight="1">
      <c r="D349" s="262"/>
      <c r="E349" s="4138"/>
      <c r="F349" s="1589" t="s">
        <v>581</v>
      </c>
      <c r="G349" s="533">
        <f t="shared" ca="1" si="200"/>
        <v>0</v>
      </c>
      <c r="H349" s="496">
        <f t="shared" ca="1" si="200"/>
        <v>0</v>
      </c>
      <c r="I349" s="496">
        <f t="shared" ca="1" si="200"/>
        <v>0</v>
      </c>
      <c r="J349" s="496">
        <f t="shared" ca="1" si="200"/>
        <v>0</v>
      </c>
      <c r="K349" s="500">
        <f t="shared" ca="1" si="200"/>
        <v>0</v>
      </c>
      <c r="L349" s="533">
        <v>0</v>
      </c>
      <c r="M349" s="496">
        <v>0</v>
      </c>
      <c r="N349" s="496">
        <v>0</v>
      </c>
      <c r="O349" s="496">
        <v>0</v>
      </c>
      <c r="P349" s="497">
        <v>0</v>
      </c>
      <c r="X349" s="1172"/>
      <c r="Y349" s="1172"/>
      <c r="Z349" s="1172"/>
      <c r="AA349" s="1172"/>
      <c r="AB349" s="1172"/>
      <c r="AC349" s="1172"/>
      <c r="AD349" s="1172"/>
      <c r="AE349" s="1172"/>
      <c r="AF349" s="1172"/>
      <c r="AG349" s="1172"/>
      <c r="AH349" s="1172"/>
      <c r="AI349"/>
      <c r="AJ349"/>
      <c r="AK349"/>
    </row>
    <row r="350" spans="1:37" s="69" customFormat="1" ht="12.75" customHeight="1">
      <c r="A350" s="75"/>
      <c r="B350" s="75"/>
      <c r="C350" s="75"/>
      <c r="D350" s="314"/>
      <c r="E350" s="4138"/>
      <c r="F350" s="3461" t="s">
        <v>599</v>
      </c>
      <c r="G350" s="1144">
        <f t="shared" ca="1" si="200"/>
        <v>0</v>
      </c>
      <c r="H350" s="1145">
        <f t="shared" ca="1" si="200"/>
        <v>0</v>
      </c>
      <c r="I350" s="1145">
        <f t="shared" ca="1" si="200"/>
        <v>0</v>
      </c>
      <c r="J350" s="1145">
        <f t="shared" ca="1" si="200"/>
        <v>0</v>
      </c>
      <c r="K350" s="1148">
        <f t="shared" ca="1" si="200"/>
        <v>977301.99285483162</v>
      </c>
      <c r="L350" s="1144">
        <v>977301.99285483162</v>
      </c>
      <c r="M350" s="1145">
        <v>916136.38269703637</v>
      </c>
      <c r="N350" s="1145">
        <v>956304.27363145887</v>
      </c>
      <c r="O350" s="1145">
        <v>853995.84378475219</v>
      </c>
      <c r="P350" s="1146">
        <v>890554.68259363482</v>
      </c>
      <c r="Q350" s="474"/>
      <c r="R350" s="474"/>
      <c r="S350" s="474"/>
      <c r="T350" s="474"/>
      <c r="U350" s="474"/>
      <c r="V350" s="474"/>
      <c r="W350" s="474"/>
      <c r="X350" s="1172"/>
      <c r="Y350" s="1172"/>
      <c r="Z350" s="1172"/>
      <c r="AA350" s="1172"/>
      <c r="AB350" s="1172"/>
      <c r="AC350" s="1172"/>
      <c r="AD350" s="1172"/>
      <c r="AE350" s="1172"/>
      <c r="AF350" s="1172"/>
      <c r="AG350" s="1172"/>
      <c r="AH350" s="1172"/>
      <c r="AI350"/>
      <c r="AJ350"/>
      <c r="AK350"/>
    </row>
    <row r="351" spans="1:37" s="69" customFormat="1" ht="12.75" customHeight="1">
      <c r="A351" s="75"/>
      <c r="B351" s="75"/>
      <c r="C351" s="75"/>
      <c r="D351" s="314"/>
      <c r="E351" s="4138"/>
      <c r="F351" s="294" t="s">
        <v>35</v>
      </c>
      <c r="G351" s="533">
        <f t="shared" ca="1" si="200"/>
        <v>0</v>
      </c>
      <c r="H351" s="496">
        <f t="shared" ca="1" si="200"/>
        <v>0</v>
      </c>
      <c r="I351" s="496">
        <f t="shared" ca="1" si="200"/>
        <v>0</v>
      </c>
      <c r="J351" s="496">
        <f t="shared" ca="1" si="200"/>
        <v>0</v>
      </c>
      <c r="K351" s="500">
        <f t="shared" ca="1" si="200"/>
        <v>0</v>
      </c>
      <c r="L351" s="533">
        <v>0</v>
      </c>
      <c r="M351" s="496">
        <v>0</v>
      </c>
      <c r="N351" s="496">
        <v>0</v>
      </c>
      <c r="O351" s="496">
        <v>0</v>
      </c>
      <c r="P351" s="497">
        <v>0</v>
      </c>
      <c r="Q351" s="474"/>
      <c r="R351" s="474"/>
      <c r="S351" s="474"/>
      <c r="T351" s="474"/>
      <c r="U351" s="474"/>
      <c r="V351" s="474"/>
      <c r="W351" s="474"/>
      <c r="X351" s="1172"/>
      <c r="Y351" s="1172"/>
      <c r="Z351" s="1172"/>
      <c r="AA351" s="1172"/>
      <c r="AB351" s="1172"/>
      <c r="AC351" s="1172"/>
      <c r="AD351" s="1172"/>
      <c r="AE351" s="1172"/>
      <c r="AF351" s="1172"/>
      <c r="AG351" s="1172"/>
      <c r="AH351" s="1172"/>
      <c r="AI351"/>
      <c r="AJ351"/>
      <c r="AK351"/>
    </row>
    <row r="352" spans="1:37" s="69" customFormat="1" ht="13.5" customHeight="1" thickBot="1">
      <c r="A352" s="75"/>
      <c r="B352" s="75"/>
      <c r="C352" s="75"/>
      <c r="D352" s="314"/>
      <c r="E352" s="4139"/>
      <c r="F352" s="3458" t="s">
        <v>585</v>
      </c>
      <c r="G352" s="1447">
        <f t="shared" ca="1" si="200"/>
        <v>0</v>
      </c>
      <c r="H352" s="1150">
        <f t="shared" ca="1" si="200"/>
        <v>0</v>
      </c>
      <c r="I352" s="1150">
        <f t="shared" ca="1" si="200"/>
        <v>0</v>
      </c>
      <c r="J352" s="1150">
        <f t="shared" ca="1" si="200"/>
        <v>0</v>
      </c>
      <c r="K352" s="1153">
        <f t="shared" ca="1" si="200"/>
        <v>977301.99285483162</v>
      </c>
      <c r="L352" s="1447">
        <v>977301.99285483162</v>
      </c>
      <c r="M352" s="1150">
        <v>916136.38269703637</v>
      </c>
      <c r="N352" s="1150">
        <v>956304.27363145887</v>
      </c>
      <c r="O352" s="1150">
        <v>853995.84378475219</v>
      </c>
      <c r="P352" s="1151">
        <v>890554.68259363482</v>
      </c>
      <c r="Q352" s="474"/>
      <c r="R352" s="474"/>
      <c r="S352" s="474"/>
      <c r="T352" s="474"/>
      <c r="U352" s="474"/>
      <c r="V352" s="474"/>
      <c r="W352" s="474"/>
      <c r="X352" s="1172"/>
      <c r="Y352" s="1172"/>
      <c r="Z352" s="1172"/>
      <c r="AA352" s="1172"/>
      <c r="AB352" s="1172"/>
      <c r="AC352" s="1172"/>
      <c r="AD352" s="1172"/>
      <c r="AE352" s="1172"/>
      <c r="AF352" s="1172"/>
      <c r="AG352" s="1172"/>
      <c r="AH352" s="1172"/>
      <c r="AI352"/>
      <c r="AJ352"/>
      <c r="AK352"/>
    </row>
    <row r="353" spans="1:37" s="69" customFormat="1" ht="32.25" customHeight="1" thickBot="1">
      <c r="A353" s="75"/>
      <c r="B353" s="75"/>
      <c r="C353" s="75"/>
      <c r="D353" s="314"/>
      <c r="E353" s="4059" t="s">
        <v>121</v>
      </c>
      <c r="F353" s="4060"/>
      <c r="G353" s="664"/>
      <c r="H353" s="264"/>
      <c r="I353" s="264"/>
      <c r="J353" s="264"/>
      <c r="K353" s="264"/>
      <c r="L353" s="3983" t="s">
        <v>1788</v>
      </c>
      <c r="M353" s="3983"/>
      <c r="N353" s="3983"/>
      <c r="O353" s="3983"/>
      <c r="P353" s="3983"/>
      <c r="Q353" s="474"/>
      <c r="R353" s="474"/>
      <c r="S353" s="474"/>
      <c r="T353" s="474"/>
      <c r="U353" s="474"/>
      <c r="V353" s="474"/>
      <c r="W353" s="474"/>
      <c r="X353" s="1172"/>
      <c r="Y353" s="1172"/>
      <c r="Z353" s="1172"/>
      <c r="AA353" s="1172"/>
      <c r="AB353" s="1172"/>
      <c r="AC353" s="1172"/>
      <c r="AD353" s="1172"/>
      <c r="AE353" s="1172"/>
      <c r="AF353" s="1172"/>
      <c r="AG353" s="1172"/>
      <c r="AH353" s="1172"/>
      <c r="AI353"/>
      <c r="AJ353"/>
      <c r="AK353"/>
    </row>
    <row r="354" spans="1:37" ht="12.75" customHeight="1">
      <c r="E354" s="1172"/>
      <c r="F354" s="1172"/>
      <c r="G354" s="1172"/>
      <c r="H354" s="1172"/>
      <c r="I354" s="1172"/>
      <c r="J354" s="1172"/>
      <c r="K354" s="1172"/>
      <c r="L354" s="514"/>
      <c r="M354" s="514"/>
      <c r="N354" s="514"/>
      <c r="O354" s="514"/>
      <c r="P354" s="514"/>
      <c r="Q354" s="515"/>
      <c r="R354" s="515"/>
      <c r="S354" s="515"/>
      <c r="T354" s="515"/>
      <c r="U354" s="515"/>
      <c r="V354" s="515"/>
      <c r="W354" s="515"/>
      <c r="X354" s="1172"/>
      <c r="Y354" s="1172"/>
      <c r="Z354" s="1172"/>
      <c r="AI354"/>
      <c r="AJ354"/>
      <c r="AK354"/>
    </row>
    <row r="355" spans="1:37">
      <c r="E355" s="1172"/>
      <c r="F355" s="1172"/>
      <c r="G355" s="1172"/>
      <c r="H355" s="1172"/>
      <c r="I355" s="1172"/>
      <c r="J355" s="1172"/>
      <c r="K355" s="1172"/>
      <c r="L355" s="1172"/>
      <c r="M355" s="1172"/>
      <c r="N355" s="1172"/>
      <c r="O355" s="1172"/>
      <c r="P355" s="1172"/>
      <c r="Q355" s="1172"/>
      <c r="R355" s="1172"/>
      <c r="S355" s="1172"/>
      <c r="T355" s="1172"/>
      <c r="U355" s="1172"/>
      <c r="V355" s="1172"/>
      <c r="W355" s="1172"/>
      <c r="X355" s="1172"/>
      <c r="Y355" s="1172"/>
      <c r="Z355" s="1172"/>
    </row>
    <row r="356" spans="1:37">
      <c r="E356" s="1172"/>
      <c r="F356" s="1172"/>
      <c r="G356" s="1172"/>
      <c r="H356" s="1172"/>
      <c r="I356" s="1172"/>
      <c r="J356" s="1172"/>
      <c r="K356" s="1172"/>
      <c r="L356" s="1172"/>
      <c r="M356" s="1172"/>
      <c r="N356" s="1172"/>
      <c r="O356" s="1172"/>
      <c r="P356" s="1172"/>
      <c r="Q356" s="1172"/>
      <c r="R356" s="1172"/>
      <c r="S356" s="1172"/>
      <c r="T356" s="1172"/>
      <c r="U356" s="1172"/>
      <c r="V356" s="1172"/>
      <c r="W356" s="1172"/>
      <c r="X356" s="1172"/>
      <c r="Y356" s="1172"/>
      <c r="Z356" s="1172"/>
    </row>
    <row r="357" spans="1:37">
      <c r="E357" s="1172"/>
      <c r="F357" s="1172"/>
      <c r="G357" s="1172"/>
      <c r="H357" s="1172"/>
      <c r="I357" s="1172"/>
      <c r="J357" s="1172"/>
      <c r="K357" s="1172"/>
      <c r="L357" s="1172"/>
      <c r="M357" s="1172"/>
      <c r="N357" s="1172"/>
      <c r="O357" s="1172"/>
      <c r="P357" s="1172"/>
      <c r="Q357" s="1172"/>
      <c r="R357" s="1172"/>
      <c r="S357" s="1172"/>
      <c r="T357" s="1172"/>
      <c r="U357" s="1172"/>
      <c r="V357" s="1172"/>
      <c r="W357" s="1172"/>
      <c r="X357" s="1172"/>
      <c r="Y357" s="1172"/>
      <c r="Z357" s="1172"/>
    </row>
    <row r="358" spans="1:37">
      <c r="E358" s="1172"/>
      <c r="F358" s="1172"/>
      <c r="G358" s="1172"/>
      <c r="H358" s="1172"/>
      <c r="I358" s="1172"/>
      <c r="J358" s="1172"/>
      <c r="K358" s="1172"/>
      <c r="L358" s="1172"/>
      <c r="M358" s="1172"/>
      <c r="N358" s="1172"/>
      <c r="O358" s="1172"/>
      <c r="P358" s="1172"/>
      <c r="Q358" s="1172"/>
      <c r="R358" s="1172"/>
      <c r="S358" s="1172"/>
      <c r="T358" s="1172"/>
      <c r="U358" s="1172"/>
      <c r="V358" s="1172"/>
      <c r="W358" s="1172"/>
      <c r="X358" s="1172"/>
      <c r="Y358" s="1172"/>
      <c r="Z358" s="1172"/>
    </row>
    <row r="359" spans="1:37">
      <c r="E359" s="1172"/>
      <c r="F359" s="1172"/>
      <c r="G359" s="1172"/>
      <c r="H359" s="1172"/>
      <c r="I359" s="1172"/>
      <c r="J359" s="1172"/>
      <c r="K359" s="1172"/>
      <c r="L359" s="1172"/>
      <c r="M359" s="1172"/>
      <c r="N359" s="1172"/>
      <c r="O359" s="1172"/>
      <c r="P359" s="1172"/>
      <c r="Q359" s="1172"/>
      <c r="R359" s="1172"/>
      <c r="S359" s="1172"/>
      <c r="T359" s="1172"/>
      <c r="U359" s="1172"/>
      <c r="V359" s="1172"/>
      <c r="W359" s="1172"/>
      <c r="X359" s="1172"/>
      <c r="Y359" s="1172"/>
      <c r="Z359" s="1172"/>
    </row>
    <row r="360" spans="1:37">
      <c r="E360" s="1172"/>
      <c r="F360" s="1172"/>
      <c r="G360" s="1172"/>
      <c r="H360" s="1172"/>
      <c r="I360" s="1172"/>
      <c r="J360" s="1172"/>
      <c r="K360" s="1172"/>
      <c r="L360" s="1172"/>
      <c r="M360" s="1172"/>
      <c r="N360" s="1172"/>
      <c r="O360" s="1172"/>
      <c r="P360" s="1172"/>
      <c r="Q360" s="1172"/>
      <c r="R360" s="1172"/>
      <c r="S360" s="1172"/>
      <c r="T360" s="1172"/>
      <c r="U360" s="1172"/>
      <c r="V360" s="1172"/>
      <c r="W360" s="1172"/>
      <c r="X360" s="1172"/>
      <c r="Y360" s="1172"/>
      <c r="Z360" s="1172"/>
    </row>
    <row r="361" spans="1:37">
      <c r="E361" s="1172"/>
      <c r="F361" s="1172"/>
      <c r="G361" s="1172"/>
      <c r="H361" s="1172"/>
      <c r="I361" s="1172"/>
      <c r="J361" s="1172"/>
      <c r="K361" s="1172"/>
      <c r="L361" s="1172"/>
      <c r="M361" s="1172"/>
      <c r="N361" s="1172"/>
      <c r="O361" s="1172"/>
      <c r="P361" s="1172"/>
      <c r="Q361" s="1172"/>
      <c r="R361" s="1172"/>
      <c r="S361" s="1172"/>
      <c r="T361" s="1172"/>
      <c r="U361" s="1172"/>
      <c r="V361" s="1172"/>
      <c r="W361" s="1172"/>
      <c r="X361" s="1172"/>
      <c r="Y361" s="1172"/>
      <c r="Z361" s="1172"/>
    </row>
    <row r="362" spans="1:37">
      <c r="E362" s="1172"/>
      <c r="F362" s="1172"/>
      <c r="G362" s="1172"/>
      <c r="H362" s="1172"/>
      <c r="I362" s="1172"/>
      <c r="J362" s="1172"/>
      <c r="K362" s="1172"/>
      <c r="L362" s="1172"/>
      <c r="M362" s="1172"/>
      <c r="N362" s="1172"/>
      <c r="O362" s="1172"/>
      <c r="P362" s="1172"/>
      <c r="Q362" s="1172"/>
      <c r="R362" s="1172"/>
      <c r="S362" s="1172"/>
      <c r="T362" s="1172"/>
      <c r="U362" s="1172"/>
      <c r="V362" s="1172"/>
      <c r="W362" s="1172"/>
      <c r="X362" s="1172"/>
      <c r="Y362" s="1172"/>
      <c r="Z362" s="1172"/>
    </row>
    <row r="363" spans="1:37">
      <c r="E363" s="1172"/>
      <c r="F363" s="1172"/>
      <c r="G363" s="1172"/>
      <c r="H363" s="1172"/>
      <c r="I363" s="1172"/>
      <c r="J363" s="1172"/>
      <c r="K363" s="1172"/>
      <c r="L363" s="1172"/>
      <c r="M363" s="1172"/>
      <c r="N363" s="1172"/>
      <c r="O363" s="1172"/>
      <c r="P363" s="1172"/>
      <c r="Q363" s="1172"/>
      <c r="R363" s="1172"/>
      <c r="S363" s="1172"/>
      <c r="T363" s="1172"/>
      <c r="U363" s="1172"/>
      <c r="V363" s="1172"/>
      <c r="W363" s="1172"/>
      <c r="X363" s="1172"/>
      <c r="Y363" s="1172"/>
      <c r="Z363" s="1172"/>
    </row>
    <row r="364" spans="1:37">
      <c r="E364" s="1172"/>
      <c r="F364" s="1172"/>
      <c r="G364" s="1172"/>
      <c r="H364" s="1172"/>
      <c r="I364" s="1172"/>
      <c r="J364" s="1172"/>
      <c r="K364" s="1172"/>
      <c r="L364" s="1172"/>
      <c r="M364" s="1172"/>
      <c r="N364" s="1172"/>
      <c r="O364" s="1172"/>
      <c r="P364" s="1172"/>
      <c r="Q364" s="1172"/>
      <c r="R364" s="1172"/>
      <c r="S364" s="1172"/>
      <c r="T364" s="1172"/>
      <c r="U364" s="1172"/>
      <c r="V364" s="1172"/>
      <c r="W364" s="1172"/>
      <c r="X364" s="1172"/>
      <c r="Y364" s="1172"/>
      <c r="Z364" s="1172"/>
    </row>
    <row r="365" spans="1:37">
      <c r="E365" s="1172"/>
      <c r="F365" s="1172"/>
      <c r="G365" s="1172"/>
      <c r="H365" s="1172"/>
      <c r="I365" s="1172"/>
      <c r="J365" s="1172"/>
      <c r="K365" s="1172"/>
      <c r="L365" s="1172"/>
      <c r="M365" s="1172"/>
      <c r="N365" s="1172"/>
      <c r="O365" s="1172"/>
      <c r="P365" s="1172"/>
      <c r="Q365" s="1172"/>
      <c r="R365" s="1172"/>
      <c r="S365" s="1172"/>
      <c r="T365" s="1172"/>
      <c r="U365" s="1172"/>
      <c r="V365" s="1172"/>
      <c r="W365" s="1172"/>
      <c r="X365" s="1172"/>
      <c r="Y365" s="1172"/>
      <c r="Z365" s="1172"/>
    </row>
    <row r="366" spans="1:37">
      <c r="E366" s="1172"/>
      <c r="F366" s="1172"/>
      <c r="G366" s="1172"/>
      <c r="H366" s="1172"/>
      <c r="I366" s="1172"/>
      <c r="J366" s="1172"/>
      <c r="K366" s="1172"/>
      <c r="L366" s="1172"/>
      <c r="M366" s="1172"/>
      <c r="N366" s="1172"/>
      <c r="O366" s="1172"/>
      <c r="P366" s="1172"/>
      <c r="Q366" s="1172"/>
      <c r="R366" s="1172"/>
      <c r="S366" s="1172"/>
      <c r="T366" s="1172"/>
      <c r="U366" s="1172"/>
      <c r="V366" s="1172"/>
      <c r="W366" s="1172"/>
      <c r="X366" s="1172"/>
      <c r="Y366" s="1172"/>
      <c r="Z366" s="1172"/>
    </row>
    <row r="367" spans="1:37">
      <c r="E367" s="1172"/>
      <c r="F367" s="1172"/>
      <c r="G367" s="1172"/>
      <c r="H367" s="1172"/>
      <c r="I367" s="1172"/>
      <c r="J367" s="1172"/>
      <c r="K367" s="1172"/>
      <c r="L367" s="1172"/>
      <c r="M367" s="1172"/>
      <c r="N367" s="1172"/>
      <c r="O367" s="1172"/>
      <c r="P367" s="1172"/>
      <c r="Q367" s="1172"/>
      <c r="R367" s="1172"/>
      <c r="S367" s="1172"/>
      <c r="T367" s="1172"/>
      <c r="U367" s="1172"/>
      <c r="V367" s="1172"/>
      <c r="W367" s="1172"/>
      <c r="X367" s="1172"/>
      <c r="Y367" s="1172"/>
      <c r="Z367" s="1172"/>
    </row>
    <row r="368" spans="1:37">
      <c r="E368" s="1172"/>
      <c r="F368" s="1172"/>
      <c r="G368" s="1172"/>
      <c r="H368" s="1172"/>
      <c r="I368" s="1172"/>
      <c r="J368" s="1172"/>
      <c r="K368" s="1172"/>
      <c r="L368" s="1172"/>
      <c r="M368" s="1172"/>
      <c r="N368" s="1172"/>
      <c r="O368" s="1172"/>
      <c r="P368" s="1172"/>
      <c r="Q368" s="1172"/>
      <c r="R368" s="1172"/>
      <c r="S368" s="1172"/>
      <c r="T368" s="1172"/>
      <c r="U368" s="1172"/>
      <c r="V368" s="1172"/>
      <c r="W368" s="1172"/>
      <c r="X368" s="1172"/>
      <c r="Y368" s="1172"/>
      <c r="Z368" s="1172"/>
    </row>
    <row r="369" spans="5:26">
      <c r="E369" s="1172"/>
      <c r="F369" s="1172"/>
      <c r="G369" s="1172"/>
      <c r="H369" s="1172"/>
      <c r="I369" s="1172"/>
      <c r="J369" s="1172"/>
      <c r="K369" s="1172"/>
      <c r="L369" s="1172"/>
      <c r="M369" s="1172"/>
      <c r="N369" s="1172"/>
      <c r="O369" s="1172"/>
      <c r="P369" s="1172"/>
      <c r="Q369" s="1172"/>
      <c r="R369" s="1172"/>
      <c r="S369" s="1172"/>
      <c r="T369" s="1172"/>
      <c r="U369" s="1172"/>
      <c r="V369" s="1172"/>
      <c r="W369" s="1172"/>
      <c r="X369" s="1172"/>
      <c r="Y369" s="1172"/>
      <c r="Z369" s="1172"/>
    </row>
    <row r="370" spans="5:26">
      <c r="E370" s="1172"/>
      <c r="F370" s="1172"/>
      <c r="G370" s="1172"/>
      <c r="H370" s="1172"/>
      <c r="I370" s="1172"/>
      <c r="J370" s="1172"/>
      <c r="K370" s="1172"/>
      <c r="L370" s="1172"/>
      <c r="M370" s="1172"/>
      <c r="N370" s="1172"/>
      <c r="O370" s="1172"/>
      <c r="P370" s="1172"/>
      <c r="Q370" s="1172"/>
      <c r="R370" s="1172"/>
      <c r="S370" s="1172"/>
      <c r="T370" s="1172"/>
      <c r="U370" s="1172"/>
      <c r="V370" s="1172"/>
      <c r="W370" s="1172"/>
      <c r="X370" s="1172"/>
      <c r="Y370" s="1172"/>
      <c r="Z370" s="1172"/>
    </row>
    <row r="371" spans="5:26">
      <c r="E371" s="1172"/>
      <c r="F371" s="1172"/>
      <c r="G371" s="1172"/>
      <c r="H371" s="1172"/>
      <c r="I371" s="1172"/>
      <c r="J371" s="1172"/>
      <c r="K371" s="1172"/>
      <c r="L371" s="1172"/>
      <c r="M371" s="1172"/>
      <c r="N371" s="1172"/>
      <c r="O371" s="1172"/>
      <c r="P371" s="1172"/>
      <c r="Q371" s="1172"/>
      <c r="R371" s="1172"/>
      <c r="S371" s="1172"/>
      <c r="T371" s="1172"/>
      <c r="U371" s="1172"/>
      <c r="V371" s="1172"/>
      <c r="W371" s="1172"/>
      <c r="X371" s="1172"/>
      <c r="Y371" s="1172"/>
      <c r="Z371" s="1172"/>
    </row>
    <row r="372" spans="5:26">
      <c r="E372" s="1172"/>
      <c r="F372" s="1172"/>
      <c r="G372" s="1172"/>
      <c r="H372" s="1172"/>
      <c r="I372" s="1172"/>
      <c r="J372" s="1172"/>
      <c r="K372" s="1172"/>
      <c r="L372" s="1172"/>
      <c r="M372" s="1172"/>
      <c r="N372" s="1172"/>
      <c r="O372" s="1172"/>
      <c r="P372" s="1172"/>
      <c r="Q372" s="1172"/>
      <c r="R372" s="1172"/>
      <c r="S372" s="1172"/>
      <c r="T372" s="1172"/>
      <c r="U372" s="1172"/>
      <c r="V372" s="1172"/>
      <c r="W372" s="1172"/>
      <c r="X372" s="1172"/>
      <c r="Y372" s="1172"/>
      <c r="Z372" s="1172"/>
    </row>
    <row r="373" spans="5:26">
      <c r="E373" s="1172"/>
      <c r="F373" s="1172"/>
      <c r="G373" s="1172"/>
      <c r="H373" s="1172"/>
      <c r="I373" s="1172"/>
      <c r="J373" s="1172"/>
      <c r="K373" s="1172"/>
      <c r="L373" s="1172"/>
      <c r="M373" s="1172"/>
      <c r="N373" s="1172"/>
      <c r="O373" s="1172"/>
      <c r="P373" s="1172"/>
      <c r="Q373" s="1172"/>
      <c r="R373" s="1172"/>
      <c r="S373" s="1172"/>
      <c r="T373" s="1172"/>
      <c r="U373" s="1172"/>
      <c r="V373" s="1172"/>
      <c r="W373" s="1172"/>
      <c r="X373" s="1172"/>
      <c r="Y373" s="1172"/>
      <c r="Z373" s="1172"/>
    </row>
    <row r="374" spans="5:26">
      <c r="E374" s="1172"/>
      <c r="F374" s="1172"/>
      <c r="G374" s="1172"/>
      <c r="H374" s="1172"/>
      <c r="I374" s="1172"/>
      <c r="J374" s="1172"/>
      <c r="K374" s="1172"/>
      <c r="L374" s="1172"/>
      <c r="M374" s="1172"/>
      <c r="N374" s="1172"/>
      <c r="O374" s="1172"/>
      <c r="P374" s="1172"/>
      <c r="Q374" s="1172"/>
      <c r="R374" s="1172"/>
      <c r="S374" s="1172"/>
      <c r="T374" s="1172"/>
      <c r="U374" s="1172"/>
      <c r="V374" s="1172"/>
      <c r="W374" s="1172"/>
      <c r="X374" s="1172"/>
      <c r="Y374" s="1172"/>
      <c r="Z374" s="1172"/>
    </row>
    <row r="375" spans="5:26">
      <c r="E375" s="1172"/>
      <c r="F375" s="1172"/>
      <c r="G375" s="1172"/>
      <c r="H375" s="1172"/>
      <c r="I375" s="1172"/>
      <c r="J375" s="1172"/>
      <c r="K375" s="1172"/>
      <c r="L375" s="1172"/>
      <c r="M375" s="1172"/>
      <c r="N375" s="1172"/>
      <c r="O375" s="1172"/>
      <c r="P375" s="1172"/>
      <c r="Q375" s="1172"/>
      <c r="R375" s="1172"/>
      <c r="S375" s="1172"/>
      <c r="T375" s="1172"/>
      <c r="U375" s="1172"/>
      <c r="V375" s="1172"/>
      <c r="W375" s="1172"/>
      <c r="X375" s="1172"/>
      <c r="Y375" s="1172"/>
      <c r="Z375" s="1172"/>
    </row>
    <row r="376" spans="5:26">
      <c r="E376" s="1172"/>
      <c r="F376" s="1172"/>
      <c r="G376" s="1172"/>
      <c r="H376" s="1172"/>
      <c r="I376" s="1172"/>
      <c r="J376" s="1172"/>
      <c r="K376" s="1172"/>
      <c r="L376" s="1172"/>
      <c r="M376" s="1172"/>
      <c r="N376" s="1172"/>
      <c r="O376" s="1172"/>
      <c r="P376" s="1172"/>
      <c r="Q376" s="1172"/>
      <c r="R376" s="1172"/>
      <c r="S376" s="1172"/>
      <c r="T376" s="1172"/>
      <c r="U376" s="1172"/>
      <c r="V376" s="1172"/>
      <c r="W376" s="1172"/>
      <c r="X376" s="1172"/>
      <c r="Y376" s="1172"/>
      <c r="Z376" s="1172"/>
    </row>
    <row r="377" spans="5:26">
      <c r="E377" s="1172"/>
      <c r="F377" s="1172"/>
      <c r="G377" s="1172"/>
      <c r="H377" s="1172"/>
      <c r="I377" s="1172"/>
      <c r="J377" s="1172"/>
      <c r="K377" s="1172"/>
      <c r="L377" s="1172"/>
      <c r="M377" s="1172"/>
      <c r="N377" s="1172"/>
      <c r="O377" s="1172"/>
      <c r="P377" s="1172"/>
      <c r="Q377" s="1172"/>
      <c r="R377" s="1172"/>
      <c r="S377" s="1172"/>
      <c r="T377" s="1172"/>
      <c r="U377" s="1172"/>
      <c r="V377" s="1172"/>
      <c r="W377" s="1172"/>
      <c r="X377" s="1172"/>
      <c r="Y377" s="1172"/>
      <c r="Z377" s="1172"/>
    </row>
    <row r="378" spans="5:26">
      <c r="E378" s="1172"/>
      <c r="F378" s="1172"/>
      <c r="G378" s="1172"/>
      <c r="H378" s="1172"/>
      <c r="I378" s="1172"/>
      <c r="J378" s="1172"/>
      <c r="K378" s="1172"/>
      <c r="L378" s="1172"/>
      <c r="M378" s="1172"/>
      <c r="N378" s="1172"/>
      <c r="O378" s="1172"/>
      <c r="P378" s="1172"/>
      <c r="Q378" s="1172"/>
      <c r="R378" s="1172"/>
      <c r="S378" s="1172"/>
      <c r="T378" s="1172"/>
      <c r="U378" s="1172"/>
      <c r="V378" s="1172"/>
      <c r="W378" s="1172"/>
      <c r="X378" s="1172"/>
      <c r="Y378" s="1172"/>
      <c r="Z378" s="1172"/>
    </row>
    <row r="379" spans="5:26">
      <c r="E379" s="1172"/>
      <c r="F379" s="1172"/>
      <c r="G379" s="1172"/>
      <c r="H379" s="1172"/>
      <c r="I379" s="1172"/>
      <c r="J379" s="1172"/>
      <c r="K379" s="1172"/>
      <c r="L379" s="1172"/>
      <c r="M379" s="1172"/>
      <c r="N379" s="1172"/>
      <c r="O379" s="1172"/>
      <c r="P379" s="1172"/>
      <c r="Q379" s="1172"/>
      <c r="R379" s="1172"/>
      <c r="S379" s="1172"/>
      <c r="T379" s="1172"/>
      <c r="U379" s="1172"/>
      <c r="V379" s="1172"/>
      <c r="W379" s="1172"/>
      <c r="X379" s="1172"/>
      <c r="Y379" s="1172"/>
      <c r="Z379" s="1172"/>
    </row>
    <row r="380" spans="5:26">
      <c r="E380" s="1172"/>
      <c r="F380" s="1172"/>
      <c r="G380" s="1172"/>
      <c r="H380" s="1172"/>
      <c r="I380" s="1172"/>
      <c r="J380" s="1172"/>
      <c r="K380" s="1172"/>
      <c r="L380" s="1172"/>
      <c r="M380" s="1172"/>
      <c r="N380" s="1172"/>
      <c r="O380" s="1172"/>
      <c r="P380" s="1172"/>
      <c r="Q380" s="1172"/>
      <c r="R380" s="1172"/>
      <c r="S380" s="1172"/>
      <c r="T380" s="1172"/>
      <c r="U380" s="1172"/>
      <c r="V380" s="1172"/>
      <c r="W380" s="1172"/>
      <c r="X380" s="1172"/>
      <c r="Y380" s="1172"/>
      <c r="Z380" s="1172"/>
    </row>
    <row r="381" spans="5:26">
      <c r="E381" s="1172"/>
      <c r="F381" s="1172"/>
      <c r="G381" s="1172"/>
      <c r="H381" s="1172"/>
      <c r="I381" s="1172"/>
      <c r="J381" s="1172"/>
      <c r="K381" s="1172"/>
      <c r="L381" s="1172"/>
      <c r="M381" s="1172"/>
      <c r="N381" s="1172"/>
      <c r="O381" s="1172"/>
      <c r="P381" s="1172"/>
      <c r="Q381" s="1172"/>
      <c r="R381" s="1172"/>
      <c r="S381" s="1172"/>
      <c r="T381" s="1172"/>
      <c r="U381" s="1172"/>
      <c r="V381" s="1172"/>
      <c r="W381" s="1172"/>
      <c r="X381" s="1172"/>
      <c r="Y381" s="1172"/>
      <c r="Z381" s="1172"/>
    </row>
    <row r="382" spans="5:26">
      <c r="E382" s="1172"/>
      <c r="F382" s="1172"/>
      <c r="G382" s="1172"/>
      <c r="H382" s="1172"/>
      <c r="I382" s="1172"/>
      <c r="J382" s="1172"/>
      <c r="K382" s="1172"/>
      <c r="L382" s="1172"/>
      <c r="M382" s="1172"/>
      <c r="N382" s="1172"/>
      <c r="O382" s="1172"/>
      <c r="P382" s="1172"/>
      <c r="Q382" s="1172"/>
      <c r="R382" s="1172"/>
      <c r="S382" s="1172"/>
      <c r="T382" s="1172"/>
      <c r="U382" s="1172"/>
      <c r="V382" s="1172"/>
      <c r="W382" s="1172"/>
      <c r="X382" s="1172"/>
      <c r="Y382" s="1172"/>
      <c r="Z382" s="1172"/>
    </row>
    <row r="383" spans="5:26">
      <c r="E383" s="1172"/>
      <c r="F383" s="1172"/>
      <c r="G383" s="1172"/>
      <c r="H383" s="1172"/>
      <c r="I383" s="1172"/>
      <c r="J383" s="1172"/>
      <c r="K383" s="1172"/>
      <c r="L383" s="1172"/>
      <c r="M383" s="1172"/>
      <c r="N383" s="1172"/>
      <c r="O383" s="1172"/>
      <c r="P383" s="1172"/>
      <c r="Q383" s="1172"/>
      <c r="R383" s="1172"/>
      <c r="S383" s="1172"/>
      <c r="T383" s="1172"/>
      <c r="U383" s="1172"/>
      <c r="V383" s="1172"/>
      <c r="W383" s="1172"/>
      <c r="X383" s="1172"/>
      <c r="Y383" s="1172"/>
      <c r="Z383" s="1172"/>
    </row>
    <row r="384" spans="5:26">
      <c r="E384" s="1172"/>
      <c r="F384" s="1172"/>
      <c r="G384" s="1172"/>
      <c r="H384" s="1172"/>
      <c r="I384" s="1172"/>
      <c r="J384" s="1172"/>
      <c r="K384" s="1172"/>
      <c r="L384" s="1172"/>
      <c r="M384" s="1172"/>
      <c r="N384" s="1172"/>
      <c r="O384" s="1172"/>
      <c r="P384" s="1172"/>
      <c r="Q384" s="1172"/>
      <c r="R384" s="1172"/>
      <c r="S384" s="1172"/>
      <c r="T384" s="1172"/>
      <c r="U384" s="1172"/>
      <c r="V384" s="1172"/>
      <c r="W384" s="1172"/>
      <c r="X384" s="1172"/>
      <c r="Y384" s="1172"/>
      <c r="Z384" s="1172"/>
    </row>
    <row r="385" spans="5:26">
      <c r="E385" s="1172"/>
      <c r="F385" s="1172"/>
      <c r="G385" s="1172"/>
      <c r="H385" s="1172"/>
      <c r="I385" s="1172"/>
      <c r="J385" s="1172"/>
      <c r="K385" s="1172"/>
      <c r="L385" s="1172"/>
      <c r="M385" s="1172"/>
      <c r="N385" s="1172"/>
      <c r="O385" s="1172"/>
      <c r="P385" s="1172"/>
      <c r="Q385" s="1172"/>
      <c r="R385" s="1172"/>
      <c r="S385" s="1172"/>
      <c r="T385" s="1172"/>
      <c r="U385" s="1172"/>
      <c r="V385" s="1172"/>
      <c r="W385" s="1172"/>
      <c r="X385" s="1172"/>
      <c r="Y385" s="1172"/>
      <c r="Z385" s="1172"/>
    </row>
    <row r="386" spans="5:26">
      <c r="E386" s="1172"/>
      <c r="F386" s="1172"/>
      <c r="G386" s="1172"/>
      <c r="H386" s="1172"/>
      <c r="I386" s="1172"/>
      <c r="J386" s="1172"/>
      <c r="K386" s="1172"/>
      <c r="L386" s="1172"/>
      <c r="M386" s="1172"/>
      <c r="N386" s="1172"/>
      <c r="O386" s="1172"/>
      <c r="P386" s="1172"/>
      <c r="Q386" s="1172"/>
      <c r="R386" s="1172"/>
      <c r="S386" s="1172"/>
      <c r="T386" s="1172"/>
      <c r="U386" s="1172"/>
      <c r="V386" s="1172"/>
      <c r="W386" s="1172"/>
      <c r="X386" s="1172"/>
      <c r="Y386" s="1172"/>
      <c r="Z386" s="1172"/>
    </row>
    <row r="387" spans="5:26">
      <c r="E387" s="1172"/>
      <c r="F387" s="1172"/>
      <c r="G387" s="1172"/>
      <c r="H387" s="1172"/>
      <c r="I387" s="1172"/>
      <c r="J387" s="1172"/>
      <c r="K387" s="1172"/>
      <c r="L387" s="1172"/>
      <c r="M387" s="1172"/>
      <c r="N387" s="1172"/>
      <c r="O387" s="1172"/>
      <c r="P387" s="1172"/>
      <c r="Q387" s="1172"/>
      <c r="R387" s="1172"/>
      <c r="S387" s="1172"/>
      <c r="T387" s="1172"/>
      <c r="U387" s="1172"/>
      <c r="V387" s="1172"/>
      <c r="W387" s="1172"/>
      <c r="X387" s="1172"/>
      <c r="Y387" s="1172"/>
      <c r="Z387" s="1172"/>
    </row>
  </sheetData>
  <mergeCells count="65">
    <mergeCell ref="G285:K285"/>
    <mergeCell ref="L285:N285"/>
    <mergeCell ref="O285:V285"/>
    <mergeCell ref="L353:P353"/>
    <mergeCell ref="W211:W220"/>
    <mergeCell ref="W221:W230"/>
    <mergeCell ref="W231:W240"/>
    <mergeCell ref="W241:W250"/>
    <mergeCell ref="AA16:AE16"/>
    <mergeCell ref="AF16:AH16"/>
    <mergeCell ref="AA17:AH17"/>
    <mergeCell ref="AA18:AH18"/>
    <mergeCell ref="Q16:Q17"/>
    <mergeCell ref="R16:V16"/>
    <mergeCell ref="W16:W18"/>
    <mergeCell ref="R17:V17"/>
    <mergeCell ref="R18:V18"/>
    <mergeCell ref="O18:P18"/>
    <mergeCell ref="G17:N17"/>
    <mergeCell ref="G18:N18"/>
    <mergeCell ref="W279:W284"/>
    <mergeCell ref="G289:P289"/>
    <mergeCell ref="W21:W30"/>
    <mergeCell ref="W31:W40"/>
    <mergeCell ref="W271:W277"/>
    <mergeCell ref="W41:W50"/>
    <mergeCell ref="W51:W60"/>
    <mergeCell ref="W61:W70"/>
    <mergeCell ref="W71:W80"/>
    <mergeCell ref="W81:W90"/>
    <mergeCell ref="W91:W100"/>
    <mergeCell ref="W101:W110"/>
    <mergeCell ref="W111:W120"/>
    <mergeCell ref="E20:F20"/>
    <mergeCell ref="E347:E352"/>
    <mergeCell ref="E279:E284"/>
    <mergeCell ref="W131:W140"/>
    <mergeCell ref="W141:W150"/>
    <mergeCell ref="E319:F319"/>
    <mergeCell ref="E292:F292"/>
    <mergeCell ref="W121:W130"/>
    <mergeCell ref="W251:W260"/>
    <mergeCell ref="W261:W270"/>
    <mergeCell ref="W151:W160"/>
    <mergeCell ref="W161:W170"/>
    <mergeCell ref="W171:W180"/>
    <mergeCell ref="W181:W190"/>
    <mergeCell ref="W191:W200"/>
    <mergeCell ref="W201:W210"/>
    <mergeCell ref="E353:F353"/>
    <mergeCell ref="E285:F285"/>
    <mergeCell ref="E7:L7"/>
    <mergeCell ref="E288:E291"/>
    <mergeCell ref="G288:K288"/>
    <mergeCell ref="L288:P288"/>
    <mergeCell ref="G290:P290"/>
    <mergeCell ref="E8:L8"/>
    <mergeCell ref="E9:L9"/>
    <mergeCell ref="E10:L10"/>
    <mergeCell ref="E11:L11"/>
    <mergeCell ref="G16:K16"/>
    <mergeCell ref="L16:P16"/>
    <mergeCell ref="O17:P17"/>
    <mergeCell ref="E313:E318"/>
    <mergeCell ref="E340:E345"/>
  </mergeCells>
  <pageMargins left="0.7" right="0.7" top="0.75" bottom="0.75" header="0.3" footer="0.3"/>
  <pageSetup paperSize="9" orientation="portrait" r:id="rId1"/>
  <customProperties>
    <customPr name="_pios_id" r:id="rId2"/>
  </customPropertie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autoPageBreaks="0"/>
  </sheetPr>
  <dimension ref="A1:AE1211"/>
  <sheetViews>
    <sheetView showGridLines="0" topLeftCell="A877" zoomScale="60" zoomScaleNormal="60" workbookViewId="0">
      <selection activeCell="N189" sqref="N189:R198"/>
    </sheetView>
  </sheetViews>
  <sheetFormatPr defaultColWidth="9.140625" defaultRowHeight="12.75" outlineLevelRow="2"/>
  <cols>
    <col min="1" max="1" width="16.28515625" style="77" customWidth="1"/>
    <col min="2" max="2" width="35.7109375" style="76" customWidth="1"/>
    <col min="3" max="3" width="41.85546875" style="76" customWidth="1"/>
    <col min="4" max="9" width="15.7109375" style="77" customWidth="1"/>
    <col min="10" max="10" width="15.7109375" style="474" customWidth="1"/>
    <col min="11" max="18" width="15.7109375" style="77" customWidth="1"/>
    <col min="19" max="21" width="15.7109375" customWidth="1"/>
    <col min="22" max="29" width="15.7109375" style="474" customWidth="1"/>
    <col min="30" max="16384" width="9.140625" style="77"/>
  </cols>
  <sheetData>
    <row r="1" spans="1:30" s="177" customFormat="1" ht="24" customHeight="1">
      <c r="B1" s="2522" t="str">
        <f>IF(dms_DataQuality="backcast",INDEX(dms_Worksheet_List,MATCH(dms_Model,dms_Model_List))&amp;" BACKCAST",INDEX(dms_Worksheet_List,MATCH(dms_Model,dms_Model_List)))</f>
        <v>REGULATORY REPORTING STATEMENT</v>
      </c>
      <c r="C1" s="178"/>
      <c r="D1" s="491"/>
      <c r="E1" s="491"/>
      <c r="F1" s="179"/>
      <c r="G1" s="179"/>
      <c r="H1" s="179"/>
      <c r="I1" s="179"/>
      <c r="J1" s="179"/>
      <c r="K1" s="179"/>
      <c r="L1" s="179"/>
      <c r="M1" s="179"/>
      <c r="N1" s="179"/>
      <c r="O1" s="179"/>
      <c r="P1" s="179"/>
      <c r="Q1" s="179"/>
      <c r="R1" s="179"/>
      <c r="S1" s="179"/>
      <c r="T1" s="179"/>
      <c r="U1" s="179"/>
      <c r="V1" s="179"/>
      <c r="W1" s="491"/>
      <c r="X1" s="179"/>
      <c r="Y1" s="179"/>
      <c r="Z1" s="179"/>
      <c r="AA1" s="179"/>
      <c r="AB1" s="179"/>
      <c r="AC1" s="179"/>
      <c r="AD1" s="65"/>
    </row>
    <row r="2" spans="1:30" s="177" customFormat="1" ht="24" customHeight="1">
      <c r="B2" s="2526" t="str">
        <f>INDEX(dms_TradingNameFull_List,MATCH(dms_TradingName,dms_TradingName_List))</f>
        <v>AusNet Gas Services</v>
      </c>
      <c r="C2" s="1173"/>
      <c r="D2" s="180"/>
      <c r="E2" s="180"/>
      <c r="F2" s="179"/>
      <c r="G2" s="179"/>
      <c r="H2" s="179"/>
      <c r="I2" s="179"/>
      <c r="J2" s="179"/>
      <c r="K2" s="179"/>
      <c r="L2" s="179"/>
      <c r="M2" s="179"/>
      <c r="N2" s="179"/>
      <c r="O2" s="179"/>
      <c r="P2" s="179"/>
      <c r="Q2" s="179"/>
      <c r="R2" s="179"/>
      <c r="S2" s="179"/>
      <c r="T2" s="179"/>
      <c r="U2" s="179"/>
      <c r="V2" s="179"/>
      <c r="W2" s="1173"/>
      <c r="X2" s="179"/>
      <c r="Y2" s="179"/>
      <c r="Z2" s="179"/>
      <c r="AA2" s="179"/>
      <c r="AB2" s="179"/>
      <c r="AC2" s="179"/>
      <c r="AD2" s="65"/>
    </row>
    <row r="3" spans="1:30" s="177" customFormat="1" ht="24" customHeight="1">
      <c r="B3" s="2526" t="str">
        <f ca="1">IF(SUM(dms_SingleYear_Model)&gt;0,CRY,CONCATENATE(FRCP_y1," to ",dms_MultiYear_FinalYear_Result))</f>
        <v>2018 to 2022</v>
      </c>
      <c r="C3" s="1171"/>
      <c r="D3" s="181"/>
      <c r="E3" s="181"/>
      <c r="F3" s="182" t="str">
        <f>CONCATENATE(LEFT(FRCP_y1,4),"-",LEFT(FRCP_y5,2),RIGHT(FRCP_y5,2))</f>
        <v>2018-2022</v>
      </c>
      <c r="G3" s="181"/>
      <c r="H3" s="181"/>
      <c r="I3" s="181"/>
      <c r="J3" s="181"/>
      <c r="K3" s="181"/>
      <c r="L3" s="181"/>
      <c r="M3" s="181"/>
      <c r="N3" s="181"/>
      <c r="O3" s="181"/>
      <c r="P3" s="181"/>
      <c r="Q3" s="181"/>
      <c r="R3" s="181"/>
      <c r="S3" s="1171"/>
      <c r="T3" s="1171"/>
      <c r="U3" s="1171"/>
      <c r="V3" s="1171"/>
      <c r="W3" s="1171"/>
      <c r="X3" s="182"/>
      <c r="Y3" s="1171"/>
      <c r="Z3" s="1171"/>
      <c r="AA3" s="1171"/>
      <c r="AB3" s="1171"/>
      <c r="AC3" s="1171"/>
      <c r="AD3" s="65"/>
    </row>
    <row r="4" spans="1:30" s="159" customFormat="1" ht="24" customHeight="1">
      <c r="B4" s="10" t="s">
        <v>437</v>
      </c>
      <c r="C4" s="10"/>
      <c r="D4" s="12"/>
      <c r="E4" s="12"/>
      <c r="F4" s="12"/>
      <c r="G4" s="12"/>
      <c r="H4" s="12"/>
      <c r="I4" s="12"/>
      <c r="J4" s="12"/>
      <c r="K4" s="12"/>
      <c r="L4" s="12"/>
      <c r="M4" s="12"/>
      <c r="N4" s="12"/>
      <c r="O4" s="12"/>
      <c r="P4" s="12"/>
      <c r="Q4" s="12"/>
      <c r="R4" s="12"/>
      <c r="S4" s="12"/>
      <c r="T4" s="12"/>
      <c r="U4" s="12"/>
      <c r="V4" s="12"/>
      <c r="W4" s="12"/>
      <c r="X4" s="12"/>
      <c r="Y4" s="12"/>
      <c r="Z4" s="12"/>
      <c r="AA4" s="12"/>
      <c r="AB4" s="12"/>
      <c r="AC4" s="12"/>
    </row>
    <row r="5" spans="1:30" customFormat="1" ht="12.75" customHeight="1"/>
    <row r="6" spans="1:30" customFormat="1"/>
    <row r="7" spans="1:30" ht="14.25">
      <c r="A7" s="262"/>
      <c r="B7" s="4259" t="s">
        <v>59</v>
      </c>
      <c r="C7" s="4259"/>
      <c r="D7" s="4259"/>
      <c r="E7" s="4259"/>
      <c r="F7" s="4259"/>
      <c r="G7"/>
      <c r="H7"/>
      <c r="I7" s="262"/>
      <c r="J7" s="262"/>
      <c r="K7" s="242"/>
      <c r="L7" s="242"/>
      <c r="M7" s="242"/>
      <c r="N7" s="242"/>
      <c r="O7" s="242"/>
      <c r="P7" s="242"/>
      <c r="Q7" s="262"/>
      <c r="R7" s="262"/>
      <c r="V7"/>
      <c r="W7"/>
      <c r="X7"/>
      <c r="Y7" s="1172"/>
      <c r="Z7" s="1172"/>
      <c r="AA7" s="262"/>
      <c r="AB7" s="262"/>
      <c r="AC7" s="1174"/>
    </row>
    <row r="8" spans="1:30" ht="21" customHeight="1">
      <c r="A8" s="262"/>
      <c r="B8" s="4259" t="s">
        <v>169</v>
      </c>
      <c r="C8" s="4259"/>
      <c r="D8" s="4259"/>
      <c r="E8" s="4259"/>
      <c r="F8" s="4259"/>
      <c r="G8"/>
      <c r="H8"/>
      <c r="I8" s="262"/>
      <c r="J8" s="262"/>
      <c r="K8" s="242"/>
      <c r="L8" s="242"/>
      <c r="M8" s="242"/>
      <c r="N8" s="242"/>
      <c r="O8" s="242"/>
      <c r="P8" s="242"/>
      <c r="Q8" s="262"/>
      <c r="R8" s="262"/>
      <c r="V8"/>
      <c r="W8"/>
      <c r="X8"/>
      <c r="Y8" s="1172"/>
      <c r="Z8" s="1172"/>
      <c r="AA8" s="262"/>
      <c r="AB8" s="262"/>
      <c r="AC8" s="1174"/>
    </row>
    <row r="9" spans="1:30" ht="48" customHeight="1">
      <c r="A9" s="262"/>
      <c r="B9" s="4259" t="s">
        <v>438</v>
      </c>
      <c r="C9" s="4259"/>
      <c r="D9" s="4259"/>
      <c r="E9" s="4259"/>
      <c r="F9" s="4259"/>
      <c r="G9"/>
      <c r="H9"/>
      <c r="I9" s="262"/>
      <c r="J9" s="262"/>
      <c r="K9" s="242"/>
      <c r="L9" s="242"/>
      <c r="M9" s="242"/>
      <c r="N9" s="242"/>
      <c r="O9" s="242"/>
      <c r="P9" s="242"/>
      <c r="Q9" s="262"/>
      <c r="R9" s="262"/>
      <c r="V9"/>
      <c r="W9"/>
      <c r="X9"/>
      <c r="Y9" s="1172"/>
      <c r="Z9" s="1172"/>
      <c r="AA9" s="262"/>
      <c r="AB9" s="262"/>
      <c r="AC9" s="1174"/>
    </row>
    <row r="10" spans="1:30" s="142" customFormat="1" ht="38.25" customHeight="1">
      <c r="A10" s="549"/>
      <c r="B10" s="4259" t="s">
        <v>439</v>
      </c>
      <c r="C10" s="4259"/>
      <c r="D10" s="4259"/>
      <c r="E10" s="4259"/>
      <c r="F10" s="4259"/>
      <c r="G10"/>
      <c r="H10"/>
      <c r="I10" s="549"/>
      <c r="J10" s="549"/>
      <c r="K10" s="242"/>
      <c r="L10" s="242"/>
      <c r="M10" s="242"/>
      <c r="N10" s="242"/>
      <c r="O10" s="242"/>
      <c r="P10" s="242"/>
      <c r="Q10" s="549"/>
      <c r="R10" s="549"/>
      <c r="S10"/>
      <c r="T10"/>
      <c r="U10"/>
      <c r="V10"/>
      <c r="W10"/>
      <c r="X10"/>
      <c r="Y10" s="1172"/>
      <c r="Z10" s="1172"/>
      <c r="AA10" s="549"/>
      <c r="AB10" s="549"/>
      <c r="AC10" s="1174"/>
    </row>
    <row r="11" spans="1:30" ht="33.75" customHeight="1">
      <c r="A11" s="262"/>
      <c r="B11" s="4259" t="s">
        <v>600</v>
      </c>
      <c r="C11" s="4259"/>
      <c r="D11" s="4259"/>
      <c r="E11" s="4259"/>
      <c r="F11" s="4259"/>
      <c r="G11"/>
      <c r="H11"/>
      <c r="I11" s="262"/>
      <c r="J11" s="262"/>
      <c r="K11" s="262"/>
      <c r="L11" s="262"/>
      <c r="M11" s="262"/>
      <c r="N11" s="262"/>
      <c r="O11" s="262"/>
      <c r="P11" s="262"/>
      <c r="Q11" s="262"/>
      <c r="R11" s="262"/>
      <c r="V11"/>
      <c r="W11"/>
      <c r="X11"/>
      <c r="Y11" s="1172"/>
      <c r="Z11" s="1172"/>
      <c r="AA11" s="262"/>
      <c r="AB11" s="262"/>
      <c r="AC11" s="262"/>
    </row>
    <row r="12" spans="1:30" ht="51" customHeight="1">
      <c r="A12" s="262"/>
      <c r="B12" s="4259" t="str">
        <f>CONCATENATE("As set out in cl.6.1 of the ", dms_TradingName, " RIN, for tables 8.2 to 8.8, where the requested data is captured in the ", dms_TradingName, " capex model it is not required to be reentered in the RIN template tables.  If the requested data has not been provided in the ",dms_TradingName," RIN please enter into the tables. This may require the insertion of new lines in each table.")</f>
        <v>As set out in cl.6.1 of the AusNet (Gas) RIN, for tables 8.2 to 8.8, where the requested data is captured in the AusNet (Gas) capex model it is not required to be reentered in the RIN template tables.  If the requested data has not been provided in the AusNet (Gas) RIN please enter into the tables. This may require the insertion of new lines in each table.</v>
      </c>
      <c r="C12" s="4259"/>
      <c r="D12" s="4259"/>
      <c r="E12" s="4259"/>
      <c r="F12" s="4259"/>
      <c r="G12"/>
      <c r="H12"/>
      <c r="I12" s="262"/>
      <c r="J12" s="262"/>
      <c r="K12" s="262"/>
      <c r="L12" s="262"/>
      <c r="M12" s="262"/>
      <c r="N12" s="262"/>
      <c r="O12" s="262"/>
      <c r="P12" s="262"/>
      <c r="Q12" s="262"/>
      <c r="R12" s="262"/>
      <c r="V12"/>
      <c r="W12"/>
      <c r="X12"/>
      <c r="Y12" s="1172"/>
      <c r="Z12" s="1172"/>
      <c r="AA12" s="262"/>
      <c r="AB12" s="262"/>
      <c r="AC12" s="262"/>
    </row>
    <row r="13" spans="1:30" ht="51" customHeight="1">
      <c r="A13" s="262"/>
      <c r="B13" s="4259" t="s">
        <v>152</v>
      </c>
      <c r="C13" s="4259"/>
      <c r="D13" s="4259"/>
      <c r="E13" s="4259"/>
      <c r="F13" s="4259"/>
      <c r="G13"/>
      <c r="H13"/>
      <c r="I13" s="262"/>
      <c r="J13" s="262"/>
      <c r="K13" s="262"/>
      <c r="L13" s="262"/>
      <c r="M13" s="262"/>
      <c r="N13" s="262"/>
      <c r="O13" s="262"/>
      <c r="P13" s="262"/>
      <c r="Q13" s="262"/>
      <c r="R13" s="262"/>
      <c r="V13"/>
      <c r="W13"/>
      <c r="X13"/>
      <c r="Y13" s="1172"/>
      <c r="Z13" s="1172"/>
      <c r="AA13" s="262"/>
      <c r="AB13" s="262"/>
      <c r="AC13" s="262"/>
    </row>
    <row r="14" spans="1:30" ht="51.75" customHeight="1">
      <c r="A14" s="262"/>
      <c r="B14" s="4259" t="str">
        <f>CONCATENATE("Subject to cl.6.1 of the ", dms_TradingName, " RIN, where linked/adjustable overhead expenditure and related party margin expenditure is not provided in the ", dms_TradingName, " capex model, overhead expenditure and related party margin expenditure should be linked to allocations derived in tabs '14. Overheads' and '15. Related party transactions'.")</f>
        <v>Subject to cl.6.1 of the AusNet (Gas) RIN, where linked/adjustable overhead expenditure and related party margin expenditure is not provided in the AusNet (Gas) capex model, overhead expenditure and related party margin expenditure should be linked to allocations derived in tabs '14. Overheads' and '15. Related party transactions'.</v>
      </c>
      <c r="C14" s="4259"/>
      <c r="D14" s="4259"/>
      <c r="E14" s="4259"/>
      <c r="F14" s="4259"/>
      <c r="G14"/>
      <c r="H14"/>
      <c r="I14" s="262"/>
      <c r="J14" s="262"/>
      <c r="K14" s="262"/>
      <c r="L14" s="262"/>
      <c r="M14" s="262"/>
      <c r="N14" s="262"/>
      <c r="O14" s="262"/>
      <c r="P14" s="262"/>
      <c r="Q14" s="262"/>
      <c r="R14" s="262"/>
      <c r="V14"/>
      <c r="W14"/>
      <c r="X14"/>
      <c r="Y14" s="1172"/>
      <c r="Z14" s="1172"/>
      <c r="AA14" s="262"/>
      <c r="AB14" s="262"/>
      <c r="AC14" s="262"/>
    </row>
    <row r="15" spans="1:30" ht="42.75" customHeight="1">
      <c r="A15" s="262"/>
      <c r="B15" s="4259" t="s">
        <v>153</v>
      </c>
      <c r="C15" s="4259"/>
      <c r="D15" s="4259"/>
      <c r="E15" s="4259"/>
      <c r="F15" s="4259"/>
      <c r="G15"/>
      <c r="H15"/>
      <c r="I15" s="262"/>
      <c r="J15" s="262"/>
      <c r="K15" s="262"/>
      <c r="L15" s="262"/>
      <c r="M15" s="262"/>
      <c r="N15" s="262"/>
      <c r="O15" s="262"/>
      <c r="P15" s="262"/>
      <c r="Q15" s="262"/>
      <c r="R15" s="262"/>
      <c r="V15"/>
      <c r="W15"/>
      <c r="X15"/>
      <c r="Y15" s="1172"/>
      <c r="Z15" s="1172"/>
      <c r="AA15" s="262"/>
      <c r="AB15" s="262"/>
      <c r="AC15" s="262"/>
    </row>
    <row r="16" spans="1:30" s="78" customFormat="1" ht="23.25" customHeight="1">
      <c r="A16" s="262"/>
      <c r="B16" s="79"/>
      <c r="C16" s="79"/>
      <c r="D16" s="262"/>
      <c r="E16" s="262"/>
      <c r="F16" s="262"/>
      <c r="G16" s="262"/>
      <c r="H16" s="262"/>
      <c r="I16" s="262"/>
      <c r="J16" s="262"/>
      <c r="K16" s="262"/>
      <c r="L16" s="262"/>
      <c r="M16" s="262"/>
      <c r="N16" s="262"/>
      <c r="O16" s="262"/>
      <c r="P16" s="262"/>
      <c r="Q16" s="262"/>
      <c r="R16" s="262"/>
      <c r="S16"/>
      <c r="T16"/>
      <c r="U16"/>
      <c r="V16" s="262"/>
      <c r="W16" s="262"/>
      <c r="X16" s="262"/>
      <c r="Y16" s="262"/>
      <c r="Z16" s="262"/>
      <c r="AA16" s="262"/>
      <c r="AB16" s="262"/>
      <c r="AC16" s="262"/>
    </row>
    <row r="17" spans="1:29" s="78" customFormat="1" ht="45" customHeight="1" thickBot="1">
      <c r="A17" s="262"/>
      <c r="B17" s="80"/>
      <c r="C17" s="185"/>
      <c r="D17" s="489"/>
      <c r="E17" s="489"/>
      <c r="F17" s="489"/>
      <c r="G17" s="489"/>
      <c r="H17" s="489"/>
      <c r="I17" s="489"/>
      <c r="J17" s="489"/>
      <c r="K17" s="489"/>
      <c r="L17" s="489"/>
      <c r="M17" s="489"/>
      <c r="N17" s="489"/>
      <c r="O17" s="262"/>
      <c r="P17" s="262"/>
      <c r="Q17" s="262"/>
      <c r="R17" s="262"/>
      <c r="S17"/>
      <c r="T17"/>
      <c r="U17"/>
      <c r="V17" s="489"/>
      <c r="W17" s="489"/>
      <c r="X17" s="489"/>
      <c r="Y17" s="489"/>
      <c r="Z17" s="489"/>
      <c r="AA17" s="489"/>
      <c r="AB17" s="489"/>
      <c r="AC17" s="489"/>
    </row>
    <row r="18" spans="1:29" s="183" customFormat="1" ht="24.75" customHeight="1" thickBot="1">
      <c r="A18" s="262"/>
      <c r="B18" s="735" t="s">
        <v>485</v>
      </c>
      <c r="C18" s="735"/>
      <c r="D18" s="815"/>
      <c r="E18" s="815"/>
      <c r="F18" s="815"/>
      <c r="G18" s="815"/>
      <c r="H18" s="815"/>
      <c r="I18" s="815"/>
      <c r="J18" s="815"/>
      <c r="K18" s="815"/>
      <c r="L18" s="815"/>
      <c r="M18" s="815"/>
      <c r="N18" s="815"/>
      <c r="O18" s="815"/>
      <c r="P18" s="815"/>
      <c r="Q18" s="815"/>
      <c r="R18" s="815"/>
      <c r="S18" s="1172"/>
      <c r="T18" s="1172"/>
      <c r="U18" s="1172"/>
      <c r="V18" s="1172"/>
      <c r="W18" s="1172"/>
      <c r="X18" s="1172"/>
      <c r="Y18" s="1172"/>
      <c r="Z18" s="1172"/>
      <c r="AA18" s="1172"/>
      <c r="AB18" s="1172"/>
      <c r="AC18" s="1172"/>
    </row>
    <row r="19" spans="1:29" s="78" customFormat="1" ht="24.75" customHeight="1" thickBot="1">
      <c r="A19" s="262"/>
      <c r="B19" s="2760" t="s">
        <v>643</v>
      </c>
      <c r="C19" s="1259"/>
      <c r="D19" s="1259"/>
      <c r="E19" s="1259"/>
      <c r="F19" s="1259"/>
      <c r="G19" s="1259"/>
      <c r="H19" s="1259"/>
      <c r="I19" s="1259"/>
      <c r="J19" s="1259"/>
      <c r="K19" s="1259"/>
      <c r="L19" s="1259"/>
      <c r="M19" s="1259"/>
      <c r="N19" s="1259"/>
      <c r="O19" s="1259"/>
      <c r="P19" s="1259"/>
      <c r="Q19" s="1259"/>
      <c r="R19" s="1260"/>
      <c r="S19" s="1172"/>
      <c r="T19" s="1172"/>
      <c r="U19" s="1172"/>
      <c r="V19" s="1172"/>
      <c r="W19" s="1172"/>
      <c r="X19" s="1172"/>
      <c r="Y19" s="1172"/>
      <c r="Z19" s="1172"/>
      <c r="AA19" s="1172"/>
      <c r="AB19" s="1172"/>
      <c r="AC19" s="1172"/>
    </row>
    <row r="20" spans="1:29" ht="15.75" customHeight="1">
      <c r="A20" s="262"/>
      <c r="B20" s="4061"/>
      <c r="C20" s="4062"/>
      <c r="D20" s="4260" t="s">
        <v>36</v>
      </c>
      <c r="E20" s="4026"/>
      <c r="F20" s="4026"/>
      <c r="G20" s="4026"/>
      <c r="H20" s="4026"/>
      <c r="I20" s="4027" t="s">
        <v>37</v>
      </c>
      <c r="J20" s="4262"/>
      <c r="K20" s="4262"/>
      <c r="L20" s="4262"/>
      <c r="M20" s="4262"/>
      <c r="N20" s="4028" t="s">
        <v>73</v>
      </c>
      <c r="O20" s="4028"/>
      <c r="P20" s="4028"/>
      <c r="Q20" s="4028"/>
      <c r="R20" s="4261"/>
      <c r="S20" s="1172"/>
      <c r="T20" s="1172"/>
      <c r="U20" s="1172"/>
      <c r="V20" s="1172"/>
      <c r="W20" s="1172"/>
      <c r="X20" s="1172"/>
      <c r="Y20" s="1172"/>
      <c r="Z20" s="1172"/>
      <c r="AA20" s="1172"/>
      <c r="AB20" s="1172"/>
      <c r="AC20" s="1172"/>
    </row>
    <row r="21" spans="1:29" ht="12.75" customHeight="1">
      <c r="A21" s="262"/>
      <c r="B21" s="4063"/>
      <c r="C21" s="4064"/>
      <c r="D21" s="4264" t="s">
        <v>337</v>
      </c>
      <c r="E21" s="4265"/>
      <c r="F21" s="4265"/>
      <c r="G21" s="4265"/>
      <c r="H21" s="4265"/>
      <c r="I21" s="4265"/>
      <c r="J21" s="4265"/>
      <c r="K21" s="4265"/>
      <c r="L21" s="4265"/>
      <c r="M21" s="4265"/>
      <c r="N21" s="4265"/>
      <c r="O21" s="4265"/>
      <c r="P21" s="4265"/>
      <c r="Q21" s="4265"/>
      <c r="R21" s="4267"/>
      <c r="S21" s="1172"/>
      <c r="T21" s="1172"/>
      <c r="U21" s="1172"/>
      <c r="V21" s="1172"/>
      <c r="W21" s="1172"/>
      <c r="X21" s="1172"/>
      <c r="Y21" s="1172"/>
      <c r="Z21" s="1172"/>
      <c r="AA21" s="1172"/>
      <c r="AB21" s="1172"/>
      <c r="AC21" s="1172"/>
    </row>
    <row r="22" spans="1:29" ht="15" customHeight="1">
      <c r="A22" s="262"/>
      <c r="B22" s="4063"/>
      <c r="C22" s="4064"/>
      <c r="D22" s="4264" t="s">
        <v>54</v>
      </c>
      <c r="E22" s="4265"/>
      <c r="F22" s="4265"/>
      <c r="G22" s="4265"/>
      <c r="H22" s="4265"/>
      <c r="I22" s="4265"/>
      <c r="J22" s="4265"/>
      <c r="K22" s="4266"/>
      <c r="L22" s="4016" t="s">
        <v>55</v>
      </c>
      <c r="M22" s="4017"/>
      <c r="N22" s="4017"/>
      <c r="O22" s="4017"/>
      <c r="P22" s="4017"/>
      <c r="Q22" s="4017"/>
      <c r="R22" s="4263"/>
      <c r="S22" s="1172"/>
      <c r="T22" s="1172"/>
      <c r="U22" s="1172"/>
      <c r="V22" s="1172"/>
      <c r="W22" s="1172"/>
      <c r="X22" s="1172"/>
      <c r="Y22" s="1172"/>
      <c r="Z22" s="1172"/>
      <c r="AA22" s="1172"/>
      <c r="AB22" s="1172"/>
      <c r="AC22" s="1172"/>
    </row>
    <row r="23" spans="1:29" ht="15" customHeight="1" thickBot="1">
      <c r="A23" s="262"/>
      <c r="B23" s="4063"/>
      <c r="C23" s="4064"/>
      <c r="D23" s="3507">
        <f t="array" ref="D23:H23">PRCP</f>
        <v>2008</v>
      </c>
      <c r="E23" s="248">
        <v>2009</v>
      </c>
      <c r="F23" s="248">
        <v>2010</v>
      </c>
      <c r="G23" s="248">
        <v>2011</v>
      </c>
      <c r="H23" s="248">
        <v>2012</v>
      </c>
      <c r="I23" s="249">
        <f>CRCP_y1</f>
        <v>2013</v>
      </c>
      <c r="J23" s="249">
        <f>CRCP_y2</f>
        <v>2014</v>
      </c>
      <c r="K23" s="249">
        <f>CRCP_y3</f>
        <v>2015</v>
      </c>
      <c r="L23" s="249">
        <f>CRCP_y4</f>
        <v>2016</v>
      </c>
      <c r="M23" s="249">
        <f>CRCP_y5</f>
        <v>2017</v>
      </c>
      <c r="N23" s="248" t="str">
        <f t="array" ref="N23:R23">FRCP</f>
        <v>2018</v>
      </c>
      <c r="O23" s="248">
        <v>2019</v>
      </c>
      <c r="P23" s="248">
        <v>2020</v>
      </c>
      <c r="Q23" s="248">
        <v>2021</v>
      </c>
      <c r="R23" s="1819">
        <v>2022</v>
      </c>
      <c r="S23" s="1172"/>
      <c r="T23" s="1172"/>
      <c r="U23" s="1172"/>
      <c r="V23" s="1172"/>
      <c r="W23" s="1172"/>
      <c r="X23" s="1172"/>
      <c r="Y23" s="1172"/>
      <c r="Z23" s="1172"/>
      <c r="AA23" s="1172"/>
      <c r="AB23" s="1172"/>
      <c r="AC23" s="1172"/>
    </row>
    <row r="24" spans="1:29" outlineLevel="1">
      <c r="A24" s="262"/>
      <c r="B24" s="4255" t="s">
        <v>1809</v>
      </c>
      <c r="C24" s="1617" t="s">
        <v>89</v>
      </c>
      <c r="D24" s="413">
        <v>0</v>
      </c>
      <c r="E24" s="458">
        <v>0</v>
      </c>
      <c r="F24" s="458">
        <v>0</v>
      </c>
      <c r="G24" s="458">
        <v>0</v>
      </c>
      <c r="H24" s="460">
        <v>0</v>
      </c>
      <c r="I24" s="459">
        <v>0</v>
      </c>
      <c r="J24" s="458">
        <v>0</v>
      </c>
      <c r="K24" s="458">
        <v>0</v>
      </c>
      <c r="L24" s="458">
        <v>0</v>
      </c>
      <c r="M24" s="460"/>
      <c r="N24" s="3787"/>
      <c r="O24" s="3788"/>
      <c r="P24" s="3788"/>
      <c r="Q24" s="3788"/>
      <c r="R24" s="3789"/>
      <c r="S24" s="1172"/>
      <c r="T24" s="1172"/>
      <c r="U24" s="1172"/>
      <c r="V24" s="1172"/>
      <c r="W24" s="1172"/>
      <c r="X24" s="1172"/>
      <c r="Y24" s="1172"/>
      <c r="Z24" s="1172"/>
      <c r="AA24" s="1172"/>
      <c r="AB24" s="1172"/>
      <c r="AC24" s="1172"/>
    </row>
    <row r="25" spans="1:29" outlineLevel="1">
      <c r="A25" s="262"/>
      <c r="B25" s="4256"/>
      <c r="C25" s="1618" t="s">
        <v>180</v>
      </c>
      <c r="D25" s="413">
        <v>2592</v>
      </c>
      <c r="E25" s="458">
        <v>1742</v>
      </c>
      <c r="F25" s="458">
        <v>1682</v>
      </c>
      <c r="G25" s="458">
        <v>2043</v>
      </c>
      <c r="H25" s="460">
        <v>2091</v>
      </c>
      <c r="I25" s="459">
        <v>5904</v>
      </c>
      <c r="J25" s="458">
        <v>4766</v>
      </c>
      <c r="K25" s="458">
        <v>569</v>
      </c>
      <c r="L25" s="458">
        <v>534</v>
      </c>
      <c r="M25" s="460">
        <f>115+1257+412+105</f>
        <v>1889</v>
      </c>
      <c r="N25" s="3787"/>
      <c r="O25" s="3788"/>
      <c r="P25" s="3788"/>
      <c r="Q25" s="3788"/>
      <c r="R25" s="3789"/>
      <c r="S25" s="1172"/>
      <c r="T25" s="1172"/>
      <c r="U25" s="1172"/>
      <c r="V25" s="1172"/>
      <c r="W25" s="1172"/>
      <c r="X25" s="1172"/>
      <c r="Y25" s="1172"/>
      <c r="Z25" s="1172"/>
      <c r="AA25" s="1172"/>
      <c r="AB25" s="1172"/>
      <c r="AC25" s="1172"/>
    </row>
    <row r="26" spans="1:29" ht="15.75" customHeight="1" outlineLevel="1" thickBot="1">
      <c r="A26" s="262"/>
      <c r="B26" s="4256"/>
      <c r="C26" s="1619" t="s">
        <v>129</v>
      </c>
      <c r="D26" s="1448">
        <f>D24+D25</f>
        <v>2592</v>
      </c>
      <c r="E26" s="1449">
        <f t="shared" ref="E26:M26" si="0">E24+E25</f>
        <v>1742</v>
      </c>
      <c r="F26" s="1449">
        <f t="shared" si="0"/>
        <v>1682</v>
      </c>
      <c r="G26" s="1449">
        <f t="shared" si="0"/>
        <v>2043</v>
      </c>
      <c r="H26" s="1450">
        <f t="shared" si="0"/>
        <v>2091</v>
      </c>
      <c r="I26" s="1451">
        <f t="shared" si="0"/>
        <v>5904</v>
      </c>
      <c r="J26" s="1449">
        <f t="shared" si="0"/>
        <v>4766</v>
      </c>
      <c r="K26" s="1449">
        <f t="shared" si="0"/>
        <v>569</v>
      </c>
      <c r="L26" s="1449">
        <f t="shared" si="0"/>
        <v>534</v>
      </c>
      <c r="M26" s="1450">
        <f t="shared" si="0"/>
        <v>1889</v>
      </c>
      <c r="N26" s="3790"/>
      <c r="O26" s="3791"/>
      <c r="P26" s="3791"/>
      <c r="Q26" s="3791"/>
      <c r="R26" s="3792"/>
      <c r="S26" s="1172"/>
      <c r="T26" s="1172"/>
      <c r="U26" s="1172"/>
      <c r="V26" s="1172"/>
      <c r="W26" s="1172"/>
      <c r="X26" s="1172"/>
      <c r="Y26" s="1172"/>
      <c r="Z26" s="1172"/>
      <c r="AA26" s="1172"/>
      <c r="AB26" s="1172"/>
      <c r="AC26" s="1172"/>
    </row>
    <row r="27" spans="1:29" s="474" customFormat="1" outlineLevel="1">
      <c r="A27" s="262"/>
      <c r="B27" s="4256" t="s">
        <v>1810</v>
      </c>
      <c r="C27" s="1617" t="s">
        <v>89</v>
      </c>
      <c r="D27" s="413"/>
      <c r="E27" s="458"/>
      <c r="F27" s="458"/>
      <c r="G27" s="458">
        <v>0</v>
      </c>
      <c r="H27" s="460"/>
      <c r="I27" s="459">
        <v>0</v>
      </c>
      <c r="J27" s="458"/>
      <c r="K27" s="458">
        <v>0</v>
      </c>
      <c r="L27" s="458">
        <v>0</v>
      </c>
      <c r="M27" s="460"/>
      <c r="N27" s="3787"/>
      <c r="O27" s="3788"/>
      <c r="P27" s="3788"/>
      <c r="Q27" s="3788"/>
      <c r="R27" s="3789"/>
      <c r="S27" s="1172"/>
      <c r="T27" s="1172"/>
      <c r="U27" s="1172"/>
      <c r="V27" s="1172"/>
      <c r="W27" s="1172"/>
      <c r="X27" s="1172"/>
      <c r="Y27" s="1172"/>
      <c r="Z27" s="1172"/>
      <c r="AA27" s="1172"/>
      <c r="AB27" s="1172"/>
      <c r="AC27" s="1172"/>
    </row>
    <row r="28" spans="1:29" s="474" customFormat="1" outlineLevel="1">
      <c r="A28" s="262"/>
      <c r="B28" s="4256"/>
      <c r="C28" s="1618" t="s">
        <v>180</v>
      </c>
      <c r="D28" s="413"/>
      <c r="E28" s="458"/>
      <c r="F28" s="458"/>
      <c r="G28" s="458">
        <v>2030</v>
      </c>
      <c r="H28" s="460"/>
      <c r="I28" s="459">
        <v>1546</v>
      </c>
      <c r="J28" s="458"/>
      <c r="K28" s="458">
        <v>614</v>
      </c>
      <c r="L28" s="458">
        <v>7262</v>
      </c>
      <c r="M28" s="460">
        <f>687+175</f>
        <v>862</v>
      </c>
      <c r="N28" s="3787"/>
      <c r="O28" s="3788"/>
      <c r="P28" s="3788"/>
      <c r="Q28" s="3788"/>
      <c r="R28" s="3789"/>
      <c r="S28" s="1172"/>
      <c r="T28" s="1172"/>
      <c r="U28" s="1172"/>
      <c r="V28" s="1172"/>
      <c r="W28" s="1172"/>
      <c r="X28" s="1172"/>
      <c r="Y28" s="1172"/>
      <c r="Z28" s="1172"/>
      <c r="AA28" s="1172"/>
      <c r="AB28" s="1172"/>
      <c r="AC28" s="1172"/>
    </row>
    <row r="29" spans="1:29" s="474" customFormat="1" ht="15.75" customHeight="1" outlineLevel="1" thickBot="1">
      <c r="A29" s="262"/>
      <c r="B29" s="4256"/>
      <c r="C29" s="1619" t="s">
        <v>129</v>
      </c>
      <c r="D29" s="1448">
        <f t="shared" ref="D29:M38" si="1">D27+D28</f>
        <v>0</v>
      </c>
      <c r="E29" s="1449">
        <f t="shared" si="1"/>
        <v>0</v>
      </c>
      <c r="F29" s="1449">
        <f t="shared" si="1"/>
        <v>0</v>
      </c>
      <c r="G29" s="1449">
        <f t="shared" si="1"/>
        <v>2030</v>
      </c>
      <c r="H29" s="1450">
        <f t="shared" si="1"/>
        <v>0</v>
      </c>
      <c r="I29" s="1451">
        <f t="shared" si="1"/>
        <v>1546</v>
      </c>
      <c r="J29" s="1449">
        <f t="shared" si="1"/>
        <v>0</v>
      </c>
      <c r="K29" s="1449">
        <f t="shared" si="1"/>
        <v>614</v>
      </c>
      <c r="L29" s="1449">
        <f t="shared" si="1"/>
        <v>7262</v>
      </c>
      <c r="M29" s="1450">
        <f t="shared" si="1"/>
        <v>862</v>
      </c>
      <c r="N29" s="3790"/>
      <c r="O29" s="3791"/>
      <c r="P29" s="3791"/>
      <c r="Q29" s="3791"/>
      <c r="R29" s="3792"/>
      <c r="S29" s="1172"/>
      <c r="T29" s="1172"/>
      <c r="U29" s="1172"/>
      <c r="V29" s="1172"/>
      <c r="W29" s="1172"/>
      <c r="X29" s="1172"/>
      <c r="Y29" s="1172"/>
      <c r="Z29" s="1172"/>
      <c r="AA29" s="1172"/>
      <c r="AB29" s="1172"/>
      <c r="AC29" s="1172"/>
    </row>
    <row r="30" spans="1:29" s="474" customFormat="1" outlineLevel="1">
      <c r="A30" s="262"/>
      <c r="B30" s="4256" t="s">
        <v>1811</v>
      </c>
      <c r="C30" s="1617" t="s">
        <v>89</v>
      </c>
      <c r="D30" s="413">
        <f>16477+23+8397</f>
        <v>24897</v>
      </c>
      <c r="E30" s="458">
        <f>2839+14+4388</f>
        <v>7241</v>
      </c>
      <c r="F30" s="458">
        <f>854+12+3901</f>
        <v>4767</v>
      </c>
      <c r="G30" s="458">
        <f>3+3891+18+2985</f>
        <v>6897</v>
      </c>
      <c r="H30" s="460">
        <f>5944+44+5170</f>
        <v>11158</v>
      </c>
      <c r="I30" s="459">
        <f>2+5842+623+2967</f>
        <v>9434</v>
      </c>
      <c r="J30" s="458">
        <v>4096</v>
      </c>
      <c r="K30" s="458">
        <f>11387+435+4113</f>
        <v>15935</v>
      </c>
      <c r="L30" s="458">
        <f>4052+28+782</f>
        <v>4862</v>
      </c>
      <c r="M30" s="460"/>
      <c r="N30" s="3787"/>
      <c r="O30" s="3788"/>
      <c r="P30" s="3788"/>
      <c r="Q30" s="3788"/>
      <c r="R30" s="3789"/>
      <c r="S30" s="1172"/>
      <c r="T30" s="1172"/>
      <c r="U30" s="1172"/>
      <c r="V30" s="1172"/>
      <c r="W30" s="1172"/>
      <c r="X30" s="1172"/>
      <c r="Y30" s="1172"/>
      <c r="Z30" s="1172"/>
      <c r="AA30" s="1172"/>
      <c r="AB30" s="1172"/>
      <c r="AC30" s="1172"/>
    </row>
    <row r="31" spans="1:29" s="474" customFormat="1" outlineLevel="1">
      <c r="A31" s="262"/>
      <c r="B31" s="4256"/>
      <c r="C31" s="1618" t="s">
        <v>180</v>
      </c>
      <c r="D31" s="413">
        <v>0</v>
      </c>
      <c r="E31" s="458">
        <v>0</v>
      </c>
      <c r="F31" s="458">
        <v>0</v>
      </c>
      <c r="G31" s="458"/>
      <c r="H31" s="460">
        <v>0</v>
      </c>
      <c r="I31" s="459"/>
      <c r="J31" s="458"/>
      <c r="K31" s="458"/>
      <c r="L31" s="458"/>
      <c r="M31" s="460">
        <f>305+2848</f>
        <v>3153</v>
      </c>
      <c r="N31" s="3787"/>
      <c r="O31" s="3788"/>
      <c r="P31" s="3788"/>
      <c r="Q31" s="3788"/>
      <c r="R31" s="3789"/>
      <c r="S31" s="1172"/>
      <c r="T31" s="1172"/>
      <c r="U31" s="1172"/>
      <c r="V31" s="1172"/>
      <c r="W31" s="1172"/>
      <c r="X31" s="1172"/>
      <c r="Y31" s="1172"/>
      <c r="Z31" s="1172"/>
      <c r="AA31" s="1172"/>
      <c r="AB31" s="1172"/>
      <c r="AC31" s="1172"/>
    </row>
    <row r="32" spans="1:29" s="474" customFormat="1" ht="15.75" customHeight="1" outlineLevel="1" thickBot="1">
      <c r="A32" s="262"/>
      <c r="B32" s="4256"/>
      <c r="C32" s="1619" t="s">
        <v>129</v>
      </c>
      <c r="D32" s="1448">
        <f t="shared" ref="D32:I32" si="2">D30+D31</f>
        <v>24897</v>
      </c>
      <c r="E32" s="1449">
        <f t="shared" si="2"/>
        <v>7241</v>
      </c>
      <c r="F32" s="1449">
        <f t="shared" si="2"/>
        <v>4767</v>
      </c>
      <c r="G32" s="1449">
        <f t="shared" si="2"/>
        <v>6897</v>
      </c>
      <c r="H32" s="1450">
        <f t="shared" si="2"/>
        <v>11158</v>
      </c>
      <c r="I32" s="1451">
        <f t="shared" si="2"/>
        <v>9434</v>
      </c>
      <c r="J32" s="1449">
        <f t="shared" si="1"/>
        <v>4096</v>
      </c>
      <c r="K32" s="1449">
        <f t="shared" si="1"/>
        <v>15935</v>
      </c>
      <c r="L32" s="1449">
        <f t="shared" si="1"/>
        <v>4862</v>
      </c>
      <c r="M32" s="1450">
        <f t="shared" si="1"/>
        <v>3153</v>
      </c>
      <c r="N32" s="3790"/>
      <c r="O32" s="3791"/>
      <c r="P32" s="3791"/>
      <c r="Q32" s="3791"/>
      <c r="R32" s="3792"/>
      <c r="S32" s="1172"/>
      <c r="T32" s="1172"/>
      <c r="U32" s="1172"/>
      <c r="V32" s="1172"/>
      <c r="W32" s="1172"/>
      <c r="X32" s="1172"/>
      <c r="Y32" s="1172"/>
      <c r="Z32" s="1172"/>
      <c r="AA32" s="1172"/>
      <c r="AB32" s="1172"/>
      <c r="AC32" s="1172"/>
    </row>
    <row r="33" spans="1:29" s="474" customFormat="1" outlineLevel="1">
      <c r="A33" s="262"/>
      <c r="B33" s="4256" t="s">
        <v>1812</v>
      </c>
      <c r="C33" s="1617" t="s">
        <v>89</v>
      </c>
      <c r="D33" s="413">
        <v>3</v>
      </c>
      <c r="E33" s="458"/>
      <c r="F33" s="458">
        <v>1</v>
      </c>
      <c r="G33" s="458">
        <v>7</v>
      </c>
      <c r="H33" s="460">
        <v>1</v>
      </c>
      <c r="I33" s="459">
        <f>3+1834</f>
        <v>1837</v>
      </c>
      <c r="J33" s="458">
        <v>10677</v>
      </c>
      <c r="K33" s="458">
        <v>9439</v>
      </c>
      <c r="L33" s="458">
        <v>2522</v>
      </c>
      <c r="M33" s="460"/>
      <c r="N33" s="3787"/>
      <c r="O33" s="3788"/>
      <c r="P33" s="3788"/>
      <c r="Q33" s="3788"/>
      <c r="R33" s="3789"/>
      <c r="S33" s="1172"/>
      <c r="T33" s="1172"/>
      <c r="U33" s="1172"/>
      <c r="V33" s="1172"/>
      <c r="W33" s="1172"/>
      <c r="X33" s="1172"/>
      <c r="Y33" s="1172"/>
      <c r="Z33" s="1172"/>
      <c r="AA33" s="1172"/>
      <c r="AB33" s="1172"/>
      <c r="AC33" s="1172"/>
    </row>
    <row r="34" spans="1:29" s="474" customFormat="1" outlineLevel="1">
      <c r="A34" s="262"/>
      <c r="B34" s="4256"/>
      <c r="C34" s="1618" t="s">
        <v>180</v>
      </c>
      <c r="D34" s="413">
        <v>0</v>
      </c>
      <c r="E34" s="458"/>
      <c r="F34" s="458">
        <v>0</v>
      </c>
      <c r="G34" s="458">
        <v>0</v>
      </c>
      <c r="H34" s="460">
        <v>0</v>
      </c>
      <c r="I34" s="459"/>
      <c r="J34" s="458">
        <v>0</v>
      </c>
      <c r="K34" s="458"/>
      <c r="L34" s="458"/>
      <c r="M34" s="460">
        <f>181+20556</f>
        <v>20737</v>
      </c>
      <c r="N34" s="3793"/>
      <c r="O34" s="3793"/>
      <c r="P34" s="3793"/>
      <c r="Q34" s="3793"/>
      <c r="R34" s="3793"/>
      <c r="S34" s="1172"/>
      <c r="T34" s="1172"/>
      <c r="U34" s="1172"/>
      <c r="V34" s="1172"/>
      <c r="W34" s="1172"/>
      <c r="X34" s="1172"/>
      <c r="Y34" s="1172"/>
      <c r="Z34" s="1172"/>
      <c r="AA34" s="1172"/>
      <c r="AB34" s="1172"/>
      <c r="AC34" s="1172"/>
    </row>
    <row r="35" spans="1:29" s="474" customFormat="1" ht="15.75" customHeight="1" outlineLevel="1" thickBot="1">
      <c r="A35" s="262"/>
      <c r="B35" s="4256"/>
      <c r="C35" s="1619" t="s">
        <v>129</v>
      </c>
      <c r="D35" s="1448">
        <f t="shared" ref="D35:I35" si="3">D33+D34</f>
        <v>3</v>
      </c>
      <c r="E35" s="1449">
        <f t="shared" si="3"/>
        <v>0</v>
      </c>
      <c r="F35" s="1449">
        <f t="shared" si="3"/>
        <v>1</v>
      </c>
      <c r="G35" s="1449">
        <f t="shared" si="3"/>
        <v>7</v>
      </c>
      <c r="H35" s="1450">
        <f t="shared" si="3"/>
        <v>1</v>
      </c>
      <c r="I35" s="1451">
        <f t="shared" si="3"/>
        <v>1837</v>
      </c>
      <c r="J35" s="1449">
        <f t="shared" si="1"/>
        <v>10677</v>
      </c>
      <c r="K35" s="1449">
        <f t="shared" si="1"/>
        <v>9439</v>
      </c>
      <c r="L35" s="1449">
        <f t="shared" si="1"/>
        <v>2522</v>
      </c>
      <c r="M35" s="1450">
        <f t="shared" si="1"/>
        <v>20737</v>
      </c>
      <c r="N35" s="3790"/>
      <c r="O35" s="3791"/>
      <c r="P35" s="3791"/>
      <c r="Q35" s="3791"/>
      <c r="R35" s="3792"/>
      <c r="S35" s="1172"/>
      <c r="T35" s="1172"/>
      <c r="U35" s="1172"/>
      <c r="V35" s="1172"/>
      <c r="W35" s="1172"/>
      <c r="X35" s="1172"/>
      <c r="Y35" s="1172"/>
      <c r="Z35" s="1172"/>
      <c r="AA35" s="1172"/>
      <c r="AB35" s="1172"/>
      <c r="AC35" s="1172"/>
    </row>
    <row r="36" spans="1:29" s="474" customFormat="1" outlineLevel="1">
      <c r="A36" s="262"/>
      <c r="B36" s="4256" t="s">
        <v>1813</v>
      </c>
      <c r="C36" s="1617" t="s">
        <v>89</v>
      </c>
      <c r="D36" s="413">
        <v>0</v>
      </c>
      <c r="E36" s="458">
        <v>0</v>
      </c>
      <c r="F36" s="458">
        <v>0</v>
      </c>
      <c r="G36" s="458">
        <v>0</v>
      </c>
      <c r="H36" s="460">
        <v>0</v>
      </c>
      <c r="I36" s="459">
        <v>0</v>
      </c>
      <c r="J36" s="458">
        <v>0</v>
      </c>
      <c r="K36" s="458">
        <v>0</v>
      </c>
      <c r="L36" s="458">
        <v>0</v>
      </c>
      <c r="M36" s="460"/>
      <c r="N36" s="3787"/>
      <c r="O36" s="3788"/>
      <c r="P36" s="3788"/>
      <c r="Q36" s="3788"/>
      <c r="R36" s="3789"/>
      <c r="S36" s="1172"/>
      <c r="T36" s="1172"/>
      <c r="U36" s="1172"/>
      <c r="V36" s="1172"/>
      <c r="W36" s="1172"/>
      <c r="X36" s="1172"/>
      <c r="Y36" s="1172"/>
      <c r="Z36" s="1172"/>
      <c r="AA36" s="1172"/>
      <c r="AB36" s="1172"/>
      <c r="AC36" s="1172"/>
    </row>
    <row r="37" spans="1:29" s="474" customFormat="1" outlineLevel="1">
      <c r="A37" s="262"/>
      <c r="B37" s="4256"/>
      <c r="C37" s="1618" t="s">
        <v>180</v>
      </c>
      <c r="D37" s="413">
        <v>14538</v>
      </c>
      <c r="E37" s="458">
        <v>3606</v>
      </c>
      <c r="F37" s="458">
        <v>5869</v>
      </c>
      <c r="G37" s="458">
        <v>9484</v>
      </c>
      <c r="H37" s="460">
        <v>7717</v>
      </c>
      <c r="I37" s="459">
        <v>7525</v>
      </c>
      <c r="J37" s="458">
        <v>6150</v>
      </c>
      <c r="K37" s="458">
        <v>3460</v>
      </c>
      <c r="L37" s="458">
        <v>9635</v>
      </c>
      <c r="M37" s="460">
        <f>72+1648+421</f>
        <v>2141</v>
      </c>
      <c r="N37" s="3787"/>
      <c r="O37" s="3788"/>
      <c r="P37" s="3788"/>
      <c r="Q37" s="3788"/>
      <c r="R37" s="3789"/>
      <c r="S37" s="1172"/>
      <c r="T37" s="1172"/>
      <c r="U37" s="1172"/>
      <c r="V37" s="1172"/>
      <c r="W37" s="1172"/>
      <c r="X37" s="1172"/>
      <c r="Y37" s="1172"/>
      <c r="Z37" s="1172"/>
      <c r="AA37" s="1172"/>
      <c r="AB37" s="1172"/>
      <c r="AC37" s="1172"/>
    </row>
    <row r="38" spans="1:29" s="474" customFormat="1" ht="15.75" customHeight="1" outlineLevel="1" thickBot="1">
      <c r="A38" s="262"/>
      <c r="B38" s="4256"/>
      <c r="C38" s="1619" t="s">
        <v>129</v>
      </c>
      <c r="D38" s="1448">
        <f t="shared" ref="D38:I38" si="4">D36+D37</f>
        <v>14538</v>
      </c>
      <c r="E38" s="1449">
        <f t="shared" si="4"/>
        <v>3606</v>
      </c>
      <c r="F38" s="1449">
        <f t="shared" si="4"/>
        <v>5869</v>
      </c>
      <c r="G38" s="1449">
        <f t="shared" si="4"/>
        <v>9484</v>
      </c>
      <c r="H38" s="1450">
        <f t="shared" si="4"/>
        <v>7717</v>
      </c>
      <c r="I38" s="1451">
        <f t="shared" si="4"/>
        <v>7525</v>
      </c>
      <c r="J38" s="1449">
        <f t="shared" si="1"/>
        <v>6150</v>
      </c>
      <c r="K38" s="1449">
        <f t="shared" si="1"/>
        <v>3460</v>
      </c>
      <c r="L38" s="1449">
        <f t="shared" si="1"/>
        <v>9635</v>
      </c>
      <c r="M38" s="1450">
        <f t="shared" si="1"/>
        <v>2141</v>
      </c>
      <c r="N38" s="3790"/>
      <c r="O38" s="3791"/>
      <c r="P38" s="3791"/>
      <c r="Q38" s="3791"/>
      <c r="R38" s="3792"/>
      <c r="S38" s="1172"/>
      <c r="T38" s="1172"/>
      <c r="U38" s="1172"/>
      <c r="V38" s="1172"/>
      <c r="W38" s="1172"/>
      <c r="X38" s="1172"/>
      <c r="Y38" s="1172"/>
      <c r="Z38" s="1172"/>
      <c r="AA38" s="1172"/>
      <c r="AB38" s="1172"/>
      <c r="AC38" s="1172"/>
    </row>
    <row r="39" spans="1:29" s="474" customFormat="1" outlineLevel="1">
      <c r="A39" s="262"/>
      <c r="B39" s="4256" t="s">
        <v>1814</v>
      </c>
      <c r="C39" s="1617" t="s">
        <v>89</v>
      </c>
      <c r="D39" s="413"/>
      <c r="E39" s="458"/>
      <c r="F39" s="458"/>
      <c r="G39" s="458"/>
      <c r="H39" s="460"/>
      <c r="I39" s="459"/>
      <c r="J39" s="458"/>
      <c r="K39" s="458">
        <v>1</v>
      </c>
      <c r="L39" s="458"/>
      <c r="M39" s="460"/>
      <c r="N39" s="3787"/>
      <c r="O39" s="3788"/>
      <c r="P39" s="3788"/>
      <c r="Q39" s="3788"/>
      <c r="R39" s="3789"/>
      <c r="S39" s="1172"/>
      <c r="T39" s="1172"/>
      <c r="U39" s="1172"/>
      <c r="V39" s="1172"/>
      <c r="W39" s="1172"/>
      <c r="X39" s="1172"/>
      <c r="Y39" s="1172"/>
      <c r="Z39" s="1172"/>
      <c r="AA39" s="1172"/>
      <c r="AB39" s="1172"/>
      <c r="AC39" s="1172"/>
    </row>
    <row r="40" spans="1:29" s="474" customFormat="1" outlineLevel="1">
      <c r="A40" s="262"/>
      <c r="B40" s="4256"/>
      <c r="C40" s="1618" t="s">
        <v>180</v>
      </c>
      <c r="D40" s="413"/>
      <c r="E40" s="458"/>
      <c r="F40" s="458"/>
      <c r="G40" s="458"/>
      <c r="H40" s="460"/>
      <c r="I40" s="459"/>
      <c r="J40" s="458"/>
      <c r="K40" s="458">
        <v>0</v>
      </c>
      <c r="L40" s="458"/>
      <c r="M40" s="460">
        <f>1812</f>
        <v>1812</v>
      </c>
      <c r="N40" s="3787"/>
      <c r="O40" s="3788"/>
      <c r="P40" s="3788"/>
      <c r="Q40" s="3788"/>
      <c r="R40" s="3789"/>
      <c r="S40" s="1172"/>
      <c r="T40" s="1172"/>
      <c r="U40" s="1172"/>
      <c r="V40" s="1172"/>
      <c r="W40" s="1172"/>
      <c r="X40" s="1172"/>
      <c r="Y40" s="1172"/>
      <c r="Z40" s="1172"/>
      <c r="AA40" s="1172"/>
      <c r="AB40" s="1172"/>
      <c r="AC40" s="1172"/>
    </row>
    <row r="41" spans="1:29" s="474" customFormat="1" ht="15.75" customHeight="1" outlineLevel="1" thickBot="1">
      <c r="A41" s="262"/>
      <c r="B41" s="4256"/>
      <c r="C41" s="1619" t="s">
        <v>129</v>
      </c>
      <c r="D41" s="1448">
        <f t="shared" ref="D41:M41" si="5">D39+D40</f>
        <v>0</v>
      </c>
      <c r="E41" s="1449">
        <f t="shared" si="5"/>
        <v>0</v>
      </c>
      <c r="F41" s="1449">
        <f t="shared" si="5"/>
        <v>0</v>
      </c>
      <c r="G41" s="1449">
        <f t="shared" si="5"/>
        <v>0</v>
      </c>
      <c r="H41" s="1450">
        <f t="shared" si="5"/>
        <v>0</v>
      </c>
      <c r="I41" s="1451">
        <f t="shared" si="5"/>
        <v>0</v>
      </c>
      <c r="J41" s="1449">
        <f t="shared" si="5"/>
        <v>0</v>
      </c>
      <c r="K41" s="1449">
        <f t="shared" si="5"/>
        <v>1</v>
      </c>
      <c r="L41" s="1449">
        <f t="shared" si="5"/>
        <v>0</v>
      </c>
      <c r="M41" s="1450">
        <f t="shared" si="5"/>
        <v>1812</v>
      </c>
      <c r="N41" s="3790"/>
      <c r="O41" s="3791"/>
      <c r="P41" s="3791"/>
      <c r="Q41" s="3791"/>
      <c r="R41" s="3792"/>
      <c r="S41" s="1172"/>
      <c r="T41" s="1172"/>
      <c r="U41" s="1172"/>
      <c r="V41" s="1172"/>
      <c r="W41" s="1172"/>
      <c r="X41" s="1172"/>
      <c r="Y41" s="1172"/>
      <c r="Z41" s="1172"/>
      <c r="AA41" s="1172"/>
      <c r="AB41" s="1172"/>
      <c r="AC41" s="1172"/>
    </row>
    <row r="42" spans="1:29" s="108" customFormat="1" ht="20.25" customHeight="1">
      <c r="A42" s="485"/>
      <c r="B42" s="4256" t="s">
        <v>1815</v>
      </c>
      <c r="C42" s="1617" t="s">
        <v>89</v>
      </c>
      <c r="D42" s="413">
        <v>1637</v>
      </c>
      <c r="E42" s="458">
        <v>470</v>
      </c>
      <c r="F42" s="458">
        <v>798</v>
      </c>
      <c r="G42" s="458">
        <v>27</v>
      </c>
      <c r="H42" s="460">
        <v>185</v>
      </c>
      <c r="I42" s="459">
        <v>244</v>
      </c>
      <c r="J42" s="458">
        <v>61</v>
      </c>
      <c r="K42" s="458">
        <v>19</v>
      </c>
      <c r="L42" s="458"/>
      <c r="M42" s="460"/>
      <c r="N42" s="3787"/>
      <c r="O42" s="3788"/>
      <c r="P42" s="3788"/>
      <c r="Q42" s="3788"/>
      <c r="R42" s="3789"/>
      <c r="S42" s="1172"/>
      <c r="T42" s="1172"/>
      <c r="U42" s="1172"/>
      <c r="V42" s="1172"/>
      <c r="W42" s="1172"/>
      <c r="X42" s="1172"/>
      <c r="Y42" s="1172"/>
      <c r="Z42" s="1172"/>
      <c r="AA42" s="1172"/>
      <c r="AB42" s="1172"/>
      <c r="AC42" s="1172"/>
    </row>
    <row r="43" spans="1:29" s="69" customFormat="1" ht="45" customHeight="1">
      <c r="A43" s="314"/>
      <c r="B43" s="4256"/>
      <c r="C43" s="1618" t="s">
        <v>180</v>
      </c>
      <c r="D43" s="413">
        <v>0</v>
      </c>
      <c r="E43" s="458">
        <v>0</v>
      </c>
      <c r="F43" s="458">
        <v>0</v>
      </c>
      <c r="G43" s="458"/>
      <c r="H43" s="460"/>
      <c r="I43" s="459"/>
      <c r="J43" s="458">
        <v>0</v>
      </c>
      <c r="K43" s="458">
        <v>0</v>
      </c>
      <c r="L43" s="458"/>
      <c r="M43" s="460">
        <f>666</f>
        <v>666</v>
      </c>
      <c r="N43" s="3787"/>
      <c r="O43" s="3788"/>
      <c r="P43" s="3788"/>
      <c r="Q43" s="3788"/>
      <c r="R43" s="3789"/>
      <c r="S43" s="1172"/>
      <c r="T43" s="1172"/>
      <c r="U43" s="1172"/>
      <c r="V43" s="1172"/>
      <c r="W43" s="1172"/>
      <c r="X43" s="1172"/>
      <c r="Y43" s="1172"/>
      <c r="Z43" s="1172"/>
      <c r="AA43" s="1172"/>
      <c r="AB43" s="1172"/>
      <c r="AC43" s="1172"/>
    </row>
    <row r="44" spans="1:29" customFormat="1" ht="42" customHeight="1" thickBot="1">
      <c r="B44" s="4256"/>
      <c r="C44" s="1619" t="s">
        <v>129</v>
      </c>
      <c r="D44" s="1448">
        <f t="shared" ref="D44:M44" si="6">D42+D43</f>
        <v>1637</v>
      </c>
      <c r="E44" s="1449">
        <f t="shared" si="6"/>
        <v>470</v>
      </c>
      <c r="F44" s="1449">
        <f t="shared" si="6"/>
        <v>798</v>
      </c>
      <c r="G44" s="1449">
        <f t="shared" si="6"/>
        <v>27</v>
      </c>
      <c r="H44" s="1450">
        <f t="shared" si="6"/>
        <v>185</v>
      </c>
      <c r="I44" s="1451">
        <f t="shared" si="6"/>
        <v>244</v>
      </c>
      <c r="J44" s="1449">
        <f t="shared" si="6"/>
        <v>61</v>
      </c>
      <c r="K44" s="1449">
        <f t="shared" si="6"/>
        <v>19</v>
      </c>
      <c r="L44" s="1449">
        <f t="shared" si="6"/>
        <v>0</v>
      </c>
      <c r="M44" s="1450">
        <f t="shared" si="6"/>
        <v>666</v>
      </c>
      <c r="N44" s="3790"/>
      <c r="O44" s="3791"/>
      <c r="P44" s="3791"/>
      <c r="Q44" s="3791"/>
      <c r="R44" s="3792"/>
      <c r="S44" s="1172"/>
      <c r="T44" s="1172"/>
      <c r="U44" s="1172"/>
      <c r="V44" s="1172"/>
      <c r="W44" s="1172"/>
      <c r="X44" s="1172"/>
      <c r="Y44" s="1172"/>
      <c r="Z44" s="1172"/>
      <c r="AA44" s="1172"/>
      <c r="AB44" s="1172"/>
      <c r="AC44" s="1172"/>
    </row>
    <row r="45" spans="1:29" s="78" customFormat="1" ht="33" customHeight="1">
      <c r="A45" s="262"/>
      <c r="B45" s="4256" t="s">
        <v>1816</v>
      </c>
      <c r="C45" s="1617" t="s">
        <v>89</v>
      </c>
      <c r="D45" s="413">
        <v>1</v>
      </c>
      <c r="E45" s="458"/>
      <c r="F45" s="458"/>
      <c r="G45" s="458"/>
      <c r="H45" s="460"/>
      <c r="I45" s="459"/>
      <c r="J45" s="458"/>
      <c r="K45" s="458"/>
      <c r="L45" s="458"/>
      <c r="M45" s="460"/>
      <c r="N45" s="3787"/>
      <c r="O45" s="3788"/>
      <c r="P45" s="3788"/>
      <c r="Q45" s="3788"/>
      <c r="R45" s="3789"/>
      <c r="S45" s="1172"/>
      <c r="T45" s="1172"/>
      <c r="U45" s="1172"/>
      <c r="V45" s="1172"/>
      <c r="W45" s="1172"/>
      <c r="X45" s="1172"/>
      <c r="Y45" s="1172"/>
      <c r="Z45" s="1172"/>
      <c r="AA45" s="1172"/>
      <c r="AB45" s="1172"/>
      <c r="AC45" s="1172"/>
    </row>
    <row r="46" spans="1:29" s="183" customFormat="1" ht="24.75" customHeight="1">
      <c r="A46" s="262"/>
      <c r="B46" s="4256"/>
      <c r="C46" s="1618" t="s">
        <v>180</v>
      </c>
      <c r="D46" s="413">
        <v>0</v>
      </c>
      <c r="E46" s="458"/>
      <c r="F46" s="458"/>
      <c r="G46" s="458"/>
      <c r="H46" s="460"/>
      <c r="I46" s="459"/>
      <c r="J46" s="458"/>
      <c r="K46" s="458"/>
      <c r="L46" s="458"/>
      <c r="M46" s="460">
        <f>80</f>
        <v>80</v>
      </c>
      <c r="N46" s="3787"/>
      <c r="O46" s="3788"/>
      <c r="P46" s="3788"/>
      <c r="Q46" s="3788"/>
      <c r="R46" s="3789"/>
      <c r="S46" s="1172"/>
      <c r="T46" s="1172"/>
      <c r="U46" s="1172"/>
      <c r="V46" s="1172"/>
      <c r="W46" s="1172"/>
      <c r="X46" s="1172"/>
      <c r="Y46" s="1172"/>
      <c r="Z46" s="1172"/>
      <c r="AA46" s="1172"/>
      <c r="AB46" s="1172"/>
      <c r="AC46" s="1172"/>
    </row>
    <row r="47" spans="1:29" ht="15.75" customHeight="1" thickBot="1">
      <c r="A47" s="262"/>
      <c r="B47" s="4256"/>
      <c r="C47" s="1619" t="s">
        <v>129</v>
      </c>
      <c r="D47" s="1448">
        <f t="shared" ref="D47:M47" si="7">D45+D46</f>
        <v>1</v>
      </c>
      <c r="E47" s="1449">
        <f t="shared" si="7"/>
        <v>0</v>
      </c>
      <c r="F47" s="1449">
        <f t="shared" si="7"/>
        <v>0</v>
      </c>
      <c r="G47" s="1449">
        <f t="shared" si="7"/>
        <v>0</v>
      </c>
      <c r="H47" s="1450">
        <f t="shared" si="7"/>
        <v>0</v>
      </c>
      <c r="I47" s="1451">
        <f t="shared" si="7"/>
        <v>0</v>
      </c>
      <c r="J47" s="1449">
        <f t="shared" si="7"/>
        <v>0</v>
      </c>
      <c r="K47" s="1449">
        <f t="shared" si="7"/>
        <v>0</v>
      </c>
      <c r="L47" s="1449">
        <f t="shared" si="7"/>
        <v>0</v>
      </c>
      <c r="M47" s="1450">
        <f t="shared" si="7"/>
        <v>80</v>
      </c>
      <c r="N47" s="3790"/>
      <c r="O47" s="3791"/>
      <c r="P47" s="3791"/>
      <c r="Q47" s="3791"/>
      <c r="R47" s="3792"/>
      <c r="S47" s="1172"/>
      <c r="T47" s="1172"/>
      <c r="U47" s="1172"/>
      <c r="V47" s="1172"/>
      <c r="W47" s="1172"/>
      <c r="X47" s="1172"/>
      <c r="Y47" s="1172"/>
      <c r="Z47" s="1172"/>
      <c r="AA47" s="1172"/>
      <c r="AB47" s="1172"/>
      <c r="AC47" s="1172"/>
    </row>
    <row r="48" spans="1:29" ht="12.75" customHeight="1">
      <c r="A48" s="262"/>
      <c r="B48" s="4256" t="s">
        <v>1817</v>
      </c>
      <c r="C48" s="1617" t="s">
        <v>89</v>
      </c>
      <c r="D48" s="413"/>
      <c r="E48" s="458"/>
      <c r="F48" s="458"/>
      <c r="G48" s="458"/>
      <c r="H48" s="460">
        <v>1</v>
      </c>
      <c r="I48" s="459">
        <v>1</v>
      </c>
      <c r="J48" s="458"/>
      <c r="K48" s="458"/>
      <c r="L48" s="458"/>
      <c r="M48" s="460"/>
      <c r="N48" s="3787"/>
      <c r="O48" s="3788"/>
      <c r="P48" s="3788"/>
      <c r="Q48" s="3788"/>
      <c r="R48" s="3789"/>
      <c r="S48" s="1172"/>
      <c r="T48" s="1172"/>
      <c r="U48" s="1172"/>
      <c r="V48" s="1172"/>
      <c r="W48" s="1172"/>
      <c r="X48" s="1172"/>
      <c r="Y48" s="1172"/>
      <c r="Z48" s="1172"/>
      <c r="AA48" s="1172"/>
      <c r="AB48" s="1172"/>
      <c r="AC48" s="1172"/>
    </row>
    <row r="49" spans="1:29" ht="15" customHeight="1">
      <c r="A49" s="262"/>
      <c r="B49" s="4256"/>
      <c r="C49" s="1618" t="s">
        <v>180</v>
      </c>
      <c r="D49" s="413"/>
      <c r="E49" s="458"/>
      <c r="F49" s="458"/>
      <c r="G49" s="458"/>
      <c r="H49" s="460">
        <v>0</v>
      </c>
      <c r="I49" s="459">
        <v>0</v>
      </c>
      <c r="J49" s="458"/>
      <c r="K49" s="458"/>
      <c r="L49" s="458"/>
      <c r="M49" s="460"/>
      <c r="N49" s="3787"/>
      <c r="O49" s="3788"/>
      <c r="P49" s="3788"/>
      <c r="Q49" s="3788"/>
      <c r="R49" s="3789"/>
      <c r="S49" s="1172"/>
      <c r="T49" s="1172"/>
      <c r="U49" s="1172"/>
      <c r="V49" s="1172"/>
      <c r="W49" s="1172"/>
      <c r="X49" s="1172"/>
      <c r="Y49" s="1172"/>
      <c r="Z49" s="1172"/>
      <c r="AA49" s="1172"/>
      <c r="AB49" s="1172"/>
      <c r="AC49" s="1172"/>
    </row>
    <row r="50" spans="1:29" ht="15.75" customHeight="1" thickBot="1">
      <c r="A50" s="262"/>
      <c r="B50" s="4256"/>
      <c r="C50" s="1619" t="s">
        <v>129</v>
      </c>
      <c r="D50" s="1448">
        <f t="shared" ref="D50:M50" si="8">D48+D49</f>
        <v>0</v>
      </c>
      <c r="E50" s="1449">
        <f t="shared" si="8"/>
        <v>0</v>
      </c>
      <c r="F50" s="1449">
        <f t="shared" si="8"/>
        <v>0</v>
      </c>
      <c r="G50" s="1449">
        <f t="shared" si="8"/>
        <v>0</v>
      </c>
      <c r="H50" s="1450">
        <f t="shared" si="8"/>
        <v>1</v>
      </c>
      <c r="I50" s="1451">
        <f t="shared" si="8"/>
        <v>1</v>
      </c>
      <c r="J50" s="1449">
        <f t="shared" si="8"/>
        <v>0</v>
      </c>
      <c r="K50" s="1449">
        <f t="shared" si="8"/>
        <v>0</v>
      </c>
      <c r="L50" s="1449">
        <f t="shared" si="8"/>
        <v>0</v>
      </c>
      <c r="M50" s="1450">
        <f t="shared" si="8"/>
        <v>0</v>
      </c>
      <c r="N50" s="3790"/>
      <c r="O50" s="3791"/>
      <c r="P50" s="3791"/>
      <c r="Q50" s="3791"/>
      <c r="R50" s="3792"/>
      <c r="S50" s="1172"/>
      <c r="T50" s="1172"/>
      <c r="U50" s="1172"/>
      <c r="V50" s="1172"/>
      <c r="W50" s="1172"/>
      <c r="X50" s="1172"/>
      <c r="Y50" s="1172"/>
      <c r="Z50" s="1172"/>
      <c r="AA50" s="1172"/>
      <c r="AB50" s="1172"/>
      <c r="AC50" s="1172"/>
    </row>
    <row r="51" spans="1:29">
      <c r="A51" s="262"/>
      <c r="B51" s="4256" t="s">
        <v>1818</v>
      </c>
      <c r="C51" s="1617" t="s">
        <v>89</v>
      </c>
      <c r="D51" s="413">
        <v>0</v>
      </c>
      <c r="E51" s="458"/>
      <c r="F51" s="458"/>
      <c r="G51" s="458">
        <v>0</v>
      </c>
      <c r="H51" s="460"/>
      <c r="I51" s="459"/>
      <c r="J51" s="458"/>
      <c r="K51" s="458"/>
      <c r="L51" s="458"/>
      <c r="M51" s="460"/>
      <c r="N51" s="3787"/>
      <c r="O51" s="3788"/>
      <c r="P51" s="3788"/>
      <c r="Q51" s="3788"/>
      <c r="R51" s="3789"/>
      <c r="S51" s="1172"/>
      <c r="T51" s="1172"/>
      <c r="U51" s="1172"/>
      <c r="V51" s="1172"/>
      <c r="W51" s="1172"/>
      <c r="X51" s="1172"/>
      <c r="Y51" s="1172"/>
      <c r="Z51" s="1172"/>
      <c r="AA51" s="1172"/>
      <c r="AB51" s="1172"/>
      <c r="AC51" s="1172"/>
    </row>
    <row r="52" spans="1:29" s="78" customFormat="1" ht="12.75" customHeight="1" outlineLevel="1">
      <c r="A52" s="262"/>
      <c r="B52" s="4256"/>
      <c r="C52" s="1618" t="s">
        <v>180</v>
      </c>
      <c r="D52" s="413">
        <v>62</v>
      </c>
      <c r="E52" s="458"/>
      <c r="F52" s="458"/>
      <c r="G52" s="458">
        <v>1</v>
      </c>
      <c r="H52" s="460"/>
      <c r="I52" s="459"/>
      <c r="J52" s="458"/>
      <c r="K52" s="458"/>
      <c r="L52" s="458"/>
      <c r="M52" s="460"/>
      <c r="N52" s="3787"/>
      <c r="O52" s="3788"/>
      <c r="P52" s="3788"/>
      <c r="Q52" s="3788"/>
      <c r="R52" s="3789"/>
      <c r="S52" s="1172"/>
      <c r="T52" s="1172"/>
      <c r="U52" s="1172"/>
      <c r="V52" s="1172"/>
      <c r="W52" s="1172"/>
      <c r="X52" s="1172"/>
      <c r="Y52" s="1172"/>
      <c r="Z52" s="1172"/>
      <c r="AA52" s="1172"/>
      <c r="AB52" s="1172"/>
      <c r="AC52" s="1172"/>
    </row>
    <row r="53" spans="1:29" s="78" customFormat="1" ht="12.75" customHeight="1" outlineLevel="1" thickBot="1">
      <c r="A53" s="262"/>
      <c r="B53" s="4256"/>
      <c r="C53" s="1619" t="s">
        <v>129</v>
      </c>
      <c r="D53" s="1448">
        <f t="shared" ref="D53:M53" si="9">D51+D52</f>
        <v>62</v>
      </c>
      <c r="E53" s="1449">
        <f t="shared" si="9"/>
        <v>0</v>
      </c>
      <c r="F53" s="1449">
        <f t="shared" si="9"/>
        <v>0</v>
      </c>
      <c r="G53" s="1449">
        <f t="shared" si="9"/>
        <v>1</v>
      </c>
      <c r="H53" s="1450">
        <f t="shared" si="9"/>
        <v>0</v>
      </c>
      <c r="I53" s="1451">
        <f t="shared" si="9"/>
        <v>0</v>
      </c>
      <c r="J53" s="1449">
        <f t="shared" si="9"/>
        <v>0</v>
      </c>
      <c r="K53" s="1449">
        <f t="shared" si="9"/>
        <v>0</v>
      </c>
      <c r="L53" s="1449">
        <f t="shared" si="9"/>
        <v>0</v>
      </c>
      <c r="M53" s="1450">
        <f t="shared" si="9"/>
        <v>0</v>
      </c>
      <c r="N53" s="3790"/>
      <c r="O53" s="3791"/>
      <c r="P53" s="3791"/>
      <c r="Q53" s="3791"/>
      <c r="R53" s="3792"/>
      <c r="S53" s="1172"/>
      <c r="T53" s="1172"/>
      <c r="U53" s="1172"/>
      <c r="V53" s="1172"/>
      <c r="W53" s="1172"/>
      <c r="X53" s="1172"/>
      <c r="Y53" s="1172"/>
      <c r="Z53" s="1172"/>
      <c r="AA53" s="1172"/>
      <c r="AB53" s="1172"/>
      <c r="AC53" s="1172"/>
    </row>
    <row r="54" spans="1:29" s="78" customFormat="1" ht="12.75" customHeight="1" outlineLevel="1">
      <c r="A54" s="262"/>
      <c r="B54" s="4256" t="s">
        <v>1819</v>
      </c>
      <c r="C54" s="1617" t="s">
        <v>89</v>
      </c>
      <c r="D54" s="413"/>
      <c r="E54" s="458"/>
      <c r="F54" s="458"/>
      <c r="G54" s="458"/>
      <c r="H54" s="460"/>
      <c r="I54" s="459"/>
      <c r="J54" s="458"/>
      <c r="K54" s="458"/>
      <c r="L54" s="458"/>
      <c r="M54" s="460"/>
      <c r="N54" s="3787"/>
      <c r="O54" s="3788"/>
      <c r="P54" s="3788"/>
      <c r="Q54" s="3788"/>
      <c r="R54" s="3789"/>
      <c r="S54" s="1172"/>
      <c r="T54" s="1172"/>
      <c r="U54" s="1172"/>
      <c r="V54" s="1172"/>
      <c r="W54" s="1172"/>
      <c r="X54" s="1172"/>
      <c r="Y54" s="1172"/>
      <c r="Z54" s="1172"/>
      <c r="AA54" s="1172"/>
      <c r="AB54" s="1172"/>
      <c r="AC54" s="1172"/>
    </row>
    <row r="55" spans="1:29" s="78" customFormat="1" ht="12.75" customHeight="1" outlineLevel="1">
      <c r="A55" s="262"/>
      <c r="B55" s="4256"/>
      <c r="C55" s="1618" t="s">
        <v>180</v>
      </c>
      <c r="D55" s="413"/>
      <c r="E55" s="458"/>
      <c r="F55" s="458"/>
      <c r="G55" s="458"/>
      <c r="H55" s="460"/>
      <c r="I55" s="459"/>
      <c r="J55" s="458"/>
      <c r="K55" s="458"/>
      <c r="L55" s="458"/>
      <c r="M55" s="460">
        <f>2</f>
        <v>2</v>
      </c>
      <c r="N55" s="3787"/>
      <c r="O55" s="3788"/>
      <c r="P55" s="3788"/>
      <c r="Q55" s="3788"/>
      <c r="R55" s="3789"/>
      <c r="S55" s="1172"/>
      <c r="T55" s="1172"/>
      <c r="U55" s="1172"/>
      <c r="V55" s="1172"/>
      <c r="W55" s="1172"/>
      <c r="X55" s="1172"/>
      <c r="Y55" s="1172"/>
      <c r="Z55" s="1172"/>
      <c r="AA55" s="1172"/>
      <c r="AB55" s="1172"/>
      <c r="AC55" s="1172"/>
    </row>
    <row r="56" spans="1:29" s="78" customFormat="1" ht="12.75" customHeight="1" outlineLevel="1" thickBot="1">
      <c r="A56" s="262"/>
      <c r="B56" s="4256"/>
      <c r="C56" s="1619" t="s">
        <v>129</v>
      </c>
      <c r="D56" s="1448">
        <f t="shared" ref="D56:M56" si="10">D54+D55</f>
        <v>0</v>
      </c>
      <c r="E56" s="1449">
        <f t="shared" si="10"/>
        <v>0</v>
      </c>
      <c r="F56" s="1449">
        <f t="shared" si="10"/>
        <v>0</v>
      </c>
      <c r="G56" s="1449">
        <f t="shared" si="10"/>
        <v>0</v>
      </c>
      <c r="H56" s="1450">
        <f t="shared" si="10"/>
        <v>0</v>
      </c>
      <c r="I56" s="1451">
        <f t="shared" si="10"/>
        <v>0</v>
      </c>
      <c r="J56" s="1449">
        <f t="shared" si="10"/>
        <v>0</v>
      </c>
      <c r="K56" s="1449">
        <f t="shared" si="10"/>
        <v>0</v>
      </c>
      <c r="L56" s="1449">
        <f t="shared" si="10"/>
        <v>0</v>
      </c>
      <c r="M56" s="1450">
        <f t="shared" si="10"/>
        <v>2</v>
      </c>
      <c r="N56" s="3790"/>
      <c r="O56" s="3791"/>
      <c r="P56" s="3791"/>
      <c r="Q56" s="3791"/>
      <c r="R56" s="3792"/>
      <c r="S56" s="1172"/>
      <c r="T56" s="1172"/>
      <c r="U56" s="1172"/>
      <c r="V56" s="1172"/>
      <c r="W56" s="1172"/>
      <c r="X56" s="1172"/>
      <c r="Y56" s="1172"/>
      <c r="Z56" s="1172"/>
      <c r="AA56" s="1172"/>
      <c r="AB56" s="1172"/>
      <c r="AC56" s="1172"/>
    </row>
    <row r="57" spans="1:29" s="78" customFormat="1" ht="12.75" customHeight="1" outlineLevel="1">
      <c r="A57" s="262"/>
      <c r="B57" s="4256" t="s">
        <v>1820</v>
      </c>
      <c r="C57" s="1617" t="s">
        <v>89</v>
      </c>
      <c r="D57" s="413"/>
      <c r="E57" s="458"/>
      <c r="F57" s="458"/>
      <c r="G57" s="458"/>
      <c r="H57" s="460"/>
      <c r="I57" s="459"/>
      <c r="J57" s="458"/>
      <c r="K57" s="458"/>
      <c r="L57" s="458"/>
      <c r="M57" s="460"/>
      <c r="N57" s="3787"/>
      <c r="O57" s="3788"/>
      <c r="P57" s="3788"/>
      <c r="Q57" s="3788"/>
      <c r="R57" s="3789"/>
      <c r="S57" s="1172"/>
      <c r="T57" s="1172"/>
      <c r="U57" s="1172"/>
      <c r="V57" s="1172"/>
      <c r="W57" s="1172"/>
      <c r="X57" s="1172"/>
      <c r="Y57" s="1172"/>
      <c r="Z57" s="1172"/>
      <c r="AA57" s="1172"/>
      <c r="AB57" s="1172"/>
      <c r="AC57" s="1172"/>
    </row>
    <row r="58" spans="1:29" s="78" customFormat="1" ht="12.75" customHeight="1" outlineLevel="1">
      <c r="A58" s="262"/>
      <c r="B58" s="4256"/>
      <c r="C58" s="1618" t="s">
        <v>180</v>
      </c>
      <c r="D58" s="413"/>
      <c r="E58" s="458"/>
      <c r="F58" s="458"/>
      <c r="G58" s="458"/>
      <c r="H58" s="460"/>
      <c r="I58" s="459"/>
      <c r="J58" s="458"/>
      <c r="K58" s="458"/>
      <c r="L58" s="458"/>
      <c r="M58" s="460">
        <f>1</f>
        <v>1</v>
      </c>
      <c r="N58" s="3787"/>
      <c r="O58" s="3788"/>
      <c r="P58" s="3788"/>
      <c r="Q58" s="3788"/>
      <c r="R58" s="3789"/>
      <c r="S58" s="1172"/>
      <c r="T58" s="1172"/>
      <c r="U58" s="1172"/>
      <c r="V58" s="1172"/>
      <c r="W58" s="1172"/>
      <c r="X58" s="1172"/>
      <c r="Y58" s="1172"/>
      <c r="Z58" s="1172"/>
      <c r="AA58" s="1172"/>
      <c r="AB58" s="1172"/>
      <c r="AC58" s="1172"/>
    </row>
    <row r="59" spans="1:29" s="78" customFormat="1" ht="12.75" customHeight="1" outlineLevel="1" thickBot="1">
      <c r="A59" s="262"/>
      <c r="B59" s="4256"/>
      <c r="C59" s="1619" t="s">
        <v>129</v>
      </c>
      <c r="D59" s="1448">
        <f t="shared" ref="D59:M59" si="11">D57+D58</f>
        <v>0</v>
      </c>
      <c r="E59" s="1449">
        <f t="shared" si="11"/>
        <v>0</v>
      </c>
      <c r="F59" s="1449">
        <f t="shared" si="11"/>
        <v>0</v>
      </c>
      <c r="G59" s="1449">
        <f t="shared" si="11"/>
        <v>0</v>
      </c>
      <c r="H59" s="1450">
        <f t="shared" si="11"/>
        <v>0</v>
      </c>
      <c r="I59" s="1451">
        <f t="shared" si="11"/>
        <v>0</v>
      </c>
      <c r="J59" s="1449">
        <f t="shared" si="11"/>
        <v>0</v>
      </c>
      <c r="K59" s="1449">
        <f t="shared" si="11"/>
        <v>0</v>
      </c>
      <c r="L59" s="1449">
        <f t="shared" si="11"/>
        <v>0</v>
      </c>
      <c r="M59" s="1450">
        <f t="shared" si="11"/>
        <v>1</v>
      </c>
      <c r="N59" s="3790"/>
      <c r="O59" s="3791"/>
      <c r="P59" s="3791"/>
      <c r="Q59" s="3791"/>
      <c r="R59" s="3792"/>
      <c r="S59" s="1172"/>
      <c r="T59" s="1172"/>
      <c r="U59" s="1172"/>
      <c r="V59" s="1172"/>
      <c r="W59" s="1172"/>
      <c r="X59" s="1172"/>
      <c r="Y59" s="1172"/>
      <c r="Z59" s="1172"/>
      <c r="AA59" s="1172"/>
      <c r="AB59" s="1172"/>
      <c r="AC59" s="1172"/>
    </row>
    <row r="60" spans="1:29" s="78" customFormat="1" ht="15.75" customHeight="1">
      <c r="A60" s="262"/>
      <c r="B60" s="4256" t="s">
        <v>1821</v>
      </c>
      <c r="C60" s="1617" t="s">
        <v>89</v>
      </c>
      <c r="D60" s="413"/>
      <c r="E60" s="458"/>
      <c r="F60" s="458"/>
      <c r="G60" s="458"/>
      <c r="H60" s="460"/>
      <c r="I60" s="459"/>
      <c r="J60" s="458"/>
      <c r="K60" s="458"/>
      <c r="L60" s="458"/>
      <c r="M60" s="460"/>
      <c r="N60" s="3787"/>
      <c r="O60" s="3788"/>
      <c r="P60" s="3788"/>
      <c r="Q60" s="3788"/>
      <c r="R60" s="3789"/>
      <c r="S60" s="1172"/>
      <c r="T60" s="1172"/>
      <c r="U60" s="1172"/>
      <c r="V60" s="1172"/>
      <c r="W60" s="1172"/>
      <c r="X60" s="1172"/>
      <c r="Y60" s="1172"/>
      <c r="Z60" s="1172"/>
      <c r="AA60" s="1172"/>
      <c r="AB60" s="1172"/>
      <c r="AC60" s="1172"/>
    </row>
    <row r="61" spans="1:29" s="69" customFormat="1" ht="45" customHeight="1">
      <c r="A61" s="314"/>
      <c r="B61" s="4256"/>
      <c r="C61" s="1618" t="s">
        <v>180</v>
      </c>
      <c r="D61" s="413"/>
      <c r="E61" s="458"/>
      <c r="F61" s="458"/>
      <c r="G61" s="458"/>
      <c r="H61" s="460"/>
      <c r="I61" s="459"/>
      <c r="J61" s="458"/>
      <c r="K61" s="458"/>
      <c r="L61" s="458"/>
      <c r="M61" s="460">
        <f>3</f>
        <v>3</v>
      </c>
      <c r="N61" s="3787"/>
      <c r="O61" s="3788"/>
      <c r="P61" s="3788"/>
      <c r="Q61" s="3788"/>
      <c r="R61" s="3789"/>
      <c r="S61" s="1172"/>
      <c r="T61" s="1172"/>
      <c r="U61" s="1172"/>
      <c r="V61" s="1172"/>
      <c r="W61" s="1172"/>
      <c r="X61" s="1172"/>
      <c r="Y61" s="1172"/>
      <c r="Z61" s="1172"/>
      <c r="AA61" s="1172"/>
      <c r="AB61" s="1172"/>
      <c r="AC61" s="1172"/>
    </row>
    <row r="62" spans="1:29" s="78" customFormat="1" ht="30" customHeight="1" thickBot="1">
      <c r="A62" s="262"/>
      <c r="B62" s="4256"/>
      <c r="C62" s="1619" t="s">
        <v>129</v>
      </c>
      <c r="D62" s="1448">
        <f t="shared" ref="D62:M62" si="12">D60+D61</f>
        <v>0</v>
      </c>
      <c r="E62" s="1449">
        <f t="shared" si="12"/>
        <v>0</v>
      </c>
      <c r="F62" s="1449">
        <f t="shared" si="12"/>
        <v>0</v>
      </c>
      <c r="G62" s="1449">
        <f t="shared" si="12"/>
        <v>0</v>
      </c>
      <c r="H62" s="1450">
        <f t="shared" si="12"/>
        <v>0</v>
      </c>
      <c r="I62" s="1451">
        <f t="shared" si="12"/>
        <v>0</v>
      </c>
      <c r="J62" s="1449">
        <f t="shared" si="12"/>
        <v>0</v>
      </c>
      <c r="K62" s="1449">
        <f t="shared" si="12"/>
        <v>0</v>
      </c>
      <c r="L62" s="1449">
        <f t="shared" si="12"/>
        <v>0</v>
      </c>
      <c r="M62" s="1450">
        <f t="shared" si="12"/>
        <v>3</v>
      </c>
      <c r="N62" s="3790"/>
      <c r="O62" s="3791"/>
      <c r="P62" s="3791"/>
      <c r="Q62" s="3791"/>
      <c r="R62" s="3792"/>
      <c r="S62" s="1172"/>
      <c r="T62" s="1172"/>
      <c r="U62" s="1172"/>
      <c r="V62" s="1172"/>
      <c r="W62" s="1172"/>
      <c r="X62" s="1172"/>
      <c r="Y62" s="1172"/>
      <c r="Z62" s="1172"/>
      <c r="AA62" s="1172"/>
      <c r="AB62" s="1172"/>
      <c r="AC62" s="1172"/>
    </row>
    <row r="63" spans="1:29" s="183" customFormat="1" ht="24.75" customHeight="1">
      <c r="A63" s="262"/>
      <c r="B63" s="4256" t="s">
        <v>1822</v>
      </c>
      <c r="C63" s="1617" t="s">
        <v>89</v>
      </c>
      <c r="D63" s="413"/>
      <c r="E63" s="458"/>
      <c r="F63" s="458"/>
      <c r="G63" s="458"/>
      <c r="H63" s="460">
        <v>1</v>
      </c>
      <c r="I63" s="459"/>
      <c r="J63" s="458"/>
      <c r="K63" s="458"/>
      <c r="L63" s="458"/>
      <c r="M63" s="460"/>
      <c r="N63" s="3787"/>
      <c r="O63" s="3788"/>
      <c r="P63" s="3788"/>
      <c r="Q63" s="3788"/>
      <c r="R63" s="3789"/>
      <c r="S63" s="1172"/>
      <c r="T63" s="1172"/>
      <c r="U63" s="1172"/>
      <c r="V63" s="1172"/>
      <c r="W63" s="1172"/>
      <c r="X63" s="1172"/>
      <c r="Y63" s="1172"/>
      <c r="Z63" s="1172"/>
      <c r="AA63" s="1172"/>
      <c r="AB63" s="1172"/>
      <c r="AC63" s="1172"/>
    </row>
    <row r="64" spans="1:29" ht="15.75" customHeight="1">
      <c r="A64" s="262"/>
      <c r="B64" s="4256"/>
      <c r="C64" s="1618" t="s">
        <v>180</v>
      </c>
      <c r="D64" s="413"/>
      <c r="E64" s="458"/>
      <c r="F64" s="458"/>
      <c r="G64" s="458"/>
      <c r="H64" s="460">
        <v>0</v>
      </c>
      <c r="I64" s="459"/>
      <c r="J64" s="458"/>
      <c r="K64" s="458"/>
      <c r="L64" s="458"/>
      <c r="M64" s="460">
        <f>7</f>
        <v>7</v>
      </c>
      <c r="N64" s="3787"/>
      <c r="O64" s="3788"/>
      <c r="P64" s="3788"/>
      <c r="Q64" s="3788"/>
      <c r="R64" s="3789"/>
      <c r="S64" s="3784"/>
      <c r="T64" s="1172"/>
      <c r="U64" s="1172"/>
      <c r="V64" s="1172"/>
      <c r="W64" s="1172"/>
      <c r="X64" s="1172"/>
      <c r="Y64" s="1172"/>
      <c r="Z64" s="1172"/>
      <c r="AA64" s="1172"/>
      <c r="AB64" s="1172"/>
      <c r="AC64" s="1172"/>
    </row>
    <row r="65" spans="1:29" ht="12.75" customHeight="1" thickBot="1">
      <c r="A65" s="262"/>
      <c r="B65" s="4256"/>
      <c r="C65" s="1619" t="s">
        <v>129</v>
      </c>
      <c r="D65" s="1448">
        <f t="shared" ref="D65:M65" si="13">D63+D64</f>
        <v>0</v>
      </c>
      <c r="E65" s="1449">
        <f t="shared" si="13"/>
        <v>0</v>
      </c>
      <c r="F65" s="1449">
        <f t="shared" si="13"/>
        <v>0</v>
      </c>
      <c r="G65" s="1449">
        <f t="shared" si="13"/>
        <v>0</v>
      </c>
      <c r="H65" s="1450">
        <f t="shared" si="13"/>
        <v>1</v>
      </c>
      <c r="I65" s="1451">
        <f t="shared" si="13"/>
        <v>0</v>
      </c>
      <c r="J65" s="1449">
        <f t="shared" si="13"/>
        <v>0</v>
      </c>
      <c r="K65" s="1449">
        <f t="shared" si="13"/>
        <v>0</v>
      </c>
      <c r="L65" s="1449">
        <f t="shared" si="13"/>
        <v>0</v>
      </c>
      <c r="M65" s="1450">
        <f t="shared" si="13"/>
        <v>7</v>
      </c>
      <c r="N65" s="3790"/>
      <c r="O65" s="3791"/>
      <c r="P65" s="3791"/>
      <c r="Q65" s="3791"/>
      <c r="R65" s="3792"/>
      <c r="S65" s="3784"/>
      <c r="T65" s="1172"/>
      <c r="U65" s="1172"/>
      <c r="V65" s="1172"/>
      <c r="W65" s="1172"/>
      <c r="X65" s="1172"/>
      <c r="Y65" s="1172"/>
      <c r="Z65" s="1172"/>
      <c r="AA65" s="1172"/>
      <c r="AB65" s="1172"/>
      <c r="AC65" s="1172"/>
    </row>
    <row r="66" spans="1:29" ht="15" customHeight="1">
      <c r="A66" s="262"/>
      <c r="B66" s="4255" t="s">
        <v>1823</v>
      </c>
      <c r="C66" s="1617" t="s">
        <v>89</v>
      </c>
      <c r="D66" s="413">
        <v>260</v>
      </c>
      <c r="E66" s="458">
        <v>146</v>
      </c>
      <c r="F66" s="458">
        <v>166</v>
      </c>
      <c r="G66" s="458">
        <v>0</v>
      </c>
      <c r="H66" s="460">
        <v>81</v>
      </c>
      <c r="I66" s="459">
        <v>82</v>
      </c>
      <c r="J66" s="458">
        <v>0</v>
      </c>
      <c r="K66" s="458">
        <v>0</v>
      </c>
      <c r="L66" s="458">
        <v>90</v>
      </c>
      <c r="M66" s="460">
        <f>0.8*(103+64)</f>
        <v>133.6</v>
      </c>
      <c r="N66" s="3794"/>
      <c r="O66" s="3788"/>
      <c r="P66" s="3788"/>
      <c r="Q66" s="3788"/>
      <c r="R66" s="3793"/>
      <c r="S66" s="3784"/>
      <c r="T66" s="1172"/>
      <c r="U66" s="1172"/>
      <c r="V66" s="1172"/>
      <c r="W66" s="1172"/>
      <c r="X66" s="1172"/>
      <c r="Y66" s="1172"/>
      <c r="Z66" s="1172"/>
      <c r="AA66" s="1172"/>
      <c r="AB66" s="1172"/>
      <c r="AC66" s="1172"/>
    </row>
    <row r="67" spans="1:29" ht="15.75" customHeight="1">
      <c r="A67" s="262"/>
      <c r="B67" s="4256"/>
      <c r="C67" s="1618" t="s">
        <v>180</v>
      </c>
      <c r="D67" s="413">
        <v>266</v>
      </c>
      <c r="E67" s="458">
        <v>145</v>
      </c>
      <c r="F67" s="458">
        <v>165</v>
      </c>
      <c r="G67" s="458">
        <v>399</v>
      </c>
      <c r="H67" s="460">
        <v>332</v>
      </c>
      <c r="I67" s="459">
        <v>248</v>
      </c>
      <c r="J67" s="458">
        <v>324</v>
      </c>
      <c r="K67" s="458">
        <v>251</v>
      </c>
      <c r="L67" s="458">
        <v>47</v>
      </c>
      <c r="M67" s="460">
        <f>0.2*(103+64)</f>
        <v>33.4</v>
      </c>
      <c r="N67" s="3794"/>
      <c r="O67" s="3788"/>
      <c r="P67" s="3788"/>
      <c r="Q67" s="3788"/>
      <c r="R67" s="3793"/>
      <c r="S67" s="3785">
        <v>0.2</v>
      </c>
      <c r="T67" s="1172"/>
      <c r="U67" s="1172"/>
      <c r="V67" s="1172"/>
      <c r="W67" s="1172"/>
      <c r="X67" s="1172"/>
      <c r="Y67" s="1172"/>
      <c r="Z67" s="1172"/>
      <c r="AA67" s="1172"/>
      <c r="AB67" s="1172"/>
      <c r="AC67" s="1172"/>
    </row>
    <row r="68" spans="1:29" ht="20.25" customHeight="1" thickBot="1">
      <c r="A68" s="262"/>
      <c r="B68" s="4256"/>
      <c r="C68" s="1619" t="s">
        <v>129</v>
      </c>
      <c r="D68" s="1448">
        <f t="shared" ref="D68:M71" si="14">D66+D67</f>
        <v>526</v>
      </c>
      <c r="E68" s="1449">
        <f t="shared" si="14"/>
        <v>291</v>
      </c>
      <c r="F68" s="1449">
        <f t="shared" si="14"/>
        <v>331</v>
      </c>
      <c r="G68" s="1449">
        <f t="shared" si="14"/>
        <v>399</v>
      </c>
      <c r="H68" s="1450">
        <f t="shared" si="14"/>
        <v>413</v>
      </c>
      <c r="I68" s="1451">
        <f t="shared" si="14"/>
        <v>330</v>
      </c>
      <c r="J68" s="1449">
        <f t="shared" si="14"/>
        <v>324</v>
      </c>
      <c r="K68" s="1449">
        <f t="shared" si="14"/>
        <v>251</v>
      </c>
      <c r="L68" s="1449">
        <f t="shared" si="14"/>
        <v>137</v>
      </c>
      <c r="M68" s="1450">
        <f t="shared" si="14"/>
        <v>167</v>
      </c>
      <c r="N68" s="3795"/>
      <c r="O68" s="3791"/>
      <c r="P68" s="3791"/>
      <c r="Q68" s="3791"/>
      <c r="R68" s="3796"/>
      <c r="S68" s="3785">
        <v>0.8</v>
      </c>
      <c r="T68" s="1172"/>
      <c r="U68" s="1172"/>
      <c r="V68" s="1172"/>
      <c r="W68" s="1172"/>
      <c r="X68" s="1172"/>
      <c r="Y68" s="1172"/>
      <c r="Z68" s="1172"/>
      <c r="AA68" s="1172"/>
      <c r="AB68" s="1172"/>
      <c r="AC68" s="1172"/>
    </row>
    <row r="69" spans="1:29" s="78" customFormat="1" ht="12.75" customHeight="1" outlineLevel="1">
      <c r="A69" s="262"/>
      <c r="B69" s="4255" t="s">
        <v>1824</v>
      </c>
      <c r="C69" s="1617" t="s">
        <v>89</v>
      </c>
      <c r="D69" s="413">
        <v>97</v>
      </c>
      <c r="E69" s="458">
        <v>71</v>
      </c>
      <c r="F69" s="458">
        <v>71</v>
      </c>
      <c r="G69" s="458">
        <v>100</v>
      </c>
      <c r="H69" s="460">
        <v>65</v>
      </c>
      <c r="I69" s="459">
        <v>81</v>
      </c>
      <c r="J69" s="458">
        <v>61</v>
      </c>
      <c r="K69" s="458">
        <v>78</v>
      </c>
      <c r="L69" s="458">
        <v>226</v>
      </c>
      <c r="M69" s="460">
        <f>$S$68*186+52+2</f>
        <v>202.8</v>
      </c>
      <c r="N69" s="3794"/>
      <c r="O69" s="3788"/>
      <c r="P69" s="3788"/>
      <c r="Q69" s="3788"/>
      <c r="R69" s="3793"/>
      <c r="S69" s="3784"/>
      <c r="T69" s="1172"/>
      <c r="U69" s="1172"/>
      <c r="V69" s="1172"/>
      <c r="W69" s="1172"/>
      <c r="X69" s="1172"/>
      <c r="Y69" s="1172"/>
      <c r="Z69" s="1172"/>
      <c r="AA69" s="1172"/>
      <c r="AB69" s="1172"/>
      <c r="AC69" s="1172"/>
    </row>
    <row r="70" spans="1:29" ht="12.75" customHeight="1" outlineLevel="1">
      <c r="A70" s="262"/>
      <c r="B70" s="4256"/>
      <c r="C70" s="1618" t="s">
        <v>180</v>
      </c>
      <c r="D70" s="413">
        <v>96</v>
      </c>
      <c r="E70" s="458">
        <v>76</v>
      </c>
      <c r="F70" s="458">
        <v>71</v>
      </c>
      <c r="G70" s="458">
        <v>65</v>
      </c>
      <c r="H70" s="460">
        <v>50</v>
      </c>
      <c r="I70" s="459">
        <v>48</v>
      </c>
      <c r="J70" s="458">
        <v>92</v>
      </c>
      <c r="K70" s="458">
        <v>251</v>
      </c>
      <c r="L70" s="458">
        <v>12</v>
      </c>
      <c r="M70" s="460">
        <f>$S$67*186</f>
        <v>37.200000000000003</v>
      </c>
      <c r="N70" s="3794"/>
      <c r="O70" s="3788"/>
      <c r="P70" s="3788"/>
      <c r="Q70" s="3788"/>
      <c r="R70" s="3793"/>
      <c r="S70" s="3784"/>
      <c r="T70" s="1172"/>
      <c r="U70" s="1172"/>
      <c r="V70" s="1172"/>
      <c r="W70" s="1172"/>
      <c r="X70" s="1172"/>
      <c r="Y70" s="1172"/>
      <c r="Z70" s="1172"/>
      <c r="AA70" s="1172"/>
      <c r="AB70" s="1172"/>
      <c r="AC70" s="1172"/>
    </row>
    <row r="71" spans="1:29" ht="13.5" outlineLevel="1" thickBot="1">
      <c r="A71" s="262"/>
      <c r="B71" s="4256"/>
      <c r="C71" s="1619" t="s">
        <v>129</v>
      </c>
      <c r="D71" s="1448">
        <f t="shared" ref="D71:I71" si="15">D69+D70</f>
        <v>193</v>
      </c>
      <c r="E71" s="1449">
        <f t="shared" si="15"/>
        <v>147</v>
      </c>
      <c r="F71" s="1449">
        <f t="shared" si="15"/>
        <v>142</v>
      </c>
      <c r="G71" s="1449">
        <f t="shared" si="15"/>
        <v>165</v>
      </c>
      <c r="H71" s="1450">
        <f t="shared" si="15"/>
        <v>115</v>
      </c>
      <c r="I71" s="1451">
        <f t="shared" si="15"/>
        <v>129</v>
      </c>
      <c r="J71" s="1449">
        <f t="shared" si="14"/>
        <v>153</v>
      </c>
      <c r="K71" s="1449">
        <f t="shared" si="14"/>
        <v>329</v>
      </c>
      <c r="L71" s="1449">
        <f t="shared" si="14"/>
        <v>238</v>
      </c>
      <c r="M71" s="1450">
        <f t="shared" si="14"/>
        <v>240</v>
      </c>
      <c r="N71" s="3795"/>
      <c r="O71" s="3791"/>
      <c r="P71" s="3791"/>
      <c r="Q71" s="3791"/>
      <c r="R71" s="3796"/>
      <c r="S71" s="1172"/>
      <c r="T71" s="1172"/>
      <c r="U71" s="1172"/>
      <c r="V71" s="1172"/>
      <c r="W71" s="1172"/>
      <c r="X71" s="1172"/>
      <c r="Y71" s="1172"/>
      <c r="Z71" s="1172"/>
      <c r="AA71" s="1172"/>
      <c r="AB71" s="1172"/>
      <c r="AC71" s="1172"/>
    </row>
    <row r="72" spans="1:29" outlineLevel="1">
      <c r="A72" s="262"/>
      <c r="B72" s="4255" t="s">
        <v>1825</v>
      </c>
      <c r="C72" s="1617" t="s">
        <v>89</v>
      </c>
      <c r="D72" s="413">
        <v>7</v>
      </c>
      <c r="E72" s="458">
        <v>16</v>
      </c>
      <c r="F72" s="458">
        <v>18</v>
      </c>
      <c r="G72" s="458">
        <v>10</v>
      </c>
      <c r="H72" s="460">
        <v>23</v>
      </c>
      <c r="I72" s="459">
        <v>25</v>
      </c>
      <c r="J72" s="458">
        <v>8</v>
      </c>
      <c r="K72" s="458">
        <v>17</v>
      </c>
      <c r="L72" s="458">
        <v>12</v>
      </c>
      <c r="M72" s="460">
        <f>$S$68*24+17+1</f>
        <v>37.200000000000003</v>
      </c>
      <c r="N72" s="3794"/>
      <c r="O72" s="3788"/>
      <c r="P72" s="3788"/>
      <c r="Q72" s="3788"/>
      <c r="R72" s="3793"/>
      <c r="S72" s="1172"/>
      <c r="T72" s="1172"/>
      <c r="U72" s="1172"/>
      <c r="V72" s="1172"/>
      <c r="W72" s="1172"/>
      <c r="X72" s="1172"/>
      <c r="Y72" s="1172"/>
      <c r="Z72" s="1172"/>
      <c r="AA72" s="1172"/>
      <c r="AB72" s="1172"/>
      <c r="AC72" s="1172"/>
    </row>
    <row r="73" spans="1:29" s="78" customFormat="1" ht="12.75" customHeight="1" outlineLevel="1">
      <c r="A73" s="262"/>
      <c r="B73" s="4256"/>
      <c r="C73" s="1618" t="s">
        <v>180</v>
      </c>
      <c r="D73" s="413">
        <v>0</v>
      </c>
      <c r="E73" s="458">
        <v>0</v>
      </c>
      <c r="F73" s="458">
        <v>0</v>
      </c>
      <c r="G73" s="458">
        <v>9</v>
      </c>
      <c r="H73" s="460">
        <v>0</v>
      </c>
      <c r="I73" s="459">
        <v>0</v>
      </c>
      <c r="J73" s="458">
        <v>7</v>
      </c>
      <c r="K73" s="458"/>
      <c r="L73" s="458"/>
      <c r="M73" s="460">
        <f>$S$67*24</f>
        <v>4.8000000000000007</v>
      </c>
      <c r="N73" s="3794"/>
      <c r="O73" s="3788"/>
      <c r="P73" s="3788"/>
      <c r="Q73" s="3788"/>
      <c r="R73" s="3793"/>
      <c r="S73" s="1172"/>
      <c r="T73" s="1172"/>
      <c r="U73" s="1172"/>
      <c r="V73" s="1172"/>
      <c r="W73" s="1172"/>
      <c r="X73" s="1172"/>
      <c r="Y73" s="1172"/>
      <c r="Z73" s="1172"/>
      <c r="AA73" s="1172"/>
      <c r="AB73" s="1172"/>
      <c r="AC73" s="1172"/>
    </row>
    <row r="74" spans="1:29" s="78" customFormat="1" ht="12.75" customHeight="1" outlineLevel="1" thickBot="1">
      <c r="A74" s="262"/>
      <c r="B74" s="4256"/>
      <c r="C74" s="1619" t="s">
        <v>129</v>
      </c>
      <c r="D74" s="1448">
        <f t="shared" ref="D74:M74" si="16">D72+D73</f>
        <v>7</v>
      </c>
      <c r="E74" s="1449">
        <f t="shared" si="16"/>
        <v>16</v>
      </c>
      <c r="F74" s="1449">
        <f t="shared" si="16"/>
        <v>18</v>
      </c>
      <c r="G74" s="1449">
        <f t="shared" si="16"/>
        <v>19</v>
      </c>
      <c r="H74" s="1450">
        <f t="shared" si="16"/>
        <v>23</v>
      </c>
      <c r="I74" s="1451">
        <f t="shared" si="16"/>
        <v>25</v>
      </c>
      <c r="J74" s="1449">
        <f t="shared" si="16"/>
        <v>15</v>
      </c>
      <c r="K74" s="1449">
        <f t="shared" si="16"/>
        <v>17</v>
      </c>
      <c r="L74" s="1449">
        <f t="shared" si="16"/>
        <v>12</v>
      </c>
      <c r="M74" s="1450">
        <f t="shared" si="16"/>
        <v>42</v>
      </c>
      <c r="N74" s="3795"/>
      <c r="O74" s="3791"/>
      <c r="P74" s="3791"/>
      <c r="Q74" s="3791"/>
      <c r="R74" s="3796"/>
      <c r="S74" s="1172"/>
      <c r="T74" s="1172"/>
      <c r="U74" s="1172"/>
      <c r="V74" s="1172"/>
      <c r="W74" s="1172"/>
      <c r="X74" s="1172"/>
      <c r="Y74" s="1172"/>
      <c r="Z74" s="1172"/>
      <c r="AA74" s="1172"/>
      <c r="AB74" s="1172"/>
      <c r="AC74" s="1172"/>
    </row>
    <row r="75" spans="1:29" s="78" customFormat="1" ht="12.75" customHeight="1" outlineLevel="1">
      <c r="A75" s="262"/>
      <c r="B75" s="4255" t="s">
        <v>1826</v>
      </c>
      <c r="C75" s="1617" t="s">
        <v>89</v>
      </c>
      <c r="D75" s="413">
        <v>1</v>
      </c>
      <c r="E75" s="458">
        <v>6</v>
      </c>
      <c r="F75" s="458">
        <v>15</v>
      </c>
      <c r="G75" s="458">
        <v>8</v>
      </c>
      <c r="H75" s="460">
        <v>9</v>
      </c>
      <c r="I75" s="459">
        <v>19</v>
      </c>
      <c r="J75" s="458">
        <v>15</v>
      </c>
      <c r="K75" s="458">
        <v>8</v>
      </c>
      <c r="L75" s="458">
        <v>5</v>
      </c>
      <c r="M75" s="460">
        <f>$S$68*22+9</f>
        <v>26.6</v>
      </c>
      <c r="N75" s="3794"/>
      <c r="O75" s="3788"/>
      <c r="P75" s="3788"/>
      <c r="Q75" s="3788"/>
      <c r="R75" s="3793"/>
      <c r="S75" s="1172"/>
      <c r="T75" s="1172"/>
      <c r="U75" s="1172"/>
      <c r="V75" s="1172"/>
      <c r="W75" s="1172"/>
      <c r="X75" s="1172"/>
      <c r="Y75" s="1172"/>
      <c r="Z75" s="1172"/>
      <c r="AA75" s="1172"/>
      <c r="AB75" s="1172"/>
      <c r="AC75" s="1172"/>
    </row>
    <row r="76" spans="1:29" s="78" customFormat="1" ht="12.75" customHeight="1" outlineLevel="1">
      <c r="A76" s="262"/>
      <c r="B76" s="4256"/>
      <c r="C76" s="1618" t="s">
        <v>180</v>
      </c>
      <c r="D76" s="413">
        <v>0</v>
      </c>
      <c r="E76" s="458">
        <v>0</v>
      </c>
      <c r="F76" s="458">
        <v>0</v>
      </c>
      <c r="G76" s="458">
        <v>8</v>
      </c>
      <c r="H76" s="460">
        <v>0</v>
      </c>
      <c r="I76" s="459">
        <v>2</v>
      </c>
      <c r="J76" s="458">
        <v>5</v>
      </c>
      <c r="K76" s="458"/>
      <c r="L76" s="458"/>
      <c r="M76" s="460">
        <f>$S$67*22</f>
        <v>4.4000000000000004</v>
      </c>
      <c r="N76" s="3794"/>
      <c r="O76" s="3788"/>
      <c r="P76" s="3788"/>
      <c r="Q76" s="3788"/>
      <c r="R76" s="3793"/>
      <c r="S76" s="1172"/>
      <c r="T76" s="1172"/>
      <c r="U76" s="1172"/>
      <c r="V76" s="1172"/>
      <c r="W76" s="1172"/>
      <c r="X76" s="1172"/>
      <c r="Y76" s="1172"/>
      <c r="Z76" s="1172"/>
      <c r="AA76" s="1172"/>
      <c r="AB76" s="1172"/>
      <c r="AC76" s="1172"/>
    </row>
    <row r="77" spans="1:29" s="78" customFormat="1" ht="12.75" customHeight="1" outlineLevel="1" thickBot="1">
      <c r="A77" s="262"/>
      <c r="B77" s="4256"/>
      <c r="C77" s="1619" t="s">
        <v>129</v>
      </c>
      <c r="D77" s="1448">
        <f t="shared" ref="D77:M89" si="17">D75+D76</f>
        <v>1</v>
      </c>
      <c r="E77" s="1449">
        <f t="shared" si="17"/>
        <v>6</v>
      </c>
      <c r="F77" s="1449">
        <f t="shared" si="17"/>
        <v>15</v>
      </c>
      <c r="G77" s="1449">
        <f t="shared" si="17"/>
        <v>16</v>
      </c>
      <c r="H77" s="1450">
        <f t="shared" si="17"/>
        <v>9</v>
      </c>
      <c r="I77" s="1451">
        <f t="shared" si="17"/>
        <v>21</v>
      </c>
      <c r="J77" s="1449">
        <f t="shared" si="17"/>
        <v>20</v>
      </c>
      <c r="K77" s="1449">
        <f t="shared" si="17"/>
        <v>8</v>
      </c>
      <c r="L77" s="1449">
        <f t="shared" si="17"/>
        <v>5</v>
      </c>
      <c r="M77" s="1450">
        <f t="shared" si="17"/>
        <v>31</v>
      </c>
      <c r="N77" s="3795"/>
      <c r="O77" s="3791"/>
      <c r="P77" s="3791"/>
      <c r="Q77" s="3791"/>
      <c r="R77" s="3796"/>
      <c r="S77" s="1172"/>
      <c r="T77" s="1172"/>
      <c r="U77" s="1172"/>
      <c r="V77" s="1172"/>
      <c r="W77" s="1172"/>
      <c r="X77" s="1172"/>
      <c r="Y77" s="1172"/>
      <c r="Z77" s="1172"/>
      <c r="AA77" s="1172"/>
      <c r="AB77" s="1172"/>
      <c r="AC77" s="1172"/>
    </row>
    <row r="78" spans="1:29" s="78" customFormat="1" ht="12.75" customHeight="1">
      <c r="A78" s="262"/>
      <c r="B78" s="4255" t="s">
        <v>1827</v>
      </c>
      <c r="C78" s="1617" t="s">
        <v>89</v>
      </c>
      <c r="D78" s="413">
        <v>9</v>
      </c>
      <c r="E78" s="458">
        <v>1</v>
      </c>
      <c r="F78" s="458">
        <v>5</v>
      </c>
      <c r="G78" s="458">
        <v>8</v>
      </c>
      <c r="H78" s="460">
        <v>6</v>
      </c>
      <c r="I78" s="459">
        <v>9</v>
      </c>
      <c r="J78" s="458">
        <v>5</v>
      </c>
      <c r="K78" s="458">
        <v>5</v>
      </c>
      <c r="L78" s="458">
        <v>7</v>
      </c>
      <c r="M78" s="460">
        <f>$S$68*23+9</f>
        <v>27.400000000000002</v>
      </c>
      <c r="N78" s="3794"/>
      <c r="O78" s="3788"/>
      <c r="P78" s="3788"/>
      <c r="Q78" s="3788"/>
      <c r="R78" s="3793"/>
      <c r="S78" s="1172"/>
      <c r="T78" s="1172"/>
      <c r="U78" s="1172"/>
      <c r="V78" s="1172"/>
      <c r="W78" s="1172"/>
      <c r="X78" s="1172"/>
      <c r="Y78" s="1172"/>
      <c r="Z78" s="1172"/>
      <c r="AA78" s="1172"/>
      <c r="AB78" s="1172"/>
      <c r="AC78" s="1172"/>
    </row>
    <row r="79" spans="1:29" s="474" customFormat="1" ht="20.25" customHeight="1">
      <c r="A79" s="262"/>
      <c r="B79" s="4256"/>
      <c r="C79" s="1618" t="s">
        <v>180</v>
      </c>
      <c r="D79" s="413">
        <v>0</v>
      </c>
      <c r="E79" s="458">
        <v>0</v>
      </c>
      <c r="F79" s="458">
        <v>0</v>
      </c>
      <c r="G79" s="458">
        <v>0</v>
      </c>
      <c r="H79" s="460">
        <v>0</v>
      </c>
      <c r="I79" s="459">
        <v>0</v>
      </c>
      <c r="J79" s="458">
        <v>0</v>
      </c>
      <c r="K79" s="458"/>
      <c r="L79" s="458"/>
      <c r="M79" s="460">
        <f>$S$67*23</f>
        <v>4.6000000000000005</v>
      </c>
      <c r="N79" s="3794"/>
      <c r="O79" s="3788"/>
      <c r="P79" s="3788"/>
      <c r="Q79" s="3788"/>
      <c r="R79" s="3793"/>
      <c r="S79" s="1172"/>
      <c r="T79" s="1172"/>
      <c r="U79" s="1172"/>
      <c r="V79" s="1172"/>
      <c r="W79" s="1172"/>
      <c r="X79" s="1172"/>
      <c r="Y79" s="1172"/>
      <c r="Z79" s="1172"/>
      <c r="AA79" s="1172"/>
      <c r="AB79" s="1172"/>
      <c r="AC79" s="1172"/>
    </row>
    <row r="80" spans="1:29" s="78" customFormat="1" ht="12.75" customHeight="1" outlineLevel="1" thickBot="1">
      <c r="A80" s="262"/>
      <c r="B80" s="4256"/>
      <c r="C80" s="1619" t="s">
        <v>129</v>
      </c>
      <c r="D80" s="1448">
        <f t="shared" ref="D80:M80" si="18">D78+D79</f>
        <v>9</v>
      </c>
      <c r="E80" s="1449">
        <f t="shared" si="18"/>
        <v>1</v>
      </c>
      <c r="F80" s="1449">
        <f t="shared" si="18"/>
        <v>5</v>
      </c>
      <c r="G80" s="1449">
        <f t="shared" si="18"/>
        <v>8</v>
      </c>
      <c r="H80" s="1450">
        <f t="shared" si="18"/>
        <v>6</v>
      </c>
      <c r="I80" s="1451">
        <f t="shared" si="18"/>
        <v>9</v>
      </c>
      <c r="J80" s="1449">
        <f t="shared" si="18"/>
        <v>5</v>
      </c>
      <c r="K80" s="1449">
        <f t="shared" si="18"/>
        <v>5</v>
      </c>
      <c r="L80" s="1449">
        <f t="shared" si="18"/>
        <v>7</v>
      </c>
      <c r="M80" s="1450">
        <f t="shared" si="18"/>
        <v>32</v>
      </c>
      <c r="N80" s="3795"/>
      <c r="O80" s="3791"/>
      <c r="P80" s="3791"/>
      <c r="Q80" s="3791"/>
      <c r="R80" s="3796"/>
      <c r="S80" s="1172"/>
      <c r="T80" s="1172"/>
      <c r="U80" s="1172"/>
      <c r="V80" s="1172"/>
      <c r="W80" s="1172"/>
      <c r="X80" s="1172"/>
      <c r="Y80" s="1172"/>
      <c r="Z80" s="1172"/>
      <c r="AA80" s="1172"/>
      <c r="AB80" s="1172"/>
      <c r="AC80" s="1172"/>
    </row>
    <row r="81" spans="1:29" ht="12.75" customHeight="1" outlineLevel="1">
      <c r="A81" s="262"/>
      <c r="B81" s="4255" t="s">
        <v>1828</v>
      </c>
      <c r="C81" s="1617" t="s">
        <v>89</v>
      </c>
      <c r="D81" s="413"/>
      <c r="E81" s="458"/>
      <c r="F81" s="458"/>
      <c r="G81" s="458">
        <v>1</v>
      </c>
      <c r="H81" s="460">
        <v>0</v>
      </c>
      <c r="I81" s="459"/>
      <c r="J81" s="458">
        <v>0</v>
      </c>
      <c r="K81" s="458">
        <v>5</v>
      </c>
      <c r="L81" s="458"/>
      <c r="M81" s="460">
        <v>2</v>
      </c>
      <c r="N81" s="3794"/>
      <c r="O81" s="3788"/>
      <c r="P81" s="3788"/>
      <c r="Q81" s="3788"/>
      <c r="R81" s="3793"/>
      <c r="S81" s="1172"/>
      <c r="T81" s="1172"/>
      <c r="U81" s="1172"/>
      <c r="V81" s="1172"/>
      <c r="W81" s="1172"/>
      <c r="X81" s="1172"/>
      <c r="Y81" s="1172"/>
      <c r="Z81" s="1172"/>
      <c r="AA81" s="1172"/>
      <c r="AB81" s="1172"/>
      <c r="AC81" s="1172"/>
    </row>
    <row r="82" spans="1:29" outlineLevel="1">
      <c r="A82" s="262"/>
      <c r="B82" s="4256"/>
      <c r="C82" s="1618" t="s">
        <v>180</v>
      </c>
      <c r="D82" s="413"/>
      <c r="E82" s="458"/>
      <c r="F82" s="458"/>
      <c r="G82" s="458">
        <v>0</v>
      </c>
      <c r="H82" s="460">
        <v>2</v>
      </c>
      <c r="I82" s="459"/>
      <c r="J82" s="458">
        <v>0</v>
      </c>
      <c r="K82" s="458"/>
      <c r="L82" s="458"/>
      <c r="M82" s="460"/>
      <c r="N82" s="3794"/>
      <c r="O82" s="3788"/>
      <c r="P82" s="3788"/>
      <c r="Q82" s="3788"/>
      <c r="R82" s="3793"/>
      <c r="S82" s="1172"/>
      <c r="T82" s="1172"/>
      <c r="U82" s="1172"/>
      <c r="V82" s="1172"/>
      <c r="W82" s="1172"/>
      <c r="X82" s="1172"/>
      <c r="Y82" s="1172"/>
      <c r="Z82" s="1172"/>
      <c r="AA82" s="1172"/>
      <c r="AB82" s="1172"/>
      <c r="AC82" s="1172"/>
    </row>
    <row r="83" spans="1:29" ht="13.5" outlineLevel="1" thickBot="1">
      <c r="A83" s="262"/>
      <c r="B83" s="4256"/>
      <c r="C83" s="1619" t="s">
        <v>129</v>
      </c>
      <c r="D83" s="1448">
        <f t="shared" ref="D83:M83" si="19">D81+D82</f>
        <v>0</v>
      </c>
      <c r="E83" s="1449">
        <f t="shared" si="19"/>
        <v>0</v>
      </c>
      <c r="F83" s="1449">
        <f t="shared" si="19"/>
        <v>0</v>
      </c>
      <c r="G83" s="1449">
        <f t="shared" si="19"/>
        <v>1</v>
      </c>
      <c r="H83" s="1450">
        <f t="shared" si="19"/>
        <v>2</v>
      </c>
      <c r="I83" s="1451">
        <f t="shared" si="19"/>
        <v>0</v>
      </c>
      <c r="J83" s="1449">
        <f t="shared" si="19"/>
        <v>0</v>
      </c>
      <c r="K83" s="1449">
        <f t="shared" si="19"/>
        <v>5</v>
      </c>
      <c r="L83" s="1449">
        <f t="shared" si="19"/>
        <v>0</v>
      </c>
      <c r="M83" s="1450">
        <f t="shared" si="19"/>
        <v>2</v>
      </c>
      <c r="N83" s="3795"/>
      <c r="O83" s="3791"/>
      <c r="P83" s="3791"/>
      <c r="Q83" s="3791"/>
      <c r="R83" s="3796"/>
      <c r="S83" s="1172"/>
      <c r="T83" s="1172"/>
      <c r="U83" s="1172"/>
      <c r="V83" s="1172"/>
      <c r="W83" s="1172"/>
      <c r="X83" s="1172"/>
      <c r="Y83" s="1172"/>
      <c r="Z83" s="1172"/>
      <c r="AA83" s="1172"/>
      <c r="AB83" s="1172"/>
      <c r="AC83" s="1172"/>
    </row>
    <row r="84" spans="1:29" s="78" customFormat="1" ht="12.75" customHeight="1" outlineLevel="1">
      <c r="A84" s="262"/>
      <c r="B84" s="4255" t="s">
        <v>1829</v>
      </c>
      <c r="C84" s="1617" t="s">
        <v>89</v>
      </c>
      <c r="D84" s="413"/>
      <c r="E84" s="458"/>
      <c r="F84" s="458">
        <v>1</v>
      </c>
      <c r="G84" s="458">
        <v>2</v>
      </c>
      <c r="H84" s="460"/>
      <c r="I84" s="459"/>
      <c r="J84" s="458">
        <v>0</v>
      </c>
      <c r="K84" s="458">
        <v>6</v>
      </c>
      <c r="L84" s="458">
        <v>8</v>
      </c>
      <c r="M84" s="460">
        <v>2</v>
      </c>
      <c r="N84" s="3794"/>
      <c r="O84" s="3788"/>
      <c r="P84" s="3788"/>
      <c r="Q84" s="3788"/>
      <c r="R84" s="3793"/>
      <c r="S84" s="1172"/>
      <c r="T84" s="1172"/>
      <c r="U84" s="1172"/>
      <c r="V84" s="1172"/>
      <c r="W84" s="1172"/>
      <c r="X84" s="1172"/>
      <c r="Y84" s="1172"/>
      <c r="Z84" s="1172"/>
      <c r="AA84" s="1172"/>
      <c r="AB84" s="1172"/>
      <c r="AC84" s="1172"/>
    </row>
    <row r="85" spans="1:29" s="78" customFormat="1" ht="12.75" customHeight="1" outlineLevel="1">
      <c r="A85" s="262"/>
      <c r="B85" s="4256"/>
      <c r="C85" s="1618" t="s">
        <v>180</v>
      </c>
      <c r="D85" s="413"/>
      <c r="E85" s="458"/>
      <c r="F85" s="458">
        <v>0</v>
      </c>
      <c r="G85" s="458">
        <v>0</v>
      </c>
      <c r="H85" s="460"/>
      <c r="I85" s="459"/>
      <c r="J85" s="458">
        <v>0</v>
      </c>
      <c r="K85" s="458"/>
      <c r="L85" s="458"/>
      <c r="M85" s="460"/>
      <c r="N85" s="3794"/>
      <c r="O85" s="3788"/>
      <c r="P85" s="3788"/>
      <c r="Q85" s="3788"/>
      <c r="R85" s="3793"/>
      <c r="S85" s="1172"/>
      <c r="T85" s="1172"/>
      <c r="U85" s="1172"/>
      <c r="V85" s="1172"/>
      <c r="W85" s="1172"/>
      <c r="X85" s="1172"/>
      <c r="Y85" s="1172"/>
      <c r="Z85" s="1172"/>
      <c r="AA85" s="1172"/>
      <c r="AB85" s="1172"/>
      <c r="AC85" s="1172"/>
    </row>
    <row r="86" spans="1:29" s="78" customFormat="1" ht="12.75" customHeight="1" outlineLevel="1" thickBot="1">
      <c r="A86" s="262"/>
      <c r="B86" s="4256"/>
      <c r="C86" s="1619" t="s">
        <v>129</v>
      </c>
      <c r="D86" s="1448">
        <f t="shared" ref="D86:I86" si="20">D84+D85</f>
        <v>0</v>
      </c>
      <c r="E86" s="1449">
        <f t="shared" si="20"/>
        <v>0</v>
      </c>
      <c r="F86" s="1449">
        <f t="shared" si="20"/>
        <v>1</v>
      </c>
      <c r="G86" s="1449">
        <f t="shared" si="20"/>
        <v>2</v>
      </c>
      <c r="H86" s="1450">
        <f t="shared" si="20"/>
        <v>0</v>
      </c>
      <c r="I86" s="1451">
        <f t="shared" si="20"/>
        <v>0</v>
      </c>
      <c r="J86" s="1449">
        <f t="shared" si="17"/>
        <v>0</v>
      </c>
      <c r="K86" s="1449">
        <f t="shared" si="17"/>
        <v>6</v>
      </c>
      <c r="L86" s="1449">
        <f t="shared" si="17"/>
        <v>8</v>
      </c>
      <c r="M86" s="1450">
        <f t="shared" si="17"/>
        <v>2</v>
      </c>
      <c r="N86" s="3795"/>
      <c r="O86" s="3791"/>
      <c r="P86" s="3791"/>
      <c r="Q86" s="3791"/>
      <c r="R86" s="3796"/>
      <c r="S86" s="1172"/>
      <c r="T86" s="1172"/>
      <c r="U86" s="1172"/>
      <c r="V86" s="1172"/>
      <c r="W86" s="1172"/>
      <c r="X86" s="1172"/>
      <c r="Y86" s="1172"/>
      <c r="Z86" s="1172"/>
      <c r="AA86" s="1172"/>
      <c r="AB86" s="1172"/>
      <c r="AC86" s="1172"/>
    </row>
    <row r="87" spans="1:29" s="183" customFormat="1" ht="12.75" customHeight="1" outlineLevel="1">
      <c r="A87" s="262"/>
      <c r="B87" s="4255" t="s">
        <v>1830</v>
      </c>
      <c r="C87" s="1617" t="s">
        <v>89</v>
      </c>
      <c r="D87" s="413"/>
      <c r="E87" s="458"/>
      <c r="F87" s="458"/>
      <c r="G87" s="458">
        <v>2</v>
      </c>
      <c r="H87" s="460"/>
      <c r="I87" s="459"/>
      <c r="J87" s="458">
        <v>1</v>
      </c>
      <c r="K87" s="458">
        <v>2</v>
      </c>
      <c r="L87" s="458">
        <v>2</v>
      </c>
      <c r="M87" s="460"/>
      <c r="N87" s="3787"/>
      <c r="O87" s="3788"/>
      <c r="P87" s="3788"/>
      <c r="Q87" s="3788"/>
      <c r="R87" s="3789"/>
      <c r="S87" s="1172"/>
      <c r="T87" s="1172"/>
      <c r="U87" s="1172"/>
      <c r="V87" s="1172"/>
      <c r="W87" s="1172"/>
      <c r="X87" s="1172"/>
      <c r="Y87" s="1172"/>
      <c r="Z87" s="1172"/>
      <c r="AA87" s="1172"/>
      <c r="AB87" s="1172"/>
      <c r="AC87" s="1172"/>
    </row>
    <row r="88" spans="1:29" s="78" customFormat="1" ht="12.75" customHeight="1" outlineLevel="1">
      <c r="A88" s="262"/>
      <c r="B88" s="4256"/>
      <c r="C88" s="1618" t="s">
        <v>180</v>
      </c>
      <c r="D88" s="413"/>
      <c r="E88" s="458"/>
      <c r="F88" s="458"/>
      <c r="G88" s="458">
        <v>0</v>
      </c>
      <c r="H88" s="460"/>
      <c r="I88" s="459"/>
      <c r="J88" s="458">
        <v>0</v>
      </c>
      <c r="K88" s="458"/>
      <c r="L88" s="458"/>
      <c r="M88" s="460">
        <v>3</v>
      </c>
      <c r="N88" s="3787"/>
      <c r="O88" s="3788"/>
      <c r="P88" s="3788"/>
      <c r="Q88" s="3788"/>
      <c r="R88" s="3789"/>
      <c r="S88" s="1172"/>
      <c r="T88" s="1172"/>
      <c r="U88" s="1172"/>
      <c r="V88" s="1172"/>
      <c r="W88" s="1172"/>
      <c r="X88" s="1172"/>
      <c r="Y88" s="1172"/>
      <c r="Z88" s="1172"/>
      <c r="AA88" s="1172"/>
      <c r="AB88" s="1172"/>
      <c r="AC88" s="1172"/>
    </row>
    <row r="89" spans="1:29" s="78" customFormat="1" ht="12.75" customHeight="1" thickBot="1">
      <c r="A89" s="262"/>
      <c r="B89" s="4256"/>
      <c r="C89" s="1619" t="s">
        <v>129</v>
      </c>
      <c r="D89" s="1448">
        <f t="shared" ref="D89:I89" si="21">D87+D88</f>
        <v>0</v>
      </c>
      <c r="E89" s="1449">
        <f t="shared" si="21"/>
        <v>0</v>
      </c>
      <c r="F89" s="1449">
        <f t="shared" si="21"/>
        <v>0</v>
      </c>
      <c r="G89" s="1449">
        <f t="shared" si="21"/>
        <v>2</v>
      </c>
      <c r="H89" s="1450">
        <f t="shared" si="21"/>
        <v>0</v>
      </c>
      <c r="I89" s="1451">
        <f t="shared" si="21"/>
        <v>0</v>
      </c>
      <c r="J89" s="1449">
        <f t="shared" si="17"/>
        <v>1</v>
      </c>
      <c r="K89" s="1449">
        <f t="shared" si="17"/>
        <v>2</v>
      </c>
      <c r="L89" s="1449">
        <f t="shared" si="17"/>
        <v>2</v>
      </c>
      <c r="M89" s="1450">
        <f t="shared" si="17"/>
        <v>3</v>
      </c>
      <c r="N89" s="3790"/>
      <c r="O89" s="3791"/>
      <c r="P89" s="3791"/>
      <c r="Q89" s="3791"/>
      <c r="R89" s="3792"/>
      <c r="S89" s="1172"/>
      <c r="T89" s="1172"/>
      <c r="U89" s="1172"/>
      <c r="V89" s="1172"/>
      <c r="W89" s="1172"/>
      <c r="X89" s="1172"/>
      <c r="Y89" s="1172"/>
      <c r="Z89" s="1172"/>
      <c r="AA89" s="1172"/>
      <c r="AB89" s="1172"/>
      <c r="AC89" s="1172"/>
    </row>
    <row r="90" spans="1:29" s="474" customFormat="1" ht="20.25" customHeight="1">
      <c r="A90" s="262"/>
      <c r="B90" s="4255" t="s">
        <v>1831</v>
      </c>
      <c r="C90" s="1617" t="s">
        <v>89</v>
      </c>
      <c r="D90" s="413"/>
      <c r="E90" s="458"/>
      <c r="F90" s="458"/>
      <c r="G90" s="458"/>
      <c r="H90" s="460"/>
      <c r="I90" s="459"/>
      <c r="J90" s="458">
        <v>0</v>
      </c>
      <c r="K90" s="458">
        <v>1</v>
      </c>
      <c r="L90" s="458"/>
      <c r="M90" s="460"/>
      <c r="N90" s="3787"/>
      <c r="O90" s="3788"/>
      <c r="P90" s="3788"/>
      <c r="Q90" s="3788"/>
      <c r="R90" s="3789"/>
      <c r="S90" s="1172"/>
      <c r="T90" s="1172"/>
      <c r="U90" s="1172"/>
      <c r="V90" s="1172"/>
      <c r="W90" s="1172"/>
      <c r="X90" s="1172"/>
      <c r="Y90" s="1172"/>
      <c r="Z90" s="1172"/>
      <c r="AA90" s="1172"/>
      <c r="AB90" s="1172"/>
      <c r="AC90" s="1172"/>
    </row>
    <row r="91" spans="1:29" s="78" customFormat="1" ht="12.75" customHeight="1" outlineLevel="1">
      <c r="A91" s="262"/>
      <c r="B91" s="4256"/>
      <c r="C91" s="1618" t="s">
        <v>180</v>
      </c>
      <c r="D91" s="413"/>
      <c r="E91" s="458"/>
      <c r="F91" s="458"/>
      <c r="G91" s="458"/>
      <c r="H91" s="460"/>
      <c r="I91" s="459"/>
      <c r="J91" s="458">
        <v>0</v>
      </c>
      <c r="K91" s="458">
        <v>0</v>
      </c>
      <c r="L91" s="458"/>
      <c r="M91" s="460">
        <v>2</v>
      </c>
      <c r="N91" s="3787"/>
      <c r="O91" s="3788"/>
      <c r="P91" s="3788"/>
      <c r="Q91" s="3788"/>
      <c r="R91" s="3789"/>
      <c r="S91" s="1172"/>
      <c r="T91" s="1172"/>
      <c r="U91" s="1172"/>
      <c r="V91" s="1172"/>
      <c r="W91" s="1172"/>
      <c r="X91" s="1172"/>
      <c r="Y91" s="1172"/>
      <c r="Z91" s="1172"/>
      <c r="AA91" s="1172"/>
      <c r="AB91" s="1172"/>
      <c r="AC91" s="1172"/>
    </row>
    <row r="92" spans="1:29" ht="12.75" customHeight="1" outlineLevel="1" thickBot="1">
      <c r="A92" s="262"/>
      <c r="B92" s="4256"/>
      <c r="C92" s="1619" t="s">
        <v>129</v>
      </c>
      <c r="D92" s="1448">
        <f t="shared" ref="D92:F92" si="22">D90+D91</f>
        <v>0</v>
      </c>
      <c r="E92" s="1449">
        <f t="shared" si="22"/>
        <v>0</v>
      </c>
      <c r="F92" s="1449">
        <f t="shared" si="22"/>
        <v>0</v>
      </c>
      <c r="G92" s="1449">
        <f>G90+G91</f>
        <v>0</v>
      </c>
      <c r="H92" s="1450">
        <f t="shared" ref="H92:M92" si="23">H90+H91</f>
        <v>0</v>
      </c>
      <c r="I92" s="1451">
        <f t="shared" si="23"/>
        <v>0</v>
      </c>
      <c r="J92" s="1449">
        <f t="shared" si="23"/>
        <v>0</v>
      </c>
      <c r="K92" s="1449">
        <f t="shared" si="23"/>
        <v>1</v>
      </c>
      <c r="L92" s="1449">
        <f t="shared" si="23"/>
        <v>0</v>
      </c>
      <c r="M92" s="1450">
        <f t="shared" si="23"/>
        <v>2</v>
      </c>
      <c r="N92" s="3790"/>
      <c r="O92" s="3791"/>
      <c r="P92" s="3791"/>
      <c r="Q92" s="3791"/>
      <c r="R92" s="3792"/>
      <c r="S92" s="1172"/>
      <c r="T92" s="1172"/>
      <c r="U92" s="1172"/>
      <c r="V92" s="1172"/>
      <c r="W92" s="1172"/>
      <c r="X92" s="1172"/>
      <c r="Y92" s="1172"/>
      <c r="Z92" s="1172"/>
      <c r="AA92" s="1172"/>
      <c r="AB92" s="1172"/>
      <c r="AC92" s="1172"/>
    </row>
    <row r="93" spans="1:29" outlineLevel="1">
      <c r="A93" s="262"/>
      <c r="B93" s="4272" t="s">
        <v>1832</v>
      </c>
      <c r="C93" s="1617" t="s">
        <v>89</v>
      </c>
      <c r="D93" s="413"/>
      <c r="E93" s="458"/>
      <c r="F93" s="458">
        <v>0</v>
      </c>
      <c r="G93" s="458">
        <v>0</v>
      </c>
      <c r="H93" s="460"/>
      <c r="I93" s="459"/>
      <c r="J93" s="458">
        <v>0</v>
      </c>
      <c r="K93" s="458"/>
      <c r="L93" s="458"/>
      <c r="M93" s="460"/>
      <c r="N93" s="3787"/>
      <c r="O93" s="3788"/>
      <c r="P93" s="3788"/>
      <c r="Q93" s="3788"/>
      <c r="R93" s="3789"/>
      <c r="S93" s="1172"/>
      <c r="T93" s="1172"/>
      <c r="U93" s="1172"/>
      <c r="V93" s="1172"/>
      <c r="W93" s="1172"/>
      <c r="X93" s="1172"/>
      <c r="Y93" s="1172"/>
      <c r="Z93" s="1172"/>
      <c r="AA93" s="1172"/>
      <c r="AB93" s="1172"/>
      <c r="AC93" s="1172"/>
    </row>
    <row r="94" spans="1:29" outlineLevel="1">
      <c r="A94" s="262"/>
      <c r="B94" s="4273"/>
      <c r="C94" s="1618" t="s">
        <v>180</v>
      </c>
      <c r="D94" s="413"/>
      <c r="E94" s="458"/>
      <c r="F94" s="458">
        <v>1</v>
      </c>
      <c r="G94" s="458">
        <v>1</v>
      </c>
      <c r="H94" s="460"/>
      <c r="I94" s="459"/>
      <c r="J94" s="458">
        <v>0</v>
      </c>
      <c r="K94" s="458"/>
      <c r="L94" s="458"/>
      <c r="M94" s="460"/>
      <c r="N94" s="3787"/>
      <c r="O94" s="3788"/>
      <c r="P94" s="3788"/>
      <c r="Q94" s="3788"/>
      <c r="R94" s="3789"/>
      <c r="S94" s="1172"/>
      <c r="T94" s="1172"/>
      <c r="U94" s="1172"/>
      <c r="V94" s="1172"/>
      <c r="W94" s="1172"/>
      <c r="X94" s="1172"/>
      <c r="Y94" s="1172"/>
      <c r="Z94" s="1172"/>
      <c r="AA94" s="1172"/>
      <c r="AB94" s="1172"/>
      <c r="AC94" s="1172"/>
    </row>
    <row r="95" spans="1:29" s="78" customFormat="1" ht="12.75" customHeight="1" outlineLevel="1" thickBot="1">
      <c r="A95" s="262"/>
      <c r="B95" s="4274"/>
      <c r="C95" s="1619" t="s">
        <v>129</v>
      </c>
      <c r="D95" s="1448">
        <f t="shared" ref="D95:F95" si="24">D93+D94</f>
        <v>0</v>
      </c>
      <c r="E95" s="1449">
        <f t="shared" si="24"/>
        <v>0</v>
      </c>
      <c r="F95" s="1449">
        <f t="shared" si="24"/>
        <v>1</v>
      </c>
      <c r="G95" s="1449">
        <f>G93+G94</f>
        <v>1</v>
      </c>
      <c r="H95" s="1450">
        <f t="shared" ref="H95:M95" si="25">H93+H94</f>
        <v>0</v>
      </c>
      <c r="I95" s="1451">
        <f t="shared" si="25"/>
        <v>0</v>
      </c>
      <c r="J95" s="1449">
        <f t="shared" si="25"/>
        <v>0</v>
      </c>
      <c r="K95" s="1449">
        <f t="shared" si="25"/>
        <v>0</v>
      </c>
      <c r="L95" s="1449">
        <f t="shared" si="25"/>
        <v>0</v>
      </c>
      <c r="M95" s="1450">
        <f t="shared" si="25"/>
        <v>0</v>
      </c>
      <c r="N95" s="3790"/>
      <c r="O95" s="3791"/>
      <c r="P95" s="3791"/>
      <c r="Q95" s="3791"/>
      <c r="R95" s="3792"/>
      <c r="S95" s="1172"/>
      <c r="T95" s="1172"/>
      <c r="U95" s="1172"/>
      <c r="V95" s="1172"/>
      <c r="W95" s="1172"/>
      <c r="X95" s="1172"/>
      <c r="Y95" s="1172"/>
      <c r="Z95" s="1172"/>
      <c r="AA95" s="1172"/>
      <c r="AB95" s="1172"/>
      <c r="AC95" s="1172"/>
    </row>
    <row r="96" spans="1:29" s="78" customFormat="1" ht="12.75" customHeight="1" outlineLevel="1">
      <c r="A96" s="262"/>
      <c r="B96" s="4272" t="s">
        <v>1833</v>
      </c>
      <c r="C96" s="1617" t="s">
        <v>89</v>
      </c>
      <c r="D96" s="413">
        <v>0</v>
      </c>
      <c r="E96" s="458"/>
      <c r="F96" s="458">
        <v>0</v>
      </c>
      <c r="G96" s="458"/>
      <c r="H96" s="460">
        <v>0</v>
      </c>
      <c r="I96" s="459"/>
      <c r="J96" s="458">
        <v>0</v>
      </c>
      <c r="K96" s="458"/>
      <c r="L96" s="458"/>
      <c r="M96" s="460"/>
      <c r="N96" s="3787"/>
      <c r="O96" s="3788"/>
      <c r="P96" s="3788"/>
      <c r="Q96" s="3788"/>
      <c r="R96" s="3789"/>
      <c r="S96" s="1172"/>
      <c r="T96" s="1172"/>
      <c r="U96" s="1172"/>
      <c r="V96" s="1172"/>
      <c r="W96" s="1172"/>
      <c r="X96" s="1172"/>
      <c r="Y96" s="1172"/>
      <c r="Z96" s="1172"/>
      <c r="AA96" s="1172"/>
      <c r="AB96" s="1172"/>
      <c r="AC96" s="1172"/>
    </row>
    <row r="97" spans="1:29" s="78" customFormat="1" ht="12.75" customHeight="1" outlineLevel="1">
      <c r="A97" s="262"/>
      <c r="B97" s="4273"/>
      <c r="C97" s="1618" t="s">
        <v>180</v>
      </c>
      <c r="D97" s="413">
        <v>6</v>
      </c>
      <c r="E97" s="458">
        <v>1</v>
      </c>
      <c r="F97" s="458">
        <v>2</v>
      </c>
      <c r="G97" s="458"/>
      <c r="H97" s="460">
        <v>2</v>
      </c>
      <c r="I97" s="459"/>
      <c r="J97" s="458">
        <v>0</v>
      </c>
      <c r="K97" s="458"/>
      <c r="L97" s="458">
        <v>3</v>
      </c>
      <c r="M97" s="460">
        <v>2</v>
      </c>
      <c r="N97" s="3787"/>
      <c r="O97" s="3788"/>
      <c r="P97" s="3788"/>
      <c r="Q97" s="3788"/>
      <c r="R97" s="3789"/>
      <c r="S97" s="1172"/>
      <c r="T97" s="1172"/>
      <c r="U97" s="1172"/>
      <c r="V97" s="1172"/>
      <c r="W97" s="1172"/>
      <c r="X97" s="1172"/>
      <c r="Y97" s="1172"/>
      <c r="Z97" s="1172"/>
      <c r="AA97" s="1172"/>
      <c r="AB97" s="1172"/>
      <c r="AC97" s="1172"/>
    </row>
    <row r="98" spans="1:29" s="183" customFormat="1" ht="12.75" customHeight="1" outlineLevel="1" thickBot="1">
      <c r="A98" s="262"/>
      <c r="B98" s="4274"/>
      <c r="C98" s="1619" t="s">
        <v>129</v>
      </c>
      <c r="D98" s="1448">
        <f t="shared" ref="D98:F98" si="26">D96+D97</f>
        <v>6</v>
      </c>
      <c r="E98" s="1449">
        <f t="shared" si="26"/>
        <v>1</v>
      </c>
      <c r="F98" s="1449">
        <f t="shared" si="26"/>
        <v>2</v>
      </c>
      <c r="G98" s="1449">
        <f>G96+G97</f>
        <v>0</v>
      </c>
      <c r="H98" s="1450">
        <f t="shared" ref="H98:M98" si="27">H96+H97</f>
        <v>2</v>
      </c>
      <c r="I98" s="1451">
        <f t="shared" si="27"/>
        <v>0</v>
      </c>
      <c r="J98" s="1449">
        <f t="shared" si="27"/>
        <v>0</v>
      </c>
      <c r="K98" s="1449">
        <f t="shared" si="27"/>
        <v>0</v>
      </c>
      <c r="L98" s="1449">
        <f t="shared" si="27"/>
        <v>3</v>
      </c>
      <c r="M98" s="1450">
        <f t="shared" si="27"/>
        <v>2</v>
      </c>
      <c r="N98" s="3790"/>
      <c r="O98" s="3791"/>
      <c r="P98" s="3791"/>
      <c r="Q98" s="3791"/>
      <c r="R98" s="3792"/>
      <c r="S98" s="1172"/>
      <c r="T98" s="1172"/>
      <c r="U98" s="1172"/>
      <c r="V98" s="1172"/>
      <c r="W98" s="1172"/>
      <c r="X98" s="1172"/>
      <c r="Y98" s="1172"/>
      <c r="Z98" s="1172"/>
      <c r="AA98" s="1172"/>
      <c r="AB98" s="1172"/>
      <c r="AC98" s="1172"/>
    </row>
    <row r="99" spans="1:29" s="78" customFormat="1" ht="12.75" customHeight="1" outlineLevel="1">
      <c r="A99" s="262"/>
      <c r="B99" s="4255" t="s">
        <v>1834</v>
      </c>
      <c r="C99" s="1617" t="s">
        <v>89</v>
      </c>
      <c r="D99" s="413">
        <v>0</v>
      </c>
      <c r="E99" s="458"/>
      <c r="F99" s="458">
        <v>0</v>
      </c>
      <c r="G99" s="458">
        <v>0</v>
      </c>
      <c r="H99" s="460">
        <v>0</v>
      </c>
      <c r="I99" s="459"/>
      <c r="J99" s="458">
        <v>0</v>
      </c>
      <c r="K99" s="458">
        <v>4</v>
      </c>
      <c r="L99" s="458"/>
      <c r="M99" s="460"/>
      <c r="N99" s="3787"/>
      <c r="O99" s="3788"/>
      <c r="P99" s="3788"/>
      <c r="Q99" s="3788"/>
      <c r="R99" s="3789"/>
      <c r="S99" s="1172"/>
      <c r="T99" s="1172"/>
      <c r="U99" s="1172"/>
      <c r="V99" s="1172"/>
      <c r="W99" s="1172"/>
      <c r="X99" s="1172"/>
      <c r="Y99" s="1172"/>
      <c r="Z99" s="1172"/>
      <c r="AA99" s="1172"/>
      <c r="AB99" s="1172"/>
      <c r="AC99" s="1172"/>
    </row>
    <row r="100" spans="1:29" s="78" customFormat="1" ht="12.75" customHeight="1">
      <c r="A100" s="262"/>
      <c r="B100" s="4256"/>
      <c r="C100" s="1618" t="s">
        <v>180</v>
      </c>
      <c r="D100" s="413">
        <v>7</v>
      </c>
      <c r="E100" s="458">
        <v>2</v>
      </c>
      <c r="F100" s="458">
        <v>3</v>
      </c>
      <c r="G100" s="458">
        <v>1</v>
      </c>
      <c r="H100" s="460">
        <v>1</v>
      </c>
      <c r="I100" s="459"/>
      <c r="J100" s="458">
        <v>0</v>
      </c>
      <c r="K100" s="458">
        <v>0</v>
      </c>
      <c r="L100" s="458"/>
      <c r="M100" s="460">
        <v>2</v>
      </c>
      <c r="N100" s="3787"/>
      <c r="O100" s="3788"/>
      <c r="P100" s="3788"/>
      <c r="Q100" s="3788"/>
      <c r="R100" s="3789"/>
      <c r="S100" s="1172"/>
      <c r="T100" s="1172"/>
      <c r="U100" s="1172"/>
      <c r="V100" s="1172"/>
      <c r="W100" s="1172"/>
      <c r="X100" s="1172"/>
      <c r="Y100" s="1172"/>
      <c r="Z100" s="1172"/>
      <c r="AA100" s="1172"/>
      <c r="AB100" s="1172"/>
      <c r="AC100" s="1172"/>
    </row>
    <row r="101" spans="1:29" s="474" customFormat="1" ht="20.25" customHeight="1" thickBot="1">
      <c r="A101" s="262"/>
      <c r="B101" s="4256"/>
      <c r="C101" s="1619" t="s">
        <v>129</v>
      </c>
      <c r="D101" s="1448">
        <f t="shared" ref="D101:F101" si="28">D99+D100</f>
        <v>7</v>
      </c>
      <c r="E101" s="1449">
        <f t="shared" si="28"/>
        <v>2</v>
      </c>
      <c r="F101" s="1449">
        <f t="shared" si="28"/>
        <v>3</v>
      </c>
      <c r="G101" s="1449">
        <f>G99+G100</f>
        <v>1</v>
      </c>
      <c r="H101" s="1450">
        <f t="shared" ref="H101:M101" si="29">H99+H100</f>
        <v>1</v>
      </c>
      <c r="I101" s="1451">
        <f t="shared" si="29"/>
        <v>0</v>
      </c>
      <c r="J101" s="1449">
        <f t="shared" si="29"/>
        <v>0</v>
      </c>
      <c r="K101" s="1449">
        <f t="shared" si="29"/>
        <v>4</v>
      </c>
      <c r="L101" s="1449">
        <f t="shared" si="29"/>
        <v>0</v>
      </c>
      <c r="M101" s="1450">
        <f t="shared" si="29"/>
        <v>2</v>
      </c>
      <c r="N101" s="3790"/>
      <c r="O101" s="3791"/>
      <c r="P101" s="3791"/>
      <c r="Q101" s="3791"/>
      <c r="R101" s="3792"/>
      <c r="S101" s="1172"/>
      <c r="T101" s="1172"/>
      <c r="U101" s="1172"/>
      <c r="V101" s="1172"/>
      <c r="W101" s="1172"/>
      <c r="X101" s="1172"/>
      <c r="Y101" s="1172"/>
      <c r="Z101" s="1172"/>
      <c r="AA101" s="1172"/>
      <c r="AB101" s="1172"/>
      <c r="AC101" s="1172"/>
    </row>
    <row r="102" spans="1:29" s="78" customFormat="1" ht="12.75" customHeight="1" outlineLevel="1">
      <c r="A102" s="262"/>
      <c r="B102" s="4255" t="s">
        <v>1835</v>
      </c>
      <c r="C102" s="1617" t="s">
        <v>89</v>
      </c>
      <c r="D102" s="413">
        <v>0</v>
      </c>
      <c r="E102" s="458"/>
      <c r="F102" s="458">
        <v>0</v>
      </c>
      <c r="G102" s="458"/>
      <c r="H102" s="460"/>
      <c r="I102" s="459">
        <v>0</v>
      </c>
      <c r="J102" s="458">
        <v>0</v>
      </c>
      <c r="K102" s="458">
        <v>1</v>
      </c>
      <c r="L102" s="458"/>
      <c r="M102" s="460"/>
      <c r="N102" s="3787"/>
      <c r="O102" s="3788"/>
      <c r="P102" s="3788"/>
      <c r="Q102" s="3788"/>
      <c r="R102" s="3789"/>
      <c r="S102" s="1172"/>
      <c r="T102" s="1172"/>
      <c r="U102" s="1172"/>
      <c r="V102" s="1172"/>
      <c r="W102" s="1172"/>
      <c r="X102" s="1172"/>
      <c r="Y102" s="1172"/>
      <c r="Z102" s="1172"/>
      <c r="AA102" s="1172"/>
      <c r="AB102" s="1172"/>
      <c r="AC102" s="1172"/>
    </row>
    <row r="103" spans="1:29" ht="12.75" customHeight="1" outlineLevel="1">
      <c r="A103" s="262"/>
      <c r="B103" s="4256"/>
      <c r="C103" s="1618" t="s">
        <v>180</v>
      </c>
      <c r="D103" s="413">
        <v>7</v>
      </c>
      <c r="E103" s="458">
        <v>1</v>
      </c>
      <c r="F103" s="458">
        <v>8</v>
      </c>
      <c r="G103" s="458"/>
      <c r="H103" s="460"/>
      <c r="I103" s="459">
        <v>2</v>
      </c>
      <c r="J103" s="458">
        <v>0</v>
      </c>
      <c r="K103" s="458">
        <v>0</v>
      </c>
      <c r="L103" s="458"/>
      <c r="M103" s="460">
        <v>2</v>
      </c>
      <c r="N103" s="3787"/>
      <c r="O103" s="3788"/>
      <c r="P103" s="3788"/>
      <c r="Q103" s="3788"/>
      <c r="R103" s="3789"/>
      <c r="S103" s="1172"/>
      <c r="T103" s="1172"/>
      <c r="U103" s="1172"/>
      <c r="V103" s="1172"/>
      <c r="W103" s="1172"/>
      <c r="X103" s="1172"/>
      <c r="Y103" s="1172"/>
      <c r="Z103" s="1172"/>
      <c r="AA103" s="1172"/>
      <c r="AB103" s="1172"/>
      <c r="AC103" s="1172"/>
    </row>
    <row r="104" spans="1:29" ht="13.5" outlineLevel="1" thickBot="1">
      <c r="A104" s="262"/>
      <c r="B104" s="4256"/>
      <c r="C104" s="1619" t="s">
        <v>129</v>
      </c>
      <c r="D104" s="1448">
        <f t="shared" ref="D104:M104" si="30">D102+D103</f>
        <v>7</v>
      </c>
      <c r="E104" s="1449">
        <f t="shared" si="30"/>
        <v>1</v>
      </c>
      <c r="F104" s="1449">
        <f t="shared" si="30"/>
        <v>8</v>
      </c>
      <c r="G104" s="1449">
        <f t="shared" si="30"/>
        <v>0</v>
      </c>
      <c r="H104" s="1450">
        <f t="shared" si="30"/>
        <v>0</v>
      </c>
      <c r="I104" s="1451">
        <f t="shared" si="30"/>
        <v>2</v>
      </c>
      <c r="J104" s="1449">
        <f t="shared" si="30"/>
        <v>0</v>
      </c>
      <c r="K104" s="1449">
        <f t="shared" si="30"/>
        <v>1</v>
      </c>
      <c r="L104" s="1449">
        <f t="shared" si="30"/>
        <v>0</v>
      </c>
      <c r="M104" s="1450">
        <f t="shared" si="30"/>
        <v>2</v>
      </c>
      <c r="N104" s="3790"/>
      <c r="O104" s="3791"/>
      <c r="P104" s="3791"/>
      <c r="Q104" s="3791"/>
      <c r="R104" s="3792"/>
      <c r="S104" s="1172"/>
      <c r="T104" s="1172"/>
      <c r="U104" s="1172"/>
      <c r="V104" s="1172"/>
      <c r="W104" s="1172"/>
      <c r="X104" s="1172"/>
      <c r="Y104" s="1172"/>
      <c r="Z104" s="1172"/>
      <c r="AA104" s="1172"/>
      <c r="AB104" s="1172"/>
      <c r="AC104" s="1172"/>
    </row>
    <row r="105" spans="1:29" outlineLevel="1">
      <c r="A105" s="262"/>
      <c r="B105" s="4255" t="s">
        <v>1836</v>
      </c>
      <c r="C105" s="1617" t="s">
        <v>89</v>
      </c>
      <c r="D105" s="413"/>
      <c r="E105" s="458"/>
      <c r="F105" s="458"/>
      <c r="G105" s="458"/>
      <c r="H105" s="460"/>
      <c r="I105" s="459">
        <v>0</v>
      </c>
      <c r="J105" s="458">
        <v>0</v>
      </c>
      <c r="K105" s="458">
        <v>0</v>
      </c>
      <c r="L105" s="458"/>
      <c r="M105" s="460"/>
      <c r="N105" s="3787"/>
      <c r="O105" s="3788"/>
      <c r="P105" s="3788"/>
      <c r="Q105" s="3788"/>
      <c r="R105" s="3789"/>
      <c r="S105" s="1172"/>
      <c r="T105" s="1172"/>
      <c r="U105" s="1172"/>
      <c r="V105" s="1172"/>
      <c r="W105" s="1172"/>
      <c r="X105" s="1172"/>
      <c r="Y105" s="1172"/>
      <c r="Z105" s="1172"/>
      <c r="AA105" s="1172"/>
      <c r="AB105" s="1172"/>
      <c r="AC105" s="1172"/>
    </row>
    <row r="106" spans="1:29" s="78" customFormat="1" ht="12.75" customHeight="1" outlineLevel="1">
      <c r="A106" s="262"/>
      <c r="B106" s="4256"/>
      <c r="C106" s="1618" t="s">
        <v>180</v>
      </c>
      <c r="D106" s="413"/>
      <c r="E106" s="458"/>
      <c r="F106" s="458"/>
      <c r="G106" s="458"/>
      <c r="H106" s="460"/>
      <c r="I106" s="459">
        <v>2</v>
      </c>
      <c r="J106" s="458">
        <v>1</v>
      </c>
      <c r="K106" s="458">
        <v>3</v>
      </c>
      <c r="L106" s="458">
        <v>1</v>
      </c>
      <c r="M106" s="460"/>
      <c r="N106" s="3787"/>
      <c r="O106" s="3788"/>
      <c r="P106" s="3788"/>
      <c r="Q106" s="3788"/>
      <c r="R106" s="3789"/>
      <c r="S106" s="1172"/>
      <c r="T106" s="1172"/>
      <c r="U106" s="1172"/>
      <c r="V106" s="1172"/>
      <c r="W106" s="1172"/>
      <c r="X106" s="1172"/>
      <c r="Y106" s="1172"/>
      <c r="Z106" s="1172"/>
      <c r="AA106" s="1172"/>
      <c r="AB106" s="1172"/>
      <c r="AC106" s="1172"/>
    </row>
    <row r="107" spans="1:29" s="78" customFormat="1" ht="12.75" customHeight="1" outlineLevel="1" thickBot="1">
      <c r="A107" s="262"/>
      <c r="B107" s="4256"/>
      <c r="C107" s="1619" t="s">
        <v>129</v>
      </c>
      <c r="D107" s="1448">
        <f t="shared" ref="D107:M107" si="31">D105+D106</f>
        <v>0</v>
      </c>
      <c r="E107" s="1449">
        <f t="shared" si="31"/>
        <v>0</v>
      </c>
      <c r="F107" s="1449">
        <f t="shared" si="31"/>
        <v>0</v>
      </c>
      <c r="G107" s="1449">
        <f t="shared" si="31"/>
        <v>0</v>
      </c>
      <c r="H107" s="1450">
        <f t="shared" si="31"/>
        <v>0</v>
      </c>
      <c r="I107" s="1451">
        <f t="shared" si="31"/>
        <v>2</v>
      </c>
      <c r="J107" s="1449">
        <f t="shared" si="31"/>
        <v>1</v>
      </c>
      <c r="K107" s="1449">
        <f t="shared" si="31"/>
        <v>3</v>
      </c>
      <c r="L107" s="1449">
        <f t="shared" si="31"/>
        <v>1</v>
      </c>
      <c r="M107" s="1450">
        <f t="shared" si="31"/>
        <v>0</v>
      </c>
      <c r="N107" s="3790"/>
      <c r="O107" s="3791"/>
      <c r="P107" s="3791"/>
      <c r="Q107" s="3791"/>
      <c r="R107" s="3792"/>
      <c r="S107" s="1172"/>
      <c r="T107" s="1172"/>
      <c r="U107" s="1172"/>
      <c r="V107" s="1172"/>
      <c r="W107" s="1172"/>
      <c r="X107" s="1172"/>
      <c r="Y107" s="1172"/>
      <c r="Z107" s="1172"/>
      <c r="AA107" s="1172"/>
      <c r="AB107" s="1172"/>
      <c r="AC107" s="1172"/>
    </row>
    <row r="108" spans="1:29" s="78" customFormat="1" ht="12.75" customHeight="1" outlineLevel="1">
      <c r="A108" s="262"/>
      <c r="B108" s="4255" t="s">
        <v>1837</v>
      </c>
      <c r="C108" s="1617" t="s">
        <v>89</v>
      </c>
      <c r="D108" s="413"/>
      <c r="E108" s="458"/>
      <c r="F108" s="458"/>
      <c r="G108" s="458"/>
      <c r="H108" s="460"/>
      <c r="I108" s="459"/>
      <c r="J108" s="458">
        <v>1</v>
      </c>
      <c r="K108" s="458">
        <v>1</v>
      </c>
      <c r="L108" s="458">
        <v>1</v>
      </c>
      <c r="M108" s="460">
        <v>1</v>
      </c>
      <c r="N108" s="3787"/>
      <c r="O108" s="3788"/>
      <c r="P108" s="3788"/>
      <c r="Q108" s="3788"/>
      <c r="R108" s="3789"/>
      <c r="S108" s="1172"/>
      <c r="T108" s="1172"/>
      <c r="U108" s="1172"/>
      <c r="V108" s="1172"/>
      <c r="W108" s="1172"/>
      <c r="X108" s="1172"/>
      <c r="Y108" s="1172"/>
      <c r="Z108" s="1172"/>
      <c r="AA108" s="1172"/>
      <c r="AB108" s="1172"/>
      <c r="AC108" s="1172"/>
    </row>
    <row r="109" spans="1:29" s="78" customFormat="1" ht="12.75" customHeight="1" outlineLevel="1">
      <c r="A109" s="262"/>
      <c r="B109" s="4256"/>
      <c r="C109" s="1618" t="s">
        <v>180</v>
      </c>
      <c r="D109" s="413"/>
      <c r="E109" s="458"/>
      <c r="F109" s="458"/>
      <c r="G109" s="458"/>
      <c r="H109" s="460"/>
      <c r="I109" s="459"/>
      <c r="J109" s="458">
        <v>0</v>
      </c>
      <c r="K109" s="458">
        <v>0</v>
      </c>
      <c r="L109" s="458"/>
      <c r="M109" s="460"/>
      <c r="N109" s="3787"/>
      <c r="O109" s="3788"/>
      <c r="P109" s="3788"/>
      <c r="Q109" s="3788"/>
      <c r="R109" s="3789"/>
      <c r="S109" s="1172"/>
      <c r="T109" s="1172"/>
      <c r="U109" s="1172"/>
      <c r="V109" s="1172"/>
      <c r="W109" s="1172"/>
      <c r="X109" s="1172"/>
      <c r="Y109" s="1172"/>
      <c r="Z109" s="1172"/>
      <c r="AA109" s="1172"/>
      <c r="AB109" s="1172"/>
      <c r="AC109" s="1172"/>
    </row>
    <row r="110" spans="1:29" s="78" customFormat="1" ht="12.75" customHeight="1" outlineLevel="1" thickBot="1">
      <c r="A110" s="262"/>
      <c r="B110" s="4256"/>
      <c r="C110" s="1619" t="s">
        <v>129</v>
      </c>
      <c r="D110" s="1448">
        <f t="shared" ref="D110:M110" si="32">D108+D109</f>
        <v>0</v>
      </c>
      <c r="E110" s="1449">
        <f t="shared" si="32"/>
        <v>0</v>
      </c>
      <c r="F110" s="1449">
        <f t="shared" si="32"/>
        <v>0</v>
      </c>
      <c r="G110" s="1449">
        <f t="shared" si="32"/>
        <v>0</v>
      </c>
      <c r="H110" s="1450">
        <f t="shared" si="32"/>
        <v>0</v>
      </c>
      <c r="I110" s="1451">
        <f t="shared" si="32"/>
        <v>0</v>
      </c>
      <c r="J110" s="1449">
        <f t="shared" si="32"/>
        <v>1</v>
      </c>
      <c r="K110" s="1449">
        <f t="shared" si="32"/>
        <v>1</v>
      </c>
      <c r="L110" s="1449">
        <f t="shared" si="32"/>
        <v>1</v>
      </c>
      <c r="M110" s="1450">
        <f t="shared" si="32"/>
        <v>1</v>
      </c>
      <c r="N110" s="3790"/>
      <c r="O110" s="3791"/>
      <c r="P110" s="3791"/>
      <c r="Q110" s="3791"/>
      <c r="R110" s="3792"/>
      <c r="S110" s="1172"/>
      <c r="T110" s="1172"/>
      <c r="U110" s="1172"/>
      <c r="V110" s="1172"/>
      <c r="W110" s="1172"/>
      <c r="X110" s="1172"/>
      <c r="Y110" s="1172"/>
      <c r="Z110" s="1172"/>
      <c r="AA110" s="1172"/>
      <c r="AB110" s="1172"/>
      <c r="AC110" s="1172"/>
    </row>
    <row r="111" spans="1:29" s="78" customFormat="1" ht="12.75" customHeight="1">
      <c r="A111" s="262"/>
      <c r="B111" s="4255" t="s">
        <v>1838</v>
      </c>
      <c r="C111" s="1617" t="s">
        <v>89</v>
      </c>
      <c r="D111" s="413"/>
      <c r="E111" s="458"/>
      <c r="F111" s="458"/>
      <c r="G111" s="458"/>
      <c r="H111" s="460"/>
      <c r="I111" s="459"/>
      <c r="J111" s="458">
        <v>0</v>
      </c>
      <c r="K111" s="458"/>
      <c r="L111" s="458"/>
      <c r="M111" s="460"/>
      <c r="N111" s="3787"/>
      <c r="O111" s="3788"/>
      <c r="P111" s="3788"/>
      <c r="Q111" s="3788"/>
      <c r="R111" s="3789"/>
      <c r="S111" s="1172"/>
      <c r="T111" s="1172"/>
      <c r="U111" s="1172"/>
      <c r="V111" s="1172"/>
      <c r="W111" s="1172"/>
      <c r="X111" s="1172"/>
      <c r="Y111" s="1172"/>
      <c r="Z111" s="1172"/>
      <c r="AA111" s="1172"/>
      <c r="AB111" s="1172"/>
      <c r="AC111" s="1172"/>
    </row>
    <row r="112" spans="1:29" s="69" customFormat="1" ht="45" customHeight="1">
      <c r="A112" s="314"/>
      <c r="B112" s="4256"/>
      <c r="C112" s="1618" t="s">
        <v>180</v>
      </c>
      <c r="D112" s="413"/>
      <c r="E112" s="458"/>
      <c r="F112" s="458"/>
      <c r="G112" s="458"/>
      <c r="H112" s="460"/>
      <c r="I112" s="459"/>
      <c r="J112" s="458">
        <v>0</v>
      </c>
      <c r="K112" s="458"/>
      <c r="L112" s="458">
        <v>1</v>
      </c>
      <c r="M112" s="460"/>
      <c r="N112" s="3787"/>
      <c r="O112" s="3788"/>
      <c r="P112" s="3788"/>
      <c r="Q112" s="3788"/>
      <c r="R112" s="3789"/>
      <c r="S112" s="1172"/>
      <c r="T112" s="1172"/>
      <c r="U112" s="1172"/>
      <c r="V112" s="1172"/>
      <c r="W112" s="1172"/>
      <c r="X112" s="1172"/>
      <c r="Y112" s="1172"/>
      <c r="Z112" s="1172"/>
      <c r="AA112" s="1172"/>
      <c r="AB112" s="1172"/>
      <c r="AC112" s="1172"/>
    </row>
    <row r="113" spans="1:31" s="78" customFormat="1" ht="36.75" customHeight="1" thickBot="1">
      <c r="A113" s="262"/>
      <c r="B113" s="4256"/>
      <c r="C113" s="1619" t="s">
        <v>129</v>
      </c>
      <c r="D113" s="1448">
        <f t="shared" ref="D113:M113" si="33">D111+D112</f>
        <v>0</v>
      </c>
      <c r="E113" s="1449">
        <f t="shared" si="33"/>
        <v>0</v>
      </c>
      <c r="F113" s="1449">
        <f t="shared" si="33"/>
        <v>0</v>
      </c>
      <c r="G113" s="1449">
        <f t="shared" si="33"/>
        <v>0</v>
      </c>
      <c r="H113" s="1450">
        <f t="shared" si="33"/>
        <v>0</v>
      </c>
      <c r="I113" s="1451">
        <f t="shared" si="33"/>
        <v>0</v>
      </c>
      <c r="J113" s="1449">
        <f t="shared" si="33"/>
        <v>0</v>
      </c>
      <c r="K113" s="1449">
        <f t="shared" si="33"/>
        <v>0</v>
      </c>
      <c r="L113" s="1449">
        <f t="shared" si="33"/>
        <v>1</v>
      </c>
      <c r="M113" s="1450">
        <f t="shared" si="33"/>
        <v>0</v>
      </c>
      <c r="N113" s="3790"/>
      <c r="O113" s="3791"/>
      <c r="P113" s="3791"/>
      <c r="Q113" s="3791"/>
      <c r="R113" s="3792"/>
      <c r="S113" s="1172"/>
      <c r="T113" s="1172"/>
      <c r="U113" s="1172"/>
      <c r="V113" s="1172"/>
      <c r="W113" s="1172"/>
      <c r="X113" s="1172"/>
      <c r="Y113" s="1172"/>
      <c r="Z113" s="1172"/>
      <c r="AA113" s="1172"/>
      <c r="AB113" s="1172"/>
      <c r="AC113" s="1172"/>
      <c r="AD113"/>
      <c r="AE113"/>
    </row>
    <row r="114" spans="1:31" s="183" customFormat="1" ht="24.75" customHeight="1">
      <c r="A114" s="262"/>
      <c r="B114" s="4255" t="s">
        <v>1839</v>
      </c>
      <c r="C114" s="1617" t="s">
        <v>89</v>
      </c>
      <c r="D114" s="413"/>
      <c r="E114" s="458"/>
      <c r="F114" s="458"/>
      <c r="G114" s="458"/>
      <c r="H114" s="460"/>
      <c r="I114" s="459"/>
      <c r="J114" s="458">
        <v>0</v>
      </c>
      <c r="K114" s="458">
        <v>0</v>
      </c>
      <c r="L114" s="458"/>
      <c r="M114" s="460"/>
      <c r="N114" s="3787"/>
      <c r="O114" s="3788"/>
      <c r="P114" s="3788"/>
      <c r="Q114" s="3788"/>
      <c r="R114" s="3789"/>
      <c r="S114" s="1172"/>
      <c r="T114" s="1172"/>
      <c r="U114" s="1172"/>
      <c r="V114" s="1172"/>
      <c r="W114" s="1172"/>
      <c r="X114" s="1172"/>
      <c r="Y114" s="1172"/>
      <c r="Z114" s="1172"/>
      <c r="AA114" s="1172"/>
      <c r="AB114" s="1172"/>
      <c r="AC114" s="1172"/>
      <c r="AD114"/>
      <c r="AE114"/>
    </row>
    <row r="115" spans="1:31" ht="15.75" customHeight="1">
      <c r="A115" s="262"/>
      <c r="B115" s="4256"/>
      <c r="C115" s="1618" t="s">
        <v>180</v>
      </c>
      <c r="D115" s="413"/>
      <c r="E115" s="458"/>
      <c r="F115" s="458"/>
      <c r="G115" s="458"/>
      <c r="H115" s="460"/>
      <c r="I115" s="459"/>
      <c r="J115" s="458">
        <v>0</v>
      </c>
      <c r="K115" s="458">
        <v>1</v>
      </c>
      <c r="L115" s="458">
        <v>2</v>
      </c>
      <c r="M115" s="460"/>
      <c r="N115" s="3787"/>
      <c r="O115" s="3788"/>
      <c r="P115" s="3788"/>
      <c r="Q115" s="3788"/>
      <c r="R115" s="3789"/>
      <c r="S115" s="1172"/>
      <c r="T115" s="1172"/>
      <c r="U115" s="1172"/>
      <c r="V115" s="1172"/>
      <c r="W115" s="1172"/>
      <c r="X115" s="1172"/>
      <c r="Y115" s="1172"/>
      <c r="Z115" s="1172"/>
      <c r="AA115" s="1172"/>
      <c r="AB115" s="1172"/>
      <c r="AC115" s="1172"/>
      <c r="AD115"/>
      <c r="AE115"/>
    </row>
    <row r="116" spans="1:31" ht="22.5" customHeight="1" thickBot="1">
      <c r="A116" s="262"/>
      <c r="B116" s="4256"/>
      <c r="C116" s="1619" t="s">
        <v>129</v>
      </c>
      <c r="D116" s="1448">
        <f t="shared" ref="D116:M116" si="34">D114+D115</f>
        <v>0</v>
      </c>
      <c r="E116" s="1449">
        <f t="shared" si="34"/>
        <v>0</v>
      </c>
      <c r="F116" s="1449">
        <f t="shared" si="34"/>
        <v>0</v>
      </c>
      <c r="G116" s="1449">
        <f t="shared" si="34"/>
        <v>0</v>
      </c>
      <c r="H116" s="1450">
        <f t="shared" si="34"/>
        <v>0</v>
      </c>
      <c r="I116" s="1451">
        <f t="shared" si="34"/>
        <v>0</v>
      </c>
      <c r="J116" s="1449">
        <f t="shared" si="34"/>
        <v>0</v>
      </c>
      <c r="K116" s="1449">
        <f t="shared" si="34"/>
        <v>1</v>
      </c>
      <c r="L116" s="1449">
        <f t="shared" si="34"/>
        <v>2</v>
      </c>
      <c r="M116" s="1450">
        <f t="shared" si="34"/>
        <v>0</v>
      </c>
      <c r="N116" s="3790"/>
      <c r="O116" s="3791"/>
      <c r="P116" s="3791"/>
      <c r="Q116" s="3791"/>
      <c r="R116" s="3792"/>
      <c r="S116" s="1172"/>
      <c r="T116" s="1172"/>
      <c r="U116" s="1172"/>
      <c r="V116" s="1172"/>
      <c r="W116" s="1172"/>
      <c r="X116" s="1172"/>
      <c r="Y116" s="1172"/>
      <c r="Z116" s="1172"/>
      <c r="AA116" s="1172"/>
      <c r="AB116" s="1172"/>
      <c r="AC116" s="1172"/>
      <c r="AD116"/>
      <c r="AE116"/>
    </row>
    <row r="117" spans="1:31" ht="22.5" customHeight="1">
      <c r="A117" s="262"/>
      <c r="B117" s="4255" t="s">
        <v>1840</v>
      </c>
      <c r="C117" s="1617" t="s">
        <v>89</v>
      </c>
      <c r="D117" s="413">
        <v>7</v>
      </c>
      <c r="E117" s="458">
        <v>6</v>
      </c>
      <c r="F117" s="458">
        <v>4</v>
      </c>
      <c r="G117" s="458">
        <v>1</v>
      </c>
      <c r="H117" s="460">
        <v>4</v>
      </c>
      <c r="I117" s="459">
        <v>1</v>
      </c>
      <c r="J117" s="458">
        <v>0</v>
      </c>
      <c r="K117" s="458">
        <v>26</v>
      </c>
      <c r="L117" s="458"/>
      <c r="M117" s="413">
        <f>17</f>
        <v>17</v>
      </c>
      <c r="N117" s="3788"/>
      <c r="O117" s="3788"/>
      <c r="P117" s="3788"/>
      <c r="Q117" s="3788"/>
      <c r="R117" s="3789"/>
      <c r="S117" s="1172"/>
      <c r="T117" s="1172"/>
      <c r="U117" s="1172"/>
      <c r="V117" s="1172"/>
      <c r="W117" s="1172"/>
      <c r="X117" s="1172"/>
      <c r="Y117" s="1172"/>
      <c r="Z117" s="1172"/>
      <c r="AA117" s="1172"/>
      <c r="AB117" s="1172"/>
      <c r="AC117" s="1172"/>
      <c r="AD117"/>
      <c r="AE117"/>
    </row>
    <row r="118" spans="1:31" ht="15.75" customHeight="1">
      <c r="A118" s="262"/>
      <c r="B118" s="4256"/>
      <c r="C118" s="1618" t="s">
        <v>180</v>
      </c>
      <c r="D118" s="413">
        <v>0</v>
      </c>
      <c r="E118" s="458">
        <v>0</v>
      </c>
      <c r="F118" s="458">
        <v>0</v>
      </c>
      <c r="G118" s="458"/>
      <c r="H118" s="460"/>
      <c r="I118" s="459">
        <v>0</v>
      </c>
      <c r="J118" s="458">
        <v>0</v>
      </c>
      <c r="K118" s="458"/>
      <c r="L118" s="458"/>
      <c r="M118" s="460"/>
      <c r="N118" s="3787"/>
      <c r="O118" s="3788"/>
      <c r="P118" s="3788"/>
      <c r="Q118" s="3788"/>
      <c r="R118" s="3789"/>
      <c r="S118" s="1172"/>
      <c r="T118" s="1172"/>
      <c r="U118" s="1172"/>
      <c r="V118" s="1172"/>
      <c r="W118" s="1172"/>
      <c r="X118" s="1172"/>
      <c r="Y118" s="1172"/>
      <c r="Z118" s="1172"/>
      <c r="AA118" s="1172"/>
      <c r="AB118" s="1172"/>
      <c r="AC118" s="1172"/>
      <c r="AD118"/>
      <c r="AE118"/>
    </row>
    <row r="119" spans="1:31" s="78" customFormat="1" ht="12.75" customHeight="1" outlineLevel="1" thickBot="1">
      <c r="A119" s="262"/>
      <c r="B119" s="4256"/>
      <c r="C119" s="1619" t="s">
        <v>129</v>
      </c>
      <c r="D119" s="1448">
        <f t="shared" ref="D119:M119" si="35">D117+D118</f>
        <v>7</v>
      </c>
      <c r="E119" s="1449">
        <f t="shared" si="35"/>
        <v>6</v>
      </c>
      <c r="F119" s="1449">
        <f t="shared" si="35"/>
        <v>4</v>
      </c>
      <c r="G119" s="1449">
        <f t="shared" si="35"/>
        <v>1</v>
      </c>
      <c r="H119" s="1450">
        <f t="shared" si="35"/>
        <v>4</v>
      </c>
      <c r="I119" s="1451">
        <f t="shared" si="35"/>
        <v>1</v>
      </c>
      <c r="J119" s="1449">
        <f t="shared" si="35"/>
        <v>0</v>
      </c>
      <c r="K119" s="1449">
        <f t="shared" si="35"/>
        <v>26</v>
      </c>
      <c r="L119" s="1449">
        <f t="shared" si="35"/>
        <v>0</v>
      </c>
      <c r="M119" s="1450">
        <f t="shared" si="35"/>
        <v>17</v>
      </c>
      <c r="N119" s="3790"/>
      <c r="O119" s="3791"/>
      <c r="P119" s="3791"/>
      <c r="Q119" s="3791"/>
      <c r="R119" s="3792"/>
      <c r="S119" s="1172"/>
      <c r="T119" s="1172"/>
      <c r="U119" s="1172"/>
      <c r="V119" s="1172"/>
      <c r="W119" s="1172"/>
      <c r="X119" s="1172"/>
      <c r="Y119" s="1172"/>
      <c r="Z119" s="1172"/>
      <c r="AA119" s="1172"/>
      <c r="AB119" s="1172"/>
      <c r="AC119" s="1172"/>
      <c r="AD119"/>
      <c r="AE119"/>
    </row>
    <row r="120" spans="1:31" s="78" customFormat="1" ht="12.75" customHeight="1" outlineLevel="1">
      <c r="A120" s="262"/>
      <c r="B120" s="4255" t="s">
        <v>1841</v>
      </c>
      <c r="C120" s="1617" t="s">
        <v>89</v>
      </c>
      <c r="D120" s="413">
        <v>1</v>
      </c>
      <c r="E120" s="458">
        <v>1</v>
      </c>
      <c r="F120" s="458"/>
      <c r="G120" s="458">
        <v>2</v>
      </c>
      <c r="H120" s="460">
        <v>4</v>
      </c>
      <c r="I120" s="459">
        <v>3</v>
      </c>
      <c r="J120" s="458">
        <v>0</v>
      </c>
      <c r="K120" s="458">
        <v>1</v>
      </c>
      <c r="L120" s="458">
        <v>3</v>
      </c>
      <c r="M120" s="460">
        <v>6</v>
      </c>
      <c r="N120" s="3787"/>
      <c r="O120" s="3788"/>
      <c r="P120" s="3788"/>
      <c r="Q120" s="3788"/>
      <c r="R120" s="3789"/>
      <c r="S120" s="1172"/>
      <c r="T120" s="1172"/>
      <c r="U120" s="1172"/>
      <c r="V120" s="1172"/>
      <c r="W120" s="1172"/>
      <c r="X120" s="1172"/>
      <c r="Y120" s="1172"/>
      <c r="Z120" s="1172"/>
      <c r="AA120" s="1172"/>
      <c r="AB120" s="1172"/>
      <c r="AC120" s="1172"/>
      <c r="AD120"/>
      <c r="AE120"/>
    </row>
    <row r="121" spans="1:31" s="78" customFormat="1" ht="12.75" customHeight="1" outlineLevel="1">
      <c r="A121" s="262"/>
      <c r="B121" s="4256"/>
      <c r="C121" s="1618" t="s">
        <v>180</v>
      </c>
      <c r="D121" s="413">
        <v>0</v>
      </c>
      <c r="E121" s="458">
        <v>0</v>
      </c>
      <c r="F121" s="458"/>
      <c r="G121" s="458"/>
      <c r="H121" s="460"/>
      <c r="I121" s="459">
        <v>0</v>
      </c>
      <c r="J121" s="458">
        <v>0</v>
      </c>
      <c r="K121" s="458"/>
      <c r="L121" s="458"/>
      <c r="M121" s="460"/>
      <c r="N121" s="3787"/>
      <c r="O121" s="3788"/>
      <c r="P121" s="3788"/>
      <c r="Q121" s="3788"/>
      <c r="R121" s="3789"/>
      <c r="S121" s="1172"/>
      <c r="T121" s="1172"/>
      <c r="U121" s="1172"/>
      <c r="V121" s="1172"/>
      <c r="W121" s="1172"/>
      <c r="X121" s="1172"/>
      <c r="Y121" s="1172"/>
      <c r="Z121" s="1172"/>
      <c r="AA121" s="1172"/>
      <c r="AB121" s="1172"/>
      <c r="AC121" s="1172"/>
      <c r="AD121"/>
      <c r="AE121"/>
    </row>
    <row r="122" spans="1:31" s="78" customFormat="1" ht="12.75" customHeight="1" outlineLevel="1" thickBot="1">
      <c r="A122" s="262"/>
      <c r="B122" s="4256"/>
      <c r="C122" s="1619" t="s">
        <v>129</v>
      </c>
      <c r="D122" s="1448">
        <f t="shared" ref="D122:M122" si="36">D120+D121</f>
        <v>1</v>
      </c>
      <c r="E122" s="1449">
        <f t="shared" si="36"/>
        <v>1</v>
      </c>
      <c r="F122" s="1449">
        <f t="shared" si="36"/>
        <v>0</v>
      </c>
      <c r="G122" s="1449">
        <f t="shared" si="36"/>
        <v>2</v>
      </c>
      <c r="H122" s="1450">
        <f t="shared" si="36"/>
        <v>4</v>
      </c>
      <c r="I122" s="1451">
        <f t="shared" si="36"/>
        <v>3</v>
      </c>
      <c r="J122" s="1449">
        <f t="shared" si="36"/>
        <v>0</v>
      </c>
      <c r="K122" s="1449">
        <f t="shared" si="36"/>
        <v>1</v>
      </c>
      <c r="L122" s="1449">
        <f t="shared" si="36"/>
        <v>3</v>
      </c>
      <c r="M122" s="1450">
        <f t="shared" si="36"/>
        <v>6</v>
      </c>
      <c r="N122" s="3790"/>
      <c r="O122" s="3791"/>
      <c r="P122" s="3791"/>
      <c r="Q122" s="3791"/>
      <c r="R122" s="3792"/>
      <c r="S122" s="1172"/>
      <c r="T122" s="1172"/>
      <c r="U122" s="1172"/>
      <c r="V122" s="1172"/>
      <c r="W122" s="1172"/>
      <c r="X122" s="1172"/>
      <c r="Y122" s="1172"/>
      <c r="Z122" s="1172"/>
      <c r="AA122" s="1172"/>
      <c r="AB122" s="1172"/>
      <c r="AC122" s="1172"/>
      <c r="AD122"/>
      <c r="AE122"/>
    </row>
    <row r="123" spans="1:31" s="78" customFormat="1" ht="12.75" customHeight="1" outlineLevel="1">
      <c r="A123" s="262"/>
      <c r="B123" s="4255" t="s">
        <v>1842</v>
      </c>
      <c r="C123" s="1617" t="s">
        <v>89</v>
      </c>
      <c r="D123" s="413"/>
      <c r="E123" s="458"/>
      <c r="F123" s="458">
        <v>3</v>
      </c>
      <c r="G123" s="458">
        <v>4</v>
      </c>
      <c r="H123" s="460">
        <v>3</v>
      </c>
      <c r="I123" s="459">
        <v>5</v>
      </c>
      <c r="J123" s="458">
        <v>13</v>
      </c>
      <c r="K123" s="458">
        <v>3</v>
      </c>
      <c r="L123" s="458"/>
      <c r="M123" s="460">
        <v>14</v>
      </c>
      <c r="N123" s="3787"/>
      <c r="O123" s="3788"/>
      <c r="P123" s="3788"/>
      <c r="Q123" s="3788"/>
      <c r="R123" s="3789"/>
      <c r="S123" s="1172"/>
      <c r="T123" s="1172"/>
      <c r="U123" s="1172"/>
      <c r="V123" s="1172"/>
      <c r="W123" s="1172"/>
      <c r="X123" s="1172"/>
      <c r="Y123" s="1172"/>
      <c r="Z123" s="1172"/>
      <c r="AA123" s="1172"/>
      <c r="AB123" s="1172"/>
      <c r="AC123" s="1172"/>
      <c r="AD123"/>
      <c r="AE123"/>
    </row>
    <row r="124" spans="1:31" s="78" customFormat="1" ht="12.75" customHeight="1" outlineLevel="1">
      <c r="A124" s="262"/>
      <c r="B124" s="4256"/>
      <c r="C124" s="1618" t="s">
        <v>180</v>
      </c>
      <c r="D124" s="413"/>
      <c r="E124" s="458"/>
      <c r="F124" s="458">
        <v>0</v>
      </c>
      <c r="G124" s="458"/>
      <c r="H124" s="460"/>
      <c r="I124" s="459">
        <v>0</v>
      </c>
      <c r="J124" s="458">
        <v>0</v>
      </c>
      <c r="K124" s="458"/>
      <c r="L124" s="458"/>
      <c r="M124" s="460"/>
      <c r="N124" s="3787"/>
      <c r="O124" s="3788"/>
      <c r="P124" s="3788"/>
      <c r="Q124" s="3788"/>
      <c r="R124" s="3789"/>
      <c r="S124" s="1172"/>
      <c r="T124" s="1172"/>
      <c r="U124" s="1172"/>
      <c r="V124" s="1172"/>
      <c r="W124" s="1172"/>
      <c r="X124" s="1172"/>
      <c r="Y124" s="1172"/>
      <c r="Z124" s="1172"/>
      <c r="AA124" s="1172"/>
      <c r="AB124" s="1172"/>
      <c r="AC124" s="1172"/>
      <c r="AD124"/>
      <c r="AE124"/>
    </row>
    <row r="125" spans="1:31" s="78" customFormat="1" ht="12.75" customHeight="1" outlineLevel="1" thickBot="1">
      <c r="A125" s="262"/>
      <c r="B125" s="4256"/>
      <c r="C125" s="1619" t="s">
        <v>129</v>
      </c>
      <c r="D125" s="1448">
        <f t="shared" ref="D125:M125" si="37">D123+D124</f>
        <v>0</v>
      </c>
      <c r="E125" s="1449">
        <f t="shared" si="37"/>
        <v>0</v>
      </c>
      <c r="F125" s="1449">
        <f t="shared" si="37"/>
        <v>3</v>
      </c>
      <c r="G125" s="1449">
        <f t="shared" si="37"/>
        <v>4</v>
      </c>
      <c r="H125" s="1450">
        <f t="shared" si="37"/>
        <v>3</v>
      </c>
      <c r="I125" s="1451">
        <f t="shared" si="37"/>
        <v>5</v>
      </c>
      <c r="J125" s="1449">
        <f t="shared" si="37"/>
        <v>13</v>
      </c>
      <c r="K125" s="1449">
        <f t="shared" si="37"/>
        <v>3</v>
      </c>
      <c r="L125" s="1449">
        <f t="shared" si="37"/>
        <v>0</v>
      </c>
      <c r="M125" s="1450">
        <f t="shared" si="37"/>
        <v>14</v>
      </c>
      <c r="N125" s="3790"/>
      <c r="O125" s="3791"/>
      <c r="P125" s="3791"/>
      <c r="Q125" s="3791"/>
      <c r="R125" s="3792"/>
      <c r="S125" s="1172"/>
      <c r="T125" s="1172"/>
      <c r="U125" s="1172"/>
      <c r="V125" s="1172"/>
      <c r="W125" s="1172"/>
      <c r="X125" s="1172"/>
      <c r="Y125" s="1172"/>
      <c r="Z125" s="1172"/>
      <c r="AA125" s="1172"/>
      <c r="AB125" s="1172"/>
      <c r="AC125" s="1172"/>
      <c r="AD125"/>
      <c r="AE125"/>
    </row>
    <row r="126" spans="1:31" s="78" customFormat="1" ht="12.75" customHeight="1" outlineLevel="1">
      <c r="A126" s="262"/>
      <c r="B126" s="4255" t="s">
        <v>1843</v>
      </c>
      <c r="C126" s="1617" t="s">
        <v>89</v>
      </c>
      <c r="D126" s="413"/>
      <c r="E126" s="458"/>
      <c r="F126" s="458"/>
      <c r="G126" s="458"/>
      <c r="H126" s="460"/>
      <c r="I126" s="459"/>
      <c r="J126" s="458">
        <v>1</v>
      </c>
      <c r="K126" s="458"/>
      <c r="L126" s="458"/>
      <c r="M126" s="460">
        <v>2</v>
      </c>
      <c r="N126" s="3787"/>
      <c r="O126" s="3788"/>
      <c r="P126" s="3788"/>
      <c r="Q126" s="3788"/>
      <c r="R126" s="3789"/>
      <c r="S126" s="1172"/>
      <c r="T126" s="1172"/>
      <c r="U126" s="1172"/>
      <c r="V126" s="1172"/>
      <c r="W126" s="1172"/>
      <c r="X126" s="1172"/>
      <c r="Y126" s="1172"/>
      <c r="Z126" s="1172"/>
      <c r="AA126" s="1172"/>
      <c r="AB126" s="1172"/>
      <c r="AC126" s="1172"/>
      <c r="AD126"/>
      <c r="AE126"/>
    </row>
    <row r="127" spans="1:31" s="78" customFormat="1" ht="15" customHeight="1" outlineLevel="1">
      <c r="A127" s="262"/>
      <c r="B127" s="4256"/>
      <c r="C127" s="1618" t="s">
        <v>180</v>
      </c>
      <c r="D127" s="413"/>
      <c r="E127" s="458"/>
      <c r="F127" s="458"/>
      <c r="G127" s="458"/>
      <c r="H127" s="460"/>
      <c r="I127" s="459"/>
      <c r="J127" s="458">
        <v>0</v>
      </c>
      <c r="K127" s="458"/>
      <c r="L127" s="458"/>
      <c r="M127" s="460"/>
      <c r="N127" s="3787"/>
      <c r="O127" s="3788"/>
      <c r="P127" s="3788"/>
      <c r="Q127" s="3788"/>
      <c r="R127" s="3789"/>
      <c r="S127" s="1172"/>
      <c r="T127" s="1172"/>
      <c r="U127" s="1172"/>
      <c r="V127" s="1172"/>
      <c r="W127" s="1172"/>
      <c r="X127" s="1172"/>
      <c r="Y127" s="1172"/>
      <c r="Z127" s="1172"/>
      <c r="AA127" s="1172"/>
      <c r="AB127" s="1172"/>
      <c r="AC127" s="1172"/>
      <c r="AD127"/>
      <c r="AE127"/>
    </row>
    <row r="128" spans="1:31" s="78" customFormat="1" ht="12.75" customHeight="1" outlineLevel="1" thickBot="1">
      <c r="A128" s="262"/>
      <c r="B128" s="4256"/>
      <c r="C128" s="1619" t="s">
        <v>129</v>
      </c>
      <c r="D128" s="1448">
        <f t="shared" ref="D128:M128" si="38">D126+D127</f>
        <v>0</v>
      </c>
      <c r="E128" s="1449">
        <f t="shared" si="38"/>
        <v>0</v>
      </c>
      <c r="F128" s="1449">
        <f t="shared" si="38"/>
        <v>0</v>
      </c>
      <c r="G128" s="1449">
        <f t="shared" si="38"/>
        <v>0</v>
      </c>
      <c r="H128" s="1450">
        <f t="shared" si="38"/>
        <v>0</v>
      </c>
      <c r="I128" s="1451">
        <f t="shared" si="38"/>
        <v>0</v>
      </c>
      <c r="J128" s="1449">
        <f t="shared" si="38"/>
        <v>1</v>
      </c>
      <c r="K128" s="1449">
        <f t="shared" si="38"/>
        <v>0</v>
      </c>
      <c r="L128" s="1449">
        <f t="shared" si="38"/>
        <v>0</v>
      </c>
      <c r="M128" s="1450">
        <f t="shared" si="38"/>
        <v>2</v>
      </c>
      <c r="N128" s="3790"/>
      <c r="O128" s="3791"/>
      <c r="P128" s="3791"/>
      <c r="Q128" s="3791"/>
      <c r="R128" s="3792"/>
      <c r="S128" s="1172"/>
      <c r="T128" s="1172"/>
      <c r="U128" s="1172"/>
      <c r="V128" s="1172"/>
      <c r="W128" s="1172"/>
      <c r="X128" s="1172"/>
      <c r="Y128" s="1172"/>
      <c r="Z128" s="1172"/>
      <c r="AA128" s="1172"/>
      <c r="AB128" s="1172"/>
      <c r="AC128" s="1172"/>
      <c r="AD128"/>
      <c r="AE128"/>
    </row>
    <row r="129" spans="1:31" s="78" customFormat="1" ht="12.75" customHeight="1" outlineLevel="1">
      <c r="A129" s="262"/>
      <c r="B129" s="4255" t="s">
        <v>1844</v>
      </c>
      <c r="C129" s="1617" t="s">
        <v>89</v>
      </c>
      <c r="D129" s="413">
        <v>2</v>
      </c>
      <c r="E129" s="458">
        <v>7</v>
      </c>
      <c r="F129" s="458">
        <v>16</v>
      </c>
      <c r="G129" s="458">
        <f>1+11</f>
        <v>12</v>
      </c>
      <c r="H129" s="460">
        <f>7+34+3</f>
        <v>44</v>
      </c>
      <c r="I129" s="459">
        <f>1+39</f>
        <v>40</v>
      </c>
      <c r="J129" s="458">
        <v>29</v>
      </c>
      <c r="K129" s="458">
        <v>25</v>
      </c>
      <c r="L129" s="458">
        <v>10</v>
      </c>
      <c r="M129" s="460">
        <f>3+17+9</f>
        <v>29</v>
      </c>
      <c r="N129" s="3787"/>
      <c r="O129" s="3788"/>
      <c r="P129" s="3788"/>
      <c r="Q129" s="3788"/>
      <c r="R129" s="3789"/>
      <c r="S129" s="1172"/>
      <c r="T129" s="1172"/>
      <c r="U129" s="1172"/>
      <c r="V129" s="1172"/>
      <c r="W129" s="1172"/>
      <c r="X129" s="1172"/>
      <c r="Y129" s="1172"/>
      <c r="Z129" s="1172"/>
      <c r="AA129" s="1172"/>
      <c r="AB129" s="1172"/>
      <c r="AC129" s="1172"/>
      <c r="AD129"/>
      <c r="AE129"/>
    </row>
    <row r="130" spans="1:31" s="78" customFormat="1" ht="12.75" customHeight="1" outlineLevel="1">
      <c r="A130" s="262"/>
      <c r="B130" s="4256"/>
      <c r="C130" s="1618" t="s">
        <v>180</v>
      </c>
      <c r="D130" s="413">
        <v>0</v>
      </c>
      <c r="E130" s="458">
        <v>0</v>
      </c>
      <c r="F130" s="458">
        <v>0</v>
      </c>
      <c r="G130" s="458">
        <v>0</v>
      </c>
      <c r="H130" s="460">
        <v>0</v>
      </c>
      <c r="I130" s="459"/>
      <c r="J130" s="458">
        <v>0</v>
      </c>
      <c r="K130" s="458"/>
      <c r="L130" s="458"/>
      <c r="M130" s="460"/>
      <c r="N130" s="3787"/>
      <c r="O130" s="3788"/>
      <c r="P130" s="3788"/>
      <c r="Q130" s="3788"/>
      <c r="R130" s="3789"/>
      <c r="S130" s="1172"/>
      <c r="T130" s="1172"/>
      <c r="U130" s="1172"/>
      <c r="V130" s="1172"/>
      <c r="W130" s="1172"/>
      <c r="X130" s="1172"/>
      <c r="Y130" s="1172"/>
      <c r="Z130" s="1172"/>
      <c r="AA130" s="1172"/>
      <c r="AB130" s="1172"/>
      <c r="AC130" s="1172"/>
      <c r="AD130"/>
      <c r="AE130"/>
    </row>
    <row r="131" spans="1:31" s="78" customFormat="1" ht="12.75" customHeight="1" outlineLevel="1" thickBot="1">
      <c r="A131" s="262"/>
      <c r="B131" s="4256"/>
      <c r="C131" s="1619" t="s">
        <v>129</v>
      </c>
      <c r="D131" s="1448">
        <f t="shared" ref="D131:M131" si="39">D129+D130</f>
        <v>2</v>
      </c>
      <c r="E131" s="1449">
        <f t="shared" si="39"/>
        <v>7</v>
      </c>
      <c r="F131" s="1449">
        <f t="shared" si="39"/>
        <v>16</v>
      </c>
      <c r="G131" s="1449">
        <f t="shared" si="39"/>
        <v>12</v>
      </c>
      <c r="H131" s="1450">
        <f t="shared" si="39"/>
        <v>44</v>
      </c>
      <c r="I131" s="1451">
        <f t="shared" si="39"/>
        <v>40</v>
      </c>
      <c r="J131" s="1449">
        <f t="shared" si="39"/>
        <v>29</v>
      </c>
      <c r="K131" s="1449">
        <f t="shared" si="39"/>
        <v>25</v>
      </c>
      <c r="L131" s="1449">
        <f t="shared" si="39"/>
        <v>10</v>
      </c>
      <c r="M131" s="1450">
        <f t="shared" si="39"/>
        <v>29</v>
      </c>
      <c r="N131" s="3790"/>
      <c r="O131" s="3791"/>
      <c r="P131" s="3791"/>
      <c r="Q131" s="3791"/>
      <c r="R131" s="3792"/>
      <c r="S131" s="1172"/>
      <c r="T131" s="1172"/>
      <c r="U131" s="1172"/>
      <c r="V131" s="1172"/>
      <c r="W131" s="1172"/>
      <c r="X131" s="1172"/>
      <c r="Y131" s="1172"/>
      <c r="Z131" s="1172"/>
      <c r="AA131" s="1172"/>
      <c r="AB131" s="1172"/>
      <c r="AC131" s="1172"/>
      <c r="AD131"/>
      <c r="AE131"/>
    </row>
    <row r="132" spans="1:31" s="78" customFormat="1" ht="12.75" customHeight="1" outlineLevel="1">
      <c r="A132" s="262"/>
      <c r="B132" s="4255" t="s">
        <v>1845</v>
      </c>
      <c r="C132" s="1617" t="s">
        <v>89</v>
      </c>
      <c r="D132" s="413"/>
      <c r="E132" s="458"/>
      <c r="F132" s="458"/>
      <c r="G132" s="458"/>
      <c r="H132" s="460"/>
      <c r="I132" s="459"/>
      <c r="J132" s="458">
        <v>0</v>
      </c>
      <c r="K132" s="458"/>
      <c r="L132" s="458">
        <v>1</v>
      </c>
      <c r="M132" s="460">
        <v>1</v>
      </c>
      <c r="N132" s="3787"/>
      <c r="O132" s="3788"/>
      <c r="P132" s="3788"/>
      <c r="Q132" s="3788"/>
      <c r="R132" s="3789"/>
      <c r="S132" s="1172"/>
      <c r="T132" s="1172"/>
      <c r="U132" s="1172"/>
      <c r="V132" s="1172"/>
      <c r="W132" s="1172"/>
      <c r="X132" s="1172"/>
      <c r="Y132" s="1172"/>
      <c r="Z132" s="1172"/>
      <c r="AA132" s="1172"/>
      <c r="AB132" s="1172"/>
      <c r="AC132" s="1172"/>
      <c r="AD132"/>
      <c r="AE132"/>
    </row>
    <row r="133" spans="1:31" s="78" customFormat="1" ht="12.75" customHeight="1" outlineLevel="1">
      <c r="A133" s="262"/>
      <c r="B133" s="4256"/>
      <c r="C133" s="1618" t="s">
        <v>180</v>
      </c>
      <c r="D133" s="413"/>
      <c r="E133" s="458"/>
      <c r="F133" s="458"/>
      <c r="G133" s="458"/>
      <c r="H133" s="460"/>
      <c r="I133" s="459"/>
      <c r="J133" s="458">
        <v>0</v>
      </c>
      <c r="K133" s="458"/>
      <c r="L133" s="458"/>
      <c r="M133" s="460"/>
      <c r="N133" s="3787"/>
      <c r="O133" s="3788"/>
      <c r="P133" s="3788"/>
      <c r="Q133" s="3788"/>
      <c r="R133" s="3789"/>
      <c r="S133" s="1172"/>
      <c r="T133" s="1172"/>
      <c r="U133" s="1172"/>
      <c r="V133" s="1172"/>
      <c r="W133" s="1172"/>
      <c r="X133" s="1172"/>
      <c r="Y133" s="1172"/>
      <c r="Z133" s="1172"/>
      <c r="AA133" s="1172"/>
      <c r="AB133" s="1172"/>
      <c r="AC133" s="1172"/>
      <c r="AD133"/>
      <c r="AE133"/>
    </row>
    <row r="134" spans="1:31" s="183" customFormat="1" ht="12.75" customHeight="1" outlineLevel="1" thickBot="1">
      <c r="A134" s="262"/>
      <c r="B134" s="4256"/>
      <c r="C134" s="1619" t="s">
        <v>129</v>
      </c>
      <c r="D134" s="1448">
        <f t="shared" ref="D134:M134" si="40">D132+D133</f>
        <v>0</v>
      </c>
      <c r="E134" s="1449">
        <f t="shared" si="40"/>
        <v>0</v>
      </c>
      <c r="F134" s="1449">
        <f t="shared" si="40"/>
        <v>0</v>
      </c>
      <c r="G134" s="1449">
        <f t="shared" si="40"/>
        <v>0</v>
      </c>
      <c r="H134" s="1450">
        <f t="shared" si="40"/>
        <v>0</v>
      </c>
      <c r="I134" s="1451">
        <f t="shared" si="40"/>
        <v>0</v>
      </c>
      <c r="J134" s="1449">
        <f t="shared" si="40"/>
        <v>0</v>
      </c>
      <c r="K134" s="1449">
        <f t="shared" si="40"/>
        <v>0</v>
      </c>
      <c r="L134" s="1449">
        <f t="shared" si="40"/>
        <v>1</v>
      </c>
      <c r="M134" s="1450">
        <f t="shared" si="40"/>
        <v>1</v>
      </c>
      <c r="N134" s="3790"/>
      <c r="O134" s="3791"/>
      <c r="P134" s="3791"/>
      <c r="Q134" s="3791"/>
      <c r="R134" s="3792"/>
      <c r="S134" s="1172"/>
      <c r="T134" s="1172"/>
      <c r="U134" s="1172"/>
      <c r="V134" s="1172"/>
      <c r="W134" s="1172"/>
      <c r="X134" s="1172"/>
      <c r="Y134" s="1172"/>
      <c r="Z134" s="1172"/>
      <c r="AA134" s="1172"/>
      <c r="AB134" s="1172"/>
      <c r="AC134" s="1172"/>
      <c r="AD134"/>
      <c r="AE134"/>
    </row>
    <row r="135" spans="1:31" s="78" customFormat="1" ht="12.75" customHeight="1" outlineLevel="1">
      <c r="A135" s="262"/>
      <c r="B135" s="4255" t="s">
        <v>1846</v>
      </c>
      <c r="C135" s="1617" t="s">
        <v>89</v>
      </c>
      <c r="D135" s="413"/>
      <c r="E135" s="458"/>
      <c r="F135" s="458"/>
      <c r="G135" s="458">
        <v>1</v>
      </c>
      <c r="H135" s="460"/>
      <c r="I135" s="459"/>
      <c r="J135" s="458">
        <v>0</v>
      </c>
      <c r="K135" s="458"/>
      <c r="L135" s="458">
        <v>1</v>
      </c>
      <c r="M135" s="460"/>
      <c r="N135" s="3787"/>
      <c r="O135" s="3788"/>
      <c r="P135" s="3788"/>
      <c r="Q135" s="3788"/>
      <c r="R135" s="3789"/>
      <c r="S135" s="1172"/>
      <c r="T135" s="1172"/>
      <c r="U135" s="1172"/>
      <c r="V135" s="1172"/>
      <c r="W135" s="1172"/>
      <c r="X135" s="1172"/>
      <c r="Y135" s="1172"/>
      <c r="Z135" s="1172"/>
      <c r="AA135" s="1172"/>
      <c r="AB135" s="1172"/>
      <c r="AC135" s="1172"/>
      <c r="AD135"/>
      <c r="AE135"/>
    </row>
    <row r="136" spans="1:31" s="78" customFormat="1" ht="15" customHeight="1" outlineLevel="1">
      <c r="A136" s="262"/>
      <c r="B136" s="4256"/>
      <c r="C136" s="1618" t="s">
        <v>180</v>
      </c>
      <c r="D136" s="413"/>
      <c r="E136" s="458"/>
      <c r="F136" s="458"/>
      <c r="G136" s="458"/>
      <c r="H136" s="460"/>
      <c r="I136" s="459"/>
      <c r="J136" s="458">
        <v>0</v>
      </c>
      <c r="K136" s="458"/>
      <c r="L136" s="458"/>
      <c r="M136" s="460"/>
      <c r="N136" s="3787"/>
      <c r="O136" s="3788"/>
      <c r="P136" s="3788"/>
      <c r="Q136" s="3788"/>
      <c r="R136" s="3789"/>
      <c r="S136" s="1172"/>
      <c r="T136" s="1172"/>
      <c r="U136" s="1172"/>
      <c r="V136" s="1172"/>
      <c r="W136" s="1172"/>
      <c r="X136" s="1172"/>
      <c r="Y136" s="1172"/>
      <c r="Z136" s="1172"/>
      <c r="AA136" s="1172"/>
      <c r="AB136" s="1172"/>
      <c r="AC136" s="1172"/>
      <c r="AD136"/>
      <c r="AE136"/>
    </row>
    <row r="137" spans="1:31" s="78" customFormat="1" ht="12.75" customHeight="1" outlineLevel="1" thickBot="1">
      <c r="A137" s="262"/>
      <c r="B137" s="4256"/>
      <c r="C137" s="1619" t="s">
        <v>129</v>
      </c>
      <c r="D137" s="1448">
        <f t="shared" ref="D137:M137" si="41">D135+D136</f>
        <v>0</v>
      </c>
      <c r="E137" s="1449">
        <f t="shared" si="41"/>
        <v>0</v>
      </c>
      <c r="F137" s="1449">
        <f t="shared" si="41"/>
        <v>0</v>
      </c>
      <c r="G137" s="1449">
        <f t="shared" si="41"/>
        <v>1</v>
      </c>
      <c r="H137" s="1450">
        <f t="shared" si="41"/>
        <v>0</v>
      </c>
      <c r="I137" s="1451">
        <f t="shared" si="41"/>
        <v>0</v>
      </c>
      <c r="J137" s="1449">
        <f t="shared" si="41"/>
        <v>0</v>
      </c>
      <c r="K137" s="1449">
        <f t="shared" si="41"/>
        <v>0</v>
      </c>
      <c r="L137" s="1449">
        <f t="shared" si="41"/>
        <v>1</v>
      </c>
      <c r="M137" s="1450">
        <f t="shared" si="41"/>
        <v>0</v>
      </c>
      <c r="N137" s="3790"/>
      <c r="O137" s="3791"/>
      <c r="P137" s="3791"/>
      <c r="Q137" s="3791"/>
      <c r="R137" s="3792"/>
      <c r="S137" s="1172"/>
      <c r="T137" s="1172"/>
      <c r="U137" s="1172"/>
      <c r="V137" s="1172"/>
      <c r="W137" s="1172"/>
      <c r="X137" s="1172"/>
      <c r="Y137" s="1172"/>
      <c r="Z137" s="1172"/>
      <c r="AA137" s="1172"/>
      <c r="AB137" s="1172"/>
      <c r="AC137" s="1172"/>
      <c r="AD137"/>
      <c r="AE137"/>
    </row>
    <row r="138" spans="1:31" s="78" customFormat="1" ht="12.75" customHeight="1" outlineLevel="1">
      <c r="A138" s="262"/>
      <c r="B138" s="4255" t="s">
        <v>1847</v>
      </c>
      <c r="C138" s="1617" t="s">
        <v>89</v>
      </c>
      <c r="D138" s="413"/>
      <c r="E138" s="458"/>
      <c r="F138" s="458"/>
      <c r="G138" s="458"/>
      <c r="H138" s="460"/>
      <c r="I138" s="459"/>
      <c r="J138" s="458">
        <v>0</v>
      </c>
      <c r="K138" s="458">
        <v>1</v>
      </c>
      <c r="L138" s="458">
        <v>1</v>
      </c>
      <c r="M138" s="460"/>
      <c r="N138" s="3787"/>
      <c r="O138" s="3788"/>
      <c r="P138" s="3788"/>
      <c r="Q138" s="3788"/>
      <c r="R138" s="3789"/>
      <c r="S138" s="1172"/>
      <c r="T138" s="1172"/>
      <c r="U138" s="1172"/>
      <c r="V138" s="1172"/>
      <c r="W138" s="1172"/>
      <c r="X138" s="1172"/>
      <c r="Y138" s="1172"/>
      <c r="Z138" s="1172"/>
      <c r="AA138" s="1172"/>
      <c r="AB138" s="1172"/>
      <c r="AC138" s="1172"/>
      <c r="AD138"/>
      <c r="AE138"/>
    </row>
    <row r="139" spans="1:31" s="78" customFormat="1" ht="12.75" customHeight="1" outlineLevel="1">
      <c r="A139" s="262"/>
      <c r="B139" s="4256"/>
      <c r="C139" s="1618" t="s">
        <v>180</v>
      </c>
      <c r="D139" s="413"/>
      <c r="E139" s="458"/>
      <c r="F139" s="458"/>
      <c r="G139" s="458"/>
      <c r="H139" s="460"/>
      <c r="I139" s="459"/>
      <c r="J139" s="458">
        <v>0</v>
      </c>
      <c r="K139" s="458"/>
      <c r="L139" s="458"/>
      <c r="M139" s="460"/>
      <c r="N139" s="3787"/>
      <c r="O139" s="3788"/>
      <c r="P139" s="3788"/>
      <c r="Q139" s="3788"/>
      <c r="R139" s="3789"/>
      <c r="S139" s="1172"/>
      <c r="T139" s="1172"/>
      <c r="U139" s="1172"/>
      <c r="V139" s="1172"/>
      <c r="W139" s="1172"/>
      <c r="X139" s="1172"/>
      <c r="Y139" s="1172"/>
      <c r="Z139" s="1172"/>
      <c r="AA139" s="1172"/>
      <c r="AB139" s="1172"/>
      <c r="AC139" s="1172"/>
      <c r="AD139"/>
      <c r="AE139"/>
    </row>
    <row r="140" spans="1:31" s="78" customFormat="1" ht="12.75" customHeight="1" outlineLevel="1" thickBot="1">
      <c r="A140" s="262"/>
      <c r="B140" s="4256"/>
      <c r="C140" s="1619" t="s">
        <v>129</v>
      </c>
      <c r="D140" s="1448">
        <f t="shared" ref="D140:M140" si="42">D138+D139</f>
        <v>0</v>
      </c>
      <c r="E140" s="1449">
        <f t="shared" si="42"/>
        <v>0</v>
      </c>
      <c r="F140" s="1449">
        <f t="shared" si="42"/>
        <v>0</v>
      </c>
      <c r="G140" s="1449">
        <f t="shared" si="42"/>
        <v>0</v>
      </c>
      <c r="H140" s="1450">
        <f t="shared" si="42"/>
        <v>0</v>
      </c>
      <c r="I140" s="1451">
        <f t="shared" si="42"/>
        <v>0</v>
      </c>
      <c r="J140" s="1449">
        <f t="shared" si="42"/>
        <v>0</v>
      </c>
      <c r="K140" s="1449">
        <f t="shared" si="42"/>
        <v>1</v>
      </c>
      <c r="L140" s="1449">
        <f t="shared" si="42"/>
        <v>1</v>
      </c>
      <c r="M140" s="1450">
        <f t="shared" si="42"/>
        <v>0</v>
      </c>
      <c r="N140" s="3790"/>
      <c r="O140" s="3791"/>
      <c r="P140" s="3791"/>
      <c r="Q140" s="3791"/>
      <c r="R140" s="3792"/>
      <c r="S140" s="1172"/>
      <c r="T140" s="1172"/>
      <c r="U140" s="1172"/>
      <c r="V140" s="1172"/>
      <c r="W140" s="1172"/>
      <c r="X140" s="1172"/>
      <c r="Y140" s="1172"/>
      <c r="Z140" s="1172"/>
      <c r="AA140" s="1172"/>
      <c r="AB140" s="1172"/>
      <c r="AC140" s="1172"/>
      <c r="AD140"/>
      <c r="AE140"/>
    </row>
    <row r="141" spans="1:31" s="78" customFormat="1" ht="12.75" customHeight="1" outlineLevel="1">
      <c r="A141" s="262"/>
      <c r="B141" s="4255" t="s">
        <v>1848</v>
      </c>
      <c r="C141" s="1617" t="s">
        <v>89</v>
      </c>
      <c r="D141" s="413"/>
      <c r="E141" s="458"/>
      <c r="F141" s="458">
        <v>1</v>
      </c>
      <c r="G141" s="458"/>
      <c r="H141" s="460"/>
      <c r="I141" s="459"/>
      <c r="J141" s="458">
        <v>0</v>
      </c>
      <c r="K141" s="458"/>
      <c r="L141" s="458"/>
      <c r="M141" s="460"/>
      <c r="N141" s="3787"/>
      <c r="O141" s="3788"/>
      <c r="P141" s="3788"/>
      <c r="Q141" s="3788"/>
      <c r="R141" s="3789"/>
      <c r="S141" s="1172"/>
      <c r="T141" s="1172"/>
      <c r="U141" s="1172"/>
      <c r="V141" s="1172"/>
      <c r="W141" s="1172"/>
      <c r="X141" s="1172"/>
      <c r="Y141" s="1172"/>
      <c r="Z141" s="1172"/>
      <c r="AA141" s="1172"/>
      <c r="AB141" s="1172"/>
      <c r="AC141" s="1172"/>
      <c r="AD141"/>
      <c r="AE141"/>
    </row>
    <row r="142" spans="1:31" s="78" customFormat="1" ht="12.75" customHeight="1" outlineLevel="1">
      <c r="A142" s="262"/>
      <c r="B142" s="4256"/>
      <c r="C142" s="1618" t="s">
        <v>180</v>
      </c>
      <c r="D142" s="413"/>
      <c r="E142" s="458"/>
      <c r="F142" s="458">
        <v>0</v>
      </c>
      <c r="G142" s="458"/>
      <c r="H142" s="460"/>
      <c r="I142" s="459"/>
      <c r="J142" s="458">
        <v>0</v>
      </c>
      <c r="K142" s="458"/>
      <c r="L142" s="458"/>
      <c r="M142" s="460"/>
      <c r="N142" s="3787"/>
      <c r="O142" s="3788"/>
      <c r="P142" s="3788"/>
      <c r="Q142" s="3788"/>
      <c r="R142" s="3789"/>
      <c r="S142" s="1172"/>
      <c r="T142" s="1172"/>
      <c r="U142" s="1172"/>
      <c r="V142" s="1172"/>
      <c r="W142" s="1172"/>
      <c r="X142" s="1172"/>
      <c r="Y142" s="1172"/>
      <c r="Z142" s="1172"/>
      <c r="AA142" s="1172"/>
      <c r="AB142" s="1172"/>
      <c r="AC142" s="1172"/>
      <c r="AD142"/>
      <c r="AE142"/>
    </row>
    <row r="143" spans="1:31" s="183" customFormat="1" ht="12.75" customHeight="1" outlineLevel="1" thickBot="1">
      <c r="A143" s="262"/>
      <c r="B143" s="4256"/>
      <c r="C143" s="1619" t="s">
        <v>129</v>
      </c>
      <c r="D143" s="1448">
        <f t="shared" ref="D143:M143" si="43">D141+D142</f>
        <v>0</v>
      </c>
      <c r="E143" s="1449">
        <f t="shared" si="43"/>
        <v>0</v>
      </c>
      <c r="F143" s="1449">
        <f t="shared" si="43"/>
        <v>1</v>
      </c>
      <c r="G143" s="1449">
        <f t="shared" si="43"/>
        <v>0</v>
      </c>
      <c r="H143" s="1450">
        <f t="shared" si="43"/>
        <v>0</v>
      </c>
      <c r="I143" s="1451">
        <f t="shared" si="43"/>
        <v>0</v>
      </c>
      <c r="J143" s="1449">
        <f t="shared" si="43"/>
        <v>0</v>
      </c>
      <c r="K143" s="1449">
        <f t="shared" si="43"/>
        <v>0</v>
      </c>
      <c r="L143" s="1449">
        <f t="shared" si="43"/>
        <v>0</v>
      </c>
      <c r="M143" s="1450">
        <f t="shared" si="43"/>
        <v>0</v>
      </c>
      <c r="N143" s="3790"/>
      <c r="O143" s="3791"/>
      <c r="P143" s="3791"/>
      <c r="Q143" s="3791"/>
      <c r="R143" s="3792"/>
      <c r="S143" s="1172"/>
      <c r="T143" s="1172"/>
      <c r="U143" s="1172"/>
      <c r="V143" s="1172"/>
      <c r="W143" s="1172"/>
      <c r="X143" s="1172"/>
      <c r="Y143" s="1172"/>
      <c r="Z143" s="1172"/>
      <c r="AA143" s="1172"/>
      <c r="AB143" s="1172"/>
      <c r="AC143" s="1172"/>
      <c r="AD143"/>
      <c r="AE143"/>
    </row>
    <row r="144" spans="1:31" s="78" customFormat="1" ht="12.75" customHeight="1" outlineLevel="1">
      <c r="A144" s="262"/>
      <c r="B144" s="4255" t="s">
        <v>1849</v>
      </c>
      <c r="C144" s="1617" t="s">
        <v>89</v>
      </c>
      <c r="D144" s="413"/>
      <c r="E144" s="458"/>
      <c r="F144" s="458"/>
      <c r="G144" s="458">
        <v>2</v>
      </c>
      <c r="H144" s="460"/>
      <c r="I144" s="459"/>
      <c r="J144" s="458"/>
      <c r="K144" s="458">
        <v>1</v>
      </c>
      <c r="L144" s="458"/>
      <c r="M144" s="460"/>
      <c r="N144" s="3787"/>
      <c r="O144" s="3788"/>
      <c r="P144" s="3788"/>
      <c r="Q144" s="3788"/>
      <c r="R144" s="3789"/>
      <c r="S144" s="1172"/>
      <c r="T144" s="1172"/>
      <c r="U144" s="1172"/>
      <c r="V144" s="1172"/>
      <c r="W144" s="1172"/>
      <c r="X144" s="1172"/>
      <c r="Y144" s="1172"/>
      <c r="Z144" s="1172"/>
      <c r="AA144" s="1172"/>
      <c r="AB144" s="1172"/>
      <c r="AC144" s="1172"/>
      <c r="AD144"/>
      <c r="AE144"/>
    </row>
    <row r="145" spans="1:31" s="78" customFormat="1" ht="15" customHeight="1" outlineLevel="1">
      <c r="A145" s="262"/>
      <c r="B145" s="4256"/>
      <c r="C145" s="1618" t="s">
        <v>180</v>
      </c>
      <c r="D145" s="413"/>
      <c r="E145" s="458"/>
      <c r="F145" s="458"/>
      <c r="G145" s="458"/>
      <c r="H145" s="460"/>
      <c r="I145" s="459"/>
      <c r="J145" s="458"/>
      <c r="K145" s="458">
        <v>0</v>
      </c>
      <c r="L145" s="458"/>
      <c r="M145" s="460"/>
      <c r="N145" s="3787"/>
      <c r="O145" s="3788"/>
      <c r="P145" s="3788"/>
      <c r="Q145" s="3788"/>
      <c r="R145" s="3789"/>
      <c r="S145" s="1172"/>
      <c r="T145" s="1172"/>
      <c r="U145" s="1172"/>
      <c r="V145" s="1172"/>
      <c r="W145" s="1172"/>
      <c r="X145" s="1172"/>
      <c r="Y145" s="1172"/>
      <c r="Z145" s="1172"/>
      <c r="AA145" s="1172"/>
      <c r="AB145" s="1172"/>
      <c r="AC145" s="1172"/>
      <c r="AD145"/>
      <c r="AE145"/>
    </row>
    <row r="146" spans="1:31" s="78" customFormat="1" ht="12.75" customHeight="1" outlineLevel="1" thickBot="1">
      <c r="A146" s="262"/>
      <c r="B146" s="4256"/>
      <c r="C146" s="1619" t="s">
        <v>129</v>
      </c>
      <c r="D146" s="1448">
        <f t="shared" ref="D146:M146" si="44">D144+D145</f>
        <v>0</v>
      </c>
      <c r="E146" s="1449">
        <f t="shared" si="44"/>
        <v>0</v>
      </c>
      <c r="F146" s="1449">
        <f t="shared" si="44"/>
        <v>0</v>
      </c>
      <c r="G146" s="1449">
        <f t="shared" si="44"/>
        <v>2</v>
      </c>
      <c r="H146" s="1450">
        <f t="shared" si="44"/>
        <v>0</v>
      </c>
      <c r="I146" s="1451">
        <f t="shared" si="44"/>
        <v>0</v>
      </c>
      <c r="J146" s="1449">
        <f t="shared" si="44"/>
        <v>0</v>
      </c>
      <c r="K146" s="1449">
        <f t="shared" si="44"/>
        <v>1</v>
      </c>
      <c r="L146" s="1449">
        <f t="shared" si="44"/>
        <v>0</v>
      </c>
      <c r="M146" s="1450">
        <f t="shared" si="44"/>
        <v>0</v>
      </c>
      <c r="N146" s="3790"/>
      <c r="O146" s="3791"/>
      <c r="P146" s="3791"/>
      <c r="Q146" s="3791"/>
      <c r="R146" s="3792"/>
      <c r="S146" s="1172"/>
      <c r="T146" s="1172"/>
      <c r="U146" s="1172"/>
      <c r="V146" s="1172"/>
      <c r="W146" s="1172"/>
      <c r="X146" s="1172"/>
      <c r="Y146" s="1172"/>
      <c r="Z146" s="1172"/>
      <c r="AA146" s="1172"/>
      <c r="AB146" s="1172"/>
      <c r="AC146" s="1172"/>
      <c r="AD146"/>
      <c r="AE146"/>
    </row>
    <row r="147" spans="1:31" s="78" customFormat="1" ht="12.75" customHeight="1" outlineLevel="1">
      <c r="A147" s="262"/>
      <c r="B147" s="4255" t="s">
        <v>1850</v>
      </c>
      <c r="C147" s="1617" t="s">
        <v>89</v>
      </c>
      <c r="D147" s="413"/>
      <c r="E147" s="458"/>
      <c r="F147" s="458"/>
      <c r="G147" s="458"/>
      <c r="H147" s="460"/>
      <c r="I147" s="459"/>
      <c r="J147" s="458"/>
      <c r="K147" s="458"/>
      <c r="L147" s="458"/>
      <c r="M147" s="460"/>
      <c r="N147" s="3787"/>
      <c r="O147" s="3788"/>
      <c r="P147" s="3788"/>
      <c r="Q147" s="3788"/>
      <c r="R147" s="3789"/>
      <c r="S147" s="1172"/>
      <c r="T147" s="1172"/>
      <c r="U147" s="1172"/>
      <c r="V147" s="1172"/>
      <c r="W147" s="1172"/>
      <c r="X147" s="1172"/>
      <c r="Y147" s="1172"/>
      <c r="Z147" s="1172"/>
      <c r="AA147" s="1172"/>
      <c r="AB147" s="1172"/>
      <c r="AC147" s="1172"/>
      <c r="AD147"/>
      <c r="AE147"/>
    </row>
    <row r="148" spans="1:31" s="78" customFormat="1" ht="12.75" customHeight="1" outlineLevel="1">
      <c r="A148" s="262"/>
      <c r="B148" s="4256"/>
      <c r="C148" s="1618" t="s">
        <v>180</v>
      </c>
      <c r="D148" s="413"/>
      <c r="E148" s="458"/>
      <c r="F148" s="458"/>
      <c r="G148" s="458"/>
      <c r="H148" s="460"/>
      <c r="I148" s="459"/>
      <c r="J148" s="458"/>
      <c r="K148" s="458"/>
      <c r="L148" s="458">
        <v>1</v>
      </c>
      <c r="M148" s="460"/>
      <c r="N148" s="3787"/>
      <c r="O148" s="3788"/>
      <c r="P148" s="3788"/>
      <c r="Q148" s="3788"/>
      <c r="R148" s="3789"/>
      <c r="S148" s="1172"/>
      <c r="T148" s="1172"/>
      <c r="U148" s="1172"/>
      <c r="V148" s="1172"/>
      <c r="W148" s="1172"/>
      <c r="X148" s="1172"/>
      <c r="Y148" s="1172"/>
      <c r="Z148" s="1172"/>
      <c r="AA148" s="1172"/>
      <c r="AB148" s="1172"/>
      <c r="AC148" s="1172"/>
      <c r="AD148"/>
      <c r="AE148"/>
    </row>
    <row r="149" spans="1:31" s="78" customFormat="1" ht="12.75" customHeight="1" outlineLevel="1" thickBot="1">
      <c r="A149" s="262"/>
      <c r="B149" s="4256"/>
      <c r="C149" s="1619" t="s">
        <v>129</v>
      </c>
      <c r="D149" s="1448">
        <f t="shared" ref="D149:M149" si="45">D147+D148</f>
        <v>0</v>
      </c>
      <c r="E149" s="1449">
        <f t="shared" si="45"/>
        <v>0</v>
      </c>
      <c r="F149" s="1449">
        <f t="shared" si="45"/>
        <v>0</v>
      </c>
      <c r="G149" s="1449">
        <f t="shared" si="45"/>
        <v>0</v>
      </c>
      <c r="H149" s="1450">
        <f t="shared" si="45"/>
        <v>0</v>
      </c>
      <c r="I149" s="1451">
        <f t="shared" si="45"/>
        <v>0</v>
      </c>
      <c r="J149" s="1449">
        <f t="shared" si="45"/>
        <v>0</v>
      </c>
      <c r="K149" s="1449">
        <f t="shared" si="45"/>
        <v>0</v>
      </c>
      <c r="L149" s="1449">
        <f t="shared" si="45"/>
        <v>1</v>
      </c>
      <c r="M149" s="1450">
        <f t="shared" si="45"/>
        <v>0</v>
      </c>
      <c r="N149" s="3790"/>
      <c r="O149" s="3791"/>
      <c r="P149" s="3791"/>
      <c r="Q149" s="3791"/>
      <c r="R149" s="3792"/>
      <c r="S149" s="1172"/>
      <c r="T149" s="1172"/>
      <c r="U149" s="1172"/>
      <c r="V149" s="1172"/>
      <c r="W149" s="1172"/>
      <c r="X149" s="1172"/>
      <c r="Y149" s="1172"/>
      <c r="Z149" s="1172"/>
      <c r="AA149" s="1172"/>
      <c r="AB149" s="1172"/>
      <c r="AC149" s="1172"/>
      <c r="AD149"/>
      <c r="AE149"/>
    </row>
    <row r="150" spans="1:31" s="78" customFormat="1" ht="12.75" customHeight="1" outlineLevel="1">
      <c r="A150" s="262"/>
      <c r="B150" s="4255" t="s">
        <v>1851</v>
      </c>
      <c r="C150" s="1617" t="s">
        <v>89</v>
      </c>
      <c r="D150" s="413"/>
      <c r="E150" s="458"/>
      <c r="F150" s="458"/>
      <c r="G150" s="458">
        <v>1</v>
      </c>
      <c r="H150" s="460"/>
      <c r="I150" s="459"/>
      <c r="J150" s="458"/>
      <c r="K150" s="458"/>
      <c r="L150" s="458"/>
      <c r="M150" s="460">
        <v>1</v>
      </c>
      <c r="N150" s="3787"/>
      <c r="O150" s="3788"/>
      <c r="P150" s="3788"/>
      <c r="Q150" s="3788"/>
      <c r="R150" s="3789"/>
      <c r="S150" s="1172"/>
      <c r="T150" s="1172"/>
      <c r="U150" s="1172"/>
      <c r="V150" s="1172"/>
      <c r="W150" s="1172"/>
      <c r="X150" s="1172"/>
      <c r="Y150" s="1172"/>
      <c r="Z150" s="1172"/>
      <c r="AA150" s="1172"/>
      <c r="AB150" s="1172"/>
      <c r="AC150" s="1172"/>
      <c r="AD150"/>
      <c r="AE150"/>
    </row>
    <row r="151" spans="1:31" s="78" customFormat="1" ht="12.75" customHeight="1" outlineLevel="1">
      <c r="A151" s="262"/>
      <c r="B151" s="4256"/>
      <c r="C151" s="1618" t="s">
        <v>180</v>
      </c>
      <c r="D151" s="413"/>
      <c r="E151" s="458"/>
      <c r="F151" s="458"/>
      <c r="G151" s="458"/>
      <c r="H151" s="460"/>
      <c r="I151" s="459"/>
      <c r="J151" s="458"/>
      <c r="K151" s="458"/>
      <c r="L151" s="458"/>
      <c r="M151" s="460"/>
      <c r="N151" s="3787"/>
      <c r="O151" s="3788"/>
      <c r="P151" s="3788"/>
      <c r="Q151" s="3788"/>
      <c r="R151" s="3789"/>
      <c r="S151" s="1172"/>
      <c r="T151" s="1172"/>
      <c r="U151" s="1172"/>
      <c r="V151" s="1172"/>
      <c r="W151" s="1172"/>
      <c r="X151" s="1172"/>
      <c r="Y151" s="1172"/>
      <c r="Z151" s="1172"/>
      <c r="AA151" s="1172"/>
      <c r="AB151" s="1172"/>
      <c r="AC151" s="1172"/>
      <c r="AD151"/>
      <c r="AE151"/>
    </row>
    <row r="152" spans="1:31" s="183" customFormat="1" ht="12.75" customHeight="1" outlineLevel="1" thickBot="1">
      <c r="A152" s="262"/>
      <c r="B152" s="4256"/>
      <c r="C152" s="1619" t="s">
        <v>129</v>
      </c>
      <c r="D152" s="1448">
        <f t="shared" ref="D152:M152" si="46">D150+D151</f>
        <v>0</v>
      </c>
      <c r="E152" s="1449">
        <f t="shared" si="46"/>
        <v>0</v>
      </c>
      <c r="F152" s="1449">
        <f t="shared" si="46"/>
        <v>0</v>
      </c>
      <c r="G152" s="1449">
        <f t="shared" si="46"/>
        <v>1</v>
      </c>
      <c r="H152" s="1450">
        <f t="shared" si="46"/>
        <v>0</v>
      </c>
      <c r="I152" s="1451">
        <f t="shared" si="46"/>
        <v>0</v>
      </c>
      <c r="J152" s="1449">
        <f t="shared" si="46"/>
        <v>0</v>
      </c>
      <c r="K152" s="1449">
        <f t="shared" si="46"/>
        <v>0</v>
      </c>
      <c r="L152" s="1449">
        <f t="shared" si="46"/>
        <v>0</v>
      </c>
      <c r="M152" s="1450">
        <f t="shared" si="46"/>
        <v>1</v>
      </c>
      <c r="N152" s="3790"/>
      <c r="O152" s="3791"/>
      <c r="P152" s="3791"/>
      <c r="Q152" s="3791"/>
      <c r="R152" s="3792"/>
      <c r="S152" s="1172"/>
      <c r="T152" s="1172"/>
      <c r="U152" s="1172"/>
      <c r="V152" s="1172"/>
      <c r="W152" s="1172"/>
      <c r="X152" s="1172"/>
      <c r="Y152" s="1172"/>
      <c r="Z152" s="1172"/>
      <c r="AA152" s="1172"/>
      <c r="AB152" s="1172"/>
      <c r="AC152" s="1172"/>
      <c r="AD152"/>
      <c r="AE152"/>
    </row>
    <row r="153" spans="1:31" s="78" customFormat="1" ht="12.75" customHeight="1" outlineLevel="1">
      <c r="A153" s="262"/>
      <c r="B153" s="4255" t="s">
        <v>1852</v>
      </c>
      <c r="C153" s="1617" t="s">
        <v>89</v>
      </c>
      <c r="D153" s="413"/>
      <c r="E153" s="458"/>
      <c r="F153" s="458"/>
      <c r="G153" s="458"/>
      <c r="H153" s="460"/>
      <c r="I153" s="459"/>
      <c r="J153" s="458"/>
      <c r="K153" s="458"/>
      <c r="L153" s="458"/>
      <c r="M153" s="460">
        <v>1</v>
      </c>
      <c r="N153" s="3787"/>
      <c r="O153" s="3788"/>
      <c r="P153" s="3788"/>
      <c r="Q153" s="3788"/>
      <c r="R153" s="3789"/>
      <c r="S153" s="1172"/>
      <c r="T153" s="1172"/>
      <c r="U153" s="1172"/>
      <c r="V153" s="1172"/>
      <c r="W153" s="1172"/>
      <c r="X153" s="1172"/>
      <c r="Y153" s="1172"/>
      <c r="Z153" s="1172"/>
      <c r="AA153" s="1172"/>
      <c r="AB153" s="1172"/>
      <c r="AC153" s="1172"/>
      <c r="AD153"/>
      <c r="AE153"/>
    </row>
    <row r="154" spans="1:31" s="78" customFormat="1" ht="15" customHeight="1" outlineLevel="1">
      <c r="A154" s="262"/>
      <c r="B154" s="4256"/>
      <c r="C154" s="1618" t="s">
        <v>180</v>
      </c>
      <c r="D154" s="413"/>
      <c r="E154" s="458"/>
      <c r="F154" s="458"/>
      <c r="G154" s="458"/>
      <c r="H154" s="460"/>
      <c r="I154" s="459"/>
      <c r="J154" s="458"/>
      <c r="K154" s="458"/>
      <c r="L154" s="458"/>
      <c r="M154" s="460"/>
      <c r="N154" s="3787"/>
      <c r="O154" s="3788"/>
      <c r="P154" s="3788"/>
      <c r="Q154" s="3788"/>
      <c r="R154" s="3789"/>
      <c r="S154" s="1172"/>
      <c r="T154" s="1172"/>
      <c r="U154" s="1172"/>
      <c r="V154" s="1172"/>
      <c r="W154" s="1172"/>
      <c r="X154" s="1172"/>
      <c r="Y154" s="1172"/>
      <c r="Z154" s="1172"/>
      <c r="AA154" s="1172"/>
      <c r="AB154" s="1172"/>
      <c r="AC154" s="1172"/>
      <c r="AD154"/>
      <c r="AE154"/>
    </row>
    <row r="155" spans="1:31" s="78" customFormat="1" ht="12.75" customHeight="1" thickBot="1">
      <c r="A155" s="262"/>
      <c r="B155" s="4256"/>
      <c r="C155" s="1619" t="s">
        <v>129</v>
      </c>
      <c r="D155" s="1448">
        <f t="shared" ref="D155:M155" si="47">D153+D154</f>
        <v>0</v>
      </c>
      <c r="E155" s="1449">
        <f t="shared" si="47"/>
        <v>0</v>
      </c>
      <c r="F155" s="1449">
        <f t="shared" si="47"/>
        <v>0</v>
      </c>
      <c r="G155" s="1449">
        <f t="shared" si="47"/>
        <v>0</v>
      </c>
      <c r="H155" s="1450">
        <f t="shared" si="47"/>
        <v>0</v>
      </c>
      <c r="I155" s="1451">
        <f t="shared" si="47"/>
        <v>0</v>
      </c>
      <c r="J155" s="1449">
        <f t="shared" si="47"/>
        <v>0</v>
      </c>
      <c r="K155" s="1449">
        <f t="shared" si="47"/>
        <v>0</v>
      </c>
      <c r="L155" s="1449">
        <f t="shared" si="47"/>
        <v>0</v>
      </c>
      <c r="M155" s="1450">
        <f t="shared" si="47"/>
        <v>1</v>
      </c>
      <c r="N155" s="3790"/>
      <c r="O155" s="3791"/>
      <c r="P155" s="3791"/>
      <c r="Q155" s="3791"/>
      <c r="R155" s="3792"/>
      <c r="S155" s="1172"/>
      <c r="T155" s="1172"/>
      <c r="U155" s="1172"/>
      <c r="V155" s="1172"/>
      <c r="W155" s="1172"/>
      <c r="X155" s="1172"/>
      <c r="Y155" s="1172"/>
      <c r="Z155" s="1172"/>
      <c r="AA155" s="1172"/>
      <c r="AB155" s="1172"/>
      <c r="AC155" s="1172"/>
      <c r="AD155"/>
      <c r="AE155"/>
    </row>
    <row r="156" spans="1:31" s="78" customFormat="1" ht="12.75" customHeight="1">
      <c r="A156" s="262"/>
      <c r="B156" s="4255" t="s">
        <v>1853</v>
      </c>
      <c r="C156" s="1617" t="s">
        <v>89</v>
      </c>
      <c r="D156" s="413"/>
      <c r="E156" s="458">
        <v>1</v>
      </c>
      <c r="F156" s="458">
        <v>1</v>
      </c>
      <c r="G156" s="458"/>
      <c r="H156" s="460">
        <v>2</v>
      </c>
      <c r="I156" s="459"/>
      <c r="J156" s="458"/>
      <c r="K156" s="458"/>
      <c r="L156" s="458"/>
      <c r="M156" s="460">
        <v>3</v>
      </c>
      <c r="N156" s="3787"/>
      <c r="O156" s="3788"/>
      <c r="P156" s="3788"/>
      <c r="Q156" s="3788"/>
      <c r="R156" s="3789"/>
      <c r="S156" s="1172"/>
      <c r="T156" s="1172"/>
      <c r="U156" s="1172"/>
      <c r="V156" s="1172"/>
      <c r="W156" s="1172"/>
      <c r="X156" s="1172"/>
      <c r="Y156" s="1172"/>
      <c r="Z156" s="1172"/>
      <c r="AA156" s="1172"/>
      <c r="AB156" s="1172"/>
      <c r="AC156" s="1172"/>
      <c r="AD156"/>
      <c r="AE156"/>
    </row>
    <row r="157" spans="1:31" s="78" customFormat="1" ht="12.75" customHeight="1">
      <c r="A157" s="262"/>
      <c r="B157" s="4256"/>
      <c r="C157" s="1618" t="s">
        <v>180</v>
      </c>
      <c r="D157" s="413"/>
      <c r="E157" s="458">
        <v>0</v>
      </c>
      <c r="F157" s="458">
        <v>0</v>
      </c>
      <c r="G157" s="458"/>
      <c r="H157" s="460">
        <v>0</v>
      </c>
      <c r="I157" s="459"/>
      <c r="J157" s="458"/>
      <c r="K157" s="458"/>
      <c r="L157" s="458"/>
      <c r="M157" s="460"/>
      <c r="N157" s="3787"/>
      <c r="O157" s="3788"/>
      <c r="P157" s="3788"/>
      <c r="Q157" s="3788"/>
      <c r="R157" s="3789"/>
      <c r="S157" s="1172"/>
      <c r="T157" s="1172"/>
      <c r="U157" s="1172"/>
      <c r="V157" s="1172"/>
      <c r="W157" s="1172"/>
      <c r="X157" s="1172"/>
      <c r="Y157" s="1172"/>
      <c r="Z157" s="1172"/>
      <c r="AA157" s="1172"/>
      <c r="AB157" s="1172"/>
      <c r="AC157" s="1172"/>
      <c r="AD157"/>
      <c r="AE157"/>
    </row>
    <row r="158" spans="1:31" s="78" customFormat="1" ht="12.75" customHeight="1" thickBot="1">
      <c r="A158" s="262"/>
      <c r="B158" s="4256"/>
      <c r="C158" s="1619" t="s">
        <v>129</v>
      </c>
      <c r="D158" s="1448">
        <f t="shared" ref="D158:M158" si="48">D156+D157</f>
        <v>0</v>
      </c>
      <c r="E158" s="1449">
        <f t="shared" si="48"/>
        <v>1</v>
      </c>
      <c r="F158" s="1449">
        <f t="shared" si="48"/>
        <v>1</v>
      </c>
      <c r="G158" s="1449">
        <f t="shared" si="48"/>
        <v>0</v>
      </c>
      <c r="H158" s="1450">
        <f t="shared" si="48"/>
        <v>2</v>
      </c>
      <c r="I158" s="1451">
        <f t="shared" si="48"/>
        <v>0</v>
      </c>
      <c r="J158" s="1449">
        <f t="shared" si="48"/>
        <v>0</v>
      </c>
      <c r="K158" s="1449">
        <f t="shared" si="48"/>
        <v>0</v>
      </c>
      <c r="L158" s="1449">
        <f t="shared" si="48"/>
        <v>0</v>
      </c>
      <c r="M158" s="1450">
        <f t="shared" si="48"/>
        <v>3</v>
      </c>
      <c r="N158" s="3790"/>
      <c r="O158" s="3791"/>
      <c r="P158" s="3791"/>
      <c r="Q158" s="3791"/>
      <c r="R158" s="3792"/>
      <c r="S158" s="1172"/>
      <c r="T158" s="1172"/>
      <c r="U158" s="1172"/>
      <c r="V158" s="1172"/>
      <c r="W158" s="1172"/>
      <c r="X158" s="1172"/>
      <c r="Y158" s="1172"/>
      <c r="Z158" s="1172"/>
      <c r="AA158" s="1172"/>
      <c r="AB158" s="1172"/>
      <c r="AC158" s="1172"/>
      <c r="AD158"/>
      <c r="AE158"/>
    </row>
    <row r="159" spans="1:31" s="78" customFormat="1" ht="12.75" customHeight="1">
      <c r="A159" s="262"/>
      <c r="B159" s="4255" t="s">
        <v>1854</v>
      </c>
      <c r="C159" s="1617" t="s">
        <v>89</v>
      </c>
      <c r="D159" s="413">
        <v>1</v>
      </c>
      <c r="E159" s="458">
        <v>1</v>
      </c>
      <c r="F159" s="458">
        <v>3</v>
      </c>
      <c r="G159" s="458">
        <v>1</v>
      </c>
      <c r="H159" s="460"/>
      <c r="I159" s="459"/>
      <c r="J159" s="458"/>
      <c r="K159" s="458"/>
      <c r="L159" s="458">
        <v>1</v>
      </c>
      <c r="M159" s="460">
        <v>6</v>
      </c>
      <c r="N159" s="3787"/>
      <c r="O159" s="3788"/>
      <c r="P159" s="3788"/>
      <c r="Q159" s="3788"/>
      <c r="R159" s="3789"/>
      <c r="S159" s="1172"/>
      <c r="T159" s="1172"/>
      <c r="U159" s="1172"/>
      <c r="V159" s="1172"/>
      <c r="W159" s="1172"/>
      <c r="X159" s="1172"/>
      <c r="Y159" s="1172"/>
      <c r="Z159" s="1172"/>
      <c r="AA159" s="1172"/>
      <c r="AB159" s="1172"/>
      <c r="AC159" s="1172"/>
      <c r="AD159"/>
      <c r="AE159"/>
    </row>
    <row r="160" spans="1:31" s="78" customFormat="1" ht="12.75" customHeight="1">
      <c r="A160" s="262"/>
      <c r="B160" s="4256"/>
      <c r="C160" s="1618" t="s">
        <v>180</v>
      </c>
      <c r="D160" s="413">
        <v>0</v>
      </c>
      <c r="E160" s="458">
        <v>0</v>
      </c>
      <c r="F160" s="458">
        <v>0</v>
      </c>
      <c r="G160" s="458"/>
      <c r="H160" s="460"/>
      <c r="I160" s="459"/>
      <c r="J160" s="458"/>
      <c r="K160" s="458"/>
      <c r="L160" s="458"/>
      <c r="M160" s="460"/>
      <c r="N160" s="3787"/>
      <c r="O160" s="3788"/>
      <c r="P160" s="3788"/>
      <c r="Q160" s="3788"/>
      <c r="R160" s="3789"/>
      <c r="S160" s="1172"/>
      <c r="T160" s="1172"/>
      <c r="U160" s="1172"/>
      <c r="V160" s="1172"/>
      <c r="W160" s="1172"/>
      <c r="X160" s="1172"/>
      <c r="Y160" s="1172"/>
      <c r="Z160" s="1172"/>
      <c r="AA160" s="1172"/>
      <c r="AB160" s="1172"/>
      <c r="AC160" s="1172"/>
      <c r="AD160"/>
      <c r="AE160"/>
    </row>
    <row r="161" spans="1:31" s="78" customFormat="1" ht="12.75" customHeight="1" thickBot="1">
      <c r="A161" s="262"/>
      <c r="B161" s="4256"/>
      <c r="C161" s="1619" t="s">
        <v>129</v>
      </c>
      <c r="D161" s="1448">
        <f t="shared" ref="D161:M161" si="49">D159+D160</f>
        <v>1</v>
      </c>
      <c r="E161" s="1449">
        <f t="shared" si="49"/>
        <v>1</v>
      </c>
      <c r="F161" s="1449">
        <f t="shared" si="49"/>
        <v>3</v>
      </c>
      <c r="G161" s="1449">
        <f t="shared" si="49"/>
        <v>1</v>
      </c>
      <c r="H161" s="1450">
        <f t="shared" si="49"/>
        <v>0</v>
      </c>
      <c r="I161" s="1451">
        <f t="shared" si="49"/>
        <v>0</v>
      </c>
      <c r="J161" s="1449">
        <f t="shared" si="49"/>
        <v>0</v>
      </c>
      <c r="K161" s="1449">
        <f t="shared" si="49"/>
        <v>0</v>
      </c>
      <c r="L161" s="1449">
        <f t="shared" si="49"/>
        <v>1</v>
      </c>
      <c r="M161" s="1450">
        <f t="shared" si="49"/>
        <v>6</v>
      </c>
      <c r="N161" s="3790"/>
      <c r="O161" s="3791"/>
      <c r="P161" s="3791"/>
      <c r="Q161" s="3791"/>
      <c r="R161" s="3792"/>
      <c r="S161" s="1172"/>
      <c r="T161" s="1172"/>
      <c r="U161" s="1172"/>
      <c r="V161" s="1172"/>
      <c r="W161" s="1172"/>
      <c r="X161" s="1172"/>
      <c r="Y161" s="1172"/>
      <c r="Z161" s="1172"/>
      <c r="AA161" s="1172"/>
      <c r="AB161" s="1172"/>
      <c r="AC161" s="1172"/>
      <c r="AD161"/>
      <c r="AE161"/>
    </row>
    <row r="162" spans="1:31" s="78" customFormat="1" ht="12.75" customHeight="1">
      <c r="A162" s="262"/>
      <c r="B162" s="4255" t="s">
        <v>1855</v>
      </c>
      <c r="C162" s="1617" t="s">
        <v>89</v>
      </c>
      <c r="D162" s="413"/>
      <c r="E162" s="458"/>
      <c r="F162" s="458">
        <v>1</v>
      </c>
      <c r="G162" s="458"/>
      <c r="H162" s="460"/>
      <c r="I162" s="459"/>
      <c r="J162" s="458"/>
      <c r="K162" s="458">
        <v>1</v>
      </c>
      <c r="L162" s="458">
        <v>2</v>
      </c>
      <c r="M162" s="460">
        <v>10</v>
      </c>
      <c r="N162" s="3787"/>
      <c r="O162" s="3788"/>
      <c r="P162" s="3788"/>
      <c r="Q162" s="3788"/>
      <c r="R162" s="3789"/>
      <c r="S162" s="1172"/>
      <c r="T162" s="1172"/>
      <c r="U162" s="1172"/>
      <c r="V162" s="1172"/>
      <c r="W162" s="1172"/>
      <c r="X162" s="1172"/>
      <c r="Y162" s="1172"/>
      <c r="Z162" s="1172"/>
      <c r="AA162" s="1172"/>
      <c r="AB162" s="1172"/>
      <c r="AC162" s="1172"/>
      <c r="AD162"/>
      <c r="AE162"/>
    </row>
    <row r="163" spans="1:31" s="78" customFormat="1" ht="15" customHeight="1">
      <c r="A163" s="262"/>
      <c r="B163" s="4256"/>
      <c r="C163" s="1618" t="s">
        <v>180</v>
      </c>
      <c r="D163" s="413"/>
      <c r="E163" s="458"/>
      <c r="F163" s="458">
        <v>0</v>
      </c>
      <c r="G163" s="458"/>
      <c r="H163" s="460"/>
      <c r="I163" s="459"/>
      <c r="J163" s="458"/>
      <c r="K163" s="458"/>
      <c r="L163" s="458"/>
      <c r="M163" s="460"/>
      <c r="N163" s="3787"/>
      <c r="O163" s="3788"/>
      <c r="P163" s="3788"/>
      <c r="Q163" s="3788"/>
      <c r="R163" s="3789"/>
      <c r="S163" s="1172"/>
      <c r="T163" s="1172"/>
      <c r="U163" s="1172"/>
      <c r="V163" s="1172"/>
      <c r="W163" s="1172"/>
      <c r="X163" s="1172"/>
      <c r="Y163" s="1172"/>
      <c r="Z163" s="1172"/>
      <c r="AA163" s="1172"/>
      <c r="AB163" s="1172"/>
      <c r="AC163" s="1172"/>
      <c r="AD163"/>
      <c r="AE163"/>
    </row>
    <row r="164" spans="1:31" s="69" customFormat="1" ht="45" customHeight="1" thickBot="1">
      <c r="A164" s="314"/>
      <c r="B164" s="4256"/>
      <c r="C164" s="1619" t="s">
        <v>129</v>
      </c>
      <c r="D164" s="1448">
        <f t="shared" ref="D164:M164" si="50">D162+D163</f>
        <v>0</v>
      </c>
      <c r="E164" s="1449">
        <f t="shared" si="50"/>
        <v>0</v>
      </c>
      <c r="F164" s="1449">
        <f t="shared" si="50"/>
        <v>1</v>
      </c>
      <c r="G164" s="1449">
        <f t="shared" si="50"/>
        <v>0</v>
      </c>
      <c r="H164" s="1450">
        <f t="shared" si="50"/>
        <v>0</v>
      </c>
      <c r="I164" s="1451">
        <f t="shared" si="50"/>
        <v>0</v>
      </c>
      <c r="J164" s="1449">
        <f t="shared" si="50"/>
        <v>0</v>
      </c>
      <c r="K164" s="1449">
        <f t="shared" si="50"/>
        <v>1</v>
      </c>
      <c r="L164" s="1449">
        <f t="shared" si="50"/>
        <v>2</v>
      </c>
      <c r="M164" s="1450">
        <f t="shared" si="50"/>
        <v>10</v>
      </c>
      <c r="N164" s="3790"/>
      <c r="O164" s="3791"/>
      <c r="P164" s="3791"/>
      <c r="Q164" s="3791"/>
      <c r="R164" s="3792"/>
      <c r="S164" s="1172"/>
      <c r="T164" s="1172"/>
      <c r="U164" s="1172"/>
      <c r="V164" s="1172"/>
      <c r="W164" s="1172"/>
      <c r="X164" s="1172"/>
      <c r="Y164" s="1172"/>
      <c r="Z164" s="1172"/>
      <c r="AA164" s="1172"/>
      <c r="AB164" s="1172"/>
      <c r="AC164" s="1172"/>
      <c r="AD164"/>
      <c r="AE164"/>
    </row>
    <row r="165" spans="1:31" s="78" customFormat="1" ht="43.5" customHeight="1">
      <c r="A165" s="262"/>
      <c r="B165" s="4255" t="s">
        <v>1856</v>
      </c>
      <c r="C165" s="1617" t="s">
        <v>89</v>
      </c>
      <c r="D165" s="413"/>
      <c r="E165" s="458"/>
      <c r="F165" s="458">
        <v>2</v>
      </c>
      <c r="G165" s="458"/>
      <c r="H165" s="460"/>
      <c r="I165" s="459"/>
      <c r="J165" s="458"/>
      <c r="K165" s="458">
        <v>3</v>
      </c>
      <c r="L165" s="458">
        <v>2</v>
      </c>
      <c r="M165" s="460">
        <v>8</v>
      </c>
      <c r="N165" s="3787"/>
      <c r="O165" s="3788"/>
      <c r="P165" s="3788"/>
      <c r="Q165" s="3788"/>
      <c r="R165" s="3789"/>
      <c r="S165" s="1172"/>
      <c r="T165" s="1172"/>
      <c r="U165" s="1172"/>
      <c r="V165" s="1172"/>
      <c r="W165" s="1172"/>
      <c r="X165" s="1172"/>
      <c r="Y165" s="1172"/>
      <c r="Z165" s="1172"/>
      <c r="AA165" s="1172"/>
      <c r="AB165" s="1172"/>
      <c r="AC165" s="1172"/>
    </row>
    <row r="166" spans="1:31" s="183" customFormat="1" ht="24.75" customHeight="1">
      <c r="A166" s="262"/>
      <c r="B166" s="4256"/>
      <c r="C166" s="1618" t="s">
        <v>180</v>
      </c>
      <c r="D166" s="413"/>
      <c r="E166" s="458"/>
      <c r="F166" s="458">
        <v>0</v>
      </c>
      <c r="G166" s="458"/>
      <c r="H166" s="460"/>
      <c r="I166" s="459"/>
      <c r="J166" s="458"/>
      <c r="K166" s="458"/>
      <c r="L166" s="458"/>
      <c r="M166" s="460"/>
      <c r="N166" s="3787"/>
      <c r="O166" s="3788"/>
      <c r="P166" s="3788"/>
      <c r="Q166" s="3788"/>
      <c r="R166" s="3789"/>
      <c r="S166" s="1172"/>
      <c r="T166" s="1172"/>
      <c r="U166" s="1172"/>
      <c r="V166" s="1172"/>
      <c r="W166" s="1172"/>
      <c r="X166" s="1172"/>
      <c r="Y166" s="1172"/>
      <c r="Z166" s="1172"/>
      <c r="AA166" s="1172"/>
      <c r="AB166" s="1172"/>
      <c r="AC166" s="1172"/>
    </row>
    <row r="167" spans="1:31" ht="15.75" customHeight="1" thickBot="1">
      <c r="A167" s="262"/>
      <c r="B167" s="4256"/>
      <c r="C167" s="1619" t="s">
        <v>129</v>
      </c>
      <c r="D167" s="1448">
        <f t="shared" ref="D167:M167" si="51">D165+D166</f>
        <v>0</v>
      </c>
      <c r="E167" s="1449">
        <f t="shared" si="51"/>
        <v>0</v>
      </c>
      <c r="F167" s="1449">
        <f t="shared" si="51"/>
        <v>2</v>
      </c>
      <c r="G167" s="1449">
        <f t="shared" si="51"/>
        <v>0</v>
      </c>
      <c r="H167" s="1450">
        <f t="shared" si="51"/>
        <v>0</v>
      </c>
      <c r="I167" s="1451">
        <f t="shared" si="51"/>
        <v>0</v>
      </c>
      <c r="J167" s="1449">
        <f t="shared" si="51"/>
        <v>0</v>
      </c>
      <c r="K167" s="1449">
        <f t="shared" si="51"/>
        <v>3</v>
      </c>
      <c r="L167" s="1449">
        <f t="shared" si="51"/>
        <v>2</v>
      </c>
      <c r="M167" s="1450">
        <f t="shared" si="51"/>
        <v>8</v>
      </c>
      <c r="N167" s="3790"/>
      <c r="O167" s="3791"/>
      <c r="P167" s="3791"/>
      <c r="Q167" s="3791"/>
      <c r="R167" s="3792"/>
      <c r="S167" s="1172"/>
      <c r="T167" s="1172"/>
      <c r="U167" s="1172"/>
      <c r="V167" s="1172"/>
      <c r="W167" s="1172"/>
      <c r="X167" s="1172"/>
      <c r="Y167" s="1172"/>
      <c r="Z167" s="1172"/>
      <c r="AA167" s="1172"/>
      <c r="AB167" s="1172"/>
      <c r="AC167" s="1172"/>
    </row>
    <row r="168" spans="1:31" ht="15.75" customHeight="1">
      <c r="A168" s="262"/>
      <c r="B168" s="4255" t="s">
        <v>1857</v>
      </c>
      <c r="C168" s="1617" t="s">
        <v>89</v>
      </c>
      <c r="D168" s="413">
        <v>1</v>
      </c>
      <c r="E168" s="458"/>
      <c r="F168" s="458"/>
      <c r="G168" s="458"/>
      <c r="H168" s="460"/>
      <c r="I168" s="459"/>
      <c r="J168" s="458"/>
      <c r="K168" s="458">
        <v>1</v>
      </c>
      <c r="L168" s="458"/>
      <c r="M168" s="460">
        <v>3</v>
      </c>
      <c r="N168" s="3787"/>
      <c r="O168" s="3788"/>
      <c r="P168" s="3788"/>
      <c r="Q168" s="3788"/>
      <c r="R168" s="3789"/>
      <c r="S168" s="1172"/>
      <c r="T168" s="1172"/>
      <c r="U168" s="1172"/>
      <c r="V168" s="1172"/>
      <c r="W168" s="1172"/>
      <c r="X168" s="1172"/>
      <c r="Y168" s="1172"/>
      <c r="Z168" s="1172"/>
      <c r="AA168" s="1172"/>
      <c r="AB168" s="1172"/>
      <c r="AC168" s="1172"/>
    </row>
    <row r="169" spans="1:31" ht="15" customHeight="1">
      <c r="A169" s="262"/>
      <c r="B169" s="4256"/>
      <c r="C169" s="1618" t="s">
        <v>180</v>
      </c>
      <c r="D169" s="413">
        <v>0</v>
      </c>
      <c r="E169" s="458"/>
      <c r="F169" s="458"/>
      <c r="G169" s="458"/>
      <c r="H169" s="460"/>
      <c r="I169" s="459"/>
      <c r="J169" s="458"/>
      <c r="K169" s="458"/>
      <c r="L169" s="458"/>
      <c r="M169" s="460"/>
      <c r="N169" s="3787"/>
      <c r="O169" s="3788"/>
      <c r="P169" s="3788"/>
      <c r="Q169" s="3788"/>
      <c r="R169" s="3789"/>
      <c r="S169" s="1172"/>
      <c r="T169" s="1172"/>
      <c r="U169" s="1172"/>
      <c r="V169" s="1172"/>
      <c r="W169" s="1172"/>
      <c r="X169" s="1172"/>
      <c r="Y169" s="1172"/>
      <c r="Z169" s="1172"/>
      <c r="AA169" s="1172"/>
      <c r="AB169" s="1172"/>
      <c r="AC169" s="1172"/>
    </row>
    <row r="170" spans="1:31" ht="15.75" customHeight="1" thickBot="1">
      <c r="A170" s="262"/>
      <c r="B170" s="4256"/>
      <c r="C170" s="1619" t="s">
        <v>129</v>
      </c>
      <c r="D170" s="1448">
        <f t="shared" ref="D170:M170" si="52">D168+D169</f>
        <v>1</v>
      </c>
      <c r="E170" s="1449">
        <f t="shared" si="52"/>
        <v>0</v>
      </c>
      <c r="F170" s="1449">
        <f t="shared" si="52"/>
        <v>0</v>
      </c>
      <c r="G170" s="1449">
        <f t="shared" si="52"/>
        <v>0</v>
      </c>
      <c r="H170" s="1450">
        <f t="shared" si="52"/>
        <v>0</v>
      </c>
      <c r="I170" s="1451">
        <f t="shared" si="52"/>
        <v>0</v>
      </c>
      <c r="J170" s="1449">
        <f t="shared" si="52"/>
        <v>0</v>
      </c>
      <c r="K170" s="1449">
        <f t="shared" si="52"/>
        <v>1</v>
      </c>
      <c r="L170" s="1449">
        <f t="shared" si="52"/>
        <v>0</v>
      </c>
      <c r="M170" s="1450">
        <f t="shared" si="52"/>
        <v>3</v>
      </c>
      <c r="N170" s="3790"/>
      <c r="O170" s="3791"/>
      <c r="P170" s="3791"/>
      <c r="Q170" s="3791"/>
      <c r="R170" s="3792"/>
      <c r="S170" s="1172"/>
      <c r="T170" s="1172"/>
      <c r="U170" s="1172"/>
      <c r="V170" s="1172"/>
      <c r="W170" s="1172"/>
      <c r="X170" s="1172"/>
      <c r="Y170" s="1172"/>
      <c r="Z170" s="1172"/>
      <c r="AA170" s="1172"/>
      <c r="AB170" s="1172"/>
      <c r="AC170" s="1172"/>
    </row>
    <row r="171" spans="1:31" s="474" customFormat="1" ht="20.25" customHeight="1">
      <c r="A171" s="262"/>
      <c r="B171" s="4255" t="s">
        <v>1858</v>
      </c>
      <c r="C171" s="1617" t="s">
        <v>89</v>
      </c>
      <c r="D171" s="413"/>
      <c r="E171" s="458"/>
      <c r="F171" s="458"/>
      <c r="G171" s="458"/>
      <c r="H171" s="460"/>
      <c r="I171" s="459"/>
      <c r="J171" s="458"/>
      <c r="K171" s="458">
        <v>1</v>
      </c>
      <c r="L171" s="458"/>
      <c r="M171" s="460">
        <v>5</v>
      </c>
      <c r="N171" s="3787"/>
      <c r="O171" s="3788"/>
      <c r="P171" s="3788"/>
      <c r="Q171" s="3788"/>
      <c r="R171" s="3789"/>
      <c r="S171" s="1172"/>
      <c r="T171" s="1172"/>
      <c r="U171" s="1172"/>
      <c r="V171" s="1172"/>
      <c r="W171" s="1172"/>
      <c r="X171" s="1172"/>
      <c r="Y171" s="1172"/>
      <c r="Z171" s="1172"/>
      <c r="AA171" s="1172"/>
      <c r="AB171" s="1172"/>
      <c r="AC171" s="1172"/>
    </row>
    <row r="172" spans="1:31" outlineLevel="2">
      <c r="A172" s="262"/>
      <c r="B172" s="4256"/>
      <c r="C172" s="1618" t="s">
        <v>180</v>
      </c>
      <c r="D172" s="413"/>
      <c r="E172" s="458"/>
      <c r="F172" s="458"/>
      <c r="G172" s="458"/>
      <c r="H172" s="460"/>
      <c r="I172" s="459"/>
      <c r="J172" s="458"/>
      <c r="K172" s="458"/>
      <c r="L172" s="458"/>
      <c r="M172" s="460"/>
      <c r="N172" s="3787"/>
      <c r="O172" s="3788"/>
      <c r="P172" s="3788"/>
      <c r="Q172" s="3788"/>
      <c r="R172" s="3789"/>
      <c r="S172" s="1172"/>
      <c r="T172" s="1172"/>
      <c r="U172" s="1172"/>
      <c r="V172" s="1172"/>
      <c r="W172" s="1172"/>
      <c r="X172" s="1172"/>
      <c r="Y172" s="1172"/>
      <c r="Z172" s="1172"/>
      <c r="AA172" s="1172"/>
      <c r="AB172" s="1172"/>
      <c r="AC172" s="1172"/>
    </row>
    <row r="173" spans="1:31" ht="13.5" outlineLevel="2" thickBot="1">
      <c r="A173" s="262"/>
      <c r="B173" s="4256"/>
      <c r="C173" s="1619" t="s">
        <v>129</v>
      </c>
      <c r="D173" s="1448">
        <f t="shared" ref="D173:M173" si="53">D171+D172</f>
        <v>0</v>
      </c>
      <c r="E173" s="1449">
        <f t="shared" si="53"/>
        <v>0</v>
      </c>
      <c r="F173" s="1449">
        <f t="shared" si="53"/>
        <v>0</v>
      </c>
      <c r="G173" s="1449">
        <f t="shared" si="53"/>
        <v>0</v>
      </c>
      <c r="H173" s="1450">
        <f t="shared" si="53"/>
        <v>0</v>
      </c>
      <c r="I173" s="1451">
        <f t="shared" si="53"/>
        <v>0</v>
      </c>
      <c r="J173" s="1449">
        <f t="shared" si="53"/>
        <v>0</v>
      </c>
      <c r="K173" s="1449">
        <f t="shared" si="53"/>
        <v>1</v>
      </c>
      <c r="L173" s="1449">
        <f t="shared" si="53"/>
        <v>0</v>
      </c>
      <c r="M173" s="1450">
        <f t="shared" si="53"/>
        <v>5</v>
      </c>
      <c r="N173" s="3790"/>
      <c r="O173" s="3791"/>
      <c r="P173" s="3791"/>
      <c r="Q173" s="3791"/>
      <c r="R173" s="3792"/>
      <c r="S173" s="1172"/>
      <c r="T173" s="1172"/>
      <c r="U173" s="1172"/>
      <c r="V173" s="1172"/>
      <c r="W173" s="1172"/>
      <c r="X173" s="1172"/>
      <c r="Y173" s="1172"/>
      <c r="Z173" s="1172"/>
      <c r="AA173" s="1172"/>
      <c r="AB173" s="1172"/>
      <c r="AC173" s="1172"/>
    </row>
    <row r="174" spans="1:31" outlineLevel="2">
      <c r="A174" s="262"/>
      <c r="B174" s="4255" t="s">
        <v>1859</v>
      </c>
      <c r="C174" s="1617" t="s">
        <v>89</v>
      </c>
      <c r="D174" s="413"/>
      <c r="E174" s="458"/>
      <c r="F174" s="458"/>
      <c r="G174" s="458">
        <v>0</v>
      </c>
      <c r="H174" s="460">
        <v>1</v>
      </c>
      <c r="I174" s="459"/>
      <c r="J174" s="458"/>
      <c r="K174" s="458">
        <v>2</v>
      </c>
      <c r="L174" s="458"/>
      <c r="M174" s="460"/>
      <c r="N174" s="3787"/>
      <c r="O174" s="3788"/>
      <c r="P174" s="3788"/>
      <c r="Q174" s="3788"/>
      <c r="R174" s="3789"/>
      <c r="S174" s="1172"/>
      <c r="T174" s="1172"/>
      <c r="U174" s="1172"/>
      <c r="V174" s="1172"/>
      <c r="W174" s="1172"/>
      <c r="X174" s="1172"/>
      <c r="Y174" s="1172"/>
      <c r="Z174" s="1172"/>
      <c r="AA174" s="1172"/>
      <c r="AB174" s="1172"/>
      <c r="AC174" s="1172"/>
    </row>
    <row r="175" spans="1:31" outlineLevel="2">
      <c r="A175" s="262"/>
      <c r="B175" s="4256"/>
      <c r="C175" s="1618" t="s">
        <v>180</v>
      </c>
      <c r="D175" s="413"/>
      <c r="E175" s="458"/>
      <c r="F175" s="458"/>
      <c r="G175" s="458">
        <v>1</v>
      </c>
      <c r="H175" s="460">
        <v>0</v>
      </c>
      <c r="I175" s="459"/>
      <c r="J175" s="458"/>
      <c r="K175" s="458"/>
      <c r="L175" s="458"/>
      <c r="M175" s="460"/>
      <c r="N175" s="3787"/>
      <c r="O175" s="3788"/>
      <c r="P175" s="3788"/>
      <c r="Q175" s="3788"/>
      <c r="R175" s="3789"/>
      <c r="S175" s="1172"/>
      <c r="T175" s="1172"/>
      <c r="U175" s="1172"/>
      <c r="V175" s="1172"/>
      <c r="W175" s="1172"/>
      <c r="X175" s="1172"/>
      <c r="Y175" s="1172"/>
      <c r="Z175" s="1172"/>
      <c r="AA175" s="1172"/>
      <c r="AB175" s="1172"/>
      <c r="AC175" s="1172"/>
    </row>
    <row r="176" spans="1:31" ht="13.5" outlineLevel="2" thickBot="1">
      <c r="A176" s="262"/>
      <c r="B176" s="4256"/>
      <c r="C176" s="1619" t="s">
        <v>129</v>
      </c>
      <c r="D176" s="1448">
        <f t="shared" ref="D176:M176" si="54">D174+D175</f>
        <v>0</v>
      </c>
      <c r="E176" s="1449">
        <f t="shared" si="54"/>
        <v>0</v>
      </c>
      <c r="F176" s="1449">
        <f t="shared" si="54"/>
        <v>0</v>
      </c>
      <c r="G176" s="1449">
        <f t="shared" si="54"/>
        <v>1</v>
      </c>
      <c r="H176" s="1450">
        <f t="shared" si="54"/>
        <v>1</v>
      </c>
      <c r="I176" s="1451">
        <f t="shared" si="54"/>
        <v>0</v>
      </c>
      <c r="J176" s="1449">
        <f t="shared" si="54"/>
        <v>0</v>
      </c>
      <c r="K176" s="1449">
        <f t="shared" si="54"/>
        <v>2</v>
      </c>
      <c r="L176" s="1449">
        <f t="shared" si="54"/>
        <v>0</v>
      </c>
      <c r="M176" s="1450">
        <f t="shared" si="54"/>
        <v>0</v>
      </c>
      <c r="N176" s="3790"/>
      <c r="O176" s="3791"/>
      <c r="P176" s="3791"/>
      <c r="Q176" s="3791"/>
      <c r="R176" s="3792"/>
      <c r="S176" s="1172"/>
      <c r="T176" s="1172"/>
      <c r="U176" s="1172"/>
      <c r="V176" s="1172"/>
      <c r="W176" s="1172"/>
      <c r="X176" s="1172"/>
      <c r="Y176" s="1172"/>
      <c r="Z176" s="1172"/>
      <c r="AA176" s="1172"/>
      <c r="AB176" s="1172"/>
      <c r="AC176" s="1172"/>
    </row>
    <row r="177" spans="1:29" outlineLevel="2">
      <c r="A177" s="262"/>
      <c r="B177" s="4255"/>
      <c r="C177" s="1617" t="s">
        <v>89</v>
      </c>
      <c r="D177" s="413"/>
      <c r="E177" s="458"/>
      <c r="F177" s="458"/>
      <c r="G177" s="458"/>
      <c r="H177" s="460"/>
      <c r="I177" s="459"/>
      <c r="J177" s="458"/>
      <c r="K177" s="458"/>
      <c r="L177" s="458"/>
      <c r="M177" s="460"/>
      <c r="N177" s="3787"/>
      <c r="O177" s="3788"/>
      <c r="P177" s="3788"/>
      <c r="Q177" s="3788"/>
      <c r="R177" s="3789"/>
      <c r="S177" s="1172"/>
      <c r="T177" s="1172"/>
      <c r="U177" s="1172"/>
      <c r="V177" s="1172"/>
      <c r="W177" s="1172"/>
      <c r="X177" s="1172"/>
      <c r="Y177" s="1172"/>
      <c r="Z177" s="1172"/>
      <c r="AA177" s="1172"/>
      <c r="AB177" s="1172"/>
      <c r="AC177" s="1172"/>
    </row>
    <row r="178" spans="1:29" outlineLevel="2">
      <c r="A178" s="262"/>
      <c r="B178" s="4256"/>
      <c r="C178" s="1618" t="s">
        <v>180</v>
      </c>
      <c r="D178" s="413"/>
      <c r="E178" s="458"/>
      <c r="F178" s="458"/>
      <c r="G178" s="458"/>
      <c r="H178" s="460"/>
      <c r="I178" s="459"/>
      <c r="J178" s="458"/>
      <c r="K178" s="458"/>
      <c r="L178" s="458"/>
      <c r="M178" s="460"/>
      <c r="N178" s="3787"/>
      <c r="O178" s="3788"/>
      <c r="P178" s="3788"/>
      <c r="Q178" s="3788"/>
      <c r="R178" s="3789"/>
      <c r="S178" s="1172"/>
      <c r="T178" s="1172"/>
      <c r="U178" s="1172"/>
      <c r="V178" s="1172"/>
      <c r="W178" s="1172"/>
      <c r="X178" s="1172"/>
      <c r="Y178" s="1172"/>
      <c r="Z178" s="1172"/>
      <c r="AA178" s="1172"/>
      <c r="AB178" s="1172"/>
      <c r="AC178" s="1172"/>
    </row>
    <row r="179" spans="1:29" ht="13.5" outlineLevel="2" thickBot="1">
      <c r="A179" s="262"/>
      <c r="B179" s="4256"/>
      <c r="C179" s="1619" t="s">
        <v>129</v>
      </c>
      <c r="D179" s="1448">
        <f t="shared" ref="D179:M179" si="55">D177+D178</f>
        <v>0</v>
      </c>
      <c r="E179" s="1449">
        <f t="shared" si="55"/>
        <v>0</v>
      </c>
      <c r="F179" s="1449">
        <f t="shared" si="55"/>
        <v>0</v>
      </c>
      <c r="G179" s="1449">
        <f t="shared" si="55"/>
        <v>0</v>
      </c>
      <c r="H179" s="1450">
        <f t="shared" si="55"/>
        <v>0</v>
      </c>
      <c r="I179" s="1451">
        <f t="shared" si="55"/>
        <v>0</v>
      </c>
      <c r="J179" s="1449">
        <f t="shared" si="55"/>
        <v>0</v>
      </c>
      <c r="K179" s="1449">
        <f t="shared" si="55"/>
        <v>0</v>
      </c>
      <c r="L179" s="1449">
        <f t="shared" si="55"/>
        <v>0</v>
      </c>
      <c r="M179" s="1450">
        <f t="shared" si="55"/>
        <v>0</v>
      </c>
      <c r="N179" s="3790"/>
      <c r="O179" s="3791"/>
      <c r="P179" s="3791"/>
      <c r="Q179" s="3791"/>
      <c r="R179" s="3792"/>
      <c r="S179" s="1172"/>
      <c r="T179" s="1172"/>
      <c r="U179" s="1172"/>
      <c r="V179" s="1172"/>
      <c r="W179" s="1172"/>
      <c r="X179" s="1172"/>
      <c r="Y179" s="1172"/>
      <c r="Z179" s="1172"/>
      <c r="AA179" s="1172"/>
      <c r="AB179" s="1172"/>
      <c r="AC179" s="1172"/>
    </row>
    <row r="180" spans="1:29" s="474" customFormat="1" ht="13.5" outlineLevel="2" thickBot="1">
      <c r="A180" s="262"/>
      <c r="B180" s="4257" t="s">
        <v>129</v>
      </c>
      <c r="C180" s="4258"/>
      <c r="D180" s="1696">
        <f>SUM(D26,D29,D32,D35,D38,D41,D44,D47,D50,D53,D56,D59,D62,D65,D68,D71,D74,D77,D80,D83,D86,D89,D92,D95,D98,D101,D104,D107,D110,D113,D116,D119,D122,D125,D128,D131,D134,D137,D140,D143,D146,D149,D152,D155,D158,D161,D164,D167,D170,D173,D176,D179)</f>
        <v>44498</v>
      </c>
      <c r="E180" s="1696">
        <f t="shared" ref="E180:M180" si="56">SUM(E26,E29,E32,E35,E38,E41,E44,E47,E50,E53,E56,E59,E62,E65,E68,E71,E74,E77,E80,E83,E86,E89,E92,E95,E98,E101,E104,E107,E110,E113,E116,E119,E122,E125,E128,E131,E134,E137,E140,E143,E146,E149,E152,E155,E158,E161,E164,E167,E170,E173,E176,E179)</f>
        <v>13540</v>
      </c>
      <c r="F180" s="1696">
        <f t="shared" si="56"/>
        <v>13674</v>
      </c>
      <c r="G180" s="1696">
        <f t="shared" si="56"/>
        <v>21128</v>
      </c>
      <c r="H180" s="1696">
        <f t="shared" si="56"/>
        <v>21783</v>
      </c>
      <c r="I180" s="1696">
        <f t="shared" si="56"/>
        <v>27058</v>
      </c>
      <c r="J180" s="1696">
        <f t="shared" si="56"/>
        <v>26313</v>
      </c>
      <c r="K180" s="1696">
        <f t="shared" si="56"/>
        <v>30736</v>
      </c>
      <c r="L180" s="1696">
        <f t="shared" si="56"/>
        <v>25254</v>
      </c>
      <c r="M180" s="1696">
        <f t="shared" si="56"/>
        <v>31987</v>
      </c>
      <c r="N180" s="3797"/>
      <c r="O180" s="3797"/>
      <c r="P180" s="3797"/>
      <c r="Q180" s="3797"/>
      <c r="R180" s="3797"/>
      <c r="S180" s="1172"/>
      <c r="T180" s="1172"/>
      <c r="U180" s="1172"/>
      <c r="V180" s="1172"/>
      <c r="W180" s="1172"/>
      <c r="X180" s="1172"/>
      <c r="Y180" s="1172"/>
      <c r="Z180" s="1172"/>
      <c r="AA180" s="1172"/>
      <c r="AB180" s="1172"/>
      <c r="AC180" s="1172"/>
    </row>
    <row r="181" spans="1:29" s="474" customFormat="1" ht="39" outlineLevel="2" thickBot="1">
      <c r="A181" s="262"/>
      <c r="B181" s="4059" t="s">
        <v>121</v>
      </c>
      <c r="C181" s="4060"/>
      <c r="D181" s="1159" t="s">
        <v>1860</v>
      </c>
      <c r="E181" s="1160" t="s">
        <v>1861</v>
      </c>
      <c r="F181" s="1160" t="s">
        <v>1862</v>
      </c>
      <c r="G181" s="1160" t="s">
        <v>1863</v>
      </c>
      <c r="H181" s="1160"/>
      <c r="I181" s="1160"/>
      <c r="J181" s="1160"/>
      <c r="K181" s="1160"/>
      <c r="L181" s="1160"/>
      <c r="M181" s="1160"/>
      <c r="N181" s="1160"/>
      <c r="O181" s="1160"/>
      <c r="P181" s="1160"/>
      <c r="Q181" s="1160"/>
      <c r="R181" s="1189"/>
      <c r="S181" s="1172"/>
      <c r="T181" s="1172"/>
      <c r="U181" s="1172"/>
      <c r="V181" s="1172"/>
      <c r="W181" s="1172"/>
      <c r="X181" s="1172"/>
      <c r="Y181" s="1172"/>
      <c r="Z181" s="1172"/>
      <c r="AA181" s="1172"/>
      <c r="AB181" s="1172"/>
      <c r="AC181" s="1172"/>
    </row>
    <row r="182" spans="1:29" s="474" customFormat="1" ht="13.5" outlineLevel="2" thickBot="1">
      <c r="A182" s="262"/>
      <c r="B182" s="1172"/>
      <c r="C182" s="1172"/>
      <c r="D182" s="1172"/>
      <c r="E182" s="1172"/>
      <c r="F182" s="1172"/>
      <c r="G182" s="1172"/>
      <c r="H182" s="1172"/>
      <c r="I182" s="1172"/>
      <c r="J182" s="1172"/>
      <c r="K182" s="1172"/>
      <c r="L182" s="1172"/>
      <c r="M182" s="1172"/>
      <c r="N182" s="1172"/>
      <c r="O182" s="1172"/>
      <c r="P182" s="1172"/>
      <c r="Q182" s="1172"/>
      <c r="R182" s="1172"/>
      <c r="S182" s="1172"/>
      <c r="T182" s="1172"/>
      <c r="U182" s="1172"/>
    </row>
    <row r="183" spans="1:29" s="474" customFormat="1" ht="21" outlineLevel="2" thickBot="1">
      <c r="A183" s="262"/>
      <c r="B183" s="83"/>
      <c r="C183" s="83"/>
      <c r="D183" s="185"/>
      <c r="E183" s="185"/>
      <c r="F183" s="185"/>
      <c r="G183" s="185"/>
      <c r="H183" s="185"/>
      <c r="I183" s="185"/>
      <c r="J183" s="185"/>
      <c r="K183" s="185"/>
      <c r="L183" s="185"/>
      <c r="M183" s="185"/>
      <c r="N183" s="185"/>
      <c r="O183" s="183"/>
      <c r="P183" s="183"/>
      <c r="Q183" s="183"/>
      <c r="R183" s="183"/>
      <c r="S183" s="1172"/>
      <c r="T183" s="1172"/>
      <c r="U183" s="1172"/>
      <c r="V183" s="735" t="s">
        <v>642</v>
      </c>
      <c r="W183" s="735"/>
      <c r="X183" s="735"/>
      <c r="Y183" s="735"/>
      <c r="Z183" s="735"/>
      <c r="AA183" s="735"/>
      <c r="AB183" s="735"/>
      <c r="AC183" s="1201"/>
    </row>
    <row r="184" spans="1:29" s="474" customFormat="1" ht="16.5" outlineLevel="2" thickBot="1">
      <c r="A184" s="262"/>
      <c r="B184" s="2760" t="s">
        <v>606</v>
      </c>
      <c r="C184" s="2760"/>
      <c r="D184" s="1259"/>
      <c r="E184" s="1259"/>
      <c r="F184" s="1259"/>
      <c r="G184" s="1259"/>
      <c r="H184" s="1259"/>
      <c r="I184" s="1259"/>
      <c r="J184" s="1259"/>
      <c r="K184" s="1259"/>
      <c r="L184" s="1259"/>
      <c r="M184" s="1259"/>
      <c r="N184" s="1259"/>
      <c r="O184" s="1259"/>
      <c r="P184" s="1259"/>
      <c r="Q184" s="1259"/>
      <c r="R184" s="1260"/>
      <c r="S184" s="1172"/>
      <c r="T184" s="1172"/>
      <c r="U184" s="1172"/>
      <c r="V184" s="2760"/>
      <c r="W184" s="1259"/>
      <c r="X184" s="1259"/>
      <c r="Y184" s="1259"/>
      <c r="Z184" s="1259"/>
      <c r="AA184" s="1259"/>
      <c r="AB184" s="1259"/>
      <c r="AC184" s="1260"/>
    </row>
    <row r="185" spans="1:29" s="474" customFormat="1" ht="18" customHeight="1" outlineLevel="2">
      <c r="A185" s="262"/>
      <c r="B185" s="4179"/>
      <c r="C185" s="4180"/>
      <c r="D185" s="4073" t="s">
        <v>36</v>
      </c>
      <c r="E185" s="3997"/>
      <c r="F185" s="3997"/>
      <c r="G185" s="3997"/>
      <c r="H185" s="3997"/>
      <c r="I185" s="4074" t="s">
        <v>37</v>
      </c>
      <c r="J185" s="4075"/>
      <c r="K185" s="4075"/>
      <c r="L185" s="4075"/>
      <c r="M185" s="4075"/>
      <c r="N185" s="3960" t="s">
        <v>73</v>
      </c>
      <c r="O185" s="3960"/>
      <c r="P185" s="3960"/>
      <c r="Q185" s="3960"/>
      <c r="R185" s="4099"/>
      <c r="S185" s="1172"/>
      <c r="T185" s="1172"/>
      <c r="U185" s="1172"/>
      <c r="V185" s="4194" t="s">
        <v>36</v>
      </c>
      <c r="W185" s="4195"/>
      <c r="X185" s="4195"/>
      <c r="Y185" s="4195"/>
      <c r="Z185" s="4195"/>
      <c r="AA185" s="4196" t="s">
        <v>37</v>
      </c>
      <c r="AB185" s="4197"/>
      <c r="AC185" s="4198"/>
    </row>
    <row r="186" spans="1:29" s="474" customFormat="1" ht="15" customHeight="1" outlineLevel="2">
      <c r="A186" s="262"/>
      <c r="B186" s="4181"/>
      <c r="C186" s="4182"/>
      <c r="D186" s="3985" t="s">
        <v>543</v>
      </c>
      <c r="E186" s="3986"/>
      <c r="F186" s="3986"/>
      <c r="G186" s="3986"/>
      <c r="H186" s="3986"/>
      <c r="I186" s="3986"/>
      <c r="J186" s="3986"/>
      <c r="K186" s="3987"/>
      <c r="L186" s="3988" t="str">
        <f>CONCATENATE("$0's, real ",dms_DollarReal)</f>
        <v>$0's, real December 2017</v>
      </c>
      <c r="M186" s="3989"/>
      <c r="N186" s="3989"/>
      <c r="O186" s="3989"/>
      <c r="P186" s="3989"/>
      <c r="Q186" s="3989"/>
      <c r="R186" s="3990"/>
      <c r="S186" s="1172"/>
      <c r="T186" s="1172"/>
      <c r="U186" s="1172"/>
      <c r="V186" s="3985" t="str">
        <f>CONCATENATE("$0's, real ",dms_DollarReal)</f>
        <v>$0's, real December 2017</v>
      </c>
      <c r="W186" s="3986"/>
      <c r="X186" s="3986"/>
      <c r="Y186" s="3986"/>
      <c r="Z186" s="3986"/>
      <c r="AA186" s="3986"/>
      <c r="AB186" s="3986"/>
      <c r="AC186" s="4030"/>
    </row>
    <row r="187" spans="1:29" s="474" customFormat="1" ht="15" customHeight="1" outlineLevel="2">
      <c r="A187" s="262"/>
      <c r="B187" s="4181"/>
      <c r="C187" s="4182"/>
      <c r="D187" s="3985" t="s">
        <v>54</v>
      </c>
      <c r="E187" s="3986"/>
      <c r="F187" s="3986"/>
      <c r="G187" s="3986"/>
      <c r="H187" s="3986"/>
      <c r="I187" s="3986"/>
      <c r="J187" s="3986"/>
      <c r="K187" s="3987"/>
      <c r="L187" s="3988" t="s">
        <v>55</v>
      </c>
      <c r="M187" s="3989"/>
      <c r="N187" s="3989"/>
      <c r="O187" s="3989"/>
      <c r="P187" s="3989"/>
      <c r="Q187" s="3989"/>
      <c r="R187" s="3990"/>
      <c r="S187" s="1172"/>
      <c r="T187" s="1172"/>
      <c r="U187" s="1172"/>
      <c r="V187" s="3985" t="s">
        <v>54</v>
      </c>
      <c r="W187" s="3986"/>
      <c r="X187" s="3986"/>
      <c r="Y187" s="3986"/>
      <c r="Z187" s="3986"/>
      <c r="AA187" s="3986"/>
      <c r="AB187" s="3986"/>
      <c r="AC187" s="4030"/>
    </row>
    <row r="188" spans="1:29" s="474" customFormat="1" ht="15.75" customHeight="1" outlineLevel="2" thickBot="1">
      <c r="A188" s="262"/>
      <c r="B188" s="4183"/>
      <c r="C188" s="4184"/>
      <c r="D188" s="1438">
        <f t="array" ref="D188:H188">PRCP</f>
        <v>2008</v>
      </c>
      <c r="E188" s="342">
        <v>2009</v>
      </c>
      <c r="F188" s="342">
        <v>2010</v>
      </c>
      <c r="G188" s="342">
        <v>2011</v>
      </c>
      <c r="H188" s="342">
        <v>2012</v>
      </c>
      <c r="I188" s="344">
        <f>CRCP_y1</f>
        <v>2013</v>
      </c>
      <c r="J188" s="344">
        <f>CRCP_y2</f>
        <v>2014</v>
      </c>
      <c r="K188" s="344">
        <f>CRCP_y3</f>
        <v>2015</v>
      </c>
      <c r="L188" s="344">
        <f>CRCP_y4</f>
        <v>2016</v>
      </c>
      <c r="M188" s="344">
        <f>CRCP_y5</f>
        <v>2017</v>
      </c>
      <c r="N188" s="342" t="str">
        <f t="array" ref="N188:R188">FRCP</f>
        <v>2018</v>
      </c>
      <c r="O188" s="342">
        <v>2019</v>
      </c>
      <c r="P188" s="342">
        <v>2020</v>
      </c>
      <c r="Q188" s="342">
        <v>2021</v>
      </c>
      <c r="R188" s="443">
        <v>2022</v>
      </c>
      <c r="S188" s="1172"/>
      <c r="T188" s="1172"/>
      <c r="U188" s="1172"/>
      <c r="V188" s="1206">
        <f t="array" ref="V188:Z188">PRCP</f>
        <v>2008</v>
      </c>
      <c r="W188" s="1207">
        <v>2009</v>
      </c>
      <c r="X188" s="1207">
        <v>2010</v>
      </c>
      <c r="Y188" s="1207">
        <v>2011</v>
      </c>
      <c r="Z188" s="1207">
        <v>2012</v>
      </c>
      <c r="AA188" s="347">
        <f>CRCP_y1</f>
        <v>2013</v>
      </c>
      <c r="AB188" s="347">
        <f>CRCP_y2</f>
        <v>2014</v>
      </c>
      <c r="AC188" s="1645">
        <f>CRCP_y3</f>
        <v>2015</v>
      </c>
    </row>
    <row r="189" spans="1:29" s="474" customFormat="1" outlineLevel="2">
      <c r="A189" s="262"/>
      <c r="B189" s="4253" t="s">
        <v>90</v>
      </c>
      <c r="C189" s="4254"/>
      <c r="D189" s="412">
        <f>D180</f>
        <v>44498</v>
      </c>
      <c r="E189" s="3542">
        <f t="shared" ref="E189:M189" si="57">E180</f>
        <v>13540</v>
      </c>
      <c r="F189" s="494">
        <f t="shared" si="57"/>
        <v>13674</v>
      </c>
      <c r="G189" s="494">
        <f t="shared" si="57"/>
        <v>21128</v>
      </c>
      <c r="H189" s="1199">
        <f t="shared" si="57"/>
        <v>21783</v>
      </c>
      <c r="I189" s="412">
        <f t="shared" si="57"/>
        <v>27058</v>
      </c>
      <c r="J189" s="494">
        <f t="shared" si="57"/>
        <v>26313</v>
      </c>
      <c r="K189" s="494">
        <f t="shared" si="57"/>
        <v>30736</v>
      </c>
      <c r="L189" s="494">
        <f t="shared" si="57"/>
        <v>25254</v>
      </c>
      <c r="M189" s="3759">
        <f t="shared" si="57"/>
        <v>31987</v>
      </c>
      <c r="N189" s="3798"/>
      <c r="O189" s="3799"/>
      <c r="P189" s="3799"/>
      <c r="Q189" s="3799"/>
      <c r="R189" s="3800"/>
      <c r="S189" s="3784"/>
      <c r="T189" s="1172"/>
      <c r="U189" s="1172"/>
      <c r="V189" s="1521"/>
      <c r="W189" s="453"/>
      <c r="X189" s="453"/>
      <c r="Y189" s="453"/>
      <c r="Z189" s="1530"/>
      <c r="AA189" s="1521"/>
      <c r="AB189" s="453"/>
      <c r="AC189" s="526"/>
    </row>
    <row r="190" spans="1:29" s="474" customFormat="1" ht="12.75" customHeight="1" outlineLevel="2">
      <c r="A190" s="262"/>
      <c r="B190" s="4237" t="s">
        <v>559</v>
      </c>
      <c r="C190" s="4249"/>
      <c r="D190" s="412">
        <v>158220</v>
      </c>
      <c r="E190" s="3542">
        <v>54810</v>
      </c>
      <c r="F190" s="494">
        <v>59070</v>
      </c>
      <c r="G190" s="494">
        <v>78780</v>
      </c>
      <c r="H190" s="1199">
        <v>109800</v>
      </c>
      <c r="I190" s="412">
        <v>129870</v>
      </c>
      <c r="J190" s="494">
        <v>104070</v>
      </c>
      <c r="K190" s="494">
        <v>150900</v>
      </c>
      <c r="L190" s="494">
        <v>163428</v>
      </c>
      <c r="M190" s="3759">
        <v>171036</v>
      </c>
      <c r="N190" s="3798"/>
      <c r="O190" s="3799"/>
      <c r="P190" s="3799"/>
      <c r="Q190" s="3799"/>
      <c r="R190" s="3800"/>
      <c r="S190" s="3784"/>
      <c r="T190" s="1172"/>
      <c r="U190" s="1172"/>
      <c r="V190" s="462"/>
      <c r="W190" s="463"/>
      <c r="X190" s="463"/>
      <c r="Y190" s="463"/>
      <c r="Z190" s="1190"/>
      <c r="AA190" s="462"/>
      <c r="AB190" s="463"/>
      <c r="AC190" s="464"/>
    </row>
    <row r="191" spans="1:29" s="474" customFormat="1" outlineLevel="2">
      <c r="A191" s="262"/>
      <c r="B191" s="4237" t="s">
        <v>558</v>
      </c>
      <c r="C191" s="4249"/>
      <c r="D191" s="459">
        <v>5115780</v>
      </c>
      <c r="E191" s="458">
        <v>1772190</v>
      </c>
      <c r="F191" s="458">
        <v>1909930</v>
      </c>
      <c r="G191" s="458">
        <v>2547220</v>
      </c>
      <c r="H191" s="625">
        <v>3550200</v>
      </c>
      <c r="I191" s="459">
        <v>4199130</v>
      </c>
      <c r="J191" s="458">
        <v>3364930</v>
      </c>
      <c r="K191" s="458">
        <v>4879100</v>
      </c>
      <c r="L191" s="458">
        <v>5284180</v>
      </c>
      <c r="M191" s="460">
        <v>5530166</v>
      </c>
      <c r="N191" s="3787"/>
      <c r="O191" s="3788"/>
      <c r="P191" s="3788"/>
      <c r="Q191" s="3788"/>
      <c r="R191" s="3793"/>
      <c r="S191" s="3784" t="s">
        <v>1864</v>
      </c>
      <c r="T191" s="1172"/>
      <c r="U191" s="1172"/>
      <c r="V191" s="462"/>
      <c r="W191" s="463"/>
      <c r="X191" s="463"/>
      <c r="Y191" s="463"/>
      <c r="Z191" s="1190"/>
      <c r="AA191" s="462"/>
      <c r="AB191" s="463"/>
      <c r="AC191" s="464"/>
    </row>
    <row r="192" spans="1:29" s="474" customFormat="1" ht="12.75" customHeight="1" outlineLevel="2">
      <c r="A192" s="262"/>
      <c r="B192" s="4237" t="s">
        <v>578</v>
      </c>
      <c r="C192" s="4249"/>
      <c r="D192" s="459"/>
      <c r="E192" s="458"/>
      <c r="F192" s="458"/>
      <c r="G192" s="458"/>
      <c r="H192" s="625"/>
      <c r="I192" s="459"/>
      <c r="J192" s="458"/>
      <c r="K192" s="458"/>
      <c r="L192" s="458"/>
      <c r="M192" s="460"/>
      <c r="N192" s="3787"/>
      <c r="O192" s="3788"/>
      <c r="P192" s="3788"/>
      <c r="Q192" s="3788"/>
      <c r="R192" s="3793"/>
      <c r="S192" s="3784"/>
      <c r="T192" s="1172"/>
      <c r="U192" s="1172"/>
      <c r="V192" s="462"/>
      <c r="W192" s="463"/>
      <c r="X192" s="463"/>
      <c r="Y192" s="463"/>
      <c r="Z192" s="1190"/>
      <c r="AA192" s="462"/>
      <c r="AB192" s="463"/>
      <c r="AC192" s="464"/>
    </row>
    <row r="193" spans="1:29" s="474" customFormat="1" outlineLevel="2">
      <c r="A193" s="262"/>
      <c r="B193" s="4245" t="s">
        <v>579</v>
      </c>
      <c r="C193" s="4250"/>
      <c r="D193" s="462">
        <f>SUM(D190:D192)</f>
        <v>5274000</v>
      </c>
      <c r="E193" s="463">
        <f t="shared" ref="E193:L193" si="58">SUM(E190:E192)</f>
        <v>1827000</v>
      </c>
      <c r="F193" s="463">
        <f t="shared" si="58"/>
        <v>1969000</v>
      </c>
      <c r="G193" s="463">
        <f t="shared" si="58"/>
        <v>2626000</v>
      </c>
      <c r="H193" s="1190">
        <f t="shared" si="58"/>
        <v>3660000</v>
      </c>
      <c r="I193" s="462">
        <f t="shared" si="58"/>
        <v>4329000</v>
      </c>
      <c r="J193" s="463">
        <f t="shared" si="58"/>
        <v>3469000</v>
      </c>
      <c r="K193" s="463">
        <f t="shared" si="58"/>
        <v>5030000</v>
      </c>
      <c r="L193" s="463">
        <f t="shared" si="58"/>
        <v>5447608</v>
      </c>
      <c r="M193" s="464">
        <f>SUM(M190:M192)</f>
        <v>5701202</v>
      </c>
      <c r="N193" s="3787"/>
      <c r="O193" s="3788"/>
      <c r="P193" s="3788"/>
      <c r="Q193" s="3788"/>
      <c r="R193" s="3793"/>
      <c r="S193" s="3784"/>
      <c r="T193" s="1172"/>
      <c r="U193" s="1172"/>
      <c r="V193" s="462">
        <f t="shared" ref="V193:AC193" si="59">SUM(V190:V192)</f>
        <v>0</v>
      </c>
      <c r="W193" s="463">
        <f t="shared" si="59"/>
        <v>0</v>
      </c>
      <c r="X193" s="463">
        <f t="shared" si="59"/>
        <v>0</v>
      </c>
      <c r="Y193" s="463">
        <f t="shared" si="59"/>
        <v>0</v>
      </c>
      <c r="Z193" s="1190">
        <f t="shared" si="59"/>
        <v>0</v>
      </c>
      <c r="AA193" s="462">
        <f t="shared" si="59"/>
        <v>0</v>
      </c>
      <c r="AB193" s="463">
        <f t="shared" si="59"/>
        <v>0</v>
      </c>
      <c r="AC193" s="464">
        <f t="shared" si="59"/>
        <v>0</v>
      </c>
    </row>
    <row r="194" spans="1:29" s="474" customFormat="1" outlineLevel="2">
      <c r="A194" s="262"/>
      <c r="B194" s="4237" t="s">
        <v>583</v>
      </c>
      <c r="C194" s="4249"/>
      <c r="D194" s="459">
        <f>0.07*D193</f>
        <v>369180.00000000006</v>
      </c>
      <c r="E194" s="458">
        <f t="shared" ref="E194:K194" si="60">0.07*E193</f>
        <v>127890.00000000001</v>
      </c>
      <c r="F194" s="458">
        <f t="shared" si="60"/>
        <v>137830</v>
      </c>
      <c r="G194" s="458">
        <f t="shared" si="60"/>
        <v>183820.00000000003</v>
      </c>
      <c r="H194" s="625">
        <f t="shared" si="60"/>
        <v>256200.00000000003</v>
      </c>
      <c r="I194" s="459">
        <f t="shared" si="60"/>
        <v>303030</v>
      </c>
      <c r="J194" s="458">
        <f t="shared" si="60"/>
        <v>242830.00000000003</v>
      </c>
      <c r="K194" s="458">
        <f t="shared" si="60"/>
        <v>352100.00000000006</v>
      </c>
      <c r="L194" s="458">
        <v>407080</v>
      </c>
      <c r="M194" s="460">
        <v>427528.25494913105</v>
      </c>
      <c r="N194" s="3787"/>
      <c r="O194" s="3788"/>
      <c r="P194" s="3788"/>
      <c r="Q194" s="3788"/>
      <c r="R194" s="3793"/>
      <c r="S194" s="3784"/>
      <c r="T194" s="1172"/>
      <c r="U194" s="1172"/>
      <c r="V194" s="462"/>
      <c r="W194" s="463"/>
      <c r="X194" s="463"/>
      <c r="Y194" s="463"/>
      <c r="Z194" s="1190"/>
      <c r="AA194" s="511"/>
      <c r="AB194" s="512"/>
      <c r="AC194" s="547"/>
    </row>
    <row r="195" spans="1:29" s="474" customFormat="1" ht="12.75" customHeight="1" outlineLevel="2">
      <c r="A195" s="262"/>
      <c r="B195" s="4237" t="s">
        <v>581</v>
      </c>
      <c r="C195" s="4249"/>
      <c r="D195" s="459"/>
      <c r="E195" s="458"/>
      <c r="F195" s="458"/>
      <c r="G195" s="458"/>
      <c r="H195" s="625"/>
      <c r="I195" s="459"/>
      <c r="J195" s="458"/>
      <c r="K195" s="458"/>
      <c r="L195" s="458"/>
      <c r="M195" s="460"/>
      <c r="N195" s="3787"/>
      <c r="O195" s="3788"/>
      <c r="P195" s="3788"/>
      <c r="Q195" s="3788"/>
      <c r="R195" s="3793"/>
      <c r="S195" s="3784"/>
      <c r="T195" s="1172"/>
      <c r="U195" s="1172"/>
      <c r="V195" s="462"/>
      <c r="W195" s="463"/>
      <c r="X195" s="463"/>
      <c r="Y195" s="463"/>
      <c r="Z195" s="1190"/>
      <c r="AA195" s="462"/>
      <c r="AB195" s="463"/>
      <c r="AC195" s="464"/>
    </row>
    <row r="196" spans="1:29" ht="17.25" customHeight="1" outlineLevel="1">
      <c r="A196" s="262"/>
      <c r="B196" s="4247" t="s">
        <v>584</v>
      </c>
      <c r="C196" s="4252"/>
      <c r="D196" s="353">
        <f>SUM(D193:D195)</f>
        <v>5643180</v>
      </c>
      <c r="E196" s="354">
        <f t="shared" ref="E196:M196" si="61">SUM(E193:E195)</f>
        <v>1954890</v>
      </c>
      <c r="F196" s="354">
        <f t="shared" si="61"/>
        <v>2106830</v>
      </c>
      <c r="G196" s="354">
        <f t="shared" si="61"/>
        <v>2809820</v>
      </c>
      <c r="H196" s="626">
        <f t="shared" si="61"/>
        <v>3916200</v>
      </c>
      <c r="I196" s="353">
        <f t="shared" si="61"/>
        <v>4632030</v>
      </c>
      <c r="J196" s="354">
        <f t="shared" si="61"/>
        <v>3711830</v>
      </c>
      <c r="K196" s="354">
        <f t="shared" si="61"/>
        <v>5382100</v>
      </c>
      <c r="L196" s="354">
        <f t="shared" si="61"/>
        <v>5854688</v>
      </c>
      <c r="M196" s="450">
        <f t="shared" si="61"/>
        <v>6128730.254949131</v>
      </c>
      <c r="N196" s="3787"/>
      <c r="O196" s="3788"/>
      <c r="P196" s="3788"/>
      <c r="Q196" s="3788"/>
      <c r="R196" s="3793"/>
      <c r="S196" s="3784"/>
      <c r="T196" s="1172"/>
      <c r="U196" s="1172"/>
      <c r="V196" s="353">
        <f>SUM(V193:V195)</f>
        <v>0</v>
      </c>
      <c r="W196" s="354">
        <f>SUM(W193:W195)</f>
        <v>0</v>
      </c>
      <c r="X196" s="354">
        <f t="shared" ref="X196:AC196" si="62">SUM(X193:X195)</f>
        <v>0</v>
      </c>
      <c r="Y196" s="354">
        <f t="shared" si="62"/>
        <v>0</v>
      </c>
      <c r="Z196" s="626">
        <f t="shared" si="62"/>
        <v>0</v>
      </c>
      <c r="AA196" s="353">
        <f t="shared" si="62"/>
        <v>0</v>
      </c>
      <c r="AB196" s="354">
        <f t="shared" si="62"/>
        <v>0</v>
      </c>
      <c r="AC196" s="450">
        <f t="shared" si="62"/>
        <v>0</v>
      </c>
    </row>
    <row r="197" spans="1:29" ht="17.25" customHeight="1" outlineLevel="1">
      <c r="A197" s="262"/>
      <c r="B197" s="4237" t="s">
        <v>605</v>
      </c>
      <c r="C197" s="4249"/>
      <c r="D197" s="459"/>
      <c r="E197" s="458"/>
      <c r="F197" s="458"/>
      <c r="G197" s="458"/>
      <c r="H197" s="625"/>
      <c r="I197" s="459"/>
      <c r="J197" s="458"/>
      <c r="K197" s="458"/>
      <c r="L197" s="458"/>
      <c r="M197" s="460"/>
      <c r="N197" s="3787"/>
      <c r="O197" s="3788"/>
      <c r="P197" s="3788"/>
      <c r="Q197" s="3788"/>
      <c r="R197" s="3793"/>
      <c r="S197" s="3784"/>
      <c r="T197" s="1172"/>
      <c r="U197" s="1172"/>
      <c r="V197" s="478"/>
      <c r="W197" s="463"/>
      <c r="X197" s="463"/>
      <c r="Y197" s="463"/>
      <c r="Z197" s="1190"/>
      <c r="AA197" s="462"/>
      <c r="AB197" s="463"/>
      <c r="AC197" s="464"/>
    </row>
    <row r="198" spans="1:29" s="474" customFormat="1" ht="20.25" customHeight="1" thickBot="1">
      <c r="A198" s="262"/>
      <c r="B198" s="4239" t="s">
        <v>585</v>
      </c>
      <c r="C198" s="4251"/>
      <c r="D198" s="1370">
        <f>D196-D197</f>
        <v>5643180</v>
      </c>
      <c r="E198" s="356">
        <f t="shared" ref="E198:M198" si="63">E196-E197</f>
        <v>1954890</v>
      </c>
      <c r="F198" s="356">
        <f t="shared" si="63"/>
        <v>2106830</v>
      </c>
      <c r="G198" s="356">
        <f t="shared" si="63"/>
        <v>2809820</v>
      </c>
      <c r="H198" s="627">
        <f t="shared" si="63"/>
        <v>3916200</v>
      </c>
      <c r="I198" s="1370">
        <f t="shared" si="63"/>
        <v>4632030</v>
      </c>
      <c r="J198" s="356">
        <f t="shared" si="63"/>
        <v>3711830</v>
      </c>
      <c r="K198" s="356">
        <f t="shared" si="63"/>
        <v>5382100</v>
      </c>
      <c r="L198" s="356">
        <f t="shared" si="63"/>
        <v>5854688</v>
      </c>
      <c r="M198" s="503">
        <f t="shared" si="63"/>
        <v>6128730.254949131</v>
      </c>
      <c r="N198" s="3801"/>
      <c r="O198" s="3802"/>
      <c r="P198" s="3802"/>
      <c r="Q198" s="3802"/>
      <c r="R198" s="3803"/>
      <c r="S198" s="3784"/>
      <c r="T198" s="1172"/>
      <c r="U198" s="1172"/>
      <c r="V198" s="1370">
        <f t="shared" ref="V198:AC198" si="64">V196-V197</f>
        <v>0</v>
      </c>
      <c r="W198" s="356">
        <f t="shared" si="64"/>
        <v>0</v>
      </c>
      <c r="X198" s="356">
        <f t="shared" si="64"/>
        <v>0</v>
      </c>
      <c r="Y198" s="356">
        <f t="shared" si="64"/>
        <v>0</v>
      </c>
      <c r="Z198" s="627">
        <f t="shared" si="64"/>
        <v>0</v>
      </c>
      <c r="AA198" s="1370">
        <f t="shared" si="64"/>
        <v>0</v>
      </c>
      <c r="AB198" s="356">
        <f t="shared" si="64"/>
        <v>0</v>
      </c>
      <c r="AC198" s="503">
        <f t="shared" si="64"/>
        <v>0</v>
      </c>
    </row>
    <row r="199" spans="1:29" ht="13.5" outlineLevel="2" thickBot="1">
      <c r="A199" s="262"/>
      <c r="B199" s="4059" t="s">
        <v>121</v>
      </c>
      <c r="C199" s="4060"/>
      <c r="D199" s="4085" t="s">
        <v>1566</v>
      </c>
      <c r="E199" s="4086"/>
      <c r="F199" s="4086"/>
      <c r="G199" s="4086"/>
      <c r="H199" s="4086"/>
      <c r="I199" s="4268" t="s">
        <v>1566</v>
      </c>
      <c r="J199" s="4268"/>
      <c r="K199" s="4268"/>
      <c r="L199" s="4269" t="s">
        <v>2095</v>
      </c>
      <c r="M199" s="4269"/>
      <c r="N199" s="4269"/>
      <c r="O199" s="4269"/>
      <c r="P199" s="4269"/>
      <c r="Q199" s="4269"/>
      <c r="R199" s="4269"/>
      <c r="S199" s="3784"/>
      <c r="T199" s="1172"/>
      <c r="U199" s="1172"/>
      <c r="V199" s="1663"/>
      <c r="W199" s="1644"/>
      <c r="X199" s="1644"/>
      <c r="Y199" s="1644"/>
      <c r="Z199" s="1644"/>
      <c r="AA199" s="1644"/>
      <c r="AB199" s="1644"/>
      <c r="AC199" s="1647"/>
    </row>
    <row r="200" spans="1:29" ht="21" outlineLevel="2" thickBot="1">
      <c r="A200" s="262"/>
      <c r="B200" s="83"/>
      <c r="C200" s="83"/>
      <c r="D200" s="185"/>
      <c r="E200" s="185"/>
      <c r="F200" s="185"/>
      <c r="G200" s="185"/>
      <c r="H200" s="185"/>
      <c r="I200" s="185"/>
      <c r="J200" s="185"/>
      <c r="K200" s="185"/>
      <c r="L200" s="185"/>
      <c r="M200" s="185"/>
      <c r="N200" s="185"/>
      <c r="O200" s="183"/>
      <c r="P200" s="183"/>
      <c r="Q200" s="183"/>
      <c r="R200" s="183"/>
      <c r="S200" s="3784"/>
      <c r="T200" s="1172"/>
      <c r="U200" s="1172"/>
      <c r="V200" s="185"/>
      <c r="W200" s="185"/>
      <c r="X200" s="185"/>
      <c r="Y200" s="185"/>
      <c r="Z200" s="185"/>
      <c r="AA200" s="185"/>
      <c r="AB200" s="185"/>
      <c r="AC200" s="185"/>
    </row>
    <row r="201" spans="1:29" ht="16.5" outlineLevel="2" thickBot="1">
      <c r="A201" s="262"/>
      <c r="B201" s="2760" t="s">
        <v>607</v>
      </c>
      <c r="C201" s="2760"/>
      <c r="D201" s="1259"/>
      <c r="E201" s="1259"/>
      <c r="F201" s="1259"/>
      <c r="G201" s="1259"/>
      <c r="H201" s="1259"/>
      <c r="I201" s="1259"/>
      <c r="J201" s="1259"/>
      <c r="K201" s="1259"/>
      <c r="L201" s="1259"/>
      <c r="M201" s="1259"/>
      <c r="N201" s="1259"/>
      <c r="O201" s="1259"/>
      <c r="P201" s="1259"/>
      <c r="Q201" s="1259"/>
      <c r="R201" s="1260"/>
      <c r="S201" s="3784"/>
      <c r="T201" s="1172"/>
      <c r="U201" s="1172"/>
      <c r="V201" s="2760"/>
      <c r="W201" s="1259"/>
      <c r="X201" s="1259"/>
      <c r="Y201" s="1259"/>
      <c r="Z201" s="1259"/>
      <c r="AA201" s="1259"/>
      <c r="AB201" s="1259"/>
      <c r="AC201" s="1260"/>
    </row>
    <row r="202" spans="1:29" ht="18" customHeight="1" outlineLevel="2">
      <c r="A202" s="262"/>
      <c r="B202" s="4179"/>
      <c r="C202" s="4180"/>
      <c r="D202" s="4194" t="s">
        <v>36</v>
      </c>
      <c r="E202" s="4195"/>
      <c r="F202" s="4195"/>
      <c r="G202" s="4195"/>
      <c r="H202" s="4195"/>
      <c r="I202" s="4196" t="s">
        <v>37</v>
      </c>
      <c r="J202" s="4197"/>
      <c r="K202" s="4197"/>
      <c r="L202" s="4197"/>
      <c r="M202" s="4197"/>
      <c r="N202" s="4208" t="s">
        <v>73</v>
      </c>
      <c r="O202" s="4208"/>
      <c r="P202" s="4208"/>
      <c r="Q202" s="4208"/>
      <c r="R202" s="4209"/>
      <c r="S202" s="3784"/>
      <c r="T202" s="1172"/>
      <c r="U202" s="1172"/>
      <c r="V202" s="4194" t="s">
        <v>36</v>
      </c>
      <c r="W202" s="4195"/>
      <c r="X202" s="4195"/>
      <c r="Y202" s="4195"/>
      <c r="Z202" s="4195"/>
      <c r="AA202" s="4196" t="s">
        <v>37</v>
      </c>
      <c r="AB202" s="4197"/>
      <c r="AC202" s="4198"/>
    </row>
    <row r="203" spans="1:29" ht="15" customHeight="1" outlineLevel="2">
      <c r="A203" s="262"/>
      <c r="B203" s="4181"/>
      <c r="C203" s="4182"/>
      <c r="D203" s="3985" t="s">
        <v>543</v>
      </c>
      <c r="E203" s="3986"/>
      <c r="F203" s="3986"/>
      <c r="G203" s="3986"/>
      <c r="H203" s="3986"/>
      <c r="I203" s="3986"/>
      <c r="J203" s="3986"/>
      <c r="K203" s="3987"/>
      <c r="L203" s="3988" t="str">
        <f>CONCATENATE("$0's, real ",dms_DollarReal)</f>
        <v>$0's, real December 2017</v>
      </c>
      <c r="M203" s="3989"/>
      <c r="N203" s="3989"/>
      <c r="O203" s="3989"/>
      <c r="P203" s="3989"/>
      <c r="Q203" s="3989"/>
      <c r="R203" s="4199"/>
      <c r="S203" s="3784"/>
      <c r="T203" s="1172"/>
      <c r="U203" s="1172"/>
      <c r="V203" s="3985" t="str">
        <f>CONCATENATE("$0's, real ",dms_DollarReal)</f>
        <v>$0's, real December 2017</v>
      </c>
      <c r="W203" s="3986"/>
      <c r="X203" s="3986"/>
      <c r="Y203" s="3986"/>
      <c r="Z203" s="3986"/>
      <c r="AA203" s="3986"/>
      <c r="AB203" s="3986"/>
      <c r="AC203" s="4030"/>
    </row>
    <row r="204" spans="1:29" ht="15" customHeight="1" outlineLevel="2">
      <c r="A204" s="262"/>
      <c r="B204" s="4181"/>
      <c r="C204" s="4182"/>
      <c r="D204" s="3985" t="s">
        <v>54</v>
      </c>
      <c r="E204" s="3986"/>
      <c r="F204" s="3986"/>
      <c r="G204" s="3986"/>
      <c r="H204" s="3986"/>
      <c r="I204" s="3986"/>
      <c r="J204" s="3986"/>
      <c r="K204" s="3987"/>
      <c r="L204" s="3988" t="s">
        <v>55</v>
      </c>
      <c r="M204" s="3989"/>
      <c r="N204" s="3989"/>
      <c r="O204" s="3989"/>
      <c r="P204" s="3989"/>
      <c r="Q204" s="3989"/>
      <c r="R204" s="4199"/>
      <c r="S204" s="3784"/>
      <c r="T204" s="1172"/>
      <c r="U204" s="1172"/>
      <c r="V204" s="3985" t="s">
        <v>54</v>
      </c>
      <c r="W204" s="3986"/>
      <c r="X204" s="3986"/>
      <c r="Y204" s="3986"/>
      <c r="Z204" s="3986"/>
      <c r="AA204" s="3986"/>
      <c r="AB204" s="3986"/>
      <c r="AC204" s="4030"/>
    </row>
    <row r="205" spans="1:29" ht="15.75" customHeight="1" outlineLevel="2" thickBot="1">
      <c r="A205" s="262"/>
      <c r="B205" s="4183"/>
      <c r="C205" s="4184"/>
      <c r="D205" s="1438">
        <f t="array" ref="D205:H205">PRCP</f>
        <v>2008</v>
      </c>
      <c r="E205" s="342">
        <v>2009</v>
      </c>
      <c r="F205" s="342">
        <v>2010</v>
      </c>
      <c r="G205" s="342">
        <v>2011</v>
      </c>
      <c r="H205" s="342">
        <v>2012</v>
      </c>
      <c r="I205" s="344">
        <f>CRCP_y1</f>
        <v>2013</v>
      </c>
      <c r="J205" s="344">
        <f>CRCP_y2</f>
        <v>2014</v>
      </c>
      <c r="K205" s="344">
        <f>CRCP_y3</f>
        <v>2015</v>
      </c>
      <c r="L205" s="344">
        <f>CRCP_y4</f>
        <v>2016</v>
      </c>
      <c r="M205" s="344">
        <f>CRCP_y5</f>
        <v>2017</v>
      </c>
      <c r="N205" s="342" t="str">
        <f t="array" ref="N205:R205">FRCP</f>
        <v>2018</v>
      </c>
      <c r="O205" s="342">
        <v>2019</v>
      </c>
      <c r="P205" s="342">
        <v>2020</v>
      </c>
      <c r="Q205" s="342">
        <v>2021</v>
      </c>
      <c r="R205" s="443">
        <v>2022</v>
      </c>
      <c r="S205" s="3784"/>
      <c r="T205" s="1172"/>
      <c r="U205" s="1172"/>
      <c r="V205" s="1438">
        <f t="array" ref="V205:Z205">PRCP</f>
        <v>2008</v>
      </c>
      <c r="W205" s="342">
        <v>2009</v>
      </c>
      <c r="X205" s="342">
        <v>2010</v>
      </c>
      <c r="Y205" s="342">
        <v>2011</v>
      </c>
      <c r="Z205" s="342">
        <v>2012</v>
      </c>
      <c r="AA205" s="344">
        <f>CRCP_y1</f>
        <v>2013</v>
      </c>
      <c r="AB205" s="344">
        <f>CRCP_y2</f>
        <v>2014</v>
      </c>
      <c r="AC205" s="542">
        <f>CRCP_y3</f>
        <v>2015</v>
      </c>
    </row>
    <row r="206" spans="1:29" ht="16.5" outlineLevel="2" thickBot="1">
      <c r="A206" s="262"/>
      <c r="B206" s="737" t="s">
        <v>608</v>
      </c>
      <c r="C206" s="738"/>
      <c r="D206" s="1254"/>
      <c r="E206" s="1254"/>
      <c r="F206" s="1254"/>
      <c r="G206" s="1254"/>
      <c r="H206" s="1254"/>
      <c r="I206" s="1254"/>
      <c r="J206" s="1254"/>
      <c r="K206" s="1254"/>
      <c r="L206" s="1254"/>
      <c r="M206" s="1254"/>
      <c r="N206" s="1254"/>
      <c r="O206" s="1254"/>
      <c r="P206" s="1254"/>
      <c r="Q206" s="1254"/>
      <c r="R206" s="1255"/>
      <c r="S206" s="3784"/>
      <c r="T206" s="1172"/>
      <c r="U206" s="1172"/>
      <c r="V206" s="1253"/>
      <c r="W206" s="1254"/>
      <c r="X206" s="1254"/>
      <c r="Y206" s="1254"/>
      <c r="Z206" s="1254"/>
      <c r="AA206" s="1254"/>
      <c r="AB206" s="1254"/>
      <c r="AC206" s="1255"/>
    </row>
    <row r="207" spans="1:29" outlineLevel="2">
      <c r="A207" s="262"/>
      <c r="B207" s="4241" t="s">
        <v>198</v>
      </c>
      <c r="C207" s="4242"/>
      <c r="D207" s="412">
        <f>SUM(D26,D29,D32,D35,D38,D41,D44,D47,D50,D53,D56,D59,D62,D65)</f>
        <v>43730</v>
      </c>
      <c r="E207" s="3542">
        <f t="shared" ref="E207:M207" si="65">SUM(E26,E29,E32,E35,E38,E41,E44,E47,E50,E53,E56,E59,E62,E65)</f>
        <v>13059</v>
      </c>
      <c r="F207" s="494">
        <f t="shared" si="65"/>
        <v>13117</v>
      </c>
      <c r="G207" s="494">
        <f t="shared" si="65"/>
        <v>20489</v>
      </c>
      <c r="H207" s="1199">
        <f t="shared" si="65"/>
        <v>21154</v>
      </c>
      <c r="I207" s="412">
        <f t="shared" si="65"/>
        <v>26491</v>
      </c>
      <c r="J207" s="494">
        <f>SUM(J26,J29,J32,J35,J38,J41,J44,J47,J50,J53,J56,J59,J62,J65)</f>
        <v>25750</v>
      </c>
      <c r="K207" s="494">
        <f t="shared" si="65"/>
        <v>30037</v>
      </c>
      <c r="L207" s="494">
        <f t="shared" si="65"/>
        <v>24815</v>
      </c>
      <c r="M207" s="3759">
        <f t="shared" si="65"/>
        <v>31353</v>
      </c>
      <c r="N207" s="3798"/>
      <c r="O207" s="3799"/>
      <c r="P207" s="3799"/>
      <c r="Q207" s="3799"/>
      <c r="R207" s="3800"/>
      <c r="S207" s="3784" t="s">
        <v>1865</v>
      </c>
      <c r="T207" s="1172"/>
      <c r="U207" s="1172"/>
      <c r="V207" s="1521"/>
      <c r="W207" s="453"/>
      <c r="X207" s="453"/>
      <c r="Y207" s="453"/>
      <c r="Z207" s="526"/>
      <c r="AA207" s="1521"/>
      <c r="AB207" s="453"/>
      <c r="AC207" s="526"/>
    </row>
    <row r="208" spans="1:29" ht="12.75" customHeight="1" outlineLevel="2">
      <c r="A208" s="262"/>
      <c r="B208" s="4237" t="s">
        <v>559</v>
      </c>
      <c r="C208" s="4238"/>
      <c r="D208" s="412">
        <v>134487</v>
      </c>
      <c r="E208" s="3542">
        <v>46589</v>
      </c>
      <c r="F208" s="494">
        <v>50210</v>
      </c>
      <c r="G208" s="494">
        <v>66963</v>
      </c>
      <c r="H208" s="1199">
        <v>93330</v>
      </c>
      <c r="I208" s="412">
        <v>110390</v>
      </c>
      <c r="J208" s="494">
        <v>88460</v>
      </c>
      <c r="K208" s="494">
        <v>128265</v>
      </c>
      <c r="L208" s="494">
        <v>138914</v>
      </c>
      <c r="M208" s="3759">
        <v>145381</v>
      </c>
      <c r="N208" s="3798"/>
      <c r="O208" s="3799"/>
      <c r="P208" s="3799"/>
      <c r="Q208" s="3799"/>
      <c r="R208" s="3800"/>
      <c r="S208" s="3784"/>
      <c r="T208" s="1172"/>
      <c r="U208" s="1172"/>
      <c r="V208" s="462"/>
      <c r="W208" s="463"/>
      <c r="X208" s="463"/>
      <c r="Y208" s="463"/>
      <c r="Z208" s="464"/>
      <c r="AA208" s="462"/>
      <c r="AB208" s="463"/>
      <c r="AC208" s="464"/>
    </row>
    <row r="209" spans="1:29" outlineLevel="2">
      <c r="A209" s="262"/>
      <c r="B209" s="4237" t="s">
        <v>601</v>
      </c>
      <c r="C209" s="4238"/>
      <c r="D209" s="459">
        <v>4348413</v>
      </c>
      <c r="E209" s="458">
        <v>1506362</v>
      </c>
      <c r="F209" s="458">
        <v>1623441</v>
      </c>
      <c r="G209" s="458">
        <v>2165137</v>
      </c>
      <c r="H209" s="625">
        <v>3017670</v>
      </c>
      <c r="I209" s="459">
        <v>3569261</v>
      </c>
      <c r="J209" s="458">
        <v>2860191</v>
      </c>
      <c r="K209" s="458">
        <v>4147235</v>
      </c>
      <c r="L209" s="458">
        <v>4491553</v>
      </c>
      <c r="M209" s="460">
        <v>4700641</v>
      </c>
      <c r="N209" s="3787"/>
      <c r="O209" s="3788"/>
      <c r="P209" s="3788"/>
      <c r="Q209" s="3788"/>
      <c r="R209" s="3793"/>
      <c r="S209" s="3784"/>
      <c r="T209" s="1172"/>
      <c r="U209" s="1172"/>
      <c r="V209" s="462"/>
      <c r="W209" s="463"/>
      <c r="X209" s="463"/>
      <c r="Y209" s="463"/>
      <c r="Z209" s="464"/>
      <c r="AA209" s="462"/>
      <c r="AB209" s="463"/>
      <c r="AC209" s="464"/>
    </row>
    <row r="210" spans="1:29" s="474" customFormat="1" outlineLevel="2">
      <c r="A210" s="262"/>
      <c r="B210" s="4237" t="s">
        <v>602</v>
      </c>
      <c r="C210" s="4238"/>
      <c r="D210" s="459"/>
      <c r="E210" s="458"/>
      <c r="F210" s="458"/>
      <c r="G210" s="458"/>
      <c r="H210" s="625"/>
      <c r="I210" s="459"/>
      <c r="J210" s="458"/>
      <c r="K210" s="458"/>
      <c r="L210" s="458"/>
      <c r="M210" s="460"/>
      <c r="N210" s="3787"/>
      <c r="O210" s="3788"/>
      <c r="P210" s="3788"/>
      <c r="Q210" s="3788"/>
      <c r="R210" s="3793"/>
      <c r="S210" s="1172"/>
      <c r="T210" s="1172"/>
      <c r="U210" s="1172"/>
      <c r="V210" s="462"/>
      <c r="W210" s="463"/>
      <c r="X210" s="463"/>
      <c r="Y210" s="463"/>
      <c r="Z210" s="464"/>
      <c r="AA210" s="462"/>
      <c r="AB210" s="463"/>
      <c r="AC210" s="464"/>
    </row>
    <row r="211" spans="1:29" s="474" customFormat="1" outlineLevel="2">
      <c r="A211" s="262"/>
      <c r="B211" s="4245" t="s">
        <v>579</v>
      </c>
      <c r="C211" s="4246"/>
      <c r="D211" s="462">
        <f>D208+D209+D210</f>
        <v>4482900</v>
      </c>
      <c r="E211" s="463">
        <f t="shared" ref="E211:M211" si="66">E208+E209+E210</f>
        <v>1552951</v>
      </c>
      <c r="F211" s="463">
        <f t="shared" si="66"/>
        <v>1673651</v>
      </c>
      <c r="G211" s="463">
        <f t="shared" si="66"/>
        <v>2232100</v>
      </c>
      <c r="H211" s="1190">
        <f t="shared" si="66"/>
        <v>3111000</v>
      </c>
      <c r="I211" s="462">
        <f t="shared" si="66"/>
        <v>3679651</v>
      </c>
      <c r="J211" s="463">
        <f t="shared" si="66"/>
        <v>2948651</v>
      </c>
      <c r="K211" s="463">
        <f t="shared" si="66"/>
        <v>4275500</v>
      </c>
      <c r="L211" s="463">
        <f t="shared" si="66"/>
        <v>4630467</v>
      </c>
      <c r="M211" s="464">
        <f t="shared" si="66"/>
        <v>4846022</v>
      </c>
      <c r="N211" s="3787"/>
      <c r="O211" s="3788"/>
      <c r="P211" s="3788"/>
      <c r="Q211" s="3788"/>
      <c r="R211" s="3793"/>
      <c r="S211" s="1172"/>
      <c r="T211" s="1172"/>
      <c r="U211" s="1172"/>
      <c r="V211" s="462">
        <f>V208+V209+V210</f>
        <v>0</v>
      </c>
      <c r="W211" s="463">
        <f t="shared" ref="W211:AC211" si="67">W208+W209+W210</f>
        <v>0</v>
      </c>
      <c r="X211" s="463">
        <f t="shared" si="67"/>
        <v>0</v>
      </c>
      <c r="Y211" s="463">
        <f t="shared" si="67"/>
        <v>0</v>
      </c>
      <c r="Z211" s="464">
        <f t="shared" si="67"/>
        <v>0</v>
      </c>
      <c r="AA211" s="462">
        <f t="shared" si="67"/>
        <v>0</v>
      </c>
      <c r="AB211" s="463">
        <f t="shared" si="67"/>
        <v>0</v>
      </c>
      <c r="AC211" s="464">
        <f t="shared" si="67"/>
        <v>0</v>
      </c>
    </row>
    <row r="212" spans="1:29" s="474" customFormat="1" outlineLevel="2">
      <c r="A212" s="262"/>
      <c r="B212" s="4237" t="s">
        <v>583</v>
      </c>
      <c r="C212" s="4238"/>
      <c r="D212" s="459">
        <f>0.07*D211</f>
        <v>313803.00000000006</v>
      </c>
      <c r="E212" s="458">
        <f>0.07*E211</f>
        <v>108706.57</v>
      </c>
      <c r="F212" s="458">
        <f t="shared" ref="F212:K212" si="68">0.07*F211</f>
        <v>117155.57</v>
      </c>
      <c r="G212" s="458">
        <f t="shared" si="68"/>
        <v>156247.00000000003</v>
      </c>
      <c r="H212" s="625">
        <f t="shared" si="68"/>
        <v>217770.00000000003</v>
      </c>
      <c r="I212" s="459">
        <f t="shared" si="68"/>
        <v>257575.57000000004</v>
      </c>
      <c r="J212" s="458">
        <f t="shared" si="68"/>
        <v>206405.57</v>
      </c>
      <c r="K212" s="458">
        <f t="shared" si="68"/>
        <v>299285</v>
      </c>
      <c r="L212" s="458">
        <v>362615</v>
      </c>
      <c r="M212" s="460">
        <v>363618</v>
      </c>
      <c r="N212" s="3787"/>
      <c r="O212" s="3788"/>
      <c r="P212" s="3788"/>
      <c r="Q212" s="3788"/>
      <c r="R212" s="3793"/>
      <c r="S212" s="1172"/>
      <c r="T212" s="1172"/>
      <c r="U212" s="1172"/>
      <c r="V212" s="462"/>
      <c r="W212" s="463"/>
      <c r="X212" s="463"/>
      <c r="Y212" s="463"/>
      <c r="Z212" s="464"/>
      <c r="AA212" s="511"/>
      <c r="AB212" s="512"/>
      <c r="AC212" s="547"/>
    </row>
    <row r="213" spans="1:29" s="474" customFormat="1" ht="12.75" customHeight="1" outlineLevel="2">
      <c r="A213" s="262"/>
      <c r="B213" s="4237" t="s">
        <v>581</v>
      </c>
      <c r="C213" s="4238"/>
      <c r="D213" s="459"/>
      <c r="E213" s="458"/>
      <c r="F213" s="458"/>
      <c r="G213" s="458"/>
      <c r="H213" s="625"/>
      <c r="I213" s="459"/>
      <c r="J213" s="458"/>
      <c r="K213" s="458"/>
      <c r="L213" s="458"/>
      <c r="M213" s="460"/>
      <c r="N213" s="3787"/>
      <c r="O213" s="3788"/>
      <c r="P213" s="3788"/>
      <c r="Q213" s="3788"/>
      <c r="R213" s="3793"/>
      <c r="S213" s="1172"/>
      <c r="T213" s="1172"/>
      <c r="U213" s="1172"/>
      <c r="V213" s="462"/>
      <c r="W213" s="463"/>
      <c r="X213" s="463"/>
      <c r="Y213" s="463"/>
      <c r="Z213" s="464"/>
      <c r="AA213" s="462"/>
      <c r="AB213" s="463"/>
      <c r="AC213" s="464"/>
    </row>
    <row r="214" spans="1:29" s="474" customFormat="1" outlineLevel="2">
      <c r="A214" s="262"/>
      <c r="B214" s="4247" t="s">
        <v>584</v>
      </c>
      <c r="C214" s="4248"/>
      <c r="D214" s="353">
        <f>D211+D212+D213</f>
        <v>4796703</v>
      </c>
      <c r="E214" s="354">
        <f t="shared" ref="E214:M214" si="69">E211+E212+E213</f>
        <v>1661657.57</v>
      </c>
      <c r="F214" s="354">
        <f t="shared" si="69"/>
        <v>1790806.57</v>
      </c>
      <c r="G214" s="354">
        <f t="shared" si="69"/>
        <v>2388347</v>
      </c>
      <c r="H214" s="626">
        <f t="shared" si="69"/>
        <v>3328770</v>
      </c>
      <c r="I214" s="353">
        <f t="shared" si="69"/>
        <v>3937226.57</v>
      </c>
      <c r="J214" s="354">
        <f t="shared" si="69"/>
        <v>3155056.57</v>
      </c>
      <c r="K214" s="354">
        <f t="shared" si="69"/>
        <v>4574785</v>
      </c>
      <c r="L214" s="354">
        <f t="shared" si="69"/>
        <v>4993082</v>
      </c>
      <c r="M214" s="450">
        <f t="shared" si="69"/>
        <v>5209640</v>
      </c>
      <c r="N214" s="3787"/>
      <c r="O214" s="3788"/>
      <c r="P214" s="3788"/>
      <c r="Q214" s="3788"/>
      <c r="R214" s="3793"/>
      <c r="S214" s="1172"/>
      <c r="T214" s="1172"/>
      <c r="U214" s="1172"/>
      <c r="V214" s="557">
        <f>V211+V212+V213</f>
        <v>0</v>
      </c>
      <c r="W214" s="554">
        <f t="shared" ref="W214:AC214" si="70">W211+W212+W213</f>
        <v>0</v>
      </c>
      <c r="X214" s="554">
        <f t="shared" si="70"/>
        <v>0</v>
      </c>
      <c r="Y214" s="554">
        <f t="shared" si="70"/>
        <v>0</v>
      </c>
      <c r="Z214" s="558">
        <f t="shared" si="70"/>
        <v>0</v>
      </c>
      <c r="AA214" s="557">
        <f t="shared" si="70"/>
        <v>0</v>
      </c>
      <c r="AB214" s="554">
        <f t="shared" si="70"/>
        <v>0</v>
      </c>
      <c r="AC214" s="558">
        <f t="shared" si="70"/>
        <v>0</v>
      </c>
    </row>
    <row r="215" spans="1:29" s="474" customFormat="1" outlineLevel="2">
      <c r="A215" s="262"/>
      <c r="B215" s="4237" t="s">
        <v>605</v>
      </c>
      <c r="C215" s="4238"/>
      <c r="D215" s="459"/>
      <c r="E215" s="458"/>
      <c r="F215" s="458"/>
      <c r="G215" s="458"/>
      <c r="H215" s="625"/>
      <c r="I215" s="459"/>
      <c r="J215" s="458"/>
      <c r="K215" s="458"/>
      <c r="L215" s="458"/>
      <c r="M215" s="460"/>
      <c r="N215" s="3787"/>
      <c r="O215" s="3788"/>
      <c r="P215" s="3788"/>
      <c r="Q215" s="3788"/>
      <c r="R215" s="3793"/>
      <c r="S215" s="1172"/>
      <c r="T215" s="1172"/>
      <c r="U215" s="1172"/>
      <c r="V215" s="462"/>
      <c r="W215" s="463"/>
      <c r="X215" s="463"/>
      <c r="Y215" s="463"/>
      <c r="Z215" s="464"/>
      <c r="AA215" s="462"/>
      <c r="AB215" s="463"/>
      <c r="AC215" s="464"/>
    </row>
    <row r="216" spans="1:29" s="474" customFormat="1" ht="13.5" outlineLevel="2" thickBot="1">
      <c r="A216" s="262"/>
      <c r="B216" s="4239" t="s">
        <v>585</v>
      </c>
      <c r="C216" s="4240"/>
      <c r="D216" s="1370">
        <f>D214-D215</f>
        <v>4796703</v>
      </c>
      <c r="E216" s="356">
        <f t="shared" ref="E216:M216" si="71">E214-E215</f>
        <v>1661657.57</v>
      </c>
      <c r="F216" s="356">
        <f t="shared" si="71"/>
        <v>1790806.57</v>
      </c>
      <c r="G216" s="356">
        <f t="shared" si="71"/>
        <v>2388347</v>
      </c>
      <c r="H216" s="627">
        <f t="shared" si="71"/>
        <v>3328770</v>
      </c>
      <c r="I216" s="1370">
        <f t="shared" si="71"/>
        <v>3937226.57</v>
      </c>
      <c r="J216" s="356">
        <f t="shared" si="71"/>
        <v>3155056.57</v>
      </c>
      <c r="K216" s="356">
        <f t="shared" si="71"/>
        <v>4574785</v>
      </c>
      <c r="L216" s="356">
        <f t="shared" si="71"/>
        <v>4993082</v>
      </c>
      <c r="M216" s="503">
        <f t="shared" si="71"/>
        <v>5209640</v>
      </c>
      <c r="N216" s="3801"/>
      <c r="O216" s="3802"/>
      <c r="P216" s="3802"/>
      <c r="Q216" s="3802"/>
      <c r="R216" s="3803"/>
      <c r="S216" s="1172"/>
      <c r="T216" s="1172"/>
      <c r="U216" s="1172"/>
      <c r="V216" s="1695">
        <f>V214-V215</f>
        <v>0</v>
      </c>
      <c r="W216" s="555">
        <f t="shared" ref="W216:AC216" si="72">W214-W215</f>
        <v>0</v>
      </c>
      <c r="X216" s="555">
        <f t="shared" si="72"/>
        <v>0</v>
      </c>
      <c r="Y216" s="555">
        <f t="shared" si="72"/>
        <v>0</v>
      </c>
      <c r="Z216" s="556">
        <f t="shared" si="72"/>
        <v>0</v>
      </c>
      <c r="AA216" s="1695">
        <f t="shared" si="72"/>
        <v>0</v>
      </c>
      <c r="AB216" s="555">
        <f t="shared" si="72"/>
        <v>0</v>
      </c>
      <c r="AC216" s="556">
        <f t="shared" si="72"/>
        <v>0</v>
      </c>
    </row>
    <row r="217" spans="1:29" s="474" customFormat="1" ht="16.5" outlineLevel="2" thickBot="1">
      <c r="A217" s="262"/>
      <c r="B217" s="737" t="s">
        <v>609</v>
      </c>
      <c r="C217" s="738"/>
      <c r="D217" s="1254"/>
      <c r="E217" s="1254"/>
      <c r="F217" s="1254"/>
      <c r="G217" s="1254"/>
      <c r="H217" s="1254"/>
      <c r="I217" s="1254"/>
      <c r="J217" s="1254"/>
      <c r="K217" s="1254"/>
      <c r="L217" s="1254"/>
      <c r="M217" s="1254"/>
      <c r="N217" s="3804"/>
      <c r="O217" s="3804"/>
      <c r="P217" s="3804"/>
      <c r="Q217" s="3804"/>
      <c r="R217" s="3805"/>
      <c r="S217" s="1172"/>
      <c r="T217" s="1172"/>
      <c r="U217" s="1172"/>
      <c r="V217" s="1253"/>
      <c r="W217" s="1254"/>
      <c r="X217" s="1254"/>
      <c r="Y217" s="1254"/>
      <c r="Z217" s="1254"/>
      <c r="AA217" s="1254"/>
      <c r="AB217" s="1254"/>
      <c r="AC217" s="1255"/>
    </row>
    <row r="218" spans="1:29" s="474" customFormat="1" outlineLevel="2">
      <c r="A218" s="262"/>
      <c r="B218" s="4241" t="s">
        <v>198</v>
      </c>
      <c r="C218" s="4242"/>
      <c r="D218" s="412">
        <f>D180-D207</f>
        <v>768</v>
      </c>
      <c r="E218" s="3542">
        <f t="shared" ref="E218:M218" si="73">E180-E207</f>
        <v>481</v>
      </c>
      <c r="F218" s="494">
        <f t="shared" si="73"/>
        <v>557</v>
      </c>
      <c r="G218" s="494">
        <f t="shared" si="73"/>
        <v>639</v>
      </c>
      <c r="H218" s="1199">
        <f t="shared" si="73"/>
        <v>629</v>
      </c>
      <c r="I218" s="412">
        <f t="shared" si="73"/>
        <v>567</v>
      </c>
      <c r="J218" s="494">
        <f t="shared" si="73"/>
        <v>563</v>
      </c>
      <c r="K218" s="494">
        <f t="shared" si="73"/>
        <v>699</v>
      </c>
      <c r="L218" s="494">
        <f t="shared" si="73"/>
        <v>439</v>
      </c>
      <c r="M218" s="3759">
        <f t="shared" si="73"/>
        <v>634</v>
      </c>
      <c r="N218" s="3798"/>
      <c r="O218" s="3799"/>
      <c r="P218" s="3799"/>
      <c r="Q218" s="3799"/>
      <c r="R218" s="3800"/>
      <c r="S218" s="1172"/>
      <c r="T218" s="1172"/>
      <c r="U218" s="1172"/>
      <c r="V218" s="1521"/>
      <c r="W218" s="453"/>
      <c r="X218" s="453"/>
      <c r="Y218" s="453"/>
      <c r="Z218" s="1530"/>
      <c r="AA218" s="1521"/>
      <c r="AB218" s="453"/>
      <c r="AC218" s="526"/>
    </row>
    <row r="219" spans="1:29" s="474" customFormat="1" ht="12.75" customHeight="1" outlineLevel="2">
      <c r="A219" s="262"/>
      <c r="B219" s="4237" t="s">
        <v>559</v>
      </c>
      <c r="C219" s="4238"/>
      <c r="D219" s="412">
        <v>23733</v>
      </c>
      <c r="E219" s="3542">
        <v>8222</v>
      </c>
      <c r="F219" s="494">
        <v>8861</v>
      </c>
      <c r="G219" s="494">
        <v>11817</v>
      </c>
      <c r="H219" s="1199">
        <v>16470</v>
      </c>
      <c r="I219" s="412">
        <v>19481</v>
      </c>
      <c r="J219" s="494">
        <v>15611</v>
      </c>
      <c r="K219" s="494">
        <v>22635</v>
      </c>
      <c r="L219" s="494">
        <v>24514</v>
      </c>
      <c r="M219" s="3759">
        <v>25655</v>
      </c>
      <c r="N219" s="3798"/>
      <c r="O219" s="3799"/>
      <c r="P219" s="3799"/>
      <c r="Q219" s="3799"/>
      <c r="R219" s="3800"/>
      <c r="S219" s="1172"/>
      <c r="T219" s="1172"/>
      <c r="U219" s="1172"/>
      <c r="V219" s="462"/>
      <c r="W219" s="463"/>
      <c r="X219" s="463"/>
      <c r="Y219" s="463"/>
      <c r="Z219" s="1190"/>
      <c r="AA219" s="462"/>
      <c r="AB219" s="463"/>
      <c r="AC219" s="464"/>
    </row>
    <row r="220" spans="1:29" s="474" customFormat="1" outlineLevel="2">
      <c r="A220" s="262"/>
      <c r="B220" s="4237" t="s">
        <v>601</v>
      </c>
      <c r="C220" s="4238"/>
      <c r="D220" s="459">
        <v>767367</v>
      </c>
      <c r="E220" s="458">
        <v>265829</v>
      </c>
      <c r="F220" s="458">
        <v>286490</v>
      </c>
      <c r="G220" s="458">
        <v>382083</v>
      </c>
      <c r="H220" s="625">
        <v>532530</v>
      </c>
      <c r="I220" s="459">
        <v>629870</v>
      </c>
      <c r="J220" s="458">
        <v>504740</v>
      </c>
      <c r="K220" s="458">
        <v>731865</v>
      </c>
      <c r="L220" s="458">
        <v>792627</v>
      </c>
      <c r="M220" s="460">
        <v>829525</v>
      </c>
      <c r="N220" s="3787"/>
      <c r="O220" s="3788"/>
      <c r="P220" s="3788"/>
      <c r="Q220" s="3788"/>
      <c r="R220" s="3793"/>
      <c r="S220" s="1172"/>
      <c r="T220" s="1172"/>
      <c r="U220" s="1172"/>
      <c r="V220" s="462"/>
      <c r="W220" s="463"/>
      <c r="X220" s="463"/>
      <c r="Y220" s="463"/>
      <c r="Z220" s="1190"/>
      <c r="AA220" s="462"/>
      <c r="AB220" s="463"/>
      <c r="AC220" s="464"/>
    </row>
    <row r="221" spans="1:29" s="474" customFormat="1" outlineLevel="2">
      <c r="A221" s="262"/>
      <c r="B221" s="4237" t="s">
        <v>602</v>
      </c>
      <c r="C221" s="4238"/>
      <c r="D221" s="459"/>
      <c r="E221" s="458"/>
      <c r="F221" s="458"/>
      <c r="G221" s="458"/>
      <c r="H221" s="625"/>
      <c r="I221" s="459"/>
      <c r="J221" s="458"/>
      <c r="K221" s="458"/>
      <c r="L221" s="458"/>
      <c r="M221" s="460"/>
      <c r="N221" s="3787"/>
      <c r="O221" s="3788"/>
      <c r="P221" s="3788"/>
      <c r="Q221" s="3788"/>
      <c r="R221" s="3793"/>
      <c r="S221" s="1172"/>
      <c r="T221" s="1172"/>
      <c r="U221" s="1172"/>
      <c r="V221" s="462"/>
      <c r="W221" s="463"/>
      <c r="X221" s="463"/>
      <c r="Y221" s="463"/>
      <c r="Z221" s="1190"/>
      <c r="AA221" s="462"/>
      <c r="AB221" s="463"/>
      <c r="AC221" s="464"/>
    </row>
    <row r="222" spans="1:29" s="474" customFormat="1" outlineLevel="2">
      <c r="A222" s="262"/>
      <c r="B222" s="4245" t="s">
        <v>579</v>
      </c>
      <c r="C222" s="4246"/>
      <c r="D222" s="462">
        <f>D219+D220+D221</f>
        <v>791100</v>
      </c>
      <c r="E222" s="463">
        <f t="shared" ref="E222:M222" si="74">E219+E220+E221</f>
        <v>274051</v>
      </c>
      <c r="F222" s="463">
        <f t="shared" si="74"/>
        <v>295351</v>
      </c>
      <c r="G222" s="463">
        <f t="shared" si="74"/>
        <v>393900</v>
      </c>
      <c r="H222" s="1190">
        <f t="shared" si="74"/>
        <v>549000</v>
      </c>
      <c r="I222" s="462">
        <f t="shared" si="74"/>
        <v>649351</v>
      </c>
      <c r="J222" s="463">
        <f t="shared" si="74"/>
        <v>520351</v>
      </c>
      <c r="K222" s="463">
        <f t="shared" si="74"/>
        <v>754500</v>
      </c>
      <c r="L222" s="463">
        <f t="shared" si="74"/>
        <v>817141</v>
      </c>
      <c r="M222" s="464">
        <f t="shared" si="74"/>
        <v>855180</v>
      </c>
      <c r="N222" s="3787"/>
      <c r="O222" s="3788"/>
      <c r="P222" s="3788"/>
      <c r="Q222" s="3788"/>
      <c r="R222" s="3793"/>
      <c r="S222" s="1172"/>
      <c r="T222" s="1172"/>
      <c r="U222" s="1172"/>
      <c r="V222" s="462">
        <f>V219+V220+V221</f>
        <v>0</v>
      </c>
      <c r="W222" s="463">
        <f t="shared" ref="W222:AC222" si="75">W219+W220+W221</f>
        <v>0</v>
      </c>
      <c r="X222" s="463">
        <f t="shared" si="75"/>
        <v>0</v>
      </c>
      <c r="Y222" s="463">
        <f t="shared" si="75"/>
        <v>0</v>
      </c>
      <c r="Z222" s="1190">
        <f t="shared" si="75"/>
        <v>0</v>
      </c>
      <c r="AA222" s="462">
        <f t="shared" si="75"/>
        <v>0</v>
      </c>
      <c r="AB222" s="463">
        <f t="shared" si="75"/>
        <v>0</v>
      </c>
      <c r="AC222" s="464">
        <f t="shared" si="75"/>
        <v>0</v>
      </c>
    </row>
    <row r="223" spans="1:29" s="474" customFormat="1" outlineLevel="2">
      <c r="A223" s="262"/>
      <c r="B223" s="4237" t="s">
        <v>583</v>
      </c>
      <c r="C223" s="4238"/>
      <c r="D223" s="459">
        <f>0.07*D222</f>
        <v>55377.000000000007</v>
      </c>
      <c r="E223" s="458">
        <f>0.07*E222</f>
        <v>19183.570000000003</v>
      </c>
      <c r="F223" s="458">
        <f t="shared" ref="F223:K223" si="76">0.07*F222</f>
        <v>20674.570000000003</v>
      </c>
      <c r="G223" s="458">
        <f t="shared" si="76"/>
        <v>27573.000000000004</v>
      </c>
      <c r="H223" s="625">
        <f t="shared" si="76"/>
        <v>38430.000000000007</v>
      </c>
      <c r="I223" s="459">
        <f t="shared" si="76"/>
        <v>45454.570000000007</v>
      </c>
      <c r="J223" s="458">
        <f t="shared" si="76"/>
        <v>36424.570000000007</v>
      </c>
      <c r="K223" s="458">
        <f t="shared" si="76"/>
        <v>52815.000000000007</v>
      </c>
      <c r="L223" s="458">
        <v>44465</v>
      </c>
      <c r="M223" s="460">
        <v>63910</v>
      </c>
      <c r="N223" s="3787"/>
      <c r="O223" s="3788"/>
      <c r="P223" s="3788"/>
      <c r="Q223" s="3788"/>
      <c r="R223" s="3793"/>
      <c r="S223" s="1172"/>
      <c r="T223" s="1172"/>
      <c r="U223" s="1172"/>
      <c r="V223" s="462"/>
      <c r="W223" s="463"/>
      <c r="X223" s="463"/>
      <c r="Y223" s="463"/>
      <c r="Z223" s="1190"/>
      <c r="AA223" s="511"/>
      <c r="AB223" s="512"/>
      <c r="AC223" s="547"/>
    </row>
    <row r="224" spans="1:29" s="474" customFormat="1" ht="12.75" customHeight="1" outlineLevel="2">
      <c r="A224" s="262"/>
      <c r="B224" s="4237" t="s">
        <v>581</v>
      </c>
      <c r="C224" s="4238"/>
      <c r="D224" s="459"/>
      <c r="E224" s="458"/>
      <c r="F224" s="458"/>
      <c r="G224" s="458"/>
      <c r="H224" s="625"/>
      <c r="I224" s="459"/>
      <c r="J224" s="458"/>
      <c r="K224" s="458"/>
      <c r="L224" s="458"/>
      <c r="M224" s="460"/>
      <c r="N224" s="3787"/>
      <c r="O224" s="3788"/>
      <c r="P224" s="3788"/>
      <c r="Q224" s="3788"/>
      <c r="R224" s="3793"/>
      <c r="S224" s="1172"/>
      <c r="T224" s="1172"/>
      <c r="U224" s="1172"/>
      <c r="V224" s="462"/>
      <c r="W224" s="463"/>
      <c r="X224" s="463"/>
      <c r="Y224" s="463"/>
      <c r="Z224" s="1190"/>
      <c r="AA224" s="462"/>
      <c r="AB224" s="463"/>
      <c r="AC224" s="464"/>
    </row>
    <row r="225" spans="1:29" s="474" customFormat="1" outlineLevel="2">
      <c r="A225" s="262"/>
      <c r="B225" s="4247" t="s">
        <v>584</v>
      </c>
      <c r="C225" s="4248"/>
      <c r="D225" s="353">
        <f>D222+D223+D224</f>
        <v>846477</v>
      </c>
      <c r="E225" s="354">
        <f t="shared" ref="E225:M225" si="77">E222+E223+E224</f>
        <v>293234.57</v>
      </c>
      <c r="F225" s="354">
        <f t="shared" si="77"/>
        <v>316025.57</v>
      </c>
      <c r="G225" s="354">
        <f t="shared" si="77"/>
        <v>421473</v>
      </c>
      <c r="H225" s="626">
        <f t="shared" si="77"/>
        <v>587430</v>
      </c>
      <c r="I225" s="353">
        <f t="shared" si="77"/>
        <v>694805.57000000007</v>
      </c>
      <c r="J225" s="354">
        <f t="shared" si="77"/>
        <v>556775.57000000007</v>
      </c>
      <c r="K225" s="354">
        <f t="shared" si="77"/>
        <v>807315</v>
      </c>
      <c r="L225" s="354">
        <f t="shared" si="77"/>
        <v>861606</v>
      </c>
      <c r="M225" s="450">
        <f t="shared" si="77"/>
        <v>919090</v>
      </c>
      <c r="N225" s="3787"/>
      <c r="O225" s="3788"/>
      <c r="P225" s="3788"/>
      <c r="Q225" s="3788"/>
      <c r="R225" s="3793"/>
      <c r="S225" s="1172"/>
      <c r="T225" s="1172"/>
      <c r="U225" s="1172"/>
      <c r="V225" s="557">
        <f>V222+V223+V224</f>
        <v>0</v>
      </c>
      <c r="W225" s="554">
        <f t="shared" ref="W225:AC225" si="78">W222+W223+W224</f>
        <v>0</v>
      </c>
      <c r="X225" s="554">
        <f t="shared" si="78"/>
        <v>0</v>
      </c>
      <c r="Y225" s="554">
        <f t="shared" si="78"/>
        <v>0</v>
      </c>
      <c r="Z225" s="558">
        <f t="shared" si="78"/>
        <v>0</v>
      </c>
      <c r="AA225" s="557">
        <f t="shared" si="78"/>
        <v>0</v>
      </c>
      <c r="AB225" s="554">
        <f t="shared" si="78"/>
        <v>0</v>
      </c>
      <c r="AC225" s="558">
        <f t="shared" si="78"/>
        <v>0</v>
      </c>
    </row>
    <row r="226" spans="1:29" s="474" customFormat="1" outlineLevel="2">
      <c r="A226" s="262"/>
      <c r="B226" s="4237" t="s">
        <v>605</v>
      </c>
      <c r="C226" s="4238"/>
      <c r="D226" s="459"/>
      <c r="E226" s="458"/>
      <c r="F226" s="458"/>
      <c r="G226" s="458"/>
      <c r="H226" s="625"/>
      <c r="I226" s="459"/>
      <c r="J226" s="458"/>
      <c r="K226" s="458"/>
      <c r="L226" s="458"/>
      <c r="M226" s="460"/>
      <c r="N226" s="3787"/>
      <c r="O226" s="3788"/>
      <c r="P226" s="3788"/>
      <c r="Q226" s="3788"/>
      <c r="R226" s="3793"/>
      <c r="S226" s="1172"/>
      <c r="T226" s="1172"/>
      <c r="U226" s="1172"/>
      <c r="V226" s="462"/>
      <c r="W226" s="463"/>
      <c r="X226" s="463"/>
      <c r="Y226" s="463"/>
      <c r="Z226" s="1190"/>
      <c r="AA226" s="462"/>
      <c r="AB226" s="463"/>
      <c r="AC226" s="464"/>
    </row>
    <row r="227" spans="1:29" s="474" customFormat="1" ht="13.5" outlineLevel="2" thickBot="1">
      <c r="A227" s="262"/>
      <c r="B227" s="4239" t="s">
        <v>585</v>
      </c>
      <c r="C227" s="4240"/>
      <c r="D227" s="1370">
        <f>D225-D226</f>
        <v>846477</v>
      </c>
      <c r="E227" s="356">
        <f t="shared" ref="E227:M227" si="79">E225-E226</f>
        <v>293234.57</v>
      </c>
      <c r="F227" s="356">
        <f t="shared" si="79"/>
        <v>316025.57</v>
      </c>
      <c r="G227" s="356">
        <f t="shared" si="79"/>
        <v>421473</v>
      </c>
      <c r="H227" s="627">
        <f t="shared" si="79"/>
        <v>587430</v>
      </c>
      <c r="I227" s="1370">
        <f t="shared" si="79"/>
        <v>694805.57000000007</v>
      </c>
      <c r="J227" s="356">
        <f t="shared" si="79"/>
        <v>556775.57000000007</v>
      </c>
      <c r="K227" s="356">
        <f t="shared" si="79"/>
        <v>807315</v>
      </c>
      <c r="L227" s="356">
        <f t="shared" si="79"/>
        <v>861606</v>
      </c>
      <c r="M227" s="503">
        <f t="shared" si="79"/>
        <v>919090</v>
      </c>
      <c r="N227" s="3801"/>
      <c r="O227" s="3802"/>
      <c r="P227" s="3802"/>
      <c r="Q227" s="3802"/>
      <c r="R227" s="3803"/>
      <c r="S227" s="1172"/>
      <c r="T227" s="1172"/>
      <c r="U227" s="1172"/>
      <c r="V227" s="1695">
        <f>V225-V226</f>
        <v>0</v>
      </c>
      <c r="W227" s="555">
        <f t="shared" ref="W227:AC227" si="80">W225-W226</f>
        <v>0</v>
      </c>
      <c r="X227" s="555">
        <f t="shared" si="80"/>
        <v>0</v>
      </c>
      <c r="Y227" s="555">
        <f t="shared" si="80"/>
        <v>0</v>
      </c>
      <c r="Z227" s="1192">
        <f t="shared" si="80"/>
        <v>0</v>
      </c>
      <c r="AA227" s="1695">
        <f t="shared" si="80"/>
        <v>0</v>
      </c>
      <c r="AB227" s="555">
        <f t="shared" si="80"/>
        <v>0</v>
      </c>
      <c r="AC227" s="556">
        <f t="shared" si="80"/>
        <v>0</v>
      </c>
    </row>
    <row r="228" spans="1:29" s="474" customFormat="1" ht="16.5" outlineLevel="2" thickBot="1">
      <c r="A228" s="262"/>
      <c r="B228" s="737" t="s">
        <v>610</v>
      </c>
      <c r="C228" s="738"/>
      <c r="D228" s="3514"/>
      <c r="E228" s="3514"/>
      <c r="F228" s="3514"/>
      <c r="G228" s="3514"/>
      <c r="H228" s="3514"/>
      <c r="I228" s="3514"/>
      <c r="J228" s="3514"/>
      <c r="K228" s="3514"/>
      <c r="L228" s="3514"/>
      <c r="M228" s="3514"/>
      <c r="N228" s="3806"/>
      <c r="O228" s="3806"/>
      <c r="P228" s="3806"/>
      <c r="Q228" s="3806"/>
      <c r="R228" s="3807"/>
      <c r="S228" s="1172"/>
      <c r="T228" s="1172"/>
      <c r="U228" s="1172"/>
      <c r="V228" s="1253"/>
      <c r="W228" s="1254"/>
      <c r="X228" s="1254"/>
      <c r="Y228" s="1254"/>
      <c r="Z228" s="1254"/>
      <c r="AA228" s="1254"/>
      <c r="AB228" s="1254"/>
      <c r="AC228" s="1255"/>
    </row>
    <row r="229" spans="1:29" s="474" customFormat="1" outlineLevel="2">
      <c r="A229" s="262"/>
      <c r="B229" s="4241" t="s">
        <v>198</v>
      </c>
      <c r="C229" s="4242"/>
      <c r="D229" s="1369">
        <v>0</v>
      </c>
      <c r="E229" s="409">
        <v>0</v>
      </c>
      <c r="F229" s="409">
        <v>0</v>
      </c>
      <c r="G229" s="409">
        <v>0</v>
      </c>
      <c r="H229" s="1164">
        <v>0</v>
      </c>
      <c r="I229" s="1369">
        <v>0</v>
      </c>
      <c r="J229" s="409">
        <v>0</v>
      </c>
      <c r="K229" s="409">
        <v>0</v>
      </c>
      <c r="L229" s="409">
        <v>0</v>
      </c>
      <c r="M229" s="505">
        <v>0</v>
      </c>
      <c r="N229" s="3808"/>
      <c r="O229" s="3809"/>
      <c r="P229" s="3809"/>
      <c r="Q229" s="3809"/>
      <c r="R229" s="3810"/>
      <c r="S229" s="1172"/>
      <c r="T229" s="1172"/>
      <c r="U229" s="1172"/>
      <c r="V229" s="1521"/>
      <c r="W229" s="453"/>
      <c r="X229" s="453"/>
      <c r="Y229" s="453"/>
      <c r="Z229" s="1530"/>
      <c r="AA229" s="1521"/>
      <c r="AB229" s="453"/>
      <c r="AC229" s="526"/>
    </row>
    <row r="230" spans="1:29" s="474" customFormat="1" ht="12.75" customHeight="1" outlineLevel="2">
      <c r="A230" s="262"/>
      <c r="B230" s="4237" t="s">
        <v>559</v>
      </c>
      <c r="C230" s="4238"/>
      <c r="D230" s="459"/>
      <c r="E230" s="458"/>
      <c r="F230" s="458"/>
      <c r="G230" s="458"/>
      <c r="H230" s="625"/>
      <c r="I230" s="459"/>
      <c r="J230" s="458"/>
      <c r="K230" s="458"/>
      <c r="L230" s="458"/>
      <c r="M230" s="460"/>
      <c r="N230" s="3794"/>
      <c r="O230" s="3788"/>
      <c r="P230" s="3788"/>
      <c r="Q230" s="3788"/>
      <c r="R230" s="3793"/>
      <c r="S230" s="1172"/>
      <c r="T230" s="1172"/>
      <c r="U230" s="1172"/>
      <c r="V230" s="462"/>
      <c r="W230" s="463"/>
      <c r="X230" s="463"/>
      <c r="Y230" s="463"/>
      <c r="Z230" s="1190"/>
      <c r="AA230" s="462"/>
      <c r="AB230" s="463"/>
      <c r="AC230" s="464"/>
    </row>
    <row r="231" spans="1:29" s="474" customFormat="1" outlineLevel="2">
      <c r="A231" s="262"/>
      <c r="B231" s="4237" t="s">
        <v>601</v>
      </c>
      <c r="C231" s="4238"/>
      <c r="D231" s="459"/>
      <c r="E231" s="458"/>
      <c r="F231" s="458"/>
      <c r="G231" s="458"/>
      <c r="H231" s="625"/>
      <c r="I231" s="459"/>
      <c r="J231" s="458"/>
      <c r="K231" s="458"/>
      <c r="L231" s="458"/>
      <c r="M231" s="460"/>
      <c r="N231" s="3794"/>
      <c r="O231" s="3788"/>
      <c r="P231" s="3788"/>
      <c r="Q231" s="3788"/>
      <c r="R231" s="3793"/>
      <c r="S231" s="1172"/>
      <c r="T231" s="1172"/>
      <c r="U231" s="1172"/>
      <c r="V231" s="462"/>
      <c r="W231" s="463"/>
      <c r="X231" s="463"/>
      <c r="Y231" s="463"/>
      <c r="Z231" s="1190"/>
      <c r="AA231" s="462"/>
      <c r="AB231" s="463"/>
      <c r="AC231" s="464"/>
    </row>
    <row r="232" spans="1:29" ht="20.25" customHeight="1" outlineLevel="1">
      <c r="A232" s="262"/>
      <c r="B232" s="4237" t="s">
        <v>602</v>
      </c>
      <c r="C232" s="4238"/>
      <c r="D232" s="459"/>
      <c r="E232" s="458"/>
      <c r="F232" s="458"/>
      <c r="G232" s="458"/>
      <c r="H232" s="625"/>
      <c r="I232" s="459"/>
      <c r="J232" s="458"/>
      <c r="K232" s="458"/>
      <c r="L232" s="458"/>
      <c r="M232" s="460"/>
      <c r="N232" s="3794"/>
      <c r="O232" s="3788"/>
      <c r="P232" s="3788"/>
      <c r="Q232" s="3788"/>
      <c r="R232" s="3793"/>
      <c r="S232" s="1172"/>
      <c r="T232" s="1172"/>
      <c r="U232" s="1172"/>
      <c r="V232" s="462"/>
      <c r="W232" s="463"/>
      <c r="X232" s="463"/>
      <c r="Y232" s="463"/>
      <c r="Z232" s="1190"/>
      <c r="AA232" s="462"/>
      <c r="AB232" s="463"/>
      <c r="AC232" s="464"/>
    </row>
    <row r="233" spans="1:29" ht="20.25" customHeight="1" outlineLevel="1">
      <c r="A233" s="262"/>
      <c r="B233" s="4245" t="s">
        <v>579</v>
      </c>
      <c r="C233" s="4246"/>
      <c r="D233" s="462">
        <f>D230+D231+D232</f>
        <v>0</v>
      </c>
      <c r="E233" s="463">
        <f t="shared" ref="E233:M233" si="81">E230+E231+E232</f>
        <v>0</v>
      </c>
      <c r="F233" s="463">
        <f t="shared" si="81"/>
        <v>0</v>
      </c>
      <c r="G233" s="463">
        <f t="shared" si="81"/>
        <v>0</v>
      </c>
      <c r="H233" s="1190">
        <f t="shared" si="81"/>
        <v>0</v>
      </c>
      <c r="I233" s="462">
        <f t="shared" si="81"/>
        <v>0</v>
      </c>
      <c r="J233" s="463">
        <f t="shared" si="81"/>
        <v>0</v>
      </c>
      <c r="K233" s="463">
        <f t="shared" si="81"/>
        <v>0</v>
      </c>
      <c r="L233" s="463">
        <f t="shared" si="81"/>
        <v>0</v>
      </c>
      <c r="M233" s="464">
        <f t="shared" si="81"/>
        <v>0</v>
      </c>
      <c r="N233" s="3794"/>
      <c r="O233" s="3788"/>
      <c r="P233" s="3788"/>
      <c r="Q233" s="3788"/>
      <c r="R233" s="3793"/>
      <c r="S233" s="1172"/>
      <c r="T233" s="1172"/>
      <c r="U233" s="1172"/>
      <c r="V233" s="462">
        <f>V230+V231+V232</f>
        <v>0</v>
      </c>
      <c r="W233" s="463">
        <f t="shared" ref="W233:AC233" si="82">W230+W231+W232</f>
        <v>0</v>
      </c>
      <c r="X233" s="463">
        <f t="shared" si="82"/>
        <v>0</v>
      </c>
      <c r="Y233" s="463">
        <f t="shared" si="82"/>
        <v>0</v>
      </c>
      <c r="Z233" s="1190">
        <f t="shared" si="82"/>
        <v>0</v>
      </c>
      <c r="AA233" s="462">
        <f t="shared" si="82"/>
        <v>0</v>
      </c>
      <c r="AB233" s="463">
        <f t="shared" si="82"/>
        <v>0</v>
      </c>
      <c r="AC233" s="464">
        <f t="shared" si="82"/>
        <v>0</v>
      </c>
    </row>
    <row r="234" spans="1:29">
      <c r="A234" s="262"/>
      <c r="B234" s="4237" t="s">
        <v>583</v>
      </c>
      <c r="C234" s="4238"/>
      <c r="D234" s="3515"/>
      <c r="E234" s="3516"/>
      <c r="F234" s="3516"/>
      <c r="G234" s="3516"/>
      <c r="H234" s="3517"/>
      <c r="I234" s="3518"/>
      <c r="J234" s="3519"/>
      <c r="K234" s="3519"/>
      <c r="L234" s="3519"/>
      <c r="M234" s="3520"/>
      <c r="N234" s="3811"/>
      <c r="O234" s="3812"/>
      <c r="P234" s="3812"/>
      <c r="Q234" s="3812"/>
      <c r="R234" s="3813"/>
      <c r="S234" s="1172"/>
      <c r="T234" s="1172"/>
      <c r="U234" s="1172"/>
      <c r="V234" s="462"/>
      <c r="W234" s="463"/>
      <c r="X234" s="463"/>
      <c r="Y234" s="463"/>
      <c r="Z234" s="1190"/>
      <c r="AA234" s="511"/>
      <c r="AB234" s="512"/>
      <c r="AC234" s="547"/>
    </row>
    <row r="235" spans="1:29" ht="12.75" customHeight="1">
      <c r="A235" s="262"/>
      <c r="B235" s="4237" t="s">
        <v>581</v>
      </c>
      <c r="C235" s="4238"/>
      <c r="D235" s="459"/>
      <c r="E235" s="458"/>
      <c r="F235" s="458"/>
      <c r="G235" s="458"/>
      <c r="H235" s="625"/>
      <c r="I235" s="459"/>
      <c r="J235" s="458"/>
      <c r="K235" s="458"/>
      <c r="L235" s="458"/>
      <c r="M235" s="460"/>
      <c r="N235" s="3794"/>
      <c r="O235" s="3788"/>
      <c r="P235" s="3788"/>
      <c r="Q235" s="3788"/>
      <c r="R235" s="3793"/>
      <c r="S235" s="1172"/>
      <c r="T235" s="1172"/>
      <c r="U235" s="1172"/>
      <c r="V235" s="462"/>
      <c r="W235" s="463"/>
      <c r="X235" s="463"/>
      <c r="Y235" s="463"/>
      <c r="Z235" s="1190"/>
      <c r="AA235" s="462"/>
      <c r="AB235" s="463"/>
      <c r="AC235" s="464"/>
    </row>
    <row r="236" spans="1:29" s="69" customFormat="1" ht="50.25" customHeight="1">
      <c r="A236" s="314"/>
      <c r="B236" s="4247" t="s">
        <v>584</v>
      </c>
      <c r="C236" s="4248"/>
      <c r="D236" s="3509">
        <f>D233+D234+D235</f>
        <v>0</v>
      </c>
      <c r="E236" s="3510">
        <f t="shared" ref="E236:M236" si="83">E233+E234+E235</f>
        <v>0</v>
      </c>
      <c r="F236" s="3510">
        <f t="shared" si="83"/>
        <v>0</v>
      </c>
      <c r="G236" s="3510">
        <f t="shared" si="83"/>
        <v>0</v>
      </c>
      <c r="H236" s="3511">
        <f t="shared" si="83"/>
        <v>0</v>
      </c>
      <c r="I236" s="3509">
        <f t="shared" si="83"/>
        <v>0</v>
      </c>
      <c r="J236" s="3510">
        <f t="shared" si="83"/>
        <v>0</v>
      </c>
      <c r="K236" s="3510">
        <f t="shared" si="83"/>
        <v>0</v>
      </c>
      <c r="L236" s="3510">
        <f t="shared" si="83"/>
        <v>0</v>
      </c>
      <c r="M236" s="3512">
        <f t="shared" si="83"/>
        <v>0</v>
      </c>
      <c r="N236" s="3814"/>
      <c r="O236" s="3815"/>
      <c r="P236" s="3815"/>
      <c r="Q236" s="3815"/>
      <c r="R236" s="3816"/>
      <c r="S236" s="1172"/>
      <c r="T236" s="1172"/>
      <c r="U236" s="1172"/>
      <c r="V236" s="557">
        <f>V233+V234+V235</f>
        <v>0</v>
      </c>
      <c r="W236" s="554">
        <f t="shared" ref="W236:AC236" si="84">W233+W234+W235</f>
        <v>0</v>
      </c>
      <c r="X236" s="554">
        <f t="shared" si="84"/>
        <v>0</v>
      </c>
      <c r="Y236" s="554">
        <f t="shared" si="84"/>
        <v>0</v>
      </c>
      <c r="Z236" s="558">
        <f t="shared" si="84"/>
        <v>0</v>
      </c>
      <c r="AA236" s="557">
        <f t="shared" si="84"/>
        <v>0</v>
      </c>
      <c r="AB236" s="554">
        <f t="shared" si="84"/>
        <v>0</v>
      </c>
      <c r="AC236" s="558">
        <f t="shared" si="84"/>
        <v>0</v>
      </c>
    </row>
    <row r="237" spans="1:29" s="78" customFormat="1" ht="32.25" customHeight="1">
      <c r="A237" s="262"/>
      <c r="B237" s="4237" t="s">
        <v>605</v>
      </c>
      <c r="C237" s="4238"/>
      <c r="D237" s="459"/>
      <c r="E237" s="458"/>
      <c r="F237" s="458"/>
      <c r="G237" s="458"/>
      <c r="H237" s="625"/>
      <c r="I237" s="459"/>
      <c r="J237" s="458"/>
      <c r="K237" s="458"/>
      <c r="L237" s="458"/>
      <c r="M237" s="460"/>
      <c r="N237" s="3794"/>
      <c r="O237" s="3788"/>
      <c r="P237" s="3788"/>
      <c r="Q237" s="3788"/>
      <c r="R237" s="3793"/>
      <c r="S237" s="1172"/>
      <c r="T237" s="1172"/>
      <c r="U237" s="1172"/>
      <c r="V237" s="462"/>
      <c r="W237" s="463"/>
      <c r="X237" s="463"/>
      <c r="Y237" s="463"/>
      <c r="Z237" s="1190"/>
      <c r="AA237" s="462"/>
      <c r="AB237" s="463"/>
      <c r="AC237" s="464"/>
    </row>
    <row r="238" spans="1:29" s="183" customFormat="1" ht="24.75" customHeight="1" thickBot="1">
      <c r="A238" s="262"/>
      <c r="B238" s="4239" t="s">
        <v>585</v>
      </c>
      <c r="C238" s="4240"/>
      <c r="D238" s="1696">
        <f>D236-D237</f>
        <v>0</v>
      </c>
      <c r="E238" s="566">
        <f t="shared" ref="E238:M238" si="85">E236-E237</f>
        <v>0</v>
      </c>
      <c r="F238" s="566">
        <f t="shared" si="85"/>
        <v>0</v>
      </c>
      <c r="G238" s="566">
        <f t="shared" si="85"/>
        <v>0</v>
      </c>
      <c r="H238" s="3513">
        <f t="shared" si="85"/>
        <v>0</v>
      </c>
      <c r="I238" s="1696">
        <f t="shared" si="85"/>
        <v>0</v>
      </c>
      <c r="J238" s="566">
        <f t="shared" si="85"/>
        <v>0</v>
      </c>
      <c r="K238" s="566">
        <f t="shared" si="85"/>
        <v>0</v>
      </c>
      <c r="L238" s="566">
        <f t="shared" si="85"/>
        <v>0</v>
      </c>
      <c r="M238" s="567">
        <f t="shared" si="85"/>
        <v>0</v>
      </c>
      <c r="N238" s="3797"/>
      <c r="O238" s="3817"/>
      <c r="P238" s="3817"/>
      <c r="Q238" s="3817"/>
      <c r="R238" s="3818"/>
      <c r="S238" s="1172"/>
      <c r="T238" s="1172"/>
      <c r="U238" s="1172"/>
      <c r="V238" s="1695">
        <f>V236-V237</f>
        <v>0</v>
      </c>
      <c r="W238" s="555">
        <f t="shared" ref="W238:AC238" si="86">W236-W237</f>
        <v>0</v>
      </c>
      <c r="X238" s="555">
        <f t="shared" si="86"/>
        <v>0</v>
      </c>
      <c r="Y238" s="555">
        <f t="shared" si="86"/>
        <v>0</v>
      </c>
      <c r="Z238" s="1192">
        <f t="shared" si="86"/>
        <v>0</v>
      </c>
      <c r="AA238" s="1695">
        <f t="shared" si="86"/>
        <v>0</v>
      </c>
      <c r="AB238" s="555">
        <f t="shared" si="86"/>
        <v>0</v>
      </c>
      <c r="AC238" s="556">
        <f t="shared" si="86"/>
        <v>0</v>
      </c>
    </row>
    <row r="239" spans="1:29" ht="15.75" customHeight="1" thickBot="1">
      <c r="A239" s="262"/>
      <c r="B239" s="737" t="s">
        <v>611</v>
      </c>
      <c r="C239" s="738"/>
      <c r="D239" s="3514"/>
      <c r="E239" s="3514"/>
      <c r="F239" s="3514"/>
      <c r="G239" s="3514"/>
      <c r="H239" s="3514"/>
      <c r="I239" s="3514"/>
      <c r="J239" s="3514"/>
      <c r="K239" s="3514"/>
      <c r="L239" s="3514"/>
      <c r="M239" s="3514"/>
      <c r="N239" s="3806"/>
      <c r="O239" s="3806"/>
      <c r="P239" s="3806"/>
      <c r="Q239" s="3806"/>
      <c r="R239" s="3807"/>
      <c r="S239" s="1172"/>
      <c r="T239" s="1172"/>
      <c r="U239" s="1172"/>
      <c r="V239" s="1253"/>
      <c r="W239" s="1254"/>
      <c r="X239" s="1254"/>
      <c r="Y239" s="1254"/>
      <c r="Z239" s="1254"/>
      <c r="AA239" s="1254"/>
      <c r="AB239" s="1254"/>
      <c r="AC239" s="1255"/>
    </row>
    <row r="240" spans="1:29" ht="15.75" customHeight="1">
      <c r="A240" s="262"/>
      <c r="B240" s="4243" t="s">
        <v>198</v>
      </c>
      <c r="C240" s="4244"/>
      <c r="D240" s="1414">
        <f>D207+D218+D229</f>
        <v>44498</v>
      </c>
      <c r="E240" s="1415">
        <f t="shared" ref="E240:M240" si="87">E207+E218+E229</f>
        <v>13540</v>
      </c>
      <c r="F240" s="1415">
        <f t="shared" si="87"/>
        <v>13674</v>
      </c>
      <c r="G240" s="1415">
        <f t="shared" si="87"/>
        <v>21128</v>
      </c>
      <c r="H240" s="1416">
        <f t="shared" si="87"/>
        <v>21783</v>
      </c>
      <c r="I240" s="1414">
        <f t="shared" si="87"/>
        <v>27058</v>
      </c>
      <c r="J240" s="1415">
        <f t="shared" si="87"/>
        <v>26313</v>
      </c>
      <c r="K240" s="1415">
        <f t="shared" si="87"/>
        <v>30736</v>
      </c>
      <c r="L240" s="1415">
        <f t="shared" si="87"/>
        <v>25254</v>
      </c>
      <c r="M240" s="1416">
        <f t="shared" si="87"/>
        <v>31987</v>
      </c>
      <c r="N240" s="3819"/>
      <c r="O240" s="3820"/>
      <c r="P240" s="3820"/>
      <c r="Q240" s="3820"/>
      <c r="R240" s="3821"/>
      <c r="S240" s="1172"/>
      <c r="T240" s="1172"/>
      <c r="U240" s="1172"/>
      <c r="V240" s="1414">
        <f t="shared" ref="V240:AC249" si="88">V207+V218+V229</f>
        <v>0</v>
      </c>
      <c r="W240" s="1415">
        <f t="shared" si="88"/>
        <v>0</v>
      </c>
      <c r="X240" s="1415">
        <f t="shared" si="88"/>
        <v>0</v>
      </c>
      <c r="Y240" s="1415">
        <f t="shared" si="88"/>
        <v>0</v>
      </c>
      <c r="Z240" s="1416">
        <f t="shared" si="88"/>
        <v>0</v>
      </c>
      <c r="AA240" s="1414">
        <f t="shared" si="88"/>
        <v>0</v>
      </c>
      <c r="AB240" s="1415">
        <f t="shared" si="88"/>
        <v>0</v>
      </c>
      <c r="AC240" s="1416">
        <f t="shared" si="88"/>
        <v>0</v>
      </c>
    </row>
    <row r="241" spans="1:29" ht="15" customHeight="1">
      <c r="A241" s="262"/>
      <c r="B241" s="4229" t="s">
        <v>559</v>
      </c>
      <c r="C241" s="4230"/>
      <c r="D241" s="259">
        <f t="shared" ref="D241:M249" si="89">D208+D219+D230</f>
        <v>158220</v>
      </c>
      <c r="E241" s="466">
        <f t="shared" si="89"/>
        <v>54811</v>
      </c>
      <c r="F241" s="466">
        <f t="shared" si="89"/>
        <v>59071</v>
      </c>
      <c r="G241" s="466">
        <f t="shared" si="89"/>
        <v>78780</v>
      </c>
      <c r="H241" s="283">
        <f t="shared" si="89"/>
        <v>109800</v>
      </c>
      <c r="I241" s="259">
        <f t="shared" si="89"/>
        <v>129871</v>
      </c>
      <c r="J241" s="466">
        <f t="shared" si="89"/>
        <v>104071</v>
      </c>
      <c r="K241" s="466">
        <f t="shared" si="89"/>
        <v>150900</v>
      </c>
      <c r="L241" s="466">
        <f t="shared" si="89"/>
        <v>163428</v>
      </c>
      <c r="M241" s="283">
        <f t="shared" si="89"/>
        <v>171036</v>
      </c>
      <c r="N241" s="3822"/>
      <c r="O241" s="3823"/>
      <c r="P241" s="3823"/>
      <c r="Q241" s="3823"/>
      <c r="R241" s="3824"/>
      <c r="S241" s="1172"/>
      <c r="T241" s="1172"/>
      <c r="U241" s="1172"/>
      <c r="V241" s="259">
        <f t="shared" si="88"/>
        <v>0</v>
      </c>
      <c r="W241" s="466">
        <f t="shared" si="88"/>
        <v>0</v>
      </c>
      <c r="X241" s="466">
        <f t="shared" si="88"/>
        <v>0</v>
      </c>
      <c r="Y241" s="466">
        <f t="shared" si="88"/>
        <v>0</v>
      </c>
      <c r="Z241" s="283">
        <f t="shared" si="88"/>
        <v>0</v>
      </c>
      <c r="AA241" s="259">
        <f t="shared" si="88"/>
        <v>0</v>
      </c>
      <c r="AB241" s="466">
        <f t="shared" si="88"/>
        <v>0</v>
      </c>
      <c r="AC241" s="283">
        <f t="shared" si="88"/>
        <v>0</v>
      </c>
    </row>
    <row r="242" spans="1:29" ht="15.75" customHeight="1">
      <c r="A242" s="262"/>
      <c r="B242" s="4229" t="s">
        <v>601</v>
      </c>
      <c r="C242" s="4230"/>
      <c r="D242" s="259">
        <f t="shared" si="89"/>
        <v>5115780</v>
      </c>
      <c r="E242" s="466">
        <f t="shared" si="89"/>
        <v>1772191</v>
      </c>
      <c r="F242" s="466">
        <f t="shared" si="89"/>
        <v>1909931</v>
      </c>
      <c r="G242" s="466">
        <f t="shared" si="89"/>
        <v>2547220</v>
      </c>
      <c r="H242" s="283">
        <f t="shared" si="89"/>
        <v>3550200</v>
      </c>
      <c r="I242" s="259">
        <f t="shared" si="89"/>
        <v>4199131</v>
      </c>
      <c r="J242" s="466">
        <f t="shared" si="89"/>
        <v>3364931</v>
      </c>
      <c r="K242" s="466">
        <f t="shared" si="89"/>
        <v>4879100</v>
      </c>
      <c r="L242" s="466">
        <f t="shared" si="89"/>
        <v>5284180</v>
      </c>
      <c r="M242" s="283">
        <f t="shared" si="89"/>
        <v>5530166</v>
      </c>
      <c r="N242" s="3822"/>
      <c r="O242" s="3823"/>
      <c r="P242" s="3823"/>
      <c r="Q242" s="3823"/>
      <c r="R242" s="3824"/>
      <c r="S242" s="1172"/>
      <c r="T242" s="1172"/>
      <c r="U242" s="1172"/>
      <c r="V242" s="259">
        <f t="shared" si="88"/>
        <v>0</v>
      </c>
      <c r="W242" s="466">
        <f t="shared" si="88"/>
        <v>0</v>
      </c>
      <c r="X242" s="466">
        <f t="shared" si="88"/>
        <v>0</v>
      </c>
      <c r="Y242" s="466">
        <f t="shared" si="88"/>
        <v>0</v>
      </c>
      <c r="Z242" s="283">
        <f t="shared" si="88"/>
        <v>0</v>
      </c>
      <c r="AA242" s="259">
        <f t="shared" si="88"/>
        <v>0</v>
      </c>
      <c r="AB242" s="466">
        <f t="shared" si="88"/>
        <v>0</v>
      </c>
      <c r="AC242" s="283">
        <f t="shared" si="88"/>
        <v>0</v>
      </c>
    </row>
    <row r="243" spans="1:29" ht="15" customHeight="1" outlineLevel="1">
      <c r="A243" s="262"/>
      <c r="B243" s="4229" t="s">
        <v>602</v>
      </c>
      <c r="C243" s="4230"/>
      <c r="D243" s="259">
        <f t="shared" si="89"/>
        <v>0</v>
      </c>
      <c r="E243" s="466">
        <f t="shared" si="89"/>
        <v>0</v>
      </c>
      <c r="F243" s="466">
        <f t="shared" si="89"/>
        <v>0</v>
      </c>
      <c r="G243" s="466">
        <f t="shared" si="89"/>
        <v>0</v>
      </c>
      <c r="H243" s="283">
        <f t="shared" si="89"/>
        <v>0</v>
      </c>
      <c r="I243" s="259">
        <f t="shared" si="89"/>
        <v>0</v>
      </c>
      <c r="J243" s="466">
        <f t="shared" si="89"/>
        <v>0</v>
      </c>
      <c r="K243" s="466">
        <f t="shared" si="89"/>
        <v>0</v>
      </c>
      <c r="L243" s="466">
        <f t="shared" si="89"/>
        <v>0</v>
      </c>
      <c r="M243" s="283">
        <f t="shared" si="89"/>
        <v>0</v>
      </c>
      <c r="N243" s="3822"/>
      <c r="O243" s="3823"/>
      <c r="P243" s="3823"/>
      <c r="Q243" s="3823"/>
      <c r="R243" s="3824"/>
      <c r="S243" s="1172"/>
      <c r="T243" s="1172"/>
      <c r="U243" s="1172"/>
      <c r="V243" s="259">
        <f t="shared" si="88"/>
        <v>0</v>
      </c>
      <c r="W243" s="466">
        <f t="shared" si="88"/>
        <v>0</v>
      </c>
      <c r="X243" s="466">
        <f t="shared" si="88"/>
        <v>0</v>
      </c>
      <c r="Y243" s="466">
        <f t="shared" si="88"/>
        <v>0</v>
      </c>
      <c r="Z243" s="283">
        <f t="shared" si="88"/>
        <v>0</v>
      </c>
      <c r="AA243" s="259">
        <f t="shared" si="88"/>
        <v>0</v>
      </c>
      <c r="AB243" s="466">
        <f t="shared" si="88"/>
        <v>0</v>
      </c>
      <c r="AC243" s="283">
        <f t="shared" si="88"/>
        <v>0</v>
      </c>
    </row>
    <row r="244" spans="1:29" ht="12.75" customHeight="1" outlineLevel="1">
      <c r="A244" s="262"/>
      <c r="B244" s="4231" t="s">
        <v>579</v>
      </c>
      <c r="C244" s="4232"/>
      <c r="D244" s="259">
        <f t="shared" si="89"/>
        <v>5274000</v>
      </c>
      <c r="E244" s="466">
        <f t="shared" si="89"/>
        <v>1827002</v>
      </c>
      <c r="F244" s="466">
        <f t="shared" si="89"/>
        <v>1969002</v>
      </c>
      <c r="G244" s="466">
        <f t="shared" si="89"/>
        <v>2626000</v>
      </c>
      <c r="H244" s="283">
        <f t="shared" si="89"/>
        <v>3660000</v>
      </c>
      <c r="I244" s="259">
        <f t="shared" si="89"/>
        <v>4329002</v>
      </c>
      <c r="J244" s="466">
        <f t="shared" si="89"/>
        <v>3469002</v>
      </c>
      <c r="K244" s="466">
        <f t="shared" si="89"/>
        <v>5030000</v>
      </c>
      <c r="L244" s="466">
        <f t="shared" si="89"/>
        <v>5447608</v>
      </c>
      <c r="M244" s="283">
        <f t="shared" si="89"/>
        <v>5701202</v>
      </c>
      <c r="N244" s="3822"/>
      <c r="O244" s="3823"/>
      <c r="P244" s="3823"/>
      <c r="Q244" s="3823"/>
      <c r="R244" s="3824"/>
      <c r="S244" s="1172"/>
      <c r="T244" s="1172"/>
      <c r="U244" s="1172"/>
      <c r="V244" s="259">
        <f t="shared" si="88"/>
        <v>0</v>
      </c>
      <c r="W244" s="466">
        <f t="shared" si="88"/>
        <v>0</v>
      </c>
      <c r="X244" s="466">
        <f t="shared" si="88"/>
        <v>0</v>
      </c>
      <c r="Y244" s="466">
        <f t="shared" si="88"/>
        <v>0</v>
      </c>
      <c r="Z244" s="283">
        <f t="shared" si="88"/>
        <v>0</v>
      </c>
      <c r="AA244" s="259">
        <f t="shared" si="88"/>
        <v>0</v>
      </c>
      <c r="AB244" s="466">
        <f t="shared" si="88"/>
        <v>0</v>
      </c>
      <c r="AC244" s="283">
        <f t="shared" si="88"/>
        <v>0</v>
      </c>
    </row>
    <row r="245" spans="1:29" ht="12.75" customHeight="1" outlineLevel="1">
      <c r="A245" s="262"/>
      <c r="B245" s="4229" t="s">
        <v>583</v>
      </c>
      <c r="C245" s="4230"/>
      <c r="D245" s="259">
        <f t="shared" si="89"/>
        <v>369180.00000000006</v>
      </c>
      <c r="E245" s="466">
        <f>E212+E223+E234</f>
        <v>127890.14000000001</v>
      </c>
      <c r="F245" s="466">
        <f t="shared" si="89"/>
        <v>137830.14000000001</v>
      </c>
      <c r="G245" s="466">
        <f t="shared" si="89"/>
        <v>183820.00000000003</v>
      </c>
      <c r="H245" s="283">
        <f t="shared" si="89"/>
        <v>256200.00000000003</v>
      </c>
      <c r="I245" s="259">
        <f t="shared" si="89"/>
        <v>303030.14</v>
      </c>
      <c r="J245" s="466">
        <f t="shared" si="89"/>
        <v>242830.14</v>
      </c>
      <c r="K245" s="466">
        <f t="shared" si="89"/>
        <v>352100</v>
      </c>
      <c r="L245" s="466">
        <f t="shared" si="89"/>
        <v>407080</v>
      </c>
      <c r="M245" s="283">
        <f t="shared" si="89"/>
        <v>427528</v>
      </c>
      <c r="N245" s="3822"/>
      <c r="O245" s="3823"/>
      <c r="P245" s="3823"/>
      <c r="Q245" s="3823"/>
      <c r="R245" s="3824"/>
      <c r="S245" s="1172"/>
      <c r="T245" s="1172"/>
      <c r="U245" s="1172"/>
      <c r="V245" s="259">
        <f t="shared" si="88"/>
        <v>0</v>
      </c>
      <c r="W245" s="466">
        <f t="shared" si="88"/>
        <v>0</v>
      </c>
      <c r="X245" s="466">
        <f t="shared" si="88"/>
        <v>0</v>
      </c>
      <c r="Y245" s="466">
        <f t="shared" si="88"/>
        <v>0</v>
      </c>
      <c r="Z245" s="283">
        <f t="shared" si="88"/>
        <v>0</v>
      </c>
      <c r="AA245" s="259">
        <f t="shared" si="88"/>
        <v>0</v>
      </c>
      <c r="AB245" s="466">
        <f t="shared" si="88"/>
        <v>0</v>
      </c>
      <c r="AC245" s="283">
        <f t="shared" si="88"/>
        <v>0</v>
      </c>
    </row>
    <row r="246" spans="1:29" ht="12.75" customHeight="1" outlineLevel="1">
      <c r="A246" s="262"/>
      <c r="B246" s="4229" t="s">
        <v>581</v>
      </c>
      <c r="C246" s="4230"/>
      <c r="D246" s="259">
        <f t="shared" si="89"/>
        <v>0</v>
      </c>
      <c r="E246" s="466">
        <f t="shared" si="89"/>
        <v>0</v>
      </c>
      <c r="F246" s="466">
        <f t="shared" si="89"/>
        <v>0</v>
      </c>
      <c r="G246" s="466">
        <f t="shared" si="89"/>
        <v>0</v>
      </c>
      <c r="H246" s="283">
        <f t="shared" si="89"/>
        <v>0</v>
      </c>
      <c r="I246" s="259">
        <f t="shared" si="89"/>
        <v>0</v>
      </c>
      <c r="J246" s="466">
        <f t="shared" si="89"/>
        <v>0</v>
      </c>
      <c r="K246" s="466">
        <f t="shared" si="89"/>
        <v>0</v>
      </c>
      <c r="L246" s="466">
        <f t="shared" si="89"/>
        <v>0</v>
      </c>
      <c r="M246" s="283">
        <f t="shared" si="89"/>
        <v>0</v>
      </c>
      <c r="N246" s="3822"/>
      <c r="O246" s="3823"/>
      <c r="P246" s="3823"/>
      <c r="Q246" s="3823"/>
      <c r="R246" s="3824"/>
      <c r="S246" s="1172"/>
      <c r="T246" s="1172"/>
      <c r="U246" s="1172"/>
      <c r="V246" s="259">
        <f t="shared" si="88"/>
        <v>0</v>
      </c>
      <c r="W246" s="466">
        <f t="shared" si="88"/>
        <v>0</v>
      </c>
      <c r="X246" s="466">
        <f t="shared" si="88"/>
        <v>0</v>
      </c>
      <c r="Y246" s="466">
        <f t="shared" si="88"/>
        <v>0</v>
      </c>
      <c r="Z246" s="283">
        <f t="shared" si="88"/>
        <v>0</v>
      </c>
      <c r="AA246" s="259">
        <f t="shared" si="88"/>
        <v>0</v>
      </c>
      <c r="AB246" s="466">
        <f t="shared" si="88"/>
        <v>0</v>
      </c>
      <c r="AC246" s="283">
        <f t="shared" si="88"/>
        <v>0</v>
      </c>
    </row>
    <row r="247" spans="1:29" ht="12.75" customHeight="1" outlineLevel="1">
      <c r="A247" s="262"/>
      <c r="B247" s="4233" t="s">
        <v>584</v>
      </c>
      <c r="C247" s="4234"/>
      <c r="D247" s="3521">
        <f t="shared" si="89"/>
        <v>5643180</v>
      </c>
      <c r="E247" s="3522">
        <f t="shared" si="89"/>
        <v>1954892.1400000001</v>
      </c>
      <c r="F247" s="3522">
        <f t="shared" si="89"/>
        <v>2106832.14</v>
      </c>
      <c r="G247" s="3522">
        <f t="shared" si="89"/>
        <v>2809820</v>
      </c>
      <c r="H247" s="3523">
        <f t="shared" si="89"/>
        <v>3916200</v>
      </c>
      <c r="I247" s="3521">
        <f t="shared" si="89"/>
        <v>4632032.1399999997</v>
      </c>
      <c r="J247" s="3522">
        <f t="shared" si="89"/>
        <v>3711832.1399999997</v>
      </c>
      <c r="K247" s="3522">
        <f t="shared" si="89"/>
        <v>5382100</v>
      </c>
      <c r="L247" s="3522">
        <f t="shared" si="89"/>
        <v>5854688</v>
      </c>
      <c r="M247" s="3523">
        <f t="shared" si="89"/>
        <v>6128730</v>
      </c>
      <c r="N247" s="3825"/>
      <c r="O247" s="3826"/>
      <c r="P247" s="3826"/>
      <c r="Q247" s="3826"/>
      <c r="R247" s="3827"/>
      <c r="S247" s="1172"/>
      <c r="T247" s="1172"/>
      <c r="U247" s="1172"/>
      <c r="V247" s="1194">
        <f t="shared" si="88"/>
        <v>0</v>
      </c>
      <c r="W247" s="559">
        <f t="shared" si="88"/>
        <v>0</v>
      </c>
      <c r="X247" s="559">
        <f t="shared" si="88"/>
        <v>0</v>
      </c>
      <c r="Y247" s="559">
        <f t="shared" si="88"/>
        <v>0</v>
      </c>
      <c r="Z247" s="1195">
        <f t="shared" si="88"/>
        <v>0</v>
      </c>
      <c r="AA247" s="1194">
        <f t="shared" si="88"/>
        <v>0</v>
      </c>
      <c r="AB247" s="559">
        <f t="shared" si="88"/>
        <v>0</v>
      </c>
      <c r="AC247" s="1195">
        <f t="shared" si="88"/>
        <v>0</v>
      </c>
    </row>
    <row r="248" spans="1:29" ht="12.75" customHeight="1" outlineLevel="1">
      <c r="A248" s="262"/>
      <c r="B248" s="4229" t="s">
        <v>605</v>
      </c>
      <c r="C248" s="4230"/>
      <c r="D248" s="259">
        <f t="shared" si="89"/>
        <v>0</v>
      </c>
      <c r="E248" s="466">
        <f t="shared" si="89"/>
        <v>0</v>
      </c>
      <c r="F248" s="466">
        <f t="shared" si="89"/>
        <v>0</v>
      </c>
      <c r="G248" s="466">
        <f t="shared" si="89"/>
        <v>0</v>
      </c>
      <c r="H248" s="283">
        <f t="shared" si="89"/>
        <v>0</v>
      </c>
      <c r="I248" s="259">
        <f t="shared" si="89"/>
        <v>0</v>
      </c>
      <c r="J248" s="466">
        <f t="shared" si="89"/>
        <v>0</v>
      </c>
      <c r="K248" s="466">
        <f t="shared" si="89"/>
        <v>0</v>
      </c>
      <c r="L248" s="466">
        <f t="shared" si="89"/>
        <v>0</v>
      </c>
      <c r="M248" s="283">
        <f t="shared" si="89"/>
        <v>0</v>
      </c>
      <c r="N248" s="3822"/>
      <c r="O248" s="3823"/>
      <c r="P248" s="3823"/>
      <c r="Q248" s="3823"/>
      <c r="R248" s="3824"/>
      <c r="S248" s="1172"/>
      <c r="T248" s="1172"/>
      <c r="U248" s="1172"/>
      <c r="V248" s="259">
        <f t="shared" si="88"/>
        <v>0</v>
      </c>
      <c r="W248" s="466">
        <f t="shared" si="88"/>
        <v>0</v>
      </c>
      <c r="X248" s="466">
        <f t="shared" si="88"/>
        <v>0</v>
      </c>
      <c r="Y248" s="466">
        <f t="shared" si="88"/>
        <v>0</v>
      </c>
      <c r="Z248" s="283">
        <f t="shared" si="88"/>
        <v>0</v>
      </c>
      <c r="AA248" s="259">
        <f t="shared" si="88"/>
        <v>0</v>
      </c>
      <c r="AB248" s="466">
        <f t="shared" si="88"/>
        <v>0</v>
      </c>
      <c r="AC248" s="283">
        <f t="shared" si="88"/>
        <v>0</v>
      </c>
    </row>
    <row r="249" spans="1:29" ht="12.75" customHeight="1" outlineLevel="1" thickBot="1">
      <c r="A249" s="262"/>
      <c r="B249" s="4235" t="s">
        <v>585</v>
      </c>
      <c r="C249" s="4236"/>
      <c r="D249" s="3524">
        <f t="shared" si="89"/>
        <v>5643180</v>
      </c>
      <c r="E249" s="3525">
        <f t="shared" si="89"/>
        <v>1954892.1400000001</v>
      </c>
      <c r="F249" s="3525">
        <f t="shared" si="89"/>
        <v>2106832.14</v>
      </c>
      <c r="G249" s="3525">
        <f t="shared" si="89"/>
        <v>2809820</v>
      </c>
      <c r="H249" s="3526">
        <f t="shared" si="89"/>
        <v>3916200</v>
      </c>
      <c r="I249" s="3524">
        <f t="shared" si="89"/>
        <v>4632032.1399999997</v>
      </c>
      <c r="J249" s="3525">
        <f t="shared" si="89"/>
        <v>3711832.1399999997</v>
      </c>
      <c r="K249" s="3525">
        <f t="shared" si="89"/>
        <v>5382100</v>
      </c>
      <c r="L249" s="3525">
        <f t="shared" si="89"/>
        <v>5854688</v>
      </c>
      <c r="M249" s="3526">
        <f t="shared" si="89"/>
        <v>6128730</v>
      </c>
      <c r="N249" s="3828"/>
      <c r="O249" s="3829"/>
      <c r="P249" s="3829"/>
      <c r="Q249" s="3829"/>
      <c r="R249" s="3830"/>
      <c r="S249" s="1172"/>
      <c r="T249" s="1172"/>
      <c r="U249" s="1172"/>
      <c r="V249" s="1697">
        <f t="shared" si="88"/>
        <v>0</v>
      </c>
      <c r="W249" s="560">
        <f t="shared" si="88"/>
        <v>0</v>
      </c>
      <c r="X249" s="560">
        <f t="shared" si="88"/>
        <v>0</v>
      </c>
      <c r="Y249" s="560">
        <f t="shared" si="88"/>
        <v>0</v>
      </c>
      <c r="Z249" s="1196">
        <f t="shared" si="88"/>
        <v>0</v>
      </c>
      <c r="AA249" s="1697">
        <f t="shared" si="88"/>
        <v>0</v>
      </c>
      <c r="AB249" s="560">
        <f t="shared" si="88"/>
        <v>0</v>
      </c>
      <c r="AC249" s="1196">
        <f t="shared" si="88"/>
        <v>0</v>
      </c>
    </row>
    <row r="250" spans="1:29" ht="12.75" customHeight="1" outlineLevel="1" thickBot="1">
      <c r="A250" s="262"/>
      <c r="B250" s="4059" t="s">
        <v>121</v>
      </c>
      <c r="C250" s="4060"/>
      <c r="D250" s="4085" t="s">
        <v>1566</v>
      </c>
      <c r="E250" s="4086"/>
      <c r="F250" s="4086"/>
      <c r="G250" s="4086"/>
      <c r="H250" s="4086"/>
      <c r="I250" s="4268" t="s">
        <v>1566</v>
      </c>
      <c r="J250" s="4268"/>
      <c r="K250" s="4268"/>
      <c r="L250" s="4269" t="s">
        <v>2095</v>
      </c>
      <c r="M250" s="4269"/>
      <c r="N250" s="4269"/>
      <c r="O250" s="4269"/>
      <c r="P250" s="4269"/>
      <c r="Q250" s="4269"/>
      <c r="R250" s="4269"/>
      <c r="S250" s="1172"/>
      <c r="T250" s="1172"/>
      <c r="U250" s="1172"/>
      <c r="V250" s="1663"/>
      <c r="W250" s="1644"/>
      <c r="X250" s="1644"/>
      <c r="Y250" s="1644"/>
      <c r="Z250" s="1644"/>
      <c r="AA250" s="1644"/>
      <c r="AB250" s="1644"/>
      <c r="AC250" s="1647"/>
    </row>
    <row r="251" spans="1:29" ht="12.75" customHeight="1" outlineLevel="1" thickBot="1">
      <c r="A251" s="262"/>
      <c r="B251" s="184"/>
      <c r="C251" s="184"/>
      <c r="D251" s="185"/>
      <c r="E251" s="185"/>
      <c r="F251" s="185"/>
      <c r="G251" s="185"/>
      <c r="H251" s="185"/>
      <c r="I251" s="185"/>
      <c r="J251" s="185"/>
      <c r="K251" s="185"/>
      <c r="L251" s="185"/>
      <c r="M251" s="185"/>
      <c r="N251" s="489"/>
      <c r="O251" s="262"/>
      <c r="P251" s="262"/>
      <c r="Q251" s="262"/>
      <c r="R251" s="262"/>
      <c r="S251" s="1172"/>
      <c r="T251" s="1172"/>
      <c r="U251" s="1172"/>
      <c r="V251" s="1172"/>
      <c r="W251" s="1172"/>
      <c r="X251" s="1172"/>
      <c r="Y251" s="1172"/>
      <c r="Z251" s="1172"/>
      <c r="AA251" s="1172"/>
      <c r="AB251" s="1172"/>
      <c r="AC251" s="1172"/>
    </row>
    <row r="252" spans="1:29" ht="13.5" customHeight="1" outlineLevel="1" thickBot="1">
      <c r="A252" s="262"/>
      <c r="B252" s="2760" t="s">
        <v>613</v>
      </c>
      <c r="C252" s="2760"/>
      <c r="D252" s="1259"/>
      <c r="E252" s="1259"/>
      <c r="F252" s="1259"/>
      <c r="G252" s="1259"/>
      <c r="H252" s="1259"/>
      <c r="I252" s="1259"/>
      <c r="J252" s="1259"/>
      <c r="K252" s="1259"/>
      <c r="L252" s="1259"/>
      <c r="M252" s="1260"/>
      <c r="N252" s="1172"/>
      <c r="O252" s="1172"/>
      <c r="P252" s="1172"/>
      <c r="Q252" s="1172"/>
      <c r="R252" s="1172"/>
      <c r="S252" s="1172"/>
      <c r="T252" s="1172"/>
      <c r="U252" s="1172"/>
      <c r="V252" s="1172"/>
      <c r="W252" s="1172"/>
      <c r="X252" s="1172"/>
      <c r="Y252" s="1172"/>
      <c r="Z252" s="1172"/>
      <c r="AA252" s="1172"/>
      <c r="AB252" s="1172"/>
      <c r="AC252" s="1172"/>
    </row>
    <row r="253" spans="1:29" s="474" customFormat="1" ht="15" customHeight="1" outlineLevel="1">
      <c r="A253" s="262"/>
      <c r="B253" s="4223"/>
      <c r="C253" s="4224"/>
      <c r="D253" s="4073" t="s">
        <v>36</v>
      </c>
      <c r="E253" s="3997"/>
      <c r="F253" s="3997"/>
      <c r="G253" s="3997"/>
      <c r="H253" s="3997"/>
      <c r="I253" s="4074" t="s">
        <v>37</v>
      </c>
      <c r="J253" s="4075"/>
      <c r="K253" s="4075"/>
      <c r="L253" s="4075"/>
      <c r="M253" s="4082"/>
      <c r="N253" s="1172"/>
      <c r="O253" s="1172"/>
      <c r="P253" s="1172"/>
      <c r="Q253" s="1172"/>
      <c r="R253" s="1172"/>
      <c r="S253" s="1172"/>
      <c r="T253" s="1172"/>
      <c r="U253" s="1172"/>
      <c r="V253" s="1172"/>
      <c r="W253" s="1172"/>
      <c r="X253" s="1172"/>
      <c r="Y253" s="1172"/>
      <c r="Z253" s="1172"/>
      <c r="AA253" s="1172"/>
      <c r="AB253" s="1172"/>
      <c r="AC253" s="1172"/>
    </row>
    <row r="254" spans="1:29" s="474" customFormat="1" ht="12.75" customHeight="1" outlineLevel="1">
      <c r="A254" s="262"/>
      <c r="B254" s="4225"/>
      <c r="C254" s="4226"/>
      <c r="D254" s="3985" t="str">
        <f>CONCATENATE("$0's, real ",dms_DollarReal)</f>
        <v>$0's, real December 2017</v>
      </c>
      <c r="E254" s="3986"/>
      <c r="F254" s="3986"/>
      <c r="G254" s="3986"/>
      <c r="H254" s="3986"/>
      <c r="I254" s="3986"/>
      <c r="J254" s="3986"/>
      <c r="K254" s="3986"/>
      <c r="L254" s="3986"/>
      <c r="M254" s="4030"/>
      <c r="N254" s="1172"/>
      <c r="O254" s="1172"/>
      <c r="P254" s="1172"/>
      <c r="Q254" s="1172"/>
      <c r="R254" s="1172"/>
      <c r="S254" s="1172"/>
      <c r="T254" s="1172"/>
      <c r="U254" s="1172"/>
      <c r="V254" s="1172"/>
      <c r="W254" s="1172"/>
      <c r="X254" s="1172"/>
      <c r="Y254" s="1172"/>
      <c r="Z254" s="1172"/>
      <c r="AA254" s="1172"/>
      <c r="AB254" s="1172"/>
      <c r="AC254" s="1172"/>
    </row>
    <row r="255" spans="1:29" s="474" customFormat="1" ht="12.75" customHeight="1" outlineLevel="1">
      <c r="A255" s="262"/>
      <c r="B255" s="4225"/>
      <c r="C255" s="4226"/>
      <c r="D255" s="3985" t="s">
        <v>74</v>
      </c>
      <c r="E255" s="3986"/>
      <c r="F255" s="3986"/>
      <c r="G255" s="3986"/>
      <c r="H255" s="3986"/>
      <c r="I255" s="3986"/>
      <c r="J255" s="3986"/>
      <c r="K255" s="3986"/>
      <c r="L255" s="3986"/>
      <c r="M255" s="4030"/>
      <c r="N255" s="1172"/>
      <c r="O255" s="1172"/>
      <c r="P255" s="1172"/>
      <c r="Q255" s="1172"/>
      <c r="R255" s="1172"/>
      <c r="S255" s="1172"/>
      <c r="T255" s="1172"/>
      <c r="U255" s="1172"/>
      <c r="V255" s="1172"/>
      <c r="W255" s="1172"/>
      <c r="X255" s="1172"/>
      <c r="Y255" s="1172"/>
      <c r="Z255" s="1172"/>
      <c r="AA255" s="1172"/>
      <c r="AB255" s="1172"/>
      <c r="AC255" s="1172"/>
    </row>
    <row r="256" spans="1:29" s="474" customFormat="1" ht="12.75" customHeight="1" outlineLevel="1" thickBot="1">
      <c r="A256" s="262"/>
      <c r="B256" s="4227"/>
      <c r="C256" s="4228"/>
      <c r="D256" s="1438">
        <f t="array" ref="D256:H256">PRCP</f>
        <v>2008</v>
      </c>
      <c r="E256" s="342">
        <v>2009</v>
      </c>
      <c r="F256" s="342">
        <v>2010</v>
      </c>
      <c r="G256" s="342">
        <v>2011</v>
      </c>
      <c r="H256" s="342">
        <v>2012</v>
      </c>
      <c r="I256" s="344">
        <f>CRCP_y1</f>
        <v>2013</v>
      </c>
      <c r="J256" s="344">
        <f>CRCP_y2</f>
        <v>2014</v>
      </c>
      <c r="K256" s="344">
        <f>CRCP_y3</f>
        <v>2015</v>
      </c>
      <c r="L256" s="344">
        <f>CRCP_y4</f>
        <v>2016</v>
      </c>
      <c r="M256" s="542">
        <f>CRCP_y5</f>
        <v>2017</v>
      </c>
      <c r="N256" s="1172"/>
      <c r="O256" s="1172"/>
      <c r="P256" s="1172"/>
      <c r="Q256" s="1172"/>
      <c r="R256" s="1172"/>
      <c r="S256" s="1172"/>
      <c r="T256" s="1172"/>
      <c r="U256" s="1172"/>
      <c r="V256" s="1172"/>
      <c r="W256" s="1172"/>
      <c r="X256" s="1172"/>
      <c r="Y256" s="1172"/>
      <c r="Z256" s="1172"/>
      <c r="AA256" s="1172"/>
      <c r="AB256" s="1172"/>
      <c r="AC256" s="1172"/>
    </row>
    <row r="257" spans="1:29" s="474" customFormat="1" ht="12.75" customHeight="1" outlineLevel="1">
      <c r="A257" s="262"/>
      <c r="B257" s="4217" t="s">
        <v>1866</v>
      </c>
      <c r="C257" s="552" t="s">
        <v>559</v>
      </c>
      <c r="D257" s="3527"/>
      <c r="E257" s="494"/>
      <c r="F257" s="494"/>
      <c r="G257" s="494"/>
      <c r="H257" s="506"/>
      <c r="I257" s="412">
        <v>1380260.8677221257</v>
      </c>
      <c r="J257" s="494">
        <v>730639.57545049593</v>
      </c>
      <c r="K257" s="494">
        <v>734258.94025087485</v>
      </c>
      <c r="L257" s="494">
        <v>614169.79396660021</v>
      </c>
      <c r="M257" s="506">
        <v>599250.99361225602</v>
      </c>
      <c r="N257" s="551"/>
      <c r="O257" s="551"/>
      <c r="P257" s="551"/>
      <c r="Q257" s="551"/>
      <c r="R257" s="262"/>
      <c r="S257" s="1172"/>
      <c r="T257" s="1172"/>
      <c r="U257" s="1172"/>
      <c r="V257" s="1172"/>
      <c r="W257" s="1172"/>
      <c r="X257" s="1172"/>
      <c r="Y257" s="1172"/>
      <c r="Z257" s="1172"/>
      <c r="AA257" s="1172"/>
      <c r="AB257" s="1172"/>
      <c r="AC257" s="1172"/>
    </row>
    <row r="258" spans="1:29" s="474" customFormat="1" ht="12.75" customHeight="1" outlineLevel="1">
      <c r="A258" s="262"/>
      <c r="B258" s="4218"/>
      <c r="C258" s="492" t="s">
        <v>558</v>
      </c>
      <c r="D258" s="459"/>
      <c r="E258" s="458"/>
      <c r="F258" s="458"/>
      <c r="G258" s="458"/>
      <c r="H258" s="460"/>
      <c r="I258" s="459">
        <v>1013350.2737141063</v>
      </c>
      <c r="J258" s="458">
        <v>550900.54485861002</v>
      </c>
      <c r="K258" s="458">
        <v>543567.58344996744</v>
      </c>
      <c r="L258" s="458">
        <v>458921.87556739605</v>
      </c>
      <c r="M258" s="460">
        <v>445189.28726295871</v>
      </c>
      <c r="N258" s="551"/>
      <c r="O258" s="551"/>
      <c r="P258" s="551"/>
      <c r="Q258" s="551"/>
      <c r="R258" s="262"/>
      <c r="S258" s="1172"/>
      <c r="T258" s="1172"/>
      <c r="U258" s="1172"/>
      <c r="V258" s="1172"/>
      <c r="W258" s="1172"/>
      <c r="X258" s="1172"/>
      <c r="Y258" s="1172"/>
      <c r="Z258" s="1172"/>
      <c r="AA258" s="1172"/>
      <c r="AB258" s="1172"/>
      <c r="AC258" s="1172"/>
    </row>
    <row r="259" spans="1:29" s="474" customFormat="1" ht="12.75" customHeight="1" outlineLevel="1">
      <c r="A259" s="262"/>
      <c r="B259" s="4218"/>
      <c r="C259" s="492" t="s">
        <v>578</v>
      </c>
      <c r="D259" s="459"/>
      <c r="E259" s="458"/>
      <c r="F259" s="458"/>
      <c r="G259" s="458"/>
      <c r="H259" s="460"/>
      <c r="I259" s="459">
        <v>62927.690891983606</v>
      </c>
      <c r="J259" s="458">
        <v>52694.8318205041</v>
      </c>
      <c r="K259" s="458">
        <v>39987.164274436225</v>
      </c>
      <c r="L259" s="458">
        <v>40501.620802936734</v>
      </c>
      <c r="M259" s="460">
        <v>35383.080940949789</v>
      </c>
      <c r="N259" s="551"/>
      <c r="O259" s="551"/>
      <c r="P259" s="551"/>
      <c r="Q259" s="551"/>
      <c r="R259" s="262"/>
      <c r="S259" s="1172"/>
      <c r="T259" s="1172"/>
      <c r="U259" s="1172"/>
      <c r="V259" s="1172"/>
      <c r="W259" s="1172"/>
      <c r="X259" s="1172"/>
      <c r="Y259" s="1172"/>
      <c r="Z259" s="1172"/>
      <c r="AA259" s="1172"/>
      <c r="AB259" s="1172"/>
      <c r="AC259" s="1172"/>
    </row>
    <row r="260" spans="1:29" s="474" customFormat="1" ht="12.75" customHeight="1" outlineLevel="1">
      <c r="A260" s="262"/>
      <c r="B260" s="4218"/>
      <c r="C260" s="493" t="s">
        <v>579</v>
      </c>
      <c r="D260" s="462"/>
      <c r="E260" s="463"/>
      <c r="F260" s="463"/>
      <c r="G260" s="463"/>
      <c r="H260" s="464"/>
      <c r="I260" s="462">
        <v>2456538.8323282157</v>
      </c>
      <c r="J260" s="463">
        <v>1334234.9521296101</v>
      </c>
      <c r="K260" s="463">
        <v>1317813.6879752784</v>
      </c>
      <c r="L260" s="463">
        <v>1113593.2903369332</v>
      </c>
      <c r="M260" s="464">
        <v>1079823.3618161646</v>
      </c>
      <c r="N260" s="551"/>
      <c r="O260" s="551"/>
      <c r="P260" s="551"/>
      <c r="Q260" s="551"/>
      <c r="R260" s="262"/>
      <c r="S260" s="1172"/>
      <c r="T260" s="1172"/>
      <c r="U260" s="1172"/>
      <c r="V260" s="1172"/>
      <c r="W260" s="1172"/>
      <c r="X260" s="1172"/>
      <c r="Y260" s="1172"/>
      <c r="Z260" s="1172"/>
      <c r="AA260" s="1172"/>
      <c r="AB260" s="1172"/>
      <c r="AC260" s="1172"/>
    </row>
    <row r="261" spans="1:29" s="474" customFormat="1" ht="12.75" customHeight="1" outlineLevel="1">
      <c r="A261" s="262"/>
      <c r="B261" s="4218"/>
      <c r="C261" s="492" t="s">
        <v>583</v>
      </c>
      <c r="D261" s="459"/>
      <c r="E261" s="458"/>
      <c r="F261" s="458"/>
      <c r="G261" s="458"/>
      <c r="H261" s="460"/>
      <c r="I261" s="459">
        <v>379157.78769837396</v>
      </c>
      <c r="J261" s="458">
        <v>198992.03289706443</v>
      </c>
      <c r="K261" s="458">
        <v>194127.96797697377</v>
      </c>
      <c r="L261" s="458">
        <v>182280.90487881674</v>
      </c>
      <c r="M261" s="460">
        <v>167280.23773498918</v>
      </c>
      <c r="N261" s="551"/>
      <c r="O261" s="551"/>
      <c r="P261" s="551"/>
      <c r="Q261" s="551"/>
      <c r="R261" s="262"/>
      <c r="S261" s="1172"/>
      <c r="T261" s="1172"/>
      <c r="U261" s="1172"/>
      <c r="V261" s="1172"/>
      <c r="W261" s="1172"/>
      <c r="X261" s="1172"/>
      <c r="Y261" s="1172"/>
      <c r="Z261" s="1172"/>
      <c r="AA261" s="1172"/>
      <c r="AB261" s="1172"/>
      <c r="AC261" s="1172"/>
    </row>
    <row r="262" spans="1:29" s="474" customFormat="1" ht="13.5" customHeight="1" outlineLevel="1">
      <c r="A262" s="262"/>
      <c r="B262" s="4218"/>
      <c r="C262" s="492" t="s">
        <v>581</v>
      </c>
      <c r="D262" s="459"/>
      <c r="E262" s="458"/>
      <c r="F262" s="458"/>
      <c r="G262" s="458"/>
      <c r="H262" s="460"/>
      <c r="I262" s="459"/>
      <c r="J262" s="458"/>
      <c r="K262" s="458"/>
      <c r="L262" s="458"/>
      <c r="M262" s="460"/>
      <c r="N262" s="551"/>
      <c r="O262" s="551"/>
      <c r="P262" s="551"/>
      <c r="Q262" s="551"/>
      <c r="R262" s="262"/>
      <c r="S262" s="1172"/>
      <c r="T262" s="1172"/>
      <c r="U262" s="1172"/>
      <c r="V262" s="1172"/>
      <c r="W262" s="1172"/>
      <c r="X262" s="1172"/>
      <c r="Y262" s="1172"/>
      <c r="Z262" s="1172"/>
      <c r="AA262" s="1172"/>
      <c r="AB262" s="1172"/>
      <c r="AC262" s="1172"/>
    </row>
    <row r="263" spans="1:29" s="474" customFormat="1" ht="15" customHeight="1" outlineLevel="1">
      <c r="A263" s="262"/>
      <c r="B263" s="4218"/>
      <c r="C263" s="561" t="s">
        <v>584</v>
      </c>
      <c r="D263" s="3509"/>
      <c r="E263" s="3510"/>
      <c r="F263" s="3510"/>
      <c r="G263" s="3510"/>
      <c r="H263" s="3511"/>
      <c r="I263" s="3509">
        <v>2835696.6200265898</v>
      </c>
      <c r="J263" s="3510">
        <v>1533226.9850266746</v>
      </c>
      <c r="K263" s="3510">
        <v>1511941.6559522522</v>
      </c>
      <c r="L263" s="3510">
        <v>1295874.19521575</v>
      </c>
      <c r="M263" s="3511">
        <v>1247103.5995511538</v>
      </c>
      <c r="N263" s="551"/>
      <c r="O263" s="551"/>
      <c r="P263" s="551"/>
      <c r="Q263" s="551"/>
      <c r="R263" s="262"/>
      <c r="S263" s="1172"/>
      <c r="T263" s="1172"/>
      <c r="U263" s="1172"/>
      <c r="V263" s="1172"/>
      <c r="W263" s="1172"/>
      <c r="X263" s="1172"/>
      <c r="Y263" s="1172"/>
      <c r="Z263" s="1172"/>
      <c r="AA263" s="1172"/>
      <c r="AB263" s="1172"/>
      <c r="AC263" s="1172"/>
    </row>
    <row r="264" spans="1:29" s="474" customFormat="1" ht="12.75" customHeight="1" outlineLevel="1">
      <c r="A264" s="262"/>
      <c r="B264" s="4218"/>
      <c r="C264" s="492" t="s">
        <v>605</v>
      </c>
      <c r="D264" s="459"/>
      <c r="E264" s="458"/>
      <c r="F264" s="458"/>
      <c r="G264" s="458"/>
      <c r="H264" s="460"/>
      <c r="I264" s="459"/>
      <c r="J264" s="458"/>
      <c r="K264" s="458"/>
      <c r="L264" s="458"/>
      <c r="M264" s="460"/>
      <c r="N264" s="551"/>
      <c r="O264" s="551"/>
      <c r="P264" s="551"/>
      <c r="Q264" s="551"/>
      <c r="R264" s="262"/>
      <c r="S264" s="1172"/>
      <c r="T264" s="1172"/>
      <c r="U264" s="1172"/>
      <c r="V264" s="1172"/>
      <c r="W264" s="1172"/>
      <c r="X264" s="1172"/>
      <c r="Y264" s="1172"/>
      <c r="Z264" s="1172"/>
      <c r="AA264" s="1172"/>
      <c r="AB264" s="1172"/>
      <c r="AC264" s="1172"/>
    </row>
    <row r="265" spans="1:29" s="474" customFormat="1" ht="12.75" customHeight="1" outlineLevel="1" thickBot="1">
      <c r="A265" s="262"/>
      <c r="B265" s="4219"/>
      <c r="C265" s="562" t="s">
        <v>585</v>
      </c>
      <c r="D265" s="1696"/>
      <c r="E265" s="566"/>
      <c r="F265" s="566"/>
      <c r="G265" s="566"/>
      <c r="H265" s="567"/>
      <c r="I265" s="1696">
        <f>I263-I264</f>
        <v>2835696.6200265898</v>
      </c>
      <c r="J265" s="566">
        <f t="shared" ref="J265:M265" si="90">J263-J264</f>
        <v>1533226.9850266746</v>
      </c>
      <c r="K265" s="566">
        <f t="shared" si="90"/>
        <v>1511941.6559522522</v>
      </c>
      <c r="L265" s="566">
        <f t="shared" si="90"/>
        <v>1295874.19521575</v>
      </c>
      <c r="M265" s="567">
        <f t="shared" si="90"/>
        <v>1247103.5995511538</v>
      </c>
      <c r="N265" s="550"/>
      <c r="O265" s="550"/>
      <c r="P265" s="550"/>
      <c r="Q265" s="550"/>
      <c r="R265" s="262"/>
      <c r="S265" s="1172"/>
      <c r="T265" s="1172"/>
      <c r="U265" s="1172"/>
      <c r="V265" s="1172"/>
      <c r="W265" s="1172"/>
      <c r="X265" s="1172"/>
      <c r="Y265" s="1172"/>
      <c r="Z265" s="1172"/>
      <c r="AA265" s="1172"/>
      <c r="AB265" s="1172"/>
      <c r="AC265" s="1172"/>
    </row>
    <row r="266" spans="1:29" s="474" customFormat="1" ht="12.75" customHeight="1" outlineLevel="1">
      <c r="A266" s="262"/>
      <c r="B266" s="4217" t="s">
        <v>1867</v>
      </c>
      <c r="C266" s="552" t="s">
        <v>559</v>
      </c>
      <c r="D266" s="412"/>
      <c r="E266" s="494"/>
      <c r="F266" s="494"/>
      <c r="G266" s="494"/>
      <c r="H266" s="506"/>
      <c r="I266" s="412">
        <v>2255.6045809329876</v>
      </c>
      <c r="J266" s="494">
        <v>2862.3894250785625</v>
      </c>
      <c r="K266" s="494">
        <v>2413.2956019808098</v>
      </c>
      <c r="L266" s="494">
        <v>3001.2324872117347</v>
      </c>
      <c r="M266" s="506">
        <v>3254.310546035133</v>
      </c>
      <c r="N266" s="551"/>
      <c r="O266" s="551"/>
      <c r="P266" s="551"/>
      <c r="Q266" s="551"/>
      <c r="R266" s="262"/>
      <c r="S266" s="1172"/>
      <c r="T266" s="1172"/>
      <c r="U266" s="1172"/>
      <c r="V266" s="1172"/>
      <c r="W266" s="1172"/>
      <c r="X266" s="1172"/>
      <c r="Y266" s="1172"/>
      <c r="Z266" s="1172"/>
      <c r="AA266" s="1172"/>
      <c r="AB266" s="1172"/>
      <c r="AC266" s="1172"/>
    </row>
    <row r="267" spans="1:29" s="474" customFormat="1" ht="12.75" customHeight="1" outlineLevel="1">
      <c r="A267" s="262"/>
      <c r="B267" s="4218"/>
      <c r="C267" s="492" t="s">
        <v>558</v>
      </c>
      <c r="D267" s="459"/>
      <c r="E267" s="458"/>
      <c r="F267" s="458"/>
      <c r="G267" s="458"/>
      <c r="H267" s="460"/>
      <c r="I267" s="459">
        <v>25939.452680729362</v>
      </c>
      <c r="J267" s="458">
        <v>32917.47838840347</v>
      </c>
      <c r="K267" s="458">
        <v>27752.899422779316</v>
      </c>
      <c r="L267" s="458">
        <v>34514.173602934956</v>
      </c>
      <c r="M267" s="460">
        <v>37424.571279404037</v>
      </c>
      <c r="N267" s="551"/>
      <c r="O267" s="551"/>
      <c r="P267" s="551"/>
      <c r="Q267" s="551"/>
      <c r="R267" s="262"/>
      <c r="S267" s="1172"/>
      <c r="T267" s="1172"/>
      <c r="U267" s="1172"/>
      <c r="V267" s="1172"/>
      <c r="W267" s="1172"/>
      <c r="X267" s="1172"/>
      <c r="Y267" s="1172"/>
      <c r="Z267" s="1172"/>
      <c r="AA267" s="1172"/>
      <c r="AB267" s="1172"/>
      <c r="AC267" s="1172"/>
    </row>
    <row r="268" spans="1:29" s="474" customFormat="1" ht="12.75" customHeight="1" outlineLevel="1">
      <c r="A268" s="262"/>
      <c r="B268" s="4218"/>
      <c r="C268" s="492" t="s">
        <v>578</v>
      </c>
      <c r="D268" s="459"/>
      <c r="E268" s="458"/>
      <c r="F268" s="458"/>
      <c r="G268" s="458"/>
      <c r="H268" s="460"/>
      <c r="I268" s="459">
        <v>137658.22074811617</v>
      </c>
      <c r="J268" s="458">
        <v>174689.94285405931</v>
      </c>
      <c r="K268" s="458">
        <v>147282.01100324059</v>
      </c>
      <c r="L268" s="458">
        <v>183163.45326365734</v>
      </c>
      <c r="M268" s="460">
        <v>198608.65832420299</v>
      </c>
      <c r="N268" s="551"/>
      <c r="O268" s="551"/>
      <c r="P268" s="551"/>
      <c r="Q268" s="551"/>
      <c r="R268" s="262"/>
      <c r="S268" s="1172"/>
      <c r="T268" s="1172"/>
      <c r="U268" s="1172"/>
      <c r="V268" s="1172"/>
      <c r="W268" s="1172"/>
      <c r="X268" s="1172"/>
      <c r="Y268" s="1172"/>
      <c r="Z268" s="1172"/>
      <c r="AA268" s="1172"/>
      <c r="AB268" s="1172"/>
      <c r="AC268" s="1172"/>
    </row>
    <row r="269" spans="1:29" s="474" customFormat="1" ht="12.75" customHeight="1" outlineLevel="1">
      <c r="A269" s="262"/>
      <c r="B269" s="4218"/>
      <c r="C269" s="493" t="s">
        <v>579</v>
      </c>
      <c r="D269" s="462"/>
      <c r="E269" s="463"/>
      <c r="F269" s="463"/>
      <c r="G269" s="463"/>
      <c r="H269" s="464"/>
      <c r="I269" s="462">
        <v>165853.27800977853</v>
      </c>
      <c r="J269" s="463">
        <v>210469.81066754134</v>
      </c>
      <c r="K269" s="463">
        <v>177448.20602800071</v>
      </c>
      <c r="L269" s="463">
        <v>220678.85935380403</v>
      </c>
      <c r="M269" s="464">
        <v>239287.54014964215</v>
      </c>
      <c r="N269" s="551"/>
      <c r="O269" s="551"/>
      <c r="P269" s="551"/>
      <c r="Q269" s="551"/>
      <c r="R269" s="262"/>
      <c r="S269" s="1172"/>
      <c r="T269" s="1172"/>
      <c r="U269" s="1172"/>
      <c r="V269" s="1172"/>
      <c r="W269" s="1172"/>
      <c r="X269" s="1172"/>
      <c r="Y269" s="1172"/>
      <c r="Z269" s="1172"/>
      <c r="AA269" s="1172"/>
      <c r="AB269" s="1172"/>
      <c r="AC269" s="1172"/>
    </row>
    <row r="270" spans="1:29" s="474" customFormat="1" ht="12.75" customHeight="1" outlineLevel="1">
      <c r="A270" s="262"/>
      <c r="B270" s="4218"/>
      <c r="C270" s="492" t="s">
        <v>583</v>
      </c>
      <c r="D270" s="459"/>
      <c r="E270" s="458"/>
      <c r="F270" s="458"/>
      <c r="G270" s="458"/>
      <c r="H270" s="460"/>
      <c r="I270" s="459">
        <v>25598.847103553162</v>
      </c>
      <c r="J270" s="458">
        <v>31390.135164234427</v>
      </c>
      <c r="K270" s="458">
        <v>26140.00747730994</v>
      </c>
      <c r="L270" s="458">
        <v>36122.29215072385</v>
      </c>
      <c r="M270" s="460">
        <v>37069.096686266661</v>
      </c>
      <c r="N270" s="551"/>
      <c r="O270" s="551"/>
      <c r="P270" s="551"/>
      <c r="Q270" s="551"/>
      <c r="R270" s="262"/>
      <c r="S270" s="1172"/>
      <c r="T270" s="1172"/>
      <c r="U270" s="1172"/>
      <c r="V270" s="1172"/>
      <c r="W270" s="1172"/>
      <c r="X270" s="1172"/>
      <c r="Y270" s="1172"/>
      <c r="Z270" s="1172"/>
      <c r="AA270" s="1172"/>
      <c r="AB270" s="1172"/>
      <c r="AC270" s="1172"/>
    </row>
    <row r="271" spans="1:29" s="474" customFormat="1" ht="12.75" customHeight="1" outlineLevel="1">
      <c r="A271" s="262"/>
      <c r="B271" s="4218"/>
      <c r="C271" s="492" t="s">
        <v>581</v>
      </c>
      <c r="D271" s="459"/>
      <c r="E271" s="458"/>
      <c r="F271" s="458"/>
      <c r="G271" s="458"/>
      <c r="H271" s="460"/>
      <c r="I271" s="459"/>
      <c r="J271" s="458"/>
      <c r="K271" s="458"/>
      <c r="L271" s="458"/>
      <c r="M271" s="460"/>
      <c r="N271" s="551"/>
      <c r="O271" s="551"/>
      <c r="P271" s="551"/>
      <c r="Q271" s="551"/>
      <c r="R271" s="262"/>
      <c r="S271" s="1172"/>
      <c r="T271" s="1172"/>
      <c r="U271" s="1172"/>
      <c r="V271" s="1172"/>
      <c r="W271" s="1172"/>
      <c r="X271" s="1172"/>
      <c r="Y271" s="1172"/>
      <c r="Z271" s="1172"/>
      <c r="AA271" s="1172"/>
      <c r="AB271" s="1172"/>
      <c r="AC271" s="1172"/>
    </row>
    <row r="272" spans="1:29" s="474" customFormat="1" ht="13.5" customHeight="1" outlineLevel="1">
      <c r="A272" s="262"/>
      <c r="B272" s="4218"/>
      <c r="C272" s="561" t="s">
        <v>584</v>
      </c>
      <c r="D272" s="3509"/>
      <c r="E272" s="3510"/>
      <c r="F272" s="3510"/>
      <c r="G272" s="3510"/>
      <c r="H272" s="3511"/>
      <c r="I272" s="3509">
        <v>191452.12511333168</v>
      </c>
      <c r="J272" s="3510">
        <v>241859.94583177578</v>
      </c>
      <c r="K272" s="3510">
        <v>203588.21350531065</v>
      </c>
      <c r="L272" s="3510">
        <v>256801.15150452789</v>
      </c>
      <c r="M272" s="3511">
        <v>276356.63683590881</v>
      </c>
      <c r="N272" s="551"/>
      <c r="O272" s="551"/>
      <c r="P272" s="551"/>
      <c r="Q272" s="551"/>
      <c r="R272" s="262"/>
      <c r="S272" s="1172"/>
      <c r="T272" s="1172"/>
      <c r="U272" s="1172"/>
      <c r="V272" s="1172"/>
      <c r="W272" s="1172"/>
      <c r="X272" s="1172"/>
      <c r="Y272" s="1172"/>
      <c r="Z272" s="1172"/>
      <c r="AA272" s="1172"/>
      <c r="AB272" s="1172"/>
      <c r="AC272" s="1172"/>
    </row>
    <row r="273" spans="1:30" s="474" customFormat="1">
      <c r="A273" s="262"/>
      <c r="B273" s="4218"/>
      <c r="C273" s="492" t="s">
        <v>605</v>
      </c>
      <c r="D273" s="459"/>
      <c r="E273" s="458"/>
      <c r="F273" s="458"/>
      <c r="G273" s="458"/>
      <c r="H273" s="460"/>
      <c r="I273" s="459"/>
      <c r="J273" s="458"/>
      <c r="K273" s="458"/>
      <c r="L273" s="458"/>
      <c r="M273" s="460"/>
      <c r="N273" s="551"/>
      <c r="O273" s="551"/>
      <c r="P273" s="551"/>
      <c r="Q273" s="551"/>
      <c r="R273" s="262"/>
      <c r="S273" s="1172"/>
      <c r="T273" s="1172"/>
      <c r="U273" s="1172"/>
      <c r="V273" s="1172"/>
      <c r="W273" s="1172"/>
      <c r="X273" s="1172"/>
      <c r="Y273" s="1172"/>
      <c r="Z273" s="1172"/>
      <c r="AA273" s="1172"/>
      <c r="AB273" s="1172"/>
      <c r="AC273" s="1172"/>
    </row>
    <row r="274" spans="1:30" s="69" customFormat="1" ht="13.5" thickBot="1">
      <c r="A274" s="314"/>
      <c r="B274" s="4219"/>
      <c r="C274" s="562" t="s">
        <v>585</v>
      </c>
      <c r="D274" s="1696"/>
      <c r="E274" s="566"/>
      <c r="F274" s="566"/>
      <c r="G274" s="566"/>
      <c r="H274" s="567"/>
      <c r="I274" s="1696">
        <f>I272-I273</f>
        <v>191452.12511333168</v>
      </c>
      <c r="J274" s="566">
        <f t="shared" ref="J274" si="91">J272-J273</f>
        <v>241859.94583177578</v>
      </c>
      <c r="K274" s="566">
        <f t="shared" ref="K274" si="92">K272-K273</f>
        <v>203588.21350531065</v>
      </c>
      <c r="L274" s="566">
        <f t="shared" ref="L274" si="93">L272-L273</f>
        <v>256801.15150452789</v>
      </c>
      <c r="M274" s="567">
        <f t="shared" ref="M274" si="94">M272-M273</f>
        <v>276356.63683590881</v>
      </c>
      <c r="N274" s="550"/>
      <c r="O274" s="550"/>
      <c r="P274" s="550"/>
      <c r="Q274" s="550"/>
      <c r="R274" s="262"/>
      <c r="S274" s="1172"/>
      <c r="T274" s="1172"/>
      <c r="U274" s="1172"/>
      <c r="V274" s="1172"/>
      <c r="W274" s="1172"/>
      <c r="X274" s="1172"/>
      <c r="Y274" s="1172"/>
      <c r="Z274" s="1172"/>
      <c r="AA274" s="1172"/>
      <c r="AB274" s="1172"/>
      <c r="AC274" s="1172"/>
    </row>
    <row r="275" spans="1:30" s="78" customFormat="1">
      <c r="A275" s="262"/>
      <c r="B275" s="4217" t="s">
        <v>1868</v>
      </c>
      <c r="C275" s="552" t="s">
        <v>559</v>
      </c>
      <c r="D275" s="412"/>
      <c r="E275" s="494"/>
      <c r="F275" s="494"/>
      <c r="G275" s="494"/>
      <c r="H275" s="506"/>
      <c r="I275" s="412">
        <v>114614.63849378767</v>
      </c>
      <c r="J275" s="494">
        <v>135725.94696795524</v>
      </c>
      <c r="K275" s="494">
        <v>138127.02053405982</v>
      </c>
      <c r="L275" s="494">
        <v>146688.42002393788</v>
      </c>
      <c r="M275" s="506">
        <v>137451.70853611457</v>
      </c>
      <c r="N275" s="551"/>
      <c r="O275" s="551"/>
      <c r="P275" s="551"/>
      <c r="Q275" s="551"/>
      <c r="R275" s="262"/>
      <c r="S275" s="1172"/>
      <c r="T275" s="1172"/>
      <c r="U275" s="1172"/>
      <c r="V275" s="1172"/>
      <c r="W275" s="1172"/>
      <c r="X275" s="1172"/>
      <c r="Y275" s="1172"/>
      <c r="Z275" s="1172"/>
      <c r="AA275" s="1172"/>
      <c r="AB275" s="1172"/>
      <c r="AC275" s="1172"/>
    </row>
    <row r="276" spans="1:30" s="183" customFormat="1">
      <c r="A276" s="262"/>
      <c r="B276" s="4218"/>
      <c r="C276" s="492" t="s">
        <v>558</v>
      </c>
      <c r="D276" s="459"/>
      <c r="E276" s="458"/>
      <c r="F276" s="458"/>
      <c r="G276" s="458"/>
      <c r="H276" s="460"/>
      <c r="I276" s="459">
        <v>1222291.9148916327</v>
      </c>
      <c r="J276" s="458">
        <v>2019457.8717295977</v>
      </c>
      <c r="K276" s="458">
        <v>1678386.3321688205</v>
      </c>
      <c r="L276" s="458">
        <v>1732868.0115105154</v>
      </c>
      <c r="M276" s="460">
        <v>1722834.0654310074</v>
      </c>
      <c r="N276" s="551"/>
      <c r="O276" s="551"/>
      <c r="P276" s="551"/>
      <c r="Q276" s="551"/>
      <c r="R276" s="262"/>
      <c r="S276" s="1172"/>
      <c r="T276" s="1172"/>
      <c r="U276" s="1172"/>
      <c r="V276" s="1172"/>
      <c r="W276" s="1172"/>
      <c r="X276" s="1172"/>
      <c r="Y276" s="1172"/>
      <c r="Z276" s="1172"/>
      <c r="AA276" s="1172"/>
      <c r="AB276" s="1172"/>
      <c r="AC276" s="1172"/>
      <c r="AD276"/>
    </row>
    <row r="277" spans="1:30">
      <c r="A277" s="262"/>
      <c r="B277" s="4218"/>
      <c r="C277" s="492" t="s">
        <v>578</v>
      </c>
      <c r="D277" s="459"/>
      <c r="E277" s="458"/>
      <c r="F277" s="458"/>
      <c r="G277" s="458"/>
      <c r="H277" s="460"/>
      <c r="I277" s="459">
        <v>1064623.5085091784</v>
      </c>
      <c r="J277" s="458">
        <v>1813693.3798378399</v>
      </c>
      <c r="K277" s="458">
        <v>1484186.0572280025</v>
      </c>
      <c r="L277" s="458">
        <v>1526167.4773829097</v>
      </c>
      <c r="M277" s="460">
        <v>1526982.3255026345</v>
      </c>
      <c r="N277" s="551"/>
      <c r="O277" s="551"/>
      <c r="P277" s="551"/>
      <c r="Q277" s="551"/>
      <c r="R277" s="262"/>
      <c r="S277" s="1172"/>
      <c r="T277" s="1172"/>
      <c r="U277" s="1172"/>
      <c r="V277" s="1172"/>
      <c r="W277" s="1172"/>
      <c r="X277" s="1172"/>
      <c r="Y277" s="1172"/>
      <c r="Z277" s="1172"/>
      <c r="AA277" s="1172"/>
      <c r="AB277" s="1172"/>
      <c r="AC277" s="1172"/>
      <c r="AD277"/>
    </row>
    <row r="278" spans="1:30">
      <c r="A278" s="262"/>
      <c r="B278" s="4218"/>
      <c r="C278" s="493" t="s">
        <v>579</v>
      </c>
      <c r="D278" s="462"/>
      <c r="E278" s="463"/>
      <c r="F278" s="463"/>
      <c r="G278" s="463"/>
      <c r="H278" s="464"/>
      <c r="I278" s="462">
        <v>2401530.0618945989</v>
      </c>
      <c r="J278" s="463">
        <v>3968877.198535393</v>
      </c>
      <c r="K278" s="463">
        <v>3300699.409930883</v>
      </c>
      <c r="L278" s="463">
        <v>3405723.9089173628</v>
      </c>
      <c r="M278" s="464">
        <v>3387268.0994697567</v>
      </c>
      <c r="N278" s="551"/>
      <c r="O278" s="551"/>
      <c r="P278" s="551"/>
      <c r="Q278" s="551"/>
      <c r="R278" s="262"/>
      <c r="S278" s="1172"/>
      <c r="T278" s="1172"/>
      <c r="U278" s="1172"/>
      <c r="V278" s="1172"/>
      <c r="W278" s="1172"/>
      <c r="X278" s="1172"/>
      <c r="Y278" s="1172"/>
      <c r="Z278" s="1172"/>
      <c r="AA278" s="1172"/>
      <c r="AB278" s="1172"/>
      <c r="AC278" s="1172"/>
      <c r="AD278"/>
    </row>
    <row r="279" spans="1:30">
      <c r="A279" s="262"/>
      <c r="B279" s="4218"/>
      <c r="C279" s="492" t="s">
        <v>583</v>
      </c>
      <c r="D279" s="459"/>
      <c r="E279" s="458"/>
      <c r="F279" s="458"/>
      <c r="G279" s="458"/>
      <c r="H279" s="460"/>
      <c r="I279" s="459">
        <v>370667.38509323768</v>
      </c>
      <c r="J279" s="458">
        <v>591930.93449904129</v>
      </c>
      <c r="K279" s="458">
        <v>486228.11798013351</v>
      </c>
      <c r="L279" s="458">
        <v>557473.2186982258</v>
      </c>
      <c r="M279" s="460">
        <v>524736.76064799854</v>
      </c>
      <c r="N279" s="551"/>
      <c r="O279" s="551"/>
      <c r="P279" s="551"/>
      <c r="Q279" s="551"/>
      <c r="R279" s="262"/>
      <c r="S279" s="1172"/>
      <c r="T279" s="1172"/>
      <c r="U279" s="1172"/>
      <c r="V279" s="1172"/>
      <c r="W279" s="1172"/>
      <c r="X279" s="1172"/>
      <c r="Y279" s="1172"/>
      <c r="Z279" s="1172"/>
      <c r="AA279" s="1172"/>
      <c r="AB279" s="1172"/>
      <c r="AC279" s="1172"/>
      <c r="AD279"/>
    </row>
    <row r="280" spans="1:30">
      <c r="A280" s="262"/>
      <c r="B280" s="4218"/>
      <c r="C280" s="492" t="s">
        <v>581</v>
      </c>
      <c r="D280" s="459"/>
      <c r="E280" s="458"/>
      <c r="F280" s="458"/>
      <c r="G280" s="458"/>
      <c r="H280" s="460"/>
      <c r="I280" s="459">
        <v>0</v>
      </c>
      <c r="J280" s="458">
        <v>0</v>
      </c>
      <c r="K280" s="458">
        <v>0</v>
      </c>
      <c r="L280" s="458">
        <v>0</v>
      </c>
      <c r="M280" s="460">
        <v>0</v>
      </c>
      <c r="N280" s="551"/>
      <c r="O280" s="551"/>
      <c r="P280" s="551"/>
      <c r="Q280" s="551"/>
      <c r="R280" s="262"/>
      <c r="S280" s="1172"/>
      <c r="T280" s="1172"/>
      <c r="U280" s="1172"/>
      <c r="V280" s="1172"/>
      <c r="W280" s="1172"/>
      <c r="X280" s="1172"/>
      <c r="Y280" s="1172"/>
      <c r="Z280" s="1172"/>
      <c r="AA280" s="1172"/>
      <c r="AB280" s="1172"/>
      <c r="AC280" s="1172"/>
      <c r="AD280"/>
    </row>
    <row r="281" spans="1:30" s="474" customFormat="1">
      <c r="A281" s="262"/>
      <c r="B281" s="4218"/>
      <c r="C281" s="561" t="s">
        <v>584</v>
      </c>
      <c r="D281" s="3509"/>
      <c r="E281" s="3510"/>
      <c r="F281" s="3510"/>
      <c r="G281" s="3510"/>
      <c r="H281" s="3511"/>
      <c r="I281" s="3509">
        <v>2772197.4469878366</v>
      </c>
      <c r="J281" s="3510">
        <v>4560808.1330344342</v>
      </c>
      <c r="K281" s="3510">
        <v>3786927.5279110167</v>
      </c>
      <c r="L281" s="3510">
        <v>3963197.1276155887</v>
      </c>
      <c r="M281" s="3511">
        <v>3912004.8601177554</v>
      </c>
      <c r="N281" s="551"/>
      <c r="O281" s="551"/>
      <c r="P281" s="551"/>
      <c r="Q281" s="551"/>
      <c r="R281" s="262"/>
      <c r="S281" s="1172"/>
      <c r="T281" s="1172"/>
      <c r="U281" s="1172"/>
      <c r="V281" s="1172"/>
      <c r="W281" s="1172"/>
      <c r="X281" s="1172"/>
      <c r="Y281" s="1172"/>
      <c r="Z281" s="1172"/>
      <c r="AA281" s="1172"/>
      <c r="AB281" s="1172"/>
      <c r="AC281" s="1172"/>
      <c r="AD281"/>
    </row>
    <row r="282" spans="1:30" outlineLevel="1">
      <c r="A282" s="262"/>
      <c r="B282" s="4218"/>
      <c r="C282" s="492" t="s">
        <v>605</v>
      </c>
      <c r="D282" s="459"/>
      <c r="E282" s="458"/>
      <c r="F282" s="458"/>
      <c r="G282" s="458"/>
      <c r="H282" s="460"/>
      <c r="I282" s="459"/>
      <c r="J282" s="458"/>
      <c r="K282" s="458"/>
      <c r="L282" s="458"/>
      <c r="M282" s="460"/>
      <c r="N282" s="551"/>
      <c r="O282" s="551"/>
      <c r="P282" s="551"/>
      <c r="Q282" s="551"/>
      <c r="R282" s="262"/>
      <c r="S282" s="1172"/>
      <c r="T282" s="1172"/>
      <c r="U282" s="1172"/>
      <c r="V282" s="1172"/>
      <c r="W282" s="1172"/>
      <c r="X282" s="1172"/>
      <c r="Y282" s="1172"/>
      <c r="Z282" s="1172"/>
      <c r="AA282" s="1172"/>
      <c r="AB282" s="1172"/>
      <c r="AC282" s="1172"/>
      <c r="AD282"/>
    </row>
    <row r="283" spans="1:30" ht="13.5" outlineLevel="1" thickBot="1">
      <c r="A283" s="262"/>
      <c r="B283" s="4219"/>
      <c r="C283" s="562" t="s">
        <v>585</v>
      </c>
      <c r="D283" s="1696"/>
      <c r="E283" s="566"/>
      <c r="F283" s="566"/>
      <c r="G283" s="566"/>
      <c r="H283" s="567"/>
      <c r="I283" s="1696">
        <f>I281-I282</f>
        <v>2772197.4469878366</v>
      </c>
      <c r="J283" s="566">
        <f t="shared" ref="J283" si="95">J281-J282</f>
        <v>4560808.1330344342</v>
      </c>
      <c r="K283" s="566">
        <f t="shared" ref="K283" si="96">K281-K282</f>
        <v>3786927.5279110167</v>
      </c>
      <c r="L283" s="566">
        <f t="shared" ref="L283" si="97">L281-L282</f>
        <v>3963197.1276155887</v>
      </c>
      <c r="M283" s="567">
        <f t="shared" ref="M283" si="98">M281-M282</f>
        <v>3912004.8601177554</v>
      </c>
      <c r="N283" s="550"/>
      <c r="O283" s="550"/>
      <c r="P283" s="550"/>
      <c r="Q283" s="550"/>
      <c r="R283" s="262"/>
      <c r="S283" s="1172"/>
      <c r="T283" s="1172"/>
      <c r="U283" s="1172"/>
      <c r="V283" s="1172"/>
      <c r="W283" s="1172"/>
      <c r="X283" s="1172"/>
      <c r="Y283" s="1172"/>
      <c r="Z283" s="1172"/>
      <c r="AA283" s="1172"/>
      <c r="AB283" s="1172"/>
      <c r="AC283" s="1172"/>
      <c r="AD283"/>
    </row>
    <row r="284" spans="1:30" outlineLevel="1">
      <c r="A284" s="262"/>
      <c r="B284" s="4217" t="s">
        <v>1869</v>
      </c>
      <c r="C284" s="552" t="s">
        <v>559</v>
      </c>
      <c r="D284" s="412"/>
      <c r="E284" s="494"/>
      <c r="F284" s="494"/>
      <c r="G284" s="494"/>
      <c r="H284" s="506"/>
      <c r="I284" s="412">
        <v>20977.902864365169</v>
      </c>
      <c r="J284" s="494">
        <v>24215.79945182566</v>
      </c>
      <c r="K284" s="494">
        <v>24769.208934481136</v>
      </c>
      <c r="L284" s="494">
        <v>25135.429127587879</v>
      </c>
      <c r="M284" s="506">
        <v>28500.231489403599</v>
      </c>
      <c r="N284" s="550"/>
      <c r="O284" s="550"/>
      <c r="P284" s="550"/>
      <c r="Q284" s="550"/>
      <c r="R284" s="262"/>
      <c r="S284" s="1172"/>
      <c r="T284" s="1172"/>
      <c r="U284" s="1172"/>
      <c r="V284" s="1172"/>
      <c r="W284" s="1172"/>
      <c r="X284" s="1172"/>
      <c r="Y284" s="1172"/>
      <c r="Z284" s="1172"/>
      <c r="AA284" s="1172"/>
      <c r="AB284" s="1172"/>
      <c r="AC284" s="1172"/>
      <c r="AD284"/>
    </row>
    <row r="285" spans="1:30" outlineLevel="1">
      <c r="A285" s="262"/>
      <c r="B285" s="4218"/>
      <c r="C285" s="492" t="s">
        <v>558</v>
      </c>
      <c r="D285" s="459"/>
      <c r="E285" s="458"/>
      <c r="F285" s="458"/>
      <c r="G285" s="458"/>
      <c r="H285" s="460"/>
      <c r="I285" s="459">
        <v>328653.81154172093</v>
      </c>
      <c r="J285" s="458">
        <v>379380.858078602</v>
      </c>
      <c r="K285" s="458">
        <v>388050.93997353781</v>
      </c>
      <c r="L285" s="458">
        <v>393788.38966554339</v>
      </c>
      <c r="M285" s="460">
        <v>446503.62666732306</v>
      </c>
      <c r="N285" s="550"/>
      <c r="O285" s="550"/>
      <c r="P285" s="550"/>
      <c r="Q285" s="550"/>
      <c r="R285" s="262"/>
      <c r="S285" s="1172"/>
      <c r="T285" s="1172"/>
      <c r="U285" s="1172"/>
      <c r="V285" s="1172"/>
      <c r="W285" s="1172"/>
      <c r="X285" s="1172"/>
      <c r="Y285" s="1172"/>
      <c r="Z285" s="1172"/>
      <c r="AA285" s="1172"/>
      <c r="AB285" s="1172"/>
      <c r="AC285" s="1172"/>
      <c r="AD285"/>
    </row>
    <row r="286" spans="1:30" outlineLevel="1">
      <c r="A286" s="262"/>
      <c r="B286" s="4218"/>
      <c r="C286" s="492" t="s">
        <v>578</v>
      </c>
      <c r="D286" s="459"/>
      <c r="E286" s="458"/>
      <c r="F286" s="458"/>
      <c r="G286" s="458"/>
      <c r="H286" s="460"/>
      <c r="I286" s="459">
        <v>116543.9048020287</v>
      </c>
      <c r="J286" s="458">
        <v>134532.21917680922</v>
      </c>
      <c r="K286" s="458">
        <v>137606.71630267298</v>
      </c>
      <c r="L286" s="458">
        <v>139641.27293104379</v>
      </c>
      <c r="M286" s="460">
        <v>158334.61938557558</v>
      </c>
      <c r="N286" s="550"/>
      <c r="O286" s="550"/>
      <c r="P286" s="550"/>
      <c r="Q286" s="550"/>
      <c r="R286" s="262"/>
      <c r="S286" s="1172"/>
      <c r="T286" s="1172"/>
      <c r="U286" s="1172"/>
      <c r="V286" s="1172"/>
      <c r="W286" s="1172"/>
      <c r="X286" s="1172"/>
      <c r="Y286" s="1172"/>
      <c r="Z286" s="1172"/>
      <c r="AA286" s="1172"/>
      <c r="AB286" s="1172"/>
      <c r="AC286" s="1172"/>
      <c r="AD286"/>
    </row>
    <row r="287" spans="1:30" outlineLevel="1">
      <c r="A287" s="262"/>
      <c r="B287" s="4218"/>
      <c r="C287" s="493" t="s">
        <v>579</v>
      </c>
      <c r="D287" s="462"/>
      <c r="E287" s="463"/>
      <c r="F287" s="463"/>
      <c r="G287" s="463"/>
      <c r="H287" s="464"/>
      <c r="I287" s="462">
        <v>466175.6192081148</v>
      </c>
      <c r="J287" s="463">
        <v>538128.87670723686</v>
      </c>
      <c r="K287" s="463">
        <v>550426.86521069193</v>
      </c>
      <c r="L287" s="463">
        <v>558565.09172417503</v>
      </c>
      <c r="M287" s="464">
        <v>633338.47754230222</v>
      </c>
      <c r="N287" s="550"/>
      <c r="O287" s="550"/>
      <c r="P287" s="550"/>
      <c r="Q287" s="550"/>
      <c r="R287" s="262"/>
      <c r="S287" s="1172"/>
      <c r="T287" s="1172"/>
      <c r="U287" s="1172"/>
      <c r="V287" s="1172"/>
      <c r="W287" s="1172"/>
      <c r="X287" s="1172"/>
      <c r="Y287" s="1172"/>
      <c r="Z287" s="1172"/>
      <c r="AA287" s="1172"/>
      <c r="AB287" s="1172"/>
      <c r="AC287" s="1172"/>
      <c r="AD287"/>
    </row>
    <row r="288" spans="1:30" outlineLevel="1">
      <c r="A288" s="262"/>
      <c r="B288" s="4218"/>
      <c r="C288" s="492" t="s">
        <v>583</v>
      </c>
      <c r="D288" s="459"/>
      <c r="E288" s="458"/>
      <c r="F288" s="458"/>
      <c r="G288" s="458"/>
      <c r="H288" s="460"/>
      <c r="I288" s="459">
        <v>71952.502493252876</v>
      </c>
      <c r="J288" s="458">
        <v>80258.247593999869</v>
      </c>
      <c r="K288" s="458">
        <v>81083.729694338806</v>
      </c>
      <c r="L288" s="458">
        <v>91429.924404803285</v>
      </c>
      <c r="M288" s="460">
        <v>98113.279297646033</v>
      </c>
      <c r="N288" s="550"/>
      <c r="O288" s="550"/>
      <c r="P288" s="550"/>
      <c r="Q288" s="550"/>
      <c r="R288" s="262"/>
      <c r="S288" s="1172"/>
      <c r="T288" s="1172"/>
      <c r="U288" s="1172"/>
      <c r="V288" s="1172"/>
      <c r="W288" s="1172"/>
      <c r="X288" s="1172"/>
      <c r="Y288" s="1172"/>
      <c r="Z288" s="1172"/>
      <c r="AA288" s="1172"/>
      <c r="AB288" s="1172"/>
      <c r="AC288" s="1172"/>
      <c r="AD288"/>
    </row>
    <row r="289" spans="1:30">
      <c r="A289" s="262"/>
      <c r="B289" s="4218"/>
      <c r="C289" s="492" t="s">
        <v>581</v>
      </c>
      <c r="D289" s="459"/>
      <c r="E289" s="458"/>
      <c r="F289" s="458"/>
      <c r="G289" s="458"/>
      <c r="H289" s="460"/>
      <c r="I289" s="459"/>
      <c r="J289" s="458"/>
      <c r="K289" s="458"/>
      <c r="L289" s="458"/>
      <c r="M289" s="460"/>
      <c r="N289" s="550"/>
      <c r="O289" s="550"/>
      <c r="P289" s="550"/>
      <c r="Q289" s="550"/>
      <c r="R289" s="262"/>
      <c r="S289" s="1172"/>
      <c r="T289" s="1172"/>
      <c r="U289" s="1172"/>
      <c r="V289" s="1172"/>
      <c r="W289" s="1172"/>
      <c r="X289" s="1172"/>
      <c r="Y289" s="1172"/>
      <c r="Z289" s="1172"/>
      <c r="AA289" s="1172"/>
      <c r="AB289" s="1172"/>
      <c r="AC289" s="1172"/>
      <c r="AD289"/>
    </row>
    <row r="290" spans="1:30" s="78" customFormat="1">
      <c r="A290" s="262"/>
      <c r="B290" s="4218"/>
      <c r="C290" s="561" t="s">
        <v>584</v>
      </c>
      <c r="D290" s="3509"/>
      <c r="E290" s="3510"/>
      <c r="F290" s="3510"/>
      <c r="G290" s="3510"/>
      <c r="H290" s="3511"/>
      <c r="I290" s="3509">
        <v>538128.12170136767</v>
      </c>
      <c r="J290" s="3510">
        <v>618387.1243012367</v>
      </c>
      <c r="K290" s="3510">
        <v>631510.59490503068</v>
      </c>
      <c r="L290" s="3510">
        <v>649995.01612897834</v>
      </c>
      <c r="M290" s="3511">
        <v>731451.75683994824</v>
      </c>
      <c r="N290" s="550"/>
      <c r="O290" s="550"/>
      <c r="P290" s="550"/>
      <c r="Q290" s="550"/>
      <c r="R290" s="262"/>
      <c r="S290" s="1172"/>
      <c r="T290" s="1172"/>
      <c r="U290" s="1172"/>
      <c r="V290" s="1172"/>
      <c r="W290" s="1172"/>
      <c r="X290" s="1172"/>
      <c r="Y290" s="1172"/>
      <c r="Z290" s="1172"/>
      <c r="AA290" s="1172"/>
      <c r="AB290" s="1172"/>
      <c r="AC290" s="1172"/>
      <c r="AD290"/>
    </row>
    <row r="291" spans="1:30" s="183" customFormat="1">
      <c r="A291" s="262"/>
      <c r="B291" s="4218"/>
      <c r="C291" s="492" t="s">
        <v>605</v>
      </c>
      <c r="D291" s="459"/>
      <c r="E291" s="458"/>
      <c r="F291" s="458"/>
      <c r="G291" s="458"/>
      <c r="H291" s="460"/>
      <c r="I291" s="459"/>
      <c r="J291" s="458"/>
      <c r="K291" s="458"/>
      <c r="L291" s="458"/>
      <c r="M291" s="460"/>
      <c r="N291" s="550"/>
      <c r="O291" s="550"/>
      <c r="P291" s="550"/>
      <c r="Q291" s="550"/>
      <c r="R291" s="262"/>
      <c r="S291" s="1172"/>
      <c r="T291" s="1172"/>
      <c r="U291" s="1172"/>
      <c r="V291" s="1172"/>
      <c r="W291" s="1172"/>
      <c r="X291" s="1172"/>
      <c r="Y291" s="1172"/>
      <c r="Z291" s="1172"/>
      <c r="AA291" s="1172"/>
      <c r="AB291" s="1172"/>
      <c r="AC291" s="1172"/>
      <c r="AD291"/>
    </row>
    <row r="292" spans="1:30" s="474" customFormat="1" ht="13.5" thickBot="1">
      <c r="B292" s="4219"/>
      <c r="C292" s="562" t="s">
        <v>585</v>
      </c>
      <c r="D292" s="1696"/>
      <c r="E292" s="566"/>
      <c r="F292" s="566"/>
      <c r="G292" s="566"/>
      <c r="H292" s="567"/>
      <c r="I292" s="1696">
        <f>I290-I291</f>
        <v>538128.12170136767</v>
      </c>
      <c r="J292" s="566">
        <f t="shared" ref="J292" si="99">J290-J291</f>
        <v>618387.1243012367</v>
      </c>
      <c r="K292" s="566">
        <f t="shared" ref="K292" si="100">K290-K291</f>
        <v>631510.59490503068</v>
      </c>
      <c r="L292" s="566">
        <f t="shared" ref="L292" si="101">L290-L291</f>
        <v>649995.01612897834</v>
      </c>
      <c r="M292" s="567">
        <f t="shared" ref="M292" si="102">M290-M291</f>
        <v>731451.75683994824</v>
      </c>
      <c r="N292" s="550"/>
      <c r="O292" s="550"/>
      <c r="P292" s="550"/>
      <c r="Q292" s="550"/>
      <c r="R292" s="262"/>
      <c r="S292" s="1172"/>
      <c r="T292" s="1172"/>
      <c r="U292" s="1172"/>
      <c r="V292" s="1172"/>
      <c r="W292" s="1172"/>
      <c r="X292" s="1172"/>
      <c r="Y292" s="1172"/>
      <c r="Z292" s="1172"/>
      <c r="AA292" s="1172"/>
      <c r="AB292" s="1172"/>
      <c r="AC292" s="1172"/>
      <c r="AD292"/>
    </row>
    <row r="293" spans="1:30" s="474" customFormat="1" hidden="1">
      <c r="B293" s="4217" t="s">
        <v>1870</v>
      </c>
      <c r="C293" s="552" t="s">
        <v>559</v>
      </c>
      <c r="D293" s="412"/>
      <c r="E293" s="494"/>
      <c r="F293" s="494"/>
      <c r="G293" s="494"/>
      <c r="H293" s="1199"/>
      <c r="I293" s="1369"/>
      <c r="J293" s="409"/>
      <c r="K293" s="409"/>
      <c r="L293" s="409"/>
      <c r="M293" s="505"/>
      <c r="N293" s="551"/>
      <c r="O293" s="551"/>
      <c r="P293" s="551"/>
      <c r="Q293" s="551"/>
      <c r="R293" s="262"/>
      <c r="S293" s="1172"/>
      <c r="T293" s="1172"/>
      <c r="U293" s="1172"/>
      <c r="V293" s="1172"/>
      <c r="W293" s="1172"/>
      <c r="X293" s="1172"/>
      <c r="Y293" s="1172"/>
      <c r="Z293" s="1172"/>
      <c r="AA293" s="1172"/>
      <c r="AB293" s="1172"/>
      <c r="AC293" s="1172"/>
      <c r="AD293"/>
    </row>
    <row r="294" spans="1:30" s="474" customFormat="1" hidden="1">
      <c r="B294" s="4218"/>
      <c r="C294" s="492" t="s">
        <v>558</v>
      </c>
      <c r="D294" s="459"/>
      <c r="E294" s="458"/>
      <c r="F294" s="458"/>
      <c r="G294" s="458"/>
      <c r="H294" s="625"/>
      <c r="I294" s="459"/>
      <c r="J294" s="458"/>
      <c r="K294" s="458"/>
      <c r="L294" s="458"/>
      <c r="M294" s="460"/>
      <c r="N294" s="551"/>
      <c r="O294" s="551"/>
      <c r="P294" s="551"/>
      <c r="Q294" s="551"/>
      <c r="R294" s="262"/>
      <c r="S294" s="1172"/>
      <c r="T294" s="1172"/>
      <c r="U294" s="1172"/>
      <c r="V294" s="1172"/>
      <c r="W294" s="1172"/>
      <c r="X294" s="1172"/>
      <c r="Y294" s="1172"/>
      <c r="Z294" s="1172"/>
      <c r="AA294" s="1172"/>
      <c r="AB294" s="1172"/>
      <c r="AC294" s="1172"/>
      <c r="AD294"/>
    </row>
    <row r="295" spans="1:30" s="474" customFormat="1" hidden="1" outlineLevel="1">
      <c r="A295" s="262"/>
      <c r="B295" s="4218"/>
      <c r="C295" s="492" t="s">
        <v>578</v>
      </c>
      <c r="D295" s="459"/>
      <c r="E295" s="458"/>
      <c r="F295" s="458"/>
      <c r="G295" s="458"/>
      <c r="H295" s="625"/>
      <c r="I295" s="459"/>
      <c r="J295" s="458"/>
      <c r="K295" s="458"/>
      <c r="L295" s="458"/>
      <c r="M295" s="460"/>
      <c r="N295" s="551"/>
      <c r="O295" s="551"/>
      <c r="P295" s="551"/>
      <c r="Q295" s="551"/>
      <c r="R295" s="262"/>
      <c r="S295" s="1172"/>
      <c r="T295" s="1172"/>
      <c r="U295" s="1172"/>
      <c r="V295" s="1172"/>
      <c r="W295" s="1172"/>
      <c r="X295" s="1172"/>
      <c r="Y295" s="1172"/>
      <c r="Z295" s="1172"/>
      <c r="AA295" s="1172"/>
      <c r="AB295" s="1172"/>
      <c r="AC295" s="1172"/>
      <c r="AD295"/>
    </row>
    <row r="296" spans="1:30" s="474" customFormat="1" hidden="1" outlineLevel="1">
      <c r="A296" s="262"/>
      <c r="B296" s="4218"/>
      <c r="C296" s="493" t="s">
        <v>579</v>
      </c>
      <c r="D296" s="462"/>
      <c r="E296" s="463"/>
      <c r="F296" s="463"/>
      <c r="G296" s="463"/>
      <c r="H296" s="1190"/>
      <c r="I296" s="462"/>
      <c r="J296" s="463"/>
      <c r="K296" s="463"/>
      <c r="L296" s="463"/>
      <c r="M296" s="464"/>
      <c r="N296" s="551"/>
      <c r="O296" s="551"/>
      <c r="P296" s="551"/>
      <c r="Q296" s="551"/>
      <c r="R296" s="262"/>
      <c r="S296" s="1172"/>
      <c r="T296" s="1172"/>
      <c r="U296" s="1172"/>
      <c r="V296" s="1172"/>
      <c r="W296" s="1172"/>
      <c r="X296" s="1172"/>
      <c r="Y296" s="1172"/>
      <c r="Z296" s="1172"/>
      <c r="AA296" s="1172"/>
      <c r="AB296" s="1172"/>
      <c r="AC296" s="1172"/>
      <c r="AD296"/>
    </row>
    <row r="297" spans="1:30" s="474" customFormat="1" hidden="1" outlineLevel="1">
      <c r="A297" s="262"/>
      <c r="B297" s="4218"/>
      <c r="C297" s="492" t="s">
        <v>583</v>
      </c>
      <c r="D297" s="459"/>
      <c r="E297" s="458"/>
      <c r="F297" s="458"/>
      <c r="G297" s="458"/>
      <c r="H297" s="625"/>
      <c r="I297" s="459"/>
      <c r="J297" s="458"/>
      <c r="K297" s="458"/>
      <c r="L297" s="458"/>
      <c r="M297" s="460"/>
      <c r="N297" s="551"/>
      <c r="O297" s="551"/>
      <c r="P297" s="551"/>
      <c r="Q297" s="551"/>
      <c r="R297" s="262"/>
      <c r="S297" s="1172"/>
      <c r="T297" s="1172"/>
      <c r="U297" s="1172"/>
      <c r="V297" s="1172"/>
      <c r="W297" s="1172"/>
      <c r="X297" s="1172"/>
      <c r="Y297" s="1172"/>
      <c r="Z297" s="1172"/>
      <c r="AA297" s="1172"/>
      <c r="AB297" s="1172"/>
      <c r="AC297" s="1172"/>
      <c r="AD297"/>
    </row>
    <row r="298" spans="1:30" s="474" customFormat="1" hidden="1" outlineLevel="1">
      <c r="A298" s="262"/>
      <c r="B298" s="4218"/>
      <c r="C298" s="492" t="s">
        <v>581</v>
      </c>
      <c r="D298" s="459"/>
      <c r="E298" s="458"/>
      <c r="F298" s="458"/>
      <c r="G298" s="458"/>
      <c r="H298" s="625"/>
      <c r="I298" s="459"/>
      <c r="J298" s="458"/>
      <c r="K298" s="458"/>
      <c r="L298" s="458"/>
      <c r="M298" s="460"/>
      <c r="N298" s="551"/>
      <c r="O298" s="551"/>
      <c r="P298" s="551"/>
      <c r="Q298" s="551"/>
      <c r="R298" s="262"/>
      <c r="S298" s="1172"/>
      <c r="T298" s="1172"/>
      <c r="U298" s="1172"/>
      <c r="V298" s="1172"/>
      <c r="W298" s="1172"/>
      <c r="X298" s="1172"/>
      <c r="Y298" s="1172"/>
      <c r="Z298" s="1172"/>
      <c r="AA298" s="1172"/>
      <c r="AB298" s="1172"/>
      <c r="AC298" s="1172"/>
      <c r="AD298"/>
    </row>
    <row r="299" spans="1:30" s="474" customFormat="1" hidden="1" outlineLevel="1">
      <c r="A299" s="262"/>
      <c r="B299" s="4218"/>
      <c r="C299" s="561" t="s">
        <v>584</v>
      </c>
      <c r="D299" s="3509"/>
      <c r="E299" s="3510"/>
      <c r="F299" s="3510"/>
      <c r="G299" s="3510"/>
      <c r="H299" s="3512"/>
      <c r="I299" s="3509"/>
      <c r="J299" s="3510"/>
      <c r="K299" s="3510"/>
      <c r="L299" s="3510"/>
      <c r="M299" s="3511"/>
      <c r="N299" s="551"/>
      <c r="O299" s="551"/>
      <c r="P299" s="551"/>
      <c r="Q299" s="551"/>
      <c r="R299" s="262"/>
      <c r="S299" s="1172"/>
      <c r="T299" s="1172"/>
      <c r="U299" s="1172"/>
      <c r="V299" s="1172"/>
      <c r="W299" s="1172"/>
      <c r="X299" s="1172"/>
      <c r="Y299" s="1172"/>
      <c r="Z299" s="1172"/>
      <c r="AA299" s="1172"/>
      <c r="AB299" s="1172"/>
      <c r="AC299" s="1172"/>
      <c r="AD299"/>
    </row>
    <row r="300" spans="1:30" s="474" customFormat="1" hidden="1" outlineLevel="1">
      <c r="A300" s="262"/>
      <c r="B300" s="4218"/>
      <c r="C300" s="492" t="s">
        <v>605</v>
      </c>
      <c r="D300" s="459"/>
      <c r="E300" s="458"/>
      <c r="F300" s="458"/>
      <c r="G300" s="458"/>
      <c r="H300" s="625"/>
      <c r="I300" s="459"/>
      <c r="J300" s="458"/>
      <c r="K300" s="458"/>
      <c r="L300" s="458"/>
      <c r="M300" s="460"/>
      <c r="N300" s="551"/>
      <c r="O300" s="551"/>
      <c r="P300" s="551"/>
      <c r="Q300" s="551"/>
      <c r="R300" s="262"/>
      <c r="S300" s="1172"/>
      <c r="T300" s="1172"/>
      <c r="U300" s="1172"/>
      <c r="V300" s="1172"/>
      <c r="W300" s="1172"/>
      <c r="X300" s="1172"/>
      <c r="Y300" s="1172"/>
      <c r="Z300" s="1172"/>
      <c r="AA300" s="1172"/>
      <c r="AB300" s="1172"/>
      <c r="AC300" s="1172"/>
      <c r="AD300"/>
    </row>
    <row r="301" spans="1:30" s="474" customFormat="1" ht="13.5" hidden="1" outlineLevel="1" thickBot="1">
      <c r="A301" s="262"/>
      <c r="B301" s="4219"/>
      <c r="C301" s="562" t="s">
        <v>585</v>
      </c>
      <c r="D301" s="3686"/>
      <c r="E301" s="3687"/>
      <c r="F301" s="3687"/>
      <c r="G301" s="3687"/>
      <c r="H301" s="3696"/>
      <c r="I301" s="3686"/>
      <c r="J301" s="3687"/>
      <c r="K301" s="3687"/>
      <c r="L301" s="3687"/>
      <c r="M301" s="3688"/>
      <c r="N301" s="550"/>
      <c r="O301" s="550"/>
      <c r="P301" s="550"/>
      <c r="Q301" s="550"/>
      <c r="R301" s="262"/>
      <c r="S301" s="1172"/>
      <c r="T301" s="1172"/>
      <c r="U301" s="1172"/>
      <c r="V301" s="1172"/>
      <c r="W301" s="1172"/>
      <c r="X301" s="1172"/>
      <c r="Y301" s="1172"/>
      <c r="Z301" s="1172"/>
      <c r="AA301" s="1172"/>
      <c r="AB301" s="1172"/>
      <c r="AC301" s="1172"/>
      <c r="AD301"/>
    </row>
    <row r="302" spans="1:30" s="78" customFormat="1" collapsed="1">
      <c r="A302" s="262"/>
      <c r="B302" s="4220" t="s">
        <v>341</v>
      </c>
      <c r="C302" s="3685" t="s">
        <v>559</v>
      </c>
      <c r="D302" s="3667">
        <f t="shared" ref="D302:H302" si="103">SUMIF($C$257:$C$301,$C$302,D257:D301)</f>
        <v>0</v>
      </c>
      <c r="E302" s="3668">
        <f t="shared" si="103"/>
        <v>0</v>
      </c>
      <c r="F302" s="3668">
        <f t="shared" si="103"/>
        <v>0</v>
      </c>
      <c r="G302" s="3668">
        <f t="shared" si="103"/>
        <v>0</v>
      </c>
      <c r="H302" s="3668">
        <f t="shared" si="103"/>
        <v>0</v>
      </c>
      <c r="I302" s="3667">
        <v>1518109.0136612116</v>
      </c>
      <c r="J302" s="3668">
        <v>893443.71129535534</v>
      </c>
      <c r="K302" s="3668">
        <v>899568.46532139659</v>
      </c>
      <c r="L302" s="3668">
        <v>788994.87560533779</v>
      </c>
      <c r="M302" s="3669">
        <v>768457.24418380938</v>
      </c>
      <c r="N302" s="551"/>
      <c r="O302" s="551"/>
      <c r="P302" s="551"/>
      <c r="Q302" s="551"/>
      <c r="R302" s="262"/>
      <c r="S302" s="1172"/>
      <c r="T302" s="1172"/>
      <c r="U302" s="1172"/>
      <c r="V302" s="1172"/>
      <c r="W302" s="1172"/>
      <c r="X302" s="1172"/>
      <c r="Y302" s="1172"/>
      <c r="Z302" s="1172"/>
      <c r="AA302" s="1172"/>
      <c r="AB302" s="1172"/>
      <c r="AC302" s="1172"/>
      <c r="AD302"/>
    </row>
    <row r="303" spans="1:30" s="183" customFormat="1">
      <c r="A303" s="262"/>
      <c r="B303" s="4221"/>
      <c r="C303" s="1363" t="s">
        <v>558</v>
      </c>
      <c r="D303" s="3670">
        <f t="shared" ref="D303:H303" si="104">SUMIF($C$257:$C$301,$C$303,D257:D301)</f>
        <v>0</v>
      </c>
      <c r="E303" s="3665">
        <f t="shared" si="104"/>
        <v>0</v>
      </c>
      <c r="F303" s="3665">
        <f t="shared" si="104"/>
        <v>0</v>
      </c>
      <c r="G303" s="3665">
        <f t="shared" si="104"/>
        <v>0</v>
      </c>
      <c r="H303" s="3665">
        <f t="shared" si="104"/>
        <v>0</v>
      </c>
      <c r="I303" s="3670">
        <v>2590235.4528281889</v>
      </c>
      <c r="J303" s="3665">
        <v>2982656.753055213</v>
      </c>
      <c r="K303" s="3665">
        <v>2637757.755015105</v>
      </c>
      <c r="L303" s="3665">
        <v>2620092.4503463898</v>
      </c>
      <c r="M303" s="3671">
        <v>2651951.5506406934</v>
      </c>
      <c r="N303" s="551"/>
      <c r="O303" s="551"/>
      <c r="P303" s="551"/>
      <c r="Q303" s="551"/>
      <c r="R303" s="262"/>
      <c r="S303" s="1172"/>
      <c r="T303" s="1172"/>
      <c r="U303" s="1172"/>
      <c r="V303" s="1172"/>
      <c r="W303" s="1172"/>
      <c r="X303" s="1172"/>
      <c r="Y303" s="1172"/>
      <c r="Z303" s="1172"/>
      <c r="AA303" s="1172"/>
      <c r="AB303" s="1172"/>
      <c r="AC303" s="1172"/>
      <c r="AD303"/>
    </row>
    <row r="304" spans="1:30" s="474" customFormat="1">
      <c r="A304" s="262"/>
      <c r="B304" s="4221"/>
      <c r="C304" s="1363" t="s">
        <v>578</v>
      </c>
      <c r="D304" s="3670">
        <f t="shared" ref="D304:H304" si="105">SUMIF($C$257:$C$301,$C$304,D257:D301)</f>
        <v>0</v>
      </c>
      <c r="E304" s="3665">
        <f t="shared" si="105"/>
        <v>0</v>
      </c>
      <c r="F304" s="3665">
        <f t="shared" si="105"/>
        <v>0</v>
      </c>
      <c r="G304" s="3665">
        <f t="shared" si="105"/>
        <v>0</v>
      </c>
      <c r="H304" s="3665">
        <f t="shared" si="105"/>
        <v>0</v>
      </c>
      <c r="I304" s="3670">
        <v>1381753.3249513069</v>
      </c>
      <c r="J304" s="3665">
        <v>2175610.3736892124</v>
      </c>
      <c r="K304" s="3665">
        <v>1809061.9488083525</v>
      </c>
      <c r="L304" s="3665">
        <v>1889473.8243805475</v>
      </c>
      <c r="M304" s="3671">
        <v>1919308.6841533629</v>
      </c>
      <c r="N304" s="551"/>
      <c r="O304" s="551"/>
      <c r="P304" s="551"/>
      <c r="Q304" s="551"/>
      <c r="R304" s="262"/>
      <c r="S304" s="1172"/>
      <c r="T304" s="1172"/>
      <c r="U304" s="1172"/>
      <c r="V304" s="1172"/>
      <c r="W304" s="1172"/>
      <c r="X304" s="1172"/>
      <c r="Y304" s="1172"/>
      <c r="Z304" s="1172"/>
      <c r="AA304" s="1172"/>
      <c r="AB304" s="1172"/>
      <c r="AC304" s="1172"/>
      <c r="AD304"/>
    </row>
    <row r="305" spans="1:30" s="474" customFormat="1">
      <c r="B305" s="4221"/>
      <c r="C305" s="825" t="s">
        <v>579</v>
      </c>
      <c r="D305" s="3670">
        <f t="shared" ref="D305:H305" si="106">SUMIF($C$257:$C$301,$C$305,D257:D301)</f>
        <v>0</v>
      </c>
      <c r="E305" s="3665">
        <f t="shared" si="106"/>
        <v>0</v>
      </c>
      <c r="F305" s="3665">
        <f t="shared" si="106"/>
        <v>0</v>
      </c>
      <c r="G305" s="3665">
        <f t="shared" si="106"/>
        <v>0</v>
      </c>
      <c r="H305" s="3665">
        <f t="shared" si="106"/>
        <v>0</v>
      </c>
      <c r="I305" s="3670">
        <v>5490097.7914407076</v>
      </c>
      <c r="J305" s="3665">
        <v>6051710.8380397819</v>
      </c>
      <c r="K305" s="3665">
        <v>5346388.1691448539</v>
      </c>
      <c r="L305" s="3665">
        <v>5298561.1503322748</v>
      </c>
      <c r="M305" s="3671">
        <v>5339717.4789778655</v>
      </c>
      <c r="N305" s="551"/>
      <c r="O305" s="551"/>
      <c r="P305" s="551"/>
      <c r="Q305" s="551"/>
      <c r="R305" s="262"/>
      <c r="S305" s="1172"/>
      <c r="T305" s="1172"/>
      <c r="U305" s="1172"/>
      <c r="V305" s="1172"/>
      <c r="W305" s="1172"/>
      <c r="X305" s="1172"/>
      <c r="Y305" s="1172"/>
      <c r="Z305" s="1172"/>
      <c r="AA305" s="1172"/>
      <c r="AB305" s="1172"/>
      <c r="AC305" s="1172"/>
      <c r="AD305"/>
    </row>
    <row r="306" spans="1:30" s="474" customFormat="1">
      <c r="B306" s="4221"/>
      <c r="C306" s="1363" t="s">
        <v>583</v>
      </c>
      <c r="D306" s="3670">
        <f t="shared" ref="D306:H306" si="107">SUMIF($C$257:$C$301,$C$306,D257:D301)</f>
        <v>0</v>
      </c>
      <c r="E306" s="3665">
        <f t="shared" si="107"/>
        <v>0</v>
      </c>
      <c r="F306" s="3665">
        <f t="shared" si="107"/>
        <v>0</v>
      </c>
      <c r="G306" s="3665">
        <f t="shared" si="107"/>
        <v>0</v>
      </c>
      <c r="H306" s="3665">
        <f t="shared" si="107"/>
        <v>0</v>
      </c>
      <c r="I306" s="3670">
        <v>847376.52238841762</v>
      </c>
      <c r="J306" s="3665">
        <v>902571.35015434003</v>
      </c>
      <c r="K306" s="3665">
        <v>787579.8231287559</v>
      </c>
      <c r="L306" s="3665">
        <v>867306.34013256978</v>
      </c>
      <c r="M306" s="3671">
        <v>827199.37436690042</v>
      </c>
      <c r="N306" s="551"/>
      <c r="O306" s="551"/>
      <c r="P306" s="551"/>
      <c r="Q306" s="551"/>
      <c r="R306" s="262"/>
      <c r="S306" s="1172"/>
      <c r="T306" s="1172"/>
      <c r="U306" s="1172"/>
      <c r="V306" s="1172"/>
      <c r="W306" s="1172"/>
      <c r="X306" s="1172"/>
      <c r="Y306" s="1172"/>
      <c r="Z306" s="1172"/>
      <c r="AA306" s="1172"/>
      <c r="AB306" s="1172"/>
      <c r="AC306" s="1172"/>
      <c r="AD306"/>
    </row>
    <row r="307" spans="1:30" s="474" customFormat="1" ht="24" customHeight="1">
      <c r="B307" s="4221"/>
      <c r="C307" s="1363" t="s">
        <v>581</v>
      </c>
      <c r="D307" s="3670">
        <f t="shared" ref="D307:H307" si="108">SUMIF($C$257:$C$301,$C$307,D257:D301)</f>
        <v>0</v>
      </c>
      <c r="E307" s="3665">
        <f t="shared" si="108"/>
        <v>0</v>
      </c>
      <c r="F307" s="3665">
        <f t="shared" si="108"/>
        <v>0</v>
      </c>
      <c r="G307" s="3665">
        <f t="shared" si="108"/>
        <v>0</v>
      </c>
      <c r="H307" s="3665">
        <f t="shared" si="108"/>
        <v>0</v>
      </c>
      <c r="I307" s="3670">
        <v>0</v>
      </c>
      <c r="J307" s="3665">
        <v>0</v>
      </c>
      <c r="K307" s="3665">
        <v>0</v>
      </c>
      <c r="L307" s="3665">
        <v>0</v>
      </c>
      <c r="M307" s="3671">
        <v>0</v>
      </c>
      <c r="N307" s="551"/>
      <c r="O307" s="551"/>
      <c r="P307" s="551"/>
      <c r="Q307" s="551"/>
      <c r="R307" s="262"/>
      <c r="S307" s="1172"/>
      <c r="T307" s="1172"/>
      <c r="U307" s="1172"/>
      <c r="V307" s="1172"/>
      <c r="W307" s="1172"/>
      <c r="X307" s="1172"/>
      <c r="Y307" s="1172"/>
      <c r="Z307" s="1172"/>
      <c r="AA307" s="1172"/>
      <c r="AB307" s="1172"/>
      <c r="AC307" s="1172"/>
      <c r="AD307"/>
    </row>
    <row r="308" spans="1:30" s="474" customFormat="1" outlineLevel="1">
      <c r="A308" s="262"/>
      <c r="B308" s="4221"/>
      <c r="C308" s="1412" t="s">
        <v>584</v>
      </c>
      <c r="D308" s="3692">
        <f t="shared" ref="D308:H308" si="109">SUMIF($C$257:$C$301,$C$308,D257:D301)</f>
        <v>0</v>
      </c>
      <c r="E308" s="3691">
        <f t="shared" si="109"/>
        <v>0</v>
      </c>
      <c r="F308" s="3691">
        <f t="shared" si="109"/>
        <v>0</v>
      </c>
      <c r="G308" s="3691">
        <f t="shared" si="109"/>
        <v>0</v>
      </c>
      <c r="H308" s="3691">
        <f t="shared" si="109"/>
        <v>0</v>
      </c>
      <c r="I308" s="3692">
        <v>6337474.3138291258</v>
      </c>
      <c r="J308" s="3691">
        <v>6954282.1881941212</v>
      </c>
      <c r="K308" s="3691">
        <v>6133967.992273611</v>
      </c>
      <c r="L308" s="3691">
        <v>6165867.4904648447</v>
      </c>
      <c r="M308" s="3693">
        <v>6166916.8533447664</v>
      </c>
      <c r="N308" s="551"/>
      <c r="O308" s="551"/>
      <c r="P308" s="551"/>
      <c r="Q308" s="551"/>
      <c r="R308" s="262"/>
      <c r="S308" s="1172"/>
      <c r="T308" s="1172"/>
      <c r="U308" s="1172"/>
      <c r="V308" s="1172"/>
      <c r="W308" s="1172"/>
      <c r="X308" s="1172"/>
      <c r="Y308" s="1172"/>
      <c r="Z308" s="1172"/>
      <c r="AA308" s="1172"/>
      <c r="AB308" s="1172"/>
      <c r="AC308" s="1172"/>
      <c r="AD308"/>
    </row>
    <row r="309" spans="1:30" s="474" customFormat="1" outlineLevel="1">
      <c r="A309" s="262"/>
      <c r="B309" s="4221"/>
      <c r="C309" s="1363" t="s">
        <v>605</v>
      </c>
      <c r="D309" s="3670">
        <f t="shared" ref="D309:H309" si="110">SUMIF($C$257:$C$301,$C$309,D257:D301)</f>
        <v>0</v>
      </c>
      <c r="E309" s="3665">
        <f t="shared" si="110"/>
        <v>0</v>
      </c>
      <c r="F309" s="3665">
        <f t="shared" si="110"/>
        <v>0</v>
      </c>
      <c r="G309" s="3665">
        <f t="shared" si="110"/>
        <v>0</v>
      </c>
      <c r="H309" s="3665">
        <f t="shared" si="110"/>
        <v>0</v>
      </c>
      <c r="I309" s="3670">
        <v>0</v>
      </c>
      <c r="J309" s="3665">
        <v>0</v>
      </c>
      <c r="K309" s="3665">
        <v>0</v>
      </c>
      <c r="L309" s="3665">
        <v>0</v>
      </c>
      <c r="M309" s="3671">
        <v>0</v>
      </c>
      <c r="N309" s="551"/>
      <c r="O309" s="551"/>
      <c r="P309" s="551"/>
      <c r="Q309" s="551"/>
      <c r="R309" s="262"/>
      <c r="S309" s="1172"/>
      <c r="T309" s="1172"/>
      <c r="U309" s="1172"/>
      <c r="V309" s="1172"/>
      <c r="W309" s="1172"/>
      <c r="X309" s="1172"/>
      <c r="Y309" s="1172"/>
      <c r="Z309" s="1172"/>
      <c r="AA309" s="1172"/>
      <c r="AB309" s="1172"/>
      <c r="AC309" s="1172"/>
      <c r="AD309"/>
    </row>
    <row r="310" spans="1:30" s="474" customFormat="1" ht="13.5" outlineLevel="1" thickBot="1">
      <c r="A310" s="262"/>
      <c r="B310" s="4222"/>
      <c r="C310" s="1413" t="s">
        <v>585</v>
      </c>
      <c r="D310" s="3694">
        <f t="shared" ref="D310:H310" si="111">SUMIF($C$257:$C$301,$C$310,D257:D301)</f>
        <v>0</v>
      </c>
      <c r="E310" s="3695">
        <f t="shared" si="111"/>
        <v>0</v>
      </c>
      <c r="F310" s="3695">
        <f t="shared" si="111"/>
        <v>0</v>
      </c>
      <c r="G310" s="3695">
        <f t="shared" si="111"/>
        <v>0</v>
      </c>
      <c r="H310" s="3695">
        <f t="shared" si="111"/>
        <v>0</v>
      </c>
      <c r="I310" s="1696">
        <f>I308-I309</f>
        <v>6337474.3138291258</v>
      </c>
      <c r="J310" s="566">
        <f t="shared" ref="J310" si="112">J308-J309</f>
        <v>6954282.1881941212</v>
      </c>
      <c r="K310" s="566">
        <f t="shared" ref="K310" si="113">K308-K309</f>
        <v>6133967.992273611</v>
      </c>
      <c r="L310" s="566">
        <f t="shared" ref="L310" si="114">L308-L309</f>
        <v>6165867.4904648447</v>
      </c>
      <c r="M310" s="567">
        <f t="shared" ref="M310" si="115">M308-M309</f>
        <v>6166916.8533447664</v>
      </c>
      <c r="N310" s="550"/>
      <c r="O310" s="550"/>
      <c r="P310" s="550"/>
      <c r="Q310" s="550"/>
      <c r="R310" s="262"/>
      <c r="S310" s="1172"/>
      <c r="T310" s="1172"/>
      <c r="U310" s="1172"/>
      <c r="V310" s="1172"/>
      <c r="W310" s="1172"/>
      <c r="X310" s="1172"/>
      <c r="Y310" s="1172"/>
      <c r="Z310" s="1172"/>
      <c r="AA310" s="1172"/>
      <c r="AB310" s="1172"/>
      <c r="AC310" s="1172"/>
      <c r="AD310"/>
    </row>
    <row r="311" spans="1:30" s="474" customFormat="1" ht="13.5" outlineLevel="1" thickBot="1">
      <c r="A311" s="262"/>
      <c r="B311" s="4059" t="s">
        <v>121</v>
      </c>
      <c r="C311" s="4060"/>
      <c r="D311" s="3689"/>
      <c r="E311" s="3690"/>
      <c r="F311" s="3690"/>
      <c r="G311" s="3690"/>
      <c r="H311" s="3690"/>
      <c r="I311" s="4270" t="s">
        <v>1788</v>
      </c>
      <c r="J311" s="4270"/>
      <c r="K311" s="4270"/>
      <c r="L311" s="4270"/>
      <c r="M311" s="4271"/>
      <c r="N311" s="1172"/>
      <c r="O311" s="1172"/>
      <c r="P311" s="1172"/>
      <c r="Q311" s="1172"/>
      <c r="R311" s="1172"/>
      <c r="S311" s="1172"/>
      <c r="T311" s="1172"/>
      <c r="U311" s="1172"/>
      <c r="V311" s="1172"/>
      <c r="W311" s="1172"/>
      <c r="X311" s="1172"/>
      <c r="Y311" s="1172"/>
      <c r="Z311" s="1172"/>
      <c r="AA311" s="1172"/>
      <c r="AB311" s="1172"/>
      <c r="AC311" s="1172"/>
      <c r="AD311"/>
    </row>
    <row r="312" spans="1:30" s="474" customFormat="1" ht="21" outlineLevel="1" thickBot="1">
      <c r="A312" s="262"/>
      <c r="B312" s="184"/>
      <c r="C312" s="184"/>
      <c r="D312" s="185"/>
      <c r="E312" s="185"/>
      <c r="F312" s="185"/>
      <c r="G312" s="185"/>
      <c r="H312" s="185"/>
      <c r="I312" s="144"/>
      <c r="J312" s="144"/>
      <c r="K312" s="144"/>
      <c r="L312" s="144"/>
      <c r="M312" s="144"/>
      <c r="N312" s="489"/>
      <c r="O312" s="262"/>
      <c r="P312" s="262"/>
      <c r="Q312" s="262"/>
      <c r="R312" s="262"/>
      <c r="S312" s="1172"/>
      <c r="T312" s="1172"/>
      <c r="U312" s="1172"/>
      <c r="V312" s="185"/>
      <c r="W312" s="185"/>
      <c r="X312" s="185"/>
      <c r="Y312" s="185"/>
      <c r="Z312" s="185"/>
      <c r="AA312" s="144"/>
      <c r="AB312" s="144"/>
      <c r="AC312" s="144"/>
      <c r="AD312"/>
    </row>
    <row r="313" spans="1:30" s="474" customFormat="1" ht="16.5" outlineLevel="1" thickBot="1">
      <c r="A313" s="262"/>
      <c r="B313" s="2760" t="s">
        <v>612</v>
      </c>
      <c r="C313" s="2760"/>
      <c r="D313" s="1259"/>
      <c r="E313" s="1259"/>
      <c r="F313" s="1259"/>
      <c r="G313" s="1259"/>
      <c r="H313" s="1259"/>
      <c r="I313" s="1259"/>
      <c r="J313" s="1259"/>
      <c r="K313" s="1259"/>
      <c r="L313" s="1259"/>
      <c r="M313" s="1259"/>
      <c r="N313" s="1259"/>
      <c r="O313" s="1259"/>
      <c r="P313" s="1259"/>
      <c r="Q313" s="1259"/>
      <c r="R313" s="1260"/>
      <c r="S313" s="1172"/>
      <c r="T313" s="1172"/>
      <c r="U313" s="1172"/>
      <c r="V313" s="2760"/>
      <c r="W313" s="1259"/>
      <c r="X313" s="1259"/>
      <c r="Y313" s="1259"/>
      <c r="Z313" s="1259"/>
      <c r="AA313" s="1259"/>
      <c r="AB313" s="1259"/>
      <c r="AC313" s="1260"/>
      <c r="AD313"/>
    </row>
    <row r="314" spans="1:30" s="474" customFormat="1" ht="18" customHeight="1" outlineLevel="1">
      <c r="A314" s="262"/>
      <c r="B314" s="4179"/>
      <c r="C314" s="4180"/>
      <c r="D314" s="4194" t="s">
        <v>36</v>
      </c>
      <c r="E314" s="4195"/>
      <c r="F314" s="4195"/>
      <c r="G314" s="4195"/>
      <c r="H314" s="4195"/>
      <c r="I314" s="4196" t="s">
        <v>37</v>
      </c>
      <c r="J314" s="4197"/>
      <c r="K314" s="4197"/>
      <c r="L314" s="4197"/>
      <c r="M314" s="4197"/>
      <c r="N314" s="4208" t="s">
        <v>73</v>
      </c>
      <c r="O314" s="4208"/>
      <c r="P314" s="4208"/>
      <c r="Q314" s="4208"/>
      <c r="R314" s="4209"/>
      <c r="S314" s="1172"/>
      <c r="T314" s="1172"/>
      <c r="U314" s="1172"/>
      <c r="V314" s="4194" t="s">
        <v>36</v>
      </c>
      <c r="W314" s="4195"/>
      <c r="X314" s="4195"/>
      <c r="Y314" s="4195"/>
      <c r="Z314" s="4195"/>
      <c r="AA314" s="4196" t="s">
        <v>37</v>
      </c>
      <c r="AB314" s="4197"/>
      <c r="AC314" s="4198"/>
      <c r="AD314"/>
    </row>
    <row r="315" spans="1:30" s="474" customFormat="1" ht="20.25" customHeight="1">
      <c r="A315" s="262"/>
      <c r="B315" s="4181"/>
      <c r="C315" s="4182"/>
      <c r="D315" s="3985" t="s">
        <v>543</v>
      </c>
      <c r="E315" s="3986"/>
      <c r="F315" s="3986"/>
      <c r="G315" s="3986"/>
      <c r="H315" s="3986"/>
      <c r="I315" s="3986"/>
      <c r="J315" s="3986"/>
      <c r="K315" s="3987"/>
      <c r="L315" s="3988" t="str">
        <f>CONCATENATE("$0's, real ",dms_DollarReal)</f>
        <v>$0's, real December 2017</v>
      </c>
      <c r="M315" s="3989"/>
      <c r="N315" s="3989"/>
      <c r="O315" s="3989"/>
      <c r="P315" s="3989"/>
      <c r="Q315" s="3989"/>
      <c r="R315" s="4199"/>
      <c r="S315" s="1172"/>
      <c r="T315" s="1172"/>
      <c r="U315" s="1172"/>
      <c r="V315" s="3985" t="str">
        <f>CONCATENATE("$0's, real ",dms_DollarReal)</f>
        <v>$0's, real December 2017</v>
      </c>
      <c r="W315" s="3986"/>
      <c r="X315" s="3986"/>
      <c r="Y315" s="3986"/>
      <c r="Z315" s="3986"/>
      <c r="AA315" s="3986"/>
      <c r="AB315" s="3986"/>
      <c r="AC315" s="4030"/>
      <c r="AD315"/>
    </row>
    <row r="316" spans="1:30" s="474" customFormat="1" ht="22.5" customHeight="1">
      <c r="B316" s="4181"/>
      <c r="C316" s="4182"/>
      <c r="D316" s="3985" t="s">
        <v>54</v>
      </c>
      <c r="E316" s="3986"/>
      <c r="F316" s="3986"/>
      <c r="G316" s="3986"/>
      <c r="H316" s="3986"/>
      <c r="I316" s="3986"/>
      <c r="J316" s="3986"/>
      <c r="K316" s="3987"/>
      <c r="L316" s="3988" t="s">
        <v>55</v>
      </c>
      <c r="M316" s="3989"/>
      <c r="N316" s="3989"/>
      <c r="O316" s="3989"/>
      <c r="P316" s="3989"/>
      <c r="Q316" s="3989"/>
      <c r="R316" s="4199"/>
      <c r="S316" s="1172"/>
      <c r="T316" s="1172"/>
      <c r="U316" s="1172"/>
      <c r="V316" s="3985" t="s">
        <v>54</v>
      </c>
      <c r="W316" s="3986"/>
      <c r="X316" s="3986"/>
      <c r="Y316" s="3986"/>
      <c r="Z316" s="3986"/>
      <c r="AA316" s="3986"/>
      <c r="AB316" s="3986"/>
      <c r="AC316" s="4030"/>
      <c r="AD316"/>
    </row>
    <row r="317" spans="1:30" s="474" customFormat="1" ht="73.5" customHeight="1" thickBot="1">
      <c r="B317" s="4183"/>
      <c r="C317" s="4184"/>
      <c r="D317" s="1438">
        <f t="array" ref="D317:H317">PRCP</f>
        <v>2008</v>
      </c>
      <c r="E317" s="342">
        <v>2009</v>
      </c>
      <c r="F317" s="342">
        <v>2010</v>
      </c>
      <c r="G317" s="342">
        <v>2011</v>
      </c>
      <c r="H317" s="342">
        <v>2012</v>
      </c>
      <c r="I317" s="344">
        <f>CRCP_y1</f>
        <v>2013</v>
      </c>
      <c r="J317" s="344">
        <f>CRCP_y2</f>
        <v>2014</v>
      </c>
      <c r="K317" s="344">
        <f>CRCP_y3</f>
        <v>2015</v>
      </c>
      <c r="L317" s="344">
        <f>CRCP_y4</f>
        <v>2016</v>
      </c>
      <c r="M317" s="344">
        <f>CRCP_y5</f>
        <v>2017</v>
      </c>
      <c r="N317" s="342" t="str">
        <f t="array" ref="N317:R317">FRCP</f>
        <v>2018</v>
      </c>
      <c r="O317" s="342">
        <v>2019</v>
      </c>
      <c r="P317" s="342">
        <v>2020</v>
      </c>
      <c r="Q317" s="342">
        <v>2021</v>
      </c>
      <c r="R317" s="443">
        <v>2022</v>
      </c>
      <c r="S317" s="1172"/>
      <c r="T317" s="1172"/>
      <c r="U317" s="1172"/>
      <c r="V317" s="1438">
        <f t="array" ref="V317:Z317">PRCP</f>
        <v>2008</v>
      </c>
      <c r="W317" s="342">
        <v>2009</v>
      </c>
      <c r="X317" s="342">
        <v>2010</v>
      </c>
      <c r="Y317" s="342">
        <v>2011</v>
      </c>
      <c r="Z317" s="342">
        <v>2012</v>
      </c>
      <c r="AA317" s="344">
        <f>CRCP_y1</f>
        <v>2013</v>
      </c>
      <c r="AB317" s="344">
        <f>CRCP_y2</f>
        <v>2014</v>
      </c>
      <c r="AC317" s="542">
        <f>CRCP_y3</f>
        <v>2015</v>
      </c>
      <c r="AD317"/>
    </row>
    <row r="318" spans="1:30" s="474" customFormat="1" ht="16.5" thickBot="1">
      <c r="B318" s="737" t="s">
        <v>440</v>
      </c>
      <c r="C318" s="738"/>
      <c r="D318" s="3697"/>
      <c r="E318" s="3697"/>
      <c r="F318" s="3697"/>
      <c r="G318" s="3697"/>
      <c r="H318" s="3697"/>
      <c r="I318" s="1254"/>
      <c r="J318" s="1254"/>
      <c r="K318" s="1254"/>
      <c r="L318" s="1254"/>
      <c r="M318" s="1254"/>
      <c r="N318" s="1254"/>
      <c r="O318" s="1254"/>
      <c r="P318" s="1254"/>
      <c r="Q318" s="1254"/>
      <c r="R318" s="1255"/>
      <c r="S318" s="1172"/>
      <c r="T318" s="1172"/>
      <c r="U318" s="1172"/>
      <c r="V318" s="1253"/>
      <c r="W318" s="1254"/>
      <c r="X318" s="1254"/>
      <c r="Y318" s="1254"/>
      <c r="Z318" s="1254"/>
      <c r="AA318" s="1254"/>
      <c r="AB318" s="1254"/>
      <c r="AC318" s="1255"/>
      <c r="AD318"/>
    </row>
    <row r="319" spans="1:30" s="474" customFormat="1" outlineLevel="1">
      <c r="A319" s="262"/>
      <c r="B319" s="4211" t="s">
        <v>1809</v>
      </c>
      <c r="C319" s="3528" t="s">
        <v>90</v>
      </c>
      <c r="D319" s="3702">
        <f>D25</f>
        <v>2592</v>
      </c>
      <c r="E319" s="3703">
        <f t="shared" ref="E319:L319" si="116">E25</f>
        <v>1742</v>
      </c>
      <c r="F319" s="3703">
        <f t="shared" si="116"/>
        <v>1682</v>
      </c>
      <c r="G319" s="3703">
        <f t="shared" si="116"/>
        <v>2043</v>
      </c>
      <c r="H319" s="3704">
        <f t="shared" si="116"/>
        <v>2091</v>
      </c>
      <c r="I319" s="3702">
        <f t="shared" si="116"/>
        <v>5904</v>
      </c>
      <c r="J319" s="3703">
        <f>J25</f>
        <v>4766</v>
      </c>
      <c r="K319" s="3703">
        <f t="shared" si="116"/>
        <v>569</v>
      </c>
      <c r="L319" s="3703">
        <f t="shared" si="116"/>
        <v>534</v>
      </c>
      <c r="M319" s="3704">
        <f>M25+(0.5*SUM(M31,M34,M37,M40,M43,M46,M49,M52,M55,M58,M61,M64))</f>
        <v>16190</v>
      </c>
      <c r="N319" s="3831"/>
      <c r="O319" s="3832"/>
      <c r="P319" s="3832"/>
      <c r="Q319" s="3832"/>
      <c r="R319" s="3833"/>
      <c r="S319" s="1172"/>
      <c r="T319" s="1172"/>
      <c r="U319" s="1172"/>
      <c r="V319" s="1698"/>
      <c r="W319" s="1699"/>
      <c r="X319" s="1699"/>
      <c r="Y319" s="1699"/>
      <c r="Z319" s="1701"/>
      <c r="AA319" s="1698"/>
      <c r="AB319" s="1699"/>
      <c r="AC319" s="1700"/>
      <c r="AD319"/>
    </row>
    <row r="320" spans="1:30" s="474" customFormat="1" outlineLevel="1">
      <c r="A320" s="262"/>
      <c r="B320" s="4211"/>
      <c r="C320" s="3529" t="s">
        <v>579</v>
      </c>
      <c r="D320" s="3710">
        <v>308986</v>
      </c>
      <c r="E320" s="3700">
        <v>239836</v>
      </c>
      <c r="F320" s="3700">
        <v>237910</v>
      </c>
      <c r="G320" s="3700">
        <v>241413</v>
      </c>
      <c r="H320" s="3705">
        <v>350950</v>
      </c>
      <c r="I320" s="3710">
        <v>911519</v>
      </c>
      <c r="J320" s="3700">
        <v>629436</v>
      </c>
      <c r="K320" s="3700">
        <v>100624</v>
      </c>
      <c r="L320" s="3700">
        <v>106991</v>
      </c>
      <c r="M320" s="3705">
        <v>2502379</v>
      </c>
      <c r="N320" s="3834"/>
      <c r="O320" s="3835"/>
      <c r="P320" s="3835"/>
      <c r="Q320" s="3835"/>
      <c r="R320" s="3836"/>
      <c r="S320" s="1172"/>
      <c r="T320" s="1172"/>
      <c r="U320" s="1172"/>
      <c r="V320" s="462"/>
      <c r="W320" s="463"/>
      <c r="X320" s="463"/>
      <c r="Y320" s="463"/>
      <c r="Z320" s="1190"/>
      <c r="AA320" s="462"/>
      <c r="AB320" s="463"/>
      <c r="AC320" s="464"/>
      <c r="AD320"/>
    </row>
    <row r="321" spans="1:30" s="474" customFormat="1" outlineLevel="1">
      <c r="A321" s="262"/>
      <c r="B321" s="4211"/>
      <c r="C321" s="3530" t="s">
        <v>583</v>
      </c>
      <c r="D321" s="3706">
        <f>0.07*D320</f>
        <v>21629.02</v>
      </c>
      <c r="E321" s="3699">
        <f t="shared" ref="E321:L321" si="117">0.07*E320</f>
        <v>16788.52</v>
      </c>
      <c r="F321" s="3699">
        <f t="shared" si="117"/>
        <v>16653.7</v>
      </c>
      <c r="G321" s="3699">
        <f t="shared" si="117"/>
        <v>16898.91</v>
      </c>
      <c r="H321" s="3707">
        <f t="shared" si="117"/>
        <v>24566.500000000004</v>
      </c>
      <c r="I321" s="3706">
        <f t="shared" si="117"/>
        <v>63806.330000000009</v>
      </c>
      <c r="J321" s="3699">
        <f t="shared" si="117"/>
        <v>44060.520000000004</v>
      </c>
      <c r="K321" s="3699">
        <f t="shared" si="117"/>
        <v>7043.68</v>
      </c>
      <c r="L321" s="3699">
        <f t="shared" si="117"/>
        <v>7489.3700000000008</v>
      </c>
      <c r="M321" s="3707">
        <f>$M$250*M320</f>
        <v>0</v>
      </c>
      <c r="N321" s="3834"/>
      <c r="O321" s="3835"/>
      <c r="P321" s="3835"/>
      <c r="Q321" s="3835"/>
      <c r="R321" s="3836"/>
      <c r="S321" s="1172"/>
      <c r="T321" s="1172"/>
      <c r="U321" s="1172"/>
      <c r="V321" s="462"/>
      <c r="W321" s="463"/>
      <c r="X321" s="463"/>
      <c r="Y321" s="463"/>
      <c r="Z321" s="1190"/>
      <c r="AA321" s="511"/>
      <c r="AB321" s="512"/>
      <c r="AC321" s="547"/>
      <c r="AD321"/>
    </row>
    <row r="322" spans="1:30" s="474" customFormat="1" outlineLevel="1">
      <c r="A322" s="262"/>
      <c r="B322" s="4211"/>
      <c r="C322" s="3530" t="s">
        <v>581</v>
      </c>
      <c r="D322" s="3706"/>
      <c r="E322" s="3699"/>
      <c r="F322" s="3699"/>
      <c r="G322" s="3699"/>
      <c r="H322" s="3707"/>
      <c r="I322" s="3706"/>
      <c r="J322" s="3699"/>
      <c r="K322" s="3699"/>
      <c r="L322" s="3699"/>
      <c r="M322" s="3707"/>
      <c r="N322" s="3834"/>
      <c r="O322" s="3835"/>
      <c r="P322" s="3835"/>
      <c r="Q322" s="3835"/>
      <c r="R322" s="3836"/>
      <c r="S322" s="1172"/>
      <c r="T322" s="1172"/>
      <c r="U322" s="1172"/>
      <c r="V322" s="462"/>
      <c r="W322" s="463"/>
      <c r="X322" s="463"/>
      <c r="Y322" s="463"/>
      <c r="Z322" s="1190"/>
      <c r="AA322" s="462"/>
      <c r="AB322" s="463"/>
      <c r="AC322" s="464"/>
      <c r="AD322"/>
    </row>
    <row r="323" spans="1:30" s="474" customFormat="1" outlineLevel="1">
      <c r="A323" s="262"/>
      <c r="B323" s="4211"/>
      <c r="C323" s="3531" t="s">
        <v>584</v>
      </c>
      <c r="D323" s="3672">
        <f>D320+D321+D322</f>
        <v>330615.02</v>
      </c>
      <c r="E323" s="3666">
        <f t="shared" ref="E323:M323" si="118">E320+E321+E322</f>
        <v>256624.52</v>
      </c>
      <c r="F323" s="3666">
        <f t="shared" si="118"/>
        <v>254563.7</v>
      </c>
      <c r="G323" s="3666">
        <f t="shared" si="118"/>
        <v>258311.91</v>
      </c>
      <c r="H323" s="3673">
        <f t="shared" si="118"/>
        <v>375516.5</v>
      </c>
      <c r="I323" s="3672">
        <f t="shared" si="118"/>
        <v>975325.33</v>
      </c>
      <c r="J323" s="3666">
        <f>J320+J321+J322</f>
        <v>673496.52</v>
      </c>
      <c r="K323" s="3666">
        <f t="shared" si="118"/>
        <v>107667.68</v>
      </c>
      <c r="L323" s="3666">
        <f t="shared" si="118"/>
        <v>114480.37</v>
      </c>
      <c r="M323" s="3673">
        <f t="shared" si="118"/>
        <v>2502379</v>
      </c>
      <c r="N323" s="3837"/>
      <c r="O323" s="3838"/>
      <c r="P323" s="3838"/>
      <c r="Q323" s="3838"/>
      <c r="R323" s="3839"/>
      <c r="S323" s="1172"/>
      <c r="T323" s="1172"/>
      <c r="U323" s="1172"/>
      <c r="V323" s="557">
        <f>V320+V321+V322</f>
        <v>0</v>
      </c>
      <c r="W323" s="554">
        <f t="shared" ref="W323:AC323" si="119">W320+W321+W322</f>
        <v>0</v>
      </c>
      <c r="X323" s="554">
        <f t="shared" si="119"/>
        <v>0</v>
      </c>
      <c r="Y323" s="554">
        <f t="shared" si="119"/>
        <v>0</v>
      </c>
      <c r="Z323" s="1191">
        <f t="shared" si="119"/>
        <v>0</v>
      </c>
      <c r="AA323" s="557">
        <f t="shared" si="119"/>
        <v>0</v>
      </c>
      <c r="AB323" s="554">
        <f t="shared" si="119"/>
        <v>0</v>
      </c>
      <c r="AC323" s="558">
        <f t="shared" si="119"/>
        <v>0</v>
      </c>
      <c r="AD323"/>
    </row>
    <row r="324" spans="1:30" s="474" customFormat="1" outlineLevel="1">
      <c r="A324" s="262"/>
      <c r="B324" s="4211"/>
      <c r="C324" s="3530" t="s">
        <v>605</v>
      </c>
      <c r="D324" s="3706"/>
      <c r="E324" s="3699"/>
      <c r="F324" s="3699"/>
      <c r="G324" s="3699"/>
      <c r="H324" s="3707"/>
      <c r="I324" s="3706"/>
      <c r="J324" s="3699"/>
      <c r="K324" s="3699"/>
      <c r="L324" s="3699"/>
      <c r="M324" s="3707"/>
      <c r="N324" s="3834"/>
      <c r="O324" s="3835"/>
      <c r="P324" s="3835"/>
      <c r="Q324" s="3835"/>
      <c r="R324" s="3836"/>
      <c r="S324" s="1172"/>
      <c r="T324" s="1172"/>
      <c r="U324" s="1172"/>
      <c r="V324" s="462"/>
      <c r="W324" s="463"/>
      <c r="X324" s="463"/>
      <c r="Y324" s="463"/>
      <c r="Z324" s="1190"/>
      <c r="AA324" s="462"/>
      <c r="AB324" s="463"/>
      <c r="AC324" s="464"/>
      <c r="AD324"/>
    </row>
    <row r="325" spans="1:30" s="474" customFormat="1" outlineLevel="1">
      <c r="A325" s="262"/>
      <c r="B325" s="4211"/>
      <c r="C325" s="3531" t="s">
        <v>585</v>
      </c>
      <c r="D325" s="3672">
        <f>D323-D324</f>
        <v>330615.02</v>
      </c>
      <c r="E325" s="3666">
        <f t="shared" ref="E325:M325" si="120">E323-E324</f>
        <v>256624.52</v>
      </c>
      <c r="F325" s="3666">
        <f t="shared" si="120"/>
        <v>254563.7</v>
      </c>
      <c r="G325" s="3666">
        <f t="shared" si="120"/>
        <v>258311.91</v>
      </c>
      <c r="H325" s="3673">
        <f t="shared" si="120"/>
        <v>375516.5</v>
      </c>
      <c r="I325" s="3672">
        <f t="shared" si="120"/>
        <v>975325.33</v>
      </c>
      <c r="J325" s="3666">
        <f t="shared" si="120"/>
        <v>673496.52</v>
      </c>
      <c r="K325" s="3666">
        <f t="shared" si="120"/>
        <v>107667.68</v>
      </c>
      <c r="L325" s="3666">
        <f t="shared" si="120"/>
        <v>114480.37</v>
      </c>
      <c r="M325" s="3673">
        <f t="shared" si="120"/>
        <v>2502379</v>
      </c>
      <c r="N325" s="3837"/>
      <c r="O325" s="3838"/>
      <c r="P325" s="3838"/>
      <c r="Q325" s="3838"/>
      <c r="R325" s="3839"/>
      <c r="S325" s="1172"/>
      <c r="T325" s="1172"/>
      <c r="U325" s="1172"/>
      <c r="V325" s="557">
        <f>V323-V324</f>
        <v>0</v>
      </c>
      <c r="W325" s="554">
        <f t="shared" ref="W325:AC325" si="121">W323-W324</f>
        <v>0</v>
      </c>
      <c r="X325" s="554">
        <f t="shared" si="121"/>
        <v>0</v>
      </c>
      <c r="Y325" s="554">
        <f t="shared" si="121"/>
        <v>0</v>
      </c>
      <c r="Z325" s="1191">
        <f t="shared" si="121"/>
        <v>0</v>
      </c>
      <c r="AA325" s="557">
        <f t="shared" si="121"/>
        <v>0</v>
      </c>
      <c r="AB325" s="554">
        <f t="shared" si="121"/>
        <v>0</v>
      </c>
      <c r="AC325" s="558">
        <f t="shared" si="121"/>
        <v>0</v>
      </c>
      <c r="AD325"/>
    </row>
    <row r="326" spans="1:30" ht="13.5" thickBot="1">
      <c r="A326" s="262"/>
      <c r="B326" s="4212"/>
      <c r="C326" s="3532" t="s">
        <v>93</v>
      </c>
      <c r="D326" s="470">
        <f>D320/D319</f>
        <v>119.20756172839506</v>
      </c>
      <c r="E326" s="468">
        <f t="shared" ref="E326:M326" si="122">E320/E319</f>
        <v>137.67853042479908</v>
      </c>
      <c r="F326" s="468">
        <f t="shared" si="122"/>
        <v>141.4447086801427</v>
      </c>
      <c r="G326" s="468">
        <f t="shared" si="122"/>
        <v>118.16593245227607</v>
      </c>
      <c r="H326" s="530">
        <f t="shared" si="122"/>
        <v>167.83835485413678</v>
      </c>
      <c r="I326" s="470">
        <f t="shared" si="122"/>
        <v>154.39007452574526</v>
      </c>
      <c r="J326" s="468">
        <f t="shared" si="122"/>
        <v>132.06798153587914</v>
      </c>
      <c r="K326" s="468">
        <f t="shared" si="122"/>
        <v>176.84358523725834</v>
      </c>
      <c r="L326" s="468">
        <f t="shared" si="122"/>
        <v>200.35767790262173</v>
      </c>
      <c r="M326" s="530">
        <f t="shared" si="122"/>
        <v>154.56324891908585</v>
      </c>
      <c r="N326" s="3834"/>
      <c r="O326" s="3835"/>
      <c r="P326" s="3835"/>
      <c r="Q326" s="3835"/>
      <c r="R326" s="3836"/>
      <c r="S326" s="1172"/>
      <c r="T326" s="1172"/>
      <c r="U326" s="1172"/>
      <c r="V326" s="1529"/>
      <c r="W326" s="509"/>
      <c r="X326" s="509"/>
      <c r="Y326" s="509"/>
      <c r="Z326" s="1197"/>
      <c r="AA326" s="1529"/>
      <c r="AB326" s="509"/>
      <c r="AC326" s="510"/>
      <c r="AD326"/>
    </row>
    <row r="327" spans="1:30">
      <c r="A327" s="262"/>
      <c r="B327" s="4211" t="s">
        <v>1871</v>
      </c>
      <c r="C327" s="3528" t="s">
        <v>90</v>
      </c>
      <c r="D327" s="3702">
        <f>D52</f>
        <v>62</v>
      </c>
      <c r="E327" s="3703">
        <f t="shared" ref="E327:M327" si="123">E52</f>
        <v>0</v>
      </c>
      <c r="F327" s="3703">
        <f t="shared" si="123"/>
        <v>0</v>
      </c>
      <c r="G327" s="3703">
        <f t="shared" si="123"/>
        <v>1</v>
      </c>
      <c r="H327" s="3704">
        <f t="shared" si="123"/>
        <v>0</v>
      </c>
      <c r="I327" s="3702">
        <f t="shared" si="123"/>
        <v>0</v>
      </c>
      <c r="J327" s="3703">
        <f>J52</f>
        <v>0</v>
      </c>
      <c r="K327" s="3703">
        <f t="shared" si="123"/>
        <v>0</v>
      </c>
      <c r="L327" s="3703">
        <f t="shared" si="123"/>
        <v>0</v>
      </c>
      <c r="M327" s="3704">
        <f t="shared" si="123"/>
        <v>0</v>
      </c>
      <c r="N327" s="3831"/>
      <c r="O327" s="3832"/>
      <c r="P327" s="3832"/>
      <c r="Q327" s="3832"/>
      <c r="R327" s="3833"/>
      <c r="S327" s="1172"/>
      <c r="T327" s="1172"/>
      <c r="U327" s="1172"/>
      <c r="V327" s="3533"/>
      <c r="W327" s="3534"/>
      <c r="X327" s="3534"/>
      <c r="Y327" s="3534"/>
      <c r="Z327" s="3535"/>
      <c r="AA327" s="3533"/>
      <c r="AB327" s="3534"/>
      <c r="AC327" s="3536"/>
      <c r="AD327"/>
    </row>
    <row r="328" spans="1:30">
      <c r="A328" s="262"/>
      <c r="B328" s="4211"/>
      <c r="C328" s="3529" t="s">
        <v>579</v>
      </c>
      <c r="D328" s="3710">
        <v>7391</v>
      </c>
      <c r="E328" s="3700">
        <v>0</v>
      </c>
      <c r="F328" s="3700">
        <v>0</v>
      </c>
      <c r="G328" s="3700">
        <v>118</v>
      </c>
      <c r="H328" s="3705">
        <v>0</v>
      </c>
      <c r="I328" s="3710">
        <v>0</v>
      </c>
      <c r="J328" s="3700"/>
      <c r="K328" s="3700">
        <v>0</v>
      </c>
      <c r="L328" s="3700">
        <v>0</v>
      </c>
      <c r="M328" s="3705">
        <v>0</v>
      </c>
      <c r="N328" s="3834"/>
      <c r="O328" s="3835"/>
      <c r="P328" s="3835"/>
      <c r="Q328" s="3835"/>
      <c r="R328" s="3836"/>
      <c r="S328" s="1172"/>
      <c r="T328" s="1172"/>
      <c r="U328" s="1172"/>
      <c r="V328" s="3533"/>
      <c r="W328" s="3534"/>
      <c r="X328" s="3534"/>
      <c r="Y328" s="3534"/>
      <c r="Z328" s="3535"/>
      <c r="AA328" s="3533"/>
      <c r="AB328" s="3534"/>
      <c r="AC328" s="3536"/>
    </row>
    <row r="329" spans="1:30">
      <c r="B329" s="4211"/>
      <c r="C329" s="3530" t="s">
        <v>583</v>
      </c>
      <c r="D329" s="3706">
        <f>0.07*D328</f>
        <v>517.37</v>
      </c>
      <c r="E329" s="3699">
        <f t="shared" ref="E329:L329" si="124">0.07*E328</f>
        <v>0</v>
      </c>
      <c r="F329" s="3699">
        <f t="shared" si="124"/>
        <v>0</v>
      </c>
      <c r="G329" s="3699">
        <f t="shared" si="124"/>
        <v>8.2600000000000016</v>
      </c>
      <c r="H329" s="3707">
        <f t="shared" si="124"/>
        <v>0</v>
      </c>
      <c r="I329" s="3706">
        <f t="shared" si="124"/>
        <v>0</v>
      </c>
      <c r="J329" s="3699">
        <f t="shared" si="124"/>
        <v>0</v>
      </c>
      <c r="K329" s="3699">
        <f t="shared" si="124"/>
        <v>0</v>
      </c>
      <c r="L329" s="3699">
        <f t="shared" si="124"/>
        <v>0</v>
      </c>
      <c r="M329" s="3707"/>
      <c r="N329" s="3834"/>
      <c r="O329" s="3835"/>
      <c r="P329" s="3835"/>
      <c r="Q329" s="3835"/>
      <c r="R329" s="3836"/>
      <c r="S329" s="1172"/>
      <c r="T329" s="1172"/>
      <c r="U329" s="1172"/>
      <c r="V329" s="3533"/>
      <c r="W329" s="3534"/>
      <c r="X329" s="3534"/>
      <c r="Y329" s="3534"/>
      <c r="Z329" s="3535"/>
      <c r="AA329" s="3533"/>
      <c r="AB329" s="3534"/>
      <c r="AC329" s="3536"/>
    </row>
    <row r="330" spans="1:30">
      <c r="B330" s="4211"/>
      <c r="C330" s="3530" t="s">
        <v>581</v>
      </c>
      <c r="D330" s="3706"/>
      <c r="E330" s="3699"/>
      <c r="F330" s="3699"/>
      <c r="G330" s="3699"/>
      <c r="H330" s="3707"/>
      <c r="I330" s="3706"/>
      <c r="J330" s="3699"/>
      <c r="K330" s="3699"/>
      <c r="L330" s="3699"/>
      <c r="M330" s="3707"/>
      <c r="N330" s="3834"/>
      <c r="O330" s="3835"/>
      <c r="P330" s="3835"/>
      <c r="Q330" s="3835"/>
      <c r="R330" s="3836"/>
      <c r="S330" s="1172"/>
      <c r="T330" s="1172"/>
      <c r="U330" s="1172"/>
      <c r="V330" s="3533"/>
      <c r="W330" s="3534"/>
      <c r="X330" s="3534"/>
      <c r="Y330" s="3534"/>
      <c r="Z330" s="3535"/>
      <c r="AA330" s="3533"/>
      <c r="AB330" s="3534"/>
      <c r="AC330" s="3536"/>
    </row>
    <row r="331" spans="1:30">
      <c r="B331" s="4211"/>
      <c r="C331" s="3531" t="s">
        <v>584</v>
      </c>
      <c r="D331" s="3672">
        <f>D328+D329+D330</f>
        <v>7908.37</v>
      </c>
      <c r="E331" s="3666">
        <f t="shared" ref="E331:M331" si="125">E328+E329+E330</f>
        <v>0</v>
      </c>
      <c r="F331" s="3666">
        <f t="shared" si="125"/>
        <v>0</v>
      </c>
      <c r="G331" s="3666">
        <f t="shared" si="125"/>
        <v>126.26</v>
      </c>
      <c r="H331" s="3673">
        <f t="shared" si="125"/>
        <v>0</v>
      </c>
      <c r="I331" s="3672">
        <f t="shared" si="125"/>
        <v>0</v>
      </c>
      <c r="J331" s="3666">
        <f t="shared" si="125"/>
        <v>0</v>
      </c>
      <c r="K331" s="3666">
        <f t="shared" si="125"/>
        <v>0</v>
      </c>
      <c r="L331" s="3666">
        <f t="shared" si="125"/>
        <v>0</v>
      </c>
      <c r="M331" s="3673">
        <f t="shared" si="125"/>
        <v>0</v>
      </c>
      <c r="N331" s="3837"/>
      <c r="O331" s="3838"/>
      <c r="P331" s="3838"/>
      <c r="Q331" s="3838"/>
      <c r="R331" s="3839"/>
      <c r="S331" s="1172"/>
      <c r="T331" s="1172"/>
      <c r="U331" s="1172"/>
      <c r="V331" s="3533"/>
      <c r="W331" s="3534"/>
      <c r="X331" s="3534"/>
      <c r="Y331" s="3534"/>
      <c r="Z331" s="3535"/>
      <c r="AA331" s="3533"/>
      <c r="AB331" s="3534"/>
      <c r="AC331" s="3536"/>
    </row>
    <row r="332" spans="1:30">
      <c r="B332" s="4211"/>
      <c r="C332" s="3530" t="s">
        <v>605</v>
      </c>
      <c r="D332" s="3706"/>
      <c r="E332" s="3699"/>
      <c r="F332" s="3699"/>
      <c r="G332" s="3699"/>
      <c r="H332" s="3707"/>
      <c r="I332" s="3706"/>
      <c r="J332" s="3699"/>
      <c r="K332" s="3699"/>
      <c r="L332" s="3699"/>
      <c r="M332" s="3707"/>
      <c r="N332" s="3834"/>
      <c r="O332" s="3835"/>
      <c r="P332" s="3835"/>
      <c r="Q332" s="3835"/>
      <c r="R332" s="3836"/>
      <c r="S332" s="1172"/>
      <c r="T332" s="1172"/>
      <c r="U332" s="1172"/>
      <c r="V332" s="3533"/>
      <c r="W332" s="3534"/>
      <c r="X332" s="3534"/>
      <c r="Y332" s="3534"/>
      <c r="Z332" s="3535"/>
      <c r="AA332" s="3533"/>
      <c r="AB332" s="3534"/>
      <c r="AC332" s="3536"/>
    </row>
    <row r="333" spans="1:30">
      <c r="B333" s="4211"/>
      <c r="C333" s="3531" t="s">
        <v>585</v>
      </c>
      <c r="D333" s="3672">
        <f>D331-D332</f>
        <v>7908.37</v>
      </c>
      <c r="E333" s="3666">
        <f t="shared" ref="E333:M333" si="126">E331-E332</f>
        <v>0</v>
      </c>
      <c r="F333" s="3666">
        <f t="shared" si="126"/>
        <v>0</v>
      </c>
      <c r="G333" s="3666">
        <f t="shared" si="126"/>
        <v>126.26</v>
      </c>
      <c r="H333" s="3673">
        <f t="shared" si="126"/>
        <v>0</v>
      </c>
      <c r="I333" s="3672">
        <f t="shared" si="126"/>
        <v>0</v>
      </c>
      <c r="J333" s="3666">
        <f t="shared" si="126"/>
        <v>0</v>
      </c>
      <c r="K333" s="3666">
        <f t="shared" si="126"/>
        <v>0</v>
      </c>
      <c r="L333" s="3666">
        <f t="shared" si="126"/>
        <v>0</v>
      </c>
      <c r="M333" s="3673">
        <f t="shared" si="126"/>
        <v>0</v>
      </c>
      <c r="N333" s="3837"/>
      <c r="O333" s="3838"/>
      <c r="P333" s="3838"/>
      <c r="Q333" s="3838"/>
      <c r="R333" s="3839"/>
      <c r="S333" s="1172"/>
      <c r="T333" s="1172"/>
      <c r="U333" s="1172"/>
      <c r="V333" s="3533"/>
      <c r="W333" s="3534"/>
      <c r="X333" s="3534"/>
      <c r="Y333" s="3534"/>
      <c r="Z333" s="3535"/>
      <c r="AA333" s="3533"/>
      <c r="AB333" s="3534"/>
      <c r="AC333" s="3536"/>
    </row>
    <row r="334" spans="1:30" ht="13.5" thickBot="1">
      <c r="B334" s="4212"/>
      <c r="C334" s="3532" t="s">
        <v>93</v>
      </c>
      <c r="D334" s="470">
        <f t="shared" ref="D334:G334" si="127">D328/D327</f>
        <v>119.20967741935483</v>
      </c>
      <c r="E334" s="468"/>
      <c r="F334" s="468"/>
      <c r="G334" s="468">
        <f t="shared" si="127"/>
        <v>118</v>
      </c>
      <c r="H334" s="530"/>
      <c r="I334" s="470"/>
      <c r="J334" s="468"/>
      <c r="K334" s="468"/>
      <c r="L334" s="468"/>
      <c r="M334" s="530"/>
      <c r="N334" s="3834"/>
      <c r="O334" s="3835"/>
      <c r="P334" s="3835"/>
      <c r="Q334" s="3835"/>
      <c r="R334" s="3836"/>
      <c r="S334" s="1172"/>
      <c r="T334" s="1172"/>
      <c r="U334" s="1172"/>
      <c r="V334" s="3533"/>
      <c r="W334" s="3534"/>
      <c r="X334" s="3534"/>
      <c r="Y334" s="3534"/>
      <c r="Z334" s="3535"/>
      <c r="AA334" s="3533"/>
      <c r="AB334" s="3534"/>
      <c r="AC334" s="3536"/>
    </row>
    <row r="335" spans="1:30">
      <c r="B335" s="4211" t="s">
        <v>1810</v>
      </c>
      <c r="C335" s="3528" t="s">
        <v>90</v>
      </c>
      <c r="D335" s="3702">
        <f t="shared" ref="D335:L335" si="128">D28</f>
        <v>0</v>
      </c>
      <c r="E335" s="3703">
        <f t="shared" si="128"/>
        <v>0</v>
      </c>
      <c r="F335" s="3703">
        <f t="shared" si="128"/>
        <v>0</v>
      </c>
      <c r="G335" s="3703">
        <f t="shared" si="128"/>
        <v>2030</v>
      </c>
      <c r="H335" s="3704">
        <f t="shared" si="128"/>
        <v>0</v>
      </c>
      <c r="I335" s="3702">
        <f t="shared" si="128"/>
        <v>1546</v>
      </c>
      <c r="J335" s="3703">
        <f t="shared" si="128"/>
        <v>0</v>
      </c>
      <c r="K335" s="3703">
        <f t="shared" si="128"/>
        <v>614</v>
      </c>
      <c r="L335" s="3703">
        <f t="shared" si="128"/>
        <v>7262</v>
      </c>
      <c r="M335" s="3704">
        <f t="shared" ref="M335" si="129">M28+(0.5*SUM(M31,M34,M37,M40,M43,M46,M49,M52,M55,M58,M61,M64))</f>
        <v>15163</v>
      </c>
      <c r="N335" s="3831"/>
      <c r="O335" s="3832"/>
      <c r="P335" s="3832"/>
      <c r="Q335" s="3832"/>
      <c r="R335" s="3833"/>
      <c r="S335" s="1172"/>
      <c r="T335" s="1172"/>
      <c r="U335" s="1172"/>
      <c r="V335" s="3533"/>
      <c r="W335" s="3534"/>
      <c r="X335" s="3534"/>
      <c r="Y335" s="3534"/>
      <c r="Z335" s="3535"/>
      <c r="AA335" s="3533"/>
      <c r="AB335" s="3534"/>
      <c r="AC335" s="3536"/>
    </row>
    <row r="336" spans="1:30">
      <c r="B336" s="4211"/>
      <c r="C336" s="3529" t="s">
        <v>579</v>
      </c>
      <c r="D336" s="3710">
        <v>0</v>
      </c>
      <c r="E336" s="3700">
        <v>0</v>
      </c>
      <c r="F336" s="3700">
        <v>0</v>
      </c>
      <c r="G336" s="3700">
        <v>239877</v>
      </c>
      <c r="H336" s="3705">
        <v>0</v>
      </c>
      <c r="I336" s="3710">
        <v>238687</v>
      </c>
      <c r="J336" s="3700"/>
      <c r="K336" s="3700">
        <v>108581</v>
      </c>
      <c r="L336" s="3700">
        <v>1454998</v>
      </c>
      <c r="M336" s="3705">
        <v>2343643</v>
      </c>
      <c r="N336" s="3834"/>
      <c r="O336" s="3835"/>
      <c r="P336" s="3835"/>
      <c r="Q336" s="3835"/>
      <c r="R336" s="3836"/>
      <c r="S336" s="1172"/>
      <c r="T336" s="1172"/>
      <c r="U336" s="1172"/>
      <c r="V336" s="3533"/>
      <c r="W336" s="3534"/>
      <c r="X336" s="3534"/>
      <c r="Y336" s="3534"/>
      <c r="Z336" s="3535"/>
      <c r="AA336" s="3533"/>
      <c r="AB336" s="3534"/>
      <c r="AC336" s="3536"/>
    </row>
    <row r="337" spans="2:29">
      <c r="B337" s="4211"/>
      <c r="C337" s="3530" t="s">
        <v>583</v>
      </c>
      <c r="D337" s="3706">
        <f>0.07*D336</f>
        <v>0</v>
      </c>
      <c r="E337" s="3699">
        <f t="shared" ref="E337:L337" si="130">0.07*E336</f>
        <v>0</v>
      </c>
      <c r="F337" s="3699">
        <f t="shared" si="130"/>
        <v>0</v>
      </c>
      <c r="G337" s="3699">
        <f t="shared" si="130"/>
        <v>16791.390000000003</v>
      </c>
      <c r="H337" s="3707">
        <f t="shared" si="130"/>
        <v>0</v>
      </c>
      <c r="I337" s="3706">
        <f t="shared" si="130"/>
        <v>16708.09</v>
      </c>
      <c r="J337" s="3699">
        <f t="shared" si="130"/>
        <v>0</v>
      </c>
      <c r="K337" s="3699">
        <f t="shared" si="130"/>
        <v>7600.670000000001</v>
      </c>
      <c r="L337" s="3699">
        <f t="shared" si="130"/>
        <v>101849.86000000002</v>
      </c>
      <c r="M337" s="3707">
        <f>$M$250*M336</f>
        <v>0</v>
      </c>
      <c r="N337" s="3834"/>
      <c r="O337" s="3835"/>
      <c r="P337" s="3835"/>
      <c r="Q337" s="3835"/>
      <c r="R337" s="3836"/>
      <c r="S337" s="1172"/>
      <c r="T337" s="1172"/>
      <c r="U337" s="1172"/>
      <c r="V337" s="3533"/>
      <c r="W337" s="3534"/>
      <c r="X337" s="3534"/>
      <c r="Y337" s="3534"/>
      <c r="Z337" s="3535"/>
      <c r="AA337" s="3533"/>
      <c r="AB337" s="3534"/>
      <c r="AC337" s="3536"/>
    </row>
    <row r="338" spans="2:29">
      <c r="B338" s="4211"/>
      <c r="C338" s="3530" t="s">
        <v>581</v>
      </c>
      <c r="D338" s="3706"/>
      <c r="E338" s="3699"/>
      <c r="F338" s="3699"/>
      <c r="G338" s="3699"/>
      <c r="H338" s="3707"/>
      <c r="I338" s="3706"/>
      <c r="J338" s="3699"/>
      <c r="K338" s="3699"/>
      <c r="L338" s="3699"/>
      <c r="M338" s="3707"/>
      <c r="N338" s="3834"/>
      <c r="O338" s="3835"/>
      <c r="P338" s="3835"/>
      <c r="Q338" s="3835"/>
      <c r="R338" s="3836"/>
      <c r="S338" s="1172"/>
      <c r="T338" s="1172"/>
      <c r="U338" s="1172"/>
      <c r="V338" s="3533"/>
      <c r="W338" s="3534"/>
      <c r="X338" s="3534"/>
      <c r="Y338" s="3534"/>
      <c r="Z338" s="3535"/>
      <c r="AA338" s="3533"/>
      <c r="AB338" s="3534"/>
      <c r="AC338" s="3536"/>
    </row>
    <row r="339" spans="2:29">
      <c r="B339" s="4211"/>
      <c r="C339" s="3531" t="s">
        <v>584</v>
      </c>
      <c r="D339" s="3672">
        <f t="shared" ref="D339:M339" si="131">D336+D337+D338</f>
        <v>0</v>
      </c>
      <c r="E339" s="3666">
        <f t="shared" si="131"/>
        <v>0</v>
      </c>
      <c r="F339" s="3666">
        <f t="shared" si="131"/>
        <v>0</v>
      </c>
      <c r="G339" s="3666">
        <f t="shared" si="131"/>
        <v>256668.39</v>
      </c>
      <c r="H339" s="3673">
        <f t="shared" si="131"/>
        <v>0</v>
      </c>
      <c r="I339" s="3672">
        <f t="shared" si="131"/>
        <v>255395.09</v>
      </c>
      <c r="J339" s="3666">
        <f t="shared" si="131"/>
        <v>0</v>
      </c>
      <c r="K339" s="3666">
        <f t="shared" si="131"/>
        <v>116181.67</v>
      </c>
      <c r="L339" s="3666">
        <f t="shared" si="131"/>
        <v>1556847.86</v>
      </c>
      <c r="M339" s="3673">
        <f t="shared" si="131"/>
        <v>2343643</v>
      </c>
      <c r="N339" s="3837"/>
      <c r="O339" s="3838"/>
      <c r="P339" s="3838"/>
      <c r="Q339" s="3838"/>
      <c r="R339" s="3839"/>
      <c r="S339" s="1172"/>
      <c r="T339" s="1172"/>
      <c r="U339" s="1172"/>
      <c r="V339" s="3533"/>
      <c r="W339" s="3534"/>
      <c r="X339" s="3534"/>
      <c r="Y339" s="3534"/>
      <c r="Z339" s="3535"/>
      <c r="AA339" s="3533"/>
      <c r="AB339" s="3534"/>
      <c r="AC339" s="3536"/>
    </row>
    <row r="340" spans="2:29">
      <c r="B340" s="4211"/>
      <c r="C340" s="3530" t="s">
        <v>605</v>
      </c>
      <c r="D340" s="3706"/>
      <c r="E340" s="3699"/>
      <c r="F340" s="3699"/>
      <c r="G340" s="3699"/>
      <c r="H340" s="3707"/>
      <c r="I340" s="3706"/>
      <c r="J340" s="3699"/>
      <c r="K340" s="3699"/>
      <c r="L340" s="3699"/>
      <c r="M340" s="3707"/>
      <c r="N340" s="3834"/>
      <c r="O340" s="3835"/>
      <c r="P340" s="3835"/>
      <c r="Q340" s="3835"/>
      <c r="R340" s="3836"/>
      <c r="S340" s="1172"/>
      <c r="T340" s="1172"/>
      <c r="U340" s="1172"/>
      <c r="V340" s="3533"/>
      <c r="W340" s="3534"/>
      <c r="X340" s="3534"/>
      <c r="Y340" s="3534"/>
      <c r="Z340" s="3535"/>
      <c r="AA340" s="3533"/>
      <c r="AB340" s="3534"/>
      <c r="AC340" s="3536"/>
    </row>
    <row r="341" spans="2:29">
      <c r="B341" s="4211"/>
      <c r="C341" s="3531" t="s">
        <v>585</v>
      </c>
      <c r="D341" s="3672">
        <f t="shared" ref="D341:M349" si="132">D339-D340</f>
        <v>0</v>
      </c>
      <c r="E341" s="3666">
        <f t="shared" si="132"/>
        <v>0</v>
      </c>
      <c r="F341" s="3666">
        <f t="shared" si="132"/>
        <v>0</v>
      </c>
      <c r="G341" s="3666">
        <f t="shared" si="132"/>
        <v>256668.39</v>
      </c>
      <c r="H341" s="3673">
        <f t="shared" si="132"/>
        <v>0</v>
      </c>
      <c r="I341" s="3672">
        <f t="shared" si="132"/>
        <v>255395.09</v>
      </c>
      <c r="J341" s="3666">
        <f t="shared" si="132"/>
        <v>0</v>
      </c>
      <c r="K341" s="3666">
        <f t="shared" si="132"/>
        <v>116181.67</v>
      </c>
      <c r="L341" s="3666">
        <f t="shared" si="132"/>
        <v>1556847.86</v>
      </c>
      <c r="M341" s="3673">
        <f t="shared" si="132"/>
        <v>2343643</v>
      </c>
      <c r="N341" s="3837"/>
      <c r="O341" s="3838"/>
      <c r="P341" s="3838"/>
      <c r="Q341" s="3838"/>
      <c r="R341" s="3839"/>
      <c r="S341" s="1172"/>
      <c r="T341" s="1172"/>
      <c r="U341" s="1172"/>
      <c r="V341" s="3533"/>
      <c r="W341" s="3534"/>
      <c r="X341" s="3534"/>
      <c r="Y341" s="3534"/>
      <c r="Z341" s="3535"/>
      <c r="AA341" s="3533"/>
      <c r="AB341" s="3534"/>
      <c r="AC341" s="3536"/>
    </row>
    <row r="342" spans="2:29" ht="13.5" thickBot="1">
      <c r="B342" s="4212"/>
      <c r="C342" s="3532" t="s">
        <v>93</v>
      </c>
      <c r="D342" s="470" t="e">
        <f>D336/D335</f>
        <v>#DIV/0!</v>
      </c>
      <c r="E342" s="468" t="e">
        <f t="shared" ref="E342:M342" si="133">E336/E335</f>
        <v>#DIV/0!</v>
      </c>
      <c r="F342" s="468" t="e">
        <f t="shared" si="133"/>
        <v>#DIV/0!</v>
      </c>
      <c r="G342" s="468">
        <f t="shared" si="133"/>
        <v>118.16600985221675</v>
      </c>
      <c r="H342" s="530"/>
      <c r="I342" s="470">
        <f t="shared" si="133"/>
        <v>154.39003880983182</v>
      </c>
      <c r="J342" s="468"/>
      <c r="K342" s="468">
        <f t="shared" si="133"/>
        <v>176.84201954397395</v>
      </c>
      <c r="L342" s="468">
        <f t="shared" si="133"/>
        <v>200.3577526852107</v>
      </c>
      <c r="M342" s="530">
        <f t="shared" si="133"/>
        <v>154.56327903449184</v>
      </c>
      <c r="N342" s="3834"/>
      <c r="O342" s="3835"/>
      <c r="P342" s="3835"/>
      <c r="Q342" s="3835"/>
      <c r="R342" s="3836"/>
      <c r="S342" s="1172"/>
      <c r="T342" s="1172"/>
      <c r="U342" s="1172"/>
      <c r="V342" s="3533"/>
      <c r="W342" s="3534"/>
      <c r="X342" s="3534"/>
      <c r="Y342" s="3534"/>
      <c r="Z342" s="3535"/>
      <c r="AA342" s="3533"/>
      <c r="AB342" s="3534"/>
      <c r="AC342" s="3536"/>
    </row>
    <row r="343" spans="2:29">
      <c r="B343" s="4211" t="s">
        <v>1813</v>
      </c>
      <c r="C343" s="3528" t="s">
        <v>90</v>
      </c>
      <c r="D343" s="3702">
        <f t="shared" ref="D343:L343" si="134">D37</f>
        <v>14538</v>
      </c>
      <c r="E343" s="3703">
        <f t="shared" si="134"/>
        <v>3606</v>
      </c>
      <c r="F343" s="3703">
        <f t="shared" si="134"/>
        <v>5869</v>
      </c>
      <c r="G343" s="3703">
        <f t="shared" si="134"/>
        <v>9484</v>
      </c>
      <c r="H343" s="3704">
        <f t="shared" si="134"/>
        <v>7717</v>
      </c>
      <c r="I343" s="3702">
        <f t="shared" si="134"/>
        <v>7525</v>
      </c>
      <c r="J343" s="3703">
        <f t="shared" si="134"/>
        <v>6150</v>
      </c>
      <c r="K343" s="3703">
        <f t="shared" si="134"/>
        <v>3460</v>
      </c>
      <c r="L343" s="3703">
        <f t="shared" si="134"/>
        <v>9635</v>
      </c>
      <c r="M343" s="3704"/>
      <c r="N343" s="3831"/>
      <c r="O343" s="3832"/>
      <c r="P343" s="3832"/>
      <c r="Q343" s="3832"/>
      <c r="R343" s="3833"/>
      <c r="S343" s="1172"/>
      <c r="T343" s="1172"/>
      <c r="U343" s="1172"/>
      <c r="V343" s="3533"/>
      <c r="W343" s="3534"/>
      <c r="X343" s="3534"/>
      <c r="Y343" s="3534"/>
      <c r="Z343" s="3535"/>
      <c r="AA343" s="3533"/>
      <c r="AB343" s="3534"/>
      <c r="AC343" s="3536"/>
    </row>
    <row r="344" spans="2:29">
      <c r="B344" s="4211"/>
      <c r="C344" s="3529" t="s">
        <v>579</v>
      </c>
      <c r="D344" s="3710">
        <v>1733039</v>
      </c>
      <c r="E344" s="3700">
        <v>496469</v>
      </c>
      <c r="F344" s="3700">
        <v>830139</v>
      </c>
      <c r="G344" s="3700">
        <v>1120686</v>
      </c>
      <c r="H344" s="3705">
        <v>1295209</v>
      </c>
      <c r="I344" s="3710">
        <v>1161785</v>
      </c>
      <c r="J344" s="3700">
        <v>812218</v>
      </c>
      <c r="K344" s="3700">
        <v>611876</v>
      </c>
      <c r="L344" s="3700">
        <v>1930446</v>
      </c>
      <c r="M344" s="3705">
        <v>0</v>
      </c>
      <c r="N344" s="3834"/>
      <c r="O344" s="3835"/>
      <c r="P344" s="3835"/>
      <c r="Q344" s="3835"/>
      <c r="R344" s="3836"/>
      <c r="S344" s="1172"/>
      <c r="T344" s="1172"/>
      <c r="U344" s="1172"/>
      <c r="V344" s="3533"/>
      <c r="W344" s="3534"/>
      <c r="X344" s="3534"/>
      <c r="Y344" s="3534"/>
      <c r="Z344" s="3535"/>
      <c r="AA344" s="3533"/>
      <c r="AB344" s="3534"/>
      <c r="AC344" s="3536"/>
    </row>
    <row r="345" spans="2:29">
      <c r="B345" s="4211"/>
      <c r="C345" s="3530" t="s">
        <v>583</v>
      </c>
      <c r="D345" s="3706">
        <f>0.07*D344</f>
        <v>121312.73000000001</v>
      </c>
      <c r="E345" s="3699">
        <f t="shared" ref="E345:L345" si="135">0.07*E344</f>
        <v>34752.83</v>
      </c>
      <c r="F345" s="3699">
        <f t="shared" si="135"/>
        <v>58109.73</v>
      </c>
      <c r="G345" s="3699">
        <f t="shared" si="135"/>
        <v>78448.02</v>
      </c>
      <c r="H345" s="3707">
        <f t="shared" si="135"/>
        <v>90664.63</v>
      </c>
      <c r="I345" s="3706">
        <f t="shared" si="135"/>
        <v>81324.950000000012</v>
      </c>
      <c r="J345" s="3699">
        <f t="shared" si="135"/>
        <v>56855.26</v>
      </c>
      <c r="K345" s="3699">
        <f t="shared" si="135"/>
        <v>42831.320000000007</v>
      </c>
      <c r="L345" s="3699">
        <f t="shared" si="135"/>
        <v>135131.22</v>
      </c>
      <c r="M345" s="3707"/>
      <c r="N345" s="3834"/>
      <c r="O345" s="3835"/>
      <c r="P345" s="3835"/>
      <c r="Q345" s="3835"/>
      <c r="R345" s="3836"/>
      <c r="S345" s="1172"/>
      <c r="T345" s="1172"/>
      <c r="U345" s="1172"/>
      <c r="V345" s="3533"/>
      <c r="W345" s="3534"/>
      <c r="X345" s="3534"/>
      <c r="Y345" s="3534"/>
      <c r="Z345" s="3535"/>
      <c r="AA345" s="3533"/>
      <c r="AB345" s="3534"/>
      <c r="AC345" s="3536"/>
    </row>
    <row r="346" spans="2:29">
      <c r="B346" s="4211"/>
      <c r="C346" s="3530" t="s">
        <v>581</v>
      </c>
      <c r="D346" s="3706"/>
      <c r="E346" s="3699"/>
      <c r="F346" s="3699"/>
      <c r="G346" s="3699"/>
      <c r="H346" s="3707"/>
      <c r="I346" s="3706"/>
      <c r="J346" s="3699"/>
      <c r="K346" s="3699"/>
      <c r="L346" s="3699"/>
      <c r="M346" s="3707"/>
      <c r="N346" s="3834"/>
      <c r="O346" s="3835"/>
      <c r="P346" s="3835"/>
      <c r="Q346" s="3835"/>
      <c r="R346" s="3836"/>
      <c r="S346" s="1172"/>
      <c r="T346" s="1172"/>
      <c r="U346" s="1172"/>
      <c r="V346" s="3533"/>
      <c r="W346" s="3534"/>
      <c r="X346" s="3534"/>
      <c r="Y346" s="3534"/>
      <c r="Z346" s="3535"/>
      <c r="AA346" s="3533"/>
      <c r="AB346" s="3534"/>
      <c r="AC346" s="3536"/>
    </row>
    <row r="347" spans="2:29">
      <c r="B347" s="4211"/>
      <c r="C347" s="3531" t="s">
        <v>584</v>
      </c>
      <c r="D347" s="3672">
        <f t="shared" ref="D347:M347" si="136">D344+D345+D346</f>
        <v>1854351.73</v>
      </c>
      <c r="E347" s="3666">
        <f t="shared" si="136"/>
        <v>531221.82999999996</v>
      </c>
      <c r="F347" s="3666">
        <f t="shared" si="136"/>
        <v>888248.73</v>
      </c>
      <c r="G347" s="3666">
        <f t="shared" si="136"/>
        <v>1199134.02</v>
      </c>
      <c r="H347" s="3673">
        <f t="shared" si="136"/>
        <v>1385873.63</v>
      </c>
      <c r="I347" s="3672">
        <f t="shared" si="136"/>
        <v>1243109.95</v>
      </c>
      <c r="J347" s="3666">
        <f t="shared" si="136"/>
        <v>869073.26</v>
      </c>
      <c r="K347" s="3666">
        <f t="shared" si="136"/>
        <v>654707.32000000007</v>
      </c>
      <c r="L347" s="3666">
        <f t="shared" si="136"/>
        <v>2065577.22</v>
      </c>
      <c r="M347" s="3673">
        <f t="shared" si="136"/>
        <v>0</v>
      </c>
      <c r="N347" s="3837"/>
      <c r="O347" s="3838"/>
      <c r="P347" s="3838"/>
      <c r="Q347" s="3838"/>
      <c r="R347" s="3839"/>
      <c r="S347" s="1172"/>
      <c r="T347" s="1172"/>
      <c r="U347" s="1172"/>
      <c r="V347" s="3533"/>
      <c r="W347" s="3534"/>
      <c r="X347" s="3534"/>
      <c r="Y347" s="3534"/>
      <c r="Z347" s="3535"/>
      <c r="AA347" s="3533"/>
      <c r="AB347" s="3534"/>
      <c r="AC347" s="3536"/>
    </row>
    <row r="348" spans="2:29">
      <c r="B348" s="4211"/>
      <c r="C348" s="3530" t="s">
        <v>605</v>
      </c>
      <c r="D348" s="3706"/>
      <c r="E348" s="3699"/>
      <c r="F348" s="3699"/>
      <c r="G348" s="3699"/>
      <c r="H348" s="3707"/>
      <c r="I348" s="3706"/>
      <c r="J348" s="3699"/>
      <c r="K348" s="3699"/>
      <c r="L348" s="3699"/>
      <c r="M348" s="3707"/>
      <c r="N348" s="3834"/>
      <c r="O348" s="3835"/>
      <c r="P348" s="3835"/>
      <c r="Q348" s="3835"/>
      <c r="R348" s="3836"/>
      <c r="S348" s="1172"/>
      <c r="T348" s="1172"/>
      <c r="U348" s="1172"/>
      <c r="V348" s="3533"/>
      <c r="W348" s="3534"/>
      <c r="X348" s="3534"/>
      <c r="Y348" s="3534"/>
      <c r="Z348" s="3535"/>
      <c r="AA348" s="3533"/>
      <c r="AB348" s="3534"/>
      <c r="AC348" s="3536"/>
    </row>
    <row r="349" spans="2:29">
      <c r="B349" s="4211"/>
      <c r="C349" s="3531" t="s">
        <v>585</v>
      </c>
      <c r="D349" s="3672">
        <f t="shared" ref="D349:I349" si="137">D347-D348</f>
        <v>1854351.73</v>
      </c>
      <c r="E349" s="3666">
        <f t="shared" si="137"/>
        <v>531221.82999999996</v>
      </c>
      <c r="F349" s="3666">
        <f t="shared" si="137"/>
        <v>888248.73</v>
      </c>
      <c r="G349" s="3666">
        <f t="shared" si="137"/>
        <v>1199134.02</v>
      </c>
      <c r="H349" s="3673">
        <f t="shared" si="137"/>
        <v>1385873.63</v>
      </c>
      <c r="I349" s="3672">
        <f t="shared" si="137"/>
        <v>1243109.95</v>
      </c>
      <c r="J349" s="3666">
        <f t="shared" si="132"/>
        <v>869073.26</v>
      </c>
      <c r="K349" s="3666">
        <f t="shared" si="132"/>
        <v>654707.32000000007</v>
      </c>
      <c r="L349" s="3666">
        <f t="shared" si="132"/>
        <v>2065577.22</v>
      </c>
      <c r="M349" s="3673">
        <f t="shared" si="132"/>
        <v>0</v>
      </c>
      <c r="N349" s="3837"/>
      <c r="O349" s="3838"/>
      <c r="P349" s="3838"/>
      <c r="Q349" s="3838"/>
      <c r="R349" s="3839"/>
      <c r="S349" s="1172"/>
      <c r="T349" s="1172"/>
      <c r="U349" s="1172"/>
      <c r="V349" s="3533"/>
      <c r="W349" s="3534"/>
      <c r="X349" s="3534"/>
      <c r="Y349" s="3534"/>
      <c r="Z349" s="3535"/>
      <c r="AA349" s="3533"/>
      <c r="AB349" s="3534"/>
      <c r="AC349" s="3536"/>
    </row>
    <row r="350" spans="2:29" ht="13.5" thickBot="1">
      <c r="B350" s="4212"/>
      <c r="C350" s="3532" t="s">
        <v>93</v>
      </c>
      <c r="D350" s="470">
        <f t="shared" ref="D350:L350" si="138">D344/D343</f>
        <v>119.20752510661714</v>
      </c>
      <c r="E350" s="468">
        <f t="shared" si="138"/>
        <v>137.67859123682751</v>
      </c>
      <c r="F350" s="468">
        <f t="shared" si="138"/>
        <v>141.44470949054354</v>
      </c>
      <c r="G350" s="468">
        <f t="shared" si="138"/>
        <v>118.16596372838465</v>
      </c>
      <c r="H350" s="530">
        <f t="shared" si="138"/>
        <v>167.83840870804715</v>
      </c>
      <c r="I350" s="470">
        <f t="shared" si="138"/>
        <v>154.39003322259137</v>
      </c>
      <c r="J350" s="468">
        <f t="shared" si="138"/>
        <v>132.06796747967479</v>
      </c>
      <c r="K350" s="468">
        <f t="shared" si="138"/>
        <v>176.84277456647399</v>
      </c>
      <c r="L350" s="468">
        <f t="shared" si="138"/>
        <v>200.3576543850545</v>
      </c>
      <c r="M350" s="530"/>
      <c r="N350" s="3834"/>
      <c r="O350" s="3835"/>
      <c r="P350" s="3835"/>
      <c r="Q350" s="3835"/>
      <c r="R350" s="3836"/>
      <c r="S350" s="1172"/>
      <c r="T350" s="1172"/>
      <c r="U350" s="1172"/>
      <c r="V350" s="3533"/>
      <c r="W350" s="3534"/>
      <c r="X350" s="3534"/>
      <c r="Y350" s="3534"/>
      <c r="Z350" s="3535"/>
      <c r="AA350" s="3533"/>
      <c r="AB350" s="3534"/>
      <c r="AC350" s="3536"/>
    </row>
    <row r="351" spans="2:29">
      <c r="B351" s="4211" t="s">
        <v>1823</v>
      </c>
      <c r="C351" s="3528" t="s">
        <v>90</v>
      </c>
      <c r="D351" s="3702">
        <f>D67</f>
        <v>266</v>
      </c>
      <c r="E351" s="3703">
        <f t="shared" ref="E351:M351" si="139">E67</f>
        <v>145</v>
      </c>
      <c r="F351" s="3703">
        <f t="shared" si="139"/>
        <v>165</v>
      </c>
      <c r="G351" s="3703">
        <f t="shared" si="139"/>
        <v>399</v>
      </c>
      <c r="H351" s="3704">
        <f t="shared" si="139"/>
        <v>332</v>
      </c>
      <c r="I351" s="3702">
        <f t="shared" si="139"/>
        <v>248</v>
      </c>
      <c r="J351" s="3703">
        <f t="shared" si="139"/>
        <v>324</v>
      </c>
      <c r="K351" s="3703">
        <f t="shared" si="139"/>
        <v>251</v>
      </c>
      <c r="L351" s="3703">
        <f t="shared" si="139"/>
        <v>47</v>
      </c>
      <c r="M351" s="3704">
        <f t="shared" si="139"/>
        <v>33.4</v>
      </c>
      <c r="N351" s="3831"/>
      <c r="O351" s="3832"/>
      <c r="P351" s="3832"/>
      <c r="Q351" s="3832"/>
      <c r="R351" s="3833"/>
      <c r="S351" s="1172"/>
      <c r="T351" s="1172"/>
      <c r="U351" s="1172"/>
      <c r="V351" s="3533"/>
      <c r="W351" s="3534"/>
      <c r="X351" s="3534"/>
      <c r="Y351" s="3534"/>
      <c r="Z351" s="3535"/>
      <c r="AA351" s="3533"/>
      <c r="AB351" s="3534"/>
      <c r="AC351" s="3536"/>
    </row>
    <row r="352" spans="2:29">
      <c r="B352" s="4211"/>
      <c r="C352" s="3529" t="s">
        <v>579</v>
      </c>
      <c r="D352" s="3710">
        <v>337638</v>
      </c>
      <c r="E352" s="3700">
        <v>103214</v>
      </c>
      <c r="F352" s="3700">
        <v>110286</v>
      </c>
      <c r="G352" s="3700">
        <v>271034</v>
      </c>
      <c r="H352" s="3705">
        <v>338631</v>
      </c>
      <c r="I352" s="3710">
        <v>344376</v>
      </c>
      <c r="J352" s="3700">
        <v>328802</v>
      </c>
      <c r="K352" s="3700">
        <v>302221</v>
      </c>
      <c r="L352" s="3700">
        <v>128233</v>
      </c>
      <c r="M352" s="3705">
        <v>66076</v>
      </c>
      <c r="N352" s="3834"/>
      <c r="O352" s="3835"/>
      <c r="P352" s="3835"/>
      <c r="Q352" s="3835"/>
      <c r="R352" s="3836"/>
      <c r="S352" s="1172"/>
      <c r="T352" s="1172"/>
      <c r="U352" s="1172"/>
      <c r="V352" s="3533"/>
      <c r="W352" s="3534"/>
      <c r="X352" s="3534"/>
      <c r="Y352" s="3534"/>
      <c r="Z352" s="3535"/>
      <c r="AA352" s="3533"/>
      <c r="AB352" s="3534"/>
      <c r="AC352" s="3536"/>
    </row>
    <row r="353" spans="2:29">
      <c r="B353" s="4211"/>
      <c r="C353" s="3530" t="s">
        <v>583</v>
      </c>
      <c r="D353" s="3706">
        <f>0.07*D352</f>
        <v>23634.660000000003</v>
      </c>
      <c r="E353" s="3699">
        <f t="shared" ref="E353:L353" si="140">0.07*E352</f>
        <v>7224.9800000000005</v>
      </c>
      <c r="F353" s="3699">
        <f t="shared" si="140"/>
        <v>7720.02</v>
      </c>
      <c r="G353" s="3699">
        <f t="shared" si="140"/>
        <v>18972.38</v>
      </c>
      <c r="H353" s="3707">
        <f t="shared" si="140"/>
        <v>23704.170000000002</v>
      </c>
      <c r="I353" s="3706">
        <f t="shared" si="140"/>
        <v>24106.320000000003</v>
      </c>
      <c r="J353" s="3699">
        <f t="shared" si="140"/>
        <v>23016.140000000003</v>
      </c>
      <c r="K353" s="3699">
        <f t="shared" si="140"/>
        <v>21155.47</v>
      </c>
      <c r="L353" s="3699">
        <f t="shared" si="140"/>
        <v>8976.3100000000013</v>
      </c>
      <c r="M353" s="3707">
        <f>$M$250*M352</f>
        <v>0</v>
      </c>
      <c r="N353" s="3834"/>
      <c r="O353" s="3835"/>
      <c r="P353" s="3835"/>
      <c r="Q353" s="3835"/>
      <c r="R353" s="3836"/>
      <c r="S353" s="1172"/>
      <c r="T353" s="1172"/>
      <c r="U353" s="1172"/>
      <c r="V353" s="3533"/>
      <c r="W353" s="3534"/>
      <c r="X353" s="3534"/>
      <c r="Y353" s="3534"/>
      <c r="Z353" s="3535"/>
      <c r="AA353" s="3533"/>
      <c r="AB353" s="3534"/>
      <c r="AC353" s="3536"/>
    </row>
    <row r="354" spans="2:29">
      <c r="B354" s="4211"/>
      <c r="C354" s="3530" t="s">
        <v>581</v>
      </c>
      <c r="D354" s="3706"/>
      <c r="E354" s="3699"/>
      <c r="F354" s="3699"/>
      <c r="G354" s="3699"/>
      <c r="H354" s="3707"/>
      <c r="I354" s="3706"/>
      <c r="J354" s="3699"/>
      <c r="K354" s="3699"/>
      <c r="L354" s="3699"/>
      <c r="M354" s="3707"/>
      <c r="N354" s="3834"/>
      <c r="O354" s="3835"/>
      <c r="P354" s="3835"/>
      <c r="Q354" s="3835"/>
      <c r="R354" s="3836"/>
      <c r="S354" s="1172"/>
      <c r="T354" s="1172"/>
      <c r="U354" s="1172"/>
      <c r="V354" s="3533"/>
      <c r="W354" s="3534"/>
      <c r="X354" s="3534"/>
      <c r="Y354" s="3534"/>
      <c r="Z354" s="3535"/>
      <c r="AA354" s="3533"/>
      <c r="AB354" s="3534"/>
      <c r="AC354" s="3536"/>
    </row>
    <row r="355" spans="2:29">
      <c r="B355" s="4211"/>
      <c r="C355" s="3531" t="s">
        <v>584</v>
      </c>
      <c r="D355" s="3672">
        <f t="shared" ref="D355:M355" si="141">D352+D353+D354</f>
        <v>361272.66000000003</v>
      </c>
      <c r="E355" s="3666">
        <f t="shared" si="141"/>
        <v>110438.98</v>
      </c>
      <c r="F355" s="3666">
        <f t="shared" si="141"/>
        <v>118006.02</v>
      </c>
      <c r="G355" s="3666">
        <f t="shared" si="141"/>
        <v>290006.38</v>
      </c>
      <c r="H355" s="3673">
        <f t="shared" si="141"/>
        <v>362335.17</v>
      </c>
      <c r="I355" s="3672">
        <f t="shared" si="141"/>
        <v>368482.32</v>
      </c>
      <c r="J355" s="3666">
        <f t="shared" si="141"/>
        <v>351818.14</v>
      </c>
      <c r="K355" s="3666">
        <f t="shared" si="141"/>
        <v>323376.46999999997</v>
      </c>
      <c r="L355" s="3666">
        <f t="shared" si="141"/>
        <v>137209.31</v>
      </c>
      <c r="M355" s="3673">
        <f t="shared" si="141"/>
        <v>66076</v>
      </c>
      <c r="N355" s="3837"/>
      <c r="O355" s="3838"/>
      <c r="P355" s="3838"/>
      <c r="Q355" s="3838"/>
      <c r="R355" s="3839"/>
      <c r="S355" s="1172"/>
      <c r="T355" s="1172"/>
      <c r="U355" s="1172"/>
      <c r="V355" s="3533"/>
      <c r="W355" s="3534"/>
      <c r="X355" s="3534"/>
      <c r="Y355" s="3534"/>
      <c r="Z355" s="3535"/>
      <c r="AA355" s="3533"/>
      <c r="AB355" s="3534"/>
      <c r="AC355" s="3536"/>
    </row>
    <row r="356" spans="2:29">
      <c r="B356" s="4211"/>
      <c r="C356" s="3530" t="s">
        <v>605</v>
      </c>
      <c r="D356" s="3706"/>
      <c r="E356" s="3699"/>
      <c r="F356" s="3699"/>
      <c r="G356" s="3699"/>
      <c r="H356" s="3707"/>
      <c r="I356" s="3706"/>
      <c r="J356" s="3699"/>
      <c r="K356" s="3699"/>
      <c r="L356" s="3699"/>
      <c r="M356" s="3707"/>
      <c r="N356" s="3834"/>
      <c r="O356" s="3835"/>
      <c r="P356" s="3835"/>
      <c r="Q356" s="3835"/>
      <c r="R356" s="3836"/>
      <c r="S356" s="1172"/>
      <c r="T356" s="1172"/>
      <c r="U356" s="1172"/>
      <c r="V356" s="3533"/>
      <c r="W356" s="3534"/>
      <c r="X356" s="3534"/>
      <c r="Y356" s="3534"/>
      <c r="Z356" s="3535"/>
      <c r="AA356" s="3533"/>
      <c r="AB356" s="3534"/>
      <c r="AC356" s="3536"/>
    </row>
    <row r="357" spans="2:29">
      <c r="B357" s="4211"/>
      <c r="C357" s="3531" t="s">
        <v>585</v>
      </c>
      <c r="D357" s="3672">
        <f t="shared" ref="D357:M365" si="142">D355-D356</f>
        <v>361272.66000000003</v>
      </c>
      <c r="E357" s="3666">
        <f t="shared" si="142"/>
        <v>110438.98</v>
      </c>
      <c r="F357" s="3666">
        <f t="shared" si="142"/>
        <v>118006.02</v>
      </c>
      <c r="G357" s="3666">
        <f t="shared" si="142"/>
        <v>290006.38</v>
      </c>
      <c r="H357" s="3673">
        <f t="shared" si="142"/>
        <v>362335.17</v>
      </c>
      <c r="I357" s="3672">
        <f t="shared" si="142"/>
        <v>368482.32</v>
      </c>
      <c r="J357" s="3666">
        <f t="shared" si="142"/>
        <v>351818.14</v>
      </c>
      <c r="K357" s="3666">
        <f t="shared" si="142"/>
        <v>323376.46999999997</v>
      </c>
      <c r="L357" s="3666">
        <f t="shared" si="142"/>
        <v>137209.31</v>
      </c>
      <c r="M357" s="3673">
        <f t="shared" si="142"/>
        <v>66076</v>
      </c>
      <c r="N357" s="3837"/>
      <c r="O357" s="3838"/>
      <c r="P357" s="3838"/>
      <c r="Q357" s="3838"/>
      <c r="R357" s="3839"/>
      <c r="S357" s="1172"/>
      <c r="T357" s="1172"/>
      <c r="U357" s="1172"/>
      <c r="V357" s="3533"/>
      <c r="W357" s="3534"/>
      <c r="X357" s="3534"/>
      <c r="Y357" s="3534"/>
      <c r="Z357" s="3535"/>
      <c r="AA357" s="3533"/>
      <c r="AB357" s="3534"/>
      <c r="AC357" s="3536"/>
    </row>
    <row r="358" spans="2:29" ht="13.5" thickBot="1">
      <c r="B358" s="4212"/>
      <c r="C358" s="3532" t="s">
        <v>93</v>
      </c>
      <c r="D358" s="3712">
        <f t="shared" ref="D358:M358" si="143">D352/D351</f>
        <v>1269.3157894736842</v>
      </c>
      <c r="E358" s="3713">
        <f t="shared" si="143"/>
        <v>711.82068965517237</v>
      </c>
      <c r="F358" s="3713">
        <f t="shared" si="143"/>
        <v>668.4</v>
      </c>
      <c r="G358" s="3713">
        <f t="shared" si="143"/>
        <v>679.2832080200501</v>
      </c>
      <c r="H358" s="3714">
        <f t="shared" si="143"/>
        <v>1019.972891566265</v>
      </c>
      <c r="I358" s="470">
        <f t="shared" si="143"/>
        <v>1388.6129032258063</v>
      </c>
      <c r="J358" s="468">
        <f t="shared" si="143"/>
        <v>1014.820987654321</v>
      </c>
      <c r="K358" s="468">
        <f t="shared" si="143"/>
        <v>1204.0677290836654</v>
      </c>
      <c r="L358" s="468">
        <f t="shared" si="143"/>
        <v>2728.3617021276596</v>
      </c>
      <c r="M358" s="530">
        <f t="shared" si="143"/>
        <v>1978.3233532934132</v>
      </c>
      <c r="N358" s="3840"/>
      <c r="O358" s="3841"/>
      <c r="P358" s="3841"/>
      <c r="Q358" s="3841"/>
      <c r="R358" s="3842"/>
      <c r="S358" s="1172"/>
      <c r="T358" s="1172"/>
      <c r="U358" s="1172"/>
      <c r="V358" s="3533"/>
      <c r="W358" s="3534"/>
      <c r="X358" s="3534"/>
      <c r="Y358" s="3534"/>
      <c r="Z358" s="3535"/>
      <c r="AA358" s="3533"/>
      <c r="AB358" s="3534"/>
      <c r="AC358" s="3536"/>
    </row>
    <row r="359" spans="2:29">
      <c r="B359" s="4211" t="s">
        <v>1824</v>
      </c>
      <c r="C359" s="3528" t="s">
        <v>90</v>
      </c>
      <c r="D359" s="3737">
        <f>D70</f>
        <v>96</v>
      </c>
      <c r="E359" s="3736">
        <f t="shared" ref="E359:M359" si="144">E70</f>
        <v>76</v>
      </c>
      <c r="F359" s="3736">
        <f t="shared" si="144"/>
        <v>71</v>
      </c>
      <c r="G359" s="3736">
        <f t="shared" si="144"/>
        <v>65</v>
      </c>
      <c r="H359" s="3735">
        <f t="shared" si="144"/>
        <v>50</v>
      </c>
      <c r="I359" s="3702">
        <f t="shared" si="144"/>
        <v>48</v>
      </c>
      <c r="J359" s="3703">
        <f t="shared" si="144"/>
        <v>92</v>
      </c>
      <c r="K359" s="3703">
        <f t="shared" si="144"/>
        <v>251</v>
      </c>
      <c r="L359" s="3703">
        <f t="shared" si="144"/>
        <v>12</v>
      </c>
      <c r="M359" s="3704">
        <f t="shared" si="144"/>
        <v>37.200000000000003</v>
      </c>
      <c r="N359" s="3843"/>
      <c r="O359" s="3844"/>
      <c r="P359" s="3844"/>
      <c r="Q359" s="3844"/>
      <c r="R359" s="3845"/>
      <c r="S359" s="1172"/>
      <c r="T359" s="1172"/>
      <c r="U359" s="1172"/>
      <c r="V359" s="3533"/>
      <c r="W359" s="3534"/>
      <c r="X359" s="3534"/>
      <c r="Y359" s="3534"/>
      <c r="Z359" s="3535"/>
      <c r="AA359" s="3533"/>
      <c r="AB359" s="3534"/>
      <c r="AC359" s="3536"/>
    </row>
    <row r="360" spans="2:29">
      <c r="B360" s="4211"/>
      <c r="C360" s="3529" t="s">
        <v>579</v>
      </c>
      <c r="D360" s="3710">
        <v>121854</v>
      </c>
      <c r="E360" s="3700">
        <v>54098</v>
      </c>
      <c r="F360" s="3700">
        <v>47457</v>
      </c>
      <c r="G360" s="3700">
        <v>44153</v>
      </c>
      <c r="H360" s="3705">
        <v>50999</v>
      </c>
      <c r="I360" s="3710">
        <v>66653</v>
      </c>
      <c r="J360" s="3700">
        <v>93364</v>
      </c>
      <c r="K360" s="3700">
        <v>302221</v>
      </c>
      <c r="L360" s="3700">
        <v>32740</v>
      </c>
      <c r="M360" s="3705">
        <v>73594</v>
      </c>
      <c r="N360" s="3834"/>
      <c r="O360" s="3835"/>
      <c r="P360" s="3835"/>
      <c r="Q360" s="3835"/>
      <c r="R360" s="3836"/>
      <c r="S360" s="1172"/>
      <c r="T360" s="1172"/>
      <c r="U360" s="1172"/>
      <c r="V360" s="3533"/>
      <c r="W360" s="3534"/>
      <c r="X360" s="3534"/>
      <c r="Y360" s="3534"/>
      <c r="Z360" s="3535"/>
      <c r="AA360" s="3533"/>
      <c r="AB360" s="3534"/>
      <c r="AC360" s="3536"/>
    </row>
    <row r="361" spans="2:29">
      <c r="B361" s="4211"/>
      <c r="C361" s="3530" t="s">
        <v>583</v>
      </c>
      <c r="D361" s="3706">
        <f>0.07*D360</f>
        <v>8529.7800000000007</v>
      </c>
      <c r="E361" s="3699">
        <f t="shared" ref="E361:L361" si="145">0.07*E360</f>
        <v>3786.8600000000006</v>
      </c>
      <c r="F361" s="3699">
        <f t="shared" si="145"/>
        <v>3321.9900000000002</v>
      </c>
      <c r="G361" s="3699">
        <f t="shared" si="145"/>
        <v>3090.7100000000005</v>
      </c>
      <c r="H361" s="3707">
        <f t="shared" si="145"/>
        <v>3569.9300000000003</v>
      </c>
      <c r="I361" s="3706">
        <f t="shared" si="145"/>
        <v>4665.71</v>
      </c>
      <c r="J361" s="3699">
        <f t="shared" si="145"/>
        <v>6535.4800000000005</v>
      </c>
      <c r="K361" s="3699">
        <f t="shared" si="145"/>
        <v>21155.47</v>
      </c>
      <c r="L361" s="3699">
        <f t="shared" si="145"/>
        <v>2291.8000000000002</v>
      </c>
      <c r="M361" s="3707">
        <f>$M$250*M360</f>
        <v>0</v>
      </c>
      <c r="N361" s="3834"/>
      <c r="O361" s="3835"/>
      <c r="P361" s="3835"/>
      <c r="Q361" s="3835"/>
      <c r="R361" s="3836"/>
      <c r="S361" s="1172"/>
      <c r="T361" s="1172"/>
      <c r="U361" s="1172"/>
      <c r="V361" s="3533"/>
      <c r="W361" s="3534"/>
      <c r="X361" s="3534"/>
      <c r="Y361" s="3534"/>
      <c r="Z361" s="3535"/>
      <c r="AA361" s="3533"/>
      <c r="AB361" s="3534"/>
      <c r="AC361" s="3536"/>
    </row>
    <row r="362" spans="2:29">
      <c r="B362" s="4211"/>
      <c r="C362" s="3530" t="s">
        <v>581</v>
      </c>
      <c r="D362" s="3706"/>
      <c r="E362" s="3699"/>
      <c r="F362" s="3699"/>
      <c r="G362" s="3699"/>
      <c r="H362" s="3707"/>
      <c r="I362" s="3706"/>
      <c r="J362" s="3699"/>
      <c r="K362" s="3699"/>
      <c r="L362" s="3699"/>
      <c r="M362" s="3707"/>
      <c r="N362" s="3834"/>
      <c r="O362" s="3835"/>
      <c r="P362" s="3835"/>
      <c r="Q362" s="3835"/>
      <c r="R362" s="3836"/>
      <c r="S362" s="1172"/>
      <c r="T362" s="1172"/>
      <c r="U362" s="1172"/>
      <c r="V362" s="3533"/>
      <c r="W362" s="3534"/>
      <c r="X362" s="3534"/>
      <c r="Y362" s="3534"/>
      <c r="Z362" s="3535"/>
      <c r="AA362" s="3533"/>
      <c r="AB362" s="3534"/>
      <c r="AC362" s="3536"/>
    </row>
    <row r="363" spans="2:29">
      <c r="B363" s="4211"/>
      <c r="C363" s="3531" t="s">
        <v>584</v>
      </c>
      <c r="D363" s="3672">
        <f t="shared" ref="D363:M363" si="146">D360+D361+D362</f>
        <v>130383.78</v>
      </c>
      <c r="E363" s="3666">
        <f t="shared" si="146"/>
        <v>57884.86</v>
      </c>
      <c r="F363" s="3666">
        <f t="shared" si="146"/>
        <v>50778.99</v>
      </c>
      <c r="G363" s="3666">
        <f t="shared" si="146"/>
        <v>47243.71</v>
      </c>
      <c r="H363" s="3673">
        <f t="shared" si="146"/>
        <v>54568.93</v>
      </c>
      <c r="I363" s="3672">
        <f t="shared" si="146"/>
        <v>71318.710000000006</v>
      </c>
      <c r="J363" s="3666">
        <f t="shared" si="146"/>
        <v>99899.48</v>
      </c>
      <c r="K363" s="3666">
        <f t="shared" si="146"/>
        <v>323376.46999999997</v>
      </c>
      <c r="L363" s="3666">
        <f t="shared" si="146"/>
        <v>35031.800000000003</v>
      </c>
      <c r="M363" s="3673">
        <f t="shared" si="146"/>
        <v>73594</v>
      </c>
      <c r="N363" s="3837"/>
      <c r="O363" s="3838"/>
      <c r="P363" s="3838"/>
      <c r="Q363" s="3838"/>
      <c r="R363" s="3839"/>
      <c r="S363" s="1172"/>
      <c r="T363" s="1172"/>
      <c r="U363" s="1172"/>
      <c r="V363" s="3533"/>
      <c r="W363" s="3534"/>
      <c r="X363" s="3534"/>
      <c r="Y363" s="3534"/>
      <c r="Z363" s="3535"/>
      <c r="AA363" s="3533"/>
      <c r="AB363" s="3534"/>
      <c r="AC363" s="3536"/>
    </row>
    <row r="364" spans="2:29">
      <c r="B364" s="4211"/>
      <c r="C364" s="3530" t="s">
        <v>605</v>
      </c>
      <c r="D364" s="3706"/>
      <c r="E364" s="3699"/>
      <c r="F364" s="3699"/>
      <c r="G364" s="3699"/>
      <c r="H364" s="3707"/>
      <c r="I364" s="3706"/>
      <c r="J364" s="3699"/>
      <c r="K364" s="3699"/>
      <c r="L364" s="3699"/>
      <c r="M364" s="3707"/>
      <c r="N364" s="3834"/>
      <c r="O364" s="3835"/>
      <c r="P364" s="3835"/>
      <c r="Q364" s="3835"/>
      <c r="R364" s="3836"/>
      <c r="S364" s="1172"/>
      <c r="T364" s="1172"/>
      <c r="U364" s="1172"/>
      <c r="V364" s="3533"/>
      <c r="W364" s="3534"/>
      <c r="X364" s="3534"/>
      <c r="Y364" s="3534"/>
      <c r="Z364" s="3535"/>
      <c r="AA364" s="3533"/>
      <c r="AB364" s="3534"/>
      <c r="AC364" s="3536"/>
    </row>
    <row r="365" spans="2:29">
      <c r="B365" s="4211"/>
      <c r="C365" s="3531" t="s">
        <v>585</v>
      </c>
      <c r="D365" s="3672">
        <f t="shared" ref="D365:I365" si="147">D363-D364</f>
        <v>130383.78</v>
      </c>
      <c r="E365" s="3666">
        <f t="shared" si="147"/>
        <v>57884.86</v>
      </c>
      <c r="F365" s="3666">
        <f t="shared" si="147"/>
        <v>50778.99</v>
      </c>
      <c r="G365" s="3666">
        <f t="shared" si="147"/>
        <v>47243.71</v>
      </c>
      <c r="H365" s="3673">
        <f t="shared" si="147"/>
        <v>54568.93</v>
      </c>
      <c r="I365" s="3672">
        <f t="shared" si="147"/>
        <v>71318.710000000006</v>
      </c>
      <c r="J365" s="3666">
        <f t="shared" si="142"/>
        <v>99899.48</v>
      </c>
      <c r="K365" s="3666">
        <f t="shared" si="142"/>
        <v>323376.46999999997</v>
      </c>
      <c r="L365" s="3666">
        <f t="shared" si="142"/>
        <v>35031.800000000003</v>
      </c>
      <c r="M365" s="3673">
        <f t="shared" si="142"/>
        <v>73594</v>
      </c>
      <c r="N365" s="3837"/>
      <c r="O365" s="3838"/>
      <c r="P365" s="3838"/>
      <c r="Q365" s="3838"/>
      <c r="R365" s="3839"/>
      <c r="S365" s="1172"/>
      <c r="T365" s="1172"/>
      <c r="U365" s="1172"/>
      <c r="V365" s="3533"/>
      <c r="W365" s="3534"/>
      <c r="X365" s="3534"/>
      <c r="Y365" s="3534"/>
      <c r="Z365" s="3535"/>
      <c r="AA365" s="3533"/>
      <c r="AB365" s="3534"/>
      <c r="AC365" s="3536"/>
    </row>
    <row r="366" spans="2:29" ht="13.5" thickBot="1">
      <c r="B366" s="4212"/>
      <c r="C366" s="3532" t="s">
        <v>93</v>
      </c>
      <c r="D366" s="3712">
        <f t="shared" ref="D366:M366" si="148">D360/D359</f>
        <v>1269.3125</v>
      </c>
      <c r="E366" s="3734">
        <f t="shared" si="148"/>
        <v>711.81578947368416</v>
      </c>
      <c r="F366" s="3734">
        <f t="shared" si="148"/>
        <v>668.4084507042254</v>
      </c>
      <c r="G366" s="3734">
        <f t="shared" si="148"/>
        <v>679.27692307692303</v>
      </c>
      <c r="H366" s="3733">
        <f t="shared" si="148"/>
        <v>1019.98</v>
      </c>
      <c r="I366" s="470">
        <f t="shared" si="148"/>
        <v>1388.6041666666667</v>
      </c>
      <c r="J366" s="468">
        <f t="shared" si="148"/>
        <v>1014.8260869565217</v>
      </c>
      <c r="K366" s="468">
        <f t="shared" si="148"/>
        <v>1204.0677290836654</v>
      </c>
      <c r="L366" s="468">
        <f t="shared" si="148"/>
        <v>2728.3333333333335</v>
      </c>
      <c r="M366" s="530">
        <f t="shared" si="148"/>
        <v>1978.3333333333333</v>
      </c>
      <c r="N366" s="3840"/>
      <c r="O366" s="3846"/>
      <c r="P366" s="3846"/>
      <c r="Q366" s="3846"/>
      <c r="R366" s="3847"/>
      <c r="S366" s="1172"/>
      <c r="T366" s="1172"/>
      <c r="U366" s="1172"/>
      <c r="V366" s="3533"/>
      <c r="W366" s="3534"/>
      <c r="X366" s="3534"/>
      <c r="Y366" s="3534"/>
      <c r="Z366" s="3535"/>
      <c r="AA366" s="3533"/>
      <c r="AB366" s="3534"/>
      <c r="AC366" s="3536"/>
    </row>
    <row r="367" spans="2:29">
      <c r="B367" s="4211" t="s">
        <v>1825</v>
      </c>
      <c r="C367" s="3528" t="s">
        <v>90</v>
      </c>
      <c r="D367" s="3706">
        <f>D73</f>
        <v>0</v>
      </c>
      <c r="E367" s="3699">
        <f t="shared" ref="E367:M367" si="149">E73</f>
        <v>0</v>
      </c>
      <c r="F367" s="3699">
        <f t="shared" si="149"/>
        <v>0</v>
      </c>
      <c r="G367" s="3699">
        <f t="shared" si="149"/>
        <v>9</v>
      </c>
      <c r="H367" s="3707">
        <f t="shared" si="149"/>
        <v>0</v>
      </c>
      <c r="I367" s="3702">
        <f t="shared" si="149"/>
        <v>0</v>
      </c>
      <c r="J367" s="3703">
        <f t="shared" si="149"/>
        <v>7</v>
      </c>
      <c r="K367" s="3703">
        <f t="shared" si="149"/>
        <v>0</v>
      </c>
      <c r="L367" s="3703">
        <f t="shared" si="149"/>
        <v>0</v>
      </c>
      <c r="M367" s="3704">
        <f t="shared" si="149"/>
        <v>4.8000000000000007</v>
      </c>
      <c r="N367" s="3834"/>
      <c r="O367" s="3835"/>
      <c r="P367" s="3835"/>
      <c r="Q367" s="3835"/>
      <c r="R367" s="3836"/>
      <c r="S367" s="1172"/>
      <c r="T367" s="1172"/>
      <c r="U367" s="1172"/>
      <c r="V367" s="3533"/>
      <c r="W367" s="3534"/>
      <c r="X367" s="3534"/>
      <c r="Y367" s="3534"/>
      <c r="Z367" s="3535"/>
      <c r="AA367" s="3533"/>
      <c r="AB367" s="3534"/>
      <c r="AC367" s="3536"/>
    </row>
    <row r="368" spans="2:29">
      <c r="B368" s="4211"/>
      <c r="C368" s="3529" t="s">
        <v>579</v>
      </c>
      <c r="D368" s="3710">
        <v>0</v>
      </c>
      <c r="E368" s="3700">
        <v>0</v>
      </c>
      <c r="F368" s="3700">
        <v>0</v>
      </c>
      <c r="G368" s="3700">
        <v>6114</v>
      </c>
      <c r="H368" s="3705">
        <v>0</v>
      </c>
      <c r="I368" s="3710">
        <v>0</v>
      </c>
      <c r="J368" s="3700">
        <v>7104</v>
      </c>
      <c r="K368" s="3700">
        <v>0</v>
      </c>
      <c r="L368" s="3700">
        <v>0</v>
      </c>
      <c r="M368" s="3705">
        <v>9496</v>
      </c>
      <c r="N368" s="3834"/>
      <c r="O368" s="3835"/>
      <c r="P368" s="3835"/>
      <c r="Q368" s="3835"/>
      <c r="R368" s="3836"/>
      <c r="S368" s="1172"/>
      <c r="T368" s="1172"/>
      <c r="U368" s="1172"/>
      <c r="V368" s="3533"/>
      <c r="W368" s="3534"/>
      <c r="X368" s="3534"/>
      <c r="Y368" s="3534"/>
      <c r="Z368" s="3535"/>
      <c r="AA368" s="3533"/>
      <c r="AB368" s="3534"/>
      <c r="AC368" s="3536"/>
    </row>
    <row r="369" spans="2:29">
      <c r="B369" s="4211"/>
      <c r="C369" s="3530" t="s">
        <v>583</v>
      </c>
      <c r="D369" s="3706">
        <f>0.07*D368</f>
        <v>0</v>
      </c>
      <c r="E369" s="3699">
        <f t="shared" ref="E369:L369" si="150">0.07*E368</f>
        <v>0</v>
      </c>
      <c r="F369" s="3699">
        <f t="shared" si="150"/>
        <v>0</v>
      </c>
      <c r="G369" s="3699">
        <f t="shared" si="150"/>
        <v>427.98</v>
      </c>
      <c r="H369" s="3707">
        <f t="shared" si="150"/>
        <v>0</v>
      </c>
      <c r="I369" s="3706">
        <f t="shared" si="150"/>
        <v>0</v>
      </c>
      <c r="J369" s="3699">
        <f t="shared" si="150"/>
        <v>497.28000000000003</v>
      </c>
      <c r="K369" s="3699">
        <f t="shared" si="150"/>
        <v>0</v>
      </c>
      <c r="L369" s="3699">
        <f t="shared" si="150"/>
        <v>0</v>
      </c>
      <c r="M369" s="3707">
        <f>$M$250*M368</f>
        <v>0</v>
      </c>
      <c r="N369" s="3834"/>
      <c r="O369" s="3835"/>
      <c r="P369" s="3835"/>
      <c r="Q369" s="3835"/>
      <c r="R369" s="3836"/>
      <c r="S369" s="1172"/>
      <c r="T369" s="1172"/>
      <c r="U369" s="1172"/>
      <c r="V369" s="3533"/>
      <c r="W369" s="3534"/>
      <c r="X369" s="3534"/>
      <c r="Y369" s="3534"/>
      <c r="Z369" s="3535"/>
      <c r="AA369" s="3533"/>
      <c r="AB369" s="3534"/>
      <c r="AC369" s="3536"/>
    </row>
    <row r="370" spans="2:29">
      <c r="B370" s="4211"/>
      <c r="C370" s="3530" t="s">
        <v>581</v>
      </c>
      <c r="D370" s="3706"/>
      <c r="E370" s="3699"/>
      <c r="F370" s="3699"/>
      <c r="G370" s="3699"/>
      <c r="H370" s="3707"/>
      <c r="I370" s="3706"/>
      <c r="J370" s="3699"/>
      <c r="K370" s="3699"/>
      <c r="L370" s="3699"/>
      <c r="M370" s="3707"/>
      <c r="N370" s="3834"/>
      <c r="O370" s="3835"/>
      <c r="P370" s="3835"/>
      <c r="Q370" s="3835"/>
      <c r="R370" s="3836"/>
      <c r="S370" s="1172"/>
      <c r="T370" s="1172"/>
      <c r="U370" s="1172"/>
      <c r="V370" s="3533"/>
      <c r="W370" s="3534"/>
      <c r="X370" s="3534"/>
      <c r="Y370" s="3534"/>
      <c r="Z370" s="3535"/>
      <c r="AA370" s="3533"/>
      <c r="AB370" s="3534"/>
      <c r="AC370" s="3536"/>
    </row>
    <row r="371" spans="2:29">
      <c r="B371" s="4211"/>
      <c r="C371" s="3531" t="s">
        <v>584</v>
      </c>
      <c r="D371" s="3672">
        <f t="shared" ref="D371:M371" si="151">D368+D369+D370</f>
        <v>0</v>
      </c>
      <c r="E371" s="3666">
        <f t="shared" si="151"/>
        <v>0</v>
      </c>
      <c r="F371" s="3666">
        <f t="shared" si="151"/>
        <v>0</v>
      </c>
      <c r="G371" s="3666">
        <f t="shared" si="151"/>
        <v>6541.98</v>
      </c>
      <c r="H371" s="3673">
        <f t="shared" si="151"/>
        <v>0</v>
      </c>
      <c r="I371" s="3672">
        <f t="shared" si="151"/>
        <v>0</v>
      </c>
      <c r="J371" s="3666">
        <f t="shared" si="151"/>
        <v>7601.28</v>
      </c>
      <c r="K371" s="3666">
        <f t="shared" si="151"/>
        <v>0</v>
      </c>
      <c r="L371" s="3666">
        <f t="shared" si="151"/>
        <v>0</v>
      </c>
      <c r="M371" s="3673">
        <f t="shared" si="151"/>
        <v>9496</v>
      </c>
      <c r="N371" s="3837"/>
      <c r="O371" s="3838"/>
      <c r="P371" s="3838"/>
      <c r="Q371" s="3838"/>
      <c r="R371" s="3839"/>
      <c r="S371" s="1172"/>
      <c r="T371" s="1172"/>
      <c r="U371" s="1172"/>
      <c r="V371" s="3533"/>
      <c r="W371" s="3534"/>
      <c r="X371" s="3534"/>
      <c r="Y371" s="3534"/>
      <c r="Z371" s="3535"/>
      <c r="AA371" s="3533"/>
      <c r="AB371" s="3534"/>
      <c r="AC371" s="3536"/>
    </row>
    <row r="372" spans="2:29">
      <c r="B372" s="4211"/>
      <c r="C372" s="3530" t="s">
        <v>605</v>
      </c>
      <c r="D372" s="3706"/>
      <c r="E372" s="3699"/>
      <c r="F372" s="3699"/>
      <c r="G372" s="3699"/>
      <c r="H372" s="3707"/>
      <c r="I372" s="3706"/>
      <c r="J372" s="3699"/>
      <c r="K372" s="3699"/>
      <c r="L372" s="3699"/>
      <c r="M372" s="3707"/>
      <c r="N372" s="3834"/>
      <c r="O372" s="3835"/>
      <c r="P372" s="3835"/>
      <c r="Q372" s="3835"/>
      <c r="R372" s="3836"/>
      <c r="S372" s="1172"/>
      <c r="T372" s="1172"/>
      <c r="U372" s="1172"/>
      <c r="V372" s="3533"/>
      <c r="W372" s="3534"/>
      <c r="X372" s="3534"/>
      <c r="Y372" s="3534"/>
      <c r="Z372" s="3535"/>
      <c r="AA372" s="3533"/>
      <c r="AB372" s="3534"/>
      <c r="AC372" s="3536"/>
    </row>
    <row r="373" spans="2:29">
      <c r="B373" s="4211"/>
      <c r="C373" s="3531" t="s">
        <v>585</v>
      </c>
      <c r="D373" s="3672">
        <f t="shared" ref="D373:M373" si="152">D371-D372</f>
        <v>0</v>
      </c>
      <c r="E373" s="3666">
        <f t="shared" si="152"/>
        <v>0</v>
      </c>
      <c r="F373" s="3666">
        <f t="shared" si="152"/>
        <v>0</v>
      </c>
      <c r="G373" s="3666">
        <f t="shared" si="152"/>
        <v>6541.98</v>
      </c>
      <c r="H373" s="3673">
        <f t="shared" si="152"/>
        <v>0</v>
      </c>
      <c r="I373" s="3672">
        <f t="shared" si="152"/>
        <v>0</v>
      </c>
      <c r="J373" s="3666">
        <f t="shared" si="152"/>
        <v>7601.28</v>
      </c>
      <c r="K373" s="3666">
        <f t="shared" si="152"/>
        <v>0</v>
      </c>
      <c r="L373" s="3666">
        <f t="shared" si="152"/>
        <v>0</v>
      </c>
      <c r="M373" s="3673">
        <f t="shared" si="152"/>
        <v>9496</v>
      </c>
      <c r="N373" s="3837"/>
      <c r="O373" s="3838"/>
      <c r="P373" s="3838"/>
      <c r="Q373" s="3838"/>
      <c r="R373" s="3839"/>
      <c r="S373" s="1172"/>
      <c r="T373" s="1172"/>
      <c r="U373" s="1172"/>
      <c r="V373" s="3533"/>
      <c r="W373" s="3534"/>
      <c r="X373" s="3534"/>
      <c r="Y373" s="3534"/>
      <c r="Z373" s="3535"/>
      <c r="AA373" s="3533"/>
      <c r="AB373" s="3534"/>
      <c r="AC373" s="3536"/>
    </row>
    <row r="374" spans="2:29" ht="13.5" thickBot="1">
      <c r="B374" s="4212"/>
      <c r="C374" s="3532" t="s">
        <v>93</v>
      </c>
      <c r="D374" s="3712"/>
      <c r="E374" s="3713"/>
      <c r="F374" s="3713"/>
      <c r="G374" s="3713">
        <f t="shared" ref="G374:M374" si="153">G368/G367</f>
        <v>679.33333333333337</v>
      </c>
      <c r="H374" s="3714"/>
      <c r="I374" s="470"/>
      <c r="J374" s="468">
        <f t="shared" si="153"/>
        <v>1014.8571428571429</v>
      </c>
      <c r="K374" s="468"/>
      <c r="L374" s="468"/>
      <c r="M374" s="530">
        <f t="shared" si="153"/>
        <v>1978.333333333333</v>
      </c>
      <c r="N374" s="3840"/>
      <c r="O374" s="3841"/>
      <c r="P374" s="3841"/>
      <c r="Q374" s="3841"/>
      <c r="R374" s="3842"/>
      <c r="S374" s="1172"/>
      <c r="T374" s="1172"/>
      <c r="U374" s="1172"/>
      <c r="V374" s="3533"/>
      <c r="W374" s="3534"/>
      <c r="X374" s="3534"/>
      <c r="Y374" s="3534"/>
      <c r="Z374" s="3535"/>
      <c r="AA374" s="3533"/>
      <c r="AB374" s="3534"/>
      <c r="AC374" s="3536"/>
    </row>
    <row r="375" spans="2:29">
      <c r="B375" s="4211" t="s">
        <v>1826</v>
      </c>
      <c r="C375" s="3528" t="s">
        <v>90</v>
      </c>
      <c r="D375" s="3706">
        <f>D76</f>
        <v>0</v>
      </c>
      <c r="E375" s="3699">
        <f t="shared" ref="E375:M375" si="154">E76</f>
        <v>0</v>
      </c>
      <c r="F375" s="3699">
        <f t="shared" si="154"/>
        <v>0</v>
      </c>
      <c r="G375" s="3699">
        <f t="shared" si="154"/>
        <v>8</v>
      </c>
      <c r="H375" s="3707">
        <f t="shared" si="154"/>
        <v>0</v>
      </c>
      <c r="I375" s="3737">
        <f t="shared" si="154"/>
        <v>2</v>
      </c>
      <c r="J375" s="3736">
        <f t="shared" si="154"/>
        <v>5</v>
      </c>
      <c r="K375" s="3736">
        <f t="shared" si="154"/>
        <v>0</v>
      </c>
      <c r="L375" s="3736">
        <f t="shared" si="154"/>
        <v>0</v>
      </c>
      <c r="M375" s="3735">
        <f t="shared" si="154"/>
        <v>4.4000000000000004</v>
      </c>
      <c r="N375" s="3834"/>
      <c r="O375" s="3835"/>
      <c r="P375" s="3835"/>
      <c r="Q375" s="3835"/>
      <c r="R375" s="3836"/>
      <c r="S375" s="1172"/>
      <c r="T375" s="1172"/>
      <c r="U375" s="1172"/>
      <c r="V375" s="3533"/>
      <c r="W375" s="3534"/>
      <c r="X375" s="3534"/>
      <c r="Y375" s="3534"/>
      <c r="Z375" s="3535"/>
      <c r="AA375" s="3533"/>
      <c r="AB375" s="3534"/>
      <c r="AC375" s="3536"/>
    </row>
    <row r="376" spans="2:29">
      <c r="B376" s="4211"/>
      <c r="C376" s="3529" t="s">
        <v>579</v>
      </c>
      <c r="D376" s="3710">
        <v>0</v>
      </c>
      <c r="E376" s="3700">
        <v>0</v>
      </c>
      <c r="F376" s="3700">
        <v>0</v>
      </c>
      <c r="G376" s="3700">
        <v>5434</v>
      </c>
      <c r="H376" s="3705">
        <v>0</v>
      </c>
      <c r="I376" s="3710">
        <v>2777</v>
      </c>
      <c r="J376" s="3700">
        <v>5074</v>
      </c>
      <c r="K376" s="3700">
        <v>0</v>
      </c>
      <c r="L376" s="3700">
        <v>0</v>
      </c>
      <c r="M376" s="3705">
        <v>8705</v>
      </c>
      <c r="N376" s="3834"/>
      <c r="O376" s="3835"/>
      <c r="P376" s="3835"/>
      <c r="Q376" s="3835"/>
      <c r="R376" s="3836"/>
      <c r="S376" s="1172"/>
      <c r="T376" s="1172"/>
      <c r="U376" s="1172"/>
      <c r="V376" s="3533"/>
      <c r="W376" s="3534"/>
      <c r="X376" s="3534"/>
      <c r="Y376" s="3534"/>
      <c r="Z376" s="3535"/>
      <c r="AA376" s="3533"/>
      <c r="AB376" s="3534"/>
      <c r="AC376" s="3536"/>
    </row>
    <row r="377" spans="2:29">
      <c r="B377" s="4211"/>
      <c r="C377" s="3530" t="s">
        <v>583</v>
      </c>
      <c r="D377" s="3706">
        <f>0.07*D376</f>
        <v>0</v>
      </c>
      <c r="E377" s="3699">
        <f t="shared" ref="E377:L377" si="155">0.07*E376</f>
        <v>0</v>
      </c>
      <c r="F377" s="3699">
        <f t="shared" si="155"/>
        <v>0</v>
      </c>
      <c r="G377" s="3699">
        <f t="shared" si="155"/>
        <v>380.38000000000005</v>
      </c>
      <c r="H377" s="3707">
        <f t="shared" si="155"/>
        <v>0</v>
      </c>
      <c r="I377" s="3706">
        <f t="shared" si="155"/>
        <v>194.39000000000001</v>
      </c>
      <c r="J377" s="3699">
        <f t="shared" si="155"/>
        <v>355.18</v>
      </c>
      <c r="K377" s="3699">
        <f t="shared" si="155"/>
        <v>0</v>
      </c>
      <c r="L377" s="3699">
        <f t="shared" si="155"/>
        <v>0</v>
      </c>
      <c r="M377" s="3707">
        <f>$M$250*M376</f>
        <v>0</v>
      </c>
      <c r="N377" s="3834"/>
      <c r="O377" s="3835"/>
      <c r="P377" s="3835"/>
      <c r="Q377" s="3835"/>
      <c r="R377" s="3836"/>
      <c r="S377" s="1172"/>
      <c r="T377" s="1172"/>
      <c r="U377" s="1172"/>
      <c r="V377" s="3533"/>
      <c r="W377" s="3534"/>
      <c r="X377" s="3534"/>
      <c r="Y377" s="3534"/>
      <c r="Z377" s="3535"/>
      <c r="AA377" s="3533"/>
      <c r="AB377" s="3534"/>
      <c r="AC377" s="3536"/>
    </row>
    <row r="378" spans="2:29">
      <c r="B378" s="4211"/>
      <c r="C378" s="3530" t="s">
        <v>581</v>
      </c>
      <c r="D378" s="3706"/>
      <c r="E378" s="3699"/>
      <c r="F378" s="3699"/>
      <c r="G378" s="3699"/>
      <c r="H378" s="3707"/>
      <c r="I378" s="3706"/>
      <c r="J378" s="3699"/>
      <c r="K378" s="3699"/>
      <c r="L378" s="3699"/>
      <c r="M378" s="3707"/>
      <c r="N378" s="3834"/>
      <c r="O378" s="3835"/>
      <c r="P378" s="3835"/>
      <c r="Q378" s="3835"/>
      <c r="R378" s="3836"/>
      <c r="S378" s="1172"/>
      <c r="T378" s="1172"/>
      <c r="U378" s="1172"/>
      <c r="V378" s="3533"/>
      <c r="W378" s="3534"/>
      <c r="X378" s="3534"/>
      <c r="Y378" s="3534"/>
      <c r="Z378" s="3535"/>
      <c r="AA378" s="3533"/>
      <c r="AB378" s="3534"/>
      <c r="AC378" s="3536"/>
    </row>
    <row r="379" spans="2:29">
      <c r="B379" s="4211"/>
      <c r="C379" s="3531" t="s">
        <v>584</v>
      </c>
      <c r="D379" s="3672">
        <f t="shared" ref="D379:M379" si="156">D376+D377+D378</f>
        <v>0</v>
      </c>
      <c r="E379" s="3666">
        <f t="shared" si="156"/>
        <v>0</v>
      </c>
      <c r="F379" s="3666">
        <f t="shared" si="156"/>
        <v>0</v>
      </c>
      <c r="G379" s="3666">
        <f t="shared" si="156"/>
        <v>5814.38</v>
      </c>
      <c r="H379" s="3673">
        <f t="shared" si="156"/>
        <v>0</v>
      </c>
      <c r="I379" s="3672">
        <f t="shared" si="156"/>
        <v>2971.39</v>
      </c>
      <c r="J379" s="3666">
        <f t="shared" si="156"/>
        <v>5429.18</v>
      </c>
      <c r="K379" s="3666">
        <f t="shared" si="156"/>
        <v>0</v>
      </c>
      <c r="L379" s="3666">
        <f t="shared" si="156"/>
        <v>0</v>
      </c>
      <c r="M379" s="3673">
        <f t="shared" si="156"/>
        <v>8705</v>
      </c>
      <c r="N379" s="3837"/>
      <c r="O379" s="3838"/>
      <c r="P379" s="3838"/>
      <c r="Q379" s="3838"/>
      <c r="R379" s="3839"/>
      <c r="S379" s="1172"/>
      <c r="T379" s="1172"/>
      <c r="U379" s="1172"/>
      <c r="V379" s="3533"/>
      <c r="W379" s="3534"/>
      <c r="X379" s="3534"/>
      <c r="Y379" s="3534"/>
      <c r="Z379" s="3535"/>
      <c r="AA379" s="3533"/>
      <c r="AB379" s="3534"/>
      <c r="AC379" s="3536"/>
    </row>
    <row r="380" spans="2:29">
      <c r="B380" s="4211"/>
      <c r="C380" s="3530" t="s">
        <v>605</v>
      </c>
      <c r="D380" s="3706"/>
      <c r="E380" s="3699"/>
      <c r="F380" s="3699"/>
      <c r="G380" s="3699"/>
      <c r="H380" s="3707"/>
      <c r="I380" s="3706"/>
      <c r="J380" s="3699"/>
      <c r="K380" s="3699"/>
      <c r="L380" s="3699"/>
      <c r="M380" s="3707"/>
      <c r="N380" s="3834"/>
      <c r="O380" s="3835"/>
      <c r="P380" s="3835"/>
      <c r="Q380" s="3835"/>
      <c r="R380" s="3836"/>
      <c r="S380" s="1172"/>
      <c r="T380" s="1172"/>
      <c r="U380" s="1172"/>
      <c r="V380" s="3533"/>
      <c r="W380" s="3534"/>
      <c r="X380" s="3534"/>
      <c r="Y380" s="3534"/>
      <c r="Z380" s="3535"/>
      <c r="AA380" s="3533"/>
      <c r="AB380" s="3534"/>
      <c r="AC380" s="3536"/>
    </row>
    <row r="381" spans="2:29">
      <c r="B381" s="4211"/>
      <c r="C381" s="3531" t="s">
        <v>585</v>
      </c>
      <c r="D381" s="3672">
        <f t="shared" ref="D381:M381" si="157">D379-D380</f>
        <v>0</v>
      </c>
      <c r="E381" s="3666">
        <f t="shared" si="157"/>
        <v>0</v>
      </c>
      <c r="F381" s="3666">
        <f t="shared" si="157"/>
        <v>0</v>
      </c>
      <c r="G381" s="3666">
        <f t="shared" si="157"/>
        <v>5814.38</v>
      </c>
      <c r="H381" s="3673">
        <f t="shared" si="157"/>
        <v>0</v>
      </c>
      <c r="I381" s="3672">
        <f t="shared" si="157"/>
        <v>2971.39</v>
      </c>
      <c r="J381" s="3666">
        <f t="shared" si="157"/>
        <v>5429.18</v>
      </c>
      <c r="K381" s="3666">
        <f t="shared" si="157"/>
        <v>0</v>
      </c>
      <c r="L381" s="3666">
        <f t="shared" si="157"/>
        <v>0</v>
      </c>
      <c r="M381" s="3673">
        <f t="shared" si="157"/>
        <v>8705</v>
      </c>
      <c r="N381" s="3837"/>
      <c r="O381" s="3838"/>
      <c r="P381" s="3838"/>
      <c r="Q381" s="3838"/>
      <c r="R381" s="3839"/>
      <c r="S381" s="1172"/>
      <c r="T381" s="1172"/>
      <c r="U381" s="1172"/>
      <c r="V381" s="3533"/>
      <c r="W381" s="3534"/>
      <c r="X381" s="3534"/>
      <c r="Y381" s="3534"/>
      <c r="Z381" s="3535"/>
      <c r="AA381" s="3533"/>
      <c r="AB381" s="3534"/>
      <c r="AC381" s="3536"/>
    </row>
    <row r="382" spans="2:29" ht="13.5" thickBot="1">
      <c r="B382" s="4212"/>
      <c r="C382" s="3532" t="s">
        <v>93</v>
      </c>
      <c r="D382" s="470"/>
      <c r="E382" s="468"/>
      <c r="F382" s="468"/>
      <c r="G382" s="468">
        <f t="shared" ref="G382:M382" si="158">G376/G375</f>
        <v>679.25</v>
      </c>
      <c r="H382" s="530"/>
      <c r="I382" s="3712">
        <f t="shared" si="158"/>
        <v>1388.5</v>
      </c>
      <c r="J382" s="3734">
        <f t="shared" si="158"/>
        <v>1014.8</v>
      </c>
      <c r="K382" s="3734"/>
      <c r="L382" s="3734"/>
      <c r="M382" s="3733">
        <f t="shared" si="158"/>
        <v>1978.4090909090908</v>
      </c>
      <c r="N382" s="3834"/>
      <c r="O382" s="3835"/>
      <c r="P382" s="3835"/>
      <c r="Q382" s="3835"/>
      <c r="R382" s="3836"/>
      <c r="S382" s="1172"/>
      <c r="T382" s="1172"/>
      <c r="U382" s="1172"/>
      <c r="V382" s="3533"/>
      <c r="W382" s="3534"/>
      <c r="X382" s="3534"/>
      <c r="Y382" s="3534"/>
      <c r="Z382" s="3535"/>
      <c r="AA382" s="3533"/>
      <c r="AB382" s="3534"/>
      <c r="AC382" s="3536"/>
    </row>
    <row r="383" spans="2:29">
      <c r="B383" s="4211" t="s">
        <v>1827</v>
      </c>
      <c r="C383" s="3528" t="s">
        <v>90</v>
      </c>
      <c r="D383" s="3702">
        <f>D79</f>
        <v>0</v>
      </c>
      <c r="E383" s="3703">
        <f t="shared" ref="E383:M383" si="159">E79</f>
        <v>0</v>
      </c>
      <c r="F383" s="3703">
        <f t="shared" si="159"/>
        <v>0</v>
      </c>
      <c r="G383" s="3703">
        <f t="shared" si="159"/>
        <v>0</v>
      </c>
      <c r="H383" s="3704">
        <f t="shared" si="159"/>
        <v>0</v>
      </c>
      <c r="I383" s="3737">
        <f t="shared" si="159"/>
        <v>0</v>
      </c>
      <c r="J383" s="3736">
        <f t="shared" si="159"/>
        <v>0</v>
      </c>
      <c r="K383" s="3736">
        <f t="shared" si="159"/>
        <v>0</v>
      </c>
      <c r="L383" s="3736">
        <f t="shared" si="159"/>
        <v>0</v>
      </c>
      <c r="M383" s="3735">
        <f t="shared" si="159"/>
        <v>4.6000000000000005</v>
      </c>
      <c r="N383" s="3831"/>
      <c r="O383" s="3832"/>
      <c r="P383" s="3832"/>
      <c r="Q383" s="3832"/>
      <c r="R383" s="3833"/>
      <c r="S383" s="1172"/>
      <c r="T383" s="1172"/>
      <c r="U383" s="1172"/>
      <c r="V383" s="3533"/>
      <c r="W383" s="3534"/>
      <c r="X383" s="3534"/>
      <c r="Y383" s="3534"/>
      <c r="Z383" s="3535"/>
      <c r="AA383" s="3533"/>
      <c r="AB383" s="3534"/>
      <c r="AC383" s="3536"/>
    </row>
    <row r="384" spans="2:29">
      <c r="B384" s="4211"/>
      <c r="C384" s="3529" t="s">
        <v>579</v>
      </c>
      <c r="D384" s="3710">
        <v>0</v>
      </c>
      <c r="E384" s="3700">
        <v>0</v>
      </c>
      <c r="F384" s="3700">
        <v>0</v>
      </c>
      <c r="G384" s="3700">
        <v>0</v>
      </c>
      <c r="H384" s="3705">
        <v>0</v>
      </c>
      <c r="I384" s="3710">
        <v>0</v>
      </c>
      <c r="J384" s="3700"/>
      <c r="K384" s="3700">
        <v>0</v>
      </c>
      <c r="L384" s="3700">
        <v>0</v>
      </c>
      <c r="M384" s="3705">
        <v>9100</v>
      </c>
      <c r="N384" s="3834"/>
      <c r="O384" s="3835"/>
      <c r="P384" s="3835"/>
      <c r="Q384" s="3835"/>
      <c r="R384" s="3836"/>
      <c r="S384" s="1172"/>
      <c r="T384" s="1172"/>
      <c r="U384" s="1172"/>
      <c r="V384" s="3533"/>
      <c r="W384" s="3534"/>
      <c r="X384" s="3534"/>
      <c r="Y384" s="3534"/>
      <c r="Z384" s="3535"/>
      <c r="AA384" s="3533"/>
      <c r="AB384" s="3534"/>
      <c r="AC384" s="3536"/>
    </row>
    <row r="385" spans="2:29">
      <c r="B385" s="4211"/>
      <c r="C385" s="3530" t="s">
        <v>583</v>
      </c>
      <c r="D385" s="3706">
        <f>0.07*D384</f>
        <v>0</v>
      </c>
      <c r="E385" s="3699">
        <f t="shared" ref="E385:L385" si="160">0.07*E384</f>
        <v>0</v>
      </c>
      <c r="F385" s="3699">
        <f t="shared" si="160"/>
        <v>0</v>
      </c>
      <c r="G385" s="3699">
        <f t="shared" si="160"/>
        <v>0</v>
      </c>
      <c r="H385" s="3707">
        <f t="shared" si="160"/>
        <v>0</v>
      </c>
      <c r="I385" s="3706">
        <f t="shared" si="160"/>
        <v>0</v>
      </c>
      <c r="J385" s="3699">
        <f t="shared" si="160"/>
        <v>0</v>
      </c>
      <c r="K385" s="3699">
        <f t="shared" si="160"/>
        <v>0</v>
      </c>
      <c r="L385" s="3699">
        <f t="shared" si="160"/>
        <v>0</v>
      </c>
      <c r="M385" s="3707">
        <f>$M$250*M384</f>
        <v>0</v>
      </c>
      <c r="N385" s="3834"/>
      <c r="O385" s="3835"/>
      <c r="P385" s="3835"/>
      <c r="Q385" s="3835"/>
      <c r="R385" s="3836"/>
      <c r="S385" s="1172"/>
      <c r="T385" s="1172"/>
      <c r="U385" s="1172"/>
      <c r="V385" s="3533"/>
      <c r="W385" s="3534"/>
      <c r="X385" s="3534"/>
      <c r="Y385" s="3534"/>
      <c r="Z385" s="3535"/>
      <c r="AA385" s="3533"/>
      <c r="AB385" s="3534"/>
      <c r="AC385" s="3536"/>
    </row>
    <row r="386" spans="2:29">
      <c r="B386" s="4211"/>
      <c r="C386" s="3530" t="s">
        <v>581</v>
      </c>
      <c r="D386" s="3706"/>
      <c r="E386" s="3699"/>
      <c r="F386" s="3699"/>
      <c r="G386" s="3699"/>
      <c r="H386" s="3707"/>
      <c r="I386" s="3706"/>
      <c r="J386" s="3699"/>
      <c r="K386" s="3699"/>
      <c r="L386" s="3699"/>
      <c r="M386" s="3707"/>
      <c r="N386" s="3834"/>
      <c r="O386" s="3835"/>
      <c r="P386" s="3835"/>
      <c r="Q386" s="3835"/>
      <c r="R386" s="3836"/>
      <c r="S386" s="1172"/>
      <c r="T386" s="1172"/>
      <c r="U386" s="1172"/>
      <c r="V386" s="3533"/>
      <c r="W386" s="3534"/>
      <c r="X386" s="3534"/>
      <c r="Y386" s="3534"/>
      <c r="Z386" s="3535"/>
      <c r="AA386" s="3533"/>
      <c r="AB386" s="3534"/>
      <c r="AC386" s="3536"/>
    </row>
    <row r="387" spans="2:29">
      <c r="B387" s="4211"/>
      <c r="C387" s="3531" t="s">
        <v>584</v>
      </c>
      <c r="D387" s="3672">
        <f t="shared" ref="D387:M387" si="161">D384+D385+D386</f>
        <v>0</v>
      </c>
      <c r="E387" s="3666">
        <f t="shared" si="161"/>
        <v>0</v>
      </c>
      <c r="F387" s="3666">
        <f t="shared" si="161"/>
        <v>0</v>
      </c>
      <c r="G387" s="3666">
        <f t="shared" si="161"/>
        <v>0</v>
      </c>
      <c r="H387" s="3673">
        <f t="shared" si="161"/>
        <v>0</v>
      </c>
      <c r="I387" s="3672">
        <f t="shared" si="161"/>
        <v>0</v>
      </c>
      <c r="J387" s="3666">
        <f t="shared" si="161"/>
        <v>0</v>
      </c>
      <c r="K387" s="3666">
        <f t="shared" si="161"/>
        <v>0</v>
      </c>
      <c r="L387" s="3666">
        <f t="shared" si="161"/>
        <v>0</v>
      </c>
      <c r="M387" s="3673">
        <f t="shared" si="161"/>
        <v>9100</v>
      </c>
      <c r="N387" s="3837"/>
      <c r="O387" s="3838"/>
      <c r="P387" s="3838"/>
      <c r="Q387" s="3838"/>
      <c r="R387" s="3839"/>
      <c r="S387" s="1172"/>
      <c r="T387" s="1172"/>
      <c r="U387" s="1172"/>
      <c r="V387" s="3533"/>
      <c r="W387" s="3534"/>
      <c r="X387" s="3534"/>
      <c r="Y387" s="3534"/>
      <c r="Z387" s="3535"/>
      <c r="AA387" s="3533"/>
      <c r="AB387" s="3534"/>
      <c r="AC387" s="3536"/>
    </row>
    <row r="388" spans="2:29">
      <c r="B388" s="4211"/>
      <c r="C388" s="3530" t="s">
        <v>605</v>
      </c>
      <c r="D388" s="3706"/>
      <c r="E388" s="3699"/>
      <c r="F388" s="3699"/>
      <c r="G388" s="3699"/>
      <c r="H388" s="3707"/>
      <c r="I388" s="3706"/>
      <c r="J388" s="3699"/>
      <c r="K388" s="3699"/>
      <c r="L388" s="3699"/>
      <c r="M388" s="3707"/>
      <c r="N388" s="3834"/>
      <c r="O388" s="3835"/>
      <c r="P388" s="3835"/>
      <c r="Q388" s="3835"/>
      <c r="R388" s="3836"/>
      <c r="S388" s="1172"/>
      <c r="T388" s="1172"/>
      <c r="U388" s="1172"/>
      <c r="V388" s="3533"/>
      <c r="W388" s="3534"/>
      <c r="X388" s="3534"/>
      <c r="Y388" s="3534"/>
      <c r="Z388" s="3535"/>
      <c r="AA388" s="3533"/>
      <c r="AB388" s="3534"/>
      <c r="AC388" s="3536"/>
    </row>
    <row r="389" spans="2:29">
      <c r="B389" s="4211"/>
      <c r="C389" s="3531" t="s">
        <v>585</v>
      </c>
      <c r="D389" s="3672">
        <f t="shared" ref="D389:M389" si="162">D387-D388</f>
        <v>0</v>
      </c>
      <c r="E389" s="3666">
        <f t="shared" si="162"/>
        <v>0</v>
      </c>
      <c r="F389" s="3666">
        <f t="shared" si="162"/>
        <v>0</v>
      </c>
      <c r="G389" s="3666">
        <f t="shared" si="162"/>
        <v>0</v>
      </c>
      <c r="H389" s="3673">
        <f t="shared" si="162"/>
        <v>0</v>
      </c>
      <c r="I389" s="3672">
        <f t="shared" si="162"/>
        <v>0</v>
      </c>
      <c r="J389" s="3666">
        <f t="shared" si="162"/>
        <v>0</v>
      </c>
      <c r="K389" s="3666">
        <f t="shared" si="162"/>
        <v>0</v>
      </c>
      <c r="L389" s="3666">
        <f t="shared" si="162"/>
        <v>0</v>
      </c>
      <c r="M389" s="3673">
        <f t="shared" si="162"/>
        <v>9100</v>
      </c>
      <c r="N389" s="3837"/>
      <c r="O389" s="3838"/>
      <c r="P389" s="3838"/>
      <c r="Q389" s="3838"/>
      <c r="R389" s="3839"/>
      <c r="S389" s="1172"/>
      <c r="T389" s="1172"/>
      <c r="U389" s="1172"/>
      <c r="V389" s="3533"/>
      <c r="W389" s="3534"/>
      <c r="X389" s="3534"/>
      <c r="Y389" s="3534"/>
      <c r="Z389" s="3535"/>
      <c r="AA389" s="3533"/>
      <c r="AB389" s="3534"/>
      <c r="AC389" s="3536"/>
    </row>
    <row r="390" spans="2:29" ht="13.5" thickBot="1">
      <c r="B390" s="4212"/>
      <c r="C390" s="3532" t="s">
        <v>93</v>
      </c>
      <c r="D390" s="470"/>
      <c r="E390" s="468"/>
      <c r="F390" s="468"/>
      <c r="G390" s="468"/>
      <c r="H390" s="530"/>
      <c r="I390" s="3712"/>
      <c r="J390" s="3734"/>
      <c r="K390" s="3734"/>
      <c r="L390" s="3734"/>
      <c r="M390" s="3733">
        <f t="shared" ref="M390" si="163">M384/M383</f>
        <v>1978.2608695652173</v>
      </c>
      <c r="N390" s="3834"/>
      <c r="O390" s="3835"/>
      <c r="P390" s="3835"/>
      <c r="Q390" s="3835"/>
      <c r="R390" s="3836"/>
      <c r="S390" s="1172"/>
      <c r="T390" s="1172"/>
      <c r="U390" s="1172"/>
      <c r="V390" s="3533"/>
      <c r="W390" s="3534"/>
      <c r="X390" s="3534"/>
      <c r="Y390" s="3534"/>
      <c r="Z390" s="3535"/>
      <c r="AA390" s="3533"/>
      <c r="AB390" s="3534"/>
      <c r="AC390" s="3536"/>
    </row>
    <row r="391" spans="2:29">
      <c r="B391" s="4211" t="s">
        <v>1828</v>
      </c>
      <c r="C391" s="3528" t="s">
        <v>90</v>
      </c>
      <c r="D391" s="3702">
        <f>D82</f>
        <v>0</v>
      </c>
      <c r="E391" s="3703">
        <f t="shared" ref="E391:M391" si="164">E82</f>
        <v>0</v>
      </c>
      <c r="F391" s="3703">
        <f t="shared" si="164"/>
        <v>0</v>
      </c>
      <c r="G391" s="3703">
        <f t="shared" si="164"/>
        <v>0</v>
      </c>
      <c r="H391" s="3704">
        <f t="shared" si="164"/>
        <v>2</v>
      </c>
      <c r="I391" s="3737">
        <f t="shared" si="164"/>
        <v>0</v>
      </c>
      <c r="J391" s="3736">
        <f t="shared" si="164"/>
        <v>0</v>
      </c>
      <c r="K391" s="3736">
        <f t="shared" si="164"/>
        <v>0</v>
      </c>
      <c r="L391" s="3736">
        <f t="shared" si="164"/>
        <v>0</v>
      </c>
      <c r="M391" s="3735">
        <f t="shared" si="164"/>
        <v>0</v>
      </c>
      <c r="N391" s="3831"/>
      <c r="O391" s="3832"/>
      <c r="P391" s="3832"/>
      <c r="Q391" s="3832"/>
      <c r="R391" s="3833"/>
      <c r="S391" s="1172"/>
      <c r="T391" s="1172"/>
      <c r="U391" s="1172"/>
      <c r="V391" s="3533"/>
      <c r="W391" s="3534"/>
      <c r="X391" s="3534"/>
      <c r="Y391" s="3534"/>
      <c r="Z391" s="3535"/>
      <c r="AA391" s="3533"/>
      <c r="AB391" s="3534"/>
      <c r="AC391" s="3536"/>
    </row>
    <row r="392" spans="2:29">
      <c r="B392" s="4211"/>
      <c r="C392" s="3529" t="s">
        <v>579</v>
      </c>
      <c r="D392" s="3710">
        <v>0</v>
      </c>
      <c r="E392" s="3700">
        <v>0</v>
      </c>
      <c r="F392" s="3700">
        <v>0</v>
      </c>
      <c r="G392" s="3700">
        <v>0</v>
      </c>
      <c r="H392" s="3705">
        <v>2040</v>
      </c>
      <c r="I392" s="3710">
        <v>0</v>
      </c>
      <c r="J392" s="3700"/>
      <c r="K392" s="3700">
        <v>0</v>
      </c>
      <c r="L392" s="3700">
        <v>0</v>
      </c>
      <c r="M392" s="3705">
        <v>0</v>
      </c>
      <c r="N392" s="3834"/>
      <c r="O392" s="3835"/>
      <c r="P392" s="3835"/>
      <c r="Q392" s="3835"/>
      <c r="R392" s="3836"/>
      <c r="S392" s="1172"/>
      <c r="T392" s="1172"/>
      <c r="U392" s="1172"/>
      <c r="V392" s="3533"/>
      <c r="W392" s="3534"/>
      <c r="X392" s="3534"/>
      <c r="Y392" s="3534"/>
      <c r="Z392" s="3535"/>
      <c r="AA392" s="3533"/>
      <c r="AB392" s="3534"/>
      <c r="AC392" s="3536"/>
    </row>
    <row r="393" spans="2:29">
      <c r="B393" s="4211"/>
      <c r="C393" s="3530" t="s">
        <v>583</v>
      </c>
      <c r="D393" s="3706">
        <f>0.07*D392</f>
        <v>0</v>
      </c>
      <c r="E393" s="3699">
        <f t="shared" ref="E393:L393" si="165">0.07*E392</f>
        <v>0</v>
      </c>
      <c r="F393" s="3699">
        <f t="shared" si="165"/>
        <v>0</v>
      </c>
      <c r="G393" s="3699">
        <f t="shared" si="165"/>
        <v>0</v>
      </c>
      <c r="H393" s="3707">
        <f t="shared" si="165"/>
        <v>142.80000000000001</v>
      </c>
      <c r="I393" s="3706">
        <f t="shared" si="165"/>
        <v>0</v>
      </c>
      <c r="J393" s="3699">
        <f t="shared" si="165"/>
        <v>0</v>
      </c>
      <c r="K393" s="3699">
        <f t="shared" si="165"/>
        <v>0</v>
      </c>
      <c r="L393" s="3699">
        <f t="shared" si="165"/>
        <v>0</v>
      </c>
      <c r="M393" s="3707"/>
      <c r="N393" s="3834"/>
      <c r="O393" s="3835"/>
      <c r="P393" s="3835"/>
      <c r="Q393" s="3835"/>
      <c r="R393" s="3836"/>
      <c r="S393" s="1172"/>
      <c r="T393" s="1172"/>
      <c r="U393" s="1172"/>
      <c r="V393" s="3533"/>
      <c r="W393" s="3534"/>
      <c r="X393" s="3534"/>
      <c r="Y393" s="3534"/>
      <c r="Z393" s="3535"/>
      <c r="AA393" s="3533"/>
      <c r="AB393" s="3534"/>
      <c r="AC393" s="3536"/>
    </row>
    <row r="394" spans="2:29">
      <c r="B394" s="4211"/>
      <c r="C394" s="3530" t="s">
        <v>581</v>
      </c>
      <c r="D394" s="3706"/>
      <c r="E394" s="3699"/>
      <c r="F394" s="3699"/>
      <c r="G394" s="3699"/>
      <c r="H394" s="3707"/>
      <c r="I394" s="3706"/>
      <c r="J394" s="3699"/>
      <c r="K394" s="3699"/>
      <c r="L394" s="3699"/>
      <c r="M394" s="3707"/>
      <c r="N394" s="3834"/>
      <c r="O394" s="3835"/>
      <c r="P394" s="3835"/>
      <c r="Q394" s="3835"/>
      <c r="R394" s="3836"/>
      <c r="S394" s="1172"/>
      <c r="T394" s="1172"/>
      <c r="U394" s="1172"/>
      <c r="V394" s="3533"/>
      <c r="W394" s="3534"/>
      <c r="X394" s="3534"/>
      <c r="Y394" s="3534"/>
      <c r="Z394" s="3535"/>
      <c r="AA394" s="3533"/>
      <c r="AB394" s="3534"/>
      <c r="AC394" s="3536"/>
    </row>
    <row r="395" spans="2:29">
      <c r="B395" s="4211"/>
      <c r="C395" s="3531" t="s">
        <v>584</v>
      </c>
      <c r="D395" s="3672">
        <f t="shared" ref="D395:M395" si="166">D392+D393+D394</f>
        <v>0</v>
      </c>
      <c r="E395" s="3666">
        <f t="shared" si="166"/>
        <v>0</v>
      </c>
      <c r="F395" s="3666">
        <f t="shared" si="166"/>
        <v>0</v>
      </c>
      <c r="G395" s="3666">
        <f t="shared" si="166"/>
        <v>0</v>
      </c>
      <c r="H395" s="3673">
        <f t="shared" si="166"/>
        <v>2182.8000000000002</v>
      </c>
      <c r="I395" s="3672">
        <f t="shared" si="166"/>
        <v>0</v>
      </c>
      <c r="J395" s="3666">
        <f t="shared" si="166"/>
        <v>0</v>
      </c>
      <c r="K395" s="3666">
        <f t="shared" si="166"/>
        <v>0</v>
      </c>
      <c r="L395" s="3666">
        <f t="shared" si="166"/>
        <v>0</v>
      </c>
      <c r="M395" s="3673">
        <f t="shared" si="166"/>
        <v>0</v>
      </c>
      <c r="N395" s="3837"/>
      <c r="O395" s="3838"/>
      <c r="P395" s="3838"/>
      <c r="Q395" s="3838"/>
      <c r="R395" s="3839"/>
      <c r="S395" s="1172"/>
      <c r="T395" s="1172"/>
      <c r="U395" s="1172"/>
      <c r="V395" s="3533"/>
      <c r="W395" s="3534"/>
      <c r="X395" s="3534"/>
      <c r="Y395" s="3534"/>
      <c r="Z395" s="3535"/>
      <c r="AA395" s="3533"/>
      <c r="AB395" s="3534"/>
      <c r="AC395" s="3536"/>
    </row>
    <row r="396" spans="2:29">
      <c r="B396" s="4211"/>
      <c r="C396" s="3530" t="s">
        <v>605</v>
      </c>
      <c r="D396" s="3706"/>
      <c r="E396" s="3699"/>
      <c r="F396" s="3699"/>
      <c r="G396" s="3699"/>
      <c r="H396" s="3707"/>
      <c r="I396" s="3706"/>
      <c r="J396" s="3699"/>
      <c r="K396" s="3699"/>
      <c r="L396" s="3699"/>
      <c r="M396" s="3707"/>
      <c r="N396" s="3834"/>
      <c r="O396" s="3835"/>
      <c r="P396" s="3835"/>
      <c r="Q396" s="3835"/>
      <c r="R396" s="3836"/>
      <c r="S396" s="1172"/>
      <c r="T396" s="1172"/>
      <c r="U396" s="1172"/>
      <c r="V396" s="3533"/>
      <c r="W396" s="3534"/>
      <c r="X396" s="3534"/>
      <c r="Y396" s="3534"/>
      <c r="Z396" s="3535"/>
      <c r="AA396" s="3533"/>
      <c r="AB396" s="3534"/>
      <c r="AC396" s="3536"/>
    </row>
    <row r="397" spans="2:29">
      <c r="B397" s="4211"/>
      <c r="C397" s="3531" t="s">
        <v>585</v>
      </c>
      <c r="D397" s="3672">
        <f t="shared" ref="D397:M397" si="167">D395-D396</f>
        <v>0</v>
      </c>
      <c r="E397" s="3666">
        <f t="shared" si="167"/>
        <v>0</v>
      </c>
      <c r="F397" s="3666">
        <f t="shared" si="167"/>
        <v>0</v>
      </c>
      <c r="G397" s="3666">
        <f t="shared" si="167"/>
        <v>0</v>
      </c>
      <c r="H397" s="3673">
        <f t="shared" si="167"/>
        <v>2182.8000000000002</v>
      </c>
      <c r="I397" s="3672">
        <f t="shared" si="167"/>
        <v>0</v>
      </c>
      <c r="J397" s="3666">
        <f t="shared" si="167"/>
        <v>0</v>
      </c>
      <c r="K397" s="3666">
        <f t="shared" si="167"/>
        <v>0</v>
      </c>
      <c r="L397" s="3666">
        <f t="shared" si="167"/>
        <v>0</v>
      </c>
      <c r="M397" s="3673">
        <f t="shared" si="167"/>
        <v>0</v>
      </c>
      <c r="N397" s="3837"/>
      <c r="O397" s="3838"/>
      <c r="P397" s="3838"/>
      <c r="Q397" s="3838"/>
      <c r="R397" s="3839"/>
      <c r="S397" s="1172"/>
      <c r="T397" s="1172"/>
      <c r="U397" s="1172"/>
      <c r="V397" s="3533"/>
      <c r="W397" s="3534"/>
      <c r="X397" s="3534"/>
      <c r="Y397" s="3534"/>
      <c r="Z397" s="3535"/>
      <c r="AA397" s="3533"/>
      <c r="AB397" s="3534"/>
      <c r="AC397" s="3536"/>
    </row>
    <row r="398" spans="2:29" ht="13.5" thickBot="1">
      <c r="B398" s="4212"/>
      <c r="C398" s="3532" t="s">
        <v>93</v>
      </c>
      <c r="D398" s="470"/>
      <c r="E398" s="468"/>
      <c r="F398" s="468"/>
      <c r="G398" s="468"/>
      <c r="H398" s="530">
        <f t="shared" ref="H398" si="168">H392/H391</f>
        <v>1020</v>
      </c>
      <c r="I398" s="3712"/>
      <c r="J398" s="3734"/>
      <c r="K398" s="3734"/>
      <c r="L398" s="3734"/>
      <c r="M398" s="3733"/>
      <c r="N398" s="3834"/>
      <c r="O398" s="3835"/>
      <c r="P398" s="3835"/>
      <c r="Q398" s="3835"/>
      <c r="R398" s="3836"/>
      <c r="S398" s="1172"/>
      <c r="T398" s="1172"/>
      <c r="U398" s="1172"/>
      <c r="V398" s="3533"/>
      <c r="W398" s="3534"/>
      <c r="X398" s="3534"/>
      <c r="Y398" s="3534"/>
      <c r="Z398" s="3535"/>
      <c r="AA398" s="3533"/>
      <c r="AB398" s="3534"/>
      <c r="AC398" s="3536"/>
    </row>
    <row r="399" spans="2:29">
      <c r="B399" s="4211" t="s">
        <v>1830</v>
      </c>
      <c r="C399" s="3528" t="s">
        <v>90</v>
      </c>
      <c r="D399" s="3702">
        <f>D88</f>
        <v>0</v>
      </c>
      <c r="E399" s="3703">
        <f t="shared" ref="E399:M399" si="169">E88</f>
        <v>0</v>
      </c>
      <c r="F399" s="3703">
        <f t="shared" si="169"/>
        <v>0</v>
      </c>
      <c r="G399" s="3703">
        <f t="shared" si="169"/>
        <v>0</v>
      </c>
      <c r="H399" s="3704">
        <f t="shared" si="169"/>
        <v>0</v>
      </c>
      <c r="I399" s="3737">
        <f t="shared" si="169"/>
        <v>0</v>
      </c>
      <c r="J399" s="3736">
        <f t="shared" si="169"/>
        <v>0</v>
      </c>
      <c r="K399" s="3736">
        <f t="shared" si="169"/>
        <v>0</v>
      </c>
      <c r="L399" s="3736">
        <f t="shared" si="169"/>
        <v>0</v>
      </c>
      <c r="M399" s="3735">
        <f t="shared" si="169"/>
        <v>3</v>
      </c>
      <c r="N399" s="3831"/>
      <c r="O399" s="3832"/>
      <c r="P399" s="3832"/>
      <c r="Q399" s="3832"/>
      <c r="R399" s="3833"/>
      <c r="S399" s="1172"/>
      <c r="T399" s="1172"/>
      <c r="U399" s="1172"/>
      <c r="V399" s="3533"/>
      <c r="W399" s="3534"/>
      <c r="X399" s="3534"/>
      <c r="Y399" s="3534"/>
      <c r="Z399" s="3535"/>
      <c r="AA399" s="3533"/>
      <c r="AB399" s="3534"/>
      <c r="AC399" s="3536"/>
    </row>
    <row r="400" spans="2:29">
      <c r="B400" s="4211"/>
      <c r="C400" s="3529" t="s">
        <v>579</v>
      </c>
      <c r="D400" s="3710">
        <v>0</v>
      </c>
      <c r="E400" s="3700">
        <v>0</v>
      </c>
      <c r="F400" s="3700">
        <v>0</v>
      </c>
      <c r="G400" s="3700">
        <v>0</v>
      </c>
      <c r="H400" s="3705">
        <v>0</v>
      </c>
      <c r="I400" s="3710">
        <v>0</v>
      </c>
      <c r="J400" s="3700"/>
      <c r="K400" s="3700">
        <v>0</v>
      </c>
      <c r="L400" s="3700">
        <v>0</v>
      </c>
      <c r="M400" s="3705">
        <v>5935</v>
      </c>
      <c r="N400" s="3834"/>
      <c r="O400" s="3835"/>
      <c r="P400" s="3835"/>
      <c r="Q400" s="3835"/>
      <c r="R400" s="3836"/>
      <c r="S400" s="1172"/>
      <c r="T400" s="1172"/>
      <c r="U400" s="1172"/>
      <c r="V400" s="3533"/>
      <c r="W400" s="3534"/>
      <c r="X400" s="3534"/>
      <c r="Y400" s="3534"/>
      <c r="Z400" s="3535"/>
      <c r="AA400" s="3533"/>
      <c r="AB400" s="3534"/>
      <c r="AC400" s="3536"/>
    </row>
    <row r="401" spans="2:29">
      <c r="B401" s="4211"/>
      <c r="C401" s="3530" t="s">
        <v>583</v>
      </c>
      <c r="D401" s="3706">
        <f>0.07*D400</f>
        <v>0</v>
      </c>
      <c r="E401" s="3699">
        <f t="shared" ref="E401:L401" si="170">0.07*E400</f>
        <v>0</v>
      </c>
      <c r="F401" s="3699">
        <f t="shared" si="170"/>
        <v>0</v>
      </c>
      <c r="G401" s="3699">
        <f t="shared" si="170"/>
        <v>0</v>
      </c>
      <c r="H401" s="3707">
        <f t="shared" si="170"/>
        <v>0</v>
      </c>
      <c r="I401" s="3706">
        <f t="shared" si="170"/>
        <v>0</v>
      </c>
      <c r="J401" s="3699">
        <f t="shared" si="170"/>
        <v>0</v>
      </c>
      <c r="K401" s="3699">
        <f t="shared" si="170"/>
        <v>0</v>
      </c>
      <c r="L401" s="3699">
        <f t="shared" si="170"/>
        <v>0</v>
      </c>
      <c r="M401" s="3707">
        <f>$M$250*M400</f>
        <v>0</v>
      </c>
      <c r="N401" s="3834"/>
      <c r="O401" s="3835"/>
      <c r="P401" s="3835"/>
      <c r="Q401" s="3835"/>
      <c r="R401" s="3836"/>
      <c r="S401" s="1172"/>
      <c r="T401" s="1172"/>
      <c r="U401" s="1172"/>
      <c r="V401" s="3533"/>
      <c r="W401" s="3534"/>
      <c r="X401" s="3534"/>
      <c r="Y401" s="3534"/>
      <c r="Z401" s="3535"/>
      <c r="AA401" s="3533"/>
      <c r="AB401" s="3534"/>
      <c r="AC401" s="3536"/>
    </row>
    <row r="402" spans="2:29">
      <c r="B402" s="4211"/>
      <c r="C402" s="3530" t="s">
        <v>581</v>
      </c>
      <c r="D402" s="3706"/>
      <c r="E402" s="3699"/>
      <c r="F402" s="3699"/>
      <c r="G402" s="3699"/>
      <c r="H402" s="3707"/>
      <c r="I402" s="3706"/>
      <c r="J402" s="3699"/>
      <c r="K402" s="3699"/>
      <c r="L402" s="3699"/>
      <c r="M402" s="3707"/>
      <c r="N402" s="3834"/>
      <c r="O402" s="3835"/>
      <c r="P402" s="3835"/>
      <c r="Q402" s="3835"/>
      <c r="R402" s="3836"/>
      <c r="S402" s="1172"/>
      <c r="T402" s="1172"/>
      <c r="U402" s="1172"/>
      <c r="V402" s="3533"/>
      <c r="W402" s="3534"/>
      <c r="X402" s="3534"/>
      <c r="Y402" s="3534"/>
      <c r="Z402" s="3535"/>
      <c r="AA402" s="3533"/>
      <c r="AB402" s="3534"/>
      <c r="AC402" s="3536"/>
    </row>
    <row r="403" spans="2:29">
      <c r="B403" s="4211"/>
      <c r="C403" s="3531" t="s">
        <v>584</v>
      </c>
      <c r="D403" s="3672">
        <f t="shared" ref="D403:M403" si="171">D400+D401+D402</f>
        <v>0</v>
      </c>
      <c r="E403" s="3666">
        <f t="shared" si="171"/>
        <v>0</v>
      </c>
      <c r="F403" s="3666">
        <f t="shared" si="171"/>
        <v>0</v>
      </c>
      <c r="G403" s="3666">
        <f t="shared" si="171"/>
        <v>0</v>
      </c>
      <c r="H403" s="3673">
        <f t="shared" si="171"/>
        <v>0</v>
      </c>
      <c r="I403" s="3672">
        <f t="shared" si="171"/>
        <v>0</v>
      </c>
      <c r="J403" s="3666">
        <f t="shared" si="171"/>
        <v>0</v>
      </c>
      <c r="K403" s="3666">
        <f t="shared" si="171"/>
        <v>0</v>
      </c>
      <c r="L403" s="3666">
        <f t="shared" si="171"/>
        <v>0</v>
      </c>
      <c r="M403" s="3673">
        <f t="shared" si="171"/>
        <v>5935</v>
      </c>
      <c r="N403" s="3837"/>
      <c r="O403" s="3838"/>
      <c r="P403" s="3838"/>
      <c r="Q403" s="3838"/>
      <c r="R403" s="3839"/>
      <c r="S403" s="1172"/>
      <c r="T403" s="1172"/>
      <c r="U403" s="1172"/>
      <c r="V403" s="3533"/>
      <c r="W403" s="3534"/>
      <c r="X403" s="3534"/>
      <c r="Y403" s="3534"/>
      <c r="Z403" s="3535"/>
      <c r="AA403" s="3533"/>
      <c r="AB403" s="3534"/>
      <c r="AC403" s="3536"/>
    </row>
    <row r="404" spans="2:29">
      <c r="B404" s="4211"/>
      <c r="C404" s="3530" t="s">
        <v>605</v>
      </c>
      <c r="D404" s="3706"/>
      <c r="E404" s="3699"/>
      <c r="F404" s="3699"/>
      <c r="G404" s="3699"/>
      <c r="H404" s="3707"/>
      <c r="I404" s="3706"/>
      <c r="J404" s="3699"/>
      <c r="K404" s="3699"/>
      <c r="L404" s="3699"/>
      <c r="M404" s="3707"/>
      <c r="N404" s="3834"/>
      <c r="O404" s="3835"/>
      <c r="P404" s="3835"/>
      <c r="Q404" s="3835"/>
      <c r="R404" s="3836"/>
      <c r="S404" s="1172"/>
      <c r="T404" s="1172"/>
      <c r="U404" s="1172"/>
      <c r="V404" s="3533"/>
      <c r="W404" s="3534"/>
      <c r="X404" s="3534"/>
      <c r="Y404" s="3534"/>
      <c r="Z404" s="3535"/>
      <c r="AA404" s="3533"/>
      <c r="AB404" s="3534"/>
      <c r="AC404" s="3536"/>
    </row>
    <row r="405" spans="2:29">
      <c r="B405" s="4211"/>
      <c r="C405" s="3531" t="s">
        <v>585</v>
      </c>
      <c r="D405" s="3672">
        <f t="shared" ref="D405:M405" si="172">D403-D404</f>
        <v>0</v>
      </c>
      <c r="E405" s="3666">
        <f t="shared" si="172"/>
        <v>0</v>
      </c>
      <c r="F405" s="3666">
        <f t="shared" si="172"/>
        <v>0</v>
      </c>
      <c r="G405" s="3666">
        <f t="shared" si="172"/>
        <v>0</v>
      </c>
      <c r="H405" s="3673">
        <f t="shared" si="172"/>
        <v>0</v>
      </c>
      <c r="I405" s="3672">
        <f t="shared" si="172"/>
        <v>0</v>
      </c>
      <c r="J405" s="3666">
        <f t="shared" si="172"/>
        <v>0</v>
      </c>
      <c r="K405" s="3666">
        <f t="shared" si="172"/>
        <v>0</v>
      </c>
      <c r="L405" s="3666">
        <f t="shared" si="172"/>
        <v>0</v>
      </c>
      <c r="M405" s="3673">
        <f t="shared" si="172"/>
        <v>5935</v>
      </c>
      <c r="N405" s="3837"/>
      <c r="O405" s="3838"/>
      <c r="P405" s="3838"/>
      <c r="Q405" s="3838"/>
      <c r="R405" s="3839"/>
      <c r="S405" s="1172"/>
      <c r="T405" s="1172"/>
      <c r="U405" s="1172"/>
      <c r="V405" s="3533"/>
      <c r="W405" s="3534"/>
      <c r="X405" s="3534"/>
      <c r="Y405" s="3534"/>
      <c r="Z405" s="3535"/>
      <c r="AA405" s="3533"/>
      <c r="AB405" s="3534"/>
      <c r="AC405" s="3536"/>
    </row>
    <row r="406" spans="2:29" ht="13.5" thickBot="1">
      <c r="B406" s="4212"/>
      <c r="C406" s="3532" t="s">
        <v>93</v>
      </c>
      <c r="D406" s="3712"/>
      <c r="E406" s="3713"/>
      <c r="F406" s="3713"/>
      <c r="G406" s="3713"/>
      <c r="H406" s="3714"/>
      <c r="I406" s="3712"/>
      <c r="J406" s="3734"/>
      <c r="K406" s="3734"/>
      <c r="L406" s="3734"/>
      <c r="M406" s="3733">
        <f t="shared" ref="M406" si="173">M400/M399</f>
        <v>1978.3333333333333</v>
      </c>
      <c r="N406" s="3840"/>
      <c r="O406" s="3841"/>
      <c r="P406" s="3841"/>
      <c r="Q406" s="3841"/>
      <c r="R406" s="3842"/>
      <c r="S406" s="1172"/>
      <c r="T406" s="1172"/>
      <c r="U406" s="1172"/>
      <c r="V406" s="3533"/>
      <c r="W406" s="3534"/>
      <c r="X406" s="3534"/>
      <c r="Y406" s="3534"/>
      <c r="Z406" s="3535"/>
      <c r="AA406" s="3533"/>
      <c r="AB406" s="3534"/>
      <c r="AC406" s="3536"/>
    </row>
    <row r="407" spans="2:29">
      <c r="B407" s="4211" t="s">
        <v>1831</v>
      </c>
      <c r="C407" s="3528" t="s">
        <v>90</v>
      </c>
      <c r="D407" s="3706">
        <f>D91</f>
        <v>0</v>
      </c>
      <c r="E407" s="3699">
        <f t="shared" ref="E407:M407" si="174">E91</f>
        <v>0</v>
      </c>
      <c r="F407" s="3699">
        <f t="shared" si="174"/>
        <v>0</v>
      </c>
      <c r="G407" s="3699">
        <f t="shared" si="174"/>
        <v>0</v>
      </c>
      <c r="H407" s="3707">
        <f t="shared" si="174"/>
        <v>0</v>
      </c>
      <c r="I407" s="3737">
        <f t="shared" si="174"/>
        <v>0</v>
      </c>
      <c r="J407" s="3736">
        <f t="shared" si="174"/>
        <v>0</v>
      </c>
      <c r="K407" s="3736">
        <f t="shared" si="174"/>
        <v>0</v>
      </c>
      <c r="L407" s="3736">
        <f t="shared" si="174"/>
        <v>0</v>
      </c>
      <c r="M407" s="3735">
        <f t="shared" si="174"/>
        <v>2</v>
      </c>
      <c r="N407" s="3834"/>
      <c r="O407" s="3835"/>
      <c r="P407" s="3835"/>
      <c r="Q407" s="3835"/>
      <c r="R407" s="3836"/>
      <c r="S407" s="1172"/>
      <c r="T407" s="1172"/>
      <c r="U407" s="1172"/>
      <c r="V407" s="3533"/>
      <c r="W407" s="3534"/>
      <c r="X407" s="3534"/>
      <c r="Y407" s="3534"/>
      <c r="Z407" s="3535"/>
      <c r="AA407" s="3533"/>
      <c r="AB407" s="3534"/>
      <c r="AC407" s="3536"/>
    </row>
    <row r="408" spans="2:29">
      <c r="B408" s="4211"/>
      <c r="C408" s="3529" t="s">
        <v>579</v>
      </c>
      <c r="D408" s="3710">
        <v>0</v>
      </c>
      <c r="E408" s="3700">
        <v>0</v>
      </c>
      <c r="F408" s="3700">
        <v>0</v>
      </c>
      <c r="G408" s="3700">
        <v>0</v>
      </c>
      <c r="H408" s="3705">
        <v>0</v>
      </c>
      <c r="I408" s="3710">
        <v>0</v>
      </c>
      <c r="J408" s="3700"/>
      <c r="K408" s="3700">
        <v>0</v>
      </c>
      <c r="L408" s="3700">
        <v>0</v>
      </c>
      <c r="M408" s="3705">
        <v>3957</v>
      </c>
      <c r="N408" s="3834"/>
      <c r="O408" s="3835"/>
      <c r="P408" s="3835"/>
      <c r="Q408" s="3835"/>
      <c r="R408" s="3836"/>
      <c r="S408" s="1172"/>
      <c r="T408" s="1172"/>
      <c r="U408" s="1172"/>
      <c r="V408" s="3533"/>
      <c r="W408" s="3534"/>
      <c r="X408" s="3534"/>
      <c r="Y408" s="3534"/>
      <c r="Z408" s="3535"/>
      <c r="AA408" s="3533"/>
      <c r="AB408" s="3534"/>
      <c r="AC408" s="3536"/>
    </row>
    <row r="409" spans="2:29">
      <c r="B409" s="4211"/>
      <c r="C409" s="3530" t="s">
        <v>583</v>
      </c>
      <c r="D409" s="3706">
        <f>0.07*D408</f>
        <v>0</v>
      </c>
      <c r="E409" s="3699">
        <f t="shared" ref="E409:L409" si="175">0.07*E408</f>
        <v>0</v>
      </c>
      <c r="F409" s="3699">
        <f t="shared" si="175"/>
        <v>0</v>
      </c>
      <c r="G409" s="3699">
        <f t="shared" si="175"/>
        <v>0</v>
      </c>
      <c r="H409" s="3707">
        <f t="shared" si="175"/>
        <v>0</v>
      </c>
      <c r="I409" s="3706">
        <f t="shared" si="175"/>
        <v>0</v>
      </c>
      <c r="J409" s="3699">
        <f t="shared" si="175"/>
        <v>0</v>
      </c>
      <c r="K409" s="3699">
        <f t="shared" si="175"/>
        <v>0</v>
      </c>
      <c r="L409" s="3699">
        <f t="shared" si="175"/>
        <v>0</v>
      </c>
      <c r="M409" s="3707">
        <f>$M$250*M408</f>
        <v>0</v>
      </c>
      <c r="N409" s="3834"/>
      <c r="O409" s="3835"/>
      <c r="P409" s="3835"/>
      <c r="Q409" s="3835"/>
      <c r="R409" s="3836"/>
      <c r="S409" s="1172"/>
      <c r="T409" s="1172"/>
      <c r="U409" s="1172"/>
      <c r="V409" s="3533"/>
      <c r="W409" s="3534"/>
      <c r="X409" s="3534"/>
      <c r="Y409" s="3534"/>
      <c r="Z409" s="3535"/>
      <c r="AA409" s="3533"/>
      <c r="AB409" s="3534"/>
      <c r="AC409" s="3536"/>
    </row>
    <row r="410" spans="2:29">
      <c r="B410" s="4211"/>
      <c r="C410" s="3530" t="s">
        <v>581</v>
      </c>
      <c r="D410" s="3706"/>
      <c r="E410" s="3699"/>
      <c r="F410" s="3699"/>
      <c r="G410" s="3699"/>
      <c r="H410" s="3707"/>
      <c r="I410" s="3706"/>
      <c r="J410" s="3699"/>
      <c r="K410" s="3699"/>
      <c r="L410" s="3699"/>
      <c r="M410" s="3707"/>
      <c r="N410" s="3834"/>
      <c r="O410" s="3835"/>
      <c r="P410" s="3835"/>
      <c r="Q410" s="3835"/>
      <c r="R410" s="3836"/>
      <c r="S410" s="1172"/>
      <c r="T410" s="1172"/>
      <c r="U410" s="1172"/>
      <c r="V410" s="3533"/>
      <c r="W410" s="3534"/>
      <c r="X410" s="3534"/>
      <c r="Y410" s="3534"/>
      <c r="Z410" s="3535"/>
      <c r="AA410" s="3533"/>
      <c r="AB410" s="3534"/>
      <c r="AC410" s="3536"/>
    </row>
    <row r="411" spans="2:29">
      <c r="B411" s="4211"/>
      <c r="C411" s="3531" t="s">
        <v>584</v>
      </c>
      <c r="D411" s="3672">
        <f t="shared" ref="D411:M411" si="176">D408+D409+D410</f>
        <v>0</v>
      </c>
      <c r="E411" s="3666">
        <f t="shared" si="176"/>
        <v>0</v>
      </c>
      <c r="F411" s="3666">
        <f t="shared" si="176"/>
        <v>0</v>
      </c>
      <c r="G411" s="3666">
        <f t="shared" si="176"/>
        <v>0</v>
      </c>
      <c r="H411" s="3673">
        <f t="shared" si="176"/>
        <v>0</v>
      </c>
      <c r="I411" s="3672">
        <f t="shared" si="176"/>
        <v>0</v>
      </c>
      <c r="J411" s="3666">
        <f t="shared" si="176"/>
        <v>0</v>
      </c>
      <c r="K411" s="3666">
        <f t="shared" si="176"/>
        <v>0</v>
      </c>
      <c r="L411" s="3666">
        <f t="shared" si="176"/>
        <v>0</v>
      </c>
      <c r="M411" s="3673">
        <f t="shared" si="176"/>
        <v>3957</v>
      </c>
      <c r="N411" s="3837"/>
      <c r="O411" s="3838"/>
      <c r="P411" s="3838"/>
      <c r="Q411" s="3838"/>
      <c r="R411" s="3839"/>
      <c r="S411" s="1172"/>
      <c r="T411" s="1172"/>
      <c r="U411" s="1172"/>
      <c r="V411" s="3533"/>
      <c r="W411" s="3534"/>
      <c r="X411" s="3534"/>
      <c r="Y411" s="3534"/>
      <c r="Z411" s="3535"/>
      <c r="AA411" s="3533"/>
      <c r="AB411" s="3534"/>
      <c r="AC411" s="3536"/>
    </row>
    <row r="412" spans="2:29">
      <c r="B412" s="4211"/>
      <c r="C412" s="3530" t="s">
        <v>605</v>
      </c>
      <c r="D412" s="3706"/>
      <c r="E412" s="3699"/>
      <c r="F412" s="3699"/>
      <c r="G412" s="3699"/>
      <c r="H412" s="3707"/>
      <c r="I412" s="3706"/>
      <c r="J412" s="3699"/>
      <c r="K412" s="3699"/>
      <c r="L412" s="3699"/>
      <c r="M412" s="3707"/>
      <c r="N412" s="3834"/>
      <c r="O412" s="3835"/>
      <c r="P412" s="3835"/>
      <c r="Q412" s="3835"/>
      <c r="R412" s="3836"/>
      <c r="S412" s="1172"/>
      <c r="T412" s="1172"/>
      <c r="U412" s="1172"/>
      <c r="V412" s="3533"/>
      <c r="W412" s="3534"/>
      <c r="X412" s="3534"/>
      <c r="Y412" s="3534"/>
      <c r="Z412" s="3535"/>
      <c r="AA412" s="3533"/>
      <c r="AB412" s="3534"/>
      <c r="AC412" s="3536"/>
    </row>
    <row r="413" spans="2:29">
      <c r="B413" s="4211"/>
      <c r="C413" s="3531" t="s">
        <v>585</v>
      </c>
      <c r="D413" s="3672">
        <f t="shared" ref="D413:M413" si="177">D411-D412</f>
        <v>0</v>
      </c>
      <c r="E413" s="3666">
        <f t="shared" si="177"/>
        <v>0</v>
      </c>
      <c r="F413" s="3666">
        <f t="shared" si="177"/>
        <v>0</v>
      </c>
      <c r="G413" s="3666">
        <f t="shared" si="177"/>
        <v>0</v>
      </c>
      <c r="H413" s="3673">
        <f t="shared" si="177"/>
        <v>0</v>
      </c>
      <c r="I413" s="3672">
        <f t="shared" si="177"/>
        <v>0</v>
      </c>
      <c r="J413" s="3666">
        <f t="shared" si="177"/>
        <v>0</v>
      </c>
      <c r="K413" s="3666">
        <f t="shared" si="177"/>
        <v>0</v>
      </c>
      <c r="L413" s="3666">
        <f t="shared" si="177"/>
        <v>0</v>
      </c>
      <c r="M413" s="3673">
        <f t="shared" si="177"/>
        <v>3957</v>
      </c>
      <c r="N413" s="3837"/>
      <c r="O413" s="3838"/>
      <c r="P413" s="3838"/>
      <c r="Q413" s="3838"/>
      <c r="R413" s="3839"/>
      <c r="S413" s="1172"/>
      <c r="T413" s="1172"/>
      <c r="U413" s="1172"/>
      <c r="V413" s="3533"/>
      <c r="W413" s="3534"/>
      <c r="X413" s="3534"/>
      <c r="Y413" s="3534"/>
      <c r="Z413" s="3535"/>
      <c r="AA413" s="3533"/>
      <c r="AB413" s="3534"/>
      <c r="AC413" s="3536"/>
    </row>
    <row r="414" spans="2:29" ht="13.5" thickBot="1">
      <c r="B414" s="4212"/>
      <c r="C414" s="3532" t="s">
        <v>93</v>
      </c>
      <c r="D414" s="3712"/>
      <c r="E414" s="3713"/>
      <c r="F414" s="3713"/>
      <c r="G414" s="3713"/>
      <c r="H414" s="3714"/>
      <c r="I414" s="3712"/>
      <c r="J414" s="3734"/>
      <c r="K414" s="3734"/>
      <c r="L414" s="3734"/>
      <c r="M414" s="3733">
        <f t="shared" ref="M414" si="178">M408/M407</f>
        <v>1978.5</v>
      </c>
      <c r="N414" s="3840"/>
      <c r="O414" s="3841"/>
      <c r="P414" s="3841"/>
      <c r="Q414" s="3841"/>
      <c r="R414" s="3842"/>
      <c r="S414" s="1172"/>
      <c r="T414" s="1172"/>
      <c r="U414" s="1172"/>
      <c r="V414" s="3533"/>
      <c r="W414" s="3534"/>
      <c r="X414" s="3534"/>
      <c r="Y414" s="3534"/>
      <c r="Z414" s="3535"/>
      <c r="AA414" s="3533"/>
      <c r="AB414" s="3534"/>
      <c r="AC414" s="3536"/>
    </row>
    <row r="415" spans="2:29">
      <c r="B415" s="4211" t="s">
        <v>1832</v>
      </c>
      <c r="C415" s="3528" t="s">
        <v>90</v>
      </c>
      <c r="D415" s="3706">
        <f>D94</f>
        <v>0</v>
      </c>
      <c r="E415" s="3699">
        <f t="shared" ref="E415:M415" si="179">E94</f>
        <v>0</v>
      </c>
      <c r="F415" s="3699">
        <f t="shared" si="179"/>
        <v>1</v>
      </c>
      <c r="G415" s="3699">
        <f t="shared" si="179"/>
        <v>1</v>
      </c>
      <c r="H415" s="3707">
        <f t="shared" si="179"/>
        <v>0</v>
      </c>
      <c r="I415" s="3737">
        <f t="shared" si="179"/>
        <v>0</v>
      </c>
      <c r="J415" s="3736">
        <f t="shared" si="179"/>
        <v>0</v>
      </c>
      <c r="K415" s="3736">
        <f t="shared" si="179"/>
        <v>0</v>
      </c>
      <c r="L415" s="3736">
        <f t="shared" si="179"/>
        <v>0</v>
      </c>
      <c r="M415" s="3735">
        <f t="shared" si="179"/>
        <v>0</v>
      </c>
      <c r="N415" s="3834"/>
      <c r="O415" s="3835"/>
      <c r="P415" s="3835"/>
      <c r="Q415" s="3835"/>
      <c r="R415" s="3836"/>
      <c r="S415" s="1172"/>
      <c r="T415" s="1172"/>
      <c r="U415" s="1172"/>
      <c r="V415" s="3533"/>
      <c r="W415" s="3534"/>
      <c r="X415" s="3534"/>
      <c r="Y415" s="3534"/>
      <c r="Z415" s="3535"/>
      <c r="AA415" s="3533"/>
      <c r="AB415" s="3534"/>
      <c r="AC415" s="3536"/>
    </row>
    <row r="416" spans="2:29">
      <c r="B416" s="4211"/>
      <c r="C416" s="3529" t="s">
        <v>579</v>
      </c>
      <c r="D416" s="3710">
        <v>0</v>
      </c>
      <c r="E416" s="3700">
        <v>0</v>
      </c>
      <c r="F416" s="3700">
        <v>668</v>
      </c>
      <c r="G416" s="3700">
        <v>679</v>
      </c>
      <c r="H416" s="3705">
        <v>0</v>
      </c>
      <c r="I416" s="3710">
        <v>0</v>
      </c>
      <c r="J416" s="3700"/>
      <c r="K416" s="3700">
        <v>0</v>
      </c>
      <c r="L416" s="3700">
        <v>0</v>
      </c>
      <c r="M416" s="3705">
        <v>0</v>
      </c>
      <c r="N416" s="3834"/>
      <c r="O416" s="3835"/>
      <c r="P416" s="3835"/>
      <c r="Q416" s="3835"/>
      <c r="R416" s="3836"/>
      <c r="S416" s="1172"/>
      <c r="T416" s="1172"/>
      <c r="U416" s="1172"/>
      <c r="V416" s="3533"/>
      <c r="W416" s="3534"/>
      <c r="X416" s="3534"/>
      <c r="Y416" s="3534"/>
      <c r="Z416" s="3535"/>
      <c r="AA416" s="3533"/>
      <c r="AB416" s="3534"/>
      <c r="AC416" s="3536"/>
    </row>
    <row r="417" spans="2:29">
      <c r="B417" s="4211"/>
      <c r="C417" s="3530" t="s">
        <v>583</v>
      </c>
      <c r="D417" s="3706">
        <f>0.07*D416</f>
        <v>0</v>
      </c>
      <c r="E417" s="3699">
        <f t="shared" ref="E417:L417" si="180">0.07*E416</f>
        <v>0</v>
      </c>
      <c r="F417" s="3699">
        <f t="shared" si="180"/>
        <v>46.760000000000005</v>
      </c>
      <c r="G417" s="3699">
        <f t="shared" si="180"/>
        <v>47.53</v>
      </c>
      <c r="H417" s="3707">
        <f t="shared" si="180"/>
        <v>0</v>
      </c>
      <c r="I417" s="3706">
        <f t="shared" si="180"/>
        <v>0</v>
      </c>
      <c r="J417" s="3699">
        <f t="shared" si="180"/>
        <v>0</v>
      </c>
      <c r="K417" s="3699">
        <f t="shared" si="180"/>
        <v>0</v>
      </c>
      <c r="L417" s="3699">
        <f t="shared" si="180"/>
        <v>0</v>
      </c>
      <c r="M417" s="3707"/>
      <c r="N417" s="3834"/>
      <c r="O417" s="3835"/>
      <c r="P417" s="3835"/>
      <c r="Q417" s="3835"/>
      <c r="R417" s="3836"/>
      <c r="S417" s="1172"/>
      <c r="T417" s="1172"/>
      <c r="U417" s="1172"/>
      <c r="V417" s="3533"/>
      <c r="W417" s="3534"/>
      <c r="X417" s="3534"/>
      <c r="Y417" s="3534"/>
      <c r="Z417" s="3535"/>
      <c r="AA417" s="3533"/>
      <c r="AB417" s="3534"/>
      <c r="AC417" s="3536"/>
    </row>
    <row r="418" spans="2:29">
      <c r="B418" s="4211"/>
      <c r="C418" s="3530" t="s">
        <v>581</v>
      </c>
      <c r="D418" s="3706"/>
      <c r="E418" s="3699"/>
      <c r="F418" s="3699"/>
      <c r="G418" s="3699"/>
      <c r="H418" s="3707"/>
      <c r="I418" s="3706"/>
      <c r="J418" s="3699"/>
      <c r="K418" s="3699"/>
      <c r="L418" s="3699"/>
      <c r="M418" s="3707"/>
      <c r="N418" s="3834"/>
      <c r="O418" s="3835"/>
      <c r="P418" s="3835"/>
      <c r="Q418" s="3835"/>
      <c r="R418" s="3836"/>
      <c r="S418" s="1172"/>
      <c r="T418" s="1172"/>
      <c r="U418" s="1172"/>
      <c r="V418" s="3533"/>
      <c r="W418" s="3534"/>
      <c r="X418" s="3534"/>
      <c r="Y418" s="3534"/>
      <c r="Z418" s="3535"/>
      <c r="AA418" s="3533"/>
      <c r="AB418" s="3534"/>
      <c r="AC418" s="3536"/>
    </row>
    <row r="419" spans="2:29">
      <c r="B419" s="4211"/>
      <c r="C419" s="3531" t="s">
        <v>584</v>
      </c>
      <c r="D419" s="3672">
        <f t="shared" ref="D419:M419" si="181">D416+D417+D418</f>
        <v>0</v>
      </c>
      <c r="E419" s="3666">
        <f t="shared" si="181"/>
        <v>0</v>
      </c>
      <c r="F419" s="3666">
        <f t="shared" si="181"/>
        <v>714.76</v>
      </c>
      <c r="G419" s="3666">
        <f t="shared" si="181"/>
        <v>726.53</v>
      </c>
      <c r="H419" s="3673">
        <f t="shared" si="181"/>
        <v>0</v>
      </c>
      <c r="I419" s="3672">
        <f t="shared" si="181"/>
        <v>0</v>
      </c>
      <c r="J419" s="3666">
        <f t="shared" si="181"/>
        <v>0</v>
      </c>
      <c r="K419" s="3666">
        <f t="shared" si="181"/>
        <v>0</v>
      </c>
      <c r="L419" s="3666">
        <f t="shared" si="181"/>
        <v>0</v>
      </c>
      <c r="M419" s="3673">
        <f t="shared" si="181"/>
        <v>0</v>
      </c>
      <c r="N419" s="3837"/>
      <c r="O419" s="3838"/>
      <c r="P419" s="3838"/>
      <c r="Q419" s="3838"/>
      <c r="R419" s="3839"/>
      <c r="S419" s="1172"/>
      <c r="T419" s="1172"/>
      <c r="U419" s="1172"/>
      <c r="V419" s="3533"/>
      <c r="W419" s="3534"/>
      <c r="X419" s="3534"/>
      <c r="Y419" s="3534"/>
      <c r="Z419" s="3535"/>
      <c r="AA419" s="3533"/>
      <c r="AB419" s="3534"/>
      <c r="AC419" s="3536"/>
    </row>
    <row r="420" spans="2:29">
      <c r="B420" s="4211"/>
      <c r="C420" s="3530" t="s">
        <v>605</v>
      </c>
      <c r="D420" s="3706"/>
      <c r="E420" s="3699"/>
      <c r="F420" s="3699"/>
      <c r="G420" s="3699"/>
      <c r="H420" s="3707"/>
      <c r="I420" s="3706"/>
      <c r="J420" s="3699"/>
      <c r="K420" s="3699"/>
      <c r="L420" s="3699"/>
      <c r="M420" s="3707"/>
      <c r="N420" s="3834"/>
      <c r="O420" s="3835"/>
      <c r="P420" s="3835"/>
      <c r="Q420" s="3835"/>
      <c r="R420" s="3836"/>
      <c r="S420" s="1172"/>
      <c r="T420" s="1172"/>
      <c r="U420" s="1172"/>
      <c r="V420" s="3533"/>
      <c r="W420" s="3534"/>
      <c r="X420" s="3534"/>
      <c r="Y420" s="3534"/>
      <c r="Z420" s="3535"/>
      <c r="AA420" s="3533"/>
      <c r="AB420" s="3534"/>
      <c r="AC420" s="3536"/>
    </row>
    <row r="421" spans="2:29">
      <c r="B421" s="4211"/>
      <c r="C421" s="3531" t="s">
        <v>585</v>
      </c>
      <c r="D421" s="3672">
        <f t="shared" ref="D421:M421" si="182">D419-D420</f>
        <v>0</v>
      </c>
      <c r="E421" s="3666">
        <f t="shared" si="182"/>
        <v>0</v>
      </c>
      <c r="F421" s="3666">
        <f t="shared" si="182"/>
        <v>714.76</v>
      </c>
      <c r="G421" s="3666">
        <f t="shared" si="182"/>
        <v>726.53</v>
      </c>
      <c r="H421" s="3673">
        <f t="shared" si="182"/>
        <v>0</v>
      </c>
      <c r="I421" s="3672">
        <f t="shared" si="182"/>
        <v>0</v>
      </c>
      <c r="J421" s="3666">
        <f t="shared" si="182"/>
        <v>0</v>
      </c>
      <c r="K421" s="3666">
        <f t="shared" si="182"/>
        <v>0</v>
      </c>
      <c r="L421" s="3666">
        <f t="shared" si="182"/>
        <v>0</v>
      </c>
      <c r="M421" s="3673">
        <f t="shared" si="182"/>
        <v>0</v>
      </c>
      <c r="N421" s="3837"/>
      <c r="O421" s="3838"/>
      <c r="P421" s="3838"/>
      <c r="Q421" s="3838"/>
      <c r="R421" s="3839"/>
      <c r="S421" s="1172"/>
      <c r="T421" s="1172"/>
      <c r="U421" s="1172"/>
      <c r="V421" s="3533"/>
      <c r="W421" s="3534"/>
      <c r="X421" s="3534"/>
      <c r="Y421" s="3534"/>
      <c r="Z421" s="3535"/>
      <c r="AA421" s="3533"/>
      <c r="AB421" s="3534"/>
      <c r="AC421" s="3536"/>
    </row>
    <row r="422" spans="2:29" ht="13.5" thickBot="1">
      <c r="B422" s="4212"/>
      <c r="C422" s="3532" t="s">
        <v>93</v>
      </c>
      <c r="D422" s="3712"/>
      <c r="E422" s="3713"/>
      <c r="F422" s="3713">
        <f t="shared" ref="F422:G422" si="183">F416/F415</f>
        <v>668</v>
      </c>
      <c r="G422" s="3713">
        <f t="shared" si="183"/>
        <v>679</v>
      </c>
      <c r="H422" s="3714"/>
      <c r="I422" s="3712"/>
      <c r="J422" s="3734"/>
      <c r="K422" s="3734"/>
      <c r="L422" s="3734"/>
      <c r="M422" s="3733"/>
      <c r="N422" s="3840"/>
      <c r="O422" s="3841"/>
      <c r="P422" s="3841"/>
      <c r="Q422" s="3841"/>
      <c r="R422" s="3842"/>
      <c r="S422" s="1172"/>
      <c r="T422" s="1172"/>
      <c r="U422" s="1172"/>
      <c r="V422" s="3533"/>
      <c r="W422" s="3534"/>
      <c r="X422" s="3534"/>
      <c r="Y422" s="3534"/>
      <c r="Z422" s="3535"/>
      <c r="AA422" s="3533"/>
      <c r="AB422" s="3534"/>
      <c r="AC422" s="3536"/>
    </row>
    <row r="423" spans="2:29">
      <c r="B423" s="4211" t="s">
        <v>1833</v>
      </c>
      <c r="C423" s="3528" t="s">
        <v>90</v>
      </c>
      <c r="D423" s="3706">
        <f>D97</f>
        <v>6</v>
      </c>
      <c r="E423" s="3699">
        <f t="shared" ref="E423:M423" si="184">E97</f>
        <v>1</v>
      </c>
      <c r="F423" s="3699">
        <f t="shared" si="184"/>
        <v>2</v>
      </c>
      <c r="G423" s="3699">
        <f t="shared" si="184"/>
        <v>0</v>
      </c>
      <c r="H423" s="3707">
        <f t="shared" si="184"/>
        <v>2</v>
      </c>
      <c r="I423" s="3737">
        <f t="shared" si="184"/>
        <v>0</v>
      </c>
      <c r="J423" s="3736">
        <f t="shared" si="184"/>
        <v>0</v>
      </c>
      <c r="K423" s="3736">
        <f t="shared" si="184"/>
        <v>0</v>
      </c>
      <c r="L423" s="3736">
        <f t="shared" si="184"/>
        <v>3</v>
      </c>
      <c r="M423" s="3735">
        <f t="shared" si="184"/>
        <v>2</v>
      </c>
      <c r="N423" s="3834"/>
      <c r="O423" s="3835"/>
      <c r="P423" s="3835"/>
      <c r="Q423" s="3835"/>
      <c r="R423" s="3836"/>
      <c r="S423" s="1172"/>
      <c r="T423" s="1172"/>
      <c r="U423" s="1172"/>
      <c r="V423" s="3533"/>
      <c r="W423" s="3534"/>
      <c r="X423" s="3534"/>
      <c r="Y423" s="3534"/>
      <c r="Z423" s="3535"/>
      <c r="AA423" s="3533"/>
      <c r="AB423" s="3534"/>
      <c r="AC423" s="3536"/>
    </row>
    <row r="424" spans="2:29">
      <c r="B424" s="4211"/>
      <c r="C424" s="3529" t="s">
        <v>579</v>
      </c>
      <c r="D424" s="3710">
        <v>7616</v>
      </c>
      <c r="E424" s="3700">
        <v>712</v>
      </c>
      <c r="F424" s="3700">
        <v>1337</v>
      </c>
      <c r="G424" s="3700">
        <v>0</v>
      </c>
      <c r="H424" s="3705">
        <v>2040</v>
      </c>
      <c r="I424" s="3710">
        <v>0</v>
      </c>
      <c r="J424" s="3700"/>
      <c r="K424" s="3700">
        <v>0</v>
      </c>
      <c r="L424" s="3700">
        <v>8185</v>
      </c>
      <c r="M424" s="3705">
        <v>3957</v>
      </c>
      <c r="N424" s="3834"/>
      <c r="O424" s="3835"/>
      <c r="P424" s="3835"/>
      <c r="Q424" s="3835"/>
      <c r="R424" s="3836"/>
      <c r="S424" s="1172"/>
      <c r="T424" s="1172"/>
      <c r="U424" s="1172"/>
      <c r="V424" s="3533"/>
      <c r="W424" s="3534"/>
      <c r="X424" s="3534"/>
      <c r="Y424" s="3534"/>
      <c r="Z424" s="3535"/>
      <c r="AA424" s="3533"/>
      <c r="AB424" s="3534"/>
      <c r="AC424" s="3536"/>
    </row>
    <row r="425" spans="2:29">
      <c r="B425" s="4211"/>
      <c r="C425" s="3530" t="s">
        <v>583</v>
      </c>
      <c r="D425" s="3706">
        <f>0.07*D424</f>
        <v>533.12</v>
      </c>
      <c r="E425" s="3699">
        <f t="shared" ref="E425:L425" si="185">0.07*E424</f>
        <v>49.84</v>
      </c>
      <c r="F425" s="3699">
        <f t="shared" si="185"/>
        <v>93.59</v>
      </c>
      <c r="G425" s="3699">
        <f t="shared" si="185"/>
        <v>0</v>
      </c>
      <c r="H425" s="3707">
        <f t="shared" si="185"/>
        <v>142.80000000000001</v>
      </c>
      <c r="I425" s="3706">
        <f t="shared" si="185"/>
        <v>0</v>
      </c>
      <c r="J425" s="3699">
        <f t="shared" si="185"/>
        <v>0</v>
      </c>
      <c r="K425" s="3699">
        <f t="shared" si="185"/>
        <v>0</v>
      </c>
      <c r="L425" s="3699">
        <f t="shared" si="185"/>
        <v>572.95000000000005</v>
      </c>
      <c r="M425" s="3707">
        <f>$M$250*M424</f>
        <v>0</v>
      </c>
      <c r="N425" s="3834"/>
      <c r="O425" s="3835"/>
      <c r="P425" s="3835"/>
      <c r="Q425" s="3835"/>
      <c r="R425" s="3836"/>
      <c r="S425" s="1172"/>
      <c r="T425" s="1172"/>
      <c r="U425" s="1172"/>
      <c r="V425" s="3533"/>
      <c r="W425" s="3534"/>
      <c r="X425" s="3534"/>
      <c r="Y425" s="3534"/>
      <c r="Z425" s="3535"/>
      <c r="AA425" s="3533"/>
      <c r="AB425" s="3534"/>
      <c r="AC425" s="3536"/>
    </row>
    <row r="426" spans="2:29">
      <c r="B426" s="4211"/>
      <c r="C426" s="3530" t="s">
        <v>581</v>
      </c>
      <c r="D426" s="3706"/>
      <c r="E426" s="3699"/>
      <c r="F426" s="3699"/>
      <c r="G426" s="3699"/>
      <c r="H426" s="3707"/>
      <c r="I426" s="3706"/>
      <c r="J426" s="3699"/>
      <c r="K426" s="3699"/>
      <c r="L426" s="3699"/>
      <c r="M426" s="3707"/>
      <c r="N426" s="3834"/>
      <c r="O426" s="3835"/>
      <c r="P426" s="3835"/>
      <c r="Q426" s="3835"/>
      <c r="R426" s="3836"/>
      <c r="S426" s="1172"/>
      <c r="T426" s="1172"/>
      <c r="U426" s="1172"/>
      <c r="V426" s="3533"/>
      <c r="W426" s="3534"/>
      <c r="X426" s="3534"/>
      <c r="Y426" s="3534"/>
      <c r="Z426" s="3535"/>
      <c r="AA426" s="3533"/>
      <c r="AB426" s="3534"/>
      <c r="AC426" s="3536"/>
    </row>
    <row r="427" spans="2:29">
      <c r="B427" s="4211"/>
      <c r="C427" s="3531" t="s">
        <v>584</v>
      </c>
      <c r="D427" s="3672">
        <f t="shared" ref="D427:M427" si="186">D424+D425+D426</f>
        <v>8149.12</v>
      </c>
      <c r="E427" s="3666">
        <f t="shared" si="186"/>
        <v>761.84</v>
      </c>
      <c r="F427" s="3666">
        <f t="shared" si="186"/>
        <v>1430.59</v>
      </c>
      <c r="G427" s="3666">
        <f t="shared" si="186"/>
        <v>0</v>
      </c>
      <c r="H427" s="3673">
        <f t="shared" si="186"/>
        <v>2182.8000000000002</v>
      </c>
      <c r="I427" s="3672">
        <f t="shared" si="186"/>
        <v>0</v>
      </c>
      <c r="J427" s="3666">
        <f t="shared" si="186"/>
        <v>0</v>
      </c>
      <c r="K427" s="3666">
        <f t="shared" si="186"/>
        <v>0</v>
      </c>
      <c r="L427" s="3666">
        <f t="shared" si="186"/>
        <v>8757.9500000000007</v>
      </c>
      <c r="M427" s="3673">
        <f t="shared" si="186"/>
        <v>3957</v>
      </c>
      <c r="N427" s="3837"/>
      <c r="O427" s="3838"/>
      <c r="P427" s="3838"/>
      <c r="Q427" s="3838"/>
      <c r="R427" s="3839"/>
      <c r="S427" s="1172"/>
      <c r="T427" s="1172"/>
      <c r="U427" s="1172"/>
      <c r="V427" s="3533"/>
      <c r="W427" s="3534"/>
      <c r="X427" s="3534"/>
      <c r="Y427" s="3534"/>
      <c r="Z427" s="3535"/>
      <c r="AA427" s="3533"/>
      <c r="AB427" s="3534"/>
      <c r="AC427" s="3536"/>
    </row>
    <row r="428" spans="2:29">
      <c r="B428" s="4211"/>
      <c r="C428" s="3530" t="s">
        <v>605</v>
      </c>
      <c r="D428" s="3706"/>
      <c r="E428" s="3699"/>
      <c r="F428" s="3699"/>
      <c r="G428" s="3699"/>
      <c r="H428" s="3707"/>
      <c r="I428" s="3706"/>
      <c r="J428" s="3699"/>
      <c r="K428" s="3699"/>
      <c r="L428" s="3699"/>
      <c r="M428" s="3707"/>
      <c r="N428" s="3834"/>
      <c r="O428" s="3835"/>
      <c r="P428" s="3835"/>
      <c r="Q428" s="3835"/>
      <c r="R428" s="3836"/>
      <c r="S428" s="1172"/>
      <c r="T428" s="1172"/>
      <c r="U428" s="1172"/>
      <c r="V428" s="3533"/>
      <c r="W428" s="3534"/>
      <c r="X428" s="3534"/>
      <c r="Y428" s="3534"/>
      <c r="Z428" s="3535"/>
      <c r="AA428" s="3533"/>
      <c r="AB428" s="3534"/>
      <c r="AC428" s="3536"/>
    </row>
    <row r="429" spans="2:29">
      <c r="B429" s="4211"/>
      <c r="C429" s="3531" t="s">
        <v>585</v>
      </c>
      <c r="D429" s="3672">
        <f t="shared" ref="D429:M429" si="187">D427-D428</f>
        <v>8149.12</v>
      </c>
      <c r="E429" s="3666">
        <f t="shared" si="187"/>
        <v>761.84</v>
      </c>
      <c r="F429" s="3666">
        <f t="shared" si="187"/>
        <v>1430.59</v>
      </c>
      <c r="G429" s="3666">
        <f t="shared" si="187"/>
        <v>0</v>
      </c>
      <c r="H429" s="3673">
        <f t="shared" si="187"/>
        <v>2182.8000000000002</v>
      </c>
      <c r="I429" s="3672">
        <f t="shared" si="187"/>
        <v>0</v>
      </c>
      <c r="J429" s="3666">
        <f t="shared" si="187"/>
        <v>0</v>
      </c>
      <c r="K429" s="3666">
        <f t="shared" si="187"/>
        <v>0</v>
      </c>
      <c r="L429" s="3666">
        <f t="shared" si="187"/>
        <v>8757.9500000000007</v>
      </c>
      <c r="M429" s="3673">
        <f t="shared" si="187"/>
        <v>3957</v>
      </c>
      <c r="N429" s="3837"/>
      <c r="O429" s="3838"/>
      <c r="P429" s="3838"/>
      <c r="Q429" s="3838"/>
      <c r="R429" s="3839"/>
      <c r="S429" s="1172"/>
      <c r="T429" s="1172"/>
      <c r="U429" s="1172"/>
      <c r="V429" s="3533"/>
      <c r="W429" s="3534"/>
      <c r="X429" s="3534"/>
      <c r="Y429" s="3534"/>
      <c r="Z429" s="3535"/>
      <c r="AA429" s="3533"/>
      <c r="AB429" s="3534"/>
      <c r="AC429" s="3536"/>
    </row>
    <row r="430" spans="2:29" ht="13.5" thickBot="1">
      <c r="B430" s="4212"/>
      <c r="C430" s="3532" t="s">
        <v>93</v>
      </c>
      <c r="D430" s="470">
        <f t="shared" ref="D430:M430" si="188">D424/D423</f>
        <v>1269.3333333333333</v>
      </c>
      <c r="E430" s="468">
        <f t="shared" si="188"/>
        <v>712</v>
      </c>
      <c r="F430" s="468">
        <f t="shared" si="188"/>
        <v>668.5</v>
      </c>
      <c r="G430" s="468"/>
      <c r="H430" s="530">
        <f t="shared" si="188"/>
        <v>1020</v>
      </c>
      <c r="I430" s="3712"/>
      <c r="J430" s="3734"/>
      <c r="K430" s="3734"/>
      <c r="L430" s="3734">
        <f t="shared" si="188"/>
        <v>2728.3333333333335</v>
      </c>
      <c r="M430" s="3733">
        <f t="shared" si="188"/>
        <v>1978.5</v>
      </c>
      <c r="N430" s="3834"/>
      <c r="O430" s="3835"/>
      <c r="P430" s="3835"/>
      <c r="Q430" s="3835"/>
      <c r="R430" s="3836"/>
      <c r="S430" s="1172"/>
      <c r="T430" s="1172"/>
      <c r="U430" s="1172"/>
      <c r="V430" s="3533"/>
      <c r="W430" s="3534"/>
      <c r="X430" s="3534"/>
      <c r="Y430" s="3534"/>
      <c r="Z430" s="3535"/>
      <c r="AA430" s="3533"/>
      <c r="AB430" s="3534"/>
      <c r="AC430" s="3536"/>
    </row>
    <row r="431" spans="2:29">
      <c r="B431" s="4211" t="s">
        <v>1834</v>
      </c>
      <c r="C431" s="3528" t="s">
        <v>90</v>
      </c>
      <c r="D431" s="3702">
        <f>D100</f>
        <v>7</v>
      </c>
      <c r="E431" s="3703">
        <f t="shared" ref="E431:M431" si="189">E100</f>
        <v>2</v>
      </c>
      <c r="F431" s="3703">
        <f t="shared" si="189"/>
        <v>3</v>
      </c>
      <c r="G431" s="3703">
        <f t="shared" si="189"/>
        <v>1</v>
      </c>
      <c r="H431" s="3704">
        <f t="shared" si="189"/>
        <v>1</v>
      </c>
      <c r="I431" s="3737">
        <f t="shared" si="189"/>
        <v>0</v>
      </c>
      <c r="J431" s="3736">
        <f t="shared" si="189"/>
        <v>0</v>
      </c>
      <c r="K431" s="3736">
        <f t="shared" si="189"/>
        <v>0</v>
      </c>
      <c r="L431" s="3736">
        <f t="shared" si="189"/>
        <v>0</v>
      </c>
      <c r="M431" s="3735">
        <f t="shared" si="189"/>
        <v>2</v>
      </c>
      <c r="N431" s="3831"/>
      <c r="O431" s="3832"/>
      <c r="P431" s="3832"/>
      <c r="Q431" s="3832"/>
      <c r="R431" s="3833"/>
      <c r="S431" s="1172"/>
      <c r="T431" s="1172"/>
      <c r="U431" s="1172"/>
      <c r="V431" s="3533"/>
      <c r="W431" s="3534"/>
      <c r="X431" s="3534"/>
      <c r="Y431" s="3534"/>
      <c r="Z431" s="3535"/>
      <c r="AA431" s="3533"/>
      <c r="AB431" s="3534"/>
      <c r="AC431" s="3536"/>
    </row>
    <row r="432" spans="2:29">
      <c r="B432" s="4211"/>
      <c r="C432" s="3529" t="s">
        <v>579</v>
      </c>
      <c r="D432" s="3710">
        <v>8885</v>
      </c>
      <c r="E432" s="3700">
        <v>1424</v>
      </c>
      <c r="F432" s="3700">
        <v>2005</v>
      </c>
      <c r="G432" s="3700">
        <v>679</v>
      </c>
      <c r="H432" s="3705">
        <v>1020</v>
      </c>
      <c r="I432" s="3710">
        <v>0</v>
      </c>
      <c r="J432" s="3700"/>
      <c r="K432" s="3700">
        <v>0</v>
      </c>
      <c r="L432" s="3700">
        <v>0</v>
      </c>
      <c r="M432" s="3705">
        <v>3957</v>
      </c>
      <c r="N432" s="3834"/>
      <c r="O432" s="3835"/>
      <c r="P432" s="3835"/>
      <c r="Q432" s="3835"/>
      <c r="R432" s="3836"/>
      <c r="S432" s="1172"/>
      <c r="T432" s="1172"/>
      <c r="U432" s="1172"/>
      <c r="V432" s="3533"/>
      <c r="W432" s="3534"/>
      <c r="X432" s="3534"/>
      <c r="Y432" s="3534"/>
      <c r="Z432" s="3535"/>
      <c r="AA432" s="3533"/>
      <c r="AB432" s="3534"/>
      <c r="AC432" s="3536"/>
    </row>
    <row r="433" spans="2:29">
      <c r="B433" s="4211"/>
      <c r="C433" s="3530" t="s">
        <v>583</v>
      </c>
      <c r="D433" s="3706">
        <f>0.07*D432</f>
        <v>621.95000000000005</v>
      </c>
      <c r="E433" s="3699">
        <f t="shared" ref="E433:L433" si="190">0.07*E432</f>
        <v>99.68</v>
      </c>
      <c r="F433" s="3699">
        <f t="shared" si="190"/>
        <v>140.35000000000002</v>
      </c>
      <c r="G433" s="3699">
        <f t="shared" si="190"/>
        <v>47.53</v>
      </c>
      <c r="H433" s="3707">
        <f t="shared" si="190"/>
        <v>71.400000000000006</v>
      </c>
      <c r="I433" s="3706">
        <f t="shared" si="190"/>
        <v>0</v>
      </c>
      <c r="J433" s="3699">
        <f t="shared" si="190"/>
        <v>0</v>
      </c>
      <c r="K433" s="3699">
        <f t="shared" si="190"/>
        <v>0</v>
      </c>
      <c r="L433" s="3699">
        <f t="shared" si="190"/>
        <v>0</v>
      </c>
      <c r="M433" s="3707">
        <f>$M$250*M432</f>
        <v>0</v>
      </c>
      <c r="N433" s="3834"/>
      <c r="O433" s="3835"/>
      <c r="P433" s="3835"/>
      <c r="Q433" s="3835"/>
      <c r="R433" s="3836"/>
      <c r="S433" s="1172"/>
      <c r="T433" s="1172"/>
      <c r="U433" s="1172"/>
      <c r="V433" s="3533"/>
      <c r="W433" s="3534"/>
      <c r="X433" s="3534"/>
      <c r="Y433" s="3534"/>
      <c r="Z433" s="3535"/>
      <c r="AA433" s="3533"/>
      <c r="AB433" s="3534"/>
      <c r="AC433" s="3536"/>
    </row>
    <row r="434" spans="2:29">
      <c r="B434" s="4211"/>
      <c r="C434" s="3530" t="s">
        <v>581</v>
      </c>
      <c r="D434" s="3706"/>
      <c r="E434" s="3699"/>
      <c r="F434" s="3699"/>
      <c r="G434" s="3699"/>
      <c r="H434" s="3707"/>
      <c r="I434" s="3706"/>
      <c r="J434" s="3699"/>
      <c r="K434" s="3699"/>
      <c r="L434" s="3699"/>
      <c r="M434" s="3707"/>
      <c r="N434" s="3834"/>
      <c r="O434" s="3835"/>
      <c r="P434" s="3835"/>
      <c r="Q434" s="3835"/>
      <c r="R434" s="3836"/>
      <c r="S434" s="1172"/>
      <c r="T434" s="1172"/>
      <c r="U434" s="1172"/>
      <c r="V434" s="3533"/>
      <c r="W434" s="3534"/>
      <c r="X434" s="3534"/>
      <c r="Y434" s="3534"/>
      <c r="Z434" s="3535"/>
      <c r="AA434" s="3533"/>
      <c r="AB434" s="3534"/>
      <c r="AC434" s="3536"/>
    </row>
    <row r="435" spans="2:29">
      <c r="B435" s="4211"/>
      <c r="C435" s="3531" t="s">
        <v>584</v>
      </c>
      <c r="D435" s="3672">
        <f t="shared" ref="D435:M435" si="191">D432+D433+D434</f>
        <v>9506.9500000000007</v>
      </c>
      <c r="E435" s="3666">
        <f t="shared" si="191"/>
        <v>1523.68</v>
      </c>
      <c r="F435" s="3666">
        <f t="shared" si="191"/>
        <v>2145.35</v>
      </c>
      <c r="G435" s="3666">
        <f t="shared" si="191"/>
        <v>726.53</v>
      </c>
      <c r="H435" s="3673">
        <f t="shared" si="191"/>
        <v>1091.4000000000001</v>
      </c>
      <c r="I435" s="3672">
        <f t="shared" si="191"/>
        <v>0</v>
      </c>
      <c r="J435" s="3666">
        <f t="shared" si="191"/>
        <v>0</v>
      </c>
      <c r="K435" s="3666">
        <f t="shared" si="191"/>
        <v>0</v>
      </c>
      <c r="L435" s="3666">
        <f t="shared" si="191"/>
        <v>0</v>
      </c>
      <c r="M435" s="3673">
        <f t="shared" si="191"/>
        <v>3957</v>
      </c>
      <c r="N435" s="3837"/>
      <c r="O435" s="3838"/>
      <c r="P435" s="3838"/>
      <c r="Q435" s="3838"/>
      <c r="R435" s="3839"/>
      <c r="S435" s="1172"/>
      <c r="T435" s="1172"/>
      <c r="U435" s="1172"/>
      <c r="V435" s="3533"/>
      <c r="W435" s="3534"/>
      <c r="X435" s="3534"/>
      <c r="Y435" s="3534"/>
      <c r="Z435" s="3535"/>
      <c r="AA435" s="3533"/>
      <c r="AB435" s="3534"/>
      <c r="AC435" s="3536"/>
    </row>
    <row r="436" spans="2:29">
      <c r="B436" s="4211"/>
      <c r="C436" s="3530" t="s">
        <v>605</v>
      </c>
      <c r="D436" s="3706"/>
      <c r="E436" s="3699"/>
      <c r="F436" s="3699"/>
      <c r="G436" s="3699"/>
      <c r="H436" s="3707"/>
      <c r="I436" s="3706"/>
      <c r="J436" s="3699"/>
      <c r="K436" s="3699"/>
      <c r="L436" s="3699"/>
      <c r="M436" s="3707"/>
      <c r="N436" s="3834"/>
      <c r="O436" s="3835"/>
      <c r="P436" s="3835"/>
      <c r="Q436" s="3835"/>
      <c r="R436" s="3836"/>
      <c r="S436" s="1172"/>
      <c r="T436" s="1172"/>
      <c r="U436" s="1172"/>
      <c r="V436" s="3533"/>
      <c r="W436" s="3534"/>
      <c r="X436" s="3534"/>
      <c r="Y436" s="3534"/>
      <c r="Z436" s="3535"/>
      <c r="AA436" s="3533"/>
      <c r="AB436" s="3534"/>
      <c r="AC436" s="3536"/>
    </row>
    <row r="437" spans="2:29">
      <c r="B437" s="4211"/>
      <c r="C437" s="3531" t="s">
        <v>585</v>
      </c>
      <c r="D437" s="3672">
        <f t="shared" ref="D437:M437" si="192">D435-D436</f>
        <v>9506.9500000000007</v>
      </c>
      <c r="E437" s="3666">
        <f t="shared" si="192"/>
        <v>1523.68</v>
      </c>
      <c r="F437" s="3666">
        <f t="shared" si="192"/>
        <v>2145.35</v>
      </c>
      <c r="G437" s="3666">
        <f t="shared" si="192"/>
        <v>726.53</v>
      </c>
      <c r="H437" s="3673">
        <f t="shared" si="192"/>
        <v>1091.4000000000001</v>
      </c>
      <c r="I437" s="3672">
        <f t="shared" si="192"/>
        <v>0</v>
      </c>
      <c r="J437" s="3666">
        <f t="shared" si="192"/>
        <v>0</v>
      </c>
      <c r="K437" s="3666">
        <f t="shared" si="192"/>
        <v>0</v>
      </c>
      <c r="L437" s="3666">
        <f t="shared" si="192"/>
        <v>0</v>
      </c>
      <c r="M437" s="3673">
        <f t="shared" si="192"/>
        <v>3957</v>
      </c>
      <c r="N437" s="3837"/>
      <c r="O437" s="3838"/>
      <c r="P437" s="3838"/>
      <c r="Q437" s="3838"/>
      <c r="R437" s="3839"/>
      <c r="S437" s="1172"/>
      <c r="T437" s="1172"/>
      <c r="U437" s="1172"/>
      <c r="V437" s="3533"/>
      <c r="W437" s="3534"/>
      <c r="X437" s="3534"/>
      <c r="Y437" s="3534"/>
      <c r="Z437" s="3535"/>
      <c r="AA437" s="3533"/>
      <c r="AB437" s="3534"/>
      <c r="AC437" s="3536"/>
    </row>
    <row r="438" spans="2:29" ht="13.5" thickBot="1">
      <c r="B438" s="4212"/>
      <c r="C438" s="3532" t="s">
        <v>93</v>
      </c>
      <c r="D438" s="470">
        <f t="shared" ref="D438:M438" si="193">D432/D431</f>
        <v>1269.2857142857142</v>
      </c>
      <c r="E438" s="468">
        <f t="shared" si="193"/>
        <v>712</v>
      </c>
      <c r="F438" s="468">
        <f t="shared" si="193"/>
        <v>668.33333333333337</v>
      </c>
      <c r="G438" s="468">
        <f t="shared" si="193"/>
        <v>679</v>
      </c>
      <c r="H438" s="530">
        <f t="shared" si="193"/>
        <v>1020</v>
      </c>
      <c r="I438" s="3712"/>
      <c r="J438" s="3734"/>
      <c r="K438" s="3734"/>
      <c r="L438" s="3734"/>
      <c r="M438" s="3733">
        <f t="shared" si="193"/>
        <v>1978.5</v>
      </c>
      <c r="N438" s="3834"/>
      <c r="O438" s="3835"/>
      <c r="P438" s="3835"/>
      <c r="Q438" s="3835"/>
      <c r="R438" s="3836"/>
      <c r="S438" s="1172"/>
      <c r="T438" s="1172"/>
      <c r="U438" s="1172"/>
      <c r="V438" s="3533"/>
      <c r="W438" s="3534"/>
      <c r="X438" s="3534"/>
      <c r="Y438" s="3534"/>
      <c r="Z438" s="3535"/>
      <c r="AA438" s="3533"/>
      <c r="AB438" s="3534"/>
      <c r="AC438" s="3536"/>
    </row>
    <row r="439" spans="2:29">
      <c r="B439" s="4211" t="s">
        <v>1835</v>
      </c>
      <c r="C439" s="3528" t="s">
        <v>90</v>
      </c>
      <c r="D439" s="3737">
        <f>D103</f>
        <v>7</v>
      </c>
      <c r="E439" s="3736">
        <f t="shared" ref="E439:M439" si="194">E103</f>
        <v>1</v>
      </c>
      <c r="F439" s="3736">
        <f t="shared" si="194"/>
        <v>8</v>
      </c>
      <c r="G439" s="3736">
        <f t="shared" si="194"/>
        <v>0</v>
      </c>
      <c r="H439" s="3735">
        <f t="shared" si="194"/>
        <v>0</v>
      </c>
      <c r="I439" s="3737">
        <f t="shared" si="194"/>
        <v>2</v>
      </c>
      <c r="J439" s="3736">
        <f t="shared" si="194"/>
        <v>0</v>
      </c>
      <c r="K439" s="3736">
        <f t="shared" si="194"/>
        <v>0</v>
      </c>
      <c r="L439" s="3736">
        <f t="shared" si="194"/>
        <v>0</v>
      </c>
      <c r="M439" s="3735">
        <f t="shared" si="194"/>
        <v>2</v>
      </c>
      <c r="N439" s="3843"/>
      <c r="O439" s="3844"/>
      <c r="P439" s="3844"/>
      <c r="Q439" s="3844"/>
      <c r="R439" s="3845"/>
      <c r="S439" s="1172"/>
      <c r="T439" s="1172"/>
      <c r="U439" s="1172"/>
      <c r="V439" s="3533"/>
      <c r="W439" s="3534"/>
      <c r="X439" s="3534"/>
      <c r="Y439" s="3534"/>
      <c r="Z439" s="3535"/>
      <c r="AA439" s="3533"/>
      <c r="AB439" s="3534"/>
      <c r="AC439" s="3536"/>
    </row>
    <row r="440" spans="2:29">
      <c r="B440" s="4211"/>
      <c r="C440" s="3529" t="s">
        <v>579</v>
      </c>
      <c r="D440" s="3710">
        <v>8885</v>
      </c>
      <c r="E440" s="3700">
        <v>712</v>
      </c>
      <c r="F440" s="3700">
        <v>5347</v>
      </c>
      <c r="G440" s="3700">
        <v>0</v>
      </c>
      <c r="H440" s="3705">
        <v>0</v>
      </c>
      <c r="I440" s="3710">
        <v>2777</v>
      </c>
      <c r="J440" s="3700"/>
      <c r="K440" s="3700">
        <v>0</v>
      </c>
      <c r="L440" s="3700">
        <v>0</v>
      </c>
      <c r="M440" s="3705">
        <v>3957</v>
      </c>
      <c r="N440" s="3834"/>
      <c r="O440" s="3835"/>
      <c r="P440" s="3835"/>
      <c r="Q440" s="3835"/>
      <c r="R440" s="3836"/>
      <c r="S440" s="1172"/>
      <c r="T440" s="1172"/>
      <c r="U440" s="1172"/>
      <c r="V440" s="3533"/>
      <c r="W440" s="3534"/>
      <c r="X440" s="3534"/>
      <c r="Y440" s="3534"/>
      <c r="Z440" s="3535"/>
      <c r="AA440" s="3533"/>
      <c r="AB440" s="3534"/>
      <c r="AC440" s="3536"/>
    </row>
    <row r="441" spans="2:29">
      <c r="B441" s="4211"/>
      <c r="C441" s="3530" t="s">
        <v>583</v>
      </c>
      <c r="D441" s="3706">
        <f>0.07*D440</f>
        <v>621.95000000000005</v>
      </c>
      <c r="E441" s="3699">
        <f t="shared" ref="E441:L441" si="195">0.07*E440</f>
        <v>49.84</v>
      </c>
      <c r="F441" s="3699">
        <f t="shared" si="195"/>
        <v>374.29</v>
      </c>
      <c r="G441" s="3699">
        <f t="shared" si="195"/>
        <v>0</v>
      </c>
      <c r="H441" s="3707">
        <f t="shared" si="195"/>
        <v>0</v>
      </c>
      <c r="I441" s="3706">
        <f t="shared" si="195"/>
        <v>194.39000000000001</v>
      </c>
      <c r="J441" s="3699">
        <f t="shared" si="195"/>
        <v>0</v>
      </c>
      <c r="K441" s="3699">
        <f t="shared" si="195"/>
        <v>0</v>
      </c>
      <c r="L441" s="3699">
        <f t="shared" si="195"/>
        <v>0</v>
      </c>
      <c r="M441" s="3707">
        <f>$M$250*M440</f>
        <v>0</v>
      </c>
      <c r="N441" s="3834"/>
      <c r="O441" s="3835"/>
      <c r="P441" s="3835"/>
      <c r="Q441" s="3835"/>
      <c r="R441" s="3836"/>
      <c r="S441" s="1172"/>
      <c r="T441" s="1172"/>
      <c r="U441" s="1172"/>
      <c r="V441" s="3533"/>
      <c r="W441" s="3534"/>
      <c r="X441" s="3534"/>
      <c r="Y441" s="3534"/>
      <c r="Z441" s="3535"/>
      <c r="AA441" s="3533"/>
      <c r="AB441" s="3534"/>
      <c r="AC441" s="3536"/>
    </row>
    <row r="442" spans="2:29">
      <c r="B442" s="4211"/>
      <c r="C442" s="3530" t="s">
        <v>581</v>
      </c>
      <c r="D442" s="3706"/>
      <c r="E442" s="3699"/>
      <c r="F442" s="3699"/>
      <c r="G442" s="3699"/>
      <c r="H442" s="3707"/>
      <c r="I442" s="3706"/>
      <c r="J442" s="3699"/>
      <c r="K442" s="3699"/>
      <c r="L442" s="3699"/>
      <c r="M442" s="3707"/>
      <c r="N442" s="3834"/>
      <c r="O442" s="3835"/>
      <c r="P442" s="3835"/>
      <c r="Q442" s="3835"/>
      <c r="R442" s="3836"/>
      <c r="S442" s="1172"/>
      <c r="T442" s="1172"/>
      <c r="U442" s="1172"/>
      <c r="V442" s="3533"/>
      <c r="W442" s="3534"/>
      <c r="X442" s="3534"/>
      <c r="Y442" s="3534"/>
      <c r="Z442" s="3535"/>
      <c r="AA442" s="3533"/>
      <c r="AB442" s="3534"/>
      <c r="AC442" s="3536"/>
    </row>
    <row r="443" spans="2:29">
      <c r="B443" s="4211"/>
      <c r="C443" s="3531" t="s">
        <v>584</v>
      </c>
      <c r="D443" s="3672">
        <f t="shared" ref="D443:M443" si="196">D440+D441+D442</f>
        <v>9506.9500000000007</v>
      </c>
      <c r="E443" s="3666">
        <f t="shared" si="196"/>
        <v>761.84</v>
      </c>
      <c r="F443" s="3666">
        <f t="shared" si="196"/>
        <v>5721.29</v>
      </c>
      <c r="G443" s="3666">
        <f t="shared" si="196"/>
        <v>0</v>
      </c>
      <c r="H443" s="3673">
        <f t="shared" si="196"/>
        <v>0</v>
      </c>
      <c r="I443" s="3672">
        <f t="shared" si="196"/>
        <v>2971.39</v>
      </c>
      <c r="J443" s="3666">
        <f t="shared" si="196"/>
        <v>0</v>
      </c>
      <c r="K443" s="3666">
        <f t="shared" si="196"/>
        <v>0</v>
      </c>
      <c r="L443" s="3666">
        <f t="shared" si="196"/>
        <v>0</v>
      </c>
      <c r="M443" s="3673">
        <f t="shared" si="196"/>
        <v>3957</v>
      </c>
      <c r="N443" s="3837"/>
      <c r="O443" s="3838"/>
      <c r="P443" s="3838"/>
      <c r="Q443" s="3838"/>
      <c r="R443" s="3839"/>
      <c r="S443" s="1172"/>
      <c r="T443" s="1172"/>
      <c r="U443" s="1172"/>
      <c r="V443" s="3533"/>
      <c r="W443" s="3534"/>
      <c r="X443" s="3534"/>
      <c r="Y443" s="3534"/>
      <c r="Z443" s="3535"/>
      <c r="AA443" s="3533"/>
      <c r="AB443" s="3534"/>
      <c r="AC443" s="3536"/>
    </row>
    <row r="444" spans="2:29">
      <c r="B444" s="4211"/>
      <c r="C444" s="3530" t="s">
        <v>605</v>
      </c>
      <c r="D444" s="3706"/>
      <c r="E444" s="3699"/>
      <c r="F444" s="3699"/>
      <c r="G444" s="3699"/>
      <c r="H444" s="3707"/>
      <c r="I444" s="3706"/>
      <c r="J444" s="3699"/>
      <c r="K444" s="3699"/>
      <c r="L444" s="3699"/>
      <c r="M444" s="3707"/>
      <c r="N444" s="3834"/>
      <c r="O444" s="3835"/>
      <c r="P444" s="3835"/>
      <c r="Q444" s="3835"/>
      <c r="R444" s="3836"/>
      <c r="S444" s="1172"/>
      <c r="T444" s="1172"/>
      <c r="U444" s="1172"/>
      <c r="V444" s="3533"/>
      <c r="W444" s="3534"/>
      <c r="X444" s="3534"/>
      <c r="Y444" s="3534"/>
      <c r="Z444" s="3535"/>
      <c r="AA444" s="3533"/>
      <c r="AB444" s="3534"/>
      <c r="AC444" s="3536"/>
    </row>
    <row r="445" spans="2:29">
      <c r="B445" s="4211"/>
      <c r="C445" s="3531" t="s">
        <v>585</v>
      </c>
      <c r="D445" s="3672">
        <f t="shared" ref="D445:M445" si="197">D443-D444</f>
        <v>9506.9500000000007</v>
      </c>
      <c r="E445" s="3666">
        <f t="shared" si="197"/>
        <v>761.84</v>
      </c>
      <c r="F445" s="3666">
        <f t="shared" si="197"/>
        <v>5721.29</v>
      </c>
      <c r="G445" s="3666">
        <f t="shared" si="197"/>
        <v>0</v>
      </c>
      <c r="H445" s="3673">
        <f t="shared" si="197"/>
        <v>0</v>
      </c>
      <c r="I445" s="3672">
        <f t="shared" si="197"/>
        <v>2971.39</v>
      </c>
      <c r="J445" s="3666">
        <f t="shared" si="197"/>
        <v>0</v>
      </c>
      <c r="K445" s="3666">
        <f t="shared" si="197"/>
        <v>0</v>
      </c>
      <c r="L445" s="3666">
        <f t="shared" si="197"/>
        <v>0</v>
      </c>
      <c r="M445" s="3673">
        <f t="shared" si="197"/>
        <v>3957</v>
      </c>
      <c r="N445" s="3837"/>
      <c r="O445" s="3838"/>
      <c r="P445" s="3838"/>
      <c r="Q445" s="3838"/>
      <c r="R445" s="3839"/>
      <c r="S445" s="1172"/>
      <c r="T445" s="1172"/>
      <c r="U445" s="1172"/>
      <c r="V445" s="3533"/>
      <c r="W445" s="3534"/>
      <c r="X445" s="3534"/>
      <c r="Y445" s="3534"/>
      <c r="Z445" s="3535"/>
      <c r="AA445" s="3533"/>
      <c r="AB445" s="3534"/>
      <c r="AC445" s="3536"/>
    </row>
    <row r="446" spans="2:29" ht="13.5" thickBot="1">
      <c r="B446" s="4212"/>
      <c r="C446" s="3532" t="s">
        <v>93</v>
      </c>
      <c r="D446" s="3712">
        <f t="shared" ref="D446:M446" si="198">D440/D439</f>
        <v>1269.2857142857142</v>
      </c>
      <c r="E446" s="3734">
        <f t="shared" si="198"/>
        <v>712</v>
      </c>
      <c r="F446" s="3734">
        <f t="shared" si="198"/>
        <v>668.375</v>
      </c>
      <c r="G446" s="3734"/>
      <c r="H446" s="3733"/>
      <c r="I446" s="3712">
        <f t="shared" si="198"/>
        <v>1388.5</v>
      </c>
      <c r="J446" s="3734"/>
      <c r="K446" s="3734"/>
      <c r="L446" s="3734"/>
      <c r="M446" s="3733">
        <f t="shared" si="198"/>
        <v>1978.5</v>
      </c>
      <c r="N446" s="3840"/>
      <c r="O446" s="3846"/>
      <c r="P446" s="3846"/>
      <c r="Q446" s="3846"/>
      <c r="R446" s="3847"/>
      <c r="S446" s="1172"/>
      <c r="T446" s="1172"/>
      <c r="U446" s="1172"/>
      <c r="V446" s="3533"/>
      <c r="W446" s="3534"/>
      <c r="X446" s="3534"/>
      <c r="Y446" s="3534"/>
      <c r="Z446" s="3535"/>
      <c r="AA446" s="3533"/>
      <c r="AB446" s="3534"/>
      <c r="AC446" s="3536"/>
    </row>
    <row r="447" spans="2:29">
      <c r="B447" s="4211" t="s">
        <v>1836</v>
      </c>
      <c r="C447" s="3528" t="s">
        <v>90</v>
      </c>
      <c r="D447" s="3706">
        <f>D106</f>
        <v>0</v>
      </c>
      <c r="E447" s="3699">
        <f t="shared" ref="E447:M447" si="199">E106</f>
        <v>0</v>
      </c>
      <c r="F447" s="3699">
        <f t="shared" si="199"/>
        <v>0</v>
      </c>
      <c r="G447" s="3699">
        <f t="shared" si="199"/>
        <v>0</v>
      </c>
      <c r="H447" s="3707">
        <f t="shared" si="199"/>
        <v>0</v>
      </c>
      <c r="I447" s="3737">
        <f t="shared" si="199"/>
        <v>2</v>
      </c>
      <c r="J447" s="3736">
        <f t="shared" si="199"/>
        <v>1</v>
      </c>
      <c r="K447" s="3736">
        <f t="shared" si="199"/>
        <v>3</v>
      </c>
      <c r="L447" s="3736">
        <f t="shared" si="199"/>
        <v>1</v>
      </c>
      <c r="M447" s="3735">
        <f t="shared" si="199"/>
        <v>0</v>
      </c>
      <c r="N447" s="3834"/>
      <c r="O447" s="3835"/>
      <c r="P447" s="3835"/>
      <c r="Q447" s="3835"/>
      <c r="R447" s="3836"/>
      <c r="S447" s="1172"/>
      <c r="T447" s="1172"/>
      <c r="U447" s="1172"/>
      <c r="V447" s="3533"/>
      <c r="W447" s="3534"/>
      <c r="X447" s="3534"/>
      <c r="Y447" s="3534"/>
      <c r="Z447" s="3535"/>
      <c r="AA447" s="3533"/>
      <c r="AB447" s="3534"/>
      <c r="AC447" s="3536"/>
    </row>
    <row r="448" spans="2:29">
      <c r="B448" s="4211"/>
      <c r="C448" s="3529" t="s">
        <v>579</v>
      </c>
      <c r="D448" s="3710">
        <v>0</v>
      </c>
      <c r="E448" s="3700">
        <v>0</v>
      </c>
      <c r="F448" s="3700">
        <v>0</v>
      </c>
      <c r="G448" s="3700">
        <v>0</v>
      </c>
      <c r="H448" s="3705">
        <v>0</v>
      </c>
      <c r="I448" s="3710">
        <v>2777</v>
      </c>
      <c r="J448" s="3700">
        <v>1015</v>
      </c>
      <c r="K448" s="3700">
        <v>3612</v>
      </c>
      <c r="L448" s="3700">
        <v>2728</v>
      </c>
      <c r="M448" s="3705">
        <v>0</v>
      </c>
      <c r="N448" s="3834"/>
      <c r="O448" s="3835"/>
      <c r="P448" s="3835"/>
      <c r="Q448" s="3835"/>
      <c r="R448" s="3836"/>
      <c r="S448" s="1172"/>
      <c r="T448" s="1172"/>
      <c r="U448" s="1172"/>
      <c r="V448" s="3533"/>
      <c r="W448" s="3534"/>
      <c r="X448" s="3534"/>
      <c r="Y448" s="3534"/>
      <c r="Z448" s="3535"/>
      <c r="AA448" s="3533"/>
      <c r="AB448" s="3534"/>
      <c r="AC448" s="3536"/>
    </row>
    <row r="449" spans="2:29">
      <c r="B449" s="4211"/>
      <c r="C449" s="3530" t="s">
        <v>583</v>
      </c>
      <c r="D449" s="3706">
        <f>0.07*D448</f>
        <v>0</v>
      </c>
      <c r="E449" s="3699">
        <f t="shared" ref="E449:L449" si="200">0.07*E448</f>
        <v>0</v>
      </c>
      <c r="F449" s="3699">
        <f t="shared" si="200"/>
        <v>0</v>
      </c>
      <c r="G449" s="3699">
        <f t="shared" si="200"/>
        <v>0</v>
      </c>
      <c r="H449" s="3707">
        <f t="shared" si="200"/>
        <v>0</v>
      </c>
      <c r="I449" s="3706">
        <f t="shared" si="200"/>
        <v>194.39000000000001</v>
      </c>
      <c r="J449" s="3699">
        <f t="shared" si="200"/>
        <v>71.050000000000011</v>
      </c>
      <c r="K449" s="3699">
        <f t="shared" si="200"/>
        <v>252.84000000000003</v>
      </c>
      <c r="L449" s="3699">
        <f t="shared" si="200"/>
        <v>190.96</v>
      </c>
      <c r="M449" s="3707"/>
      <c r="N449" s="3834"/>
      <c r="O449" s="3835"/>
      <c r="P449" s="3835"/>
      <c r="Q449" s="3835"/>
      <c r="R449" s="3836"/>
      <c r="S449" s="1172"/>
      <c r="T449" s="1172"/>
      <c r="U449" s="1172"/>
      <c r="V449" s="3533"/>
      <c r="W449" s="3534"/>
      <c r="X449" s="3534"/>
      <c r="Y449" s="3534"/>
      <c r="Z449" s="3535"/>
      <c r="AA449" s="3533"/>
      <c r="AB449" s="3534"/>
      <c r="AC449" s="3536"/>
    </row>
    <row r="450" spans="2:29">
      <c r="B450" s="4211"/>
      <c r="C450" s="3530" t="s">
        <v>581</v>
      </c>
      <c r="D450" s="3706"/>
      <c r="E450" s="3699"/>
      <c r="F450" s="3699"/>
      <c r="G450" s="3699"/>
      <c r="H450" s="3707"/>
      <c r="I450" s="3706"/>
      <c r="J450" s="3699"/>
      <c r="K450" s="3699"/>
      <c r="L450" s="3699"/>
      <c r="M450" s="3707"/>
      <c r="N450" s="3834"/>
      <c r="O450" s="3835"/>
      <c r="P450" s="3835"/>
      <c r="Q450" s="3835"/>
      <c r="R450" s="3836"/>
      <c r="S450" s="1172"/>
      <c r="T450" s="1172"/>
      <c r="U450" s="1172"/>
      <c r="V450" s="3533"/>
      <c r="W450" s="3534"/>
      <c r="X450" s="3534"/>
      <c r="Y450" s="3534"/>
      <c r="Z450" s="3535"/>
      <c r="AA450" s="3533"/>
      <c r="AB450" s="3534"/>
      <c r="AC450" s="3536"/>
    </row>
    <row r="451" spans="2:29">
      <c r="B451" s="4211"/>
      <c r="C451" s="3531" t="s">
        <v>584</v>
      </c>
      <c r="D451" s="3672">
        <f t="shared" ref="D451:M451" si="201">D448+D449+D450</f>
        <v>0</v>
      </c>
      <c r="E451" s="3666">
        <f t="shared" si="201"/>
        <v>0</v>
      </c>
      <c r="F451" s="3666">
        <f t="shared" si="201"/>
        <v>0</v>
      </c>
      <c r="G451" s="3666">
        <f t="shared" si="201"/>
        <v>0</v>
      </c>
      <c r="H451" s="3673">
        <f t="shared" si="201"/>
        <v>0</v>
      </c>
      <c r="I451" s="3672">
        <f t="shared" si="201"/>
        <v>2971.39</v>
      </c>
      <c r="J451" s="3666">
        <f t="shared" si="201"/>
        <v>1086.05</v>
      </c>
      <c r="K451" s="3666">
        <f t="shared" si="201"/>
        <v>3864.84</v>
      </c>
      <c r="L451" s="3666">
        <f t="shared" si="201"/>
        <v>2918.96</v>
      </c>
      <c r="M451" s="3673">
        <f t="shared" si="201"/>
        <v>0</v>
      </c>
      <c r="N451" s="3837"/>
      <c r="O451" s="3838"/>
      <c r="P451" s="3838"/>
      <c r="Q451" s="3838"/>
      <c r="R451" s="3839"/>
      <c r="S451" s="1172"/>
      <c r="T451" s="1172"/>
      <c r="U451" s="1172"/>
      <c r="V451" s="3533"/>
      <c r="W451" s="3534"/>
      <c r="X451" s="3534"/>
      <c r="Y451" s="3534"/>
      <c r="Z451" s="3535"/>
      <c r="AA451" s="3533"/>
      <c r="AB451" s="3534"/>
      <c r="AC451" s="3536"/>
    </row>
    <row r="452" spans="2:29">
      <c r="B452" s="4211"/>
      <c r="C452" s="3530" t="s">
        <v>605</v>
      </c>
      <c r="D452" s="3706"/>
      <c r="E452" s="3699"/>
      <c r="F452" s="3699"/>
      <c r="G452" s="3699"/>
      <c r="H452" s="3707"/>
      <c r="I452" s="3706"/>
      <c r="J452" s="3699"/>
      <c r="K452" s="3699"/>
      <c r="L452" s="3699"/>
      <c r="M452" s="3707"/>
      <c r="N452" s="3834"/>
      <c r="O452" s="3835"/>
      <c r="P452" s="3835"/>
      <c r="Q452" s="3835"/>
      <c r="R452" s="3836"/>
      <c r="S452" s="1172"/>
      <c r="T452" s="1172"/>
      <c r="U452" s="1172"/>
      <c r="V452" s="3533"/>
      <c r="W452" s="3534"/>
      <c r="X452" s="3534"/>
      <c r="Y452" s="3534"/>
      <c r="Z452" s="3535"/>
      <c r="AA452" s="3533"/>
      <c r="AB452" s="3534"/>
      <c r="AC452" s="3536"/>
    </row>
    <row r="453" spans="2:29">
      <c r="B453" s="4211"/>
      <c r="C453" s="3531" t="s">
        <v>585</v>
      </c>
      <c r="D453" s="3672">
        <f t="shared" ref="D453:M453" si="202">D451-D452</f>
        <v>0</v>
      </c>
      <c r="E453" s="3666">
        <f t="shared" si="202"/>
        <v>0</v>
      </c>
      <c r="F453" s="3666">
        <f t="shared" si="202"/>
        <v>0</v>
      </c>
      <c r="G453" s="3666">
        <f t="shared" si="202"/>
        <v>0</v>
      </c>
      <c r="H453" s="3673">
        <f t="shared" si="202"/>
        <v>0</v>
      </c>
      <c r="I453" s="3672">
        <f t="shared" si="202"/>
        <v>2971.39</v>
      </c>
      <c r="J453" s="3666">
        <f t="shared" si="202"/>
        <v>1086.05</v>
      </c>
      <c r="K453" s="3666">
        <f t="shared" si="202"/>
        <v>3864.84</v>
      </c>
      <c r="L453" s="3666">
        <f t="shared" si="202"/>
        <v>2918.96</v>
      </c>
      <c r="M453" s="3673">
        <f t="shared" si="202"/>
        <v>0</v>
      </c>
      <c r="N453" s="3837"/>
      <c r="O453" s="3838"/>
      <c r="P453" s="3838"/>
      <c r="Q453" s="3838"/>
      <c r="R453" s="3839"/>
      <c r="S453" s="1172"/>
      <c r="T453" s="1172"/>
      <c r="U453" s="1172"/>
      <c r="V453" s="3533"/>
      <c r="W453" s="3534"/>
      <c r="X453" s="3534"/>
      <c r="Y453" s="3534"/>
      <c r="Z453" s="3535"/>
      <c r="AA453" s="3533"/>
      <c r="AB453" s="3534"/>
      <c r="AC453" s="3536"/>
    </row>
    <row r="454" spans="2:29" ht="13.5" thickBot="1">
      <c r="B454" s="4212"/>
      <c r="C454" s="3532" t="s">
        <v>93</v>
      </c>
      <c r="D454" s="470"/>
      <c r="E454" s="468"/>
      <c r="F454" s="468"/>
      <c r="G454" s="468"/>
      <c r="H454" s="530"/>
      <c r="I454" s="3712">
        <f t="shared" ref="I454:L454" si="203">I448/I447</f>
        <v>1388.5</v>
      </c>
      <c r="J454" s="3734">
        <f t="shared" si="203"/>
        <v>1015</v>
      </c>
      <c r="K454" s="3734">
        <f t="shared" si="203"/>
        <v>1204</v>
      </c>
      <c r="L454" s="3734">
        <f t="shared" si="203"/>
        <v>2728</v>
      </c>
      <c r="M454" s="3733"/>
      <c r="N454" s="3834"/>
      <c r="O454" s="3835"/>
      <c r="P454" s="3835"/>
      <c r="Q454" s="3835"/>
      <c r="R454" s="3836"/>
      <c r="S454" s="1172"/>
      <c r="T454" s="1172"/>
      <c r="U454" s="1172"/>
      <c r="V454" s="3533"/>
      <c r="W454" s="3534"/>
      <c r="X454" s="3534"/>
      <c r="Y454" s="3534"/>
      <c r="Z454" s="3535"/>
      <c r="AA454" s="3533"/>
      <c r="AB454" s="3534"/>
      <c r="AC454" s="3536"/>
    </row>
    <row r="455" spans="2:29">
      <c r="B455" s="4211" t="s">
        <v>1872</v>
      </c>
      <c r="C455" s="3528" t="s">
        <v>90</v>
      </c>
      <c r="D455" s="3737">
        <f>D112</f>
        <v>0</v>
      </c>
      <c r="E455" s="3736">
        <f t="shared" ref="E455:M455" si="204">E112</f>
        <v>0</v>
      </c>
      <c r="F455" s="3736">
        <f t="shared" si="204"/>
        <v>0</v>
      </c>
      <c r="G455" s="3736">
        <f t="shared" si="204"/>
        <v>0</v>
      </c>
      <c r="H455" s="3735">
        <f t="shared" si="204"/>
        <v>0</v>
      </c>
      <c r="I455" s="3737">
        <f t="shared" si="204"/>
        <v>0</v>
      </c>
      <c r="J455" s="3736">
        <f t="shared" si="204"/>
        <v>0</v>
      </c>
      <c r="K455" s="3736">
        <f t="shared" si="204"/>
        <v>0</v>
      </c>
      <c r="L455" s="3736">
        <f t="shared" si="204"/>
        <v>1</v>
      </c>
      <c r="M455" s="3735">
        <f t="shared" si="204"/>
        <v>0</v>
      </c>
      <c r="N455" s="3843"/>
      <c r="O455" s="3844"/>
      <c r="P455" s="3844"/>
      <c r="Q455" s="3844"/>
      <c r="R455" s="3845"/>
      <c r="S455" s="1172"/>
      <c r="T455" s="1172"/>
      <c r="U455" s="1172"/>
      <c r="V455" s="3533"/>
      <c r="W455" s="3534"/>
      <c r="X455" s="3534"/>
      <c r="Y455" s="3534"/>
      <c r="Z455" s="3535"/>
      <c r="AA455" s="3533"/>
      <c r="AB455" s="3534"/>
      <c r="AC455" s="3536"/>
    </row>
    <row r="456" spans="2:29">
      <c r="B456" s="4211"/>
      <c r="C456" s="3529" t="s">
        <v>579</v>
      </c>
      <c r="D456" s="3710">
        <v>0</v>
      </c>
      <c r="E456" s="3700">
        <v>0</v>
      </c>
      <c r="F456" s="3700">
        <v>0</v>
      </c>
      <c r="G456" s="3700">
        <v>0</v>
      </c>
      <c r="H456" s="3705">
        <v>0</v>
      </c>
      <c r="I456" s="3710">
        <v>0</v>
      </c>
      <c r="J456" s="3700"/>
      <c r="K456" s="3700">
        <v>0</v>
      </c>
      <c r="L456" s="3700">
        <v>2728</v>
      </c>
      <c r="M456" s="3705">
        <v>0</v>
      </c>
      <c r="N456" s="3834"/>
      <c r="O456" s="3835"/>
      <c r="P456" s="3835"/>
      <c r="Q456" s="3835"/>
      <c r="R456" s="3836"/>
      <c r="S456" s="1172"/>
      <c r="T456" s="1172"/>
      <c r="U456" s="1172"/>
      <c r="V456" s="3533"/>
      <c r="W456" s="3534"/>
      <c r="X456" s="3534"/>
      <c r="Y456" s="3534"/>
      <c r="Z456" s="3535"/>
      <c r="AA456" s="3533"/>
      <c r="AB456" s="3534"/>
      <c r="AC456" s="3536"/>
    </row>
    <row r="457" spans="2:29">
      <c r="B457" s="4211"/>
      <c r="C457" s="3530" t="s">
        <v>583</v>
      </c>
      <c r="D457" s="3706">
        <f>0.07*D456</f>
        <v>0</v>
      </c>
      <c r="E457" s="3699">
        <f t="shared" ref="E457:L457" si="205">0.07*E456</f>
        <v>0</v>
      </c>
      <c r="F457" s="3699">
        <f t="shared" si="205"/>
        <v>0</v>
      </c>
      <c r="G457" s="3699">
        <f t="shared" si="205"/>
        <v>0</v>
      </c>
      <c r="H457" s="3707">
        <f t="shared" si="205"/>
        <v>0</v>
      </c>
      <c r="I457" s="3706">
        <f t="shared" si="205"/>
        <v>0</v>
      </c>
      <c r="J457" s="3699">
        <f t="shared" si="205"/>
        <v>0</v>
      </c>
      <c r="K457" s="3699">
        <f t="shared" si="205"/>
        <v>0</v>
      </c>
      <c r="L457" s="3699">
        <f t="shared" si="205"/>
        <v>190.96</v>
      </c>
      <c r="M457" s="3707"/>
      <c r="N457" s="3834"/>
      <c r="O457" s="3835"/>
      <c r="P457" s="3835"/>
      <c r="Q457" s="3835"/>
      <c r="R457" s="3836"/>
      <c r="S457" s="1172"/>
      <c r="T457" s="1172"/>
      <c r="U457" s="1172"/>
      <c r="V457" s="3533"/>
      <c r="W457" s="3534"/>
      <c r="X457" s="3534"/>
      <c r="Y457" s="3534"/>
      <c r="Z457" s="3535"/>
      <c r="AA457" s="3533"/>
      <c r="AB457" s="3534"/>
      <c r="AC457" s="3536"/>
    </row>
    <row r="458" spans="2:29">
      <c r="B458" s="4211"/>
      <c r="C458" s="3530" t="s">
        <v>581</v>
      </c>
      <c r="D458" s="3706"/>
      <c r="E458" s="3699"/>
      <c r="F458" s="3699"/>
      <c r="G458" s="3699"/>
      <c r="H458" s="3707"/>
      <c r="I458" s="3706"/>
      <c r="J458" s="3699"/>
      <c r="K458" s="3699"/>
      <c r="L458" s="3699"/>
      <c r="M458" s="3707"/>
      <c r="N458" s="3834"/>
      <c r="O458" s="3835"/>
      <c r="P458" s="3835"/>
      <c r="Q458" s="3835"/>
      <c r="R458" s="3836"/>
      <c r="S458" s="1172"/>
      <c r="T458" s="1172"/>
      <c r="U458" s="1172"/>
      <c r="V458" s="3533"/>
      <c r="W458" s="3534"/>
      <c r="X458" s="3534"/>
      <c r="Y458" s="3534"/>
      <c r="Z458" s="3535"/>
      <c r="AA458" s="3533"/>
      <c r="AB458" s="3534"/>
      <c r="AC458" s="3536"/>
    </row>
    <row r="459" spans="2:29">
      <c r="B459" s="4211"/>
      <c r="C459" s="3531" t="s">
        <v>584</v>
      </c>
      <c r="D459" s="3672">
        <f t="shared" ref="D459:M459" si="206">D456+D457+D458</f>
        <v>0</v>
      </c>
      <c r="E459" s="3666">
        <f t="shared" si="206"/>
        <v>0</v>
      </c>
      <c r="F459" s="3666">
        <f t="shared" si="206"/>
        <v>0</v>
      </c>
      <c r="G459" s="3666">
        <f t="shared" si="206"/>
        <v>0</v>
      </c>
      <c r="H459" s="3673">
        <f t="shared" si="206"/>
        <v>0</v>
      </c>
      <c r="I459" s="3672">
        <f t="shared" si="206"/>
        <v>0</v>
      </c>
      <c r="J459" s="3666">
        <f t="shared" si="206"/>
        <v>0</v>
      </c>
      <c r="K459" s="3666">
        <f t="shared" si="206"/>
        <v>0</v>
      </c>
      <c r="L459" s="3666">
        <f t="shared" si="206"/>
        <v>2918.96</v>
      </c>
      <c r="M459" s="3673">
        <f t="shared" si="206"/>
        <v>0</v>
      </c>
      <c r="N459" s="3837"/>
      <c r="O459" s="3838"/>
      <c r="P459" s="3838"/>
      <c r="Q459" s="3838"/>
      <c r="R459" s="3839"/>
      <c r="S459" s="1172"/>
      <c r="T459" s="1172"/>
      <c r="U459" s="1172"/>
      <c r="V459" s="3533"/>
      <c r="W459" s="3534"/>
      <c r="X459" s="3534"/>
      <c r="Y459" s="3534"/>
      <c r="Z459" s="3535"/>
      <c r="AA459" s="3533"/>
      <c r="AB459" s="3534"/>
      <c r="AC459" s="3536"/>
    </row>
    <row r="460" spans="2:29">
      <c r="B460" s="4211"/>
      <c r="C460" s="3530" t="s">
        <v>605</v>
      </c>
      <c r="D460" s="3706"/>
      <c r="E460" s="3699"/>
      <c r="F460" s="3699"/>
      <c r="G460" s="3699"/>
      <c r="H460" s="3707"/>
      <c r="I460" s="3706"/>
      <c r="J460" s="3699"/>
      <c r="K460" s="3699"/>
      <c r="L460" s="3699"/>
      <c r="M460" s="3707"/>
      <c r="N460" s="3834"/>
      <c r="O460" s="3835"/>
      <c r="P460" s="3835"/>
      <c r="Q460" s="3835"/>
      <c r="R460" s="3836"/>
      <c r="S460" s="1172"/>
      <c r="T460" s="1172"/>
      <c r="U460" s="1172"/>
      <c r="V460" s="3533"/>
      <c r="W460" s="3534"/>
      <c r="X460" s="3534"/>
      <c r="Y460" s="3534"/>
      <c r="Z460" s="3535"/>
      <c r="AA460" s="3533"/>
      <c r="AB460" s="3534"/>
      <c r="AC460" s="3536"/>
    </row>
    <row r="461" spans="2:29">
      <c r="B461" s="4211"/>
      <c r="C461" s="3531" t="s">
        <v>585</v>
      </c>
      <c r="D461" s="3672">
        <f t="shared" ref="D461:M461" si="207">D459-D460</f>
        <v>0</v>
      </c>
      <c r="E461" s="3666">
        <f t="shared" si="207"/>
        <v>0</v>
      </c>
      <c r="F461" s="3666">
        <f t="shared" si="207"/>
        <v>0</v>
      </c>
      <c r="G461" s="3666">
        <f t="shared" si="207"/>
        <v>0</v>
      </c>
      <c r="H461" s="3673">
        <f t="shared" si="207"/>
        <v>0</v>
      </c>
      <c r="I461" s="3672">
        <f t="shared" si="207"/>
        <v>0</v>
      </c>
      <c r="J461" s="3666">
        <f t="shared" si="207"/>
        <v>0</v>
      </c>
      <c r="K461" s="3666">
        <f t="shared" si="207"/>
        <v>0</v>
      </c>
      <c r="L461" s="3666">
        <f t="shared" si="207"/>
        <v>2918.96</v>
      </c>
      <c r="M461" s="3673">
        <f t="shared" si="207"/>
        <v>0</v>
      </c>
      <c r="N461" s="3837"/>
      <c r="O461" s="3838"/>
      <c r="P461" s="3838"/>
      <c r="Q461" s="3838"/>
      <c r="R461" s="3839"/>
      <c r="S461" s="1172"/>
      <c r="T461" s="1172"/>
      <c r="U461" s="1172"/>
      <c r="V461" s="3533"/>
      <c r="W461" s="3534"/>
      <c r="X461" s="3534"/>
      <c r="Y461" s="3534"/>
      <c r="Z461" s="3535"/>
      <c r="AA461" s="3533"/>
      <c r="AB461" s="3534"/>
      <c r="AC461" s="3536"/>
    </row>
    <row r="462" spans="2:29" ht="13.5" thickBot="1">
      <c r="B462" s="4212"/>
      <c r="C462" s="3532" t="s">
        <v>93</v>
      </c>
      <c r="D462" s="3712"/>
      <c r="E462" s="3734"/>
      <c r="F462" s="3734"/>
      <c r="G462" s="3734"/>
      <c r="H462" s="3733"/>
      <c r="I462" s="3712"/>
      <c r="J462" s="3734"/>
      <c r="K462" s="3734"/>
      <c r="L462" s="3734">
        <f t="shared" ref="L462" si="208">L456/L455</f>
        <v>2728</v>
      </c>
      <c r="M462" s="3733"/>
      <c r="N462" s="3840"/>
      <c r="O462" s="3846"/>
      <c r="P462" s="3846"/>
      <c r="Q462" s="3846"/>
      <c r="R462" s="3847"/>
      <c r="S462" s="1172"/>
      <c r="T462" s="1172"/>
      <c r="U462" s="1172"/>
      <c r="V462" s="3533"/>
      <c r="W462" s="3534"/>
      <c r="X462" s="3534"/>
      <c r="Y462" s="3534"/>
      <c r="Z462" s="3535"/>
      <c r="AA462" s="3533"/>
      <c r="AB462" s="3534"/>
      <c r="AC462" s="3536"/>
    </row>
    <row r="463" spans="2:29">
      <c r="B463" s="4211" t="s">
        <v>1839</v>
      </c>
      <c r="C463" s="3528" t="s">
        <v>90</v>
      </c>
      <c r="D463" s="3706">
        <f>D115</f>
        <v>0</v>
      </c>
      <c r="E463" s="3699">
        <f t="shared" ref="E463:M463" si="209">E115</f>
        <v>0</v>
      </c>
      <c r="F463" s="3699">
        <f t="shared" si="209"/>
        <v>0</v>
      </c>
      <c r="G463" s="3699">
        <f t="shared" si="209"/>
        <v>0</v>
      </c>
      <c r="H463" s="3707">
        <f t="shared" si="209"/>
        <v>0</v>
      </c>
      <c r="I463" s="3737">
        <f t="shared" si="209"/>
        <v>0</v>
      </c>
      <c r="J463" s="3736">
        <f t="shared" si="209"/>
        <v>0</v>
      </c>
      <c r="K463" s="3736">
        <f t="shared" si="209"/>
        <v>1</v>
      </c>
      <c r="L463" s="3736">
        <f t="shared" si="209"/>
        <v>2</v>
      </c>
      <c r="M463" s="3735">
        <f t="shared" si="209"/>
        <v>0</v>
      </c>
      <c r="N463" s="3834"/>
      <c r="O463" s="3835"/>
      <c r="P463" s="3835"/>
      <c r="Q463" s="3835"/>
      <c r="R463" s="3836"/>
      <c r="S463" s="1172"/>
      <c r="T463" s="1172"/>
      <c r="U463" s="1172"/>
      <c r="V463" s="3533"/>
      <c r="W463" s="3534"/>
      <c r="X463" s="3534"/>
      <c r="Y463" s="3534"/>
      <c r="Z463" s="3535"/>
      <c r="AA463" s="3533"/>
      <c r="AB463" s="3534"/>
      <c r="AC463" s="3536"/>
    </row>
    <row r="464" spans="2:29">
      <c r="B464" s="4211"/>
      <c r="C464" s="3529" t="s">
        <v>579</v>
      </c>
      <c r="D464" s="3710">
        <v>0</v>
      </c>
      <c r="E464" s="3700">
        <v>0</v>
      </c>
      <c r="F464" s="3700">
        <v>0</v>
      </c>
      <c r="G464" s="3700">
        <v>0</v>
      </c>
      <c r="H464" s="3705">
        <v>0</v>
      </c>
      <c r="I464" s="3710">
        <v>0</v>
      </c>
      <c r="J464" s="3700"/>
      <c r="K464" s="3700">
        <v>1204</v>
      </c>
      <c r="L464" s="3700">
        <v>5457</v>
      </c>
      <c r="M464" s="3705">
        <v>0</v>
      </c>
      <c r="N464" s="3834"/>
      <c r="O464" s="3835"/>
      <c r="P464" s="3835"/>
      <c r="Q464" s="3835"/>
      <c r="R464" s="3836"/>
      <c r="S464" s="1172"/>
      <c r="T464" s="1172"/>
      <c r="U464" s="1172"/>
      <c r="V464" s="3533"/>
      <c r="W464" s="3534"/>
      <c r="X464" s="3534"/>
      <c r="Y464" s="3534"/>
      <c r="Z464" s="3535"/>
      <c r="AA464" s="3533"/>
      <c r="AB464" s="3534"/>
      <c r="AC464" s="3536"/>
    </row>
    <row r="465" spans="2:29">
      <c r="B465" s="4211"/>
      <c r="C465" s="3530" t="s">
        <v>583</v>
      </c>
      <c r="D465" s="3706">
        <f>0.07*D464</f>
        <v>0</v>
      </c>
      <c r="E465" s="3699">
        <f t="shared" ref="E465:L465" si="210">0.07*E464</f>
        <v>0</v>
      </c>
      <c r="F465" s="3699">
        <f t="shared" si="210"/>
        <v>0</v>
      </c>
      <c r="G465" s="3699">
        <f t="shared" si="210"/>
        <v>0</v>
      </c>
      <c r="H465" s="3707">
        <f t="shared" si="210"/>
        <v>0</v>
      </c>
      <c r="I465" s="3706">
        <f t="shared" si="210"/>
        <v>0</v>
      </c>
      <c r="J465" s="3699">
        <f t="shared" si="210"/>
        <v>0</v>
      </c>
      <c r="K465" s="3699">
        <f t="shared" si="210"/>
        <v>84.28</v>
      </c>
      <c r="L465" s="3699">
        <f t="shared" si="210"/>
        <v>381.99</v>
      </c>
      <c r="M465" s="3707"/>
      <c r="N465" s="3834"/>
      <c r="O465" s="3835"/>
      <c r="P465" s="3835"/>
      <c r="Q465" s="3835"/>
      <c r="R465" s="3836"/>
      <c r="S465" s="1172"/>
      <c r="T465" s="1172"/>
      <c r="U465" s="1172"/>
      <c r="V465" s="3533"/>
      <c r="W465" s="3534"/>
      <c r="X465" s="3534"/>
      <c r="Y465" s="3534"/>
      <c r="Z465" s="3535"/>
      <c r="AA465" s="3533"/>
      <c r="AB465" s="3534"/>
      <c r="AC465" s="3536"/>
    </row>
    <row r="466" spans="2:29">
      <c r="B466" s="4211"/>
      <c r="C466" s="3530" t="s">
        <v>581</v>
      </c>
      <c r="D466" s="3706"/>
      <c r="E466" s="3699"/>
      <c r="F466" s="3699"/>
      <c r="G466" s="3699"/>
      <c r="H466" s="3707"/>
      <c r="I466" s="3706"/>
      <c r="J466" s="3699"/>
      <c r="K466" s="3699"/>
      <c r="L466" s="3699"/>
      <c r="M466" s="3707"/>
      <c r="N466" s="3834"/>
      <c r="O466" s="3835"/>
      <c r="P466" s="3835"/>
      <c r="Q466" s="3835"/>
      <c r="R466" s="3836"/>
      <c r="S466" s="1172"/>
      <c r="T466" s="1172"/>
      <c r="U466" s="1172"/>
      <c r="V466" s="3533"/>
      <c r="W466" s="3534"/>
      <c r="X466" s="3534"/>
      <c r="Y466" s="3534"/>
      <c r="Z466" s="3535"/>
      <c r="AA466" s="3533"/>
      <c r="AB466" s="3534"/>
      <c r="AC466" s="3536"/>
    </row>
    <row r="467" spans="2:29">
      <c r="B467" s="4211"/>
      <c r="C467" s="3531" t="s">
        <v>584</v>
      </c>
      <c r="D467" s="3672">
        <f t="shared" ref="D467:M467" si="211">D464+D465+D466</f>
        <v>0</v>
      </c>
      <c r="E467" s="3666">
        <f t="shared" si="211"/>
        <v>0</v>
      </c>
      <c r="F467" s="3666">
        <f t="shared" si="211"/>
        <v>0</v>
      </c>
      <c r="G467" s="3666">
        <f t="shared" si="211"/>
        <v>0</v>
      </c>
      <c r="H467" s="3673">
        <f t="shared" si="211"/>
        <v>0</v>
      </c>
      <c r="I467" s="3672">
        <f t="shared" si="211"/>
        <v>0</v>
      </c>
      <c r="J467" s="3666">
        <f t="shared" si="211"/>
        <v>0</v>
      </c>
      <c r="K467" s="3666">
        <f t="shared" si="211"/>
        <v>1288.28</v>
      </c>
      <c r="L467" s="3666">
        <f t="shared" si="211"/>
        <v>5838.99</v>
      </c>
      <c r="M467" s="3673">
        <f t="shared" si="211"/>
        <v>0</v>
      </c>
      <c r="N467" s="3837"/>
      <c r="O467" s="3838"/>
      <c r="P467" s="3838"/>
      <c r="Q467" s="3838"/>
      <c r="R467" s="3839"/>
      <c r="S467" s="1172"/>
      <c r="T467" s="1172"/>
      <c r="U467" s="1172"/>
      <c r="V467" s="3533"/>
      <c r="W467" s="3534"/>
      <c r="X467" s="3534"/>
      <c r="Y467" s="3534"/>
      <c r="Z467" s="3535"/>
      <c r="AA467" s="3533"/>
      <c r="AB467" s="3534"/>
      <c r="AC467" s="3536"/>
    </row>
    <row r="468" spans="2:29">
      <c r="B468" s="4211"/>
      <c r="C468" s="3530" t="s">
        <v>605</v>
      </c>
      <c r="D468" s="3706"/>
      <c r="E468" s="3699"/>
      <c r="F468" s="3699"/>
      <c r="G468" s="3699"/>
      <c r="H468" s="3707"/>
      <c r="I468" s="3706"/>
      <c r="J468" s="3699"/>
      <c r="K468" s="3699"/>
      <c r="L468" s="3699"/>
      <c r="M468" s="3707"/>
      <c r="N468" s="3834"/>
      <c r="O468" s="3835"/>
      <c r="P468" s="3835"/>
      <c r="Q468" s="3835"/>
      <c r="R468" s="3836"/>
      <c r="S468" s="1172"/>
      <c r="T468" s="1172"/>
      <c r="U468" s="1172"/>
      <c r="V468" s="3533"/>
      <c r="W468" s="3534"/>
      <c r="X468" s="3534"/>
      <c r="Y468" s="3534"/>
      <c r="Z468" s="3535"/>
      <c r="AA468" s="3533"/>
      <c r="AB468" s="3534"/>
      <c r="AC468" s="3536"/>
    </row>
    <row r="469" spans="2:29">
      <c r="B469" s="4211"/>
      <c r="C469" s="3531" t="s">
        <v>585</v>
      </c>
      <c r="D469" s="3672">
        <f t="shared" ref="D469:M469" si="212">D467-D468</f>
        <v>0</v>
      </c>
      <c r="E469" s="3666">
        <f t="shared" si="212"/>
        <v>0</v>
      </c>
      <c r="F469" s="3666">
        <f t="shared" si="212"/>
        <v>0</v>
      </c>
      <c r="G469" s="3666">
        <f t="shared" si="212"/>
        <v>0</v>
      </c>
      <c r="H469" s="3673">
        <f t="shared" si="212"/>
        <v>0</v>
      </c>
      <c r="I469" s="3672">
        <f t="shared" si="212"/>
        <v>0</v>
      </c>
      <c r="J469" s="3666">
        <f t="shared" si="212"/>
        <v>0</v>
      </c>
      <c r="K469" s="3666">
        <f t="shared" si="212"/>
        <v>1288.28</v>
      </c>
      <c r="L469" s="3666">
        <f t="shared" si="212"/>
        <v>5838.99</v>
      </c>
      <c r="M469" s="3673">
        <f t="shared" si="212"/>
        <v>0</v>
      </c>
      <c r="N469" s="3837"/>
      <c r="O469" s="3838"/>
      <c r="P469" s="3838"/>
      <c r="Q469" s="3838"/>
      <c r="R469" s="3839"/>
      <c r="S469" s="1172"/>
      <c r="T469" s="1172"/>
      <c r="U469" s="1172"/>
      <c r="V469" s="3533"/>
      <c r="W469" s="3534"/>
      <c r="X469" s="3534"/>
      <c r="Y469" s="3534"/>
      <c r="Z469" s="3535"/>
      <c r="AA469" s="3533"/>
      <c r="AB469" s="3534"/>
      <c r="AC469" s="3536"/>
    </row>
    <row r="470" spans="2:29" ht="13.5" thickBot="1">
      <c r="B470" s="4212"/>
      <c r="C470" s="3532" t="s">
        <v>93</v>
      </c>
      <c r="D470" s="3712"/>
      <c r="E470" s="3713"/>
      <c r="F470" s="3713"/>
      <c r="G470" s="3713"/>
      <c r="H470" s="3714"/>
      <c r="I470" s="3712"/>
      <c r="J470" s="3734"/>
      <c r="K470" s="3734">
        <f t="shared" ref="K470:L470" si="213">K464/K463</f>
        <v>1204</v>
      </c>
      <c r="L470" s="3734">
        <f t="shared" si="213"/>
        <v>2728.5</v>
      </c>
      <c r="M470" s="3733"/>
      <c r="N470" s="3840"/>
      <c r="O470" s="3841"/>
      <c r="P470" s="3841"/>
      <c r="Q470" s="3841"/>
      <c r="R470" s="3842"/>
      <c r="S470" s="1172"/>
      <c r="T470" s="1172"/>
      <c r="U470" s="1172"/>
      <c r="V470" s="3533"/>
      <c r="W470" s="3534"/>
      <c r="X470" s="3534"/>
      <c r="Y470" s="3534"/>
      <c r="Z470" s="3535"/>
      <c r="AA470" s="3533"/>
      <c r="AB470" s="3534"/>
      <c r="AC470" s="3536"/>
    </row>
    <row r="471" spans="2:29">
      <c r="B471" s="4211" t="s">
        <v>1850</v>
      </c>
      <c r="C471" s="3528" t="s">
        <v>90</v>
      </c>
      <c r="D471" s="3706">
        <f>D148</f>
        <v>0</v>
      </c>
      <c r="E471" s="3699">
        <f t="shared" ref="E471:M471" si="214">E148</f>
        <v>0</v>
      </c>
      <c r="F471" s="3699">
        <f t="shared" si="214"/>
        <v>0</v>
      </c>
      <c r="G471" s="3699">
        <f t="shared" si="214"/>
        <v>0</v>
      </c>
      <c r="H471" s="3707">
        <f t="shared" si="214"/>
        <v>0</v>
      </c>
      <c r="I471" s="3737">
        <f t="shared" si="214"/>
        <v>0</v>
      </c>
      <c r="J471" s="3736">
        <f t="shared" si="214"/>
        <v>0</v>
      </c>
      <c r="K471" s="3736">
        <f t="shared" si="214"/>
        <v>0</v>
      </c>
      <c r="L471" s="3736">
        <f t="shared" si="214"/>
        <v>1</v>
      </c>
      <c r="M471" s="3735">
        <f t="shared" si="214"/>
        <v>0</v>
      </c>
      <c r="N471" s="3834"/>
      <c r="O471" s="3835"/>
      <c r="P471" s="3835"/>
      <c r="Q471" s="3835"/>
      <c r="R471" s="3836"/>
      <c r="S471" s="1172"/>
      <c r="T471" s="1172"/>
      <c r="U471" s="1172"/>
      <c r="V471" s="3533"/>
      <c r="W471" s="3534"/>
      <c r="X471" s="3534"/>
      <c r="Y471" s="3534"/>
      <c r="Z471" s="3535"/>
      <c r="AA471" s="3533"/>
      <c r="AB471" s="3534"/>
      <c r="AC471" s="3536"/>
    </row>
    <row r="472" spans="2:29">
      <c r="B472" s="4211"/>
      <c r="C472" s="3529" t="s">
        <v>579</v>
      </c>
      <c r="D472" s="3710" t="s">
        <v>1873</v>
      </c>
      <c r="E472" s="3700">
        <v>0</v>
      </c>
      <c r="F472" s="3700">
        <v>0</v>
      </c>
      <c r="G472" s="3700">
        <v>0</v>
      </c>
      <c r="H472" s="3705">
        <v>0</v>
      </c>
      <c r="I472" s="3710">
        <v>0</v>
      </c>
      <c r="J472" s="3700"/>
      <c r="K472" s="3700">
        <v>0</v>
      </c>
      <c r="L472" s="3700">
        <v>2728</v>
      </c>
      <c r="M472" s="3705">
        <v>0</v>
      </c>
      <c r="N472" s="3834"/>
      <c r="O472" s="3835"/>
      <c r="P472" s="3835"/>
      <c r="Q472" s="3835"/>
      <c r="R472" s="3836"/>
      <c r="S472" s="1172"/>
      <c r="T472" s="1172"/>
      <c r="U472" s="1172"/>
      <c r="V472" s="3533"/>
      <c r="W472" s="3534"/>
      <c r="X472" s="3534"/>
      <c r="Y472" s="3534"/>
      <c r="Z472" s="3535"/>
      <c r="AA472" s="3533"/>
      <c r="AB472" s="3534"/>
      <c r="AC472" s="3536"/>
    </row>
    <row r="473" spans="2:29">
      <c r="B473" s="4211"/>
      <c r="C473" s="3530" t="s">
        <v>583</v>
      </c>
      <c r="D473" s="3706">
        <f>0.07*D472</f>
        <v>0</v>
      </c>
      <c r="E473" s="3699">
        <f t="shared" ref="E473:L473" si="215">0.07*E472</f>
        <v>0</v>
      </c>
      <c r="F473" s="3699">
        <f t="shared" si="215"/>
        <v>0</v>
      </c>
      <c r="G473" s="3699">
        <f t="shared" si="215"/>
        <v>0</v>
      </c>
      <c r="H473" s="3707">
        <f t="shared" si="215"/>
        <v>0</v>
      </c>
      <c r="I473" s="3706">
        <f t="shared" si="215"/>
        <v>0</v>
      </c>
      <c r="J473" s="3699">
        <f t="shared" si="215"/>
        <v>0</v>
      </c>
      <c r="K473" s="3699">
        <f t="shared" si="215"/>
        <v>0</v>
      </c>
      <c r="L473" s="3699">
        <f t="shared" si="215"/>
        <v>190.96</v>
      </c>
      <c r="M473" s="3707"/>
      <c r="N473" s="3834"/>
      <c r="O473" s="3835"/>
      <c r="P473" s="3835"/>
      <c r="Q473" s="3835"/>
      <c r="R473" s="3836"/>
      <c r="S473" s="1172"/>
      <c r="T473" s="1172"/>
      <c r="U473" s="1172"/>
      <c r="V473" s="3533"/>
      <c r="W473" s="3534"/>
      <c r="X473" s="3534"/>
      <c r="Y473" s="3534"/>
      <c r="Z473" s="3535"/>
      <c r="AA473" s="3533"/>
      <c r="AB473" s="3534"/>
      <c r="AC473" s="3536"/>
    </row>
    <row r="474" spans="2:29">
      <c r="B474" s="4211"/>
      <c r="C474" s="3530" t="s">
        <v>581</v>
      </c>
      <c r="D474" s="3706"/>
      <c r="E474" s="3699"/>
      <c r="F474" s="3699"/>
      <c r="G474" s="3699"/>
      <c r="H474" s="3707"/>
      <c r="I474" s="3706"/>
      <c r="J474" s="3699"/>
      <c r="K474" s="3699"/>
      <c r="L474" s="3699"/>
      <c r="M474" s="3707"/>
      <c r="N474" s="3834"/>
      <c r="O474" s="3835"/>
      <c r="P474" s="3835"/>
      <c r="Q474" s="3835"/>
      <c r="R474" s="3836"/>
      <c r="S474" s="1172"/>
      <c r="T474" s="1172"/>
      <c r="U474" s="1172"/>
      <c r="V474" s="3533"/>
      <c r="W474" s="3534"/>
      <c r="X474" s="3534"/>
      <c r="Y474" s="3534"/>
      <c r="Z474" s="3535"/>
      <c r="AA474" s="3533"/>
      <c r="AB474" s="3534"/>
      <c r="AC474" s="3536"/>
    </row>
    <row r="475" spans="2:29">
      <c r="B475" s="4211"/>
      <c r="C475" s="3531" t="s">
        <v>584</v>
      </c>
      <c r="D475" s="3672">
        <f t="shared" ref="D475:M475" si="216">D472+D473+D474</f>
        <v>0</v>
      </c>
      <c r="E475" s="3666">
        <f t="shared" si="216"/>
        <v>0</v>
      </c>
      <c r="F475" s="3666">
        <f t="shared" si="216"/>
        <v>0</v>
      </c>
      <c r="G475" s="3666">
        <f t="shared" si="216"/>
        <v>0</v>
      </c>
      <c r="H475" s="3673">
        <f t="shared" si="216"/>
        <v>0</v>
      </c>
      <c r="I475" s="3672">
        <f t="shared" si="216"/>
        <v>0</v>
      </c>
      <c r="J475" s="3666">
        <f t="shared" si="216"/>
        <v>0</v>
      </c>
      <c r="K475" s="3666">
        <f t="shared" si="216"/>
        <v>0</v>
      </c>
      <c r="L475" s="3666">
        <f t="shared" si="216"/>
        <v>2918.96</v>
      </c>
      <c r="M475" s="3673">
        <f t="shared" si="216"/>
        <v>0</v>
      </c>
      <c r="N475" s="3837"/>
      <c r="O475" s="3838"/>
      <c r="P475" s="3838"/>
      <c r="Q475" s="3838"/>
      <c r="R475" s="3839"/>
      <c r="S475" s="1172"/>
      <c r="T475" s="1172"/>
      <c r="U475" s="1172"/>
      <c r="V475" s="3533"/>
      <c r="W475" s="3534"/>
      <c r="X475" s="3534"/>
      <c r="Y475" s="3534"/>
      <c r="Z475" s="3535"/>
      <c r="AA475" s="3533"/>
      <c r="AB475" s="3534"/>
      <c r="AC475" s="3536"/>
    </row>
    <row r="476" spans="2:29">
      <c r="B476" s="4211"/>
      <c r="C476" s="3530" t="s">
        <v>605</v>
      </c>
      <c r="D476" s="3706"/>
      <c r="E476" s="3699"/>
      <c r="F476" s="3699"/>
      <c r="G476" s="3699"/>
      <c r="H476" s="3707"/>
      <c r="I476" s="3706"/>
      <c r="J476" s="3699"/>
      <c r="K476" s="3699"/>
      <c r="L476" s="3699"/>
      <c r="M476" s="3707"/>
      <c r="N476" s="3834"/>
      <c r="O476" s="3835"/>
      <c r="P476" s="3835"/>
      <c r="Q476" s="3835"/>
      <c r="R476" s="3836"/>
      <c r="S476" s="1172"/>
      <c r="T476" s="1172"/>
      <c r="U476" s="1172"/>
      <c r="V476" s="3533"/>
      <c r="W476" s="3534"/>
      <c r="X476" s="3534"/>
      <c r="Y476" s="3534"/>
      <c r="Z476" s="3535"/>
      <c r="AA476" s="3533"/>
      <c r="AB476" s="3534"/>
      <c r="AC476" s="3536"/>
    </row>
    <row r="477" spans="2:29">
      <c r="B477" s="4211"/>
      <c r="C477" s="3531" t="s">
        <v>585</v>
      </c>
      <c r="D477" s="3672">
        <f t="shared" ref="D477:M477" si="217">D475-D476</f>
        <v>0</v>
      </c>
      <c r="E477" s="3666">
        <f t="shared" si="217"/>
        <v>0</v>
      </c>
      <c r="F477" s="3666">
        <f t="shared" si="217"/>
        <v>0</v>
      </c>
      <c r="G477" s="3666">
        <f t="shared" si="217"/>
        <v>0</v>
      </c>
      <c r="H477" s="3673">
        <f t="shared" si="217"/>
        <v>0</v>
      </c>
      <c r="I477" s="3672">
        <f t="shared" si="217"/>
        <v>0</v>
      </c>
      <c r="J477" s="3666">
        <f t="shared" si="217"/>
        <v>0</v>
      </c>
      <c r="K477" s="3666">
        <f t="shared" si="217"/>
        <v>0</v>
      </c>
      <c r="L477" s="3666">
        <f t="shared" si="217"/>
        <v>2918.96</v>
      </c>
      <c r="M477" s="3673">
        <f t="shared" si="217"/>
        <v>0</v>
      </c>
      <c r="N477" s="3837"/>
      <c r="O477" s="3838"/>
      <c r="P477" s="3838"/>
      <c r="Q477" s="3838"/>
      <c r="R477" s="3839"/>
      <c r="S477" s="1172"/>
      <c r="T477" s="1172"/>
      <c r="U477" s="1172"/>
      <c r="V477" s="3533"/>
      <c r="W477" s="3534"/>
      <c r="X477" s="3534"/>
      <c r="Y477" s="3534"/>
      <c r="Z477" s="3535"/>
      <c r="AA477" s="3533"/>
      <c r="AB477" s="3534"/>
      <c r="AC477" s="3536"/>
    </row>
    <row r="478" spans="2:29" ht="13.5" thickBot="1">
      <c r="B478" s="4212"/>
      <c r="C478" s="3532" t="s">
        <v>93</v>
      </c>
      <c r="D478" s="470"/>
      <c r="E478" s="468"/>
      <c r="F478" s="468"/>
      <c r="G478" s="468"/>
      <c r="H478" s="530"/>
      <c r="I478" s="3712"/>
      <c r="J478" s="3734"/>
      <c r="K478" s="3734"/>
      <c r="L478" s="3734">
        <f t="shared" ref="L478" si="218">L472/L471</f>
        <v>2728</v>
      </c>
      <c r="M478" s="3733"/>
      <c r="N478" s="3834"/>
      <c r="O478" s="3835"/>
      <c r="P478" s="3835"/>
      <c r="Q478" s="3835"/>
      <c r="R478" s="3836"/>
      <c r="S478" s="1172"/>
      <c r="T478" s="1172"/>
      <c r="U478" s="1172"/>
      <c r="V478" s="3533"/>
      <c r="W478" s="3534"/>
      <c r="X478" s="3534"/>
      <c r="Y478" s="3534"/>
      <c r="Z478" s="3535"/>
      <c r="AA478" s="3533"/>
      <c r="AB478" s="3534"/>
      <c r="AC478" s="3536"/>
    </row>
    <row r="479" spans="2:29">
      <c r="B479" s="4210" t="s">
        <v>342</v>
      </c>
      <c r="C479" s="3528" t="s">
        <v>90</v>
      </c>
      <c r="D479" s="3737"/>
      <c r="E479" s="3736"/>
      <c r="F479" s="3736"/>
      <c r="G479" s="3736"/>
      <c r="H479" s="3735"/>
      <c r="I479" s="3737"/>
      <c r="J479" s="3736"/>
      <c r="K479" s="3736"/>
      <c r="L479" s="3736"/>
      <c r="M479" s="3735"/>
      <c r="N479" s="3843"/>
      <c r="O479" s="3844"/>
      <c r="P479" s="3844"/>
      <c r="Q479" s="3844"/>
      <c r="R479" s="3845"/>
      <c r="S479" s="1172"/>
      <c r="T479" s="1172"/>
      <c r="U479" s="1172"/>
      <c r="V479" s="3533"/>
      <c r="W479" s="3534"/>
      <c r="X479" s="3534"/>
      <c r="Y479" s="3534"/>
      <c r="Z479" s="3535"/>
      <c r="AA479" s="3533"/>
      <c r="AB479" s="3534"/>
      <c r="AC479" s="3536"/>
    </row>
    <row r="480" spans="2:29">
      <c r="B480" s="4211"/>
      <c r="C480" s="3529" t="s">
        <v>579</v>
      </c>
      <c r="D480" s="3710"/>
      <c r="E480" s="3700"/>
      <c r="F480" s="3700"/>
      <c r="G480" s="3700"/>
      <c r="H480" s="3705"/>
      <c r="I480" s="3710"/>
      <c r="J480" s="3700"/>
      <c r="K480" s="3700"/>
      <c r="L480" s="3700"/>
      <c r="M480" s="3705"/>
      <c r="N480" s="3834"/>
      <c r="O480" s="3835"/>
      <c r="P480" s="3835"/>
      <c r="Q480" s="3835"/>
      <c r="R480" s="3836"/>
      <c r="S480" s="1172"/>
      <c r="T480" s="1172"/>
      <c r="U480" s="1172"/>
      <c r="V480" s="3533"/>
      <c r="W480" s="3534"/>
      <c r="X480" s="3534"/>
      <c r="Y480" s="3534"/>
      <c r="Z480" s="3535"/>
      <c r="AA480" s="3533"/>
      <c r="AB480" s="3534"/>
      <c r="AC480" s="3536"/>
    </row>
    <row r="481" spans="2:29">
      <c r="B481" s="4211"/>
      <c r="C481" s="3530" t="s">
        <v>583</v>
      </c>
      <c r="D481" s="3706">
        <f>0.07*D480</f>
        <v>0</v>
      </c>
      <c r="E481" s="3699">
        <f t="shared" ref="E481:L481" si="219">0.07*E480</f>
        <v>0</v>
      </c>
      <c r="F481" s="3699">
        <f t="shared" si="219"/>
        <v>0</v>
      </c>
      <c r="G481" s="3699">
        <f t="shared" si="219"/>
        <v>0</v>
      </c>
      <c r="H481" s="3707">
        <f t="shared" si="219"/>
        <v>0</v>
      </c>
      <c r="I481" s="3706">
        <f t="shared" si="219"/>
        <v>0</v>
      </c>
      <c r="J481" s="3699">
        <f t="shared" si="219"/>
        <v>0</v>
      </c>
      <c r="K481" s="3699">
        <f t="shared" si="219"/>
        <v>0</v>
      </c>
      <c r="L481" s="3699">
        <f t="shared" si="219"/>
        <v>0</v>
      </c>
      <c r="M481" s="3707"/>
      <c r="N481" s="3834"/>
      <c r="O481" s="3835"/>
      <c r="P481" s="3835"/>
      <c r="Q481" s="3835"/>
      <c r="R481" s="3836"/>
      <c r="S481" s="1172"/>
      <c r="T481" s="1172"/>
      <c r="U481" s="1172"/>
      <c r="V481" s="3533"/>
      <c r="W481" s="3534"/>
      <c r="X481" s="3534"/>
      <c r="Y481" s="3534"/>
      <c r="Z481" s="3535"/>
      <c r="AA481" s="3533"/>
      <c r="AB481" s="3534"/>
      <c r="AC481" s="3536"/>
    </row>
    <row r="482" spans="2:29">
      <c r="B482" s="4211"/>
      <c r="C482" s="3530" t="s">
        <v>581</v>
      </c>
      <c r="D482" s="3706"/>
      <c r="E482" s="3699"/>
      <c r="F482" s="3699"/>
      <c r="G482" s="3699"/>
      <c r="H482" s="3707"/>
      <c r="I482" s="3706"/>
      <c r="J482" s="3699"/>
      <c r="K482" s="3699"/>
      <c r="L482" s="3699"/>
      <c r="M482" s="3707"/>
      <c r="N482" s="3834"/>
      <c r="O482" s="3835"/>
      <c r="P482" s="3835"/>
      <c r="Q482" s="3835"/>
      <c r="R482" s="3836"/>
      <c r="S482" s="1172"/>
      <c r="T482" s="1172"/>
      <c r="U482" s="1172"/>
      <c r="V482" s="3533"/>
      <c r="W482" s="3534"/>
      <c r="X482" s="3534"/>
      <c r="Y482" s="3534"/>
      <c r="Z482" s="3535"/>
      <c r="AA482" s="3533"/>
      <c r="AB482" s="3534"/>
      <c r="AC482" s="3536"/>
    </row>
    <row r="483" spans="2:29">
      <c r="B483" s="4211"/>
      <c r="C483" s="3531" t="s">
        <v>584</v>
      </c>
      <c r="D483" s="3672">
        <f t="shared" ref="D483:M483" si="220">D480+D481+D482</f>
        <v>0</v>
      </c>
      <c r="E483" s="3666">
        <f t="shared" si="220"/>
        <v>0</v>
      </c>
      <c r="F483" s="3666">
        <f t="shared" si="220"/>
        <v>0</v>
      </c>
      <c r="G483" s="3666">
        <f t="shared" si="220"/>
        <v>0</v>
      </c>
      <c r="H483" s="3673">
        <f t="shared" si="220"/>
        <v>0</v>
      </c>
      <c r="I483" s="3672">
        <f t="shared" si="220"/>
        <v>0</v>
      </c>
      <c r="J483" s="3666">
        <f t="shared" si="220"/>
        <v>0</v>
      </c>
      <c r="K483" s="3666">
        <f t="shared" si="220"/>
        <v>0</v>
      </c>
      <c r="L483" s="3666">
        <f t="shared" si="220"/>
        <v>0</v>
      </c>
      <c r="M483" s="3673">
        <f t="shared" si="220"/>
        <v>0</v>
      </c>
      <c r="N483" s="3837"/>
      <c r="O483" s="3838"/>
      <c r="P483" s="3838"/>
      <c r="Q483" s="3838"/>
      <c r="R483" s="3839"/>
      <c r="S483" s="1172"/>
      <c r="T483" s="1172"/>
      <c r="U483" s="1172"/>
      <c r="V483" s="3533"/>
      <c r="W483" s="3534"/>
      <c r="X483" s="3534"/>
      <c r="Y483" s="3534"/>
      <c r="Z483" s="3535"/>
      <c r="AA483" s="3533"/>
      <c r="AB483" s="3534"/>
      <c r="AC483" s="3536"/>
    </row>
    <row r="484" spans="2:29">
      <c r="B484" s="4211"/>
      <c r="C484" s="3530" t="s">
        <v>605</v>
      </c>
      <c r="D484" s="3706"/>
      <c r="E484" s="3699"/>
      <c r="F484" s="3699"/>
      <c r="G484" s="3699"/>
      <c r="H484" s="3707"/>
      <c r="I484" s="3706"/>
      <c r="J484" s="3699"/>
      <c r="K484" s="3699"/>
      <c r="L484" s="3699"/>
      <c r="M484" s="3707"/>
      <c r="N484" s="3834"/>
      <c r="O484" s="3835"/>
      <c r="P484" s="3835"/>
      <c r="Q484" s="3835"/>
      <c r="R484" s="3836"/>
      <c r="S484" s="1172"/>
      <c r="T484" s="1172"/>
      <c r="U484" s="1172"/>
      <c r="V484" s="3533"/>
      <c r="W484" s="3534"/>
      <c r="X484" s="3534"/>
      <c r="Y484" s="3534"/>
      <c r="Z484" s="3535"/>
      <c r="AA484" s="3533"/>
      <c r="AB484" s="3534"/>
      <c r="AC484" s="3536"/>
    </row>
    <row r="485" spans="2:29">
      <c r="B485" s="4211"/>
      <c r="C485" s="3531" t="s">
        <v>585</v>
      </c>
      <c r="D485" s="3672">
        <f t="shared" ref="D485:M485" si="221">D483-D484</f>
        <v>0</v>
      </c>
      <c r="E485" s="3666">
        <f t="shared" si="221"/>
        <v>0</v>
      </c>
      <c r="F485" s="3666">
        <f t="shared" si="221"/>
        <v>0</v>
      </c>
      <c r="G485" s="3666">
        <f t="shared" si="221"/>
        <v>0</v>
      </c>
      <c r="H485" s="3673">
        <f t="shared" si="221"/>
        <v>0</v>
      </c>
      <c r="I485" s="3672">
        <f t="shared" si="221"/>
        <v>0</v>
      </c>
      <c r="J485" s="3666">
        <f t="shared" si="221"/>
        <v>0</v>
      </c>
      <c r="K485" s="3666">
        <f t="shared" si="221"/>
        <v>0</v>
      </c>
      <c r="L485" s="3666">
        <f t="shared" si="221"/>
        <v>0</v>
      </c>
      <c r="M485" s="3673">
        <f t="shared" si="221"/>
        <v>0</v>
      </c>
      <c r="N485" s="3837"/>
      <c r="O485" s="3838"/>
      <c r="P485" s="3838"/>
      <c r="Q485" s="3838"/>
      <c r="R485" s="3839"/>
      <c r="S485" s="1172"/>
      <c r="T485" s="1172"/>
      <c r="U485" s="1172"/>
      <c r="V485" s="3533"/>
      <c r="W485" s="3534"/>
      <c r="X485" s="3534"/>
      <c r="Y485" s="3534"/>
      <c r="Z485" s="3535"/>
      <c r="AA485" s="3533"/>
      <c r="AB485" s="3534"/>
      <c r="AC485" s="3536"/>
    </row>
    <row r="486" spans="2:29" ht="13.5" thickBot="1">
      <c r="B486" s="4212"/>
      <c r="C486" s="3532" t="s">
        <v>93</v>
      </c>
      <c r="D486" s="3712"/>
      <c r="E486" s="3734"/>
      <c r="F486" s="3734"/>
      <c r="G486" s="3734"/>
      <c r="H486" s="3733"/>
      <c r="I486" s="3712"/>
      <c r="J486" s="3734"/>
      <c r="K486" s="3734"/>
      <c r="L486" s="3734"/>
      <c r="M486" s="3733"/>
      <c r="N486" s="3840"/>
      <c r="O486" s="3846"/>
      <c r="P486" s="3846"/>
      <c r="Q486" s="3846"/>
      <c r="R486" s="3847"/>
      <c r="S486" s="1172"/>
      <c r="T486" s="1172"/>
      <c r="U486" s="1172"/>
      <c r="V486" s="3533"/>
      <c r="W486" s="3534"/>
      <c r="X486" s="3534"/>
      <c r="Y486" s="3534"/>
      <c r="Z486" s="3535"/>
      <c r="AA486" s="3533"/>
      <c r="AB486" s="3534"/>
      <c r="AC486" s="3536"/>
    </row>
    <row r="487" spans="2:29">
      <c r="B487" s="4210" t="s">
        <v>342</v>
      </c>
      <c r="C487" s="3528" t="s">
        <v>90</v>
      </c>
      <c r="D487" s="3706"/>
      <c r="E487" s="3699"/>
      <c r="F487" s="3699"/>
      <c r="G487" s="3699"/>
      <c r="H487" s="3707"/>
      <c r="I487" s="3737"/>
      <c r="J487" s="3736"/>
      <c r="K487" s="3736"/>
      <c r="L487" s="3736"/>
      <c r="M487" s="3735"/>
      <c r="N487" s="3834"/>
      <c r="O487" s="3835"/>
      <c r="P487" s="3835"/>
      <c r="Q487" s="3835"/>
      <c r="R487" s="3836"/>
      <c r="S487" s="1172"/>
      <c r="T487" s="1172"/>
      <c r="U487" s="1172"/>
      <c r="V487" s="3533"/>
      <c r="W487" s="3534"/>
      <c r="X487" s="3534"/>
      <c r="Y487" s="3534"/>
      <c r="Z487" s="3535"/>
      <c r="AA487" s="3533"/>
      <c r="AB487" s="3534"/>
      <c r="AC487" s="3536"/>
    </row>
    <row r="488" spans="2:29">
      <c r="B488" s="4211"/>
      <c r="C488" s="3529" t="s">
        <v>579</v>
      </c>
      <c r="D488" s="3710"/>
      <c r="E488" s="3700"/>
      <c r="F488" s="3700"/>
      <c r="G488" s="3700"/>
      <c r="H488" s="3705"/>
      <c r="I488" s="3710"/>
      <c r="J488" s="3700"/>
      <c r="K488" s="3700"/>
      <c r="L488" s="3700"/>
      <c r="M488" s="3705"/>
      <c r="N488" s="3834"/>
      <c r="O488" s="3835"/>
      <c r="P488" s="3835"/>
      <c r="Q488" s="3835"/>
      <c r="R488" s="3836"/>
      <c r="S488" s="1172"/>
      <c r="T488" s="1172"/>
      <c r="U488" s="1172"/>
      <c r="V488" s="3533"/>
      <c r="W488" s="3534"/>
      <c r="X488" s="3534"/>
      <c r="Y488" s="3534"/>
      <c r="Z488" s="3535"/>
      <c r="AA488" s="3533"/>
      <c r="AB488" s="3534"/>
      <c r="AC488" s="3536"/>
    </row>
    <row r="489" spans="2:29">
      <c r="B489" s="4211"/>
      <c r="C489" s="3530" t="s">
        <v>583</v>
      </c>
      <c r="D489" s="3706">
        <f>0.07*D488</f>
        <v>0</v>
      </c>
      <c r="E489" s="3699">
        <f t="shared" ref="E489:L489" si="222">0.07*E488</f>
        <v>0</v>
      </c>
      <c r="F489" s="3699">
        <f t="shared" si="222"/>
        <v>0</v>
      </c>
      <c r="G489" s="3699">
        <f t="shared" si="222"/>
        <v>0</v>
      </c>
      <c r="H489" s="3707">
        <f t="shared" si="222"/>
        <v>0</v>
      </c>
      <c r="I489" s="3706">
        <f t="shared" si="222"/>
        <v>0</v>
      </c>
      <c r="J489" s="3699">
        <f t="shared" si="222"/>
        <v>0</v>
      </c>
      <c r="K489" s="3699">
        <f t="shared" si="222"/>
        <v>0</v>
      </c>
      <c r="L489" s="3699">
        <f t="shared" si="222"/>
        <v>0</v>
      </c>
      <c r="M489" s="3707"/>
      <c r="N489" s="3834"/>
      <c r="O489" s="3835"/>
      <c r="P489" s="3835"/>
      <c r="Q489" s="3835"/>
      <c r="R489" s="3836"/>
      <c r="S489" s="1172"/>
      <c r="T489" s="1172"/>
      <c r="U489" s="1172"/>
      <c r="V489" s="3533"/>
      <c r="W489" s="3534"/>
      <c r="X489" s="3534"/>
      <c r="Y489" s="3534"/>
      <c r="Z489" s="3535"/>
      <c r="AA489" s="3533"/>
      <c r="AB489" s="3534"/>
      <c r="AC489" s="3536"/>
    </row>
    <row r="490" spans="2:29">
      <c r="B490" s="4211"/>
      <c r="C490" s="3530" t="s">
        <v>581</v>
      </c>
      <c r="D490" s="3706"/>
      <c r="E490" s="3699"/>
      <c r="F490" s="3699"/>
      <c r="G490" s="3699"/>
      <c r="H490" s="3707"/>
      <c r="I490" s="3706"/>
      <c r="J490" s="3699"/>
      <c r="K490" s="3699"/>
      <c r="L490" s="3699"/>
      <c r="M490" s="3707"/>
      <c r="N490" s="3834"/>
      <c r="O490" s="3835"/>
      <c r="P490" s="3835"/>
      <c r="Q490" s="3835"/>
      <c r="R490" s="3836"/>
      <c r="S490" s="1172"/>
      <c r="T490" s="1172"/>
      <c r="U490" s="1172"/>
      <c r="V490" s="3533"/>
      <c r="W490" s="3534"/>
      <c r="X490" s="3534"/>
      <c r="Y490" s="3534"/>
      <c r="Z490" s="3535"/>
      <c r="AA490" s="3533"/>
      <c r="AB490" s="3534"/>
      <c r="AC490" s="3536"/>
    </row>
    <row r="491" spans="2:29">
      <c r="B491" s="4211"/>
      <c r="C491" s="3531" t="s">
        <v>584</v>
      </c>
      <c r="D491" s="3672">
        <f t="shared" ref="D491:M491" si="223">D488+D489+D490</f>
        <v>0</v>
      </c>
      <c r="E491" s="3666">
        <f t="shared" si="223"/>
        <v>0</v>
      </c>
      <c r="F491" s="3666">
        <f t="shared" si="223"/>
        <v>0</v>
      </c>
      <c r="G491" s="3666">
        <f t="shared" si="223"/>
        <v>0</v>
      </c>
      <c r="H491" s="3673">
        <f t="shared" si="223"/>
        <v>0</v>
      </c>
      <c r="I491" s="3672">
        <f t="shared" si="223"/>
        <v>0</v>
      </c>
      <c r="J491" s="3666">
        <f t="shared" si="223"/>
        <v>0</v>
      </c>
      <c r="K491" s="3666">
        <f t="shared" si="223"/>
        <v>0</v>
      </c>
      <c r="L491" s="3666">
        <f t="shared" si="223"/>
        <v>0</v>
      </c>
      <c r="M491" s="3673">
        <f t="shared" si="223"/>
        <v>0</v>
      </c>
      <c r="N491" s="3837"/>
      <c r="O491" s="3838"/>
      <c r="P491" s="3838"/>
      <c r="Q491" s="3838"/>
      <c r="R491" s="3839"/>
      <c r="S491" s="1172"/>
      <c r="T491" s="1172"/>
      <c r="U491" s="1172"/>
      <c r="V491" s="3533"/>
      <c r="W491" s="3534"/>
      <c r="X491" s="3534"/>
      <c r="Y491" s="3534"/>
      <c r="Z491" s="3535"/>
      <c r="AA491" s="3533"/>
      <c r="AB491" s="3534"/>
      <c r="AC491" s="3536"/>
    </row>
    <row r="492" spans="2:29">
      <c r="B492" s="4211"/>
      <c r="C492" s="3530" t="s">
        <v>605</v>
      </c>
      <c r="D492" s="3706"/>
      <c r="E492" s="3699"/>
      <c r="F492" s="3699"/>
      <c r="G492" s="3699"/>
      <c r="H492" s="3707"/>
      <c r="I492" s="3706"/>
      <c r="J492" s="3699"/>
      <c r="K492" s="3699"/>
      <c r="L492" s="3699"/>
      <c r="M492" s="3707"/>
      <c r="N492" s="3834"/>
      <c r="O492" s="3835"/>
      <c r="P492" s="3835"/>
      <c r="Q492" s="3835"/>
      <c r="R492" s="3836"/>
      <c r="S492" s="1172"/>
      <c r="T492" s="1172"/>
      <c r="U492" s="1172"/>
      <c r="V492" s="3533"/>
      <c r="W492" s="3534"/>
      <c r="X492" s="3534"/>
      <c r="Y492" s="3534"/>
      <c r="Z492" s="3535"/>
      <c r="AA492" s="3533"/>
      <c r="AB492" s="3534"/>
      <c r="AC492" s="3536"/>
    </row>
    <row r="493" spans="2:29">
      <c r="B493" s="4211"/>
      <c r="C493" s="1263" t="s">
        <v>585</v>
      </c>
      <c r="D493" s="3672">
        <f t="shared" ref="D493:M493" si="224">D491-D492</f>
        <v>0</v>
      </c>
      <c r="E493" s="3666">
        <f t="shared" si="224"/>
        <v>0</v>
      </c>
      <c r="F493" s="3666">
        <f t="shared" si="224"/>
        <v>0</v>
      </c>
      <c r="G493" s="3666">
        <f t="shared" si="224"/>
        <v>0</v>
      </c>
      <c r="H493" s="3673">
        <f t="shared" si="224"/>
        <v>0</v>
      </c>
      <c r="I493" s="3672">
        <f t="shared" si="224"/>
        <v>0</v>
      </c>
      <c r="J493" s="3666">
        <f t="shared" si="224"/>
        <v>0</v>
      </c>
      <c r="K493" s="3666">
        <f t="shared" si="224"/>
        <v>0</v>
      </c>
      <c r="L493" s="3666">
        <f t="shared" si="224"/>
        <v>0</v>
      </c>
      <c r="M493" s="3673">
        <f t="shared" si="224"/>
        <v>0</v>
      </c>
      <c r="N493" s="3837"/>
      <c r="O493" s="3838"/>
      <c r="P493" s="3838"/>
      <c r="Q493" s="3838"/>
      <c r="R493" s="3839"/>
      <c r="S493" s="1172"/>
      <c r="T493" s="1172"/>
      <c r="U493" s="1172"/>
      <c r="V493" s="3533"/>
      <c r="W493" s="3534"/>
      <c r="X493" s="3534"/>
      <c r="Y493" s="3534"/>
      <c r="Z493" s="3535"/>
      <c r="AA493" s="3533"/>
      <c r="AB493" s="3534"/>
      <c r="AC493" s="3536"/>
    </row>
    <row r="494" spans="2:29" ht="13.5" thickBot="1">
      <c r="B494" s="4212"/>
      <c r="C494" s="1424" t="s">
        <v>93</v>
      </c>
      <c r="D494" s="470"/>
      <c r="E494" s="468"/>
      <c r="F494" s="468"/>
      <c r="G494" s="468"/>
      <c r="H494" s="530"/>
      <c r="I494" s="3712"/>
      <c r="J494" s="3734"/>
      <c r="K494" s="3734"/>
      <c r="L494" s="3734"/>
      <c r="M494" s="3733"/>
      <c r="N494" s="3834"/>
      <c r="O494" s="3835"/>
      <c r="P494" s="3835"/>
      <c r="Q494" s="3835"/>
      <c r="R494" s="3836"/>
      <c r="S494" s="1172"/>
      <c r="T494" s="1172"/>
      <c r="U494" s="1172"/>
      <c r="V494" s="3533"/>
      <c r="W494" s="3534"/>
      <c r="X494" s="3534"/>
      <c r="Y494" s="3534"/>
      <c r="Z494" s="3535"/>
      <c r="AA494" s="3533"/>
      <c r="AB494" s="3534"/>
      <c r="AC494" s="3536"/>
    </row>
    <row r="495" spans="2:29">
      <c r="B495" s="4213" t="s">
        <v>92</v>
      </c>
      <c r="C495" s="4215"/>
      <c r="D495" s="3715">
        <f>SUM(D319,D327,D335,D343,D351,D359,D367,D375,D383,D391,D399,D407,D415,D423,D431,D439,D447,D455,D463,D471,D479,D487)</f>
        <v>17574</v>
      </c>
      <c r="E495" s="3716">
        <f t="shared" ref="E495:M495" si="225">SUM(E319,E327,E335,E343,E351,E359,E367,E375,E383,E391,E399,E407,E415,E423,E431,E439,E447,E455,E463,E471,E479,E487)</f>
        <v>5573</v>
      </c>
      <c r="F495" s="3716">
        <f t="shared" si="225"/>
        <v>7801</v>
      </c>
      <c r="G495" s="3716">
        <f t="shared" si="225"/>
        <v>14041</v>
      </c>
      <c r="H495" s="3717">
        <f t="shared" si="225"/>
        <v>10195</v>
      </c>
      <c r="I495" s="3715">
        <f t="shared" si="225"/>
        <v>15277</v>
      </c>
      <c r="J495" s="3716">
        <f>SUM(J319,J327,J335,J343,J351,J359,J367,J375,J383,J391,J399,J407,J415,J423,J431,J439,J447,J455,J463,J471,J479,J487)</f>
        <v>11345</v>
      </c>
      <c r="K495" s="3716">
        <f t="shared" si="225"/>
        <v>5149</v>
      </c>
      <c r="L495" s="3716">
        <f t="shared" si="225"/>
        <v>17498</v>
      </c>
      <c r="M495" s="3717">
        <f t="shared" si="225"/>
        <v>31448.400000000001</v>
      </c>
      <c r="N495" s="3848"/>
      <c r="O495" s="3849"/>
      <c r="P495" s="3849"/>
      <c r="Q495" s="3849"/>
      <c r="R495" s="3850"/>
      <c r="S495" s="1172"/>
      <c r="T495" s="1172"/>
      <c r="U495" s="1172"/>
      <c r="V495" s="1428"/>
      <c r="W495" s="1429"/>
      <c r="X495" s="1429"/>
      <c r="Y495" s="1429"/>
      <c r="Z495" s="1430"/>
      <c r="AA495" s="1428"/>
      <c r="AB495" s="1429"/>
      <c r="AC495" s="1430"/>
    </row>
    <row r="496" spans="2:29" ht="13.5" thickBot="1">
      <c r="B496" s="4200" t="s">
        <v>91</v>
      </c>
      <c r="C496" s="4216"/>
      <c r="D496" s="3718">
        <f>SUM(D323,D331,D339,D347,D355,D363,D371,D379,D387,D395,D403,D411,D419,D427,D435,D443,D451,D459,D467,D475,D483,D491)</f>
        <v>2711694.5800000005</v>
      </c>
      <c r="E496" s="3719">
        <f t="shared" ref="E496:L496" si="226">SUM(E323,E331,E339,E347,E355,E363,E371,E379,E387,E395,E403,E411,E419,E427,E435,E443,E451,E459,E467,E475,E483,E491)</f>
        <v>959217.54999999993</v>
      </c>
      <c r="F496" s="3719">
        <f t="shared" si="226"/>
        <v>1321609.4300000002</v>
      </c>
      <c r="G496" s="3719">
        <f t="shared" si="226"/>
        <v>2065300.0899999999</v>
      </c>
      <c r="H496" s="3720">
        <f t="shared" si="226"/>
        <v>2183751.2299999995</v>
      </c>
      <c r="I496" s="3718">
        <f t="shared" si="226"/>
        <v>2922545.5700000003</v>
      </c>
      <c r="J496" s="3719">
        <f t="shared" si="226"/>
        <v>2008403.91</v>
      </c>
      <c r="K496" s="3719">
        <f t="shared" si="226"/>
        <v>1530462.7300000002</v>
      </c>
      <c r="L496" s="3719">
        <f t="shared" si="226"/>
        <v>3932500.3800000004</v>
      </c>
      <c r="M496" s="3720">
        <f>SUM(M323,M331,M339,M347,M355,M363,M371,M379,M387,M395,M403,M411,M419,M427,M435,M443,M451,M459,M467,M475,M483,M491)</f>
        <v>5034756</v>
      </c>
      <c r="N496" s="3851"/>
      <c r="O496" s="3852"/>
      <c r="P496" s="3852"/>
      <c r="Q496" s="3852"/>
      <c r="R496" s="3853"/>
      <c r="S496" s="1172"/>
      <c r="T496" s="1172"/>
      <c r="U496" s="1172"/>
      <c r="V496" s="1431"/>
      <c r="W496" s="1432"/>
      <c r="X496" s="1432"/>
      <c r="Y496" s="1432"/>
      <c r="Z496" s="1433"/>
      <c r="AA496" s="1431"/>
      <c r="AB496" s="1432"/>
      <c r="AC496" s="1433"/>
    </row>
    <row r="497" spans="2:29" ht="16.5" thickBot="1">
      <c r="B497" s="737" t="s">
        <v>441</v>
      </c>
      <c r="C497" s="738"/>
      <c r="D497" s="1253"/>
      <c r="E497" s="1254"/>
      <c r="F497" s="1254"/>
      <c r="G497" s="1254"/>
      <c r="H497" s="1255"/>
      <c r="I497" s="1253"/>
      <c r="J497" s="1254"/>
      <c r="K497" s="1254"/>
      <c r="L497" s="1254"/>
      <c r="M497" s="1255"/>
      <c r="N497" s="3854"/>
      <c r="O497" s="3804"/>
      <c r="P497" s="3804"/>
      <c r="Q497" s="3804"/>
      <c r="R497" s="3805"/>
      <c r="S497" s="1172"/>
      <c r="T497" s="1172"/>
      <c r="U497" s="1172"/>
      <c r="V497" s="1253"/>
      <c r="W497" s="1254"/>
      <c r="X497" s="1254"/>
      <c r="Y497" s="1254"/>
      <c r="Z497" s="1254"/>
      <c r="AA497" s="1254"/>
      <c r="AB497" s="1254"/>
      <c r="AC497" s="1255"/>
    </row>
    <row r="498" spans="2:29">
      <c r="B498" s="4210" t="s">
        <v>1811</v>
      </c>
      <c r="C498" s="3537" t="s">
        <v>90</v>
      </c>
      <c r="D498" s="3737">
        <f t="shared" ref="D498:M498" si="227">D30</f>
        <v>24897</v>
      </c>
      <c r="E498" s="3736">
        <f t="shared" si="227"/>
        <v>7241</v>
      </c>
      <c r="F498" s="3736">
        <f t="shared" si="227"/>
        <v>4767</v>
      </c>
      <c r="G498" s="3736">
        <f t="shared" si="227"/>
        <v>6897</v>
      </c>
      <c r="H498" s="3735">
        <f t="shared" si="227"/>
        <v>11158</v>
      </c>
      <c r="I498" s="3737">
        <f t="shared" si="227"/>
        <v>9434</v>
      </c>
      <c r="J498" s="3736">
        <f t="shared" si="227"/>
        <v>4096</v>
      </c>
      <c r="K498" s="3736">
        <f t="shared" si="227"/>
        <v>15935</v>
      </c>
      <c r="L498" s="3736">
        <f t="shared" si="227"/>
        <v>4862</v>
      </c>
      <c r="M498" s="3735">
        <f t="shared" si="227"/>
        <v>0</v>
      </c>
      <c r="N498" s="3843"/>
      <c r="O498" s="3844"/>
      <c r="P498" s="3844"/>
      <c r="Q498" s="3844"/>
      <c r="R498" s="3845"/>
      <c r="S498" s="1172"/>
      <c r="T498" s="1172"/>
      <c r="U498" s="1172"/>
      <c r="V498" s="1698"/>
      <c r="W498" s="1699"/>
      <c r="X498" s="1699"/>
      <c r="Y498" s="1699"/>
      <c r="Z498" s="1700"/>
      <c r="AA498" s="1698"/>
      <c r="AB498" s="1699"/>
      <c r="AC498" s="1700"/>
    </row>
    <row r="499" spans="2:29">
      <c r="B499" s="4211"/>
      <c r="C499" s="3530" t="s">
        <v>559</v>
      </c>
      <c r="D499" s="3706"/>
      <c r="E499" s="3699"/>
      <c r="F499" s="3699"/>
      <c r="G499" s="3699"/>
      <c r="H499" s="3707"/>
      <c r="I499" s="3706"/>
      <c r="J499" s="3699"/>
      <c r="K499" s="3699"/>
      <c r="L499" s="3699"/>
      <c r="M499" s="3707"/>
      <c r="N499" s="3834"/>
      <c r="O499" s="3835"/>
      <c r="P499" s="3835"/>
      <c r="Q499" s="3835"/>
      <c r="R499" s="3836"/>
      <c r="S499" s="1172"/>
      <c r="T499" s="1172"/>
      <c r="U499" s="1172"/>
      <c r="V499" s="462"/>
      <c r="W499" s="463"/>
      <c r="X499" s="463"/>
      <c r="Y499" s="463"/>
      <c r="Z499" s="464"/>
      <c r="AA499" s="462"/>
      <c r="AB499" s="463"/>
      <c r="AC499" s="464"/>
    </row>
    <row r="500" spans="2:29">
      <c r="B500" s="4211"/>
      <c r="C500" s="3530" t="s">
        <v>558</v>
      </c>
      <c r="D500" s="3706"/>
      <c r="E500" s="3699"/>
      <c r="F500" s="3699"/>
      <c r="G500" s="3699"/>
      <c r="H500" s="3707"/>
      <c r="I500" s="3706"/>
      <c r="J500" s="3699"/>
      <c r="K500" s="3699"/>
      <c r="L500" s="3699"/>
      <c r="M500" s="3707"/>
      <c r="N500" s="3834"/>
      <c r="O500" s="3835"/>
      <c r="P500" s="3835"/>
      <c r="Q500" s="3835"/>
      <c r="R500" s="3836"/>
      <c r="S500" s="1172"/>
      <c r="T500" s="1172"/>
      <c r="U500" s="1172"/>
      <c r="V500" s="462"/>
      <c r="W500" s="463"/>
      <c r="X500" s="463"/>
      <c r="Y500" s="463"/>
      <c r="Z500" s="464"/>
      <c r="AA500" s="462"/>
      <c r="AB500" s="463"/>
      <c r="AC500" s="464"/>
    </row>
    <row r="501" spans="2:29">
      <c r="B501" s="4211"/>
      <c r="C501" s="3530" t="s">
        <v>578</v>
      </c>
      <c r="D501" s="3706"/>
      <c r="E501" s="3699"/>
      <c r="F501" s="3699"/>
      <c r="G501" s="3699"/>
      <c r="H501" s="3707"/>
      <c r="I501" s="3706"/>
      <c r="J501" s="3699"/>
      <c r="K501" s="3699"/>
      <c r="L501" s="3699"/>
      <c r="M501" s="3707"/>
      <c r="N501" s="3834"/>
      <c r="O501" s="3835"/>
      <c r="P501" s="3835"/>
      <c r="Q501" s="3835"/>
      <c r="R501" s="3836"/>
      <c r="S501" s="1172"/>
      <c r="T501" s="1172"/>
      <c r="U501" s="1172"/>
      <c r="V501" s="462"/>
      <c r="W501" s="463"/>
      <c r="X501" s="463"/>
      <c r="Y501" s="463"/>
      <c r="Z501" s="464"/>
      <c r="AA501" s="462"/>
      <c r="AB501" s="463"/>
      <c r="AC501" s="464"/>
    </row>
    <row r="502" spans="2:29">
      <c r="B502" s="4211"/>
      <c r="C502" s="3529" t="s">
        <v>579</v>
      </c>
      <c r="D502" s="3711">
        <v>2283008</v>
      </c>
      <c r="E502" s="468">
        <v>766869</v>
      </c>
      <c r="F502" s="468">
        <v>518667</v>
      </c>
      <c r="G502" s="468">
        <v>626916</v>
      </c>
      <c r="H502" s="530">
        <v>1440569</v>
      </c>
      <c r="I502" s="3711">
        <v>1120397</v>
      </c>
      <c r="J502" s="468">
        <v>416116</v>
      </c>
      <c r="K502" s="468">
        <v>2167684</v>
      </c>
      <c r="L502" s="468">
        <v>749338</v>
      </c>
      <c r="M502" s="530">
        <v>0</v>
      </c>
      <c r="N502" s="3855"/>
      <c r="O502" s="3835"/>
      <c r="P502" s="3835"/>
      <c r="Q502" s="3835"/>
      <c r="R502" s="3836"/>
      <c r="S502" s="1172"/>
      <c r="T502" s="1172"/>
      <c r="U502" s="1172"/>
      <c r="V502" s="462">
        <f>V499+V500+V501</f>
        <v>0</v>
      </c>
      <c r="W502" s="463">
        <f t="shared" ref="W502:AC502" si="228">W499+W500+W501</f>
        <v>0</v>
      </c>
      <c r="X502" s="463">
        <f t="shared" si="228"/>
        <v>0</v>
      </c>
      <c r="Y502" s="463">
        <f t="shared" si="228"/>
        <v>0</v>
      </c>
      <c r="Z502" s="464">
        <f t="shared" si="228"/>
        <v>0</v>
      </c>
      <c r="AA502" s="462">
        <f t="shared" si="228"/>
        <v>0</v>
      </c>
      <c r="AB502" s="463">
        <f t="shared" si="228"/>
        <v>0</v>
      </c>
      <c r="AC502" s="464">
        <f t="shared" si="228"/>
        <v>0</v>
      </c>
    </row>
    <row r="503" spans="2:29">
      <c r="B503" s="4211"/>
      <c r="C503" s="3530" t="s">
        <v>583</v>
      </c>
      <c r="D503" s="3706">
        <f>0.07*D502</f>
        <v>159810.56000000003</v>
      </c>
      <c r="E503" s="3699">
        <f t="shared" ref="E503:I503" si="229">0.07*E502</f>
        <v>53680.83</v>
      </c>
      <c r="F503" s="3699">
        <f t="shared" si="229"/>
        <v>36306.69</v>
      </c>
      <c r="G503" s="3699">
        <f t="shared" si="229"/>
        <v>43884.12</v>
      </c>
      <c r="H503" s="3707">
        <f t="shared" si="229"/>
        <v>100839.83000000002</v>
      </c>
      <c r="I503" s="3706">
        <f t="shared" si="229"/>
        <v>78427.790000000008</v>
      </c>
      <c r="J503" s="3699">
        <f>0.07*J502</f>
        <v>29128.120000000003</v>
      </c>
      <c r="K503" s="3699">
        <f t="shared" ref="K503:L503" si="230">0.07*K502</f>
        <v>151737.88</v>
      </c>
      <c r="L503" s="3699">
        <f t="shared" si="230"/>
        <v>52453.66</v>
      </c>
      <c r="M503" s="3707"/>
      <c r="N503" s="3834"/>
      <c r="O503" s="3835"/>
      <c r="P503" s="3835"/>
      <c r="Q503" s="3835"/>
      <c r="R503" s="3836"/>
      <c r="S503" s="1172"/>
      <c r="T503" s="1172"/>
      <c r="U503" s="1172"/>
      <c r="V503" s="462"/>
      <c r="W503" s="463"/>
      <c r="X503" s="463"/>
      <c r="Y503" s="463"/>
      <c r="Z503" s="464"/>
      <c r="AA503" s="511"/>
      <c r="AB503" s="512"/>
      <c r="AC503" s="547"/>
    </row>
    <row r="504" spans="2:29">
      <c r="B504" s="4211"/>
      <c r="C504" s="3530" t="s">
        <v>581</v>
      </c>
      <c r="D504" s="3706"/>
      <c r="E504" s="3699"/>
      <c r="F504" s="3699"/>
      <c r="G504" s="3699"/>
      <c r="H504" s="3707"/>
      <c r="I504" s="3706"/>
      <c r="J504" s="3699"/>
      <c r="K504" s="3699"/>
      <c r="L504" s="3699"/>
      <c r="M504" s="3707"/>
      <c r="N504" s="3834"/>
      <c r="O504" s="3835"/>
      <c r="P504" s="3835"/>
      <c r="Q504" s="3835"/>
      <c r="R504" s="3836"/>
      <c r="S504" s="1172"/>
      <c r="T504" s="1172"/>
      <c r="U504" s="1172"/>
      <c r="V504" s="462"/>
      <c r="W504" s="463"/>
      <c r="X504" s="463"/>
      <c r="Y504" s="463"/>
      <c r="Z504" s="464"/>
      <c r="AA504" s="462"/>
      <c r="AB504" s="463"/>
      <c r="AC504" s="464"/>
    </row>
    <row r="505" spans="2:29">
      <c r="B505" s="4211"/>
      <c r="C505" s="3529" t="s">
        <v>584</v>
      </c>
      <c r="D505" s="3708">
        <f>D502+D503+D504</f>
        <v>2442818.5600000001</v>
      </c>
      <c r="E505" s="3701">
        <f t="shared" ref="E505:M505" si="231">E502+E503+E504</f>
        <v>820549.83</v>
      </c>
      <c r="F505" s="3701">
        <f t="shared" si="231"/>
        <v>554973.68999999994</v>
      </c>
      <c r="G505" s="3701">
        <f t="shared" si="231"/>
        <v>670800.12</v>
      </c>
      <c r="H505" s="3709">
        <f t="shared" si="231"/>
        <v>1541408.83</v>
      </c>
      <c r="I505" s="3708">
        <f t="shared" si="231"/>
        <v>1198824.79</v>
      </c>
      <c r="J505" s="3701">
        <f t="shared" si="231"/>
        <v>445244.12</v>
      </c>
      <c r="K505" s="3701">
        <f t="shared" si="231"/>
        <v>2319421.88</v>
      </c>
      <c r="L505" s="3701">
        <f t="shared" si="231"/>
        <v>801791.66</v>
      </c>
      <c r="M505" s="3709">
        <f t="shared" si="231"/>
        <v>0</v>
      </c>
      <c r="N505" s="3856"/>
      <c r="O505" s="3857"/>
      <c r="P505" s="3857"/>
      <c r="Q505" s="3857"/>
      <c r="R505" s="3858"/>
      <c r="S505" s="1172"/>
      <c r="T505" s="1172"/>
      <c r="U505" s="1172"/>
      <c r="V505" s="557">
        <f>V502+V503+V504</f>
        <v>0</v>
      </c>
      <c r="W505" s="554">
        <f t="shared" ref="W505:AC505" si="232">W502+W503+W504</f>
        <v>0</v>
      </c>
      <c r="X505" s="554">
        <f t="shared" si="232"/>
        <v>0</v>
      </c>
      <c r="Y505" s="554">
        <f t="shared" si="232"/>
        <v>0</v>
      </c>
      <c r="Z505" s="558">
        <f t="shared" si="232"/>
        <v>0</v>
      </c>
      <c r="AA505" s="557">
        <f t="shared" si="232"/>
        <v>0</v>
      </c>
      <c r="AB505" s="554">
        <f t="shared" si="232"/>
        <v>0</v>
      </c>
      <c r="AC505" s="558">
        <f t="shared" si="232"/>
        <v>0</v>
      </c>
    </row>
    <row r="506" spans="2:29">
      <c r="B506" s="4211"/>
      <c r="C506" s="3530" t="s">
        <v>605</v>
      </c>
      <c r="D506" s="3706"/>
      <c r="E506" s="3699"/>
      <c r="F506" s="3699"/>
      <c r="G506" s="3699"/>
      <c r="H506" s="3707"/>
      <c r="I506" s="3706"/>
      <c r="J506" s="3699"/>
      <c r="K506" s="3699"/>
      <c r="L506" s="3699"/>
      <c r="M506" s="3707"/>
      <c r="N506" s="3834"/>
      <c r="O506" s="3835"/>
      <c r="P506" s="3835"/>
      <c r="Q506" s="3835"/>
      <c r="R506" s="3836"/>
      <c r="S506" s="1172"/>
      <c r="T506" s="1172"/>
      <c r="U506" s="1172"/>
      <c r="V506" s="462"/>
      <c r="W506" s="463"/>
      <c r="X506" s="463"/>
      <c r="Y506" s="463"/>
      <c r="Z506" s="464"/>
      <c r="AA506" s="462"/>
      <c r="AB506" s="463"/>
      <c r="AC506" s="464"/>
    </row>
    <row r="507" spans="2:29">
      <c r="B507" s="4211"/>
      <c r="C507" s="3529" t="s">
        <v>585</v>
      </c>
      <c r="D507" s="3708">
        <f>D505-D506</f>
        <v>2442818.5600000001</v>
      </c>
      <c r="E507" s="3701">
        <f t="shared" ref="E507:M507" si="233">E505-E506</f>
        <v>820549.83</v>
      </c>
      <c r="F507" s="3701">
        <f t="shared" si="233"/>
        <v>554973.68999999994</v>
      </c>
      <c r="G507" s="3701">
        <f t="shared" si="233"/>
        <v>670800.12</v>
      </c>
      <c r="H507" s="3709">
        <f t="shared" si="233"/>
        <v>1541408.83</v>
      </c>
      <c r="I507" s="3708">
        <f t="shared" si="233"/>
        <v>1198824.79</v>
      </c>
      <c r="J507" s="3701">
        <f t="shared" si="233"/>
        <v>445244.12</v>
      </c>
      <c r="K507" s="3701">
        <f t="shared" si="233"/>
        <v>2319421.88</v>
      </c>
      <c r="L507" s="3701">
        <f t="shared" si="233"/>
        <v>801791.66</v>
      </c>
      <c r="M507" s="3709">
        <f t="shared" si="233"/>
        <v>0</v>
      </c>
      <c r="N507" s="3856"/>
      <c r="O507" s="3857"/>
      <c r="P507" s="3857"/>
      <c r="Q507" s="3857"/>
      <c r="R507" s="3858"/>
      <c r="S507" s="1172"/>
      <c r="T507" s="1172"/>
      <c r="U507" s="1172"/>
      <c r="V507" s="557">
        <f>V505-V506</f>
        <v>0</v>
      </c>
      <c r="W507" s="554">
        <f t="shared" ref="W507:AC507" si="234">W505-W506</f>
        <v>0</v>
      </c>
      <c r="X507" s="554">
        <f t="shared" si="234"/>
        <v>0</v>
      </c>
      <c r="Y507" s="554">
        <f t="shared" si="234"/>
        <v>0</v>
      </c>
      <c r="Z507" s="558">
        <f t="shared" si="234"/>
        <v>0</v>
      </c>
      <c r="AA507" s="557">
        <f t="shared" si="234"/>
        <v>0</v>
      </c>
      <c r="AB507" s="554">
        <f t="shared" si="234"/>
        <v>0</v>
      </c>
      <c r="AC507" s="558">
        <f t="shared" si="234"/>
        <v>0</v>
      </c>
    </row>
    <row r="508" spans="2:29" ht="13.5" thickBot="1">
      <c r="B508" s="4212"/>
      <c r="C508" s="3532" t="s">
        <v>93</v>
      </c>
      <c r="D508" s="3712">
        <f t="shared" ref="D508:L508" si="235">D507/D498</f>
        <v>98.116984375627581</v>
      </c>
      <c r="E508" s="3734">
        <f t="shared" si="235"/>
        <v>113.31995995028311</v>
      </c>
      <c r="F508" s="3734">
        <f t="shared" si="235"/>
        <v>116.41990560100692</v>
      </c>
      <c r="G508" s="3734">
        <f t="shared" si="235"/>
        <v>97.259695519791208</v>
      </c>
      <c r="H508" s="3733">
        <f t="shared" si="235"/>
        <v>138.14382774690804</v>
      </c>
      <c r="I508" s="3712">
        <f t="shared" si="235"/>
        <v>127.07491944032225</v>
      </c>
      <c r="J508" s="3734">
        <f t="shared" si="235"/>
        <v>108.702177734375</v>
      </c>
      <c r="K508" s="3734">
        <f t="shared" si="235"/>
        <v>145.55518544085345</v>
      </c>
      <c r="L508" s="3734">
        <f t="shared" si="235"/>
        <v>164.90984368572606</v>
      </c>
      <c r="M508" s="3733"/>
      <c r="N508" s="3840"/>
      <c r="O508" s="3846"/>
      <c r="P508" s="3846"/>
      <c r="Q508" s="3846"/>
      <c r="R508" s="3847"/>
      <c r="S508" s="1172"/>
      <c r="T508" s="1172"/>
      <c r="U508" s="1172"/>
      <c r="V508" s="1529"/>
      <c r="W508" s="509"/>
      <c r="X508" s="509"/>
      <c r="Y508" s="509"/>
      <c r="Z508" s="510"/>
      <c r="AA508" s="1529"/>
      <c r="AB508" s="509"/>
      <c r="AC508" s="510"/>
    </row>
    <row r="509" spans="2:29">
      <c r="B509" s="4210" t="s">
        <v>1812</v>
      </c>
      <c r="C509" s="3537" t="s">
        <v>90</v>
      </c>
      <c r="D509" s="3706">
        <f t="shared" ref="D509:M509" si="236">D33</f>
        <v>3</v>
      </c>
      <c r="E509" s="3699">
        <f t="shared" si="236"/>
        <v>0</v>
      </c>
      <c r="F509" s="3699">
        <f t="shared" si="236"/>
        <v>1</v>
      </c>
      <c r="G509" s="3699">
        <f t="shared" si="236"/>
        <v>7</v>
      </c>
      <c r="H509" s="3707">
        <f t="shared" si="236"/>
        <v>1</v>
      </c>
      <c r="I509" s="3706">
        <f t="shared" si="236"/>
        <v>1837</v>
      </c>
      <c r="J509" s="3699">
        <f t="shared" si="236"/>
        <v>10677</v>
      </c>
      <c r="K509" s="3699">
        <f t="shared" si="236"/>
        <v>9439</v>
      </c>
      <c r="L509" s="3699">
        <f t="shared" si="236"/>
        <v>2522</v>
      </c>
      <c r="M509" s="3707">
        <f t="shared" si="236"/>
        <v>0</v>
      </c>
      <c r="N509" s="3834"/>
      <c r="O509" s="3835"/>
      <c r="P509" s="3835"/>
      <c r="Q509" s="3835"/>
      <c r="R509" s="3836"/>
      <c r="S509" s="1172"/>
      <c r="T509" s="1172"/>
      <c r="U509" s="1172"/>
      <c r="V509" s="3533"/>
      <c r="W509" s="3534"/>
      <c r="X509" s="3534"/>
      <c r="Y509" s="3534"/>
      <c r="Z509" s="3536"/>
      <c r="AA509" s="3533"/>
      <c r="AB509" s="3534"/>
      <c r="AC509" s="3536"/>
    </row>
    <row r="510" spans="2:29">
      <c r="B510" s="4211"/>
      <c r="C510" s="3530" t="s">
        <v>559</v>
      </c>
      <c r="D510" s="3706"/>
      <c r="E510" s="3699"/>
      <c r="F510" s="3699"/>
      <c r="G510" s="3699"/>
      <c r="H510" s="3707"/>
      <c r="I510" s="3706"/>
      <c r="J510" s="3699"/>
      <c r="K510" s="3699"/>
      <c r="L510" s="3699"/>
      <c r="M510" s="3707"/>
      <c r="N510" s="3834"/>
      <c r="O510" s="3835"/>
      <c r="P510" s="3835"/>
      <c r="Q510" s="3835"/>
      <c r="R510" s="3836"/>
      <c r="S510" s="1172"/>
      <c r="T510" s="1172"/>
      <c r="U510" s="1172"/>
      <c r="V510" s="3533"/>
      <c r="W510" s="3534"/>
      <c r="X510" s="3534"/>
      <c r="Y510" s="3534"/>
      <c r="Z510" s="3536"/>
      <c r="AA510" s="3533"/>
      <c r="AB510" s="3534"/>
      <c r="AC510" s="3536"/>
    </row>
    <row r="511" spans="2:29">
      <c r="B511" s="4211"/>
      <c r="C511" s="3530" t="s">
        <v>558</v>
      </c>
      <c r="D511" s="3706"/>
      <c r="E511" s="3699"/>
      <c r="F511" s="3699"/>
      <c r="G511" s="3699"/>
      <c r="H511" s="3707"/>
      <c r="I511" s="3706"/>
      <c r="J511" s="3699"/>
      <c r="K511" s="3699"/>
      <c r="L511" s="3699"/>
      <c r="M511" s="3707"/>
      <c r="N511" s="3834"/>
      <c r="O511" s="3835"/>
      <c r="P511" s="3835"/>
      <c r="Q511" s="3835"/>
      <c r="R511" s="3836"/>
      <c r="S511" s="1172"/>
      <c r="T511" s="1172"/>
      <c r="U511" s="1172"/>
      <c r="V511" s="3533"/>
      <c r="W511" s="3534"/>
      <c r="X511" s="3534"/>
      <c r="Y511" s="3534"/>
      <c r="Z511" s="3536"/>
      <c r="AA511" s="3533"/>
      <c r="AB511" s="3534"/>
      <c r="AC511" s="3536"/>
    </row>
    <row r="512" spans="2:29">
      <c r="B512" s="4211"/>
      <c r="C512" s="3530" t="s">
        <v>578</v>
      </c>
      <c r="D512" s="3706"/>
      <c r="E512" s="3699"/>
      <c r="F512" s="3699"/>
      <c r="G512" s="3699"/>
      <c r="H512" s="3707"/>
      <c r="I512" s="3706"/>
      <c r="J512" s="3699"/>
      <c r="K512" s="3699"/>
      <c r="L512" s="3699"/>
      <c r="M512" s="3707"/>
      <c r="N512" s="3834"/>
      <c r="O512" s="3835"/>
      <c r="P512" s="3835"/>
      <c r="Q512" s="3835"/>
      <c r="R512" s="3836"/>
      <c r="S512" s="1172"/>
      <c r="T512" s="1172"/>
      <c r="U512" s="1172"/>
      <c r="V512" s="3533"/>
      <c r="W512" s="3534"/>
      <c r="X512" s="3534"/>
      <c r="Y512" s="3534"/>
      <c r="Z512" s="3536"/>
      <c r="AA512" s="3533"/>
      <c r="AB512" s="3534"/>
      <c r="AC512" s="3536"/>
    </row>
    <row r="513" spans="2:29">
      <c r="B513" s="4211"/>
      <c r="C513" s="3529" t="s">
        <v>579</v>
      </c>
      <c r="D513" s="3711">
        <v>275</v>
      </c>
      <c r="E513" s="468">
        <v>0</v>
      </c>
      <c r="F513" s="468">
        <v>109</v>
      </c>
      <c r="G513" s="468">
        <v>636</v>
      </c>
      <c r="H513" s="530">
        <v>129</v>
      </c>
      <c r="I513" s="3711">
        <v>218165</v>
      </c>
      <c r="J513" s="468">
        <v>1084684</v>
      </c>
      <c r="K513" s="468">
        <v>1284014</v>
      </c>
      <c r="L513" s="468">
        <v>388694</v>
      </c>
      <c r="M513" s="530">
        <v>0</v>
      </c>
      <c r="N513" s="3855"/>
      <c r="O513" s="3835"/>
      <c r="P513" s="3835"/>
      <c r="Q513" s="3835"/>
      <c r="R513" s="3836"/>
      <c r="S513" s="1172"/>
      <c r="T513" s="1172"/>
      <c r="U513" s="1172"/>
      <c r="V513" s="3533"/>
      <c r="W513" s="3534"/>
      <c r="X513" s="3534"/>
      <c r="Y513" s="3534"/>
      <c r="Z513" s="3536"/>
      <c r="AA513" s="3533"/>
      <c r="AB513" s="3534"/>
      <c r="AC513" s="3536"/>
    </row>
    <row r="514" spans="2:29">
      <c r="B514" s="4211"/>
      <c r="C514" s="3530" t="s">
        <v>583</v>
      </c>
      <c r="D514" s="3706">
        <f>0.07*D513</f>
        <v>19.250000000000004</v>
      </c>
      <c r="E514" s="3699">
        <f t="shared" ref="E514:L514" si="237">0.07*E513</f>
        <v>0</v>
      </c>
      <c r="F514" s="3699">
        <f t="shared" si="237"/>
        <v>7.6300000000000008</v>
      </c>
      <c r="G514" s="3699">
        <f t="shared" si="237"/>
        <v>44.52</v>
      </c>
      <c r="H514" s="3707">
        <f t="shared" si="237"/>
        <v>9.0300000000000011</v>
      </c>
      <c r="I514" s="3706">
        <f t="shared" si="237"/>
        <v>15271.550000000001</v>
      </c>
      <c r="J514" s="3699">
        <f t="shared" si="237"/>
        <v>75927.88</v>
      </c>
      <c r="K514" s="3699">
        <f t="shared" si="237"/>
        <v>89880.98000000001</v>
      </c>
      <c r="L514" s="3699">
        <f t="shared" si="237"/>
        <v>27208.58</v>
      </c>
      <c r="M514" s="3707"/>
      <c r="N514" s="3834"/>
      <c r="O514" s="3835"/>
      <c r="P514" s="3835"/>
      <c r="Q514" s="3835"/>
      <c r="R514" s="3836"/>
      <c r="S514" s="1172"/>
      <c r="T514" s="1172"/>
      <c r="U514" s="1172"/>
      <c r="V514" s="3533"/>
      <c r="W514" s="3534"/>
      <c r="X514" s="3534"/>
      <c r="Y514" s="3534"/>
      <c r="Z514" s="3536"/>
      <c r="AA514" s="3533"/>
      <c r="AB514" s="3534"/>
      <c r="AC514" s="3536"/>
    </row>
    <row r="515" spans="2:29">
      <c r="B515" s="4211"/>
      <c r="C515" s="3530" t="s">
        <v>581</v>
      </c>
      <c r="D515" s="3706"/>
      <c r="E515" s="3699"/>
      <c r="F515" s="3699"/>
      <c r="G515" s="3699"/>
      <c r="H515" s="3707"/>
      <c r="I515" s="3706"/>
      <c r="J515" s="3699"/>
      <c r="K515" s="3699"/>
      <c r="L515" s="3699"/>
      <c r="M515" s="3707"/>
      <c r="N515" s="3834"/>
      <c r="O515" s="3835"/>
      <c r="P515" s="3835"/>
      <c r="Q515" s="3835"/>
      <c r="R515" s="3836"/>
      <c r="S515" s="1172"/>
      <c r="T515" s="1172"/>
      <c r="U515" s="1172"/>
      <c r="V515" s="3533"/>
      <c r="W515" s="3534"/>
      <c r="X515" s="3534"/>
      <c r="Y515" s="3534"/>
      <c r="Z515" s="3536"/>
      <c r="AA515" s="3533"/>
      <c r="AB515" s="3534"/>
      <c r="AC515" s="3536"/>
    </row>
    <row r="516" spans="2:29">
      <c r="B516" s="4211"/>
      <c r="C516" s="3529" t="s">
        <v>584</v>
      </c>
      <c r="D516" s="3708">
        <f>D513+D514+D515</f>
        <v>294.25</v>
      </c>
      <c r="E516" s="3701">
        <f t="shared" ref="E516:M516" si="238">E513+E514+E515</f>
        <v>0</v>
      </c>
      <c r="F516" s="3701">
        <f t="shared" si="238"/>
        <v>116.63</v>
      </c>
      <c r="G516" s="3701">
        <f t="shared" si="238"/>
        <v>680.52</v>
      </c>
      <c r="H516" s="3709">
        <f t="shared" si="238"/>
        <v>138.03</v>
      </c>
      <c r="I516" s="3708">
        <f t="shared" si="238"/>
        <v>233436.55</v>
      </c>
      <c r="J516" s="3701">
        <f t="shared" si="238"/>
        <v>1160611.8799999999</v>
      </c>
      <c r="K516" s="3701">
        <f t="shared" si="238"/>
        <v>1373894.98</v>
      </c>
      <c r="L516" s="3701">
        <f t="shared" si="238"/>
        <v>415902.58</v>
      </c>
      <c r="M516" s="3709">
        <f t="shared" si="238"/>
        <v>0</v>
      </c>
      <c r="N516" s="3856"/>
      <c r="O516" s="3857"/>
      <c r="P516" s="3857"/>
      <c r="Q516" s="3857"/>
      <c r="R516" s="3858"/>
      <c r="S516" s="1172"/>
      <c r="T516" s="1172"/>
      <c r="U516" s="1172"/>
      <c r="V516" s="3533"/>
      <c r="W516" s="3534"/>
      <c r="X516" s="3534"/>
      <c r="Y516" s="3534"/>
      <c r="Z516" s="3536"/>
      <c r="AA516" s="3533"/>
      <c r="AB516" s="3534"/>
      <c r="AC516" s="3536"/>
    </row>
    <row r="517" spans="2:29">
      <c r="B517" s="4211"/>
      <c r="C517" s="3530" t="s">
        <v>605</v>
      </c>
      <c r="D517" s="3706"/>
      <c r="E517" s="3699"/>
      <c r="F517" s="3699"/>
      <c r="G517" s="3699"/>
      <c r="H517" s="3707"/>
      <c r="I517" s="3706"/>
      <c r="J517" s="3699"/>
      <c r="K517" s="3699"/>
      <c r="L517" s="3699"/>
      <c r="M517" s="3707"/>
      <c r="N517" s="3834"/>
      <c r="O517" s="3835"/>
      <c r="P517" s="3835"/>
      <c r="Q517" s="3835"/>
      <c r="R517" s="3836"/>
      <c r="S517" s="1172"/>
      <c r="T517" s="1172"/>
      <c r="U517" s="1172"/>
      <c r="V517" s="3533"/>
      <c r="W517" s="3534"/>
      <c r="X517" s="3534"/>
      <c r="Y517" s="3534"/>
      <c r="Z517" s="3536"/>
      <c r="AA517" s="3533"/>
      <c r="AB517" s="3534"/>
      <c r="AC517" s="3536"/>
    </row>
    <row r="518" spans="2:29">
      <c r="B518" s="4211"/>
      <c r="C518" s="3529" t="s">
        <v>585</v>
      </c>
      <c r="D518" s="3708">
        <f>D516-D517</f>
        <v>294.25</v>
      </c>
      <c r="E518" s="3701">
        <f t="shared" ref="E518:M518" si="239">E516-E517</f>
        <v>0</v>
      </c>
      <c r="F518" s="3701">
        <f t="shared" si="239"/>
        <v>116.63</v>
      </c>
      <c r="G518" s="3701">
        <f t="shared" si="239"/>
        <v>680.52</v>
      </c>
      <c r="H518" s="3709">
        <f t="shared" si="239"/>
        <v>138.03</v>
      </c>
      <c r="I518" s="3708">
        <f t="shared" si="239"/>
        <v>233436.55</v>
      </c>
      <c r="J518" s="3701">
        <f t="shared" si="239"/>
        <v>1160611.8799999999</v>
      </c>
      <c r="K518" s="3701">
        <f t="shared" si="239"/>
        <v>1373894.98</v>
      </c>
      <c r="L518" s="3701">
        <f t="shared" si="239"/>
        <v>415902.58</v>
      </c>
      <c r="M518" s="3709">
        <f t="shared" si="239"/>
        <v>0</v>
      </c>
      <c r="N518" s="3856"/>
      <c r="O518" s="3857"/>
      <c r="P518" s="3857"/>
      <c r="Q518" s="3857"/>
      <c r="R518" s="3858"/>
      <c r="S518" s="1172"/>
      <c r="T518" s="1172"/>
      <c r="U518" s="1172"/>
      <c r="V518" s="3533"/>
      <c r="W518" s="3534"/>
      <c r="X518" s="3534"/>
      <c r="Y518" s="3534"/>
      <c r="Z518" s="3536"/>
      <c r="AA518" s="3533"/>
      <c r="AB518" s="3534"/>
      <c r="AC518" s="3536"/>
    </row>
    <row r="519" spans="2:29" ht="13.5" thickBot="1">
      <c r="B519" s="4212"/>
      <c r="C519" s="3532" t="s">
        <v>93</v>
      </c>
      <c r="D519" s="470">
        <f t="shared" ref="D519:L519" si="240">D518/D509</f>
        <v>98.083333333333329</v>
      </c>
      <c r="E519" s="468"/>
      <c r="F519" s="468">
        <f t="shared" si="240"/>
        <v>116.63</v>
      </c>
      <c r="G519" s="468">
        <f t="shared" si="240"/>
        <v>97.217142857142861</v>
      </c>
      <c r="H519" s="530">
        <f t="shared" si="240"/>
        <v>138.03</v>
      </c>
      <c r="I519" s="470">
        <f t="shared" si="240"/>
        <v>127.07487751769189</v>
      </c>
      <c r="J519" s="468">
        <f t="shared" si="240"/>
        <v>108.7020586307015</v>
      </c>
      <c r="K519" s="468">
        <f t="shared" si="240"/>
        <v>145.555141434474</v>
      </c>
      <c r="L519" s="468">
        <f t="shared" si="240"/>
        <v>164.90982553528946</v>
      </c>
      <c r="M519" s="530"/>
      <c r="N519" s="3834"/>
      <c r="O519" s="3835"/>
      <c r="P519" s="3835"/>
      <c r="Q519" s="3835"/>
      <c r="R519" s="3836"/>
      <c r="S519" s="1172"/>
      <c r="T519" s="1172"/>
      <c r="U519" s="1172"/>
      <c r="V519" s="3533"/>
      <c r="W519" s="3534"/>
      <c r="X519" s="3534"/>
      <c r="Y519" s="3534"/>
      <c r="Z519" s="3536"/>
      <c r="AA519" s="3533"/>
      <c r="AB519" s="3534"/>
      <c r="AC519" s="3536"/>
    </row>
    <row r="520" spans="2:29">
      <c r="B520" s="4210" t="s">
        <v>1814</v>
      </c>
      <c r="C520" s="3537" t="s">
        <v>90</v>
      </c>
      <c r="D520" s="3737">
        <f t="shared" ref="D520:M520" si="241">D39</f>
        <v>0</v>
      </c>
      <c r="E520" s="3736">
        <f t="shared" si="241"/>
        <v>0</v>
      </c>
      <c r="F520" s="3736">
        <f t="shared" si="241"/>
        <v>0</v>
      </c>
      <c r="G520" s="3736">
        <f t="shared" si="241"/>
        <v>0</v>
      </c>
      <c r="H520" s="3735">
        <f t="shared" si="241"/>
        <v>0</v>
      </c>
      <c r="I520" s="3737">
        <f t="shared" si="241"/>
        <v>0</v>
      </c>
      <c r="J520" s="3736">
        <f t="shared" si="241"/>
        <v>0</v>
      </c>
      <c r="K520" s="3736">
        <f t="shared" si="241"/>
        <v>1</v>
      </c>
      <c r="L520" s="3736">
        <f t="shared" si="241"/>
        <v>0</v>
      </c>
      <c r="M520" s="3735">
        <f t="shared" si="241"/>
        <v>0</v>
      </c>
      <c r="N520" s="3843"/>
      <c r="O520" s="3844"/>
      <c r="P520" s="3844"/>
      <c r="Q520" s="3844"/>
      <c r="R520" s="3845"/>
      <c r="S520" s="1172"/>
      <c r="T520" s="1172"/>
      <c r="U520" s="1172"/>
      <c r="V520" s="3533"/>
      <c r="W520" s="3534"/>
      <c r="X520" s="3534"/>
      <c r="Y520" s="3534"/>
      <c r="Z520" s="3536"/>
      <c r="AA520" s="3533"/>
      <c r="AB520" s="3534"/>
      <c r="AC520" s="3536"/>
    </row>
    <row r="521" spans="2:29">
      <c r="B521" s="4211"/>
      <c r="C521" s="3530" t="s">
        <v>559</v>
      </c>
      <c r="D521" s="3706"/>
      <c r="E521" s="3699"/>
      <c r="F521" s="3699"/>
      <c r="G521" s="3699"/>
      <c r="H521" s="3707"/>
      <c r="I521" s="3706"/>
      <c r="J521" s="3699"/>
      <c r="K521" s="3699"/>
      <c r="L521" s="3699"/>
      <c r="M521" s="3707"/>
      <c r="N521" s="3834"/>
      <c r="O521" s="3835"/>
      <c r="P521" s="3835"/>
      <c r="Q521" s="3835"/>
      <c r="R521" s="3836"/>
      <c r="S521" s="1172"/>
      <c r="T521" s="1172"/>
      <c r="U521" s="1172"/>
      <c r="V521" s="3533"/>
      <c r="W521" s="3534"/>
      <c r="X521" s="3534"/>
      <c r="Y521" s="3534"/>
      <c r="Z521" s="3536"/>
      <c r="AA521" s="3533"/>
      <c r="AB521" s="3534"/>
      <c r="AC521" s="3536"/>
    </row>
    <row r="522" spans="2:29">
      <c r="B522" s="4211"/>
      <c r="C522" s="3530" t="s">
        <v>558</v>
      </c>
      <c r="D522" s="3706"/>
      <c r="E522" s="3699"/>
      <c r="F522" s="3699"/>
      <c r="G522" s="3699"/>
      <c r="H522" s="3707"/>
      <c r="I522" s="3706"/>
      <c r="J522" s="3699"/>
      <c r="K522" s="3699"/>
      <c r="L522" s="3699"/>
      <c r="M522" s="3707"/>
      <c r="N522" s="3834"/>
      <c r="O522" s="3835"/>
      <c r="P522" s="3835"/>
      <c r="Q522" s="3835"/>
      <c r="R522" s="3836"/>
      <c r="S522" s="1172"/>
      <c r="T522" s="1172"/>
      <c r="U522" s="1172"/>
      <c r="V522" s="3533"/>
      <c r="W522" s="3534"/>
      <c r="X522" s="3534"/>
      <c r="Y522" s="3534"/>
      <c r="Z522" s="3536"/>
      <c r="AA522" s="3533"/>
      <c r="AB522" s="3534"/>
      <c r="AC522" s="3536"/>
    </row>
    <row r="523" spans="2:29">
      <c r="B523" s="4211"/>
      <c r="C523" s="3530" t="s">
        <v>578</v>
      </c>
      <c r="D523" s="3706"/>
      <c r="E523" s="3699"/>
      <c r="F523" s="3699"/>
      <c r="G523" s="3699"/>
      <c r="H523" s="3707"/>
      <c r="I523" s="3706"/>
      <c r="J523" s="3699"/>
      <c r="K523" s="3699"/>
      <c r="L523" s="3699"/>
      <c r="M523" s="3707"/>
      <c r="N523" s="3834"/>
      <c r="O523" s="3835"/>
      <c r="P523" s="3835"/>
      <c r="Q523" s="3835"/>
      <c r="R523" s="3836"/>
      <c r="S523" s="1172"/>
      <c r="T523" s="1172"/>
      <c r="U523" s="1172"/>
      <c r="V523" s="3533"/>
      <c r="W523" s="3534"/>
      <c r="X523" s="3534"/>
      <c r="Y523" s="3534"/>
      <c r="Z523" s="3536"/>
      <c r="AA523" s="3533"/>
      <c r="AB523" s="3534"/>
      <c r="AC523" s="3536"/>
    </row>
    <row r="524" spans="2:29">
      <c r="B524" s="4211"/>
      <c r="C524" s="3529" t="s">
        <v>579</v>
      </c>
      <c r="D524" s="3711">
        <v>0</v>
      </c>
      <c r="E524" s="468">
        <v>0</v>
      </c>
      <c r="F524" s="468">
        <v>0</v>
      </c>
      <c r="G524" s="468">
        <v>0</v>
      </c>
      <c r="H524" s="530">
        <v>0</v>
      </c>
      <c r="I524" s="3711">
        <v>0</v>
      </c>
      <c r="J524" s="468"/>
      <c r="K524" s="468">
        <v>136</v>
      </c>
      <c r="L524" s="468">
        <v>0</v>
      </c>
      <c r="M524" s="530">
        <v>0</v>
      </c>
      <c r="N524" s="3855"/>
      <c r="O524" s="3835"/>
      <c r="P524" s="3835"/>
      <c r="Q524" s="3835"/>
      <c r="R524" s="3836"/>
      <c r="S524" s="1172"/>
      <c r="T524" s="1172"/>
      <c r="U524" s="1172"/>
      <c r="V524" s="3533"/>
      <c r="W524" s="3534"/>
      <c r="X524" s="3534"/>
      <c r="Y524" s="3534"/>
      <c r="Z524" s="3536"/>
      <c r="AA524" s="3533"/>
      <c r="AB524" s="3534"/>
      <c r="AC524" s="3536"/>
    </row>
    <row r="525" spans="2:29">
      <c r="B525" s="4211"/>
      <c r="C525" s="3530" t="s">
        <v>583</v>
      </c>
      <c r="D525" s="3706">
        <f>0.07*D524</f>
        <v>0</v>
      </c>
      <c r="E525" s="3699">
        <f t="shared" ref="E525:L525" si="242">0.07*E524</f>
        <v>0</v>
      </c>
      <c r="F525" s="3699">
        <f t="shared" si="242"/>
        <v>0</v>
      </c>
      <c r="G525" s="3699">
        <f t="shared" si="242"/>
        <v>0</v>
      </c>
      <c r="H525" s="3707">
        <f t="shared" si="242"/>
        <v>0</v>
      </c>
      <c r="I525" s="3706">
        <f t="shared" si="242"/>
        <v>0</v>
      </c>
      <c r="J525" s="3699">
        <f t="shared" si="242"/>
        <v>0</v>
      </c>
      <c r="K525" s="3699">
        <f t="shared" si="242"/>
        <v>9.5200000000000014</v>
      </c>
      <c r="L525" s="3699">
        <f t="shared" si="242"/>
        <v>0</v>
      </c>
      <c r="M525" s="3707"/>
      <c r="N525" s="3834"/>
      <c r="O525" s="3835"/>
      <c r="P525" s="3835"/>
      <c r="Q525" s="3835"/>
      <c r="R525" s="3836"/>
      <c r="S525" s="1172"/>
      <c r="T525" s="1172"/>
      <c r="U525" s="1172"/>
      <c r="V525" s="3533"/>
      <c r="W525" s="3534"/>
      <c r="X525" s="3534"/>
      <c r="Y525" s="3534"/>
      <c r="Z525" s="3536"/>
      <c r="AA525" s="3533"/>
      <c r="AB525" s="3534"/>
      <c r="AC525" s="3536"/>
    </row>
    <row r="526" spans="2:29">
      <c r="B526" s="4211"/>
      <c r="C526" s="3530" t="s">
        <v>581</v>
      </c>
      <c r="D526" s="3706"/>
      <c r="E526" s="3699"/>
      <c r="F526" s="3699"/>
      <c r="G526" s="3699"/>
      <c r="H526" s="3707"/>
      <c r="I526" s="3706"/>
      <c r="J526" s="3699"/>
      <c r="K526" s="3699"/>
      <c r="L526" s="3699"/>
      <c r="M526" s="3707"/>
      <c r="N526" s="3834"/>
      <c r="O526" s="3835"/>
      <c r="P526" s="3835"/>
      <c r="Q526" s="3835"/>
      <c r="R526" s="3836"/>
      <c r="S526" s="1172"/>
      <c r="T526" s="1172"/>
      <c r="U526" s="1172"/>
      <c r="V526" s="3533"/>
      <c r="W526" s="3534"/>
      <c r="X526" s="3534"/>
      <c r="Y526" s="3534"/>
      <c r="Z526" s="3536"/>
      <c r="AA526" s="3533"/>
      <c r="AB526" s="3534"/>
      <c r="AC526" s="3536"/>
    </row>
    <row r="527" spans="2:29">
      <c r="B527" s="4211"/>
      <c r="C527" s="3529" t="s">
        <v>584</v>
      </c>
      <c r="D527" s="3708">
        <f>D524+D525+D526</f>
        <v>0</v>
      </c>
      <c r="E527" s="3701">
        <f t="shared" ref="E527:M527" si="243">E524+E525+E526</f>
        <v>0</v>
      </c>
      <c r="F527" s="3701">
        <f t="shared" si="243"/>
        <v>0</v>
      </c>
      <c r="G527" s="3701">
        <f t="shared" si="243"/>
        <v>0</v>
      </c>
      <c r="H527" s="3709">
        <f t="shared" si="243"/>
        <v>0</v>
      </c>
      <c r="I527" s="3708">
        <f t="shared" si="243"/>
        <v>0</v>
      </c>
      <c r="J527" s="3701">
        <f t="shared" si="243"/>
        <v>0</v>
      </c>
      <c r="K527" s="3701">
        <f t="shared" si="243"/>
        <v>145.52000000000001</v>
      </c>
      <c r="L527" s="3701">
        <f t="shared" si="243"/>
        <v>0</v>
      </c>
      <c r="M527" s="3709">
        <f t="shared" si="243"/>
        <v>0</v>
      </c>
      <c r="N527" s="3856"/>
      <c r="O527" s="3857"/>
      <c r="P527" s="3857"/>
      <c r="Q527" s="3857"/>
      <c r="R527" s="3858"/>
      <c r="S527" s="1172"/>
      <c r="T527" s="1172"/>
      <c r="U527" s="1172"/>
      <c r="V527" s="3533"/>
      <c r="W527" s="3534"/>
      <c r="X527" s="3534"/>
      <c r="Y527" s="3534"/>
      <c r="Z527" s="3536"/>
      <c r="AA527" s="3533"/>
      <c r="AB527" s="3534"/>
      <c r="AC527" s="3536"/>
    </row>
    <row r="528" spans="2:29">
      <c r="B528" s="4211"/>
      <c r="C528" s="3530" t="s">
        <v>605</v>
      </c>
      <c r="D528" s="3706"/>
      <c r="E528" s="3699"/>
      <c r="F528" s="3699"/>
      <c r="G528" s="3699"/>
      <c r="H528" s="3707"/>
      <c r="I528" s="3706"/>
      <c r="J528" s="3699"/>
      <c r="K528" s="3699"/>
      <c r="L528" s="3699"/>
      <c r="M528" s="3707"/>
      <c r="N528" s="3834"/>
      <c r="O528" s="3835"/>
      <c r="P528" s="3835"/>
      <c r="Q528" s="3835"/>
      <c r="R528" s="3836"/>
      <c r="S528" s="1172"/>
      <c r="T528" s="1172"/>
      <c r="U528" s="1172"/>
      <c r="V528" s="3533"/>
      <c r="W528" s="3534"/>
      <c r="X528" s="3534"/>
      <c r="Y528" s="3534"/>
      <c r="Z528" s="3536"/>
      <c r="AA528" s="3533"/>
      <c r="AB528" s="3534"/>
      <c r="AC528" s="3536"/>
    </row>
    <row r="529" spans="2:29">
      <c r="B529" s="4211"/>
      <c r="C529" s="3529" t="s">
        <v>585</v>
      </c>
      <c r="D529" s="3708">
        <f>D527-D528</f>
        <v>0</v>
      </c>
      <c r="E529" s="3701">
        <f t="shared" ref="E529:M529" si="244">E527-E528</f>
        <v>0</v>
      </c>
      <c r="F529" s="3701">
        <f t="shared" si="244"/>
        <v>0</v>
      </c>
      <c r="G529" s="3701">
        <f t="shared" si="244"/>
        <v>0</v>
      </c>
      <c r="H529" s="3709">
        <f t="shared" si="244"/>
        <v>0</v>
      </c>
      <c r="I529" s="3708">
        <f t="shared" si="244"/>
        <v>0</v>
      </c>
      <c r="J529" s="3701">
        <f t="shared" si="244"/>
        <v>0</v>
      </c>
      <c r="K529" s="3701">
        <f t="shared" si="244"/>
        <v>145.52000000000001</v>
      </c>
      <c r="L529" s="3701">
        <f t="shared" si="244"/>
        <v>0</v>
      </c>
      <c r="M529" s="3709">
        <f t="shared" si="244"/>
        <v>0</v>
      </c>
      <c r="N529" s="3856"/>
      <c r="O529" s="3857"/>
      <c r="P529" s="3857"/>
      <c r="Q529" s="3857"/>
      <c r="R529" s="3858"/>
      <c r="S529" s="1172"/>
      <c r="T529" s="1172"/>
      <c r="U529" s="1172"/>
      <c r="V529" s="3533"/>
      <c r="W529" s="3534"/>
      <c r="X529" s="3534"/>
      <c r="Y529" s="3534"/>
      <c r="Z529" s="3536"/>
      <c r="AA529" s="3533"/>
      <c r="AB529" s="3534"/>
      <c r="AC529" s="3536"/>
    </row>
    <row r="530" spans="2:29" ht="13.5" thickBot="1">
      <c r="B530" s="4212"/>
      <c r="C530" s="3532" t="s">
        <v>93</v>
      </c>
      <c r="D530" s="3712"/>
      <c r="E530" s="3734"/>
      <c r="F530" s="3734"/>
      <c r="G530" s="3734"/>
      <c r="H530" s="3733"/>
      <c r="I530" s="3712"/>
      <c r="J530" s="3734"/>
      <c r="K530" s="3734">
        <f t="shared" ref="K530" si="245">K529/K520</f>
        <v>145.52000000000001</v>
      </c>
      <c r="L530" s="3734"/>
      <c r="M530" s="3733"/>
      <c r="N530" s="3840"/>
      <c r="O530" s="3846"/>
      <c r="P530" s="3846"/>
      <c r="Q530" s="3846"/>
      <c r="R530" s="3847"/>
      <c r="S530" s="1172"/>
      <c r="T530" s="1172"/>
      <c r="U530" s="1172"/>
      <c r="V530" s="3533"/>
      <c r="W530" s="3534"/>
      <c r="X530" s="3534"/>
      <c r="Y530" s="3534"/>
      <c r="Z530" s="3536"/>
      <c r="AA530" s="3533"/>
      <c r="AB530" s="3534"/>
      <c r="AC530" s="3536"/>
    </row>
    <row r="531" spans="2:29">
      <c r="B531" s="4210" t="s">
        <v>1815</v>
      </c>
      <c r="C531" s="3537" t="s">
        <v>90</v>
      </c>
      <c r="D531" s="3706">
        <f t="shared" ref="D531:M531" si="246">D42</f>
        <v>1637</v>
      </c>
      <c r="E531" s="3699">
        <f t="shared" si="246"/>
        <v>470</v>
      </c>
      <c r="F531" s="3699">
        <f t="shared" si="246"/>
        <v>798</v>
      </c>
      <c r="G531" s="3699">
        <f t="shared" si="246"/>
        <v>27</v>
      </c>
      <c r="H531" s="3707">
        <f t="shared" si="246"/>
        <v>185</v>
      </c>
      <c r="I531" s="3706">
        <f t="shared" si="246"/>
        <v>244</v>
      </c>
      <c r="J531" s="3699">
        <f t="shared" si="246"/>
        <v>61</v>
      </c>
      <c r="K531" s="3699">
        <f t="shared" si="246"/>
        <v>19</v>
      </c>
      <c r="L531" s="3699">
        <f t="shared" si="246"/>
        <v>0</v>
      </c>
      <c r="M531" s="3707">
        <f t="shared" si="246"/>
        <v>0</v>
      </c>
      <c r="N531" s="3834"/>
      <c r="O531" s="3835"/>
      <c r="P531" s="3835"/>
      <c r="Q531" s="3835"/>
      <c r="R531" s="3836"/>
      <c r="S531" s="1172"/>
      <c r="T531" s="1172"/>
      <c r="U531" s="1172"/>
      <c r="V531" s="3533"/>
      <c r="W531" s="3534"/>
      <c r="X531" s="3534"/>
      <c r="Y531" s="3534"/>
      <c r="Z531" s="3536"/>
      <c r="AA531" s="3533"/>
      <c r="AB531" s="3534"/>
      <c r="AC531" s="3536"/>
    </row>
    <row r="532" spans="2:29">
      <c r="B532" s="4211"/>
      <c r="C532" s="3530" t="s">
        <v>559</v>
      </c>
      <c r="D532" s="3706"/>
      <c r="E532" s="3699"/>
      <c r="F532" s="3699"/>
      <c r="G532" s="3699"/>
      <c r="H532" s="3707"/>
      <c r="I532" s="3706"/>
      <c r="J532" s="3699"/>
      <c r="K532" s="3699"/>
      <c r="L532" s="3699"/>
      <c r="M532" s="3707"/>
      <c r="N532" s="3834"/>
      <c r="O532" s="3835"/>
      <c r="P532" s="3835"/>
      <c r="Q532" s="3835"/>
      <c r="R532" s="3836"/>
      <c r="S532" s="1172"/>
      <c r="T532" s="1172"/>
      <c r="U532" s="1172"/>
      <c r="V532" s="3533"/>
      <c r="W532" s="3534"/>
      <c r="X532" s="3534"/>
      <c r="Y532" s="3534"/>
      <c r="Z532" s="3536"/>
      <c r="AA532" s="3533"/>
      <c r="AB532" s="3534"/>
      <c r="AC532" s="3536"/>
    </row>
    <row r="533" spans="2:29">
      <c r="B533" s="4211"/>
      <c r="C533" s="3530" t="s">
        <v>558</v>
      </c>
      <c r="D533" s="3706"/>
      <c r="E533" s="3699"/>
      <c r="F533" s="3699"/>
      <c r="G533" s="3699"/>
      <c r="H533" s="3707"/>
      <c r="I533" s="3706"/>
      <c r="J533" s="3699"/>
      <c r="K533" s="3699"/>
      <c r="L533" s="3699"/>
      <c r="M533" s="3707"/>
      <c r="N533" s="3834"/>
      <c r="O533" s="3835"/>
      <c r="P533" s="3835"/>
      <c r="Q533" s="3835"/>
      <c r="R533" s="3836"/>
      <c r="S533" s="1172"/>
      <c r="T533" s="1172"/>
      <c r="U533" s="1172"/>
      <c r="V533" s="3533"/>
      <c r="W533" s="3534"/>
      <c r="X533" s="3534"/>
      <c r="Y533" s="3534"/>
      <c r="Z533" s="3536"/>
      <c r="AA533" s="3533"/>
      <c r="AB533" s="3534"/>
      <c r="AC533" s="3536"/>
    </row>
    <row r="534" spans="2:29">
      <c r="B534" s="4211"/>
      <c r="C534" s="3530" t="s">
        <v>578</v>
      </c>
      <c r="D534" s="3706"/>
      <c r="E534" s="3699"/>
      <c r="F534" s="3699"/>
      <c r="G534" s="3699"/>
      <c r="H534" s="3707"/>
      <c r="I534" s="3706"/>
      <c r="J534" s="3699"/>
      <c r="K534" s="3699"/>
      <c r="L534" s="3699"/>
      <c r="M534" s="3707"/>
      <c r="N534" s="3834"/>
      <c r="O534" s="3835"/>
      <c r="P534" s="3835"/>
      <c r="Q534" s="3835"/>
      <c r="R534" s="3836"/>
      <c r="S534" s="1172"/>
      <c r="T534" s="1172"/>
      <c r="U534" s="1172"/>
      <c r="V534" s="3533"/>
      <c r="W534" s="3534"/>
      <c r="X534" s="3534"/>
      <c r="Y534" s="3534"/>
      <c r="Z534" s="3536"/>
      <c r="AA534" s="3533"/>
      <c r="AB534" s="3534"/>
      <c r="AC534" s="3536"/>
    </row>
    <row r="535" spans="2:29">
      <c r="B535" s="4211"/>
      <c r="C535" s="3529" t="s">
        <v>579</v>
      </c>
      <c r="D535" s="3711">
        <v>150110</v>
      </c>
      <c r="E535" s="468">
        <v>49776</v>
      </c>
      <c r="F535" s="468">
        <v>86825</v>
      </c>
      <c r="G535" s="468">
        <v>2454</v>
      </c>
      <c r="H535" s="530">
        <v>23885</v>
      </c>
      <c r="I535" s="3711">
        <v>28978</v>
      </c>
      <c r="J535" s="468">
        <v>6197</v>
      </c>
      <c r="K535" s="468">
        <v>2585</v>
      </c>
      <c r="L535" s="468">
        <v>0</v>
      </c>
      <c r="M535" s="530">
        <v>0</v>
      </c>
      <c r="N535" s="3855"/>
      <c r="O535" s="3835"/>
      <c r="P535" s="3835"/>
      <c r="Q535" s="3835"/>
      <c r="R535" s="3836"/>
      <c r="S535" s="1172"/>
      <c r="T535" s="1172"/>
      <c r="U535" s="1172"/>
      <c r="V535" s="3533"/>
      <c r="W535" s="3534"/>
      <c r="X535" s="3534"/>
      <c r="Y535" s="3534"/>
      <c r="Z535" s="3536"/>
      <c r="AA535" s="3533"/>
      <c r="AB535" s="3534"/>
      <c r="AC535" s="3536"/>
    </row>
    <row r="536" spans="2:29">
      <c r="B536" s="4211"/>
      <c r="C536" s="3530" t="s">
        <v>583</v>
      </c>
      <c r="D536" s="3706">
        <f>0.07*D535</f>
        <v>10507.7</v>
      </c>
      <c r="E536" s="3699">
        <f t="shared" ref="E536:L536" si="247">0.07*E535</f>
        <v>3484.32</v>
      </c>
      <c r="F536" s="3699">
        <f t="shared" si="247"/>
        <v>6077.7500000000009</v>
      </c>
      <c r="G536" s="3699">
        <f t="shared" si="247"/>
        <v>171.78000000000003</v>
      </c>
      <c r="H536" s="3707">
        <f t="shared" si="247"/>
        <v>1671.9500000000003</v>
      </c>
      <c r="I536" s="3706">
        <f t="shared" si="247"/>
        <v>2028.4600000000003</v>
      </c>
      <c r="J536" s="3699">
        <f t="shared" si="247"/>
        <v>433.79</v>
      </c>
      <c r="K536" s="3699">
        <f t="shared" si="247"/>
        <v>180.95000000000002</v>
      </c>
      <c r="L536" s="3699">
        <f t="shared" si="247"/>
        <v>0</v>
      </c>
      <c r="M536" s="3707"/>
      <c r="N536" s="3834"/>
      <c r="O536" s="3835"/>
      <c r="P536" s="3835"/>
      <c r="Q536" s="3835"/>
      <c r="R536" s="3836"/>
      <c r="S536" s="1172"/>
      <c r="T536" s="1172"/>
      <c r="U536" s="1172"/>
      <c r="V536" s="3533"/>
      <c r="W536" s="3534"/>
      <c r="X536" s="3534"/>
      <c r="Y536" s="3534"/>
      <c r="Z536" s="3536"/>
      <c r="AA536" s="3533"/>
      <c r="AB536" s="3534"/>
      <c r="AC536" s="3536"/>
    </row>
    <row r="537" spans="2:29">
      <c r="B537" s="4211"/>
      <c r="C537" s="3530" t="s">
        <v>581</v>
      </c>
      <c r="D537" s="3706"/>
      <c r="E537" s="3699"/>
      <c r="F537" s="3699"/>
      <c r="G537" s="3699"/>
      <c r="H537" s="3707"/>
      <c r="I537" s="3706"/>
      <c r="J537" s="3699"/>
      <c r="K537" s="3699"/>
      <c r="L537" s="3699"/>
      <c r="M537" s="3707"/>
      <c r="N537" s="3834"/>
      <c r="O537" s="3835"/>
      <c r="P537" s="3835"/>
      <c r="Q537" s="3835"/>
      <c r="R537" s="3836"/>
      <c r="S537" s="1172"/>
      <c r="T537" s="1172"/>
      <c r="U537" s="1172"/>
      <c r="V537" s="3533"/>
      <c r="W537" s="3534"/>
      <c r="X537" s="3534"/>
      <c r="Y537" s="3534"/>
      <c r="Z537" s="3536"/>
      <c r="AA537" s="3533"/>
      <c r="AB537" s="3534"/>
      <c r="AC537" s="3536"/>
    </row>
    <row r="538" spans="2:29">
      <c r="B538" s="4211"/>
      <c r="C538" s="3529" t="s">
        <v>584</v>
      </c>
      <c r="D538" s="3708">
        <f>D535+D536+D537</f>
        <v>160617.70000000001</v>
      </c>
      <c r="E538" s="3701">
        <f t="shared" ref="E538:M538" si="248">E535+E536+E537</f>
        <v>53260.32</v>
      </c>
      <c r="F538" s="3701">
        <f t="shared" si="248"/>
        <v>92902.75</v>
      </c>
      <c r="G538" s="3701">
        <f t="shared" si="248"/>
        <v>2625.78</v>
      </c>
      <c r="H538" s="3709">
        <f t="shared" si="248"/>
        <v>25556.95</v>
      </c>
      <c r="I538" s="3708">
        <f t="shared" si="248"/>
        <v>31006.46</v>
      </c>
      <c r="J538" s="3701">
        <f t="shared" si="248"/>
        <v>6630.79</v>
      </c>
      <c r="K538" s="3701">
        <f t="shared" si="248"/>
        <v>2765.95</v>
      </c>
      <c r="L538" s="3701">
        <f t="shared" si="248"/>
        <v>0</v>
      </c>
      <c r="M538" s="3709">
        <f t="shared" si="248"/>
        <v>0</v>
      </c>
      <c r="N538" s="3856"/>
      <c r="O538" s="3857"/>
      <c r="P538" s="3857"/>
      <c r="Q538" s="3857"/>
      <c r="R538" s="3858"/>
      <c r="S538" s="1172"/>
      <c r="T538" s="1172"/>
      <c r="U538" s="1172"/>
      <c r="V538" s="3533"/>
      <c r="W538" s="3534"/>
      <c r="X538" s="3534"/>
      <c r="Y538" s="3534"/>
      <c r="Z538" s="3536"/>
      <c r="AA538" s="3533"/>
      <c r="AB538" s="3534"/>
      <c r="AC538" s="3536"/>
    </row>
    <row r="539" spans="2:29">
      <c r="B539" s="4211"/>
      <c r="C539" s="3530" t="s">
        <v>605</v>
      </c>
      <c r="D539" s="3706"/>
      <c r="E539" s="3699"/>
      <c r="F539" s="3699"/>
      <c r="G539" s="3699"/>
      <c r="H539" s="3707"/>
      <c r="I539" s="3706"/>
      <c r="J539" s="3699"/>
      <c r="K539" s="3699"/>
      <c r="L539" s="3699"/>
      <c r="M539" s="3707"/>
      <c r="N539" s="3834"/>
      <c r="O539" s="3835"/>
      <c r="P539" s="3835"/>
      <c r="Q539" s="3835"/>
      <c r="R539" s="3836"/>
      <c r="S539" s="1172"/>
      <c r="T539" s="1172"/>
      <c r="U539" s="1172"/>
      <c r="V539" s="3533"/>
      <c r="W539" s="3534"/>
      <c r="X539" s="3534"/>
      <c r="Y539" s="3534"/>
      <c r="Z539" s="3536"/>
      <c r="AA539" s="3533"/>
      <c r="AB539" s="3534"/>
      <c r="AC539" s="3536"/>
    </row>
    <row r="540" spans="2:29">
      <c r="B540" s="4211"/>
      <c r="C540" s="3529" t="s">
        <v>585</v>
      </c>
      <c r="D540" s="3708">
        <f>D538-D539</f>
        <v>160617.70000000001</v>
      </c>
      <c r="E540" s="3701">
        <f t="shared" ref="E540:M540" si="249">E538-E539</f>
        <v>53260.32</v>
      </c>
      <c r="F540" s="3701">
        <f t="shared" si="249"/>
        <v>92902.75</v>
      </c>
      <c r="G540" s="3701">
        <f t="shared" si="249"/>
        <v>2625.78</v>
      </c>
      <c r="H540" s="3709">
        <f t="shared" si="249"/>
        <v>25556.95</v>
      </c>
      <c r="I540" s="3708">
        <f t="shared" si="249"/>
        <v>31006.46</v>
      </c>
      <c r="J540" s="3701">
        <f t="shared" si="249"/>
        <v>6630.79</v>
      </c>
      <c r="K540" s="3701">
        <f t="shared" si="249"/>
        <v>2765.95</v>
      </c>
      <c r="L540" s="3701">
        <f t="shared" si="249"/>
        <v>0</v>
      </c>
      <c r="M540" s="3709">
        <f t="shared" si="249"/>
        <v>0</v>
      </c>
      <c r="N540" s="3856"/>
      <c r="O540" s="3857"/>
      <c r="P540" s="3857"/>
      <c r="Q540" s="3857"/>
      <c r="R540" s="3858"/>
      <c r="S540" s="1172"/>
      <c r="T540" s="1172" t="s">
        <v>1823</v>
      </c>
      <c r="U540" s="1172"/>
      <c r="V540" s="3533"/>
      <c r="W540" s="3534"/>
      <c r="X540" s="3534"/>
      <c r="Y540" s="3534"/>
      <c r="Z540" s="3536"/>
      <c r="AA540" s="3533"/>
      <c r="AB540" s="3534"/>
      <c r="AC540" s="3536"/>
    </row>
    <row r="541" spans="2:29" ht="13.5" thickBot="1">
      <c r="B541" s="4212"/>
      <c r="C541" s="3532" t="s">
        <v>93</v>
      </c>
      <c r="D541" s="470">
        <f t="shared" ref="D541:K541" si="250">D540/D531</f>
        <v>98.117104459376918</v>
      </c>
      <c r="E541" s="468">
        <f t="shared" si="250"/>
        <v>113.31982978723404</v>
      </c>
      <c r="F541" s="468">
        <f t="shared" si="250"/>
        <v>116.41948621553885</v>
      </c>
      <c r="G541" s="468">
        <f t="shared" si="250"/>
        <v>97.251111111111115</v>
      </c>
      <c r="H541" s="530">
        <f t="shared" si="250"/>
        <v>138.14567567567568</v>
      </c>
      <c r="I541" s="470">
        <f t="shared" si="250"/>
        <v>127.07565573770492</v>
      </c>
      <c r="J541" s="468">
        <f t="shared" si="250"/>
        <v>108.70147540983606</v>
      </c>
      <c r="K541" s="468">
        <f t="shared" si="250"/>
        <v>145.57631578947368</v>
      </c>
      <c r="L541" s="468"/>
      <c r="M541" s="530"/>
      <c r="N541" s="3834"/>
      <c r="O541" s="3835"/>
      <c r="P541" s="3835"/>
      <c r="Q541" s="3835"/>
      <c r="R541" s="3836"/>
      <c r="S541" s="1172"/>
      <c r="T541" s="474"/>
      <c r="U541" s="1172"/>
      <c r="V541" s="3533"/>
      <c r="W541" s="3534"/>
      <c r="X541" s="3534"/>
      <c r="Y541" s="3534"/>
      <c r="Z541" s="3536"/>
      <c r="AA541" s="3533"/>
      <c r="AB541" s="3534"/>
      <c r="AC541" s="3536"/>
    </row>
    <row r="542" spans="2:29">
      <c r="B542" s="4210" t="s">
        <v>1817</v>
      </c>
      <c r="C542" s="3537" t="s">
        <v>90</v>
      </c>
      <c r="D542" s="3737">
        <f t="shared" ref="D542:M542" si="251">D48</f>
        <v>0</v>
      </c>
      <c r="E542" s="3736">
        <f t="shared" si="251"/>
        <v>0</v>
      </c>
      <c r="F542" s="3736">
        <f t="shared" si="251"/>
        <v>0</v>
      </c>
      <c r="G542" s="3736">
        <f t="shared" si="251"/>
        <v>0</v>
      </c>
      <c r="H542" s="3735">
        <f t="shared" si="251"/>
        <v>1</v>
      </c>
      <c r="I542" s="3737">
        <f t="shared" si="251"/>
        <v>1</v>
      </c>
      <c r="J542" s="3736">
        <f t="shared" si="251"/>
        <v>0</v>
      </c>
      <c r="K542" s="3736">
        <f t="shared" si="251"/>
        <v>0</v>
      </c>
      <c r="L542" s="3736">
        <f t="shared" si="251"/>
        <v>0</v>
      </c>
      <c r="M542" s="3735">
        <f t="shared" si="251"/>
        <v>0</v>
      </c>
      <c r="N542" s="3843"/>
      <c r="O542" s="3844"/>
      <c r="P542" s="3844"/>
      <c r="Q542" s="3844"/>
      <c r="R542" s="3845"/>
      <c r="S542" s="1172"/>
      <c r="T542" s="474"/>
      <c r="U542" s="1172"/>
      <c r="V542" s="3533"/>
      <c r="W542" s="3534"/>
      <c r="X542" s="3534"/>
      <c r="Y542" s="3534"/>
      <c r="Z542" s="3536"/>
      <c r="AA542" s="3533"/>
      <c r="AB542" s="3534"/>
      <c r="AC542" s="3536"/>
    </row>
    <row r="543" spans="2:29">
      <c r="B543" s="4211"/>
      <c r="C543" s="3530" t="s">
        <v>559</v>
      </c>
      <c r="D543" s="3706"/>
      <c r="E543" s="3699"/>
      <c r="F543" s="3699"/>
      <c r="G543" s="3699"/>
      <c r="H543" s="3707"/>
      <c r="I543" s="3706"/>
      <c r="J543" s="3699"/>
      <c r="K543" s="3699"/>
      <c r="L543" s="3699"/>
      <c r="M543" s="3707"/>
      <c r="N543" s="3834"/>
      <c r="O543" s="3835"/>
      <c r="P543" s="3835"/>
      <c r="Q543" s="3835"/>
      <c r="R543" s="3836"/>
      <c r="S543" s="1172"/>
      <c r="T543" s="474"/>
      <c r="U543" s="1172"/>
      <c r="V543" s="3533"/>
      <c r="W543" s="3534"/>
      <c r="X543" s="3534"/>
      <c r="Y543" s="3534"/>
      <c r="Z543" s="3536"/>
      <c r="AA543" s="3533"/>
      <c r="AB543" s="3534"/>
      <c r="AC543" s="3536"/>
    </row>
    <row r="544" spans="2:29">
      <c r="B544" s="4211"/>
      <c r="C544" s="3530" t="s">
        <v>558</v>
      </c>
      <c r="D544" s="3706"/>
      <c r="E544" s="3699"/>
      <c r="F544" s="3699"/>
      <c r="G544" s="3699"/>
      <c r="H544" s="3707"/>
      <c r="I544" s="3706"/>
      <c r="J544" s="3699"/>
      <c r="K544" s="3699"/>
      <c r="L544" s="3699"/>
      <c r="M544" s="3707"/>
      <c r="N544" s="3834"/>
      <c r="O544" s="3835"/>
      <c r="P544" s="3835"/>
      <c r="Q544" s="3835"/>
      <c r="R544" s="3836"/>
      <c r="S544" s="1172"/>
      <c r="T544" s="474"/>
      <c r="U544" s="1172"/>
      <c r="V544" s="3533"/>
      <c r="W544" s="3534"/>
      <c r="X544" s="3534"/>
      <c r="Y544" s="3534"/>
      <c r="Z544" s="3536"/>
      <c r="AA544" s="3533"/>
      <c r="AB544" s="3534"/>
      <c r="AC544" s="3536"/>
    </row>
    <row r="545" spans="2:29">
      <c r="B545" s="4211"/>
      <c r="C545" s="3530" t="s">
        <v>578</v>
      </c>
      <c r="D545" s="3706"/>
      <c r="E545" s="3699"/>
      <c r="F545" s="3699"/>
      <c r="G545" s="3699"/>
      <c r="H545" s="3707"/>
      <c r="I545" s="3706"/>
      <c r="J545" s="3699"/>
      <c r="K545" s="3699"/>
      <c r="L545" s="3699"/>
      <c r="M545" s="3707"/>
      <c r="N545" s="3834"/>
      <c r="O545" s="3835"/>
      <c r="P545" s="3835"/>
      <c r="Q545" s="3835"/>
      <c r="R545" s="3836"/>
      <c r="S545" s="1172"/>
      <c r="T545" s="474"/>
      <c r="U545" s="1172"/>
      <c r="V545" s="3533"/>
      <c r="W545" s="3534"/>
      <c r="X545" s="3534"/>
      <c r="Y545" s="3534"/>
      <c r="Z545" s="3536"/>
      <c r="AA545" s="3533"/>
      <c r="AB545" s="3534"/>
      <c r="AC545" s="3536"/>
    </row>
    <row r="546" spans="2:29">
      <c r="B546" s="4211"/>
      <c r="C546" s="3529" t="s">
        <v>579</v>
      </c>
      <c r="D546" s="3711">
        <v>0</v>
      </c>
      <c r="E546" s="468">
        <v>0</v>
      </c>
      <c r="F546" s="468">
        <v>0</v>
      </c>
      <c r="G546" s="468">
        <v>0</v>
      </c>
      <c r="H546" s="530">
        <v>129</v>
      </c>
      <c r="I546" s="3711">
        <v>119</v>
      </c>
      <c r="J546" s="468"/>
      <c r="K546" s="468">
        <v>0</v>
      </c>
      <c r="L546" s="468">
        <v>0</v>
      </c>
      <c r="M546" s="530">
        <v>0</v>
      </c>
      <c r="N546" s="3855"/>
      <c r="O546" s="3835"/>
      <c r="P546" s="3835"/>
      <c r="Q546" s="3835"/>
      <c r="R546" s="3836"/>
      <c r="S546" s="1172"/>
      <c r="T546" s="474"/>
      <c r="U546" s="1172"/>
      <c r="V546" s="3533"/>
      <c r="W546" s="3534"/>
      <c r="X546" s="3534"/>
      <c r="Y546" s="3534"/>
      <c r="Z546" s="3536"/>
      <c r="AA546" s="3533"/>
      <c r="AB546" s="3534"/>
      <c r="AC546" s="3536"/>
    </row>
    <row r="547" spans="2:29">
      <c r="B547" s="4211"/>
      <c r="C547" s="3530" t="s">
        <v>583</v>
      </c>
      <c r="D547" s="3706">
        <f>0.07*D546</f>
        <v>0</v>
      </c>
      <c r="E547" s="3699">
        <f t="shared" ref="E547:L547" si="252">0.07*E546</f>
        <v>0</v>
      </c>
      <c r="F547" s="3699">
        <f t="shared" si="252"/>
        <v>0</v>
      </c>
      <c r="G547" s="3699">
        <f t="shared" si="252"/>
        <v>0</v>
      </c>
      <c r="H547" s="3707">
        <f t="shared" si="252"/>
        <v>9.0300000000000011</v>
      </c>
      <c r="I547" s="3706">
        <f t="shared" si="252"/>
        <v>8.33</v>
      </c>
      <c r="J547" s="3699">
        <f t="shared" si="252"/>
        <v>0</v>
      </c>
      <c r="K547" s="3699">
        <f t="shared" si="252"/>
        <v>0</v>
      </c>
      <c r="L547" s="3699">
        <f t="shared" si="252"/>
        <v>0</v>
      </c>
      <c r="M547" s="3707"/>
      <c r="N547" s="3834"/>
      <c r="O547" s="3835"/>
      <c r="P547" s="3835"/>
      <c r="Q547" s="3835"/>
      <c r="R547" s="3836"/>
      <c r="S547" s="1172"/>
      <c r="T547" s="474"/>
      <c r="U547" s="1172"/>
      <c r="V547" s="3533"/>
      <c r="W547" s="3534"/>
      <c r="X547" s="3534"/>
      <c r="Y547" s="3534"/>
      <c r="Z547" s="3536"/>
      <c r="AA547" s="3533"/>
      <c r="AB547" s="3534"/>
      <c r="AC547" s="3536"/>
    </row>
    <row r="548" spans="2:29">
      <c r="B548" s="4211"/>
      <c r="C548" s="3530" t="s">
        <v>581</v>
      </c>
      <c r="D548" s="3706"/>
      <c r="E548" s="3699"/>
      <c r="F548" s="3699"/>
      <c r="G548" s="3699"/>
      <c r="H548" s="3707"/>
      <c r="I548" s="3706"/>
      <c r="J548" s="3699"/>
      <c r="K548" s="3699"/>
      <c r="L548" s="3699"/>
      <c r="M548" s="3707"/>
      <c r="N548" s="3834"/>
      <c r="O548" s="3835"/>
      <c r="P548" s="3835"/>
      <c r="Q548" s="3835"/>
      <c r="R548" s="3836"/>
      <c r="S548" s="1172"/>
      <c r="T548" s="474"/>
      <c r="U548" s="1172"/>
      <c r="V548" s="3533"/>
      <c r="W548" s="3534"/>
      <c r="X548" s="3534"/>
      <c r="Y548" s="3534"/>
      <c r="Z548" s="3536"/>
      <c r="AA548" s="3533"/>
      <c r="AB548" s="3534"/>
      <c r="AC548" s="3536"/>
    </row>
    <row r="549" spans="2:29">
      <c r="B549" s="4211"/>
      <c r="C549" s="3529" t="s">
        <v>584</v>
      </c>
      <c r="D549" s="3708">
        <f>D546+D547+D548</f>
        <v>0</v>
      </c>
      <c r="E549" s="3701">
        <f t="shared" ref="E549:M549" si="253">E546+E547+E548</f>
        <v>0</v>
      </c>
      <c r="F549" s="3701">
        <f t="shared" si="253"/>
        <v>0</v>
      </c>
      <c r="G549" s="3701">
        <f t="shared" si="253"/>
        <v>0</v>
      </c>
      <c r="H549" s="3709">
        <f t="shared" si="253"/>
        <v>138.03</v>
      </c>
      <c r="I549" s="3708">
        <f t="shared" si="253"/>
        <v>127.33</v>
      </c>
      <c r="J549" s="3701">
        <f t="shared" si="253"/>
        <v>0</v>
      </c>
      <c r="K549" s="3701">
        <f t="shared" si="253"/>
        <v>0</v>
      </c>
      <c r="L549" s="3701">
        <f t="shared" si="253"/>
        <v>0</v>
      </c>
      <c r="M549" s="3709">
        <f t="shared" si="253"/>
        <v>0</v>
      </c>
      <c r="N549" s="3856"/>
      <c r="O549" s="3857"/>
      <c r="P549" s="3857"/>
      <c r="Q549" s="3857"/>
      <c r="R549" s="3858"/>
      <c r="S549" s="1172"/>
      <c r="T549" s="474"/>
      <c r="U549" s="1172"/>
      <c r="V549" s="3533"/>
      <c r="W549" s="3534"/>
      <c r="X549" s="3534"/>
      <c r="Y549" s="3534"/>
      <c r="Z549" s="3536"/>
      <c r="AA549" s="3533"/>
      <c r="AB549" s="3534"/>
      <c r="AC549" s="3536"/>
    </row>
    <row r="550" spans="2:29">
      <c r="B550" s="4211"/>
      <c r="C550" s="3530" t="s">
        <v>605</v>
      </c>
      <c r="D550" s="3706"/>
      <c r="E550" s="3699"/>
      <c r="F550" s="3699"/>
      <c r="G550" s="3699"/>
      <c r="H550" s="3707"/>
      <c r="I550" s="3706"/>
      <c r="J550" s="3699"/>
      <c r="K550" s="3699"/>
      <c r="L550" s="3699"/>
      <c r="M550" s="3707"/>
      <c r="N550" s="3834"/>
      <c r="O550" s="3835"/>
      <c r="P550" s="3835"/>
      <c r="Q550" s="3835"/>
      <c r="R550" s="3836"/>
      <c r="S550" s="1172"/>
      <c r="T550" s="474"/>
      <c r="U550" s="1172"/>
      <c r="V550" s="3533"/>
      <c r="W550" s="3534"/>
      <c r="X550" s="3534"/>
      <c r="Y550" s="3534"/>
      <c r="Z550" s="3536"/>
      <c r="AA550" s="3533"/>
      <c r="AB550" s="3534"/>
      <c r="AC550" s="3536"/>
    </row>
    <row r="551" spans="2:29">
      <c r="B551" s="4211"/>
      <c r="C551" s="3529" t="s">
        <v>585</v>
      </c>
      <c r="D551" s="3708">
        <f>D549-D550</f>
        <v>0</v>
      </c>
      <c r="E551" s="3701">
        <f t="shared" ref="E551:M551" si="254">E549-E550</f>
        <v>0</v>
      </c>
      <c r="F551" s="3701">
        <f t="shared" si="254"/>
        <v>0</v>
      </c>
      <c r="G551" s="3701">
        <f t="shared" si="254"/>
        <v>0</v>
      </c>
      <c r="H551" s="3709">
        <f t="shared" si="254"/>
        <v>138.03</v>
      </c>
      <c r="I551" s="3708">
        <f t="shared" si="254"/>
        <v>127.33</v>
      </c>
      <c r="J551" s="3701">
        <f t="shared" si="254"/>
        <v>0</v>
      </c>
      <c r="K551" s="3701">
        <f t="shared" si="254"/>
        <v>0</v>
      </c>
      <c r="L551" s="3701">
        <f t="shared" si="254"/>
        <v>0</v>
      </c>
      <c r="M551" s="3709">
        <f t="shared" si="254"/>
        <v>0</v>
      </c>
      <c r="N551" s="3856"/>
      <c r="O551" s="3857"/>
      <c r="P551" s="3857"/>
      <c r="Q551" s="3857"/>
      <c r="R551" s="3858"/>
      <c r="S551" s="1172"/>
      <c r="T551" s="474"/>
      <c r="U551" s="1172"/>
      <c r="V551" s="3533"/>
      <c r="W551" s="3534"/>
      <c r="X551" s="3534"/>
      <c r="Y551" s="3534"/>
      <c r="Z551" s="3536"/>
      <c r="AA551" s="3533"/>
      <c r="AB551" s="3534"/>
      <c r="AC551" s="3536"/>
    </row>
    <row r="552" spans="2:29" ht="13.5" thickBot="1">
      <c r="B552" s="4212"/>
      <c r="C552" s="3532" t="s">
        <v>93</v>
      </c>
      <c r="D552" s="3712"/>
      <c r="E552" s="3734"/>
      <c r="F552" s="3734"/>
      <c r="G552" s="3734"/>
      <c r="H552" s="3733">
        <f t="shared" ref="H552:I552" si="255">H551/H542</f>
        <v>138.03</v>
      </c>
      <c r="I552" s="3712">
        <f t="shared" si="255"/>
        <v>127.33</v>
      </c>
      <c r="J552" s="3734"/>
      <c r="K552" s="3734"/>
      <c r="L552" s="3734"/>
      <c r="M552" s="3733"/>
      <c r="N552" s="3840"/>
      <c r="O552" s="3846"/>
      <c r="P552" s="3846"/>
      <c r="Q552" s="3846"/>
      <c r="R552" s="3847"/>
      <c r="S552" s="1172"/>
      <c r="T552" s="474"/>
      <c r="U552" s="1172"/>
      <c r="V552" s="3533"/>
      <c r="W552" s="3534"/>
      <c r="X552" s="3534"/>
      <c r="Y552" s="3534"/>
      <c r="Z552" s="3536"/>
      <c r="AA552" s="3533"/>
      <c r="AB552" s="3534"/>
      <c r="AC552" s="3536"/>
    </row>
    <row r="553" spans="2:29">
      <c r="B553" s="4210" t="s">
        <v>1822</v>
      </c>
      <c r="C553" s="3537" t="s">
        <v>90</v>
      </c>
      <c r="D553" s="3706">
        <f t="shared" ref="D553:M553" si="256">D63</f>
        <v>0</v>
      </c>
      <c r="E553" s="3699">
        <f t="shared" si="256"/>
        <v>0</v>
      </c>
      <c r="F553" s="3699">
        <f t="shared" si="256"/>
        <v>0</v>
      </c>
      <c r="G553" s="3699">
        <f t="shared" si="256"/>
        <v>0</v>
      </c>
      <c r="H553" s="3707">
        <f t="shared" si="256"/>
        <v>1</v>
      </c>
      <c r="I553" s="3706">
        <f t="shared" si="256"/>
        <v>0</v>
      </c>
      <c r="J553" s="3699">
        <f t="shared" si="256"/>
        <v>0</v>
      </c>
      <c r="K553" s="3699">
        <f t="shared" si="256"/>
        <v>0</v>
      </c>
      <c r="L553" s="3699">
        <f t="shared" si="256"/>
        <v>0</v>
      </c>
      <c r="M553" s="3707">
        <f t="shared" si="256"/>
        <v>0</v>
      </c>
      <c r="N553" s="3834"/>
      <c r="O553" s="3835"/>
      <c r="P553" s="3835"/>
      <c r="Q553" s="3835"/>
      <c r="R553" s="3836"/>
      <c r="S553" s="1172"/>
      <c r="T553" s="474"/>
      <c r="U553" s="1172"/>
      <c r="V553" s="3533"/>
      <c r="W553" s="3534"/>
      <c r="X553" s="3534"/>
      <c r="Y553" s="3534"/>
      <c r="Z553" s="3536"/>
      <c r="AA553" s="3533"/>
      <c r="AB553" s="3534"/>
      <c r="AC553" s="3536"/>
    </row>
    <row r="554" spans="2:29">
      <c r="B554" s="4211"/>
      <c r="C554" s="3530" t="s">
        <v>559</v>
      </c>
      <c r="D554" s="3706"/>
      <c r="E554" s="3699"/>
      <c r="F554" s="3699"/>
      <c r="G554" s="3699"/>
      <c r="H554" s="3707"/>
      <c r="I554" s="3706"/>
      <c r="J554" s="3699"/>
      <c r="K554" s="3699"/>
      <c r="L554" s="3699"/>
      <c r="M554" s="3707"/>
      <c r="N554" s="3834"/>
      <c r="O554" s="3835"/>
      <c r="P554" s="3835"/>
      <c r="Q554" s="3835"/>
      <c r="R554" s="3836"/>
      <c r="S554" s="1172"/>
      <c r="T554" s="474"/>
      <c r="U554" s="1172"/>
      <c r="V554" s="3533"/>
      <c r="W554" s="3534"/>
      <c r="X554" s="3534"/>
      <c r="Y554" s="3534"/>
      <c r="Z554" s="3536"/>
      <c r="AA554" s="3533"/>
      <c r="AB554" s="3534"/>
      <c r="AC554" s="3536"/>
    </row>
    <row r="555" spans="2:29">
      <c r="B555" s="4211"/>
      <c r="C555" s="3530" t="s">
        <v>558</v>
      </c>
      <c r="D555" s="3706"/>
      <c r="E555" s="3699"/>
      <c r="F555" s="3699"/>
      <c r="G555" s="3699"/>
      <c r="H555" s="3707"/>
      <c r="I555" s="3706"/>
      <c r="J555" s="3699"/>
      <c r="K555" s="3699"/>
      <c r="L555" s="3699"/>
      <c r="M555" s="3707"/>
      <c r="N555" s="3834"/>
      <c r="O555" s="3835"/>
      <c r="P555" s="3835"/>
      <c r="Q555" s="3835"/>
      <c r="R555" s="3836"/>
      <c r="S555" s="1172"/>
      <c r="T555" s="474"/>
      <c r="U555" s="1172"/>
      <c r="V555" s="3533"/>
      <c r="W555" s="3534"/>
      <c r="X555" s="3534"/>
      <c r="Y555" s="3534"/>
      <c r="Z555" s="3536"/>
      <c r="AA555" s="3533"/>
      <c r="AB555" s="3534"/>
      <c r="AC555" s="3536"/>
    </row>
    <row r="556" spans="2:29">
      <c r="B556" s="4211"/>
      <c r="C556" s="3530" t="s">
        <v>578</v>
      </c>
      <c r="D556" s="3706"/>
      <c r="E556" s="3699"/>
      <c r="F556" s="3699"/>
      <c r="G556" s="3699"/>
      <c r="H556" s="3707"/>
      <c r="I556" s="3706"/>
      <c r="J556" s="3699"/>
      <c r="K556" s="3699"/>
      <c r="L556" s="3699"/>
      <c r="M556" s="3707"/>
      <c r="N556" s="3834"/>
      <c r="O556" s="3835"/>
      <c r="P556" s="3835"/>
      <c r="Q556" s="3835"/>
      <c r="R556" s="3836"/>
      <c r="S556" s="1172"/>
      <c r="T556" s="474"/>
      <c r="U556" s="1172"/>
      <c r="V556" s="3533"/>
      <c r="W556" s="3534"/>
      <c r="X556" s="3534"/>
      <c r="Y556" s="3534"/>
      <c r="Z556" s="3536"/>
      <c r="AA556" s="3533"/>
      <c r="AB556" s="3534"/>
      <c r="AC556" s="3536"/>
    </row>
    <row r="557" spans="2:29">
      <c r="B557" s="4211"/>
      <c r="C557" s="3529" t="s">
        <v>579</v>
      </c>
      <c r="D557" s="470">
        <v>0</v>
      </c>
      <c r="E557" s="468">
        <v>0</v>
      </c>
      <c r="F557" s="468">
        <v>0</v>
      </c>
      <c r="G557" s="468">
        <v>0</v>
      </c>
      <c r="H557" s="530">
        <v>129</v>
      </c>
      <c r="I557" s="470">
        <v>0</v>
      </c>
      <c r="J557" s="468"/>
      <c r="K557" s="468">
        <v>0</v>
      </c>
      <c r="L557" s="468">
        <v>0</v>
      </c>
      <c r="M557" s="530">
        <v>0</v>
      </c>
      <c r="N557" s="3834"/>
      <c r="O557" s="3835"/>
      <c r="P557" s="3835"/>
      <c r="Q557" s="3835"/>
      <c r="R557" s="3836"/>
      <c r="S557" s="1172"/>
      <c r="T557" s="474"/>
      <c r="U557" s="1172"/>
      <c r="V557" s="3533"/>
      <c r="W557" s="3534"/>
      <c r="X557" s="3534"/>
      <c r="Y557" s="3534"/>
      <c r="Z557" s="3536"/>
      <c r="AA557" s="3533"/>
      <c r="AB557" s="3534"/>
      <c r="AC557" s="3536"/>
    </row>
    <row r="558" spans="2:29">
      <c r="B558" s="4211"/>
      <c r="C558" s="3530" t="s">
        <v>583</v>
      </c>
      <c r="D558" s="3706">
        <f>0.07*D557</f>
        <v>0</v>
      </c>
      <c r="E558" s="3699">
        <f t="shared" ref="E558:L558" si="257">0.07*E557</f>
        <v>0</v>
      </c>
      <c r="F558" s="3699">
        <f t="shared" si="257"/>
        <v>0</v>
      </c>
      <c r="G558" s="3699">
        <f t="shared" si="257"/>
        <v>0</v>
      </c>
      <c r="H558" s="3707">
        <f t="shared" si="257"/>
        <v>9.0300000000000011</v>
      </c>
      <c r="I558" s="3706">
        <f t="shared" si="257"/>
        <v>0</v>
      </c>
      <c r="J558" s="3699">
        <f t="shared" si="257"/>
        <v>0</v>
      </c>
      <c r="K558" s="3699">
        <f t="shared" si="257"/>
        <v>0</v>
      </c>
      <c r="L558" s="3699">
        <f t="shared" si="257"/>
        <v>0</v>
      </c>
      <c r="M558" s="3707"/>
      <c r="N558" s="3834"/>
      <c r="O558" s="3835"/>
      <c r="P558" s="3835"/>
      <c r="Q558" s="3835"/>
      <c r="R558" s="3836"/>
      <c r="S558" s="1172"/>
      <c r="T558" s="474"/>
      <c r="U558" s="1172"/>
      <c r="V558" s="3533"/>
      <c r="W558" s="3534"/>
      <c r="X558" s="3534"/>
      <c r="Y558" s="3534"/>
      <c r="Z558" s="3536"/>
      <c r="AA558" s="3533"/>
      <c r="AB558" s="3534"/>
      <c r="AC558" s="3536"/>
    </row>
    <row r="559" spans="2:29">
      <c r="B559" s="4211"/>
      <c r="C559" s="3530" t="s">
        <v>581</v>
      </c>
      <c r="D559" s="3706"/>
      <c r="E559" s="3699"/>
      <c r="F559" s="3699"/>
      <c r="G559" s="3699"/>
      <c r="H559" s="3707"/>
      <c r="I559" s="3706"/>
      <c r="J559" s="3699"/>
      <c r="K559" s="3699"/>
      <c r="L559" s="3699"/>
      <c r="M559" s="3707"/>
      <c r="N559" s="3834"/>
      <c r="O559" s="3835"/>
      <c r="P559" s="3835"/>
      <c r="Q559" s="3835"/>
      <c r="R559" s="3836"/>
      <c r="S559" s="1172"/>
      <c r="T559" s="474"/>
      <c r="U559" s="1172"/>
      <c r="V559" s="3533"/>
      <c r="W559" s="3534"/>
      <c r="X559" s="3534"/>
      <c r="Y559" s="3534"/>
      <c r="Z559" s="3536"/>
      <c r="AA559" s="3533"/>
      <c r="AB559" s="3534"/>
      <c r="AC559" s="3536"/>
    </row>
    <row r="560" spans="2:29">
      <c r="B560" s="4211"/>
      <c r="C560" s="3529" t="s">
        <v>584</v>
      </c>
      <c r="D560" s="3708">
        <f>D557+D558+D559</f>
        <v>0</v>
      </c>
      <c r="E560" s="3701">
        <f t="shared" ref="E560:M560" si="258">E557+E558+E559</f>
        <v>0</v>
      </c>
      <c r="F560" s="3701">
        <f t="shared" si="258"/>
        <v>0</v>
      </c>
      <c r="G560" s="3701">
        <f t="shared" si="258"/>
        <v>0</v>
      </c>
      <c r="H560" s="3709">
        <f t="shared" si="258"/>
        <v>138.03</v>
      </c>
      <c r="I560" s="3708">
        <f t="shared" si="258"/>
        <v>0</v>
      </c>
      <c r="J560" s="3701">
        <f t="shared" si="258"/>
        <v>0</v>
      </c>
      <c r="K560" s="3701">
        <f t="shared" si="258"/>
        <v>0</v>
      </c>
      <c r="L560" s="3701">
        <f t="shared" si="258"/>
        <v>0</v>
      </c>
      <c r="M560" s="3709">
        <f t="shared" si="258"/>
        <v>0</v>
      </c>
      <c r="N560" s="3856"/>
      <c r="O560" s="3857"/>
      <c r="P560" s="3857"/>
      <c r="Q560" s="3857"/>
      <c r="R560" s="3858"/>
      <c r="S560" s="1172"/>
      <c r="T560" s="474"/>
      <c r="U560" s="1172"/>
      <c r="V560" s="3533"/>
      <c r="W560" s="3534"/>
      <c r="X560" s="3534"/>
      <c r="Y560" s="3534"/>
      <c r="Z560" s="3536"/>
      <c r="AA560" s="3533"/>
      <c r="AB560" s="3534"/>
      <c r="AC560" s="3536"/>
    </row>
    <row r="561" spans="2:29">
      <c r="B561" s="4211"/>
      <c r="C561" s="3530" t="s">
        <v>605</v>
      </c>
      <c r="D561" s="3706"/>
      <c r="E561" s="3699"/>
      <c r="F561" s="3699"/>
      <c r="G561" s="3699"/>
      <c r="H561" s="3707"/>
      <c r="I561" s="3706"/>
      <c r="J561" s="3699"/>
      <c r="K561" s="3699"/>
      <c r="L561" s="3699"/>
      <c r="M561" s="3707"/>
      <c r="N561" s="3834"/>
      <c r="O561" s="3835"/>
      <c r="P561" s="3835"/>
      <c r="Q561" s="3835"/>
      <c r="R561" s="3836"/>
      <c r="S561" s="1172"/>
      <c r="T561" s="474"/>
      <c r="U561" s="1172"/>
      <c r="V561" s="3533"/>
      <c r="W561" s="3534"/>
      <c r="X561" s="3534"/>
      <c r="Y561" s="3534"/>
      <c r="Z561" s="3536"/>
      <c r="AA561" s="3533"/>
      <c r="AB561" s="3534"/>
      <c r="AC561" s="3536"/>
    </row>
    <row r="562" spans="2:29">
      <c r="B562" s="4211"/>
      <c r="C562" s="3529" t="s">
        <v>585</v>
      </c>
      <c r="D562" s="3708">
        <f>D560-D561</f>
        <v>0</v>
      </c>
      <c r="E562" s="3701">
        <f t="shared" ref="E562:M562" si="259">E560-E561</f>
        <v>0</v>
      </c>
      <c r="F562" s="3701">
        <f t="shared" si="259"/>
        <v>0</v>
      </c>
      <c r="G562" s="3701">
        <f t="shared" si="259"/>
        <v>0</v>
      </c>
      <c r="H562" s="3709">
        <f t="shared" si="259"/>
        <v>138.03</v>
      </c>
      <c r="I562" s="3708">
        <f t="shared" si="259"/>
        <v>0</v>
      </c>
      <c r="J562" s="3701">
        <f t="shared" si="259"/>
        <v>0</v>
      </c>
      <c r="K562" s="3701">
        <f t="shared" si="259"/>
        <v>0</v>
      </c>
      <c r="L562" s="3701">
        <f t="shared" si="259"/>
        <v>0</v>
      </c>
      <c r="M562" s="3709">
        <f t="shared" si="259"/>
        <v>0</v>
      </c>
      <c r="N562" s="3856"/>
      <c r="O562" s="3857"/>
      <c r="P562" s="3857"/>
      <c r="Q562" s="3857"/>
      <c r="R562" s="3858"/>
      <c r="S562" s="1172"/>
      <c r="T562" s="474"/>
      <c r="U562" s="1172"/>
      <c r="V562" s="3533"/>
      <c r="W562" s="3534"/>
      <c r="X562" s="3534"/>
      <c r="Y562" s="3534"/>
      <c r="Z562" s="3536"/>
      <c r="AA562" s="3533"/>
      <c r="AB562" s="3534"/>
      <c r="AC562" s="3536"/>
    </row>
    <row r="563" spans="2:29" ht="13.5" thickBot="1">
      <c r="B563" s="4212"/>
      <c r="C563" s="3532" t="s">
        <v>93</v>
      </c>
      <c r="D563" s="470"/>
      <c r="E563" s="468"/>
      <c r="F563" s="468"/>
      <c r="G563" s="468"/>
      <c r="H563" s="530">
        <f t="shared" ref="H563" si="260">H562/H553</f>
        <v>138.03</v>
      </c>
      <c r="I563" s="470"/>
      <c r="J563" s="468"/>
      <c r="K563" s="468"/>
      <c r="L563" s="468"/>
      <c r="M563" s="530"/>
      <c r="N563" s="3834"/>
      <c r="O563" s="3835"/>
      <c r="P563" s="3835"/>
      <c r="Q563" s="3835"/>
      <c r="R563" s="3836"/>
      <c r="S563" s="1172"/>
      <c r="T563" s="474"/>
      <c r="U563" s="1172"/>
      <c r="V563" s="3533"/>
      <c r="W563" s="3534"/>
      <c r="X563" s="3534"/>
      <c r="Y563" s="3534"/>
      <c r="Z563" s="3536"/>
      <c r="AA563" s="3533"/>
      <c r="AB563" s="3534"/>
      <c r="AC563" s="3536"/>
    </row>
    <row r="564" spans="2:29">
      <c r="B564" s="4210" t="s">
        <v>1823</v>
      </c>
      <c r="C564" s="3537" t="s">
        <v>90</v>
      </c>
      <c r="D564" s="3737">
        <f t="shared" ref="D564:M564" si="261">D66</f>
        <v>260</v>
      </c>
      <c r="E564" s="3736">
        <f t="shared" si="261"/>
        <v>146</v>
      </c>
      <c r="F564" s="3736">
        <f t="shared" si="261"/>
        <v>166</v>
      </c>
      <c r="G564" s="3736">
        <f t="shared" si="261"/>
        <v>0</v>
      </c>
      <c r="H564" s="3735">
        <f t="shared" si="261"/>
        <v>81</v>
      </c>
      <c r="I564" s="3737">
        <f t="shared" si="261"/>
        <v>82</v>
      </c>
      <c r="J564" s="3736">
        <f t="shared" si="261"/>
        <v>0</v>
      </c>
      <c r="K564" s="3736">
        <f t="shared" si="261"/>
        <v>0</v>
      </c>
      <c r="L564" s="3736">
        <f t="shared" si="261"/>
        <v>90</v>
      </c>
      <c r="M564" s="3735">
        <f t="shared" si="261"/>
        <v>133.6</v>
      </c>
      <c r="N564" s="3843"/>
      <c r="O564" s="3844"/>
      <c r="P564" s="3844"/>
      <c r="Q564" s="3844"/>
      <c r="R564" s="3845"/>
      <c r="S564" s="1172"/>
      <c r="T564" s="474"/>
      <c r="U564" s="1172"/>
      <c r="V564" s="3533"/>
      <c r="W564" s="3534"/>
      <c r="X564" s="3534"/>
      <c r="Y564" s="3534"/>
      <c r="Z564" s="3536"/>
      <c r="AA564" s="3533"/>
      <c r="AB564" s="3534"/>
      <c r="AC564" s="3536"/>
    </row>
    <row r="565" spans="2:29">
      <c r="B565" s="4211"/>
      <c r="C565" s="3530" t="s">
        <v>559</v>
      </c>
      <c r="D565" s="3706"/>
      <c r="E565" s="3699"/>
      <c r="F565" s="3699"/>
      <c r="G565" s="3699"/>
      <c r="H565" s="3707"/>
      <c r="I565" s="3706"/>
      <c r="J565" s="3699"/>
      <c r="K565" s="3699"/>
      <c r="L565" s="3699"/>
      <c r="M565" s="3707"/>
      <c r="N565" s="3834"/>
      <c r="O565" s="3835"/>
      <c r="P565" s="3835"/>
      <c r="Q565" s="3835"/>
      <c r="R565" s="3836"/>
      <c r="S565" s="1172"/>
      <c r="T565" s="474"/>
      <c r="U565" s="1172"/>
      <c r="V565" s="3533"/>
      <c r="W565" s="3534"/>
      <c r="X565" s="3534"/>
      <c r="Y565" s="3534"/>
      <c r="Z565" s="3536"/>
      <c r="AA565" s="3533"/>
      <c r="AB565" s="3534"/>
      <c r="AC565" s="3536"/>
    </row>
    <row r="566" spans="2:29">
      <c r="B566" s="4211"/>
      <c r="C566" s="3530" t="s">
        <v>558</v>
      </c>
      <c r="D566" s="3706"/>
      <c r="E566" s="3699"/>
      <c r="F566" s="3699"/>
      <c r="G566" s="3699"/>
      <c r="H566" s="3707"/>
      <c r="I566" s="3706"/>
      <c r="J566" s="3699"/>
      <c r="K566" s="3699"/>
      <c r="L566" s="3699"/>
      <c r="M566" s="3707"/>
      <c r="N566" s="3834"/>
      <c r="O566" s="3835"/>
      <c r="P566" s="3835"/>
      <c r="Q566" s="3835"/>
      <c r="R566" s="3836"/>
      <c r="S566" s="1172"/>
      <c r="T566" s="474"/>
      <c r="U566" s="1172"/>
      <c r="V566" s="3533"/>
      <c r="W566" s="3534"/>
      <c r="X566" s="3534"/>
      <c r="Y566" s="3534"/>
      <c r="Z566" s="3536"/>
      <c r="AA566" s="3533"/>
      <c r="AB566" s="3534"/>
      <c r="AC566" s="3536"/>
    </row>
    <row r="567" spans="2:29">
      <c r="B567" s="4211"/>
      <c r="C567" s="3530" t="s">
        <v>578</v>
      </c>
      <c r="D567" s="3706"/>
      <c r="E567" s="3699"/>
      <c r="F567" s="3699"/>
      <c r="G567" s="3699"/>
      <c r="H567" s="3707"/>
      <c r="I567" s="3706"/>
      <c r="J567" s="3699"/>
      <c r="K567" s="3699"/>
      <c r="L567" s="3699"/>
      <c r="M567" s="3707"/>
      <c r="N567" s="3834"/>
      <c r="O567" s="3835"/>
      <c r="P567" s="3835"/>
      <c r="Q567" s="3835"/>
      <c r="R567" s="3836"/>
      <c r="S567" s="1172"/>
      <c r="T567" s="474"/>
      <c r="U567" s="1172"/>
      <c r="V567" s="3533"/>
      <c r="W567" s="3534"/>
      <c r="X567" s="3534"/>
      <c r="Y567" s="3534"/>
      <c r="Z567" s="3536"/>
      <c r="AA567" s="3533"/>
      <c r="AB567" s="3534"/>
      <c r="AC567" s="3536"/>
    </row>
    <row r="568" spans="2:29">
      <c r="B568" s="4211"/>
      <c r="C568" s="3529" t="s">
        <v>579</v>
      </c>
      <c r="D568" s="470">
        <v>206264</v>
      </c>
      <c r="E568" s="468">
        <v>64953</v>
      </c>
      <c r="F568" s="468">
        <v>69347</v>
      </c>
      <c r="G568" s="468">
        <v>0</v>
      </c>
      <c r="H568" s="530">
        <v>51636</v>
      </c>
      <c r="I568" s="470">
        <v>71166</v>
      </c>
      <c r="J568" s="468"/>
      <c r="K568" s="468">
        <v>0</v>
      </c>
      <c r="L568" s="468">
        <v>153470</v>
      </c>
      <c r="M568" s="530">
        <v>165685</v>
      </c>
      <c r="N568" s="3834"/>
      <c r="O568" s="3835"/>
      <c r="P568" s="3835"/>
      <c r="Q568" s="3835"/>
      <c r="R568" s="3836"/>
      <c r="S568" s="1172"/>
      <c r="T568" s="474"/>
      <c r="U568" s="1172"/>
      <c r="V568" s="3533"/>
      <c r="W568" s="3534"/>
      <c r="X568" s="3534"/>
      <c r="Y568" s="3534"/>
      <c r="Z568" s="3536"/>
      <c r="AA568" s="3533"/>
      <c r="AB568" s="3534"/>
      <c r="AC568" s="3536"/>
    </row>
    <row r="569" spans="2:29">
      <c r="B569" s="4211"/>
      <c r="C569" s="3530" t="s">
        <v>583</v>
      </c>
      <c r="D569" s="3706">
        <f>0.07*D568</f>
        <v>14438.480000000001</v>
      </c>
      <c r="E569" s="3699">
        <f t="shared" ref="E569:L569" si="262">0.07*E568</f>
        <v>4546.71</v>
      </c>
      <c r="F569" s="3699">
        <f t="shared" si="262"/>
        <v>4854.2900000000009</v>
      </c>
      <c r="G569" s="3699">
        <f t="shared" si="262"/>
        <v>0</v>
      </c>
      <c r="H569" s="3707">
        <f t="shared" si="262"/>
        <v>3614.5200000000004</v>
      </c>
      <c r="I569" s="3706">
        <f t="shared" si="262"/>
        <v>4981.6200000000008</v>
      </c>
      <c r="J569" s="3699">
        <f t="shared" si="262"/>
        <v>0</v>
      </c>
      <c r="K569" s="3699">
        <f t="shared" si="262"/>
        <v>0</v>
      </c>
      <c r="L569" s="3699">
        <f t="shared" si="262"/>
        <v>10742.900000000001</v>
      </c>
      <c r="M569" s="3707">
        <f>$M$250*M568</f>
        <v>0</v>
      </c>
      <c r="N569" s="3834"/>
      <c r="O569" s="3835"/>
      <c r="P569" s="3835"/>
      <c r="Q569" s="3835"/>
      <c r="R569" s="3836"/>
      <c r="S569" s="1172"/>
      <c r="T569" s="474"/>
      <c r="U569" s="1172"/>
      <c r="V569" s="3533"/>
      <c r="W569" s="3534"/>
      <c r="X569" s="3534"/>
      <c r="Y569" s="3534"/>
      <c r="Z569" s="3536"/>
      <c r="AA569" s="3533"/>
      <c r="AB569" s="3534"/>
      <c r="AC569" s="3536"/>
    </row>
    <row r="570" spans="2:29">
      <c r="B570" s="4211"/>
      <c r="C570" s="3530" t="s">
        <v>581</v>
      </c>
      <c r="D570" s="3706"/>
      <c r="E570" s="3699"/>
      <c r="F570" s="3699"/>
      <c r="G570" s="3699"/>
      <c r="H570" s="3707"/>
      <c r="I570" s="3706"/>
      <c r="J570" s="3699"/>
      <c r="K570" s="3699"/>
      <c r="L570" s="3699"/>
      <c r="M570" s="3707"/>
      <c r="N570" s="3834"/>
      <c r="O570" s="3835"/>
      <c r="P570" s="3835"/>
      <c r="Q570" s="3835"/>
      <c r="R570" s="3836"/>
      <c r="S570" s="1172"/>
      <c r="T570" s="474"/>
      <c r="U570" s="1172"/>
      <c r="V570" s="3533"/>
      <c r="W570" s="3534"/>
      <c r="X570" s="3534"/>
      <c r="Y570" s="3534"/>
      <c r="Z570" s="3536"/>
      <c r="AA570" s="3533"/>
      <c r="AB570" s="3534"/>
      <c r="AC570" s="3536"/>
    </row>
    <row r="571" spans="2:29">
      <c r="B571" s="4211"/>
      <c r="C571" s="3529" t="s">
        <v>584</v>
      </c>
      <c r="D571" s="3708">
        <f>D568+D569+D570</f>
        <v>220702.48</v>
      </c>
      <c r="E571" s="3701">
        <f t="shared" ref="E571:M571" si="263">E568+E569+E570</f>
        <v>69499.710000000006</v>
      </c>
      <c r="F571" s="3701">
        <f t="shared" si="263"/>
        <v>74201.290000000008</v>
      </c>
      <c r="G571" s="3701">
        <f t="shared" si="263"/>
        <v>0</v>
      </c>
      <c r="H571" s="3709">
        <f t="shared" si="263"/>
        <v>55250.520000000004</v>
      </c>
      <c r="I571" s="3708">
        <f t="shared" si="263"/>
        <v>76147.62</v>
      </c>
      <c r="J571" s="3701">
        <f t="shared" si="263"/>
        <v>0</v>
      </c>
      <c r="K571" s="3701">
        <f t="shared" si="263"/>
        <v>0</v>
      </c>
      <c r="L571" s="3701">
        <f t="shared" si="263"/>
        <v>164212.9</v>
      </c>
      <c r="M571" s="3709">
        <f t="shared" si="263"/>
        <v>165685</v>
      </c>
      <c r="N571" s="3856"/>
      <c r="O571" s="3857"/>
      <c r="P571" s="3857"/>
      <c r="Q571" s="3857"/>
      <c r="R571" s="3858"/>
      <c r="S571" s="1172"/>
      <c r="T571" s="474"/>
      <c r="U571" s="1172"/>
      <c r="V571" s="3533"/>
      <c r="W571" s="3534"/>
      <c r="X571" s="3534"/>
      <c r="Y571" s="3534"/>
      <c r="Z571" s="3536"/>
      <c r="AA571" s="3533"/>
      <c r="AB571" s="3534"/>
      <c r="AC571" s="3536"/>
    </row>
    <row r="572" spans="2:29">
      <c r="B572" s="4211"/>
      <c r="C572" s="3530" t="s">
        <v>605</v>
      </c>
      <c r="D572" s="3706"/>
      <c r="E572" s="3699"/>
      <c r="F572" s="3699"/>
      <c r="G572" s="3699"/>
      <c r="H572" s="3707"/>
      <c r="I572" s="3706"/>
      <c r="J572" s="3699"/>
      <c r="K572" s="3699"/>
      <c r="L572" s="3699"/>
      <c r="M572" s="3707"/>
      <c r="N572" s="3834"/>
      <c r="O572" s="3835"/>
      <c r="P572" s="3835"/>
      <c r="Q572" s="3835"/>
      <c r="R572" s="3836"/>
      <c r="S572" s="1172"/>
      <c r="T572" s="474"/>
      <c r="U572" s="1172"/>
      <c r="V572" s="3533"/>
      <c r="W572" s="3534"/>
      <c r="X572" s="3534"/>
      <c r="Y572" s="3534"/>
      <c r="Z572" s="3536"/>
      <c r="AA572" s="3533"/>
      <c r="AB572" s="3534"/>
      <c r="AC572" s="3536"/>
    </row>
    <row r="573" spans="2:29">
      <c r="B573" s="4211"/>
      <c r="C573" s="3529" t="s">
        <v>585</v>
      </c>
      <c r="D573" s="3708">
        <f>D571-D572</f>
        <v>220702.48</v>
      </c>
      <c r="E573" s="3701">
        <f t="shared" ref="E573:M573" si="264">E571-E572</f>
        <v>69499.710000000006</v>
      </c>
      <c r="F573" s="3701">
        <f t="shared" si="264"/>
        <v>74201.290000000008</v>
      </c>
      <c r="G573" s="3701">
        <f t="shared" si="264"/>
        <v>0</v>
      </c>
      <c r="H573" s="3709">
        <f t="shared" si="264"/>
        <v>55250.520000000004</v>
      </c>
      <c r="I573" s="3708">
        <f t="shared" si="264"/>
        <v>76147.62</v>
      </c>
      <c r="J573" s="3701">
        <f t="shared" si="264"/>
        <v>0</v>
      </c>
      <c r="K573" s="3701">
        <f t="shared" si="264"/>
        <v>0</v>
      </c>
      <c r="L573" s="3701">
        <f t="shared" si="264"/>
        <v>164212.9</v>
      </c>
      <c r="M573" s="3709">
        <f t="shared" si="264"/>
        <v>165685</v>
      </c>
      <c r="N573" s="3856"/>
      <c r="O573" s="3857"/>
      <c r="P573" s="3857"/>
      <c r="Q573" s="3857"/>
      <c r="R573" s="3858"/>
      <c r="S573" s="1172"/>
      <c r="T573" s="474"/>
      <c r="U573" s="1172"/>
      <c r="V573" s="3533"/>
      <c r="W573" s="3534"/>
      <c r="X573" s="3534"/>
      <c r="Y573" s="3534"/>
      <c r="Z573" s="3536"/>
      <c r="AA573" s="3533"/>
      <c r="AB573" s="3534"/>
      <c r="AC573" s="3536"/>
    </row>
    <row r="574" spans="2:29" ht="13.5" thickBot="1">
      <c r="B574" s="4212"/>
      <c r="C574" s="3532" t="s">
        <v>93</v>
      </c>
      <c r="D574" s="3712">
        <f t="shared" ref="D574:M574" si="265">D573/D564</f>
        <v>848.85569230769238</v>
      </c>
      <c r="E574" s="3734">
        <f t="shared" si="265"/>
        <v>476.02541095890416</v>
      </c>
      <c r="F574" s="3734">
        <f t="shared" si="265"/>
        <v>446.99572289156629</v>
      </c>
      <c r="G574" s="3734"/>
      <c r="H574" s="3733">
        <f t="shared" si="265"/>
        <v>682.10518518518529</v>
      </c>
      <c r="I574" s="3712">
        <f t="shared" si="265"/>
        <v>928.62951219512195</v>
      </c>
      <c r="J574" s="3734"/>
      <c r="K574" s="3734"/>
      <c r="L574" s="3734">
        <f t="shared" si="265"/>
        <v>1824.5877777777778</v>
      </c>
      <c r="M574" s="3733">
        <f t="shared" si="265"/>
        <v>1240.1571856287426</v>
      </c>
      <c r="N574" s="3840"/>
      <c r="O574" s="3846"/>
      <c r="P574" s="3846"/>
      <c r="Q574" s="3846"/>
      <c r="R574" s="3847"/>
      <c r="S574" s="1172"/>
      <c r="T574" s="474"/>
      <c r="U574" s="1172"/>
      <c r="V574" s="3533"/>
      <c r="W574" s="3534"/>
      <c r="X574" s="3534"/>
      <c r="Y574" s="3534"/>
      <c r="Z574" s="3536"/>
      <c r="AA574" s="3533"/>
      <c r="AB574" s="3534"/>
      <c r="AC574" s="3536"/>
    </row>
    <row r="575" spans="2:29">
      <c r="B575" s="4210" t="s">
        <v>1824</v>
      </c>
      <c r="C575" s="3537" t="s">
        <v>90</v>
      </c>
      <c r="D575" s="3706">
        <f t="shared" ref="D575:M575" si="266">D69</f>
        <v>97</v>
      </c>
      <c r="E575" s="3699">
        <f t="shared" si="266"/>
        <v>71</v>
      </c>
      <c r="F575" s="3699">
        <f t="shared" si="266"/>
        <v>71</v>
      </c>
      <c r="G575" s="3699">
        <f t="shared" si="266"/>
        <v>100</v>
      </c>
      <c r="H575" s="3707">
        <f t="shared" si="266"/>
        <v>65</v>
      </c>
      <c r="I575" s="3706">
        <f t="shared" si="266"/>
        <v>81</v>
      </c>
      <c r="J575" s="3699">
        <f t="shared" si="266"/>
        <v>61</v>
      </c>
      <c r="K575" s="3699">
        <f t="shared" si="266"/>
        <v>78</v>
      </c>
      <c r="L575" s="3699">
        <f t="shared" si="266"/>
        <v>226</v>
      </c>
      <c r="M575" s="3707">
        <f t="shared" si="266"/>
        <v>202.8</v>
      </c>
      <c r="N575" s="3834"/>
      <c r="O575" s="3835"/>
      <c r="P575" s="3835"/>
      <c r="Q575" s="3835"/>
      <c r="R575" s="3836"/>
      <c r="S575" s="1172"/>
      <c r="T575" s="474"/>
      <c r="U575" s="1172"/>
      <c r="V575" s="3533"/>
      <c r="W575" s="3534"/>
      <c r="X575" s="3534"/>
      <c r="Y575" s="3534"/>
      <c r="Z575" s="3536"/>
      <c r="AA575" s="3533"/>
      <c r="AB575" s="3534"/>
      <c r="AC575" s="3536"/>
    </row>
    <row r="576" spans="2:29">
      <c r="B576" s="4211"/>
      <c r="C576" s="3530" t="s">
        <v>559</v>
      </c>
      <c r="D576" s="3706"/>
      <c r="E576" s="3699"/>
      <c r="F576" s="3699"/>
      <c r="G576" s="3699"/>
      <c r="H576" s="3707"/>
      <c r="I576" s="3706"/>
      <c r="J576" s="3699"/>
      <c r="K576" s="3699"/>
      <c r="L576" s="3699"/>
      <c r="M576" s="3707"/>
      <c r="N576" s="3834"/>
      <c r="O576" s="3835"/>
      <c r="P576" s="3835"/>
      <c r="Q576" s="3835"/>
      <c r="R576" s="3836"/>
      <c r="S576" s="1172"/>
      <c r="T576" s="474"/>
      <c r="U576" s="1172"/>
      <c r="V576" s="3533"/>
      <c r="W576" s="3534"/>
      <c r="X576" s="3534"/>
      <c r="Y576" s="3534"/>
      <c r="Z576" s="3536"/>
      <c r="AA576" s="3533"/>
      <c r="AB576" s="3534"/>
      <c r="AC576" s="3536"/>
    </row>
    <row r="577" spans="2:29">
      <c r="B577" s="4211"/>
      <c r="C577" s="3530" t="s">
        <v>558</v>
      </c>
      <c r="D577" s="3706"/>
      <c r="E577" s="3699"/>
      <c r="F577" s="3699"/>
      <c r="G577" s="3699"/>
      <c r="H577" s="3707"/>
      <c r="I577" s="3706"/>
      <c r="J577" s="3699"/>
      <c r="K577" s="3699"/>
      <c r="L577" s="3699"/>
      <c r="M577" s="3707"/>
      <c r="N577" s="3834"/>
      <c r="O577" s="3835"/>
      <c r="P577" s="3835"/>
      <c r="Q577" s="3835"/>
      <c r="R577" s="3836"/>
      <c r="S577" s="1172"/>
      <c r="T577" s="474"/>
      <c r="U577" s="1172"/>
      <c r="V577" s="3533"/>
      <c r="W577" s="3534"/>
      <c r="X577" s="3534"/>
      <c r="Y577" s="3534"/>
      <c r="Z577" s="3536"/>
      <c r="AA577" s="3533"/>
      <c r="AB577" s="3534"/>
      <c r="AC577" s="3536"/>
    </row>
    <row r="578" spans="2:29">
      <c r="B578" s="4211"/>
      <c r="C578" s="3530" t="s">
        <v>578</v>
      </c>
      <c r="D578" s="3706"/>
      <c r="E578" s="3699"/>
      <c r="F578" s="3699"/>
      <c r="G578" s="3699"/>
      <c r="H578" s="3707"/>
      <c r="I578" s="3706"/>
      <c r="J578" s="3699"/>
      <c r="K578" s="3699"/>
      <c r="L578" s="3699"/>
      <c r="M578" s="3707"/>
      <c r="N578" s="3834"/>
      <c r="O578" s="3835"/>
      <c r="P578" s="3835"/>
      <c r="Q578" s="3835"/>
      <c r="R578" s="3836"/>
      <c r="S578" s="1172"/>
      <c r="T578" s="474"/>
      <c r="U578" s="1172"/>
      <c r="V578" s="3533"/>
      <c r="W578" s="3534"/>
      <c r="X578" s="3534"/>
      <c r="Y578" s="3534"/>
      <c r="Z578" s="3536"/>
      <c r="AA578" s="3533"/>
      <c r="AB578" s="3534"/>
      <c r="AC578" s="3536"/>
    </row>
    <row r="579" spans="2:29">
      <c r="B579" s="4211"/>
      <c r="C579" s="3529" t="s">
        <v>579</v>
      </c>
      <c r="D579" s="3711">
        <v>76952</v>
      </c>
      <c r="E579" s="468">
        <v>31587</v>
      </c>
      <c r="F579" s="468">
        <v>29660</v>
      </c>
      <c r="G579" s="468">
        <v>42455</v>
      </c>
      <c r="H579" s="530">
        <v>41436</v>
      </c>
      <c r="I579" s="3711">
        <v>70299</v>
      </c>
      <c r="J579" s="468">
        <v>38690</v>
      </c>
      <c r="K579" s="468">
        <v>58698</v>
      </c>
      <c r="L579" s="468">
        <v>385380</v>
      </c>
      <c r="M579" s="530">
        <v>251000</v>
      </c>
      <c r="N579" s="3855"/>
      <c r="O579" s="3835"/>
      <c r="P579" s="3835"/>
      <c r="Q579" s="3835"/>
      <c r="R579" s="3836"/>
      <c r="S579" s="1172"/>
      <c r="T579" s="474"/>
      <c r="U579" s="1172"/>
      <c r="V579" s="3533"/>
      <c r="W579" s="3534"/>
      <c r="X579" s="3534"/>
      <c r="Y579" s="3534"/>
      <c r="Z579" s="3536"/>
      <c r="AA579" s="3533"/>
      <c r="AB579" s="3534"/>
      <c r="AC579" s="3536"/>
    </row>
    <row r="580" spans="2:29">
      <c r="B580" s="4211"/>
      <c r="C580" s="3530" t="s">
        <v>583</v>
      </c>
      <c r="D580" s="3706">
        <f>0.07*D579</f>
        <v>5386.64</v>
      </c>
      <c r="E580" s="3699">
        <f t="shared" ref="E580:L580" si="267">0.07*E579</f>
        <v>2211.09</v>
      </c>
      <c r="F580" s="3699">
        <f t="shared" si="267"/>
        <v>2076.2000000000003</v>
      </c>
      <c r="G580" s="3699">
        <f t="shared" si="267"/>
        <v>2971.8500000000004</v>
      </c>
      <c r="H580" s="3707">
        <f t="shared" si="267"/>
        <v>2900.5200000000004</v>
      </c>
      <c r="I580" s="3706">
        <f t="shared" si="267"/>
        <v>4920.93</v>
      </c>
      <c r="J580" s="3699">
        <f t="shared" si="267"/>
        <v>2708.3</v>
      </c>
      <c r="K580" s="3699">
        <f t="shared" si="267"/>
        <v>4108.8600000000006</v>
      </c>
      <c r="L580" s="3699">
        <f t="shared" si="267"/>
        <v>26976.600000000002</v>
      </c>
      <c r="M580" s="3707">
        <f>$M$250*M579</f>
        <v>0</v>
      </c>
      <c r="N580" s="3834"/>
      <c r="O580" s="3835"/>
      <c r="P580" s="3835"/>
      <c r="Q580" s="3835"/>
      <c r="R580" s="3836"/>
      <c r="S580" s="1172"/>
      <c r="T580" s="474"/>
      <c r="U580" s="1172"/>
      <c r="V580" s="3533"/>
      <c r="W580" s="3534"/>
      <c r="X580" s="3534"/>
      <c r="Y580" s="3534"/>
      <c r="Z580" s="3536"/>
      <c r="AA580" s="3533"/>
      <c r="AB580" s="3534"/>
      <c r="AC580" s="3536"/>
    </row>
    <row r="581" spans="2:29">
      <c r="B581" s="4211"/>
      <c r="C581" s="3530" t="s">
        <v>581</v>
      </c>
      <c r="D581" s="3706"/>
      <c r="E581" s="3699"/>
      <c r="F581" s="3699"/>
      <c r="G581" s="3699"/>
      <c r="H581" s="3707"/>
      <c r="I581" s="3706"/>
      <c r="J581" s="3699"/>
      <c r="K581" s="3699"/>
      <c r="L581" s="3699"/>
      <c r="M581" s="3707"/>
      <c r="N581" s="3834"/>
      <c r="O581" s="3835"/>
      <c r="P581" s="3835"/>
      <c r="Q581" s="3835"/>
      <c r="R581" s="3836"/>
      <c r="S581" s="1172"/>
      <c r="T581" s="474"/>
      <c r="U581" s="1172"/>
      <c r="V581" s="3533"/>
      <c r="W581" s="3534"/>
      <c r="X581" s="3534"/>
      <c r="Y581" s="3534"/>
      <c r="Z581" s="3536"/>
      <c r="AA581" s="3533"/>
      <c r="AB581" s="3534"/>
      <c r="AC581" s="3536"/>
    </row>
    <row r="582" spans="2:29">
      <c r="B582" s="4211"/>
      <c r="C582" s="3529" t="s">
        <v>584</v>
      </c>
      <c r="D582" s="3708">
        <f>D579+D580+D581</f>
        <v>82338.64</v>
      </c>
      <c r="E582" s="3701">
        <f t="shared" ref="E582:M582" si="268">E579+E580+E581</f>
        <v>33798.089999999997</v>
      </c>
      <c r="F582" s="3701">
        <f t="shared" si="268"/>
        <v>31736.2</v>
      </c>
      <c r="G582" s="3701">
        <f t="shared" si="268"/>
        <v>45426.85</v>
      </c>
      <c r="H582" s="3709">
        <f t="shared" si="268"/>
        <v>44336.520000000004</v>
      </c>
      <c r="I582" s="3708">
        <f t="shared" si="268"/>
        <v>75219.929999999993</v>
      </c>
      <c r="J582" s="3701">
        <f t="shared" si="268"/>
        <v>41398.300000000003</v>
      </c>
      <c r="K582" s="3701">
        <f t="shared" si="268"/>
        <v>62806.86</v>
      </c>
      <c r="L582" s="3701">
        <f t="shared" si="268"/>
        <v>412356.6</v>
      </c>
      <c r="M582" s="3709">
        <f t="shared" si="268"/>
        <v>251000</v>
      </c>
      <c r="N582" s="3856"/>
      <c r="O582" s="3857"/>
      <c r="P582" s="3857"/>
      <c r="Q582" s="3857"/>
      <c r="R582" s="3858"/>
      <c r="S582" s="1172"/>
      <c r="T582" s="474"/>
      <c r="U582" s="1172"/>
      <c r="V582" s="3533"/>
      <c r="W582" s="3534"/>
      <c r="X582" s="3534"/>
      <c r="Y582" s="3534"/>
      <c r="Z582" s="3536"/>
      <c r="AA582" s="3533"/>
      <c r="AB582" s="3534"/>
      <c r="AC582" s="3536"/>
    </row>
    <row r="583" spans="2:29">
      <c r="B583" s="4211"/>
      <c r="C583" s="3530" t="s">
        <v>605</v>
      </c>
      <c r="D583" s="3706"/>
      <c r="E583" s="3699"/>
      <c r="F583" s="3699"/>
      <c r="G583" s="3699"/>
      <c r="H583" s="3707"/>
      <c r="I583" s="3706"/>
      <c r="J583" s="3699"/>
      <c r="K583" s="3699"/>
      <c r="L583" s="3699"/>
      <c r="M583" s="3707"/>
      <c r="N583" s="3834"/>
      <c r="O583" s="3835"/>
      <c r="P583" s="3835"/>
      <c r="Q583" s="3835"/>
      <c r="R583" s="3836"/>
      <c r="S583" s="1172"/>
      <c r="T583" s="474"/>
      <c r="U583" s="1172"/>
      <c r="V583" s="3533"/>
      <c r="W583" s="3534"/>
      <c r="X583" s="3534"/>
      <c r="Y583" s="3534"/>
      <c r="Z583" s="3536"/>
      <c r="AA583" s="3533"/>
      <c r="AB583" s="3534"/>
      <c r="AC583" s="3536"/>
    </row>
    <row r="584" spans="2:29">
      <c r="B584" s="4211"/>
      <c r="C584" s="3529" t="s">
        <v>585</v>
      </c>
      <c r="D584" s="3708">
        <f>D582-D583</f>
        <v>82338.64</v>
      </c>
      <c r="E584" s="3701">
        <f t="shared" ref="E584:M584" si="269">E582-E583</f>
        <v>33798.089999999997</v>
      </c>
      <c r="F584" s="3701">
        <f t="shared" si="269"/>
        <v>31736.2</v>
      </c>
      <c r="G584" s="3701">
        <f t="shared" si="269"/>
        <v>45426.85</v>
      </c>
      <c r="H584" s="3709">
        <f t="shared" si="269"/>
        <v>44336.520000000004</v>
      </c>
      <c r="I584" s="3708">
        <f t="shared" si="269"/>
        <v>75219.929999999993</v>
      </c>
      <c r="J584" s="3701">
        <f t="shared" si="269"/>
        <v>41398.300000000003</v>
      </c>
      <c r="K584" s="3701">
        <f t="shared" si="269"/>
        <v>62806.86</v>
      </c>
      <c r="L584" s="3701">
        <f t="shared" si="269"/>
        <v>412356.6</v>
      </c>
      <c r="M584" s="3709">
        <f t="shared" si="269"/>
        <v>251000</v>
      </c>
      <c r="N584" s="3856"/>
      <c r="O584" s="3857"/>
      <c r="P584" s="3857"/>
      <c r="Q584" s="3857"/>
      <c r="R584" s="3858"/>
      <c r="S584" s="1172"/>
      <c r="T584" s="474"/>
      <c r="U584" s="1172"/>
      <c r="V584" s="3533"/>
      <c r="W584" s="3534"/>
      <c r="X584" s="3534"/>
      <c r="Y584" s="3534"/>
      <c r="Z584" s="3536"/>
      <c r="AA584" s="3533"/>
      <c r="AB584" s="3534"/>
      <c r="AC584" s="3536"/>
    </row>
    <row r="585" spans="2:29" ht="13.5" thickBot="1">
      <c r="B585" s="4212"/>
      <c r="C585" s="3532" t="s">
        <v>93</v>
      </c>
      <c r="D585" s="470">
        <f t="shared" ref="D585:M585" si="270">D584/D575</f>
        <v>848.85195876288662</v>
      </c>
      <c r="E585" s="468">
        <f t="shared" si="270"/>
        <v>476.02943661971824</v>
      </c>
      <c r="F585" s="468">
        <f t="shared" si="270"/>
        <v>446.9887323943662</v>
      </c>
      <c r="G585" s="468">
        <f t="shared" si="270"/>
        <v>454.26849999999996</v>
      </c>
      <c r="H585" s="530">
        <f t="shared" si="270"/>
        <v>682.10030769230775</v>
      </c>
      <c r="I585" s="470">
        <f t="shared" si="270"/>
        <v>928.64111111111106</v>
      </c>
      <c r="J585" s="468">
        <f t="shared" si="270"/>
        <v>678.66065573770493</v>
      </c>
      <c r="K585" s="468">
        <f t="shared" si="270"/>
        <v>805.21615384615382</v>
      </c>
      <c r="L585" s="468">
        <f t="shared" si="270"/>
        <v>1824.5867256637166</v>
      </c>
      <c r="M585" s="530">
        <f t="shared" si="270"/>
        <v>1237.6725838264299</v>
      </c>
      <c r="N585" s="3834"/>
      <c r="O585" s="3835"/>
      <c r="P585" s="3835"/>
      <c r="Q585" s="3835"/>
      <c r="R585" s="3836"/>
      <c r="S585" s="1172"/>
      <c r="T585" s="474"/>
      <c r="U585" s="1172"/>
      <c r="V585" s="3533"/>
      <c r="W585" s="3534"/>
      <c r="X585" s="3534"/>
      <c r="Y585" s="3534"/>
      <c r="Z585" s="3536"/>
      <c r="AA585" s="3533"/>
      <c r="AB585" s="3534"/>
      <c r="AC585" s="3536"/>
    </row>
    <row r="586" spans="2:29">
      <c r="B586" s="4210" t="s">
        <v>1825</v>
      </c>
      <c r="C586" s="3537" t="s">
        <v>90</v>
      </c>
      <c r="D586" s="3737">
        <f t="shared" ref="D586:M586" si="271">D72</f>
        <v>7</v>
      </c>
      <c r="E586" s="3736">
        <f t="shared" si="271"/>
        <v>16</v>
      </c>
      <c r="F586" s="3736">
        <f t="shared" si="271"/>
        <v>18</v>
      </c>
      <c r="G586" s="3736">
        <f t="shared" si="271"/>
        <v>10</v>
      </c>
      <c r="H586" s="3735">
        <f t="shared" si="271"/>
        <v>23</v>
      </c>
      <c r="I586" s="3737">
        <f t="shared" si="271"/>
        <v>25</v>
      </c>
      <c r="J586" s="3736">
        <f t="shared" si="271"/>
        <v>8</v>
      </c>
      <c r="K586" s="3736">
        <f t="shared" si="271"/>
        <v>17</v>
      </c>
      <c r="L586" s="3736">
        <f t="shared" si="271"/>
        <v>12</v>
      </c>
      <c r="M586" s="3735">
        <f t="shared" si="271"/>
        <v>37.200000000000003</v>
      </c>
      <c r="N586" s="3843"/>
      <c r="O586" s="3844"/>
      <c r="P586" s="3844"/>
      <c r="Q586" s="3844"/>
      <c r="R586" s="3845"/>
      <c r="S586" s="1172"/>
      <c r="T586" s="474"/>
      <c r="U586" s="1172"/>
      <c r="V586" s="3533"/>
      <c r="W586" s="3534"/>
      <c r="X586" s="3534"/>
      <c r="Y586" s="3534"/>
      <c r="Z586" s="3536"/>
      <c r="AA586" s="3533"/>
      <c r="AB586" s="3534"/>
      <c r="AC586" s="3536"/>
    </row>
    <row r="587" spans="2:29">
      <c r="B587" s="4211"/>
      <c r="C587" s="3530" t="s">
        <v>559</v>
      </c>
      <c r="D587" s="3706"/>
      <c r="E587" s="3699"/>
      <c r="F587" s="3699"/>
      <c r="G587" s="3699"/>
      <c r="H587" s="3707"/>
      <c r="I587" s="3706"/>
      <c r="J587" s="3699"/>
      <c r="K587" s="3699"/>
      <c r="L587" s="3699"/>
      <c r="M587" s="3707"/>
      <c r="N587" s="3834"/>
      <c r="O587" s="3835"/>
      <c r="P587" s="3835"/>
      <c r="Q587" s="3835"/>
      <c r="R587" s="3836"/>
      <c r="S587" s="1172"/>
      <c r="T587" s="474"/>
      <c r="U587" s="1172"/>
      <c r="V587" s="3533"/>
      <c r="W587" s="3534"/>
      <c r="X587" s="3534"/>
      <c r="Y587" s="3534"/>
      <c r="Z587" s="3536"/>
      <c r="AA587" s="3533"/>
      <c r="AB587" s="3534"/>
      <c r="AC587" s="3536"/>
    </row>
    <row r="588" spans="2:29">
      <c r="B588" s="4211"/>
      <c r="C588" s="3530" t="s">
        <v>558</v>
      </c>
      <c r="D588" s="3706"/>
      <c r="E588" s="3699"/>
      <c r="F588" s="3699"/>
      <c r="G588" s="3699"/>
      <c r="H588" s="3707"/>
      <c r="I588" s="3706"/>
      <c r="J588" s="3699"/>
      <c r="K588" s="3699"/>
      <c r="L588" s="3699"/>
      <c r="M588" s="3707"/>
      <c r="N588" s="3834"/>
      <c r="O588" s="3835"/>
      <c r="P588" s="3835"/>
      <c r="Q588" s="3835"/>
      <c r="R588" s="3836"/>
      <c r="S588" s="1172"/>
      <c r="T588" s="474"/>
      <c r="U588" s="1172"/>
      <c r="V588" s="3533"/>
      <c r="W588" s="3534"/>
      <c r="X588" s="3534"/>
      <c r="Y588" s="3534"/>
      <c r="Z588" s="3536"/>
      <c r="AA588" s="3533"/>
      <c r="AB588" s="3534"/>
      <c r="AC588" s="3536"/>
    </row>
    <row r="589" spans="2:29">
      <c r="B589" s="4211"/>
      <c r="C589" s="3530" t="s">
        <v>578</v>
      </c>
      <c r="D589" s="3706"/>
      <c r="E589" s="3699"/>
      <c r="F589" s="3699"/>
      <c r="G589" s="3699"/>
      <c r="H589" s="3707"/>
      <c r="I589" s="3706"/>
      <c r="J589" s="3699"/>
      <c r="K589" s="3699"/>
      <c r="L589" s="3699"/>
      <c r="M589" s="3707"/>
      <c r="N589" s="3834"/>
      <c r="O589" s="3835"/>
      <c r="P589" s="3835"/>
      <c r="Q589" s="3835"/>
      <c r="R589" s="3836"/>
      <c r="S589" s="1172"/>
      <c r="T589" s="474"/>
      <c r="U589" s="1172"/>
      <c r="V589" s="3533"/>
      <c r="W589" s="3534"/>
      <c r="X589" s="3534"/>
      <c r="Y589" s="3534"/>
      <c r="Z589" s="3536"/>
      <c r="AA589" s="3533"/>
      <c r="AB589" s="3534"/>
      <c r="AC589" s="3536"/>
    </row>
    <row r="590" spans="2:29">
      <c r="B590" s="4211"/>
      <c r="C590" s="3529" t="s">
        <v>579</v>
      </c>
      <c r="D590" s="3711">
        <v>5553</v>
      </c>
      <c r="E590" s="468">
        <v>7118</v>
      </c>
      <c r="F590" s="468">
        <v>7520</v>
      </c>
      <c r="G590" s="468">
        <v>4246</v>
      </c>
      <c r="H590" s="530">
        <v>14662</v>
      </c>
      <c r="I590" s="3711">
        <v>21697</v>
      </c>
      <c r="J590" s="468">
        <v>5074</v>
      </c>
      <c r="K590" s="468">
        <v>12793</v>
      </c>
      <c r="L590" s="468">
        <v>20463</v>
      </c>
      <c r="M590" s="530">
        <v>45749</v>
      </c>
      <c r="N590" s="3855"/>
      <c r="O590" s="3835"/>
      <c r="P590" s="3835"/>
      <c r="Q590" s="3835"/>
      <c r="R590" s="3836"/>
      <c r="S590" s="1172"/>
      <c r="T590" s="474"/>
      <c r="U590" s="1172"/>
      <c r="V590" s="3533"/>
      <c r="W590" s="3534"/>
      <c r="X590" s="3534"/>
      <c r="Y590" s="3534"/>
      <c r="Z590" s="3536"/>
      <c r="AA590" s="3533"/>
      <c r="AB590" s="3534"/>
      <c r="AC590" s="3536"/>
    </row>
    <row r="591" spans="2:29">
      <c r="B591" s="4211"/>
      <c r="C591" s="3530" t="s">
        <v>583</v>
      </c>
      <c r="D591" s="3706">
        <f>0.07*D590</f>
        <v>388.71000000000004</v>
      </c>
      <c r="E591" s="3699">
        <f t="shared" ref="E591:I591" si="272">0.07*E590</f>
        <v>498.26000000000005</v>
      </c>
      <c r="F591" s="3699">
        <f t="shared" si="272"/>
        <v>526.40000000000009</v>
      </c>
      <c r="G591" s="3699">
        <f t="shared" si="272"/>
        <v>297.22000000000003</v>
      </c>
      <c r="H591" s="3707">
        <f t="shared" si="272"/>
        <v>1026.3400000000001</v>
      </c>
      <c r="I591" s="3706">
        <f t="shared" si="272"/>
        <v>1518.7900000000002</v>
      </c>
      <c r="J591" s="3699">
        <f>0.07*J590</f>
        <v>355.18</v>
      </c>
      <c r="K591" s="3699">
        <f t="shared" ref="K591:L591" si="273">0.07*K590</f>
        <v>895.5100000000001</v>
      </c>
      <c r="L591" s="3699">
        <f t="shared" si="273"/>
        <v>1432.41</v>
      </c>
      <c r="M591" s="3707">
        <f>$M$250*M590</f>
        <v>0</v>
      </c>
      <c r="N591" s="3834"/>
      <c r="O591" s="3835"/>
      <c r="P591" s="3835"/>
      <c r="Q591" s="3835"/>
      <c r="R591" s="3836"/>
      <c r="S591" s="1172"/>
      <c r="T591" s="1172"/>
      <c r="U591" s="1172"/>
      <c r="V591" s="3533"/>
      <c r="W591" s="3534"/>
      <c r="X591" s="3534"/>
      <c r="Y591" s="3534"/>
      <c r="Z591" s="3536"/>
      <c r="AA591" s="3533"/>
      <c r="AB591" s="3534"/>
      <c r="AC591" s="3536"/>
    </row>
    <row r="592" spans="2:29">
      <c r="B592" s="4211"/>
      <c r="C592" s="3530" t="s">
        <v>581</v>
      </c>
      <c r="D592" s="3706"/>
      <c r="E592" s="3699"/>
      <c r="F592" s="3699"/>
      <c r="G592" s="3699"/>
      <c r="H592" s="3707"/>
      <c r="I592" s="3706"/>
      <c r="J592" s="3699"/>
      <c r="K592" s="3699"/>
      <c r="L592" s="3699"/>
      <c r="M592" s="3707"/>
      <c r="N592" s="3834"/>
      <c r="O592" s="3835"/>
      <c r="P592" s="3835"/>
      <c r="Q592" s="3835"/>
      <c r="R592" s="3836"/>
      <c r="S592" s="1172"/>
      <c r="T592" s="1172"/>
      <c r="U592" s="1172"/>
      <c r="V592" s="3533"/>
      <c r="W592" s="3534"/>
      <c r="X592" s="3534"/>
      <c r="Y592" s="3534"/>
      <c r="Z592" s="3536"/>
      <c r="AA592" s="3533"/>
      <c r="AB592" s="3534"/>
      <c r="AC592" s="3536"/>
    </row>
    <row r="593" spans="2:29">
      <c r="B593" s="4211"/>
      <c r="C593" s="3529" t="s">
        <v>584</v>
      </c>
      <c r="D593" s="3708">
        <f>D590+D591+D592</f>
        <v>5941.71</v>
      </c>
      <c r="E593" s="3701">
        <f t="shared" ref="E593:M593" si="274">E590+E591+E592</f>
        <v>7616.26</v>
      </c>
      <c r="F593" s="3701">
        <f t="shared" si="274"/>
        <v>8046.4</v>
      </c>
      <c r="G593" s="3701">
        <f t="shared" si="274"/>
        <v>4543.22</v>
      </c>
      <c r="H593" s="3709">
        <f t="shared" si="274"/>
        <v>15688.34</v>
      </c>
      <c r="I593" s="3708">
        <f t="shared" si="274"/>
        <v>23215.79</v>
      </c>
      <c r="J593" s="3701">
        <f t="shared" si="274"/>
        <v>5429.18</v>
      </c>
      <c r="K593" s="3701">
        <f t="shared" si="274"/>
        <v>13688.51</v>
      </c>
      <c r="L593" s="3701">
        <f t="shared" si="274"/>
        <v>21895.41</v>
      </c>
      <c r="M593" s="3709">
        <f t="shared" si="274"/>
        <v>45749</v>
      </c>
      <c r="N593" s="3856"/>
      <c r="O593" s="3857"/>
      <c r="P593" s="3857"/>
      <c r="Q593" s="3857"/>
      <c r="R593" s="3858"/>
      <c r="S593" s="1172"/>
      <c r="T593" s="1172"/>
      <c r="U593" s="1172"/>
      <c r="V593" s="3533"/>
      <c r="W593" s="3534"/>
      <c r="X593" s="3534"/>
      <c r="Y593" s="3534"/>
      <c r="Z593" s="3536"/>
      <c r="AA593" s="3533"/>
      <c r="AB593" s="3534"/>
      <c r="AC593" s="3536"/>
    </row>
    <row r="594" spans="2:29">
      <c r="B594" s="4211"/>
      <c r="C594" s="3530" t="s">
        <v>605</v>
      </c>
      <c r="D594" s="3706"/>
      <c r="E594" s="3699"/>
      <c r="F594" s="3699"/>
      <c r="G594" s="3699"/>
      <c r="H594" s="3707"/>
      <c r="I594" s="3706"/>
      <c r="J594" s="3699"/>
      <c r="K594" s="3699"/>
      <c r="L594" s="3699"/>
      <c r="M594" s="3707"/>
      <c r="N594" s="3834"/>
      <c r="O594" s="3835"/>
      <c r="P594" s="3835"/>
      <c r="Q594" s="3835"/>
      <c r="R594" s="3836"/>
      <c r="S594" s="1172"/>
      <c r="T594" s="1172"/>
      <c r="U594" s="1172"/>
      <c r="V594" s="3533"/>
      <c r="W594" s="3534"/>
      <c r="X594" s="3534"/>
      <c r="Y594" s="3534"/>
      <c r="Z594" s="3536"/>
      <c r="AA594" s="3533"/>
      <c r="AB594" s="3534"/>
      <c r="AC594" s="3536"/>
    </row>
    <row r="595" spans="2:29">
      <c r="B595" s="4211"/>
      <c r="C595" s="3529" t="s">
        <v>585</v>
      </c>
      <c r="D595" s="3708">
        <f>D593-D594</f>
        <v>5941.71</v>
      </c>
      <c r="E595" s="3701">
        <f t="shared" ref="E595:M595" si="275">E593-E594</f>
        <v>7616.26</v>
      </c>
      <c r="F595" s="3701">
        <f t="shared" si="275"/>
        <v>8046.4</v>
      </c>
      <c r="G595" s="3701">
        <f t="shared" si="275"/>
        <v>4543.22</v>
      </c>
      <c r="H595" s="3709">
        <f t="shared" si="275"/>
        <v>15688.34</v>
      </c>
      <c r="I595" s="3708">
        <f t="shared" si="275"/>
        <v>23215.79</v>
      </c>
      <c r="J595" s="3701">
        <f t="shared" si="275"/>
        <v>5429.18</v>
      </c>
      <c r="K595" s="3701">
        <f t="shared" si="275"/>
        <v>13688.51</v>
      </c>
      <c r="L595" s="3701">
        <f t="shared" si="275"/>
        <v>21895.41</v>
      </c>
      <c r="M595" s="3709">
        <f t="shared" si="275"/>
        <v>45749</v>
      </c>
      <c r="N595" s="3856"/>
      <c r="O595" s="3857"/>
      <c r="P595" s="3857"/>
      <c r="Q595" s="3857"/>
      <c r="R595" s="3858"/>
      <c r="S595" s="1172"/>
      <c r="T595" s="1172"/>
      <c r="U595" s="1172"/>
      <c r="V595" s="3533"/>
      <c r="W595" s="3534"/>
      <c r="X595" s="3534"/>
      <c r="Y595" s="3534"/>
      <c r="Z595" s="3536"/>
      <c r="AA595" s="3533"/>
      <c r="AB595" s="3534"/>
      <c r="AC595" s="3536"/>
    </row>
    <row r="596" spans="2:29" ht="13.5" thickBot="1">
      <c r="B596" s="4212"/>
      <c r="C596" s="3532" t="s">
        <v>93</v>
      </c>
      <c r="D596" s="3712">
        <f t="shared" ref="D596:M596" si="276">D595/D586</f>
        <v>848.81571428571431</v>
      </c>
      <c r="E596" s="3734">
        <f t="shared" si="276"/>
        <v>476.01625000000001</v>
      </c>
      <c r="F596" s="3734">
        <f t="shared" si="276"/>
        <v>447.02222222222218</v>
      </c>
      <c r="G596" s="3734">
        <f t="shared" si="276"/>
        <v>454.322</v>
      </c>
      <c r="H596" s="3733">
        <f t="shared" si="276"/>
        <v>682.10173913043479</v>
      </c>
      <c r="I596" s="3712">
        <f t="shared" si="276"/>
        <v>928.63160000000005</v>
      </c>
      <c r="J596" s="3734">
        <f t="shared" si="276"/>
        <v>678.64750000000004</v>
      </c>
      <c r="K596" s="3734">
        <f t="shared" si="276"/>
        <v>805.20647058823533</v>
      </c>
      <c r="L596" s="3734">
        <f t="shared" si="276"/>
        <v>1824.6175000000001</v>
      </c>
      <c r="M596" s="3733">
        <f t="shared" si="276"/>
        <v>1229.8118279569892</v>
      </c>
      <c r="N596" s="3840"/>
      <c r="O596" s="3846"/>
      <c r="P596" s="3846"/>
      <c r="Q596" s="3846"/>
      <c r="R596" s="3847"/>
      <c r="S596" s="1172"/>
      <c r="T596" s="1172"/>
      <c r="U596" s="1172"/>
      <c r="V596" s="3533"/>
      <c r="W596" s="3534"/>
      <c r="X596" s="3534"/>
      <c r="Y596" s="3534"/>
      <c r="Z596" s="3536"/>
      <c r="AA596" s="3533"/>
      <c r="AB596" s="3534"/>
      <c r="AC596" s="3536"/>
    </row>
    <row r="597" spans="2:29">
      <c r="B597" s="4210" t="s">
        <v>1826</v>
      </c>
      <c r="C597" s="3537" t="s">
        <v>90</v>
      </c>
      <c r="D597" s="3706">
        <f t="shared" ref="D597:M597" si="277">D75</f>
        <v>1</v>
      </c>
      <c r="E597" s="3699">
        <f t="shared" si="277"/>
        <v>6</v>
      </c>
      <c r="F597" s="3699">
        <f t="shared" si="277"/>
        <v>15</v>
      </c>
      <c r="G597" s="3699">
        <f t="shared" si="277"/>
        <v>8</v>
      </c>
      <c r="H597" s="3707">
        <f t="shared" si="277"/>
        <v>9</v>
      </c>
      <c r="I597" s="3706">
        <f t="shared" si="277"/>
        <v>19</v>
      </c>
      <c r="J597" s="3699">
        <f t="shared" si="277"/>
        <v>15</v>
      </c>
      <c r="K597" s="3699">
        <f t="shared" si="277"/>
        <v>8</v>
      </c>
      <c r="L597" s="3699">
        <f t="shared" si="277"/>
        <v>5</v>
      </c>
      <c r="M597" s="3707">
        <f t="shared" si="277"/>
        <v>26.6</v>
      </c>
      <c r="N597" s="3834"/>
      <c r="O597" s="3835"/>
      <c r="P597" s="3835"/>
      <c r="Q597" s="3835"/>
      <c r="R597" s="3836"/>
      <c r="S597" s="1172"/>
      <c r="T597" s="1172"/>
      <c r="U597" s="1172"/>
      <c r="V597" s="3533"/>
      <c r="W597" s="3534"/>
      <c r="X597" s="3534"/>
      <c r="Y597" s="3534"/>
      <c r="Z597" s="3536"/>
      <c r="AA597" s="3533"/>
      <c r="AB597" s="3534"/>
      <c r="AC597" s="3536"/>
    </row>
    <row r="598" spans="2:29">
      <c r="B598" s="4211"/>
      <c r="C598" s="3530" t="s">
        <v>559</v>
      </c>
      <c r="D598" s="3706"/>
      <c r="E598" s="3699"/>
      <c r="F598" s="3699"/>
      <c r="G598" s="3699"/>
      <c r="H598" s="3707"/>
      <c r="I598" s="3706"/>
      <c r="J598" s="3699"/>
      <c r="K598" s="3699"/>
      <c r="L598" s="3699"/>
      <c r="M598" s="3707"/>
      <c r="N598" s="3834"/>
      <c r="O598" s="3835"/>
      <c r="P598" s="3835"/>
      <c r="Q598" s="3835"/>
      <c r="R598" s="3836"/>
      <c r="S598" s="1172"/>
      <c r="T598" s="1172"/>
      <c r="U598" s="1172"/>
      <c r="V598" s="3533"/>
      <c r="W598" s="3534"/>
      <c r="X598" s="3534"/>
      <c r="Y598" s="3534"/>
      <c r="Z598" s="3536"/>
      <c r="AA598" s="3533"/>
      <c r="AB598" s="3534"/>
      <c r="AC598" s="3536"/>
    </row>
    <row r="599" spans="2:29">
      <c r="B599" s="4211"/>
      <c r="C599" s="3530" t="s">
        <v>558</v>
      </c>
      <c r="D599" s="3706"/>
      <c r="E599" s="3699"/>
      <c r="F599" s="3699"/>
      <c r="G599" s="3699"/>
      <c r="H599" s="3707"/>
      <c r="I599" s="3706"/>
      <c r="J599" s="3699"/>
      <c r="K599" s="3699"/>
      <c r="L599" s="3699"/>
      <c r="M599" s="3707"/>
      <c r="N599" s="3834"/>
      <c r="O599" s="3835"/>
      <c r="P599" s="3835"/>
      <c r="Q599" s="3835"/>
      <c r="R599" s="3836"/>
      <c r="S599" s="1172"/>
      <c r="T599" s="1172"/>
      <c r="U599" s="1172"/>
      <c r="V599" s="3533"/>
      <c r="W599" s="3534"/>
      <c r="X599" s="3534"/>
      <c r="Y599" s="3534"/>
      <c r="Z599" s="3536"/>
      <c r="AA599" s="3533"/>
      <c r="AB599" s="3534"/>
      <c r="AC599" s="3536"/>
    </row>
    <row r="600" spans="2:29">
      <c r="B600" s="4211"/>
      <c r="C600" s="3530" t="s">
        <v>578</v>
      </c>
      <c r="D600" s="3706"/>
      <c r="E600" s="3699"/>
      <c r="F600" s="3699"/>
      <c r="G600" s="3699"/>
      <c r="H600" s="3707"/>
      <c r="I600" s="3706"/>
      <c r="J600" s="3699"/>
      <c r="K600" s="3699"/>
      <c r="L600" s="3699"/>
      <c r="M600" s="3707"/>
      <c r="N600" s="3834"/>
      <c r="O600" s="3835"/>
      <c r="P600" s="3835"/>
      <c r="Q600" s="3835"/>
      <c r="R600" s="3836"/>
      <c r="S600" s="1172"/>
      <c r="T600" s="1172"/>
      <c r="U600" s="1172"/>
      <c r="V600" s="3533"/>
      <c r="W600" s="3534"/>
      <c r="X600" s="3534"/>
      <c r="Y600" s="3534"/>
      <c r="Z600" s="3536"/>
      <c r="AA600" s="3533"/>
      <c r="AB600" s="3534"/>
      <c r="AC600" s="3536"/>
    </row>
    <row r="601" spans="2:29">
      <c r="B601" s="4211"/>
      <c r="C601" s="3529" t="s">
        <v>579</v>
      </c>
      <c r="D601" s="3711">
        <v>793</v>
      </c>
      <c r="E601" s="468">
        <v>2669</v>
      </c>
      <c r="F601" s="468">
        <v>6266</v>
      </c>
      <c r="G601" s="468">
        <v>3396</v>
      </c>
      <c r="H601" s="530">
        <v>5737</v>
      </c>
      <c r="I601" s="3711">
        <v>16490</v>
      </c>
      <c r="J601" s="468">
        <v>9514</v>
      </c>
      <c r="K601" s="468">
        <v>6020</v>
      </c>
      <c r="L601" s="468">
        <v>8526</v>
      </c>
      <c r="M601" s="530">
        <v>33384</v>
      </c>
      <c r="N601" s="3855"/>
      <c r="O601" s="3835"/>
      <c r="P601" s="3835"/>
      <c r="Q601" s="3835"/>
      <c r="R601" s="3836"/>
      <c r="S601" s="1172"/>
      <c r="T601" s="1172"/>
      <c r="U601" s="1172"/>
      <c r="V601" s="3533"/>
      <c r="W601" s="3534"/>
      <c r="X601" s="3534"/>
      <c r="Y601" s="3534"/>
      <c r="Z601" s="3536"/>
      <c r="AA601" s="3533"/>
      <c r="AB601" s="3534"/>
      <c r="AC601" s="3536"/>
    </row>
    <row r="602" spans="2:29">
      <c r="B602" s="4211"/>
      <c r="C602" s="3530" t="s">
        <v>583</v>
      </c>
      <c r="D602" s="3706">
        <f>0.07*D601</f>
        <v>55.510000000000005</v>
      </c>
      <c r="E602" s="3699">
        <f t="shared" ref="E602:L602" si="278">0.07*E601</f>
        <v>186.83</v>
      </c>
      <c r="F602" s="3699">
        <f t="shared" si="278"/>
        <v>438.62000000000006</v>
      </c>
      <c r="G602" s="3699">
        <f t="shared" si="278"/>
        <v>237.72000000000003</v>
      </c>
      <c r="H602" s="3707">
        <f t="shared" si="278"/>
        <v>401.59000000000003</v>
      </c>
      <c r="I602" s="3706">
        <f t="shared" si="278"/>
        <v>1154.3000000000002</v>
      </c>
      <c r="J602" s="3699">
        <f t="shared" si="278"/>
        <v>665.98</v>
      </c>
      <c r="K602" s="3699">
        <f t="shared" si="278"/>
        <v>421.40000000000003</v>
      </c>
      <c r="L602" s="3699">
        <f t="shared" si="278"/>
        <v>596.82000000000005</v>
      </c>
      <c r="M602" s="3707">
        <f>$M$250*M601</f>
        <v>0</v>
      </c>
      <c r="N602" s="3834"/>
      <c r="O602" s="3835"/>
      <c r="P602" s="3835"/>
      <c r="Q602" s="3835"/>
      <c r="R602" s="3836"/>
      <c r="S602" s="1172"/>
      <c r="T602" s="1172"/>
      <c r="U602" s="1172"/>
      <c r="V602" s="3533"/>
      <c r="W602" s="3534"/>
      <c r="X602" s="3534"/>
      <c r="Y602" s="3534"/>
      <c r="Z602" s="3536"/>
      <c r="AA602" s="3533"/>
      <c r="AB602" s="3534"/>
      <c r="AC602" s="3536"/>
    </row>
    <row r="603" spans="2:29">
      <c r="B603" s="4211"/>
      <c r="C603" s="3530" t="s">
        <v>581</v>
      </c>
      <c r="D603" s="3706"/>
      <c r="E603" s="3699"/>
      <c r="F603" s="3699"/>
      <c r="G603" s="3699"/>
      <c r="H603" s="3707"/>
      <c r="I603" s="3706"/>
      <c r="J603" s="3699"/>
      <c r="K603" s="3699"/>
      <c r="L603" s="3699"/>
      <c r="M603" s="3707"/>
      <c r="N603" s="3834"/>
      <c r="O603" s="3835"/>
      <c r="P603" s="3835"/>
      <c r="Q603" s="3835"/>
      <c r="R603" s="3836"/>
      <c r="S603" s="1172"/>
      <c r="T603" s="1172"/>
      <c r="U603" s="1172"/>
      <c r="V603" s="3533"/>
      <c r="W603" s="3534"/>
      <c r="X603" s="3534"/>
      <c r="Y603" s="3534"/>
      <c r="Z603" s="3536"/>
      <c r="AA603" s="3533"/>
      <c r="AB603" s="3534"/>
      <c r="AC603" s="3536"/>
    </row>
    <row r="604" spans="2:29">
      <c r="B604" s="4211"/>
      <c r="C604" s="3529" t="s">
        <v>584</v>
      </c>
      <c r="D604" s="3708">
        <f>D601+D602+D603</f>
        <v>848.51</v>
      </c>
      <c r="E604" s="3701">
        <f t="shared" ref="E604:M604" si="279">E601+E602+E603</f>
        <v>2855.83</v>
      </c>
      <c r="F604" s="3701">
        <f t="shared" si="279"/>
        <v>6704.62</v>
      </c>
      <c r="G604" s="3701">
        <f t="shared" si="279"/>
        <v>3633.7200000000003</v>
      </c>
      <c r="H604" s="3709">
        <f t="shared" si="279"/>
        <v>6138.59</v>
      </c>
      <c r="I604" s="3708">
        <f t="shared" si="279"/>
        <v>17644.3</v>
      </c>
      <c r="J604" s="3701">
        <f t="shared" si="279"/>
        <v>10179.98</v>
      </c>
      <c r="K604" s="3701">
        <f t="shared" si="279"/>
        <v>6441.4</v>
      </c>
      <c r="L604" s="3701">
        <f t="shared" si="279"/>
        <v>9122.82</v>
      </c>
      <c r="M604" s="3709">
        <f t="shared" si="279"/>
        <v>33384</v>
      </c>
      <c r="N604" s="3856"/>
      <c r="O604" s="3857"/>
      <c r="P604" s="3857"/>
      <c r="Q604" s="3857"/>
      <c r="R604" s="3858"/>
      <c r="S604" s="1172"/>
      <c r="T604" s="1172"/>
      <c r="U604" s="1172"/>
      <c r="V604" s="3533"/>
      <c r="W604" s="3534"/>
      <c r="X604" s="3534"/>
      <c r="Y604" s="3534"/>
      <c r="Z604" s="3536"/>
      <c r="AA604" s="3533"/>
      <c r="AB604" s="3534"/>
      <c r="AC604" s="3536"/>
    </row>
    <row r="605" spans="2:29">
      <c r="B605" s="4211"/>
      <c r="C605" s="3530" t="s">
        <v>605</v>
      </c>
      <c r="D605" s="3706"/>
      <c r="E605" s="3699"/>
      <c r="F605" s="3699"/>
      <c r="G605" s="3699"/>
      <c r="H605" s="3707"/>
      <c r="I605" s="3706"/>
      <c r="J605" s="3699"/>
      <c r="K605" s="3699"/>
      <c r="L605" s="3699"/>
      <c r="M605" s="3707"/>
      <c r="N605" s="3834"/>
      <c r="O605" s="3835"/>
      <c r="P605" s="3835"/>
      <c r="Q605" s="3835"/>
      <c r="R605" s="3836"/>
      <c r="S605" s="1172"/>
      <c r="T605" s="1172"/>
      <c r="U605" s="1172"/>
      <c r="V605" s="3533"/>
      <c r="W605" s="3534"/>
      <c r="X605" s="3534"/>
      <c r="Y605" s="3534"/>
      <c r="Z605" s="3536"/>
      <c r="AA605" s="3533"/>
      <c r="AB605" s="3534"/>
      <c r="AC605" s="3536"/>
    </row>
    <row r="606" spans="2:29">
      <c r="B606" s="4211"/>
      <c r="C606" s="3529" t="s">
        <v>585</v>
      </c>
      <c r="D606" s="3708">
        <f>D604-D605</f>
        <v>848.51</v>
      </c>
      <c r="E606" s="3701">
        <f t="shared" ref="E606:M606" si="280">E604-E605</f>
        <v>2855.83</v>
      </c>
      <c r="F606" s="3701">
        <f t="shared" si="280"/>
        <v>6704.62</v>
      </c>
      <c r="G606" s="3701">
        <f t="shared" si="280"/>
        <v>3633.7200000000003</v>
      </c>
      <c r="H606" s="3709">
        <f t="shared" si="280"/>
        <v>6138.59</v>
      </c>
      <c r="I606" s="3708">
        <f t="shared" si="280"/>
        <v>17644.3</v>
      </c>
      <c r="J606" s="3701">
        <f t="shared" si="280"/>
        <v>10179.98</v>
      </c>
      <c r="K606" s="3701">
        <f t="shared" si="280"/>
        <v>6441.4</v>
      </c>
      <c r="L606" s="3701">
        <f t="shared" si="280"/>
        <v>9122.82</v>
      </c>
      <c r="M606" s="3709">
        <f t="shared" si="280"/>
        <v>33384</v>
      </c>
      <c r="N606" s="3856"/>
      <c r="O606" s="3857"/>
      <c r="P606" s="3857"/>
      <c r="Q606" s="3857"/>
      <c r="R606" s="3858"/>
      <c r="S606" s="1172"/>
      <c r="T606" s="1172"/>
      <c r="U606" s="1172"/>
      <c r="V606" s="3533"/>
      <c r="W606" s="3534"/>
      <c r="X606" s="3534"/>
      <c r="Y606" s="3534"/>
      <c r="Z606" s="3536"/>
      <c r="AA606" s="3533"/>
      <c r="AB606" s="3534"/>
      <c r="AC606" s="3536"/>
    </row>
    <row r="607" spans="2:29" ht="13.5" thickBot="1">
      <c r="B607" s="4212"/>
      <c r="C607" s="3532" t="s">
        <v>93</v>
      </c>
      <c r="D607" s="470">
        <f t="shared" ref="D607:M607" si="281">D606/D597</f>
        <v>848.51</v>
      </c>
      <c r="E607" s="468">
        <f t="shared" si="281"/>
        <v>475.97166666666664</v>
      </c>
      <c r="F607" s="468">
        <f t="shared" si="281"/>
        <v>446.97466666666668</v>
      </c>
      <c r="G607" s="468">
        <f t="shared" si="281"/>
        <v>454.21500000000003</v>
      </c>
      <c r="H607" s="530">
        <f t="shared" si="281"/>
        <v>682.06555555555553</v>
      </c>
      <c r="I607" s="470">
        <f t="shared" si="281"/>
        <v>928.64736842105265</v>
      </c>
      <c r="J607" s="468">
        <f t="shared" si="281"/>
        <v>678.66533333333325</v>
      </c>
      <c r="K607" s="468">
        <f t="shared" si="281"/>
        <v>805.17499999999995</v>
      </c>
      <c r="L607" s="468">
        <f t="shared" si="281"/>
        <v>1824.5639999999999</v>
      </c>
      <c r="M607" s="530">
        <f t="shared" si="281"/>
        <v>1255.0375939849623</v>
      </c>
      <c r="N607" s="3834"/>
      <c r="O607" s="3835"/>
      <c r="P607" s="3835"/>
      <c r="Q607" s="3835"/>
      <c r="R607" s="3836"/>
      <c r="S607" s="1172"/>
      <c r="T607" s="1172"/>
      <c r="U607" s="1172"/>
      <c r="V607" s="3533"/>
      <c r="W607" s="3534"/>
      <c r="X607" s="3534"/>
      <c r="Y607" s="3534"/>
      <c r="Z607" s="3536"/>
      <c r="AA607" s="3533"/>
      <c r="AB607" s="3534"/>
      <c r="AC607" s="3536"/>
    </row>
    <row r="608" spans="2:29">
      <c r="B608" s="4210" t="s">
        <v>1827</v>
      </c>
      <c r="C608" s="3537" t="s">
        <v>90</v>
      </c>
      <c r="D608" s="3737">
        <f t="shared" ref="D608:M608" si="282">D78</f>
        <v>9</v>
      </c>
      <c r="E608" s="3736">
        <f t="shared" si="282"/>
        <v>1</v>
      </c>
      <c r="F608" s="3736">
        <f t="shared" si="282"/>
        <v>5</v>
      </c>
      <c r="G608" s="3736">
        <f t="shared" si="282"/>
        <v>8</v>
      </c>
      <c r="H608" s="3735">
        <f t="shared" si="282"/>
        <v>6</v>
      </c>
      <c r="I608" s="3737">
        <f t="shared" si="282"/>
        <v>9</v>
      </c>
      <c r="J608" s="3736">
        <f t="shared" si="282"/>
        <v>5</v>
      </c>
      <c r="K608" s="3736">
        <f t="shared" si="282"/>
        <v>5</v>
      </c>
      <c r="L608" s="3736">
        <f t="shared" si="282"/>
        <v>7</v>
      </c>
      <c r="M608" s="3735">
        <f t="shared" si="282"/>
        <v>27.400000000000002</v>
      </c>
      <c r="N608" s="3843"/>
      <c r="O608" s="3844"/>
      <c r="P608" s="3844"/>
      <c r="Q608" s="3844"/>
      <c r="R608" s="3845"/>
      <c r="S608" s="1172"/>
      <c r="T608" s="1172"/>
      <c r="U608" s="1172"/>
      <c r="V608" s="3533"/>
      <c r="W608" s="3534"/>
      <c r="X608" s="3534"/>
      <c r="Y608" s="3534"/>
      <c r="Z608" s="3536"/>
      <c r="AA608" s="3533"/>
      <c r="AB608" s="3534"/>
      <c r="AC608" s="3536"/>
    </row>
    <row r="609" spans="2:29">
      <c r="B609" s="4211"/>
      <c r="C609" s="3530" t="s">
        <v>559</v>
      </c>
      <c r="D609" s="3706"/>
      <c r="E609" s="3699"/>
      <c r="F609" s="3699"/>
      <c r="G609" s="3699"/>
      <c r="H609" s="3707"/>
      <c r="I609" s="3706"/>
      <c r="J609" s="3699"/>
      <c r="K609" s="3699"/>
      <c r="L609" s="3699"/>
      <c r="M609" s="3707"/>
      <c r="N609" s="3834"/>
      <c r="O609" s="3835"/>
      <c r="P609" s="3835"/>
      <c r="Q609" s="3835"/>
      <c r="R609" s="3836"/>
      <c r="S609" s="1172"/>
      <c r="T609" s="1172"/>
      <c r="U609" s="1172"/>
      <c r="V609" s="3533"/>
      <c r="W609" s="3534"/>
      <c r="X609" s="3534"/>
      <c r="Y609" s="3534"/>
      <c r="Z609" s="3536"/>
      <c r="AA609" s="3533"/>
      <c r="AB609" s="3534"/>
      <c r="AC609" s="3536"/>
    </row>
    <row r="610" spans="2:29">
      <c r="B610" s="4211"/>
      <c r="C610" s="3530" t="s">
        <v>558</v>
      </c>
      <c r="D610" s="3706"/>
      <c r="E610" s="3699"/>
      <c r="F610" s="3699"/>
      <c r="G610" s="3699"/>
      <c r="H610" s="3707"/>
      <c r="I610" s="3706"/>
      <c r="J610" s="3699"/>
      <c r="K610" s="3699"/>
      <c r="L610" s="3699"/>
      <c r="M610" s="3707"/>
      <c r="N610" s="3834"/>
      <c r="O610" s="3835"/>
      <c r="P610" s="3835"/>
      <c r="Q610" s="3835"/>
      <c r="R610" s="3836"/>
      <c r="S610" s="1172"/>
      <c r="T610" s="1172"/>
      <c r="U610" s="1172"/>
      <c r="V610" s="3533"/>
      <c r="W610" s="3534"/>
      <c r="X610" s="3534"/>
      <c r="Y610" s="3534"/>
      <c r="Z610" s="3536"/>
      <c r="AA610" s="3533"/>
      <c r="AB610" s="3534"/>
      <c r="AC610" s="3536"/>
    </row>
    <row r="611" spans="2:29">
      <c r="B611" s="4211"/>
      <c r="C611" s="3530" t="s">
        <v>578</v>
      </c>
      <c r="D611" s="3706"/>
      <c r="E611" s="3699"/>
      <c r="F611" s="3699"/>
      <c r="G611" s="3699"/>
      <c r="H611" s="3707"/>
      <c r="I611" s="3706"/>
      <c r="J611" s="3699"/>
      <c r="K611" s="3699"/>
      <c r="L611" s="3699"/>
      <c r="M611" s="3707"/>
      <c r="N611" s="3834"/>
      <c r="O611" s="3835"/>
      <c r="P611" s="3835"/>
      <c r="Q611" s="3835"/>
      <c r="R611" s="3836"/>
      <c r="S611" s="1172"/>
      <c r="T611" s="1172"/>
      <c r="U611" s="1172"/>
      <c r="V611" s="3533"/>
      <c r="W611" s="3534"/>
      <c r="X611" s="3534"/>
      <c r="Y611" s="3534"/>
      <c r="Z611" s="3536"/>
      <c r="AA611" s="3533"/>
      <c r="AB611" s="3534"/>
      <c r="AC611" s="3536"/>
    </row>
    <row r="612" spans="2:29">
      <c r="B612" s="4211"/>
      <c r="C612" s="3529" t="s">
        <v>579</v>
      </c>
      <c r="D612" s="3711">
        <v>7140</v>
      </c>
      <c r="E612" s="468">
        <v>445</v>
      </c>
      <c r="F612" s="468">
        <v>2089</v>
      </c>
      <c r="G612" s="468">
        <v>3396</v>
      </c>
      <c r="H612" s="530">
        <v>3825</v>
      </c>
      <c r="I612" s="3711">
        <v>7811</v>
      </c>
      <c r="J612" s="468">
        <v>3171</v>
      </c>
      <c r="K612" s="468">
        <v>3763</v>
      </c>
      <c r="L612" s="468">
        <v>11937</v>
      </c>
      <c r="M612" s="530">
        <v>33384</v>
      </c>
      <c r="N612" s="3855"/>
      <c r="O612" s="3835"/>
      <c r="P612" s="3835"/>
      <c r="Q612" s="3835"/>
      <c r="R612" s="3836"/>
      <c r="S612" s="1172"/>
      <c r="T612" s="1172"/>
      <c r="U612" s="1172"/>
      <c r="V612" s="3533"/>
      <c r="W612" s="3534"/>
      <c r="X612" s="3534"/>
      <c r="Y612" s="3534"/>
      <c r="Z612" s="3536"/>
      <c r="AA612" s="3533"/>
      <c r="AB612" s="3534"/>
      <c r="AC612" s="3536"/>
    </row>
    <row r="613" spans="2:29">
      <c r="B613" s="4211"/>
      <c r="C613" s="3530" t="s">
        <v>583</v>
      </c>
      <c r="D613" s="3706">
        <f>0.07*D612</f>
        <v>499.80000000000007</v>
      </c>
      <c r="E613" s="3699">
        <f t="shared" ref="E613:L613" si="283">0.07*E612</f>
        <v>31.150000000000002</v>
      </c>
      <c r="F613" s="3699">
        <f t="shared" si="283"/>
        <v>146.23000000000002</v>
      </c>
      <c r="G613" s="3699">
        <f t="shared" si="283"/>
        <v>237.72000000000003</v>
      </c>
      <c r="H613" s="3707">
        <f t="shared" si="283"/>
        <v>267.75</v>
      </c>
      <c r="I613" s="3706">
        <f t="shared" si="283"/>
        <v>546.7700000000001</v>
      </c>
      <c r="J613" s="3699">
        <f t="shared" si="283"/>
        <v>221.97000000000003</v>
      </c>
      <c r="K613" s="3699">
        <f t="shared" si="283"/>
        <v>263.41000000000003</v>
      </c>
      <c r="L613" s="3699">
        <f t="shared" si="283"/>
        <v>835.59</v>
      </c>
      <c r="M613" s="3707">
        <f>$M$250*M612</f>
        <v>0</v>
      </c>
      <c r="N613" s="3834"/>
      <c r="O613" s="3835"/>
      <c r="P613" s="3835"/>
      <c r="Q613" s="3835"/>
      <c r="R613" s="3836"/>
      <c r="S613" s="1172"/>
      <c r="T613" s="1172"/>
      <c r="U613" s="1172"/>
      <c r="V613" s="3533"/>
      <c r="W613" s="3534"/>
      <c r="X613" s="3534"/>
      <c r="Y613" s="3534"/>
      <c r="Z613" s="3536"/>
      <c r="AA613" s="3533"/>
      <c r="AB613" s="3534"/>
      <c r="AC613" s="3536"/>
    </row>
    <row r="614" spans="2:29">
      <c r="B614" s="4211"/>
      <c r="C614" s="3530" t="s">
        <v>581</v>
      </c>
      <c r="D614" s="3706"/>
      <c r="E614" s="3699"/>
      <c r="F614" s="3699"/>
      <c r="G614" s="3699"/>
      <c r="H614" s="3707"/>
      <c r="I614" s="3706"/>
      <c r="J614" s="3699"/>
      <c r="K614" s="3699"/>
      <c r="L614" s="3699"/>
      <c r="M614" s="3707"/>
      <c r="N614" s="3834"/>
      <c r="O614" s="3835"/>
      <c r="P614" s="3835"/>
      <c r="Q614" s="3835"/>
      <c r="R614" s="3836"/>
      <c r="S614" s="1172"/>
      <c r="T614" s="1172"/>
      <c r="U614" s="1172"/>
      <c r="V614" s="3533"/>
      <c r="W614" s="3534"/>
      <c r="X614" s="3534"/>
      <c r="Y614" s="3534"/>
      <c r="Z614" s="3536"/>
      <c r="AA614" s="3533"/>
      <c r="AB614" s="3534"/>
      <c r="AC614" s="3536"/>
    </row>
    <row r="615" spans="2:29">
      <c r="B615" s="4211"/>
      <c r="C615" s="3529" t="s">
        <v>584</v>
      </c>
      <c r="D615" s="3708">
        <f>D612+D613+D614</f>
        <v>7639.8</v>
      </c>
      <c r="E615" s="3701">
        <f t="shared" ref="E615:M615" si="284">E612+E613+E614</f>
        <v>476.15</v>
      </c>
      <c r="F615" s="3701">
        <f t="shared" si="284"/>
        <v>2235.23</v>
      </c>
      <c r="G615" s="3701">
        <f t="shared" si="284"/>
        <v>3633.7200000000003</v>
      </c>
      <c r="H615" s="3709">
        <f t="shared" si="284"/>
        <v>4092.75</v>
      </c>
      <c r="I615" s="3708">
        <f t="shared" si="284"/>
        <v>8357.77</v>
      </c>
      <c r="J615" s="3701">
        <f t="shared" si="284"/>
        <v>3392.9700000000003</v>
      </c>
      <c r="K615" s="3701">
        <f t="shared" si="284"/>
        <v>4026.41</v>
      </c>
      <c r="L615" s="3701">
        <f t="shared" si="284"/>
        <v>12772.59</v>
      </c>
      <c r="M615" s="3709">
        <f t="shared" si="284"/>
        <v>33384</v>
      </c>
      <c r="N615" s="3856"/>
      <c r="O615" s="3857"/>
      <c r="P615" s="3857"/>
      <c r="Q615" s="3857"/>
      <c r="R615" s="3858"/>
      <c r="S615" s="1172"/>
      <c r="T615" s="1172"/>
      <c r="U615" s="1172"/>
      <c r="V615" s="3533"/>
      <c r="W615" s="3534"/>
      <c r="X615" s="3534"/>
      <c r="Y615" s="3534"/>
      <c r="Z615" s="3536"/>
      <c r="AA615" s="3533"/>
      <c r="AB615" s="3534"/>
      <c r="AC615" s="3536"/>
    </row>
    <row r="616" spans="2:29">
      <c r="B616" s="4211"/>
      <c r="C616" s="3530" t="s">
        <v>605</v>
      </c>
      <c r="D616" s="3706"/>
      <c r="E616" s="3699"/>
      <c r="F616" s="3699"/>
      <c r="G616" s="3699"/>
      <c r="H616" s="3707"/>
      <c r="I616" s="3706"/>
      <c r="J616" s="3699"/>
      <c r="K616" s="3699"/>
      <c r="L616" s="3699"/>
      <c r="M616" s="3707"/>
      <c r="N616" s="3834"/>
      <c r="O616" s="3835"/>
      <c r="P616" s="3835"/>
      <c r="Q616" s="3835"/>
      <c r="R616" s="3836"/>
      <c r="S616" s="1172"/>
      <c r="T616" s="1172"/>
      <c r="U616" s="1172"/>
      <c r="V616" s="3533"/>
      <c r="W616" s="3534"/>
      <c r="X616" s="3534"/>
      <c r="Y616" s="3534"/>
      <c r="Z616" s="3536"/>
      <c r="AA616" s="3533"/>
      <c r="AB616" s="3534"/>
      <c r="AC616" s="3536"/>
    </row>
    <row r="617" spans="2:29">
      <c r="B617" s="4211"/>
      <c r="C617" s="3529" t="s">
        <v>585</v>
      </c>
      <c r="D617" s="3708">
        <f>D615-D616</f>
        <v>7639.8</v>
      </c>
      <c r="E617" s="3701">
        <f t="shared" ref="E617:M617" si="285">E615-E616</f>
        <v>476.15</v>
      </c>
      <c r="F617" s="3701">
        <f t="shared" si="285"/>
        <v>2235.23</v>
      </c>
      <c r="G617" s="3701">
        <f t="shared" si="285"/>
        <v>3633.7200000000003</v>
      </c>
      <c r="H617" s="3709">
        <f t="shared" si="285"/>
        <v>4092.75</v>
      </c>
      <c r="I617" s="3708">
        <f t="shared" si="285"/>
        <v>8357.77</v>
      </c>
      <c r="J617" s="3701">
        <f t="shared" si="285"/>
        <v>3392.9700000000003</v>
      </c>
      <c r="K617" s="3701">
        <f t="shared" si="285"/>
        <v>4026.41</v>
      </c>
      <c r="L617" s="3701">
        <f t="shared" si="285"/>
        <v>12772.59</v>
      </c>
      <c r="M617" s="3709">
        <f t="shared" si="285"/>
        <v>33384</v>
      </c>
      <c r="N617" s="3856"/>
      <c r="O617" s="3857"/>
      <c r="P617" s="3857"/>
      <c r="Q617" s="3857"/>
      <c r="R617" s="3858"/>
      <c r="S617" s="1172"/>
      <c r="T617" s="1172"/>
      <c r="U617" s="1172"/>
      <c r="V617" s="3533"/>
      <c r="W617" s="3534"/>
      <c r="X617" s="3534"/>
      <c r="Y617" s="3534"/>
      <c r="Z617" s="3536"/>
      <c r="AA617" s="3533"/>
      <c r="AB617" s="3534"/>
      <c r="AC617" s="3536"/>
    </row>
    <row r="618" spans="2:29" ht="13.5" thickBot="1">
      <c r="B618" s="4212"/>
      <c r="C618" s="3532" t="s">
        <v>93</v>
      </c>
      <c r="D618" s="3712">
        <f t="shared" ref="D618:M618" si="286">D617/D608</f>
        <v>848.86666666666667</v>
      </c>
      <c r="E618" s="3734">
        <f t="shared" si="286"/>
        <v>476.15</v>
      </c>
      <c r="F618" s="3734">
        <f t="shared" si="286"/>
        <v>447.04599999999999</v>
      </c>
      <c r="G618" s="3734">
        <f t="shared" si="286"/>
        <v>454.21500000000003</v>
      </c>
      <c r="H618" s="3733">
        <f t="shared" si="286"/>
        <v>682.125</v>
      </c>
      <c r="I618" s="3712">
        <f t="shared" si="286"/>
        <v>928.64111111111117</v>
      </c>
      <c r="J618" s="3734">
        <f t="shared" si="286"/>
        <v>678.59400000000005</v>
      </c>
      <c r="K618" s="3734">
        <f t="shared" si="286"/>
        <v>805.28199999999993</v>
      </c>
      <c r="L618" s="3734">
        <f t="shared" si="286"/>
        <v>1824.6557142857143</v>
      </c>
      <c r="M618" s="3733">
        <f t="shared" si="286"/>
        <v>1218.3941605839416</v>
      </c>
      <c r="N618" s="3840"/>
      <c r="O618" s="3846"/>
      <c r="P618" s="3846"/>
      <c r="Q618" s="3846"/>
      <c r="R618" s="3847"/>
      <c r="S618" s="1172"/>
      <c r="T618" s="1172"/>
      <c r="U618" s="1172"/>
      <c r="V618" s="3533"/>
      <c r="W618" s="3534"/>
      <c r="X618" s="3534"/>
      <c r="Y618" s="3534"/>
      <c r="Z618" s="3536"/>
      <c r="AA618" s="3533"/>
      <c r="AB618" s="3534"/>
      <c r="AC618" s="3536"/>
    </row>
    <row r="619" spans="2:29">
      <c r="B619" s="4210" t="s">
        <v>1828</v>
      </c>
      <c r="C619" s="3537" t="s">
        <v>90</v>
      </c>
      <c r="D619" s="3706">
        <f t="shared" ref="D619:M619" si="287">D81</f>
        <v>0</v>
      </c>
      <c r="E619" s="3699">
        <f t="shared" si="287"/>
        <v>0</v>
      </c>
      <c r="F619" s="3699">
        <f t="shared" si="287"/>
        <v>0</v>
      </c>
      <c r="G619" s="3699">
        <f t="shared" si="287"/>
        <v>1</v>
      </c>
      <c r="H619" s="3707">
        <f t="shared" si="287"/>
        <v>0</v>
      </c>
      <c r="I619" s="3706">
        <f t="shared" si="287"/>
        <v>0</v>
      </c>
      <c r="J619" s="3699">
        <f t="shared" si="287"/>
        <v>0</v>
      </c>
      <c r="K619" s="3699">
        <f t="shared" si="287"/>
        <v>5</v>
      </c>
      <c r="L619" s="3699">
        <f t="shared" si="287"/>
        <v>0</v>
      </c>
      <c r="M619" s="3707">
        <f t="shared" si="287"/>
        <v>2</v>
      </c>
      <c r="N619" s="3834"/>
      <c r="O619" s="3835"/>
      <c r="P619" s="3835"/>
      <c r="Q619" s="3835"/>
      <c r="R619" s="3836"/>
      <c r="S619" s="1172"/>
      <c r="T619" s="1172"/>
      <c r="U619" s="1172"/>
      <c r="V619" s="3533"/>
      <c r="W619" s="3534"/>
      <c r="X619" s="3534"/>
      <c r="Y619" s="3534"/>
      <c r="Z619" s="3536"/>
      <c r="AA619" s="3533"/>
      <c r="AB619" s="3534"/>
      <c r="AC619" s="3536"/>
    </row>
    <row r="620" spans="2:29">
      <c r="B620" s="4211"/>
      <c r="C620" s="3530" t="s">
        <v>559</v>
      </c>
      <c r="D620" s="3706"/>
      <c r="E620" s="3699"/>
      <c r="F620" s="3699"/>
      <c r="G620" s="3699"/>
      <c r="H620" s="3707"/>
      <c r="I620" s="3706"/>
      <c r="J620" s="3699"/>
      <c r="K620" s="3699"/>
      <c r="L620" s="3699"/>
      <c r="M620" s="3707"/>
      <c r="N620" s="3834"/>
      <c r="O620" s="3835"/>
      <c r="P620" s="3835"/>
      <c r="Q620" s="3835"/>
      <c r="R620" s="3836"/>
      <c r="S620" s="1172"/>
      <c r="T620" s="1172"/>
      <c r="U620" s="1172"/>
      <c r="V620" s="3533"/>
      <c r="W620" s="3534"/>
      <c r="X620" s="3534"/>
      <c r="Y620" s="3534"/>
      <c r="Z620" s="3536"/>
      <c r="AA620" s="3533"/>
      <c r="AB620" s="3534"/>
      <c r="AC620" s="3536"/>
    </row>
    <row r="621" spans="2:29">
      <c r="B621" s="4211"/>
      <c r="C621" s="3530" t="s">
        <v>558</v>
      </c>
      <c r="D621" s="3706"/>
      <c r="E621" s="3699"/>
      <c r="F621" s="3699"/>
      <c r="G621" s="3699"/>
      <c r="H621" s="3707"/>
      <c r="I621" s="3706"/>
      <c r="J621" s="3699"/>
      <c r="K621" s="3699"/>
      <c r="L621" s="3699"/>
      <c r="M621" s="3707"/>
      <c r="N621" s="3834"/>
      <c r="O621" s="3835"/>
      <c r="P621" s="3835"/>
      <c r="Q621" s="3835"/>
      <c r="R621" s="3836"/>
      <c r="S621" s="1172"/>
      <c r="T621" s="1172"/>
      <c r="U621" s="1172"/>
      <c r="V621" s="3533"/>
      <c r="W621" s="3534"/>
      <c r="X621" s="3534"/>
      <c r="Y621" s="3534"/>
      <c r="Z621" s="3536"/>
      <c r="AA621" s="3533"/>
      <c r="AB621" s="3534"/>
      <c r="AC621" s="3536"/>
    </row>
    <row r="622" spans="2:29">
      <c r="B622" s="4211"/>
      <c r="C622" s="3530" t="s">
        <v>578</v>
      </c>
      <c r="D622" s="3706"/>
      <c r="E622" s="3699"/>
      <c r="F622" s="3699"/>
      <c r="G622" s="3699"/>
      <c r="H622" s="3707"/>
      <c r="I622" s="3706"/>
      <c r="J622" s="3699"/>
      <c r="K622" s="3699"/>
      <c r="L622" s="3699"/>
      <c r="M622" s="3707"/>
      <c r="N622" s="3834"/>
      <c r="O622" s="3835"/>
      <c r="P622" s="3835"/>
      <c r="Q622" s="3835"/>
      <c r="R622" s="3836"/>
      <c r="S622" s="1172"/>
      <c r="T622" s="1172"/>
      <c r="U622" s="1172"/>
      <c r="V622" s="3533"/>
      <c r="W622" s="3534"/>
      <c r="X622" s="3534"/>
      <c r="Y622" s="3534"/>
      <c r="Z622" s="3536"/>
      <c r="AA622" s="3533"/>
      <c r="AB622" s="3534"/>
      <c r="AC622" s="3536"/>
    </row>
    <row r="623" spans="2:29">
      <c r="B623" s="4211"/>
      <c r="C623" s="3529" t="s">
        <v>579</v>
      </c>
      <c r="D623" s="3711">
        <v>0</v>
      </c>
      <c r="E623" s="468">
        <v>0</v>
      </c>
      <c r="F623" s="468">
        <v>0</v>
      </c>
      <c r="G623" s="468">
        <v>425</v>
      </c>
      <c r="H623" s="530">
        <v>0</v>
      </c>
      <c r="I623" s="3711">
        <v>0</v>
      </c>
      <c r="J623" s="468"/>
      <c r="K623" s="468">
        <v>3763</v>
      </c>
      <c r="L623" s="468">
        <v>0</v>
      </c>
      <c r="M623" s="530">
        <v>2473</v>
      </c>
      <c r="N623" s="3855"/>
      <c r="O623" s="3835"/>
      <c r="P623" s="3835"/>
      <c r="Q623" s="3835"/>
      <c r="R623" s="3836"/>
      <c r="S623" s="1172"/>
      <c r="T623" s="1172"/>
      <c r="U623" s="1172"/>
      <c r="V623" s="3533"/>
      <c r="W623" s="3534"/>
      <c r="X623" s="3534"/>
      <c r="Y623" s="3534"/>
      <c r="Z623" s="3536"/>
      <c r="AA623" s="3533"/>
      <c r="AB623" s="3534"/>
      <c r="AC623" s="3536"/>
    </row>
    <row r="624" spans="2:29">
      <c r="B624" s="4211"/>
      <c r="C624" s="3530" t="s">
        <v>583</v>
      </c>
      <c r="D624" s="3706">
        <f>0.07*D623</f>
        <v>0</v>
      </c>
      <c r="E624" s="3699">
        <f t="shared" ref="E624:L624" si="288">0.07*E623</f>
        <v>0</v>
      </c>
      <c r="F624" s="3699">
        <f t="shared" si="288"/>
        <v>0</v>
      </c>
      <c r="G624" s="3699">
        <f t="shared" si="288"/>
        <v>29.750000000000004</v>
      </c>
      <c r="H624" s="3707">
        <f t="shared" si="288"/>
        <v>0</v>
      </c>
      <c r="I624" s="3706">
        <f t="shared" si="288"/>
        <v>0</v>
      </c>
      <c r="J624" s="3699">
        <f t="shared" si="288"/>
        <v>0</v>
      </c>
      <c r="K624" s="3699">
        <f t="shared" si="288"/>
        <v>263.41000000000003</v>
      </c>
      <c r="L624" s="3699">
        <f t="shared" si="288"/>
        <v>0</v>
      </c>
      <c r="M624" s="3707">
        <f>$M$250*M623</f>
        <v>0</v>
      </c>
      <c r="N624" s="3834"/>
      <c r="O624" s="3835"/>
      <c r="P624" s="3835"/>
      <c r="Q624" s="3835"/>
      <c r="R624" s="3836"/>
      <c r="S624" s="1172"/>
      <c r="T624" s="1172"/>
      <c r="U624" s="1172"/>
      <c r="V624" s="3533"/>
      <c r="W624" s="3534"/>
      <c r="X624" s="3534"/>
      <c r="Y624" s="3534"/>
      <c r="Z624" s="3536"/>
      <c r="AA624" s="3533"/>
      <c r="AB624" s="3534"/>
      <c r="AC624" s="3536"/>
    </row>
    <row r="625" spans="2:29">
      <c r="B625" s="4211"/>
      <c r="C625" s="3530" t="s">
        <v>581</v>
      </c>
      <c r="D625" s="3706"/>
      <c r="E625" s="3699"/>
      <c r="F625" s="3699"/>
      <c r="G625" s="3699"/>
      <c r="H625" s="3707"/>
      <c r="I625" s="3706"/>
      <c r="J625" s="3699"/>
      <c r="K625" s="3699"/>
      <c r="L625" s="3699"/>
      <c r="M625" s="3707"/>
      <c r="N625" s="3834"/>
      <c r="O625" s="3835"/>
      <c r="P625" s="3835"/>
      <c r="Q625" s="3835"/>
      <c r="R625" s="3836"/>
      <c r="S625" s="1172"/>
      <c r="T625" s="1172"/>
      <c r="U625" s="1172"/>
      <c r="V625" s="3533"/>
      <c r="W625" s="3534"/>
      <c r="X625" s="3534"/>
      <c r="Y625" s="3534"/>
      <c r="Z625" s="3536"/>
      <c r="AA625" s="3533"/>
      <c r="AB625" s="3534"/>
      <c r="AC625" s="3536"/>
    </row>
    <row r="626" spans="2:29">
      <c r="B626" s="4211"/>
      <c r="C626" s="3529" t="s">
        <v>584</v>
      </c>
      <c r="D626" s="3708">
        <f>D623+D624+D625</f>
        <v>0</v>
      </c>
      <c r="E626" s="3701">
        <f t="shared" ref="E626:M626" si="289">E623+E624+E625</f>
        <v>0</v>
      </c>
      <c r="F626" s="3701">
        <f t="shared" si="289"/>
        <v>0</v>
      </c>
      <c r="G626" s="3701">
        <f t="shared" si="289"/>
        <v>454.75</v>
      </c>
      <c r="H626" s="3709">
        <f t="shared" si="289"/>
        <v>0</v>
      </c>
      <c r="I626" s="3708">
        <f t="shared" si="289"/>
        <v>0</v>
      </c>
      <c r="J626" s="3701">
        <f t="shared" si="289"/>
        <v>0</v>
      </c>
      <c r="K626" s="3701">
        <f t="shared" si="289"/>
        <v>4026.41</v>
      </c>
      <c r="L626" s="3701">
        <f t="shared" si="289"/>
        <v>0</v>
      </c>
      <c r="M626" s="3709">
        <f t="shared" si="289"/>
        <v>2473</v>
      </c>
      <c r="N626" s="3856"/>
      <c r="O626" s="3857"/>
      <c r="P626" s="3857"/>
      <c r="Q626" s="3857"/>
      <c r="R626" s="3858"/>
      <c r="S626" s="1172"/>
      <c r="T626" s="1172"/>
      <c r="U626" s="1172"/>
      <c r="V626" s="3533"/>
      <c r="W626" s="3534"/>
      <c r="X626" s="3534"/>
      <c r="Y626" s="3534"/>
      <c r="Z626" s="3536"/>
      <c r="AA626" s="3533"/>
      <c r="AB626" s="3534"/>
      <c r="AC626" s="3536"/>
    </row>
    <row r="627" spans="2:29">
      <c r="B627" s="4211"/>
      <c r="C627" s="3530" t="s">
        <v>605</v>
      </c>
      <c r="D627" s="3706"/>
      <c r="E627" s="3699"/>
      <c r="F627" s="3699"/>
      <c r="G627" s="3699"/>
      <c r="H627" s="3707"/>
      <c r="I627" s="3706"/>
      <c r="J627" s="3699"/>
      <c r="K627" s="3699"/>
      <c r="L627" s="3699"/>
      <c r="M627" s="3707"/>
      <c r="N627" s="3834"/>
      <c r="O627" s="3835"/>
      <c r="P627" s="3835"/>
      <c r="Q627" s="3835"/>
      <c r="R627" s="3836"/>
      <c r="S627" s="1172"/>
      <c r="T627" s="1172"/>
      <c r="U627" s="1172"/>
      <c r="V627" s="3533"/>
      <c r="W627" s="3534"/>
      <c r="X627" s="3534"/>
      <c r="Y627" s="3534"/>
      <c r="Z627" s="3536"/>
      <c r="AA627" s="3533"/>
      <c r="AB627" s="3534"/>
      <c r="AC627" s="3536"/>
    </row>
    <row r="628" spans="2:29">
      <c r="B628" s="4211"/>
      <c r="C628" s="3529" t="s">
        <v>585</v>
      </c>
      <c r="D628" s="3708">
        <f>D626-D627</f>
        <v>0</v>
      </c>
      <c r="E628" s="3701">
        <f t="shared" ref="E628:M628" si="290">E626-E627</f>
        <v>0</v>
      </c>
      <c r="F628" s="3701">
        <f t="shared" si="290"/>
        <v>0</v>
      </c>
      <c r="G628" s="3701">
        <f t="shared" si="290"/>
        <v>454.75</v>
      </c>
      <c r="H628" s="3709">
        <f t="shared" si="290"/>
        <v>0</v>
      </c>
      <c r="I628" s="3708">
        <f t="shared" si="290"/>
        <v>0</v>
      </c>
      <c r="J628" s="3701">
        <f t="shared" si="290"/>
        <v>0</v>
      </c>
      <c r="K628" s="3701">
        <f t="shared" si="290"/>
        <v>4026.41</v>
      </c>
      <c r="L628" s="3701">
        <f t="shared" si="290"/>
        <v>0</v>
      </c>
      <c r="M628" s="3709">
        <f t="shared" si="290"/>
        <v>2473</v>
      </c>
      <c r="N628" s="3856"/>
      <c r="O628" s="3857"/>
      <c r="P628" s="3857"/>
      <c r="Q628" s="3857"/>
      <c r="R628" s="3858"/>
      <c r="S628" s="1172"/>
      <c r="T628" s="1172"/>
      <c r="U628" s="1172"/>
      <c r="V628" s="3533"/>
      <c r="W628" s="3534"/>
      <c r="X628" s="3534"/>
      <c r="Y628" s="3534"/>
      <c r="Z628" s="3536"/>
      <c r="AA628" s="3533"/>
      <c r="AB628" s="3534"/>
      <c r="AC628" s="3536"/>
    </row>
    <row r="629" spans="2:29" ht="13.5" thickBot="1">
      <c r="B629" s="4212"/>
      <c r="C629" s="3532" t="s">
        <v>93</v>
      </c>
      <c r="D629" s="470"/>
      <c r="E629" s="468"/>
      <c r="F629" s="468"/>
      <c r="G629" s="468">
        <f t="shared" ref="G629:M629" si="291">G628/G619</f>
        <v>454.75</v>
      </c>
      <c r="H629" s="530"/>
      <c r="I629" s="470"/>
      <c r="J629" s="468"/>
      <c r="K629" s="468">
        <f t="shared" si="291"/>
        <v>805.28199999999993</v>
      </c>
      <c r="L629" s="468"/>
      <c r="M629" s="530">
        <f t="shared" si="291"/>
        <v>1236.5</v>
      </c>
      <c r="N629" s="3834"/>
      <c r="O629" s="3835"/>
      <c r="P629" s="3835"/>
      <c r="Q629" s="3835"/>
      <c r="R629" s="3836"/>
      <c r="S629" s="1172"/>
      <c r="T629" s="1172"/>
      <c r="U629" s="1172"/>
      <c r="V629" s="3533"/>
      <c r="W629" s="3534"/>
      <c r="X629" s="3534"/>
      <c r="Y629" s="3534"/>
      <c r="Z629" s="3536"/>
      <c r="AA629" s="3533"/>
      <c r="AB629" s="3534"/>
      <c r="AC629" s="3536"/>
    </row>
    <row r="630" spans="2:29">
      <c r="B630" s="4210" t="s">
        <v>1829</v>
      </c>
      <c r="C630" s="3537" t="s">
        <v>90</v>
      </c>
      <c r="D630" s="3737">
        <f t="shared" ref="D630:M630" si="292">D84</f>
        <v>0</v>
      </c>
      <c r="E630" s="3736">
        <f t="shared" si="292"/>
        <v>0</v>
      </c>
      <c r="F630" s="3736">
        <f t="shared" si="292"/>
        <v>1</v>
      </c>
      <c r="G630" s="3736">
        <f t="shared" si="292"/>
        <v>2</v>
      </c>
      <c r="H630" s="3735">
        <f t="shared" si="292"/>
        <v>0</v>
      </c>
      <c r="I630" s="3737">
        <f t="shared" si="292"/>
        <v>0</v>
      </c>
      <c r="J630" s="3736">
        <f t="shared" si="292"/>
        <v>0</v>
      </c>
      <c r="K630" s="3736">
        <f t="shared" si="292"/>
        <v>6</v>
      </c>
      <c r="L630" s="3736">
        <f t="shared" si="292"/>
        <v>8</v>
      </c>
      <c r="M630" s="3735">
        <f t="shared" si="292"/>
        <v>2</v>
      </c>
      <c r="N630" s="3843"/>
      <c r="O630" s="3844"/>
      <c r="P630" s="3844"/>
      <c r="Q630" s="3844"/>
      <c r="R630" s="3845"/>
      <c r="S630" s="1172"/>
      <c r="T630" s="1172"/>
      <c r="U630" s="1172"/>
      <c r="V630" s="3533"/>
      <c r="W630" s="3534"/>
      <c r="X630" s="3534"/>
      <c r="Y630" s="3534"/>
      <c r="Z630" s="3536"/>
      <c r="AA630" s="3533"/>
      <c r="AB630" s="3534"/>
      <c r="AC630" s="3536"/>
    </row>
    <row r="631" spans="2:29">
      <c r="B631" s="4211"/>
      <c r="C631" s="3530" t="s">
        <v>559</v>
      </c>
      <c r="D631" s="3706"/>
      <c r="E631" s="3699"/>
      <c r="F631" s="3699"/>
      <c r="G631" s="3699"/>
      <c r="H631" s="3707"/>
      <c r="I631" s="3706"/>
      <c r="J631" s="3699"/>
      <c r="K631" s="3699"/>
      <c r="L631" s="3699"/>
      <c r="M631" s="3707"/>
      <c r="N631" s="3834"/>
      <c r="O631" s="3835"/>
      <c r="P631" s="3835"/>
      <c r="Q631" s="3835"/>
      <c r="R631" s="3836"/>
      <c r="S631" s="1172"/>
      <c r="T631" s="474"/>
      <c r="U631" s="1172"/>
      <c r="V631" s="3533"/>
      <c r="W631" s="3534"/>
      <c r="X631" s="3534"/>
      <c r="Y631" s="3534"/>
      <c r="Z631" s="3536"/>
      <c r="AA631" s="3533"/>
      <c r="AB631" s="3534"/>
      <c r="AC631" s="3536"/>
    </row>
    <row r="632" spans="2:29">
      <c r="B632" s="4211"/>
      <c r="C632" s="3530" t="s">
        <v>558</v>
      </c>
      <c r="D632" s="3706"/>
      <c r="E632" s="3699"/>
      <c r="F632" s="3699"/>
      <c r="G632" s="3699"/>
      <c r="H632" s="3707"/>
      <c r="I632" s="3706"/>
      <c r="J632" s="3699"/>
      <c r="K632" s="3699"/>
      <c r="L632" s="3699"/>
      <c r="M632" s="3707"/>
      <c r="N632" s="3834"/>
      <c r="O632" s="3835"/>
      <c r="P632" s="3835"/>
      <c r="Q632" s="3835"/>
      <c r="R632" s="3836"/>
      <c r="S632" s="1172"/>
      <c r="T632" s="474"/>
      <c r="U632" s="1172"/>
      <c r="V632" s="3533"/>
      <c r="W632" s="3534"/>
      <c r="X632" s="3534"/>
      <c r="Y632" s="3534"/>
      <c r="Z632" s="3536"/>
      <c r="AA632" s="3533"/>
      <c r="AB632" s="3534"/>
      <c r="AC632" s="3536"/>
    </row>
    <row r="633" spans="2:29">
      <c r="B633" s="4211"/>
      <c r="C633" s="3530" t="s">
        <v>578</v>
      </c>
      <c r="D633" s="3706"/>
      <c r="E633" s="3699"/>
      <c r="F633" s="3699"/>
      <c r="G633" s="3699"/>
      <c r="H633" s="3707"/>
      <c r="I633" s="3706"/>
      <c r="J633" s="3699"/>
      <c r="K633" s="3699"/>
      <c r="L633" s="3699"/>
      <c r="M633" s="3707"/>
      <c r="N633" s="3834"/>
      <c r="O633" s="3835"/>
      <c r="P633" s="3835"/>
      <c r="Q633" s="3835"/>
      <c r="R633" s="3836"/>
      <c r="S633" s="1172"/>
      <c r="T633" s="474"/>
      <c r="U633" s="1172"/>
      <c r="V633" s="3533"/>
      <c r="W633" s="3534"/>
      <c r="X633" s="3534"/>
      <c r="Y633" s="3534"/>
      <c r="Z633" s="3536"/>
      <c r="AA633" s="3533"/>
      <c r="AB633" s="3534"/>
      <c r="AC633" s="3536"/>
    </row>
    <row r="634" spans="2:29">
      <c r="B634" s="4211"/>
      <c r="C634" s="3529" t="s">
        <v>579</v>
      </c>
      <c r="D634" s="3711">
        <v>0</v>
      </c>
      <c r="E634" s="468">
        <v>0</v>
      </c>
      <c r="F634" s="468">
        <v>418</v>
      </c>
      <c r="G634" s="468">
        <v>849</v>
      </c>
      <c r="H634" s="530">
        <v>0</v>
      </c>
      <c r="I634" s="3711">
        <v>0</v>
      </c>
      <c r="J634" s="468"/>
      <c r="K634" s="468">
        <v>4515</v>
      </c>
      <c r="L634" s="468">
        <v>13642</v>
      </c>
      <c r="M634" s="530">
        <v>2473</v>
      </c>
      <c r="N634" s="3855"/>
      <c r="O634" s="3835"/>
      <c r="P634" s="3835"/>
      <c r="Q634" s="3835"/>
      <c r="R634" s="3836"/>
      <c r="S634" s="1172"/>
      <c r="T634" s="474"/>
      <c r="U634" s="1172"/>
      <c r="V634" s="3533"/>
      <c r="W634" s="3534"/>
      <c r="X634" s="3534"/>
      <c r="Y634" s="3534"/>
      <c r="Z634" s="3536"/>
      <c r="AA634" s="3533"/>
      <c r="AB634" s="3534"/>
      <c r="AC634" s="3536"/>
    </row>
    <row r="635" spans="2:29">
      <c r="B635" s="4211"/>
      <c r="C635" s="3530" t="s">
        <v>583</v>
      </c>
      <c r="D635" s="3706">
        <f>0.07*D634</f>
        <v>0</v>
      </c>
      <c r="E635" s="3699">
        <f t="shared" ref="E635:L635" si="293">0.07*E634</f>
        <v>0</v>
      </c>
      <c r="F635" s="3699">
        <f t="shared" si="293"/>
        <v>29.26</v>
      </c>
      <c r="G635" s="3699">
        <f t="shared" si="293"/>
        <v>59.430000000000007</v>
      </c>
      <c r="H635" s="3707">
        <f t="shared" si="293"/>
        <v>0</v>
      </c>
      <c r="I635" s="3706">
        <f t="shared" si="293"/>
        <v>0</v>
      </c>
      <c r="J635" s="3699">
        <f t="shared" si="293"/>
        <v>0</v>
      </c>
      <c r="K635" s="3699">
        <f t="shared" si="293"/>
        <v>316.05</v>
      </c>
      <c r="L635" s="3699">
        <f t="shared" si="293"/>
        <v>954.94</v>
      </c>
      <c r="M635" s="3707">
        <f>$M$250*M634</f>
        <v>0</v>
      </c>
      <c r="N635" s="3834"/>
      <c r="O635" s="3835"/>
      <c r="P635" s="3835"/>
      <c r="Q635" s="3835"/>
      <c r="R635" s="3836"/>
      <c r="S635" s="1172"/>
      <c r="T635" s="474"/>
      <c r="U635" s="1172"/>
      <c r="V635" s="3533"/>
      <c r="W635" s="3534"/>
      <c r="X635" s="3534"/>
      <c r="Y635" s="3534"/>
      <c r="Z635" s="3536"/>
      <c r="AA635" s="3533"/>
      <c r="AB635" s="3534"/>
      <c r="AC635" s="3536"/>
    </row>
    <row r="636" spans="2:29">
      <c r="B636" s="4211"/>
      <c r="C636" s="3530" t="s">
        <v>581</v>
      </c>
      <c r="D636" s="3706"/>
      <c r="E636" s="3699"/>
      <c r="F636" s="3699"/>
      <c r="G636" s="3699"/>
      <c r="H636" s="3707"/>
      <c r="I636" s="3706"/>
      <c r="J636" s="3699"/>
      <c r="K636" s="3699"/>
      <c r="L636" s="3699"/>
      <c r="M636" s="3707"/>
      <c r="N636" s="3834"/>
      <c r="O636" s="3835"/>
      <c r="P636" s="3835"/>
      <c r="Q636" s="3835"/>
      <c r="R636" s="3836"/>
      <c r="S636" s="1172"/>
      <c r="T636" s="474"/>
      <c r="U636" s="1172"/>
      <c r="V636" s="3533"/>
      <c r="W636" s="3534"/>
      <c r="X636" s="3534"/>
      <c r="Y636" s="3534"/>
      <c r="Z636" s="3536"/>
      <c r="AA636" s="3533"/>
      <c r="AB636" s="3534"/>
      <c r="AC636" s="3536"/>
    </row>
    <row r="637" spans="2:29">
      <c r="B637" s="4211"/>
      <c r="C637" s="3529" t="s">
        <v>584</v>
      </c>
      <c r="D637" s="3708">
        <f>D634+D635+D636</f>
        <v>0</v>
      </c>
      <c r="E637" s="3701">
        <f t="shared" ref="E637:M637" si="294">E634+E635+E636</f>
        <v>0</v>
      </c>
      <c r="F637" s="3701">
        <f t="shared" si="294"/>
        <v>447.26</v>
      </c>
      <c r="G637" s="3701">
        <f t="shared" si="294"/>
        <v>908.43000000000006</v>
      </c>
      <c r="H637" s="3709">
        <f t="shared" si="294"/>
        <v>0</v>
      </c>
      <c r="I637" s="3708">
        <f t="shared" si="294"/>
        <v>0</v>
      </c>
      <c r="J637" s="3701">
        <f t="shared" si="294"/>
        <v>0</v>
      </c>
      <c r="K637" s="3701">
        <f t="shared" si="294"/>
        <v>4831.05</v>
      </c>
      <c r="L637" s="3701">
        <f t="shared" si="294"/>
        <v>14596.94</v>
      </c>
      <c r="M637" s="3709">
        <f t="shared" si="294"/>
        <v>2473</v>
      </c>
      <c r="N637" s="3856"/>
      <c r="O637" s="3857"/>
      <c r="P637" s="3857"/>
      <c r="Q637" s="3857"/>
      <c r="R637" s="3858"/>
      <c r="S637" s="1172"/>
      <c r="T637" s="474"/>
      <c r="U637" s="1172"/>
      <c r="V637" s="3533"/>
      <c r="W637" s="3534"/>
      <c r="X637" s="3534"/>
      <c r="Y637" s="3534"/>
      <c r="Z637" s="3536"/>
      <c r="AA637" s="3533"/>
      <c r="AB637" s="3534"/>
      <c r="AC637" s="3536"/>
    </row>
    <row r="638" spans="2:29">
      <c r="B638" s="4211"/>
      <c r="C638" s="3530" t="s">
        <v>605</v>
      </c>
      <c r="D638" s="3706"/>
      <c r="E638" s="3699"/>
      <c r="F638" s="3699"/>
      <c r="G638" s="3699"/>
      <c r="H638" s="3707"/>
      <c r="I638" s="3706"/>
      <c r="J638" s="3699"/>
      <c r="K638" s="3699"/>
      <c r="L638" s="3699"/>
      <c r="M638" s="3707"/>
      <c r="N638" s="3834"/>
      <c r="O638" s="3835"/>
      <c r="P638" s="3835"/>
      <c r="Q638" s="3835"/>
      <c r="R638" s="3836"/>
      <c r="S638" s="1172"/>
      <c r="T638" s="474"/>
      <c r="U638" s="1172"/>
      <c r="V638" s="3533"/>
      <c r="W638" s="3534"/>
      <c r="X638" s="3534"/>
      <c r="Y638" s="3534"/>
      <c r="Z638" s="3536"/>
      <c r="AA638" s="3533"/>
      <c r="AB638" s="3534"/>
      <c r="AC638" s="3536"/>
    </row>
    <row r="639" spans="2:29">
      <c r="B639" s="4211"/>
      <c r="C639" s="3529" t="s">
        <v>585</v>
      </c>
      <c r="D639" s="3708">
        <f>D637-D638</f>
        <v>0</v>
      </c>
      <c r="E639" s="3701">
        <f t="shared" ref="E639:M639" si="295">E637-E638</f>
        <v>0</v>
      </c>
      <c r="F639" s="3701">
        <f t="shared" si="295"/>
        <v>447.26</v>
      </c>
      <c r="G639" s="3701">
        <f t="shared" si="295"/>
        <v>908.43000000000006</v>
      </c>
      <c r="H639" s="3709">
        <f t="shared" si="295"/>
        <v>0</v>
      </c>
      <c r="I639" s="3708">
        <f t="shared" si="295"/>
        <v>0</v>
      </c>
      <c r="J639" s="3701">
        <f t="shared" si="295"/>
        <v>0</v>
      </c>
      <c r="K639" s="3701">
        <f t="shared" si="295"/>
        <v>4831.05</v>
      </c>
      <c r="L639" s="3701">
        <f t="shared" si="295"/>
        <v>14596.94</v>
      </c>
      <c r="M639" s="3709">
        <f t="shared" si="295"/>
        <v>2473</v>
      </c>
      <c r="N639" s="3856"/>
      <c r="O639" s="3857"/>
      <c r="P639" s="3857"/>
      <c r="Q639" s="3857"/>
      <c r="R639" s="3858"/>
      <c r="S639" s="1172"/>
      <c r="T639" s="474"/>
      <c r="U639" s="1172"/>
      <c r="V639" s="3533"/>
      <c r="W639" s="3534"/>
      <c r="X639" s="3534"/>
      <c r="Y639" s="3534"/>
      <c r="Z639" s="3536"/>
      <c r="AA639" s="3533"/>
      <c r="AB639" s="3534"/>
      <c r="AC639" s="3536"/>
    </row>
    <row r="640" spans="2:29" ht="13.5" thickBot="1">
      <c r="B640" s="4212"/>
      <c r="C640" s="3532" t="s">
        <v>93</v>
      </c>
      <c r="D640" s="3712"/>
      <c r="E640" s="3734"/>
      <c r="F640" s="3734">
        <f t="shared" ref="F640:M640" si="296">F639/F630</f>
        <v>447.26</v>
      </c>
      <c r="G640" s="3734">
        <f t="shared" si="296"/>
        <v>454.21500000000003</v>
      </c>
      <c r="H640" s="3733"/>
      <c r="I640" s="3712"/>
      <c r="J640" s="3734"/>
      <c r="K640" s="3734">
        <f t="shared" si="296"/>
        <v>805.17500000000007</v>
      </c>
      <c r="L640" s="3734">
        <f t="shared" si="296"/>
        <v>1824.6175000000001</v>
      </c>
      <c r="M640" s="3733">
        <f t="shared" si="296"/>
        <v>1236.5</v>
      </c>
      <c r="N640" s="3840"/>
      <c r="O640" s="3846"/>
      <c r="P640" s="3846"/>
      <c r="Q640" s="3846"/>
      <c r="R640" s="3847"/>
      <c r="S640" s="1172"/>
      <c r="T640" s="474"/>
      <c r="U640" s="1172"/>
      <c r="V640" s="3533"/>
      <c r="W640" s="3534"/>
      <c r="X640" s="3534"/>
      <c r="Y640" s="3534"/>
      <c r="Z640" s="3536"/>
      <c r="AA640" s="3533"/>
      <c r="AB640" s="3534"/>
      <c r="AC640" s="3536"/>
    </row>
    <row r="641" spans="2:29">
      <c r="B641" s="4210" t="s">
        <v>1830</v>
      </c>
      <c r="C641" s="3537" t="s">
        <v>90</v>
      </c>
      <c r="D641" s="3706">
        <f t="shared" ref="D641:M641" si="297">D87</f>
        <v>0</v>
      </c>
      <c r="E641" s="3699">
        <f t="shared" si="297"/>
        <v>0</v>
      </c>
      <c r="F641" s="3699">
        <f t="shared" si="297"/>
        <v>0</v>
      </c>
      <c r="G641" s="3699">
        <f t="shared" si="297"/>
        <v>2</v>
      </c>
      <c r="H641" s="3707">
        <f t="shared" si="297"/>
        <v>0</v>
      </c>
      <c r="I641" s="3706">
        <f t="shared" si="297"/>
        <v>0</v>
      </c>
      <c r="J641" s="3699">
        <f t="shared" si="297"/>
        <v>1</v>
      </c>
      <c r="K641" s="3699">
        <f t="shared" si="297"/>
        <v>2</v>
      </c>
      <c r="L641" s="3699">
        <f t="shared" si="297"/>
        <v>2</v>
      </c>
      <c r="M641" s="3707">
        <f t="shared" si="297"/>
        <v>0</v>
      </c>
      <c r="N641" s="3834"/>
      <c r="O641" s="3835"/>
      <c r="P641" s="3835"/>
      <c r="Q641" s="3835"/>
      <c r="R641" s="3836"/>
      <c r="S641" s="1172"/>
      <c r="T641" s="474"/>
      <c r="U641" s="1172"/>
      <c r="V641" s="3533"/>
      <c r="W641" s="3534"/>
      <c r="X641" s="3534"/>
      <c r="Y641" s="3534"/>
      <c r="Z641" s="3536"/>
      <c r="AA641" s="3533"/>
      <c r="AB641" s="3534"/>
      <c r="AC641" s="3536"/>
    </row>
    <row r="642" spans="2:29">
      <c r="B642" s="4211"/>
      <c r="C642" s="3530" t="s">
        <v>559</v>
      </c>
      <c r="D642" s="3706"/>
      <c r="E642" s="3699"/>
      <c r="F642" s="3699"/>
      <c r="G642" s="3699"/>
      <c r="H642" s="3707"/>
      <c r="I642" s="3706"/>
      <c r="J642" s="3699"/>
      <c r="K642" s="3699"/>
      <c r="L642" s="3699"/>
      <c r="M642" s="3707"/>
      <c r="N642" s="3834"/>
      <c r="O642" s="3835"/>
      <c r="P642" s="3835"/>
      <c r="Q642" s="3835"/>
      <c r="R642" s="3836"/>
      <c r="S642" s="1172"/>
      <c r="T642" s="474"/>
      <c r="U642" s="1172"/>
      <c r="V642" s="3533"/>
      <c r="W642" s="3534"/>
      <c r="X642" s="3534"/>
      <c r="Y642" s="3534"/>
      <c r="Z642" s="3536"/>
      <c r="AA642" s="3533"/>
      <c r="AB642" s="3534"/>
      <c r="AC642" s="3536"/>
    </row>
    <row r="643" spans="2:29">
      <c r="B643" s="4211"/>
      <c r="C643" s="3530" t="s">
        <v>558</v>
      </c>
      <c r="D643" s="3706"/>
      <c r="E643" s="3699"/>
      <c r="F643" s="3699"/>
      <c r="G643" s="3699"/>
      <c r="H643" s="3707"/>
      <c r="I643" s="3706"/>
      <c r="J643" s="3699"/>
      <c r="K643" s="3699"/>
      <c r="L643" s="3699"/>
      <c r="M643" s="3707"/>
      <c r="N643" s="3834"/>
      <c r="O643" s="3835"/>
      <c r="P643" s="3835"/>
      <c r="Q643" s="3835"/>
      <c r="R643" s="3836"/>
      <c r="S643" s="1172"/>
      <c r="T643" s="474"/>
      <c r="U643" s="1172"/>
      <c r="V643" s="3533"/>
      <c r="W643" s="3534"/>
      <c r="X643" s="3534"/>
      <c r="Y643" s="3534"/>
      <c r="Z643" s="3536"/>
      <c r="AA643" s="3533"/>
      <c r="AB643" s="3534"/>
      <c r="AC643" s="3536"/>
    </row>
    <row r="644" spans="2:29">
      <c r="B644" s="4211"/>
      <c r="C644" s="3530" t="s">
        <v>578</v>
      </c>
      <c r="D644" s="3706"/>
      <c r="E644" s="3699"/>
      <c r="F644" s="3699"/>
      <c r="G644" s="3699"/>
      <c r="H644" s="3707"/>
      <c r="I644" s="3706"/>
      <c r="J644" s="3699"/>
      <c r="K644" s="3699"/>
      <c r="L644" s="3699"/>
      <c r="M644" s="3707"/>
      <c r="N644" s="3834"/>
      <c r="O644" s="3835"/>
      <c r="P644" s="3835"/>
      <c r="Q644" s="3835"/>
      <c r="R644" s="3836"/>
      <c r="S644" s="1172"/>
      <c r="T644" s="474"/>
      <c r="U644" s="1172"/>
      <c r="V644" s="3533"/>
      <c r="W644" s="3534"/>
      <c r="X644" s="3534"/>
      <c r="Y644" s="3534"/>
      <c r="Z644" s="3536"/>
      <c r="AA644" s="3533"/>
      <c r="AB644" s="3534"/>
      <c r="AC644" s="3536"/>
    </row>
    <row r="645" spans="2:29">
      <c r="B645" s="4211"/>
      <c r="C645" s="3529" t="s">
        <v>579</v>
      </c>
      <c r="D645" s="3711">
        <v>0</v>
      </c>
      <c r="E645" s="468">
        <v>0</v>
      </c>
      <c r="F645" s="468">
        <v>0</v>
      </c>
      <c r="G645" s="468">
        <v>849</v>
      </c>
      <c r="H645" s="530">
        <v>0</v>
      </c>
      <c r="I645" s="3711">
        <v>0</v>
      </c>
      <c r="J645" s="468">
        <v>634</v>
      </c>
      <c r="K645" s="468">
        <v>1505</v>
      </c>
      <c r="L645" s="468">
        <v>3410</v>
      </c>
      <c r="M645" s="530">
        <v>0</v>
      </c>
      <c r="N645" s="3855"/>
      <c r="O645" s="3835"/>
      <c r="P645" s="3835"/>
      <c r="Q645" s="3835"/>
      <c r="R645" s="3836"/>
      <c r="S645" s="1172"/>
      <c r="T645" s="474"/>
      <c r="U645" s="1172"/>
      <c r="V645" s="3533"/>
      <c r="W645" s="3534"/>
      <c r="X645" s="3534"/>
      <c r="Y645" s="3534"/>
      <c r="Z645" s="3536"/>
      <c r="AA645" s="3533"/>
      <c r="AB645" s="3534"/>
      <c r="AC645" s="3536"/>
    </row>
    <row r="646" spans="2:29">
      <c r="B646" s="4211"/>
      <c r="C646" s="3530" t="s">
        <v>583</v>
      </c>
      <c r="D646" s="3706">
        <f>0.07*D645</f>
        <v>0</v>
      </c>
      <c r="E646" s="3699">
        <f t="shared" ref="E646:L646" si="298">0.07*E645</f>
        <v>0</v>
      </c>
      <c r="F646" s="3699">
        <f t="shared" si="298"/>
        <v>0</v>
      </c>
      <c r="G646" s="3699">
        <f t="shared" si="298"/>
        <v>59.430000000000007</v>
      </c>
      <c r="H646" s="3707">
        <f t="shared" si="298"/>
        <v>0</v>
      </c>
      <c r="I646" s="3706">
        <f t="shared" si="298"/>
        <v>0</v>
      </c>
      <c r="J646" s="3699">
        <f t="shared" si="298"/>
        <v>44.38</v>
      </c>
      <c r="K646" s="3699">
        <f t="shared" si="298"/>
        <v>105.35000000000001</v>
      </c>
      <c r="L646" s="3699">
        <f t="shared" si="298"/>
        <v>238.70000000000002</v>
      </c>
      <c r="M646" s="3707"/>
      <c r="N646" s="3834"/>
      <c r="O646" s="3835"/>
      <c r="P646" s="3835"/>
      <c r="Q646" s="3835"/>
      <c r="R646" s="3836"/>
      <c r="S646" s="1172"/>
      <c r="T646" s="474"/>
      <c r="U646" s="1172"/>
      <c r="V646" s="3533"/>
      <c r="W646" s="3534"/>
      <c r="X646" s="3534"/>
      <c r="Y646" s="3534"/>
      <c r="Z646" s="3536"/>
      <c r="AA646" s="3533"/>
      <c r="AB646" s="3534"/>
      <c r="AC646" s="3536"/>
    </row>
    <row r="647" spans="2:29">
      <c r="B647" s="4211"/>
      <c r="C647" s="3530" t="s">
        <v>581</v>
      </c>
      <c r="D647" s="3706"/>
      <c r="E647" s="3699"/>
      <c r="F647" s="3699"/>
      <c r="G647" s="3699"/>
      <c r="H647" s="3707"/>
      <c r="I647" s="3706"/>
      <c r="J647" s="3699"/>
      <c r="K647" s="3699"/>
      <c r="L647" s="3699"/>
      <c r="M647" s="3707"/>
      <c r="N647" s="3834"/>
      <c r="O647" s="3835"/>
      <c r="P647" s="3835"/>
      <c r="Q647" s="3835"/>
      <c r="R647" s="3836"/>
      <c r="S647" s="1172"/>
      <c r="T647" s="474"/>
      <c r="U647" s="1172"/>
      <c r="V647" s="3533"/>
      <c r="W647" s="3534"/>
      <c r="X647" s="3534"/>
      <c r="Y647" s="3534"/>
      <c r="Z647" s="3536"/>
      <c r="AA647" s="3533"/>
      <c r="AB647" s="3534"/>
      <c r="AC647" s="3536"/>
    </row>
    <row r="648" spans="2:29">
      <c r="B648" s="4211"/>
      <c r="C648" s="3529" t="s">
        <v>584</v>
      </c>
      <c r="D648" s="3708">
        <f>D645+D646+D647</f>
        <v>0</v>
      </c>
      <c r="E648" s="3701">
        <f t="shared" ref="E648:M648" si="299">E645+E646+E647</f>
        <v>0</v>
      </c>
      <c r="F648" s="3701">
        <f t="shared" si="299"/>
        <v>0</v>
      </c>
      <c r="G648" s="3701">
        <f t="shared" si="299"/>
        <v>908.43000000000006</v>
      </c>
      <c r="H648" s="3709">
        <f t="shared" si="299"/>
        <v>0</v>
      </c>
      <c r="I648" s="3708">
        <f t="shared" si="299"/>
        <v>0</v>
      </c>
      <c r="J648" s="3701">
        <f t="shared" si="299"/>
        <v>678.38</v>
      </c>
      <c r="K648" s="3701">
        <f t="shared" si="299"/>
        <v>1610.35</v>
      </c>
      <c r="L648" s="3701">
        <f t="shared" si="299"/>
        <v>3648.7</v>
      </c>
      <c r="M648" s="3709">
        <f t="shared" si="299"/>
        <v>0</v>
      </c>
      <c r="N648" s="3856"/>
      <c r="O648" s="3857"/>
      <c r="P648" s="3857"/>
      <c r="Q648" s="3857"/>
      <c r="R648" s="3858"/>
      <c r="S648" s="1172"/>
      <c r="T648" s="474"/>
      <c r="U648" s="1172"/>
      <c r="V648" s="3533"/>
      <c r="W648" s="3534"/>
      <c r="X648" s="3534"/>
      <c r="Y648" s="3534"/>
      <c r="Z648" s="3536"/>
      <c r="AA648" s="3533"/>
      <c r="AB648" s="3534"/>
      <c r="AC648" s="3536"/>
    </row>
    <row r="649" spans="2:29">
      <c r="B649" s="4211"/>
      <c r="C649" s="3530" t="s">
        <v>605</v>
      </c>
      <c r="D649" s="3706"/>
      <c r="E649" s="3699"/>
      <c r="F649" s="3699"/>
      <c r="G649" s="3699"/>
      <c r="H649" s="3707"/>
      <c r="I649" s="3706"/>
      <c r="J649" s="3699"/>
      <c r="K649" s="3699"/>
      <c r="L649" s="3699"/>
      <c r="M649" s="3707"/>
      <c r="N649" s="3834"/>
      <c r="O649" s="3835"/>
      <c r="P649" s="3835"/>
      <c r="Q649" s="3835"/>
      <c r="R649" s="3836"/>
      <c r="S649" s="1172"/>
      <c r="T649" s="474"/>
      <c r="U649" s="1172"/>
      <c r="V649" s="3533"/>
      <c r="W649" s="3534"/>
      <c r="X649" s="3534"/>
      <c r="Y649" s="3534"/>
      <c r="Z649" s="3536"/>
      <c r="AA649" s="3533"/>
      <c r="AB649" s="3534"/>
      <c r="AC649" s="3536"/>
    </row>
    <row r="650" spans="2:29">
      <c r="B650" s="4211"/>
      <c r="C650" s="3529" t="s">
        <v>585</v>
      </c>
      <c r="D650" s="3708">
        <f>D648-D649</f>
        <v>0</v>
      </c>
      <c r="E650" s="3701">
        <f t="shared" ref="E650:M650" si="300">E648-E649</f>
        <v>0</v>
      </c>
      <c r="F650" s="3701">
        <f t="shared" si="300"/>
        <v>0</v>
      </c>
      <c r="G650" s="3701">
        <f t="shared" si="300"/>
        <v>908.43000000000006</v>
      </c>
      <c r="H650" s="3709">
        <f t="shared" si="300"/>
        <v>0</v>
      </c>
      <c r="I650" s="3708">
        <f t="shared" si="300"/>
        <v>0</v>
      </c>
      <c r="J650" s="3701">
        <f t="shared" si="300"/>
        <v>678.38</v>
      </c>
      <c r="K650" s="3701">
        <f t="shared" si="300"/>
        <v>1610.35</v>
      </c>
      <c r="L650" s="3701">
        <f t="shared" si="300"/>
        <v>3648.7</v>
      </c>
      <c r="M650" s="3709">
        <f t="shared" si="300"/>
        <v>0</v>
      </c>
      <c r="N650" s="3856"/>
      <c r="O650" s="3857"/>
      <c r="P650" s="3857"/>
      <c r="Q650" s="3857"/>
      <c r="R650" s="3858"/>
      <c r="S650" s="1172"/>
      <c r="T650" s="474"/>
      <c r="U650" s="1172"/>
      <c r="V650" s="3533"/>
      <c r="W650" s="3534"/>
      <c r="X650" s="3534"/>
      <c r="Y650" s="3534"/>
      <c r="Z650" s="3536"/>
      <c r="AA650" s="3533"/>
      <c r="AB650" s="3534"/>
      <c r="AC650" s="3536"/>
    </row>
    <row r="651" spans="2:29" ht="13.5" thickBot="1">
      <c r="B651" s="4212"/>
      <c r="C651" s="3532" t="s">
        <v>93</v>
      </c>
      <c r="D651" s="470"/>
      <c r="E651" s="468"/>
      <c r="F651" s="468"/>
      <c r="G651" s="468">
        <f t="shared" ref="G651:L651" si="301">G650/G641</f>
        <v>454.21500000000003</v>
      </c>
      <c r="H651" s="530"/>
      <c r="I651" s="470"/>
      <c r="J651" s="468">
        <f t="shared" si="301"/>
        <v>678.38</v>
      </c>
      <c r="K651" s="468">
        <f t="shared" si="301"/>
        <v>805.17499999999995</v>
      </c>
      <c r="L651" s="468">
        <f t="shared" si="301"/>
        <v>1824.35</v>
      </c>
      <c r="M651" s="530"/>
      <c r="N651" s="3834"/>
      <c r="O651" s="3835"/>
      <c r="P651" s="3835"/>
      <c r="Q651" s="3835"/>
      <c r="R651" s="3836"/>
      <c r="S651" s="1172"/>
      <c r="T651" s="474"/>
      <c r="U651" s="1172"/>
      <c r="V651" s="3533"/>
      <c r="W651" s="3534"/>
      <c r="X651" s="3534"/>
      <c r="Y651" s="3534"/>
      <c r="Z651" s="3536"/>
      <c r="AA651" s="3533"/>
      <c r="AB651" s="3534"/>
      <c r="AC651" s="3536"/>
    </row>
    <row r="652" spans="2:29">
      <c r="B652" s="4210" t="s">
        <v>1831</v>
      </c>
      <c r="C652" s="3537" t="s">
        <v>90</v>
      </c>
      <c r="D652" s="3737">
        <f t="shared" ref="D652:M652" si="302">D90</f>
        <v>0</v>
      </c>
      <c r="E652" s="3736">
        <f t="shared" si="302"/>
        <v>0</v>
      </c>
      <c r="F652" s="3736">
        <f t="shared" si="302"/>
        <v>0</v>
      </c>
      <c r="G652" s="3736">
        <f t="shared" si="302"/>
        <v>0</v>
      </c>
      <c r="H652" s="3735">
        <f t="shared" si="302"/>
        <v>0</v>
      </c>
      <c r="I652" s="3737">
        <f t="shared" si="302"/>
        <v>0</v>
      </c>
      <c r="J652" s="3736">
        <f t="shared" si="302"/>
        <v>0</v>
      </c>
      <c r="K652" s="3736">
        <f t="shared" si="302"/>
        <v>1</v>
      </c>
      <c r="L652" s="3736">
        <f t="shared" si="302"/>
        <v>0</v>
      </c>
      <c r="M652" s="3735">
        <f t="shared" si="302"/>
        <v>0</v>
      </c>
      <c r="N652" s="3843"/>
      <c r="O652" s="3844"/>
      <c r="P652" s="3844"/>
      <c r="Q652" s="3844"/>
      <c r="R652" s="3845"/>
      <c r="S652" s="1172"/>
      <c r="T652" s="474"/>
      <c r="U652" s="1172"/>
      <c r="V652" s="3533"/>
      <c r="W652" s="3534"/>
      <c r="X652" s="3534"/>
      <c r="Y652" s="3534"/>
      <c r="Z652" s="3536"/>
      <c r="AA652" s="3533"/>
      <c r="AB652" s="3534"/>
      <c r="AC652" s="3536"/>
    </row>
    <row r="653" spans="2:29">
      <c r="B653" s="4211"/>
      <c r="C653" s="3530" t="s">
        <v>559</v>
      </c>
      <c r="D653" s="3706"/>
      <c r="E653" s="3699"/>
      <c r="F653" s="3699"/>
      <c r="G653" s="3699"/>
      <c r="H653" s="3707"/>
      <c r="I653" s="3706"/>
      <c r="J653" s="3699"/>
      <c r="K653" s="3699"/>
      <c r="L653" s="3699"/>
      <c r="M653" s="3707"/>
      <c r="N653" s="3834"/>
      <c r="O653" s="3835"/>
      <c r="P653" s="3835"/>
      <c r="Q653" s="3835"/>
      <c r="R653" s="3836"/>
      <c r="S653" s="1172"/>
      <c r="T653" s="474"/>
      <c r="U653" s="1172"/>
      <c r="V653" s="3533"/>
      <c r="W653" s="3534"/>
      <c r="X653" s="3534"/>
      <c r="Y653" s="3534"/>
      <c r="Z653" s="3536"/>
      <c r="AA653" s="3533"/>
      <c r="AB653" s="3534"/>
      <c r="AC653" s="3536"/>
    </row>
    <row r="654" spans="2:29">
      <c r="B654" s="4211"/>
      <c r="C654" s="3530" t="s">
        <v>558</v>
      </c>
      <c r="D654" s="3706"/>
      <c r="E654" s="3699"/>
      <c r="F654" s="3699"/>
      <c r="G654" s="3699"/>
      <c r="H654" s="3707"/>
      <c r="I654" s="3706"/>
      <c r="J654" s="3699"/>
      <c r="K654" s="3699"/>
      <c r="L654" s="3699"/>
      <c r="M654" s="3707"/>
      <c r="N654" s="3834"/>
      <c r="O654" s="3835"/>
      <c r="P654" s="3835"/>
      <c r="Q654" s="3835"/>
      <c r="R654" s="3836"/>
      <c r="S654" s="1172"/>
      <c r="T654" s="474"/>
      <c r="U654" s="1172"/>
      <c r="V654" s="3533"/>
      <c r="W654" s="3534"/>
      <c r="X654" s="3534"/>
      <c r="Y654" s="3534"/>
      <c r="Z654" s="3536"/>
      <c r="AA654" s="3533"/>
      <c r="AB654" s="3534"/>
      <c r="AC654" s="3536"/>
    </row>
    <row r="655" spans="2:29">
      <c r="B655" s="4211"/>
      <c r="C655" s="3530" t="s">
        <v>578</v>
      </c>
      <c r="D655" s="3706"/>
      <c r="E655" s="3699"/>
      <c r="F655" s="3699"/>
      <c r="G655" s="3699"/>
      <c r="H655" s="3707"/>
      <c r="I655" s="3706"/>
      <c r="J655" s="3699"/>
      <c r="K655" s="3699"/>
      <c r="L655" s="3699"/>
      <c r="M655" s="3707"/>
      <c r="N655" s="3834"/>
      <c r="O655" s="3835"/>
      <c r="P655" s="3835"/>
      <c r="Q655" s="3835"/>
      <c r="R655" s="3836"/>
      <c r="S655" s="1172"/>
      <c r="T655" s="474"/>
      <c r="U655" s="1172"/>
      <c r="V655" s="3533"/>
      <c r="W655" s="3534"/>
      <c r="X655" s="3534"/>
      <c r="Y655" s="3534"/>
      <c r="Z655" s="3536"/>
      <c r="AA655" s="3533"/>
      <c r="AB655" s="3534"/>
      <c r="AC655" s="3536"/>
    </row>
    <row r="656" spans="2:29">
      <c r="B656" s="4211"/>
      <c r="C656" s="3529" t="s">
        <v>579</v>
      </c>
      <c r="D656" s="3711">
        <v>0</v>
      </c>
      <c r="E656" s="468">
        <v>0</v>
      </c>
      <c r="F656" s="468">
        <v>0</v>
      </c>
      <c r="G656" s="468">
        <v>0</v>
      </c>
      <c r="H656" s="530">
        <v>0</v>
      </c>
      <c r="I656" s="3711">
        <v>0</v>
      </c>
      <c r="J656" s="468"/>
      <c r="K656" s="468">
        <v>753</v>
      </c>
      <c r="L656" s="468">
        <v>0</v>
      </c>
      <c r="M656" s="530">
        <v>0</v>
      </c>
      <c r="N656" s="3855"/>
      <c r="O656" s="3835"/>
      <c r="P656" s="3835"/>
      <c r="Q656" s="3835"/>
      <c r="R656" s="3836"/>
      <c r="S656" s="1172"/>
      <c r="T656" s="474"/>
      <c r="U656" s="1172"/>
      <c r="V656" s="3533"/>
      <c r="W656" s="3534"/>
      <c r="X656" s="3534"/>
      <c r="Y656" s="3534"/>
      <c r="Z656" s="3536"/>
      <c r="AA656" s="3533"/>
      <c r="AB656" s="3534"/>
      <c r="AC656" s="3536"/>
    </row>
    <row r="657" spans="2:29">
      <c r="B657" s="4211"/>
      <c r="C657" s="3530" t="s">
        <v>583</v>
      </c>
      <c r="D657" s="3706">
        <f>0.07*D656</f>
        <v>0</v>
      </c>
      <c r="E657" s="3699">
        <f t="shared" ref="E657:L657" si="303">0.07*E656</f>
        <v>0</v>
      </c>
      <c r="F657" s="3699">
        <f t="shared" si="303"/>
        <v>0</v>
      </c>
      <c r="G657" s="3699">
        <f t="shared" si="303"/>
        <v>0</v>
      </c>
      <c r="H657" s="3707">
        <f t="shared" si="303"/>
        <v>0</v>
      </c>
      <c r="I657" s="3706">
        <f t="shared" si="303"/>
        <v>0</v>
      </c>
      <c r="J657" s="3699">
        <f t="shared" si="303"/>
        <v>0</v>
      </c>
      <c r="K657" s="3699">
        <f t="shared" si="303"/>
        <v>52.710000000000008</v>
      </c>
      <c r="L657" s="3699">
        <f t="shared" si="303"/>
        <v>0</v>
      </c>
      <c r="M657" s="3707"/>
      <c r="N657" s="3834"/>
      <c r="O657" s="3835"/>
      <c r="P657" s="3835"/>
      <c r="Q657" s="3835"/>
      <c r="R657" s="3836"/>
      <c r="S657" s="1172"/>
      <c r="T657" s="474"/>
      <c r="U657" s="1172"/>
      <c r="V657" s="3533"/>
      <c r="W657" s="3534"/>
      <c r="X657" s="3534"/>
      <c r="Y657" s="3534"/>
      <c r="Z657" s="3536"/>
      <c r="AA657" s="3533"/>
      <c r="AB657" s="3534"/>
      <c r="AC657" s="3536"/>
    </row>
    <row r="658" spans="2:29">
      <c r="B658" s="4211"/>
      <c r="C658" s="3530" t="s">
        <v>581</v>
      </c>
      <c r="D658" s="3706"/>
      <c r="E658" s="3699"/>
      <c r="F658" s="3699"/>
      <c r="G658" s="3699"/>
      <c r="H658" s="3707"/>
      <c r="I658" s="3706"/>
      <c r="J658" s="3699"/>
      <c r="K658" s="3699"/>
      <c r="L658" s="3699"/>
      <c r="M658" s="3707"/>
      <c r="N658" s="3834"/>
      <c r="O658" s="3835"/>
      <c r="P658" s="3835"/>
      <c r="Q658" s="3835"/>
      <c r="R658" s="3836"/>
      <c r="S658" s="1172"/>
      <c r="T658" s="474"/>
      <c r="U658" s="1172"/>
      <c r="V658" s="3533"/>
      <c r="W658" s="3534"/>
      <c r="X658" s="3534"/>
      <c r="Y658" s="3534"/>
      <c r="Z658" s="3536"/>
      <c r="AA658" s="3533"/>
      <c r="AB658" s="3534"/>
      <c r="AC658" s="3536"/>
    </row>
    <row r="659" spans="2:29">
      <c r="B659" s="4211"/>
      <c r="C659" s="3529" t="s">
        <v>584</v>
      </c>
      <c r="D659" s="3708">
        <f>D656+D657+D658</f>
        <v>0</v>
      </c>
      <c r="E659" s="3701">
        <f t="shared" ref="E659:M659" si="304">E656+E657+E658</f>
        <v>0</v>
      </c>
      <c r="F659" s="3701">
        <f t="shared" si="304"/>
        <v>0</v>
      </c>
      <c r="G659" s="3701">
        <f t="shared" si="304"/>
        <v>0</v>
      </c>
      <c r="H659" s="3709">
        <f t="shared" si="304"/>
        <v>0</v>
      </c>
      <c r="I659" s="3708">
        <f t="shared" si="304"/>
        <v>0</v>
      </c>
      <c r="J659" s="3701">
        <f t="shared" si="304"/>
        <v>0</v>
      </c>
      <c r="K659" s="3701">
        <f t="shared" si="304"/>
        <v>805.71</v>
      </c>
      <c r="L659" s="3701">
        <f t="shared" si="304"/>
        <v>0</v>
      </c>
      <c r="M659" s="3709">
        <f t="shared" si="304"/>
        <v>0</v>
      </c>
      <c r="N659" s="3856"/>
      <c r="O659" s="3857"/>
      <c r="P659" s="3857"/>
      <c r="Q659" s="3857"/>
      <c r="R659" s="3858"/>
      <c r="S659" s="1172"/>
      <c r="T659" s="474"/>
      <c r="U659" s="1172"/>
      <c r="V659" s="3533"/>
      <c r="W659" s="3534"/>
      <c r="X659" s="3534"/>
      <c r="Y659" s="3534"/>
      <c r="Z659" s="3536"/>
      <c r="AA659" s="3533"/>
      <c r="AB659" s="3534"/>
      <c r="AC659" s="3536"/>
    </row>
    <row r="660" spans="2:29">
      <c r="B660" s="4211"/>
      <c r="C660" s="3530" t="s">
        <v>605</v>
      </c>
      <c r="D660" s="3706"/>
      <c r="E660" s="3699"/>
      <c r="F660" s="3699"/>
      <c r="G660" s="3699"/>
      <c r="H660" s="3707"/>
      <c r="I660" s="3706"/>
      <c r="J660" s="3699"/>
      <c r="K660" s="3699"/>
      <c r="L660" s="3699"/>
      <c r="M660" s="3707"/>
      <c r="N660" s="3834"/>
      <c r="O660" s="3835"/>
      <c r="P660" s="3835"/>
      <c r="Q660" s="3835"/>
      <c r="R660" s="3836"/>
      <c r="S660" s="1172"/>
      <c r="T660" s="474"/>
      <c r="U660" s="1172"/>
      <c r="V660" s="3533"/>
      <c r="W660" s="3534"/>
      <c r="X660" s="3534"/>
      <c r="Y660" s="3534"/>
      <c r="Z660" s="3536"/>
      <c r="AA660" s="3533"/>
      <c r="AB660" s="3534"/>
      <c r="AC660" s="3536"/>
    </row>
    <row r="661" spans="2:29">
      <c r="B661" s="4211"/>
      <c r="C661" s="3529" t="s">
        <v>585</v>
      </c>
      <c r="D661" s="3708">
        <f>D659-D660</f>
        <v>0</v>
      </c>
      <c r="E661" s="3701">
        <f t="shared" ref="E661:M661" si="305">E659-E660</f>
        <v>0</v>
      </c>
      <c r="F661" s="3701">
        <f t="shared" si="305"/>
        <v>0</v>
      </c>
      <c r="G661" s="3701">
        <f t="shared" si="305"/>
        <v>0</v>
      </c>
      <c r="H661" s="3709">
        <f t="shared" si="305"/>
        <v>0</v>
      </c>
      <c r="I661" s="3708">
        <f t="shared" si="305"/>
        <v>0</v>
      </c>
      <c r="J661" s="3701">
        <f t="shared" si="305"/>
        <v>0</v>
      </c>
      <c r="K661" s="3701">
        <f t="shared" si="305"/>
        <v>805.71</v>
      </c>
      <c r="L661" s="3701">
        <f t="shared" si="305"/>
        <v>0</v>
      </c>
      <c r="M661" s="3709">
        <f t="shared" si="305"/>
        <v>0</v>
      </c>
      <c r="N661" s="3856"/>
      <c r="O661" s="3857"/>
      <c r="P661" s="3857"/>
      <c r="Q661" s="3857"/>
      <c r="R661" s="3858"/>
      <c r="S661" s="1172"/>
      <c r="T661" s="474"/>
      <c r="U661" s="1172"/>
      <c r="V661" s="3533"/>
      <c r="W661" s="3534"/>
      <c r="X661" s="3534"/>
      <c r="Y661" s="3534"/>
      <c r="Z661" s="3536"/>
      <c r="AA661" s="3533"/>
      <c r="AB661" s="3534"/>
      <c r="AC661" s="3536"/>
    </row>
    <row r="662" spans="2:29" ht="13.5" thickBot="1">
      <c r="B662" s="4212"/>
      <c r="C662" s="3532" t="s">
        <v>93</v>
      </c>
      <c r="D662" s="3712"/>
      <c r="E662" s="3734"/>
      <c r="F662" s="3734"/>
      <c r="G662" s="3734"/>
      <c r="H662" s="3733"/>
      <c r="I662" s="3712"/>
      <c r="J662" s="3734"/>
      <c r="K662" s="3734">
        <f t="shared" ref="K662" si="306">K661/K652</f>
        <v>805.71</v>
      </c>
      <c r="L662" s="3734"/>
      <c r="M662" s="3733"/>
      <c r="N662" s="3840"/>
      <c r="O662" s="3846"/>
      <c r="P662" s="3846"/>
      <c r="Q662" s="3846"/>
      <c r="R662" s="3847"/>
      <c r="S662" s="1172"/>
      <c r="T662" s="474"/>
      <c r="U662" s="1172"/>
      <c r="V662" s="3533"/>
      <c r="W662" s="3534"/>
      <c r="X662" s="3534"/>
      <c r="Y662" s="3534"/>
      <c r="Z662" s="3536"/>
      <c r="AA662" s="3533"/>
      <c r="AB662" s="3534"/>
      <c r="AC662" s="3536"/>
    </row>
    <row r="663" spans="2:29">
      <c r="B663" s="4210" t="s">
        <v>1834</v>
      </c>
      <c r="C663" s="3537" t="s">
        <v>90</v>
      </c>
      <c r="D663" s="3706">
        <f>D99</f>
        <v>0</v>
      </c>
      <c r="E663" s="3699">
        <f t="shared" ref="E663:M663" si="307">E99</f>
        <v>0</v>
      </c>
      <c r="F663" s="3699">
        <f t="shared" si="307"/>
        <v>0</v>
      </c>
      <c r="G663" s="3699">
        <f t="shared" si="307"/>
        <v>0</v>
      </c>
      <c r="H663" s="3707">
        <f t="shared" si="307"/>
        <v>0</v>
      </c>
      <c r="I663" s="3706">
        <f t="shared" si="307"/>
        <v>0</v>
      </c>
      <c r="J663" s="3699">
        <f t="shared" si="307"/>
        <v>0</v>
      </c>
      <c r="K663" s="3699">
        <f t="shared" si="307"/>
        <v>4</v>
      </c>
      <c r="L663" s="3699">
        <f t="shared" si="307"/>
        <v>0</v>
      </c>
      <c r="M663" s="3707">
        <f t="shared" si="307"/>
        <v>0</v>
      </c>
      <c r="N663" s="3834"/>
      <c r="O663" s="3835"/>
      <c r="P663" s="3835"/>
      <c r="Q663" s="3835"/>
      <c r="R663" s="3836"/>
      <c r="S663" s="1172"/>
      <c r="T663" s="474"/>
      <c r="U663" s="1172"/>
      <c r="V663" s="3533"/>
      <c r="W663" s="3534"/>
      <c r="X663" s="3534"/>
      <c r="Y663" s="3534"/>
      <c r="Z663" s="3536"/>
      <c r="AA663" s="3533"/>
      <c r="AB663" s="3534"/>
      <c r="AC663" s="3536"/>
    </row>
    <row r="664" spans="2:29">
      <c r="B664" s="4211"/>
      <c r="C664" s="3530" t="s">
        <v>559</v>
      </c>
      <c r="D664" s="3706"/>
      <c r="E664" s="3699"/>
      <c r="F664" s="3699"/>
      <c r="G664" s="3699"/>
      <c r="H664" s="3707"/>
      <c r="I664" s="3706"/>
      <c r="J664" s="3699"/>
      <c r="K664" s="3699"/>
      <c r="L664" s="3699"/>
      <c r="M664" s="3707"/>
      <c r="N664" s="3834"/>
      <c r="O664" s="3835"/>
      <c r="P664" s="3835"/>
      <c r="Q664" s="3835"/>
      <c r="R664" s="3836"/>
      <c r="S664" s="1172"/>
      <c r="T664" s="474"/>
      <c r="U664" s="1172"/>
      <c r="V664" s="3533"/>
      <c r="W664" s="3534"/>
      <c r="X664" s="3534"/>
      <c r="Y664" s="3534"/>
      <c r="Z664" s="3536"/>
      <c r="AA664" s="3533"/>
      <c r="AB664" s="3534"/>
      <c r="AC664" s="3536"/>
    </row>
    <row r="665" spans="2:29">
      <c r="B665" s="4211"/>
      <c r="C665" s="3530" t="s">
        <v>558</v>
      </c>
      <c r="D665" s="3706"/>
      <c r="E665" s="3699"/>
      <c r="F665" s="3699"/>
      <c r="G665" s="3699"/>
      <c r="H665" s="3707"/>
      <c r="I665" s="3706"/>
      <c r="J665" s="3699"/>
      <c r="K665" s="3699"/>
      <c r="L665" s="3699"/>
      <c r="M665" s="3707"/>
      <c r="N665" s="3834"/>
      <c r="O665" s="3835"/>
      <c r="P665" s="3835"/>
      <c r="Q665" s="3835"/>
      <c r="R665" s="3836"/>
      <c r="S665" s="1172"/>
      <c r="T665" s="474"/>
      <c r="U665" s="1172"/>
      <c r="V665" s="3533"/>
      <c r="W665" s="3534"/>
      <c r="X665" s="3534"/>
      <c r="Y665" s="3534"/>
      <c r="Z665" s="3536"/>
      <c r="AA665" s="3533"/>
      <c r="AB665" s="3534"/>
      <c r="AC665" s="3536"/>
    </row>
    <row r="666" spans="2:29">
      <c r="B666" s="4211"/>
      <c r="C666" s="3530" t="s">
        <v>578</v>
      </c>
      <c r="D666" s="3706"/>
      <c r="E666" s="3699"/>
      <c r="F666" s="3699"/>
      <c r="G666" s="3699"/>
      <c r="H666" s="3707"/>
      <c r="I666" s="3706"/>
      <c r="J666" s="3699"/>
      <c r="K666" s="3699"/>
      <c r="L666" s="3699"/>
      <c r="M666" s="3707"/>
      <c r="N666" s="3834"/>
      <c r="O666" s="3835"/>
      <c r="P666" s="3835"/>
      <c r="Q666" s="3835"/>
      <c r="R666" s="3836"/>
      <c r="S666" s="1172"/>
      <c r="T666" s="474"/>
      <c r="U666" s="1172"/>
      <c r="V666" s="3533"/>
      <c r="W666" s="3534"/>
      <c r="X666" s="3534"/>
      <c r="Y666" s="3534"/>
      <c r="Z666" s="3536"/>
      <c r="AA666" s="3533"/>
      <c r="AB666" s="3534"/>
      <c r="AC666" s="3536"/>
    </row>
    <row r="667" spans="2:29">
      <c r="B667" s="4211"/>
      <c r="C667" s="3529" t="s">
        <v>579</v>
      </c>
      <c r="D667" s="3711">
        <v>0</v>
      </c>
      <c r="E667" s="468">
        <v>0</v>
      </c>
      <c r="F667" s="468">
        <v>0</v>
      </c>
      <c r="G667" s="468">
        <v>0</v>
      </c>
      <c r="H667" s="530">
        <v>0</v>
      </c>
      <c r="I667" s="3711">
        <v>0</v>
      </c>
      <c r="J667" s="468"/>
      <c r="K667" s="468">
        <v>3010</v>
      </c>
      <c r="L667" s="468">
        <v>0</v>
      </c>
      <c r="M667" s="530">
        <v>0</v>
      </c>
      <c r="N667" s="3855"/>
      <c r="O667" s="3835"/>
      <c r="P667" s="3835"/>
      <c r="Q667" s="3835"/>
      <c r="R667" s="3836"/>
      <c r="S667" s="1172"/>
      <c r="T667" s="474"/>
      <c r="U667" s="1172"/>
      <c r="V667" s="3533"/>
      <c r="W667" s="3534"/>
      <c r="X667" s="3534"/>
      <c r="Y667" s="3534"/>
      <c r="Z667" s="3536"/>
      <c r="AA667" s="3533"/>
      <c r="AB667" s="3534"/>
      <c r="AC667" s="3536"/>
    </row>
    <row r="668" spans="2:29">
      <c r="B668" s="4211"/>
      <c r="C668" s="3530" t="s">
        <v>583</v>
      </c>
      <c r="D668" s="3706">
        <f>0.07*D667</f>
        <v>0</v>
      </c>
      <c r="E668" s="3699">
        <f t="shared" ref="E668:L668" si="308">0.07*E667</f>
        <v>0</v>
      </c>
      <c r="F668" s="3699">
        <f t="shared" si="308"/>
        <v>0</v>
      </c>
      <c r="G668" s="3699">
        <f t="shared" si="308"/>
        <v>0</v>
      </c>
      <c r="H668" s="3707">
        <f t="shared" si="308"/>
        <v>0</v>
      </c>
      <c r="I668" s="3706">
        <f t="shared" si="308"/>
        <v>0</v>
      </c>
      <c r="J668" s="3699">
        <f t="shared" si="308"/>
        <v>0</v>
      </c>
      <c r="K668" s="3699">
        <f t="shared" si="308"/>
        <v>210.70000000000002</v>
      </c>
      <c r="L668" s="3699">
        <f t="shared" si="308"/>
        <v>0</v>
      </c>
      <c r="M668" s="3707"/>
      <c r="N668" s="3834"/>
      <c r="O668" s="3835"/>
      <c r="P668" s="3835"/>
      <c r="Q668" s="3835"/>
      <c r="R668" s="3836"/>
      <c r="S668" s="1172"/>
      <c r="T668" s="474"/>
      <c r="U668" s="1172"/>
      <c r="V668" s="3533"/>
      <c r="W668" s="3534"/>
      <c r="X668" s="3534"/>
      <c r="Y668" s="3534"/>
      <c r="Z668" s="3536"/>
      <c r="AA668" s="3533"/>
      <c r="AB668" s="3534"/>
      <c r="AC668" s="3536"/>
    </row>
    <row r="669" spans="2:29">
      <c r="B669" s="4211"/>
      <c r="C669" s="3530" t="s">
        <v>581</v>
      </c>
      <c r="D669" s="3706"/>
      <c r="E669" s="3699"/>
      <c r="F669" s="3699"/>
      <c r="G669" s="3699"/>
      <c r="H669" s="3707"/>
      <c r="I669" s="3706"/>
      <c r="J669" s="3699"/>
      <c r="K669" s="3699"/>
      <c r="L669" s="3699"/>
      <c r="M669" s="3707"/>
      <c r="N669" s="3834"/>
      <c r="O669" s="3835"/>
      <c r="P669" s="3835"/>
      <c r="Q669" s="3835"/>
      <c r="R669" s="3836"/>
      <c r="S669" s="1172"/>
      <c r="T669" s="474"/>
      <c r="U669" s="1172"/>
      <c r="V669" s="3533"/>
      <c r="W669" s="3534"/>
      <c r="X669" s="3534"/>
      <c r="Y669" s="3534"/>
      <c r="Z669" s="3536"/>
      <c r="AA669" s="3533"/>
      <c r="AB669" s="3534"/>
      <c r="AC669" s="3536"/>
    </row>
    <row r="670" spans="2:29">
      <c r="B670" s="4211"/>
      <c r="C670" s="3529" t="s">
        <v>584</v>
      </c>
      <c r="D670" s="3708">
        <f>D667+D668+D669</f>
        <v>0</v>
      </c>
      <c r="E670" s="3701">
        <f t="shared" ref="E670:M670" si="309">E667+E668+E669</f>
        <v>0</v>
      </c>
      <c r="F670" s="3701">
        <f t="shared" si="309"/>
        <v>0</v>
      </c>
      <c r="G670" s="3701">
        <f t="shared" si="309"/>
        <v>0</v>
      </c>
      <c r="H670" s="3709">
        <f t="shared" si="309"/>
        <v>0</v>
      </c>
      <c r="I670" s="3708">
        <f t="shared" si="309"/>
        <v>0</v>
      </c>
      <c r="J670" s="3701">
        <f t="shared" si="309"/>
        <v>0</v>
      </c>
      <c r="K670" s="3701">
        <f t="shared" si="309"/>
        <v>3220.7</v>
      </c>
      <c r="L670" s="3701">
        <f t="shared" si="309"/>
        <v>0</v>
      </c>
      <c r="M670" s="3709">
        <f t="shared" si="309"/>
        <v>0</v>
      </c>
      <c r="N670" s="3856"/>
      <c r="O670" s="3857"/>
      <c r="P670" s="3857"/>
      <c r="Q670" s="3857"/>
      <c r="R670" s="3858"/>
      <c r="S670" s="1172"/>
      <c r="T670" s="474"/>
      <c r="U670" s="1172"/>
      <c r="V670" s="3533"/>
      <c r="W670" s="3534"/>
      <c r="X670" s="3534"/>
      <c r="Y670" s="3534"/>
      <c r="Z670" s="3536"/>
      <c r="AA670" s="3533"/>
      <c r="AB670" s="3534"/>
      <c r="AC670" s="3536"/>
    </row>
    <row r="671" spans="2:29">
      <c r="B671" s="4211"/>
      <c r="C671" s="3530" t="s">
        <v>605</v>
      </c>
      <c r="D671" s="3706"/>
      <c r="E671" s="3699"/>
      <c r="F671" s="3699"/>
      <c r="G671" s="3699"/>
      <c r="H671" s="3707"/>
      <c r="I671" s="3706"/>
      <c r="J671" s="3699"/>
      <c r="K671" s="3699"/>
      <c r="L671" s="3699"/>
      <c r="M671" s="3707"/>
      <c r="N671" s="3834"/>
      <c r="O671" s="3835"/>
      <c r="P671" s="3835"/>
      <c r="Q671" s="3835"/>
      <c r="R671" s="3836"/>
      <c r="S671" s="1172"/>
      <c r="T671" s="474"/>
      <c r="U671" s="1172"/>
      <c r="V671" s="3533"/>
      <c r="W671" s="3534"/>
      <c r="X671" s="3534"/>
      <c r="Y671" s="3534"/>
      <c r="Z671" s="3536"/>
      <c r="AA671" s="3533"/>
      <c r="AB671" s="3534"/>
      <c r="AC671" s="3536"/>
    </row>
    <row r="672" spans="2:29">
      <c r="B672" s="4211"/>
      <c r="C672" s="3529" t="s">
        <v>585</v>
      </c>
      <c r="D672" s="3708">
        <f>D670-D671</f>
        <v>0</v>
      </c>
      <c r="E672" s="3701">
        <f t="shared" ref="E672:M672" si="310">E670-E671</f>
        <v>0</v>
      </c>
      <c r="F672" s="3701">
        <f t="shared" si="310"/>
        <v>0</v>
      </c>
      <c r="G672" s="3701">
        <f t="shared" si="310"/>
        <v>0</v>
      </c>
      <c r="H672" s="3709">
        <f t="shared" si="310"/>
        <v>0</v>
      </c>
      <c r="I672" s="3708">
        <f t="shared" si="310"/>
        <v>0</v>
      </c>
      <c r="J672" s="3701">
        <f t="shared" si="310"/>
        <v>0</v>
      </c>
      <c r="K672" s="3701">
        <f t="shared" si="310"/>
        <v>3220.7</v>
      </c>
      <c r="L672" s="3701">
        <f t="shared" si="310"/>
        <v>0</v>
      </c>
      <c r="M672" s="3709">
        <f t="shared" si="310"/>
        <v>0</v>
      </c>
      <c r="N672" s="3856"/>
      <c r="O672" s="3857"/>
      <c r="P672" s="3857"/>
      <c r="Q672" s="3857"/>
      <c r="R672" s="3858"/>
      <c r="S672" s="1172"/>
      <c r="T672" s="474"/>
      <c r="U672" s="1172"/>
      <c r="V672" s="3533"/>
      <c r="W672" s="3534"/>
      <c r="X672" s="3534"/>
      <c r="Y672" s="3534"/>
      <c r="Z672" s="3536"/>
      <c r="AA672" s="3533"/>
      <c r="AB672" s="3534"/>
      <c r="AC672" s="3536"/>
    </row>
    <row r="673" spans="2:29" ht="13.5" thickBot="1">
      <c r="B673" s="4212"/>
      <c r="C673" s="3532" t="s">
        <v>93</v>
      </c>
      <c r="D673" s="470"/>
      <c r="E673" s="468"/>
      <c r="F673" s="468"/>
      <c r="G673" s="468"/>
      <c r="H673" s="530"/>
      <c r="I673" s="470"/>
      <c r="J673" s="468"/>
      <c r="K673" s="468">
        <f t="shared" ref="K673" si="311">K672/K663</f>
        <v>805.17499999999995</v>
      </c>
      <c r="L673" s="468"/>
      <c r="M673" s="530"/>
      <c r="N673" s="3834"/>
      <c r="O673" s="3835"/>
      <c r="P673" s="3835"/>
      <c r="Q673" s="3835"/>
      <c r="R673" s="3836"/>
      <c r="S673" s="1172"/>
      <c r="T673" s="474"/>
      <c r="U673" s="1172"/>
      <c r="V673" s="3533"/>
      <c r="W673" s="3534"/>
      <c r="X673" s="3534"/>
      <c r="Y673" s="3534"/>
      <c r="Z673" s="3536"/>
      <c r="AA673" s="3533"/>
      <c r="AB673" s="3534"/>
      <c r="AC673" s="3536"/>
    </row>
    <row r="674" spans="2:29">
      <c r="B674" s="4210" t="s">
        <v>1835</v>
      </c>
      <c r="C674" s="3537" t="s">
        <v>90</v>
      </c>
      <c r="D674" s="3737">
        <f>D102</f>
        <v>0</v>
      </c>
      <c r="E674" s="3736">
        <f t="shared" ref="E674:M674" si="312">E102</f>
        <v>0</v>
      </c>
      <c r="F674" s="3736">
        <f t="shared" si="312"/>
        <v>0</v>
      </c>
      <c r="G674" s="3736">
        <f t="shared" si="312"/>
        <v>0</v>
      </c>
      <c r="H674" s="3735">
        <f t="shared" si="312"/>
        <v>0</v>
      </c>
      <c r="I674" s="3737">
        <f t="shared" si="312"/>
        <v>0</v>
      </c>
      <c r="J674" s="3736">
        <f t="shared" si="312"/>
        <v>0</v>
      </c>
      <c r="K674" s="3736">
        <f t="shared" si="312"/>
        <v>1</v>
      </c>
      <c r="L674" s="3736">
        <f t="shared" si="312"/>
        <v>0</v>
      </c>
      <c r="M674" s="3735">
        <f t="shared" si="312"/>
        <v>0</v>
      </c>
      <c r="N674" s="3843"/>
      <c r="O674" s="3844"/>
      <c r="P674" s="3844"/>
      <c r="Q674" s="3844"/>
      <c r="R674" s="3845"/>
      <c r="S674" s="1172"/>
      <c r="T674" s="474"/>
      <c r="U674" s="1172"/>
      <c r="V674" s="3533"/>
      <c r="W674" s="3534"/>
      <c r="X674" s="3534"/>
      <c r="Y674" s="3534"/>
      <c r="Z674" s="3536"/>
      <c r="AA674" s="3533"/>
      <c r="AB674" s="3534"/>
      <c r="AC674" s="3536"/>
    </row>
    <row r="675" spans="2:29">
      <c r="B675" s="4211"/>
      <c r="C675" s="3530" t="s">
        <v>559</v>
      </c>
      <c r="D675" s="3706"/>
      <c r="E675" s="3699"/>
      <c r="F675" s="3699"/>
      <c r="G675" s="3699"/>
      <c r="H675" s="3707"/>
      <c r="I675" s="3706"/>
      <c r="J675" s="3699"/>
      <c r="K675" s="3699"/>
      <c r="L675" s="3699"/>
      <c r="M675" s="3707"/>
      <c r="N675" s="3834"/>
      <c r="O675" s="3835"/>
      <c r="P675" s="3835"/>
      <c r="Q675" s="3835"/>
      <c r="R675" s="3836"/>
      <c r="S675" s="1172"/>
      <c r="T675" s="474"/>
      <c r="U675" s="1172"/>
      <c r="V675" s="3533"/>
      <c r="W675" s="3534"/>
      <c r="X675" s="3534"/>
      <c r="Y675" s="3534"/>
      <c r="Z675" s="3536"/>
      <c r="AA675" s="3533"/>
      <c r="AB675" s="3534"/>
      <c r="AC675" s="3536"/>
    </row>
    <row r="676" spans="2:29">
      <c r="B676" s="4211"/>
      <c r="C676" s="3530" t="s">
        <v>558</v>
      </c>
      <c r="D676" s="3706"/>
      <c r="E676" s="3699"/>
      <c r="F676" s="3699"/>
      <c r="G676" s="3699"/>
      <c r="H676" s="3707"/>
      <c r="I676" s="3706"/>
      <c r="J676" s="3699"/>
      <c r="K676" s="3699"/>
      <c r="L676" s="3699"/>
      <c r="M676" s="3707"/>
      <c r="N676" s="3834"/>
      <c r="O676" s="3835"/>
      <c r="P676" s="3835"/>
      <c r="Q676" s="3835"/>
      <c r="R676" s="3836"/>
      <c r="S676" s="1172"/>
      <c r="T676" s="474"/>
      <c r="U676" s="1172"/>
      <c r="V676" s="3533"/>
      <c r="W676" s="3534"/>
      <c r="X676" s="3534"/>
      <c r="Y676" s="3534"/>
      <c r="Z676" s="3536"/>
      <c r="AA676" s="3533"/>
      <c r="AB676" s="3534"/>
      <c r="AC676" s="3536"/>
    </row>
    <row r="677" spans="2:29">
      <c r="B677" s="4211"/>
      <c r="C677" s="3530" t="s">
        <v>578</v>
      </c>
      <c r="D677" s="3706"/>
      <c r="E677" s="3699"/>
      <c r="F677" s="3699"/>
      <c r="G677" s="3699"/>
      <c r="H677" s="3707"/>
      <c r="I677" s="3706"/>
      <c r="J677" s="3699"/>
      <c r="K677" s="3699"/>
      <c r="L677" s="3699"/>
      <c r="M677" s="3707"/>
      <c r="N677" s="3834"/>
      <c r="O677" s="3835"/>
      <c r="P677" s="3835"/>
      <c r="Q677" s="3835"/>
      <c r="R677" s="3836"/>
      <c r="S677" s="1172"/>
      <c r="T677" s="474"/>
      <c r="U677" s="1172"/>
      <c r="V677" s="3533"/>
      <c r="W677" s="3534"/>
      <c r="X677" s="3534"/>
      <c r="Y677" s="3534"/>
      <c r="Z677" s="3536"/>
      <c r="AA677" s="3533"/>
      <c r="AB677" s="3534"/>
      <c r="AC677" s="3536"/>
    </row>
    <row r="678" spans="2:29">
      <c r="B678" s="4211"/>
      <c r="C678" s="3529" t="s">
        <v>579</v>
      </c>
      <c r="D678" s="3711">
        <v>0</v>
      </c>
      <c r="E678" s="468">
        <v>0</v>
      </c>
      <c r="F678" s="468">
        <v>0</v>
      </c>
      <c r="G678" s="468">
        <v>0</v>
      </c>
      <c r="H678" s="530">
        <v>0</v>
      </c>
      <c r="I678" s="3711">
        <v>0</v>
      </c>
      <c r="J678" s="468"/>
      <c r="K678" s="468">
        <v>753</v>
      </c>
      <c r="L678" s="468">
        <v>0</v>
      </c>
      <c r="M678" s="530">
        <v>0</v>
      </c>
      <c r="N678" s="3855"/>
      <c r="O678" s="3835"/>
      <c r="P678" s="3835"/>
      <c r="Q678" s="3835"/>
      <c r="R678" s="3836"/>
      <c r="S678" s="1172"/>
      <c r="T678" s="474"/>
      <c r="U678" s="1172"/>
      <c r="V678" s="3533"/>
      <c r="W678" s="3534"/>
      <c r="X678" s="3534"/>
      <c r="Y678" s="3534"/>
      <c r="Z678" s="3536"/>
      <c r="AA678" s="3533"/>
      <c r="AB678" s="3534"/>
      <c r="AC678" s="3536"/>
    </row>
    <row r="679" spans="2:29">
      <c r="B679" s="4211"/>
      <c r="C679" s="3530" t="s">
        <v>583</v>
      </c>
      <c r="D679" s="3706">
        <f>0.07*D678</f>
        <v>0</v>
      </c>
      <c r="E679" s="3699">
        <f t="shared" ref="E679:L679" si="313">0.07*E678</f>
        <v>0</v>
      </c>
      <c r="F679" s="3699">
        <f t="shared" si="313"/>
        <v>0</v>
      </c>
      <c r="G679" s="3699">
        <f t="shared" si="313"/>
        <v>0</v>
      </c>
      <c r="H679" s="3707">
        <f t="shared" si="313"/>
        <v>0</v>
      </c>
      <c r="I679" s="3706">
        <f t="shared" si="313"/>
        <v>0</v>
      </c>
      <c r="J679" s="3699">
        <f t="shared" si="313"/>
        <v>0</v>
      </c>
      <c r="K679" s="3699">
        <f t="shared" si="313"/>
        <v>52.710000000000008</v>
      </c>
      <c r="L679" s="3699">
        <f t="shared" si="313"/>
        <v>0</v>
      </c>
      <c r="M679" s="3707"/>
      <c r="N679" s="3834"/>
      <c r="O679" s="3835"/>
      <c r="P679" s="3835"/>
      <c r="Q679" s="3835"/>
      <c r="R679" s="3836"/>
      <c r="S679" s="1172"/>
      <c r="T679" s="474"/>
      <c r="U679" s="1172"/>
      <c r="V679" s="3533"/>
      <c r="W679" s="3534"/>
      <c r="X679" s="3534"/>
      <c r="Y679" s="3534"/>
      <c r="Z679" s="3536"/>
      <c r="AA679" s="3533"/>
      <c r="AB679" s="3534"/>
      <c r="AC679" s="3536"/>
    </row>
    <row r="680" spans="2:29">
      <c r="B680" s="4211"/>
      <c r="C680" s="3530" t="s">
        <v>581</v>
      </c>
      <c r="D680" s="3706"/>
      <c r="E680" s="3699"/>
      <c r="F680" s="3699"/>
      <c r="G680" s="3699"/>
      <c r="H680" s="3707"/>
      <c r="I680" s="3706"/>
      <c r="J680" s="3699"/>
      <c r="K680" s="3699"/>
      <c r="L680" s="3699"/>
      <c r="M680" s="3707"/>
      <c r="N680" s="3834"/>
      <c r="O680" s="3835"/>
      <c r="P680" s="3835"/>
      <c r="Q680" s="3835"/>
      <c r="R680" s="3836"/>
      <c r="S680" s="1172"/>
      <c r="T680" s="474"/>
      <c r="U680" s="1172"/>
      <c r="V680" s="3533"/>
      <c r="W680" s="3534"/>
      <c r="X680" s="3534"/>
      <c r="Y680" s="3534"/>
      <c r="Z680" s="3536"/>
      <c r="AA680" s="3533"/>
      <c r="AB680" s="3534"/>
      <c r="AC680" s="3536"/>
    </row>
    <row r="681" spans="2:29">
      <c r="B681" s="4211"/>
      <c r="C681" s="3529" t="s">
        <v>584</v>
      </c>
      <c r="D681" s="3708">
        <f>D678+D679+D680</f>
        <v>0</v>
      </c>
      <c r="E681" s="3701">
        <f t="shared" ref="E681:M681" si="314">E678+E679+E680</f>
        <v>0</v>
      </c>
      <c r="F681" s="3701">
        <f t="shared" si="314"/>
        <v>0</v>
      </c>
      <c r="G681" s="3701">
        <f t="shared" si="314"/>
        <v>0</v>
      </c>
      <c r="H681" s="3709">
        <f t="shared" si="314"/>
        <v>0</v>
      </c>
      <c r="I681" s="3708">
        <f t="shared" si="314"/>
        <v>0</v>
      </c>
      <c r="J681" s="3701">
        <f t="shared" si="314"/>
        <v>0</v>
      </c>
      <c r="K681" s="3701">
        <f t="shared" si="314"/>
        <v>805.71</v>
      </c>
      <c r="L681" s="3701">
        <f t="shared" si="314"/>
        <v>0</v>
      </c>
      <c r="M681" s="3709">
        <f t="shared" si="314"/>
        <v>0</v>
      </c>
      <c r="N681" s="3856"/>
      <c r="O681" s="3857"/>
      <c r="P681" s="3857"/>
      <c r="Q681" s="3857"/>
      <c r="R681" s="3858"/>
      <c r="S681" s="1172"/>
      <c r="T681" s="474"/>
      <c r="U681" s="1172"/>
      <c r="V681" s="3533"/>
      <c r="W681" s="3534"/>
      <c r="X681" s="3534"/>
      <c r="Y681" s="3534"/>
      <c r="Z681" s="3536"/>
      <c r="AA681" s="3533"/>
      <c r="AB681" s="3534"/>
      <c r="AC681" s="3536"/>
    </row>
    <row r="682" spans="2:29">
      <c r="B682" s="4211"/>
      <c r="C682" s="3530" t="s">
        <v>605</v>
      </c>
      <c r="D682" s="3706"/>
      <c r="E682" s="3699"/>
      <c r="F682" s="3699"/>
      <c r="G682" s="3699"/>
      <c r="H682" s="3707"/>
      <c r="I682" s="3706"/>
      <c r="J682" s="3699"/>
      <c r="K682" s="3699"/>
      <c r="L682" s="3699"/>
      <c r="M682" s="3707"/>
      <c r="N682" s="3834"/>
      <c r="O682" s="3835"/>
      <c r="P682" s="3835"/>
      <c r="Q682" s="3835"/>
      <c r="R682" s="3836"/>
      <c r="S682" s="1172"/>
      <c r="T682" s="474"/>
      <c r="U682" s="1172"/>
      <c r="V682" s="3533"/>
      <c r="W682" s="3534"/>
      <c r="X682" s="3534"/>
      <c r="Y682" s="3534"/>
      <c r="Z682" s="3536"/>
      <c r="AA682" s="3533"/>
      <c r="AB682" s="3534"/>
      <c r="AC682" s="3536"/>
    </row>
    <row r="683" spans="2:29">
      <c r="B683" s="4211"/>
      <c r="C683" s="3529" t="s">
        <v>585</v>
      </c>
      <c r="D683" s="3708">
        <f>D681-D682</f>
        <v>0</v>
      </c>
      <c r="E683" s="3701">
        <f t="shared" ref="E683:M683" si="315">E681-E682</f>
        <v>0</v>
      </c>
      <c r="F683" s="3701">
        <f t="shared" si="315"/>
        <v>0</v>
      </c>
      <c r="G683" s="3701">
        <f t="shared" si="315"/>
        <v>0</v>
      </c>
      <c r="H683" s="3709">
        <f t="shared" si="315"/>
        <v>0</v>
      </c>
      <c r="I683" s="3708">
        <f t="shared" si="315"/>
        <v>0</v>
      </c>
      <c r="J683" s="3701">
        <f t="shared" si="315"/>
        <v>0</v>
      </c>
      <c r="K683" s="3701">
        <f t="shared" si="315"/>
        <v>805.71</v>
      </c>
      <c r="L683" s="3701">
        <f t="shared" si="315"/>
        <v>0</v>
      </c>
      <c r="M683" s="3709">
        <f t="shared" si="315"/>
        <v>0</v>
      </c>
      <c r="N683" s="3856"/>
      <c r="O683" s="3857"/>
      <c r="P683" s="3857"/>
      <c r="Q683" s="3857"/>
      <c r="R683" s="3858"/>
      <c r="S683" s="1172"/>
      <c r="T683" s="474"/>
      <c r="U683" s="1172"/>
      <c r="V683" s="3533"/>
      <c r="W683" s="3534"/>
      <c r="X683" s="3534"/>
      <c r="Y683" s="3534"/>
      <c r="Z683" s="3536"/>
      <c r="AA683" s="3533"/>
      <c r="AB683" s="3534"/>
      <c r="AC683" s="3536"/>
    </row>
    <row r="684" spans="2:29" ht="13.5" thickBot="1">
      <c r="B684" s="4212"/>
      <c r="C684" s="3532" t="s">
        <v>93</v>
      </c>
      <c r="D684" s="3712"/>
      <c r="E684" s="3734"/>
      <c r="F684" s="3734"/>
      <c r="G684" s="3734"/>
      <c r="H684" s="3733"/>
      <c r="I684" s="3712"/>
      <c r="J684" s="3734"/>
      <c r="K684" s="3734">
        <f t="shared" ref="K684" si="316">K683/K674</f>
        <v>805.71</v>
      </c>
      <c r="L684" s="3734"/>
      <c r="M684" s="3733"/>
      <c r="N684" s="3840"/>
      <c r="O684" s="3846"/>
      <c r="P684" s="3846"/>
      <c r="Q684" s="3846"/>
      <c r="R684" s="3847"/>
      <c r="S684" s="1172"/>
      <c r="T684" s="474"/>
      <c r="U684" s="1172"/>
      <c r="V684" s="3533"/>
      <c r="W684" s="3534"/>
      <c r="X684" s="3534"/>
      <c r="Y684" s="3534"/>
      <c r="Z684" s="3536"/>
      <c r="AA684" s="3533"/>
      <c r="AB684" s="3534"/>
      <c r="AC684" s="3536"/>
    </row>
    <row r="685" spans="2:29">
      <c r="B685" s="4210" t="s">
        <v>1837</v>
      </c>
      <c r="C685" s="3537" t="s">
        <v>90</v>
      </c>
      <c r="D685" s="3706">
        <f>D108</f>
        <v>0</v>
      </c>
      <c r="E685" s="3699">
        <f t="shared" ref="E685:M685" si="317">E108</f>
        <v>0</v>
      </c>
      <c r="F685" s="3699">
        <f t="shared" si="317"/>
        <v>0</v>
      </c>
      <c r="G685" s="3699">
        <f t="shared" si="317"/>
        <v>0</v>
      </c>
      <c r="H685" s="3707">
        <f t="shared" si="317"/>
        <v>0</v>
      </c>
      <c r="I685" s="3706">
        <f t="shared" si="317"/>
        <v>0</v>
      </c>
      <c r="J685" s="3699">
        <f t="shared" si="317"/>
        <v>1</v>
      </c>
      <c r="K685" s="3699">
        <f t="shared" si="317"/>
        <v>1</v>
      </c>
      <c r="L685" s="3699">
        <f t="shared" si="317"/>
        <v>1</v>
      </c>
      <c r="M685" s="3707">
        <f t="shared" si="317"/>
        <v>1</v>
      </c>
      <c r="N685" s="3834"/>
      <c r="O685" s="3835"/>
      <c r="P685" s="3835"/>
      <c r="Q685" s="3835"/>
      <c r="R685" s="3836"/>
      <c r="S685" s="1172"/>
      <c r="T685" s="474"/>
      <c r="U685" s="1172"/>
      <c r="V685" s="3533"/>
      <c r="W685" s="3534"/>
      <c r="X685" s="3534"/>
      <c r="Y685" s="3534"/>
      <c r="Z685" s="3536"/>
      <c r="AA685" s="3533"/>
      <c r="AB685" s="3534"/>
      <c r="AC685" s="3536"/>
    </row>
    <row r="686" spans="2:29">
      <c r="B686" s="4211"/>
      <c r="C686" s="3530" t="s">
        <v>559</v>
      </c>
      <c r="D686" s="3706"/>
      <c r="E686" s="3699"/>
      <c r="F686" s="3699"/>
      <c r="G686" s="3699"/>
      <c r="H686" s="3707"/>
      <c r="I686" s="3706"/>
      <c r="J686" s="3699"/>
      <c r="K686" s="3699"/>
      <c r="L686" s="3699"/>
      <c r="M686" s="3707"/>
      <c r="N686" s="3834"/>
      <c r="O686" s="3835"/>
      <c r="P686" s="3835"/>
      <c r="Q686" s="3835"/>
      <c r="R686" s="3836"/>
      <c r="S686" s="1172"/>
      <c r="T686" s="1172"/>
      <c r="U686" s="1172"/>
      <c r="V686" s="3533"/>
      <c r="W686" s="3534"/>
      <c r="X686" s="3534"/>
      <c r="Y686" s="3534"/>
      <c r="Z686" s="3536"/>
      <c r="AA686" s="3533"/>
      <c r="AB686" s="3534"/>
      <c r="AC686" s="3536"/>
    </row>
    <row r="687" spans="2:29">
      <c r="B687" s="4211"/>
      <c r="C687" s="3530" t="s">
        <v>558</v>
      </c>
      <c r="D687" s="3706"/>
      <c r="E687" s="3699"/>
      <c r="F687" s="3699"/>
      <c r="G687" s="3699"/>
      <c r="H687" s="3707"/>
      <c r="I687" s="3706"/>
      <c r="J687" s="3699"/>
      <c r="K687" s="3699"/>
      <c r="L687" s="3699"/>
      <c r="M687" s="3707"/>
      <c r="N687" s="3834"/>
      <c r="O687" s="3835"/>
      <c r="P687" s="3835"/>
      <c r="Q687" s="3835"/>
      <c r="R687" s="3836"/>
      <c r="S687" s="1172"/>
      <c r="T687" s="1172"/>
      <c r="U687" s="1172"/>
      <c r="V687" s="3533"/>
      <c r="W687" s="3534"/>
      <c r="X687" s="3534"/>
      <c r="Y687" s="3534"/>
      <c r="Z687" s="3536"/>
      <c r="AA687" s="3533"/>
      <c r="AB687" s="3534"/>
      <c r="AC687" s="3536"/>
    </row>
    <row r="688" spans="2:29">
      <c r="B688" s="4211"/>
      <c r="C688" s="3530" t="s">
        <v>578</v>
      </c>
      <c r="D688" s="3706"/>
      <c r="E688" s="3699"/>
      <c r="F688" s="3699"/>
      <c r="G688" s="3699"/>
      <c r="H688" s="3707"/>
      <c r="I688" s="3706"/>
      <c r="J688" s="3699"/>
      <c r="K688" s="3699"/>
      <c r="L688" s="3699"/>
      <c r="M688" s="3707"/>
      <c r="N688" s="3834"/>
      <c r="O688" s="3835"/>
      <c r="P688" s="3835"/>
      <c r="Q688" s="3835"/>
      <c r="R688" s="3836"/>
      <c r="S688" s="1172"/>
      <c r="T688" s="1172"/>
      <c r="U688" s="1172"/>
      <c r="V688" s="3533"/>
      <c r="W688" s="3534"/>
      <c r="X688" s="3534"/>
      <c r="Y688" s="3534"/>
      <c r="Z688" s="3536"/>
      <c r="AA688" s="3533"/>
      <c r="AB688" s="3534"/>
      <c r="AC688" s="3536"/>
    </row>
    <row r="689" spans="2:29">
      <c r="B689" s="4211"/>
      <c r="C689" s="3529" t="s">
        <v>579</v>
      </c>
      <c r="D689" s="3711">
        <v>0</v>
      </c>
      <c r="E689" s="468">
        <v>0</v>
      </c>
      <c r="F689" s="468">
        <v>0</v>
      </c>
      <c r="G689" s="468">
        <v>0</v>
      </c>
      <c r="H689" s="530">
        <v>0</v>
      </c>
      <c r="I689" s="3711">
        <v>0</v>
      </c>
      <c r="J689" s="468">
        <v>634</v>
      </c>
      <c r="K689" s="468">
        <v>753</v>
      </c>
      <c r="L689" s="468">
        <v>1705</v>
      </c>
      <c r="M689" s="530">
        <v>1236</v>
      </c>
      <c r="N689" s="3855"/>
      <c r="O689" s="3835"/>
      <c r="P689" s="3835"/>
      <c r="Q689" s="3835"/>
      <c r="R689" s="3836"/>
      <c r="S689" s="1172"/>
      <c r="T689" s="1172"/>
      <c r="U689" s="1172"/>
      <c r="V689" s="3533"/>
      <c r="W689" s="3534"/>
      <c r="X689" s="3534"/>
      <c r="Y689" s="3534"/>
      <c r="Z689" s="3536"/>
      <c r="AA689" s="3533"/>
      <c r="AB689" s="3534"/>
      <c r="AC689" s="3536"/>
    </row>
    <row r="690" spans="2:29">
      <c r="B690" s="4211"/>
      <c r="C690" s="3530" t="s">
        <v>583</v>
      </c>
      <c r="D690" s="3706">
        <f>0.07*D689</f>
        <v>0</v>
      </c>
      <c r="E690" s="3699">
        <f t="shared" ref="E690:L690" si="318">0.07*E689</f>
        <v>0</v>
      </c>
      <c r="F690" s="3699">
        <f t="shared" si="318"/>
        <v>0</v>
      </c>
      <c r="G690" s="3699">
        <f t="shared" si="318"/>
        <v>0</v>
      </c>
      <c r="H690" s="3707">
        <f t="shared" si="318"/>
        <v>0</v>
      </c>
      <c r="I690" s="3706">
        <f t="shared" si="318"/>
        <v>0</v>
      </c>
      <c r="J690" s="3699">
        <f t="shared" si="318"/>
        <v>44.38</v>
      </c>
      <c r="K690" s="3699">
        <f t="shared" si="318"/>
        <v>52.710000000000008</v>
      </c>
      <c r="L690" s="3699">
        <f t="shared" si="318"/>
        <v>119.35000000000001</v>
      </c>
      <c r="M690" s="3707">
        <f>$M$250*M689</f>
        <v>0</v>
      </c>
      <c r="N690" s="3834"/>
      <c r="O690" s="3835"/>
      <c r="P690" s="3835"/>
      <c r="Q690" s="3835"/>
      <c r="R690" s="3836"/>
      <c r="S690" s="1172"/>
      <c r="T690" s="1172"/>
      <c r="U690" s="1172"/>
      <c r="V690" s="3533"/>
      <c r="W690" s="3534"/>
      <c r="X690" s="3534"/>
      <c r="Y690" s="3534"/>
      <c r="Z690" s="3536"/>
      <c r="AA690" s="3533"/>
      <c r="AB690" s="3534"/>
      <c r="AC690" s="3536"/>
    </row>
    <row r="691" spans="2:29">
      <c r="B691" s="4211"/>
      <c r="C691" s="3530" t="s">
        <v>581</v>
      </c>
      <c r="D691" s="3706"/>
      <c r="E691" s="3699"/>
      <c r="F691" s="3699"/>
      <c r="G691" s="3699"/>
      <c r="H691" s="3707"/>
      <c r="I691" s="3706"/>
      <c r="J691" s="3699"/>
      <c r="K691" s="3699"/>
      <c r="L691" s="3699"/>
      <c r="M691" s="3707"/>
      <c r="N691" s="3834"/>
      <c r="O691" s="3835"/>
      <c r="P691" s="3835"/>
      <c r="Q691" s="3835"/>
      <c r="R691" s="3836"/>
      <c r="S691" s="1172"/>
      <c r="T691" s="1172"/>
      <c r="U691" s="1172"/>
      <c r="V691" s="3533"/>
      <c r="W691" s="3534"/>
      <c r="X691" s="3534"/>
      <c r="Y691" s="3534"/>
      <c r="Z691" s="3536"/>
      <c r="AA691" s="3533"/>
      <c r="AB691" s="3534"/>
      <c r="AC691" s="3536"/>
    </row>
    <row r="692" spans="2:29">
      <c r="B692" s="4211"/>
      <c r="C692" s="3529" t="s">
        <v>584</v>
      </c>
      <c r="D692" s="3708">
        <f>D689+D690+D691</f>
        <v>0</v>
      </c>
      <c r="E692" s="3701">
        <f t="shared" ref="E692:M692" si="319">E689+E690+E691</f>
        <v>0</v>
      </c>
      <c r="F692" s="3701">
        <f t="shared" si="319"/>
        <v>0</v>
      </c>
      <c r="G692" s="3701">
        <f t="shared" si="319"/>
        <v>0</v>
      </c>
      <c r="H692" s="3709">
        <f t="shared" si="319"/>
        <v>0</v>
      </c>
      <c r="I692" s="3708">
        <f t="shared" si="319"/>
        <v>0</v>
      </c>
      <c r="J692" s="3701">
        <f t="shared" si="319"/>
        <v>678.38</v>
      </c>
      <c r="K692" s="3701">
        <f t="shared" si="319"/>
        <v>805.71</v>
      </c>
      <c r="L692" s="3701">
        <f t="shared" si="319"/>
        <v>1824.35</v>
      </c>
      <c r="M692" s="3709">
        <f t="shared" si="319"/>
        <v>1236</v>
      </c>
      <c r="N692" s="3856"/>
      <c r="O692" s="3857"/>
      <c r="P692" s="3857"/>
      <c r="Q692" s="3857"/>
      <c r="R692" s="3858"/>
      <c r="S692" s="1172"/>
      <c r="T692" s="1172"/>
      <c r="U692" s="1172"/>
      <c r="V692" s="3533"/>
      <c r="W692" s="3534"/>
      <c r="X692" s="3534"/>
      <c r="Y692" s="3534"/>
      <c r="Z692" s="3536"/>
      <c r="AA692" s="3533"/>
      <c r="AB692" s="3534"/>
      <c r="AC692" s="3536"/>
    </row>
    <row r="693" spans="2:29">
      <c r="B693" s="4211"/>
      <c r="C693" s="3530" t="s">
        <v>605</v>
      </c>
      <c r="D693" s="3706"/>
      <c r="E693" s="3699"/>
      <c r="F693" s="3699"/>
      <c r="G693" s="3699"/>
      <c r="H693" s="3707"/>
      <c r="I693" s="3706"/>
      <c r="J693" s="3699"/>
      <c r="K693" s="3699"/>
      <c r="L693" s="3699"/>
      <c r="M693" s="3707"/>
      <c r="N693" s="3834"/>
      <c r="O693" s="3835"/>
      <c r="P693" s="3835"/>
      <c r="Q693" s="3835"/>
      <c r="R693" s="3836"/>
      <c r="S693" s="1172"/>
      <c r="T693" s="1172"/>
      <c r="U693" s="1172"/>
      <c r="V693" s="3533"/>
      <c r="W693" s="3534"/>
      <c r="X693" s="3534"/>
      <c r="Y693" s="3534"/>
      <c r="Z693" s="3536"/>
      <c r="AA693" s="3533"/>
      <c r="AB693" s="3534"/>
      <c r="AC693" s="3536"/>
    </row>
    <row r="694" spans="2:29">
      <c r="B694" s="4211"/>
      <c r="C694" s="3529" t="s">
        <v>585</v>
      </c>
      <c r="D694" s="3708">
        <f>D692-D693</f>
        <v>0</v>
      </c>
      <c r="E694" s="3701">
        <f t="shared" ref="E694:M694" si="320">E692-E693</f>
        <v>0</v>
      </c>
      <c r="F694" s="3701">
        <f t="shared" si="320"/>
        <v>0</v>
      </c>
      <c r="G694" s="3701">
        <f t="shared" si="320"/>
        <v>0</v>
      </c>
      <c r="H694" s="3709">
        <f t="shared" si="320"/>
        <v>0</v>
      </c>
      <c r="I694" s="3708">
        <f t="shared" si="320"/>
        <v>0</v>
      </c>
      <c r="J694" s="3701">
        <f t="shared" si="320"/>
        <v>678.38</v>
      </c>
      <c r="K694" s="3701">
        <f t="shared" si="320"/>
        <v>805.71</v>
      </c>
      <c r="L694" s="3701">
        <f t="shared" si="320"/>
        <v>1824.35</v>
      </c>
      <c r="M694" s="3709">
        <f t="shared" si="320"/>
        <v>1236</v>
      </c>
      <c r="N694" s="3856"/>
      <c r="O694" s="3857"/>
      <c r="P694" s="3857"/>
      <c r="Q694" s="3857"/>
      <c r="R694" s="3858"/>
      <c r="S694" s="1172"/>
      <c r="T694" s="1172"/>
      <c r="U694" s="1172"/>
      <c r="V694" s="3533"/>
      <c r="W694" s="3534"/>
      <c r="X694" s="3534"/>
      <c r="Y694" s="3534"/>
      <c r="Z694" s="3536"/>
      <c r="AA694" s="3533"/>
      <c r="AB694" s="3534"/>
      <c r="AC694" s="3536"/>
    </row>
    <row r="695" spans="2:29" ht="13.5" thickBot="1">
      <c r="B695" s="4212"/>
      <c r="C695" s="3532" t="s">
        <v>93</v>
      </c>
      <c r="D695" s="470"/>
      <c r="E695" s="468"/>
      <c r="F695" s="468"/>
      <c r="G695" s="468"/>
      <c r="H695" s="530"/>
      <c r="I695" s="470"/>
      <c r="J695" s="468">
        <f t="shared" ref="J695:M695" si="321">J694/J685</f>
        <v>678.38</v>
      </c>
      <c r="K695" s="468">
        <f t="shared" si="321"/>
        <v>805.71</v>
      </c>
      <c r="L695" s="468">
        <f t="shared" si="321"/>
        <v>1824.35</v>
      </c>
      <c r="M695" s="530">
        <f t="shared" si="321"/>
        <v>1236</v>
      </c>
      <c r="N695" s="3834"/>
      <c r="O695" s="3835"/>
      <c r="P695" s="3835"/>
      <c r="Q695" s="3835"/>
      <c r="R695" s="3836"/>
      <c r="S695" s="1172"/>
      <c r="T695" s="1172"/>
      <c r="U695" s="1172"/>
      <c r="V695" s="3533"/>
      <c r="W695" s="3534"/>
      <c r="X695" s="3534"/>
      <c r="Y695" s="3534"/>
      <c r="Z695" s="3536"/>
      <c r="AA695" s="3533"/>
      <c r="AB695" s="3534"/>
      <c r="AC695" s="3536"/>
    </row>
    <row r="696" spans="2:29">
      <c r="B696" s="4210" t="s">
        <v>1840</v>
      </c>
      <c r="C696" s="3537" t="s">
        <v>90</v>
      </c>
      <c r="D696" s="3737">
        <f>D117</f>
        <v>7</v>
      </c>
      <c r="E696" s="3736">
        <f t="shared" ref="E696:M696" si="322">E117</f>
        <v>6</v>
      </c>
      <c r="F696" s="3736">
        <f t="shared" si="322"/>
        <v>4</v>
      </c>
      <c r="G696" s="3736">
        <f t="shared" si="322"/>
        <v>1</v>
      </c>
      <c r="H696" s="3735">
        <f t="shared" si="322"/>
        <v>4</v>
      </c>
      <c r="I696" s="3737">
        <f t="shared" si="322"/>
        <v>1</v>
      </c>
      <c r="J696" s="3736">
        <f t="shared" si="322"/>
        <v>0</v>
      </c>
      <c r="K696" s="3736">
        <f t="shared" si="322"/>
        <v>26</v>
      </c>
      <c r="L696" s="3736">
        <f t="shared" si="322"/>
        <v>0</v>
      </c>
      <c r="M696" s="3735">
        <f t="shared" si="322"/>
        <v>17</v>
      </c>
      <c r="N696" s="3843"/>
      <c r="O696" s="3844"/>
      <c r="P696" s="3844"/>
      <c r="Q696" s="3844"/>
      <c r="R696" s="3845"/>
      <c r="S696" s="1172"/>
      <c r="T696" s="474"/>
      <c r="U696" s="1172"/>
      <c r="V696" s="3533"/>
      <c r="W696" s="3534"/>
      <c r="X696" s="3534"/>
      <c r="Y696" s="3534"/>
      <c r="Z696" s="3536"/>
      <c r="AA696" s="3533"/>
      <c r="AB696" s="3534"/>
      <c r="AC696" s="3536"/>
    </row>
    <row r="697" spans="2:29">
      <c r="B697" s="4211"/>
      <c r="C697" s="3530" t="s">
        <v>559</v>
      </c>
      <c r="D697" s="3706"/>
      <c r="E697" s="3699"/>
      <c r="F697" s="3699"/>
      <c r="G697" s="3699"/>
      <c r="H697" s="3707"/>
      <c r="I697" s="3706"/>
      <c r="J697" s="3699"/>
      <c r="K697" s="3699"/>
      <c r="L697" s="3699"/>
      <c r="M697" s="3707"/>
      <c r="N697" s="3834"/>
      <c r="O697" s="3835"/>
      <c r="P697" s="3835"/>
      <c r="Q697" s="3835"/>
      <c r="R697" s="3836"/>
      <c r="S697" s="1172"/>
      <c r="T697" s="474"/>
      <c r="U697" s="1172"/>
      <c r="V697" s="3533"/>
      <c r="W697" s="3534"/>
      <c r="X697" s="3534"/>
      <c r="Y697" s="3534"/>
      <c r="Z697" s="3536"/>
      <c r="AA697" s="3533"/>
      <c r="AB697" s="3534"/>
      <c r="AC697" s="3536"/>
    </row>
    <row r="698" spans="2:29">
      <c r="B698" s="4211"/>
      <c r="C698" s="3530" t="s">
        <v>558</v>
      </c>
      <c r="D698" s="3706"/>
      <c r="E698" s="3699"/>
      <c r="F698" s="3699"/>
      <c r="G698" s="3699"/>
      <c r="H698" s="3707"/>
      <c r="I698" s="3706"/>
      <c r="J698" s="3699"/>
      <c r="K698" s="3699"/>
      <c r="L698" s="3699"/>
      <c r="M698" s="3707"/>
      <c r="N698" s="3834"/>
      <c r="O698" s="3835"/>
      <c r="P698" s="3835"/>
      <c r="Q698" s="3835"/>
      <c r="R698" s="3836"/>
      <c r="S698" s="1172"/>
      <c r="T698" s="474"/>
      <c r="U698" s="1172"/>
      <c r="V698" s="3533"/>
      <c r="W698" s="3534"/>
      <c r="X698" s="3534"/>
      <c r="Y698" s="3534"/>
      <c r="Z698" s="3536"/>
      <c r="AA698" s="3533"/>
      <c r="AB698" s="3534"/>
      <c r="AC698" s="3536"/>
    </row>
    <row r="699" spans="2:29">
      <c r="B699" s="4211"/>
      <c r="C699" s="3530" t="s">
        <v>578</v>
      </c>
      <c r="D699" s="3706"/>
      <c r="E699" s="3699"/>
      <c r="F699" s="3699"/>
      <c r="G699" s="3699"/>
      <c r="H699" s="3707"/>
      <c r="I699" s="3706"/>
      <c r="J699" s="3699"/>
      <c r="K699" s="3699"/>
      <c r="L699" s="3699"/>
      <c r="M699" s="3707"/>
      <c r="N699" s="3834"/>
      <c r="O699" s="3835"/>
      <c r="P699" s="3835"/>
      <c r="Q699" s="3835"/>
      <c r="R699" s="3836"/>
      <c r="S699" s="1172"/>
      <c r="T699" s="474"/>
      <c r="U699" s="1172"/>
      <c r="V699" s="3533"/>
      <c r="W699" s="3534"/>
      <c r="X699" s="3534"/>
      <c r="Y699" s="3534"/>
      <c r="Z699" s="3536"/>
      <c r="AA699" s="3533"/>
      <c r="AB699" s="3534"/>
      <c r="AC699" s="3536"/>
    </row>
    <row r="700" spans="2:29">
      <c r="B700" s="4211"/>
      <c r="C700" s="3529" t="s">
        <v>579</v>
      </c>
      <c r="D700" s="470">
        <v>5553</v>
      </c>
      <c r="E700" s="468">
        <v>2669</v>
      </c>
      <c r="F700" s="468">
        <v>1671</v>
      </c>
      <c r="G700" s="468">
        <v>425</v>
      </c>
      <c r="H700" s="530">
        <v>2550</v>
      </c>
      <c r="I700" s="470">
        <v>868</v>
      </c>
      <c r="J700" s="468"/>
      <c r="K700" s="468">
        <v>19566</v>
      </c>
      <c r="L700" s="468">
        <v>0</v>
      </c>
      <c r="M700" s="530">
        <v>21020</v>
      </c>
      <c r="N700" s="3834"/>
      <c r="O700" s="3835"/>
      <c r="P700" s="3835"/>
      <c r="Q700" s="3835"/>
      <c r="R700" s="3836"/>
      <c r="S700" s="1172"/>
      <c r="T700" s="474"/>
      <c r="U700" s="1172"/>
      <c r="V700" s="3533"/>
      <c r="W700" s="3534"/>
      <c r="X700" s="3534"/>
      <c r="Y700" s="3534"/>
      <c r="Z700" s="3536"/>
      <c r="AA700" s="3533"/>
      <c r="AB700" s="3534"/>
      <c r="AC700" s="3536"/>
    </row>
    <row r="701" spans="2:29">
      <c r="B701" s="4211"/>
      <c r="C701" s="3530" t="s">
        <v>583</v>
      </c>
      <c r="D701" s="3706">
        <f>0.07*D700</f>
        <v>388.71000000000004</v>
      </c>
      <c r="E701" s="3699">
        <f t="shared" ref="E701:L701" si="323">0.07*E700</f>
        <v>186.83</v>
      </c>
      <c r="F701" s="3699">
        <f t="shared" si="323"/>
        <v>116.97000000000001</v>
      </c>
      <c r="G701" s="3699">
        <f t="shared" si="323"/>
        <v>29.750000000000004</v>
      </c>
      <c r="H701" s="3707">
        <f t="shared" si="323"/>
        <v>178.50000000000003</v>
      </c>
      <c r="I701" s="3706">
        <f t="shared" si="323"/>
        <v>60.760000000000005</v>
      </c>
      <c r="J701" s="3699">
        <f t="shared" si="323"/>
        <v>0</v>
      </c>
      <c r="K701" s="3699">
        <f t="shared" si="323"/>
        <v>1369.6200000000001</v>
      </c>
      <c r="L701" s="3699">
        <f t="shared" si="323"/>
        <v>0</v>
      </c>
      <c r="M701" s="3707">
        <f>$M$250*M700</f>
        <v>0</v>
      </c>
      <c r="N701" s="3834"/>
      <c r="O701" s="3835"/>
      <c r="P701" s="3835"/>
      <c r="Q701" s="3835"/>
      <c r="R701" s="3836"/>
      <c r="S701" s="1172"/>
      <c r="T701" s="474"/>
      <c r="U701" s="1172"/>
      <c r="V701" s="3533"/>
      <c r="W701" s="3534"/>
      <c r="X701" s="3534"/>
      <c r="Y701" s="3534"/>
      <c r="Z701" s="3536"/>
      <c r="AA701" s="3533"/>
      <c r="AB701" s="3534"/>
      <c r="AC701" s="3536"/>
    </row>
    <row r="702" spans="2:29">
      <c r="B702" s="4211"/>
      <c r="C702" s="3530" t="s">
        <v>581</v>
      </c>
      <c r="D702" s="3706"/>
      <c r="E702" s="3699"/>
      <c r="F702" s="3699"/>
      <c r="G702" s="3699"/>
      <c r="H702" s="3707"/>
      <c r="I702" s="3706"/>
      <c r="J702" s="3699"/>
      <c r="K702" s="3699"/>
      <c r="L702" s="3699"/>
      <c r="M702" s="3707"/>
      <c r="N702" s="3834"/>
      <c r="O702" s="3835"/>
      <c r="P702" s="3835"/>
      <c r="Q702" s="3835"/>
      <c r="R702" s="3836"/>
      <c r="S702" s="1172"/>
      <c r="T702" s="474"/>
      <c r="U702" s="1172"/>
      <c r="V702" s="3533"/>
      <c r="W702" s="3534"/>
      <c r="X702" s="3534"/>
      <c r="Y702" s="3534"/>
      <c r="Z702" s="3536"/>
      <c r="AA702" s="3533"/>
      <c r="AB702" s="3534"/>
      <c r="AC702" s="3536"/>
    </row>
    <row r="703" spans="2:29">
      <c r="B703" s="4211"/>
      <c r="C703" s="3529" t="s">
        <v>584</v>
      </c>
      <c r="D703" s="3708">
        <f t="shared" ref="D703:M703" si="324">D700+D701+D702</f>
        <v>5941.71</v>
      </c>
      <c r="E703" s="3701">
        <f t="shared" si="324"/>
        <v>2855.83</v>
      </c>
      <c r="F703" s="3701">
        <f t="shared" si="324"/>
        <v>1787.97</v>
      </c>
      <c r="G703" s="3701">
        <f t="shared" si="324"/>
        <v>454.75</v>
      </c>
      <c r="H703" s="3709">
        <f t="shared" si="324"/>
        <v>2728.5</v>
      </c>
      <c r="I703" s="3708">
        <f t="shared" si="324"/>
        <v>928.76</v>
      </c>
      <c r="J703" s="3701">
        <f t="shared" si="324"/>
        <v>0</v>
      </c>
      <c r="K703" s="3701">
        <f t="shared" si="324"/>
        <v>20935.62</v>
      </c>
      <c r="L703" s="3701">
        <f t="shared" si="324"/>
        <v>0</v>
      </c>
      <c r="M703" s="3709">
        <f t="shared" si="324"/>
        <v>21020</v>
      </c>
      <c r="N703" s="3856"/>
      <c r="O703" s="3857"/>
      <c r="P703" s="3857"/>
      <c r="Q703" s="3857"/>
      <c r="R703" s="3858"/>
      <c r="S703" s="1172"/>
      <c r="T703" s="474"/>
      <c r="U703" s="1172"/>
      <c r="V703" s="3533"/>
      <c r="W703" s="3534"/>
      <c r="X703" s="3534"/>
      <c r="Y703" s="3534"/>
      <c r="Z703" s="3536"/>
      <c r="AA703" s="3533"/>
      <c r="AB703" s="3534"/>
      <c r="AC703" s="3536"/>
    </row>
    <row r="704" spans="2:29">
      <c r="B704" s="4211"/>
      <c r="C704" s="3530" t="s">
        <v>605</v>
      </c>
      <c r="D704" s="3706"/>
      <c r="E704" s="3699"/>
      <c r="F704" s="3699"/>
      <c r="G704" s="3699"/>
      <c r="H704" s="3707"/>
      <c r="I704" s="3706"/>
      <c r="J704" s="3699"/>
      <c r="K704" s="3699"/>
      <c r="L704" s="3699"/>
      <c r="M704" s="3707"/>
      <c r="N704" s="3834"/>
      <c r="O704" s="3835"/>
      <c r="P704" s="3835"/>
      <c r="Q704" s="3835"/>
      <c r="R704" s="3836"/>
      <c r="S704" s="1172"/>
      <c r="T704" s="474"/>
      <c r="U704" s="1172"/>
      <c r="V704" s="3533"/>
      <c r="W704" s="3534"/>
      <c r="X704" s="3534"/>
      <c r="Y704" s="3534"/>
      <c r="Z704" s="3536"/>
      <c r="AA704" s="3533"/>
      <c r="AB704" s="3534"/>
      <c r="AC704" s="3536"/>
    </row>
    <row r="705" spans="2:29">
      <c r="B705" s="4211"/>
      <c r="C705" s="3529" t="s">
        <v>585</v>
      </c>
      <c r="D705" s="3708">
        <f t="shared" ref="D705:M705" si="325">D703-D704</f>
        <v>5941.71</v>
      </c>
      <c r="E705" s="3701">
        <f t="shared" si="325"/>
        <v>2855.83</v>
      </c>
      <c r="F705" s="3701">
        <f t="shared" si="325"/>
        <v>1787.97</v>
      </c>
      <c r="G705" s="3701">
        <f t="shared" si="325"/>
        <v>454.75</v>
      </c>
      <c r="H705" s="3709">
        <f t="shared" si="325"/>
        <v>2728.5</v>
      </c>
      <c r="I705" s="3708">
        <f t="shared" si="325"/>
        <v>928.76</v>
      </c>
      <c r="J705" s="3701">
        <f t="shared" si="325"/>
        <v>0</v>
      </c>
      <c r="K705" s="3701">
        <f t="shared" si="325"/>
        <v>20935.62</v>
      </c>
      <c r="L705" s="3701">
        <f t="shared" si="325"/>
        <v>0</v>
      </c>
      <c r="M705" s="3709">
        <f t="shared" si="325"/>
        <v>21020</v>
      </c>
      <c r="N705" s="3856"/>
      <c r="O705" s="3857"/>
      <c r="P705" s="3857"/>
      <c r="Q705" s="3857"/>
      <c r="R705" s="3858"/>
      <c r="S705" s="1172"/>
      <c r="T705" s="474"/>
      <c r="U705" s="1172"/>
      <c r="V705" s="3533"/>
      <c r="W705" s="3534"/>
      <c r="X705" s="3534"/>
      <c r="Y705" s="3534"/>
      <c r="Z705" s="3536"/>
      <c r="AA705" s="3533"/>
      <c r="AB705" s="3534"/>
      <c r="AC705" s="3536"/>
    </row>
    <row r="706" spans="2:29" ht="13.5" thickBot="1">
      <c r="B706" s="4212"/>
      <c r="C706" s="3532" t="s">
        <v>93</v>
      </c>
      <c r="D706" s="470">
        <f t="shared" ref="D706:M706" si="326">D705/D696</f>
        <v>848.81571428571431</v>
      </c>
      <c r="E706" s="468">
        <f t="shared" si="326"/>
        <v>475.97166666666664</v>
      </c>
      <c r="F706" s="468">
        <f t="shared" si="326"/>
        <v>446.99250000000001</v>
      </c>
      <c r="G706" s="468">
        <f t="shared" si="326"/>
        <v>454.75</v>
      </c>
      <c r="H706" s="530">
        <f t="shared" si="326"/>
        <v>682.125</v>
      </c>
      <c r="I706" s="470">
        <f t="shared" si="326"/>
        <v>928.76</v>
      </c>
      <c r="J706" s="468"/>
      <c r="K706" s="468">
        <f t="shared" si="326"/>
        <v>805.21615384615382</v>
      </c>
      <c r="L706" s="468"/>
      <c r="M706" s="530">
        <f t="shared" si="326"/>
        <v>1236.4705882352941</v>
      </c>
      <c r="N706" s="3834"/>
      <c r="O706" s="3835"/>
      <c r="P706" s="3835"/>
      <c r="Q706" s="3835"/>
      <c r="R706" s="3836"/>
      <c r="S706" s="1172"/>
      <c r="T706" s="474"/>
      <c r="U706" s="1172"/>
      <c r="V706" s="3533"/>
      <c r="W706" s="3534"/>
      <c r="X706" s="3534"/>
      <c r="Y706" s="3534"/>
      <c r="Z706" s="3536"/>
      <c r="AA706" s="3533"/>
      <c r="AB706" s="3534"/>
      <c r="AC706" s="3536"/>
    </row>
    <row r="707" spans="2:29">
      <c r="B707" s="4210" t="s">
        <v>1841</v>
      </c>
      <c r="C707" s="3537" t="s">
        <v>90</v>
      </c>
      <c r="D707" s="3737">
        <f>D120</f>
        <v>1</v>
      </c>
      <c r="E707" s="3736">
        <f t="shared" ref="E707:M707" si="327">E120</f>
        <v>1</v>
      </c>
      <c r="F707" s="3736">
        <f t="shared" si="327"/>
        <v>0</v>
      </c>
      <c r="G707" s="3736">
        <f t="shared" si="327"/>
        <v>2</v>
      </c>
      <c r="H707" s="3735">
        <f t="shared" si="327"/>
        <v>4</v>
      </c>
      <c r="I707" s="3737">
        <f t="shared" si="327"/>
        <v>3</v>
      </c>
      <c r="J707" s="3736">
        <f t="shared" si="327"/>
        <v>0</v>
      </c>
      <c r="K707" s="3736">
        <f t="shared" si="327"/>
        <v>1</v>
      </c>
      <c r="L707" s="3736">
        <f t="shared" si="327"/>
        <v>3</v>
      </c>
      <c r="M707" s="3735">
        <f t="shared" si="327"/>
        <v>6</v>
      </c>
      <c r="N707" s="3843"/>
      <c r="O707" s="3844"/>
      <c r="P707" s="3844"/>
      <c r="Q707" s="3844"/>
      <c r="R707" s="3845"/>
      <c r="S707" s="1172"/>
      <c r="T707" s="474"/>
      <c r="U707" s="1172"/>
      <c r="V707" s="3533"/>
      <c r="W707" s="3534"/>
      <c r="X707" s="3534"/>
      <c r="Y707" s="3534"/>
      <c r="Z707" s="3536"/>
      <c r="AA707" s="3533"/>
      <c r="AB707" s="3534"/>
      <c r="AC707" s="3536"/>
    </row>
    <row r="708" spans="2:29">
      <c r="B708" s="4211"/>
      <c r="C708" s="3530" t="s">
        <v>559</v>
      </c>
      <c r="D708" s="3706"/>
      <c r="E708" s="3699"/>
      <c r="F708" s="3699"/>
      <c r="G708" s="3699"/>
      <c r="H708" s="3707"/>
      <c r="I708" s="3706"/>
      <c r="J708" s="3699"/>
      <c r="K708" s="3699"/>
      <c r="L708" s="3699"/>
      <c r="M708" s="3707"/>
      <c r="N708" s="3834"/>
      <c r="O708" s="3835"/>
      <c r="P708" s="3835"/>
      <c r="Q708" s="3835"/>
      <c r="R708" s="3836"/>
      <c r="S708" s="1172"/>
      <c r="T708" s="474"/>
      <c r="U708" s="1172"/>
      <c r="V708" s="3533"/>
      <c r="W708" s="3534"/>
      <c r="X708" s="3534"/>
      <c r="Y708" s="3534"/>
      <c r="Z708" s="3536"/>
      <c r="AA708" s="3533"/>
      <c r="AB708" s="3534"/>
      <c r="AC708" s="3536"/>
    </row>
    <row r="709" spans="2:29">
      <c r="B709" s="4211"/>
      <c r="C709" s="3530" t="s">
        <v>558</v>
      </c>
      <c r="D709" s="3706"/>
      <c r="E709" s="3699"/>
      <c r="F709" s="3699"/>
      <c r="G709" s="3699"/>
      <c r="H709" s="3707"/>
      <c r="I709" s="3706"/>
      <c r="J709" s="3699"/>
      <c r="K709" s="3699"/>
      <c r="L709" s="3699"/>
      <c r="M709" s="3707"/>
      <c r="N709" s="3834"/>
      <c r="O709" s="3835"/>
      <c r="P709" s="3835"/>
      <c r="Q709" s="3835"/>
      <c r="R709" s="3836"/>
      <c r="S709" s="1172"/>
      <c r="T709" s="474"/>
      <c r="U709" s="1172"/>
      <c r="V709" s="3533"/>
      <c r="W709" s="3534"/>
      <c r="X709" s="3534"/>
      <c r="Y709" s="3534"/>
      <c r="Z709" s="3536"/>
      <c r="AA709" s="3533"/>
      <c r="AB709" s="3534"/>
      <c r="AC709" s="3536"/>
    </row>
    <row r="710" spans="2:29">
      <c r="B710" s="4211"/>
      <c r="C710" s="3530" t="s">
        <v>578</v>
      </c>
      <c r="D710" s="3706"/>
      <c r="E710" s="3699"/>
      <c r="F710" s="3699"/>
      <c r="G710" s="3699"/>
      <c r="H710" s="3707"/>
      <c r="I710" s="3706"/>
      <c r="J710" s="3699"/>
      <c r="K710" s="3699"/>
      <c r="L710" s="3699"/>
      <c r="M710" s="3707"/>
      <c r="N710" s="3834"/>
      <c r="O710" s="3835"/>
      <c r="P710" s="3835"/>
      <c r="Q710" s="3835"/>
      <c r="R710" s="3836"/>
      <c r="S710" s="1172"/>
      <c r="T710" s="474"/>
      <c r="U710" s="1172"/>
      <c r="V710" s="3533"/>
      <c r="W710" s="3534"/>
      <c r="X710" s="3534"/>
      <c r="Y710" s="3534"/>
      <c r="Z710" s="3536"/>
      <c r="AA710" s="3533"/>
      <c r="AB710" s="3534"/>
      <c r="AC710" s="3536"/>
    </row>
    <row r="711" spans="2:29">
      <c r="B711" s="4211"/>
      <c r="C711" s="3529" t="s">
        <v>579</v>
      </c>
      <c r="D711" s="3711">
        <v>793</v>
      </c>
      <c r="E711" s="468">
        <v>445</v>
      </c>
      <c r="F711" s="468">
        <v>0</v>
      </c>
      <c r="G711" s="468">
        <v>849</v>
      </c>
      <c r="H711" s="530">
        <v>2550</v>
      </c>
      <c r="I711" s="3711">
        <v>2604</v>
      </c>
      <c r="J711" s="468"/>
      <c r="K711" s="468">
        <v>753</v>
      </c>
      <c r="L711" s="468">
        <v>5116</v>
      </c>
      <c r="M711" s="530">
        <v>7419</v>
      </c>
      <c r="N711" s="3855"/>
      <c r="O711" s="3835"/>
      <c r="P711" s="3835"/>
      <c r="Q711" s="3835"/>
      <c r="R711" s="3836"/>
      <c r="S711" s="1172"/>
      <c r="T711" s="474"/>
      <c r="U711" s="1172"/>
      <c r="V711" s="3533"/>
      <c r="W711" s="3534"/>
      <c r="X711" s="3534"/>
      <c r="Y711" s="3534"/>
      <c r="Z711" s="3536"/>
      <c r="AA711" s="3533"/>
      <c r="AB711" s="3534"/>
      <c r="AC711" s="3536"/>
    </row>
    <row r="712" spans="2:29">
      <c r="B712" s="4211"/>
      <c r="C712" s="3530" t="s">
        <v>583</v>
      </c>
      <c r="D712" s="3706">
        <f>0.07*D711</f>
        <v>55.510000000000005</v>
      </c>
      <c r="E712" s="3699">
        <f t="shared" ref="E712:L712" si="328">0.07*E711</f>
        <v>31.150000000000002</v>
      </c>
      <c r="F712" s="3699">
        <f t="shared" si="328"/>
        <v>0</v>
      </c>
      <c r="G712" s="3699">
        <f t="shared" si="328"/>
        <v>59.430000000000007</v>
      </c>
      <c r="H712" s="3707">
        <f t="shared" si="328"/>
        <v>178.50000000000003</v>
      </c>
      <c r="I712" s="3706">
        <f t="shared" si="328"/>
        <v>182.28000000000003</v>
      </c>
      <c r="J712" s="3699">
        <f t="shared" si="328"/>
        <v>0</v>
      </c>
      <c r="K712" s="3699">
        <f t="shared" si="328"/>
        <v>52.710000000000008</v>
      </c>
      <c r="L712" s="3699">
        <f t="shared" si="328"/>
        <v>358.12000000000006</v>
      </c>
      <c r="M712" s="3707">
        <f>$M$250*M711</f>
        <v>0</v>
      </c>
      <c r="N712" s="3834"/>
      <c r="O712" s="3835"/>
      <c r="P712" s="3835"/>
      <c r="Q712" s="3835"/>
      <c r="R712" s="3836"/>
      <c r="S712" s="1172"/>
      <c r="T712" s="474"/>
      <c r="U712" s="1172"/>
      <c r="V712" s="3533"/>
      <c r="W712" s="3534"/>
      <c r="X712" s="3534"/>
      <c r="Y712" s="3534"/>
      <c r="Z712" s="3536"/>
      <c r="AA712" s="3533"/>
      <c r="AB712" s="3534"/>
      <c r="AC712" s="3536"/>
    </row>
    <row r="713" spans="2:29">
      <c r="B713" s="4211"/>
      <c r="C713" s="3530" t="s">
        <v>581</v>
      </c>
      <c r="D713" s="3706"/>
      <c r="E713" s="3699"/>
      <c r="F713" s="3699"/>
      <c r="G713" s="3699"/>
      <c r="H713" s="3707"/>
      <c r="I713" s="3706"/>
      <c r="J713" s="3699"/>
      <c r="K713" s="3699"/>
      <c r="L713" s="3699"/>
      <c r="M713" s="3707"/>
      <c r="N713" s="3834"/>
      <c r="O713" s="3835"/>
      <c r="P713" s="3835"/>
      <c r="Q713" s="3835"/>
      <c r="R713" s="3836"/>
      <c r="S713" s="1172"/>
      <c r="T713" s="474"/>
      <c r="U713" s="1172"/>
      <c r="V713" s="3533"/>
      <c r="W713" s="3534"/>
      <c r="X713" s="3534"/>
      <c r="Y713" s="3534"/>
      <c r="Z713" s="3536"/>
      <c r="AA713" s="3533"/>
      <c r="AB713" s="3534"/>
      <c r="AC713" s="3536"/>
    </row>
    <row r="714" spans="2:29">
      <c r="B714" s="4211"/>
      <c r="C714" s="3529" t="s">
        <v>584</v>
      </c>
      <c r="D714" s="3708">
        <f t="shared" ref="D714:M714" si="329">D711+D712+D713</f>
        <v>848.51</v>
      </c>
      <c r="E714" s="3701">
        <f t="shared" si="329"/>
        <v>476.15</v>
      </c>
      <c r="F714" s="3701">
        <f t="shared" si="329"/>
        <v>0</v>
      </c>
      <c r="G714" s="3701">
        <f t="shared" si="329"/>
        <v>908.43000000000006</v>
      </c>
      <c r="H714" s="3709">
        <f t="shared" si="329"/>
        <v>2728.5</v>
      </c>
      <c r="I714" s="3708">
        <f t="shared" si="329"/>
        <v>2786.28</v>
      </c>
      <c r="J714" s="3701">
        <f t="shared" si="329"/>
        <v>0</v>
      </c>
      <c r="K714" s="3701">
        <f t="shared" si="329"/>
        <v>805.71</v>
      </c>
      <c r="L714" s="3701">
        <f t="shared" si="329"/>
        <v>5474.12</v>
      </c>
      <c r="M714" s="3709">
        <f t="shared" si="329"/>
        <v>7419</v>
      </c>
      <c r="N714" s="3856"/>
      <c r="O714" s="3857"/>
      <c r="P714" s="3857"/>
      <c r="Q714" s="3857"/>
      <c r="R714" s="3858"/>
      <c r="S714" s="1172"/>
      <c r="T714" s="474"/>
      <c r="U714" s="1172"/>
      <c r="V714" s="3533"/>
      <c r="W714" s="3534"/>
      <c r="X714" s="3534"/>
      <c r="Y714" s="3534"/>
      <c r="Z714" s="3536"/>
      <c r="AA714" s="3533"/>
      <c r="AB714" s="3534"/>
      <c r="AC714" s="3536"/>
    </row>
    <row r="715" spans="2:29">
      <c r="B715" s="4211"/>
      <c r="C715" s="3530" t="s">
        <v>605</v>
      </c>
      <c r="D715" s="3706"/>
      <c r="E715" s="3699"/>
      <c r="F715" s="3699"/>
      <c r="G715" s="3699"/>
      <c r="H715" s="3707"/>
      <c r="I715" s="3706"/>
      <c r="J715" s="3699"/>
      <c r="K715" s="3699"/>
      <c r="L715" s="3699"/>
      <c r="M715" s="3707"/>
      <c r="N715" s="3834"/>
      <c r="O715" s="3835"/>
      <c r="P715" s="3835"/>
      <c r="Q715" s="3835"/>
      <c r="R715" s="3836"/>
      <c r="S715" s="1172"/>
      <c r="T715" s="474"/>
      <c r="U715" s="1172"/>
      <c r="V715" s="3533"/>
      <c r="W715" s="3534"/>
      <c r="X715" s="3534"/>
      <c r="Y715" s="3534"/>
      <c r="Z715" s="3536"/>
      <c r="AA715" s="3533"/>
      <c r="AB715" s="3534"/>
      <c r="AC715" s="3536"/>
    </row>
    <row r="716" spans="2:29">
      <c r="B716" s="4211"/>
      <c r="C716" s="3529" t="s">
        <v>585</v>
      </c>
      <c r="D716" s="3708">
        <f t="shared" ref="D716:M727" si="330">D714-D715</f>
        <v>848.51</v>
      </c>
      <c r="E716" s="3701">
        <f t="shared" si="330"/>
        <v>476.15</v>
      </c>
      <c r="F716" s="3701">
        <f t="shared" si="330"/>
        <v>0</v>
      </c>
      <c r="G716" s="3701">
        <f t="shared" si="330"/>
        <v>908.43000000000006</v>
      </c>
      <c r="H716" s="3709">
        <f t="shared" si="330"/>
        <v>2728.5</v>
      </c>
      <c r="I716" s="3708">
        <f t="shared" si="330"/>
        <v>2786.28</v>
      </c>
      <c r="J716" s="3701">
        <f t="shared" si="330"/>
        <v>0</v>
      </c>
      <c r="K716" s="3701">
        <f t="shared" si="330"/>
        <v>805.71</v>
      </c>
      <c r="L716" s="3701">
        <f t="shared" si="330"/>
        <v>5474.12</v>
      </c>
      <c r="M716" s="3709">
        <f t="shared" si="330"/>
        <v>7419</v>
      </c>
      <c r="N716" s="3856"/>
      <c r="O716" s="3857"/>
      <c r="P716" s="3857"/>
      <c r="Q716" s="3857"/>
      <c r="R716" s="3858"/>
      <c r="S716" s="1172"/>
      <c r="T716" s="474"/>
      <c r="U716" s="1172"/>
      <c r="V716" s="3533"/>
      <c r="W716" s="3534"/>
      <c r="X716" s="3534"/>
      <c r="Y716" s="3534"/>
      <c r="Z716" s="3536"/>
      <c r="AA716" s="3533"/>
      <c r="AB716" s="3534"/>
      <c r="AC716" s="3536"/>
    </row>
    <row r="717" spans="2:29" ht="13.5" thickBot="1">
      <c r="B717" s="4212"/>
      <c r="C717" s="3532" t="s">
        <v>93</v>
      </c>
      <c r="D717" s="470">
        <f t="shared" ref="D717:M717" si="331">D716/D707</f>
        <v>848.51</v>
      </c>
      <c r="E717" s="468">
        <f t="shared" si="331"/>
        <v>476.15</v>
      </c>
      <c r="F717" s="468"/>
      <c r="G717" s="468">
        <f t="shared" si="331"/>
        <v>454.21500000000003</v>
      </c>
      <c r="H717" s="530">
        <f t="shared" si="331"/>
        <v>682.125</v>
      </c>
      <c r="I717" s="470">
        <f t="shared" si="331"/>
        <v>928.7600000000001</v>
      </c>
      <c r="J717" s="468"/>
      <c r="K717" s="468">
        <f t="shared" si="331"/>
        <v>805.71</v>
      </c>
      <c r="L717" s="468">
        <f t="shared" si="331"/>
        <v>1824.7066666666667</v>
      </c>
      <c r="M717" s="530">
        <f t="shared" si="331"/>
        <v>1236.5</v>
      </c>
      <c r="N717" s="3834"/>
      <c r="O717" s="3835"/>
      <c r="P717" s="3835"/>
      <c r="Q717" s="3835"/>
      <c r="R717" s="3836"/>
      <c r="S717" s="1172"/>
      <c r="T717" s="474"/>
      <c r="U717" s="1172"/>
      <c r="V717" s="3533"/>
      <c r="W717" s="3534"/>
      <c r="X717" s="3534"/>
      <c r="Y717" s="3534"/>
      <c r="Z717" s="3536"/>
      <c r="AA717" s="3533"/>
      <c r="AB717" s="3534"/>
      <c r="AC717" s="3536"/>
    </row>
    <row r="718" spans="2:29">
      <c r="B718" s="4210" t="s">
        <v>1842</v>
      </c>
      <c r="C718" s="3537" t="s">
        <v>90</v>
      </c>
      <c r="D718" s="3737">
        <f>D123</f>
        <v>0</v>
      </c>
      <c r="E718" s="3736">
        <f t="shared" ref="E718:M718" si="332">E123</f>
        <v>0</v>
      </c>
      <c r="F718" s="3736">
        <f t="shared" si="332"/>
        <v>3</v>
      </c>
      <c r="G718" s="3736">
        <f t="shared" si="332"/>
        <v>4</v>
      </c>
      <c r="H718" s="3735">
        <f t="shared" si="332"/>
        <v>3</v>
      </c>
      <c r="I718" s="3737">
        <f t="shared" si="332"/>
        <v>5</v>
      </c>
      <c r="J718" s="3736">
        <f t="shared" si="332"/>
        <v>13</v>
      </c>
      <c r="K718" s="3736">
        <f t="shared" si="332"/>
        <v>3</v>
      </c>
      <c r="L718" s="3736">
        <f t="shared" si="332"/>
        <v>0</v>
      </c>
      <c r="M718" s="3735">
        <f t="shared" si="332"/>
        <v>14</v>
      </c>
      <c r="N718" s="3843"/>
      <c r="O718" s="3844"/>
      <c r="P718" s="3844"/>
      <c r="Q718" s="3844"/>
      <c r="R718" s="3845"/>
      <c r="S718" s="1172"/>
      <c r="T718" s="474"/>
      <c r="U718" s="1172"/>
      <c r="V718" s="3533"/>
      <c r="W718" s="3534"/>
      <c r="X718" s="3534"/>
      <c r="Y718" s="3534"/>
      <c r="Z718" s="3536"/>
      <c r="AA718" s="3533"/>
      <c r="AB718" s="3534"/>
      <c r="AC718" s="3536"/>
    </row>
    <row r="719" spans="2:29">
      <c r="B719" s="4211"/>
      <c r="C719" s="3530" t="s">
        <v>559</v>
      </c>
      <c r="D719" s="3706"/>
      <c r="E719" s="3699"/>
      <c r="F719" s="3699"/>
      <c r="G719" s="3699"/>
      <c r="H719" s="3707"/>
      <c r="I719" s="3706"/>
      <c r="J719" s="3699"/>
      <c r="K719" s="3699"/>
      <c r="L719" s="3699"/>
      <c r="M719" s="3707"/>
      <c r="N719" s="3834"/>
      <c r="O719" s="3835"/>
      <c r="P719" s="3835"/>
      <c r="Q719" s="3835"/>
      <c r="R719" s="3836"/>
      <c r="S719" s="1172"/>
      <c r="T719" s="474"/>
      <c r="U719" s="1172"/>
      <c r="V719" s="3533"/>
      <c r="W719" s="3534"/>
      <c r="X719" s="3534"/>
      <c r="Y719" s="3534"/>
      <c r="Z719" s="3536"/>
      <c r="AA719" s="3533"/>
      <c r="AB719" s="3534"/>
      <c r="AC719" s="3536"/>
    </row>
    <row r="720" spans="2:29">
      <c r="B720" s="4211"/>
      <c r="C720" s="3530" t="s">
        <v>558</v>
      </c>
      <c r="D720" s="3706"/>
      <c r="E720" s="3699"/>
      <c r="F720" s="3699"/>
      <c r="G720" s="3699"/>
      <c r="H720" s="3707"/>
      <c r="I720" s="3706"/>
      <c r="J720" s="3699"/>
      <c r="K720" s="3699"/>
      <c r="L720" s="3699"/>
      <c r="M720" s="3707"/>
      <c r="N720" s="3834"/>
      <c r="O720" s="3835"/>
      <c r="P720" s="3835"/>
      <c r="Q720" s="3835"/>
      <c r="R720" s="3836"/>
      <c r="S720" s="1172"/>
      <c r="T720" s="474"/>
      <c r="U720" s="1172"/>
      <c r="V720" s="3533"/>
      <c r="W720" s="3534"/>
      <c r="X720" s="3534"/>
      <c r="Y720" s="3534"/>
      <c r="Z720" s="3536"/>
      <c r="AA720" s="3533"/>
      <c r="AB720" s="3534"/>
      <c r="AC720" s="3536"/>
    </row>
    <row r="721" spans="2:29">
      <c r="B721" s="4211"/>
      <c r="C721" s="3530" t="s">
        <v>578</v>
      </c>
      <c r="D721" s="3706"/>
      <c r="E721" s="3699"/>
      <c r="F721" s="3699"/>
      <c r="G721" s="3699"/>
      <c r="H721" s="3707"/>
      <c r="I721" s="3706"/>
      <c r="J721" s="3699"/>
      <c r="K721" s="3699"/>
      <c r="L721" s="3699"/>
      <c r="M721" s="3707"/>
      <c r="N721" s="3834"/>
      <c r="O721" s="3835"/>
      <c r="P721" s="3835"/>
      <c r="Q721" s="3835"/>
      <c r="R721" s="3836"/>
      <c r="S721" s="1172"/>
      <c r="T721" s="474"/>
      <c r="U721" s="1172"/>
      <c r="V721" s="3533"/>
      <c r="W721" s="3534"/>
      <c r="X721" s="3534"/>
      <c r="Y721" s="3534"/>
      <c r="Z721" s="3536"/>
      <c r="AA721" s="3533"/>
      <c r="AB721" s="3534"/>
      <c r="AC721" s="3536"/>
    </row>
    <row r="722" spans="2:29">
      <c r="B722" s="4211"/>
      <c r="C722" s="3529" t="s">
        <v>579</v>
      </c>
      <c r="D722" s="3711">
        <v>0</v>
      </c>
      <c r="E722" s="468">
        <v>0</v>
      </c>
      <c r="F722" s="468">
        <v>1253</v>
      </c>
      <c r="G722" s="468">
        <v>1698</v>
      </c>
      <c r="H722" s="530">
        <v>1912</v>
      </c>
      <c r="I722" s="3711">
        <v>4339</v>
      </c>
      <c r="J722" s="468">
        <v>8245</v>
      </c>
      <c r="K722" s="468">
        <v>2258</v>
      </c>
      <c r="L722" s="468">
        <v>0</v>
      </c>
      <c r="M722" s="530">
        <v>17310</v>
      </c>
      <c r="N722" s="3855"/>
      <c r="O722" s="3835"/>
      <c r="P722" s="3835"/>
      <c r="Q722" s="3835"/>
      <c r="R722" s="3836"/>
      <c r="S722" s="1172"/>
      <c r="T722" s="474"/>
      <c r="U722" s="1172"/>
      <c r="V722" s="3533"/>
      <c r="W722" s="3534"/>
      <c r="X722" s="3534"/>
      <c r="Y722" s="3534"/>
      <c r="Z722" s="3536"/>
      <c r="AA722" s="3533"/>
      <c r="AB722" s="3534"/>
      <c r="AC722" s="3536"/>
    </row>
    <row r="723" spans="2:29">
      <c r="B723" s="4211"/>
      <c r="C723" s="3530" t="s">
        <v>583</v>
      </c>
      <c r="D723" s="3706">
        <f>0.07*D722</f>
        <v>0</v>
      </c>
      <c r="E723" s="3699">
        <f t="shared" ref="E723:L723" si="333">0.07*E722</f>
        <v>0</v>
      </c>
      <c r="F723" s="3699">
        <f t="shared" si="333"/>
        <v>87.710000000000008</v>
      </c>
      <c r="G723" s="3699">
        <f t="shared" si="333"/>
        <v>118.86000000000001</v>
      </c>
      <c r="H723" s="3707">
        <f t="shared" si="333"/>
        <v>133.84</v>
      </c>
      <c r="I723" s="3706">
        <f t="shared" si="333"/>
        <v>303.73</v>
      </c>
      <c r="J723" s="3699">
        <f t="shared" si="333"/>
        <v>577.15000000000009</v>
      </c>
      <c r="K723" s="3699">
        <f t="shared" si="333"/>
        <v>158.06</v>
      </c>
      <c r="L723" s="3699">
        <f t="shared" si="333"/>
        <v>0</v>
      </c>
      <c r="M723" s="3707">
        <f>$M$250*M722</f>
        <v>0</v>
      </c>
      <c r="N723" s="3834"/>
      <c r="O723" s="3835"/>
      <c r="P723" s="3835"/>
      <c r="Q723" s="3835"/>
      <c r="R723" s="3836"/>
      <c r="S723" s="1172"/>
      <c r="T723" s="474"/>
      <c r="U723" s="1172"/>
      <c r="V723" s="3533"/>
      <c r="W723" s="3534"/>
      <c r="X723" s="3534"/>
      <c r="Y723" s="3534"/>
      <c r="Z723" s="3536"/>
      <c r="AA723" s="3533"/>
      <c r="AB723" s="3534"/>
      <c r="AC723" s="3536"/>
    </row>
    <row r="724" spans="2:29">
      <c r="B724" s="4211"/>
      <c r="C724" s="3530" t="s">
        <v>581</v>
      </c>
      <c r="D724" s="3706"/>
      <c r="E724" s="3699"/>
      <c r="F724" s="3699"/>
      <c r="G724" s="3699"/>
      <c r="H724" s="3707"/>
      <c r="I724" s="3706"/>
      <c r="J724" s="3699"/>
      <c r="K724" s="3699"/>
      <c r="L724" s="3699"/>
      <c r="M724" s="3707"/>
      <c r="N724" s="3834"/>
      <c r="O724" s="3835"/>
      <c r="P724" s="3835"/>
      <c r="Q724" s="3835"/>
      <c r="R724" s="3836"/>
      <c r="S724" s="1172"/>
      <c r="T724" s="474"/>
      <c r="U724" s="1172"/>
      <c r="V724" s="3533"/>
      <c r="W724" s="3534"/>
      <c r="X724" s="3534"/>
      <c r="Y724" s="3534"/>
      <c r="Z724" s="3536"/>
      <c r="AA724" s="3533"/>
      <c r="AB724" s="3534"/>
      <c r="AC724" s="3536"/>
    </row>
    <row r="725" spans="2:29">
      <c r="B725" s="4211"/>
      <c r="C725" s="3529" t="s">
        <v>584</v>
      </c>
      <c r="D725" s="3708">
        <f t="shared" ref="D725:M725" si="334">D722+D723+D724</f>
        <v>0</v>
      </c>
      <c r="E725" s="3701">
        <f t="shared" si="334"/>
        <v>0</v>
      </c>
      <c r="F725" s="3701">
        <f t="shared" si="334"/>
        <v>1340.71</v>
      </c>
      <c r="G725" s="3701">
        <f t="shared" si="334"/>
        <v>1816.8600000000001</v>
      </c>
      <c r="H725" s="3709">
        <f t="shared" si="334"/>
        <v>2045.84</v>
      </c>
      <c r="I725" s="3708">
        <f t="shared" si="334"/>
        <v>4642.7299999999996</v>
      </c>
      <c r="J725" s="3701">
        <f t="shared" si="334"/>
        <v>8822.15</v>
      </c>
      <c r="K725" s="3701">
        <f t="shared" si="334"/>
        <v>2416.06</v>
      </c>
      <c r="L725" s="3701">
        <f t="shared" si="334"/>
        <v>0</v>
      </c>
      <c r="M725" s="3709">
        <f t="shared" si="334"/>
        <v>17310</v>
      </c>
      <c r="N725" s="3856"/>
      <c r="O725" s="3857"/>
      <c r="P725" s="3857"/>
      <c r="Q725" s="3857"/>
      <c r="R725" s="3858"/>
      <c r="S725" s="1172"/>
      <c r="T725" s="474"/>
      <c r="U725" s="1172"/>
      <c r="V725" s="3533"/>
      <c r="W725" s="3534"/>
      <c r="X725" s="3534"/>
      <c r="Y725" s="3534"/>
      <c r="Z725" s="3536"/>
      <c r="AA725" s="3533"/>
      <c r="AB725" s="3534"/>
      <c r="AC725" s="3536"/>
    </row>
    <row r="726" spans="2:29">
      <c r="B726" s="4211"/>
      <c r="C726" s="3530" t="s">
        <v>605</v>
      </c>
      <c r="D726" s="3706"/>
      <c r="E726" s="3699"/>
      <c r="F726" s="3699"/>
      <c r="G726" s="3699"/>
      <c r="H726" s="3707"/>
      <c r="I726" s="3706"/>
      <c r="J726" s="3699"/>
      <c r="K726" s="3699"/>
      <c r="L726" s="3699"/>
      <c r="M726" s="3707"/>
      <c r="N726" s="3834"/>
      <c r="O726" s="3835"/>
      <c r="P726" s="3835"/>
      <c r="Q726" s="3835"/>
      <c r="R726" s="3836"/>
      <c r="S726" s="1172"/>
      <c r="T726" s="474"/>
      <c r="U726" s="1172"/>
      <c r="V726" s="3533"/>
      <c r="W726" s="3534"/>
      <c r="X726" s="3534"/>
      <c r="Y726" s="3534"/>
      <c r="Z726" s="3536"/>
      <c r="AA726" s="3533"/>
      <c r="AB726" s="3534"/>
      <c r="AC726" s="3536"/>
    </row>
    <row r="727" spans="2:29">
      <c r="B727" s="4211"/>
      <c r="C727" s="3529" t="s">
        <v>585</v>
      </c>
      <c r="D727" s="3708">
        <f t="shared" ref="D727:I727" si="335">D725-D726</f>
        <v>0</v>
      </c>
      <c r="E727" s="3701">
        <f t="shared" si="335"/>
        <v>0</v>
      </c>
      <c r="F727" s="3701">
        <f t="shared" si="335"/>
        <v>1340.71</v>
      </c>
      <c r="G727" s="3701">
        <f t="shared" si="335"/>
        <v>1816.8600000000001</v>
      </c>
      <c r="H727" s="3709">
        <f t="shared" si="335"/>
        <v>2045.84</v>
      </c>
      <c r="I727" s="3708">
        <f t="shared" si="335"/>
        <v>4642.7299999999996</v>
      </c>
      <c r="J727" s="3701">
        <f t="shared" si="330"/>
        <v>8822.15</v>
      </c>
      <c r="K727" s="3701">
        <f t="shared" si="330"/>
        <v>2416.06</v>
      </c>
      <c r="L727" s="3701">
        <f t="shared" si="330"/>
        <v>0</v>
      </c>
      <c r="M727" s="3709">
        <f t="shared" si="330"/>
        <v>17310</v>
      </c>
      <c r="N727" s="3856"/>
      <c r="O727" s="3857"/>
      <c r="P727" s="3857"/>
      <c r="Q727" s="3857"/>
      <c r="R727" s="3858"/>
      <c r="S727" s="1172"/>
      <c r="T727" s="474"/>
      <c r="U727" s="1172"/>
      <c r="V727" s="3533"/>
      <c r="W727" s="3534"/>
      <c r="X727" s="3534"/>
      <c r="Y727" s="3534"/>
      <c r="Z727" s="3536"/>
      <c r="AA727" s="3533"/>
      <c r="AB727" s="3534"/>
      <c r="AC727" s="3536"/>
    </row>
    <row r="728" spans="2:29" ht="13.5" thickBot="1">
      <c r="B728" s="4212"/>
      <c r="C728" s="3532" t="s">
        <v>93</v>
      </c>
      <c r="D728" s="470"/>
      <c r="E728" s="468"/>
      <c r="F728" s="468">
        <f t="shared" ref="F728:M728" si="336">F727/F718</f>
        <v>446.90333333333336</v>
      </c>
      <c r="G728" s="468">
        <f t="shared" si="336"/>
        <v>454.21500000000003</v>
      </c>
      <c r="H728" s="530">
        <f t="shared" si="336"/>
        <v>681.9466666666666</v>
      </c>
      <c r="I728" s="470">
        <f t="shared" si="336"/>
        <v>928.54599999999994</v>
      </c>
      <c r="J728" s="468">
        <f t="shared" si="336"/>
        <v>678.62692307692305</v>
      </c>
      <c r="K728" s="468">
        <f t="shared" si="336"/>
        <v>805.35333333333335</v>
      </c>
      <c r="L728" s="468"/>
      <c r="M728" s="530">
        <f t="shared" si="336"/>
        <v>1236.4285714285713</v>
      </c>
      <c r="N728" s="3834"/>
      <c r="O728" s="3835"/>
      <c r="P728" s="3835"/>
      <c r="Q728" s="3835"/>
      <c r="R728" s="3836"/>
      <c r="S728" s="1172"/>
      <c r="T728" s="474"/>
      <c r="U728" s="1172"/>
      <c r="V728" s="3533"/>
      <c r="W728" s="3534"/>
      <c r="X728" s="3534"/>
      <c r="Y728" s="3534"/>
      <c r="Z728" s="3536"/>
      <c r="AA728" s="3533"/>
      <c r="AB728" s="3534"/>
      <c r="AC728" s="3536"/>
    </row>
    <row r="729" spans="2:29">
      <c r="B729" s="4210" t="s">
        <v>1843</v>
      </c>
      <c r="C729" s="3537" t="s">
        <v>90</v>
      </c>
      <c r="D729" s="3737">
        <f>D126</f>
        <v>0</v>
      </c>
      <c r="E729" s="3736">
        <f t="shared" ref="E729:M729" si="337">E126</f>
        <v>0</v>
      </c>
      <c r="F729" s="3736">
        <f t="shared" si="337"/>
        <v>0</v>
      </c>
      <c r="G729" s="3736">
        <f t="shared" si="337"/>
        <v>0</v>
      </c>
      <c r="H729" s="3735">
        <f t="shared" si="337"/>
        <v>0</v>
      </c>
      <c r="I729" s="3737">
        <f t="shared" si="337"/>
        <v>0</v>
      </c>
      <c r="J729" s="3736">
        <f t="shared" si="337"/>
        <v>1</v>
      </c>
      <c r="K729" s="3736">
        <f t="shared" si="337"/>
        <v>0</v>
      </c>
      <c r="L729" s="3736">
        <f t="shared" si="337"/>
        <v>0</v>
      </c>
      <c r="M729" s="3735">
        <f t="shared" si="337"/>
        <v>2</v>
      </c>
      <c r="N729" s="3843"/>
      <c r="O729" s="3844"/>
      <c r="P729" s="3844"/>
      <c r="Q729" s="3844"/>
      <c r="R729" s="3845"/>
      <c r="S729" s="1172"/>
      <c r="T729" s="474"/>
      <c r="U729" s="1172"/>
      <c r="V729" s="3533"/>
      <c r="W729" s="3534"/>
      <c r="X729" s="3534"/>
      <c r="Y729" s="3534"/>
      <c r="Z729" s="3536"/>
      <c r="AA729" s="3533"/>
      <c r="AB729" s="3534"/>
      <c r="AC729" s="3536"/>
    </row>
    <row r="730" spans="2:29">
      <c r="B730" s="4211"/>
      <c r="C730" s="3530" t="s">
        <v>559</v>
      </c>
      <c r="D730" s="3706"/>
      <c r="E730" s="3699"/>
      <c r="F730" s="3699"/>
      <c r="G730" s="3699"/>
      <c r="H730" s="3707"/>
      <c r="I730" s="3706"/>
      <c r="J730" s="3699"/>
      <c r="K730" s="3699"/>
      <c r="L730" s="3699"/>
      <c r="M730" s="3707"/>
      <c r="N730" s="3834"/>
      <c r="O730" s="3835"/>
      <c r="P730" s="3835"/>
      <c r="Q730" s="3835"/>
      <c r="R730" s="3836"/>
      <c r="S730" s="1172"/>
      <c r="T730" s="474"/>
      <c r="U730" s="1172"/>
      <c r="V730" s="3533"/>
      <c r="W730" s="3534"/>
      <c r="X730" s="3534"/>
      <c r="Y730" s="3534"/>
      <c r="Z730" s="3536"/>
      <c r="AA730" s="3533"/>
      <c r="AB730" s="3534"/>
      <c r="AC730" s="3536"/>
    </row>
    <row r="731" spans="2:29">
      <c r="B731" s="4211"/>
      <c r="C731" s="3530" t="s">
        <v>558</v>
      </c>
      <c r="D731" s="3706"/>
      <c r="E731" s="3699"/>
      <c r="F731" s="3699"/>
      <c r="G731" s="3699"/>
      <c r="H731" s="3707"/>
      <c r="I731" s="3706"/>
      <c r="J731" s="3699"/>
      <c r="K731" s="3699"/>
      <c r="L731" s="3699"/>
      <c r="M731" s="3707"/>
      <c r="N731" s="3834"/>
      <c r="O731" s="3835"/>
      <c r="P731" s="3835"/>
      <c r="Q731" s="3835"/>
      <c r="R731" s="3836"/>
      <c r="S731" s="1172"/>
      <c r="T731" s="474"/>
      <c r="U731" s="1172"/>
      <c r="V731" s="3533"/>
      <c r="W731" s="3534"/>
      <c r="X731" s="3534"/>
      <c r="Y731" s="3534"/>
      <c r="Z731" s="3536"/>
      <c r="AA731" s="3533"/>
      <c r="AB731" s="3534"/>
      <c r="AC731" s="3536"/>
    </row>
    <row r="732" spans="2:29">
      <c r="B732" s="4211"/>
      <c r="C732" s="3530" t="s">
        <v>578</v>
      </c>
      <c r="D732" s="3706"/>
      <c r="E732" s="3699"/>
      <c r="F732" s="3699"/>
      <c r="G732" s="3699"/>
      <c r="H732" s="3707"/>
      <c r="I732" s="3706"/>
      <c r="J732" s="3699"/>
      <c r="K732" s="3699"/>
      <c r="L732" s="3699"/>
      <c r="M732" s="3707"/>
      <c r="N732" s="3834"/>
      <c r="O732" s="3835"/>
      <c r="P732" s="3835"/>
      <c r="Q732" s="3835"/>
      <c r="R732" s="3836"/>
      <c r="S732" s="1172"/>
      <c r="T732" s="474"/>
      <c r="U732" s="1172"/>
      <c r="V732" s="3533"/>
      <c r="W732" s="3534"/>
      <c r="X732" s="3534"/>
      <c r="Y732" s="3534"/>
      <c r="Z732" s="3536"/>
      <c r="AA732" s="3533"/>
      <c r="AB732" s="3534"/>
      <c r="AC732" s="3536"/>
    </row>
    <row r="733" spans="2:29">
      <c r="B733" s="4211"/>
      <c r="C733" s="3529" t="s">
        <v>579</v>
      </c>
      <c r="D733" s="3711">
        <v>0</v>
      </c>
      <c r="E733" s="468">
        <v>0</v>
      </c>
      <c r="F733" s="468">
        <v>0</v>
      </c>
      <c r="G733" s="468">
        <v>0</v>
      </c>
      <c r="H733" s="530">
        <v>0</v>
      </c>
      <c r="I733" s="3711">
        <v>0</v>
      </c>
      <c r="J733" s="468"/>
      <c r="K733" s="468">
        <v>0</v>
      </c>
      <c r="L733" s="468">
        <v>0</v>
      </c>
      <c r="M733" s="530">
        <v>2473</v>
      </c>
      <c r="N733" s="3855"/>
      <c r="O733" s="3835"/>
      <c r="P733" s="3835"/>
      <c r="Q733" s="3835"/>
      <c r="R733" s="3836"/>
      <c r="S733" s="1172"/>
      <c r="T733" s="1172"/>
      <c r="U733" s="1172"/>
      <c r="V733" s="3533"/>
      <c r="W733" s="3534"/>
      <c r="X733" s="3534"/>
      <c r="Y733" s="3534"/>
      <c r="Z733" s="3536"/>
      <c r="AA733" s="3533"/>
      <c r="AB733" s="3534"/>
      <c r="AC733" s="3536"/>
    </row>
    <row r="734" spans="2:29">
      <c r="B734" s="4211"/>
      <c r="C734" s="3530" t="s">
        <v>583</v>
      </c>
      <c r="D734" s="3706">
        <f>0.07*D733</f>
        <v>0</v>
      </c>
      <c r="E734" s="3699">
        <f t="shared" ref="E734:L734" si="338">0.07*E733</f>
        <v>0</v>
      </c>
      <c r="F734" s="3699">
        <f t="shared" si="338"/>
        <v>0</v>
      </c>
      <c r="G734" s="3699">
        <f t="shared" si="338"/>
        <v>0</v>
      </c>
      <c r="H734" s="3707">
        <f t="shared" si="338"/>
        <v>0</v>
      </c>
      <c r="I734" s="3706">
        <f t="shared" si="338"/>
        <v>0</v>
      </c>
      <c r="J734" s="3699">
        <f t="shared" si="338"/>
        <v>0</v>
      </c>
      <c r="K734" s="3699">
        <f t="shared" si="338"/>
        <v>0</v>
      </c>
      <c r="L734" s="3699">
        <f t="shared" si="338"/>
        <v>0</v>
      </c>
      <c r="M734" s="3707">
        <f>$M$250*M733</f>
        <v>0</v>
      </c>
      <c r="N734" s="3834"/>
      <c r="O734" s="3835"/>
      <c r="P734" s="3835"/>
      <c r="Q734" s="3835"/>
      <c r="R734" s="3836"/>
      <c r="S734" s="1172"/>
      <c r="T734" s="1172"/>
      <c r="U734" s="1172"/>
      <c r="V734" s="3533"/>
      <c r="W734" s="3534"/>
      <c r="X734" s="3534"/>
      <c r="Y734" s="3534"/>
      <c r="Z734" s="3536"/>
      <c r="AA734" s="3533"/>
      <c r="AB734" s="3534"/>
      <c r="AC734" s="3536"/>
    </row>
    <row r="735" spans="2:29">
      <c r="B735" s="4211"/>
      <c r="C735" s="3530" t="s">
        <v>581</v>
      </c>
      <c r="D735" s="3706"/>
      <c r="E735" s="3699"/>
      <c r="F735" s="3699"/>
      <c r="G735" s="3699"/>
      <c r="H735" s="3707"/>
      <c r="I735" s="3706"/>
      <c r="J735" s="3699"/>
      <c r="K735" s="3699"/>
      <c r="L735" s="3699"/>
      <c r="M735" s="3707"/>
      <c r="N735" s="3834"/>
      <c r="O735" s="3835"/>
      <c r="P735" s="3835"/>
      <c r="Q735" s="3835"/>
      <c r="R735" s="3836"/>
      <c r="S735" s="1172"/>
      <c r="T735" s="1172"/>
      <c r="U735" s="1172"/>
      <c r="V735" s="3533"/>
      <c r="W735" s="3534"/>
      <c r="X735" s="3534"/>
      <c r="Y735" s="3534"/>
      <c r="Z735" s="3536"/>
      <c r="AA735" s="3533"/>
      <c r="AB735" s="3534"/>
      <c r="AC735" s="3536"/>
    </row>
    <row r="736" spans="2:29">
      <c r="B736" s="4211"/>
      <c r="C736" s="3529" t="s">
        <v>584</v>
      </c>
      <c r="D736" s="3708">
        <f t="shared" ref="D736:M736" si="339">D733+D734+D735</f>
        <v>0</v>
      </c>
      <c r="E736" s="3701">
        <f t="shared" si="339"/>
        <v>0</v>
      </c>
      <c r="F736" s="3701">
        <f t="shared" si="339"/>
        <v>0</v>
      </c>
      <c r="G736" s="3701">
        <f t="shared" si="339"/>
        <v>0</v>
      </c>
      <c r="H736" s="3709">
        <f t="shared" si="339"/>
        <v>0</v>
      </c>
      <c r="I736" s="3708">
        <f t="shared" si="339"/>
        <v>0</v>
      </c>
      <c r="J736" s="3701">
        <f t="shared" si="339"/>
        <v>0</v>
      </c>
      <c r="K736" s="3701">
        <f t="shared" si="339"/>
        <v>0</v>
      </c>
      <c r="L736" s="3701">
        <f t="shared" si="339"/>
        <v>0</v>
      </c>
      <c r="M736" s="3709">
        <f t="shared" si="339"/>
        <v>2473</v>
      </c>
      <c r="N736" s="3856"/>
      <c r="O736" s="3857"/>
      <c r="P736" s="3857"/>
      <c r="Q736" s="3857"/>
      <c r="R736" s="3858"/>
      <c r="S736" s="1172"/>
      <c r="T736" s="1172"/>
      <c r="U736" s="1172"/>
      <c r="V736" s="3533"/>
      <c r="W736" s="3534"/>
      <c r="X736" s="3534"/>
      <c r="Y736" s="3534"/>
      <c r="Z736" s="3536"/>
      <c r="AA736" s="3533"/>
      <c r="AB736" s="3534"/>
      <c r="AC736" s="3536"/>
    </row>
    <row r="737" spans="2:29">
      <c r="B737" s="4211"/>
      <c r="C737" s="3530" t="s">
        <v>605</v>
      </c>
      <c r="D737" s="3706"/>
      <c r="E737" s="3699"/>
      <c r="F737" s="3699"/>
      <c r="G737" s="3699"/>
      <c r="H737" s="3707"/>
      <c r="I737" s="3706"/>
      <c r="J737" s="3699"/>
      <c r="K737" s="3699"/>
      <c r="L737" s="3699"/>
      <c r="M737" s="3707"/>
      <c r="N737" s="3834"/>
      <c r="O737" s="3835"/>
      <c r="P737" s="3835"/>
      <c r="Q737" s="3835"/>
      <c r="R737" s="3836"/>
      <c r="S737" s="1172"/>
      <c r="T737" s="1172"/>
      <c r="U737" s="1172"/>
      <c r="V737" s="3533"/>
      <c r="W737" s="3534"/>
      <c r="X737" s="3534"/>
      <c r="Y737" s="3534"/>
      <c r="Z737" s="3536"/>
      <c r="AA737" s="3533"/>
      <c r="AB737" s="3534"/>
      <c r="AC737" s="3536"/>
    </row>
    <row r="738" spans="2:29">
      <c r="B738" s="4211"/>
      <c r="C738" s="3529" t="s">
        <v>585</v>
      </c>
      <c r="D738" s="3708">
        <f t="shared" ref="D738:M760" si="340">D736-D737</f>
        <v>0</v>
      </c>
      <c r="E738" s="3701">
        <f t="shared" si="340"/>
        <v>0</v>
      </c>
      <c r="F738" s="3701">
        <f t="shared" si="340"/>
        <v>0</v>
      </c>
      <c r="G738" s="3701">
        <f t="shared" si="340"/>
        <v>0</v>
      </c>
      <c r="H738" s="3709">
        <f t="shared" si="340"/>
        <v>0</v>
      </c>
      <c r="I738" s="3708">
        <f t="shared" si="340"/>
        <v>0</v>
      </c>
      <c r="J738" s="3701">
        <f t="shared" si="340"/>
        <v>0</v>
      </c>
      <c r="K738" s="3701">
        <f t="shared" si="340"/>
        <v>0</v>
      </c>
      <c r="L738" s="3701">
        <f t="shared" si="340"/>
        <v>0</v>
      </c>
      <c r="M738" s="3709">
        <f t="shared" si="340"/>
        <v>2473</v>
      </c>
      <c r="N738" s="3856"/>
      <c r="O738" s="3857"/>
      <c r="P738" s="3857"/>
      <c r="Q738" s="3857"/>
      <c r="R738" s="3858"/>
      <c r="S738" s="1172"/>
      <c r="T738" s="1172"/>
      <c r="U738" s="1172"/>
      <c r="V738" s="3533"/>
      <c r="W738" s="3534"/>
      <c r="X738" s="3534"/>
      <c r="Y738" s="3534"/>
      <c r="Z738" s="3536"/>
      <c r="AA738" s="3533"/>
      <c r="AB738" s="3534"/>
      <c r="AC738" s="3536"/>
    </row>
    <row r="739" spans="2:29" ht="13.5" thickBot="1">
      <c r="B739" s="4212"/>
      <c r="C739" s="3532" t="s">
        <v>93</v>
      </c>
      <c r="D739" s="3712"/>
      <c r="E739" s="3734"/>
      <c r="F739" s="3734"/>
      <c r="G739" s="3734"/>
      <c r="H739" s="3733"/>
      <c r="I739" s="3712"/>
      <c r="J739" s="3734">
        <f t="shared" ref="J739:M739" si="341">J738/J729</f>
        <v>0</v>
      </c>
      <c r="K739" s="3734"/>
      <c r="L739" s="3734"/>
      <c r="M739" s="3733">
        <f t="shared" si="341"/>
        <v>1236.5</v>
      </c>
      <c r="N739" s="3840"/>
      <c r="O739" s="3846"/>
      <c r="P739" s="3846"/>
      <c r="Q739" s="3846"/>
      <c r="R739" s="3847"/>
      <c r="S739" s="1172"/>
      <c r="T739" s="1172"/>
      <c r="U739" s="1172"/>
      <c r="V739" s="3533"/>
      <c r="W739" s="3534"/>
      <c r="X739" s="3534"/>
      <c r="Y739" s="3534"/>
      <c r="Z739" s="3536"/>
      <c r="AA739" s="3533"/>
      <c r="AB739" s="3534"/>
      <c r="AC739" s="3536"/>
    </row>
    <row r="740" spans="2:29">
      <c r="B740" s="4210" t="s">
        <v>1816</v>
      </c>
      <c r="C740" s="3537" t="s">
        <v>90</v>
      </c>
      <c r="D740" s="3706">
        <f>D45</f>
        <v>1</v>
      </c>
      <c r="E740" s="3699">
        <f t="shared" ref="E740:L740" si="342">E45</f>
        <v>0</v>
      </c>
      <c r="F740" s="3699">
        <f t="shared" si="342"/>
        <v>0</v>
      </c>
      <c r="G740" s="3699">
        <f t="shared" si="342"/>
        <v>0</v>
      </c>
      <c r="H740" s="3707">
        <f t="shared" si="342"/>
        <v>0</v>
      </c>
      <c r="I740" s="3706">
        <f t="shared" si="342"/>
        <v>0</v>
      </c>
      <c r="J740" s="3699">
        <f t="shared" si="342"/>
        <v>0</v>
      </c>
      <c r="K740" s="3699">
        <f t="shared" si="342"/>
        <v>0</v>
      </c>
      <c r="L740" s="3699">
        <f t="shared" si="342"/>
        <v>0</v>
      </c>
      <c r="M740" s="3707">
        <f t="shared" ref="M740" si="343">M118</f>
        <v>0</v>
      </c>
      <c r="N740" s="3834"/>
      <c r="O740" s="3835"/>
      <c r="P740" s="3835"/>
      <c r="Q740" s="3835"/>
      <c r="R740" s="3836"/>
      <c r="S740" s="1172"/>
      <c r="T740" s="1172"/>
      <c r="U740" s="1172"/>
      <c r="V740" s="3533"/>
      <c r="W740" s="3534"/>
      <c r="X740" s="3534"/>
      <c r="Y740" s="3534"/>
      <c r="Z740" s="3536"/>
      <c r="AA740" s="3533"/>
      <c r="AB740" s="3534"/>
      <c r="AC740" s="3536"/>
    </row>
    <row r="741" spans="2:29">
      <c r="B741" s="4211"/>
      <c r="C741" s="3530" t="s">
        <v>559</v>
      </c>
      <c r="D741" s="3706"/>
      <c r="E741" s="3699"/>
      <c r="F741" s="3699"/>
      <c r="G741" s="3699"/>
      <c r="H741" s="3707"/>
      <c r="I741" s="3706"/>
      <c r="J741" s="3699"/>
      <c r="K741" s="3699"/>
      <c r="L741" s="3699"/>
      <c r="M741" s="3707"/>
      <c r="N741" s="3834"/>
      <c r="O741" s="3835"/>
      <c r="P741" s="3835"/>
      <c r="Q741" s="3835"/>
      <c r="R741" s="3836"/>
      <c r="S741" s="1172"/>
      <c r="T741" s="1172"/>
      <c r="U741" s="1172"/>
      <c r="V741" s="3533"/>
      <c r="W741" s="3534"/>
      <c r="X741" s="3534"/>
      <c r="Y741" s="3534"/>
      <c r="Z741" s="3536"/>
      <c r="AA741" s="3533"/>
      <c r="AB741" s="3534"/>
      <c r="AC741" s="3536"/>
    </row>
    <row r="742" spans="2:29">
      <c r="B742" s="4211"/>
      <c r="C742" s="3530" t="s">
        <v>558</v>
      </c>
      <c r="D742" s="3706"/>
      <c r="E742" s="3699"/>
      <c r="F742" s="3699"/>
      <c r="G742" s="3699"/>
      <c r="H742" s="3707"/>
      <c r="I742" s="3706"/>
      <c r="J742" s="3699"/>
      <c r="K742" s="3699"/>
      <c r="L742" s="3699"/>
      <c r="M742" s="3707"/>
      <c r="N742" s="3834"/>
      <c r="O742" s="3835"/>
      <c r="P742" s="3835"/>
      <c r="Q742" s="3835"/>
      <c r="R742" s="3836"/>
      <c r="S742" s="1172"/>
      <c r="T742" s="1172"/>
      <c r="U742" s="1172"/>
      <c r="V742" s="3533"/>
      <c r="W742" s="3534"/>
      <c r="X742" s="3534"/>
      <c r="Y742" s="3534"/>
      <c r="Z742" s="3536"/>
      <c r="AA742" s="3533"/>
      <c r="AB742" s="3534"/>
      <c r="AC742" s="3536"/>
    </row>
    <row r="743" spans="2:29">
      <c r="B743" s="4211"/>
      <c r="C743" s="3530" t="s">
        <v>578</v>
      </c>
      <c r="D743" s="3706"/>
      <c r="E743" s="3699"/>
      <c r="F743" s="3699"/>
      <c r="G743" s="3699"/>
      <c r="H743" s="3707"/>
      <c r="I743" s="3706"/>
      <c r="J743" s="3699"/>
      <c r="K743" s="3699"/>
      <c r="L743" s="3699"/>
      <c r="M743" s="3707"/>
      <c r="N743" s="3834"/>
      <c r="O743" s="3835"/>
      <c r="P743" s="3835"/>
      <c r="Q743" s="3835"/>
      <c r="R743" s="3836"/>
      <c r="S743" s="1172"/>
      <c r="T743" s="1172"/>
      <c r="U743" s="1172"/>
      <c r="V743" s="3533"/>
      <c r="W743" s="3534"/>
      <c r="X743" s="3534"/>
      <c r="Y743" s="3534"/>
      <c r="Z743" s="3536"/>
      <c r="AA743" s="3533"/>
      <c r="AB743" s="3534"/>
      <c r="AC743" s="3536"/>
    </row>
    <row r="744" spans="2:29">
      <c r="B744" s="4211"/>
      <c r="C744" s="3529" t="s">
        <v>579</v>
      </c>
      <c r="D744" s="3711">
        <v>92</v>
      </c>
      <c r="E744" s="468">
        <v>0</v>
      </c>
      <c r="F744" s="468">
        <v>0</v>
      </c>
      <c r="G744" s="468">
        <v>0</v>
      </c>
      <c r="H744" s="530">
        <v>0</v>
      </c>
      <c r="I744" s="3711">
        <v>0</v>
      </c>
      <c r="J744" s="468">
        <v>634</v>
      </c>
      <c r="K744" s="468">
        <v>0</v>
      </c>
      <c r="L744" s="468">
        <v>0</v>
      </c>
      <c r="M744" s="530">
        <v>0</v>
      </c>
      <c r="N744" s="3855"/>
      <c r="O744" s="3835"/>
      <c r="P744" s="3835"/>
      <c r="Q744" s="3835"/>
      <c r="R744" s="3836"/>
      <c r="S744" s="1172"/>
      <c r="T744" s="1172"/>
      <c r="U744" s="1172"/>
      <c r="V744" s="3533"/>
      <c r="W744" s="3534"/>
      <c r="X744" s="3534"/>
      <c r="Y744" s="3534"/>
      <c r="Z744" s="3536"/>
      <c r="AA744" s="3533"/>
      <c r="AB744" s="3534"/>
      <c r="AC744" s="3536"/>
    </row>
    <row r="745" spans="2:29">
      <c r="B745" s="4211"/>
      <c r="C745" s="3530" t="s">
        <v>583</v>
      </c>
      <c r="D745" s="3706">
        <f>0.07*D744</f>
        <v>6.44</v>
      </c>
      <c r="E745" s="3699">
        <f t="shared" ref="E745:L745" si="344">0.07*E744</f>
        <v>0</v>
      </c>
      <c r="F745" s="3699">
        <f t="shared" si="344"/>
        <v>0</v>
      </c>
      <c r="G745" s="3699">
        <f t="shared" si="344"/>
        <v>0</v>
      </c>
      <c r="H745" s="3707">
        <f t="shared" si="344"/>
        <v>0</v>
      </c>
      <c r="I745" s="3706">
        <f t="shared" si="344"/>
        <v>0</v>
      </c>
      <c r="J745" s="3699">
        <f t="shared" si="344"/>
        <v>44.38</v>
      </c>
      <c r="K745" s="3699">
        <f t="shared" si="344"/>
        <v>0</v>
      </c>
      <c r="L745" s="3699">
        <f t="shared" si="344"/>
        <v>0</v>
      </c>
      <c r="M745" s="3707"/>
      <c r="N745" s="3834"/>
      <c r="O745" s="3835"/>
      <c r="P745" s="3835"/>
      <c r="Q745" s="3835"/>
      <c r="R745" s="3836"/>
      <c r="S745" s="1172"/>
      <c r="T745" s="1172"/>
      <c r="U745" s="1172"/>
      <c r="V745" s="3533"/>
      <c r="W745" s="3534"/>
      <c r="X745" s="3534"/>
      <c r="Y745" s="3534"/>
      <c r="Z745" s="3536"/>
      <c r="AA745" s="3533"/>
      <c r="AB745" s="3534"/>
      <c r="AC745" s="3536"/>
    </row>
    <row r="746" spans="2:29">
      <c r="B746" s="4211"/>
      <c r="C746" s="3530" t="s">
        <v>581</v>
      </c>
      <c r="D746" s="3706"/>
      <c r="E746" s="3699"/>
      <c r="F746" s="3699"/>
      <c r="G746" s="3699"/>
      <c r="H746" s="3707"/>
      <c r="I746" s="3706"/>
      <c r="J746" s="3699"/>
      <c r="K746" s="3699"/>
      <c r="L746" s="3699"/>
      <c r="M746" s="3707"/>
      <c r="N746" s="3834"/>
      <c r="O746" s="3835"/>
      <c r="P746" s="3835"/>
      <c r="Q746" s="3835"/>
      <c r="R746" s="3836"/>
      <c r="S746" s="1172"/>
      <c r="T746" s="1172"/>
      <c r="U746" s="1172"/>
      <c r="V746" s="3533"/>
      <c r="W746" s="3534"/>
      <c r="X746" s="3534"/>
      <c r="Y746" s="3534"/>
      <c r="Z746" s="3536"/>
      <c r="AA746" s="3533"/>
      <c r="AB746" s="3534"/>
      <c r="AC746" s="3536"/>
    </row>
    <row r="747" spans="2:29">
      <c r="B747" s="4211"/>
      <c r="C747" s="3529" t="s">
        <v>584</v>
      </c>
      <c r="D747" s="3708">
        <f t="shared" ref="D747:M747" si="345">D744+D745+D746</f>
        <v>98.44</v>
      </c>
      <c r="E747" s="3701">
        <f t="shared" si="345"/>
        <v>0</v>
      </c>
      <c r="F747" s="3701">
        <f t="shared" si="345"/>
        <v>0</v>
      </c>
      <c r="G747" s="3701">
        <f t="shared" si="345"/>
        <v>0</v>
      </c>
      <c r="H747" s="3709">
        <f t="shared" si="345"/>
        <v>0</v>
      </c>
      <c r="I747" s="3708">
        <f t="shared" si="345"/>
        <v>0</v>
      </c>
      <c r="J747" s="3701">
        <f t="shared" si="345"/>
        <v>678.38</v>
      </c>
      <c r="K747" s="3701">
        <f t="shared" si="345"/>
        <v>0</v>
      </c>
      <c r="L747" s="3701">
        <f t="shared" si="345"/>
        <v>0</v>
      </c>
      <c r="M747" s="3709">
        <f t="shared" si="345"/>
        <v>0</v>
      </c>
      <c r="N747" s="3856"/>
      <c r="O747" s="3857"/>
      <c r="P747" s="3857"/>
      <c r="Q747" s="3857"/>
      <c r="R747" s="3858"/>
      <c r="S747" s="1172"/>
      <c r="T747" s="1172"/>
      <c r="U747" s="1172"/>
      <c r="V747" s="3533"/>
      <c r="W747" s="3534"/>
      <c r="X747" s="3534"/>
      <c r="Y747" s="3534"/>
      <c r="Z747" s="3536"/>
      <c r="AA747" s="3533"/>
      <c r="AB747" s="3534"/>
      <c r="AC747" s="3536"/>
    </row>
    <row r="748" spans="2:29">
      <c r="B748" s="4211"/>
      <c r="C748" s="3530" t="s">
        <v>605</v>
      </c>
      <c r="D748" s="3706"/>
      <c r="E748" s="3699"/>
      <c r="F748" s="3699"/>
      <c r="G748" s="3699"/>
      <c r="H748" s="3707"/>
      <c r="I748" s="3706"/>
      <c r="J748" s="3699"/>
      <c r="K748" s="3699"/>
      <c r="L748" s="3699"/>
      <c r="M748" s="3707"/>
      <c r="N748" s="3834"/>
      <c r="O748" s="3835"/>
      <c r="P748" s="3835"/>
      <c r="Q748" s="3835"/>
      <c r="R748" s="3836"/>
      <c r="S748" s="1172"/>
      <c r="T748" s="1172"/>
      <c r="U748" s="1172"/>
      <c r="V748" s="3533"/>
      <c r="W748" s="3534"/>
      <c r="X748" s="3534"/>
      <c r="Y748" s="3534"/>
      <c r="Z748" s="3536"/>
      <c r="AA748" s="3533"/>
      <c r="AB748" s="3534"/>
      <c r="AC748" s="3536"/>
    </row>
    <row r="749" spans="2:29">
      <c r="B749" s="4211"/>
      <c r="C749" s="3529" t="s">
        <v>585</v>
      </c>
      <c r="D749" s="3708">
        <f t="shared" ref="D749:M749" si="346">D747-D748</f>
        <v>98.44</v>
      </c>
      <c r="E749" s="3701">
        <f t="shared" si="346"/>
        <v>0</v>
      </c>
      <c r="F749" s="3701">
        <f t="shared" si="346"/>
        <v>0</v>
      </c>
      <c r="G749" s="3701">
        <f t="shared" si="346"/>
        <v>0</v>
      </c>
      <c r="H749" s="3709">
        <f t="shared" si="346"/>
        <v>0</v>
      </c>
      <c r="I749" s="3708">
        <f t="shared" si="346"/>
        <v>0</v>
      </c>
      <c r="J749" s="3701">
        <f t="shared" si="346"/>
        <v>678.38</v>
      </c>
      <c r="K749" s="3701">
        <f t="shared" si="346"/>
        <v>0</v>
      </c>
      <c r="L749" s="3701">
        <f t="shared" si="346"/>
        <v>0</v>
      </c>
      <c r="M749" s="3709">
        <f t="shared" si="346"/>
        <v>0</v>
      </c>
      <c r="N749" s="3856"/>
      <c r="O749" s="3857"/>
      <c r="P749" s="3857"/>
      <c r="Q749" s="3857"/>
      <c r="R749" s="3858"/>
      <c r="S749" s="1172"/>
      <c r="T749" s="1172"/>
      <c r="U749" s="1172"/>
      <c r="V749" s="3533"/>
      <c r="W749" s="3534"/>
      <c r="X749" s="3534"/>
      <c r="Y749" s="3534"/>
      <c r="Z749" s="3536"/>
      <c r="AA749" s="3533"/>
      <c r="AB749" s="3534"/>
      <c r="AC749" s="3536"/>
    </row>
    <row r="750" spans="2:29" ht="13.5" thickBot="1">
      <c r="B750" s="4212"/>
      <c r="C750" s="3532" t="s">
        <v>93</v>
      </c>
      <c r="D750" s="3712">
        <f t="shared" ref="D750" si="347">D749/D740</f>
        <v>98.44</v>
      </c>
      <c r="E750" s="3734"/>
      <c r="F750" s="3734"/>
      <c r="G750" s="3734"/>
      <c r="H750" s="3733"/>
      <c r="I750" s="3712"/>
      <c r="J750" s="3734"/>
      <c r="K750" s="3734"/>
      <c r="L750" s="3734"/>
      <c r="M750" s="3733"/>
      <c r="N750" s="3840"/>
      <c r="O750" s="3846"/>
      <c r="P750" s="3846"/>
      <c r="Q750" s="3846"/>
      <c r="R750" s="3847"/>
      <c r="S750" s="1172"/>
      <c r="T750" s="1172"/>
      <c r="U750" s="1172"/>
      <c r="V750" s="3533"/>
      <c r="W750" s="3534"/>
      <c r="X750" s="3534"/>
      <c r="Y750" s="3534"/>
      <c r="Z750" s="3536"/>
      <c r="AA750" s="3533"/>
      <c r="AB750" s="3534"/>
      <c r="AC750" s="3536"/>
    </row>
    <row r="751" spans="2:29">
      <c r="B751" s="4210" t="s">
        <v>1844</v>
      </c>
      <c r="C751" s="3537" t="s">
        <v>90</v>
      </c>
      <c r="D751" s="3706">
        <f>D129</f>
        <v>2</v>
      </c>
      <c r="E751" s="3699">
        <f t="shared" ref="E751:M751" si="348">E129</f>
        <v>7</v>
      </c>
      <c r="F751" s="3699">
        <f t="shared" si="348"/>
        <v>16</v>
      </c>
      <c r="G751" s="3699">
        <f t="shared" si="348"/>
        <v>12</v>
      </c>
      <c r="H751" s="3707">
        <f t="shared" si="348"/>
        <v>44</v>
      </c>
      <c r="I751" s="3706">
        <f t="shared" si="348"/>
        <v>40</v>
      </c>
      <c r="J751" s="3699">
        <f t="shared" si="348"/>
        <v>29</v>
      </c>
      <c r="K751" s="3699">
        <f t="shared" si="348"/>
        <v>25</v>
      </c>
      <c r="L751" s="3699">
        <f t="shared" si="348"/>
        <v>10</v>
      </c>
      <c r="M751" s="3707">
        <f t="shared" si="348"/>
        <v>29</v>
      </c>
      <c r="N751" s="3834"/>
      <c r="O751" s="3835"/>
      <c r="P751" s="3835"/>
      <c r="Q751" s="3835"/>
      <c r="R751" s="3836"/>
      <c r="S751" s="1172"/>
      <c r="T751" s="1172"/>
      <c r="U751" s="1172"/>
      <c r="V751" s="3533"/>
      <c r="W751" s="3534"/>
      <c r="X751" s="3534"/>
      <c r="Y751" s="3534"/>
      <c r="Z751" s="3536"/>
      <c r="AA751" s="3533"/>
      <c r="AB751" s="3534"/>
      <c r="AC751" s="3536"/>
    </row>
    <row r="752" spans="2:29">
      <c r="B752" s="4211"/>
      <c r="C752" s="3530" t="s">
        <v>559</v>
      </c>
      <c r="D752" s="3706"/>
      <c r="E752" s="3699"/>
      <c r="F752" s="3699"/>
      <c r="G752" s="3699"/>
      <c r="H752" s="3707"/>
      <c r="I752" s="3706"/>
      <c r="J752" s="3699"/>
      <c r="K752" s="3699"/>
      <c r="L752" s="3699"/>
      <c r="M752" s="3707"/>
      <c r="N752" s="3834"/>
      <c r="O752" s="3835"/>
      <c r="P752" s="3835"/>
      <c r="Q752" s="3835"/>
      <c r="R752" s="3836"/>
      <c r="S752" s="1172"/>
      <c r="T752" s="1172"/>
      <c r="U752" s="1172"/>
      <c r="V752" s="3533"/>
      <c r="W752" s="3534"/>
      <c r="X752" s="3534"/>
      <c r="Y752" s="3534"/>
      <c r="Z752" s="3536"/>
      <c r="AA752" s="3533"/>
      <c r="AB752" s="3534"/>
      <c r="AC752" s="3536"/>
    </row>
    <row r="753" spans="2:29">
      <c r="B753" s="4211"/>
      <c r="C753" s="3530" t="s">
        <v>558</v>
      </c>
      <c r="D753" s="3706"/>
      <c r="E753" s="3699"/>
      <c r="F753" s="3699"/>
      <c r="G753" s="3699"/>
      <c r="H753" s="3707"/>
      <c r="I753" s="3706"/>
      <c r="J753" s="3699"/>
      <c r="K753" s="3699"/>
      <c r="L753" s="3699"/>
      <c r="M753" s="3707"/>
      <c r="N753" s="3834"/>
      <c r="O753" s="3835"/>
      <c r="P753" s="3835"/>
      <c r="Q753" s="3835"/>
      <c r="R753" s="3836"/>
      <c r="S753" s="1172"/>
      <c r="T753" s="1172"/>
      <c r="U753" s="1172"/>
      <c r="V753" s="3533"/>
      <c r="W753" s="3534"/>
      <c r="X753" s="3534"/>
      <c r="Y753" s="3534"/>
      <c r="Z753" s="3536"/>
      <c r="AA753" s="3533"/>
      <c r="AB753" s="3534"/>
      <c r="AC753" s="3536"/>
    </row>
    <row r="754" spans="2:29">
      <c r="B754" s="4211"/>
      <c r="C754" s="3530" t="s">
        <v>578</v>
      </c>
      <c r="D754" s="3706"/>
      <c r="E754" s="3699"/>
      <c r="F754" s="3699"/>
      <c r="G754" s="3699"/>
      <c r="H754" s="3707"/>
      <c r="I754" s="3706"/>
      <c r="J754" s="3699"/>
      <c r="K754" s="3699"/>
      <c r="L754" s="3699"/>
      <c r="M754" s="3707"/>
      <c r="N754" s="3834"/>
      <c r="O754" s="3835"/>
      <c r="P754" s="3835"/>
      <c r="Q754" s="3835"/>
      <c r="R754" s="3836"/>
      <c r="S754" s="1172"/>
      <c r="T754" s="1172"/>
      <c r="U754" s="1172"/>
      <c r="V754" s="3533"/>
      <c r="W754" s="3534"/>
      <c r="X754" s="3534"/>
      <c r="Y754" s="3534"/>
      <c r="Z754" s="3536"/>
      <c r="AA754" s="3533"/>
      <c r="AB754" s="3534"/>
      <c r="AC754" s="3536"/>
    </row>
    <row r="755" spans="2:29">
      <c r="B755" s="4211"/>
      <c r="C755" s="3529" t="s">
        <v>579</v>
      </c>
      <c r="D755" s="3711">
        <v>1587</v>
      </c>
      <c r="E755" s="468">
        <v>3114</v>
      </c>
      <c r="F755" s="468">
        <v>6684</v>
      </c>
      <c r="G755" s="468">
        <v>5095</v>
      </c>
      <c r="H755" s="530">
        <v>28049</v>
      </c>
      <c r="I755" s="3711">
        <v>34715</v>
      </c>
      <c r="J755" s="468">
        <v>18394</v>
      </c>
      <c r="K755" s="468">
        <v>18814</v>
      </c>
      <c r="L755" s="468">
        <v>17052</v>
      </c>
      <c r="M755" s="530">
        <v>35857</v>
      </c>
      <c r="N755" s="3855"/>
      <c r="O755" s="3835"/>
      <c r="P755" s="3835"/>
      <c r="Q755" s="3835"/>
      <c r="R755" s="3836"/>
      <c r="S755" s="1172"/>
      <c r="T755" s="1172"/>
      <c r="U755" s="1172"/>
      <c r="V755" s="3533"/>
      <c r="W755" s="3534"/>
      <c r="X755" s="3534"/>
      <c r="Y755" s="3534"/>
      <c r="Z755" s="3536"/>
      <c r="AA755" s="3533"/>
      <c r="AB755" s="3534"/>
      <c r="AC755" s="3536"/>
    </row>
    <row r="756" spans="2:29">
      <c r="B756" s="4211"/>
      <c r="C756" s="3530" t="s">
        <v>583</v>
      </c>
      <c r="D756" s="3706">
        <f>0.07*D755</f>
        <v>111.09000000000002</v>
      </c>
      <c r="E756" s="3699">
        <f t="shared" ref="E756:L756" si="349">0.07*E755</f>
        <v>217.98000000000002</v>
      </c>
      <c r="F756" s="3699">
        <f t="shared" si="349"/>
        <v>467.88000000000005</v>
      </c>
      <c r="G756" s="3699">
        <f t="shared" si="349"/>
        <v>356.65000000000003</v>
      </c>
      <c r="H756" s="3707">
        <f t="shared" si="349"/>
        <v>1963.4300000000003</v>
      </c>
      <c r="I756" s="3706">
        <f t="shared" si="349"/>
        <v>2430.0500000000002</v>
      </c>
      <c r="J756" s="3699">
        <f t="shared" si="349"/>
        <v>1287.5800000000002</v>
      </c>
      <c r="K756" s="3699">
        <f t="shared" si="349"/>
        <v>1316.98</v>
      </c>
      <c r="L756" s="3699">
        <f t="shared" si="349"/>
        <v>1193.6400000000001</v>
      </c>
      <c r="M756" s="3707">
        <f>$M$250*M755</f>
        <v>0</v>
      </c>
      <c r="N756" s="3834"/>
      <c r="O756" s="3835"/>
      <c r="P756" s="3835"/>
      <c r="Q756" s="3835"/>
      <c r="R756" s="3836"/>
      <c r="S756" s="1172"/>
      <c r="T756" s="474"/>
      <c r="U756" s="1172"/>
      <c r="V756" s="3533"/>
      <c r="W756" s="3534"/>
      <c r="X756" s="3534"/>
      <c r="Y756" s="3534"/>
      <c r="Z756" s="3536"/>
      <c r="AA756" s="3533"/>
      <c r="AB756" s="3534"/>
      <c r="AC756" s="3536"/>
    </row>
    <row r="757" spans="2:29">
      <c r="B757" s="4211"/>
      <c r="C757" s="3530" t="s">
        <v>581</v>
      </c>
      <c r="D757" s="3706"/>
      <c r="E757" s="3699"/>
      <c r="F757" s="3699"/>
      <c r="G757" s="3699"/>
      <c r="H757" s="3707"/>
      <c r="I757" s="3706"/>
      <c r="J757" s="3699"/>
      <c r="K757" s="3699"/>
      <c r="L757" s="3699"/>
      <c r="M757" s="3707"/>
      <c r="N757" s="3834"/>
      <c r="O757" s="3835"/>
      <c r="P757" s="3835"/>
      <c r="Q757" s="3835"/>
      <c r="R757" s="3836"/>
      <c r="S757" s="1172"/>
      <c r="T757" s="474"/>
      <c r="U757" s="1172"/>
      <c r="V757" s="3533"/>
      <c r="W757" s="3534"/>
      <c r="X757" s="3534"/>
      <c r="Y757" s="3534"/>
      <c r="Z757" s="3536"/>
      <c r="AA757" s="3533"/>
      <c r="AB757" s="3534"/>
      <c r="AC757" s="3536"/>
    </row>
    <row r="758" spans="2:29">
      <c r="B758" s="4211"/>
      <c r="C758" s="3529" t="s">
        <v>584</v>
      </c>
      <c r="D758" s="3708">
        <f t="shared" ref="D758:M758" si="350">D755+D756+D757</f>
        <v>1698.09</v>
      </c>
      <c r="E758" s="3701">
        <f t="shared" si="350"/>
        <v>3331.98</v>
      </c>
      <c r="F758" s="3701">
        <f t="shared" si="350"/>
        <v>7151.88</v>
      </c>
      <c r="G758" s="3701">
        <f t="shared" si="350"/>
        <v>5451.65</v>
      </c>
      <c r="H758" s="3709">
        <f t="shared" si="350"/>
        <v>30012.43</v>
      </c>
      <c r="I758" s="3708">
        <f t="shared" si="350"/>
        <v>37145.050000000003</v>
      </c>
      <c r="J758" s="3701">
        <f t="shared" si="350"/>
        <v>19681.580000000002</v>
      </c>
      <c r="K758" s="3701">
        <f t="shared" si="350"/>
        <v>20130.98</v>
      </c>
      <c r="L758" s="3701">
        <f t="shared" si="350"/>
        <v>18245.64</v>
      </c>
      <c r="M758" s="3709">
        <f t="shared" si="350"/>
        <v>35857</v>
      </c>
      <c r="N758" s="3856"/>
      <c r="O758" s="3857"/>
      <c r="P758" s="3857"/>
      <c r="Q758" s="3857"/>
      <c r="R758" s="3858"/>
      <c r="S758" s="1172"/>
      <c r="T758" s="474"/>
      <c r="U758" s="1172"/>
      <c r="V758" s="3533"/>
      <c r="W758" s="3534"/>
      <c r="X758" s="3534"/>
      <c r="Y758" s="3534"/>
      <c r="Z758" s="3536"/>
      <c r="AA758" s="3533"/>
      <c r="AB758" s="3534"/>
      <c r="AC758" s="3536"/>
    </row>
    <row r="759" spans="2:29">
      <c r="B759" s="4211"/>
      <c r="C759" s="3530" t="s">
        <v>605</v>
      </c>
      <c r="D759" s="3706"/>
      <c r="E759" s="3699"/>
      <c r="F759" s="3699"/>
      <c r="G759" s="3699"/>
      <c r="H759" s="3707"/>
      <c r="I759" s="3706"/>
      <c r="J759" s="3699"/>
      <c r="K759" s="3699"/>
      <c r="L759" s="3699"/>
      <c r="M759" s="3707"/>
      <c r="N759" s="3834"/>
      <c r="O759" s="3835"/>
      <c r="P759" s="3835"/>
      <c r="Q759" s="3835"/>
      <c r="R759" s="3836"/>
      <c r="S759" s="1172"/>
      <c r="T759" s="474"/>
      <c r="U759" s="1172"/>
      <c r="V759" s="3533"/>
      <c r="W759" s="3534"/>
      <c r="X759" s="3534"/>
      <c r="Y759" s="3534"/>
      <c r="Z759" s="3536"/>
      <c r="AA759" s="3533"/>
      <c r="AB759" s="3534"/>
      <c r="AC759" s="3536"/>
    </row>
    <row r="760" spans="2:29">
      <c r="B760" s="4211"/>
      <c r="C760" s="3529" t="s">
        <v>585</v>
      </c>
      <c r="D760" s="3708">
        <f t="shared" ref="D760:I760" si="351">D758-D759</f>
        <v>1698.09</v>
      </c>
      <c r="E760" s="3701">
        <f t="shared" si="351"/>
        <v>3331.98</v>
      </c>
      <c r="F760" s="3701">
        <f t="shared" si="351"/>
        <v>7151.88</v>
      </c>
      <c r="G760" s="3701">
        <f t="shared" si="351"/>
        <v>5451.65</v>
      </c>
      <c r="H760" s="3709">
        <f t="shared" si="351"/>
        <v>30012.43</v>
      </c>
      <c r="I760" s="3708">
        <f t="shared" si="351"/>
        <v>37145.050000000003</v>
      </c>
      <c r="J760" s="3701">
        <f t="shared" si="340"/>
        <v>19681.580000000002</v>
      </c>
      <c r="K760" s="3701">
        <f t="shared" si="340"/>
        <v>20130.98</v>
      </c>
      <c r="L760" s="3701">
        <f t="shared" si="340"/>
        <v>18245.64</v>
      </c>
      <c r="M760" s="3709">
        <f t="shared" si="340"/>
        <v>35857</v>
      </c>
      <c r="N760" s="3856"/>
      <c r="O760" s="3857"/>
      <c r="P760" s="3857"/>
      <c r="Q760" s="3857"/>
      <c r="R760" s="3858"/>
      <c r="S760" s="1172"/>
      <c r="T760" s="474"/>
      <c r="U760" s="1172"/>
      <c r="V760" s="3533"/>
      <c r="W760" s="3534"/>
      <c r="X760" s="3534"/>
      <c r="Y760" s="3534"/>
      <c r="Z760" s="3536"/>
      <c r="AA760" s="3533"/>
      <c r="AB760" s="3534"/>
      <c r="AC760" s="3536"/>
    </row>
    <row r="761" spans="2:29" ht="13.5" thickBot="1">
      <c r="B761" s="4212"/>
      <c r="C761" s="3532" t="s">
        <v>93</v>
      </c>
      <c r="D761" s="470">
        <f t="shared" ref="D761:M761" si="352">D760/D751</f>
        <v>849.04499999999996</v>
      </c>
      <c r="E761" s="468">
        <f t="shared" si="352"/>
        <v>475.99714285714288</v>
      </c>
      <c r="F761" s="468">
        <f t="shared" si="352"/>
        <v>446.99250000000001</v>
      </c>
      <c r="G761" s="468">
        <f t="shared" si="352"/>
        <v>454.30416666666662</v>
      </c>
      <c r="H761" s="530">
        <f t="shared" si="352"/>
        <v>682.10068181818178</v>
      </c>
      <c r="I761" s="470">
        <f t="shared" si="352"/>
        <v>928.62625000000003</v>
      </c>
      <c r="J761" s="468">
        <f t="shared" si="352"/>
        <v>678.67517241379312</v>
      </c>
      <c r="K761" s="468">
        <f t="shared" si="352"/>
        <v>805.23919999999998</v>
      </c>
      <c r="L761" s="468">
        <f t="shared" si="352"/>
        <v>1824.5639999999999</v>
      </c>
      <c r="M761" s="530">
        <f t="shared" si="352"/>
        <v>1236.4482758620691</v>
      </c>
      <c r="N761" s="3834"/>
      <c r="O761" s="3835"/>
      <c r="P761" s="3835"/>
      <c r="Q761" s="3835"/>
      <c r="R761" s="3836"/>
      <c r="S761" s="1172"/>
      <c r="T761" s="474"/>
      <c r="U761" s="1172"/>
      <c r="V761" s="3533"/>
      <c r="W761" s="3534"/>
      <c r="X761" s="3534"/>
      <c r="Y761" s="3534"/>
      <c r="Z761" s="3536"/>
      <c r="AA761" s="3533"/>
      <c r="AB761" s="3534"/>
      <c r="AC761" s="3536"/>
    </row>
    <row r="762" spans="2:29">
      <c r="B762" s="4210" t="s">
        <v>1845</v>
      </c>
      <c r="C762" s="3537" t="s">
        <v>90</v>
      </c>
      <c r="D762" s="3737">
        <f>D132</f>
        <v>0</v>
      </c>
      <c r="E762" s="3736">
        <f t="shared" ref="E762:M762" si="353">E132</f>
        <v>0</v>
      </c>
      <c r="F762" s="3736">
        <f t="shared" si="353"/>
        <v>0</v>
      </c>
      <c r="G762" s="3736">
        <f t="shared" si="353"/>
        <v>0</v>
      </c>
      <c r="H762" s="3735">
        <f t="shared" si="353"/>
        <v>0</v>
      </c>
      <c r="I762" s="3737">
        <f t="shared" si="353"/>
        <v>0</v>
      </c>
      <c r="J762" s="3736">
        <f t="shared" si="353"/>
        <v>0</v>
      </c>
      <c r="K762" s="3736">
        <f t="shared" si="353"/>
        <v>0</v>
      </c>
      <c r="L762" s="3736">
        <f t="shared" si="353"/>
        <v>1</v>
      </c>
      <c r="M762" s="3735">
        <f t="shared" si="353"/>
        <v>1</v>
      </c>
      <c r="N762" s="3843"/>
      <c r="O762" s="3844"/>
      <c r="P762" s="3844"/>
      <c r="Q762" s="3844"/>
      <c r="R762" s="3845"/>
      <c r="S762" s="1172"/>
      <c r="T762" s="474"/>
      <c r="U762" s="1172"/>
      <c r="V762" s="3533"/>
      <c r="W762" s="3534"/>
      <c r="X762" s="3534"/>
      <c r="Y762" s="3534"/>
      <c r="Z762" s="3536"/>
      <c r="AA762" s="3533"/>
      <c r="AB762" s="3534"/>
      <c r="AC762" s="3536"/>
    </row>
    <row r="763" spans="2:29">
      <c r="B763" s="4211"/>
      <c r="C763" s="3530" t="s">
        <v>559</v>
      </c>
      <c r="D763" s="3706"/>
      <c r="E763" s="3699"/>
      <c r="F763" s="3699"/>
      <c r="G763" s="3699"/>
      <c r="H763" s="3707"/>
      <c r="I763" s="3706"/>
      <c r="J763" s="3699"/>
      <c r="K763" s="3699"/>
      <c r="L763" s="3699"/>
      <c r="M763" s="3707"/>
      <c r="N763" s="3834"/>
      <c r="O763" s="3835"/>
      <c r="P763" s="3835"/>
      <c r="Q763" s="3835"/>
      <c r="R763" s="3836"/>
      <c r="S763" s="1172"/>
      <c r="T763" s="474"/>
      <c r="U763" s="1172"/>
      <c r="V763" s="3533"/>
      <c r="W763" s="3534"/>
      <c r="X763" s="3534"/>
      <c r="Y763" s="3534"/>
      <c r="Z763" s="3536"/>
      <c r="AA763" s="3533"/>
      <c r="AB763" s="3534"/>
      <c r="AC763" s="3536"/>
    </row>
    <row r="764" spans="2:29">
      <c r="B764" s="4211"/>
      <c r="C764" s="3530" t="s">
        <v>558</v>
      </c>
      <c r="D764" s="3706"/>
      <c r="E764" s="3699"/>
      <c r="F764" s="3699"/>
      <c r="G764" s="3699"/>
      <c r="H764" s="3707"/>
      <c r="I764" s="3706"/>
      <c r="J764" s="3699"/>
      <c r="K764" s="3699"/>
      <c r="L764" s="3699"/>
      <c r="M764" s="3707"/>
      <c r="N764" s="3834"/>
      <c r="O764" s="3835"/>
      <c r="P764" s="3835"/>
      <c r="Q764" s="3835"/>
      <c r="R764" s="3836"/>
      <c r="S764" s="1172"/>
      <c r="T764" s="474"/>
      <c r="U764" s="1172"/>
      <c r="V764" s="3533"/>
      <c r="W764" s="3534"/>
      <c r="X764" s="3534"/>
      <c r="Y764" s="3534"/>
      <c r="Z764" s="3536"/>
      <c r="AA764" s="3533"/>
      <c r="AB764" s="3534"/>
      <c r="AC764" s="3536"/>
    </row>
    <row r="765" spans="2:29">
      <c r="B765" s="4211"/>
      <c r="C765" s="3530" t="s">
        <v>578</v>
      </c>
      <c r="D765" s="3706"/>
      <c r="E765" s="3699"/>
      <c r="F765" s="3699"/>
      <c r="G765" s="3699"/>
      <c r="H765" s="3707"/>
      <c r="I765" s="3706"/>
      <c r="J765" s="3699"/>
      <c r="K765" s="3699"/>
      <c r="L765" s="3699"/>
      <c r="M765" s="3707"/>
      <c r="N765" s="3834"/>
      <c r="O765" s="3835"/>
      <c r="P765" s="3835"/>
      <c r="Q765" s="3835"/>
      <c r="R765" s="3836"/>
      <c r="S765" s="1172"/>
      <c r="T765" s="474"/>
      <c r="U765" s="1172"/>
      <c r="V765" s="3533"/>
      <c r="W765" s="3534"/>
      <c r="X765" s="3534"/>
      <c r="Y765" s="3534"/>
      <c r="Z765" s="3536"/>
      <c r="AA765" s="3533"/>
      <c r="AB765" s="3534"/>
      <c r="AC765" s="3536"/>
    </row>
    <row r="766" spans="2:29">
      <c r="B766" s="4211"/>
      <c r="C766" s="3529" t="s">
        <v>579</v>
      </c>
      <c r="D766" s="470">
        <v>0</v>
      </c>
      <c r="E766" s="468">
        <v>0</v>
      </c>
      <c r="F766" s="468">
        <v>0</v>
      </c>
      <c r="G766" s="468">
        <v>0</v>
      </c>
      <c r="H766" s="530">
        <v>0</v>
      </c>
      <c r="I766" s="470">
        <v>0</v>
      </c>
      <c r="J766" s="468"/>
      <c r="K766" s="468">
        <v>0</v>
      </c>
      <c r="L766" s="468">
        <v>1705</v>
      </c>
      <c r="M766" s="530">
        <v>1236</v>
      </c>
      <c r="N766" s="3834"/>
      <c r="O766" s="3835"/>
      <c r="P766" s="3835"/>
      <c r="Q766" s="3835"/>
      <c r="R766" s="3836"/>
      <c r="S766" s="1172"/>
      <c r="T766" s="474"/>
      <c r="U766" s="1172"/>
      <c r="V766" s="3533"/>
      <c r="W766" s="3534"/>
      <c r="X766" s="3534"/>
      <c r="Y766" s="3534"/>
      <c r="Z766" s="3536"/>
      <c r="AA766" s="3533"/>
      <c r="AB766" s="3534"/>
      <c r="AC766" s="3536"/>
    </row>
    <row r="767" spans="2:29">
      <c r="B767" s="4211"/>
      <c r="C767" s="3530" t="s">
        <v>583</v>
      </c>
      <c r="D767" s="3706">
        <f>0.07*D766</f>
        <v>0</v>
      </c>
      <c r="E767" s="3699">
        <f t="shared" ref="E767:L767" si="354">0.07*E766</f>
        <v>0</v>
      </c>
      <c r="F767" s="3699">
        <f t="shared" si="354"/>
        <v>0</v>
      </c>
      <c r="G767" s="3699">
        <f t="shared" si="354"/>
        <v>0</v>
      </c>
      <c r="H767" s="3707">
        <f t="shared" si="354"/>
        <v>0</v>
      </c>
      <c r="I767" s="3706">
        <f t="shared" si="354"/>
        <v>0</v>
      </c>
      <c r="J767" s="3699">
        <f t="shared" si="354"/>
        <v>0</v>
      </c>
      <c r="K767" s="3699">
        <f t="shared" si="354"/>
        <v>0</v>
      </c>
      <c r="L767" s="3699">
        <f t="shared" si="354"/>
        <v>119.35000000000001</v>
      </c>
      <c r="M767" s="3707">
        <f>$M$250*M766</f>
        <v>0</v>
      </c>
      <c r="N767" s="3834"/>
      <c r="O767" s="3835"/>
      <c r="P767" s="3835"/>
      <c r="Q767" s="3835"/>
      <c r="R767" s="3836"/>
      <c r="S767" s="1172"/>
      <c r="T767" s="474"/>
      <c r="U767" s="1172"/>
      <c r="V767" s="3533"/>
      <c r="W767" s="3534"/>
      <c r="X767" s="3534"/>
      <c r="Y767" s="3534"/>
      <c r="Z767" s="3536"/>
      <c r="AA767" s="3533"/>
      <c r="AB767" s="3534"/>
      <c r="AC767" s="3536"/>
    </row>
    <row r="768" spans="2:29">
      <c r="B768" s="4211"/>
      <c r="C768" s="3530" t="s">
        <v>581</v>
      </c>
      <c r="D768" s="3706"/>
      <c r="E768" s="3699"/>
      <c r="F768" s="3699"/>
      <c r="G768" s="3699"/>
      <c r="H768" s="3707"/>
      <c r="I768" s="3706"/>
      <c r="J768" s="3699"/>
      <c r="K768" s="3699"/>
      <c r="L768" s="3699"/>
      <c r="M768" s="3707"/>
      <c r="N768" s="3834"/>
      <c r="O768" s="3835"/>
      <c r="P768" s="3835"/>
      <c r="Q768" s="3835"/>
      <c r="R768" s="3836"/>
      <c r="S768" s="1172"/>
      <c r="T768" s="474"/>
      <c r="U768" s="1172"/>
      <c r="V768" s="3533"/>
      <c r="W768" s="3534"/>
      <c r="X768" s="3534"/>
      <c r="Y768" s="3534"/>
      <c r="Z768" s="3536"/>
      <c r="AA768" s="3533"/>
      <c r="AB768" s="3534"/>
      <c r="AC768" s="3536"/>
    </row>
    <row r="769" spans="2:29">
      <c r="B769" s="4211"/>
      <c r="C769" s="3529" t="s">
        <v>584</v>
      </c>
      <c r="D769" s="3708">
        <f t="shared" ref="D769:M769" si="355">D766+D767+D768</f>
        <v>0</v>
      </c>
      <c r="E769" s="3701">
        <f t="shared" si="355"/>
        <v>0</v>
      </c>
      <c r="F769" s="3701">
        <f t="shared" si="355"/>
        <v>0</v>
      </c>
      <c r="G769" s="3701">
        <f t="shared" si="355"/>
        <v>0</v>
      </c>
      <c r="H769" s="3709">
        <f t="shared" si="355"/>
        <v>0</v>
      </c>
      <c r="I769" s="3708">
        <f t="shared" si="355"/>
        <v>0</v>
      </c>
      <c r="J769" s="3701">
        <f t="shared" si="355"/>
        <v>0</v>
      </c>
      <c r="K769" s="3701">
        <f t="shared" si="355"/>
        <v>0</v>
      </c>
      <c r="L769" s="3701">
        <f t="shared" si="355"/>
        <v>1824.35</v>
      </c>
      <c r="M769" s="3709">
        <f t="shared" si="355"/>
        <v>1236</v>
      </c>
      <c r="N769" s="3856"/>
      <c r="O769" s="3857"/>
      <c r="P769" s="3857"/>
      <c r="Q769" s="3857"/>
      <c r="R769" s="3858"/>
      <c r="S769" s="1172"/>
      <c r="T769" s="474"/>
      <c r="U769" s="1172"/>
      <c r="V769" s="3533"/>
      <c r="W769" s="3534"/>
      <c r="X769" s="3534"/>
      <c r="Y769" s="3534"/>
      <c r="Z769" s="3536"/>
      <c r="AA769" s="3533"/>
      <c r="AB769" s="3534"/>
      <c r="AC769" s="3536"/>
    </row>
    <row r="770" spans="2:29">
      <c r="B770" s="4211"/>
      <c r="C770" s="3530" t="s">
        <v>605</v>
      </c>
      <c r="D770" s="3706"/>
      <c r="E770" s="3699"/>
      <c r="F770" s="3699"/>
      <c r="G770" s="3699"/>
      <c r="H770" s="3707"/>
      <c r="I770" s="3706"/>
      <c r="J770" s="3699"/>
      <c r="K770" s="3699"/>
      <c r="L770" s="3699"/>
      <c r="M770" s="3707"/>
      <c r="N770" s="3834"/>
      <c r="O770" s="3835"/>
      <c r="P770" s="3835"/>
      <c r="Q770" s="3835"/>
      <c r="R770" s="3836"/>
      <c r="S770" s="1172"/>
      <c r="T770" s="474"/>
      <c r="U770" s="1172"/>
      <c r="V770" s="3533"/>
      <c r="W770" s="3534"/>
      <c r="X770" s="3534"/>
      <c r="Y770" s="3534"/>
      <c r="Z770" s="3536"/>
      <c r="AA770" s="3533"/>
      <c r="AB770" s="3534"/>
      <c r="AC770" s="3536"/>
    </row>
    <row r="771" spans="2:29">
      <c r="B771" s="4211"/>
      <c r="C771" s="3529" t="s">
        <v>585</v>
      </c>
      <c r="D771" s="3708">
        <f t="shared" ref="D771:M782" si="356">D769-D770</f>
        <v>0</v>
      </c>
      <c r="E771" s="3701">
        <f t="shared" si="356"/>
        <v>0</v>
      </c>
      <c r="F771" s="3701">
        <f t="shared" si="356"/>
        <v>0</v>
      </c>
      <c r="G771" s="3701">
        <f t="shared" si="356"/>
        <v>0</v>
      </c>
      <c r="H771" s="3709">
        <f t="shared" si="356"/>
        <v>0</v>
      </c>
      <c r="I771" s="3708">
        <f t="shared" si="356"/>
        <v>0</v>
      </c>
      <c r="J771" s="3701">
        <f t="shared" si="356"/>
        <v>0</v>
      </c>
      <c r="K771" s="3701">
        <f t="shared" si="356"/>
        <v>0</v>
      </c>
      <c r="L771" s="3701">
        <f t="shared" si="356"/>
        <v>1824.35</v>
      </c>
      <c r="M771" s="3709">
        <f t="shared" si="356"/>
        <v>1236</v>
      </c>
      <c r="N771" s="3856"/>
      <c r="O771" s="3857"/>
      <c r="P771" s="3857"/>
      <c r="Q771" s="3857"/>
      <c r="R771" s="3858"/>
      <c r="S771" s="1172"/>
      <c r="T771" s="474"/>
      <c r="U771" s="1172"/>
      <c r="V771" s="3533"/>
      <c r="W771" s="3534"/>
      <c r="X771" s="3534"/>
      <c r="Y771" s="3534"/>
      <c r="Z771" s="3536"/>
      <c r="AA771" s="3533"/>
      <c r="AB771" s="3534"/>
      <c r="AC771" s="3536"/>
    </row>
    <row r="772" spans="2:29" ht="13.5" thickBot="1">
      <c r="B772" s="4212"/>
      <c r="C772" s="3532" t="s">
        <v>93</v>
      </c>
      <c r="D772" s="470"/>
      <c r="E772" s="468"/>
      <c r="F772" s="468"/>
      <c r="G772" s="468"/>
      <c r="H772" s="530"/>
      <c r="I772" s="470"/>
      <c r="J772" s="468"/>
      <c r="K772" s="468"/>
      <c r="L772" s="468">
        <f t="shared" ref="L772:M772" si="357">L771/L762</f>
        <v>1824.35</v>
      </c>
      <c r="M772" s="530">
        <f t="shared" si="357"/>
        <v>1236</v>
      </c>
      <c r="N772" s="3834"/>
      <c r="O772" s="3835"/>
      <c r="P772" s="3835"/>
      <c r="Q772" s="3835"/>
      <c r="R772" s="3836"/>
      <c r="S772" s="1172"/>
      <c r="T772" s="474"/>
      <c r="U772" s="1172"/>
      <c r="V772" s="3533"/>
      <c r="W772" s="3534"/>
      <c r="X772" s="3534"/>
      <c r="Y772" s="3534"/>
      <c r="Z772" s="3536"/>
      <c r="AA772" s="3533"/>
      <c r="AB772" s="3534"/>
      <c r="AC772" s="3536"/>
    </row>
    <row r="773" spans="2:29">
      <c r="B773" s="4210" t="s">
        <v>1846</v>
      </c>
      <c r="C773" s="3537" t="s">
        <v>90</v>
      </c>
      <c r="D773" s="3737">
        <f>D135</f>
        <v>0</v>
      </c>
      <c r="E773" s="3736">
        <f t="shared" ref="E773:M773" si="358">E135</f>
        <v>0</v>
      </c>
      <c r="F773" s="3736">
        <f t="shared" si="358"/>
        <v>0</v>
      </c>
      <c r="G773" s="3736">
        <f t="shared" si="358"/>
        <v>1</v>
      </c>
      <c r="H773" s="3735">
        <f t="shared" si="358"/>
        <v>0</v>
      </c>
      <c r="I773" s="3737">
        <f t="shared" si="358"/>
        <v>0</v>
      </c>
      <c r="J773" s="3736">
        <f t="shared" si="358"/>
        <v>0</v>
      </c>
      <c r="K773" s="3736">
        <f t="shared" si="358"/>
        <v>0</v>
      </c>
      <c r="L773" s="3736">
        <f t="shared" si="358"/>
        <v>1</v>
      </c>
      <c r="M773" s="3735">
        <f t="shared" si="358"/>
        <v>0</v>
      </c>
      <c r="N773" s="3843"/>
      <c r="O773" s="3844"/>
      <c r="P773" s="3844"/>
      <c r="Q773" s="3844"/>
      <c r="R773" s="3845"/>
      <c r="S773" s="1172"/>
      <c r="T773" s="474"/>
      <c r="U773" s="1172"/>
      <c r="V773" s="3533"/>
      <c r="W773" s="3534"/>
      <c r="X773" s="3534"/>
      <c r="Y773" s="3534"/>
      <c r="Z773" s="3536"/>
      <c r="AA773" s="3533"/>
      <c r="AB773" s="3534"/>
      <c r="AC773" s="3536"/>
    </row>
    <row r="774" spans="2:29">
      <c r="B774" s="4211"/>
      <c r="C774" s="3530" t="s">
        <v>559</v>
      </c>
      <c r="D774" s="3706"/>
      <c r="E774" s="3699"/>
      <c r="F774" s="3699"/>
      <c r="G774" s="3699"/>
      <c r="H774" s="3707"/>
      <c r="I774" s="3706"/>
      <c r="J774" s="3699"/>
      <c r="K774" s="3699"/>
      <c r="L774" s="3699"/>
      <c r="M774" s="3707"/>
      <c r="N774" s="3834"/>
      <c r="O774" s="3835"/>
      <c r="P774" s="3835"/>
      <c r="Q774" s="3835"/>
      <c r="R774" s="3836"/>
      <c r="S774" s="1172"/>
      <c r="T774" s="474"/>
      <c r="U774" s="1172"/>
      <c r="V774" s="3533"/>
      <c r="W774" s="3534"/>
      <c r="X774" s="3534"/>
      <c r="Y774" s="3534"/>
      <c r="Z774" s="3536"/>
      <c r="AA774" s="3533"/>
      <c r="AB774" s="3534"/>
      <c r="AC774" s="3536"/>
    </row>
    <row r="775" spans="2:29">
      <c r="B775" s="4211"/>
      <c r="C775" s="3530" t="s">
        <v>558</v>
      </c>
      <c r="D775" s="3706"/>
      <c r="E775" s="3699"/>
      <c r="F775" s="3699"/>
      <c r="G775" s="3699"/>
      <c r="H775" s="3707"/>
      <c r="I775" s="3706"/>
      <c r="J775" s="3699"/>
      <c r="K775" s="3699"/>
      <c r="L775" s="3699"/>
      <c r="M775" s="3707"/>
      <c r="N775" s="3834"/>
      <c r="O775" s="3835"/>
      <c r="P775" s="3835"/>
      <c r="Q775" s="3835"/>
      <c r="R775" s="3836"/>
      <c r="S775" s="1172"/>
      <c r="T775" s="474"/>
      <c r="U775" s="1172"/>
      <c r="V775" s="3533"/>
      <c r="W775" s="3534"/>
      <c r="X775" s="3534"/>
      <c r="Y775" s="3534"/>
      <c r="Z775" s="3536"/>
      <c r="AA775" s="3533"/>
      <c r="AB775" s="3534"/>
      <c r="AC775" s="3536"/>
    </row>
    <row r="776" spans="2:29">
      <c r="B776" s="4211"/>
      <c r="C776" s="3530" t="s">
        <v>578</v>
      </c>
      <c r="D776" s="3706"/>
      <c r="E776" s="3699"/>
      <c r="F776" s="3699"/>
      <c r="G776" s="3699"/>
      <c r="H776" s="3707"/>
      <c r="I776" s="3706"/>
      <c r="J776" s="3699"/>
      <c r="K776" s="3699"/>
      <c r="L776" s="3699"/>
      <c r="M776" s="3707"/>
      <c r="N776" s="3834"/>
      <c r="O776" s="3835"/>
      <c r="P776" s="3835"/>
      <c r="Q776" s="3835"/>
      <c r="R776" s="3836"/>
      <c r="S776" s="1172"/>
      <c r="T776" s="474"/>
      <c r="U776" s="1172"/>
      <c r="V776" s="3533"/>
      <c r="W776" s="3534"/>
      <c r="X776" s="3534"/>
      <c r="Y776" s="3534"/>
      <c r="Z776" s="3536"/>
      <c r="AA776" s="3533"/>
      <c r="AB776" s="3534"/>
      <c r="AC776" s="3536"/>
    </row>
    <row r="777" spans="2:29">
      <c r="B777" s="4211"/>
      <c r="C777" s="3529" t="s">
        <v>579</v>
      </c>
      <c r="D777" s="3711">
        <v>0</v>
      </c>
      <c r="E777" s="468">
        <v>0</v>
      </c>
      <c r="F777" s="468">
        <v>0</v>
      </c>
      <c r="G777" s="468">
        <v>425</v>
      </c>
      <c r="H777" s="530">
        <v>0</v>
      </c>
      <c r="I777" s="3711">
        <v>0</v>
      </c>
      <c r="J777" s="468"/>
      <c r="K777" s="468">
        <v>0</v>
      </c>
      <c r="L777" s="468">
        <v>1705</v>
      </c>
      <c r="M777" s="530">
        <v>0</v>
      </c>
      <c r="N777" s="3855"/>
      <c r="O777" s="3835"/>
      <c r="P777" s="3835"/>
      <c r="Q777" s="3835"/>
      <c r="R777" s="3836"/>
      <c r="S777" s="1172"/>
      <c r="T777" s="474"/>
      <c r="U777" s="1172"/>
      <c r="V777" s="3533"/>
      <c r="W777" s="3534"/>
      <c r="X777" s="3534"/>
      <c r="Y777" s="3534"/>
      <c r="Z777" s="3536"/>
      <c r="AA777" s="3533"/>
      <c r="AB777" s="3534"/>
      <c r="AC777" s="3536"/>
    </row>
    <row r="778" spans="2:29">
      <c r="B778" s="4211"/>
      <c r="C778" s="3530" t="s">
        <v>583</v>
      </c>
      <c r="D778" s="3706">
        <f>0.07*D777</f>
        <v>0</v>
      </c>
      <c r="E778" s="3699">
        <f t="shared" ref="E778:L778" si="359">0.07*E777</f>
        <v>0</v>
      </c>
      <c r="F778" s="3699">
        <f t="shared" si="359"/>
        <v>0</v>
      </c>
      <c r="G778" s="3699">
        <f t="shared" si="359"/>
        <v>29.750000000000004</v>
      </c>
      <c r="H778" s="3707">
        <f t="shared" si="359"/>
        <v>0</v>
      </c>
      <c r="I778" s="3706">
        <f t="shared" si="359"/>
        <v>0</v>
      </c>
      <c r="J778" s="3699">
        <f t="shared" si="359"/>
        <v>0</v>
      </c>
      <c r="K778" s="3699">
        <f t="shared" si="359"/>
        <v>0</v>
      </c>
      <c r="L778" s="3699">
        <f t="shared" si="359"/>
        <v>119.35000000000001</v>
      </c>
      <c r="M778" s="3707"/>
      <c r="N778" s="3834"/>
      <c r="O778" s="3835"/>
      <c r="P778" s="3835"/>
      <c r="Q778" s="3835"/>
      <c r="R778" s="3836"/>
      <c r="S778" s="1172"/>
      <c r="T778" s="474"/>
      <c r="U778" s="1172"/>
      <c r="V778" s="3533"/>
      <c r="W778" s="3534"/>
      <c r="X778" s="3534"/>
      <c r="Y778" s="3534"/>
      <c r="Z778" s="3536"/>
      <c r="AA778" s="3533"/>
      <c r="AB778" s="3534"/>
      <c r="AC778" s="3536"/>
    </row>
    <row r="779" spans="2:29">
      <c r="B779" s="4211"/>
      <c r="C779" s="3530" t="s">
        <v>581</v>
      </c>
      <c r="D779" s="3706"/>
      <c r="E779" s="3699"/>
      <c r="F779" s="3699"/>
      <c r="G779" s="3699"/>
      <c r="H779" s="3707"/>
      <c r="I779" s="3706"/>
      <c r="J779" s="3699"/>
      <c r="K779" s="3699"/>
      <c r="L779" s="3699"/>
      <c r="M779" s="3707"/>
      <c r="N779" s="3834"/>
      <c r="O779" s="3835"/>
      <c r="P779" s="3835"/>
      <c r="Q779" s="3835"/>
      <c r="R779" s="3836"/>
      <c r="S779" s="1172"/>
      <c r="T779" s="474"/>
      <c r="U779" s="1172"/>
      <c r="V779" s="3533"/>
      <c r="W779" s="3534"/>
      <c r="X779" s="3534"/>
      <c r="Y779" s="3534"/>
      <c r="Z779" s="3536"/>
      <c r="AA779" s="3533"/>
      <c r="AB779" s="3534"/>
      <c r="AC779" s="3536"/>
    </row>
    <row r="780" spans="2:29">
      <c r="B780" s="4211"/>
      <c r="C780" s="3529" t="s">
        <v>584</v>
      </c>
      <c r="D780" s="3708">
        <f t="shared" ref="D780:M780" si="360">D777+D778+D779</f>
        <v>0</v>
      </c>
      <c r="E780" s="3701">
        <f t="shared" si="360"/>
        <v>0</v>
      </c>
      <c r="F780" s="3701">
        <f t="shared" si="360"/>
        <v>0</v>
      </c>
      <c r="G780" s="3701">
        <f t="shared" si="360"/>
        <v>454.75</v>
      </c>
      <c r="H780" s="3709">
        <f t="shared" si="360"/>
        <v>0</v>
      </c>
      <c r="I780" s="3708">
        <f t="shared" si="360"/>
        <v>0</v>
      </c>
      <c r="J780" s="3701">
        <f t="shared" si="360"/>
        <v>0</v>
      </c>
      <c r="K780" s="3701">
        <f t="shared" si="360"/>
        <v>0</v>
      </c>
      <c r="L780" s="3701">
        <f t="shared" si="360"/>
        <v>1824.35</v>
      </c>
      <c r="M780" s="3709">
        <f t="shared" si="360"/>
        <v>0</v>
      </c>
      <c r="N780" s="3856"/>
      <c r="O780" s="3857"/>
      <c r="P780" s="3857"/>
      <c r="Q780" s="3857"/>
      <c r="R780" s="3858"/>
      <c r="S780" s="1172"/>
      <c r="T780" s="474"/>
      <c r="U780" s="1172"/>
      <c r="V780" s="3533"/>
      <c r="W780" s="3534"/>
      <c r="X780" s="3534"/>
      <c r="Y780" s="3534"/>
      <c r="Z780" s="3536"/>
      <c r="AA780" s="3533"/>
      <c r="AB780" s="3534"/>
      <c r="AC780" s="3536"/>
    </row>
    <row r="781" spans="2:29">
      <c r="B781" s="4211"/>
      <c r="C781" s="3530" t="s">
        <v>605</v>
      </c>
      <c r="D781" s="3706"/>
      <c r="E781" s="3699"/>
      <c r="F781" s="3699"/>
      <c r="G781" s="3699"/>
      <c r="H781" s="3707"/>
      <c r="I781" s="3706"/>
      <c r="J781" s="3699"/>
      <c r="K781" s="3699"/>
      <c r="L781" s="3699"/>
      <c r="M781" s="3707"/>
      <c r="N781" s="3834"/>
      <c r="O781" s="3835"/>
      <c r="P781" s="3835"/>
      <c r="Q781" s="3835"/>
      <c r="R781" s="3836"/>
      <c r="S781" s="1172"/>
      <c r="T781" s="1172"/>
      <c r="U781" s="1172"/>
      <c r="V781" s="3533"/>
      <c r="W781" s="3534"/>
      <c r="X781" s="3534"/>
      <c r="Y781" s="3534"/>
      <c r="Z781" s="3536"/>
      <c r="AA781" s="3533"/>
      <c r="AB781" s="3534"/>
      <c r="AC781" s="3536"/>
    </row>
    <row r="782" spans="2:29">
      <c r="B782" s="4211"/>
      <c r="C782" s="3529" t="s">
        <v>585</v>
      </c>
      <c r="D782" s="3708">
        <f t="shared" ref="D782:I782" si="361">D780-D781</f>
        <v>0</v>
      </c>
      <c r="E782" s="3701">
        <f t="shared" si="361"/>
        <v>0</v>
      </c>
      <c r="F782" s="3701">
        <f t="shared" si="361"/>
        <v>0</v>
      </c>
      <c r="G782" s="3701">
        <f t="shared" si="361"/>
        <v>454.75</v>
      </c>
      <c r="H782" s="3709">
        <f t="shared" si="361"/>
        <v>0</v>
      </c>
      <c r="I782" s="3708">
        <f t="shared" si="361"/>
        <v>0</v>
      </c>
      <c r="J782" s="3701">
        <f t="shared" si="356"/>
        <v>0</v>
      </c>
      <c r="K782" s="3701">
        <f t="shared" si="356"/>
        <v>0</v>
      </c>
      <c r="L782" s="3701">
        <f t="shared" si="356"/>
        <v>1824.35</v>
      </c>
      <c r="M782" s="3709">
        <f t="shared" si="356"/>
        <v>0</v>
      </c>
      <c r="N782" s="3856"/>
      <c r="O782" s="3857"/>
      <c r="P782" s="3857"/>
      <c r="Q782" s="3857"/>
      <c r="R782" s="3858"/>
      <c r="S782" s="1172"/>
      <c r="T782" s="1172"/>
      <c r="U782" s="1172"/>
      <c r="V782" s="3533"/>
      <c r="W782" s="3534"/>
      <c r="X782" s="3534"/>
      <c r="Y782" s="3534"/>
      <c r="Z782" s="3536"/>
      <c r="AA782" s="3533"/>
      <c r="AB782" s="3534"/>
      <c r="AC782" s="3536"/>
    </row>
    <row r="783" spans="2:29" ht="13.5" thickBot="1">
      <c r="B783" s="4212"/>
      <c r="C783" s="3532" t="s">
        <v>93</v>
      </c>
      <c r="D783" s="470"/>
      <c r="E783" s="468"/>
      <c r="F783" s="468"/>
      <c r="G783" s="468">
        <f t="shared" ref="G783:L783" si="362">G782/G773</f>
        <v>454.75</v>
      </c>
      <c r="H783" s="530"/>
      <c r="I783" s="470"/>
      <c r="J783" s="468"/>
      <c r="K783" s="468"/>
      <c r="L783" s="468">
        <f t="shared" si="362"/>
        <v>1824.35</v>
      </c>
      <c r="M783" s="530"/>
      <c r="N783" s="3834"/>
      <c r="O783" s="3835"/>
      <c r="P783" s="3835"/>
      <c r="Q783" s="3835"/>
      <c r="R783" s="3836"/>
      <c r="S783" s="1172"/>
      <c r="T783" s="1172"/>
      <c r="U783" s="1172"/>
      <c r="V783" s="3533"/>
      <c r="W783" s="3534"/>
      <c r="X783" s="3534"/>
      <c r="Y783" s="3534"/>
      <c r="Z783" s="3536"/>
      <c r="AA783" s="3533"/>
      <c r="AB783" s="3534"/>
      <c r="AC783" s="3536"/>
    </row>
    <row r="784" spans="2:29">
      <c r="B784" s="4210" t="s">
        <v>1847</v>
      </c>
      <c r="C784" s="3537" t="s">
        <v>90</v>
      </c>
      <c r="D784" s="3737">
        <f>D138</f>
        <v>0</v>
      </c>
      <c r="E784" s="3736">
        <f t="shared" ref="E784:M784" si="363">E138</f>
        <v>0</v>
      </c>
      <c r="F784" s="3736">
        <f t="shared" si="363"/>
        <v>0</v>
      </c>
      <c r="G784" s="3736">
        <f t="shared" si="363"/>
        <v>0</v>
      </c>
      <c r="H784" s="3735">
        <f t="shared" si="363"/>
        <v>0</v>
      </c>
      <c r="I784" s="3737">
        <f t="shared" si="363"/>
        <v>0</v>
      </c>
      <c r="J784" s="3736">
        <f t="shared" si="363"/>
        <v>0</v>
      </c>
      <c r="K784" s="3736">
        <f t="shared" si="363"/>
        <v>1</v>
      </c>
      <c r="L784" s="3736">
        <f t="shared" si="363"/>
        <v>1</v>
      </c>
      <c r="M784" s="3735">
        <f t="shared" si="363"/>
        <v>0</v>
      </c>
      <c r="N784" s="3843"/>
      <c r="O784" s="3844"/>
      <c r="P784" s="3844"/>
      <c r="Q784" s="3844"/>
      <c r="R784" s="3845"/>
      <c r="S784" s="1172"/>
      <c r="T784" s="1172"/>
      <c r="U784" s="1172"/>
      <c r="V784" s="3533"/>
      <c r="W784" s="3534"/>
      <c r="X784" s="3534"/>
      <c r="Y784" s="3534"/>
      <c r="Z784" s="3536"/>
      <c r="AA784" s="3533"/>
      <c r="AB784" s="3534"/>
      <c r="AC784" s="3536"/>
    </row>
    <row r="785" spans="2:29">
      <c r="B785" s="4211"/>
      <c r="C785" s="3530" t="s">
        <v>559</v>
      </c>
      <c r="D785" s="3706"/>
      <c r="E785" s="3699"/>
      <c r="F785" s="3699"/>
      <c r="G785" s="3699"/>
      <c r="H785" s="3707"/>
      <c r="I785" s="3706"/>
      <c r="J785" s="3699"/>
      <c r="K785" s="3699"/>
      <c r="L785" s="3699"/>
      <c r="M785" s="3707"/>
      <c r="N785" s="3834"/>
      <c r="O785" s="3835"/>
      <c r="P785" s="3835"/>
      <c r="Q785" s="3835"/>
      <c r="R785" s="3836"/>
      <c r="S785" s="1172"/>
      <c r="T785" s="1172"/>
      <c r="U785" s="1172"/>
      <c r="V785" s="3533"/>
      <c r="W785" s="3534"/>
      <c r="X785" s="3534"/>
      <c r="Y785" s="3534"/>
      <c r="Z785" s="3536"/>
      <c r="AA785" s="3533"/>
      <c r="AB785" s="3534"/>
      <c r="AC785" s="3536"/>
    </row>
    <row r="786" spans="2:29">
      <c r="B786" s="4211"/>
      <c r="C786" s="3530" t="s">
        <v>558</v>
      </c>
      <c r="D786" s="3706"/>
      <c r="E786" s="3699"/>
      <c r="F786" s="3699"/>
      <c r="G786" s="3699"/>
      <c r="H786" s="3707"/>
      <c r="I786" s="3706"/>
      <c r="J786" s="3699"/>
      <c r="K786" s="3699"/>
      <c r="L786" s="3699"/>
      <c r="M786" s="3707"/>
      <c r="N786" s="3834"/>
      <c r="O786" s="3835"/>
      <c r="P786" s="3835"/>
      <c r="Q786" s="3835"/>
      <c r="R786" s="3836"/>
      <c r="S786" s="1172"/>
      <c r="T786" s="1172"/>
      <c r="U786" s="1172"/>
      <c r="V786" s="3533"/>
      <c r="W786" s="3534"/>
      <c r="X786" s="3534"/>
      <c r="Y786" s="3534"/>
      <c r="Z786" s="3536"/>
      <c r="AA786" s="3533"/>
      <c r="AB786" s="3534"/>
      <c r="AC786" s="3536"/>
    </row>
    <row r="787" spans="2:29">
      <c r="B787" s="4211"/>
      <c r="C787" s="3530" t="s">
        <v>578</v>
      </c>
      <c r="D787" s="3706"/>
      <c r="E787" s="3699"/>
      <c r="F787" s="3699"/>
      <c r="G787" s="3699"/>
      <c r="H787" s="3707"/>
      <c r="I787" s="3706"/>
      <c r="J787" s="3699"/>
      <c r="K787" s="3699"/>
      <c r="L787" s="3699"/>
      <c r="M787" s="3707"/>
      <c r="N787" s="3834"/>
      <c r="O787" s="3835"/>
      <c r="P787" s="3835"/>
      <c r="Q787" s="3835"/>
      <c r="R787" s="3836"/>
      <c r="S787" s="1172"/>
      <c r="T787" s="1172"/>
      <c r="U787" s="1172"/>
      <c r="V787" s="3533"/>
      <c r="W787" s="3534"/>
      <c r="X787" s="3534"/>
      <c r="Y787" s="3534"/>
      <c r="Z787" s="3536"/>
      <c r="AA787" s="3533"/>
      <c r="AB787" s="3534"/>
      <c r="AC787" s="3536"/>
    </row>
    <row r="788" spans="2:29">
      <c r="B788" s="4211"/>
      <c r="C788" s="3529" t="s">
        <v>579</v>
      </c>
      <c r="D788" s="3711">
        <v>0</v>
      </c>
      <c r="E788" s="468">
        <v>0</v>
      </c>
      <c r="F788" s="468">
        <v>0</v>
      </c>
      <c r="G788" s="468">
        <v>0</v>
      </c>
      <c r="H788" s="530">
        <v>0</v>
      </c>
      <c r="I788" s="3711">
        <v>0</v>
      </c>
      <c r="J788" s="468"/>
      <c r="K788" s="468">
        <v>753</v>
      </c>
      <c r="L788" s="468">
        <v>1705</v>
      </c>
      <c r="M788" s="530">
        <v>0</v>
      </c>
      <c r="N788" s="3855"/>
      <c r="O788" s="3835"/>
      <c r="P788" s="3835"/>
      <c r="Q788" s="3835"/>
      <c r="R788" s="3836"/>
      <c r="S788" s="1172"/>
      <c r="T788" s="1172"/>
      <c r="U788" s="1172"/>
      <c r="V788" s="3533"/>
      <c r="W788" s="3534"/>
      <c r="X788" s="3534"/>
      <c r="Y788" s="3534"/>
      <c r="Z788" s="3536"/>
      <c r="AA788" s="3533"/>
      <c r="AB788" s="3534"/>
      <c r="AC788" s="3536"/>
    </row>
    <row r="789" spans="2:29">
      <c r="B789" s="4211"/>
      <c r="C789" s="3530" t="s">
        <v>583</v>
      </c>
      <c r="D789" s="3706">
        <f>0.07*D788</f>
        <v>0</v>
      </c>
      <c r="E789" s="3699">
        <f t="shared" ref="E789:L789" si="364">0.07*E788</f>
        <v>0</v>
      </c>
      <c r="F789" s="3699">
        <f t="shared" si="364"/>
        <v>0</v>
      </c>
      <c r="G789" s="3699">
        <f t="shared" si="364"/>
        <v>0</v>
      </c>
      <c r="H789" s="3707">
        <f t="shared" si="364"/>
        <v>0</v>
      </c>
      <c r="I789" s="3706">
        <f t="shared" si="364"/>
        <v>0</v>
      </c>
      <c r="J789" s="3699">
        <f t="shared" si="364"/>
        <v>0</v>
      </c>
      <c r="K789" s="3699">
        <f t="shared" si="364"/>
        <v>52.710000000000008</v>
      </c>
      <c r="L789" s="3699">
        <f t="shared" si="364"/>
        <v>119.35000000000001</v>
      </c>
      <c r="M789" s="3707"/>
      <c r="N789" s="3834"/>
      <c r="O789" s="3835"/>
      <c r="P789" s="3835"/>
      <c r="Q789" s="3835"/>
      <c r="R789" s="3836"/>
      <c r="S789" s="1172"/>
      <c r="T789" s="1172"/>
      <c r="U789" s="1172"/>
      <c r="V789" s="3533"/>
      <c r="W789" s="3534"/>
      <c r="X789" s="3534"/>
      <c r="Y789" s="3534"/>
      <c r="Z789" s="3536"/>
      <c r="AA789" s="3533"/>
      <c r="AB789" s="3534"/>
      <c r="AC789" s="3536"/>
    </row>
    <row r="790" spans="2:29">
      <c r="B790" s="4211"/>
      <c r="C790" s="3530" t="s">
        <v>581</v>
      </c>
      <c r="D790" s="3706"/>
      <c r="E790" s="3699"/>
      <c r="F790" s="3699"/>
      <c r="G790" s="3699"/>
      <c r="H790" s="3707"/>
      <c r="I790" s="3706"/>
      <c r="J790" s="3699"/>
      <c r="K790" s="3699"/>
      <c r="L790" s="3699"/>
      <c r="M790" s="3707"/>
      <c r="N790" s="3834"/>
      <c r="O790" s="3835"/>
      <c r="P790" s="3835"/>
      <c r="Q790" s="3835"/>
      <c r="R790" s="3836"/>
      <c r="S790" s="1172"/>
      <c r="T790" s="474"/>
      <c r="U790" s="1172"/>
      <c r="V790" s="3533"/>
      <c r="W790" s="3534"/>
      <c r="X790" s="3534"/>
      <c r="Y790" s="3534"/>
      <c r="Z790" s="3536"/>
      <c r="AA790" s="3533"/>
      <c r="AB790" s="3534"/>
      <c r="AC790" s="3536"/>
    </row>
    <row r="791" spans="2:29">
      <c r="B791" s="4211"/>
      <c r="C791" s="3529" t="s">
        <v>584</v>
      </c>
      <c r="D791" s="3708">
        <f t="shared" ref="D791:M791" si="365">D788+D789+D790</f>
        <v>0</v>
      </c>
      <c r="E791" s="3701">
        <f t="shared" si="365"/>
        <v>0</v>
      </c>
      <c r="F791" s="3701">
        <f t="shared" si="365"/>
        <v>0</v>
      </c>
      <c r="G791" s="3701">
        <f t="shared" si="365"/>
        <v>0</v>
      </c>
      <c r="H791" s="3709">
        <f t="shared" si="365"/>
        <v>0</v>
      </c>
      <c r="I791" s="3708">
        <f t="shared" si="365"/>
        <v>0</v>
      </c>
      <c r="J791" s="3701">
        <f t="shared" si="365"/>
        <v>0</v>
      </c>
      <c r="K791" s="3701">
        <f t="shared" si="365"/>
        <v>805.71</v>
      </c>
      <c r="L791" s="3701">
        <f t="shared" si="365"/>
        <v>1824.35</v>
      </c>
      <c r="M791" s="3709">
        <f t="shared" si="365"/>
        <v>0</v>
      </c>
      <c r="N791" s="3856"/>
      <c r="O791" s="3857"/>
      <c r="P791" s="3857"/>
      <c r="Q791" s="3857"/>
      <c r="R791" s="3858"/>
      <c r="S791" s="1172"/>
      <c r="T791" s="474"/>
      <c r="U791" s="1172"/>
      <c r="V791" s="3533"/>
      <c r="W791" s="3534"/>
      <c r="X791" s="3534"/>
      <c r="Y791" s="3534"/>
      <c r="Z791" s="3536"/>
      <c r="AA791" s="3533"/>
      <c r="AB791" s="3534"/>
      <c r="AC791" s="3536"/>
    </row>
    <row r="792" spans="2:29">
      <c r="B792" s="4211"/>
      <c r="C792" s="3530" t="s">
        <v>605</v>
      </c>
      <c r="D792" s="3706"/>
      <c r="E792" s="3699"/>
      <c r="F792" s="3699"/>
      <c r="G792" s="3699"/>
      <c r="H792" s="3707"/>
      <c r="I792" s="3706"/>
      <c r="J792" s="3699"/>
      <c r="K792" s="3699"/>
      <c r="L792" s="3699"/>
      <c r="M792" s="3707"/>
      <c r="N792" s="3834"/>
      <c r="O792" s="3835"/>
      <c r="P792" s="3835"/>
      <c r="Q792" s="3835"/>
      <c r="R792" s="3836"/>
      <c r="S792" s="1172"/>
      <c r="T792" s="474"/>
      <c r="U792" s="1172"/>
      <c r="V792" s="3533"/>
      <c r="W792" s="3534"/>
      <c r="X792" s="3534"/>
      <c r="Y792" s="3534"/>
      <c r="Z792" s="3536"/>
      <c r="AA792" s="3533"/>
      <c r="AB792" s="3534"/>
      <c r="AC792" s="3536"/>
    </row>
    <row r="793" spans="2:29">
      <c r="B793" s="4211"/>
      <c r="C793" s="3529" t="s">
        <v>585</v>
      </c>
      <c r="D793" s="3708">
        <f t="shared" ref="D793:M804" si="366">D791-D792</f>
        <v>0</v>
      </c>
      <c r="E793" s="3701">
        <f t="shared" si="366"/>
        <v>0</v>
      </c>
      <c r="F793" s="3701">
        <f t="shared" si="366"/>
        <v>0</v>
      </c>
      <c r="G793" s="3701">
        <f t="shared" si="366"/>
        <v>0</v>
      </c>
      <c r="H793" s="3709">
        <f t="shared" si="366"/>
        <v>0</v>
      </c>
      <c r="I793" s="3708">
        <f t="shared" si="366"/>
        <v>0</v>
      </c>
      <c r="J793" s="3701">
        <f t="shared" si="366"/>
        <v>0</v>
      </c>
      <c r="K793" s="3701">
        <f t="shared" si="366"/>
        <v>805.71</v>
      </c>
      <c r="L793" s="3701">
        <f t="shared" si="366"/>
        <v>1824.35</v>
      </c>
      <c r="M793" s="3709">
        <f t="shared" si="366"/>
        <v>0</v>
      </c>
      <c r="N793" s="3856"/>
      <c r="O793" s="3857"/>
      <c r="P793" s="3857"/>
      <c r="Q793" s="3857"/>
      <c r="R793" s="3858"/>
      <c r="S793" s="1172"/>
      <c r="T793" s="474"/>
      <c r="U793" s="1172"/>
      <c r="V793" s="3533"/>
      <c r="W793" s="3534"/>
      <c r="X793" s="3534"/>
      <c r="Y793" s="3534"/>
      <c r="Z793" s="3536"/>
      <c r="AA793" s="3533"/>
      <c r="AB793" s="3534"/>
      <c r="AC793" s="3536"/>
    </row>
    <row r="794" spans="2:29" ht="13.5" thickBot="1">
      <c r="B794" s="4212"/>
      <c r="C794" s="3532" t="s">
        <v>93</v>
      </c>
      <c r="D794" s="3712"/>
      <c r="E794" s="3734"/>
      <c r="F794" s="3734"/>
      <c r="G794" s="3734"/>
      <c r="H794" s="3733"/>
      <c r="I794" s="3712"/>
      <c r="J794" s="3734"/>
      <c r="K794" s="3734">
        <f t="shared" ref="K794:L794" si="367">K793/K784</f>
        <v>805.71</v>
      </c>
      <c r="L794" s="3734">
        <f t="shared" si="367"/>
        <v>1824.35</v>
      </c>
      <c r="M794" s="3733"/>
      <c r="N794" s="3840"/>
      <c r="O794" s="3846"/>
      <c r="P794" s="3846"/>
      <c r="Q794" s="3846"/>
      <c r="R794" s="3847"/>
      <c r="S794" s="1172"/>
      <c r="T794" s="474"/>
      <c r="U794" s="1172"/>
      <c r="V794" s="3533"/>
      <c r="W794" s="3534"/>
      <c r="X794" s="3534"/>
      <c r="Y794" s="3534"/>
      <c r="Z794" s="3536"/>
      <c r="AA794" s="3533"/>
      <c r="AB794" s="3534"/>
      <c r="AC794" s="3536"/>
    </row>
    <row r="795" spans="2:29">
      <c r="B795" s="4210" t="s">
        <v>1848</v>
      </c>
      <c r="C795" s="3537" t="s">
        <v>90</v>
      </c>
      <c r="D795" s="3706">
        <f>D141</f>
        <v>0</v>
      </c>
      <c r="E795" s="3699">
        <f t="shared" ref="E795:M795" si="368">E141</f>
        <v>0</v>
      </c>
      <c r="F795" s="3699">
        <f t="shared" si="368"/>
        <v>1</v>
      </c>
      <c r="G795" s="3699">
        <f t="shared" si="368"/>
        <v>0</v>
      </c>
      <c r="H795" s="3707">
        <f t="shared" si="368"/>
        <v>0</v>
      </c>
      <c r="I795" s="3706">
        <f t="shared" si="368"/>
        <v>0</v>
      </c>
      <c r="J795" s="3699">
        <f t="shared" si="368"/>
        <v>0</v>
      </c>
      <c r="K795" s="3699">
        <f t="shared" si="368"/>
        <v>0</v>
      </c>
      <c r="L795" s="3699">
        <f t="shared" si="368"/>
        <v>0</v>
      </c>
      <c r="M795" s="3707">
        <f t="shared" si="368"/>
        <v>0</v>
      </c>
      <c r="N795" s="3834"/>
      <c r="O795" s="3835"/>
      <c r="P795" s="3835"/>
      <c r="Q795" s="3835"/>
      <c r="R795" s="3836"/>
      <c r="S795" s="1172"/>
      <c r="T795" s="474"/>
      <c r="U795" s="1172"/>
      <c r="V795" s="3533"/>
      <c r="W795" s="3534"/>
      <c r="X795" s="3534"/>
      <c r="Y795" s="3534"/>
      <c r="Z795" s="3536"/>
      <c r="AA795" s="3533"/>
      <c r="AB795" s="3534"/>
      <c r="AC795" s="3536"/>
    </row>
    <row r="796" spans="2:29">
      <c r="B796" s="4211"/>
      <c r="C796" s="3530" t="s">
        <v>559</v>
      </c>
      <c r="D796" s="3706"/>
      <c r="E796" s="3699"/>
      <c r="F796" s="3699"/>
      <c r="G796" s="3699"/>
      <c r="H796" s="3707"/>
      <c r="I796" s="3706"/>
      <c r="J796" s="3699"/>
      <c r="K796" s="3699"/>
      <c r="L796" s="3699"/>
      <c r="M796" s="3707"/>
      <c r="N796" s="3834"/>
      <c r="O796" s="3835"/>
      <c r="P796" s="3835"/>
      <c r="Q796" s="3835"/>
      <c r="R796" s="3836"/>
      <c r="S796" s="1172"/>
      <c r="T796" s="474"/>
      <c r="U796" s="1172"/>
      <c r="V796" s="3533"/>
      <c r="W796" s="3534"/>
      <c r="X796" s="3534"/>
      <c r="Y796" s="3534"/>
      <c r="Z796" s="3536"/>
      <c r="AA796" s="3533"/>
      <c r="AB796" s="3534"/>
      <c r="AC796" s="3536"/>
    </row>
    <row r="797" spans="2:29">
      <c r="B797" s="4211"/>
      <c r="C797" s="3530" t="s">
        <v>558</v>
      </c>
      <c r="D797" s="3706"/>
      <c r="E797" s="3699"/>
      <c r="F797" s="3699"/>
      <c r="G797" s="3699"/>
      <c r="H797" s="3707"/>
      <c r="I797" s="3706"/>
      <c r="J797" s="3699"/>
      <c r="K797" s="3699"/>
      <c r="L797" s="3699"/>
      <c r="M797" s="3707"/>
      <c r="N797" s="3834"/>
      <c r="O797" s="3835"/>
      <c r="P797" s="3835"/>
      <c r="Q797" s="3835"/>
      <c r="R797" s="3836"/>
      <c r="S797" s="1172"/>
      <c r="T797" s="474"/>
      <c r="U797" s="1172"/>
      <c r="V797" s="3533"/>
      <c r="W797" s="3534"/>
      <c r="X797" s="3534"/>
      <c r="Y797" s="3534"/>
      <c r="Z797" s="3536"/>
      <c r="AA797" s="3533"/>
      <c r="AB797" s="3534"/>
      <c r="AC797" s="3536"/>
    </row>
    <row r="798" spans="2:29">
      <c r="B798" s="4211"/>
      <c r="C798" s="3530" t="s">
        <v>578</v>
      </c>
      <c r="D798" s="3706"/>
      <c r="E798" s="3699"/>
      <c r="F798" s="3699"/>
      <c r="G798" s="3699"/>
      <c r="H798" s="3707"/>
      <c r="I798" s="3706"/>
      <c r="J798" s="3699"/>
      <c r="K798" s="3699"/>
      <c r="L798" s="3699"/>
      <c r="M798" s="3707"/>
      <c r="N798" s="3834"/>
      <c r="O798" s="3835"/>
      <c r="P798" s="3835"/>
      <c r="Q798" s="3835"/>
      <c r="R798" s="3836"/>
      <c r="S798" s="1172"/>
      <c r="T798" s="474"/>
      <c r="U798" s="1172"/>
      <c r="V798" s="3533"/>
      <c r="W798" s="3534"/>
      <c r="X798" s="3534"/>
      <c r="Y798" s="3534"/>
      <c r="Z798" s="3536"/>
      <c r="AA798" s="3533"/>
      <c r="AB798" s="3534"/>
      <c r="AC798" s="3536"/>
    </row>
    <row r="799" spans="2:29">
      <c r="B799" s="4211"/>
      <c r="C799" s="3529" t="s">
        <v>579</v>
      </c>
      <c r="D799" s="3711">
        <v>0</v>
      </c>
      <c r="E799" s="468">
        <v>0</v>
      </c>
      <c r="F799" s="468">
        <v>418</v>
      </c>
      <c r="G799" s="468">
        <v>0</v>
      </c>
      <c r="H799" s="530">
        <v>0</v>
      </c>
      <c r="I799" s="3711">
        <v>0</v>
      </c>
      <c r="J799" s="468"/>
      <c r="K799" s="468">
        <v>0</v>
      </c>
      <c r="L799" s="468">
        <v>0</v>
      </c>
      <c r="M799" s="530">
        <v>0</v>
      </c>
      <c r="N799" s="3855"/>
      <c r="O799" s="3835"/>
      <c r="P799" s="3835"/>
      <c r="Q799" s="3835"/>
      <c r="R799" s="3836"/>
      <c r="S799" s="1172"/>
      <c r="T799" s="474"/>
      <c r="U799" s="1172"/>
      <c r="V799" s="3533"/>
      <c r="W799" s="3534"/>
      <c r="X799" s="3534"/>
      <c r="Y799" s="3534"/>
      <c r="Z799" s="3536"/>
      <c r="AA799" s="3533"/>
      <c r="AB799" s="3534"/>
      <c r="AC799" s="3536"/>
    </row>
    <row r="800" spans="2:29">
      <c r="B800" s="4211"/>
      <c r="C800" s="3530" t="s">
        <v>583</v>
      </c>
      <c r="D800" s="3706">
        <f>0.07*D799</f>
        <v>0</v>
      </c>
      <c r="E800" s="3699">
        <f t="shared" ref="E800:L800" si="369">0.07*E799</f>
        <v>0</v>
      </c>
      <c r="F800" s="3699">
        <f t="shared" si="369"/>
        <v>29.26</v>
      </c>
      <c r="G800" s="3699">
        <f t="shared" si="369"/>
        <v>0</v>
      </c>
      <c r="H800" s="3707">
        <f t="shared" si="369"/>
        <v>0</v>
      </c>
      <c r="I800" s="3706">
        <f t="shared" si="369"/>
        <v>0</v>
      </c>
      <c r="J800" s="3699">
        <f t="shared" si="369"/>
        <v>0</v>
      </c>
      <c r="K800" s="3699">
        <f t="shared" si="369"/>
        <v>0</v>
      </c>
      <c r="L800" s="3699">
        <f t="shared" si="369"/>
        <v>0</v>
      </c>
      <c r="M800" s="3707"/>
      <c r="N800" s="3834"/>
      <c r="O800" s="3835"/>
      <c r="P800" s="3835"/>
      <c r="Q800" s="3835"/>
      <c r="R800" s="3836"/>
      <c r="S800" s="1172"/>
      <c r="T800" s="474"/>
      <c r="U800" s="1172"/>
      <c r="V800" s="3533"/>
      <c r="W800" s="3534"/>
      <c r="X800" s="3534"/>
      <c r="Y800" s="3534"/>
      <c r="Z800" s="3536"/>
      <c r="AA800" s="3533"/>
      <c r="AB800" s="3534"/>
      <c r="AC800" s="3536"/>
    </row>
    <row r="801" spans="2:29">
      <c r="B801" s="4211"/>
      <c r="C801" s="3530" t="s">
        <v>581</v>
      </c>
      <c r="D801" s="3706"/>
      <c r="E801" s="3699"/>
      <c r="F801" s="3699"/>
      <c r="G801" s="3699"/>
      <c r="H801" s="3707"/>
      <c r="I801" s="3706"/>
      <c r="J801" s="3699"/>
      <c r="K801" s="3699"/>
      <c r="L801" s="3699"/>
      <c r="M801" s="3707"/>
      <c r="N801" s="3834"/>
      <c r="O801" s="3835"/>
      <c r="P801" s="3835"/>
      <c r="Q801" s="3835"/>
      <c r="R801" s="3836"/>
      <c r="S801" s="1172"/>
      <c r="T801" s="474"/>
      <c r="U801" s="1172"/>
      <c r="V801" s="3533"/>
      <c r="W801" s="3534"/>
      <c r="X801" s="3534"/>
      <c r="Y801" s="3534"/>
      <c r="Z801" s="3536"/>
      <c r="AA801" s="3533"/>
      <c r="AB801" s="3534"/>
      <c r="AC801" s="3536"/>
    </row>
    <row r="802" spans="2:29">
      <c r="B802" s="4211"/>
      <c r="C802" s="3529" t="s">
        <v>584</v>
      </c>
      <c r="D802" s="3708">
        <f t="shared" ref="D802:M802" si="370">D799+D800+D801</f>
        <v>0</v>
      </c>
      <c r="E802" s="3701">
        <f t="shared" si="370"/>
        <v>0</v>
      </c>
      <c r="F802" s="3701">
        <f t="shared" si="370"/>
        <v>447.26</v>
      </c>
      <c r="G802" s="3701">
        <f t="shared" si="370"/>
        <v>0</v>
      </c>
      <c r="H802" s="3709">
        <f t="shared" si="370"/>
        <v>0</v>
      </c>
      <c r="I802" s="3708">
        <f t="shared" si="370"/>
        <v>0</v>
      </c>
      <c r="J802" s="3701">
        <f t="shared" si="370"/>
        <v>0</v>
      </c>
      <c r="K802" s="3701">
        <f t="shared" si="370"/>
        <v>0</v>
      </c>
      <c r="L802" s="3701">
        <f t="shared" si="370"/>
        <v>0</v>
      </c>
      <c r="M802" s="3709">
        <f t="shared" si="370"/>
        <v>0</v>
      </c>
      <c r="N802" s="3856"/>
      <c r="O802" s="3857"/>
      <c r="P802" s="3857"/>
      <c r="Q802" s="3857"/>
      <c r="R802" s="3858"/>
      <c r="S802" s="1172"/>
      <c r="T802" s="474"/>
      <c r="U802" s="1172"/>
      <c r="V802" s="3533"/>
      <c r="W802" s="3534"/>
      <c r="X802" s="3534"/>
      <c r="Y802" s="3534"/>
      <c r="Z802" s="3536"/>
      <c r="AA802" s="3533"/>
      <c r="AB802" s="3534"/>
      <c r="AC802" s="3536"/>
    </row>
    <row r="803" spans="2:29">
      <c r="B803" s="4211"/>
      <c r="C803" s="3530" t="s">
        <v>605</v>
      </c>
      <c r="D803" s="3706"/>
      <c r="E803" s="3699"/>
      <c r="F803" s="3699"/>
      <c r="G803" s="3699"/>
      <c r="H803" s="3707"/>
      <c r="I803" s="3706"/>
      <c r="J803" s="3699"/>
      <c r="K803" s="3699"/>
      <c r="L803" s="3699"/>
      <c r="M803" s="3707"/>
      <c r="N803" s="3834"/>
      <c r="O803" s="3835"/>
      <c r="P803" s="3835"/>
      <c r="Q803" s="3835"/>
      <c r="R803" s="3836"/>
      <c r="S803" s="1172"/>
      <c r="T803" s="474"/>
      <c r="U803" s="1172"/>
      <c r="V803" s="3533"/>
      <c r="W803" s="3534"/>
      <c r="X803" s="3534"/>
      <c r="Y803" s="3534"/>
      <c r="Z803" s="3536"/>
      <c r="AA803" s="3533"/>
      <c r="AB803" s="3534"/>
      <c r="AC803" s="3536"/>
    </row>
    <row r="804" spans="2:29">
      <c r="B804" s="4211"/>
      <c r="C804" s="3529" t="s">
        <v>585</v>
      </c>
      <c r="D804" s="3708">
        <f t="shared" ref="D804:I804" si="371">D802-D803</f>
        <v>0</v>
      </c>
      <c r="E804" s="3701">
        <f t="shared" si="371"/>
        <v>0</v>
      </c>
      <c r="F804" s="3701">
        <f t="shared" si="371"/>
        <v>447.26</v>
      </c>
      <c r="G804" s="3701">
        <f t="shared" si="371"/>
        <v>0</v>
      </c>
      <c r="H804" s="3709">
        <f t="shared" si="371"/>
        <v>0</v>
      </c>
      <c r="I804" s="3708">
        <f t="shared" si="371"/>
        <v>0</v>
      </c>
      <c r="J804" s="3701">
        <f t="shared" si="366"/>
        <v>0</v>
      </c>
      <c r="K804" s="3701">
        <f t="shared" si="366"/>
        <v>0</v>
      </c>
      <c r="L804" s="3701">
        <f t="shared" si="366"/>
        <v>0</v>
      </c>
      <c r="M804" s="3709">
        <f t="shared" si="366"/>
        <v>0</v>
      </c>
      <c r="N804" s="3856"/>
      <c r="O804" s="3857"/>
      <c r="P804" s="3857"/>
      <c r="Q804" s="3857"/>
      <c r="R804" s="3858"/>
      <c r="S804" s="1172"/>
      <c r="T804" s="474"/>
      <c r="U804" s="1172"/>
      <c r="V804" s="3533"/>
      <c r="W804" s="3534"/>
      <c r="X804" s="3534"/>
      <c r="Y804" s="3534"/>
      <c r="Z804" s="3536"/>
      <c r="AA804" s="3533"/>
      <c r="AB804" s="3534"/>
      <c r="AC804" s="3536"/>
    </row>
    <row r="805" spans="2:29" ht="13.5" thickBot="1">
      <c r="B805" s="4212"/>
      <c r="C805" s="3532" t="s">
        <v>93</v>
      </c>
      <c r="D805" s="3712"/>
      <c r="E805" s="3734"/>
      <c r="F805" s="3734">
        <f t="shared" ref="F805" si="372">F804/F795</f>
        <v>447.26</v>
      </c>
      <c r="G805" s="3734"/>
      <c r="H805" s="3733"/>
      <c r="I805" s="3712"/>
      <c r="J805" s="3734"/>
      <c r="K805" s="3734"/>
      <c r="L805" s="3734"/>
      <c r="M805" s="3733"/>
      <c r="N805" s="3840"/>
      <c r="O805" s="3846"/>
      <c r="P805" s="3846"/>
      <c r="Q805" s="3846"/>
      <c r="R805" s="3847"/>
      <c r="S805" s="1172"/>
      <c r="T805" s="474"/>
      <c r="U805" s="1172"/>
      <c r="V805" s="3533"/>
      <c r="W805" s="3534"/>
      <c r="X805" s="3534"/>
      <c r="Y805" s="3534"/>
      <c r="Z805" s="3536"/>
      <c r="AA805" s="3533"/>
      <c r="AB805" s="3534"/>
      <c r="AC805" s="3536"/>
    </row>
    <row r="806" spans="2:29">
      <c r="B806" s="4210" t="s">
        <v>1849</v>
      </c>
      <c r="C806" s="3537" t="s">
        <v>90</v>
      </c>
      <c r="D806" s="3706">
        <f>D144</f>
        <v>0</v>
      </c>
      <c r="E806" s="3699">
        <f t="shared" ref="E806:M806" si="373">E144</f>
        <v>0</v>
      </c>
      <c r="F806" s="3699">
        <f t="shared" si="373"/>
        <v>0</v>
      </c>
      <c r="G806" s="3699">
        <f t="shared" si="373"/>
        <v>2</v>
      </c>
      <c r="H806" s="3707">
        <f t="shared" si="373"/>
        <v>0</v>
      </c>
      <c r="I806" s="3706">
        <f t="shared" si="373"/>
        <v>0</v>
      </c>
      <c r="J806" s="3699">
        <f t="shared" si="373"/>
        <v>0</v>
      </c>
      <c r="K806" s="3699">
        <f t="shared" si="373"/>
        <v>1</v>
      </c>
      <c r="L806" s="3699">
        <f t="shared" si="373"/>
        <v>0</v>
      </c>
      <c r="M806" s="3707">
        <f t="shared" si="373"/>
        <v>0</v>
      </c>
      <c r="N806" s="3834"/>
      <c r="O806" s="3835"/>
      <c r="P806" s="3835"/>
      <c r="Q806" s="3835"/>
      <c r="R806" s="3836"/>
      <c r="S806" s="1172"/>
      <c r="T806" s="474"/>
      <c r="U806" s="1172"/>
      <c r="V806" s="3533"/>
      <c r="W806" s="3534"/>
      <c r="X806" s="3534"/>
      <c r="Y806" s="3534"/>
      <c r="Z806" s="3536"/>
      <c r="AA806" s="3533"/>
      <c r="AB806" s="3534"/>
      <c r="AC806" s="3536"/>
    </row>
    <row r="807" spans="2:29">
      <c r="B807" s="4211"/>
      <c r="C807" s="3530" t="s">
        <v>559</v>
      </c>
      <c r="D807" s="3706"/>
      <c r="E807" s="3699"/>
      <c r="F807" s="3699"/>
      <c r="G807" s="3699"/>
      <c r="H807" s="3707"/>
      <c r="I807" s="3706"/>
      <c r="J807" s="3699"/>
      <c r="K807" s="3699"/>
      <c r="L807" s="3699"/>
      <c r="M807" s="3707"/>
      <c r="N807" s="3834"/>
      <c r="O807" s="3835"/>
      <c r="P807" s="3835"/>
      <c r="Q807" s="3835"/>
      <c r="R807" s="3836"/>
      <c r="S807" s="1172"/>
      <c r="T807" s="474"/>
      <c r="U807" s="1172"/>
      <c r="V807" s="3533"/>
      <c r="W807" s="3534"/>
      <c r="X807" s="3534"/>
      <c r="Y807" s="3534"/>
      <c r="Z807" s="3536"/>
      <c r="AA807" s="3533"/>
      <c r="AB807" s="3534"/>
      <c r="AC807" s="3536"/>
    </row>
    <row r="808" spans="2:29">
      <c r="B808" s="4211"/>
      <c r="C808" s="3530" t="s">
        <v>558</v>
      </c>
      <c r="D808" s="3706"/>
      <c r="E808" s="3699"/>
      <c r="F808" s="3699"/>
      <c r="G808" s="3699"/>
      <c r="H808" s="3707"/>
      <c r="I808" s="3706"/>
      <c r="J808" s="3699"/>
      <c r="K808" s="3699"/>
      <c r="L808" s="3699"/>
      <c r="M808" s="3707"/>
      <c r="N808" s="3834"/>
      <c r="O808" s="3835"/>
      <c r="P808" s="3835"/>
      <c r="Q808" s="3835"/>
      <c r="R808" s="3836"/>
      <c r="S808" s="1172"/>
      <c r="T808" s="474"/>
      <c r="U808" s="1172"/>
      <c r="V808" s="3533"/>
      <c r="W808" s="3534"/>
      <c r="X808" s="3534"/>
      <c r="Y808" s="3534"/>
      <c r="Z808" s="3536"/>
      <c r="AA808" s="3533"/>
      <c r="AB808" s="3534"/>
      <c r="AC808" s="3536"/>
    </row>
    <row r="809" spans="2:29">
      <c r="B809" s="4211"/>
      <c r="C809" s="3530" t="s">
        <v>578</v>
      </c>
      <c r="D809" s="3706"/>
      <c r="E809" s="3699"/>
      <c r="F809" s="3699"/>
      <c r="G809" s="3699"/>
      <c r="H809" s="3707"/>
      <c r="I809" s="3706"/>
      <c r="J809" s="3699"/>
      <c r="K809" s="3699"/>
      <c r="L809" s="3699"/>
      <c r="M809" s="3707"/>
      <c r="N809" s="3834"/>
      <c r="O809" s="3835"/>
      <c r="P809" s="3835"/>
      <c r="Q809" s="3835"/>
      <c r="R809" s="3836"/>
      <c r="S809" s="1172"/>
      <c r="T809" s="474"/>
      <c r="U809" s="1172"/>
      <c r="V809" s="3533"/>
      <c r="W809" s="3534"/>
      <c r="X809" s="3534"/>
      <c r="Y809" s="3534"/>
      <c r="Z809" s="3536"/>
      <c r="AA809" s="3533"/>
      <c r="AB809" s="3534"/>
      <c r="AC809" s="3536"/>
    </row>
    <row r="810" spans="2:29">
      <c r="B810" s="4211"/>
      <c r="C810" s="3529" t="s">
        <v>579</v>
      </c>
      <c r="D810" s="3711">
        <v>0</v>
      </c>
      <c r="E810" s="468">
        <v>0</v>
      </c>
      <c r="F810" s="468">
        <v>0</v>
      </c>
      <c r="G810" s="468">
        <v>849</v>
      </c>
      <c r="H810" s="530">
        <v>0</v>
      </c>
      <c r="I810" s="3711">
        <v>0</v>
      </c>
      <c r="J810" s="468"/>
      <c r="K810" s="468">
        <v>753</v>
      </c>
      <c r="L810" s="468">
        <v>0</v>
      </c>
      <c r="M810" s="530">
        <v>0</v>
      </c>
      <c r="N810" s="3855"/>
      <c r="O810" s="3835"/>
      <c r="P810" s="3835"/>
      <c r="Q810" s="3835"/>
      <c r="R810" s="3836"/>
      <c r="S810" s="1172"/>
      <c r="T810" s="474"/>
      <c r="U810" s="1172"/>
      <c r="V810" s="3533"/>
      <c r="W810" s="3534"/>
      <c r="X810" s="3534"/>
      <c r="Y810" s="3534"/>
      <c r="Z810" s="3536"/>
      <c r="AA810" s="3533"/>
      <c r="AB810" s="3534"/>
      <c r="AC810" s="3536"/>
    </row>
    <row r="811" spans="2:29">
      <c r="B811" s="4211"/>
      <c r="C811" s="3530" t="s">
        <v>583</v>
      </c>
      <c r="D811" s="3706">
        <f>0.07*D810</f>
        <v>0</v>
      </c>
      <c r="E811" s="3699">
        <f t="shared" ref="E811:L811" si="374">0.07*E810</f>
        <v>0</v>
      </c>
      <c r="F811" s="3699">
        <f t="shared" si="374"/>
        <v>0</v>
      </c>
      <c r="G811" s="3699">
        <f t="shared" si="374"/>
        <v>59.430000000000007</v>
      </c>
      <c r="H811" s="3707">
        <f t="shared" si="374"/>
        <v>0</v>
      </c>
      <c r="I811" s="3706">
        <f t="shared" si="374"/>
        <v>0</v>
      </c>
      <c r="J811" s="3699">
        <f t="shared" si="374"/>
        <v>0</v>
      </c>
      <c r="K811" s="3699">
        <f t="shared" si="374"/>
        <v>52.710000000000008</v>
      </c>
      <c r="L811" s="3699">
        <f t="shared" si="374"/>
        <v>0</v>
      </c>
      <c r="M811" s="3707"/>
      <c r="N811" s="3834"/>
      <c r="O811" s="3835"/>
      <c r="P811" s="3835"/>
      <c r="Q811" s="3835"/>
      <c r="R811" s="3836"/>
      <c r="S811" s="1172"/>
      <c r="T811" s="474"/>
      <c r="U811" s="1172"/>
      <c r="V811" s="3533"/>
      <c r="W811" s="3534"/>
      <c r="X811" s="3534"/>
      <c r="Y811" s="3534"/>
      <c r="Z811" s="3536"/>
      <c r="AA811" s="3533"/>
      <c r="AB811" s="3534"/>
      <c r="AC811" s="3536"/>
    </row>
    <row r="812" spans="2:29">
      <c r="B812" s="4211"/>
      <c r="C812" s="3530" t="s">
        <v>581</v>
      </c>
      <c r="D812" s="3706"/>
      <c r="E812" s="3699"/>
      <c r="F812" s="3699"/>
      <c r="G812" s="3699"/>
      <c r="H812" s="3707"/>
      <c r="I812" s="3706"/>
      <c r="J812" s="3699"/>
      <c r="K812" s="3699"/>
      <c r="L812" s="3699"/>
      <c r="M812" s="3707"/>
      <c r="N812" s="3834"/>
      <c r="O812" s="3835"/>
      <c r="P812" s="3835"/>
      <c r="Q812" s="3835"/>
      <c r="R812" s="3836"/>
      <c r="S812" s="1172"/>
      <c r="T812" s="474"/>
      <c r="U812" s="1172"/>
      <c r="V812" s="3533"/>
      <c r="W812" s="3534"/>
      <c r="X812" s="3534"/>
      <c r="Y812" s="3534"/>
      <c r="Z812" s="3536"/>
      <c r="AA812" s="3533"/>
      <c r="AB812" s="3534"/>
      <c r="AC812" s="3536"/>
    </row>
    <row r="813" spans="2:29">
      <c r="B813" s="4211"/>
      <c r="C813" s="3529" t="s">
        <v>584</v>
      </c>
      <c r="D813" s="3708">
        <f t="shared" ref="D813:M813" si="375">D810+D811+D812</f>
        <v>0</v>
      </c>
      <c r="E813" s="3701">
        <f t="shared" si="375"/>
        <v>0</v>
      </c>
      <c r="F813" s="3701">
        <f t="shared" si="375"/>
        <v>0</v>
      </c>
      <c r="G813" s="3701">
        <f t="shared" si="375"/>
        <v>908.43000000000006</v>
      </c>
      <c r="H813" s="3709">
        <f t="shared" si="375"/>
        <v>0</v>
      </c>
      <c r="I813" s="3708">
        <f t="shared" si="375"/>
        <v>0</v>
      </c>
      <c r="J813" s="3701">
        <f t="shared" si="375"/>
        <v>0</v>
      </c>
      <c r="K813" s="3701">
        <f t="shared" si="375"/>
        <v>805.71</v>
      </c>
      <c r="L813" s="3701">
        <f t="shared" si="375"/>
        <v>0</v>
      </c>
      <c r="M813" s="3709">
        <f t="shared" si="375"/>
        <v>0</v>
      </c>
      <c r="N813" s="3856"/>
      <c r="O813" s="3857"/>
      <c r="P813" s="3857"/>
      <c r="Q813" s="3857"/>
      <c r="R813" s="3858"/>
      <c r="S813" s="1172"/>
      <c r="T813" s="1172"/>
      <c r="U813" s="1172"/>
      <c r="V813" s="3533"/>
      <c r="W813" s="3534"/>
      <c r="X813" s="3534"/>
      <c r="Y813" s="3534"/>
      <c r="Z813" s="3536"/>
      <c r="AA813" s="3533"/>
      <c r="AB813" s="3534"/>
      <c r="AC813" s="3536"/>
    </row>
    <row r="814" spans="2:29">
      <c r="B814" s="4211"/>
      <c r="C814" s="3530" t="s">
        <v>605</v>
      </c>
      <c r="D814" s="3706"/>
      <c r="E814" s="3699"/>
      <c r="F814" s="3699"/>
      <c r="G814" s="3699"/>
      <c r="H814" s="3707"/>
      <c r="I814" s="3706"/>
      <c r="J814" s="3699"/>
      <c r="K814" s="3699"/>
      <c r="L814" s="3699"/>
      <c r="M814" s="3707"/>
      <c r="N814" s="3834"/>
      <c r="O814" s="3835"/>
      <c r="P814" s="3835"/>
      <c r="Q814" s="3835"/>
      <c r="R814" s="3836"/>
      <c r="S814" s="1172"/>
      <c r="T814" s="1172"/>
      <c r="U814" s="1172"/>
      <c r="V814" s="3533"/>
      <c r="W814" s="3534"/>
      <c r="X814" s="3534"/>
      <c r="Y814" s="3534"/>
      <c r="Z814" s="3536"/>
      <c r="AA814" s="3533"/>
      <c r="AB814" s="3534"/>
      <c r="AC814" s="3536"/>
    </row>
    <row r="815" spans="2:29">
      <c r="B815" s="4211"/>
      <c r="C815" s="3529" t="s">
        <v>585</v>
      </c>
      <c r="D815" s="3708">
        <f t="shared" ref="D815:M826" si="376">D813-D814</f>
        <v>0</v>
      </c>
      <c r="E815" s="3701">
        <f t="shared" si="376"/>
        <v>0</v>
      </c>
      <c r="F815" s="3701">
        <f t="shared" si="376"/>
        <v>0</v>
      </c>
      <c r="G815" s="3701">
        <f t="shared" si="376"/>
        <v>908.43000000000006</v>
      </c>
      <c r="H815" s="3709">
        <f t="shared" si="376"/>
        <v>0</v>
      </c>
      <c r="I815" s="3708">
        <f t="shared" si="376"/>
        <v>0</v>
      </c>
      <c r="J815" s="3701">
        <f t="shared" si="376"/>
        <v>0</v>
      </c>
      <c r="K815" s="3701">
        <f t="shared" si="376"/>
        <v>805.71</v>
      </c>
      <c r="L815" s="3701">
        <f t="shared" si="376"/>
        <v>0</v>
      </c>
      <c r="M815" s="3709">
        <f t="shared" si="376"/>
        <v>0</v>
      </c>
      <c r="N815" s="3856"/>
      <c r="O815" s="3857"/>
      <c r="P815" s="3857"/>
      <c r="Q815" s="3857"/>
      <c r="R815" s="3858"/>
      <c r="S815" s="1172"/>
      <c r="T815" s="1172"/>
      <c r="U815" s="1172"/>
      <c r="V815" s="3533"/>
      <c r="W815" s="3534"/>
      <c r="X815" s="3534"/>
      <c r="Y815" s="3534"/>
      <c r="Z815" s="3536"/>
      <c r="AA815" s="3533"/>
      <c r="AB815" s="3534"/>
      <c r="AC815" s="3536"/>
    </row>
    <row r="816" spans="2:29" ht="13.5" thickBot="1">
      <c r="B816" s="4212"/>
      <c r="C816" s="3532" t="s">
        <v>93</v>
      </c>
      <c r="D816" s="3712"/>
      <c r="E816" s="3734"/>
      <c r="F816" s="3734"/>
      <c r="G816" s="3734">
        <f>G815/G806</f>
        <v>454.21500000000003</v>
      </c>
      <c r="H816" s="3733"/>
      <c r="I816" s="3712"/>
      <c r="J816" s="3734"/>
      <c r="K816" s="3734">
        <f t="shared" ref="K816" si="377">K815/K806</f>
        <v>805.71</v>
      </c>
      <c r="L816" s="3734"/>
      <c r="M816" s="3733"/>
      <c r="N816" s="3840"/>
      <c r="O816" s="3846"/>
      <c r="P816" s="3846"/>
      <c r="Q816" s="3846"/>
      <c r="R816" s="3847"/>
      <c r="S816" s="1172"/>
      <c r="T816" s="1172"/>
      <c r="U816" s="1172"/>
      <c r="V816" s="3533"/>
      <c r="W816" s="3534"/>
      <c r="X816" s="3534"/>
      <c r="Y816" s="3534"/>
      <c r="Z816" s="3536"/>
      <c r="AA816" s="3533"/>
      <c r="AB816" s="3534"/>
      <c r="AC816" s="3536"/>
    </row>
    <row r="817" spans="2:29">
      <c r="B817" s="4210" t="s">
        <v>1850</v>
      </c>
      <c r="C817" s="3537" t="s">
        <v>90</v>
      </c>
      <c r="D817" s="3706">
        <f>D147</f>
        <v>0</v>
      </c>
      <c r="E817" s="3699">
        <f t="shared" ref="E817:M817" si="378">E147</f>
        <v>0</v>
      </c>
      <c r="F817" s="3699">
        <f t="shared" si="378"/>
        <v>0</v>
      </c>
      <c r="G817" s="3699">
        <f t="shared" si="378"/>
        <v>0</v>
      </c>
      <c r="H817" s="3707">
        <f t="shared" si="378"/>
        <v>0</v>
      </c>
      <c r="I817" s="3706">
        <f t="shared" si="378"/>
        <v>0</v>
      </c>
      <c r="J817" s="3699">
        <f t="shared" si="378"/>
        <v>0</v>
      </c>
      <c r="K817" s="3699">
        <f t="shared" si="378"/>
        <v>0</v>
      </c>
      <c r="L817" s="3699">
        <f t="shared" si="378"/>
        <v>0</v>
      </c>
      <c r="M817" s="3707">
        <f t="shared" si="378"/>
        <v>0</v>
      </c>
      <c r="N817" s="3834"/>
      <c r="O817" s="3835"/>
      <c r="P817" s="3835"/>
      <c r="Q817" s="3835"/>
      <c r="R817" s="3836"/>
      <c r="S817" s="1172"/>
      <c r="T817" s="1172"/>
      <c r="U817" s="1172"/>
      <c r="V817" s="3533"/>
      <c r="W817" s="3534"/>
      <c r="X817" s="3534"/>
      <c r="Y817" s="3534"/>
      <c r="Z817" s="3536"/>
      <c r="AA817" s="3533"/>
      <c r="AB817" s="3534"/>
      <c r="AC817" s="3536"/>
    </row>
    <row r="818" spans="2:29">
      <c r="B818" s="4211"/>
      <c r="C818" s="3530" t="s">
        <v>559</v>
      </c>
      <c r="D818" s="3706"/>
      <c r="E818" s="3699"/>
      <c r="F818" s="3699"/>
      <c r="G818" s="3699"/>
      <c r="H818" s="3707"/>
      <c r="I818" s="3706"/>
      <c r="J818" s="3699"/>
      <c r="K818" s="3699"/>
      <c r="L818" s="3699"/>
      <c r="M818" s="3707"/>
      <c r="N818" s="3834"/>
      <c r="O818" s="3835"/>
      <c r="P818" s="3835"/>
      <c r="Q818" s="3835"/>
      <c r="R818" s="3836"/>
      <c r="S818" s="1172"/>
      <c r="T818" s="1172"/>
      <c r="U818" s="1172"/>
      <c r="V818" s="3533"/>
      <c r="W818" s="3534"/>
      <c r="X818" s="3534"/>
      <c r="Y818" s="3534"/>
      <c r="Z818" s="3536"/>
      <c r="AA818" s="3533"/>
      <c r="AB818" s="3534"/>
      <c r="AC818" s="3536"/>
    </row>
    <row r="819" spans="2:29">
      <c r="B819" s="4211"/>
      <c r="C819" s="3530" t="s">
        <v>558</v>
      </c>
      <c r="D819" s="3706"/>
      <c r="E819" s="3699"/>
      <c r="F819" s="3699"/>
      <c r="G819" s="3699"/>
      <c r="H819" s="3707"/>
      <c r="I819" s="3706"/>
      <c r="J819" s="3699"/>
      <c r="K819" s="3699"/>
      <c r="L819" s="3699"/>
      <c r="M819" s="3707"/>
      <c r="N819" s="3834"/>
      <c r="O819" s="3835"/>
      <c r="P819" s="3835"/>
      <c r="Q819" s="3835"/>
      <c r="R819" s="3836"/>
      <c r="S819" s="1172"/>
      <c r="T819" s="1172"/>
      <c r="U819" s="1172"/>
      <c r="V819" s="3533"/>
      <c r="W819" s="3534"/>
      <c r="X819" s="3534"/>
      <c r="Y819" s="3534"/>
      <c r="Z819" s="3536"/>
      <c r="AA819" s="3533"/>
      <c r="AB819" s="3534"/>
      <c r="AC819" s="3536"/>
    </row>
    <row r="820" spans="2:29">
      <c r="B820" s="4211"/>
      <c r="C820" s="3530" t="s">
        <v>578</v>
      </c>
      <c r="D820" s="3706"/>
      <c r="E820" s="3699"/>
      <c r="F820" s="3699"/>
      <c r="G820" s="3699"/>
      <c r="H820" s="3707"/>
      <c r="I820" s="3706"/>
      <c r="J820" s="3699"/>
      <c r="K820" s="3699"/>
      <c r="L820" s="3699"/>
      <c r="M820" s="3707"/>
      <c r="N820" s="3834"/>
      <c r="O820" s="3835"/>
      <c r="P820" s="3835"/>
      <c r="Q820" s="3835"/>
      <c r="R820" s="3836"/>
      <c r="S820" s="1172"/>
      <c r="T820" s="1172"/>
      <c r="U820" s="1172"/>
      <c r="V820" s="3533"/>
      <c r="W820" s="3534"/>
      <c r="X820" s="3534"/>
      <c r="Y820" s="3534"/>
      <c r="Z820" s="3536"/>
      <c r="AA820" s="3533"/>
      <c r="AB820" s="3534"/>
      <c r="AC820" s="3536"/>
    </row>
    <row r="821" spans="2:29">
      <c r="B821" s="4211"/>
      <c r="C821" s="3529" t="s">
        <v>579</v>
      </c>
      <c r="D821" s="470">
        <v>0</v>
      </c>
      <c r="E821" s="468">
        <v>0</v>
      </c>
      <c r="F821" s="468">
        <v>0</v>
      </c>
      <c r="G821" s="468">
        <v>0</v>
      </c>
      <c r="H821" s="530">
        <v>0</v>
      </c>
      <c r="I821" s="470">
        <v>0</v>
      </c>
      <c r="J821" s="468"/>
      <c r="K821" s="468">
        <v>0</v>
      </c>
      <c r="L821" s="468">
        <v>0</v>
      </c>
      <c r="M821" s="530">
        <v>0</v>
      </c>
      <c r="N821" s="3834"/>
      <c r="O821" s="3835"/>
      <c r="P821" s="3835"/>
      <c r="Q821" s="3835"/>
      <c r="R821" s="3836"/>
      <c r="S821" s="1172"/>
      <c r="T821" s="474"/>
      <c r="U821" s="1172"/>
      <c r="V821" s="3533"/>
      <c r="W821" s="3534"/>
      <c r="X821" s="3534"/>
      <c r="Y821" s="3534"/>
      <c r="Z821" s="3536"/>
      <c r="AA821" s="3533"/>
      <c r="AB821" s="3534"/>
      <c r="AC821" s="3536"/>
    </row>
    <row r="822" spans="2:29">
      <c r="B822" s="4211"/>
      <c r="C822" s="3530" t="s">
        <v>583</v>
      </c>
      <c r="D822" s="3706">
        <f>0.07*D821</f>
        <v>0</v>
      </c>
      <c r="E822" s="3699">
        <f t="shared" ref="E822:L822" si="379">0.07*E821</f>
        <v>0</v>
      </c>
      <c r="F822" s="3699">
        <f t="shared" si="379"/>
        <v>0</v>
      </c>
      <c r="G822" s="3699">
        <f t="shared" si="379"/>
        <v>0</v>
      </c>
      <c r="H822" s="3707">
        <f t="shared" si="379"/>
        <v>0</v>
      </c>
      <c r="I822" s="3706">
        <f t="shared" si="379"/>
        <v>0</v>
      </c>
      <c r="J822" s="3699">
        <f t="shared" si="379"/>
        <v>0</v>
      </c>
      <c r="K822" s="3699">
        <f t="shared" si="379"/>
        <v>0</v>
      </c>
      <c r="L822" s="3699">
        <f t="shared" si="379"/>
        <v>0</v>
      </c>
      <c r="M822" s="3707"/>
      <c r="N822" s="3834"/>
      <c r="O822" s="3835"/>
      <c r="P822" s="3835"/>
      <c r="Q822" s="3835"/>
      <c r="R822" s="3836"/>
      <c r="S822" s="1172"/>
      <c r="T822" s="474"/>
      <c r="U822" s="1172"/>
      <c r="V822" s="3533"/>
      <c r="W822" s="3534"/>
      <c r="X822" s="3534"/>
      <c r="Y822" s="3534"/>
      <c r="Z822" s="3536"/>
      <c r="AA822" s="3533"/>
      <c r="AB822" s="3534"/>
      <c r="AC822" s="3536"/>
    </row>
    <row r="823" spans="2:29">
      <c r="B823" s="4211"/>
      <c r="C823" s="3530" t="s">
        <v>581</v>
      </c>
      <c r="D823" s="3706"/>
      <c r="E823" s="3699"/>
      <c r="F823" s="3699"/>
      <c r="G823" s="3699"/>
      <c r="H823" s="3707"/>
      <c r="I823" s="3706"/>
      <c r="J823" s="3699"/>
      <c r="K823" s="3699"/>
      <c r="L823" s="3699"/>
      <c r="M823" s="3707"/>
      <c r="N823" s="3834"/>
      <c r="O823" s="3835"/>
      <c r="P823" s="3835"/>
      <c r="Q823" s="3835"/>
      <c r="R823" s="3836"/>
      <c r="S823" s="1172"/>
      <c r="T823" s="474"/>
      <c r="U823" s="1172"/>
      <c r="V823" s="3533"/>
      <c r="W823" s="3534"/>
      <c r="X823" s="3534"/>
      <c r="Y823" s="3534"/>
      <c r="Z823" s="3536"/>
      <c r="AA823" s="3533"/>
      <c r="AB823" s="3534"/>
      <c r="AC823" s="3536"/>
    </row>
    <row r="824" spans="2:29">
      <c r="B824" s="4211"/>
      <c r="C824" s="3529" t="s">
        <v>584</v>
      </c>
      <c r="D824" s="3708">
        <f t="shared" ref="D824:M824" si="380">D821+D822+D823</f>
        <v>0</v>
      </c>
      <c r="E824" s="3701">
        <f t="shared" si="380"/>
        <v>0</v>
      </c>
      <c r="F824" s="3701">
        <f t="shared" si="380"/>
        <v>0</v>
      </c>
      <c r="G824" s="3701">
        <f t="shared" si="380"/>
        <v>0</v>
      </c>
      <c r="H824" s="3709">
        <f t="shared" si="380"/>
        <v>0</v>
      </c>
      <c r="I824" s="3708">
        <f t="shared" si="380"/>
        <v>0</v>
      </c>
      <c r="J824" s="3701">
        <f t="shared" si="380"/>
        <v>0</v>
      </c>
      <c r="K824" s="3701">
        <f t="shared" si="380"/>
        <v>0</v>
      </c>
      <c r="L824" s="3701">
        <f t="shared" si="380"/>
        <v>0</v>
      </c>
      <c r="M824" s="3709">
        <f t="shared" si="380"/>
        <v>0</v>
      </c>
      <c r="N824" s="3856"/>
      <c r="O824" s="3857"/>
      <c r="P824" s="3857"/>
      <c r="Q824" s="3857"/>
      <c r="R824" s="3858"/>
      <c r="S824" s="1172"/>
      <c r="T824" s="474"/>
      <c r="U824" s="1172"/>
      <c r="V824" s="3533"/>
      <c r="W824" s="3534"/>
      <c r="X824" s="3534"/>
      <c r="Y824" s="3534"/>
      <c r="Z824" s="3536"/>
      <c r="AA824" s="3533"/>
      <c r="AB824" s="3534"/>
      <c r="AC824" s="3536"/>
    </row>
    <row r="825" spans="2:29">
      <c r="B825" s="4211"/>
      <c r="C825" s="3530" t="s">
        <v>605</v>
      </c>
      <c r="D825" s="3706"/>
      <c r="E825" s="3699"/>
      <c r="F825" s="3699"/>
      <c r="G825" s="3699"/>
      <c r="H825" s="3707"/>
      <c r="I825" s="3706"/>
      <c r="J825" s="3699"/>
      <c r="K825" s="3699"/>
      <c r="L825" s="3699"/>
      <c r="M825" s="3707"/>
      <c r="N825" s="3834"/>
      <c r="O825" s="3835"/>
      <c r="P825" s="3835"/>
      <c r="Q825" s="3835"/>
      <c r="R825" s="3836"/>
      <c r="S825" s="1172"/>
      <c r="T825" s="474"/>
      <c r="U825" s="1172"/>
      <c r="V825" s="3533"/>
      <c r="W825" s="3534"/>
      <c r="X825" s="3534"/>
      <c r="Y825" s="3534"/>
      <c r="Z825" s="3536"/>
      <c r="AA825" s="3533"/>
      <c r="AB825" s="3534"/>
      <c r="AC825" s="3536"/>
    </row>
    <row r="826" spans="2:29">
      <c r="B826" s="4211"/>
      <c r="C826" s="3529" t="s">
        <v>585</v>
      </c>
      <c r="D826" s="3708">
        <f t="shared" ref="D826:I826" si="381">D824-D825</f>
        <v>0</v>
      </c>
      <c r="E826" s="3701">
        <f t="shared" si="381"/>
        <v>0</v>
      </c>
      <c r="F826" s="3701">
        <f t="shared" si="381"/>
        <v>0</v>
      </c>
      <c r="G826" s="3701">
        <f t="shared" si="381"/>
        <v>0</v>
      </c>
      <c r="H826" s="3709">
        <f t="shared" si="381"/>
        <v>0</v>
      </c>
      <c r="I826" s="3708">
        <f t="shared" si="381"/>
        <v>0</v>
      </c>
      <c r="J826" s="3701">
        <f t="shared" si="376"/>
        <v>0</v>
      </c>
      <c r="K826" s="3701">
        <f t="shared" si="376"/>
        <v>0</v>
      </c>
      <c r="L826" s="3701">
        <f t="shared" si="376"/>
        <v>0</v>
      </c>
      <c r="M826" s="3709">
        <f t="shared" si="376"/>
        <v>0</v>
      </c>
      <c r="N826" s="3856"/>
      <c r="O826" s="3857"/>
      <c r="P826" s="3857"/>
      <c r="Q826" s="3857"/>
      <c r="R826" s="3858"/>
      <c r="S826" s="1172"/>
      <c r="T826" s="474"/>
      <c r="U826" s="1172"/>
      <c r="V826" s="3533"/>
      <c r="W826" s="3534"/>
      <c r="X826" s="3534"/>
      <c r="Y826" s="3534"/>
      <c r="Z826" s="3536"/>
      <c r="AA826" s="3533"/>
      <c r="AB826" s="3534"/>
      <c r="AC826" s="3536"/>
    </row>
    <row r="827" spans="2:29" ht="13.5" thickBot="1">
      <c r="B827" s="4212"/>
      <c r="C827" s="3532" t="s">
        <v>93</v>
      </c>
      <c r="D827" s="470"/>
      <c r="E827" s="468"/>
      <c r="F827" s="468"/>
      <c r="G827" s="468"/>
      <c r="H827" s="530"/>
      <c r="I827" s="470"/>
      <c r="J827" s="468"/>
      <c r="K827" s="468"/>
      <c r="L827" s="468"/>
      <c r="M827" s="530"/>
      <c r="N827" s="3834"/>
      <c r="O827" s="3835"/>
      <c r="P827" s="3835"/>
      <c r="Q827" s="3835"/>
      <c r="R827" s="3836"/>
      <c r="S827" s="1172"/>
      <c r="T827" s="474"/>
      <c r="U827" s="1172"/>
      <c r="V827" s="3533"/>
      <c r="W827" s="3534"/>
      <c r="X827" s="3534"/>
      <c r="Y827" s="3534"/>
      <c r="Z827" s="3536"/>
      <c r="AA827" s="3533"/>
      <c r="AB827" s="3534"/>
      <c r="AC827" s="3536"/>
    </row>
    <row r="828" spans="2:29">
      <c r="B828" s="4210" t="s">
        <v>1851</v>
      </c>
      <c r="C828" s="3537" t="s">
        <v>90</v>
      </c>
      <c r="D828" s="3737">
        <f>D150</f>
        <v>0</v>
      </c>
      <c r="E828" s="3736">
        <f t="shared" ref="E828:M828" si="382">E150</f>
        <v>0</v>
      </c>
      <c r="F828" s="3736">
        <f t="shared" si="382"/>
        <v>0</v>
      </c>
      <c r="G828" s="3736">
        <f t="shared" si="382"/>
        <v>1</v>
      </c>
      <c r="H828" s="3735">
        <f t="shared" si="382"/>
        <v>0</v>
      </c>
      <c r="I828" s="3737">
        <f t="shared" si="382"/>
        <v>0</v>
      </c>
      <c r="J828" s="3736">
        <f t="shared" si="382"/>
        <v>0</v>
      </c>
      <c r="K828" s="3736">
        <f t="shared" si="382"/>
        <v>0</v>
      </c>
      <c r="L828" s="3736">
        <f t="shared" si="382"/>
        <v>0</v>
      </c>
      <c r="M828" s="3735">
        <f t="shared" si="382"/>
        <v>1</v>
      </c>
      <c r="N828" s="3843"/>
      <c r="O828" s="3844"/>
      <c r="P828" s="3844"/>
      <c r="Q828" s="3844"/>
      <c r="R828" s="3845"/>
      <c r="S828" s="1172"/>
      <c r="T828" s="474"/>
      <c r="U828" s="1172"/>
      <c r="V828" s="3533"/>
      <c r="W828" s="3534"/>
      <c r="X828" s="3534"/>
      <c r="Y828" s="3534"/>
      <c r="Z828" s="3536"/>
      <c r="AA828" s="3533"/>
      <c r="AB828" s="3534"/>
      <c r="AC828" s="3536"/>
    </row>
    <row r="829" spans="2:29">
      <c r="B829" s="4211"/>
      <c r="C829" s="3530" t="s">
        <v>559</v>
      </c>
      <c r="D829" s="3706"/>
      <c r="E829" s="3699"/>
      <c r="F829" s="3699"/>
      <c r="G829" s="3699"/>
      <c r="H829" s="3707"/>
      <c r="I829" s="3706"/>
      <c r="J829" s="3699"/>
      <c r="K829" s="3699"/>
      <c r="L829" s="3699"/>
      <c r="M829" s="3707"/>
      <c r="N829" s="3834"/>
      <c r="O829" s="3835"/>
      <c r="P829" s="3835"/>
      <c r="Q829" s="3835"/>
      <c r="R829" s="3836"/>
      <c r="S829" s="1172"/>
      <c r="T829" s="474"/>
      <c r="U829" s="1172"/>
      <c r="V829" s="3533"/>
      <c r="W829" s="3534"/>
      <c r="X829" s="3534"/>
      <c r="Y829" s="3534"/>
      <c r="Z829" s="3536"/>
      <c r="AA829" s="3533"/>
      <c r="AB829" s="3534"/>
      <c r="AC829" s="3536"/>
    </row>
    <row r="830" spans="2:29">
      <c r="B830" s="4211"/>
      <c r="C830" s="3530" t="s">
        <v>558</v>
      </c>
      <c r="D830" s="3706"/>
      <c r="E830" s="3699"/>
      <c r="F830" s="3699"/>
      <c r="G830" s="3699"/>
      <c r="H830" s="3707"/>
      <c r="I830" s="3706"/>
      <c r="J830" s="3699"/>
      <c r="K830" s="3699"/>
      <c r="L830" s="3699"/>
      <c r="M830" s="3707"/>
      <c r="N830" s="3834"/>
      <c r="O830" s="3835"/>
      <c r="P830" s="3835"/>
      <c r="Q830" s="3835"/>
      <c r="R830" s="3836"/>
      <c r="S830" s="1172"/>
      <c r="T830" s="474"/>
      <c r="U830" s="1172"/>
      <c r="V830" s="3533"/>
      <c r="W830" s="3534"/>
      <c r="X830" s="3534"/>
      <c r="Y830" s="3534"/>
      <c r="Z830" s="3536"/>
      <c r="AA830" s="3533"/>
      <c r="AB830" s="3534"/>
      <c r="AC830" s="3536"/>
    </row>
    <row r="831" spans="2:29">
      <c r="B831" s="4211"/>
      <c r="C831" s="3530" t="s">
        <v>578</v>
      </c>
      <c r="D831" s="3706"/>
      <c r="E831" s="3699"/>
      <c r="F831" s="3699"/>
      <c r="G831" s="3699"/>
      <c r="H831" s="3707"/>
      <c r="I831" s="3706"/>
      <c r="J831" s="3699"/>
      <c r="K831" s="3699"/>
      <c r="L831" s="3699"/>
      <c r="M831" s="3707"/>
      <c r="N831" s="3834"/>
      <c r="O831" s="3835"/>
      <c r="P831" s="3835"/>
      <c r="Q831" s="3835"/>
      <c r="R831" s="3836"/>
      <c r="S831" s="1172"/>
      <c r="T831" s="474"/>
      <c r="U831" s="1172"/>
      <c r="V831" s="3533"/>
      <c r="W831" s="3534"/>
      <c r="X831" s="3534"/>
      <c r="Y831" s="3534"/>
      <c r="Z831" s="3536"/>
      <c r="AA831" s="3533"/>
      <c r="AB831" s="3534"/>
      <c r="AC831" s="3536"/>
    </row>
    <row r="832" spans="2:29">
      <c r="B832" s="4211"/>
      <c r="C832" s="3529" t="s">
        <v>579</v>
      </c>
      <c r="D832" s="3711">
        <v>0</v>
      </c>
      <c r="E832" s="468">
        <v>0</v>
      </c>
      <c r="F832" s="468">
        <v>0</v>
      </c>
      <c r="G832" s="468">
        <v>425</v>
      </c>
      <c r="H832" s="530">
        <v>0</v>
      </c>
      <c r="I832" s="3711">
        <v>0</v>
      </c>
      <c r="J832" s="468"/>
      <c r="K832" s="468">
        <v>0</v>
      </c>
      <c r="L832" s="468">
        <v>0</v>
      </c>
      <c r="M832" s="530">
        <v>1236</v>
      </c>
      <c r="N832" s="3855"/>
      <c r="O832" s="3835"/>
      <c r="P832" s="3835"/>
      <c r="Q832" s="3835"/>
      <c r="R832" s="3836"/>
      <c r="S832" s="1172"/>
      <c r="T832" s="474"/>
      <c r="U832" s="1172"/>
      <c r="V832" s="3533"/>
      <c r="W832" s="3534"/>
      <c r="X832" s="3534"/>
      <c r="Y832" s="3534"/>
      <c r="Z832" s="3536"/>
      <c r="AA832" s="3533"/>
      <c r="AB832" s="3534"/>
      <c r="AC832" s="3536"/>
    </row>
    <row r="833" spans="2:29">
      <c r="B833" s="4211"/>
      <c r="C833" s="3530" t="s">
        <v>583</v>
      </c>
      <c r="D833" s="3706">
        <f>0.07*D832</f>
        <v>0</v>
      </c>
      <c r="E833" s="3699">
        <f t="shared" ref="E833:L833" si="383">0.07*E832</f>
        <v>0</v>
      </c>
      <c r="F833" s="3699">
        <f t="shared" si="383"/>
        <v>0</v>
      </c>
      <c r="G833" s="3699">
        <f t="shared" si="383"/>
        <v>29.750000000000004</v>
      </c>
      <c r="H833" s="3707">
        <f t="shared" si="383"/>
        <v>0</v>
      </c>
      <c r="I833" s="3706">
        <f t="shared" si="383"/>
        <v>0</v>
      </c>
      <c r="J833" s="3699">
        <f t="shared" si="383"/>
        <v>0</v>
      </c>
      <c r="K833" s="3699">
        <f t="shared" si="383"/>
        <v>0</v>
      </c>
      <c r="L833" s="3699">
        <f t="shared" si="383"/>
        <v>0</v>
      </c>
      <c r="M833" s="3707">
        <f>$M$250*M832</f>
        <v>0</v>
      </c>
      <c r="N833" s="3834"/>
      <c r="O833" s="3835"/>
      <c r="P833" s="3835"/>
      <c r="Q833" s="3835"/>
      <c r="R833" s="3836"/>
      <c r="S833" s="1172"/>
      <c r="T833" s="474"/>
      <c r="U833" s="1172"/>
      <c r="V833" s="3533"/>
      <c r="W833" s="3534"/>
      <c r="X833" s="3534"/>
      <c r="Y833" s="3534"/>
      <c r="Z833" s="3536"/>
      <c r="AA833" s="3533"/>
      <c r="AB833" s="3534"/>
      <c r="AC833" s="3536"/>
    </row>
    <row r="834" spans="2:29">
      <c r="B834" s="4211"/>
      <c r="C834" s="3530" t="s">
        <v>581</v>
      </c>
      <c r="D834" s="3706"/>
      <c r="E834" s="3699"/>
      <c r="F834" s="3699"/>
      <c r="G834" s="3699"/>
      <c r="H834" s="3707"/>
      <c r="I834" s="3706"/>
      <c r="J834" s="3699"/>
      <c r="K834" s="3699"/>
      <c r="L834" s="3699"/>
      <c r="M834" s="3707"/>
      <c r="N834" s="3834"/>
      <c r="O834" s="3835"/>
      <c r="P834" s="3835"/>
      <c r="Q834" s="3835"/>
      <c r="R834" s="3836"/>
      <c r="S834" s="1172"/>
      <c r="T834" s="474"/>
      <c r="U834" s="1172"/>
      <c r="V834" s="3533"/>
      <c r="W834" s="3534"/>
      <c r="X834" s="3534"/>
      <c r="Y834" s="3534"/>
      <c r="Z834" s="3536"/>
      <c r="AA834" s="3533"/>
      <c r="AB834" s="3534"/>
      <c r="AC834" s="3536"/>
    </row>
    <row r="835" spans="2:29">
      <c r="B835" s="4211"/>
      <c r="C835" s="3529" t="s">
        <v>584</v>
      </c>
      <c r="D835" s="3708">
        <f t="shared" ref="D835:M835" si="384">D832+D833+D834</f>
        <v>0</v>
      </c>
      <c r="E835" s="3701">
        <f t="shared" si="384"/>
        <v>0</v>
      </c>
      <c r="F835" s="3701">
        <f t="shared" si="384"/>
        <v>0</v>
      </c>
      <c r="G835" s="3701">
        <f t="shared" si="384"/>
        <v>454.75</v>
      </c>
      <c r="H835" s="3709">
        <f t="shared" si="384"/>
        <v>0</v>
      </c>
      <c r="I835" s="3708">
        <f t="shared" si="384"/>
        <v>0</v>
      </c>
      <c r="J835" s="3701">
        <f t="shared" si="384"/>
        <v>0</v>
      </c>
      <c r="K835" s="3701">
        <f t="shared" si="384"/>
        <v>0</v>
      </c>
      <c r="L835" s="3701">
        <f t="shared" si="384"/>
        <v>0</v>
      </c>
      <c r="M835" s="3709">
        <f t="shared" si="384"/>
        <v>1236</v>
      </c>
      <c r="N835" s="3856"/>
      <c r="O835" s="3857"/>
      <c r="P835" s="3857"/>
      <c r="Q835" s="3857"/>
      <c r="R835" s="3858"/>
      <c r="S835" s="1172"/>
      <c r="T835" s="474"/>
      <c r="U835" s="1172"/>
      <c r="V835" s="3533"/>
      <c r="W835" s="3534"/>
      <c r="X835" s="3534"/>
      <c r="Y835" s="3534"/>
      <c r="Z835" s="3536"/>
      <c r="AA835" s="3533"/>
      <c r="AB835" s="3534"/>
      <c r="AC835" s="3536"/>
    </row>
    <row r="836" spans="2:29">
      <c r="B836" s="4211"/>
      <c r="C836" s="3530" t="s">
        <v>605</v>
      </c>
      <c r="D836" s="3706"/>
      <c r="E836" s="3699"/>
      <c r="F836" s="3699"/>
      <c r="G836" s="3699"/>
      <c r="H836" s="3707"/>
      <c r="I836" s="3706"/>
      <c r="J836" s="3699"/>
      <c r="K836" s="3699"/>
      <c r="L836" s="3699"/>
      <c r="M836" s="3707"/>
      <c r="N836" s="3834"/>
      <c r="O836" s="3835"/>
      <c r="P836" s="3835"/>
      <c r="Q836" s="3835"/>
      <c r="R836" s="3836"/>
      <c r="S836" s="1172"/>
      <c r="T836" s="474"/>
      <c r="U836" s="1172"/>
      <c r="V836" s="3533"/>
      <c r="W836" s="3534"/>
      <c r="X836" s="3534"/>
      <c r="Y836" s="3534"/>
      <c r="Z836" s="3536"/>
      <c r="AA836" s="3533"/>
      <c r="AB836" s="3534"/>
      <c r="AC836" s="3536"/>
    </row>
    <row r="837" spans="2:29">
      <c r="B837" s="4211"/>
      <c r="C837" s="3529" t="s">
        <v>585</v>
      </c>
      <c r="D837" s="3708">
        <f t="shared" ref="D837:M848" si="385">D835-D836</f>
        <v>0</v>
      </c>
      <c r="E837" s="3701">
        <f t="shared" si="385"/>
        <v>0</v>
      </c>
      <c r="F837" s="3701">
        <f t="shared" si="385"/>
        <v>0</v>
      </c>
      <c r="G837" s="3701">
        <f t="shared" si="385"/>
        <v>454.75</v>
      </c>
      <c r="H837" s="3709">
        <f t="shared" si="385"/>
        <v>0</v>
      </c>
      <c r="I837" s="3708">
        <f t="shared" si="385"/>
        <v>0</v>
      </c>
      <c r="J837" s="3701">
        <f t="shared" si="385"/>
        <v>0</v>
      </c>
      <c r="K837" s="3701">
        <f t="shared" si="385"/>
        <v>0</v>
      </c>
      <c r="L837" s="3701">
        <f t="shared" si="385"/>
        <v>0</v>
      </c>
      <c r="M837" s="3709">
        <f t="shared" si="385"/>
        <v>1236</v>
      </c>
      <c r="N837" s="3856"/>
      <c r="O837" s="3857"/>
      <c r="P837" s="3857"/>
      <c r="Q837" s="3857"/>
      <c r="R837" s="3858"/>
      <c r="S837" s="1172"/>
      <c r="T837" s="474"/>
      <c r="U837" s="1172"/>
      <c r="V837" s="3533"/>
      <c r="W837" s="3534"/>
      <c r="X837" s="3534"/>
      <c r="Y837" s="3534"/>
      <c r="Z837" s="3536"/>
      <c r="AA837" s="3533"/>
      <c r="AB837" s="3534"/>
      <c r="AC837" s="3536"/>
    </row>
    <row r="838" spans="2:29" ht="13.5" thickBot="1">
      <c r="B838" s="4212"/>
      <c r="C838" s="3532" t="s">
        <v>93</v>
      </c>
      <c r="D838" s="470"/>
      <c r="E838" s="468"/>
      <c r="F838" s="468"/>
      <c r="G838" s="468">
        <f t="shared" ref="G838:M838" si="386">G837/G828</f>
        <v>454.75</v>
      </c>
      <c r="H838" s="530"/>
      <c r="I838" s="470"/>
      <c r="J838" s="468"/>
      <c r="K838" s="468"/>
      <c r="L838" s="468"/>
      <c r="M838" s="530">
        <f t="shared" si="386"/>
        <v>1236</v>
      </c>
      <c r="N838" s="3834"/>
      <c r="O838" s="3835"/>
      <c r="P838" s="3835"/>
      <c r="Q838" s="3835"/>
      <c r="R838" s="3836"/>
      <c r="S838" s="1172"/>
      <c r="T838" s="474"/>
      <c r="U838" s="1172"/>
      <c r="V838" s="3533"/>
      <c r="W838" s="3534"/>
      <c r="X838" s="3534"/>
      <c r="Y838" s="3534"/>
      <c r="Z838" s="3536"/>
      <c r="AA838" s="3533"/>
      <c r="AB838" s="3534"/>
      <c r="AC838" s="3536"/>
    </row>
    <row r="839" spans="2:29">
      <c r="B839" s="4210" t="s">
        <v>1852</v>
      </c>
      <c r="C839" s="3537" t="s">
        <v>90</v>
      </c>
      <c r="D839" s="3737">
        <f>D153</f>
        <v>0</v>
      </c>
      <c r="E839" s="3736">
        <f t="shared" ref="E839:M839" si="387">E153</f>
        <v>0</v>
      </c>
      <c r="F839" s="3736">
        <f t="shared" si="387"/>
        <v>0</v>
      </c>
      <c r="G839" s="3736">
        <f t="shared" si="387"/>
        <v>0</v>
      </c>
      <c r="H839" s="3735">
        <f t="shared" si="387"/>
        <v>0</v>
      </c>
      <c r="I839" s="3737">
        <f t="shared" si="387"/>
        <v>0</v>
      </c>
      <c r="J839" s="3736">
        <f t="shared" si="387"/>
        <v>0</v>
      </c>
      <c r="K839" s="3736">
        <f t="shared" si="387"/>
        <v>0</v>
      </c>
      <c r="L839" s="3736">
        <f t="shared" si="387"/>
        <v>0</v>
      </c>
      <c r="M839" s="3735">
        <f t="shared" si="387"/>
        <v>1</v>
      </c>
      <c r="N839" s="3843"/>
      <c r="O839" s="3844"/>
      <c r="P839" s="3844"/>
      <c r="Q839" s="3844"/>
      <c r="R839" s="3845"/>
      <c r="S839" s="1172"/>
      <c r="T839" s="474"/>
      <c r="U839" s="1172"/>
      <c r="V839" s="3533"/>
      <c r="W839" s="3534"/>
      <c r="X839" s="3534"/>
      <c r="Y839" s="3534"/>
      <c r="Z839" s="3536"/>
      <c r="AA839" s="3533"/>
      <c r="AB839" s="3534"/>
      <c r="AC839" s="3536"/>
    </row>
    <row r="840" spans="2:29">
      <c r="B840" s="4211"/>
      <c r="C840" s="3530" t="s">
        <v>559</v>
      </c>
      <c r="D840" s="3706"/>
      <c r="E840" s="3699"/>
      <c r="F840" s="3699"/>
      <c r="G840" s="3699"/>
      <c r="H840" s="3707"/>
      <c r="I840" s="3706"/>
      <c r="J840" s="3699"/>
      <c r="K840" s="3699"/>
      <c r="L840" s="3699"/>
      <c r="M840" s="3707"/>
      <c r="N840" s="3834"/>
      <c r="O840" s="3835"/>
      <c r="P840" s="3835"/>
      <c r="Q840" s="3835"/>
      <c r="R840" s="3836"/>
      <c r="S840" s="1172"/>
      <c r="T840" s="474"/>
      <c r="U840" s="1172"/>
      <c r="V840" s="3533"/>
      <c r="W840" s="3534"/>
      <c r="X840" s="3534"/>
      <c r="Y840" s="3534"/>
      <c r="Z840" s="3536"/>
      <c r="AA840" s="3533"/>
      <c r="AB840" s="3534"/>
      <c r="AC840" s="3536"/>
    </row>
    <row r="841" spans="2:29">
      <c r="B841" s="4211"/>
      <c r="C841" s="3530" t="s">
        <v>558</v>
      </c>
      <c r="D841" s="3706"/>
      <c r="E841" s="3699"/>
      <c r="F841" s="3699"/>
      <c r="G841" s="3699"/>
      <c r="H841" s="3707"/>
      <c r="I841" s="3706"/>
      <c r="J841" s="3699"/>
      <c r="K841" s="3699"/>
      <c r="L841" s="3699"/>
      <c r="M841" s="3707"/>
      <c r="N841" s="3834"/>
      <c r="O841" s="3835"/>
      <c r="P841" s="3835"/>
      <c r="Q841" s="3835"/>
      <c r="R841" s="3836"/>
      <c r="S841" s="1172"/>
      <c r="T841" s="1172"/>
      <c r="U841" s="1172"/>
      <c r="V841" s="3533"/>
      <c r="W841" s="3534"/>
      <c r="X841" s="3534"/>
      <c r="Y841" s="3534"/>
      <c r="Z841" s="3536"/>
      <c r="AA841" s="3533"/>
      <c r="AB841" s="3534"/>
      <c r="AC841" s="3536"/>
    </row>
    <row r="842" spans="2:29">
      <c r="B842" s="4211"/>
      <c r="C842" s="3530" t="s">
        <v>578</v>
      </c>
      <c r="D842" s="3706"/>
      <c r="E842" s="3699"/>
      <c r="F842" s="3699"/>
      <c r="G842" s="3699"/>
      <c r="H842" s="3707"/>
      <c r="I842" s="3706"/>
      <c r="J842" s="3699"/>
      <c r="K842" s="3699"/>
      <c r="L842" s="3699"/>
      <c r="M842" s="3707"/>
      <c r="N842" s="3834"/>
      <c r="O842" s="3835"/>
      <c r="P842" s="3835"/>
      <c r="Q842" s="3835"/>
      <c r="R842" s="3836"/>
      <c r="S842" s="1172"/>
      <c r="T842" s="1172"/>
      <c r="U842" s="1172"/>
      <c r="V842" s="3533"/>
      <c r="W842" s="3534"/>
      <c r="X842" s="3534"/>
      <c r="Y842" s="3534"/>
      <c r="Z842" s="3536"/>
      <c r="AA842" s="3533"/>
      <c r="AB842" s="3534"/>
      <c r="AC842" s="3536"/>
    </row>
    <row r="843" spans="2:29">
      <c r="B843" s="4211"/>
      <c r="C843" s="3529" t="s">
        <v>579</v>
      </c>
      <c r="D843" s="3711">
        <v>0</v>
      </c>
      <c r="E843" s="468">
        <v>0</v>
      </c>
      <c r="F843" s="468">
        <v>0</v>
      </c>
      <c r="G843" s="468">
        <v>0</v>
      </c>
      <c r="H843" s="530">
        <v>0</v>
      </c>
      <c r="I843" s="3711">
        <v>0</v>
      </c>
      <c r="J843" s="468"/>
      <c r="K843" s="468">
        <v>0</v>
      </c>
      <c r="L843" s="468">
        <v>0</v>
      </c>
      <c r="M843" s="530">
        <v>1236</v>
      </c>
      <c r="N843" s="3855"/>
      <c r="O843" s="3835"/>
      <c r="P843" s="3835"/>
      <c r="Q843" s="3835"/>
      <c r="R843" s="3836"/>
      <c r="S843" s="1172"/>
      <c r="T843" s="1172"/>
      <c r="U843" s="1172"/>
      <c r="V843" s="3533"/>
      <c r="W843" s="3534"/>
      <c r="X843" s="3534"/>
      <c r="Y843" s="3534"/>
      <c r="Z843" s="3536"/>
      <c r="AA843" s="3533"/>
      <c r="AB843" s="3534"/>
      <c r="AC843" s="3536"/>
    </row>
    <row r="844" spans="2:29">
      <c r="B844" s="4211"/>
      <c r="C844" s="3530" t="s">
        <v>583</v>
      </c>
      <c r="D844" s="3706">
        <f>0.07*D843</f>
        <v>0</v>
      </c>
      <c r="E844" s="3699">
        <f t="shared" ref="E844:L844" si="388">0.07*E843</f>
        <v>0</v>
      </c>
      <c r="F844" s="3699">
        <f t="shared" si="388"/>
        <v>0</v>
      </c>
      <c r="G844" s="3699">
        <f t="shared" si="388"/>
        <v>0</v>
      </c>
      <c r="H844" s="3707">
        <f t="shared" si="388"/>
        <v>0</v>
      </c>
      <c r="I844" s="3706">
        <f t="shared" si="388"/>
        <v>0</v>
      </c>
      <c r="J844" s="3699">
        <f t="shared" si="388"/>
        <v>0</v>
      </c>
      <c r="K844" s="3699">
        <f t="shared" si="388"/>
        <v>0</v>
      </c>
      <c r="L844" s="3699">
        <f t="shared" si="388"/>
        <v>0</v>
      </c>
      <c r="M844" s="3707">
        <f>$M$250*M843</f>
        <v>0</v>
      </c>
      <c r="N844" s="3834"/>
      <c r="O844" s="3835"/>
      <c r="P844" s="3835"/>
      <c r="Q844" s="3835"/>
      <c r="R844" s="3836"/>
      <c r="S844" s="1172"/>
      <c r="T844" s="1172"/>
      <c r="U844" s="1172"/>
      <c r="V844" s="3533"/>
      <c r="W844" s="3534"/>
      <c r="X844" s="3534"/>
      <c r="Y844" s="3534"/>
      <c r="Z844" s="3536"/>
      <c r="AA844" s="3533"/>
      <c r="AB844" s="3534"/>
      <c r="AC844" s="3536"/>
    </row>
    <row r="845" spans="2:29">
      <c r="B845" s="4211"/>
      <c r="C845" s="3530" t="s">
        <v>581</v>
      </c>
      <c r="D845" s="3706"/>
      <c r="E845" s="3699"/>
      <c r="F845" s="3699"/>
      <c r="G845" s="3699"/>
      <c r="H845" s="3707"/>
      <c r="I845" s="3706"/>
      <c r="J845" s="3699"/>
      <c r="K845" s="3699"/>
      <c r="L845" s="3699"/>
      <c r="M845" s="3707"/>
      <c r="N845" s="3834"/>
      <c r="O845" s="3835"/>
      <c r="P845" s="3835"/>
      <c r="Q845" s="3835"/>
      <c r="R845" s="3836"/>
      <c r="S845" s="1172"/>
      <c r="T845" s="1172"/>
      <c r="U845" s="1172"/>
      <c r="V845" s="3533"/>
      <c r="W845" s="3534"/>
      <c r="X845" s="3534"/>
      <c r="Y845" s="3534"/>
      <c r="Z845" s="3536"/>
      <c r="AA845" s="3533"/>
      <c r="AB845" s="3534"/>
      <c r="AC845" s="3536"/>
    </row>
    <row r="846" spans="2:29">
      <c r="B846" s="4211"/>
      <c r="C846" s="3529" t="s">
        <v>584</v>
      </c>
      <c r="D846" s="3708">
        <f t="shared" ref="D846:M846" si="389">D843+D844+D845</f>
        <v>0</v>
      </c>
      <c r="E846" s="3701">
        <f t="shared" si="389"/>
        <v>0</v>
      </c>
      <c r="F846" s="3701">
        <f t="shared" si="389"/>
        <v>0</v>
      </c>
      <c r="G846" s="3701">
        <f t="shared" si="389"/>
        <v>0</v>
      </c>
      <c r="H846" s="3709">
        <f t="shared" si="389"/>
        <v>0</v>
      </c>
      <c r="I846" s="3708">
        <f t="shared" si="389"/>
        <v>0</v>
      </c>
      <c r="J846" s="3701">
        <f t="shared" si="389"/>
        <v>0</v>
      </c>
      <c r="K846" s="3701">
        <f t="shared" si="389"/>
        <v>0</v>
      </c>
      <c r="L846" s="3701">
        <f t="shared" si="389"/>
        <v>0</v>
      </c>
      <c r="M846" s="3709">
        <f t="shared" si="389"/>
        <v>1236</v>
      </c>
      <c r="N846" s="3856"/>
      <c r="O846" s="3857"/>
      <c r="P846" s="3857"/>
      <c r="Q846" s="3857"/>
      <c r="R846" s="3858"/>
      <c r="S846" s="1172"/>
      <c r="T846" s="1172"/>
      <c r="U846" s="1172"/>
      <c r="V846" s="3533"/>
      <c r="W846" s="3534"/>
      <c r="X846" s="3534"/>
      <c r="Y846" s="3534"/>
      <c r="Z846" s="3536"/>
      <c r="AA846" s="3533"/>
      <c r="AB846" s="3534"/>
      <c r="AC846" s="3536"/>
    </row>
    <row r="847" spans="2:29">
      <c r="B847" s="4211"/>
      <c r="C847" s="3530" t="s">
        <v>605</v>
      </c>
      <c r="D847" s="3706"/>
      <c r="E847" s="3699"/>
      <c r="F847" s="3699"/>
      <c r="G847" s="3699"/>
      <c r="H847" s="3707"/>
      <c r="I847" s="3706"/>
      <c r="J847" s="3699"/>
      <c r="K847" s="3699"/>
      <c r="L847" s="3699"/>
      <c r="M847" s="3707"/>
      <c r="N847" s="3834"/>
      <c r="O847" s="3835"/>
      <c r="P847" s="3835"/>
      <c r="Q847" s="3835"/>
      <c r="R847" s="3836"/>
      <c r="S847" s="1172"/>
      <c r="T847" s="1172"/>
      <c r="U847" s="1172"/>
      <c r="V847" s="3533"/>
      <c r="W847" s="3534"/>
      <c r="X847" s="3534"/>
      <c r="Y847" s="3534"/>
      <c r="Z847" s="3536"/>
      <c r="AA847" s="3533"/>
      <c r="AB847" s="3534"/>
      <c r="AC847" s="3536"/>
    </row>
    <row r="848" spans="2:29" ht="13.5" thickBot="1">
      <c r="B848" s="4211"/>
      <c r="C848" s="3529" t="s">
        <v>585</v>
      </c>
      <c r="D848" s="3708">
        <f t="shared" ref="D848:I848" si="390">D846-D847</f>
        <v>0</v>
      </c>
      <c r="E848" s="3701">
        <f t="shared" si="390"/>
        <v>0</v>
      </c>
      <c r="F848" s="3701">
        <f t="shared" si="390"/>
        <v>0</v>
      </c>
      <c r="G848" s="3701">
        <f t="shared" si="390"/>
        <v>0</v>
      </c>
      <c r="H848" s="3709">
        <f t="shared" si="390"/>
        <v>0</v>
      </c>
      <c r="I848" s="3708">
        <f t="shared" si="390"/>
        <v>0</v>
      </c>
      <c r="J848" s="3701">
        <f t="shared" si="385"/>
        <v>0</v>
      </c>
      <c r="K848" s="3701">
        <f t="shared" si="385"/>
        <v>0</v>
      </c>
      <c r="L848" s="3701">
        <f t="shared" si="385"/>
        <v>0</v>
      </c>
      <c r="M848" s="3709">
        <f t="shared" si="385"/>
        <v>1236</v>
      </c>
      <c r="N848" s="3856"/>
      <c r="O848" s="3857"/>
      <c r="P848" s="3857"/>
      <c r="Q848" s="3857"/>
      <c r="R848" s="3858"/>
      <c r="S848" s="1172"/>
      <c r="T848" s="1172"/>
      <c r="U848" s="1172"/>
      <c r="V848" s="3533"/>
      <c r="W848" s="3534"/>
      <c r="X848" s="3534"/>
      <c r="Y848" s="3534"/>
      <c r="Z848" s="3536"/>
      <c r="AA848" s="3533"/>
      <c r="AB848" s="3534"/>
      <c r="AC848" s="3536"/>
    </row>
    <row r="849" spans="2:29" ht="13.5" thickBot="1">
      <c r="B849" s="4212"/>
      <c r="C849" s="3532" t="s">
        <v>93</v>
      </c>
      <c r="D849" s="3732"/>
      <c r="E849" s="3731"/>
      <c r="F849" s="3731"/>
      <c r="G849" s="3731"/>
      <c r="H849" s="3730"/>
      <c r="I849" s="3732"/>
      <c r="J849" s="3731"/>
      <c r="K849" s="3731"/>
      <c r="L849" s="3731"/>
      <c r="M849" s="3730">
        <f t="shared" ref="M849" si="391">M848/M839</f>
        <v>1236</v>
      </c>
      <c r="N849" s="3843"/>
      <c r="O849" s="3844"/>
      <c r="P849" s="3844"/>
      <c r="Q849" s="3844"/>
      <c r="R849" s="3845"/>
      <c r="S849" s="1172"/>
      <c r="T849" s="1172"/>
      <c r="U849" s="1172"/>
      <c r="V849" s="3533"/>
      <c r="W849" s="3534"/>
      <c r="X849" s="3534"/>
      <c r="Y849" s="3534"/>
      <c r="Z849" s="3536"/>
      <c r="AA849" s="3533"/>
      <c r="AB849" s="3534"/>
      <c r="AC849" s="3536"/>
    </row>
    <row r="850" spans="2:29">
      <c r="B850" s="4210" t="s">
        <v>1853</v>
      </c>
      <c r="C850" s="3537" t="s">
        <v>90</v>
      </c>
      <c r="D850" s="3706">
        <f>D156</f>
        <v>0</v>
      </c>
      <c r="E850" s="3699">
        <f t="shared" ref="E850:M850" si="392">E156</f>
        <v>1</v>
      </c>
      <c r="F850" s="3699">
        <f t="shared" si="392"/>
        <v>1</v>
      </c>
      <c r="G850" s="3699">
        <f t="shared" si="392"/>
        <v>0</v>
      </c>
      <c r="H850" s="3707">
        <f t="shared" si="392"/>
        <v>2</v>
      </c>
      <c r="I850" s="3706">
        <f t="shared" si="392"/>
        <v>0</v>
      </c>
      <c r="J850" s="3699">
        <f t="shared" si="392"/>
        <v>0</v>
      </c>
      <c r="K850" s="3699">
        <f t="shared" si="392"/>
        <v>0</v>
      </c>
      <c r="L850" s="3699">
        <f t="shared" si="392"/>
        <v>0</v>
      </c>
      <c r="M850" s="3707">
        <f t="shared" si="392"/>
        <v>3</v>
      </c>
      <c r="N850" s="3834"/>
      <c r="O850" s="3835"/>
      <c r="P850" s="3835"/>
      <c r="Q850" s="3835"/>
      <c r="R850" s="3836"/>
      <c r="S850" s="1172"/>
      <c r="T850" s="1172"/>
      <c r="U850" s="1172"/>
      <c r="V850" s="3533"/>
      <c r="W850" s="3534"/>
      <c r="X850" s="3534"/>
      <c r="Y850" s="3534"/>
      <c r="Z850" s="3536"/>
      <c r="AA850" s="3533"/>
      <c r="AB850" s="3534"/>
      <c r="AC850" s="3536"/>
    </row>
    <row r="851" spans="2:29">
      <c r="B851" s="4211"/>
      <c r="C851" s="3530" t="s">
        <v>559</v>
      </c>
      <c r="D851" s="3706"/>
      <c r="E851" s="3699"/>
      <c r="F851" s="3699"/>
      <c r="G851" s="3699"/>
      <c r="H851" s="3707"/>
      <c r="I851" s="3706"/>
      <c r="J851" s="3699"/>
      <c r="K851" s="3699"/>
      <c r="L851" s="3699"/>
      <c r="M851" s="3707"/>
      <c r="N851" s="3834"/>
      <c r="O851" s="3835"/>
      <c r="P851" s="3835"/>
      <c r="Q851" s="3835"/>
      <c r="R851" s="3836"/>
      <c r="S851" s="1172"/>
      <c r="T851" s="1172"/>
      <c r="U851" s="1172"/>
      <c r="V851" s="3533"/>
      <c r="W851" s="3534"/>
      <c r="X851" s="3534"/>
      <c r="Y851" s="3534"/>
      <c r="Z851" s="3536"/>
      <c r="AA851" s="3533"/>
      <c r="AB851" s="3534"/>
      <c r="AC851" s="3536"/>
    </row>
    <row r="852" spans="2:29">
      <c r="B852" s="4211"/>
      <c r="C852" s="3530" t="s">
        <v>558</v>
      </c>
      <c r="D852" s="3706"/>
      <c r="E852" s="3699"/>
      <c r="F852" s="3699"/>
      <c r="G852" s="3699"/>
      <c r="H852" s="3707"/>
      <c r="I852" s="3706"/>
      <c r="J852" s="3699"/>
      <c r="K852" s="3699"/>
      <c r="L852" s="3699"/>
      <c r="M852" s="3707"/>
      <c r="N852" s="3834"/>
      <c r="O852" s="3835"/>
      <c r="P852" s="3835"/>
      <c r="Q852" s="3835"/>
      <c r="R852" s="3836"/>
      <c r="S852" s="1172"/>
      <c r="T852" s="1172"/>
      <c r="U852" s="1172"/>
      <c r="V852" s="3533"/>
      <c r="W852" s="3534"/>
      <c r="X852" s="3534"/>
      <c r="Y852" s="3534"/>
      <c r="Z852" s="3536"/>
      <c r="AA852" s="3533"/>
      <c r="AB852" s="3534"/>
      <c r="AC852" s="3536"/>
    </row>
    <row r="853" spans="2:29">
      <c r="B853" s="4211"/>
      <c r="C853" s="3530" t="s">
        <v>578</v>
      </c>
      <c r="D853" s="3706"/>
      <c r="E853" s="3699"/>
      <c r="F853" s="3699"/>
      <c r="G853" s="3699"/>
      <c r="H853" s="3707"/>
      <c r="I853" s="3706"/>
      <c r="J853" s="3699"/>
      <c r="K853" s="3699"/>
      <c r="L853" s="3699"/>
      <c r="M853" s="3707"/>
      <c r="N853" s="3834"/>
      <c r="O853" s="3835"/>
      <c r="P853" s="3835"/>
      <c r="Q853" s="3835"/>
      <c r="R853" s="3836"/>
      <c r="S853" s="1172"/>
      <c r="T853" s="1172"/>
      <c r="U853" s="1172"/>
      <c r="V853" s="3533"/>
      <c r="W853" s="3534"/>
      <c r="X853" s="3534"/>
      <c r="Y853" s="3534"/>
      <c r="Z853" s="3536"/>
      <c r="AA853" s="3533"/>
      <c r="AB853" s="3534"/>
      <c r="AC853" s="3536"/>
    </row>
    <row r="854" spans="2:29">
      <c r="B854" s="4211"/>
      <c r="C854" s="3529" t="s">
        <v>579</v>
      </c>
      <c r="D854" s="3711">
        <v>0</v>
      </c>
      <c r="E854" s="468">
        <v>445</v>
      </c>
      <c r="F854" s="468">
        <v>418</v>
      </c>
      <c r="G854" s="468">
        <v>0</v>
      </c>
      <c r="H854" s="530">
        <v>1275</v>
      </c>
      <c r="I854" s="3711">
        <v>0</v>
      </c>
      <c r="J854" s="468"/>
      <c r="K854" s="468">
        <v>0</v>
      </c>
      <c r="L854" s="468">
        <v>0</v>
      </c>
      <c r="M854" s="530">
        <v>3709</v>
      </c>
      <c r="N854" s="3855"/>
      <c r="O854" s="3835"/>
      <c r="P854" s="3835"/>
      <c r="Q854" s="3835"/>
      <c r="R854" s="3836"/>
      <c r="S854" s="1172"/>
      <c r="T854" s="1172"/>
      <c r="U854" s="1172"/>
      <c r="V854" s="3533"/>
      <c r="W854" s="3534"/>
      <c r="X854" s="3534"/>
      <c r="Y854" s="3534"/>
      <c r="Z854" s="3536"/>
      <c r="AA854" s="3533"/>
      <c r="AB854" s="3534"/>
      <c r="AC854" s="3536"/>
    </row>
    <row r="855" spans="2:29">
      <c r="B855" s="4211"/>
      <c r="C855" s="3530" t="s">
        <v>583</v>
      </c>
      <c r="D855" s="3706">
        <f>0.07*D854</f>
        <v>0</v>
      </c>
      <c r="E855" s="3699">
        <f t="shared" ref="E855:L855" si="393">0.07*E854</f>
        <v>31.150000000000002</v>
      </c>
      <c r="F855" s="3699">
        <f t="shared" si="393"/>
        <v>29.26</v>
      </c>
      <c r="G855" s="3699">
        <f t="shared" si="393"/>
        <v>0</v>
      </c>
      <c r="H855" s="3707">
        <f t="shared" si="393"/>
        <v>89.250000000000014</v>
      </c>
      <c r="I855" s="3706">
        <f t="shared" si="393"/>
        <v>0</v>
      </c>
      <c r="J855" s="3699">
        <f t="shared" si="393"/>
        <v>0</v>
      </c>
      <c r="K855" s="3699">
        <f t="shared" si="393"/>
        <v>0</v>
      </c>
      <c r="L855" s="3699">
        <f t="shared" si="393"/>
        <v>0</v>
      </c>
      <c r="M855" s="3707">
        <f>$M$250*M854</f>
        <v>0</v>
      </c>
      <c r="N855" s="3834"/>
      <c r="O855" s="3835"/>
      <c r="P855" s="3835"/>
      <c r="Q855" s="3835"/>
      <c r="R855" s="3836"/>
      <c r="S855" s="1172"/>
      <c r="T855" s="1172"/>
      <c r="U855" s="1172"/>
      <c r="V855" s="3533"/>
      <c r="W855" s="3534"/>
      <c r="X855" s="3534"/>
      <c r="Y855" s="3534"/>
      <c r="Z855" s="3536"/>
      <c r="AA855" s="3533"/>
      <c r="AB855" s="3534"/>
      <c r="AC855" s="3536"/>
    </row>
    <row r="856" spans="2:29">
      <c r="B856" s="4211"/>
      <c r="C856" s="3530" t="s">
        <v>581</v>
      </c>
      <c r="D856" s="3706"/>
      <c r="E856" s="3699"/>
      <c r="F856" s="3699"/>
      <c r="G856" s="3699"/>
      <c r="H856" s="3707"/>
      <c r="I856" s="3706"/>
      <c r="J856" s="3699"/>
      <c r="K856" s="3699"/>
      <c r="L856" s="3699"/>
      <c r="M856" s="3707"/>
      <c r="N856" s="3834"/>
      <c r="O856" s="3835"/>
      <c r="P856" s="3835"/>
      <c r="Q856" s="3835"/>
      <c r="R856" s="3836"/>
      <c r="S856" s="1172"/>
      <c r="T856" s="1172"/>
      <c r="U856" s="1172"/>
      <c r="V856" s="3533"/>
      <c r="W856" s="3534"/>
      <c r="X856" s="3534"/>
      <c r="Y856" s="3534"/>
      <c r="Z856" s="3536"/>
      <c r="AA856" s="3533"/>
      <c r="AB856" s="3534"/>
      <c r="AC856" s="3536"/>
    </row>
    <row r="857" spans="2:29">
      <c r="B857" s="4211"/>
      <c r="C857" s="3529" t="s">
        <v>584</v>
      </c>
      <c r="D857" s="3708">
        <f t="shared" ref="D857:M857" si="394">D854+D855+D856</f>
        <v>0</v>
      </c>
      <c r="E857" s="3701">
        <f t="shared" si="394"/>
        <v>476.15</v>
      </c>
      <c r="F857" s="3701">
        <f t="shared" si="394"/>
        <v>447.26</v>
      </c>
      <c r="G857" s="3701">
        <f t="shared" si="394"/>
        <v>0</v>
      </c>
      <c r="H857" s="3709">
        <f t="shared" si="394"/>
        <v>1364.25</v>
      </c>
      <c r="I857" s="3708">
        <f t="shared" si="394"/>
        <v>0</v>
      </c>
      <c r="J857" s="3701">
        <f t="shared" si="394"/>
        <v>0</v>
      </c>
      <c r="K857" s="3701">
        <f t="shared" si="394"/>
        <v>0</v>
      </c>
      <c r="L857" s="3701">
        <f t="shared" si="394"/>
        <v>0</v>
      </c>
      <c r="M857" s="3709">
        <f t="shared" si="394"/>
        <v>3709</v>
      </c>
      <c r="N857" s="3856"/>
      <c r="O857" s="3857"/>
      <c r="P857" s="3857"/>
      <c r="Q857" s="3857"/>
      <c r="R857" s="3858"/>
      <c r="S857" s="1172"/>
      <c r="T857" s="1172"/>
      <c r="U857" s="1172"/>
      <c r="V857" s="3533"/>
      <c r="W857" s="3534"/>
      <c r="X857" s="3534"/>
      <c r="Y857" s="3534"/>
      <c r="Z857" s="3536"/>
      <c r="AA857" s="3533"/>
      <c r="AB857" s="3534"/>
      <c r="AC857" s="3536"/>
    </row>
    <row r="858" spans="2:29">
      <c r="B858" s="4211"/>
      <c r="C858" s="3530" t="s">
        <v>605</v>
      </c>
      <c r="D858" s="3706"/>
      <c r="E858" s="3699"/>
      <c r="F858" s="3699"/>
      <c r="G858" s="3699"/>
      <c r="H858" s="3707"/>
      <c r="I858" s="3706"/>
      <c r="J858" s="3699"/>
      <c r="K858" s="3699"/>
      <c r="L858" s="3699"/>
      <c r="M858" s="3707"/>
      <c r="N858" s="3834"/>
      <c r="O858" s="3835"/>
      <c r="P858" s="3835"/>
      <c r="Q858" s="3835"/>
      <c r="R858" s="3836"/>
      <c r="S858" s="1172"/>
      <c r="T858" s="1172"/>
      <c r="U858" s="1172"/>
      <c r="V858" s="3533"/>
      <c r="W858" s="3534"/>
      <c r="X858" s="3534"/>
      <c r="Y858" s="3534"/>
      <c r="Z858" s="3536"/>
      <c r="AA858" s="3533"/>
      <c r="AB858" s="3534"/>
      <c r="AC858" s="3536"/>
    </row>
    <row r="859" spans="2:29">
      <c r="B859" s="4211"/>
      <c r="C859" s="3529" t="s">
        <v>585</v>
      </c>
      <c r="D859" s="3708">
        <f t="shared" ref="D859:M870" si="395">D857-D858</f>
        <v>0</v>
      </c>
      <c r="E859" s="3701">
        <f t="shared" si="395"/>
        <v>476.15</v>
      </c>
      <c r="F859" s="3701">
        <f t="shared" si="395"/>
        <v>447.26</v>
      </c>
      <c r="G859" s="3701">
        <f t="shared" si="395"/>
        <v>0</v>
      </c>
      <c r="H859" s="3709">
        <f t="shared" si="395"/>
        <v>1364.25</v>
      </c>
      <c r="I859" s="3708">
        <f t="shared" si="395"/>
        <v>0</v>
      </c>
      <c r="J859" s="3701">
        <f t="shared" si="395"/>
        <v>0</v>
      </c>
      <c r="K859" s="3701">
        <f t="shared" si="395"/>
        <v>0</v>
      </c>
      <c r="L859" s="3701">
        <f t="shared" si="395"/>
        <v>0</v>
      </c>
      <c r="M859" s="3709">
        <f t="shared" si="395"/>
        <v>3709</v>
      </c>
      <c r="N859" s="3856"/>
      <c r="O859" s="3857"/>
      <c r="P859" s="3857"/>
      <c r="Q859" s="3857"/>
      <c r="R859" s="3858"/>
      <c r="S859" s="1172"/>
      <c r="T859" s="1172"/>
      <c r="U859" s="1172"/>
      <c r="V859" s="3533"/>
      <c r="W859" s="3534"/>
      <c r="X859" s="3534"/>
      <c r="Y859" s="3534"/>
      <c r="Z859" s="3536"/>
      <c r="AA859" s="3533"/>
      <c r="AB859" s="3534"/>
      <c r="AC859" s="3536"/>
    </row>
    <row r="860" spans="2:29" ht="13.5" thickBot="1">
      <c r="B860" s="4212"/>
      <c r="C860" s="3532" t="s">
        <v>93</v>
      </c>
      <c r="D860" s="3712"/>
      <c r="E860" s="3734">
        <f t="shared" ref="E860:M860" si="396">E859/E850</f>
        <v>476.15</v>
      </c>
      <c r="F860" s="3734">
        <f t="shared" si="396"/>
        <v>447.26</v>
      </c>
      <c r="G860" s="3734"/>
      <c r="H860" s="3733">
        <f t="shared" si="396"/>
        <v>682.125</v>
      </c>
      <c r="I860" s="3712"/>
      <c r="J860" s="3734"/>
      <c r="K860" s="3734"/>
      <c r="L860" s="3734"/>
      <c r="M860" s="3733">
        <f t="shared" si="396"/>
        <v>1236.3333333333333</v>
      </c>
      <c r="N860" s="3840"/>
      <c r="O860" s="3846"/>
      <c r="P860" s="3846"/>
      <c r="Q860" s="3846"/>
      <c r="R860" s="3847"/>
      <c r="S860" s="1172"/>
      <c r="T860" s="1172"/>
      <c r="U860" s="1172"/>
      <c r="V860" s="3533"/>
      <c r="W860" s="3534"/>
      <c r="X860" s="3534"/>
      <c r="Y860" s="3534"/>
      <c r="Z860" s="3536"/>
      <c r="AA860" s="3533"/>
      <c r="AB860" s="3534"/>
      <c r="AC860" s="3536"/>
    </row>
    <row r="861" spans="2:29">
      <c r="B861" s="4210" t="s">
        <v>1854</v>
      </c>
      <c r="C861" s="3537" t="s">
        <v>90</v>
      </c>
      <c r="D861" s="3706">
        <f>D159</f>
        <v>1</v>
      </c>
      <c r="E861" s="3699">
        <f t="shared" ref="E861:M861" si="397">E159</f>
        <v>1</v>
      </c>
      <c r="F861" s="3699">
        <f t="shared" si="397"/>
        <v>3</v>
      </c>
      <c r="G861" s="3699">
        <f t="shared" si="397"/>
        <v>1</v>
      </c>
      <c r="H861" s="3707">
        <f t="shared" si="397"/>
        <v>0</v>
      </c>
      <c r="I861" s="3706">
        <f t="shared" si="397"/>
        <v>0</v>
      </c>
      <c r="J861" s="3699">
        <f t="shared" si="397"/>
        <v>0</v>
      </c>
      <c r="K861" s="3699">
        <f t="shared" si="397"/>
        <v>0</v>
      </c>
      <c r="L861" s="3699">
        <f t="shared" si="397"/>
        <v>1</v>
      </c>
      <c r="M861" s="3707">
        <f t="shared" si="397"/>
        <v>6</v>
      </c>
      <c r="N861" s="3834"/>
      <c r="O861" s="3835"/>
      <c r="P861" s="3835"/>
      <c r="Q861" s="3835"/>
      <c r="R861" s="3836"/>
      <c r="S861" s="1172"/>
      <c r="T861" s="474"/>
      <c r="U861" s="1172"/>
      <c r="V861" s="3533"/>
      <c r="W861" s="3534"/>
      <c r="X861" s="3534"/>
      <c r="Y861" s="3534"/>
      <c r="Z861" s="3536"/>
      <c r="AA861" s="3533"/>
      <c r="AB861" s="3534"/>
      <c r="AC861" s="3536"/>
    </row>
    <row r="862" spans="2:29">
      <c r="B862" s="4211"/>
      <c r="C862" s="3530" t="s">
        <v>559</v>
      </c>
      <c r="D862" s="3706"/>
      <c r="E862" s="3699"/>
      <c r="F862" s="3699"/>
      <c r="G862" s="3699"/>
      <c r="H862" s="3707"/>
      <c r="I862" s="3706"/>
      <c r="J862" s="3699"/>
      <c r="K862" s="3699"/>
      <c r="L862" s="3699"/>
      <c r="M862" s="3707"/>
      <c r="N862" s="3834"/>
      <c r="O862" s="3835"/>
      <c r="P862" s="3835"/>
      <c r="Q862" s="3835"/>
      <c r="R862" s="3836"/>
      <c r="S862" s="1172"/>
      <c r="T862" s="474"/>
      <c r="U862" s="1172"/>
      <c r="V862" s="3533"/>
      <c r="W862" s="3534"/>
      <c r="X862" s="3534"/>
      <c r="Y862" s="3534"/>
      <c r="Z862" s="3536"/>
      <c r="AA862" s="3533"/>
      <c r="AB862" s="3534"/>
      <c r="AC862" s="3536"/>
    </row>
    <row r="863" spans="2:29">
      <c r="B863" s="4211"/>
      <c r="C863" s="3530" t="s">
        <v>558</v>
      </c>
      <c r="D863" s="3706"/>
      <c r="E863" s="3699"/>
      <c r="F863" s="3699"/>
      <c r="G863" s="3699"/>
      <c r="H863" s="3707"/>
      <c r="I863" s="3706"/>
      <c r="J863" s="3699"/>
      <c r="K863" s="3699"/>
      <c r="L863" s="3699"/>
      <c r="M863" s="3707"/>
      <c r="N863" s="3834"/>
      <c r="O863" s="3835"/>
      <c r="P863" s="3835"/>
      <c r="Q863" s="3835"/>
      <c r="R863" s="3836"/>
      <c r="S863" s="1172"/>
      <c r="T863" s="474"/>
      <c r="U863" s="1172"/>
      <c r="V863" s="3533"/>
      <c r="W863" s="3534"/>
      <c r="X863" s="3534"/>
      <c r="Y863" s="3534"/>
      <c r="Z863" s="3536"/>
      <c r="AA863" s="3533"/>
      <c r="AB863" s="3534"/>
      <c r="AC863" s="3536"/>
    </row>
    <row r="864" spans="2:29">
      <c r="B864" s="4211"/>
      <c r="C864" s="3530" t="s">
        <v>578</v>
      </c>
      <c r="D864" s="3706"/>
      <c r="E864" s="3699"/>
      <c r="F864" s="3699"/>
      <c r="G864" s="3699"/>
      <c r="H864" s="3707"/>
      <c r="I864" s="3706"/>
      <c r="J864" s="3699"/>
      <c r="K864" s="3699"/>
      <c r="L864" s="3699"/>
      <c r="M864" s="3707"/>
      <c r="N864" s="3834"/>
      <c r="O864" s="3835"/>
      <c r="P864" s="3835"/>
      <c r="Q864" s="3835"/>
      <c r="R864" s="3836"/>
      <c r="S864" s="1172"/>
      <c r="T864" s="474"/>
      <c r="U864" s="1172"/>
      <c r="V864" s="3533"/>
      <c r="W864" s="3534"/>
      <c r="X864" s="3534"/>
      <c r="Y864" s="3534"/>
      <c r="Z864" s="3536"/>
      <c r="AA864" s="3533"/>
      <c r="AB864" s="3534"/>
      <c r="AC864" s="3536"/>
    </row>
    <row r="865" spans="2:29">
      <c r="B865" s="4211"/>
      <c r="C865" s="3529" t="s">
        <v>579</v>
      </c>
      <c r="D865" s="3711">
        <v>793</v>
      </c>
      <c r="E865" s="468">
        <v>445</v>
      </c>
      <c r="F865" s="468">
        <v>1253</v>
      </c>
      <c r="G865" s="468">
        <v>425</v>
      </c>
      <c r="H865" s="530">
        <v>0</v>
      </c>
      <c r="I865" s="3711">
        <v>0</v>
      </c>
      <c r="J865" s="468"/>
      <c r="K865" s="468">
        <v>0</v>
      </c>
      <c r="L865" s="468">
        <v>1705</v>
      </c>
      <c r="M865" s="530">
        <v>7419</v>
      </c>
      <c r="N865" s="3855"/>
      <c r="O865" s="3835"/>
      <c r="P865" s="3835"/>
      <c r="Q865" s="3835"/>
      <c r="R865" s="3836"/>
      <c r="S865" s="1172"/>
      <c r="T865" s="474"/>
      <c r="U865" s="1172"/>
      <c r="V865" s="3533"/>
      <c r="W865" s="3534"/>
      <c r="X865" s="3534"/>
      <c r="Y865" s="3534"/>
      <c r="Z865" s="3536"/>
      <c r="AA865" s="3533"/>
      <c r="AB865" s="3534"/>
      <c r="AC865" s="3536"/>
    </row>
    <row r="866" spans="2:29">
      <c r="B866" s="4211"/>
      <c r="C866" s="3530" t="s">
        <v>583</v>
      </c>
      <c r="D866" s="3706">
        <f>0.07*D865</f>
        <v>55.510000000000005</v>
      </c>
      <c r="E866" s="3699">
        <f t="shared" ref="E866:L866" si="398">0.07*E865</f>
        <v>31.150000000000002</v>
      </c>
      <c r="F866" s="3699">
        <f t="shared" si="398"/>
        <v>87.710000000000008</v>
      </c>
      <c r="G866" s="3699">
        <f t="shared" si="398"/>
        <v>29.750000000000004</v>
      </c>
      <c r="H866" s="3707">
        <f t="shared" si="398"/>
        <v>0</v>
      </c>
      <c r="I866" s="3706">
        <f t="shared" si="398"/>
        <v>0</v>
      </c>
      <c r="J866" s="3699">
        <f t="shared" si="398"/>
        <v>0</v>
      </c>
      <c r="K866" s="3699">
        <f t="shared" si="398"/>
        <v>0</v>
      </c>
      <c r="L866" s="3699">
        <f t="shared" si="398"/>
        <v>119.35000000000001</v>
      </c>
      <c r="M866" s="3707">
        <f>$M$250*M865</f>
        <v>0</v>
      </c>
      <c r="N866" s="3834"/>
      <c r="O866" s="3835"/>
      <c r="P866" s="3835"/>
      <c r="Q866" s="3835"/>
      <c r="R866" s="3836"/>
      <c r="S866" s="1172"/>
      <c r="T866" s="474"/>
      <c r="U866" s="1172"/>
      <c r="V866" s="3533"/>
      <c r="W866" s="3534"/>
      <c r="X866" s="3534"/>
      <c r="Y866" s="3534"/>
      <c r="Z866" s="3536"/>
      <c r="AA866" s="3533"/>
      <c r="AB866" s="3534"/>
      <c r="AC866" s="3536"/>
    </row>
    <row r="867" spans="2:29">
      <c r="B867" s="4211"/>
      <c r="C867" s="3530" t="s">
        <v>581</v>
      </c>
      <c r="D867" s="3706"/>
      <c r="E867" s="3699"/>
      <c r="F867" s="3699"/>
      <c r="G867" s="3699"/>
      <c r="H867" s="3707"/>
      <c r="I867" s="3706"/>
      <c r="J867" s="3699"/>
      <c r="K867" s="3699"/>
      <c r="L867" s="3699"/>
      <c r="M867" s="3707"/>
      <c r="N867" s="3834"/>
      <c r="O867" s="3835"/>
      <c r="P867" s="3835"/>
      <c r="Q867" s="3835"/>
      <c r="R867" s="3836"/>
      <c r="S867" s="1172"/>
      <c r="T867" s="474"/>
      <c r="U867" s="1172"/>
      <c r="V867" s="3533"/>
      <c r="W867" s="3534"/>
      <c r="X867" s="3534"/>
      <c r="Y867" s="3534"/>
      <c r="Z867" s="3536"/>
      <c r="AA867" s="3533"/>
      <c r="AB867" s="3534"/>
      <c r="AC867" s="3536"/>
    </row>
    <row r="868" spans="2:29">
      <c r="B868" s="4211"/>
      <c r="C868" s="3529" t="s">
        <v>584</v>
      </c>
      <c r="D868" s="3708">
        <f t="shared" ref="D868:M868" si="399">D865+D866+D867</f>
        <v>848.51</v>
      </c>
      <c r="E868" s="3701">
        <f t="shared" si="399"/>
        <v>476.15</v>
      </c>
      <c r="F868" s="3701">
        <f t="shared" si="399"/>
        <v>1340.71</v>
      </c>
      <c r="G868" s="3701">
        <f t="shared" si="399"/>
        <v>454.75</v>
      </c>
      <c r="H868" s="3709">
        <f t="shared" si="399"/>
        <v>0</v>
      </c>
      <c r="I868" s="3708">
        <f t="shared" si="399"/>
        <v>0</v>
      </c>
      <c r="J868" s="3701">
        <f t="shared" si="399"/>
        <v>0</v>
      </c>
      <c r="K868" s="3701">
        <f t="shared" si="399"/>
        <v>0</v>
      </c>
      <c r="L868" s="3701">
        <f t="shared" si="399"/>
        <v>1824.35</v>
      </c>
      <c r="M868" s="3709">
        <f t="shared" si="399"/>
        <v>7419</v>
      </c>
      <c r="N868" s="3856"/>
      <c r="O868" s="3857"/>
      <c r="P868" s="3857"/>
      <c r="Q868" s="3857"/>
      <c r="R868" s="3858"/>
      <c r="S868" s="1172"/>
      <c r="T868" s="1172"/>
      <c r="U868" s="1172"/>
      <c r="V868" s="3533"/>
      <c r="W868" s="3534"/>
      <c r="X868" s="3534"/>
      <c r="Y868" s="3534"/>
      <c r="Z868" s="3536"/>
      <c r="AA868" s="3533"/>
      <c r="AB868" s="3534"/>
      <c r="AC868" s="3536"/>
    </row>
    <row r="869" spans="2:29">
      <c r="B869" s="4211"/>
      <c r="C869" s="3530" t="s">
        <v>605</v>
      </c>
      <c r="D869" s="3706"/>
      <c r="E869" s="3699"/>
      <c r="F869" s="3699"/>
      <c r="G869" s="3699"/>
      <c r="H869" s="3707"/>
      <c r="I869" s="3706"/>
      <c r="J869" s="3699"/>
      <c r="K869" s="3699"/>
      <c r="L869" s="3699"/>
      <c r="M869" s="3707"/>
      <c r="N869" s="3834"/>
      <c r="O869" s="3835"/>
      <c r="P869" s="3835"/>
      <c r="Q869" s="3835"/>
      <c r="R869" s="3836"/>
      <c r="S869" s="1172"/>
      <c r="T869" s="1172"/>
      <c r="U869" s="1172"/>
      <c r="V869" s="3533"/>
      <c r="W869" s="3534"/>
      <c r="X869" s="3534"/>
      <c r="Y869" s="3534"/>
      <c r="Z869" s="3536"/>
      <c r="AA869" s="3533"/>
      <c r="AB869" s="3534"/>
      <c r="AC869" s="3536"/>
    </row>
    <row r="870" spans="2:29">
      <c r="B870" s="4211"/>
      <c r="C870" s="3529" t="s">
        <v>585</v>
      </c>
      <c r="D870" s="3708">
        <f t="shared" ref="D870:I870" si="400">D868-D869</f>
        <v>848.51</v>
      </c>
      <c r="E870" s="3701">
        <f t="shared" si="400"/>
        <v>476.15</v>
      </c>
      <c r="F870" s="3701">
        <f t="shared" si="400"/>
        <v>1340.71</v>
      </c>
      <c r="G870" s="3701">
        <f t="shared" si="400"/>
        <v>454.75</v>
      </c>
      <c r="H870" s="3709">
        <f t="shared" si="400"/>
        <v>0</v>
      </c>
      <c r="I870" s="3708">
        <f t="shared" si="400"/>
        <v>0</v>
      </c>
      <c r="J870" s="3701">
        <f t="shared" si="395"/>
        <v>0</v>
      </c>
      <c r="K870" s="3701">
        <f t="shared" si="395"/>
        <v>0</v>
      </c>
      <c r="L870" s="3701">
        <f t="shared" si="395"/>
        <v>1824.35</v>
      </c>
      <c r="M870" s="3709">
        <f t="shared" si="395"/>
        <v>7419</v>
      </c>
      <c r="N870" s="3856"/>
      <c r="O870" s="3857"/>
      <c r="P870" s="3857"/>
      <c r="Q870" s="3857"/>
      <c r="R870" s="3858"/>
      <c r="S870" s="1172"/>
      <c r="T870" s="1172"/>
      <c r="U870" s="1172"/>
      <c r="V870" s="3533"/>
      <c r="W870" s="3534"/>
      <c r="X870" s="3534"/>
      <c r="Y870" s="3534"/>
      <c r="Z870" s="3536"/>
      <c r="AA870" s="3533"/>
      <c r="AB870" s="3534"/>
      <c r="AC870" s="3536"/>
    </row>
    <row r="871" spans="2:29" ht="13.5" thickBot="1">
      <c r="B871" s="4212"/>
      <c r="C871" s="3532" t="s">
        <v>93</v>
      </c>
      <c r="D871" s="3712">
        <f t="shared" ref="D871:M871" si="401">D870/D861</f>
        <v>848.51</v>
      </c>
      <c r="E871" s="3734">
        <f t="shared" si="401"/>
        <v>476.15</v>
      </c>
      <c r="F871" s="3734">
        <f t="shared" si="401"/>
        <v>446.90333333333336</v>
      </c>
      <c r="G871" s="3734">
        <f t="shared" si="401"/>
        <v>454.75</v>
      </c>
      <c r="H871" s="3733"/>
      <c r="I871" s="3712"/>
      <c r="J871" s="3734"/>
      <c r="K871" s="3734"/>
      <c r="L871" s="3734">
        <f t="shared" si="401"/>
        <v>1824.35</v>
      </c>
      <c r="M871" s="3733">
        <f t="shared" si="401"/>
        <v>1236.5</v>
      </c>
      <c r="N871" s="3840"/>
      <c r="O871" s="3846"/>
      <c r="P871" s="3846"/>
      <c r="Q871" s="3846"/>
      <c r="R871" s="3847"/>
      <c r="S871" s="1172"/>
      <c r="T871" s="1172"/>
      <c r="U871" s="1172"/>
      <c r="V871" s="3533"/>
      <c r="W871" s="3534"/>
      <c r="X871" s="3534"/>
      <c r="Y871" s="3534"/>
      <c r="Z871" s="3536"/>
      <c r="AA871" s="3533"/>
      <c r="AB871" s="3534"/>
      <c r="AC871" s="3536"/>
    </row>
    <row r="872" spans="2:29">
      <c r="B872" s="4210" t="s">
        <v>1855</v>
      </c>
      <c r="C872" s="3537" t="s">
        <v>90</v>
      </c>
      <c r="D872" s="3706">
        <f>D162</f>
        <v>0</v>
      </c>
      <c r="E872" s="3699">
        <f t="shared" ref="E872:M872" si="402">E162</f>
        <v>0</v>
      </c>
      <c r="F872" s="3699">
        <f>F162</f>
        <v>1</v>
      </c>
      <c r="G872" s="3699">
        <f t="shared" si="402"/>
        <v>0</v>
      </c>
      <c r="H872" s="3707">
        <f t="shared" si="402"/>
        <v>0</v>
      </c>
      <c r="I872" s="3706">
        <f t="shared" si="402"/>
        <v>0</v>
      </c>
      <c r="J872" s="3699">
        <f t="shared" si="402"/>
        <v>0</v>
      </c>
      <c r="K872" s="3699">
        <f t="shared" si="402"/>
        <v>1</v>
      </c>
      <c r="L872" s="3699">
        <f t="shared" si="402"/>
        <v>2</v>
      </c>
      <c r="M872" s="3707">
        <f t="shared" si="402"/>
        <v>10</v>
      </c>
      <c r="N872" s="3834"/>
      <c r="O872" s="3835"/>
      <c r="P872" s="3835"/>
      <c r="Q872" s="3835"/>
      <c r="R872" s="3836"/>
      <c r="S872" s="1172"/>
      <c r="T872" s="1172"/>
      <c r="U872" s="1172"/>
      <c r="V872" s="3533"/>
      <c r="W872" s="3534"/>
      <c r="X872" s="3534"/>
      <c r="Y872" s="3534"/>
      <c r="Z872" s="3536"/>
      <c r="AA872" s="3533"/>
      <c r="AB872" s="3534"/>
      <c r="AC872" s="3536"/>
    </row>
    <row r="873" spans="2:29">
      <c r="B873" s="4211"/>
      <c r="C873" s="3530" t="s">
        <v>559</v>
      </c>
      <c r="D873" s="3706"/>
      <c r="E873" s="3699"/>
      <c r="F873" s="3699"/>
      <c r="G873" s="3699"/>
      <c r="H873" s="3707"/>
      <c r="I873" s="3706"/>
      <c r="J873" s="3699"/>
      <c r="K873" s="3699"/>
      <c r="L873" s="3699"/>
      <c r="M873" s="3707"/>
      <c r="N873" s="3834"/>
      <c r="O873" s="3835"/>
      <c r="P873" s="3835"/>
      <c r="Q873" s="3835"/>
      <c r="R873" s="3836"/>
      <c r="S873" s="1172"/>
      <c r="T873" s="1172"/>
      <c r="U873" s="1172"/>
      <c r="V873" s="3533"/>
      <c r="W873" s="3534"/>
      <c r="X873" s="3534"/>
      <c r="Y873" s="3534"/>
      <c r="Z873" s="3536"/>
      <c r="AA873" s="3533"/>
      <c r="AB873" s="3534"/>
      <c r="AC873" s="3536"/>
    </row>
    <row r="874" spans="2:29">
      <c r="B874" s="4211"/>
      <c r="C874" s="3530" t="s">
        <v>558</v>
      </c>
      <c r="D874" s="3706"/>
      <c r="E874" s="3699"/>
      <c r="F874" s="3699"/>
      <c r="G874" s="3699"/>
      <c r="H874" s="3707"/>
      <c r="I874" s="3706"/>
      <c r="J874" s="3699"/>
      <c r="K874" s="3699"/>
      <c r="L874" s="3699"/>
      <c r="M874" s="3707"/>
      <c r="N874" s="3834"/>
      <c r="O874" s="3835"/>
      <c r="P874" s="3835"/>
      <c r="Q874" s="3835"/>
      <c r="R874" s="3836"/>
      <c r="S874" s="1172"/>
      <c r="T874" s="1172"/>
      <c r="U874" s="1172"/>
      <c r="V874" s="3533"/>
      <c r="W874" s="3534"/>
      <c r="X874" s="3534"/>
      <c r="Y874" s="3534"/>
      <c r="Z874" s="3536"/>
      <c r="AA874" s="3533"/>
      <c r="AB874" s="3534"/>
      <c r="AC874" s="3536"/>
    </row>
    <row r="875" spans="2:29">
      <c r="B875" s="4211"/>
      <c r="C875" s="3530" t="s">
        <v>578</v>
      </c>
      <c r="D875" s="3706"/>
      <c r="E875" s="3699"/>
      <c r="F875" s="3699"/>
      <c r="G875" s="3699"/>
      <c r="H875" s="3707"/>
      <c r="I875" s="3706"/>
      <c r="J875" s="3699"/>
      <c r="K875" s="3699"/>
      <c r="L875" s="3699"/>
      <c r="M875" s="3707"/>
      <c r="N875" s="3834"/>
      <c r="O875" s="3835"/>
      <c r="P875" s="3835"/>
      <c r="Q875" s="3835"/>
      <c r="R875" s="3836"/>
      <c r="S875" s="1172"/>
      <c r="T875" s="1172"/>
      <c r="U875" s="1172"/>
      <c r="V875" s="3533"/>
      <c r="W875" s="3534"/>
      <c r="X875" s="3534"/>
      <c r="Y875" s="3534"/>
      <c r="Z875" s="3536"/>
      <c r="AA875" s="3533"/>
      <c r="AB875" s="3534"/>
      <c r="AC875" s="3536"/>
    </row>
    <row r="876" spans="2:29">
      <c r="B876" s="4211"/>
      <c r="C876" s="3529" t="s">
        <v>579</v>
      </c>
      <c r="D876" s="3711">
        <v>0</v>
      </c>
      <c r="E876" s="468">
        <v>0</v>
      </c>
      <c r="F876" s="468">
        <v>418</v>
      </c>
      <c r="G876" s="468">
        <v>0</v>
      </c>
      <c r="H876" s="530">
        <v>0</v>
      </c>
      <c r="I876" s="3711">
        <v>0</v>
      </c>
      <c r="J876" s="468"/>
      <c r="K876" s="468">
        <v>753</v>
      </c>
      <c r="L876" s="468">
        <v>3410</v>
      </c>
      <c r="M876" s="530">
        <v>12365</v>
      </c>
      <c r="N876" s="3855"/>
      <c r="O876" s="3835"/>
      <c r="P876" s="3835"/>
      <c r="Q876" s="3835"/>
      <c r="R876" s="3836"/>
      <c r="S876" s="1172"/>
      <c r="T876" s="1172"/>
      <c r="U876" s="1172"/>
      <c r="V876" s="3533"/>
      <c r="W876" s="3534"/>
      <c r="X876" s="3534"/>
      <c r="Y876" s="3534"/>
      <c r="Z876" s="3536"/>
      <c r="AA876" s="3533"/>
      <c r="AB876" s="3534"/>
      <c r="AC876" s="3536"/>
    </row>
    <row r="877" spans="2:29">
      <c r="B877" s="4211"/>
      <c r="C877" s="3530" t="s">
        <v>583</v>
      </c>
      <c r="D877" s="3706">
        <f>0.07*D876</f>
        <v>0</v>
      </c>
      <c r="E877" s="3699">
        <f t="shared" ref="E877:L877" si="403">0.07*E876</f>
        <v>0</v>
      </c>
      <c r="F877" s="3699">
        <f t="shared" si="403"/>
        <v>29.26</v>
      </c>
      <c r="G877" s="3699">
        <f t="shared" si="403"/>
        <v>0</v>
      </c>
      <c r="H877" s="3707">
        <f t="shared" si="403"/>
        <v>0</v>
      </c>
      <c r="I877" s="3706">
        <f t="shared" si="403"/>
        <v>0</v>
      </c>
      <c r="J877" s="3699">
        <f t="shared" si="403"/>
        <v>0</v>
      </c>
      <c r="K877" s="3699">
        <f t="shared" si="403"/>
        <v>52.710000000000008</v>
      </c>
      <c r="L877" s="3699">
        <f t="shared" si="403"/>
        <v>238.70000000000002</v>
      </c>
      <c r="M877" s="3707">
        <f>$M$250*M876</f>
        <v>0</v>
      </c>
      <c r="N877" s="3834"/>
      <c r="O877" s="3835"/>
      <c r="P877" s="3835"/>
      <c r="Q877" s="3835"/>
      <c r="R877" s="3836"/>
      <c r="S877" s="1172"/>
      <c r="T877" s="1172"/>
      <c r="U877" s="1172"/>
      <c r="V877" s="3533"/>
      <c r="W877" s="3534"/>
      <c r="X877" s="3534"/>
      <c r="Y877" s="3534"/>
      <c r="Z877" s="3536"/>
      <c r="AA877" s="3533"/>
      <c r="AB877" s="3534"/>
      <c r="AC877" s="3536"/>
    </row>
    <row r="878" spans="2:29">
      <c r="B878" s="4211"/>
      <c r="C878" s="3530" t="s">
        <v>581</v>
      </c>
      <c r="D878" s="3706"/>
      <c r="E878" s="3699"/>
      <c r="F878" s="3699"/>
      <c r="G878" s="3699"/>
      <c r="H878" s="3707"/>
      <c r="I878" s="3706"/>
      <c r="J878" s="3699"/>
      <c r="K878" s="3699"/>
      <c r="L878" s="3699"/>
      <c r="M878" s="3707"/>
      <c r="N878" s="3834"/>
      <c r="O878" s="3835"/>
      <c r="P878" s="3835"/>
      <c r="Q878" s="3835"/>
      <c r="R878" s="3836"/>
      <c r="S878" s="1172"/>
      <c r="T878" s="1172"/>
      <c r="U878" s="1172"/>
      <c r="V878" s="3533"/>
      <c r="W878" s="3534"/>
      <c r="X878" s="3534"/>
      <c r="Y878" s="3534"/>
      <c r="Z878" s="3536"/>
      <c r="AA878" s="3533"/>
      <c r="AB878" s="3534"/>
      <c r="AC878" s="3536"/>
    </row>
    <row r="879" spans="2:29">
      <c r="B879" s="4211"/>
      <c r="C879" s="3529" t="s">
        <v>584</v>
      </c>
      <c r="D879" s="3708">
        <f t="shared" ref="D879:M879" si="404">D876+D877+D878</f>
        <v>0</v>
      </c>
      <c r="E879" s="3701">
        <f t="shared" si="404"/>
        <v>0</v>
      </c>
      <c r="F879" s="3701">
        <f t="shared" si="404"/>
        <v>447.26</v>
      </c>
      <c r="G879" s="3701">
        <f t="shared" si="404"/>
        <v>0</v>
      </c>
      <c r="H879" s="3709">
        <f t="shared" si="404"/>
        <v>0</v>
      </c>
      <c r="I879" s="3708">
        <f t="shared" si="404"/>
        <v>0</v>
      </c>
      <c r="J879" s="3701">
        <f t="shared" si="404"/>
        <v>0</v>
      </c>
      <c r="K879" s="3701">
        <f t="shared" si="404"/>
        <v>805.71</v>
      </c>
      <c r="L879" s="3701">
        <f t="shared" si="404"/>
        <v>3648.7</v>
      </c>
      <c r="M879" s="3709">
        <f t="shared" si="404"/>
        <v>12365</v>
      </c>
      <c r="N879" s="3856"/>
      <c r="O879" s="3857"/>
      <c r="P879" s="3857"/>
      <c r="Q879" s="3857"/>
      <c r="R879" s="3858"/>
      <c r="S879" s="1172"/>
      <c r="T879" s="1172"/>
      <c r="U879" s="1172"/>
      <c r="V879" s="3533"/>
      <c r="W879" s="3534"/>
      <c r="X879" s="3534"/>
      <c r="Y879" s="3534"/>
      <c r="Z879" s="3536"/>
      <c r="AA879" s="3533"/>
      <c r="AB879" s="3534"/>
      <c r="AC879" s="3536"/>
    </row>
    <row r="880" spans="2:29">
      <c r="B880" s="4211"/>
      <c r="C880" s="3530" t="s">
        <v>605</v>
      </c>
      <c r="D880" s="3706"/>
      <c r="E880" s="3699"/>
      <c r="F880" s="3699"/>
      <c r="G880" s="3699"/>
      <c r="H880" s="3707"/>
      <c r="I880" s="3706"/>
      <c r="J880" s="3699"/>
      <c r="K880" s="3699"/>
      <c r="L880" s="3699"/>
      <c r="M880" s="3707"/>
      <c r="N880" s="3834"/>
      <c r="O880" s="3835"/>
      <c r="P880" s="3835"/>
      <c r="Q880" s="3835"/>
      <c r="R880" s="3836"/>
      <c r="S880" s="1172"/>
      <c r="T880" s="1172"/>
      <c r="U880" s="1172"/>
      <c r="V880" s="3533"/>
      <c r="W880" s="3534"/>
      <c r="X880" s="3534"/>
      <c r="Y880" s="3534"/>
      <c r="Z880" s="3536"/>
      <c r="AA880" s="3533"/>
      <c r="AB880" s="3534"/>
      <c r="AC880" s="3536"/>
    </row>
    <row r="881" spans="2:29">
      <c r="B881" s="4211"/>
      <c r="C881" s="3529" t="s">
        <v>585</v>
      </c>
      <c r="D881" s="3708">
        <f t="shared" ref="D881:M881" si="405">D879-D880</f>
        <v>0</v>
      </c>
      <c r="E881" s="3701">
        <f t="shared" si="405"/>
        <v>0</v>
      </c>
      <c r="F881" s="3701">
        <f t="shared" si="405"/>
        <v>447.26</v>
      </c>
      <c r="G881" s="3701">
        <f t="shared" si="405"/>
        <v>0</v>
      </c>
      <c r="H881" s="3709">
        <f t="shared" si="405"/>
        <v>0</v>
      </c>
      <c r="I881" s="3708">
        <f t="shared" si="405"/>
        <v>0</v>
      </c>
      <c r="J881" s="3701">
        <f t="shared" si="405"/>
        <v>0</v>
      </c>
      <c r="K881" s="3701">
        <f t="shared" si="405"/>
        <v>805.71</v>
      </c>
      <c r="L881" s="3701">
        <f t="shared" si="405"/>
        <v>3648.7</v>
      </c>
      <c r="M881" s="3709">
        <f t="shared" si="405"/>
        <v>12365</v>
      </c>
      <c r="N881" s="3856"/>
      <c r="O881" s="3857"/>
      <c r="P881" s="3857"/>
      <c r="Q881" s="3857"/>
      <c r="R881" s="3858"/>
      <c r="S881" s="1172"/>
      <c r="T881" s="1172"/>
      <c r="U881" s="1172"/>
      <c r="V881" s="3533"/>
      <c r="W881" s="3534"/>
      <c r="X881" s="3534"/>
      <c r="Y881" s="3534"/>
      <c r="Z881" s="3536"/>
      <c r="AA881" s="3533"/>
      <c r="AB881" s="3534"/>
      <c r="AC881" s="3536"/>
    </row>
    <row r="882" spans="2:29" ht="13.5" thickBot="1">
      <c r="B882" s="4212"/>
      <c r="C882" s="3532" t="s">
        <v>93</v>
      </c>
      <c r="D882" s="470"/>
      <c r="E882" s="468"/>
      <c r="F882" s="468">
        <f t="shared" ref="F882:M882" si="406">F881/F872</f>
        <v>447.26</v>
      </c>
      <c r="G882" s="468"/>
      <c r="H882" s="530"/>
      <c r="I882" s="470"/>
      <c r="J882" s="468"/>
      <c r="K882" s="468">
        <f t="shared" si="406"/>
        <v>805.71</v>
      </c>
      <c r="L882" s="468">
        <f t="shared" si="406"/>
        <v>1824.35</v>
      </c>
      <c r="M882" s="530">
        <f t="shared" si="406"/>
        <v>1236.5</v>
      </c>
      <c r="N882" s="3834"/>
      <c r="O882" s="3835"/>
      <c r="P882" s="3835"/>
      <c r="Q882" s="3835"/>
      <c r="R882" s="3836"/>
      <c r="S882" s="1172"/>
      <c r="T882" s="1172"/>
      <c r="U882" s="1172"/>
      <c r="V882" s="3533"/>
      <c r="W882" s="3534"/>
      <c r="X882" s="3534"/>
      <c r="Y882" s="3534"/>
      <c r="Z882" s="3536"/>
      <c r="AA882" s="3533"/>
      <c r="AB882" s="3534"/>
      <c r="AC882" s="3536"/>
    </row>
    <row r="883" spans="2:29">
      <c r="B883" s="4210" t="s">
        <v>1856</v>
      </c>
      <c r="C883" s="3537" t="s">
        <v>90</v>
      </c>
      <c r="D883" s="3737">
        <f>D165</f>
        <v>0</v>
      </c>
      <c r="E883" s="3736">
        <f t="shared" ref="E883:M883" si="407">E165</f>
        <v>0</v>
      </c>
      <c r="F883" s="3736">
        <f t="shared" si="407"/>
        <v>2</v>
      </c>
      <c r="G883" s="3736">
        <f t="shared" si="407"/>
        <v>0</v>
      </c>
      <c r="H883" s="3735">
        <f t="shared" si="407"/>
        <v>0</v>
      </c>
      <c r="I883" s="3737">
        <f t="shared" si="407"/>
        <v>0</v>
      </c>
      <c r="J883" s="3736">
        <f t="shared" si="407"/>
        <v>0</v>
      </c>
      <c r="K883" s="3736">
        <f t="shared" si="407"/>
        <v>3</v>
      </c>
      <c r="L883" s="3736">
        <f t="shared" si="407"/>
        <v>2</v>
      </c>
      <c r="M883" s="3735">
        <f t="shared" si="407"/>
        <v>8</v>
      </c>
      <c r="N883" s="3843"/>
      <c r="O883" s="3844"/>
      <c r="P883" s="3844"/>
      <c r="Q883" s="3844"/>
      <c r="R883" s="3845"/>
      <c r="S883" s="1172"/>
      <c r="T883" s="1172"/>
      <c r="U883" s="1172"/>
      <c r="V883" s="3533"/>
      <c r="W883" s="3534"/>
      <c r="X883" s="3534"/>
      <c r="Y883" s="3534"/>
      <c r="Z883" s="3536"/>
      <c r="AA883" s="3533"/>
      <c r="AB883" s="3534"/>
      <c r="AC883" s="3536"/>
    </row>
    <row r="884" spans="2:29">
      <c r="B884" s="4211"/>
      <c r="C884" s="3530" t="s">
        <v>559</v>
      </c>
      <c r="D884" s="3706"/>
      <c r="E884" s="3699"/>
      <c r="F884" s="3699"/>
      <c r="G884" s="3699"/>
      <c r="H884" s="3707"/>
      <c r="I884" s="3706"/>
      <c r="J884" s="3699"/>
      <c r="K884" s="3699"/>
      <c r="L884" s="3699"/>
      <c r="M884" s="3707"/>
      <c r="N884" s="3834"/>
      <c r="O884" s="3835"/>
      <c r="P884" s="3835"/>
      <c r="Q884" s="3835"/>
      <c r="R884" s="3836"/>
      <c r="S884" s="1172"/>
      <c r="T884" s="1172"/>
      <c r="U884" s="1172"/>
      <c r="V884" s="3533"/>
      <c r="W884" s="3534"/>
      <c r="X884" s="3534"/>
      <c r="Y884" s="3534"/>
      <c r="Z884" s="3536"/>
      <c r="AA884" s="3533"/>
      <c r="AB884" s="3534"/>
      <c r="AC884" s="3536"/>
    </row>
    <row r="885" spans="2:29">
      <c r="B885" s="4211"/>
      <c r="C885" s="3530" t="s">
        <v>558</v>
      </c>
      <c r="D885" s="3706"/>
      <c r="E885" s="3699"/>
      <c r="F885" s="3699"/>
      <c r="G885" s="3699"/>
      <c r="H885" s="3707"/>
      <c r="I885" s="3706"/>
      <c r="J885" s="3699"/>
      <c r="K885" s="3699"/>
      <c r="L885" s="3699"/>
      <c r="M885" s="3707"/>
      <c r="N885" s="3834"/>
      <c r="O885" s="3835"/>
      <c r="P885" s="3835"/>
      <c r="Q885" s="3835"/>
      <c r="R885" s="3836"/>
      <c r="S885" s="1172"/>
      <c r="T885" s="1172"/>
      <c r="U885" s="1172"/>
      <c r="V885" s="3533"/>
      <c r="W885" s="3534"/>
      <c r="X885" s="3534"/>
      <c r="Y885" s="3534"/>
      <c r="Z885" s="3536"/>
      <c r="AA885" s="3533"/>
      <c r="AB885" s="3534"/>
      <c r="AC885" s="3536"/>
    </row>
    <row r="886" spans="2:29">
      <c r="B886" s="4211"/>
      <c r="C886" s="3530" t="s">
        <v>578</v>
      </c>
      <c r="D886" s="3706"/>
      <c r="E886" s="3699"/>
      <c r="F886" s="3699"/>
      <c r="G886" s="3699"/>
      <c r="H886" s="3707"/>
      <c r="I886" s="3706"/>
      <c r="J886" s="3699"/>
      <c r="K886" s="3699"/>
      <c r="L886" s="3699"/>
      <c r="M886" s="3707"/>
      <c r="N886" s="3834"/>
      <c r="O886" s="3835"/>
      <c r="P886" s="3835"/>
      <c r="Q886" s="3835"/>
      <c r="R886" s="3836"/>
      <c r="S886" s="1172"/>
      <c r="T886" s="1172"/>
      <c r="U886" s="1172"/>
      <c r="V886" s="3533"/>
      <c r="W886" s="3534"/>
      <c r="X886" s="3534"/>
      <c r="Y886" s="3534"/>
      <c r="Z886" s="3536"/>
      <c r="AA886" s="3533"/>
      <c r="AB886" s="3534"/>
      <c r="AC886" s="3536"/>
    </row>
    <row r="887" spans="2:29">
      <c r="B887" s="4211"/>
      <c r="C887" s="3529" t="s">
        <v>579</v>
      </c>
      <c r="D887" s="3711">
        <v>0</v>
      </c>
      <c r="E887" s="468">
        <v>0</v>
      </c>
      <c r="F887" s="468">
        <v>836</v>
      </c>
      <c r="G887" s="468">
        <v>0</v>
      </c>
      <c r="H887" s="530">
        <v>0</v>
      </c>
      <c r="I887" s="3711">
        <v>0</v>
      </c>
      <c r="J887" s="468"/>
      <c r="K887" s="468">
        <v>2258</v>
      </c>
      <c r="L887" s="468">
        <v>3410</v>
      </c>
      <c r="M887" s="530">
        <v>9892</v>
      </c>
      <c r="N887" s="3855"/>
      <c r="O887" s="3835"/>
      <c r="P887" s="3835"/>
      <c r="Q887" s="3835"/>
      <c r="R887" s="3836"/>
      <c r="S887" s="1172"/>
      <c r="T887" s="1172"/>
      <c r="U887" s="1172"/>
      <c r="V887" s="3533"/>
      <c r="W887" s="3534"/>
      <c r="X887" s="3534"/>
      <c r="Y887" s="3534"/>
      <c r="Z887" s="3536"/>
      <c r="AA887" s="3533"/>
      <c r="AB887" s="3534"/>
      <c r="AC887" s="3536"/>
    </row>
    <row r="888" spans="2:29">
      <c r="B888" s="4211"/>
      <c r="C888" s="3530" t="s">
        <v>583</v>
      </c>
      <c r="D888" s="3706">
        <f>0.07*D887</f>
        <v>0</v>
      </c>
      <c r="E888" s="3699">
        <f t="shared" ref="E888:L888" si="408">0.07*E887</f>
        <v>0</v>
      </c>
      <c r="F888" s="3699">
        <f t="shared" si="408"/>
        <v>58.52</v>
      </c>
      <c r="G888" s="3699">
        <f t="shared" si="408"/>
        <v>0</v>
      </c>
      <c r="H888" s="3707">
        <f t="shared" si="408"/>
        <v>0</v>
      </c>
      <c r="I888" s="3706">
        <f t="shared" si="408"/>
        <v>0</v>
      </c>
      <c r="J888" s="3699">
        <f t="shared" si="408"/>
        <v>0</v>
      </c>
      <c r="K888" s="3699">
        <f t="shared" si="408"/>
        <v>158.06</v>
      </c>
      <c r="L888" s="3699">
        <f t="shared" si="408"/>
        <v>238.70000000000002</v>
      </c>
      <c r="M888" s="3707">
        <f>$M$250*M887</f>
        <v>0</v>
      </c>
      <c r="N888" s="3834"/>
      <c r="O888" s="3835"/>
      <c r="P888" s="3835"/>
      <c r="Q888" s="3835"/>
      <c r="R888" s="3836"/>
      <c r="S888" s="1172"/>
      <c r="T888" s="1172"/>
      <c r="U888" s="1172"/>
      <c r="V888" s="3533"/>
      <c r="W888" s="3534"/>
      <c r="X888" s="3534"/>
      <c r="Y888" s="3534"/>
      <c r="Z888" s="3536"/>
      <c r="AA888" s="3533"/>
      <c r="AB888" s="3534"/>
      <c r="AC888" s="3536"/>
    </row>
    <row r="889" spans="2:29">
      <c r="B889" s="4211"/>
      <c r="C889" s="3530" t="s">
        <v>581</v>
      </c>
      <c r="D889" s="3706"/>
      <c r="E889" s="3699"/>
      <c r="F889" s="3699"/>
      <c r="G889" s="3699"/>
      <c r="H889" s="3707"/>
      <c r="I889" s="3706"/>
      <c r="J889" s="3699"/>
      <c r="K889" s="3699"/>
      <c r="L889" s="3699"/>
      <c r="M889" s="3707"/>
      <c r="N889" s="3834"/>
      <c r="O889" s="3835"/>
      <c r="P889" s="3835"/>
      <c r="Q889" s="3835"/>
      <c r="R889" s="3836"/>
      <c r="S889" s="1172"/>
      <c r="T889" s="1172"/>
      <c r="U889" s="1172"/>
      <c r="V889" s="3533"/>
      <c r="W889" s="3534"/>
      <c r="X889" s="3534"/>
      <c r="Y889" s="3534"/>
      <c r="Z889" s="3536"/>
      <c r="AA889" s="3533"/>
      <c r="AB889" s="3534"/>
      <c r="AC889" s="3536"/>
    </row>
    <row r="890" spans="2:29">
      <c r="B890" s="4211"/>
      <c r="C890" s="3529" t="s">
        <v>584</v>
      </c>
      <c r="D890" s="3708">
        <f t="shared" ref="D890:M890" si="409">D887+D888+D889</f>
        <v>0</v>
      </c>
      <c r="E890" s="3701">
        <f t="shared" si="409"/>
        <v>0</v>
      </c>
      <c r="F890" s="3701">
        <f t="shared" si="409"/>
        <v>894.52</v>
      </c>
      <c r="G890" s="3701">
        <f t="shared" si="409"/>
        <v>0</v>
      </c>
      <c r="H890" s="3709">
        <f t="shared" si="409"/>
        <v>0</v>
      </c>
      <c r="I890" s="3708">
        <f t="shared" si="409"/>
        <v>0</v>
      </c>
      <c r="J890" s="3701">
        <f t="shared" si="409"/>
        <v>0</v>
      </c>
      <c r="K890" s="3701">
        <f t="shared" si="409"/>
        <v>2416.06</v>
      </c>
      <c r="L890" s="3701">
        <f t="shared" si="409"/>
        <v>3648.7</v>
      </c>
      <c r="M890" s="3709">
        <f t="shared" si="409"/>
        <v>9892</v>
      </c>
      <c r="N890" s="3856"/>
      <c r="O890" s="3857"/>
      <c r="P890" s="3857"/>
      <c r="Q890" s="3857"/>
      <c r="R890" s="3858"/>
      <c r="S890" s="1172"/>
      <c r="T890" s="1172"/>
      <c r="U890" s="1172"/>
      <c r="V890" s="3533"/>
      <c r="W890" s="3534"/>
      <c r="X890" s="3534"/>
      <c r="Y890" s="3534"/>
      <c r="Z890" s="3536"/>
      <c r="AA890" s="3533"/>
      <c r="AB890" s="3534"/>
      <c r="AC890" s="3536"/>
    </row>
    <row r="891" spans="2:29">
      <c r="B891" s="4211"/>
      <c r="C891" s="3530" t="s">
        <v>605</v>
      </c>
      <c r="D891" s="3706"/>
      <c r="E891" s="3699"/>
      <c r="F891" s="3699"/>
      <c r="G891" s="3699"/>
      <c r="H891" s="3707"/>
      <c r="I891" s="3706"/>
      <c r="J891" s="3699"/>
      <c r="K891" s="3699"/>
      <c r="L891" s="3699"/>
      <c r="M891" s="3707"/>
      <c r="N891" s="3834"/>
      <c r="O891" s="3835"/>
      <c r="P891" s="3835"/>
      <c r="Q891" s="3835"/>
      <c r="R891" s="3836"/>
      <c r="S891" s="1172"/>
      <c r="T891" s="1172"/>
      <c r="U891" s="1172"/>
      <c r="V891" s="3533"/>
      <c r="W891" s="3534"/>
      <c r="X891" s="3534"/>
      <c r="Y891" s="3534"/>
      <c r="Z891" s="3536"/>
      <c r="AA891" s="3533"/>
      <c r="AB891" s="3534"/>
      <c r="AC891" s="3536"/>
    </row>
    <row r="892" spans="2:29">
      <c r="B892" s="4211"/>
      <c r="C892" s="3529" t="s">
        <v>585</v>
      </c>
      <c r="D892" s="3708">
        <f t="shared" ref="D892:M892" si="410">D890-D891</f>
        <v>0</v>
      </c>
      <c r="E892" s="3701">
        <f t="shared" si="410"/>
        <v>0</v>
      </c>
      <c r="F892" s="3701">
        <f t="shared" si="410"/>
        <v>894.52</v>
      </c>
      <c r="G892" s="3701">
        <f t="shared" si="410"/>
        <v>0</v>
      </c>
      <c r="H892" s="3709">
        <f t="shared" si="410"/>
        <v>0</v>
      </c>
      <c r="I892" s="3708">
        <f t="shared" si="410"/>
        <v>0</v>
      </c>
      <c r="J892" s="3701">
        <f t="shared" si="410"/>
        <v>0</v>
      </c>
      <c r="K892" s="3701">
        <f t="shared" si="410"/>
        <v>2416.06</v>
      </c>
      <c r="L892" s="3701">
        <f t="shared" si="410"/>
        <v>3648.7</v>
      </c>
      <c r="M892" s="3709">
        <f t="shared" si="410"/>
        <v>9892</v>
      </c>
      <c r="N892" s="3856"/>
      <c r="O892" s="3857"/>
      <c r="P892" s="3857"/>
      <c r="Q892" s="3857"/>
      <c r="R892" s="3858"/>
      <c r="S892" s="1172"/>
      <c r="T892" s="1172"/>
      <c r="U892" s="1172"/>
      <c r="V892" s="3533"/>
      <c r="W892" s="3534"/>
      <c r="X892" s="3534"/>
      <c r="Y892" s="3534"/>
      <c r="Z892" s="3536"/>
      <c r="AA892" s="3533"/>
      <c r="AB892" s="3534"/>
      <c r="AC892" s="3536"/>
    </row>
    <row r="893" spans="2:29" ht="13.5" thickBot="1">
      <c r="B893" s="4212"/>
      <c r="C893" s="3532" t="s">
        <v>93</v>
      </c>
      <c r="D893" s="3712"/>
      <c r="E893" s="3734"/>
      <c r="F893" s="3734">
        <f t="shared" ref="F893:M893" si="411">F892/F883</f>
        <v>447.26</v>
      </c>
      <c r="G893" s="3734"/>
      <c r="H893" s="3733"/>
      <c r="I893" s="3712"/>
      <c r="J893" s="3734"/>
      <c r="K893" s="3734">
        <f t="shared" si="411"/>
        <v>805.35333333333335</v>
      </c>
      <c r="L893" s="3734">
        <f t="shared" si="411"/>
        <v>1824.35</v>
      </c>
      <c r="M893" s="3733">
        <f t="shared" si="411"/>
        <v>1236.5</v>
      </c>
      <c r="N893" s="3840"/>
      <c r="O893" s="3846"/>
      <c r="P893" s="3846"/>
      <c r="Q893" s="3846"/>
      <c r="R893" s="3847"/>
      <c r="S893" s="1172"/>
      <c r="T893" s="1172"/>
      <c r="U893" s="1172"/>
      <c r="V893" s="3533"/>
      <c r="W893" s="3534"/>
      <c r="X893" s="3534"/>
      <c r="Y893" s="3534"/>
      <c r="Z893" s="3536"/>
      <c r="AA893" s="3533"/>
      <c r="AB893" s="3534"/>
      <c r="AC893" s="3536"/>
    </row>
    <row r="894" spans="2:29">
      <c r="B894" s="4210" t="s">
        <v>1857</v>
      </c>
      <c r="C894" s="3537" t="s">
        <v>90</v>
      </c>
      <c r="D894" s="3706">
        <f>D168</f>
        <v>1</v>
      </c>
      <c r="E894" s="3699">
        <f t="shared" ref="E894:M894" si="412">E168</f>
        <v>0</v>
      </c>
      <c r="F894" s="3699">
        <f t="shared" si="412"/>
        <v>0</v>
      </c>
      <c r="G894" s="3699">
        <f t="shared" si="412"/>
        <v>0</v>
      </c>
      <c r="H894" s="3707">
        <f t="shared" si="412"/>
        <v>0</v>
      </c>
      <c r="I894" s="3706">
        <f t="shared" si="412"/>
        <v>0</v>
      </c>
      <c r="J894" s="3699">
        <f t="shared" si="412"/>
        <v>0</v>
      </c>
      <c r="K894" s="3699">
        <f t="shared" si="412"/>
        <v>1</v>
      </c>
      <c r="L894" s="3699">
        <f t="shared" si="412"/>
        <v>0</v>
      </c>
      <c r="M894" s="3707">
        <f t="shared" si="412"/>
        <v>3</v>
      </c>
      <c r="N894" s="3834"/>
      <c r="O894" s="3835"/>
      <c r="P894" s="3835"/>
      <c r="Q894" s="3835"/>
      <c r="R894" s="3836"/>
      <c r="S894" s="1172"/>
      <c r="T894" s="1172"/>
      <c r="U894" s="1172"/>
      <c r="V894" s="3533"/>
      <c r="W894" s="3534"/>
      <c r="X894" s="3534"/>
      <c r="Y894" s="3534"/>
      <c r="Z894" s="3536"/>
      <c r="AA894" s="3533"/>
      <c r="AB894" s="3534"/>
      <c r="AC894" s="3536"/>
    </row>
    <row r="895" spans="2:29">
      <c r="B895" s="4211"/>
      <c r="C895" s="3530" t="s">
        <v>559</v>
      </c>
      <c r="D895" s="3706"/>
      <c r="E895" s="3699"/>
      <c r="F895" s="3699"/>
      <c r="G895" s="3699"/>
      <c r="H895" s="3707"/>
      <c r="I895" s="3706"/>
      <c r="J895" s="3699"/>
      <c r="K895" s="3699"/>
      <c r="L895" s="3699"/>
      <c r="M895" s="3707"/>
      <c r="N895" s="3834"/>
      <c r="O895" s="3835"/>
      <c r="P895" s="3835"/>
      <c r="Q895" s="3835"/>
      <c r="R895" s="3836"/>
      <c r="S895" s="1172"/>
      <c r="T895" s="1172"/>
      <c r="U895" s="1172"/>
      <c r="V895" s="3533"/>
      <c r="W895" s="3534"/>
      <c r="X895" s="3534"/>
      <c r="Y895" s="3534"/>
      <c r="Z895" s="3536"/>
      <c r="AA895" s="3533"/>
      <c r="AB895" s="3534"/>
      <c r="AC895" s="3536"/>
    </row>
    <row r="896" spans="2:29">
      <c r="B896" s="4211"/>
      <c r="C896" s="3530" t="s">
        <v>558</v>
      </c>
      <c r="D896" s="3706"/>
      <c r="E896" s="3699"/>
      <c r="F896" s="3699"/>
      <c r="G896" s="3699"/>
      <c r="H896" s="3707"/>
      <c r="I896" s="3706"/>
      <c r="J896" s="3699"/>
      <c r="K896" s="3699"/>
      <c r="L896" s="3699"/>
      <c r="M896" s="3707"/>
      <c r="N896" s="3834"/>
      <c r="O896" s="3835"/>
      <c r="P896" s="3835"/>
      <c r="Q896" s="3835"/>
      <c r="R896" s="3836"/>
      <c r="S896" s="1172"/>
      <c r="T896" s="1172"/>
      <c r="U896" s="1172"/>
      <c r="V896" s="3533"/>
      <c r="W896" s="3534"/>
      <c r="X896" s="3534"/>
      <c r="Y896" s="3534"/>
      <c r="Z896" s="3536"/>
      <c r="AA896" s="3533"/>
      <c r="AB896" s="3534"/>
      <c r="AC896" s="3536"/>
    </row>
    <row r="897" spans="2:29">
      <c r="B897" s="4211"/>
      <c r="C897" s="3530" t="s">
        <v>578</v>
      </c>
      <c r="D897" s="3706"/>
      <c r="E897" s="3699"/>
      <c r="F897" s="3699"/>
      <c r="G897" s="3699"/>
      <c r="H897" s="3707"/>
      <c r="I897" s="3706"/>
      <c r="J897" s="3699"/>
      <c r="K897" s="3699"/>
      <c r="L897" s="3699"/>
      <c r="M897" s="3707"/>
      <c r="N897" s="3834"/>
      <c r="O897" s="3835"/>
      <c r="P897" s="3835"/>
      <c r="Q897" s="3835"/>
      <c r="R897" s="3836"/>
      <c r="S897" s="1172"/>
      <c r="T897" s="1172"/>
      <c r="U897" s="1172"/>
      <c r="V897" s="3533"/>
      <c r="W897" s="3534"/>
      <c r="X897" s="3534"/>
      <c r="Y897" s="3534"/>
      <c r="Z897" s="3536"/>
      <c r="AA897" s="3533"/>
      <c r="AB897" s="3534"/>
      <c r="AC897" s="3536"/>
    </row>
    <row r="898" spans="2:29">
      <c r="B898" s="4211"/>
      <c r="C898" s="3529" t="s">
        <v>579</v>
      </c>
      <c r="D898" s="3711">
        <v>793</v>
      </c>
      <c r="E898" s="468">
        <v>0</v>
      </c>
      <c r="F898" s="468">
        <v>0</v>
      </c>
      <c r="G898" s="468">
        <v>0</v>
      </c>
      <c r="H898" s="530">
        <v>0</v>
      </c>
      <c r="I898" s="3711">
        <v>0</v>
      </c>
      <c r="J898" s="468"/>
      <c r="K898" s="468">
        <v>753</v>
      </c>
      <c r="L898" s="468">
        <v>0</v>
      </c>
      <c r="M898" s="530">
        <v>3709</v>
      </c>
      <c r="N898" s="3855"/>
      <c r="O898" s="3835"/>
      <c r="P898" s="3835"/>
      <c r="Q898" s="3835"/>
      <c r="R898" s="3836"/>
      <c r="S898" s="1172"/>
      <c r="T898" s="1172"/>
      <c r="U898" s="1172"/>
      <c r="V898" s="3533"/>
      <c r="W898" s="3534"/>
      <c r="X898" s="3534"/>
      <c r="Y898" s="3534"/>
      <c r="Z898" s="3536"/>
      <c r="AA898" s="3533"/>
      <c r="AB898" s="3534"/>
      <c r="AC898" s="3536"/>
    </row>
    <row r="899" spans="2:29">
      <c r="B899" s="4211"/>
      <c r="C899" s="3530" t="s">
        <v>583</v>
      </c>
      <c r="D899" s="3706">
        <f>0.07*D898</f>
        <v>55.510000000000005</v>
      </c>
      <c r="E899" s="3699">
        <f t="shared" ref="E899:L899" si="413">0.07*E898</f>
        <v>0</v>
      </c>
      <c r="F899" s="3699">
        <f t="shared" si="413"/>
        <v>0</v>
      </c>
      <c r="G899" s="3699">
        <f t="shared" si="413"/>
        <v>0</v>
      </c>
      <c r="H899" s="3707">
        <f t="shared" si="413"/>
        <v>0</v>
      </c>
      <c r="I899" s="3706">
        <f t="shared" si="413"/>
        <v>0</v>
      </c>
      <c r="J899" s="3699">
        <f t="shared" si="413"/>
        <v>0</v>
      </c>
      <c r="K899" s="3699">
        <f t="shared" si="413"/>
        <v>52.710000000000008</v>
      </c>
      <c r="L899" s="3699">
        <f t="shared" si="413"/>
        <v>0</v>
      </c>
      <c r="M899" s="3707">
        <f>$M$250*M898</f>
        <v>0</v>
      </c>
      <c r="N899" s="3834"/>
      <c r="O899" s="3835"/>
      <c r="P899" s="3835"/>
      <c r="Q899" s="3835"/>
      <c r="R899" s="3836"/>
      <c r="S899" s="1172"/>
      <c r="T899" s="1172"/>
      <c r="U899" s="1172"/>
      <c r="V899" s="3533"/>
      <c r="W899" s="3534"/>
      <c r="X899" s="3534"/>
      <c r="Y899" s="3534"/>
      <c r="Z899" s="3536"/>
      <c r="AA899" s="3533"/>
      <c r="AB899" s="3534"/>
      <c r="AC899" s="3536"/>
    </row>
    <row r="900" spans="2:29">
      <c r="B900" s="4211"/>
      <c r="C900" s="3530" t="s">
        <v>581</v>
      </c>
      <c r="D900" s="3706"/>
      <c r="E900" s="3699"/>
      <c r="F900" s="3699"/>
      <c r="G900" s="3699"/>
      <c r="H900" s="3707"/>
      <c r="I900" s="3706"/>
      <c r="J900" s="3699"/>
      <c r="K900" s="3699"/>
      <c r="L900" s="3699"/>
      <c r="M900" s="3707"/>
      <c r="N900" s="3834"/>
      <c r="O900" s="3835"/>
      <c r="P900" s="3835"/>
      <c r="Q900" s="3835"/>
      <c r="R900" s="3836"/>
      <c r="S900" s="1172"/>
      <c r="T900" s="1172"/>
      <c r="U900" s="1172"/>
      <c r="V900" s="3533"/>
      <c r="W900" s="3534"/>
      <c r="X900" s="3534"/>
      <c r="Y900" s="3534"/>
      <c r="Z900" s="3536"/>
      <c r="AA900" s="3533"/>
      <c r="AB900" s="3534"/>
      <c r="AC900" s="3536"/>
    </row>
    <row r="901" spans="2:29">
      <c r="B901" s="4211"/>
      <c r="C901" s="3529" t="s">
        <v>584</v>
      </c>
      <c r="D901" s="3708">
        <f t="shared" ref="D901:M901" si="414">D898+D899+D900</f>
        <v>848.51</v>
      </c>
      <c r="E901" s="3701">
        <f t="shared" si="414"/>
        <v>0</v>
      </c>
      <c r="F901" s="3701">
        <f t="shared" si="414"/>
        <v>0</v>
      </c>
      <c r="G901" s="3701">
        <f t="shared" si="414"/>
        <v>0</v>
      </c>
      <c r="H901" s="3709">
        <f t="shared" si="414"/>
        <v>0</v>
      </c>
      <c r="I901" s="3708">
        <f t="shared" si="414"/>
        <v>0</v>
      </c>
      <c r="J901" s="3701">
        <f t="shared" si="414"/>
        <v>0</v>
      </c>
      <c r="K901" s="3701">
        <f t="shared" si="414"/>
        <v>805.71</v>
      </c>
      <c r="L901" s="3701">
        <f t="shared" si="414"/>
        <v>0</v>
      </c>
      <c r="M901" s="3709">
        <f t="shared" si="414"/>
        <v>3709</v>
      </c>
      <c r="N901" s="3856"/>
      <c r="O901" s="3857"/>
      <c r="P901" s="3857"/>
      <c r="Q901" s="3857"/>
      <c r="R901" s="3858"/>
      <c r="S901" s="1172"/>
      <c r="T901" s="1172"/>
      <c r="U901" s="1172"/>
      <c r="V901" s="3533"/>
      <c r="W901" s="3534"/>
      <c r="X901" s="3534"/>
      <c r="Y901" s="3534"/>
      <c r="Z901" s="3536"/>
      <c r="AA901" s="3533"/>
      <c r="AB901" s="3534"/>
      <c r="AC901" s="3536"/>
    </row>
    <row r="902" spans="2:29">
      <c r="B902" s="4211"/>
      <c r="C902" s="3530" t="s">
        <v>605</v>
      </c>
      <c r="D902" s="3706"/>
      <c r="E902" s="3699"/>
      <c r="F902" s="3699"/>
      <c r="G902" s="3699"/>
      <c r="H902" s="3707"/>
      <c r="I902" s="3706"/>
      <c r="J902" s="3699"/>
      <c r="K902" s="3699"/>
      <c r="L902" s="3699"/>
      <c r="M902" s="3707"/>
      <c r="N902" s="3834"/>
      <c r="O902" s="3835"/>
      <c r="P902" s="3835"/>
      <c r="Q902" s="3835"/>
      <c r="R902" s="3836"/>
      <c r="S902" s="1172"/>
      <c r="T902" s="1172"/>
      <c r="U902" s="1172"/>
      <c r="V902" s="3533"/>
      <c r="W902" s="3534"/>
      <c r="X902" s="3534"/>
      <c r="Y902" s="3534"/>
      <c r="Z902" s="3536"/>
      <c r="AA902" s="3533"/>
      <c r="AB902" s="3534"/>
      <c r="AC902" s="3536"/>
    </row>
    <row r="903" spans="2:29">
      <c r="B903" s="4211"/>
      <c r="C903" s="3529" t="s">
        <v>585</v>
      </c>
      <c r="D903" s="3708">
        <f t="shared" ref="D903:M903" si="415">D901-D902</f>
        <v>848.51</v>
      </c>
      <c r="E903" s="3701">
        <f t="shared" si="415"/>
        <v>0</v>
      </c>
      <c r="F903" s="3701">
        <f t="shared" si="415"/>
        <v>0</v>
      </c>
      <c r="G903" s="3701">
        <f t="shared" si="415"/>
        <v>0</v>
      </c>
      <c r="H903" s="3709">
        <f t="shared" si="415"/>
        <v>0</v>
      </c>
      <c r="I903" s="3708">
        <f t="shared" si="415"/>
        <v>0</v>
      </c>
      <c r="J903" s="3701">
        <f t="shared" si="415"/>
        <v>0</v>
      </c>
      <c r="K903" s="3701">
        <f t="shared" si="415"/>
        <v>805.71</v>
      </c>
      <c r="L903" s="3701">
        <f t="shared" si="415"/>
        <v>0</v>
      </c>
      <c r="M903" s="3709">
        <f t="shared" si="415"/>
        <v>3709</v>
      </c>
      <c r="N903" s="3856"/>
      <c r="O903" s="3857"/>
      <c r="P903" s="3857"/>
      <c r="Q903" s="3857"/>
      <c r="R903" s="3858"/>
      <c r="S903" s="1172"/>
      <c r="T903" s="1172"/>
      <c r="U903" s="1172"/>
      <c r="V903" s="3533"/>
      <c r="W903" s="3534"/>
      <c r="X903" s="3534"/>
      <c r="Y903" s="3534"/>
      <c r="Z903" s="3536"/>
      <c r="AA903" s="3533"/>
      <c r="AB903" s="3534"/>
      <c r="AC903" s="3536"/>
    </row>
    <row r="904" spans="2:29" ht="13.5" thickBot="1">
      <c r="B904" s="4212"/>
      <c r="C904" s="3532" t="s">
        <v>93</v>
      </c>
      <c r="D904" s="3712">
        <f t="shared" ref="D904:M904" si="416">D903/D894</f>
        <v>848.51</v>
      </c>
      <c r="E904" s="3734"/>
      <c r="F904" s="3734"/>
      <c r="G904" s="3734"/>
      <c r="H904" s="3733"/>
      <c r="I904" s="3712"/>
      <c r="J904" s="3734"/>
      <c r="K904" s="3734">
        <f t="shared" si="416"/>
        <v>805.71</v>
      </c>
      <c r="L904" s="3734"/>
      <c r="M904" s="3733">
        <f t="shared" si="416"/>
        <v>1236.3333333333333</v>
      </c>
      <c r="N904" s="3840"/>
      <c r="O904" s="3846"/>
      <c r="P904" s="3846"/>
      <c r="Q904" s="3846"/>
      <c r="R904" s="3847"/>
      <c r="S904" s="1172"/>
      <c r="T904" s="1172"/>
      <c r="U904" s="1172"/>
      <c r="V904" s="3533"/>
      <c r="W904" s="3534"/>
      <c r="X904" s="3534"/>
      <c r="Y904" s="3534"/>
      <c r="Z904" s="3536"/>
      <c r="AA904" s="3533"/>
      <c r="AB904" s="3534"/>
      <c r="AC904" s="3536"/>
    </row>
    <row r="905" spans="2:29">
      <c r="B905" s="4210" t="s">
        <v>1858</v>
      </c>
      <c r="C905" s="3537" t="s">
        <v>90</v>
      </c>
      <c r="D905" s="3706">
        <f>D171</f>
        <v>0</v>
      </c>
      <c r="E905" s="3699">
        <f t="shared" ref="E905:M905" si="417">E171</f>
        <v>0</v>
      </c>
      <c r="F905" s="3699">
        <f t="shared" si="417"/>
        <v>0</v>
      </c>
      <c r="G905" s="3699">
        <f t="shared" si="417"/>
        <v>0</v>
      </c>
      <c r="H905" s="3707">
        <f t="shared" si="417"/>
        <v>0</v>
      </c>
      <c r="I905" s="3706">
        <f t="shared" si="417"/>
        <v>0</v>
      </c>
      <c r="J905" s="3699">
        <f t="shared" si="417"/>
        <v>0</v>
      </c>
      <c r="K905" s="3699">
        <f t="shared" si="417"/>
        <v>1</v>
      </c>
      <c r="L905" s="3699">
        <f t="shared" si="417"/>
        <v>0</v>
      </c>
      <c r="M905" s="3707">
        <f t="shared" si="417"/>
        <v>5</v>
      </c>
      <c r="N905" s="3834"/>
      <c r="O905" s="3835"/>
      <c r="P905" s="3835"/>
      <c r="Q905" s="3835"/>
      <c r="R905" s="3836"/>
      <c r="S905" s="1172"/>
      <c r="T905" s="1172"/>
      <c r="U905" s="1172"/>
      <c r="V905" s="3533"/>
      <c r="W905" s="3534"/>
      <c r="X905" s="3534"/>
      <c r="Y905" s="3534"/>
      <c r="Z905" s="3536"/>
      <c r="AA905" s="3533"/>
      <c r="AB905" s="3534"/>
      <c r="AC905" s="3536"/>
    </row>
    <row r="906" spans="2:29">
      <c r="B906" s="4211"/>
      <c r="C906" s="3530" t="s">
        <v>559</v>
      </c>
      <c r="D906" s="3706"/>
      <c r="E906" s="3699"/>
      <c r="F906" s="3699"/>
      <c r="G906" s="3699"/>
      <c r="H906" s="3707"/>
      <c r="I906" s="3706"/>
      <c r="J906" s="3699"/>
      <c r="K906" s="3699"/>
      <c r="L906" s="3699"/>
      <c r="M906" s="3707"/>
      <c r="N906" s="3834"/>
      <c r="O906" s="3835"/>
      <c r="P906" s="3835"/>
      <c r="Q906" s="3835"/>
      <c r="R906" s="3836"/>
      <c r="S906" s="1172"/>
      <c r="T906" s="1172"/>
      <c r="U906" s="1172"/>
      <c r="V906" s="3533"/>
      <c r="W906" s="3534"/>
      <c r="X906" s="3534"/>
      <c r="Y906" s="3534"/>
      <c r="Z906" s="3536"/>
      <c r="AA906" s="3533"/>
      <c r="AB906" s="3534"/>
      <c r="AC906" s="3536"/>
    </row>
    <row r="907" spans="2:29">
      <c r="B907" s="4211"/>
      <c r="C907" s="3530" t="s">
        <v>558</v>
      </c>
      <c r="D907" s="3706"/>
      <c r="E907" s="3699"/>
      <c r="F907" s="3699"/>
      <c r="G907" s="3699"/>
      <c r="H907" s="3707"/>
      <c r="I907" s="3706"/>
      <c r="J907" s="3699"/>
      <c r="K907" s="3699"/>
      <c r="L907" s="3699"/>
      <c r="M907" s="3707"/>
      <c r="N907" s="3834"/>
      <c r="O907" s="3835"/>
      <c r="P907" s="3835"/>
      <c r="Q907" s="3835"/>
      <c r="R907" s="3836"/>
      <c r="S907" s="1172"/>
      <c r="T907" s="1172"/>
      <c r="U907" s="1172"/>
      <c r="V907" s="3533"/>
      <c r="W907" s="3534"/>
      <c r="X907" s="3534"/>
      <c r="Y907" s="3534"/>
      <c r="Z907" s="3536"/>
      <c r="AA907" s="3533"/>
      <c r="AB907" s="3534"/>
      <c r="AC907" s="3536"/>
    </row>
    <row r="908" spans="2:29">
      <c r="B908" s="4211"/>
      <c r="C908" s="3530" t="s">
        <v>578</v>
      </c>
      <c r="D908" s="3706"/>
      <c r="E908" s="3699"/>
      <c r="F908" s="3699"/>
      <c r="G908" s="3699"/>
      <c r="H908" s="3707"/>
      <c r="I908" s="3706"/>
      <c r="J908" s="3699"/>
      <c r="K908" s="3699"/>
      <c r="L908" s="3699"/>
      <c r="M908" s="3707"/>
      <c r="N908" s="3834"/>
      <c r="O908" s="3835"/>
      <c r="P908" s="3835"/>
      <c r="Q908" s="3835"/>
      <c r="R908" s="3836"/>
      <c r="S908" s="1172"/>
      <c r="T908" s="1172"/>
      <c r="U908" s="1172"/>
      <c r="V908" s="3533"/>
      <c r="W908" s="3534"/>
      <c r="X908" s="3534"/>
      <c r="Y908" s="3534"/>
      <c r="Z908" s="3536"/>
      <c r="AA908" s="3533"/>
      <c r="AB908" s="3534"/>
      <c r="AC908" s="3536"/>
    </row>
    <row r="909" spans="2:29">
      <c r="B909" s="4211"/>
      <c r="C909" s="3529" t="s">
        <v>579</v>
      </c>
      <c r="D909" s="3711">
        <v>0</v>
      </c>
      <c r="E909" s="468">
        <v>0</v>
      </c>
      <c r="F909" s="468">
        <v>0</v>
      </c>
      <c r="G909" s="468">
        <v>0</v>
      </c>
      <c r="H909" s="530">
        <v>0</v>
      </c>
      <c r="I909" s="3711">
        <v>0</v>
      </c>
      <c r="J909" s="468"/>
      <c r="K909" s="468">
        <v>753</v>
      </c>
      <c r="L909" s="468">
        <v>0</v>
      </c>
      <c r="M909" s="530">
        <v>6182</v>
      </c>
      <c r="N909" s="3855"/>
      <c r="O909" s="3835"/>
      <c r="P909" s="3835"/>
      <c r="Q909" s="3835"/>
      <c r="R909" s="3836"/>
      <c r="S909" s="1172"/>
      <c r="T909" s="1172"/>
      <c r="U909" s="1172"/>
      <c r="V909" s="3533"/>
      <c r="W909" s="3534"/>
      <c r="X909" s="3534"/>
      <c r="Y909" s="3534"/>
      <c r="Z909" s="3536"/>
      <c r="AA909" s="3533"/>
      <c r="AB909" s="3534"/>
      <c r="AC909" s="3536"/>
    </row>
    <row r="910" spans="2:29">
      <c r="B910" s="4211"/>
      <c r="C910" s="3530" t="s">
        <v>583</v>
      </c>
      <c r="D910" s="3706">
        <f>0.07*D909</f>
        <v>0</v>
      </c>
      <c r="E910" s="3699">
        <f t="shared" ref="E910:L910" si="418">0.07*E909</f>
        <v>0</v>
      </c>
      <c r="F910" s="3699">
        <f t="shared" si="418"/>
        <v>0</v>
      </c>
      <c r="G910" s="3699">
        <f t="shared" si="418"/>
        <v>0</v>
      </c>
      <c r="H910" s="3707">
        <f t="shared" si="418"/>
        <v>0</v>
      </c>
      <c r="I910" s="3706">
        <f t="shared" si="418"/>
        <v>0</v>
      </c>
      <c r="J910" s="3699">
        <f t="shared" si="418"/>
        <v>0</v>
      </c>
      <c r="K910" s="3699">
        <f t="shared" si="418"/>
        <v>52.710000000000008</v>
      </c>
      <c r="L910" s="3699">
        <f t="shared" si="418"/>
        <v>0</v>
      </c>
      <c r="M910" s="3707">
        <f>$M$250*M909</f>
        <v>0</v>
      </c>
      <c r="N910" s="3834"/>
      <c r="O910" s="3835"/>
      <c r="P910" s="3835"/>
      <c r="Q910" s="3835"/>
      <c r="R910" s="3836"/>
      <c r="S910" s="1172"/>
      <c r="T910" s="1172"/>
      <c r="U910" s="1172"/>
      <c r="V910" s="3533"/>
      <c r="W910" s="3534"/>
      <c r="X910" s="3534"/>
      <c r="Y910" s="3534"/>
      <c r="Z910" s="3536"/>
      <c r="AA910" s="3533"/>
      <c r="AB910" s="3534"/>
      <c r="AC910" s="3536"/>
    </row>
    <row r="911" spans="2:29">
      <c r="B911" s="4211"/>
      <c r="C911" s="3530" t="s">
        <v>581</v>
      </c>
      <c r="D911" s="3706"/>
      <c r="E911" s="3699"/>
      <c r="F911" s="3699"/>
      <c r="G911" s="3699"/>
      <c r="H911" s="3707"/>
      <c r="I911" s="3706"/>
      <c r="J911" s="3699"/>
      <c r="K911" s="3699"/>
      <c r="L911" s="3699"/>
      <c r="M911" s="3707"/>
      <c r="N911" s="3834"/>
      <c r="O911" s="3835"/>
      <c r="P911" s="3835"/>
      <c r="Q911" s="3835"/>
      <c r="R911" s="3836"/>
      <c r="S911" s="1172"/>
      <c r="T911" s="1172"/>
      <c r="U911" s="1172"/>
      <c r="V911" s="3533"/>
      <c r="W911" s="3534"/>
      <c r="X911" s="3534"/>
      <c r="Y911" s="3534"/>
      <c r="Z911" s="3536"/>
      <c r="AA911" s="3533"/>
      <c r="AB911" s="3534"/>
      <c r="AC911" s="3536"/>
    </row>
    <row r="912" spans="2:29">
      <c r="B912" s="4211"/>
      <c r="C912" s="3529" t="s">
        <v>584</v>
      </c>
      <c r="D912" s="3708">
        <f t="shared" ref="D912:M912" si="419">D909+D910+D911</f>
        <v>0</v>
      </c>
      <c r="E912" s="3701">
        <f t="shared" si="419"/>
        <v>0</v>
      </c>
      <c r="F912" s="3701">
        <f t="shared" si="419"/>
        <v>0</v>
      </c>
      <c r="G912" s="3701">
        <f t="shared" si="419"/>
        <v>0</v>
      </c>
      <c r="H912" s="3709">
        <f t="shared" si="419"/>
        <v>0</v>
      </c>
      <c r="I912" s="3708">
        <f t="shared" si="419"/>
        <v>0</v>
      </c>
      <c r="J912" s="3701">
        <f t="shared" si="419"/>
        <v>0</v>
      </c>
      <c r="K912" s="3701">
        <f t="shared" si="419"/>
        <v>805.71</v>
      </c>
      <c r="L912" s="3701">
        <f t="shared" si="419"/>
        <v>0</v>
      </c>
      <c r="M912" s="3709">
        <f t="shared" si="419"/>
        <v>6182</v>
      </c>
      <c r="N912" s="3856"/>
      <c r="O912" s="3857"/>
      <c r="P912" s="3857"/>
      <c r="Q912" s="3857"/>
      <c r="R912" s="3858"/>
      <c r="S912" s="1172"/>
      <c r="T912" s="1172"/>
      <c r="U912" s="1172"/>
      <c r="V912" s="3533"/>
      <c r="W912" s="3534"/>
      <c r="X912" s="3534"/>
      <c r="Y912" s="3534"/>
      <c r="Z912" s="3536"/>
      <c r="AA912" s="3533"/>
      <c r="AB912" s="3534"/>
      <c r="AC912" s="3536"/>
    </row>
    <row r="913" spans="2:29">
      <c r="B913" s="4211"/>
      <c r="C913" s="3530" t="s">
        <v>605</v>
      </c>
      <c r="D913" s="3706"/>
      <c r="E913" s="3699"/>
      <c r="F913" s="3699"/>
      <c r="G913" s="3699"/>
      <c r="H913" s="3707"/>
      <c r="I913" s="3706"/>
      <c r="J913" s="3699"/>
      <c r="K913" s="3699"/>
      <c r="L913" s="3699"/>
      <c r="M913" s="3707"/>
      <c r="N913" s="3834"/>
      <c r="O913" s="3835"/>
      <c r="P913" s="3835"/>
      <c r="Q913" s="3835"/>
      <c r="R913" s="3836"/>
      <c r="S913" s="1172"/>
      <c r="T913" s="1172"/>
      <c r="U913" s="1172"/>
      <c r="V913" s="3533"/>
      <c r="W913" s="3534"/>
      <c r="X913" s="3534"/>
      <c r="Y913" s="3534"/>
      <c r="Z913" s="3536"/>
      <c r="AA913" s="3533"/>
      <c r="AB913" s="3534"/>
      <c r="AC913" s="3536"/>
    </row>
    <row r="914" spans="2:29">
      <c r="B914" s="4211"/>
      <c r="C914" s="3529" t="s">
        <v>585</v>
      </c>
      <c r="D914" s="3708">
        <f t="shared" ref="D914:M914" si="420">D912-D913</f>
        <v>0</v>
      </c>
      <c r="E914" s="3701">
        <f t="shared" si="420"/>
        <v>0</v>
      </c>
      <c r="F914" s="3701">
        <f t="shared" si="420"/>
        <v>0</v>
      </c>
      <c r="G914" s="3701">
        <f t="shared" si="420"/>
        <v>0</v>
      </c>
      <c r="H914" s="3709">
        <f t="shared" si="420"/>
        <v>0</v>
      </c>
      <c r="I914" s="3708">
        <f t="shared" si="420"/>
        <v>0</v>
      </c>
      <c r="J914" s="3701">
        <f t="shared" si="420"/>
        <v>0</v>
      </c>
      <c r="K914" s="3701">
        <f t="shared" si="420"/>
        <v>805.71</v>
      </c>
      <c r="L914" s="3701">
        <f t="shared" si="420"/>
        <v>0</v>
      </c>
      <c r="M914" s="3709">
        <f t="shared" si="420"/>
        <v>6182</v>
      </c>
      <c r="N914" s="3856"/>
      <c r="O914" s="3857"/>
      <c r="P914" s="3857"/>
      <c r="Q914" s="3857"/>
      <c r="R914" s="3858"/>
      <c r="S914" s="1172"/>
      <c r="T914" s="1172"/>
      <c r="U914" s="1172"/>
      <c r="V914" s="3533"/>
      <c r="W914" s="3534"/>
      <c r="X914" s="3534"/>
      <c r="Y914" s="3534"/>
      <c r="Z914" s="3536"/>
      <c r="AA914" s="3533"/>
      <c r="AB914" s="3534"/>
      <c r="AC914" s="3536"/>
    </row>
    <row r="915" spans="2:29" ht="13.5" thickBot="1">
      <c r="B915" s="4212"/>
      <c r="C915" s="3532" t="s">
        <v>93</v>
      </c>
      <c r="D915" s="470"/>
      <c r="E915" s="468"/>
      <c r="F915" s="468"/>
      <c r="G915" s="468"/>
      <c r="H915" s="530"/>
      <c r="I915" s="470"/>
      <c r="J915" s="468"/>
      <c r="K915" s="468">
        <f t="shared" ref="K915:M915" si="421">K914/K905</f>
        <v>805.71</v>
      </c>
      <c r="L915" s="468"/>
      <c r="M915" s="530">
        <f t="shared" si="421"/>
        <v>1236.4000000000001</v>
      </c>
      <c r="N915" s="3834"/>
      <c r="O915" s="3835"/>
      <c r="P915" s="3835"/>
      <c r="Q915" s="3835"/>
      <c r="R915" s="3836"/>
      <c r="S915" s="1172"/>
      <c r="T915" s="1172"/>
      <c r="U915" s="1172"/>
      <c r="V915" s="3533"/>
      <c r="W915" s="3534"/>
      <c r="X915" s="3534"/>
      <c r="Y915" s="3534"/>
      <c r="Z915" s="3536"/>
      <c r="AA915" s="3533"/>
      <c r="AB915" s="3534"/>
      <c r="AC915" s="3536"/>
    </row>
    <row r="916" spans="2:29">
      <c r="B916" s="4210" t="s">
        <v>1859</v>
      </c>
      <c r="C916" s="3537" t="s">
        <v>90</v>
      </c>
      <c r="D916" s="3737">
        <f>D174</f>
        <v>0</v>
      </c>
      <c r="E916" s="3736">
        <f t="shared" ref="E916:M916" si="422">E174</f>
        <v>0</v>
      </c>
      <c r="F916" s="3736">
        <f t="shared" si="422"/>
        <v>0</v>
      </c>
      <c r="G916" s="3736">
        <f t="shared" si="422"/>
        <v>0</v>
      </c>
      <c r="H916" s="3735">
        <f t="shared" si="422"/>
        <v>1</v>
      </c>
      <c r="I916" s="3737">
        <f t="shared" si="422"/>
        <v>0</v>
      </c>
      <c r="J916" s="3736">
        <f t="shared" si="422"/>
        <v>0</v>
      </c>
      <c r="K916" s="3736">
        <f t="shared" si="422"/>
        <v>2</v>
      </c>
      <c r="L916" s="3736">
        <f t="shared" si="422"/>
        <v>0</v>
      </c>
      <c r="M916" s="3735">
        <f t="shared" si="422"/>
        <v>0</v>
      </c>
      <c r="N916" s="3843"/>
      <c r="O916" s="3844"/>
      <c r="P916" s="3844"/>
      <c r="Q916" s="3844"/>
      <c r="R916" s="3845"/>
      <c r="S916" s="1172"/>
      <c r="T916" s="1172"/>
      <c r="U916" s="1172"/>
      <c r="V916" s="3533"/>
      <c r="W916" s="3534"/>
      <c r="X916" s="3534"/>
      <c r="Y916" s="3534"/>
      <c r="Z916" s="3536"/>
      <c r="AA916" s="3533"/>
      <c r="AB916" s="3534"/>
      <c r="AC916" s="3536"/>
    </row>
    <row r="917" spans="2:29">
      <c r="B917" s="4211"/>
      <c r="C917" s="3530" t="s">
        <v>559</v>
      </c>
      <c r="D917" s="3706"/>
      <c r="E917" s="3699"/>
      <c r="F917" s="3699"/>
      <c r="G917" s="3699"/>
      <c r="H917" s="3707"/>
      <c r="I917" s="3706"/>
      <c r="J917" s="3699"/>
      <c r="K917" s="3699"/>
      <c r="L917" s="3699"/>
      <c r="M917" s="3707"/>
      <c r="N917" s="3834"/>
      <c r="O917" s="3835"/>
      <c r="P917" s="3835"/>
      <c r="Q917" s="3835"/>
      <c r="R917" s="3836"/>
      <c r="S917" s="1172"/>
      <c r="T917" s="1172"/>
      <c r="U917" s="1172"/>
      <c r="V917" s="3533"/>
      <c r="W917" s="3534"/>
      <c r="X917" s="3534"/>
      <c r="Y917" s="3534"/>
      <c r="Z917" s="3536"/>
      <c r="AA917" s="3533"/>
      <c r="AB917" s="3534"/>
      <c r="AC917" s="3536"/>
    </row>
    <row r="918" spans="2:29">
      <c r="B918" s="4211"/>
      <c r="C918" s="3530" t="s">
        <v>558</v>
      </c>
      <c r="D918" s="3706"/>
      <c r="E918" s="3699"/>
      <c r="F918" s="3699"/>
      <c r="G918" s="3699"/>
      <c r="H918" s="3707"/>
      <c r="I918" s="3706"/>
      <c r="J918" s="3699"/>
      <c r="K918" s="3699"/>
      <c r="L918" s="3699"/>
      <c r="M918" s="3707"/>
      <c r="N918" s="3834"/>
      <c r="O918" s="3835"/>
      <c r="P918" s="3835"/>
      <c r="Q918" s="3835"/>
      <c r="R918" s="3836"/>
      <c r="S918" s="1172"/>
      <c r="T918" s="1172"/>
      <c r="U918" s="1172"/>
      <c r="V918" s="3533"/>
      <c r="W918" s="3534"/>
      <c r="X918" s="3534"/>
      <c r="Y918" s="3534"/>
      <c r="Z918" s="3536"/>
      <c r="AA918" s="3533"/>
      <c r="AB918" s="3534"/>
      <c r="AC918" s="3536"/>
    </row>
    <row r="919" spans="2:29">
      <c r="B919" s="4211"/>
      <c r="C919" s="3530" t="s">
        <v>578</v>
      </c>
      <c r="D919" s="3706"/>
      <c r="E919" s="3699"/>
      <c r="F919" s="3699"/>
      <c r="G919" s="3699"/>
      <c r="H919" s="3707"/>
      <c r="I919" s="3706"/>
      <c r="J919" s="3699"/>
      <c r="K919" s="3699"/>
      <c r="L919" s="3699"/>
      <c r="M919" s="3707"/>
      <c r="N919" s="3834"/>
      <c r="O919" s="3835"/>
      <c r="P919" s="3835"/>
      <c r="Q919" s="3835"/>
      <c r="R919" s="3836"/>
      <c r="S919" s="1172"/>
      <c r="T919" s="1172"/>
      <c r="U919" s="1172"/>
      <c r="V919" s="3533"/>
      <c r="W919" s="3534"/>
      <c r="X919" s="3534"/>
      <c r="Y919" s="3534"/>
      <c r="Z919" s="3536"/>
      <c r="AA919" s="3533"/>
      <c r="AB919" s="3534"/>
      <c r="AC919" s="3536"/>
    </row>
    <row r="920" spans="2:29">
      <c r="B920" s="4211"/>
      <c r="C920" s="3529" t="s">
        <v>579</v>
      </c>
      <c r="D920" s="470">
        <v>0</v>
      </c>
      <c r="E920" s="468">
        <v>0</v>
      </c>
      <c r="F920" s="468">
        <v>0</v>
      </c>
      <c r="G920" s="468">
        <v>0</v>
      </c>
      <c r="H920" s="530">
        <v>637</v>
      </c>
      <c r="I920" s="470">
        <v>0</v>
      </c>
      <c r="J920" s="468"/>
      <c r="K920" s="468">
        <v>1505</v>
      </c>
      <c r="L920" s="468">
        <v>0</v>
      </c>
      <c r="M920" s="530">
        <v>0</v>
      </c>
      <c r="N920" s="3834"/>
      <c r="O920" s="3835"/>
      <c r="P920" s="3835"/>
      <c r="Q920" s="3835"/>
      <c r="R920" s="3836"/>
      <c r="S920" s="1172"/>
      <c r="T920" s="1172"/>
      <c r="U920" s="1172"/>
      <c r="V920" s="3533"/>
      <c r="W920" s="3534"/>
      <c r="X920" s="3534"/>
      <c r="Y920" s="3534"/>
      <c r="Z920" s="3536"/>
      <c r="AA920" s="3533"/>
      <c r="AB920" s="3534"/>
      <c r="AC920" s="3536"/>
    </row>
    <row r="921" spans="2:29">
      <c r="B921" s="4211"/>
      <c r="C921" s="3530" t="s">
        <v>583</v>
      </c>
      <c r="D921" s="3706">
        <f>0.07*D920</f>
        <v>0</v>
      </c>
      <c r="E921" s="3699">
        <f t="shared" ref="E921:L921" si="423">0.07*E920</f>
        <v>0</v>
      </c>
      <c r="F921" s="3699">
        <f t="shared" si="423"/>
        <v>0</v>
      </c>
      <c r="G921" s="3699">
        <f t="shared" si="423"/>
        <v>0</v>
      </c>
      <c r="H921" s="3707">
        <f t="shared" si="423"/>
        <v>44.59</v>
      </c>
      <c r="I921" s="3706">
        <f t="shared" si="423"/>
        <v>0</v>
      </c>
      <c r="J921" s="3699">
        <f t="shared" si="423"/>
        <v>0</v>
      </c>
      <c r="K921" s="3699">
        <f t="shared" si="423"/>
        <v>105.35000000000001</v>
      </c>
      <c r="L921" s="3699">
        <f t="shared" si="423"/>
        <v>0</v>
      </c>
      <c r="M921" s="3707"/>
      <c r="N921" s="3834"/>
      <c r="O921" s="3835"/>
      <c r="P921" s="3835"/>
      <c r="Q921" s="3835"/>
      <c r="R921" s="3836"/>
      <c r="S921" s="1172"/>
      <c r="T921" s="1172"/>
      <c r="U921" s="1172"/>
      <c r="V921" s="3533"/>
      <c r="W921" s="3534"/>
      <c r="X921" s="3534"/>
      <c r="Y921" s="3534"/>
      <c r="Z921" s="3536"/>
      <c r="AA921" s="3533"/>
      <c r="AB921" s="3534"/>
      <c r="AC921" s="3536"/>
    </row>
    <row r="922" spans="2:29">
      <c r="B922" s="4211"/>
      <c r="C922" s="3530" t="s">
        <v>581</v>
      </c>
      <c r="D922" s="3706"/>
      <c r="E922" s="3699"/>
      <c r="F922" s="3699"/>
      <c r="G922" s="3699"/>
      <c r="H922" s="3707"/>
      <c r="I922" s="3706"/>
      <c r="J922" s="3699"/>
      <c r="K922" s="3699"/>
      <c r="L922" s="3699"/>
      <c r="M922" s="3707"/>
      <c r="N922" s="3834"/>
      <c r="O922" s="3835"/>
      <c r="P922" s="3835"/>
      <c r="Q922" s="3835"/>
      <c r="R922" s="3836"/>
      <c r="S922" s="1172"/>
      <c r="T922" s="1172"/>
      <c r="U922" s="1172"/>
      <c r="V922" s="3533"/>
      <c r="W922" s="3534"/>
      <c r="X922" s="3534"/>
      <c r="Y922" s="3534"/>
      <c r="Z922" s="3536"/>
      <c r="AA922" s="3533"/>
      <c r="AB922" s="3534"/>
      <c r="AC922" s="3536"/>
    </row>
    <row r="923" spans="2:29">
      <c r="B923" s="4211"/>
      <c r="C923" s="3529" t="s">
        <v>584</v>
      </c>
      <c r="D923" s="3708">
        <f t="shared" ref="D923:M923" si="424">D920+D921+D922</f>
        <v>0</v>
      </c>
      <c r="E923" s="3701">
        <f t="shared" si="424"/>
        <v>0</v>
      </c>
      <c r="F923" s="3701">
        <f t="shared" si="424"/>
        <v>0</v>
      </c>
      <c r="G923" s="3701">
        <f t="shared" si="424"/>
        <v>0</v>
      </c>
      <c r="H923" s="3709">
        <f t="shared" si="424"/>
        <v>681.59</v>
      </c>
      <c r="I923" s="3708">
        <f t="shared" si="424"/>
        <v>0</v>
      </c>
      <c r="J923" s="3701">
        <f t="shared" si="424"/>
        <v>0</v>
      </c>
      <c r="K923" s="3701">
        <f t="shared" si="424"/>
        <v>1610.35</v>
      </c>
      <c r="L923" s="3701">
        <f t="shared" si="424"/>
        <v>0</v>
      </c>
      <c r="M923" s="3709">
        <f t="shared" si="424"/>
        <v>0</v>
      </c>
      <c r="N923" s="3856"/>
      <c r="O923" s="3857"/>
      <c r="P923" s="3857"/>
      <c r="Q923" s="3857"/>
      <c r="R923" s="3858"/>
      <c r="S923" s="1172"/>
      <c r="T923" s="1172"/>
      <c r="U923" s="1172"/>
      <c r="V923" s="3533"/>
      <c r="W923" s="3534"/>
      <c r="X923" s="3534"/>
      <c r="Y923" s="3534"/>
      <c r="Z923" s="3536"/>
      <c r="AA923" s="3533"/>
      <c r="AB923" s="3534"/>
      <c r="AC923" s="3536"/>
    </row>
    <row r="924" spans="2:29">
      <c r="B924" s="4211"/>
      <c r="C924" s="3530" t="s">
        <v>605</v>
      </c>
      <c r="D924" s="3706"/>
      <c r="E924" s="3699"/>
      <c r="F924" s="3699"/>
      <c r="G924" s="3699"/>
      <c r="H924" s="3707"/>
      <c r="I924" s="3706"/>
      <c r="J924" s="3699"/>
      <c r="K924" s="3699"/>
      <c r="L924" s="3699"/>
      <c r="M924" s="3707"/>
      <c r="N924" s="3834"/>
      <c r="O924" s="3835"/>
      <c r="P924" s="3835"/>
      <c r="Q924" s="3835"/>
      <c r="R924" s="3836"/>
      <c r="S924" s="1172"/>
      <c r="T924" s="1172"/>
      <c r="U924" s="1172"/>
      <c r="V924" s="3533"/>
      <c r="W924" s="3534"/>
      <c r="X924" s="3534"/>
      <c r="Y924" s="3534"/>
      <c r="Z924" s="3536"/>
      <c r="AA924" s="3533"/>
      <c r="AB924" s="3534"/>
      <c r="AC924" s="3536"/>
    </row>
    <row r="925" spans="2:29">
      <c r="B925" s="4211"/>
      <c r="C925" s="3529" t="s">
        <v>585</v>
      </c>
      <c r="D925" s="3708">
        <f t="shared" ref="D925:M925" si="425">D923-D924</f>
        <v>0</v>
      </c>
      <c r="E925" s="3701">
        <f t="shared" si="425"/>
        <v>0</v>
      </c>
      <c r="F925" s="3701">
        <f t="shared" si="425"/>
        <v>0</v>
      </c>
      <c r="G925" s="3701">
        <f t="shared" si="425"/>
        <v>0</v>
      </c>
      <c r="H925" s="3709">
        <f t="shared" si="425"/>
        <v>681.59</v>
      </c>
      <c r="I925" s="3708">
        <f t="shared" si="425"/>
        <v>0</v>
      </c>
      <c r="J925" s="3701">
        <f t="shared" si="425"/>
        <v>0</v>
      </c>
      <c r="K925" s="3701">
        <f t="shared" si="425"/>
        <v>1610.35</v>
      </c>
      <c r="L925" s="3701">
        <f t="shared" si="425"/>
        <v>0</v>
      </c>
      <c r="M925" s="3709">
        <f t="shared" si="425"/>
        <v>0</v>
      </c>
      <c r="N925" s="3856"/>
      <c r="O925" s="3857"/>
      <c r="P925" s="3857"/>
      <c r="Q925" s="3857"/>
      <c r="R925" s="3858"/>
      <c r="S925" s="1172"/>
      <c r="T925" s="1172"/>
      <c r="U925" s="1172"/>
      <c r="V925" s="3533"/>
      <c r="W925" s="3534"/>
      <c r="X925" s="3534"/>
      <c r="Y925" s="3534"/>
      <c r="Z925" s="3536"/>
      <c r="AA925" s="3533"/>
      <c r="AB925" s="3534"/>
      <c r="AC925" s="3536"/>
    </row>
    <row r="926" spans="2:29" ht="13.5" thickBot="1">
      <c r="B926" s="4212"/>
      <c r="C926" s="1424" t="s">
        <v>93</v>
      </c>
      <c r="D926" s="3712"/>
      <c r="E926" s="3734"/>
      <c r="F926" s="3734"/>
      <c r="G926" s="3734"/>
      <c r="H926" s="3733">
        <f t="shared" ref="H926:K926" si="426">H925/H916</f>
        <v>681.59</v>
      </c>
      <c r="I926" s="3712"/>
      <c r="J926" s="3734"/>
      <c r="K926" s="3734">
        <f t="shared" si="426"/>
        <v>805.17499999999995</v>
      </c>
      <c r="L926" s="3734"/>
      <c r="M926" s="3733"/>
      <c r="N926" s="3840"/>
      <c r="O926" s="3846"/>
      <c r="P926" s="3846"/>
      <c r="Q926" s="3846"/>
      <c r="R926" s="3847"/>
      <c r="S926" s="1172"/>
      <c r="T926" s="1172"/>
      <c r="U926" s="1172"/>
      <c r="V926" s="3533"/>
      <c r="W926" s="3534"/>
      <c r="X926" s="3534"/>
      <c r="Y926" s="3534"/>
      <c r="Z926" s="3536"/>
      <c r="AA926" s="3533"/>
      <c r="AB926" s="3534"/>
      <c r="AC926" s="3536"/>
    </row>
    <row r="927" spans="2:29">
      <c r="B927" s="4213" t="s">
        <v>164</v>
      </c>
      <c r="C927" s="4214"/>
      <c r="D927" s="3698">
        <f>SUM(D498,D509,D520,D531,D542,D553,D564,D575,D586,D597,D608,D619,D630,D641,D652,D663,D674,D685,D696,D707,D718,D729,D740,D751,D762,D773,D784,D795,D806,D817,D828,D839,D850,D861,D872,D883,D894,D905,D916)</f>
        <v>26924</v>
      </c>
      <c r="E927" s="3698">
        <f t="shared" ref="E927:M927" si="427">SUM(E498,E509,E520,E531,E542,E553,E564,E575,E586,E597,E608,E619,E630,E641,E652,E663,E674,E685,E696,E707,E718,E729,E740,E751,E762,E773,E784,E795,E806,E817,E828,E839,E850,E861,E872,E883,E894,E905,E916)</f>
        <v>7967</v>
      </c>
      <c r="F927" s="3698">
        <f>SUM(F498,F509,F520,F531,F542,F553,F564,F575,F586,F597,F608,F619,F630,F641,F652,F663,F674,F685,F696,F707,F718,F729,F740,F751,F762,F773,F784,F795,F806,F817,F828,F839,F850,F861,F872,F883,F894,F905,F916)</f>
        <v>5873</v>
      </c>
      <c r="G927" s="3698">
        <f>SUM(G498,G509,G520,G531,G542,G553,G564,G575,G586,G597,G608,G619,G630,G641,G652,G663,G674,G685,G696,G707,G718,G729,G740,G751,G762,G773,G784,G795,G806,G817,G828,G839,G850,G861,G872,G883,G894,G905,G916)</f>
        <v>7086</v>
      </c>
      <c r="H927" s="3698">
        <f t="shared" si="427"/>
        <v>11588</v>
      </c>
      <c r="I927" s="1428">
        <f t="shared" si="427"/>
        <v>11781</v>
      </c>
      <c r="J927" s="1428">
        <f t="shared" si="427"/>
        <v>14968</v>
      </c>
      <c r="K927" s="1428">
        <f t="shared" si="427"/>
        <v>25587</v>
      </c>
      <c r="L927" s="1428">
        <f t="shared" si="427"/>
        <v>7756</v>
      </c>
      <c r="M927" s="1428">
        <f t="shared" si="427"/>
        <v>538.59999999999991</v>
      </c>
      <c r="N927" s="3859"/>
      <c r="O927" s="3859"/>
      <c r="P927" s="3859"/>
      <c r="Q927" s="3859"/>
      <c r="R927" s="3859"/>
      <c r="S927" s="1172"/>
      <c r="T927" s="1172"/>
      <c r="U927" s="1172"/>
      <c r="V927" s="1428"/>
      <c r="W927" s="1429"/>
      <c r="X927" s="1429"/>
      <c r="Y927" s="1429"/>
      <c r="Z927" s="1430"/>
      <c r="AA927" s="1428"/>
      <c r="AB927" s="1429"/>
      <c r="AC927" s="1430"/>
    </row>
    <row r="928" spans="2:29" ht="13.5" thickBot="1">
      <c r="B928" s="4200" t="s">
        <v>616</v>
      </c>
      <c r="C928" s="4201"/>
      <c r="D928" s="1431">
        <f>SUM(D505,D516,D527,D538,D549,D560,D571,D582,D593,D604,D615,D626,D637,D648,D659,D670,D681,D692,D703,D714,D725,D736,D747,D758,D769,D780,D791,D802,D813,D824,D835,D846,D857,D868,D879,D890,D901,D912,D923)</f>
        <v>2931485.419999999</v>
      </c>
      <c r="E928" s="1431">
        <f t="shared" ref="E928:L928" si="428">SUM(E505,E516,E527,E538,E549,E560,E571,E582,E593,E604,E615,E626,E637,E648,E659,E670,E681,E692,E703,E714,E725,E736,E747,E758,E769,E780,E791,E802,E813,E824,E835,E846,E857,E868,E879,E890,E901,E912,E923)</f>
        <v>995672.44999999984</v>
      </c>
      <c r="F928" s="1431">
        <f t="shared" si="428"/>
        <v>785221.6399999999</v>
      </c>
      <c r="G928" s="1431">
        <f t="shared" si="428"/>
        <v>744519.91000000015</v>
      </c>
      <c r="H928" s="1431">
        <f t="shared" si="428"/>
        <v>1732447.7000000004</v>
      </c>
      <c r="I928" s="1431">
        <f t="shared" si="428"/>
        <v>1709483.36</v>
      </c>
      <c r="J928" s="1431">
        <f t="shared" si="428"/>
        <v>1703426.0899999996</v>
      </c>
      <c r="K928" s="1431">
        <f t="shared" si="428"/>
        <v>3851640.48</v>
      </c>
      <c r="L928" s="1431">
        <f t="shared" si="428"/>
        <v>1896439.11</v>
      </c>
      <c r="M928" s="1431">
        <f>SUM(M505,M516,M527,M538,M549,M560,M571,M582,M593,M604,M615,M626,M637,M648,M659,M670,M681,M692,M703,M714,M725,M736,M747,M758,M769,M780,M791,M802,M813,M824,M835,M846,M857,M868,M879,M890,M901,M912,M923)</f>
        <v>666447</v>
      </c>
      <c r="N928" s="3797"/>
      <c r="O928" s="3797"/>
      <c r="P928" s="3797"/>
      <c r="Q928" s="3797"/>
      <c r="R928" s="3797"/>
      <c r="S928" s="1172"/>
      <c r="T928" s="1172"/>
      <c r="U928" s="1172"/>
      <c r="V928" s="1431"/>
      <c r="W928" s="1432"/>
      <c r="X928" s="1432"/>
      <c r="Y928" s="1432"/>
      <c r="Z928" s="1433"/>
      <c r="AA928" s="1431"/>
      <c r="AB928" s="1432"/>
      <c r="AC928" s="1433"/>
    </row>
    <row r="929" spans="2:29" ht="15.75">
      <c r="B929" s="4202" t="s">
        <v>614</v>
      </c>
      <c r="C929" s="4203"/>
      <c r="D929" s="1425">
        <f t="shared" ref="D929:M930" si="429">D495+D927</f>
        <v>44498</v>
      </c>
      <c r="E929" s="1425">
        <f t="shared" si="429"/>
        <v>13540</v>
      </c>
      <c r="F929" s="1425">
        <f t="shared" si="429"/>
        <v>13674</v>
      </c>
      <c r="G929" s="1425">
        <f t="shared" si="429"/>
        <v>21127</v>
      </c>
      <c r="H929" s="1425">
        <f t="shared" si="429"/>
        <v>21783</v>
      </c>
      <c r="I929" s="1425">
        <f t="shared" si="429"/>
        <v>27058</v>
      </c>
      <c r="J929" s="1425">
        <f t="shared" si="429"/>
        <v>26313</v>
      </c>
      <c r="K929" s="1425">
        <f t="shared" si="429"/>
        <v>30736</v>
      </c>
      <c r="L929" s="1425">
        <f t="shared" si="429"/>
        <v>25254</v>
      </c>
      <c r="M929" s="1425">
        <f t="shared" si="429"/>
        <v>31987</v>
      </c>
      <c r="N929" s="3860"/>
      <c r="O929" s="3860"/>
      <c r="P929" s="3860"/>
      <c r="Q929" s="3860"/>
      <c r="R929" s="3860"/>
      <c r="S929" s="1172"/>
      <c r="T929" s="1172"/>
      <c r="U929" s="1172"/>
      <c r="V929" s="1425"/>
      <c r="W929" s="1426"/>
      <c r="X929" s="1426"/>
      <c r="Y929" s="1426"/>
      <c r="Z929" s="1427"/>
      <c r="AA929" s="1425"/>
      <c r="AB929" s="1426"/>
      <c r="AC929" s="1427"/>
    </row>
    <row r="930" spans="2:29" ht="16.5" thickBot="1">
      <c r="B930" s="4204" t="s">
        <v>615</v>
      </c>
      <c r="C930" s="4205"/>
      <c r="D930" s="1696">
        <f>D496+D928</f>
        <v>5643180</v>
      </c>
      <c r="E930" s="566">
        <f t="shared" si="429"/>
        <v>1954889.9999999998</v>
      </c>
      <c r="F930" s="566">
        <f t="shared" si="429"/>
        <v>2106831.0700000003</v>
      </c>
      <c r="G930" s="566">
        <f t="shared" si="429"/>
        <v>2809820</v>
      </c>
      <c r="H930" s="567">
        <f t="shared" si="429"/>
        <v>3916198.9299999997</v>
      </c>
      <c r="I930" s="1696">
        <f t="shared" si="429"/>
        <v>4632028.9300000006</v>
      </c>
      <c r="J930" s="566">
        <f t="shared" si="429"/>
        <v>3711829.9999999995</v>
      </c>
      <c r="K930" s="566">
        <f t="shared" si="429"/>
        <v>5382103.21</v>
      </c>
      <c r="L930" s="566">
        <f>L496+L928</f>
        <v>5828939.4900000002</v>
      </c>
      <c r="M930" s="567">
        <f>M496+M928</f>
        <v>5701203</v>
      </c>
      <c r="N930" s="1696">
        <v>6240671</v>
      </c>
      <c r="O930" s="566">
        <v>6762122</v>
      </c>
      <c r="P930" s="566">
        <v>6414707</v>
      </c>
      <c r="Q930" s="566">
        <v>6732466</v>
      </c>
      <c r="R930" s="567">
        <v>6651476</v>
      </c>
      <c r="S930" s="1172"/>
      <c r="T930" s="1172"/>
      <c r="U930" s="1172"/>
      <c r="V930" s="1696"/>
      <c r="W930" s="566"/>
      <c r="X930" s="566"/>
      <c r="Y930" s="566"/>
      <c r="Z930" s="567"/>
      <c r="AA930" s="1696"/>
      <c r="AB930" s="566"/>
      <c r="AC930" s="567"/>
    </row>
    <row r="931" spans="2:29" ht="39" thickBot="1">
      <c r="B931" s="4059" t="s">
        <v>121</v>
      </c>
      <c r="C931" s="4060"/>
      <c r="D931" s="1159" t="s">
        <v>1566</v>
      </c>
      <c r="E931" s="1160"/>
      <c r="F931" s="1160"/>
      <c r="G931" s="1160"/>
      <c r="H931" s="1160"/>
      <c r="I931" s="1160"/>
      <c r="J931" s="1160"/>
      <c r="K931" s="4086" t="s">
        <v>2115</v>
      </c>
      <c r="L931" s="4086"/>
      <c r="M931" s="4086"/>
      <c r="N931" s="4086"/>
      <c r="O931" s="4086"/>
      <c r="P931" s="4086"/>
      <c r="Q931" s="4086"/>
      <c r="R931" s="4125"/>
      <c r="S931" s="1172"/>
      <c r="T931" s="1172"/>
      <c r="U931" s="1172"/>
      <c r="V931" s="1663"/>
      <c r="W931" s="1644"/>
      <c r="X931" s="1644"/>
      <c r="Y931" s="1644"/>
      <c r="Z931" s="1644"/>
      <c r="AA931" s="1644"/>
      <c r="AB931" s="1644"/>
      <c r="AC931" s="1647"/>
    </row>
    <row r="932" spans="2:29" ht="21" thickBot="1">
      <c r="B932" s="184"/>
      <c r="C932" s="184"/>
      <c r="D932" s="185"/>
      <c r="E932" s="185"/>
      <c r="F932" s="185"/>
      <c r="G932" s="185"/>
      <c r="H932" s="185"/>
      <c r="I932" s="144"/>
      <c r="J932" s="144"/>
      <c r="K932" s="144"/>
      <c r="L932" s="144"/>
      <c r="M932" s="144"/>
      <c r="N932" s="489"/>
      <c r="O932" s="262"/>
      <c r="P932" s="262"/>
      <c r="Q932" s="262"/>
      <c r="R932" s="262"/>
      <c r="S932" s="1172"/>
      <c r="T932" s="1172"/>
      <c r="U932" s="1172"/>
      <c r="V932" s="185"/>
      <c r="W932" s="185"/>
      <c r="X932" s="185"/>
      <c r="Y932" s="185"/>
      <c r="Z932" s="185"/>
      <c r="AA932" s="144"/>
      <c r="AB932" s="144"/>
      <c r="AC932" s="144"/>
    </row>
    <row r="933" spans="2:29" ht="16.5" thickBot="1">
      <c r="B933" s="2760" t="s">
        <v>603</v>
      </c>
      <c r="C933" s="2760"/>
      <c r="D933" s="1259"/>
      <c r="E933" s="1259"/>
      <c r="F933" s="1259"/>
      <c r="G933" s="1259"/>
      <c r="H933" s="1259"/>
      <c r="I933" s="1259"/>
      <c r="J933" s="1259"/>
      <c r="K933" s="1259"/>
      <c r="L933" s="1259"/>
      <c r="M933" s="1259"/>
      <c r="N933" s="1259"/>
      <c r="O933" s="1259"/>
      <c r="P933" s="1259"/>
      <c r="Q933" s="1259"/>
      <c r="R933" s="1260"/>
      <c r="S933" s="1172"/>
      <c r="T933" s="1172"/>
      <c r="U933" s="1172"/>
      <c r="V933" s="2760"/>
      <c r="W933" s="1259"/>
      <c r="X933" s="1259"/>
      <c r="Y933" s="1259"/>
      <c r="Z933" s="1259"/>
      <c r="AA933" s="1259"/>
      <c r="AB933" s="1259"/>
      <c r="AC933" s="1260"/>
    </row>
    <row r="934" spans="2:29" ht="18" customHeight="1">
      <c r="B934" s="4206"/>
      <c r="C934" s="4206"/>
      <c r="D934" s="4194" t="s">
        <v>36</v>
      </c>
      <c r="E934" s="4195"/>
      <c r="F934" s="4195"/>
      <c r="G934" s="4195"/>
      <c r="H934" s="4195"/>
      <c r="I934" s="4196" t="s">
        <v>37</v>
      </c>
      <c r="J934" s="4197"/>
      <c r="K934" s="4197"/>
      <c r="L934" s="4197"/>
      <c r="M934" s="4197"/>
      <c r="N934" s="4208" t="s">
        <v>73</v>
      </c>
      <c r="O934" s="4208"/>
      <c r="P934" s="4208"/>
      <c r="Q934" s="4208"/>
      <c r="R934" s="4209"/>
      <c r="S934" s="1172"/>
      <c r="T934" s="1172"/>
      <c r="U934" s="1172"/>
      <c r="V934" s="4194" t="s">
        <v>36</v>
      </c>
      <c r="W934" s="4195"/>
      <c r="X934" s="4195"/>
      <c r="Y934" s="4195"/>
      <c r="Z934" s="4195"/>
      <c r="AA934" s="4196" t="s">
        <v>37</v>
      </c>
      <c r="AB934" s="4197"/>
      <c r="AC934" s="4198"/>
    </row>
    <row r="935" spans="2:29" ht="15" customHeight="1">
      <c r="B935" s="4207"/>
      <c r="C935" s="4207"/>
      <c r="D935" s="3985" t="s">
        <v>543</v>
      </c>
      <c r="E935" s="3986"/>
      <c r="F935" s="3986"/>
      <c r="G935" s="3986"/>
      <c r="H935" s="3986"/>
      <c r="I935" s="3986"/>
      <c r="J935" s="3986"/>
      <c r="K935" s="3987"/>
      <c r="L935" s="3988" t="str">
        <f>CONCATENATE("$0's, real ",dms_DollarReal)</f>
        <v>$0's, real December 2017</v>
      </c>
      <c r="M935" s="3989"/>
      <c r="N935" s="3989"/>
      <c r="O935" s="3989"/>
      <c r="P935" s="3989"/>
      <c r="Q935" s="3989"/>
      <c r="R935" s="4199"/>
      <c r="S935" s="1172"/>
      <c r="T935" s="1172"/>
      <c r="U935" s="1172"/>
      <c r="V935" s="3985" t="str">
        <f>CONCATENATE("$0's, real ",dms_DollarReal)</f>
        <v>$0's, real December 2017</v>
      </c>
      <c r="W935" s="3986"/>
      <c r="X935" s="3986"/>
      <c r="Y935" s="3986"/>
      <c r="Z935" s="3986"/>
      <c r="AA935" s="3986"/>
      <c r="AB935" s="3986"/>
      <c r="AC935" s="4030"/>
    </row>
    <row r="936" spans="2:29" ht="15" customHeight="1">
      <c r="B936" s="4207"/>
      <c r="C936" s="4207"/>
      <c r="D936" s="3985" t="s">
        <v>54</v>
      </c>
      <c r="E936" s="3986"/>
      <c r="F936" s="3986"/>
      <c r="G936" s="3986"/>
      <c r="H936" s="3986"/>
      <c r="I936" s="3986"/>
      <c r="J936" s="3986"/>
      <c r="K936" s="3987"/>
      <c r="L936" s="3988" t="s">
        <v>55</v>
      </c>
      <c r="M936" s="3989"/>
      <c r="N936" s="3989"/>
      <c r="O936" s="3989"/>
      <c r="P936" s="3989"/>
      <c r="Q936" s="3989"/>
      <c r="R936" s="4199"/>
      <c r="S936" s="1172"/>
      <c r="T936" s="1172"/>
      <c r="U936" s="1172"/>
      <c r="V936" s="3985" t="s">
        <v>54</v>
      </c>
      <c r="W936" s="3986"/>
      <c r="X936" s="3986"/>
      <c r="Y936" s="3986"/>
      <c r="Z936" s="3986"/>
      <c r="AA936" s="3986"/>
      <c r="AB936" s="3986"/>
      <c r="AC936" s="4030"/>
    </row>
    <row r="937" spans="2:29" ht="15.75" customHeight="1" thickBot="1">
      <c r="B937" s="4207"/>
      <c r="C937" s="4207"/>
      <c r="D937" s="1438">
        <f t="array" ref="D937:H937">PRCP</f>
        <v>2008</v>
      </c>
      <c r="E937" s="342">
        <v>2009</v>
      </c>
      <c r="F937" s="342">
        <v>2010</v>
      </c>
      <c r="G937" s="342">
        <v>2011</v>
      </c>
      <c r="H937" s="342">
        <v>2012</v>
      </c>
      <c r="I937" s="344">
        <f>CRCP_y1</f>
        <v>2013</v>
      </c>
      <c r="J937" s="344">
        <f>CRCP_y2</f>
        <v>2014</v>
      </c>
      <c r="K937" s="344">
        <f>CRCP_y3</f>
        <v>2015</v>
      </c>
      <c r="L937" s="344">
        <f>CRCP_y4</f>
        <v>2016</v>
      </c>
      <c r="M937" s="344">
        <f>CRCP_y5</f>
        <v>2017</v>
      </c>
      <c r="N937" s="342" t="str">
        <f t="array" ref="N937:R937">FRCP</f>
        <v>2018</v>
      </c>
      <c r="O937" s="342">
        <v>2019</v>
      </c>
      <c r="P937" s="342">
        <v>2020</v>
      </c>
      <c r="Q937" s="342">
        <v>2021</v>
      </c>
      <c r="R937" s="443">
        <v>2022</v>
      </c>
      <c r="S937" s="1172"/>
      <c r="T937" s="1172"/>
      <c r="U937" s="1172"/>
      <c r="V937" s="1438">
        <f t="array" ref="V937:Z937">PRCP</f>
        <v>2008</v>
      </c>
      <c r="W937" s="342">
        <v>2009</v>
      </c>
      <c r="X937" s="342">
        <v>2010</v>
      </c>
      <c r="Y937" s="342">
        <v>2011</v>
      </c>
      <c r="Z937" s="342">
        <v>2012</v>
      </c>
      <c r="AA937" s="344">
        <f>CRCP_y1</f>
        <v>2013</v>
      </c>
      <c r="AB937" s="344">
        <f>CRCP_y2</f>
        <v>2014</v>
      </c>
      <c r="AC937" s="542">
        <f>CRCP_y3</f>
        <v>2015</v>
      </c>
    </row>
    <row r="938" spans="2:29" ht="12.75" customHeight="1">
      <c r="B938" s="4185" t="s">
        <v>181</v>
      </c>
      <c r="C938" s="1437" t="s">
        <v>182</v>
      </c>
      <c r="D938" s="412"/>
      <c r="E938" s="494"/>
      <c r="F938" s="494"/>
      <c r="G938" s="494"/>
      <c r="H938" s="506"/>
      <c r="I938" s="412"/>
      <c r="J938" s="494"/>
      <c r="K938" s="494"/>
      <c r="L938" s="494"/>
      <c r="M938" s="494"/>
      <c r="N938" s="412"/>
      <c r="O938" s="494"/>
      <c r="P938" s="494"/>
      <c r="Q938" s="494"/>
      <c r="R938" s="506"/>
      <c r="S938" s="1172"/>
      <c r="T938" s="1172"/>
      <c r="U938" s="1172"/>
      <c r="V938" s="1698"/>
      <c r="W938" s="1699"/>
      <c r="X938" s="1699"/>
      <c r="Y938" s="1699"/>
      <c r="Z938" s="1700"/>
      <c r="AA938" s="1698"/>
      <c r="AB938" s="1699"/>
      <c r="AC938" s="1700"/>
    </row>
    <row r="939" spans="2:29" ht="12.75" customHeight="1">
      <c r="B939" s="4186"/>
      <c r="C939" s="492" t="s">
        <v>559</v>
      </c>
      <c r="D939" s="459"/>
      <c r="E939" s="458"/>
      <c r="F939" s="458"/>
      <c r="G939" s="458"/>
      <c r="H939" s="460"/>
      <c r="I939" s="459"/>
      <c r="J939" s="458"/>
      <c r="K939" s="458"/>
      <c r="L939" s="458"/>
      <c r="M939" s="458"/>
      <c r="N939" s="459"/>
      <c r="O939" s="458"/>
      <c r="P939" s="458"/>
      <c r="Q939" s="458"/>
      <c r="R939" s="460"/>
      <c r="S939" s="1172"/>
      <c r="T939" s="1172"/>
      <c r="U939" s="1172"/>
      <c r="V939" s="462"/>
      <c r="W939" s="463"/>
      <c r="X939" s="463"/>
      <c r="Y939" s="463"/>
      <c r="Z939" s="464"/>
      <c r="AA939" s="462"/>
      <c r="AB939" s="463"/>
      <c r="AC939" s="464"/>
    </row>
    <row r="940" spans="2:29" ht="12.75" customHeight="1">
      <c r="B940" s="4186"/>
      <c r="C940" s="492" t="s">
        <v>558</v>
      </c>
      <c r="D940" s="459"/>
      <c r="E940" s="458"/>
      <c r="F940" s="458"/>
      <c r="G940" s="458"/>
      <c r="H940" s="460"/>
      <c r="I940" s="459"/>
      <c r="J940" s="458"/>
      <c r="K940" s="458"/>
      <c r="L940" s="458"/>
      <c r="M940" s="458"/>
      <c r="N940" s="459"/>
      <c r="O940" s="458"/>
      <c r="P940" s="458"/>
      <c r="Q940" s="458"/>
      <c r="R940" s="460"/>
      <c r="S940" s="1172"/>
      <c r="T940" s="1172"/>
      <c r="U940" s="1172"/>
      <c r="V940" s="462"/>
      <c r="W940" s="463"/>
      <c r="X940" s="463"/>
      <c r="Y940" s="463"/>
      <c r="Z940" s="464"/>
      <c r="AA940" s="462"/>
      <c r="AB940" s="463"/>
      <c r="AC940" s="464"/>
    </row>
    <row r="941" spans="2:29" ht="12.75" customHeight="1">
      <c r="B941" s="4186"/>
      <c r="C941" s="492" t="s">
        <v>578</v>
      </c>
      <c r="D941" s="459"/>
      <c r="E941" s="458"/>
      <c r="F941" s="458"/>
      <c r="G941" s="458"/>
      <c r="H941" s="460"/>
      <c r="I941" s="459"/>
      <c r="J941" s="458"/>
      <c r="K941" s="458"/>
      <c r="L941" s="458"/>
      <c r="M941" s="458"/>
      <c r="N941" s="459"/>
      <c r="O941" s="458"/>
      <c r="P941" s="458"/>
      <c r="Q941" s="458"/>
      <c r="R941" s="460"/>
      <c r="S941" s="1172"/>
      <c r="T941" s="1172"/>
      <c r="U941" s="1172"/>
      <c r="V941" s="462"/>
      <c r="W941" s="463"/>
      <c r="X941" s="463"/>
      <c r="Y941" s="463"/>
      <c r="Z941" s="464"/>
      <c r="AA941" s="462"/>
      <c r="AB941" s="463"/>
      <c r="AC941" s="464"/>
    </row>
    <row r="942" spans="2:29" ht="12.75" customHeight="1">
      <c r="B942" s="4186"/>
      <c r="C942" s="1434" t="s">
        <v>579</v>
      </c>
      <c r="D942" s="478">
        <f>D939+D940+D941</f>
        <v>0</v>
      </c>
      <c r="E942" s="479">
        <f t="shared" ref="E942:R942" si="430">E939+E940+E941</f>
        <v>0</v>
      </c>
      <c r="F942" s="479">
        <f t="shared" si="430"/>
        <v>0</v>
      </c>
      <c r="G942" s="479">
        <f t="shared" si="430"/>
        <v>0</v>
      </c>
      <c r="H942" s="425">
        <f t="shared" si="430"/>
        <v>0</v>
      </c>
      <c r="I942" s="478">
        <f t="shared" si="430"/>
        <v>0</v>
      </c>
      <c r="J942" s="479">
        <f t="shared" si="430"/>
        <v>0</v>
      </c>
      <c r="K942" s="479">
        <f t="shared" si="430"/>
        <v>0</v>
      </c>
      <c r="L942" s="479">
        <f t="shared" si="430"/>
        <v>0</v>
      </c>
      <c r="M942" s="479">
        <f t="shared" si="430"/>
        <v>0</v>
      </c>
      <c r="N942" s="478">
        <f t="shared" si="430"/>
        <v>0</v>
      </c>
      <c r="O942" s="479">
        <f t="shared" si="430"/>
        <v>0</v>
      </c>
      <c r="P942" s="479">
        <f t="shared" si="430"/>
        <v>0</v>
      </c>
      <c r="Q942" s="479">
        <f t="shared" si="430"/>
        <v>0</v>
      </c>
      <c r="R942" s="425">
        <f t="shared" si="430"/>
        <v>0</v>
      </c>
      <c r="S942" s="1172"/>
      <c r="T942" s="1172"/>
      <c r="U942" s="1172"/>
      <c r="V942" s="462">
        <f>V939+V940+V941</f>
        <v>0</v>
      </c>
      <c r="W942" s="463">
        <f t="shared" ref="W942:AC942" si="431">W939+W940+W941</f>
        <v>0</v>
      </c>
      <c r="X942" s="463">
        <f t="shared" si="431"/>
        <v>0</v>
      </c>
      <c r="Y942" s="463">
        <f t="shared" si="431"/>
        <v>0</v>
      </c>
      <c r="Z942" s="464">
        <f t="shared" si="431"/>
        <v>0</v>
      </c>
      <c r="AA942" s="462">
        <f t="shared" si="431"/>
        <v>0</v>
      </c>
      <c r="AB942" s="463">
        <f t="shared" si="431"/>
        <v>0</v>
      </c>
      <c r="AC942" s="464">
        <f t="shared" si="431"/>
        <v>0</v>
      </c>
    </row>
    <row r="943" spans="2:29" ht="12.75" customHeight="1">
      <c r="B943" s="4186"/>
      <c r="C943" s="492" t="s">
        <v>583</v>
      </c>
      <c r="D943" s="459"/>
      <c r="E943" s="458"/>
      <c r="F943" s="458"/>
      <c r="G943" s="458"/>
      <c r="H943" s="460"/>
      <c r="I943" s="429"/>
      <c r="J943" s="476"/>
      <c r="K943" s="476"/>
      <c r="L943" s="476"/>
      <c r="M943" s="476"/>
      <c r="N943" s="564"/>
      <c r="O943" s="477"/>
      <c r="P943" s="477"/>
      <c r="Q943" s="477"/>
      <c r="R943" s="519"/>
      <c r="S943" s="1172"/>
      <c r="T943" s="1172"/>
      <c r="U943" s="1172"/>
      <c r="V943" s="462"/>
      <c r="W943" s="463"/>
      <c r="X943" s="463"/>
      <c r="Y943" s="463"/>
      <c r="Z943" s="464"/>
      <c r="AA943" s="511"/>
      <c r="AB943" s="512"/>
      <c r="AC943" s="547"/>
    </row>
    <row r="944" spans="2:29" ht="12.75" customHeight="1">
      <c r="B944" s="4186"/>
      <c r="C944" s="492" t="s">
        <v>581</v>
      </c>
      <c r="D944" s="459"/>
      <c r="E944" s="458"/>
      <c r="F944" s="458"/>
      <c r="G944" s="458"/>
      <c r="H944" s="460"/>
      <c r="I944" s="459"/>
      <c r="J944" s="458"/>
      <c r="K944" s="458"/>
      <c r="L944" s="458"/>
      <c r="M944" s="458"/>
      <c r="N944" s="459"/>
      <c r="O944" s="458"/>
      <c r="P944" s="458"/>
      <c r="Q944" s="458"/>
      <c r="R944" s="460"/>
      <c r="S944" s="1172"/>
      <c r="T944" s="1172"/>
      <c r="U944" s="1172"/>
      <c r="V944" s="462"/>
      <c r="W944" s="463"/>
      <c r="X944" s="463"/>
      <c r="Y944" s="463"/>
      <c r="Z944" s="464"/>
      <c r="AA944" s="462"/>
      <c r="AB944" s="463"/>
      <c r="AC944" s="464"/>
    </row>
    <row r="945" spans="2:29" ht="12.75" customHeight="1">
      <c r="B945" s="4186"/>
      <c r="C945" s="1435" t="s">
        <v>584</v>
      </c>
      <c r="D945" s="557">
        <f>D942+D943+D944</f>
        <v>0</v>
      </c>
      <c r="E945" s="554">
        <f t="shared" ref="E945:R945" si="432">E942+E943+E944</f>
        <v>0</v>
      </c>
      <c r="F945" s="554">
        <f t="shared" si="432"/>
        <v>0</v>
      </c>
      <c r="G945" s="554">
        <f t="shared" si="432"/>
        <v>0</v>
      </c>
      <c r="H945" s="558">
        <f t="shared" si="432"/>
        <v>0</v>
      </c>
      <c r="I945" s="557">
        <f t="shared" si="432"/>
        <v>0</v>
      </c>
      <c r="J945" s="554">
        <f t="shared" si="432"/>
        <v>0</v>
      </c>
      <c r="K945" s="554">
        <f t="shared" si="432"/>
        <v>0</v>
      </c>
      <c r="L945" s="554">
        <f t="shared" si="432"/>
        <v>0</v>
      </c>
      <c r="M945" s="554">
        <f t="shared" si="432"/>
        <v>0</v>
      </c>
      <c r="N945" s="557">
        <f t="shared" si="432"/>
        <v>0</v>
      </c>
      <c r="O945" s="554">
        <f t="shared" si="432"/>
        <v>0</v>
      </c>
      <c r="P945" s="554">
        <f t="shared" si="432"/>
        <v>0</v>
      </c>
      <c r="Q945" s="554">
        <f t="shared" si="432"/>
        <v>0</v>
      </c>
      <c r="R945" s="558">
        <f t="shared" si="432"/>
        <v>0</v>
      </c>
      <c r="S945" s="1172"/>
      <c r="T945" s="1172"/>
      <c r="U945" s="1172"/>
      <c r="V945" s="557">
        <f>V942+V943+V944</f>
        <v>0</v>
      </c>
      <c r="W945" s="554">
        <f t="shared" ref="W945:AC945" si="433">W942+W943+W944</f>
        <v>0</v>
      </c>
      <c r="X945" s="554">
        <f t="shared" si="433"/>
        <v>0</v>
      </c>
      <c r="Y945" s="554">
        <f t="shared" si="433"/>
        <v>0</v>
      </c>
      <c r="Z945" s="558">
        <f t="shared" si="433"/>
        <v>0</v>
      </c>
      <c r="AA945" s="557">
        <f t="shared" si="433"/>
        <v>0</v>
      </c>
      <c r="AB945" s="554">
        <f t="shared" si="433"/>
        <v>0</v>
      </c>
      <c r="AC945" s="558">
        <f t="shared" si="433"/>
        <v>0</v>
      </c>
    </row>
    <row r="946" spans="2:29" ht="12.75" customHeight="1">
      <c r="B946" s="4186"/>
      <c r="C946" s="492" t="s">
        <v>605</v>
      </c>
      <c r="D946" s="459"/>
      <c r="E946" s="458"/>
      <c r="F946" s="458"/>
      <c r="G946" s="458"/>
      <c r="H946" s="460"/>
      <c r="I946" s="459"/>
      <c r="J946" s="458"/>
      <c r="K946" s="458"/>
      <c r="L946" s="458"/>
      <c r="M946" s="458"/>
      <c r="N946" s="459"/>
      <c r="O946" s="458"/>
      <c r="P946" s="458"/>
      <c r="Q946" s="458"/>
      <c r="R946" s="460"/>
      <c r="S946" s="1172"/>
      <c r="T946" s="1172"/>
      <c r="U946" s="1172"/>
      <c r="V946" s="462"/>
      <c r="W946" s="463"/>
      <c r="X946" s="463"/>
      <c r="Y946" s="463"/>
      <c r="Z946" s="464"/>
      <c r="AA946" s="462"/>
      <c r="AB946" s="463"/>
      <c r="AC946" s="464"/>
    </row>
    <row r="947" spans="2:29" ht="13.5" customHeight="1" thickBot="1">
      <c r="B947" s="4187"/>
      <c r="C947" s="1436" t="s">
        <v>585</v>
      </c>
      <c r="D947" s="1695">
        <f>D945-D946</f>
        <v>0</v>
      </c>
      <c r="E947" s="555">
        <f t="shared" ref="E947:R947" si="434">E945-E946</f>
        <v>0</v>
      </c>
      <c r="F947" s="555">
        <f t="shared" si="434"/>
        <v>0</v>
      </c>
      <c r="G947" s="555">
        <f t="shared" si="434"/>
        <v>0</v>
      </c>
      <c r="H947" s="556">
        <f t="shared" si="434"/>
        <v>0</v>
      </c>
      <c r="I947" s="1695">
        <f t="shared" si="434"/>
        <v>0</v>
      </c>
      <c r="J947" s="555">
        <f t="shared" si="434"/>
        <v>0</v>
      </c>
      <c r="K947" s="555">
        <f t="shared" si="434"/>
        <v>0</v>
      </c>
      <c r="L947" s="555">
        <f t="shared" si="434"/>
        <v>0</v>
      </c>
      <c r="M947" s="555">
        <f t="shared" si="434"/>
        <v>0</v>
      </c>
      <c r="N947" s="1695">
        <f t="shared" si="434"/>
        <v>0</v>
      </c>
      <c r="O947" s="555">
        <f t="shared" si="434"/>
        <v>0</v>
      </c>
      <c r="P947" s="555">
        <f t="shared" si="434"/>
        <v>0</v>
      </c>
      <c r="Q947" s="555">
        <f t="shared" si="434"/>
        <v>0</v>
      </c>
      <c r="R947" s="556">
        <f t="shared" si="434"/>
        <v>0</v>
      </c>
      <c r="S947" s="1172"/>
      <c r="T947" s="1172"/>
      <c r="U947" s="1172"/>
      <c r="V947" s="1695">
        <f>V945-V946</f>
        <v>0</v>
      </c>
      <c r="W947" s="555">
        <f t="shared" ref="W947:AC947" si="435">W945-W946</f>
        <v>0</v>
      </c>
      <c r="X947" s="555">
        <f t="shared" si="435"/>
        <v>0</v>
      </c>
      <c r="Y947" s="555">
        <f t="shared" si="435"/>
        <v>0</v>
      </c>
      <c r="Z947" s="556">
        <f t="shared" si="435"/>
        <v>0</v>
      </c>
      <c r="AA947" s="1695">
        <f t="shared" si="435"/>
        <v>0</v>
      </c>
      <c r="AB947" s="555">
        <f t="shared" si="435"/>
        <v>0</v>
      </c>
      <c r="AC947" s="556">
        <f t="shared" si="435"/>
        <v>0</v>
      </c>
    </row>
    <row r="948" spans="2:29" ht="12.75" customHeight="1">
      <c r="B948" s="4185" t="s">
        <v>181</v>
      </c>
      <c r="C948" s="1437" t="s">
        <v>182</v>
      </c>
      <c r="D948" s="459"/>
      <c r="E948" s="458"/>
      <c r="F948" s="458"/>
      <c r="G948" s="458"/>
      <c r="H948" s="460"/>
      <c r="I948" s="459"/>
      <c r="J948" s="458"/>
      <c r="K948" s="458"/>
      <c r="L948" s="458"/>
      <c r="M948" s="458"/>
      <c r="N948" s="459"/>
      <c r="O948" s="458"/>
      <c r="P948" s="458"/>
      <c r="Q948" s="458"/>
      <c r="R948" s="460"/>
      <c r="S948" s="1172"/>
      <c r="T948" s="1172"/>
      <c r="U948" s="1172"/>
      <c r="V948" s="462"/>
      <c r="W948" s="463"/>
      <c r="X948" s="463"/>
      <c r="Y948" s="463"/>
      <c r="Z948" s="464"/>
      <c r="AA948" s="462"/>
      <c r="AB948" s="463"/>
      <c r="AC948" s="464"/>
    </row>
    <row r="949" spans="2:29" ht="12.75" customHeight="1">
      <c r="B949" s="4186"/>
      <c r="C949" s="492" t="s">
        <v>559</v>
      </c>
      <c r="D949" s="459"/>
      <c r="E949" s="458"/>
      <c r="F949" s="458"/>
      <c r="G949" s="458"/>
      <c r="H949" s="460"/>
      <c r="I949" s="459"/>
      <c r="J949" s="458"/>
      <c r="K949" s="458"/>
      <c r="L949" s="458"/>
      <c r="M949" s="458"/>
      <c r="N949" s="459"/>
      <c r="O949" s="458"/>
      <c r="P949" s="458"/>
      <c r="Q949" s="458"/>
      <c r="R949" s="460"/>
      <c r="S949" s="1172"/>
      <c r="T949" s="1172"/>
      <c r="U949" s="1172"/>
      <c r="V949" s="462"/>
      <c r="W949" s="463"/>
      <c r="X949" s="463"/>
      <c r="Y949" s="463"/>
      <c r="Z949" s="464"/>
      <c r="AA949" s="462"/>
      <c r="AB949" s="463"/>
      <c r="AC949" s="464"/>
    </row>
    <row r="950" spans="2:29" ht="12.75" customHeight="1">
      <c r="B950" s="4186"/>
      <c r="C950" s="492" t="s">
        <v>558</v>
      </c>
      <c r="D950" s="459"/>
      <c r="E950" s="458"/>
      <c r="F950" s="458"/>
      <c r="G950" s="458"/>
      <c r="H950" s="460"/>
      <c r="I950" s="459"/>
      <c r="J950" s="458"/>
      <c r="K950" s="458"/>
      <c r="L950" s="458"/>
      <c r="M950" s="458"/>
      <c r="N950" s="459"/>
      <c r="O950" s="458"/>
      <c r="P950" s="458"/>
      <c r="Q950" s="458"/>
      <c r="R950" s="460"/>
      <c r="S950" s="1172"/>
      <c r="T950" s="1172"/>
      <c r="U950" s="1172"/>
      <c r="V950" s="462"/>
      <c r="W950" s="463"/>
      <c r="X950" s="463"/>
      <c r="Y950" s="463"/>
      <c r="Z950" s="464"/>
      <c r="AA950" s="462"/>
      <c r="AB950" s="463"/>
      <c r="AC950" s="464"/>
    </row>
    <row r="951" spans="2:29" ht="12.75" customHeight="1">
      <c r="B951" s="4186"/>
      <c r="C951" s="492" t="s">
        <v>578</v>
      </c>
      <c r="D951" s="459"/>
      <c r="E951" s="458"/>
      <c r="F951" s="458"/>
      <c r="G951" s="458"/>
      <c r="H951" s="460"/>
      <c r="I951" s="459"/>
      <c r="J951" s="458"/>
      <c r="K951" s="458"/>
      <c r="L951" s="458"/>
      <c r="M951" s="458"/>
      <c r="N951" s="459"/>
      <c r="O951" s="458"/>
      <c r="P951" s="458"/>
      <c r="Q951" s="458"/>
      <c r="R951" s="460"/>
      <c r="S951" s="1172"/>
      <c r="T951" s="1172"/>
      <c r="U951" s="1172"/>
      <c r="V951" s="462"/>
      <c r="W951" s="463"/>
      <c r="X951" s="463"/>
      <c r="Y951" s="463"/>
      <c r="Z951" s="464"/>
      <c r="AA951" s="462"/>
      <c r="AB951" s="463"/>
      <c r="AC951" s="464"/>
    </row>
    <row r="952" spans="2:29" ht="12.75" customHeight="1">
      <c r="B952" s="4186"/>
      <c r="C952" s="1434" t="s">
        <v>579</v>
      </c>
      <c r="D952" s="478">
        <f>D949+D950+D951</f>
        <v>0</v>
      </c>
      <c r="E952" s="479">
        <f t="shared" ref="E952:R952" si="436">E949+E950+E951</f>
        <v>0</v>
      </c>
      <c r="F952" s="479">
        <f t="shared" si="436"/>
        <v>0</v>
      </c>
      <c r="G952" s="479">
        <f t="shared" si="436"/>
        <v>0</v>
      </c>
      <c r="H952" s="425">
        <f t="shared" si="436"/>
        <v>0</v>
      </c>
      <c r="I952" s="478">
        <f t="shared" si="436"/>
        <v>0</v>
      </c>
      <c r="J952" s="479">
        <f t="shared" si="436"/>
        <v>0</v>
      </c>
      <c r="K952" s="479">
        <f t="shared" si="436"/>
        <v>0</v>
      </c>
      <c r="L952" s="479">
        <f t="shared" si="436"/>
        <v>0</v>
      </c>
      <c r="M952" s="479">
        <f t="shared" si="436"/>
        <v>0</v>
      </c>
      <c r="N952" s="478">
        <f t="shared" si="436"/>
        <v>0</v>
      </c>
      <c r="O952" s="479">
        <f t="shared" si="436"/>
        <v>0</v>
      </c>
      <c r="P952" s="479">
        <f t="shared" si="436"/>
        <v>0</v>
      </c>
      <c r="Q952" s="479">
        <f t="shared" si="436"/>
        <v>0</v>
      </c>
      <c r="R952" s="425">
        <f t="shared" si="436"/>
        <v>0</v>
      </c>
      <c r="S952" s="1172"/>
      <c r="T952" s="1172"/>
      <c r="U952" s="1172"/>
      <c r="V952" s="462">
        <f>V949+V950+V951</f>
        <v>0</v>
      </c>
      <c r="W952" s="463">
        <f t="shared" ref="W952:AC952" si="437">W949+W950+W951</f>
        <v>0</v>
      </c>
      <c r="X952" s="463">
        <f t="shared" si="437"/>
        <v>0</v>
      </c>
      <c r="Y952" s="463">
        <f t="shared" si="437"/>
        <v>0</v>
      </c>
      <c r="Z952" s="464">
        <f t="shared" si="437"/>
        <v>0</v>
      </c>
      <c r="AA952" s="462">
        <f t="shared" si="437"/>
        <v>0</v>
      </c>
      <c r="AB952" s="463">
        <f t="shared" si="437"/>
        <v>0</v>
      </c>
      <c r="AC952" s="464">
        <f t="shared" si="437"/>
        <v>0</v>
      </c>
    </row>
    <row r="953" spans="2:29" ht="12.75" customHeight="1">
      <c r="B953" s="4186"/>
      <c r="C953" s="492" t="s">
        <v>583</v>
      </c>
      <c r="D953" s="459"/>
      <c r="E953" s="458"/>
      <c r="F953" s="458"/>
      <c r="G953" s="458"/>
      <c r="H953" s="460"/>
      <c r="I953" s="429"/>
      <c r="J953" s="476"/>
      <c r="K953" s="476"/>
      <c r="L953" s="476"/>
      <c r="M953" s="476"/>
      <c r="N953" s="564"/>
      <c r="O953" s="477"/>
      <c r="P953" s="477"/>
      <c r="Q953" s="477"/>
      <c r="R953" s="519"/>
      <c r="S953" s="1172"/>
      <c r="T953" s="1172"/>
      <c r="U953" s="1172"/>
      <c r="V953" s="462"/>
      <c r="W953" s="463"/>
      <c r="X953" s="463"/>
      <c r="Y953" s="463"/>
      <c r="Z953" s="464"/>
      <c r="AA953" s="511"/>
      <c r="AB953" s="512"/>
      <c r="AC953" s="547"/>
    </row>
    <row r="954" spans="2:29" ht="12.75" customHeight="1">
      <c r="B954" s="4186"/>
      <c r="C954" s="492" t="s">
        <v>581</v>
      </c>
      <c r="D954" s="459"/>
      <c r="E954" s="458"/>
      <c r="F954" s="458"/>
      <c r="G954" s="458"/>
      <c r="H954" s="460"/>
      <c r="I954" s="459"/>
      <c r="J954" s="458"/>
      <c r="K954" s="458"/>
      <c r="L954" s="458"/>
      <c r="M954" s="458"/>
      <c r="N954" s="459"/>
      <c r="O954" s="458"/>
      <c r="P954" s="458"/>
      <c r="Q954" s="458"/>
      <c r="R954" s="460"/>
      <c r="S954" s="1172"/>
      <c r="T954" s="1172"/>
      <c r="U954" s="1172"/>
      <c r="V954" s="462"/>
      <c r="W954" s="463"/>
      <c r="X954" s="463"/>
      <c r="Y954" s="463"/>
      <c r="Z954" s="464"/>
      <c r="AA954" s="462"/>
      <c r="AB954" s="463"/>
      <c r="AC954" s="464"/>
    </row>
    <row r="955" spans="2:29" ht="12.75" customHeight="1">
      <c r="B955" s="4186"/>
      <c r="C955" s="1435" t="s">
        <v>584</v>
      </c>
      <c r="D955" s="557">
        <f>D952+D953+D954</f>
        <v>0</v>
      </c>
      <c r="E955" s="554">
        <f t="shared" ref="E955:R955" si="438">E952+E953+E954</f>
        <v>0</v>
      </c>
      <c r="F955" s="554">
        <f t="shared" si="438"/>
        <v>0</v>
      </c>
      <c r="G955" s="554">
        <f t="shared" si="438"/>
        <v>0</v>
      </c>
      <c r="H955" s="558">
        <f t="shared" si="438"/>
        <v>0</v>
      </c>
      <c r="I955" s="557">
        <f t="shared" si="438"/>
        <v>0</v>
      </c>
      <c r="J955" s="554">
        <f t="shared" si="438"/>
        <v>0</v>
      </c>
      <c r="K955" s="554">
        <f t="shared" si="438"/>
        <v>0</v>
      </c>
      <c r="L955" s="554">
        <f t="shared" si="438"/>
        <v>0</v>
      </c>
      <c r="M955" s="554">
        <f t="shared" si="438"/>
        <v>0</v>
      </c>
      <c r="N955" s="557">
        <f t="shared" si="438"/>
        <v>0</v>
      </c>
      <c r="O955" s="554">
        <f t="shared" si="438"/>
        <v>0</v>
      </c>
      <c r="P955" s="554">
        <f t="shared" si="438"/>
        <v>0</v>
      </c>
      <c r="Q955" s="554">
        <f t="shared" si="438"/>
        <v>0</v>
      </c>
      <c r="R955" s="558">
        <f t="shared" si="438"/>
        <v>0</v>
      </c>
      <c r="S955" s="1172"/>
      <c r="T955" s="1172"/>
      <c r="U955" s="1172"/>
      <c r="V955" s="557">
        <f>V952+V953+V954</f>
        <v>0</v>
      </c>
      <c r="W955" s="554">
        <f t="shared" ref="W955:AC955" si="439">W952+W953+W954</f>
        <v>0</v>
      </c>
      <c r="X955" s="554">
        <f t="shared" si="439"/>
        <v>0</v>
      </c>
      <c r="Y955" s="554">
        <f t="shared" si="439"/>
        <v>0</v>
      </c>
      <c r="Z955" s="558">
        <f t="shared" si="439"/>
        <v>0</v>
      </c>
      <c r="AA955" s="557">
        <f t="shared" si="439"/>
        <v>0</v>
      </c>
      <c r="AB955" s="554">
        <f t="shared" si="439"/>
        <v>0</v>
      </c>
      <c r="AC955" s="558">
        <f t="shared" si="439"/>
        <v>0</v>
      </c>
    </row>
    <row r="956" spans="2:29" ht="12.75" customHeight="1">
      <c r="B956" s="4186"/>
      <c r="C956" s="492" t="s">
        <v>605</v>
      </c>
      <c r="D956" s="459"/>
      <c r="E956" s="458"/>
      <c r="F956" s="458"/>
      <c r="G956" s="458"/>
      <c r="H956" s="460"/>
      <c r="I956" s="459"/>
      <c r="J956" s="458"/>
      <c r="K956" s="458"/>
      <c r="L956" s="458"/>
      <c r="M956" s="458"/>
      <c r="N956" s="459"/>
      <c r="O956" s="458"/>
      <c r="P956" s="458"/>
      <c r="Q956" s="458"/>
      <c r="R956" s="460"/>
      <c r="S956" s="1172"/>
      <c r="T956" s="1172"/>
      <c r="U956" s="1172"/>
      <c r="V956" s="462"/>
      <c r="W956" s="463"/>
      <c r="X956" s="463"/>
      <c r="Y956" s="463"/>
      <c r="Z956" s="464"/>
      <c r="AA956" s="462"/>
      <c r="AB956" s="463"/>
      <c r="AC956" s="464"/>
    </row>
    <row r="957" spans="2:29" ht="13.5" customHeight="1" thickBot="1">
      <c r="B957" s="4187"/>
      <c r="C957" s="1436" t="s">
        <v>585</v>
      </c>
      <c r="D957" s="1695">
        <f>D955-D956</f>
        <v>0</v>
      </c>
      <c r="E957" s="555">
        <f t="shared" ref="E957:R957" si="440">E955-E956</f>
        <v>0</v>
      </c>
      <c r="F957" s="555">
        <f t="shared" si="440"/>
        <v>0</v>
      </c>
      <c r="G957" s="555">
        <f t="shared" si="440"/>
        <v>0</v>
      </c>
      <c r="H957" s="556">
        <f t="shared" si="440"/>
        <v>0</v>
      </c>
      <c r="I957" s="1695">
        <f t="shared" si="440"/>
        <v>0</v>
      </c>
      <c r="J957" s="555">
        <f t="shared" si="440"/>
        <v>0</v>
      </c>
      <c r="K957" s="555">
        <f t="shared" si="440"/>
        <v>0</v>
      </c>
      <c r="L957" s="555">
        <f t="shared" si="440"/>
        <v>0</v>
      </c>
      <c r="M957" s="555">
        <f t="shared" si="440"/>
        <v>0</v>
      </c>
      <c r="N957" s="1695">
        <f t="shared" si="440"/>
        <v>0</v>
      </c>
      <c r="O957" s="555">
        <f t="shared" si="440"/>
        <v>0</v>
      </c>
      <c r="P957" s="555">
        <f t="shared" si="440"/>
        <v>0</v>
      </c>
      <c r="Q957" s="555">
        <f t="shared" si="440"/>
        <v>0</v>
      </c>
      <c r="R957" s="556">
        <f t="shared" si="440"/>
        <v>0</v>
      </c>
      <c r="S957" s="1172"/>
      <c r="T957" s="1172"/>
      <c r="U957" s="1172"/>
      <c r="V957" s="1695">
        <f>V955-V956</f>
        <v>0</v>
      </c>
      <c r="W957" s="555">
        <f t="shared" ref="W957:AC957" si="441">W955-W956</f>
        <v>0</v>
      </c>
      <c r="X957" s="555">
        <f t="shared" si="441"/>
        <v>0</v>
      </c>
      <c r="Y957" s="555">
        <f t="shared" si="441"/>
        <v>0</v>
      </c>
      <c r="Z957" s="556">
        <f t="shared" si="441"/>
        <v>0</v>
      </c>
      <c r="AA957" s="1695">
        <f t="shared" si="441"/>
        <v>0</v>
      </c>
      <c r="AB957" s="555">
        <f t="shared" si="441"/>
        <v>0</v>
      </c>
      <c r="AC957" s="556">
        <f t="shared" si="441"/>
        <v>0</v>
      </c>
    </row>
    <row r="958" spans="2:29" ht="12.75" customHeight="1">
      <c r="B958" s="4185" t="s">
        <v>181</v>
      </c>
      <c r="C958" s="1437" t="s">
        <v>182</v>
      </c>
      <c r="D958" s="459"/>
      <c r="E958" s="458"/>
      <c r="F958" s="458"/>
      <c r="G958" s="458"/>
      <c r="H958" s="460"/>
      <c r="I958" s="459"/>
      <c r="J958" s="458"/>
      <c r="K958" s="458"/>
      <c r="L958" s="458"/>
      <c r="M958" s="458"/>
      <c r="N958" s="459"/>
      <c r="O958" s="458"/>
      <c r="P958" s="458"/>
      <c r="Q958" s="458"/>
      <c r="R958" s="460"/>
      <c r="S958" s="1172"/>
      <c r="T958" s="1172"/>
      <c r="U958" s="1172"/>
      <c r="V958" s="462"/>
      <c r="W958" s="463"/>
      <c r="X958" s="463"/>
      <c r="Y958" s="463"/>
      <c r="Z958" s="464"/>
      <c r="AA958" s="462"/>
      <c r="AB958" s="463"/>
      <c r="AC958" s="464"/>
    </row>
    <row r="959" spans="2:29" ht="12.75" customHeight="1">
      <c r="B959" s="4186"/>
      <c r="C959" s="492" t="s">
        <v>559</v>
      </c>
      <c r="D959" s="459"/>
      <c r="E959" s="458"/>
      <c r="F959" s="458"/>
      <c r="G959" s="458"/>
      <c r="H959" s="460"/>
      <c r="I959" s="459"/>
      <c r="J959" s="458"/>
      <c r="K959" s="458"/>
      <c r="L959" s="458"/>
      <c r="M959" s="458"/>
      <c r="N959" s="459"/>
      <c r="O959" s="458"/>
      <c r="P959" s="458"/>
      <c r="Q959" s="458"/>
      <c r="R959" s="460"/>
      <c r="S959" s="1172"/>
      <c r="T959" s="1172"/>
      <c r="U959" s="1172"/>
      <c r="V959" s="462"/>
      <c r="W959" s="463"/>
      <c r="X959" s="463"/>
      <c r="Y959" s="463"/>
      <c r="Z959" s="464"/>
      <c r="AA959" s="462"/>
      <c r="AB959" s="463"/>
      <c r="AC959" s="464"/>
    </row>
    <row r="960" spans="2:29" ht="12.75" customHeight="1">
      <c r="B960" s="4186"/>
      <c r="C960" s="492" t="s">
        <v>558</v>
      </c>
      <c r="D960" s="459"/>
      <c r="E960" s="458"/>
      <c r="F960" s="458"/>
      <c r="G960" s="458"/>
      <c r="H960" s="460"/>
      <c r="I960" s="459"/>
      <c r="J960" s="458"/>
      <c r="K960" s="458"/>
      <c r="L960" s="458"/>
      <c r="M960" s="458"/>
      <c r="N960" s="459"/>
      <c r="O960" s="458"/>
      <c r="P960" s="458"/>
      <c r="Q960" s="458"/>
      <c r="R960" s="460"/>
      <c r="S960" s="1172"/>
      <c r="T960" s="1172"/>
      <c r="U960" s="1172"/>
      <c r="V960" s="462"/>
      <c r="W960" s="463"/>
      <c r="X960" s="463"/>
      <c r="Y960" s="463"/>
      <c r="Z960" s="464"/>
      <c r="AA960" s="462"/>
      <c r="AB960" s="463"/>
      <c r="AC960" s="464"/>
    </row>
    <row r="961" spans="2:29" ht="12.75" customHeight="1">
      <c r="B961" s="4186"/>
      <c r="C961" s="492" t="s">
        <v>578</v>
      </c>
      <c r="D961" s="459"/>
      <c r="E961" s="458"/>
      <c r="F961" s="458"/>
      <c r="G961" s="458"/>
      <c r="H961" s="460"/>
      <c r="I961" s="459"/>
      <c r="J961" s="458"/>
      <c r="K961" s="458"/>
      <c r="L961" s="458"/>
      <c r="M961" s="458"/>
      <c r="N961" s="459"/>
      <c r="O961" s="458"/>
      <c r="P961" s="458"/>
      <c r="Q961" s="458"/>
      <c r="R961" s="460"/>
      <c r="S961" s="1172"/>
      <c r="T961" s="1172"/>
      <c r="U961" s="1172"/>
      <c r="V961" s="462"/>
      <c r="W961" s="463"/>
      <c r="X961" s="463"/>
      <c r="Y961" s="463"/>
      <c r="Z961" s="464"/>
      <c r="AA961" s="462"/>
      <c r="AB961" s="463"/>
      <c r="AC961" s="464"/>
    </row>
    <row r="962" spans="2:29" ht="12.75" customHeight="1">
      <c r="B962" s="4186"/>
      <c r="C962" s="1434" t="s">
        <v>579</v>
      </c>
      <c r="D962" s="478">
        <f>D959+D960+D961</f>
        <v>0</v>
      </c>
      <c r="E962" s="479">
        <f t="shared" ref="E962:R962" si="442">E959+E960+E961</f>
        <v>0</v>
      </c>
      <c r="F962" s="479">
        <f t="shared" si="442"/>
        <v>0</v>
      </c>
      <c r="G962" s="479">
        <f t="shared" si="442"/>
        <v>0</v>
      </c>
      <c r="H962" s="425">
        <f t="shared" si="442"/>
        <v>0</v>
      </c>
      <c r="I962" s="478">
        <f t="shared" si="442"/>
        <v>0</v>
      </c>
      <c r="J962" s="479">
        <f t="shared" si="442"/>
        <v>0</v>
      </c>
      <c r="K962" s="479">
        <f t="shared" si="442"/>
        <v>0</v>
      </c>
      <c r="L962" s="479">
        <f t="shared" si="442"/>
        <v>0</v>
      </c>
      <c r="M962" s="479">
        <f t="shared" si="442"/>
        <v>0</v>
      </c>
      <c r="N962" s="478">
        <f t="shared" si="442"/>
        <v>0</v>
      </c>
      <c r="O962" s="479">
        <f t="shared" si="442"/>
        <v>0</v>
      </c>
      <c r="P962" s="479">
        <f t="shared" si="442"/>
        <v>0</v>
      </c>
      <c r="Q962" s="479">
        <f t="shared" si="442"/>
        <v>0</v>
      </c>
      <c r="R962" s="425">
        <f t="shared" si="442"/>
        <v>0</v>
      </c>
      <c r="S962" s="1172"/>
      <c r="T962" s="1172"/>
      <c r="U962" s="1172"/>
      <c r="V962" s="462">
        <f>V959+V960+V961</f>
        <v>0</v>
      </c>
      <c r="W962" s="463">
        <f t="shared" ref="W962:AC962" si="443">W959+W960+W961</f>
        <v>0</v>
      </c>
      <c r="X962" s="463">
        <f t="shared" si="443"/>
        <v>0</v>
      </c>
      <c r="Y962" s="463">
        <f t="shared" si="443"/>
        <v>0</v>
      </c>
      <c r="Z962" s="464">
        <f t="shared" si="443"/>
        <v>0</v>
      </c>
      <c r="AA962" s="462">
        <f t="shared" si="443"/>
        <v>0</v>
      </c>
      <c r="AB962" s="463">
        <f t="shared" si="443"/>
        <v>0</v>
      </c>
      <c r="AC962" s="464">
        <f t="shared" si="443"/>
        <v>0</v>
      </c>
    </row>
    <row r="963" spans="2:29" ht="12.75" customHeight="1">
      <c r="B963" s="4186"/>
      <c r="C963" s="492" t="s">
        <v>583</v>
      </c>
      <c r="D963" s="459"/>
      <c r="E963" s="458"/>
      <c r="F963" s="458"/>
      <c r="G963" s="458"/>
      <c r="H963" s="460"/>
      <c r="I963" s="429"/>
      <c r="J963" s="476"/>
      <c r="K963" s="476"/>
      <c r="L963" s="476"/>
      <c r="M963" s="476"/>
      <c r="N963" s="564"/>
      <c r="O963" s="477"/>
      <c r="P963" s="477"/>
      <c r="Q963" s="477"/>
      <c r="R963" s="519"/>
      <c r="S963" s="1172"/>
      <c r="T963" s="1172"/>
      <c r="U963" s="1172"/>
      <c r="V963" s="462"/>
      <c r="W963" s="463"/>
      <c r="X963" s="463"/>
      <c r="Y963" s="463"/>
      <c r="Z963" s="464"/>
      <c r="AA963" s="511"/>
      <c r="AB963" s="512"/>
      <c r="AC963" s="547"/>
    </row>
    <row r="964" spans="2:29" ht="12.75" customHeight="1">
      <c r="B964" s="4186"/>
      <c r="C964" s="492" t="s">
        <v>581</v>
      </c>
      <c r="D964" s="459"/>
      <c r="E964" s="458"/>
      <c r="F964" s="458"/>
      <c r="G964" s="458"/>
      <c r="H964" s="460"/>
      <c r="I964" s="459"/>
      <c r="J964" s="458"/>
      <c r="K964" s="458"/>
      <c r="L964" s="458"/>
      <c r="M964" s="458"/>
      <c r="N964" s="459"/>
      <c r="O964" s="458"/>
      <c r="P964" s="458"/>
      <c r="Q964" s="458"/>
      <c r="R964" s="460"/>
      <c r="S964" s="1172"/>
      <c r="T964" s="1172"/>
      <c r="U964" s="1172"/>
      <c r="V964" s="462"/>
      <c r="W964" s="463"/>
      <c r="X964" s="463"/>
      <c r="Y964" s="463"/>
      <c r="Z964" s="464"/>
      <c r="AA964" s="462"/>
      <c r="AB964" s="463"/>
      <c r="AC964" s="464"/>
    </row>
    <row r="965" spans="2:29" ht="12.75" customHeight="1">
      <c r="B965" s="4186"/>
      <c r="C965" s="1435" t="s">
        <v>584</v>
      </c>
      <c r="D965" s="557">
        <f>D962+D963+D964</f>
        <v>0</v>
      </c>
      <c r="E965" s="554">
        <f t="shared" ref="E965:R965" si="444">E962+E963+E964</f>
        <v>0</v>
      </c>
      <c r="F965" s="554">
        <f t="shared" si="444"/>
        <v>0</v>
      </c>
      <c r="G965" s="554">
        <f t="shared" si="444"/>
        <v>0</v>
      </c>
      <c r="H965" s="558">
        <f t="shared" si="444"/>
        <v>0</v>
      </c>
      <c r="I965" s="557">
        <f t="shared" si="444"/>
        <v>0</v>
      </c>
      <c r="J965" s="554">
        <f t="shared" si="444"/>
        <v>0</v>
      </c>
      <c r="K965" s="554">
        <f t="shared" si="444"/>
        <v>0</v>
      </c>
      <c r="L965" s="554">
        <f t="shared" si="444"/>
        <v>0</v>
      </c>
      <c r="M965" s="554">
        <f t="shared" si="444"/>
        <v>0</v>
      </c>
      <c r="N965" s="557">
        <f t="shared" si="444"/>
        <v>0</v>
      </c>
      <c r="O965" s="554">
        <f t="shared" si="444"/>
        <v>0</v>
      </c>
      <c r="P965" s="554">
        <f t="shared" si="444"/>
        <v>0</v>
      </c>
      <c r="Q965" s="554">
        <f t="shared" si="444"/>
        <v>0</v>
      </c>
      <c r="R965" s="558">
        <f t="shared" si="444"/>
        <v>0</v>
      </c>
      <c r="S965" s="1172"/>
      <c r="T965" s="1172"/>
      <c r="U965" s="1172"/>
      <c r="V965" s="557">
        <f>V962+V963+V964</f>
        <v>0</v>
      </c>
      <c r="W965" s="554">
        <f t="shared" ref="W965:AC965" si="445">W962+W963+W964</f>
        <v>0</v>
      </c>
      <c r="X965" s="554">
        <f t="shared" si="445"/>
        <v>0</v>
      </c>
      <c r="Y965" s="554">
        <f t="shared" si="445"/>
        <v>0</v>
      </c>
      <c r="Z965" s="558">
        <f t="shared" si="445"/>
        <v>0</v>
      </c>
      <c r="AA965" s="557">
        <f t="shared" si="445"/>
        <v>0</v>
      </c>
      <c r="AB965" s="554">
        <f t="shared" si="445"/>
        <v>0</v>
      </c>
      <c r="AC965" s="558">
        <f t="shared" si="445"/>
        <v>0</v>
      </c>
    </row>
    <row r="966" spans="2:29" ht="12.75" customHeight="1">
      <c r="B966" s="4186"/>
      <c r="C966" s="492" t="s">
        <v>605</v>
      </c>
      <c r="D966" s="459"/>
      <c r="E966" s="458"/>
      <c r="F966" s="458"/>
      <c r="G966" s="458"/>
      <c r="H966" s="460"/>
      <c r="I966" s="459"/>
      <c r="J966" s="458"/>
      <c r="K966" s="458"/>
      <c r="L966" s="458"/>
      <c r="M966" s="458"/>
      <c r="N966" s="459"/>
      <c r="O966" s="458"/>
      <c r="P966" s="458"/>
      <c r="Q966" s="458"/>
      <c r="R966" s="460"/>
      <c r="S966" s="1172"/>
      <c r="T966" s="1172"/>
      <c r="U966" s="1172"/>
      <c r="V966" s="462"/>
      <c r="W966" s="463"/>
      <c r="X966" s="463"/>
      <c r="Y966" s="463"/>
      <c r="Z966" s="464"/>
      <c r="AA966" s="462"/>
      <c r="AB966" s="463"/>
      <c r="AC966" s="464"/>
    </row>
    <row r="967" spans="2:29" ht="13.5" customHeight="1" thickBot="1">
      <c r="B967" s="4187"/>
      <c r="C967" s="1436" t="s">
        <v>585</v>
      </c>
      <c r="D967" s="1695">
        <f>D965-D966</f>
        <v>0</v>
      </c>
      <c r="E967" s="555">
        <f t="shared" ref="E967:R967" si="446">E965-E966</f>
        <v>0</v>
      </c>
      <c r="F967" s="555">
        <f t="shared" si="446"/>
        <v>0</v>
      </c>
      <c r="G967" s="555">
        <f t="shared" si="446"/>
        <v>0</v>
      </c>
      <c r="H967" s="556">
        <f t="shared" si="446"/>
        <v>0</v>
      </c>
      <c r="I967" s="1695">
        <f t="shared" si="446"/>
        <v>0</v>
      </c>
      <c r="J967" s="555">
        <f t="shared" si="446"/>
        <v>0</v>
      </c>
      <c r="K967" s="555">
        <f t="shared" si="446"/>
        <v>0</v>
      </c>
      <c r="L967" s="555">
        <f t="shared" si="446"/>
        <v>0</v>
      </c>
      <c r="M967" s="555">
        <f t="shared" si="446"/>
        <v>0</v>
      </c>
      <c r="N967" s="1695">
        <f t="shared" si="446"/>
        <v>0</v>
      </c>
      <c r="O967" s="555">
        <f t="shared" si="446"/>
        <v>0</v>
      </c>
      <c r="P967" s="555">
        <f t="shared" si="446"/>
        <v>0</v>
      </c>
      <c r="Q967" s="555">
        <f t="shared" si="446"/>
        <v>0</v>
      </c>
      <c r="R967" s="556">
        <f t="shared" si="446"/>
        <v>0</v>
      </c>
      <c r="S967" s="1172"/>
      <c r="T967" s="1172"/>
      <c r="U967" s="1172"/>
      <c r="V967" s="1695">
        <f>V965-V966</f>
        <v>0</v>
      </c>
      <c r="W967" s="555">
        <f t="shared" ref="W967:AC967" si="447">W965-W966</f>
        <v>0</v>
      </c>
      <c r="X967" s="555">
        <f t="shared" si="447"/>
        <v>0</v>
      </c>
      <c r="Y967" s="555">
        <f t="shared" si="447"/>
        <v>0</v>
      </c>
      <c r="Z967" s="556">
        <f t="shared" si="447"/>
        <v>0</v>
      </c>
      <c r="AA967" s="1695">
        <f t="shared" si="447"/>
        <v>0</v>
      </c>
      <c r="AB967" s="555">
        <f t="shared" si="447"/>
        <v>0</v>
      </c>
      <c r="AC967" s="556">
        <f t="shared" si="447"/>
        <v>0</v>
      </c>
    </row>
    <row r="968" spans="2:29" ht="16.5" thickBot="1">
      <c r="B968" s="4188" t="s">
        <v>604</v>
      </c>
      <c r="C968" s="4189"/>
      <c r="D968" s="1696">
        <f t="shared" ref="D968:R968" si="448">D967+D956+D945</f>
        <v>0</v>
      </c>
      <c r="E968" s="566">
        <f t="shared" si="448"/>
        <v>0</v>
      </c>
      <c r="F968" s="566">
        <f t="shared" si="448"/>
        <v>0</v>
      </c>
      <c r="G968" s="566">
        <f t="shared" si="448"/>
        <v>0</v>
      </c>
      <c r="H968" s="567">
        <f t="shared" si="448"/>
        <v>0</v>
      </c>
      <c r="I968" s="1696">
        <f t="shared" si="448"/>
        <v>0</v>
      </c>
      <c r="J968" s="566">
        <f t="shared" si="448"/>
        <v>0</v>
      </c>
      <c r="K968" s="566">
        <f t="shared" si="448"/>
        <v>0</v>
      </c>
      <c r="L968" s="566">
        <f t="shared" si="448"/>
        <v>0</v>
      </c>
      <c r="M968" s="566">
        <f t="shared" si="448"/>
        <v>0</v>
      </c>
      <c r="N968" s="1696">
        <f t="shared" si="448"/>
        <v>0</v>
      </c>
      <c r="O968" s="566">
        <f t="shared" si="448"/>
        <v>0</v>
      </c>
      <c r="P968" s="566">
        <f t="shared" si="448"/>
        <v>0</v>
      </c>
      <c r="Q968" s="566">
        <f t="shared" si="448"/>
        <v>0</v>
      </c>
      <c r="R968" s="567">
        <f t="shared" si="448"/>
        <v>0</v>
      </c>
      <c r="S968" s="1172"/>
      <c r="T968" s="1172"/>
      <c r="U968" s="1172"/>
      <c r="V968" s="1696">
        <f t="shared" ref="V968:AC968" si="449">V967+V956+V945</f>
        <v>0</v>
      </c>
      <c r="W968" s="566">
        <f t="shared" si="449"/>
        <v>0</v>
      </c>
      <c r="X968" s="566">
        <f t="shared" si="449"/>
        <v>0</v>
      </c>
      <c r="Y968" s="566">
        <f t="shared" si="449"/>
        <v>0</v>
      </c>
      <c r="Z968" s="567">
        <f t="shared" si="449"/>
        <v>0</v>
      </c>
      <c r="AA968" s="1696">
        <f t="shared" si="449"/>
        <v>0</v>
      </c>
      <c r="AB968" s="566">
        <f t="shared" si="449"/>
        <v>0</v>
      </c>
      <c r="AC968" s="567">
        <f t="shared" si="449"/>
        <v>0</v>
      </c>
    </row>
    <row r="969" spans="2:29" ht="13.5" thickBot="1">
      <c r="B969" s="4059" t="s">
        <v>121</v>
      </c>
      <c r="C969" s="4060"/>
      <c r="D969" s="1159"/>
      <c r="E969" s="1160"/>
      <c r="F969" s="1160"/>
      <c r="G969" s="1160"/>
      <c r="H969" s="1160"/>
      <c r="I969" s="1160"/>
      <c r="J969" s="1160"/>
      <c r="K969" s="1160"/>
      <c r="L969" s="1160"/>
      <c r="M969" s="1160"/>
      <c r="N969" s="1160"/>
      <c r="O969" s="1160"/>
      <c r="P969" s="1160"/>
      <c r="Q969" s="1160"/>
      <c r="R969" s="1189"/>
      <c r="S969" s="1172"/>
      <c r="T969" s="1172"/>
      <c r="U969" s="1172"/>
      <c r="V969" s="1663"/>
      <c r="W969" s="1644"/>
      <c r="X969" s="1644"/>
      <c r="Y969" s="1644"/>
      <c r="Z969" s="1644"/>
      <c r="AA969" s="1644"/>
      <c r="AB969" s="1644"/>
      <c r="AC969" s="1647"/>
    </row>
    <row r="970" spans="2:29" ht="21" thickBot="1">
      <c r="B970" s="1198"/>
      <c r="C970" s="1198"/>
      <c r="D970" s="489"/>
      <c r="E970" s="489"/>
      <c r="F970" s="489"/>
      <c r="G970" s="489"/>
      <c r="H970" s="489"/>
      <c r="I970" s="1174"/>
      <c r="J970" s="1174"/>
      <c r="K970" s="1174"/>
      <c r="L970" s="1174"/>
      <c r="M970" s="1174"/>
      <c r="N970" s="1174"/>
      <c r="O970" s="1174"/>
      <c r="P970" s="1174"/>
      <c r="Q970" s="1174"/>
      <c r="R970" s="1174"/>
      <c r="S970" s="1172"/>
      <c r="T970" s="1172"/>
      <c r="U970" s="1172"/>
      <c r="V970" s="489"/>
      <c r="W970" s="489"/>
      <c r="X970" s="489"/>
      <c r="Y970" s="489"/>
      <c r="Z970" s="489"/>
      <c r="AA970" s="1174"/>
      <c r="AB970" s="1174"/>
      <c r="AC970" s="1174"/>
    </row>
    <row r="971" spans="2:29" ht="16.5" thickBot="1">
      <c r="B971" s="2760" t="str">
        <f>CONCATENATE("Table 8.7 - Meter family expected lives in ", dms_DollarReal, " (actual)*")</f>
        <v>Table 8.7 - Meter family expected lives in December 2017 (actual)*</v>
      </c>
      <c r="C971" s="2760"/>
      <c r="D971" s="1265"/>
      <c r="E971" s="1265"/>
      <c r="F971" s="1265"/>
      <c r="G971" s="1265"/>
      <c r="H971" s="1702"/>
      <c r="I971" s="1172"/>
      <c r="J971" s="1172"/>
      <c r="K971" s="1172"/>
      <c r="L971" s="1172"/>
      <c r="M971" s="1172"/>
      <c r="N971" s="1172"/>
      <c r="O971" s="1172"/>
      <c r="P971" s="1172"/>
      <c r="Q971" s="1172"/>
      <c r="R971" s="1172"/>
      <c r="S971" s="1172"/>
      <c r="T971" s="1172"/>
      <c r="U971" s="1172"/>
      <c r="V971" s="1172"/>
      <c r="W971" s="1172"/>
      <c r="X971" s="1172"/>
      <c r="Y971" s="1172"/>
      <c r="Z971" s="1172"/>
      <c r="AA971" s="1172"/>
      <c r="AB971" s="1172"/>
      <c r="AC971" s="1172"/>
    </row>
    <row r="972" spans="2:29" ht="12.75" customHeight="1">
      <c r="B972" s="4179"/>
      <c r="C972" s="4180"/>
      <c r="D972" s="4190" t="s">
        <v>170</v>
      </c>
      <c r="E972" s="4192" t="s">
        <v>171</v>
      </c>
      <c r="F972" s="4192" t="s">
        <v>233</v>
      </c>
      <c r="G972" s="4192" t="s">
        <v>234</v>
      </c>
      <c r="H972" s="4175" t="s">
        <v>172</v>
      </c>
      <c r="I972" s="1174"/>
      <c r="J972" s="1174"/>
      <c r="K972" s="1174"/>
      <c r="L972" s="1174"/>
      <c r="M972" s="1174"/>
      <c r="N972" s="1174"/>
      <c r="O972" s="1174"/>
      <c r="P972" s="1174"/>
      <c r="Q972" s="1174"/>
      <c r="R972" s="1174"/>
      <c r="S972" s="1172"/>
      <c r="T972" s="1172"/>
      <c r="U972" s="1172"/>
      <c r="V972" s="1172"/>
      <c r="W972" s="1172"/>
      <c r="X972" s="1172"/>
      <c r="Y972" s="1172"/>
      <c r="Z972" s="1172"/>
      <c r="AA972" s="1172"/>
      <c r="AB972" s="1172"/>
      <c r="AC972" s="1172"/>
    </row>
    <row r="973" spans="2:29" ht="12.75" customHeight="1">
      <c r="B973" s="4181"/>
      <c r="C973" s="4182"/>
      <c r="D973" s="4191"/>
      <c r="E973" s="4193"/>
      <c r="F973" s="4193"/>
      <c r="G973" s="4193"/>
      <c r="H973" s="4176"/>
      <c r="I973" s="262"/>
      <c r="J973" s="262"/>
      <c r="K973" s="262"/>
      <c r="L973" s="262"/>
      <c r="M973" s="262"/>
      <c r="N973" s="262"/>
      <c r="O973" s="262"/>
      <c r="P973" s="262"/>
      <c r="Q973" s="262"/>
      <c r="R973" s="262"/>
      <c r="S973" s="1172"/>
      <c r="T973" s="1172"/>
      <c r="U973" s="1172"/>
      <c r="V973" s="1172"/>
      <c r="W973" s="1172"/>
      <c r="X973" s="1172"/>
      <c r="Y973" s="1172"/>
      <c r="Z973" s="1172"/>
      <c r="AA973" s="1172"/>
      <c r="AB973" s="1172"/>
      <c r="AC973" s="1172"/>
    </row>
    <row r="974" spans="2:29" ht="12.75" customHeight="1">
      <c r="B974" s="4181"/>
      <c r="C974" s="4182"/>
      <c r="D974" s="4191"/>
      <c r="E974" s="4193"/>
      <c r="F974" s="4193"/>
      <c r="G974" s="4193"/>
      <c r="H974" s="4176"/>
      <c r="I974" s="262"/>
      <c r="J974" s="262"/>
      <c r="K974" s="262"/>
      <c r="L974" s="262"/>
      <c r="M974" s="262"/>
      <c r="N974" s="262"/>
      <c r="O974" s="262"/>
      <c r="P974" s="262"/>
      <c r="Q974" s="262"/>
      <c r="R974" s="262"/>
      <c r="S974" s="1172"/>
      <c r="T974" s="1172"/>
      <c r="U974" s="1172"/>
      <c r="V974" s="1172"/>
      <c r="W974" s="1172"/>
      <c r="X974" s="1172"/>
      <c r="Y974" s="1172"/>
      <c r="Z974" s="1172"/>
      <c r="AA974" s="1172"/>
      <c r="AB974" s="1172"/>
      <c r="AC974" s="1172"/>
    </row>
    <row r="975" spans="2:29" ht="12.75" customHeight="1">
      <c r="B975" s="4181"/>
      <c r="C975" s="4182"/>
      <c r="D975" s="4191"/>
      <c r="E975" s="4193"/>
      <c r="F975" s="4193"/>
      <c r="G975" s="4193"/>
      <c r="H975" s="4176"/>
      <c r="I975" s="262"/>
      <c r="J975" s="262"/>
      <c r="K975" s="262"/>
      <c r="L975" s="262"/>
      <c r="M975" s="262"/>
      <c r="N975" s="262"/>
      <c r="O975" s="262"/>
      <c r="P975" s="262"/>
      <c r="Q975" s="262"/>
      <c r="R975" s="262"/>
      <c r="S975" s="1172"/>
      <c r="T975" s="1172"/>
      <c r="U975" s="1172"/>
      <c r="V975" s="1172"/>
      <c r="W975" s="1172"/>
      <c r="X975" s="1172"/>
      <c r="Y975" s="1172"/>
      <c r="Z975" s="1172"/>
      <c r="AA975" s="1172"/>
      <c r="AB975" s="1172"/>
      <c r="AC975" s="1172"/>
    </row>
    <row r="976" spans="2:29" ht="13.5" customHeight="1" thickBot="1">
      <c r="B976" s="4183"/>
      <c r="C976" s="4184"/>
      <c r="D976" s="1269" t="s">
        <v>383</v>
      </c>
      <c r="E976" s="1249" t="s">
        <v>337</v>
      </c>
      <c r="F976" s="1249" t="s">
        <v>383</v>
      </c>
      <c r="G976" s="1249" t="s">
        <v>383</v>
      </c>
      <c r="H976" s="1703" t="s">
        <v>337</v>
      </c>
      <c r="I976" s="3538"/>
      <c r="J976" s="262"/>
      <c r="K976" s="262"/>
      <c r="L976" s="262"/>
      <c r="M976" s="262"/>
      <c r="N976" s="262"/>
      <c r="O976" s="262"/>
      <c r="P976" s="262"/>
      <c r="Q976" s="262"/>
      <c r="R976" s="262"/>
      <c r="S976" s="1172"/>
      <c r="T976" s="1172"/>
      <c r="U976" s="1172"/>
      <c r="V976" s="1172"/>
      <c r="W976" s="1172"/>
      <c r="X976" s="1172"/>
      <c r="Y976" s="1172"/>
      <c r="Z976" s="1172"/>
      <c r="AA976" s="1172"/>
      <c r="AB976" s="1172"/>
      <c r="AC976" s="1172"/>
    </row>
    <row r="977" spans="2:29" ht="15.75" thickBot="1">
      <c r="B977" s="4171" t="s">
        <v>1874</v>
      </c>
      <c r="C977" s="4177"/>
      <c r="D977" s="3539">
        <v>1990</v>
      </c>
      <c r="E977" s="409">
        <v>11645</v>
      </c>
      <c r="F977" s="3539">
        <v>2019</v>
      </c>
      <c r="G977" s="3539">
        <v>2020</v>
      </c>
      <c r="H977" s="526">
        <f t="shared" ref="H977:H1107" si="450">G977-D977</f>
        <v>30</v>
      </c>
      <c r="I977" s="3538"/>
      <c r="J977" s="262"/>
      <c r="K977" s="262"/>
      <c r="L977" s="262"/>
      <c r="M977" s="262"/>
      <c r="N977" s="262"/>
      <c r="O977" s="262"/>
      <c r="P977" s="262"/>
      <c r="Q977" s="262"/>
      <c r="R977" s="262"/>
      <c r="S977" s="1172"/>
      <c r="T977" s="1172"/>
      <c r="U977" s="1172"/>
      <c r="V977" s="1172"/>
      <c r="W977" s="1172"/>
      <c r="X977" s="1172"/>
      <c r="Y977" s="1172"/>
      <c r="Z977" s="1172"/>
      <c r="AA977" s="1172"/>
      <c r="AB977" s="1172"/>
      <c r="AC977" s="1172"/>
    </row>
    <row r="978" spans="2:29" ht="15">
      <c r="B978" s="4171" t="s">
        <v>1875</v>
      </c>
      <c r="C978" s="4177"/>
      <c r="D978" s="1034">
        <v>1991</v>
      </c>
      <c r="E978" s="458">
        <v>12543</v>
      </c>
      <c r="F978" s="1034">
        <v>2020</v>
      </c>
      <c r="G978" s="1034">
        <v>2021</v>
      </c>
      <c r="H978" s="464">
        <f t="shared" si="450"/>
        <v>30</v>
      </c>
      <c r="I978" s="3538"/>
      <c r="J978" s="262"/>
      <c r="K978" s="262"/>
      <c r="L978" s="262"/>
      <c r="M978" s="262"/>
      <c r="N978" s="262"/>
      <c r="O978" s="262"/>
      <c r="P978" s="262"/>
      <c r="Q978" s="262"/>
      <c r="R978" s="262"/>
      <c r="S978" s="1172"/>
      <c r="T978" s="1172"/>
      <c r="U978" s="1172"/>
      <c r="V978" s="1172"/>
      <c r="W978" s="1172"/>
      <c r="X978" s="1172"/>
      <c r="Y978" s="1172"/>
      <c r="Z978" s="1172"/>
      <c r="AA978" s="1172"/>
      <c r="AB978" s="1172"/>
      <c r="AC978" s="1172"/>
    </row>
    <row r="979" spans="2:29" ht="15">
      <c r="B979" s="4173" t="s">
        <v>1876</v>
      </c>
      <c r="C979" s="4178"/>
      <c r="D979" s="1034">
        <v>1992</v>
      </c>
      <c r="E979" s="458">
        <v>11029</v>
      </c>
      <c r="F979" s="1034">
        <v>2021</v>
      </c>
      <c r="G979" s="1034">
        <v>2022</v>
      </c>
      <c r="H979" s="464">
        <f>G979-D979</f>
        <v>30</v>
      </c>
      <c r="I979" s="3538"/>
      <c r="J979" s="262"/>
      <c r="K979" s="262"/>
      <c r="L979" s="262"/>
      <c r="M979" s="262"/>
      <c r="N979" s="262"/>
      <c r="O979" s="262"/>
      <c r="P979" s="262"/>
      <c r="Q979" s="262"/>
      <c r="R979" s="262"/>
      <c r="S979" s="1172"/>
      <c r="T979" s="1172"/>
      <c r="U979" s="1172"/>
      <c r="V979" s="1172"/>
      <c r="W979" s="1172"/>
      <c r="X979" s="1172"/>
      <c r="Y979" s="1172"/>
      <c r="Z979" s="1172"/>
      <c r="AA979" s="1172"/>
      <c r="AB979" s="1172"/>
      <c r="AC979" s="1172"/>
    </row>
    <row r="980" spans="2:29" ht="15">
      <c r="B980" s="3440" t="s">
        <v>1877</v>
      </c>
      <c r="C980" s="3442"/>
      <c r="D980" s="1034">
        <v>1994</v>
      </c>
      <c r="E980" s="458">
        <v>14768</v>
      </c>
      <c r="F980" s="1034">
        <v>2019</v>
      </c>
      <c r="G980" s="1034">
        <v>2020</v>
      </c>
      <c r="H980" s="464">
        <f t="shared" si="450"/>
        <v>26</v>
      </c>
      <c r="I980" s="262"/>
      <c r="J980" s="262"/>
      <c r="K980" s="262"/>
      <c r="L980" s="262"/>
      <c r="M980" s="262"/>
      <c r="N980" s="262"/>
      <c r="O980" s="262"/>
      <c r="P980" s="262"/>
      <c r="Q980" s="262"/>
      <c r="R980" s="262"/>
      <c r="S980" s="1172"/>
      <c r="T980" s="1172"/>
      <c r="U980" s="1172"/>
      <c r="V980" s="1172"/>
      <c r="W980" s="1172"/>
      <c r="X980" s="1172"/>
      <c r="Y980" s="1172"/>
      <c r="Z980" s="1172"/>
      <c r="AA980" s="1172"/>
      <c r="AB980" s="1172"/>
      <c r="AC980" s="1172"/>
    </row>
    <row r="981" spans="2:29" ht="15">
      <c r="B981" s="3440" t="s">
        <v>1878</v>
      </c>
      <c r="C981" s="3442"/>
      <c r="D981" s="1034">
        <v>2001</v>
      </c>
      <c r="E981" s="458">
        <v>5206</v>
      </c>
      <c r="F981" s="1034">
        <v>2018</v>
      </c>
      <c r="G981" s="1034">
        <v>2019</v>
      </c>
      <c r="H981" s="464">
        <f t="shared" si="450"/>
        <v>18</v>
      </c>
      <c r="I981" s="262"/>
      <c r="J981" s="262"/>
      <c r="K981" s="262"/>
      <c r="L981" s="262"/>
      <c r="M981" s="262"/>
      <c r="N981" s="262"/>
      <c r="O981" s="262"/>
      <c r="P981" s="262"/>
      <c r="Q981" s="262"/>
      <c r="R981" s="262"/>
      <c r="S981" s="1172"/>
      <c r="T981" s="1172"/>
      <c r="U981" s="1172"/>
      <c r="V981" s="1172"/>
      <c r="W981" s="1172"/>
      <c r="X981" s="1172"/>
      <c r="Y981" s="1172"/>
      <c r="Z981" s="1172"/>
      <c r="AA981" s="1172"/>
      <c r="AB981" s="1172"/>
      <c r="AC981" s="1172"/>
    </row>
    <row r="982" spans="2:29" ht="15">
      <c r="B982" s="3440" t="s">
        <v>1879</v>
      </c>
      <c r="C982" s="3442"/>
      <c r="D982" s="1034">
        <v>2002</v>
      </c>
      <c r="E982" s="458">
        <v>8276</v>
      </c>
      <c r="F982" s="1034">
        <v>2020</v>
      </c>
      <c r="G982" s="1034">
        <v>2021</v>
      </c>
      <c r="H982" s="464">
        <f t="shared" si="450"/>
        <v>19</v>
      </c>
      <c r="I982" s="262"/>
      <c r="J982" s="262"/>
      <c r="K982" s="262"/>
      <c r="L982" s="262"/>
      <c r="M982" s="262"/>
      <c r="N982" s="262"/>
      <c r="O982" s="262"/>
      <c r="P982" s="262"/>
      <c r="Q982" s="262"/>
      <c r="R982" s="262"/>
      <c r="S982" s="1172"/>
      <c r="T982" s="1172"/>
      <c r="U982" s="1172"/>
      <c r="V982" s="1172"/>
      <c r="W982" s="1172"/>
      <c r="X982" s="1172"/>
      <c r="Y982" s="1172"/>
      <c r="Z982" s="1172"/>
      <c r="AA982" s="1172"/>
      <c r="AB982" s="1172"/>
      <c r="AC982" s="1172"/>
    </row>
    <row r="983" spans="2:29" ht="15">
      <c r="B983" s="3440" t="s">
        <v>1880</v>
      </c>
      <c r="C983" s="3442"/>
      <c r="D983" s="1034">
        <v>2003</v>
      </c>
      <c r="E983" s="458">
        <v>11472</v>
      </c>
      <c r="F983" s="1034">
        <v>2021</v>
      </c>
      <c r="G983" s="1034">
        <v>2022</v>
      </c>
      <c r="H983" s="464">
        <f t="shared" si="450"/>
        <v>19</v>
      </c>
      <c r="I983" s="262"/>
      <c r="J983" s="262"/>
      <c r="K983" s="262"/>
      <c r="L983" s="262"/>
      <c r="M983" s="262"/>
      <c r="N983" s="262"/>
      <c r="O983" s="262"/>
      <c r="P983" s="262"/>
      <c r="Q983" s="262"/>
      <c r="R983" s="262"/>
      <c r="S983" s="1172"/>
      <c r="T983" s="1172"/>
      <c r="U983" s="1172"/>
      <c r="V983" s="1172"/>
      <c r="W983" s="1172"/>
      <c r="X983" s="1172"/>
      <c r="Y983" s="1172"/>
      <c r="Z983" s="1172"/>
      <c r="AA983" s="1172"/>
      <c r="AB983" s="1172"/>
      <c r="AC983" s="1172"/>
    </row>
    <row r="984" spans="2:29" ht="15">
      <c r="B984" s="3440" t="s">
        <v>1881</v>
      </c>
      <c r="C984" s="3442"/>
      <c r="D984" s="1034">
        <v>2004</v>
      </c>
      <c r="E984" s="458">
        <v>12437</v>
      </c>
      <c r="F984" s="1034">
        <v>2022</v>
      </c>
      <c r="G984" s="1034">
        <v>2023</v>
      </c>
      <c r="H984" s="464">
        <f t="shared" si="450"/>
        <v>19</v>
      </c>
      <c r="I984" s="262"/>
      <c r="J984" s="262"/>
      <c r="K984" s="262"/>
      <c r="L984" s="262"/>
      <c r="M984" s="262"/>
      <c r="N984" s="262"/>
      <c r="O984" s="262"/>
      <c r="P984" s="262"/>
      <c r="Q984" s="262"/>
      <c r="R984" s="262"/>
      <c r="S984" s="1172"/>
      <c r="T984" s="1172"/>
      <c r="U984" s="1172"/>
      <c r="V984" s="1172"/>
      <c r="W984" s="1172"/>
      <c r="X984" s="1172"/>
      <c r="Y984" s="1172"/>
      <c r="Z984" s="1172"/>
      <c r="AA984" s="1172"/>
      <c r="AB984" s="1172"/>
      <c r="AC984" s="1172"/>
    </row>
    <row r="985" spans="2:29" ht="15">
      <c r="B985" s="3440" t="s">
        <v>1882</v>
      </c>
      <c r="C985" s="3442"/>
      <c r="D985" s="1034">
        <v>1996</v>
      </c>
      <c r="E985" s="458">
        <v>10991</v>
      </c>
      <c r="F985" s="1034">
        <v>2020</v>
      </c>
      <c r="G985" s="1034">
        <v>2021</v>
      </c>
      <c r="H985" s="464">
        <f t="shared" si="450"/>
        <v>25</v>
      </c>
      <c r="I985" s="262"/>
      <c r="J985" s="262"/>
      <c r="K985" s="262"/>
      <c r="L985" s="262"/>
      <c r="M985" s="262"/>
      <c r="N985" s="262"/>
      <c r="O985" s="262"/>
      <c r="P985" s="262"/>
      <c r="Q985" s="262"/>
      <c r="R985" s="262"/>
      <c r="S985" s="1172"/>
      <c r="T985" s="1172"/>
      <c r="U985" s="1172"/>
      <c r="V985" s="1172"/>
      <c r="W985" s="1172"/>
      <c r="X985" s="1172"/>
      <c r="Y985" s="1172"/>
      <c r="Z985" s="1172"/>
      <c r="AA985" s="1172"/>
      <c r="AB985" s="1172"/>
      <c r="AC985" s="1172"/>
    </row>
    <row r="986" spans="2:29" ht="15">
      <c r="B986" s="3440" t="s">
        <v>1883</v>
      </c>
      <c r="C986" s="3442"/>
      <c r="D986" s="1034">
        <v>2000</v>
      </c>
      <c r="E986" s="458">
        <v>14305</v>
      </c>
      <c r="F986" s="1034">
        <v>2018</v>
      </c>
      <c r="G986" s="1034">
        <v>2019</v>
      </c>
      <c r="H986" s="464">
        <f t="shared" si="450"/>
        <v>19</v>
      </c>
      <c r="I986" s="262"/>
      <c r="J986" s="262"/>
      <c r="K986" s="262"/>
      <c r="L986" s="262"/>
      <c r="M986" s="262"/>
      <c r="N986" s="262"/>
      <c r="O986" s="262"/>
      <c r="P986" s="262"/>
      <c r="Q986" s="262"/>
      <c r="R986" s="262"/>
      <c r="S986" s="1172"/>
      <c r="T986" s="1172"/>
      <c r="U986" s="1172"/>
      <c r="V986" s="1172"/>
      <c r="W986" s="1172"/>
      <c r="X986" s="1172"/>
      <c r="Y986" s="1172"/>
      <c r="Z986" s="1172"/>
      <c r="AA986" s="1172"/>
      <c r="AB986" s="1172"/>
      <c r="AC986" s="1172"/>
    </row>
    <row r="987" spans="2:29" ht="15">
      <c r="B987" s="3440" t="s">
        <v>1884</v>
      </c>
      <c r="C987" s="3442"/>
      <c r="D987" s="1034">
        <v>2003</v>
      </c>
      <c r="E987" s="458">
        <v>23759</v>
      </c>
      <c r="F987" s="1034">
        <v>2018</v>
      </c>
      <c r="G987" s="1034">
        <v>2018</v>
      </c>
      <c r="H987" s="464">
        <f t="shared" si="450"/>
        <v>15</v>
      </c>
      <c r="I987" s="262"/>
      <c r="J987" s="262"/>
      <c r="K987" s="262"/>
      <c r="L987" s="262"/>
      <c r="M987" s="262"/>
      <c r="N987" s="262"/>
      <c r="O987" s="262"/>
      <c r="P987" s="262"/>
      <c r="Q987" s="262"/>
      <c r="R987" s="262"/>
      <c r="S987" s="1172"/>
      <c r="T987" s="1172"/>
      <c r="U987" s="1172"/>
      <c r="V987" s="1172"/>
      <c r="W987" s="1172"/>
      <c r="X987" s="1172"/>
      <c r="Y987" s="1172"/>
      <c r="Z987" s="1172"/>
      <c r="AA987" s="1172"/>
      <c r="AB987" s="1172"/>
      <c r="AC987" s="1172"/>
    </row>
    <row r="988" spans="2:29" ht="15">
      <c r="B988" s="3440" t="s">
        <v>1885</v>
      </c>
      <c r="C988" s="3442"/>
      <c r="D988" s="1034">
        <v>2004</v>
      </c>
      <c r="E988" s="458">
        <v>954</v>
      </c>
      <c r="F988" s="1034">
        <v>2018</v>
      </c>
      <c r="G988" s="1034">
        <v>2019</v>
      </c>
      <c r="H988" s="464">
        <f t="shared" si="450"/>
        <v>15</v>
      </c>
      <c r="I988" s="262"/>
      <c r="J988" s="262"/>
      <c r="K988" s="262"/>
      <c r="L988" s="262"/>
      <c r="M988" s="262"/>
      <c r="N988" s="262"/>
      <c r="O988" s="262"/>
      <c r="P988" s="262"/>
      <c r="Q988" s="262"/>
      <c r="R988" s="262"/>
      <c r="S988" s="1172"/>
      <c r="T988" s="1172"/>
      <c r="U988" s="1172"/>
      <c r="V988" s="1172"/>
      <c r="W988" s="1172"/>
      <c r="X988" s="1172"/>
      <c r="Y988" s="1172"/>
      <c r="Z988" s="1172"/>
      <c r="AA988" s="1172"/>
      <c r="AB988" s="1172"/>
      <c r="AC988" s="1172"/>
    </row>
    <row r="989" spans="2:29" ht="15">
      <c r="B989" s="3440" t="s">
        <v>1886</v>
      </c>
      <c r="C989" s="3442"/>
      <c r="D989" s="1034">
        <v>2006</v>
      </c>
      <c r="E989" s="458">
        <v>1422</v>
      </c>
      <c r="F989" s="1034">
        <v>2020</v>
      </c>
      <c r="G989" s="1034">
        <v>2021</v>
      </c>
      <c r="H989" s="464">
        <f t="shared" si="450"/>
        <v>15</v>
      </c>
      <c r="I989" s="262"/>
      <c r="J989" s="262"/>
      <c r="K989" s="262"/>
      <c r="L989" s="262"/>
      <c r="M989" s="262"/>
      <c r="N989" s="262"/>
      <c r="O989" s="262"/>
      <c r="P989" s="262"/>
      <c r="Q989" s="262"/>
      <c r="R989" s="262"/>
      <c r="S989" s="1172"/>
      <c r="T989" s="1172"/>
      <c r="U989" s="1172"/>
      <c r="V989" s="1172"/>
      <c r="W989" s="1172"/>
      <c r="X989" s="1172"/>
      <c r="Y989" s="1172"/>
      <c r="Z989" s="1172"/>
      <c r="AA989" s="1172"/>
      <c r="AB989" s="1172"/>
      <c r="AC989" s="1172"/>
    </row>
    <row r="990" spans="2:29" ht="15">
      <c r="B990" s="3440" t="s">
        <v>1887</v>
      </c>
      <c r="C990" s="3442"/>
      <c r="D990" s="1034">
        <v>2007</v>
      </c>
      <c r="E990" s="458">
        <v>55</v>
      </c>
      <c r="F990" s="1034">
        <v>2021</v>
      </c>
      <c r="G990" s="1034">
        <v>2022</v>
      </c>
      <c r="H990" s="464">
        <f t="shared" si="450"/>
        <v>15</v>
      </c>
      <c r="I990" s="262"/>
      <c r="J990" s="262"/>
      <c r="K990" s="262"/>
      <c r="L990" s="262"/>
      <c r="M990" s="262"/>
      <c r="N990" s="262"/>
      <c r="O990" s="262"/>
      <c r="P990" s="262"/>
      <c r="Q990" s="262"/>
      <c r="R990" s="262"/>
      <c r="S990" s="1172"/>
      <c r="T990" s="1172"/>
      <c r="U990" s="1172"/>
      <c r="V990" s="1172"/>
      <c r="W990" s="1172"/>
      <c r="X990" s="1172"/>
      <c r="Y990" s="1172"/>
      <c r="Z990" s="1172"/>
      <c r="AA990" s="1172"/>
      <c r="AB990" s="1172"/>
      <c r="AC990" s="1172"/>
    </row>
    <row r="991" spans="2:29" ht="15">
      <c r="B991" s="3440" t="s">
        <v>1888</v>
      </c>
      <c r="C991" s="3442"/>
      <c r="D991" s="1034">
        <v>2008</v>
      </c>
      <c r="E991" s="458">
        <v>4</v>
      </c>
      <c r="F991" s="1034">
        <v>2022</v>
      </c>
      <c r="G991" s="1034">
        <v>2023</v>
      </c>
      <c r="H991" s="464">
        <f t="shared" si="450"/>
        <v>15</v>
      </c>
      <c r="I991" s="262"/>
      <c r="J991" s="262"/>
      <c r="K991" s="262"/>
      <c r="L991" s="262"/>
      <c r="M991" s="262"/>
      <c r="N991" s="262"/>
      <c r="O991" s="262"/>
      <c r="P991" s="262"/>
      <c r="Q991" s="262"/>
      <c r="R991" s="262"/>
      <c r="S991" s="1172"/>
      <c r="T991" s="1172"/>
      <c r="U991" s="1172"/>
      <c r="V991" s="1172"/>
      <c r="W991" s="1172"/>
      <c r="X991" s="1172"/>
      <c r="Y991" s="1172"/>
      <c r="Z991" s="1172"/>
      <c r="AA991" s="1172"/>
      <c r="AB991" s="1172"/>
      <c r="AC991" s="1172"/>
    </row>
    <row r="992" spans="2:29" ht="15">
      <c r="B992" s="3440" t="s">
        <v>1889</v>
      </c>
      <c r="C992" s="3442"/>
      <c r="D992" s="1034">
        <v>2003</v>
      </c>
      <c r="E992" s="458">
        <v>1645</v>
      </c>
      <c r="F992" s="1034">
        <v>2021</v>
      </c>
      <c r="G992" s="1034">
        <v>2022</v>
      </c>
      <c r="H992" s="464">
        <f t="shared" si="450"/>
        <v>19</v>
      </c>
      <c r="I992" s="262"/>
      <c r="J992" s="262"/>
      <c r="K992" s="262"/>
      <c r="L992" s="262"/>
      <c r="M992" s="262"/>
      <c r="N992" s="262"/>
      <c r="O992" s="262"/>
      <c r="P992" s="262"/>
      <c r="Q992" s="262"/>
      <c r="R992" s="262"/>
      <c r="S992" s="1172"/>
      <c r="T992" s="1172"/>
      <c r="U992" s="1172"/>
      <c r="V992" s="1172"/>
      <c r="W992" s="1172"/>
      <c r="X992" s="1172"/>
      <c r="Y992" s="1172"/>
      <c r="Z992" s="1172"/>
      <c r="AA992" s="1172"/>
      <c r="AB992" s="1172"/>
      <c r="AC992" s="1172"/>
    </row>
    <row r="993" spans="2:29" ht="15">
      <c r="B993" s="3440" t="s">
        <v>1890</v>
      </c>
      <c r="C993" s="3442"/>
      <c r="D993" s="1034">
        <v>2004</v>
      </c>
      <c r="E993" s="458">
        <v>2939</v>
      </c>
      <c r="F993" s="1034">
        <v>2022</v>
      </c>
      <c r="G993" s="1034">
        <v>2023</v>
      </c>
      <c r="H993" s="464">
        <f t="shared" si="450"/>
        <v>19</v>
      </c>
      <c r="I993" s="262"/>
      <c r="J993" s="262"/>
      <c r="K993" s="262"/>
      <c r="L993" s="262"/>
      <c r="M993" s="262"/>
      <c r="N993" s="262"/>
      <c r="O993" s="262"/>
      <c r="P993" s="262"/>
      <c r="Q993" s="262"/>
      <c r="R993" s="262"/>
      <c r="S993" s="1172"/>
      <c r="T993" s="1172"/>
      <c r="U993" s="1172"/>
      <c r="V993" s="1172"/>
      <c r="W993" s="1172"/>
      <c r="X993" s="1172"/>
      <c r="Y993" s="1172"/>
      <c r="Z993" s="1172"/>
      <c r="AA993" s="1172"/>
      <c r="AB993" s="1172"/>
      <c r="AC993" s="1172"/>
    </row>
    <row r="994" spans="2:29" ht="15">
      <c r="B994" s="3440" t="s">
        <v>1891</v>
      </c>
      <c r="C994" s="3442"/>
      <c r="D994" s="1034">
        <v>1997</v>
      </c>
      <c r="E994" s="458">
        <v>408</v>
      </c>
      <c r="F994" s="1034">
        <v>2018</v>
      </c>
      <c r="G994" s="1034">
        <v>2019</v>
      </c>
      <c r="H994" s="464">
        <f t="shared" si="450"/>
        <v>22</v>
      </c>
      <c r="I994" s="262"/>
      <c r="J994" s="262"/>
      <c r="K994" s="262"/>
      <c r="L994" s="262"/>
      <c r="M994" s="262"/>
      <c r="N994" s="262"/>
      <c r="O994" s="262"/>
      <c r="P994" s="262"/>
      <c r="Q994" s="262"/>
      <c r="R994" s="262"/>
      <c r="S994" s="1172"/>
      <c r="T994" s="1172"/>
      <c r="U994" s="1172"/>
      <c r="V994" s="1172"/>
      <c r="W994" s="1172"/>
      <c r="X994" s="1172"/>
      <c r="Y994" s="1172"/>
      <c r="Z994" s="1172"/>
      <c r="AA994" s="1172"/>
      <c r="AB994" s="1172"/>
      <c r="AC994" s="1172"/>
    </row>
    <row r="995" spans="2:29" ht="15">
      <c r="B995" s="3440" t="s">
        <v>1892</v>
      </c>
      <c r="C995" s="3442"/>
      <c r="D995" s="1034">
        <v>2000</v>
      </c>
      <c r="E995" s="458">
        <v>441</v>
      </c>
      <c r="F995" s="1034">
        <v>2018</v>
      </c>
      <c r="G995" s="1034">
        <v>2019</v>
      </c>
      <c r="H995" s="464">
        <f t="shared" si="450"/>
        <v>19</v>
      </c>
      <c r="I995" s="262"/>
      <c r="J995" s="262"/>
      <c r="K995" s="262"/>
      <c r="L995" s="262"/>
      <c r="M995" s="262"/>
      <c r="N995" s="262"/>
      <c r="O995" s="262"/>
      <c r="P995" s="262"/>
      <c r="Q995" s="262"/>
      <c r="R995" s="262"/>
      <c r="S995" s="1172"/>
      <c r="T995" s="1172"/>
      <c r="U995" s="1172"/>
      <c r="V995" s="1172"/>
      <c r="W995" s="1172"/>
      <c r="X995" s="1172"/>
      <c r="Y995" s="1172"/>
      <c r="Z995" s="1172"/>
      <c r="AA995" s="1172"/>
      <c r="AB995" s="1172"/>
      <c r="AC995" s="1172"/>
    </row>
    <row r="996" spans="2:29" ht="15">
      <c r="B996" s="3440" t="s">
        <v>1893</v>
      </c>
      <c r="C996" s="3442"/>
      <c r="D996" s="1034">
        <v>2003</v>
      </c>
      <c r="E996" s="458">
        <v>2407</v>
      </c>
      <c r="F996" s="1034">
        <v>2021</v>
      </c>
      <c r="G996" s="1034">
        <v>2022</v>
      </c>
      <c r="H996" s="464">
        <f t="shared" si="450"/>
        <v>19</v>
      </c>
      <c r="I996" s="262"/>
      <c r="J996" s="262"/>
      <c r="K996" s="262"/>
      <c r="L996" s="262"/>
      <c r="M996" s="262"/>
      <c r="N996" s="262"/>
      <c r="O996" s="262"/>
      <c r="P996" s="262"/>
      <c r="Q996" s="262"/>
      <c r="R996" s="262"/>
      <c r="S996" s="1172"/>
      <c r="T996" s="1172"/>
      <c r="U996" s="1172"/>
      <c r="V996" s="1172"/>
      <c r="W996" s="1172"/>
      <c r="X996" s="1172"/>
      <c r="Y996" s="1172"/>
      <c r="Z996" s="1172"/>
      <c r="AA996" s="1172"/>
      <c r="AB996" s="1172"/>
      <c r="AC996" s="1172"/>
    </row>
    <row r="997" spans="2:29" ht="15">
      <c r="B997" s="3440" t="s">
        <v>1894</v>
      </c>
      <c r="C997" s="3442"/>
      <c r="D997" s="1034">
        <v>2004</v>
      </c>
      <c r="E997" s="458">
        <v>2611</v>
      </c>
      <c r="F997" s="1034">
        <v>2022</v>
      </c>
      <c r="G997" s="1034">
        <v>2023</v>
      </c>
      <c r="H997" s="464">
        <f t="shared" si="450"/>
        <v>19</v>
      </c>
      <c r="I997" s="262"/>
      <c r="J997" s="262"/>
      <c r="K997" s="262"/>
      <c r="L997" s="262"/>
      <c r="M997" s="262"/>
      <c r="N997" s="262"/>
      <c r="O997" s="262"/>
      <c r="P997" s="262"/>
      <c r="Q997" s="262"/>
      <c r="R997" s="262"/>
      <c r="S997" s="1172"/>
      <c r="T997" s="1172"/>
      <c r="U997" s="1172"/>
      <c r="V997" s="1172"/>
      <c r="W997" s="1172"/>
      <c r="X997" s="1172"/>
      <c r="Y997" s="1172"/>
      <c r="Z997" s="1172"/>
      <c r="AA997" s="1172"/>
      <c r="AB997" s="1172"/>
      <c r="AC997" s="1172"/>
    </row>
    <row r="998" spans="2:29" ht="15">
      <c r="B998" s="3440" t="s">
        <v>1895</v>
      </c>
      <c r="C998" s="3442"/>
      <c r="D998" s="1034">
        <v>2003</v>
      </c>
      <c r="E998" s="475">
        <v>319</v>
      </c>
      <c r="F998" s="1034" t="s">
        <v>1896</v>
      </c>
      <c r="G998" s="1034">
        <v>2018</v>
      </c>
      <c r="H998" s="464">
        <f t="shared" si="450"/>
        <v>15</v>
      </c>
      <c r="I998" s="262"/>
      <c r="J998" s="262"/>
      <c r="K998" s="262"/>
      <c r="L998" s="262"/>
      <c r="M998" s="262"/>
      <c r="N998" s="262"/>
      <c r="O998" s="262"/>
      <c r="P998" s="262"/>
      <c r="Q998" s="262"/>
      <c r="R998" s="262"/>
      <c r="S998" s="1172"/>
      <c r="T998" s="1172"/>
      <c r="U998" s="1172"/>
      <c r="V998" s="1172"/>
      <c r="W998" s="1172"/>
      <c r="X998" s="1172"/>
      <c r="Y998" s="1172"/>
      <c r="Z998" s="1172"/>
      <c r="AA998" s="1172"/>
      <c r="AB998" s="1172"/>
      <c r="AC998" s="1172"/>
    </row>
    <row r="999" spans="2:29" ht="15">
      <c r="B999" s="3440" t="s">
        <v>1897</v>
      </c>
      <c r="C999" s="3442"/>
      <c r="D999" s="1034">
        <v>2003</v>
      </c>
      <c r="E999" s="458">
        <v>10</v>
      </c>
      <c r="F999" s="1034" t="s">
        <v>1896</v>
      </c>
      <c r="G999" s="1034">
        <v>2018</v>
      </c>
      <c r="H999" s="464">
        <f t="shared" si="450"/>
        <v>15</v>
      </c>
      <c r="I999" s="262"/>
      <c r="J999" s="262"/>
      <c r="K999" s="262"/>
      <c r="L999" s="262"/>
      <c r="M999" s="262"/>
      <c r="N999" s="262"/>
      <c r="O999" s="262"/>
      <c r="P999" s="262"/>
      <c r="Q999" s="262"/>
      <c r="R999" s="262"/>
      <c r="S999" s="1172"/>
      <c r="T999" s="1172"/>
      <c r="U999" s="1172"/>
      <c r="V999" s="1172"/>
      <c r="W999" s="1172"/>
      <c r="X999" s="1172"/>
      <c r="Y999" s="1172"/>
      <c r="Z999" s="1172"/>
      <c r="AA999" s="1172"/>
      <c r="AB999" s="1172"/>
      <c r="AC999" s="1172"/>
    </row>
    <row r="1000" spans="2:29" ht="15">
      <c r="B1000" s="3440" t="s">
        <v>1898</v>
      </c>
      <c r="C1000" s="3442"/>
      <c r="D1000" s="1034">
        <v>2003</v>
      </c>
      <c r="E1000" s="458">
        <v>8</v>
      </c>
      <c r="F1000" s="1034" t="s">
        <v>1896</v>
      </c>
      <c r="G1000" s="1034">
        <v>2018</v>
      </c>
      <c r="H1000" s="464">
        <f t="shared" si="450"/>
        <v>15</v>
      </c>
      <c r="I1000" s="262"/>
      <c r="J1000" s="262"/>
      <c r="K1000" s="262"/>
      <c r="L1000" s="262"/>
      <c r="M1000" s="262"/>
      <c r="N1000" s="262"/>
      <c r="O1000" s="262"/>
      <c r="P1000" s="262"/>
      <c r="Q1000" s="262"/>
      <c r="R1000" s="262"/>
      <c r="S1000" s="1172"/>
      <c r="T1000" s="1172"/>
      <c r="U1000" s="1172"/>
      <c r="V1000" s="1172"/>
      <c r="W1000" s="1172"/>
      <c r="X1000" s="1172"/>
      <c r="Y1000" s="1172"/>
      <c r="Z1000" s="1172"/>
      <c r="AA1000" s="1172"/>
      <c r="AB1000" s="1172"/>
      <c r="AC1000" s="1172"/>
    </row>
    <row r="1001" spans="2:29" ht="15">
      <c r="B1001" s="3440" t="s">
        <v>1899</v>
      </c>
      <c r="C1001" s="3442"/>
      <c r="D1001" s="1034">
        <v>2003</v>
      </c>
      <c r="E1001" s="458">
        <v>10</v>
      </c>
      <c r="F1001" s="1034" t="s">
        <v>1896</v>
      </c>
      <c r="G1001" s="1034">
        <v>2018</v>
      </c>
      <c r="H1001" s="464">
        <f t="shared" si="450"/>
        <v>15</v>
      </c>
      <c r="I1001" s="262"/>
      <c r="J1001" s="262"/>
      <c r="K1001" s="262"/>
      <c r="L1001" s="262"/>
      <c r="M1001" s="262"/>
      <c r="N1001" s="262"/>
      <c r="O1001" s="262"/>
      <c r="P1001" s="262"/>
      <c r="Q1001" s="262"/>
      <c r="R1001" s="262"/>
      <c r="S1001" s="1172"/>
      <c r="T1001" s="1172"/>
      <c r="U1001" s="1172"/>
      <c r="V1001" s="1172"/>
      <c r="W1001" s="1172"/>
      <c r="X1001" s="1172"/>
      <c r="Y1001" s="1172"/>
      <c r="Z1001" s="1172"/>
      <c r="AA1001" s="1172"/>
      <c r="AB1001" s="1172"/>
      <c r="AC1001" s="1172"/>
    </row>
    <row r="1002" spans="2:29" ht="15">
      <c r="B1002" s="3440" t="s">
        <v>1900</v>
      </c>
      <c r="C1002" s="3442"/>
      <c r="D1002" s="1034">
        <v>2005</v>
      </c>
      <c r="E1002" s="458">
        <v>4</v>
      </c>
      <c r="F1002" s="1034" t="s">
        <v>1896</v>
      </c>
      <c r="G1002" s="1034">
        <v>2018</v>
      </c>
      <c r="H1002" s="464">
        <f t="shared" si="450"/>
        <v>13</v>
      </c>
      <c r="I1002" s="262"/>
      <c r="J1002" s="262"/>
      <c r="K1002" s="262"/>
      <c r="L1002" s="262"/>
      <c r="M1002" s="262"/>
      <c r="N1002" s="262"/>
      <c r="O1002" s="262"/>
      <c r="P1002" s="262"/>
      <c r="Q1002" s="262"/>
      <c r="R1002" s="262"/>
      <c r="S1002" s="1172"/>
      <c r="T1002" s="1172"/>
      <c r="U1002" s="1172"/>
      <c r="V1002" s="1172"/>
      <c r="W1002" s="1172"/>
      <c r="X1002" s="1172"/>
      <c r="Y1002" s="1172"/>
      <c r="Z1002" s="1172"/>
      <c r="AA1002" s="1172"/>
      <c r="AB1002" s="1172"/>
      <c r="AC1002" s="1172"/>
    </row>
    <row r="1003" spans="2:29" ht="15">
      <c r="B1003" s="3440" t="s">
        <v>1901</v>
      </c>
      <c r="C1003" s="3442"/>
      <c r="D1003" s="1034">
        <v>2005</v>
      </c>
      <c r="E1003" s="458">
        <v>6</v>
      </c>
      <c r="F1003" s="1034" t="s">
        <v>1896</v>
      </c>
      <c r="G1003" s="1034">
        <v>2018</v>
      </c>
      <c r="H1003" s="464">
        <f t="shared" si="450"/>
        <v>13</v>
      </c>
      <c r="I1003" s="262"/>
      <c r="J1003" s="262"/>
      <c r="K1003" s="262"/>
      <c r="L1003" s="262"/>
      <c r="M1003" s="262"/>
      <c r="N1003" s="262"/>
      <c r="O1003" s="262"/>
      <c r="P1003" s="262"/>
      <c r="Q1003" s="262"/>
      <c r="R1003" s="262"/>
      <c r="S1003" s="1172"/>
      <c r="T1003" s="1172"/>
      <c r="U1003" s="1172"/>
      <c r="V1003" s="1172"/>
      <c r="W1003" s="1172"/>
      <c r="X1003" s="1172"/>
      <c r="Y1003" s="1172"/>
      <c r="Z1003" s="1172"/>
      <c r="AA1003" s="1172"/>
      <c r="AB1003" s="1172"/>
      <c r="AC1003" s="1172"/>
    </row>
    <row r="1004" spans="2:29" ht="15">
      <c r="B1004" s="3440" t="s">
        <v>1902</v>
      </c>
      <c r="C1004" s="3442"/>
      <c r="D1004" s="1034">
        <v>2005</v>
      </c>
      <c r="E1004" s="458">
        <v>2</v>
      </c>
      <c r="F1004" s="1034" t="s">
        <v>1896</v>
      </c>
      <c r="G1004" s="1034">
        <v>2018</v>
      </c>
      <c r="H1004" s="464">
        <f t="shared" si="450"/>
        <v>13</v>
      </c>
      <c r="I1004" s="262"/>
      <c r="J1004" s="262"/>
      <c r="K1004" s="262"/>
      <c r="L1004" s="262"/>
      <c r="M1004" s="262"/>
      <c r="N1004" s="262"/>
      <c r="O1004" s="262"/>
      <c r="P1004" s="262"/>
      <c r="Q1004" s="262"/>
      <c r="R1004" s="262"/>
      <c r="S1004" s="1172"/>
      <c r="T1004" s="1172"/>
      <c r="U1004" s="1172"/>
      <c r="V1004" s="1172"/>
      <c r="W1004" s="1172"/>
      <c r="X1004" s="1172"/>
      <c r="Y1004" s="1172"/>
      <c r="Z1004" s="1172"/>
      <c r="AA1004" s="1172"/>
      <c r="AB1004" s="1172"/>
      <c r="AC1004" s="1172"/>
    </row>
    <row r="1005" spans="2:29" ht="15">
      <c r="B1005" s="3440" t="s">
        <v>1903</v>
      </c>
      <c r="C1005" s="3442"/>
      <c r="D1005" s="1034">
        <v>2005</v>
      </c>
      <c r="E1005" s="458">
        <v>1</v>
      </c>
      <c r="F1005" s="1034" t="s">
        <v>1896</v>
      </c>
      <c r="G1005" s="1034">
        <v>2018</v>
      </c>
      <c r="H1005" s="464">
        <f t="shared" si="450"/>
        <v>13</v>
      </c>
      <c r="I1005" s="262"/>
      <c r="J1005" s="262"/>
      <c r="K1005" s="262"/>
      <c r="L1005" s="262"/>
      <c r="M1005" s="262"/>
      <c r="N1005" s="262"/>
      <c r="O1005" s="262"/>
      <c r="P1005" s="262"/>
      <c r="Q1005" s="262"/>
      <c r="R1005" s="262"/>
      <c r="S1005" s="1172"/>
      <c r="T1005" s="1172"/>
      <c r="U1005" s="1172"/>
      <c r="V1005" s="1172"/>
      <c r="W1005" s="1172"/>
      <c r="X1005" s="1172"/>
      <c r="Y1005" s="1172"/>
      <c r="Z1005" s="1172"/>
      <c r="AA1005" s="1172"/>
      <c r="AB1005" s="1172"/>
      <c r="AC1005" s="1172"/>
    </row>
    <row r="1006" spans="2:29" ht="15">
      <c r="B1006" s="3440" t="s">
        <v>1904</v>
      </c>
      <c r="C1006" s="3442"/>
      <c r="D1006" s="1034">
        <v>2003</v>
      </c>
      <c r="E1006" s="458">
        <v>7</v>
      </c>
      <c r="F1006" s="1034" t="s">
        <v>1896</v>
      </c>
      <c r="G1006" s="1034">
        <v>2018</v>
      </c>
      <c r="H1006" s="464">
        <f t="shared" si="450"/>
        <v>15</v>
      </c>
      <c r="I1006" s="262"/>
      <c r="J1006" s="262"/>
      <c r="K1006" s="262"/>
      <c r="L1006" s="262"/>
      <c r="M1006" s="262"/>
      <c r="N1006" s="262"/>
      <c r="O1006" s="262"/>
      <c r="P1006" s="262"/>
      <c r="Q1006" s="262"/>
      <c r="R1006" s="262"/>
      <c r="S1006" s="1172"/>
      <c r="T1006" s="1172"/>
      <c r="U1006" s="1172"/>
      <c r="V1006" s="1172"/>
      <c r="W1006" s="1172"/>
      <c r="X1006" s="1172"/>
      <c r="Y1006" s="1172"/>
      <c r="Z1006" s="1172"/>
      <c r="AA1006" s="1172"/>
      <c r="AB1006" s="1172"/>
      <c r="AC1006" s="1172"/>
    </row>
    <row r="1007" spans="2:29" ht="15">
      <c r="B1007" s="3440" t="s">
        <v>1905</v>
      </c>
      <c r="C1007" s="3442"/>
      <c r="D1007" s="1034">
        <v>2003</v>
      </c>
      <c r="E1007" s="458">
        <v>14</v>
      </c>
      <c r="F1007" s="1034" t="s">
        <v>1896</v>
      </c>
      <c r="G1007" s="1034">
        <v>2018</v>
      </c>
      <c r="H1007" s="464">
        <f t="shared" si="450"/>
        <v>15</v>
      </c>
      <c r="I1007" s="262"/>
      <c r="J1007" s="262"/>
      <c r="K1007" s="262"/>
      <c r="L1007" s="262"/>
      <c r="M1007" s="262"/>
      <c r="N1007" s="262"/>
      <c r="O1007" s="262"/>
      <c r="P1007" s="262"/>
      <c r="Q1007" s="262"/>
      <c r="R1007" s="262"/>
      <c r="S1007" s="1172"/>
      <c r="T1007" s="1172"/>
      <c r="U1007" s="1172"/>
      <c r="V1007" s="1172"/>
      <c r="W1007" s="1172"/>
      <c r="X1007" s="1172"/>
      <c r="Y1007" s="1172"/>
      <c r="Z1007" s="1172"/>
      <c r="AA1007" s="1172"/>
      <c r="AB1007" s="1172"/>
      <c r="AC1007" s="1172"/>
    </row>
    <row r="1008" spans="2:29" ht="15">
      <c r="B1008" s="3440" t="s">
        <v>1906</v>
      </c>
      <c r="C1008" s="3442"/>
      <c r="D1008" s="1034">
        <v>2005</v>
      </c>
      <c r="E1008" s="458">
        <v>1</v>
      </c>
      <c r="F1008" s="1034" t="s">
        <v>1896</v>
      </c>
      <c r="G1008" s="1034">
        <v>2018</v>
      </c>
      <c r="H1008" s="464">
        <f t="shared" si="450"/>
        <v>13</v>
      </c>
      <c r="I1008" s="262"/>
      <c r="J1008" s="262"/>
      <c r="K1008" s="262"/>
      <c r="L1008" s="262"/>
      <c r="M1008" s="262"/>
      <c r="N1008" s="262"/>
      <c r="O1008" s="262"/>
      <c r="P1008" s="262"/>
      <c r="Q1008" s="262"/>
      <c r="R1008" s="262"/>
      <c r="S1008" s="1172"/>
      <c r="T1008" s="1172"/>
      <c r="U1008" s="1172"/>
      <c r="V1008" s="1172"/>
      <c r="W1008" s="1172"/>
      <c r="X1008" s="1172"/>
      <c r="Y1008" s="1172"/>
      <c r="Z1008" s="1172"/>
      <c r="AA1008" s="1172"/>
      <c r="AB1008" s="1172"/>
      <c r="AC1008" s="1172"/>
    </row>
    <row r="1009" spans="2:29" ht="15">
      <c r="B1009" s="3440" t="s">
        <v>1907</v>
      </c>
      <c r="C1009" s="3442"/>
      <c r="D1009" s="1034">
        <v>2003</v>
      </c>
      <c r="E1009" s="458">
        <v>4</v>
      </c>
      <c r="F1009" s="1034" t="s">
        <v>1896</v>
      </c>
      <c r="G1009" s="1034">
        <v>2018</v>
      </c>
      <c r="H1009" s="464">
        <f t="shared" si="450"/>
        <v>15</v>
      </c>
      <c r="I1009" s="262"/>
      <c r="J1009" s="262"/>
      <c r="K1009" s="262"/>
      <c r="L1009" s="262"/>
      <c r="M1009" s="262"/>
      <c r="N1009" s="262"/>
      <c r="O1009" s="262"/>
      <c r="P1009" s="262"/>
      <c r="Q1009" s="262"/>
      <c r="R1009" s="262"/>
      <c r="S1009" s="1172"/>
      <c r="T1009" s="1172"/>
      <c r="U1009" s="1172"/>
      <c r="V1009" s="1172"/>
      <c r="W1009" s="1172"/>
      <c r="X1009" s="1172"/>
      <c r="Y1009" s="1172"/>
      <c r="Z1009" s="1172"/>
      <c r="AA1009" s="1172"/>
      <c r="AB1009" s="1172"/>
      <c r="AC1009" s="1172"/>
    </row>
    <row r="1010" spans="2:29" ht="15">
      <c r="B1010" s="3440" t="s">
        <v>1908</v>
      </c>
      <c r="C1010" s="3442"/>
      <c r="D1010" s="1034">
        <v>2003</v>
      </c>
      <c r="E1010" s="458">
        <v>1</v>
      </c>
      <c r="F1010" s="1034" t="s">
        <v>1896</v>
      </c>
      <c r="G1010" s="1034">
        <v>2018</v>
      </c>
      <c r="H1010" s="464">
        <f t="shared" si="450"/>
        <v>15</v>
      </c>
      <c r="I1010" s="262"/>
      <c r="J1010" s="262"/>
      <c r="K1010" s="262"/>
      <c r="L1010" s="262"/>
      <c r="M1010" s="262"/>
      <c r="N1010" s="262"/>
      <c r="O1010" s="262"/>
      <c r="P1010" s="262"/>
      <c r="Q1010" s="262"/>
      <c r="R1010" s="262"/>
      <c r="S1010" s="1172"/>
      <c r="T1010" s="1172"/>
      <c r="U1010" s="1172"/>
      <c r="V1010" s="1172"/>
      <c r="W1010" s="1172"/>
      <c r="X1010" s="1172"/>
      <c r="Y1010" s="1172"/>
      <c r="Z1010" s="1172"/>
      <c r="AA1010" s="1172"/>
      <c r="AB1010" s="1172"/>
      <c r="AC1010" s="1172"/>
    </row>
    <row r="1011" spans="2:29" ht="15">
      <c r="B1011" s="3440" t="s">
        <v>1909</v>
      </c>
      <c r="C1011" s="3442"/>
      <c r="D1011" s="1034">
        <v>2003</v>
      </c>
      <c r="E1011" s="458">
        <v>7</v>
      </c>
      <c r="F1011" s="1034" t="s">
        <v>1896</v>
      </c>
      <c r="G1011" s="1034">
        <v>2018</v>
      </c>
      <c r="H1011" s="464">
        <f t="shared" si="450"/>
        <v>15</v>
      </c>
      <c r="I1011" s="262"/>
      <c r="J1011" s="262"/>
      <c r="K1011" s="262"/>
      <c r="L1011" s="262"/>
      <c r="M1011" s="262"/>
      <c r="N1011" s="262"/>
      <c r="O1011" s="262"/>
      <c r="P1011" s="262"/>
      <c r="Q1011" s="262"/>
      <c r="R1011" s="262"/>
      <c r="S1011" s="1172"/>
      <c r="T1011" s="1172"/>
      <c r="U1011" s="1172"/>
      <c r="V1011" s="1172"/>
      <c r="W1011" s="1172"/>
      <c r="X1011" s="1172"/>
      <c r="Y1011" s="1172"/>
      <c r="Z1011" s="1172"/>
      <c r="AA1011" s="1172"/>
      <c r="AB1011" s="1172"/>
      <c r="AC1011" s="1172"/>
    </row>
    <row r="1012" spans="2:29" ht="15">
      <c r="B1012" s="3440" t="s">
        <v>1910</v>
      </c>
      <c r="C1012" s="3442"/>
      <c r="D1012" s="1034">
        <v>2003</v>
      </c>
      <c r="E1012" s="458">
        <v>1</v>
      </c>
      <c r="F1012" s="1034" t="s">
        <v>1896</v>
      </c>
      <c r="G1012" s="1034">
        <v>2018</v>
      </c>
      <c r="H1012" s="464">
        <f t="shared" si="450"/>
        <v>15</v>
      </c>
      <c r="I1012" s="262"/>
      <c r="J1012" s="262"/>
      <c r="K1012" s="262"/>
      <c r="L1012" s="262"/>
      <c r="M1012" s="262"/>
      <c r="N1012" s="262"/>
      <c r="O1012" s="262"/>
      <c r="P1012" s="262"/>
      <c r="Q1012" s="262"/>
      <c r="R1012" s="262"/>
      <c r="S1012" s="1172"/>
      <c r="T1012" s="1172"/>
      <c r="U1012" s="1172"/>
      <c r="V1012" s="1172"/>
      <c r="W1012" s="1172"/>
      <c r="X1012" s="1172"/>
      <c r="Y1012" s="1172"/>
      <c r="Z1012" s="1172"/>
      <c r="AA1012" s="1172"/>
      <c r="AB1012" s="1172"/>
      <c r="AC1012" s="1172"/>
    </row>
    <row r="1013" spans="2:29" ht="15">
      <c r="B1013" s="3440" t="s">
        <v>1911</v>
      </c>
      <c r="C1013" s="3442"/>
      <c r="D1013" s="1034">
        <v>2003</v>
      </c>
      <c r="E1013" s="458">
        <v>51</v>
      </c>
      <c r="F1013" s="1034" t="s">
        <v>1896</v>
      </c>
      <c r="G1013" s="1034">
        <v>2018</v>
      </c>
      <c r="H1013" s="464">
        <f t="shared" si="450"/>
        <v>15</v>
      </c>
      <c r="I1013" s="262"/>
      <c r="J1013" s="262"/>
      <c r="K1013" s="262"/>
      <c r="L1013" s="262"/>
      <c r="M1013" s="262"/>
      <c r="N1013" s="262"/>
      <c r="O1013" s="262"/>
      <c r="P1013" s="262"/>
      <c r="Q1013" s="262"/>
      <c r="R1013" s="262"/>
      <c r="S1013" s="1172"/>
      <c r="T1013" s="1172"/>
      <c r="U1013" s="1172"/>
      <c r="V1013" s="1172"/>
      <c r="W1013" s="1172"/>
      <c r="X1013" s="1172"/>
      <c r="Y1013" s="1172"/>
      <c r="Z1013" s="1172"/>
      <c r="AA1013" s="1172"/>
      <c r="AB1013" s="1172"/>
      <c r="AC1013" s="1172"/>
    </row>
    <row r="1014" spans="2:29" ht="15">
      <c r="B1014" s="3440" t="s">
        <v>1912</v>
      </c>
      <c r="C1014" s="3442"/>
      <c r="D1014" s="1034">
        <v>2003</v>
      </c>
      <c r="E1014" s="458">
        <v>3</v>
      </c>
      <c r="F1014" s="1034" t="s">
        <v>1896</v>
      </c>
      <c r="G1014" s="1034">
        <v>2018</v>
      </c>
      <c r="H1014" s="464">
        <f t="shared" si="450"/>
        <v>15</v>
      </c>
      <c r="I1014" s="262"/>
      <c r="J1014" s="262"/>
      <c r="K1014" s="262"/>
      <c r="L1014" s="262"/>
      <c r="M1014" s="262"/>
      <c r="N1014" s="262"/>
      <c r="O1014" s="262"/>
      <c r="P1014" s="262"/>
      <c r="Q1014" s="262"/>
      <c r="R1014" s="262"/>
      <c r="S1014" s="1172"/>
      <c r="T1014" s="1172"/>
      <c r="U1014" s="1172"/>
      <c r="V1014" s="1172"/>
      <c r="W1014" s="1172"/>
      <c r="X1014" s="1172"/>
      <c r="Y1014" s="1172"/>
      <c r="Z1014" s="1172"/>
      <c r="AA1014" s="1172"/>
      <c r="AB1014" s="1172"/>
      <c r="AC1014" s="1172"/>
    </row>
    <row r="1015" spans="2:29" ht="15">
      <c r="B1015" s="3440" t="s">
        <v>1913</v>
      </c>
      <c r="C1015" s="3442"/>
      <c r="D1015" s="1034">
        <v>2005</v>
      </c>
      <c r="E1015" s="458">
        <v>2</v>
      </c>
      <c r="F1015" s="1034" t="s">
        <v>1896</v>
      </c>
      <c r="G1015" s="1034">
        <v>2018</v>
      </c>
      <c r="H1015" s="464">
        <f t="shared" si="450"/>
        <v>13</v>
      </c>
      <c r="I1015" s="262"/>
      <c r="J1015" s="262"/>
      <c r="K1015" s="262"/>
      <c r="L1015" s="262"/>
      <c r="M1015" s="262"/>
      <c r="N1015" s="262"/>
      <c r="O1015" s="262"/>
      <c r="P1015" s="262"/>
      <c r="Q1015" s="262"/>
      <c r="R1015" s="262"/>
      <c r="S1015" s="1172"/>
      <c r="T1015" s="1172"/>
      <c r="U1015" s="1172"/>
      <c r="V1015" s="1172"/>
      <c r="W1015" s="1172"/>
      <c r="X1015" s="1172"/>
      <c r="Y1015" s="1172"/>
      <c r="Z1015" s="1172"/>
      <c r="AA1015" s="1172"/>
      <c r="AB1015" s="1172"/>
      <c r="AC1015" s="1172"/>
    </row>
    <row r="1016" spans="2:29" ht="15">
      <c r="B1016" s="3440" t="s">
        <v>1914</v>
      </c>
      <c r="C1016" s="3442"/>
      <c r="D1016" s="1034">
        <v>2005</v>
      </c>
      <c r="E1016" s="458">
        <v>1</v>
      </c>
      <c r="F1016" s="1034" t="s">
        <v>1896</v>
      </c>
      <c r="G1016" s="1034">
        <v>2018</v>
      </c>
      <c r="H1016" s="464">
        <f t="shared" si="450"/>
        <v>13</v>
      </c>
      <c r="I1016" s="262"/>
      <c r="J1016" s="262"/>
      <c r="K1016" s="262"/>
      <c r="L1016" s="262"/>
      <c r="M1016" s="262"/>
      <c r="N1016" s="262"/>
      <c r="O1016" s="262"/>
      <c r="P1016" s="262"/>
      <c r="Q1016" s="262"/>
      <c r="R1016" s="262"/>
      <c r="S1016" s="1172"/>
      <c r="T1016" s="1172"/>
      <c r="U1016" s="1172"/>
      <c r="V1016" s="1172"/>
      <c r="W1016" s="1172"/>
      <c r="X1016" s="1172"/>
      <c r="Y1016" s="1172"/>
      <c r="Z1016" s="1172"/>
      <c r="AA1016" s="1172"/>
      <c r="AB1016" s="1172"/>
      <c r="AC1016" s="1172"/>
    </row>
    <row r="1017" spans="2:29" ht="15">
      <c r="B1017" s="3440" t="s">
        <v>1915</v>
      </c>
      <c r="C1017" s="3442"/>
      <c r="D1017" s="1034">
        <v>2005</v>
      </c>
      <c r="E1017" s="458">
        <v>12</v>
      </c>
      <c r="F1017" s="1034" t="s">
        <v>1896</v>
      </c>
      <c r="G1017" s="1034">
        <v>2018</v>
      </c>
      <c r="H1017" s="464">
        <f t="shared" si="450"/>
        <v>13</v>
      </c>
      <c r="I1017" s="262"/>
      <c r="J1017" s="262"/>
      <c r="K1017" s="262"/>
      <c r="L1017" s="262"/>
      <c r="M1017" s="262"/>
      <c r="N1017" s="262"/>
      <c r="O1017" s="262"/>
      <c r="P1017" s="262"/>
      <c r="Q1017" s="262"/>
      <c r="R1017" s="262"/>
      <c r="S1017" s="1172"/>
      <c r="T1017" s="1172"/>
      <c r="U1017" s="1172"/>
      <c r="V1017" s="1172"/>
      <c r="W1017" s="1172"/>
      <c r="X1017" s="1172"/>
      <c r="Y1017" s="1172"/>
      <c r="Z1017" s="1172"/>
      <c r="AA1017" s="1172"/>
      <c r="AB1017" s="1172"/>
      <c r="AC1017" s="1172"/>
    </row>
    <row r="1018" spans="2:29" ht="15">
      <c r="B1018" s="3440" t="s">
        <v>1916</v>
      </c>
      <c r="C1018" s="3442"/>
      <c r="D1018" s="1034">
        <v>2005</v>
      </c>
      <c r="E1018" s="458">
        <v>12</v>
      </c>
      <c r="F1018" s="1034" t="s">
        <v>1896</v>
      </c>
      <c r="G1018" s="1034">
        <v>2018</v>
      </c>
      <c r="H1018" s="464">
        <f t="shared" si="450"/>
        <v>13</v>
      </c>
      <c r="I1018" s="262"/>
      <c r="J1018" s="262"/>
      <c r="K1018" s="262"/>
      <c r="L1018" s="262"/>
      <c r="M1018" s="262"/>
      <c r="N1018" s="262"/>
      <c r="O1018" s="262"/>
      <c r="P1018" s="262"/>
      <c r="Q1018" s="262"/>
      <c r="R1018" s="262"/>
      <c r="S1018" s="1172"/>
      <c r="T1018" s="1172"/>
      <c r="U1018" s="1172"/>
      <c r="V1018" s="1172"/>
      <c r="W1018" s="1172"/>
      <c r="X1018" s="1172"/>
      <c r="Y1018" s="1172"/>
      <c r="Z1018" s="1172"/>
      <c r="AA1018" s="1172"/>
      <c r="AB1018" s="1172"/>
      <c r="AC1018" s="1172"/>
    </row>
    <row r="1019" spans="2:29" ht="15">
      <c r="B1019" s="3440" t="s">
        <v>1917</v>
      </c>
      <c r="C1019" s="3442"/>
      <c r="D1019" s="1034">
        <v>2005</v>
      </c>
      <c r="E1019" s="458">
        <v>1</v>
      </c>
      <c r="F1019" s="1034" t="s">
        <v>1896</v>
      </c>
      <c r="G1019" s="1034">
        <v>2018</v>
      </c>
      <c r="H1019" s="464">
        <f t="shared" si="450"/>
        <v>13</v>
      </c>
      <c r="I1019" s="262"/>
      <c r="J1019" s="262"/>
      <c r="K1019" s="262"/>
      <c r="L1019" s="262"/>
      <c r="M1019" s="262"/>
      <c r="N1019" s="262"/>
      <c r="O1019" s="262"/>
      <c r="P1019" s="262"/>
      <c r="Q1019" s="262"/>
      <c r="R1019" s="262"/>
      <c r="S1019" s="1172"/>
      <c r="T1019" s="1172"/>
      <c r="U1019" s="1172"/>
      <c r="V1019" s="1172"/>
      <c r="W1019" s="1172"/>
      <c r="X1019" s="1172"/>
      <c r="Y1019" s="1172"/>
      <c r="Z1019" s="1172"/>
      <c r="AA1019" s="1172"/>
      <c r="AB1019" s="1172"/>
      <c r="AC1019" s="1172"/>
    </row>
    <row r="1020" spans="2:29" ht="15">
      <c r="B1020" s="3440" t="s">
        <v>1918</v>
      </c>
      <c r="C1020" s="3442"/>
      <c r="D1020" s="1034">
        <v>2005</v>
      </c>
      <c r="E1020" s="458">
        <v>2</v>
      </c>
      <c r="F1020" s="1034" t="s">
        <v>1896</v>
      </c>
      <c r="G1020" s="1034">
        <v>2018</v>
      </c>
      <c r="H1020" s="464">
        <f t="shared" si="450"/>
        <v>13</v>
      </c>
      <c r="I1020" s="262"/>
      <c r="J1020" s="262"/>
      <c r="K1020" s="262"/>
      <c r="L1020" s="262"/>
      <c r="M1020" s="262"/>
      <c r="N1020" s="262"/>
      <c r="O1020" s="262"/>
      <c r="P1020" s="262"/>
      <c r="Q1020" s="262"/>
      <c r="R1020" s="262"/>
      <c r="S1020" s="1172"/>
      <c r="T1020" s="1172"/>
      <c r="U1020" s="1172"/>
      <c r="V1020" s="1172"/>
      <c r="W1020" s="1172"/>
      <c r="X1020" s="1172"/>
      <c r="Y1020" s="1172"/>
      <c r="Z1020" s="1172"/>
      <c r="AA1020" s="1172"/>
      <c r="AB1020" s="1172"/>
      <c r="AC1020" s="1172"/>
    </row>
    <row r="1021" spans="2:29" ht="15">
      <c r="B1021" s="3440" t="s">
        <v>1919</v>
      </c>
      <c r="C1021" s="3442"/>
      <c r="D1021" s="1034">
        <v>2004</v>
      </c>
      <c r="E1021" s="475">
        <v>87</v>
      </c>
      <c r="F1021" s="1034" t="s">
        <v>1896</v>
      </c>
      <c r="G1021" s="1034">
        <v>2019</v>
      </c>
      <c r="H1021" s="464">
        <f t="shared" si="450"/>
        <v>15</v>
      </c>
      <c r="I1021" s="262"/>
      <c r="J1021" s="262"/>
      <c r="K1021" s="262"/>
      <c r="L1021" s="262"/>
      <c r="M1021" s="262"/>
      <c r="N1021" s="262"/>
      <c r="O1021" s="262"/>
      <c r="P1021" s="262"/>
      <c r="Q1021" s="262"/>
      <c r="R1021" s="262"/>
      <c r="S1021" s="1172"/>
      <c r="T1021" s="1172"/>
      <c r="U1021" s="1172"/>
      <c r="V1021" s="1172"/>
      <c r="W1021" s="1172"/>
      <c r="X1021" s="1172"/>
      <c r="Y1021" s="1172"/>
      <c r="Z1021" s="1172"/>
      <c r="AA1021" s="1172"/>
      <c r="AB1021" s="1172"/>
      <c r="AC1021" s="1172"/>
    </row>
    <row r="1022" spans="2:29" ht="15">
      <c r="B1022" s="3440" t="s">
        <v>1920</v>
      </c>
      <c r="C1022" s="3442"/>
      <c r="D1022" s="1034">
        <v>2004</v>
      </c>
      <c r="E1022" s="458">
        <v>20</v>
      </c>
      <c r="F1022" s="1034" t="s">
        <v>1896</v>
      </c>
      <c r="G1022" s="1034">
        <v>2019</v>
      </c>
      <c r="H1022" s="464">
        <f t="shared" si="450"/>
        <v>15</v>
      </c>
      <c r="I1022" s="262"/>
      <c r="J1022" s="262"/>
      <c r="K1022" s="262"/>
      <c r="L1022" s="262"/>
      <c r="M1022" s="262"/>
      <c r="N1022" s="262"/>
      <c r="O1022" s="262"/>
      <c r="P1022" s="262"/>
      <c r="Q1022" s="262"/>
      <c r="R1022" s="262"/>
      <c r="S1022" s="1172"/>
      <c r="T1022" s="1172"/>
      <c r="U1022" s="1172"/>
      <c r="V1022" s="1172"/>
      <c r="W1022" s="1172"/>
      <c r="X1022" s="1172"/>
      <c r="Y1022" s="1172"/>
      <c r="Z1022" s="1172"/>
      <c r="AA1022" s="1172"/>
      <c r="AB1022" s="1172"/>
      <c r="AC1022" s="1172"/>
    </row>
    <row r="1023" spans="2:29" ht="15">
      <c r="B1023" s="3440" t="s">
        <v>1921</v>
      </c>
      <c r="C1023" s="3442"/>
      <c r="D1023" s="1034">
        <v>2004</v>
      </c>
      <c r="E1023" s="458">
        <v>14</v>
      </c>
      <c r="F1023" s="1034" t="s">
        <v>1896</v>
      </c>
      <c r="G1023" s="1034">
        <v>2019</v>
      </c>
      <c r="H1023" s="464">
        <f t="shared" si="450"/>
        <v>15</v>
      </c>
      <c r="I1023" s="262"/>
      <c r="J1023" s="262"/>
      <c r="K1023" s="262"/>
      <c r="L1023" s="262"/>
      <c r="M1023" s="262"/>
      <c r="N1023" s="262"/>
      <c r="O1023" s="262"/>
      <c r="P1023" s="262"/>
      <c r="Q1023" s="262"/>
      <c r="R1023" s="262"/>
      <c r="S1023" s="1172"/>
      <c r="T1023" s="1172"/>
      <c r="U1023" s="1172"/>
      <c r="V1023" s="1172"/>
      <c r="W1023" s="1172"/>
      <c r="X1023" s="1172"/>
      <c r="Y1023" s="1172"/>
      <c r="Z1023" s="1172"/>
      <c r="AA1023" s="1172"/>
      <c r="AB1023" s="1172"/>
      <c r="AC1023" s="1172"/>
    </row>
    <row r="1024" spans="2:29" ht="15">
      <c r="B1024" s="3440" t="s">
        <v>1922</v>
      </c>
      <c r="C1024" s="3442"/>
      <c r="D1024" s="1034">
        <v>2004</v>
      </c>
      <c r="E1024" s="458">
        <v>26</v>
      </c>
      <c r="F1024" s="1034" t="s">
        <v>1896</v>
      </c>
      <c r="G1024" s="1034">
        <v>2019</v>
      </c>
      <c r="H1024" s="464">
        <f t="shared" si="450"/>
        <v>15</v>
      </c>
      <c r="I1024" s="262"/>
      <c r="J1024" s="262"/>
      <c r="K1024" s="262"/>
      <c r="L1024" s="262"/>
      <c r="M1024" s="262"/>
      <c r="N1024" s="262"/>
      <c r="O1024" s="262"/>
      <c r="P1024" s="262"/>
      <c r="Q1024" s="262"/>
      <c r="R1024" s="262"/>
      <c r="S1024" s="1172"/>
      <c r="T1024" s="1172"/>
      <c r="U1024" s="1172"/>
      <c r="V1024" s="1172"/>
      <c r="W1024" s="1172"/>
      <c r="X1024" s="1172"/>
      <c r="Y1024" s="1172"/>
      <c r="Z1024" s="1172"/>
      <c r="AA1024" s="1172"/>
      <c r="AB1024" s="1172"/>
      <c r="AC1024" s="1172"/>
    </row>
    <row r="1025" spans="2:29" ht="15">
      <c r="B1025" s="3440" t="s">
        <v>1923</v>
      </c>
      <c r="C1025" s="3442"/>
      <c r="D1025" s="1034">
        <v>2006</v>
      </c>
      <c r="E1025" s="458">
        <v>2</v>
      </c>
      <c r="F1025" s="1034" t="s">
        <v>1896</v>
      </c>
      <c r="G1025" s="1034">
        <v>2019</v>
      </c>
      <c r="H1025" s="464">
        <f t="shared" si="450"/>
        <v>13</v>
      </c>
      <c r="I1025" s="262"/>
      <c r="J1025" s="262"/>
      <c r="K1025" s="262"/>
      <c r="L1025" s="262"/>
      <c r="M1025" s="262"/>
      <c r="N1025" s="262"/>
      <c r="O1025" s="262"/>
      <c r="P1025" s="262"/>
      <c r="Q1025" s="262"/>
      <c r="R1025" s="262"/>
      <c r="S1025" s="1172"/>
      <c r="T1025" s="1172"/>
      <c r="U1025" s="1172"/>
      <c r="V1025" s="1172"/>
      <c r="W1025" s="1172"/>
      <c r="X1025" s="1172"/>
      <c r="Y1025" s="1172"/>
      <c r="Z1025" s="1172"/>
      <c r="AA1025" s="1172"/>
      <c r="AB1025" s="1172"/>
      <c r="AC1025" s="1172"/>
    </row>
    <row r="1026" spans="2:29" ht="15">
      <c r="B1026" s="3440" t="s">
        <v>1924</v>
      </c>
      <c r="C1026" s="3442"/>
      <c r="D1026" s="1034">
        <v>2006</v>
      </c>
      <c r="E1026" s="458">
        <v>3</v>
      </c>
      <c r="F1026" s="1034" t="s">
        <v>1896</v>
      </c>
      <c r="G1026" s="1034">
        <v>2019</v>
      </c>
      <c r="H1026" s="464">
        <f t="shared" si="450"/>
        <v>13</v>
      </c>
      <c r="I1026" s="262"/>
      <c r="J1026" s="262"/>
      <c r="K1026" s="262"/>
      <c r="L1026" s="262"/>
      <c r="M1026" s="262"/>
      <c r="N1026" s="262"/>
      <c r="O1026" s="262"/>
      <c r="P1026" s="262"/>
      <c r="Q1026" s="262"/>
      <c r="R1026" s="262"/>
      <c r="S1026" s="1172"/>
      <c r="T1026" s="1172"/>
      <c r="U1026" s="1172"/>
      <c r="V1026" s="1172"/>
      <c r="W1026" s="1172"/>
      <c r="X1026" s="1172"/>
      <c r="Y1026" s="1172"/>
      <c r="Z1026" s="1172"/>
      <c r="AA1026" s="1172"/>
      <c r="AB1026" s="1172"/>
      <c r="AC1026" s="1172"/>
    </row>
    <row r="1027" spans="2:29" ht="15">
      <c r="B1027" s="3440" t="s">
        <v>1925</v>
      </c>
      <c r="C1027" s="3442"/>
      <c r="D1027" s="1034">
        <v>2006</v>
      </c>
      <c r="E1027" s="458">
        <v>3</v>
      </c>
      <c r="F1027" s="1034" t="s">
        <v>1896</v>
      </c>
      <c r="G1027" s="1034">
        <v>2019</v>
      </c>
      <c r="H1027" s="464">
        <f t="shared" si="450"/>
        <v>13</v>
      </c>
      <c r="I1027" s="262"/>
      <c r="J1027" s="262"/>
      <c r="K1027" s="262"/>
      <c r="L1027" s="262"/>
      <c r="M1027" s="262"/>
      <c r="N1027" s="262"/>
      <c r="O1027" s="262"/>
      <c r="P1027" s="262"/>
      <c r="Q1027" s="262"/>
      <c r="R1027" s="262"/>
      <c r="S1027" s="1172"/>
      <c r="T1027" s="1172"/>
      <c r="U1027" s="1172"/>
      <c r="V1027" s="1172"/>
      <c r="W1027" s="1172"/>
      <c r="X1027" s="1172"/>
      <c r="Y1027" s="1172"/>
      <c r="Z1027" s="1172"/>
      <c r="AA1027" s="1172"/>
      <c r="AB1027" s="1172"/>
      <c r="AC1027" s="1172"/>
    </row>
    <row r="1028" spans="2:29" ht="15">
      <c r="B1028" s="3440" t="s">
        <v>1926</v>
      </c>
      <c r="C1028" s="3442"/>
      <c r="D1028" s="1034">
        <v>2006</v>
      </c>
      <c r="E1028" s="458">
        <v>6</v>
      </c>
      <c r="F1028" s="1034" t="s">
        <v>1896</v>
      </c>
      <c r="G1028" s="1034">
        <v>2019</v>
      </c>
      <c r="H1028" s="464">
        <f t="shared" si="450"/>
        <v>13</v>
      </c>
      <c r="I1028" s="262"/>
      <c r="J1028" s="262"/>
      <c r="K1028" s="262"/>
      <c r="L1028" s="262"/>
      <c r="M1028" s="262"/>
      <c r="N1028" s="262"/>
      <c r="O1028" s="262"/>
      <c r="P1028" s="262"/>
      <c r="Q1028" s="262"/>
      <c r="R1028" s="262"/>
      <c r="S1028" s="1172"/>
      <c r="T1028" s="1172"/>
      <c r="U1028" s="1172"/>
      <c r="V1028" s="1172"/>
      <c r="W1028" s="1172"/>
      <c r="X1028" s="1172"/>
      <c r="Y1028" s="1172"/>
      <c r="Z1028" s="1172"/>
      <c r="AA1028" s="1172"/>
      <c r="AB1028" s="1172"/>
      <c r="AC1028" s="1172"/>
    </row>
    <row r="1029" spans="2:29" ht="15">
      <c r="B1029" s="3440" t="s">
        <v>1927</v>
      </c>
      <c r="C1029" s="3442"/>
      <c r="D1029" s="1034">
        <v>2006</v>
      </c>
      <c r="E1029" s="458">
        <v>1</v>
      </c>
      <c r="F1029" s="1034" t="s">
        <v>1896</v>
      </c>
      <c r="G1029" s="1034">
        <v>2019</v>
      </c>
      <c r="H1029" s="464">
        <f t="shared" si="450"/>
        <v>13</v>
      </c>
      <c r="I1029" s="262"/>
      <c r="J1029" s="262"/>
      <c r="K1029" s="262"/>
      <c r="L1029" s="262"/>
      <c r="M1029" s="262"/>
      <c r="N1029" s="262"/>
      <c r="O1029" s="262"/>
      <c r="P1029" s="262"/>
      <c r="Q1029" s="262"/>
      <c r="R1029" s="262"/>
      <c r="S1029" s="1172"/>
      <c r="T1029" s="1172"/>
      <c r="U1029" s="1172"/>
      <c r="V1029" s="1172"/>
      <c r="W1029" s="1172"/>
      <c r="X1029" s="1172"/>
      <c r="Y1029" s="1172"/>
      <c r="Z1029" s="1172"/>
      <c r="AA1029" s="1172"/>
      <c r="AB1029" s="1172"/>
      <c r="AC1029" s="1172"/>
    </row>
    <row r="1030" spans="2:29" ht="15">
      <c r="B1030" s="3440" t="s">
        <v>1928</v>
      </c>
      <c r="C1030" s="3442"/>
      <c r="D1030" s="1034">
        <v>2006</v>
      </c>
      <c r="E1030" s="458">
        <v>2</v>
      </c>
      <c r="F1030" s="1034" t="s">
        <v>1896</v>
      </c>
      <c r="G1030" s="1034">
        <v>2019</v>
      </c>
      <c r="H1030" s="464">
        <f t="shared" si="450"/>
        <v>13</v>
      </c>
      <c r="I1030" s="262"/>
      <c r="J1030" s="262"/>
      <c r="K1030" s="262"/>
      <c r="L1030" s="262"/>
      <c r="M1030" s="262"/>
      <c r="N1030" s="262"/>
      <c r="O1030" s="262"/>
      <c r="P1030" s="262"/>
      <c r="Q1030" s="262"/>
      <c r="R1030" s="262"/>
      <c r="S1030" s="1172"/>
      <c r="T1030" s="1172"/>
      <c r="U1030" s="1172"/>
      <c r="V1030" s="1172"/>
      <c r="W1030" s="1172"/>
      <c r="X1030" s="1172"/>
      <c r="Y1030" s="1172"/>
      <c r="Z1030" s="1172"/>
      <c r="AA1030" s="1172"/>
      <c r="AB1030" s="1172"/>
      <c r="AC1030" s="1172"/>
    </row>
    <row r="1031" spans="2:29" ht="15">
      <c r="B1031" s="3440" t="s">
        <v>1929</v>
      </c>
      <c r="C1031" s="3442"/>
      <c r="D1031" s="1034">
        <v>2004</v>
      </c>
      <c r="E1031" s="458">
        <v>16</v>
      </c>
      <c r="F1031" s="1034" t="s">
        <v>1896</v>
      </c>
      <c r="G1031" s="1034">
        <v>2019</v>
      </c>
      <c r="H1031" s="464">
        <f t="shared" si="450"/>
        <v>15</v>
      </c>
      <c r="I1031" s="262"/>
      <c r="J1031" s="262"/>
      <c r="K1031" s="262"/>
      <c r="L1031" s="262"/>
      <c r="M1031" s="262"/>
      <c r="N1031" s="262"/>
      <c r="O1031" s="262"/>
      <c r="P1031" s="262"/>
      <c r="Q1031" s="262"/>
      <c r="R1031" s="262"/>
      <c r="S1031" s="1172"/>
      <c r="T1031" s="1172"/>
      <c r="U1031" s="1172"/>
      <c r="V1031" s="1172"/>
      <c r="W1031" s="1172"/>
      <c r="X1031" s="1172"/>
      <c r="Y1031" s="1172"/>
      <c r="Z1031" s="1172"/>
      <c r="AA1031" s="1172"/>
      <c r="AB1031" s="1172"/>
      <c r="AC1031" s="1172"/>
    </row>
    <row r="1032" spans="2:29" ht="15">
      <c r="B1032" s="3440" t="s">
        <v>1930</v>
      </c>
      <c r="C1032" s="3442"/>
      <c r="D1032" s="1034">
        <v>2004</v>
      </c>
      <c r="E1032" s="458">
        <v>29</v>
      </c>
      <c r="F1032" s="1034" t="s">
        <v>1896</v>
      </c>
      <c r="G1032" s="1034">
        <v>2019</v>
      </c>
      <c r="H1032" s="464">
        <f t="shared" si="450"/>
        <v>15</v>
      </c>
      <c r="I1032" s="262"/>
      <c r="J1032" s="262"/>
      <c r="K1032" s="262"/>
      <c r="L1032" s="262"/>
      <c r="M1032" s="262"/>
      <c r="N1032" s="262"/>
      <c r="O1032" s="262"/>
      <c r="P1032" s="262"/>
      <c r="Q1032" s="262"/>
      <c r="R1032" s="262"/>
      <c r="S1032" s="1172"/>
      <c r="T1032" s="1172"/>
      <c r="U1032" s="1172"/>
      <c r="V1032" s="1172"/>
      <c r="W1032" s="1172"/>
      <c r="X1032" s="1172"/>
      <c r="Y1032" s="1172"/>
      <c r="Z1032" s="1172"/>
      <c r="AA1032" s="1172"/>
      <c r="AB1032" s="1172"/>
      <c r="AC1032" s="1172"/>
    </row>
    <row r="1033" spans="2:29" ht="15">
      <c r="B1033" s="3440" t="s">
        <v>1931</v>
      </c>
      <c r="C1033" s="3442"/>
      <c r="D1033" s="1034">
        <v>2004</v>
      </c>
      <c r="E1033" s="458">
        <v>3</v>
      </c>
      <c r="F1033" s="1034" t="s">
        <v>1896</v>
      </c>
      <c r="G1033" s="1034">
        <v>2019</v>
      </c>
      <c r="H1033" s="464">
        <f t="shared" si="450"/>
        <v>15</v>
      </c>
      <c r="I1033" s="262"/>
      <c r="J1033" s="262"/>
      <c r="K1033" s="262"/>
      <c r="L1033" s="262"/>
      <c r="M1033" s="262"/>
      <c r="N1033" s="262"/>
      <c r="O1033" s="262"/>
      <c r="P1033" s="262"/>
      <c r="Q1033" s="262"/>
      <c r="R1033" s="262"/>
      <c r="S1033" s="1172"/>
      <c r="T1033" s="1172"/>
      <c r="U1033" s="1172"/>
      <c r="V1033" s="1172"/>
      <c r="W1033" s="1172"/>
      <c r="X1033" s="1172"/>
      <c r="Y1033" s="1172"/>
      <c r="Z1033" s="1172"/>
      <c r="AA1033" s="1172"/>
      <c r="AB1033" s="1172"/>
      <c r="AC1033" s="1172"/>
    </row>
    <row r="1034" spans="2:29" ht="15">
      <c r="B1034" s="3440" t="s">
        <v>1932</v>
      </c>
      <c r="C1034" s="3442"/>
      <c r="D1034" s="1034">
        <v>2004</v>
      </c>
      <c r="E1034" s="458">
        <v>13</v>
      </c>
      <c r="F1034" s="1034" t="s">
        <v>1896</v>
      </c>
      <c r="G1034" s="1034">
        <v>2019</v>
      </c>
      <c r="H1034" s="464">
        <f t="shared" si="450"/>
        <v>15</v>
      </c>
      <c r="I1034" s="262"/>
      <c r="J1034" s="262"/>
      <c r="K1034" s="262"/>
      <c r="L1034" s="262"/>
      <c r="M1034" s="262"/>
      <c r="N1034" s="262"/>
      <c r="O1034" s="262"/>
      <c r="P1034" s="262"/>
      <c r="Q1034" s="262"/>
      <c r="R1034" s="262"/>
      <c r="S1034" s="1172"/>
      <c r="T1034" s="1172"/>
      <c r="U1034" s="1172"/>
      <c r="V1034" s="1172"/>
      <c r="W1034" s="1172"/>
      <c r="X1034" s="1172"/>
      <c r="Y1034" s="1172"/>
      <c r="Z1034" s="1172"/>
      <c r="AA1034" s="1172"/>
      <c r="AB1034" s="1172"/>
      <c r="AC1034" s="1172"/>
    </row>
    <row r="1035" spans="2:29" ht="15">
      <c r="B1035" s="3440" t="s">
        <v>1933</v>
      </c>
      <c r="C1035" s="3442"/>
      <c r="D1035" s="1034">
        <v>2004</v>
      </c>
      <c r="E1035" s="458">
        <v>22</v>
      </c>
      <c r="F1035" s="1034" t="s">
        <v>1896</v>
      </c>
      <c r="G1035" s="1034">
        <v>2019</v>
      </c>
      <c r="H1035" s="464">
        <f t="shared" si="450"/>
        <v>15</v>
      </c>
      <c r="I1035" s="262"/>
      <c r="J1035" s="262"/>
      <c r="K1035" s="262"/>
      <c r="L1035" s="262"/>
      <c r="M1035" s="262"/>
      <c r="N1035" s="262"/>
      <c r="O1035" s="262"/>
      <c r="P1035" s="262"/>
      <c r="Q1035" s="262"/>
      <c r="R1035" s="262"/>
      <c r="S1035" s="1172"/>
      <c r="T1035" s="1172"/>
      <c r="U1035" s="1172"/>
      <c r="V1035" s="1172"/>
      <c r="W1035" s="1172"/>
      <c r="X1035" s="1172"/>
      <c r="Y1035" s="1172"/>
      <c r="Z1035" s="1172"/>
      <c r="AA1035" s="1172"/>
      <c r="AB1035" s="1172"/>
      <c r="AC1035" s="1172"/>
    </row>
    <row r="1036" spans="2:29" ht="15">
      <c r="B1036" s="3440" t="s">
        <v>1934</v>
      </c>
      <c r="C1036" s="3442"/>
      <c r="D1036" s="1034">
        <v>2006</v>
      </c>
      <c r="E1036" s="458">
        <v>2</v>
      </c>
      <c r="F1036" s="1034" t="s">
        <v>1896</v>
      </c>
      <c r="G1036" s="1034">
        <v>2019</v>
      </c>
      <c r="H1036" s="464">
        <f t="shared" si="450"/>
        <v>13</v>
      </c>
      <c r="I1036" s="262"/>
      <c r="J1036" s="262"/>
      <c r="K1036" s="262"/>
      <c r="L1036" s="262"/>
      <c r="M1036" s="262"/>
      <c r="N1036" s="262"/>
      <c r="O1036" s="262"/>
      <c r="P1036" s="262"/>
      <c r="Q1036" s="262"/>
      <c r="R1036" s="262"/>
      <c r="S1036" s="1172"/>
      <c r="T1036" s="1172"/>
      <c r="U1036" s="1172"/>
      <c r="V1036" s="1172"/>
      <c r="W1036" s="1172"/>
      <c r="X1036" s="1172"/>
      <c r="Y1036" s="1172"/>
      <c r="Z1036" s="1172"/>
      <c r="AA1036" s="1172"/>
      <c r="AB1036" s="1172"/>
      <c r="AC1036" s="1172"/>
    </row>
    <row r="1037" spans="2:29" ht="15">
      <c r="B1037" s="3440" t="s">
        <v>1935</v>
      </c>
      <c r="C1037" s="3442"/>
      <c r="D1037" s="1034">
        <v>2006</v>
      </c>
      <c r="E1037" s="458">
        <v>1</v>
      </c>
      <c r="F1037" s="1034" t="s">
        <v>1896</v>
      </c>
      <c r="G1037" s="1034">
        <v>2019</v>
      </c>
      <c r="H1037" s="464">
        <f t="shared" si="450"/>
        <v>13</v>
      </c>
      <c r="I1037" s="262"/>
      <c r="J1037" s="262"/>
      <c r="K1037" s="262"/>
      <c r="L1037" s="262"/>
      <c r="M1037" s="262"/>
      <c r="N1037" s="262"/>
      <c r="O1037" s="262"/>
      <c r="P1037" s="262"/>
      <c r="Q1037" s="262"/>
      <c r="R1037" s="262"/>
      <c r="S1037" s="1172"/>
      <c r="T1037" s="1172"/>
      <c r="U1037" s="1172"/>
      <c r="V1037" s="1172"/>
      <c r="W1037" s="1172"/>
      <c r="X1037" s="1172"/>
      <c r="Y1037" s="1172"/>
      <c r="Z1037" s="1172"/>
      <c r="AA1037" s="1172"/>
      <c r="AB1037" s="1172"/>
      <c r="AC1037" s="1172"/>
    </row>
    <row r="1038" spans="2:29" ht="15">
      <c r="B1038" s="3440" t="s">
        <v>1936</v>
      </c>
      <c r="C1038" s="3442"/>
      <c r="D1038" s="1034">
        <v>2006</v>
      </c>
      <c r="E1038" s="458">
        <v>1</v>
      </c>
      <c r="F1038" s="1034" t="s">
        <v>1896</v>
      </c>
      <c r="G1038" s="1034">
        <v>2019</v>
      </c>
      <c r="H1038" s="464">
        <f t="shared" si="450"/>
        <v>13</v>
      </c>
      <c r="I1038" s="262"/>
      <c r="J1038" s="262"/>
      <c r="K1038" s="262"/>
      <c r="L1038" s="262"/>
      <c r="M1038" s="262"/>
      <c r="N1038" s="262"/>
      <c r="O1038" s="262"/>
      <c r="P1038" s="262"/>
      <c r="Q1038" s="262"/>
      <c r="R1038" s="262"/>
      <c r="S1038" s="1172"/>
      <c r="T1038" s="1172"/>
      <c r="U1038" s="1172"/>
      <c r="V1038" s="1172"/>
      <c r="W1038" s="1172"/>
      <c r="X1038" s="1172"/>
      <c r="Y1038" s="1172"/>
      <c r="Z1038" s="1172"/>
      <c r="AA1038" s="1172"/>
      <c r="AB1038" s="1172"/>
      <c r="AC1038" s="1172"/>
    </row>
    <row r="1039" spans="2:29" ht="15">
      <c r="B1039" s="3440" t="s">
        <v>1937</v>
      </c>
      <c r="C1039" s="3442"/>
      <c r="D1039" s="1034">
        <v>2006</v>
      </c>
      <c r="E1039" s="458">
        <v>8</v>
      </c>
      <c r="F1039" s="1034" t="s">
        <v>1896</v>
      </c>
      <c r="G1039" s="1034">
        <v>2019</v>
      </c>
      <c r="H1039" s="464">
        <f t="shared" si="450"/>
        <v>13</v>
      </c>
      <c r="I1039" s="262"/>
      <c r="J1039" s="262"/>
      <c r="K1039" s="262"/>
      <c r="L1039" s="262"/>
      <c r="M1039" s="262"/>
      <c r="N1039" s="262"/>
      <c r="O1039" s="262"/>
      <c r="P1039" s="262"/>
      <c r="Q1039" s="262"/>
      <c r="R1039" s="262"/>
      <c r="S1039" s="1172"/>
      <c r="T1039" s="1172"/>
      <c r="U1039" s="1172"/>
      <c r="V1039" s="1172"/>
      <c r="W1039" s="1172"/>
      <c r="X1039" s="1172"/>
      <c r="Y1039" s="1172"/>
      <c r="Z1039" s="1172"/>
      <c r="AA1039" s="1172"/>
      <c r="AB1039" s="1172"/>
      <c r="AC1039" s="1172"/>
    </row>
    <row r="1040" spans="2:29" ht="15">
      <c r="B1040" s="3440" t="s">
        <v>1938</v>
      </c>
      <c r="C1040" s="3442"/>
      <c r="D1040" s="1034">
        <v>2006</v>
      </c>
      <c r="E1040" s="458">
        <v>6</v>
      </c>
      <c r="F1040" s="1034" t="s">
        <v>1896</v>
      </c>
      <c r="G1040" s="1034">
        <v>2019</v>
      </c>
      <c r="H1040" s="464">
        <f t="shared" si="450"/>
        <v>13</v>
      </c>
      <c r="I1040" s="262"/>
      <c r="J1040" s="262"/>
      <c r="K1040" s="262"/>
      <c r="L1040" s="262"/>
      <c r="M1040" s="262"/>
      <c r="N1040" s="262"/>
      <c r="O1040" s="262"/>
      <c r="P1040" s="262"/>
      <c r="Q1040" s="262"/>
      <c r="R1040" s="262"/>
      <c r="S1040" s="1172"/>
      <c r="T1040" s="1172"/>
      <c r="U1040" s="1172"/>
      <c r="V1040" s="1172"/>
      <c r="W1040" s="1172"/>
      <c r="X1040" s="1172"/>
      <c r="Y1040" s="1172"/>
      <c r="Z1040" s="1172"/>
      <c r="AA1040" s="1172"/>
      <c r="AB1040" s="1172"/>
      <c r="AC1040" s="1172"/>
    </row>
    <row r="1041" spans="2:29" ht="15">
      <c r="B1041" s="3440" t="s">
        <v>1939</v>
      </c>
      <c r="C1041" s="3442"/>
      <c r="D1041" s="1034">
        <v>2006</v>
      </c>
      <c r="E1041" s="458">
        <v>7</v>
      </c>
      <c r="F1041" s="1034" t="s">
        <v>1896</v>
      </c>
      <c r="G1041" s="1034">
        <v>2019</v>
      </c>
      <c r="H1041" s="464">
        <f t="shared" si="450"/>
        <v>13</v>
      </c>
      <c r="I1041" s="262"/>
      <c r="J1041" s="262"/>
      <c r="K1041" s="262"/>
      <c r="L1041" s="262"/>
      <c r="M1041" s="262"/>
      <c r="N1041" s="262"/>
      <c r="O1041" s="262"/>
      <c r="P1041" s="262"/>
      <c r="Q1041" s="262"/>
      <c r="R1041" s="262"/>
      <c r="S1041" s="1172"/>
      <c r="T1041" s="1172"/>
      <c r="U1041" s="1172"/>
      <c r="V1041" s="1172"/>
      <c r="W1041" s="1172"/>
      <c r="X1041" s="1172"/>
      <c r="Y1041" s="1172"/>
      <c r="Z1041" s="1172"/>
      <c r="AA1041" s="1172"/>
      <c r="AB1041" s="1172"/>
      <c r="AC1041" s="1172"/>
    </row>
    <row r="1042" spans="2:29" ht="15">
      <c r="B1042" s="3440" t="s">
        <v>1940</v>
      </c>
      <c r="C1042" s="3442"/>
      <c r="D1042" s="1034">
        <v>2006</v>
      </c>
      <c r="E1042" s="458">
        <v>2</v>
      </c>
      <c r="F1042" s="1034" t="s">
        <v>1896</v>
      </c>
      <c r="G1042" s="1034">
        <v>2019</v>
      </c>
      <c r="H1042" s="464">
        <f t="shared" si="450"/>
        <v>13</v>
      </c>
      <c r="I1042" s="262"/>
      <c r="J1042" s="262"/>
      <c r="K1042" s="262"/>
      <c r="L1042" s="262"/>
      <c r="M1042" s="262"/>
      <c r="N1042" s="262"/>
      <c r="O1042" s="262"/>
      <c r="P1042" s="262"/>
      <c r="Q1042" s="262"/>
      <c r="R1042" s="262"/>
      <c r="S1042" s="1172"/>
      <c r="T1042" s="1172"/>
      <c r="U1042" s="1172"/>
      <c r="V1042" s="1172"/>
      <c r="W1042" s="1172"/>
      <c r="X1042" s="1172"/>
      <c r="Y1042" s="1172"/>
      <c r="Z1042" s="1172"/>
      <c r="AA1042" s="1172"/>
      <c r="AB1042" s="1172"/>
      <c r="AC1042" s="1172"/>
    </row>
    <row r="1043" spans="2:29" ht="15">
      <c r="B1043" s="3440" t="s">
        <v>1941</v>
      </c>
      <c r="C1043" s="3442"/>
      <c r="D1043" s="1034">
        <v>2005</v>
      </c>
      <c r="E1043" s="475">
        <v>207</v>
      </c>
      <c r="F1043" s="1034" t="s">
        <v>1896</v>
      </c>
      <c r="G1043" s="1034">
        <v>2020</v>
      </c>
      <c r="H1043" s="464">
        <f t="shared" si="450"/>
        <v>15</v>
      </c>
      <c r="I1043" s="262"/>
      <c r="J1043" s="262"/>
      <c r="K1043" s="262"/>
      <c r="L1043" s="262"/>
      <c r="M1043" s="262"/>
      <c r="N1043" s="262"/>
      <c r="O1043" s="262"/>
      <c r="P1043" s="262"/>
      <c r="Q1043" s="262"/>
      <c r="R1043" s="262"/>
      <c r="S1043" s="1172"/>
      <c r="T1043" s="1172"/>
      <c r="U1043" s="1172"/>
      <c r="V1043" s="1172"/>
      <c r="W1043" s="1172"/>
      <c r="X1043" s="1172"/>
      <c r="Y1043" s="1172"/>
      <c r="Z1043" s="1172"/>
      <c r="AA1043" s="1172"/>
      <c r="AB1043" s="1172"/>
      <c r="AC1043" s="1172"/>
    </row>
    <row r="1044" spans="2:29" ht="15">
      <c r="B1044" s="3440" t="s">
        <v>1942</v>
      </c>
      <c r="C1044" s="3442"/>
      <c r="D1044" s="1034">
        <v>2005</v>
      </c>
      <c r="E1044" s="458">
        <v>20</v>
      </c>
      <c r="F1044" s="1034" t="s">
        <v>1896</v>
      </c>
      <c r="G1044" s="1034">
        <v>2020</v>
      </c>
      <c r="H1044" s="464">
        <f t="shared" si="450"/>
        <v>15</v>
      </c>
      <c r="I1044" s="262"/>
      <c r="J1044" s="262"/>
      <c r="K1044" s="262"/>
      <c r="L1044" s="262"/>
      <c r="M1044" s="262"/>
      <c r="N1044" s="262"/>
      <c r="O1044" s="262"/>
      <c r="P1044" s="262"/>
      <c r="Q1044" s="262"/>
      <c r="R1044" s="262"/>
      <c r="S1044" s="1172"/>
      <c r="T1044" s="1172"/>
      <c r="U1044" s="1172"/>
      <c r="V1044" s="1172"/>
      <c r="W1044" s="1172"/>
      <c r="X1044" s="1172"/>
      <c r="Y1044" s="1172"/>
      <c r="Z1044" s="1172"/>
      <c r="AA1044" s="1172"/>
      <c r="AB1044" s="1172"/>
      <c r="AC1044" s="1172"/>
    </row>
    <row r="1045" spans="2:29" ht="15">
      <c r="B1045" s="3440" t="s">
        <v>1943</v>
      </c>
      <c r="C1045" s="3442"/>
      <c r="D1045" s="1034">
        <v>2005</v>
      </c>
      <c r="E1045" s="458">
        <v>40</v>
      </c>
      <c r="F1045" s="1034" t="s">
        <v>1896</v>
      </c>
      <c r="G1045" s="1034">
        <v>2020</v>
      </c>
      <c r="H1045" s="464">
        <f t="shared" si="450"/>
        <v>15</v>
      </c>
      <c r="I1045" s="262"/>
      <c r="J1045" s="262"/>
      <c r="K1045" s="262"/>
      <c r="L1045" s="262"/>
      <c r="M1045" s="262"/>
      <c r="N1045" s="262"/>
      <c r="O1045" s="262"/>
      <c r="P1045" s="262"/>
      <c r="Q1045" s="262"/>
      <c r="R1045" s="262"/>
      <c r="S1045" s="1172"/>
      <c r="T1045" s="1172"/>
      <c r="U1045" s="1172"/>
      <c r="V1045" s="1172"/>
      <c r="W1045" s="1172"/>
      <c r="X1045" s="1172"/>
      <c r="Y1045" s="1172"/>
      <c r="Z1045" s="1172"/>
      <c r="AA1045" s="1172"/>
      <c r="AB1045" s="1172"/>
      <c r="AC1045" s="1172"/>
    </row>
    <row r="1046" spans="2:29" ht="15">
      <c r="B1046" s="3440" t="s">
        <v>1899</v>
      </c>
      <c r="C1046" s="3442"/>
      <c r="D1046" s="1034">
        <v>2005</v>
      </c>
      <c r="E1046" s="458">
        <v>39</v>
      </c>
      <c r="F1046" s="1034" t="s">
        <v>1896</v>
      </c>
      <c r="G1046" s="1034">
        <v>2020</v>
      </c>
      <c r="H1046" s="464">
        <f t="shared" si="450"/>
        <v>15</v>
      </c>
      <c r="I1046" s="262"/>
      <c r="J1046" s="262"/>
      <c r="K1046" s="262"/>
      <c r="L1046" s="262"/>
      <c r="M1046" s="262"/>
      <c r="N1046" s="262"/>
      <c r="O1046" s="262"/>
      <c r="P1046" s="262"/>
      <c r="Q1046" s="262"/>
      <c r="R1046" s="262"/>
      <c r="S1046" s="1172"/>
      <c r="T1046" s="1172"/>
      <c r="U1046" s="1172"/>
      <c r="V1046" s="1172"/>
      <c r="W1046" s="1172"/>
      <c r="X1046" s="1172"/>
      <c r="Y1046" s="1172"/>
      <c r="Z1046" s="1172"/>
      <c r="AA1046" s="1172"/>
      <c r="AB1046" s="1172"/>
      <c r="AC1046" s="1172"/>
    </row>
    <row r="1047" spans="2:29" ht="15">
      <c r="B1047" s="3440" t="s">
        <v>1944</v>
      </c>
      <c r="C1047" s="3442"/>
      <c r="D1047" s="1034">
        <v>2007</v>
      </c>
      <c r="E1047" s="458">
        <v>1</v>
      </c>
      <c r="F1047" s="1034" t="s">
        <v>1896</v>
      </c>
      <c r="G1047" s="1034">
        <v>2020</v>
      </c>
      <c r="H1047" s="464">
        <f t="shared" si="450"/>
        <v>13</v>
      </c>
      <c r="I1047" s="262"/>
      <c r="J1047" s="262"/>
      <c r="K1047" s="262"/>
      <c r="L1047" s="262"/>
      <c r="M1047" s="262"/>
      <c r="N1047" s="262"/>
      <c r="O1047" s="262"/>
      <c r="P1047" s="262"/>
      <c r="Q1047" s="262"/>
      <c r="R1047" s="262"/>
      <c r="S1047" s="1172"/>
      <c r="T1047" s="1172"/>
      <c r="U1047" s="1172"/>
      <c r="V1047" s="1172"/>
      <c r="W1047" s="1172"/>
      <c r="X1047" s="1172"/>
      <c r="Y1047" s="1172"/>
      <c r="Z1047" s="1172"/>
      <c r="AA1047" s="1172"/>
      <c r="AB1047" s="1172"/>
      <c r="AC1047" s="1172"/>
    </row>
    <row r="1048" spans="2:29" ht="15">
      <c r="B1048" s="3440" t="s">
        <v>1945</v>
      </c>
      <c r="C1048" s="3442"/>
      <c r="D1048" s="1034">
        <v>2007</v>
      </c>
      <c r="E1048" s="458">
        <v>9</v>
      </c>
      <c r="F1048" s="1034" t="s">
        <v>1896</v>
      </c>
      <c r="G1048" s="1034">
        <v>2020</v>
      </c>
      <c r="H1048" s="464">
        <f t="shared" si="450"/>
        <v>13</v>
      </c>
      <c r="I1048" s="262"/>
      <c r="J1048" s="262"/>
      <c r="K1048" s="262"/>
      <c r="L1048" s="262"/>
      <c r="M1048" s="262"/>
      <c r="N1048" s="262"/>
      <c r="O1048" s="262"/>
      <c r="P1048" s="262"/>
      <c r="Q1048" s="262"/>
      <c r="R1048" s="262"/>
      <c r="S1048" s="1172"/>
      <c r="T1048" s="1172"/>
      <c r="U1048" s="1172"/>
      <c r="V1048" s="1172"/>
      <c r="W1048" s="1172"/>
      <c r="X1048" s="1172"/>
      <c r="Y1048" s="1172"/>
      <c r="Z1048" s="1172"/>
      <c r="AA1048" s="1172"/>
      <c r="AB1048" s="1172"/>
      <c r="AC1048" s="1172"/>
    </row>
    <row r="1049" spans="2:29" ht="15">
      <c r="B1049" s="3440" t="s">
        <v>1946</v>
      </c>
      <c r="C1049" s="3442"/>
      <c r="D1049" s="1034">
        <v>2007</v>
      </c>
      <c r="E1049" s="458">
        <v>1</v>
      </c>
      <c r="F1049" s="1034" t="s">
        <v>1896</v>
      </c>
      <c r="G1049" s="1034">
        <v>2020</v>
      </c>
      <c r="H1049" s="464">
        <f t="shared" si="450"/>
        <v>13</v>
      </c>
      <c r="I1049" s="262"/>
      <c r="J1049" s="262"/>
      <c r="K1049" s="262"/>
      <c r="L1049" s="262"/>
      <c r="M1049" s="262"/>
      <c r="N1049" s="262"/>
      <c r="O1049" s="262"/>
      <c r="P1049" s="262"/>
      <c r="Q1049" s="262"/>
      <c r="R1049" s="262"/>
      <c r="S1049" s="1172"/>
      <c r="T1049" s="1172"/>
      <c r="U1049" s="1172"/>
      <c r="V1049" s="1172"/>
      <c r="W1049" s="1172"/>
      <c r="X1049" s="1172"/>
      <c r="Y1049" s="1172"/>
      <c r="Z1049" s="1172"/>
      <c r="AA1049" s="1172"/>
      <c r="AB1049" s="1172"/>
      <c r="AC1049" s="1172"/>
    </row>
    <row r="1050" spans="2:29" ht="15">
      <c r="B1050" s="3440" t="s">
        <v>1947</v>
      </c>
      <c r="C1050" s="3442"/>
      <c r="D1050" s="1034">
        <v>2005</v>
      </c>
      <c r="E1050" s="458">
        <v>30</v>
      </c>
      <c r="F1050" s="1034" t="s">
        <v>1896</v>
      </c>
      <c r="G1050" s="1034">
        <v>2020</v>
      </c>
      <c r="H1050" s="464">
        <f t="shared" si="450"/>
        <v>15</v>
      </c>
      <c r="I1050" s="262"/>
      <c r="J1050" s="262"/>
      <c r="K1050" s="262"/>
      <c r="L1050" s="262"/>
      <c r="M1050" s="262"/>
      <c r="N1050" s="262"/>
      <c r="O1050" s="262"/>
      <c r="P1050" s="262"/>
      <c r="Q1050" s="262"/>
      <c r="R1050" s="262"/>
      <c r="S1050" s="1172"/>
      <c r="T1050" s="1172"/>
      <c r="U1050" s="1172"/>
      <c r="V1050" s="1172"/>
      <c r="W1050" s="1172"/>
      <c r="X1050" s="1172"/>
      <c r="Y1050" s="1172"/>
      <c r="Z1050" s="1172"/>
      <c r="AA1050" s="1172"/>
      <c r="AB1050" s="1172"/>
      <c r="AC1050" s="1172"/>
    </row>
    <row r="1051" spans="2:29" ht="15">
      <c r="B1051" s="3440" t="s">
        <v>1948</v>
      </c>
      <c r="C1051" s="3442"/>
      <c r="D1051" s="1034">
        <v>2005</v>
      </c>
      <c r="E1051" s="458">
        <v>60</v>
      </c>
      <c r="F1051" s="1034" t="s">
        <v>1896</v>
      </c>
      <c r="G1051" s="1034">
        <v>2020</v>
      </c>
      <c r="H1051" s="464">
        <f t="shared" si="450"/>
        <v>15</v>
      </c>
      <c r="I1051" s="262"/>
      <c r="J1051" s="262"/>
      <c r="K1051" s="262"/>
      <c r="L1051" s="262"/>
      <c r="M1051" s="262"/>
      <c r="N1051" s="262"/>
      <c r="O1051" s="262"/>
      <c r="P1051" s="262"/>
      <c r="Q1051" s="262"/>
      <c r="R1051" s="262"/>
      <c r="S1051" s="1172"/>
      <c r="T1051" s="1172"/>
      <c r="U1051" s="1172"/>
      <c r="V1051" s="1172"/>
      <c r="W1051" s="1172"/>
      <c r="X1051" s="1172"/>
      <c r="Y1051" s="1172"/>
      <c r="Z1051" s="1172"/>
      <c r="AA1051" s="1172"/>
      <c r="AB1051" s="1172"/>
      <c r="AC1051" s="1172"/>
    </row>
    <row r="1052" spans="2:29" ht="15">
      <c r="B1052" s="3440" t="s">
        <v>1949</v>
      </c>
      <c r="C1052" s="3442"/>
      <c r="D1052" s="1034">
        <v>2005</v>
      </c>
      <c r="E1052" s="458">
        <v>5</v>
      </c>
      <c r="F1052" s="1034" t="s">
        <v>1896</v>
      </c>
      <c r="G1052" s="1034">
        <v>2020</v>
      </c>
      <c r="H1052" s="464">
        <f t="shared" si="450"/>
        <v>15</v>
      </c>
      <c r="I1052" s="262"/>
      <c r="J1052" s="262"/>
      <c r="K1052" s="262"/>
      <c r="L1052" s="262"/>
      <c r="M1052" s="262"/>
      <c r="N1052" s="262"/>
      <c r="O1052" s="262"/>
      <c r="P1052" s="262"/>
      <c r="Q1052" s="262"/>
      <c r="R1052" s="262"/>
      <c r="S1052" s="1172"/>
      <c r="T1052" s="1172"/>
      <c r="U1052" s="1172"/>
      <c r="V1052" s="1172"/>
      <c r="W1052" s="1172"/>
      <c r="X1052" s="1172"/>
      <c r="Y1052" s="1172"/>
      <c r="Z1052" s="1172"/>
      <c r="AA1052" s="1172"/>
      <c r="AB1052" s="1172"/>
      <c r="AC1052" s="1172"/>
    </row>
    <row r="1053" spans="2:29" ht="15">
      <c r="B1053" s="3440" t="s">
        <v>1950</v>
      </c>
      <c r="C1053" s="3442"/>
      <c r="D1053" s="1034">
        <v>2005</v>
      </c>
      <c r="E1053" s="458">
        <v>8</v>
      </c>
      <c r="F1053" s="1034" t="s">
        <v>1896</v>
      </c>
      <c r="G1053" s="1034">
        <v>2020</v>
      </c>
      <c r="H1053" s="464">
        <f t="shared" si="450"/>
        <v>15</v>
      </c>
      <c r="I1053" s="262"/>
      <c r="J1053" s="262"/>
      <c r="K1053" s="262"/>
      <c r="L1053" s="262"/>
      <c r="M1053" s="262"/>
      <c r="N1053" s="262"/>
      <c r="O1053" s="262"/>
      <c r="P1053" s="262"/>
      <c r="Q1053" s="262"/>
      <c r="R1053" s="262"/>
      <c r="S1053" s="1172"/>
      <c r="T1053" s="1172"/>
      <c r="U1053" s="1172"/>
      <c r="V1053" s="1172"/>
      <c r="W1053" s="1172"/>
      <c r="X1053" s="1172"/>
      <c r="Y1053" s="1172"/>
      <c r="Z1053" s="1172"/>
      <c r="AA1053" s="1172"/>
      <c r="AB1053" s="1172"/>
      <c r="AC1053" s="1172"/>
    </row>
    <row r="1054" spans="2:29" ht="15">
      <c r="B1054" s="3440" t="s">
        <v>1951</v>
      </c>
      <c r="C1054" s="3442"/>
      <c r="D1054" s="1034">
        <v>2005</v>
      </c>
      <c r="E1054" s="458">
        <v>8</v>
      </c>
      <c r="F1054" s="1034" t="s">
        <v>1896</v>
      </c>
      <c r="G1054" s="1034">
        <v>2020</v>
      </c>
      <c r="H1054" s="464">
        <f t="shared" si="450"/>
        <v>15</v>
      </c>
      <c r="I1054" s="262"/>
      <c r="J1054" s="262"/>
      <c r="K1054" s="262"/>
      <c r="L1054" s="262"/>
      <c r="M1054" s="262"/>
      <c r="N1054" s="262"/>
      <c r="O1054" s="262"/>
      <c r="P1054" s="262"/>
      <c r="Q1054" s="262"/>
      <c r="R1054" s="262"/>
      <c r="S1054" s="1172"/>
      <c r="T1054" s="1172"/>
      <c r="U1054" s="1172"/>
      <c r="V1054" s="1172"/>
      <c r="W1054" s="1172"/>
      <c r="X1054" s="1172"/>
      <c r="Y1054" s="1172"/>
      <c r="Z1054" s="1172"/>
      <c r="AA1054" s="1172"/>
      <c r="AB1054" s="1172"/>
      <c r="AC1054" s="1172"/>
    </row>
    <row r="1055" spans="2:29" ht="15">
      <c r="B1055" s="3440" t="s">
        <v>1952</v>
      </c>
      <c r="C1055" s="3442"/>
      <c r="D1055" s="1034">
        <v>2005</v>
      </c>
      <c r="E1055" s="458">
        <v>4</v>
      </c>
      <c r="F1055" s="1034" t="s">
        <v>1896</v>
      </c>
      <c r="G1055" s="1034">
        <v>2020</v>
      </c>
      <c r="H1055" s="464">
        <f t="shared" si="450"/>
        <v>15</v>
      </c>
      <c r="I1055" s="262"/>
      <c r="J1055" s="262"/>
      <c r="K1055" s="262"/>
      <c r="L1055" s="262"/>
      <c r="M1055" s="262"/>
      <c r="N1055" s="262"/>
      <c r="O1055" s="262"/>
      <c r="P1055" s="262"/>
      <c r="Q1055" s="262"/>
      <c r="R1055" s="262"/>
      <c r="S1055" s="1172"/>
      <c r="T1055" s="1172"/>
      <c r="U1055" s="1172"/>
      <c r="V1055" s="1172"/>
      <c r="W1055" s="1172"/>
      <c r="X1055" s="1172"/>
      <c r="Y1055" s="1172"/>
      <c r="Z1055" s="1172"/>
      <c r="AA1055" s="1172"/>
      <c r="AB1055" s="1172"/>
      <c r="AC1055" s="1172"/>
    </row>
    <row r="1056" spans="2:29" ht="15">
      <c r="B1056" s="3440" t="s">
        <v>1953</v>
      </c>
      <c r="C1056" s="3442"/>
      <c r="D1056" s="1034">
        <v>2007</v>
      </c>
      <c r="E1056" s="458">
        <v>1</v>
      </c>
      <c r="F1056" s="1034" t="s">
        <v>1896</v>
      </c>
      <c r="G1056" s="1034">
        <v>2020</v>
      </c>
      <c r="H1056" s="464">
        <f t="shared" si="450"/>
        <v>13</v>
      </c>
      <c r="I1056" s="262"/>
      <c r="J1056" s="262"/>
      <c r="K1056" s="262"/>
      <c r="L1056" s="262"/>
      <c r="M1056" s="262"/>
      <c r="N1056" s="262"/>
      <c r="O1056" s="262"/>
      <c r="P1056" s="262"/>
      <c r="Q1056" s="262"/>
      <c r="R1056" s="262"/>
      <c r="S1056" s="1172"/>
      <c r="T1056" s="1172"/>
      <c r="U1056" s="1172"/>
      <c r="V1056" s="1172"/>
      <c r="W1056" s="1172"/>
      <c r="X1056" s="1172"/>
      <c r="Y1056" s="1172"/>
      <c r="Z1056" s="1172"/>
      <c r="AA1056" s="1172"/>
      <c r="AB1056" s="1172"/>
      <c r="AC1056" s="1172"/>
    </row>
    <row r="1057" spans="2:29" ht="15">
      <c r="B1057" s="3440" t="s">
        <v>1954</v>
      </c>
      <c r="C1057" s="3442"/>
      <c r="D1057" s="1034">
        <v>2007</v>
      </c>
      <c r="E1057" s="458">
        <v>2</v>
      </c>
      <c r="F1057" s="1034" t="s">
        <v>1896</v>
      </c>
      <c r="G1057" s="1034">
        <v>2020</v>
      </c>
      <c r="H1057" s="464">
        <f t="shared" si="450"/>
        <v>13</v>
      </c>
      <c r="I1057" s="262"/>
      <c r="J1057" s="262"/>
      <c r="K1057" s="262"/>
      <c r="L1057" s="262"/>
      <c r="M1057" s="262"/>
      <c r="N1057" s="262"/>
      <c r="O1057" s="262"/>
      <c r="P1057" s="262"/>
      <c r="Q1057" s="262"/>
      <c r="R1057" s="262"/>
      <c r="S1057" s="1172"/>
      <c r="T1057" s="1172"/>
      <c r="U1057" s="1172"/>
      <c r="V1057" s="1172"/>
      <c r="W1057" s="1172"/>
      <c r="X1057" s="1172"/>
      <c r="Y1057" s="1172"/>
      <c r="Z1057" s="1172"/>
      <c r="AA1057" s="1172"/>
      <c r="AB1057" s="1172"/>
      <c r="AC1057" s="1172"/>
    </row>
    <row r="1058" spans="2:29" ht="15">
      <c r="B1058" s="3440" t="s">
        <v>1955</v>
      </c>
      <c r="C1058" s="3442"/>
      <c r="D1058" s="1034">
        <v>2007</v>
      </c>
      <c r="E1058" s="458">
        <v>4</v>
      </c>
      <c r="F1058" s="1034" t="s">
        <v>1896</v>
      </c>
      <c r="G1058" s="1034">
        <v>2020</v>
      </c>
      <c r="H1058" s="464">
        <f t="shared" si="450"/>
        <v>13</v>
      </c>
      <c r="I1058" s="262"/>
      <c r="J1058" s="262"/>
      <c r="K1058" s="262"/>
      <c r="L1058" s="262"/>
      <c r="M1058" s="262"/>
      <c r="N1058" s="262"/>
      <c r="O1058" s="262"/>
      <c r="P1058" s="262"/>
      <c r="Q1058" s="262"/>
      <c r="R1058" s="262"/>
      <c r="S1058" s="1172"/>
      <c r="T1058" s="1172"/>
      <c r="U1058" s="1172"/>
      <c r="V1058" s="1172"/>
      <c r="W1058" s="1172"/>
      <c r="X1058" s="1172"/>
      <c r="Y1058" s="1172"/>
      <c r="Z1058" s="1172"/>
      <c r="AA1058" s="1172"/>
      <c r="AB1058" s="1172"/>
      <c r="AC1058" s="1172"/>
    </row>
    <row r="1059" spans="2:29" ht="15">
      <c r="B1059" s="3440" t="s">
        <v>1956</v>
      </c>
      <c r="C1059" s="3442"/>
      <c r="D1059" s="1034">
        <v>2007</v>
      </c>
      <c r="E1059" s="458">
        <v>3</v>
      </c>
      <c r="F1059" s="1034" t="s">
        <v>1896</v>
      </c>
      <c r="G1059" s="1034">
        <v>2020</v>
      </c>
      <c r="H1059" s="464">
        <f t="shared" si="450"/>
        <v>13</v>
      </c>
      <c r="I1059" s="262"/>
      <c r="J1059" s="262"/>
      <c r="K1059" s="262"/>
      <c r="L1059" s="262"/>
      <c r="M1059" s="262"/>
      <c r="N1059" s="262"/>
      <c r="O1059" s="262"/>
      <c r="P1059" s="262"/>
      <c r="Q1059" s="262"/>
      <c r="R1059" s="262"/>
      <c r="S1059" s="1172"/>
      <c r="T1059" s="1172"/>
      <c r="U1059" s="1172"/>
      <c r="V1059" s="1172"/>
      <c r="W1059" s="1172"/>
      <c r="X1059" s="1172"/>
      <c r="Y1059" s="1172"/>
      <c r="Z1059" s="1172"/>
      <c r="AA1059" s="1172"/>
      <c r="AB1059" s="1172"/>
      <c r="AC1059" s="1172"/>
    </row>
    <row r="1060" spans="2:29" ht="15">
      <c r="B1060" s="3440" t="s">
        <v>1957</v>
      </c>
      <c r="C1060" s="3442"/>
      <c r="D1060" s="1034">
        <v>2007</v>
      </c>
      <c r="E1060" s="458">
        <v>1</v>
      </c>
      <c r="F1060" s="1034" t="s">
        <v>1896</v>
      </c>
      <c r="G1060" s="1034">
        <v>2020</v>
      </c>
      <c r="H1060" s="464">
        <f t="shared" si="450"/>
        <v>13</v>
      </c>
      <c r="I1060" s="262"/>
      <c r="J1060" s="262"/>
      <c r="K1060" s="262"/>
      <c r="L1060" s="262"/>
      <c r="M1060" s="262"/>
      <c r="N1060" s="262"/>
      <c r="O1060" s="262"/>
      <c r="P1060" s="262"/>
      <c r="Q1060" s="262"/>
      <c r="R1060" s="262"/>
      <c r="S1060" s="1172"/>
      <c r="T1060" s="1172"/>
      <c r="U1060" s="1172"/>
      <c r="V1060" s="1172"/>
      <c r="W1060" s="1172"/>
      <c r="X1060" s="1172"/>
      <c r="Y1060" s="1172"/>
      <c r="Z1060" s="1172"/>
      <c r="AA1060" s="1172"/>
      <c r="AB1060" s="1172"/>
      <c r="AC1060" s="1172"/>
    </row>
    <row r="1061" spans="2:29" ht="15">
      <c r="B1061" s="3440" t="s">
        <v>1958</v>
      </c>
      <c r="C1061" s="3442"/>
      <c r="D1061" s="1034">
        <v>2006</v>
      </c>
      <c r="E1061" s="475">
        <v>158</v>
      </c>
      <c r="F1061" s="1034" t="s">
        <v>1896</v>
      </c>
      <c r="G1061" s="1034">
        <v>2021</v>
      </c>
      <c r="H1061" s="464">
        <f t="shared" si="450"/>
        <v>15</v>
      </c>
      <c r="I1061" s="262"/>
      <c r="J1061" s="262"/>
      <c r="K1061" s="262"/>
      <c r="L1061" s="262"/>
      <c r="M1061" s="262"/>
      <c r="N1061" s="262"/>
      <c r="O1061" s="262"/>
      <c r="P1061" s="262"/>
      <c r="Q1061" s="262"/>
      <c r="R1061" s="262"/>
      <c r="S1061" s="1172"/>
      <c r="T1061" s="1172"/>
      <c r="U1061" s="1172"/>
      <c r="V1061" s="1172"/>
      <c r="W1061" s="1172"/>
      <c r="X1061" s="1172"/>
      <c r="Y1061" s="1172"/>
      <c r="Z1061" s="1172"/>
      <c r="AA1061" s="1172"/>
      <c r="AB1061" s="1172"/>
      <c r="AC1061" s="1172"/>
    </row>
    <row r="1062" spans="2:29" ht="15">
      <c r="B1062" s="3440" t="s">
        <v>1959</v>
      </c>
      <c r="C1062" s="3442"/>
      <c r="D1062" s="1034">
        <v>2006</v>
      </c>
      <c r="E1062" s="458">
        <v>28</v>
      </c>
      <c r="F1062" s="1034" t="s">
        <v>1896</v>
      </c>
      <c r="G1062" s="1034">
        <v>2021</v>
      </c>
      <c r="H1062" s="464">
        <f t="shared" si="450"/>
        <v>15</v>
      </c>
      <c r="I1062" s="262"/>
      <c r="J1062" s="262"/>
      <c r="K1062" s="262"/>
      <c r="L1062" s="262"/>
      <c r="M1062" s="262"/>
      <c r="N1062" s="262"/>
      <c r="O1062" s="262"/>
      <c r="P1062" s="262"/>
      <c r="Q1062" s="262"/>
      <c r="R1062" s="262"/>
      <c r="S1062" s="1172"/>
      <c r="T1062" s="1172"/>
      <c r="U1062" s="1172"/>
      <c r="V1062" s="1172"/>
      <c r="W1062" s="1172"/>
      <c r="X1062" s="1172"/>
      <c r="Y1062" s="1172"/>
      <c r="Z1062" s="1172"/>
      <c r="AA1062" s="1172"/>
      <c r="AB1062" s="1172"/>
      <c r="AC1062" s="1172"/>
    </row>
    <row r="1063" spans="2:29" ht="15">
      <c r="B1063" s="3440" t="s">
        <v>1960</v>
      </c>
      <c r="C1063" s="3442"/>
      <c r="D1063" s="1034">
        <v>2006</v>
      </c>
      <c r="E1063" s="458">
        <v>33</v>
      </c>
      <c r="F1063" s="1034" t="s">
        <v>1896</v>
      </c>
      <c r="G1063" s="1034">
        <v>2021</v>
      </c>
      <c r="H1063" s="464">
        <f t="shared" si="450"/>
        <v>15</v>
      </c>
      <c r="I1063" s="262"/>
      <c r="J1063" s="262"/>
      <c r="K1063" s="262"/>
      <c r="L1063" s="262"/>
      <c r="M1063" s="262"/>
      <c r="N1063" s="262"/>
      <c r="O1063" s="262"/>
      <c r="P1063" s="262"/>
      <c r="Q1063" s="262"/>
      <c r="R1063" s="262"/>
      <c r="S1063" s="1172"/>
      <c r="T1063" s="1172"/>
      <c r="U1063" s="1172"/>
      <c r="V1063" s="1172"/>
      <c r="W1063" s="1172"/>
      <c r="X1063" s="1172"/>
      <c r="Y1063" s="1172"/>
      <c r="Z1063" s="1172"/>
      <c r="AA1063" s="1172"/>
      <c r="AB1063" s="1172"/>
      <c r="AC1063" s="1172"/>
    </row>
    <row r="1064" spans="2:29" ht="15">
      <c r="B1064" s="3440" t="s">
        <v>1961</v>
      </c>
      <c r="C1064" s="3442"/>
      <c r="D1064" s="1034">
        <v>2006</v>
      </c>
      <c r="E1064" s="458">
        <v>16</v>
      </c>
      <c r="F1064" s="1034" t="s">
        <v>1896</v>
      </c>
      <c r="G1064" s="1034">
        <v>2021</v>
      </c>
      <c r="H1064" s="464">
        <f t="shared" si="450"/>
        <v>15</v>
      </c>
      <c r="I1064" s="262"/>
      <c r="J1064" s="262"/>
      <c r="K1064" s="262"/>
      <c r="L1064" s="262"/>
      <c r="M1064" s="262"/>
      <c r="N1064" s="262"/>
      <c r="O1064" s="262"/>
      <c r="P1064" s="262"/>
      <c r="Q1064" s="262"/>
      <c r="R1064" s="262"/>
      <c r="S1064" s="1172"/>
      <c r="T1064" s="1172"/>
      <c r="U1064" s="1172"/>
      <c r="V1064" s="1172"/>
      <c r="W1064" s="1172"/>
      <c r="X1064" s="1172"/>
      <c r="Y1064" s="1172"/>
      <c r="Z1064" s="1172"/>
      <c r="AA1064" s="1172"/>
      <c r="AB1064" s="1172"/>
      <c r="AC1064" s="1172"/>
    </row>
    <row r="1065" spans="2:29" ht="15">
      <c r="B1065" s="3440" t="s">
        <v>1962</v>
      </c>
      <c r="C1065" s="3442"/>
      <c r="D1065" s="1034">
        <v>2007</v>
      </c>
      <c r="E1065" s="458">
        <v>1</v>
      </c>
      <c r="F1065" s="1034" t="s">
        <v>1896</v>
      </c>
      <c r="G1065" s="1034">
        <v>2021</v>
      </c>
      <c r="H1065" s="464">
        <f t="shared" si="450"/>
        <v>14</v>
      </c>
      <c r="I1065" s="262"/>
      <c r="J1065" s="262"/>
      <c r="K1065" s="262"/>
      <c r="L1065" s="262"/>
      <c r="M1065" s="262"/>
      <c r="N1065" s="262"/>
      <c r="O1065" s="262"/>
      <c r="P1065" s="262"/>
      <c r="Q1065" s="262"/>
      <c r="R1065" s="262"/>
      <c r="S1065" s="1172"/>
      <c r="T1065" s="1172"/>
      <c r="U1065" s="1172"/>
      <c r="V1065" s="1172"/>
      <c r="W1065" s="1172"/>
      <c r="X1065" s="1172"/>
      <c r="Y1065" s="1172"/>
      <c r="Z1065" s="1172"/>
      <c r="AA1065" s="1172"/>
      <c r="AB1065" s="1172"/>
      <c r="AC1065" s="1172"/>
    </row>
    <row r="1066" spans="2:29" ht="15">
      <c r="B1066" s="3440" t="s">
        <v>1944</v>
      </c>
      <c r="C1066" s="3442"/>
      <c r="D1066" s="1034">
        <v>2007</v>
      </c>
      <c r="E1066" s="458">
        <v>2</v>
      </c>
      <c r="F1066" s="1034" t="s">
        <v>1896</v>
      </c>
      <c r="G1066" s="1034">
        <v>2021</v>
      </c>
      <c r="H1066" s="464">
        <f t="shared" si="450"/>
        <v>14</v>
      </c>
      <c r="I1066" s="262"/>
      <c r="J1066" s="262"/>
      <c r="K1066" s="262"/>
      <c r="L1066" s="262"/>
      <c r="M1066" s="262"/>
      <c r="N1066" s="262"/>
      <c r="O1066" s="262"/>
      <c r="P1066" s="262"/>
      <c r="Q1066" s="262"/>
      <c r="R1066" s="262"/>
      <c r="S1066" s="1172"/>
      <c r="T1066" s="1172"/>
      <c r="U1066" s="1172"/>
      <c r="V1066" s="1172"/>
      <c r="W1066" s="1172"/>
      <c r="X1066" s="1172"/>
      <c r="Y1066" s="1172"/>
      <c r="Z1066" s="1172"/>
      <c r="AA1066" s="1172"/>
      <c r="AB1066" s="1172"/>
      <c r="AC1066" s="1172"/>
    </row>
    <row r="1067" spans="2:29" ht="15">
      <c r="B1067" s="3440" t="s">
        <v>1963</v>
      </c>
      <c r="C1067" s="3442"/>
      <c r="D1067" s="1034">
        <v>2007</v>
      </c>
      <c r="E1067" s="458">
        <v>1</v>
      </c>
      <c r="F1067" s="1034" t="s">
        <v>1896</v>
      </c>
      <c r="G1067" s="1034">
        <v>2021</v>
      </c>
      <c r="H1067" s="464">
        <f t="shared" si="450"/>
        <v>14</v>
      </c>
      <c r="I1067" s="262"/>
      <c r="J1067" s="262"/>
      <c r="K1067" s="262"/>
      <c r="L1067" s="262"/>
      <c r="M1067" s="262"/>
      <c r="N1067" s="262"/>
      <c r="O1067" s="262"/>
      <c r="P1067" s="262"/>
      <c r="Q1067" s="262"/>
      <c r="R1067" s="262"/>
      <c r="S1067" s="1172"/>
      <c r="T1067" s="1172"/>
      <c r="U1067" s="1172"/>
      <c r="V1067" s="1172"/>
      <c r="W1067" s="1172"/>
      <c r="X1067" s="1172"/>
      <c r="Y1067" s="1172"/>
      <c r="Z1067" s="1172"/>
      <c r="AA1067" s="1172"/>
      <c r="AB1067" s="1172"/>
      <c r="AC1067" s="1172"/>
    </row>
    <row r="1068" spans="2:29" ht="15">
      <c r="B1068" s="3440" t="s">
        <v>1964</v>
      </c>
      <c r="C1068" s="3442"/>
      <c r="D1068" s="1034">
        <v>2007</v>
      </c>
      <c r="E1068" s="458">
        <v>1</v>
      </c>
      <c r="F1068" s="1034" t="s">
        <v>1896</v>
      </c>
      <c r="G1068" s="1034">
        <v>2021</v>
      </c>
      <c r="H1068" s="464">
        <f t="shared" si="450"/>
        <v>14</v>
      </c>
      <c r="I1068" s="262"/>
      <c r="J1068" s="262"/>
      <c r="K1068" s="262"/>
      <c r="L1068" s="262"/>
      <c r="M1068" s="262"/>
      <c r="N1068" s="262"/>
      <c r="O1068" s="262"/>
      <c r="P1068" s="262"/>
      <c r="Q1068" s="262"/>
      <c r="R1068" s="262"/>
      <c r="S1068" s="1172"/>
      <c r="T1068" s="1172"/>
      <c r="U1068" s="1172"/>
      <c r="V1068" s="1172"/>
      <c r="W1068" s="1172"/>
      <c r="X1068" s="1172"/>
      <c r="Y1068" s="1172"/>
      <c r="Z1068" s="1172"/>
      <c r="AA1068" s="1172"/>
      <c r="AB1068" s="1172"/>
      <c r="AC1068" s="1172"/>
    </row>
    <row r="1069" spans="2:29" ht="15">
      <c r="B1069" s="3440" t="s">
        <v>1965</v>
      </c>
      <c r="C1069" s="3442"/>
      <c r="D1069" s="1034">
        <v>2007</v>
      </c>
      <c r="E1069" s="458">
        <v>10</v>
      </c>
      <c r="F1069" s="1034" t="s">
        <v>1896</v>
      </c>
      <c r="G1069" s="1034">
        <v>2021</v>
      </c>
      <c r="H1069" s="464">
        <f t="shared" si="450"/>
        <v>14</v>
      </c>
      <c r="I1069" s="262"/>
      <c r="J1069" s="262"/>
      <c r="K1069" s="262"/>
      <c r="L1069" s="262"/>
      <c r="M1069" s="262"/>
      <c r="N1069" s="262"/>
      <c r="O1069" s="262"/>
      <c r="P1069" s="262"/>
      <c r="Q1069" s="262"/>
      <c r="R1069" s="262"/>
      <c r="S1069" s="1172"/>
      <c r="T1069" s="1172"/>
      <c r="U1069" s="1172"/>
      <c r="V1069" s="1172"/>
      <c r="W1069" s="1172"/>
      <c r="X1069" s="1172"/>
      <c r="Y1069" s="1172"/>
      <c r="Z1069" s="1172"/>
      <c r="AA1069" s="1172"/>
      <c r="AB1069" s="1172"/>
      <c r="AC1069" s="1172"/>
    </row>
    <row r="1070" spans="2:29" ht="15">
      <c r="B1070" s="3440" t="s">
        <v>1945</v>
      </c>
      <c r="C1070" s="3442"/>
      <c r="D1070" s="1034">
        <v>2007</v>
      </c>
      <c r="E1070" s="458">
        <v>11</v>
      </c>
      <c r="F1070" s="1034" t="s">
        <v>1896</v>
      </c>
      <c r="G1070" s="1034">
        <v>2021</v>
      </c>
      <c r="H1070" s="464">
        <f t="shared" si="450"/>
        <v>14</v>
      </c>
      <c r="I1070" s="262"/>
      <c r="J1070" s="262"/>
      <c r="K1070" s="262"/>
      <c r="L1070" s="262"/>
      <c r="M1070" s="262"/>
      <c r="N1070" s="262"/>
      <c r="O1070" s="262"/>
      <c r="P1070" s="262"/>
      <c r="Q1070" s="262"/>
      <c r="R1070" s="262"/>
      <c r="S1070" s="1172"/>
      <c r="T1070" s="1172"/>
      <c r="U1070" s="1172"/>
      <c r="V1070" s="1172"/>
      <c r="W1070" s="1172"/>
      <c r="X1070" s="1172"/>
      <c r="Y1070" s="1172"/>
      <c r="Z1070" s="1172"/>
      <c r="AA1070" s="1172"/>
      <c r="AB1070" s="1172"/>
      <c r="AC1070" s="1172"/>
    </row>
    <row r="1071" spans="2:29" ht="15">
      <c r="B1071" s="3440" t="s">
        <v>1946</v>
      </c>
      <c r="C1071" s="3442"/>
      <c r="D1071" s="1034">
        <v>2007</v>
      </c>
      <c r="E1071" s="458">
        <v>10</v>
      </c>
      <c r="F1071" s="1034" t="s">
        <v>1896</v>
      </c>
      <c r="G1071" s="1034">
        <v>2021</v>
      </c>
      <c r="H1071" s="464">
        <f t="shared" si="450"/>
        <v>14</v>
      </c>
      <c r="I1071" s="262"/>
      <c r="J1071" s="262"/>
      <c r="K1071" s="262"/>
      <c r="L1071" s="262"/>
      <c r="M1071" s="262"/>
      <c r="N1071" s="262"/>
      <c r="O1071" s="262"/>
      <c r="P1071" s="262"/>
      <c r="Q1071" s="262"/>
      <c r="R1071" s="262"/>
      <c r="S1071" s="1172"/>
      <c r="T1071" s="1172"/>
      <c r="U1071" s="1172"/>
      <c r="V1071" s="1172"/>
      <c r="W1071" s="1172"/>
      <c r="X1071" s="1172"/>
      <c r="Y1071" s="1172"/>
      <c r="Z1071" s="1172"/>
      <c r="AA1071" s="1172"/>
      <c r="AB1071" s="1172"/>
      <c r="AC1071" s="1172"/>
    </row>
    <row r="1072" spans="2:29" ht="15">
      <c r="B1072" s="3440" t="s">
        <v>1966</v>
      </c>
      <c r="C1072" s="3442"/>
      <c r="D1072" s="1034">
        <v>2007</v>
      </c>
      <c r="E1072" s="458">
        <v>2</v>
      </c>
      <c r="F1072" s="1034" t="s">
        <v>1896</v>
      </c>
      <c r="G1072" s="1034">
        <v>2021</v>
      </c>
      <c r="H1072" s="464">
        <f t="shared" si="450"/>
        <v>14</v>
      </c>
      <c r="I1072" s="262"/>
      <c r="J1072" s="262"/>
      <c r="K1072" s="262"/>
      <c r="L1072" s="262"/>
      <c r="M1072" s="262"/>
      <c r="N1072" s="262"/>
      <c r="O1072" s="262"/>
      <c r="P1072" s="262"/>
      <c r="Q1072" s="262"/>
      <c r="R1072" s="262"/>
      <c r="S1072" s="1172"/>
      <c r="T1072" s="1172"/>
      <c r="U1072" s="1172"/>
      <c r="V1072" s="1172"/>
      <c r="W1072" s="1172"/>
      <c r="X1072" s="1172"/>
      <c r="Y1072" s="1172"/>
      <c r="Z1072" s="1172"/>
      <c r="AA1072" s="1172"/>
      <c r="AB1072" s="1172"/>
      <c r="AC1072" s="1172"/>
    </row>
    <row r="1073" spans="2:29" ht="15">
      <c r="B1073" s="3440" t="s">
        <v>1967</v>
      </c>
      <c r="C1073" s="3442"/>
      <c r="D1073" s="1034">
        <v>2007</v>
      </c>
      <c r="E1073" s="458">
        <v>3</v>
      </c>
      <c r="F1073" s="1034" t="s">
        <v>1896</v>
      </c>
      <c r="G1073" s="1034">
        <v>2021</v>
      </c>
      <c r="H1073" s="464">
        <f t="shared" si="450"/>
        <v>14</v>
      </c>
      <c r="I1073" s="262"/>
      <c r="J1073" s="262"/>
      <c r="K1073" s="262"/>
      <c r="L1073" s="262"/>
      <c r="M1073" s="262"/>
      <c r="N1073" s="262"/>
      <c r="O1073" s="262"/>
      <c r="P1073" s="262"/>
      <c r="Q1073" s="262"/>
      <c r="R1073" s="262"/>
      <c r="S1073" s="1172"/>
      <c r="T1073" s="1172"/>
      <c r="U1073" s="1172"/>
      <c r="V1073" s="1172"/>
      <c r="W1073" s="1172"/>
      <c r="X1073" s="1172"/>
      <c r="Y1073" s="1172"/>
      <c r="Z1073" s="1172"/>
      <c r="AA1073" s="1172"/>
      <c r="AB1073" s="1172"/>
      <c r="AC1073" s="1172"/>
    </row>
    <row r="1074" spans="2:29" ht="15">
      <c r="B1074" s="3440" t="s">
        <v>1968</v>
      </c>
      <c r="C1074" s="3442"/>
      <c r="D1074" s="1034">
        <v>2006</v>
      </c>
      <c r="E1074" s="458">
        <v>22</v>
      </c>
      <c r="F1074" s="1034" t="s">
        <v>1896</v>
      </c>
      <c r="G1074" s="1034">
        <v>2021</v>
      </c>
      <c r="H1074" s="464">
        <f t="shared" si="450"/>
        <v>15</v>
      </c>
      <c r="I1074" s="262"/>
      <c r="J1074" s="262"/>
      <c r="K1074" s="262"/>
      <c r="L1074" s="262"/>
      <c r="M1074" s="262"/>
      <c r="N1074" s="262"/>
      <c r="O1074" s="262"/>
      <c r="P1074" s="262"/>
      <c r="Q1074" s="262"/>
      <c r="R1074" s="262"/>
      <c r="S1074" s="1172"/>
      <c r="T1074" s="1172"/>
      <c r="U1074" s="1172"/>
      <c r="V1074" s="1172"/>
      <c r="W1074" s="1172"/>
      <c r="X1074" s="1172"/>
      <c r="Y1074" s="1172"/>
      <c r="Z1074" s="1172"/>
      <c r="AA1074" s="1172"/>
      <c r="AB1074" s="1172"/>
      <c r="AC1074" s="1172"/>
    </row>
    <row r="1075" spans="2:29" ht="15">
      <c r="B1075" s="3440" t="s">
        <v>1969</v>
      </c>
      <c r="C1075" s="3442"/>
      <c r="D1075" s="1034">
        <v>2006</v>
      </c>
      <c r="E1075" s="458">
        <v>30</v>
      </c>
      <c r="F1075" s="1034" t="s">
        <v>1896</v>
      </c>
      <c r="G1075" s="1034">
        <v>2021</v>
      </c>
      <c r="H1075" s="464">
        <f t="shared" si="450"/>
        <v>15</v>
      </c>
      <c r="I1075" s="262"/>
      <c r="J1075" s="262"/>
      <c r="K1075" s="262"/>
      <c r="L1075" s="262"/>
      <c r="M1075" s="262"/>
      <c r="N1075" s="262"/>
      <c r="O1075" s="262"/>
      <c r="P1075" s="262"/>
      <c r="Q1075" s="262"/>
      <c r="R1075" s="262"/>
      <c r="S1075" s="1172"/>
      <c r="T1075" s="1172"/>
      <c r="U1075" s="1172"/>
      <c r="V1075" s="1172"/>
      <c r="W1075" s="1172"/>
      <c r="X1075" s="1172"/>
      <c r="Y1075" s="1172"/>
      <c r="Z1075" s="1172"/>
      <c r="AA1075" s="1172"/>
      <c r="AB1075" s="1172"/>
      <c r="AC1075" s="1172"/>
    </row>
    <row r="1076" spans="2:29" ht="15">
      <c r="B1076" s="3440" t="s">
        <v>1970</v>
      </c>
      <c r="C1076" s="3442"/>
      <c r="D1076" s="1034">
        <v>2006</v>
      </c>
      <c r="E1076" s="458">
        <v>9</v>
      </c>
      <c r="F1076" s="1034" t="s">
        <v>1896</v>
      </c>
      <c r="G1076" s="1034">
        <v>2021</v>
      </c>
      <c r="H1076" s="464">
        <f t="shared" si="450"/>
        <v>15</v>
      </c>
      <c r="I1076" s="262"/>
      <c r="J1076" s="262"/>
      <c r="K1076" s="262"/>
      <c r="L1076" s="262"/>
      <c r="M1076" s="262"/>
      <c r="N1076" s="262"/>
      <c r="O1076" s="262"/>
      <c r="P1076" s="262"/>
      <c r="Q1076" s="262"/>
      <c r="R1076" s="262"/>
      <c r="S1076" s="1172"/>
      <c r="T1076" s="1172"/>
      <c r="U1076" s="1172"/>
      <c r="V1076" s="1172"/>
      <c r="W1076" s="1172"/>
      <c r="X1076" s="1172"/>
      <c r="Y1076" s="1172"/>
      <c r="Z1076" s="1172"/>
      <c r="AA1076" s="1172"/>
      <c r="AB1076" s="1172"/>
      <c r="AC1076" s="1172"/>
    </row>
    <row r="1077" spans="2:29" ht="15">
      <c r="B1077" s="3440" t="s">
        <v>1971</v>
      </c>
      <c r="C1077" s="3442"/>
      <c r="D1077" s="1034">
        <v>2006</v>
      </c>
      <c r="E1077" s="458">
        <v>1</v>
      </c>
      <c r="F1077" s="1034" t="s">
        <v>1896</v>
      </c>
      <c r="G1077" s="1034">
        <v>2021</v>
      </c>
      <c r="H1077" s="464">
        <f t="shared" si="450"/>
        <v>15</v>
      </c>
      <c r="I1077" s="262"/>
      <c r="J1077" s="262"/>
      <c r="K1077" s="262"/>
      <c r="L1077" s="262"/>
      <c r="M1077" s="262"/>
      <c r="N1077" s="262"/>
      <c r="O1077" s="262"/>
      <c r="P1077" s="262"/>
      <c r="Q1077" s="262"/>
      <c r="R1077" s="262"/>
      <c r="S1077" s="1172"/>
      <c r="T1077" s="1172"/>
      <c r="U1077" s="1172"/>
      <c r="V1077" s="1172"/>
      <c r="W1077" s="1172"/>
      <c r="X1077" s="1172"/>
      <c r="Y1077" s="1172"/>
      <c r="Z1077" s="1172"/>
      <c r="AA1077" s="1172"/>
      <c r="AB1077" s="1172"/>
      <c r="AC1077" s="1172"/>
    </row>
    <row r="1078" spans="2:29" ht="15">
      <c r="B1078" s="3440" t="s">
        <v>1972</v>
      </c>
      <c r="C1078" s="3442"/>
      <c r="D1078" s="1034">
        <v>2007</v>
      </c>
      <c r="E1078" s="458">
        <v>2</v>
      </c>
      <c r="F1078" s="1034" t="s">
        <v>1896</v>
      </c>
      <c r="G1078" s="1034">
        <v>2021</v>
      </c>
      <c r="H1078" s="464">
        <f t="shared" si="450"/>
        <v>14</v>
      </c>
      <c r="I1078" s="262"/>
      <c r="J1078" s="262"/>
      <c r="K1078" s="262"/>
      <c r="L1078" s="262"/>
      <c r="M1078" s="262"/>
      <c r="N1078" s="262"/>
      <c r="O1078" s="262"/>
      <c r="P1078" s="262"/>
      <c r="Q1078" s="262"/>
      <c r="R1078" s="262"/>
      <c r="S1078" s="1172"/>
      <c r="T1078" s="1172"/>
      <c r="U1078" s="1172"/>
      <c r="V1078" s="1172"/>
      <c r="W1078" s="1172"/>
      <c r="X1078" s="1172"/>
      <c r="Y1078" s="1172"/>
      <c r="Z1078" s="1172"/>
      <c r="AA1078" s="1172"/>
      <c r="AB1078" s="1172"/>
      <c r="AC1078" s="1172"/>
    </row>
    <row r="1079" spans="2:29" ht="15">
      <c r="B1079" s="3440" t="s">
        <v>1953</v>
      </c>
      <c r="C1079" s="3442"/>
      <c r="D1079" s="1034">
        <v>2007</v>
      </c>
      <c r="E1079" s="458">
        <v>1</v>
      </c>
      <c r="F1079" s="1034" t="s">
        <v>1896</v>
      </c>
      <c r="G1079" s="1034">
        <v>2021</v>
      </c>
      <c r="H1079" s="464">
        <f t="shared" si="450"/>
        <v>14</v>
      </c>
      <c r="I1079" s="262"/>
      <c r="J1079" s="262"/>
      <c r="K1079" s="262"/>
      <c r="L1079" s="262"/>
      <c r="M1079" s="262"/>
      <c r="N1079" s="262"/>
      <c r="O1079" s="262"/>
      <c r="P1079" s="262"/>
      <c r="Q1079" s="262"/>
      <c r="R1079" s="262"/>
      <c r="S1079" s="1172"/>
      <c r="T1079" s="1172"/>
      <c r="U1079" s="1172"/>
      <c r="V1079" s="1172"/>
      <c r="W1079" s="1172"/>
      <c r="X1079" s="1172"/>
      <c r="Y1079" s="1172"/>
      <c r="Z1079" s="1172"/>
      <c r="AA1079" s="1172"/>
      <c r="AB1079" s="1172"/>
      <c r="AC1079" s="1172"/>
    </row>
    <row r="1080" spans="2:29" ht="15">
      <c r="B1080" s="3440" t="s">
        <v>1954</v>
      </c>
      <c r="C1080" s="3442"/>
      <c r="D1080" s="1034">
        <v>2007</v>
      </c>
      <c r="E1080" s="458">
        <v>1</v>
      </c>
      <c r="F1080" s="1034" t="s">
        <v>1896</v>
      </c>
      <c r="G1080" s="1034">
        <v>2021</v>
      </c>
      <c r="H1080" s="464">
        <f t="shared" si="450"/>
        <v>14</v>
      </c>
      <c r="I1080" s="262"/>
      <c r="J1080" s="262"/>
      <c r="K1080" s="262"/>
      <c r="L1080" s="262"/>
      <c r="M1080" s="262"/>
      <c r="N1080" s="262"/>
      <c r="O1080" s="262"/>
      <c r="P1080" s="262"/>
      <c r="Q1080" s="262"/>
      <c r="R1080" s="262"/>
      <c r="S1080" s="1172"/>
      <c r="T1080" s="1172"/>
      <c r="U1080" s="1172"/>
      <c r="V1080" s="1172"/>
      <c r="W1080" s="1172"/>
      <c r="X1080" s="1172"/>
      <c r="Y1080" s="1172"/>
      <c r="Z1080" s="1172"/>
      <c r="AA1080" s="1172"/>
      <c r="AB1080" s="1172"/>
      <c r="AC1080" s="1172"/>
    </row>
    <row r="1081" spans="2:29" ht="15">
      <c r="B1081" s="3440" t="s">
        <v>1955</v>
      </c>
      <c r="C1081" s="3442"/>
      <c r="D1081" s="1034">
        <v>2007</v>
      </c>
      <c r="E1081" s="458">
        <v>3</v>
      </c>
      <c r="F1081" s="1034" t="s">
        <v>1896</v>
      </c>
      <c r="G1081" s="1034">
        <v>2021</v>
      </c>
      <c r="H1081" s="464">
        <f t="shared" si="450"/>
        <v>14</v>
      </c>
      <c r="I1081" s="262"/>
      <c r="J1081" s="262"/>
      <c r="K1081" s="262"/>
      <c r="L1081" s="262"/>
      <c r="M1081" s="262"/>
      <c r="N1081" s="262"/>
      <c r="O1081" s="262"/>
      <c r="P1081" s="262"/>
      <c r="Q1081" s="262"/>
      <c r="R1081" s="262"/>
      <c r="S1081" s="1172"/>
      <c r="T1081" s="1172"/>
      <c r="U1081" s="1172"/>
      <c r="V1081" s="1172"/>
      <c r="W1081" s="1172"/>
      <c r="X1081" s="1172"/>
      <c r="Y1081" s="1172"/>
      <c r="Z1081" s="1172"/>
      <c r="AA1081" s="1172"/>
      <c r="AB1081" s="1172"/>
      <c r="AC1081" s="1172"/>
    </row>
    <row r="1082" spans="2:29" ht="15">
      <c r="B1082" s="3440" t="s">
        <v>1956</v>
      </c>
      <c r="C1082" s="3442"/>
      <c r="D1082" s="1034">
        <v>2007</v>
      </c>
      <c r="E1082" s="458">
        <v>1</v>
      </c>
      <c r="F1082" s="1034" t="s">
        <v>1896</v>
      </c>
      <c r="G1082" s="1034">
        <v>2021</v>
      </c>
      <c r="H1082" s="464">
        <f t="shared" si="450"/>
        <v>14</v>
      </c>
      <c r="I1082" s="262"/>
      <c r="J1082" s="262"/>
      <c r="K1082" s="262"/>
      <c r="L1082" s="262"/>
      <c r="M1082" s="262"/>
      <c r="N1082" s="262"/>
      <c r="O1082" s="262"/>
      <c r="P1082" s="262"/>
      <c r="Q1082" s="262"/>
      <c r="R1082" s="262"/>
      <c r="S1082" s="1172"/>
      <c r="T1082" s="1172"/>
      <c r="U1082" s="1172"/>
      <c r="V1082" s="1172"/>
      <c r="W1082" s="1172"/>
      <c r="X1082" s="1172"/>
      <c r="Y1082" s="1172"/>
      <c r="Z1082" s="1172"/>
      <c r="AA1082" s="1172"/>
      <c r="AB1082" s="1172"/>
      <c r="AC1082" s="1172"/>
    </row>
    <row r="1083" spans="2:29" ht="15">
      <c r="B1083" s="3440" t="s">
        <v>1957</v>
      </c>
      <c r="C1083" s="3442"/>
      <c r="D1083" s="1034">
        <v>2007</v>
      </c>
      <c r="E1083" s="458">
        <v>2</v>
      </c>
      <c r="F1083" s="1034" t="s">
        <v>1896</v>
      </c>
      <c r="G1083" s="1034">
        <v>2021</v>
      </c>
      <c r="H1083" s="464">
        <f t="shared" si="450"/>
        <v>14</v>
      </c>
      <c r="I1083" s="262"/>
      <c r="J1083" s="262"/>
      <c r="K1083" s="262"/>
      <c r="L1083" s="262"/>
      <c r="M1083" s="262"/>
      <c r="N1083" s="262"/>
      <c r="O1083" s="262"/>
      <c r="P1083" s="262"/>
      <c r="Q1083" s="262"/>
      <c r="R1083" s="262"/>
      <c r="S1083" s="1172"/>
      <c r="T1083" s="1172"/>
      <c r="U1083" s="1172"/>
      <c r="V1083" s="1172"/>
      <c r="W1083" s="1172"/>
      <c r="X1083" s="1172"/>
      <c r="Y1083" s="1172"/>
      <c r="Z1083" s="1172"/>
      <c r="AA1083" s="1172"/>
      <c r="AB1083" s="1172"/>
      <c r="AC1083" s="1172"/>
    </row>
    <row r="1084" spans="2:29" ht="15">
      <c r="B1084" s="3440" t="s">
        <v>1973</v>
      </c>
      <c r="C1084" s="3442"/>
      <c r="D1084" s="1034">
        <v>2007</v>
      </c>
      <c r="E1084" s="458">
        <v>1</v>
      </c>
      <c r="F1084" s="1034" t="s">
        <v>1896</v>
      </c>
      <c r="G1084" s="1034">
        <v>2021</v>
      </c>
      <c r="H1084" s="464">
        <f t="shared" si="450"/>
        <v>14</v>
      </c>
      <c r="I1084" s="262"/>
      <c r="J1084" s="262"/>
      <c r="K1084" s="262"/>
      <c r="L1084" s="262"/>
      <c r="M1084" s="262"/>
      <c r="N1084" s="262"/>
      <c r="O1084" s="262"/>
      <c r="P1084" s="262"/>
      <c r="Q1084" s="262"/>
      <c r="R1084" s="262"/>
      <c r="S1084" s="1172"/>
      <c r="T1084" s="1172"/>
      <c r="U1084" s="1172"/>
      <c r="V1084" s="1172"/>
      <c r="W1084" s="1172"/>
      <c r="X1084" s="1172"/>
      <c r="Y1084" s="1172"/>
      <c r="Z1084" s="1172"/>
      <c r="AA1084" s="1172"/>
      <c r="AB1084" s="1172"/>
      <c r="AC1084" s="1172"/>
    </row>
    <row r="1085" spans="2:29" ht="15">
      <c r="B1085" s="3440" t="s">
        <v>1974</v>
      </c>
      <c r="C1085" s="3442"/>
      <c r="D1085" s="1034">
        <v>2007</v>
      </c>
      <c r="E1085" s="475">
        <v>179</v>
      </c>
      <c r="F1085" s="1034" t="s">
        <v>1896</v>
      </c>
      <c r="G1085" s="1034">
        <v>2022</v>
      </c>
      <c r="H1085" s="464">
        <f t="shared" si="450"/>
        <v>15</v>
      </c>
      <c r="I1085" s="262"/>
      <c r="J1085" s="262"/>
      <c r="K1085" s="262"/>
      <c r="L1085" s="262"/>
      <c r="M1085" s="262"/>
      <c r="N1085" s="262"/>
      <c r="O1085" s="262"/>
      <c r="P1085" s="262"/>
      <c r="Q1085" s="262"/>
      <c r="R1085" s="262"/>
      <c r="S1085" s="1172"/>
      <c r="T1085" s="1172"/>
      <c r="U1085" s="1172"/>
      <c r="V1085" s="1172"/>
      <c r="W1085" s="1172"/>
      <c r="X1085" s="1172"/>
      <c r="Y1085" s="1172"/>
      <c r="Z1085" s="1172"/>
      <c r="AA1085" s="1172"/>
      <c r="AB1085" s="1172"/>
      <c r="AC1085" s="1172"/>
    </row>
    <row r="1086" spans="2:29" ht="15">
      <c r="B1086" s="3440" t="s">
        <v>1975</v>
      </c>
      <c r="C1086" s="3442"/>
      <c r="D1086" s="1034">
        <v>2007</v>
      </c>
      <c r="E1086" s="458">
        <v>18</v>
      </c>
      <c r="F1086" s="1034" t="s">
        <v>1896</v>
      </c>
      <c r="G1086" s="1034">
        <v>2022</v>
      </c>
      <c r="H1086" s="464">
        <f t="shared" si="450"/>
        <v>15</v>
      </c>
      <c r="I1086" s="262"/>
      <c r="J1086" s="262"/>
      <c r="K1086" s="262"/>
      <c r="L1086" s="262"/>
      <c r="M1086" s="262"/>
      <c r="N1086" s="262"/>
      <c r="O1086" s="262"/>
      <c r="P1086" s="262"/>
      <c r="Q1086" s="262"/>
      <c r="R1086" s="262"/>
      <c r="S1086" s="1172"/>
      <c r="T1086" s="1172"/>
      <c r="U1086" s="1172"/>
      <c r="V1086" s="1172"/>
      <c r="W1086" s="1172"/>
      <c r="X1086" s="1172"/>
      <c r="Y1086" s="1172"/>
      <c r="Z1086" s="1172"/>
      <c r="AA1086" s="1172"/>
      <c r="AB1086" s="1172"/>
      <c r="AC1086" s="1172"/>
    </row>
    <row r="1087" spans="2:29" ht="15">
      <c r="B1087" s="3440" t="s">
        <v>1976</v>
      </c>
      <c r="C1087" s="3442"/>
      <c r="D1087" s="1034">
        <v>2007</v>
      </c>
      <c r="E1087" s="458">
        <v>23</v>
      </c>
      <c r="F1087" s="1034" t="s">
        <v>1896</v>
      </c>
      <c r="G1087" s="1034">
        <v>2022</v>
      </c>
      <c r="H1087" s="464">
        <f t="shared" si="450"/>
        <v>15</v>
      </c>
      <c r="I1087" s="262"/>
      <c r="J1087" s="262"/>
      <c r="K1087" s="262"/>
      <c r="L1087" s="262"/>
      <c r="M1087" s="262"/>
      <c r="N1087" s="262"/>
      <c r="O1087" s="262"/>
      <c r="P1087" s="262"/>
      <c r="Q1087" s="262"/>
      <c r="R1087" s="262"/>
      <c r="S1087" s="1172"/>
      <c r="T1087" s="1172"/>
      <c r="U1087" s="1172"/>
      <c r="V1087" s="1172"/>
      <c r="W1087" s="1172"/>
      <c r="X1087" s="1172"/>
      <c r="Y1087" s="1172"/>
      <c r="Z1087" s="1172"/>
      <c r="AA1087" s="1172"/>
      <c r="AB1087" s="1172"/>
      <c r="AC1087" s="1172"/>
    </row>
    <row r="1088" spans="2:29" ht="15">
      <c r="B1088" s="3440" t="s">
        <v>1977</v>
      </c>
      <c r="C1088" s="3442"/>
      <c r="D1088" s="1034">
        <v>2007</v>
      </c>
      <c r="E1088" s="458">
        <v>18</v>
      </c>
      <c r="F1088" s="1034" t="s">
        <v>1896</v>
      </c>
      <c r="G1088" s="1034">
        <v>2022</v>
      </c>
      <c r="H1088" s="464">
        <f t="shared" si="450"/>
        <v>15</v>
      </c>
      <c r="I1088" s="262"/>
      <c r="J1088" s="262"/>
      <c r="K1088" s="262"/>
      <c r="L1088" s="262"/>
      <c r="M1088" s="262"/>
      <c r="N1088" s="262"/>
      <c r="O1088" s="262"/>
      <c r="P1088" s="262"/>
      <c r="Q1088" s="262"/>
      <c r="R1088" s="262"/>
      <c r="S1088" s="1172"/>
      <c r="T1088" s="1172"/>
      <c r="U1088" s="1172"/>
      <c r="V1088" s="1172"/>
      <c r="W1088" s="1172"/>
      <c r="X1088" s="1172"/>
      <c r="Y1088" s="1172"/>
      <c r="Z1088" s="1172"/>
      <c r="AA1088" s="1172"/>
      <c r="AB1088" s="1172"/>
      <c r="AC1088" s="1172"/>
    </row>
    <row r="1089" spans="2:29" ht="15">
      <c r="B1089" s="3440" t="s">
        <v>1978</v>
      </c>
      <c r="C1089" s="3442"/>
      <c r="D1089" s="1034">
        <v>2009</v>
      </c>
      <c r="E1089" s="458">
        <v>2</v>
      </c>
      <c r="F1089" s="1034" t="s">
        <v>1896</v>
      </c>
      <c r="G1089" s="1034">
        <v>2022</v>
      </c>
      <c r="H1089" s="464">
        <f t="shared" si="450"/>
        <v>13</v>
      </c>
      <c r="I1089" s="262"/>
      <c r="J1089" s="262"/>
      <c r="K1089" s="262"/>
      <c r="L1089" s="262"/>
      <c r="M1089" s="262"/>
      <c r="N1089" s="262"/>
      <c r="O1089" s="262"/>
      <c r="P1089" s="262"/>
      <c r="Q1089" s="262"/>
      <c r="R1089" s="262"/>
      <c r="S1089" s="1172"/>
      <c r="T1089" s="1172"/>
      <c r="U1089" s="1172"/>
      <c r="V1089" s="1172"/>
      <c r="W1089" s="1172"/>
      <c r="X1089" s="1172"/>
      <c r="Y1089" s="1172"/>
      <c r="Z1089" s="1172"/>
      <c r="AA1089" s="1172"/>
      <c r="AB1089" s="1172"/>
      <c r="AC1089" s="1172"/>
    </row>
    <row r="1090" spans="2:29" ht="15">
      <c r="B1090" s="3440" t="s">
        <v>1979</v>
      </c>
      <c r="C1090" s="3442"/>
      <c r="D1090" s="1034">
        <v>2009</v>
      </c>
      <c r="E1090" s="458">
        <v>4</v>
      </c>
      <c r="F1090" s="1034" t="s">
        <v>1896</v>
      </c>
      <c r="G1090" s="1034">
        <v>2022</v>
      </c>
      <c r="H1090" s="464">
        <f t="shared" si="450"/>
        <v>13</v>
      </c>
      <c r="I1090" s="262"/>
      <c r="J1090" s="262"/>
      <c r="K1090" s="262"/>
      <c r="L1090" s="262"/>
      <c r="M1090" s="262"/>
      <c r="N1090" s="262"/>
      <c r="O1090" s="262"/>
      <c r="P1090" s="262"/>
      <c r="Q1090" s="262"/>
      <c r="R1090" s="262"/>
      <c r="S1090" s="1172"/>
      <c r="T1090" s="1172"/>
      <c r="U1090" s="1172"/>
      <c r="V1090" s="1172"/>
      <c r="W1090" s="1172"/>
      <c r="X1090" s="1172"/>
      <c r="Y1090" s="1172"/>
      <c r="Z1090" s="1172"/>
      <c r="AA1090" s="1172"/>
      <c r="AB1090" s="1172"/>
      <c r="AC1090" s="1172"/>
    </row>
    <row r="1091" spans="2:29" ht="15">
      <c r="B1091" s="3440" t="s">
        <v>1980</v>
      </c>
      <c r="C1091" s="3442"/>
      <c r="D1091" s="1034">
        <v>2009</v>
      </c>
      <c r="E1091" s="458">
        <v>2</v>
      </c>
      <c r="F1091" s="1034" t="s">
        <v>1896</v>
      </c>
      <c r="G1091" s="1034">
        <v>2022</v>
      </c>
      <c r="H1091" s="464">
        <f t="shared" si="450"/>
        <v>13</v>
      </c>
      <c r="I1091" s="262"/>
      <c r="J1091" s="262"/>
      <c r="K1091" s="262"/>
      <c r="L1091" s="262"/>
      <c r="M1091" s="262"/>
      <c r="N1091" s="262"/>
      <c r="O1091" s="262"/>
      <c r="P1091" s="262"/>
      <c r="Q1091" s="262"/>
      <c r="R1091" s="262"/>
      <c r="S1091" s="1172"/>
      <c r="T1091" s="1172"/>
      <c r="U1091" s="1172"/>
      <c r="V1091" s="1172"/>
      <c r="W1091" s="1172"/>
      <c r="X1091" s="1172"/>
      <c r="Y1091" s="1172"/>
      <c r="Z1091" s="1172"/>
      <c r="AA1091" s="1172"/>
      <c r="AB1091" s="1172"/>
      <c r="AC1091" s="1172"/>
    </row>
    <row r="1092" spans="2:29" ht="15">
      <c r="B1092" s="3440" t="s">
        <v>1981</v>
      </c>
      <c r="C1092" s="3442"/>
      <c r="D1092" s="1034">
        <v>2009</v>
      </c>
      <c r="E1092" s="458">
        <v>3</v>
      </c>
      <c r="F1092" s="1034" t="s">
        <v>1896</v>
      </c>
      <c r="G1092" s="1034">
        <v>2022</v>
      </c>
      <c r="H1092" s="464">
        <f t="shared" si="450"/>
        <v>13</v>
      </c>
      <c r="I1092" s="262"/>
      <c r="J1092" s="262"/>
      <c r="K1092" s="262"/>
      <c r="L1092" s="262"/>
      <c r="M1092" s="262"/>
      <c r="N1092" s="262"/>
      <c r="O1092" s="262"/>
      <c r="P1092" s="262"/>
      <c r="Q1092" s="262"/>
      <c r="R1092" s="262"/>
      <c r="S1092" s="1172"/>
      <c r="T1092" s="1172"/>
      <c r="U1092" s="1172"/>
      <c r="V1092" s="1172"/>
      <c r="W1092" s="1172"/>
      <c r="X1092" s="1172"/>
      <c r="Y1092" s="1172"/>
      <c r="Z1092" s="1172"/>
      <c r="AA1092" s="1172"/>
      <c r="AB1092" s="1172"/>
      <c r="AC1092" s="1172"/>
    </row>
    <row r="1093" spans="2:29" ht="15">
      <c r="B1093" s="3440" t="s">
        <v>1982</v>
      </c>
      <c r="C1093" s="3442"/>
      <c r="D1093" s="1034">
        <v>2009</v>
      </c>
      <c r="E1093" s="458">
        <v>5</v>
      </c>
      <c r="F1093" s="1034" t="s">
        <v>1896</v>
      </c>
      <c r="G1093" s="1034">
        <v>2022</v>
      </c>
      <c r="H1093" s="464">
        <f t="shared" si="450"/>
        <v>13</v>
      </c>
      <c r="I1093" s="262"/>
      <c r="J1093" s="262"/>
      <c r="K1093" s="262"/>
      <c r="L1093" s="262"/>
      <c r="M1093" s="262"/>
      <c r="N1093" s="262"/>
      <c r="O1093" s="262"/>
      <c r="P1093" s="262"/>
      <c r="Q1093" s="262"/>
      <c r="R1093" s="262"/>
      <c r="S1093" s="1172"/>
      <c r="T1093" s="1172"/>
      <c r="U1093" s="1172"/>
      <c r="V1093" s="1172"/>
      <c r="W1093" s="1172"/>
      <c r="X1093" s="1172"/>
      <c r="Y1093" s="1172"/>
      <c r="Z1093" s="1172"/>
      <c r="AA1093" s="1172"/>
      <c r="AB1093" s="1172"/>
      <c r="AC1093" s="1172"/>
    </row>
    <row r="1094" spans="2:29" ht="15">
      <c r="B1094" s="3440" t="s">
        <v>1983</v>
      </c>
      <c r="C1094" s="3442"/>
      <c r="D1094" s="1034">
        <v>2009</v>
      </c>
      <c r="E1094" s="458">
        <v>3</v>
      </c>
      <c r="F1094" s="1034" t="s">
        <v>1896</v>
      </c>
      <c r="G1094" s="1034">
        <v>2022</v>
      </c>
      <c r="H1094" s="464">
        <f t="shared" si="450"/>
        <v>13</v>
      </c>
      <c r="I1094" s="262"/>
      <c r="J1094" s="262"/>
      <c r="K1094" s="262"/>
      <c r="L1094" s="262"/>
      <c r="M1094" s="262"/>
      <c r="N1094" s="262"/>
      <c r="O1094" s="262"/>
      <c r="P1094" s="262"/>
      <c r="Q1094" s="262"/>
      <c r="R1094" s="262"/>
      <c r="S1094" s="1172"/>
      <c r="T1094" s="1172"/>
      <c r="U1094" s="1172"/>
      <c r="V1094" s="1172"/>
      <c r="W1094" s="1172"/>
      <c r="X1094" s="1172"/>
      <c r="Y1094" s="1172"/>
      <c r="Z1094" s="1172"/>
      <c r="AA1094" s="1172"/>
      <c r="AB1094" s="1172"/>
      <c r="AC1094" s="1172"/>
    </row>
    <row r="1095" spans="2:29" ht="15">
      <c r="B1095" s="3440" t="s">
        <v>1984</v>
      </c>
      <c r="C1095" s="3442"/>
      <c r="D1095" s="1034">
        <v>2009</v>
      </c>
      <c r="E1095" s="458">
        <v>1</v>
      </c>
      <c r="F1095" s="1034" t="s">
        <v>1896</v>
      </c>
      <c r="G1095" s="1034">
        <v>2022</v>
      </c>
      <c r="H1095" s="464">
        <f t="shared" si="450"/>
        <v>13</v>
      </c>
      <c r="I1095" s="262"/>
      <c r="J1095" s="262"/>
      <c r="K1095" s="262"/>
      <c r="L1095" s="262"/>
      <c r="M1095" s="262"/>
      <c r="N1095" s="262"/>
      <c r="O1095" s="262"/>
      <c r="P1095" s="262"/>
      <c r="Q1095" s="262"/>
      <c r="R1095" s="262"/>
      <c r="S1095" s="1172"/>
      <c r="T1095" s="1172"/>
      <c r="U1095" s="1172"/>
      <c r="V1095" s="1172"/>
      <c r="W1095" s="1172"/>
      <c r="X1095" s="1172"/>
      <c r="Y1095" s="1172"/>
      <c r="Z1095" s="1172"/>
      <c r="AA1095" s="1172"/>
      <c r="AB1095" s="1172"/>
      <c r="AC1095" s="1172"/>
    </row>
    <row r="1096" spans="2:29" ht="15">
      <c r="B1096" s="3440" t="s">
        <v>1985</v>
      </c>
      <c r="C1096" s="3442"/>
      <c r="D1096" s="1034">
        <v>2009</v>
      </c>
      <c r="E1096" s="458">
        <v>1</v>
      </c>
      <c r="F1096" s="1034" t="s">
        <v>1896</v>
      </c>
      <c r="G1096" s="1034">
        <v>2022</v>
      </c>
      <c r="H1096" s="464">
        <f t="shared" si="450"/>
        <v>13</v>
      </c>
      <c r="I1096" s="262"/>
      <c r="J1096" s="262"/>
      <c r="K1096" s="262"/>
      <c r="L1096" s="262"/>
      <c r="M1096" s="262"/>
      <c r="N1096" s="262"/>
      <c r="O1096" s="262"/>
      <c r="P1096" s="262"/>
      <c r="Q1096" s="262"/>
      <c r="R1096" s="262"/>
      <c r="S1096" s="1172"/>
      <c r="T1096" s="1172"/>
      <c r="U1096" s="1172"/>
      <c r="V1096" s="1172"/>
      <c r="W1096" s="1172"/>
      <c r="X1096" s="1172"/>
      <c r="Y1096" s="1172"/>
      <c r="Z1096" s="1172"/>
      <c r="AA1096" s="1172"/>
      <c r="AB1096" s="1172"/>
      <c r="AC1096" s="1172"/>
    </row>
    <row r="1097" spans="2:29" ht="15">
      <c r="B1097" s="3440" t="s">
        <v>1986</v>
      </c>
      <c r="C1097" s="3442"/>
      <c r="D1097" s="1034">
        <v>2007</v>
      </c>
      <c r="E1097" s="458">
        <v>16</v>
      </c>
      <c r="F1097" s="1034" t="s">
        <v>1896</v>
      </c>
      <c r="G1097" s="1034">
        <v>2022</v>
      </c>
      <c r="H1097" s="464">
        <f t="shared" si="450"/>
        <v>15</v>
      </c>
      <c r="I1097" s="262"/>
      <c r="J1097" s="262"/>
      <c r="K1097" s="262"/>
      <c r="L1097" s="262"/>
      <c r="M1097" s="262"/>
      <c r="N1097" s="262"/>
      <c r="O1097" s="262"/>
      <c r="P1097" s="262"/>
      <c r="Q1097" s="262"/>
      <c r="R1097" s="262"/>
      <c r="S1097" s="1172"/>
      <c r="T1097" s="1172"/>
      <c r="U1097" s="1172"/>
      <c r="V1097" s="1172"/>
      <c r="W1097" s="1172"/>
      <c r="X1097" s="1172"/>
      <c r="Y1097" s="1172"/>
      <c r="Z1097" s="1172"/>
      <c r="AA1097" s="1172"/>
      <c r="AB1097" s="1172"/>
      <c r="AC1097" s="1172"/>
    </row>
    <row r="1098" spans="2:29" ht="15">
      <c r="B1098" s="3440" t="s">
        <v>1987</v>
      </c>
      <c r="C1098" s="3442"/>
      <c r="D1098" s="1034">
        <v>2007</v>
      </c>
      <c r="E1098" s="458">
        <v>36</v>
      </c>
      <c r="F1098" s="1034" t="s">
        <v>1896</v>
      </c>
      <c r="G1098" s="1034">
        <v>2022</v>
      </c>
      <c r="H1098" s="464">
        <f t="shared" si="450"/>
        <v>15</v>
      </c>
      <c r="I1098" s="262"/>
      <c r="J1098" s="262"/>
      <c r="K1098" s="262"/>
      <c r="L1098" s="262"/>
      <c r="M1098" s="262"/>
      <c r="N1098" s="262"/>
      <c r="O1098" s="262"/>
      <c r="P1098" s="262"/>
      <c r="Q1098" s="262"/>
      <c r="R1098" s="262"/>
      <c r="S1098" s="1172"/>
      <c r="T1098" s="1172"/>
      <c r="U1098" s="1172"/>
      <c r="V1098" s="1172"/>
      <c r="W1098" s="1172"/>
      <c r="X1098" s="1172"/>
      <c r="Y1098" s="1172"/>
      <c r="Z1098" s="1172"/>
      <c r="AA1098" s="1172"/>
      <c r="AB1098" s="1172"/>
      <c r="AC1098" s="1172"/>
    </row>
    <row r="1099" spans="2:29" ht="15">
      <c r="B1099" s="3440" t="s">
        <v>1988</v>
      </c>
      <c r="C1099" s="3442"/>
      <c r="D1099" s="1034">
        <v>2007</v>
      </c>
      <c r="E1099" s="458">
        <v>5</v>
      </c>
      <c r="F1099" s="1034" t="s">
        <v>1896</v>
      </c>
      <c r="G1099" s="1034">
        <v>2022</v>
      </c>
      <c r="H1099" s="464">
        <f t="shared" si="450"/>
        <v>15</v>
      </c>
      <c r="I1099" s="262"/>
      <c r="J1099" s="262"/>
      <c r="K1099" s="262"/>
      <c r="L1099" s="262"/>
      <c r="M1099" s="262"/>
      <c r="N1099" s="262"/>
      <c r="O1099" s="262"/>
      <c r="P1099" s="262"/>
      <c r="Q1099" s="262"/>
      <c r="R1099" s="262"/>
      <c r="S1099" s="1172"/>
      <c r="T1099" s="1172"/>
      <c r="U1099" s="1172"/>
      <c r="V1099" s="1172"/>
      <c r="W1099" s="1172"/>
      <c r="X1099" s="1172"/>
      <c r="Y1099" s="1172"/>
      <c r="Z1099" s="1172"/>
      <c r="AA1099" s="1172"/>
      <c r="AB1099" s="1172"/>
      <c r="AC1099" s="1172"/>
    </row>
    <row r="1100" spans="2:29" ht="15">
      <c r="B1100" s="3440" t="s">
        <v>1989</v>
      </c>
      <c r="C1100" s="3442"/>
      <c r="D1100" s="1034">
        <v>2007</v>
      </c>
      <c r="E1100" s="458">
        <v>2</v>
      </c>
      <c r="F1100" s="1034" t="s">
        <v>1896</v>
      </c>
      <c r="G1100" s="1034">
        <v>2022</v>
      </c>
      <c r="H1100" s="464">
        <f t="shared" si="450"/>
        <v>15</v>
      </c>
      <c r="I1100" s="262"/>
      <c r="J1100" s="262"/>
      <c r="K1100" s="262"/>
      <c r="L1100" s="262"/>
      <c r="M1100" s="262"/>
      <c r="N1100" s="262"/>
      <c r="O1100" s="262"/>
      <c r="P1100" s="262"/>
      <c r="Q1100" s="262"/>
      <c r="R1100" s="262"/>
      <c r="S1100" s="1172"/>
      <c r="T1100" s="1172"/>
      <c r="U1100" s="1172"/>
      <c r="V1100" s="1172"/>
      <c r="W1100" s="1172"/>
      <c r="X1100" s="1172"/>
      <c r="Y1100" s="1172"/>
      <c r="Z1100" s="1172"/>
      <c r="AA1100" s="1172"/>
      <c r="AB1100" s="1172"/>
      <c r="AC1100" s="1172"/>
    </row>
    <row r="1101" spans="2:29" ht="15">
      <c r="B1101" s="3440" t="s">
        <v>1990</v>
      </c>
      <c r="C1101" s="3442"/>
      <c r="D1101" s="1034">
        <v>2007</v>
      </c>
      <c r="E1101" s="458">
        <v>1</v>
      </c>
      <c r="F1101" s="1034" t="s">
        <v>1896</v>
      </c>
      <c r="G1101" s="1034">
        <v>2022</v>
      </c>
      <c r="H1101" s="464">
        <f t="shared" si="450"/>
        <v>15</v>
      </c>
      <c r="I1101" s="262"/>
      <c r="J1101" s="262"/>
      <c r="K1101" s="262"/>
      <c r="L1101" s="262"/>
      <c r="M1101" s="262"/>
      <c r="N1101" s="262"/>
      <c r="O1101" s="262"/>
      <c r="P1101" s="262"/>
      <c r="Q1101" s="262"/>
      <c r="R1101" s="262"/>
      <c r="S1101" s="1172"/>
      <c r="T1101" s="1172"/>
      <c r="U1101" s="1172"/>
      <c r="V1101" s="1172"/>
      <c r="W1101" s="1172"/>
      <c r="X1101" s="1172"/>
      <c r="Y1101" s="1172"/>
      <c r="Z1101" s="1172"/>
      <c r="AA1101" s="1172"/>
      <c r="AB1101" s="1172"/>
      <c r="AC1101" s="1172"/>
    </row>
    <row r="1102" spans="2:29" ht="15">
      <c r="B1102" s="3440" t="s">
        <v>1991</v>
      </c>
      <c r="C1102" s="3442"/>
      <c r="D1102" s="1034">
        <v>2009</v>
      </c>
      <c r="E1102" s="458">
        <v>1</v>
      </c>
      <c r="F1102" s="1034" t="s">
        <v>1896</v>
      </c>
      <c r="G1102" s="1034">
        <v>2022</v>
      </c>
      <c r="H1102" s="464">
        <f t="shared" si="450"/>
        <v>13</v>
      </c>
      <c r="I1102" s="262"/>
      <c r="J1102" s="262"/>
      <c r="K1102" s="262"/>
      <c r="L1102" s="262"/>
      <c r="M1102" s="262"/>
      <c r="N1102" s="262"/>
      <c r="O1102" s="262"/>
      <c r="P1102" s="262"/>
      <c r="Q1102" s="262"/>
      <c r="R1102" s="262"/>
      <c r="S1102" s="1172"/>
      <c r="T1102" s="1172"/>
      <c r="U1102" s="1172"/>
      <c r="V1102" s="1172"/>
      <c r="W1102" s="1172"/>
      <c r="X1102" s="1172"/>
      <c r="Y1102" s="1172"/>
      <c r="Z1102" s="1172"/>
      <c r="AA1102" s="1172"/>
      <c r="AB1102" s="1172"/>
      <c r="AC1102" s="1172"/>
    </row>
    <row r="1103" spans="2:29" ht="15">
      <c r="B1103" s="3440" t="s">
        <v>1992</v>
      </c>
      <c r="C1103" s="3442"/>
      <c r="D1103" s="1034">
        <v>2009</v>
      </c>
      <c r="E1103" s="458">
        <v>2</v>
      </c>
      <c r="F1103" s="1034" t="s">
        <v>1896</v>
      </c>
      <c r="G1103" s="1034">
        <v>2022</v>
      </c>
      <c r="H1103" s="464">
        <f t="shared" si="450"/>
        <v>13</v>
      </c>
      <c r="I1103" s="262"/>
      <c r="J1103" s="262"/>
      <c r="K1103" s="262"/>
      <c r="L1103" s="262"/>
      <c r="M1103" s="262"/>
      <c r="N1103" s="262"/>
      <c r="O1103" s="262"/>
      <c r="P1103" s="262"/>
      <c r="Q1103" s="262"/>
      <c r="R1103" s="262"/>
      <c r="S1103" s="1172"/>
      <c r="T1103" s="1172"/>
      <c r="U1103" s="1172"/>
      <c r="V1103" s="1172"/>
      <c r="W1103" s="1172"/>
      <c r="X1103" s="1172"/>
      <c r="Y1103" s="1172"/>
      <c r="Z1103" s="1172"/>
      <c r="AA1103" s="1172"/>
      <c r="AB1103" s="1172"/>
      <c r="AC1103" s="1172"/>
    </row>
    <row r="1104" spans="2:29" ht="15">
      <c r="B1104" s="3440" t="s">
        <v>1993</v>
      </c>
      <c r="C1104" s="3442"/>
      <c r="D1104" s="1034">
        <v>2009</v>
      </c>
      <c r="E1104" s="458">
        <v>1</v>
      </c>
      <c r="F1104" s="1034" t="s">
        <v>1896</v>
      </c>
      <c r="G1104" s="1034">
        <v>2022</v>
      </c>
      <c r="H1104" s="464">
        <f t="shared" si="450"/>
        <v>13</v>
      </c>
      <c r="I1104" s="262"/>
      <c r="J1104" s="262"/>
      <c r="K1104" s="262"/>
      <c r="L1104" s="262"/>
      <c r="M1104" s="262"/>
      <c r="N1104" s="262"/>
      <c r="O1104" s="262"/>
      <c r="P1104" s="262"/>
      <c r="Q1104" s="262"/>
      <c r="R1104" s="262"/>
      <c r="S1104" s="1172"/>
      <c r="T1104" s="1172"/>
      <c r="U1104" s="1172"/>
      <c r="V1104" s="1172"/>
      <c r="W1104" s="1172"/>
      <c r="X1104" s="1172"/>
      <c r="Y1104" s="1172"/>
      <c r="Z1104" s="1172"/>
      <c r="AA1104" s="1172"/>
      <c r="AB1104" s="1172"/>
      <c r="AC1104" s="1172"/>
    </row>
    <row r="1105" spans="2:29" ht="15">
      <c r="B1105" s="3440" t="s">
        <v>1994</v>
      </c>
      <c r="C1105" s="3442"/>
      <c r="D1105" s="1034">
        <v>2009</v>
      </c>
      <c r="E1105" s="458">
        <v>3</v>
      </c>
      <c r="F1105" s="1034" t="s">
        <v>1896</v>
      </c>
      <c r="G1105" s="1034">
        <v>2022</v>
      </c>
      <c r="H1105" s="464">
        <f t="shared" si="450"/>
        <v>13</v>
      </c>
      <c r="I1105" s="262"/>
      <c r="J1105" s="262"/>
      <c r="K1105" s="262"/>
      <c r="L1105" s="262"/>
      <c r="M1105" s="262"/>
      <c r="N1105" s="262"/>
      <c r="O1105" s="262"/>
      <c r="P1105" s="262"/>
      <c r="Q1105" s="262"/>
      <c r="R1105" s="262"/>
      <c r="S1105" s="1172"/>
      <c r="T1105" s="1172"/>
      <c r="U1105" s="1172"/>
      <c r="V1105" s="1172"/>
      <c r="W1105" s="1172"/>
      <c r="X1105" s="1172"/>
      <c r="Y1105" s="1172"/>
      <c r="Z1105" s="1172"/>
      <c r="AA1105" s="1172"/>
      <c r="AB1105" s="1172"/>
      <c r="AC1105" s="1172"/>
    </row>
    <row r="1106" spans="2:29" ht="15">
      <c r="B1106" s="3440" t="s">
        <v>1995</v>
      </c>
      <c r="C1106" s="3442"/>
      <c r="D1106" s="1034">
        <v>2009</v>
      </c>
      <c r="E1106" s="458">
        <v>2</v>
      </c>
      <c r="F1106" s="1034" t="s">
        <v>1896</v>
      </c>
      <c r="G1106" s="3540">
        <v>2022</v>
      </c>
      <c r="H1106" s="464">
        <f t="shared" si="450"/>
        <v>13</v>
      </c>
      <c r="I1106" s="262"/>
      <c r="J1106" s="262"/>
      <c r="K1106" s="262"/>
      <c r="L1106" s="262"/>
      <c r="M1106" s="262"/>
      <c r="N1106" s="262"/>
      <c r="O1106" s="262"/>
      <c r="P1106" s="262"/>
      <c r="Q1106" s="262"/>
      <c r="R1106" s="262"/>
      <c r="S1106" s="1172"/>
      <c r="T1106" s="1172"/>
      <c r="U1106" s="1172"/>
      <c r="V1106" s="1172"/>
      <c r="W1106" s="1172"/>
      <c r="X1106" s="1172"/>
      <c r="Y1106" s="1172"/>
      <c r="Z1106" s="1172"/>
      <c r="AA1106" s="1172"/>
      <c r="AB1106" s="1172"/>
      <c r="AC1106" s="1172"/>
    </row>
    <row r="1107" spans="2:29" ht="15">
      <c r="B1107" s="3440" t="s">
        <v>1996</v>
      </c>
      <c r="C1107" s="3442"/>
      <c r="D1107" s="1034">
        <v>2009</v>
      </c>
      <c r="E1107" s="458">
        <v>1</v>
      </c>
      <c r="F1107" s="1034" t="s">
        <v>1896</v>
      </c>
      <c r="G1107" s="3540">
        <v>2022</v>
      </c>
      <c r="H1107" s="464">
        <f t="shared" si="450"/>
        <v>13</v>
      </c>
      <c r="I1107" s="262"/>
      <c r="J1107" s="262"/>
      <c r="K1107" s="262"/>
      <c r="L1107" s="262"/>
      <c r="M1107" s="262"/>
      <c r="N1107" s="262"/>
      <c r="O1107" s="262"/>
      <c r="P1107" s="262"/>
      <c r="Q1107" s="262"/>
      <c r="R1107" s="262"/>
      <c r="S1107" s="1172"/>
      <c r="T1107" s="1172"/>
      <c r="U1107" s="1172"/>
      <c r="V1107" s="1172"/>
      <c r="W1107" s="1172"/>
      <c r="X1107" s="1172"/>
      <c r="Y1107" s="1172"/>
      <c r="Z1107" s="1172"/>
      <c r="AA1107" s="1172"/>
      <c r="AB1107" s="1172"/>
      <c r="AC1107" s="1172"/>
    </row>
    <row r="1108" spans="2:29">
      <c r="B1108" s="474" t="str">
        <f>CONCATENATE("*Only relates to meters expected to fail or be tested in the period  ", FRCP_span)</f>
        <v>*Only relates to meters expected to fail or be tested in the period  2018 to 2022</v>
      </c>
      <c r="C1108" s="474" t="str">
        <f>CONCATENATE("*Only relates to meters expected to fail or be tested in the period  ", FRCP_span)</f>
        <v>*Only relates to meters expected to fail or be tested in the period  2018 to 2022</v>
      </c>
      <c r="D1108" s="474"/>
      <c r="E1108" s="474"/>
      <c r="F1108" s="474"/>
      <c r="G1108" s="262"/>
      <c r="H1108" s="262"/>
      <c r="I1108" s="262"/>
      <c r="J1108" s="262"/>
      <c r="K1108" s="262"/>
      <c r="L1108" s="262"/>
      <c r="M1108" s="262"/>
      <c r="N1108" s="262"/>
      <c r="O1108" s="262"/>
      <c r="P1108" s="262"/>
      <c r="Q1108" s="262"/>
      <c r="R1108" s="262"/>
      <c r="S1108" s="1172"/>
      <c r="T1108" s="1172"/>
      <c r="U1108" s="1172"/>
      <c r="V1108" s="1172"/>
      <c r="W1108" s="1172"/>
      <c r="X1108" s="1172"/>
      <c r="Y1108" s="1172"/>
      <c r="Z1108" s="1172"/>
      <c r="AA1108" s="1172"/>
      <c r="AB1108" s="1172"/>
      <c r="AC1108" s="1172"/>
    </row>
    <row r="1109" spans="2:29" ht="21" thickBot="1">
      <c r="B1109" s="184"/>
      <c r="C1109" s="184"/>
      <c r="D1109" s="185"/>
      <c r="E1109" s="185"/>
      <c r="F1109" s="185"/>
      <c r="G1109" s="185"/>
      <c r="H1109" s="185"/>
      <c r="I1109" s="1172"/>
      <c r="J1109" s="1172"/>
      <c r="K1109" s="1172"/>
      <c r="L1109" s="1172"/>
      <c r="M1109" s="1172"/>
      <c r="N1109" s="1172"/>
      <c r="O1109" s="1172"/>
      <c r="P1109" s="1172"/>
      <c r="Q1109" s="1172"/>
      <c r="R1109" s="1172"/>
      <c r="S1109" s="1172"/>
      <c r="T1109" s="1172"/>
      <c r="U1109" s="1172"/>
      <c r="V1109" s="1172"/>
      <c r="W1109" s="1172"/>
      <c r="X1109" s="1172"/>
      <c r="Y1109" s="1172"/>
      <c r="Z1109" s="1172"/>
      <c r="AA1109" s="1172"/>
      <c r="AB1109" s="1172"/>
      <c r="AC1109" s="1172"/>
    </row>
    <row r="1110" spans="2:29" ht="16.5" thickBot="1">
      <c r="B1110" s="2760" t="s">
        <v>489</v>
      </c>
      <c r="C1110" s="2760"/>
      <c r="D1110" s="1265"/>
      <c r="E1110" s="1265"/>
      <c r="F1110" s="1265"/>
      <c r="G1110" s="1259"/>
      <c r="H1110" s="1259"/>
      <c r="I1110" s="1259"/>
      <c r="J1110" s="1259"/>
      <c r="K1110" s="1259"/>
      <c r="L1110" s="1259"/>
      <c r="M1110" s="1259"/>
      <c r="N1110" s="1259"/>
      <c r="O1110" s="1259"/>
      <c r="P1110" s="1259"/>
      <c r="Q1110" s="1259"/>
      <c r="R1110" s="1260"/>
      <c r="S1110" s="1172"/>
      <c r="T1110" s="1172"/>
      <c r="U1110" s="1172"/>
      <c r="V1110" s="1172"/>
      <c r="W1110" s="1172"/>
      <c r="X1110" s="1172"/>
      <c r="Y1110" s="1172"/>
      <c r="Z1110" s="1172"/>
      <c r="AA1110" s="1172"/>
      <c r="AB1110" s="1172"/>
      <c r="AC1110" s="1172"/>
    </row>
    <row r="1111" spans="2:29" ht="15.75" customHeight="1" thickBot="1">
      <c r="B1111" s="4179"/>
      <c r="C1111" s="4180"/>
      <c r="D1111" s="4159">
        <f>CRCP_y1</f>
        <v>2013</v>
      </c>
      <c r="E1111" s="4160"/>
      <c r="F1111" s="4161"/>
      <c r="G1111" s="4162">
        <f>CRCP_y2</f>
        <v>2014</v>
      </c>
      <c r="H1111" s="4162"/>
      <c r="I1111" s="4163"/>
      <c r="J1111" s="4164">
        <f>CRCP_y3</f>
        <v>2015</v>
      </c>
      <c r="K1111" s="4165"/>
      <c r="L1111" s="4166"/>
      <c r="M1111" s="4167">
        <f>CRCP_y4</f>
        <v>2016</v>
      </c>
      <c r="N1111" s="4162"/>
      <c r="O1111" s="4163"/>
      <c r="P1111" s="4168">
        <f>CRCP_y5</f>
        <v>2017</v>
      </c>
      <c r="Q1111" s="4169"/>
      <c r="R1111" s="4170"/>
      <c r="S1111" s="1172"/>
      <c r="T1111" s="1172"/>
      <c r="U1111" s="1172"/>
      <c r="V1111" s="1172"/>
      <c r="W1111" s="1172"/>
      <c r="X1111" s="1172"/>
      <c r="Y1111" s="1172"/>
      <c r="Z1111" s="1172"/>
      <c r="AA1111" s="1172"/>
      <c r="AB1111" s="1172"/>
      <c r="AC1111" s="1172"/>
    </row>
    <row r="1112" spans="2:29" ht="25.5">
      <c r="B1112" s="4181"/>
      <c r="C1112" s="4182"/>
      <c r="D1112" s="1276" t="s">
        <v>173</v>
      </c>
      <c r="E1112" s="1277" t="s">
        <v>171</v>
      </c>
      <c r="F1112" s="1278" t="s">
        <v>174</v>
      </c>
      <c r="G1112" s="3443" t="s">
        <v>173</v>
      </c>
      <c r="H1112" s="3444" t="s">
        <v>171</v>
      </c>
      <c r="I1112" s="1270" t="s">
        <v>174</v>
      </c>
      <c r="J1112" s="1272" t="s">
        <v>173</v>
      </c>
      <c r="K1112" s="1273" t="s">
        <v>171</v>
      </c>
      <c r="L1112" s="1274" t="s">
        <v>174</v>
      </c>
      <c r="M1112" s="3443" t="s">
        <v>173</v>
      </c>
      <c r="N1112" s="3444" t="s">
        <v>171</v>
      </c>
      <c r="O1112" s="1270" t="s">
        <v>174</v>
      </c>
      <c r="P1112" s="1272" t="s">
        <v>173</v>
      </c>
      <c r="Q1112" s="1273" t="s">
        <v>171</v>
      </c>
      <c r="R1112" s="1275" t="s">
        <v>174</v>
      </c>
      <c r="S1112" s="1172"/>
      <c r="T1112" s="1172"/>
      <c r="U1112" s="1172"/>
      <c r="V1112" s="1172"/>
      <c r="W1112" s="1172"/>
      <c r="X1112" s="1172"/>
      <c r="Y1112" s="1172"/>
      <c r="Z1112" s="1172"/>
      <c r="AA1112" s="1172"/>
      <c r="AB1112" s="1172"/>
      <c r="AC1112" s="1172"/>
    </row>
    <row r="1113" spans="2:29" ht="13.5" customHeight="1" thickBot="1">
      <c r="B1113" s="4183"/>
      <c r="C1113" s="4184"/>
      <c r="D1113" s="1268" t="s">
        <v>384</v>
      </c>
      <c r="E1113" s="568" t="s">
        <v>337</v>
      </c>
      <c r="F1113" s="1267"/>
      <c r="G1113" s="1269" t="s">
        <v>384</v>
      </c>
      <c r="H1113" s="1249" t="s">
        <v>337</v>
      </c>
      <c r="I1113" s="1271"/>
      <c r="J1113" s="1268" t="s">
        <v>384</v>
      </c>
      <c r="K1113" s="568" t="s">
        <v>337</v>
      </c>
      <c r="L1113" s="1267"/>
      <c r="M1113" s="1269" t="s">
        <v>384</v>
      </c>
      <c r="N1113" s="1249" t="s">
        <v>337</v>
      </c>
      <c r="O1113" s="1271"/>
      <c r="P1113" s="1268" t="s">
        <v>384</v>
      </c>
      <c r="Q1113" s="568" t="s">
        <v>337</v>
      </c>
      <c r="R1113" s="1266"/>
      <c r="S1113" s="1172"/>
      <c r="T1113" s="1172"/>
      <c r="U1113" s="1172"/>
      <c r="V1113" s="1172"/>
      <c r="W1113" s="1172"/>
      <c r="X1113" s="1172"/>
      <c r="Y1113" s="1172"/>
      <c r="Z1113" s="1172"/>
      <c r="AA1113" s="1172"/>
      <c r="AB1113" s="1172"/>
      <c r="AC1113" s="1172"/>
    </row>
    <row r="1114" spans="2:29" ht="15">
      <c r="B1114" s="4171" t="s">
        <v>1997</v>
      </c>
      <c r="C1114" s="4172"/>
      <c r="D1114" s="3541">
        <v>36161</v>
      </c>
      <c r="E1114" s="3542">
        <v>9764</v>
      </c>
      <c r="F1114" s="506" t="s">
        <v>1998</v>
      </c>
      <c r="G1114" s="412"/>
      <c r="H1114" s="494"/>
      <c r="I1114" s="506"/>
      <c r="J1114" s="412"/>
      <c r="K1114" s="494"/>
      <c r="L1114" s="506"/>
      <c r="M1114" s="412"/>
      <c r="N1114" s="494"/>
      <c r="O1114" s="506"/>
      <c r="P1114" s="412"/>
      <c r="Q1114" s="494"/>
      <c r="R1114" s="506"/>
      <c r="S1114" s="1172"/>
      <c r="T1114" s="1172"/>
      <c r="U1114" s="1172"/>
      <c r="V1114" s="1172"/>
      <c r="W1114" s="1172"/>
      <c r="X1114" s="1172"/>
      <c r="Y1114" s="1172"/>
      <c r="Z1114" s="1172"/>
      <c r="AA1114" s="1172"/>
      <c r="AB1114" s="1172"/>
      <c r="AC1114" s="1172"/>
    </row>
    <row r="1115" spans="2:29" ht="15">
      <c r="B1115" s="4173" t="s">
        <v>1999</v>
      </c>
      <c r="C1115" s="4174"/>
      <c r="D1115" s="3541">
        <v>36161</v>
      </c>
      <c r="E1115" s="458">
        <v>6260</v>
      </c>
      <c r="F1115" s="460" t="s">
        <v>1998</v>
      </c>
      <c r="G1115" s="459"/>
      <c r="H1115" s="458"/>
      <c r="I1115" s="460"/>
      <c r="J1115" s="459"/>
      <c r="K1115" s="458"/>
      <c r="L1115" s="460"/>
      <c r="M1115" s="459"/>
      <c r="N1115" s="458"/>
      <c r="O1115" s="460"/>
      <c r="P1115" s="459"/>
      <c r="Q1115" s="458"/>
      <c r="R1115" s="460"/>
      <c r="S1115" s="1172"/>
      <c r="T1115" s="3543" t="s">
        <v>2000</v>
      </c>
      <c r="U1115" s="1172"/>
      <c r="V1115" s="1172"/>
      <c r="W1115" s="1172"/>
      <c r="X1115" s="1172"/>
      <c r="Y1115" s="1172"/>
      <c r="Z1115" s="1172"/>
      <c r="AA1115" s="1172"/>
      <c r="AB1115" s="1172"/>
      <c r="AC1115" s="1172"/>
    </row>
    <row r="1116" spans="2:29" ht="15">
      <c r="B1116" s="3440" t="s">
        <v>2001</v>
      </c>
      <c r="C1116" s="3441"/>
      <c r="D1116" s="3541">
        <v>36161</v>
      </c>
      <c r="E1116" s="458">
        <v>174</v>
      </c>
      <c r="F1116" s="460" t="s">
        <v>1998</v>
      </c>
      <c r="G1116" s="459"/>
      <c r="H1116" s="458"/>
      <c r="I1116" s="460"/>
      <c r="J1116" s="459"/>
      <c r="K1116" s="458"/>
      <c r="L1116" s="460"/>
      <c r="M1116" s="459"/>
      <c r="N1116" s="458"/>
      <c r="O1116" s="460"/>
      <c r="P1116" s="459"/>
      <c r="Q1116" s="458"/>
      <c r="R1116" s="460"/>
      <c r="S1116" s="1172"/>
      <c r="T1116" s="3543" t="s">
        <v>2002</v>
      </c>
      <c r="U1116" s="1172"/>
      <c r="V1116" s="1172"/>
      <c r="W1116" s="1172"/>
      <c r="X1116" s="1172"/>
      <c r="Y1116" s="1172"/>
      <c r="Z1116" s="1172"/>
      <c r="AA1116" s="1172"/>
      <c r="AB1116" s="1172"/>
      <c r="AC1116" s="1172"/>
    </row>
    <row r="1117" spans="2:29" ht="15">
      <c r="B1117" s="3440" t="s">
        <v>2003</v>
      </c>
      <c r="C1117" s="3441"/>
      <c r="D1117" s="3541">
        <v>36161</v>
      </c>
      <c r="E1117" s="458">
        <v>229</v>
      </c>
      <c r="F1117" s="460" t="s">
        <v>1998</v>
      </c>
      <c r="G1117" s="459"/>
      <c r="H1117" s="458"/>
      <c r="I1117" s="460"/>
      <c r="J1117" s="459"/>
      <c r="K1117" s="458"/>
      <c r="L1117" s="460"/>
      <c r="M1117" s="459"/>
      <c r="N1117" s="458"/>
      <c r="O1117" s="460"/>
      <c r="P1117" s="459"/>
      <c r="Q1117" s="458"/>
      <c r="R1117" s="460"/>
      <c r="S1117" s="1172"/>
      <c r="T1117" s="3543"/>
      <c r="U1117" s="1172"/>
      <c r="V1117" s="1172"/>
      <c r="W1117" s="1172"/>
      <c r="X1117" s="1172"/>
      <c r="Y1117" s="1172"/>
      <c r="Z1117" s="1172"/>
      <c r="AA1117" s="1172"/>
      <c r="AB1117" s="1172"/>
      <c r="AC1117" s="1172"/>
    </row>
    <row r="1118" spans="2:29" ht="15">
      <c r="B1118" s="3440" t="s">
        <v>2004</v>
      </c>
      <c r="C1118" s="3441"/>
      <c r="D1118" s="3541">
        <v>33239</v>
      </c>
      <c r="E1118" s="458">
        <v>13174</v>
      </c>
      <c r="F1118" s="460" t="s">
        <v>1998</v>
      </c>
      <c r="G1118" s="459"/>
      <c r="H1118" s="458"/>
      <c r="I1118" s="460"/>
      <c r="J1118" s="459"/>
      <c r="K1118" s="458"/>
      <c r="L1118" s="460"/>
      <c r="M1118" s="459"/>
      <c r="N1118" s="458"/>
      <c r="O1118" s="460"/>
      <c r="P1118" s="459"/>
      <c r="Q1118" s="458"/>
      <c r="R1118" s="460"/>
      <c r="S1118" s="1172"/>
      <c r="T1118" s="3543"/>
      <c r="U1118" s="1172"/>
      <c r="V1118" s="1172"/>
      <c r="W1118" s="1172"/>
      <c r="X1118" s="1172"/>
      <c r="Y1118" s="1172"/>
      <c r="Z1118" s="1172"/>
      <c r="AA1118" s="1172"/>
      <c r="AB1118" s="1172"/>
      <c r="AC1118" s="1172"/>
    </row>
    <row r="1119" spans="2:29" ht="15">
      <c r="B1119" s="3440" t="s">
        <v>2005</v>
      </c>
      <c r="C1119" s="3441"/>
      <c r="D1119" s="3541">
        <v>33604</v>
      </c>
      <c r="E1119" s="458">
        <v>11535</v>
      </c>
      <c r="F1119" s="460" t="s">
        <v>1998</v>
      </c>
      <c r="G1119" s="459"/>
      <c r="H1119" s="458"/>
      <c r="I1119" s="460"/>
      <c r="J1119" s="459"/>
      <c r="K1119" s="458"/>
      <c r="L1119" s="460"/>
      <c r="M1119" s="459"/>
      <c r="N1119" s="458"/>
      <c r="O1119" s="460"/>
      <c r="P1119" s="459"/>
      <c r="Q1119" s="458"/>
      <c r="R1119" s="460"/>
      <c r="S1119" s="1172"/>
      <c r="T1119" s="474"/>
      <c r="U1119" s="1172"/>
      <c r="V1119" s="1172"/>
      <c r="W1119" s="1172"/>
      <c r="X1119" s="1172"/>
      <c r="Y1119" s="1172"/>
      <c r="Z1119" s="1172"/>
      <c r="AA1119" s="1172"/>
      <c r="AB1119" s="1172"/>
      <c r="AC1119" s="1172"/>
    </row>
    <row r="1120" spans="2:29" ht="15">
      <c r="B1120" s="3440" t="s">
        <v>2006</v>
      </c>
      <c r="C1120" s="3441"/>
      <c r="D1120" s="3541">
        <v>34700</v>
      </c>
      <c r="E1120" s="458">
        <v>18455</v>
      </c>
      <c r="F1120" s="460" t="s">
        <v>1998</v>
      </c>
      <c r="G1120" s="459"/>
      <c r="H1120" s="458"/>
      <c r="I1120" s="460"/>
      <c r="J1120" s="459"/>
      <c r="K1120" s="458"/>
      <c r="L1120" s="460"/>
      <c r="M1120" s="459"/>
      <c r="N1120" s="458"/>
      <c r="O1120" s="460"/>
      <c r="P1120" s="459"/>
      <c r="Q1120" s="458"/>
      <c r="R1120" s="460"/>
      <c r="S1120" s="1172"/>
      <c r="T1120" s="1172"/>
      <c r="U1120" s="1172"/>
      <c r="V1120" s="1172"/>
      <c r="W1120" s="1172"/>
      <c r="X1120" s="1172"/>
      <c r="Y1120" s="1172"/>
      <c r="Z1120" s="1172"/>
      <c r="AA1120" s="1172"/>
      <c r="AB1120" s="1172"/>
      <c r="AC1120" s="1172"/>
    </row>
    <row r="1121" spans="2:29" ht="15">
      <c r="B1121" s="3440" t="s">
        <v>2007</v>
      </c>
      <c r="C1121" s="3441"/>
      <c r="D1121" s="3541">
        <v>34700</v>
      </c>
      <c r="E1121" s="458">
        <v>12870</v>
      </c>
      <c r="F1121" s="460" t="s">
        <v>1998</v>
      </c>
      <c r="G1121" s="459"/>
      <c r="H1121" s="458"/>
      <c r="I1121" s="460"/>
      <c r="J1121" s="459"/>
      <c r="K1121" s="458"/>
      <c r="L1121" s="460"/>
      <c r="M1121" s="459"/>
      <c r="N1121" s="458"/>
      <c r="O1121" s="460"/>
      <c r="P1121" s="459"/>
      <c r="Q1121" s="458"/>
      <c r="R1121" s="460"/>
      <c r="S1121" s="1172"/>
      <c r="T1121" s="1172"/>
      <c r="U1121" s="1172"/>
      <c r="V1121" s="1172"/>
      <c r="W1121" s="1172"/>
      <c r="X1121" s="1172"/>
      <c r="Y1121" s="1172"/>
      <c r="Z1121" s="1172"/>
      <c r="AA1121" s="1172"/>
      <c r="AB1121" s="1172"/>
      <c r="AC1121" s="1172"/>
    </row>
    <row r="1122" spans="2:29" ht="15">
      <c r="B1122" s="3440" t="s">
        <v>2008</v>
      </c>
      <c r="C1122" s="3441"/>
      <c r="D1122" s="3541">
        <v>35065</v>
      </c>
      <c r="E1122" s="458">
        <v>6993</v>
      </c>
      <c r="F1122" s="460" t="s">
        <v>1998</v>
      </c>
      <c r="G1122" s="459"/>
      <c r="H1122" s="458"/>
      <c r="I1122" s="460"/>
      <c r="J1122" s="459"/>
      <c r="K1122" s="458"/>
      <c r="L1122" s="460"/>
      <c r="M1122" s="459"/>
      <c r="N1122" s="458"/>
      <c r="O1122" s="460"/>
      <c r="P1122" s="459"/>
      <c r="Q1122" s="458"/>
      <c r="R1122" s="460"/>
      <c r="S1122" s="1172"/>
      <c r="T1122" s="1172"/>
      <c r="U1122" s="1172"/>
      <c r="V1122" s="1172"/>
      <c r="W1122" s="1172"/>
      <c r="X1122" s="1172"/>
      <c r="Y1122" s="1172"/>
      <c r="Z1122" s="1172"/>
      <c r="AA1122" s="1172"/>
      <c r="AB1122" s="1172"/>
      <c r="AC1122" s="1172"/>
    </row>
    <row r="1123" spans="2:29" ht="15">
      <c r="B1123" s="3440" t="s">
        <v>2009</v>
      </c>
      <c r="C1123" s="3441"/>
      <c r="D1123" s="3541"/>
      <c r="E1123" s="458"/>
      <c r="F1123" s="460"/>
      <c r="G1123" s="3541">
        <v>34973</v>
      </c>
      <c r="H1123" s="458">
        <v>1396</v>
      </c>
      <c r="I1123" s="460" t="s">
        <v>1998</v>
      </c>
      <c r="J1123" s="459"/>
      <c r="K1123" s="458"/>
      <c r="L1123" s="460"/>
      <c r="M1123" s="459"/>
      <c r="N1123" s="458"/>
      <c r="O1123" s="460"/>
      <c r="P1123" s="459"/>
      <c r="Q1123" s="458"/>
      <c r="R1123" s="460"/>
      <c r="S1123" s="1172"/>
      <c r="T1123" s="1172"/>
      <c r="U1123" s="1172"/>
      <c r="V1123" s="1172"/>
      <c r="W1123" s="1172"/>
      <c r="X1123" s="1172"/>
      <c r="Y1123" s="1172"/>
      <c r="Z1123" s="1172"/>
      <c r="AA1123" s="1172"/>
      <c r="AB1123" s="1172"/>
      <c r="AC1123" s="1172"/>
    </row>
    <row r="1124" spans="2:29" ht="15">
      <c r="B1124" s="3440" t="s">
        <v>2010</v>
      </c>
      <c r="C1124" s="3441"/>
      <c r="D1124" s="459"/>
      <c r="E1124" s="458"/>
      <c r="F1124" s="460"/>
      <c r="G1124" s="3541">
        <v>34700</v>
      </c>
      <c r="H1124" s="458">
        <v>739</v>
      </c>
      <c r="I1124" s="460" t="s">
        <v>1998</v>
      </c>
      <c r="J1124" s="459"/>
      <c r="K1124" s="458"/>
      <c r="L1124" s="460"/>
      <c r="M1124" s="459"/>
      <c r="N1124" s="458"/>
      <c r="O1124" s="460"/>
      <c r="P1124" s="459"/>
      <c r="Q1124" s="458"/>
      <c r="R1124" s="460"/>
      <c r="S1124" s="1172"/>
      <c r="T1124" s="1172"/>
      <c r="U1124" s="1172"/>
      <c r="V1124" s="1172"/>
      <c r="W1124" s="1172"/>
      <c r="X1124" s="1172"/>
      <c r="Y1124" s="1172"/>
      <c r="Z1124" s="1172"/>
      <c r="AA1124" s="1172"/>
      <c r="AB1124" s="1172"/>
      <c r="AC1124" s="1172"/>
    </row>
    <row r="1125" spans="2:29" ht="15">
      <c r="B1125" s="3440" t="s">
        <v>2011</v>
      </c>
      <c r="C1125" s="3441"/>
      <c r="D1125" s="459"/>
      <c r="E1125" s="458"/>
      <c r="F1125" s="460"/>
      <c r="G1125" s="3541">
        <v>35431</v>
      </c>
      <c r="H1125" s="458">
        <v>824</v>
      </c>
      <c r="I1125" s="460" t="s">
        <v>1998</v>
      </c>
      <c r="J1125" s="459"/>
      <c r="K1125" s="458"/>
      <c r="L1125" s="460"/>
      <c r="M1125" s="459"/>
      <c r="N1125" s="458"/>
      <c r="O1125" s="460"/>
      <c r="P1125" s="459"/>
      <c r="Q1125" s="458"/>
      <c r="R1125" s="460"/>
      <c r="S1125" s="1172"/>
      <c r="T1125" s="1172"/>
      <c r="U1125" s="1172"/>
      <c r="V1125" s="1172"/>
      <c r="W1125" s="1172"/>
      <c r="X1125" s="1172"/>
      <c r="Y1125" s="1172"/>
      <c r="Z1125" s="1172"/>
      <c r="AA1125" s="1172"/>
      <c r="AB1125" s="1172"/>
      <c r="AC1125" s="1172"/>
    </row>
    <row r="1126" spans="2:29" ht="15">
      <c r="B1126" s="3440" t="s">
        <v>2012</v>
      </c>
      <c r="C1126" s="3441"/>
      <c r="D1126" s="459"/>
      <c r="E1126" s="458"/>
      <c r="F1126" s="460"/>
      <c r="G1126" s="3541">
        <v>36526</v>
      </c>
      <c r="H1126" s="458">
        <v>2594</v>
      </c>
      <c r="I1126" s="460" t="s">
        <v>2013</v>
      </c>
      <c r="J1126" s="459"/>
      <c r="K1126" s="458"/>
      <c r="L1126" s="460"/>
      <c r="M1126" s="459"/>
      <c r="N1126" s="458"/>
      <c r="O1126" s="460"/>
      <c r="P1126" s="459"/>
      <c r="Q1126" s="458"/>
      <c r="R1126" s="460"/>
      <c r="S1126" s="1172"/>
      <c r="T1126" s="1172"/>
      <c r="U1126" s="1172"/>
      <c r="V1126" s="1172"/>
      <c r="W1126" s="1172"/>
      <c r="X1126" s="1172"/>
      <c r="Y1126" s="1172"/>
      <c r="Z1126" s="1172"/>
      <c r="AA1126" s="1172"/>
      <c r="AB1126" s="1172"/>
      <c r="AC1126" s="1172"/>
    </row>
    <row r="1127" spans="2:29" ht="15">
      <c r="B1127" s="3440" t="s">
        <v>2014</v>
      </c>
      <c r="C1127" s="3441"/>
      <c r="D1127" s="459"/>
      <c r="E1127" s="458"/>
      <c r="F1127" s="460"/>
      <c r="G1127" s="3541">
        <v>35796</v>
      </c>
      <c r="H1127" s="458">
        <v>6886</v>
      </c>
      <c r="I1127" s="460" t="s">
        <v>1998</v>
      </c>
      <c r="J1127" s="459"/>
      <c r="K1127" s="458"/>
      <c r="L1127" s="460"/>
      <c r="M1127" s="459"/>
      <c r="N1127" s="458"/>
      <c r="O1127" s="460"/>
      <c r="P1127" s="459"/>
      <c r="Q1127" s="458"/>
      <c r="R1127" s="460"/>
      <c r="S1127" s="1172"/>
      <c r="T1127" s="1172"/>
      <c r="U1127" s="1172"/>
      <c r="V1127" s="1172"/>
      <c r="W1127" s="1172"/>
      <c r="X1127" s="1172"/>
      <c r="Y1127" s="1172"/>
      <c r="Z1127" s="1172"/>
      <c r="AA1127" s="1172"/>
      <c r="AB1127" s="1172"/>
      <c r="AC1127" s="1172"/>
    </row>
    <row r="1128" spans="2:29" ht="15">
      <c r="B1128" s="3440" t="s">
        <v>1997</v>
      </c>
      <c r="C1128" s="3441"/>
      <c r="D1128" s="459"/>
      <c r="E1128" s="458"/>
      <c r="F1128" s="460"/>
      <c r="G1128" s="3541">
        <v>36161</v>
      </c>
      <c r="H1128" s="458">
        <v>9632</v>
      </c>
      <c r="I1128" s="460" t="s">
        <v>1998</v>
      </c>
      <c r="J1128" s="459"/>
      <c r="K1128" s="458"/>
      <c r="L1128" s="460"/>
      <c r="M1128" s="459"/>
      <c r="N1128" s="458"/>
      <c r="O1128" s="460"/>
      <c r="P1128" s="459"/>
      <c r="Q1128" s="458"/>
      <c r="R1128" s="460"/>
      <c r="S1128" s="1172"/>
      <c r="T1128" s="1172"/>
      <c r="U1128" s="1172"/>
      <c r="V1128" s="1172"/>
      <c r="W1128" s="1172"/>
      <c r="X1128" s="1172"/>
      <c r="Y1128" s="1172"/>
      <c r="Z1128" s="1172"/>
      <c r="AA1128" s="1172"/>
      <c r="AB1128" s="1172"/>
      <c r="AC1128" s="1172"/>
    </row>
    <row r="1129" spans="2:29" ht="15">
      <c r="B1129" s="3440" t="s">
        <v>1883</v>
      </c>
      <c r="C1129" s="3441"/>
      <c r="D1129" s="459"/>
      <c r="E1129" s="458"/>
      <c r="F1129" s="460"/>
      <c r="G1129" s="3541">
        <v>36526</v>
      </c>
      <c r="H1129" s="458">
        <v>14624</v>
      </c>
      <c r="I1129" s="460" t="s">
        <v>1998</v>
      </c>
      <c r="J1129" s="459"/>
      <c r="K1129" s="458"/>
      <c r="L1129" s="460"/>
      <c r="M1129" s="459"/>
      <c r="N1129" s="458"/>
      <c r="O1129" s="460"/>
      <c r="P1129" s="459"/>
      <c r="Q1129" s="458"/>
      <c r="R1129" s="460"/>
      <c r="S1129" s="1172"/>
      <c r="T1129" s="1172"/>
      <c r="U1129" s="1172"/>
      <c r="V1129" s="1172"/>
      <c r="W1129" s="1172"/>
      <c r="X1129" s="1172"/>
      <c r="Y1129" s="1172"/>
      <c r="Z1129" s="1172"/>
      <c r="AA1129" s="1172"/>
      <c r="AB1129" s="1172"/>
      <c r="AC1129" s="1172"/>
    </row>
    <row r="1130" spans="2:29" ht="15">
      <c r="B1130" s="3440" t="s">
        <v>2015</v>
      </c>
      <c r="C1130" s="3441"/>
      <c r="D1130" s="459"/>
      <c r="E1130" s="458"/>
      <c r="F1130" s="460"/>
      <c r="G1130" s="3541">
        <v>36526</v>
      </c>
      <c r="H1130" s="458">
        <v>476</v>
      </c>
      <c r="I1130" s="460" t="s">
        <v>1998</v>
      </c>
      <c r="J1130" s="459"/>
      <c r="K1130" s="458"/>
      <c r="L1130" s="460"/>
      <c r="M1130" s="459"/>
      <c r="N1130" s="458"/>
      <c r="O1130" s="460"/>
      <c r="P1130" s="459"/>
      <c r="Q1130" s="458"/>
      <c r="R1130" s="460"/>
      <c r="S1130" s="1172"/>
      <c r="T1130" s="1172"/>
      <c r="U1130" s="1172"/>
      <c r="V1130" s="1172"/>
      <c r="W1130" s="1172"/>
      <c r="X1130" s="1172"/>
      <c r="Y1130" s="1172"/>
      <c r="Z1130" s="1172"/>
      <c r="AA1130" s="1172"/>
      <c r="AB1130" s="1172"/>
      <c r="AC1130" s="1172"/>
    </row>
    <row r="1131" spans="2:29" ht="15">
      <c r="B1131" s="3440" t="s">
        <v>2016</v>
      </c>
      <c r="C1131" s="3441"/>
      <c r="D1131" s="459"/>
      <c r="E1131" s="458"/>
      <c r="F1131" s="460"/>
      <c r="G1131" s="3541">
        <v>34973</v>
      </c>
      <c r="H1131" s="458">
        <v>218</v>
      </c>
      <c r="I1131" s="460" t="s">
        <v>1998</v>
      </c>
      <c r="J1131" s="3541"/>
      <c r="K1131" s="458"/>
      <c r="L1131" s="460"/>
      <c r="M1131" s="459"/>
      <c r="N1131" s="458"/>
      <c r="O1131" s="460"/>
      <c r="P1131" s="459"/>
      <c r="Q1131" s="458"/>
      <c r="R1131" s="460"/>
      <c r="S1131" s="1172"/>
      <c r="T1131" s="1172"/>
      <c r="U1131" s="1172"/>
      <c r="V1131" s="1172"/>
      <c r="W1131" s="1172"/>
      <c r="X1131" s="1172"/>
      <c r="Y1131" s="1172"/>
      <c r="Z1131" s="1172"/>
      <c r="AA1131" s="1172"/>
      <c r="AB1131" s="1172"/>
      <c r="AC1131" s="1172"/>
    </row>
    <row r="1132" spans="2:29" ht="15">
      <c r="B1132" s="3440" t="s">
        <v>1891</v>
      </c>
      <c r="C1132" s="3441"/>
      <c r="D1132" s="459"/>
      <c r="E1132" s="458"/>
      <c r="F1132" s="460"/>
      <c r="G1132" s="3541">
        <v>35431</v>
      </c>
      <c r="H1132" s="458">
        <v>457</v>
      </c>
      <c r="I1132" s="460" t="s">
        <v>1998</v>
      </c>
      <c r="J1132" s="3541"/>
      <c r="K1132" s="458"/>
      <c r="L1132" s="460"/>
      <c r="M1132" s="459"/>
      <c r="N1132" s="458"/>
      <c r="O1132" s="460"/>
      <c r="P1132" s="459"/>
      <c r="Q1132" s="458"/>
      <c r="R1132" s="460"/>
      <c r="S1132" s="1172"/>
      <c r="T1132" s="1172"/>
      <c r="U1132" s="1172"/>
      <c r="V1132" s="1172"/>
      <c r="W1132" s="1172"/>
      <c r="X1132" s="1172"/>
      <c r="Y1132" s="1172"/>
      <c r="Z1132" s="1172"/>
      <c r="AA1132" s="1172"/>
      <c r="AB1132" s="1172"/>
      <c r="AC1132" s="1172"/>
    </row>
    <row r="1133" spans="2:29" ht="15">
      <c r="B1133" s="3440" t="s">
        <v>2017</v>
      </c>
      <c r="C1133" s="3441"/>
      <c r="D1133" s="459"/>
      <c r="E1133" s="458"/>
      <c r="F1133" s="460"/>
      <c r="G1133" s="3541">
        <v>36526</v>
      </c>
      <c r="H1133" s="458">
        <v>123</v>
      </c>
      <c r="I1133" s="460" t="s">
        <v>1998</v>
      </c>
      <c r="J1133" s="3541"/>
      <c r="K1133" s="458"/>
      <c r="L1133" s="460"/>
      <c r="M1133" s="459"/>
      <c r="N1133" s="458"/>
      <c r="O1133" s="460"/>
      <c r="P1133" s="459"/>
      <c r="Q1133" s="458"/>
      <c r="R1133" s="460"/>
      <c r="S1133" s="1172"/>
      <c r="T1133" s="1172"/>
      <c r="U1133" s="1172"/>
      <c r="V1133" s="1172"/>
      <c r="W1133" s="1172"/>
      <c r="X1133" s="1172"/>
      <c r="Y1133" s="1172"/>
      <c r="Z1133" s="1172"/>
      <c r="AA1133" s="1172"/>
      <c r="AB1133" s="1172"/>
      <c r="AC1133" s="1172"/>
    </row>
    <row r="1134" spans="2:29" ht="15">
      <c r="B1134" s="3440" t="s">
        <v>2018</v>
      </c>
      <c r="C1134" s="3441"/>
      <c r="D1134" s="459"/>
      <c r="E1134" s="458"/>
      <c r="F1134" s="460"/>
      <c r="G1134" s="3541"/>
      <c r="H1134" s="458"/>
      <c r="I1134" s="460"/>
      <c r="J1134" s="3541">
        <v>32874</v>
      </c>
      <c r="K1134" s="3508">
        <v>11933</v>
      </c>
      <c r="L1134" s="460" t="s">
        <v>1998</v>
      </c>
      <c r="M1134" s="459"/>
      <c r="N1134" s="458"/>
      <c r="O1134" s="460"/>
      <c r="P1134" s="459"/>
      <c r="Q1134" s="458"/>
      <c r="R1134" s="460"/>
      <c r="S1134" s="1172"/>
      <c r="T1134" s="1172"/>
      <c r="U1134" s="1172"/>
      <c r="V1134" s="1172"/>
      <c r="W1134" s="1172"/>
      <c r="X1134" s="1172"/>
      <c r="Y1134" s="1172"/>
      <c r="Z1134" s="1172"/>
      <c r="AA1134" s="1172"/>
      <c r="AB1134" s="1172"/>
      <c r="AC1134" s="1172"/>
    </row>
    <row r="1135" spans="2:29" ht="15">
      <c r="B1135" s="3440" t="s">
        <v>2019</v>
      </c>
      <c r="C1135" s="3441"/>
      <c r="D1135" s="459"/>
      <c r="E1135" s="458"/>
      <c r="F1135" s="460"/>
      <c r="G1135" s="3541"/>
      <c r="H1135" s="458"/>
      <c r="I1135" s="460"/>
      <c r="J1135" s="3541">
        <v>34335</v>
      </c>
      <c r="K1135" s="458">
        <v>15047</v>
      </c>
      <c r="L1135" s="460" t="s">
        <v>1998</v>
      </c>
      <c r="M1135" s="459"/>
      <c r="N1135" s="458"/>
      <c r="O1135" s="460"/>
      <c r="P1135" s="459"/>
      <c r="Q1135" s="458"/>
      <c r="R1135" s="460"/>
      <c r="S1135" s="1172"/>
      <c r="T1135" s="1172"/>
      <c r="U1135" s="1172"/>
      <c r="V1135" s="1172"/>
      <c r="W1135" s="1172"/>
      <c r="X1135" s="1172"/>
      <c r="Y1135" s="1172"/>
      <c r="Z1135" s="1172"/>
      <c r="AA1135" s="1172"/>
      <c r="AB1135" s="1172"/>
      <c r="AC1135" s="1172"/>
    </row>
    <row r="1136" spans="2:29" ht="15">
      <c r="B1136" s="3440" t="s">
        <v>2020</v>
      </c>
      <c r="C1136" s="3441"/>
      <c r="D1136" s="459"/>
      <c r="E1136" s="458"/>
      <c r="F1136" s="460"/>
      <c r="G1136" s="3541"/>
      <c r="H1136" s="458"/>
      <c r="I1136" s="460"/>
      <c r="J1136" s="3541">
        <v>36892</v>
      </c>
      <c r="K1136" s="458">
        <v>5362</v>
      </c>
      <c r="L1136" s="460" t="s">
        <v>1998</v>
      </c>
      <c r="M1136" s="459"/>
      <c r="N1136" s="458"/>
      <c r="O1136" s="460"/>
      <c r="P1136" s="459"/>
      <c r="Q1136" s="458"/>
      <c r="R1136" s="460"/>
      <c r="S1136" s="1172"/>
      <c r="T1136" s="1172"/>
      <c r="U1136" s="1172"/>
      <c r="V1136" s="1172"/>
      <c r="W1136" s="1172"/>
      <c r="X1136" s="1172"/>
      <c r="Y1136" s="1172"/>
      <c r="Z1136" s="1172"/>
      <c r="AA1136" s="1172"/>
      <c r="AB1136" s="1172"/>
      <c r="AC1136" s="1172"/>
    </row>
    <row r="1137" spans="2:29" ht="15">
      <c r="B1137" s="3440" t="s">
        <v>2021</v>
      </c>
      <c r="C1137" s="3441"/>
      <c r="D1137" s="459"/>
      <c r="E1137" s="458"/>
      <c r="F1137" s="460"/>
      <c r="G1137" s="459"/>
      <c r="H1137" s="458"/>
      <c r="I1137" s="460"/>
      <c r="J1137" s="3541">
        <v>35431</v>
      </c>
      <c r="K1137" s="458">
        <v>8422</v>
      </c>
      <c r="L1137" s="460" t="s">
        <v>2022</v>
      </c>
      <c r="M1137" s="459"/>
      <c r="N1137" s="458"/>
      <c r="O1137" s="460"/>
      <c r="P1137" s="459"/>
      <c r="Q1137" s="458"/>
      <c r="R1137" s="460"/>
      <c r="S1137" s="1172"/>
      <c r="T1137" s="1172"/>
      <c r="U1137" s="1172"/>
      <c r="V1137" s="1172"/>
      <c r="W1137" s="1172"/>
      <c r="X1137" s="1172"/>
      <c r="Y1137" s="1172"/>
      <c r="Z1137" s="1172"/>
      <c r="AA1137" s="1172"/>
      <c r="AB1137" s="1172"/>
      <c r="AC1137" s="1172"/>
    </row>
    <row r="1138" spans="2:29" ht="15">
      <c r="B1138" s="3440" t="s">
        <v>2014</v>
      </c>
      <c r="C1138" s="3441"/>
      <c r="D1138" s="459"/>
      <c r="E1138" s="458"/>
      <c r="F1138" s="460"/>
      <c r="G1138" s="459"/>
      <c r="H1138" s="458"/>
      <c r="I1138" s="460"/>
      <c r="J1138" s="3541">
        <v>35796</v>
      </c>
      <c r="K1138" s="458">
        <v>6788</v>
      </c>
      <c r="L1138" s="460" t="s">
        <v>1998</v>
      </c>
      <c r="M1138" s="459"/>
      <c r="N1138" s="458"/>
      <c r="O1138" s="460"/>
      <c r="P1138" s="459"/>
      <c r="Q1138" s="458"/>
      <c r="R1138" s="460"/>
      <c r="S1138" s="1172"/>
      <c r="T1138" s="1172"/>
      <c r="U1138" s="1172"/>
      <c r="V1138" s="1172"/>
      <c r="W1138" s="1172"/>
      <c r="X1138" s="1172"/>
      <c r="Y1138" s="1172"/>
      <c r="Z1138" s="1172"/>
      <c r="AA1138" s="1172"/>
      <c r="AB1138" s="1172"/>
      <c r="AC1138" s="1172"/>
    </row>
    <row r="1139" spans="2:29" ht="15">
      <c r="B1139" s="3440" t="s">
        <v>1997</v>
      </c>
      <c r="C1139" s="3441"/>
      <c r="D1139" s="459"/>
      <c r="E1139" s="458"/>
      <c r="F1139" s="460"/>
      <c r="G1139" s="459"/>
      <c r="H1139" s="458"/>
      <c r="I1139" s="460"/>
      <c r="J1139" s="3541">
        <v>36161</v>
      </c>
      <c r="K1139" s="458">
        <v>9495</v>
      </c>
      <c r="L1139" s="460" t="s">
        <v>1998</v>
      </c>
      <c r="M1139" s="459"/>
      <c r="N1139" s="458"/>
      <c r="O1139" s="460"/>
      <c r="P1139" s="459"/>
      <c r="Q1139" s="458"/>
      <c r="R1139" s="460"/>
      <c r="S1139" s="1172"/>
      <c r="T1139" s="1172"/>
      <c r="U1139" s="1172"/>
      <c r="V1139" s="1172"/>
      <c r="W1139" s="1172"/>
      <c r="X1139" s="1172"/>
      <c r="Y1139" s="1172"/>
      <c r="Z1139" s="1172"/>
      <c r="AA1139" s="1172"/>
      <c r="AB1139" s="1172"/>
      <c r="AC1139" s="1172"/>
    </row>
    <row r="1140" spans="2:29" ht="15">
      <c r="B1140" s="3440" t="s">
        <v>2023</v>
      </c>
      <c r="C1140" s="3441"/>
      <c r="D1140" s="459"/>
      <c r="E1140" s="458"/>
      <c r="F1140" s="460"/>
      <c r="G1140" s="459"/>
      <c r="H1140" s="458"/>
      <c r="I1140" s="460"/>
      <c r="J1140" s="3541">
        <v>36892</v>
      </c>
      <c r="K1140" s="458">
        <v>15957</v>
      </c>
      <c r="L1140" s="460" t="s">
        <v>2022</v>
      </c>
      <c r="M1140" s="3541"/>
      <c r="N1140" s="458"/>
      <c r="O1140" s="460"/>
      <c r="P1140" s="459"/>
      <c r="Q1140" s="458"/>
      <c r="R1140" s="460"/>
      <c r="S1140" s="1172"/>
      <c r="T1140" s="1172"/>
      <c r="U1140" s="1172"/>
      <c r="V1140" s="1172"/>
      <c r="W1140" s="1172"/>
      <c r="X1140" s="1172"/>
      <c r="Y1140" s="1172"/>
      <c r="Z1140" s="1172"/>
      <c r="AA1140" s="1172"/>
      <c r="AB1140" s="1172"/>
      <c r="AC1140" s="1172"/>
    </row>
    <row r="1141" spans="2:29" ht="15">
      <c r="B1141" s="3440" t="s">
        <v>2016</v>
      </c>
      <c r="C1141" s="3441"/>
      <c r="D1141" s="459"/>
      <c r="E1141" s="458"/>
      <c r="F1141" s="460"/>
      <c r="G1141" s="459"/>
      <c r="H1141" s="458"/>
      <c r="I1141" s="460"/>
      <c r="J1141" s="3541">
        <v>34973</v>
      </c>
      <c r="K1141" s="458">
        <v>356</v>
      </c>
      <c r="L1141" s="460" t="s">
        <v>1998</v>
      </c>
      <c r="M1141" s="3541"/>
      <c r="N1141" s="458"/>
      <c r="O1141" s="460"/>
      <c r="P1141" s="459"/>
      <c r="Q1141" s="458"/>
      <c r="R1141" s="460"/>
      <c r="S1141" s="1172"/>
      <c r="T1141" s="1172"/>
      <c r="U1141" s="1172"/>
      <c r="V1141" s="1172"/>
      <c r="W1141" s="1172"/>
      <c r="X1141" s="1172"/>
      <c r="Y1141" s="1172"/>
      <c r="Z1141" s="1172"/>
      <c r="AA1141" s="1172"/>
      <c r="AB1141" s="1172"/>
      <c r="AC1141" s="1172"/>
    </row>
    <row r="1142" spans="2:29" ht="15">
      <c r="B1142" s="3440" t="s">
        <v>2024</v>
      </c>
      <c r="C1142" s="3441"/>
      <c r="D1142" s="459"/>
      <c r="E1142" s="458"/>
      <c r="F1142" s="460"/>
      <c r="G1142" s="459"/>
      <c r="H1142" s="458"/>
      <c r="I1142" s="460"/>
      <c r="J1142" s="3541">
        <v>36892</v>
      </c>
      <c r="K1142" s="458">
        <v>174</v>
      </c>
      <c r="L1142" s="460" t="s">
        <v>1998</v>
      </c>
      <c r="M1142" s="3541"/>
      <c r="N1142" s="458"/>
      <c r="O1142" s="460"/>
      <c r="P1142" s="459"/>
      <c r="Q1142" s="458"/>
      <c r="R1142" s="460"/>
      <c r="S1142" s="1172"/>
      <c r="T1142" s="1172"/>
      <c r="U1142" s="1172"/>
      <c r="V1142" s="1172"/>
      <c r="W1142" s="1172"/>
      <c r="X1142" s="1172"/>
      <c r="Y1142" s="1172"/>
      <c r="Z1142" s="1172"/>
      <c r="AA1142" s="1172"/>
      <c r="AB1142" s="1172"/>
      <c r="AC1142" s="1172"/>
    </row>
    <row r="1143" spans="2:29" ht="15">
      <c r="B1143" s="3440" t="s">
        <v>2025</v>
      </c>
      <c r="C1143" s="3441"/>
      <c r="D1143" s="459"/>
      <c r="E1143" s="458"/>
      <c r="F1143" s="460"/>
      <c r="G1143" s="459"/>
      <c r="H1143" s="458"/>
      <c r="I1143" s="460"/>
      <c r="J1143" s="3541">
        <v>36892</v>
      </c>
      <c r="K1143" s="458">
        <v>639</v>
      </c>
      <c r="L1143" s="460" t="s">
        <v>1998</v>
      </c>
      <c r="M1143" s="3541"/>
      <c r="N1143" s="458"/>
      <c r="O1143" s="460"/>
      <c r="P1143" s="459"/>
      <c r="Q1143" s="458"/>
      <c r="R1143" s="460"/>
      <c r="S1143" s="1172"/>
      <c r="T1143" s="1172"/>
      <c r="U1143" s="1172"/>
      <c r="V1143" s="1172"/>
      <c r="W1143" s="1172"/>
      <c r="X1143" s="1172"/>
      <c r="Y1143" s="1172"/>
      <c r="Z1143" s="1172"/>
      <c r="AA1143" s="1172"/>
      <c r="AB1143" s="1172"/>
      <c r="AC1143" s="1172"/>
    </row>
    <row r="1144" spans="2:29" ht="15">
      <c r="B1144" s="3440" t="s">
        <v>2004</v>
      </c>
      <c r="C1144" s="3441"/>
      <c r="D1144" s="459"/>
      <c r="E1144" s="458"/>
      <c r="F1144" s="460"/>
      <c r="G1144" s="459"/>
      <c r="H1144" s="458"/>
      <c r="I1144" s="460"/>
      <c r="J1144" s="3541"/>
      <c r="K1144" s="458"/>
      <c r="L1144" s="460"/>
      <c r="M1144" s="3541">
        <v>33239</v>
      </c>
      <c r="N1144" s="475">
        <v>12721</v>
      </c>
      <c r="O1144" s="460" t="s">
        <v>1998</v>
      </c>
      <c r="P1144" s="459"/>
      <c r="Q1144" s="458"/>
      <c r="R1144" s="460"/>
      <c r="S1144" s="1172"/>
      <c r="T1144" s="1172"/>
      <c r="U1144" s="1172"/>
      <c r="V1144" s="1172"/>
      <c r="W1144" s="1172"/>
      <c r="X1144" s="1172"/>
      <c r="Y1144" s="1172"/>
      <c r="Z1144" s="1172"/>
      <c r="AA1144" s="1172"/>
      <c r="AB1144" s="1172"/>
      <c r="AC1144" s="1172"/>
    </row>
    <row r="1145" spans="2:29" ht="15">
      <c r="B1145" s="3440" t="s">
        <v>2005</v>
      </c>
      <c r="C1145" s="3441"/>
      <c r="D1145" s="459"/>
      <c r="E1145" s="458"/>
      <c r="F1145" s="460"/>
      <c r="G1145" s="459"/>
      <c r="H1145" s="458"/>
      <c r="I1145" s="460"/>
      <c r="J1145" s="3541"/>
      <c r="K1145" s="458"/>
      <c r="L1145" s="460"/>
      <c r="M1145" s="3541">
        <v>33604</v>
      </c>
      <c r="N1145" s="458">
        <v>11177</v>
      </c>
      <c r="O1145" s="460" t="s">
        <v>1998</v>
      </c>
      <c r="P1145" s="459"/>
      <c r="Q1145" s="458"/>
      <c r="R1145" s="460"/>
      <c r="S1145" s="1172"/>
      <c r="T1145" s="1172"/>
      <c r="U1145" s="1172"/>
      <c r="V1145" s="1172"/>
      <c r="W1145" s="1172"/>
      <c r="X1145" s="1172"/>
      <c r="Y1145" s="1172"/>
      <c r="Z1145" s="1172"/>
      <c r="AA1145" s="1172"/>
      <c r="AB1145" s="1172"/>
      <c r="AC1145" s="1172"/>
    </row>
    <row r="1146" spans="2:29" ht="15">
      <c r="B1146" s="3440" t="s">
        <v>1879</v>
      </c>
      <c r="C1146" s="3441"/>
      <c r="D1146" s="459"/>
      <c r="E1146" s="458"/>
      <c r="F1146" s="460"/>
      <c r="G1146" s="459"/>
      <c r="H1146" s="458"/>
      <c r="I1146" s="460"/>
      <c r="J1146" s="3541"/>
      <c r="K1146" s="458"/>
      <c r="L1146" s="460"/>
      <c r="M1146" s="3541">
        <v>37257</v>
      </c>
      <c r="N1146" s="458">
        <v>8390</v>
      </c>
      <c r="O1146" s="460" t="s">
        <v>1998</v>
      </c>
      <c r="P1146" s="459"/>
      <c r="Q1146" s="458"/>
      <c r="R1146" s="460"/>
      <c r="S1146" s="1172"/>
      <c r="T1146" s="1172"/>
      <c r="U1146" s="1172"/>
      <c r="V1146" s="1172"/>
      <c r="W1146" s="1172"/>
      <c r="X1146" s="1172"/>
      <c r="Y1146" s="1172"/>
      <c r="Z1146" s="1172"/>
      <c r="AA1146" s="1172"/>
      <c r="AB1146" s="1172"/>
      <c r="AC1146" s="1172"/>
    </row>
    <row r="1147" spans="2:29" ht="15">
      <c r="B1147" s="3440" t="s">
        <v>1882</v>
      </c>
      <c r="C1147" s="3441"/>
      <c r="D1147" s="459"/>
      <c r="E1147" s="458"/>
      <c r="F1147" s="460"/>
      <c r="G1147" s="459"/>
      <c r="H1147" s="458"/>
      <c r="I1147" s="460"/>
      <c r="J1147" s="3541"/>
      <c r="K1147" s="458"/>
      <c r="L1147" s="460"/>
      <c r="M1147" s="3541">
        <v>35065</v>
      </c>
      <c r="N1147" s="458">
        <v>8494</v>
      </c>
      <c r="O1147" s="460" t="s">
        <v>1998</v>
      </c>
      <c r="P1147" s="459"/>
      <c r="Q1147" s="458"/>
      <c r="R1147" s="460"/>
      <c r="S1147" s="1172"/>
      <c r="T1147" s="1172"/>
      <c r="U1147" s="1172"/>
      <c r="V1147" s="1172"/>
      <c r="W1147" s="1172"/>
      <c r="X1147" s="1172"/>
      <c r="Y1147" s="1172"/>
      <c r="Z1147" s="1172"/>
      <c r="AA1147" s="1172"/>
      <c r="AB1147" s="1172"/>
      <c r="AC1147" s="1172"/>
    </row>
    <row r="1148" spans="2:29" ht="15">
      <c r="B1148" s="3440" t="s">
        <v>2014</v>
      </c>
      <c r="C1148" s="3441"/>
      <c r="D1148" s="459"/>
      <c r="E1148" s="458"/>
      <c r="F1148" s="460"/>
      <c r="G1148" s="459"/>
      <c r="H1148" s="458"/>
      <c r="I1148" s="460"/>
      <c r="J1148" s="3541"/>
      <c r="K1148" s="458"/>
      <c r="L1148" s="460"/>
      <c r="M1148" s="3541">
        <v>35796</v>
      </c>
      <c r="N1148" s="458">
        <v>6651</v>
      </c>
      <c r="O1148" s="460" t="s">
        <v>1998</v>
      </c>
      <c r="P1148" s="459"/>
      <c r="Q1148" s="458"/>
      <c r="R1148" s="460"/>
      <c r="S1148" s="1172"/>
      <c r="T1148" s="1172"/>
      <c r="U1148" s="1172"/>
      <c r="V1148" s="1172"/>
      <c r="W1148" s="1172"/>
      <c r="X1148" s="1172"/>
      <c r="Y1148" s="1172"/>
      <c r="Z1148" s="1172"/>
      <c r="AA1148" s="1172"/>
      <c r="AB1148" s="1172"/>
      <c r="AC1148" s="1172"/>
    </row>
    <row r="1149" spans="2:29" ht="15">
      <c r="B1149" s="3440" t="s">
        <v>1997</v>
      </c>
      <c r="C1149" s="3441"/>
      <c r="D1149" s="459"/>
      <c r="E1149" s="458"/>
      <c r="F1149" s="460"/>
      <c r="G1149" s="459"/>
      <c r="H1149" s="458"/>
      <c r="I1149" s="460"/>
      <c r="J1149" s="3541"/>
      <c r="K1149" s="458"/>
      <c r="L1149" s="460"/>
      <c r="M1149" s="3541">
        <v>36161</v>
      </c>
      <c r="N1149" s="458">
        <v>9342</v>
      </c>
      <c r="O1149" s="460" t="s">
        <v>2022</v>
      </c>
      <c r="P1149" s="459"/>
      <c r="Q1149" s="458"/>
      <c r="R1149" s="460"/>
      <c r="S1149" s="1172"/>
      <c r="T1149" s="1172"/>
      <c r="U1149" s="1172"/>
      <c r="V1149" s="1172"/>
      <c r="W1149" s="1172"/>
      <c r="X1149" s="1172"/>
      <c r="Y1149" s="1172"/>
      <c r="Z1149" s="1172"/>
      <c r="AA1149" s="1172"/>
      <c r="AB1149" s="1172"/>
      <c r="AC1149" s="1172"/>
    </row>
    <row r="1150" spans="2:29" ht="15">
      <c r="B1150" s="3440" t="s">
        <v>2026</v>
      </c>
      <c r="C1150" s="3441"/>
      <c r="D1150" s="459"/>
      <c r="E1150" s="458"/>
      <c r="F1150" s="460"/>
      <c r="G1150" s="459"/>
      <c r="H1150" s="458"/>
      <c r="I1150" s="460"/>
      <c r="J1150" s="3541"/>
      <c r="K1150" s="458"/>
      <c r="L1150" s="460"/>
      <c r="M1150" s="3541">
        <v>37257</v>
      </c>
      <c r="N1150" s="458">
        <v>11453</v>
      </c>
      <c r="O1150" s="460" t="s">
        <v>2022</v>
      </c>
      <c r="P1150" s="459"/>
      <c r="Q1150" s="458"/>
      <c r="R1150" s="460"/>
      <c r="S1150" s="1172"/>
      <c r="T1150" s="1172"/>
      <c r="U1150" s="1172"/>
      <c r="V1150" s="1172"/>
      <c r="W1150" s="1172"/>
      <c r="X1150" s="1172"/>
      <c r="Y1150" s="1172"/>
      <c r="Z1150" s="1172"/>
      <c r="AA1150" s="1172"/>
      <c r="AB1150" s="1172"/>
      <c r="AC1150" s="1172"/>
    </row>
    <row r="1151" spans="2:29" ht="15">
      <c r="B1151" s="3440" t="s">
        <v>2027</v>
      </c>
      <c r="C1151" s="3441"/>
      <c r="D1151" s="459"/>
      <c r="E1151" s="458"/>
      <c r="F1151" s="460"/>
      <c r="G1151" s="459"/>
      <c r="H1151" s="458"/>
      <c r="I1151" s="460"/>
      <c r="J1151" s="3541"/>
      <c r="K1151" s="458"/>
      <c r="L1151" s="460"/>
      <c r="M1151" s="3541">
        <v>37257</v>
      </c>
      <c r="N1151" s="458">
        <v>182</v>
      </c>
      <c r="O1151" s="460" t="s">
        <v>1998</v>
      </c>
      <c r="P1151" s="459"/>
      <c r="Q1151" s="458"/>
      <c r="R1151" s="460"/>
      <c r="S1151" s="1172"/>
      <c r="T1151" s="1172"/>
      <c r="U1151" s="1172"/>
      <c r="V1151" s="1172"/>
      <c r="W1151" s="1172"/>
      <c r="X1151" s="1172"/>
      <c r="Y1151" s="1172"/>
      <c r="Z1151" s="1172"/>
      <c r="AA1151" s="1172"/>
      <c r="AB1151" s="1172"/>
      <c r="AC1151" s="1172"/>
    </row>
    <row r="1152" spans="2:29" ht="15">
      <c r="B1152" s="3440" t="s">
        <v>2028</v>
      </c>
      <c r="C1152" s="3441"/>
      <c r="D1152" s="459"/>
      <c r="E1152" s="458"/>
      <c r="F1152" s="460"/>
      <c r="G1152" s="459"/>
      <c r="H1152" s="458"/>
      <c r="I1152" s="460"/>
      <c r="J1152" s="3541"/>
      <c r="K1152" s="458"/>
      <c r="L1152" s="460"/>
      <c r="M1152" s="3541">
        <v>37257</v>
      </c>
      <c r="N1152" s="458">
        <v>1317</v>
      </c>
      <c r="O1152" s="460" t="s">
        <v>2022</v>
      </c>
      <c r="P1152" s="459"/>
      <c r="Q1152" s="458"/>
      <c r="R1152" s="460"/>
      <c r="S1152" s="1172"/>
      <c r="T1152" s="1172"/>
      <c r="U1152" s="1172"/>
      <c r="V1152" s="1172"/>
      <c r="W1152" s="1172"/>
      <c r="X1152" s="1172"/>
      <c r="Y1152" s="1172"/>
      <c r="Z1152" s="1172"/>
      <c r="AA1152" s="1172"/>
      <c r="AB1152" s="1172"/>
      <c r="AC1152" s="1172"/>
    </row>
    <row r="1153" spans="2:29" ht="21" thickBot="1">
      <c r="B1153" s="184"/>
      <c r="C1153" s="184"/>
      <c r="D1153" s="185"/>
      <c r="E1153" s="185"/>
      <c r="F1153" s="185"/>
      <c r="G1153" s="185"/>
      <c r="H1153" s="185"/>
      <c r="I1153" s="1172"/>
      <c r="J1153" s="1172"/>
      <c r="K1153" s="1172"/>
      <c r="L1153" s="1172"/>
      <c r="M1153" s="1172"/>
      <c r="N1153" s="1172"/>
      <c r="O1153" s="1172"/>
      <c r="P1153" s="1172"/>
      <c r="Q1153" s="1172"/>
      <c r="R1153" s="1172"/>
      <c r="S1153" s="1172"/>
      <c r="T1153" s="1172"/>
      <c r="U1153" s="1172"/>
      <c r="V1153" s="1172"/>
      <c r="W1153" s="1172"/>
      <c r="X1153" s="1172"/>
      <c r="Y1153" s="1172"/>
      <c r="Z1153" s="1172"/>
      <c r="AA1153" s="1172"/>
      <c r="AB1153" s="1172"/>
      <c r="AC1153" s="1172"/>
    </row>
    <row r="1154" spans="2:29" ht="16.5" thickBot="1">
      <c r="B1154" s="2760" t="s">
        <v>486</v>
      </c>
      <c r="C1154" s="1259"/>
      <c r="D1154" s="1259"/>
      <c r="E1154" s="1259"/>
      <c r="F1154" s="1259"/>
      <c r="G1154" s="1259"/>
      <c r="H1154" s="1259"/>
      <c r="I1154" s="1259"/>
      <c r="J1154" s="1259"/>
      <c r="K1154" s="1259"/>
      <c r="L1154" s="1259"/>
      <c r="M1154" s="1259"/>
      <c r="N1154" s="1259"/>
      <c r="O1154" s="1259"/>
      <c r="P1154" s="1259"/>
      <c r="Q1154" s="1259"/>
      <c r="R1154" s="1260"/>
      <c r="S1154" s="1172"/>
      <c r="T1154" s="1172"/>
      <c r="U1154" s="1172"/>
      <c r="V1154" s="1172"/>
      <c r="W1154" s="1172"/>
      <c r="X1154" s="1172"/>
      <c r="Y1154" s="1172"/>
      <c r="Z1154" s="1172"/>
      <c r="AA1154" s="1172"/>
      <c r="AB1154" s="1172"/>
      <c r="AC1154" s="1172"/>
    </row>
    <row r="1155" spans="2:29" ht="16.5" thickBot="1">
      <c r="B1155" s="737" t="s">
        <v>487</v>
      </c>
      <c r="C1155" s="738"/>
      <c r="D1155" s="1417"/>
      <c r="E1155" s="1417"/>
      <c r="F1155" s="1417"/>
      <c r="G1155" s="1417"/>
      <c r="H1155" s="1417"/>
      <c r="I1155" s="1417"/>
      <c r="J1155" s="1417"/>
      <c r="K1155" s="1417"/>
      <c r="L1155" s="1417"/>
      <c r="M1155" s="1417"/>
      <c r="N1155" s="1417"/>
      <c r="O1155" s="1417"/>
      <c r="P1155" s="1417"/>
      <c r="Q1155" s="1417"/>
      <c r="R1155" s="1418"/>
      <c r="S1155" s="1172"/>
      <c r="T1155" s="1172"/>
      <c r="U1155" s="1172"/>
      <c r="V1155" s="1172"/>
      <c r="W1155" s="1172"/>
      <c r="X1155" s="1172"/>
      <c r="Y1155" s="1172"/>
      <c r="Z1155" s="1172"/>
      <c r="AA1155" s="1172"/>
      <c r="AB1155" s="1172"/>
      <c r="AC1155" s="1172"/>
    </row>
    <row r="1156" spans="2:29" ht="15.75" thickBot="1">
      <c r="B1156" s="4155"/>
      <c r="C1156" s="4156"/>
      <c r="D1156" s="4159">
        <f>CRCP_y1</f>
        <v>2013</v>
      </c>
      <c r="E1156" s="4160"/>
      <c r="F1156" s="4161"/>
      <c r="G1156" s="4162">
        <f>CRCP_y2</f>
        <v>2014</v>
      </c>
      <c r="H1156" s="4162"/>
      <c r="I1156" s="4163"/>
      <c r="J1156" s="4164">
        <f>CRCP_y3</f>
        <v>2015</v>
      </c>
      <c r="K1156" s="4165"/>
      <c r="L1156" s="4166"/>
      <c r="M1156" s="4167">
        <f>CRCP_y4</f>
        <v>2016</v>
      </c>
      <c r="N1156" s="4162"/>
      <c r="O1156" s="4163"/>
      <c r="P1156" s="4168">
        <f>CRCP_y5</f>
        <v>2017</v>
      </c>
      <c r="Q1156" s="4169"/>
      <c r="R1156" s="4170"/>
      <c r="S1156" s="1172"/>
      <c r="T1156" s="1172"/>
      <c r="U1156" s="1172"/>
      <c r="V1156" s="1172"/>
      <c r="W1156" s="1172"/>
      <c r="X1156" s="1172"/>
      <c r="Y1156" s="1172"/>
      <c r="Z1156" s="1172"/>
      <c r="AA1156" s="1172"/>
      <c r="AB1156" s="1172"/>
      <c r="AC1156" s="1172"/>
    </row>
    <row r="1157" spans="2:29" ht="25.5">
      <c r="B1157" s="4157"/>
      <c r="C1157" s="4158"/>
      <c r="D1157" s="1276" t="s">
        <v>173</v>
      </c>
      <c r="E1157" s="1277" t="s">
        <v>171</v>
      </c>
      <c r="F1157" s="1278" t="s">
        <v>205</v>
      </c>
      <c r="G1157" s="3443" t="s">
        <v>173</v>
      </c>
      <c r="H1157" s="3444" t="s">
        <v>171</v>
      </c>
      <c r="I1157" s="1270" t="s">
        <v>205</v>
      </c>
      <c r="J1157" s="1272" t="s">
        <v>173</v>
      </c>
      <c r="K1157" s="1273" t="s">
        <v>171</v>
      </c>
      <c r="L1157" s="1274" t="s">
        <v>205</v>
      </c>
      <c r="M1157" s="3443" t="s">
        <v>173</v>
      </c>
      <c r="N1157" s="3444" t="s">
        <v>171</v>
      </c>
      <c r="O1157" s="1270" t="s">
        <v>205</v>
      </c>
      <c r="P1157" s="1272" t="s">
        <v>173</v>
      </c>
      <c r="Q1157" s="1273" t="s">
        <v>171</v>
      </c>
      <c r="R1157" s="1275" t="s">
        <v>205</v>
      </c>
      <c r="S1157" s="1172"/>
      <c r="T1157" s="1172"/>
      <c r="U1157" s="1172"/>
      <c r="V1157" s="1172"/>
      <c r="W1157" s="1172"/>
      <c r="X1157" s="1172"/>
      <c r="Y1157" s="1172"/>
      <c r="Z1157" s="1172"/>
      <c r="AA1157" s="1172"/>
      <c r="AB1157" s="1172"/>
      <c r="AC1157" s="1172"/>
    </row>
    <row r="1158" spans="2:29" ht="13.5" thickBot="1">
      <c r="B1158" s="4157"/>
      <c r="C1158" s="4158"/>
      <c r="D1158" s="1268" t="s">
        <v>384</v>
      </c>
      <c r="E1158" s="568" t="s">
        <v>337</v>
      </c>
      <c r="F1158" s="1267"/>
      <c r="G1158" s="1269" t="s">
        <v>384</v>
      </c>
      <c r="H1158" s="1249" t="s">
        <v>337</v>
      </c>
      <c r="I1158" s="1271"/>
      <c r="J1158" s="1268" t="s">
        <v>384</v>
      </c>
      <c r="K1158" s="568" t="s">
        <v>337</v>
      </c>
      <c r="L1158" s="1267"/>
      <c r="M1158" s="1269" t="s">
        <v>384</v>
      </c>
      <c r="N1158" s="1249" t="s">
        <v>337</v>
      </c>
      <c r="O1158" s="1271"/>
      <c r="P1158" s="1268" t="s">
        <v>384</v>
      </c>
      <c r="Q1158" s="568" t="s">
        <v>337</v>
      </c>
      <c r="R1158" s="1266"/>
      <c r="S1158" s="1172"/>
      <c r="T1158" s="1172"/>
      <c r="U1158" s="1172"/>
      <c r="V1158" s="1172"/>
      <c r="W1158" s="1172"/>
      <c r="X1158" s="1172"/>
      <c r="Y1158" s="1172"/>
      <c r="Z1158" s="1172"/>
      <c r="AA1158" s="1172"/>
      <c r="AB1158" s="1172"/>
      <c r="AC1158" s="1172"/>
    </row>
    <row r="1159" spans="2:29" ht="63.75">
      <c r="B1159" s="3440" t="s">
        <v>2029</v>
      </c>
      <c r="C1159" s="3441"/>
      <c r="D1159" s="3541">
        <v>35796</v>
      </c>
      <c r="E1159" s="458">
        <v>5</v>
      </c>
      <c r="F1159" s="3544" t="s">
        <v>2030</v>
      </c>
      <c r="G1159" s="3541"/>
      <c r="H1159" s="458"/>
      <c r="I1159" s="460"/>
      <c r="J1159" s="3541"/>
      <c r="K1159" s="458"/>
      <c r="L1159" s="460"/>
      <c r="M1159" s="459"/>
      <c r="N1159" s="458"/>
      <c r="O1159" s="460"/>
      <c r="P1159" s="459"/>
      <c r="Q1159" s="458"/>
      <c r="R1159" s="460"/>
      <c r="S1159" s="1172"/>
      <c r="T1159" s="1172"/>
      <c r="U1159" s="1172"/>
      <c r="V1159" s="1172"/>
      <c r="W1159" s="1172"/>
      <c r="X1159" s="1172"/>
      <c r="Y1159" s="1172"/>
      <c r="Z1159" s="1172"/>
      <c r="AA1159" s="1172"/>
      <c r="AB1159" s="1172"/>
      <c r="AC1159" s="1172"/>
    </row>
    <row r="1160" spans="2:29" ht="63.75">
      <c r="B1160" s="3440" t="s">
        <v>2031</v>
      </c>
      <c r="C1160" s="3441"/>
      <c r="D1160" s="3541">
        <v>35796</v>
      </c>
      <c r="E1160" s="458">
        <v>4</v>
      </c>
      <c r="F1160" s="3544" t="s">
        <v>2030</v>
      </c>
      <c r="G1160" s="3541"/>
      <c r="H1160" s="458"/>
      <c r="I1160" s="460"/>
      <c r="J1160" s="3541"/>
      <c r="K1160" s="458"/>
      <c r="L1160" s="460"/>
      <c r="M1160" s="459"/>
      <c r="N1160" s="458"/>
      <c r="O1160" s="460"/>
      <c r="P1160" s="459"/>
      <c r="Q1160" s="458"/>
      <c r="R1160" s="460"/>
      <c r="S1160" s="1172"/>
      <c r="T1160" s="1172"/>
      <c r="U1160" s="1172"/>
      <c r="V1160" s="1172"/>
      <c r="W1160" s="1172"/>
      <c r="X1160" s="1172"/>
      <c r="Y1160" s="1172"/>
      <c r="Z1160" s="1172"/>
      <c r="AA1160" s="1172"/>
      <c r="AB1160" s="1172"/>
      <c r="AC1160" s="1172"/>
    </row>
    <row r="1161" spans="2:29" ht="38.25">
      <c r="B1161" s="3440" t="s">
        <v>2032</v>
      </c>
      <c r="C1161" s="3441"/>
      <c r="D1161" s="3541">
        <v>35796</v>
      </c>
      <c r="E1161" s="458">
        <v>2464</v>
      </c>
      <c r="F1161" s="3544" t="s">
        <v>2033</v>
      </c>
      <c r="G1161" s="3541"/>
      <c r="H1161" s="458"/>
      <c r="I1161" s="460"/>
      <c r="J1161" s="3541"/>
      <c r="K1161" s="458"/>
      <c r="L1161" s="460"/>
      <c r="M1161" s="459"/>
      <c r="N1161" s="458"/>
      <c r="O1161" s="460"/>
      <c r="P1161" s="459"/>
      <c r="Q1161" s="458"/>
      <c r="R1161" s="460"/>
      <c r="S1161" s="1172"/>
      <c r="T1161" s="1172"/>
      <c r="U1161" s="1172"/>
      <c r="V1161" s="1172"/>
      <c r="W1161" s="1172"/>
      <c r="X1161" s="1172"/>
      <c r="Y1161" s="1172"/>
      <c r="Z1161" s="1172"/>
      <c r="AA1161" s="1172"/>
      <c r="AB1161" s="1172"/>
      <c r="AC1161" s="1172"/>
    </row>
    <row r="1162" spans="2:29" ht="51">
      <c r="B1162" s="3440" t="s">
        <v>2034</v>
      </c>
      <c r="C1162" s="3441"/>
      <c r="D1162" s="3541"/>
      <c r="E1162" s="458"/>
      <c r="F1162" s="3544"/>
      <c r="G1162" s="3541">
        <v>36161</v>
      </c>
      <c r="H1162" s="458">
        <v>91</v>
      </c>
      <c r="I1162" s="3544" t="s">
        <v>2035</v>
      </c>
      <c r="J1162" s="3541"/>
      <c r="K1162" s="458"/>
      <c r="L1162" s="460"/>
      <c r="M1162" s="459"/>
      <c r="N1162" s="458"/>
      <c r="O1162" s="460"/>
      <c r="P1162" s="459"/>
      <c r="Q1162" s="458"/>
      <c r="R1162" s="460"/>
      <c r="S1162" s="1172"/>
      <c r="T1162" s="1172"/>
      <c r="U1162" s="1172"/>
      <c r="V1162" s="1172"/>
      <c r="W1162" s="1172"/>
      <c r="X1162" s="1172"/>
      <c r="Y1162" s="1172"/>
      <c r="Z1162" s="1172"/>
      <c r="AA1162" s="1172"/>
      <c r="AB1162" s="1172"/>
      <c r="AC1162" s="1172"/>
    </row>
    <row r="1163" spans="2:29" ht="15">
      <c r="B1163" s="3440" t="s">
        <v>2012</v>
      </c>
      <c r="C1163" s="3441"/>
      <c r="D1163" s="3541"/>
      <c r="E1163" s="458"/>
      <c r="F1163" s="460"/>
      <c r="G1163" s="3541"/>
      <c r="H1163" s="458"/>
      <c r="I1163" s="460"/>
      <c r="J1163" s="3541">
        <v>36526</v>
      </c>
      <c r="K1163" s="458">
        <v>2594</v>
      </c>
      <c r="L1163" s="460"/>
      <c r="M1163" s="459"/>
      <c r="N1163" s="458"/>
      <c r="O1163" s="460"/>
      <c r="P1163" s="459"/>
      <c r="Q1163" s="458"/>
      <c r="R1163" s="460"/>
      <c r="S1163" s="1172"/>
      <c r="T1163" s="1172"/>
      <c r="U1163" s="1172"/>
      <c r="V1163" s="1172"/>
      <c r="W1163" s="1172"/>
      <c r="X1163" s="1172"/>
      <c r="Y1163" s="1172"/>
      <c r="Z1163" s="1172"/>
      <c r="AA1163" s="1172"/>
      <c r="AB1163" s="1172"/>
      <c r="AC1163" s="1172"/>
    </row>
    <row r="1164" spans="2:29" ht="51">
      <c r="B1164" s="3440" t="s">
        <v>2036</v>
      </c>
      <c r="C1164" s="3441"/>
      <c r="D1164" s="3541"/>
      <c r="E1164" s="458"/>
      <c r="F1164" s="460"/>
      <c r="G1164" s="3541"/>
      <c r="H1164" s="458"/>
      <c r="I1164" s="460"/>
      <c r="J1164" s="3541">
        <v>32143</v>
      </c>
      <c r="K1164" s="458">
        <v>14016</v>
      </c>
      <c r="L1164" s="3544" t="s">
        <v>2037</v>
      </c>
      <c r="M1164" s="459"/>
      <c r="N1164" s="458"/>
      <c r="O1164" s="3544"/>
      <c r="P1164" s="459"/>
      <c r="Q1164" s="458"/>
      <c r="R1164" s="3544"/>
      <c r="S1164" s="1172"/>
      <c r="T1164" s="1172"/>
      <c r="U1164" s="1172"/>
      <c r="V1164" s="1172"/>
      <c r="W1164" s="1172"/>
      <c r="X1164" s="1172"/>
      <c r="Y1164" s="1172"/>
      <c r="Z1164" s="1172"/>
      <c r="AA1164" s="1172"/>
      <c r="AB1164" s="1172"/>
      <c r="AC1164" s="1172"/>
    </row>
    <row r="1165" spans="2:29" ht="38.25">
      <c r="B1165" s="3440" t="s">
        <v>2021</v>
      </c>
      <c r="C1165" s="3441"/>
      <c r="D1165" s="459"/>
      <c r="E1165" s="458"/>
      <c r="F1165" s="460"/>
      <c r="G1165" s="3541"/>
      <c r="H1165" s="458"/>
      <c r="I1165" s="460"/>
      <c r="J1165" s="3541"/>
      <c r="K1165" s="458"/>
      <c r="L1165" s="3544"/>
      <c r="M1165" s="3541">
        <v>35431</v>
      </c>
      <c r="N1165" s="458">
        <v>8422</v>
      </c>
      <c r="O1165" s="3544" t="s">
        <v>2033</v>
      </c>
      <c r="P1165" s="459"/>
      <c r="Q1165" s="458"/>
      <c r="R1165" s="3544"/>
      <c r="S1165" s="1172"/>
      <c r="T1165" s="1172"/>
      <c r="U1165" s="1172"/>
      <c r="V1165" s="1172"/>
      <c r="W1165" s="1172"/>
      <c r="X1165" s="1172"/>
      <c r="Y1165" s="1172"/>
      <c r="Z1165" s="1172"/>
      <c r="AA1165" s="1172"/>
      <c r="AB1165" s="1172"/>
      <c r="AC1165" s="1172"/>
    </row>
    <row r="1166" spans="2:29" ht="38.25">
      <c r="B1166" s="3440" t="s">
        <v>2023</v>
      </c>
      <c r="C1166" s="3441"/>
      <c r="D1166" s="459"/>
      <c r="E1166" s="458"/>
      <c r="F1166" s="460"/>
      <c r="G1166" s="3541"/>
      <c r="H1166" s="458"/>
      <c r="I1166" s="460"/>
      <c r="J1166" s="3541"/>
      <c r="K1166" s="458"/>
      <c r="L1166" s="3544"/>
      <c r="M1166" s="3541">
        <v>36892</v>
      </c>
      <c r="N1166" s="458">
        <v>15957</v>
      </c>
      <c r="O1166" s="3544" t="s">
        <v>2033</v>
      </c>
      <c r="P1166" s="459"/>
      <c r="Q1166" s="458"/>
      <c r="R1166" s="3544"/>
      <c r="S1166" s="1172"/>
      <c r="T1166" s="1172"/>
      <c r="U1166" s="1172"/>
      <c r="V1166" s="1172"/>
      <c r="W1166" s="1172"/>
      <c r="X1166" s="1172"/>
      <c r="Y1166" s="1172"/>
      <c r="Z1166" s="1172"/>
      <c r="AA1166" s="1172"/>
      <c r="AB1166" s="1172"/>
      <c r="AC1166" s="1172"/>
    </row>
    <row r="1167" spans="2:29" ht="15">
      <c r="B1167" s="3440" t="s">
        <v>1997</v>
      </c>
      <c r="C1167" s="3441"/>
      <c r="D1167" s="459"/>
      <c r="E1167" s="458"/>
      <c r="F1167" s="460"/>
      <c r="G1167" s="459"/>
      <c r="H1167" s="458"/>
      <c r="I1167" s="460"/>
      <c r="J1167" s="3541"/>
      <c r="K1167" s="458"/>
      <c r="L1167" s="460"/>
      <c r="M1167" s="3541"/>
      <c r="N1167" s="458"/>
      <c r="O1167" s="460"/>
      <c r="P1167" s="3541">
        <v>36161</v>
      </c>
      <c r="Q1167" s="458">
        <v>9342</v>
      </c>
      <c r="R1167" s="460" t="s">
        <v>2022</v>
      </c>
      <c r="S1167" s="1172"/>
      <c r="T1167" s="1172"/>
      <c r="U1167" s="1172"/>
      <c r="V1167" s="1172"/>
      <c r="W1167" s="1172"/>
      <c r="X1167" s="1172"/>
      <c r="Y1167" s="1172"/>
      <c r="Z1167" s="1172"/>
      <c r="AA1167" s="1172"/>
      <c r="AB1167" s="1172"/>
      <c r="AC1167" s="1172"/>
    </row>
    <row r="1168" spans="2:29" ht="15">
      <c r="B1168" s="3440" t="s">
        <v>2026</v>
      </c>
      <c r="C1168" s="3441"/>
      <c r="D1168" s="459"/>
      <c r="E1168" s="458"/>
      <c r="F1168" s="460"/>
      <c r="G1168" s="459"/>
      <c r="H1168" s="458"/>
      <c r="I1168" s="460"/>
      <c r="J1168" s="3541"/>
      <c r="K1168" s="458"/>
      <c r="L1168" s="460"/>
      <c r="M1168" s="3541"/>
      <c r="N1168" s="458"/>
      <c r="O1168" s="460"/>
      <c r="P1168" s="3541">
        <v>37257</v>
      </c>
      <c r="Q1168" s="458">
        <v>11453</v>
      </c>
      <c r="R1168" s="460" t="s">
        <v>2022</v>
      </c>
      <c r="S1168" s="1172"/>
      <c r="T1168" s="1172"/>
      <c r="U1168" s="1172"/>
      <c r="V1168" s="1172"/>
      <c r="W1168" s="1172"/>
      <c r="X1168" s="1172"/>
      <c r="Y1168" s="1172"/>
      <c r="Z1168" s="1172"/>
      <c r="AA1168" s="1172"/>
      <c r="AB1168" s="1172"/>
      <c r="AC1168" s="1172"/>
    </row>
    <row r="1169" spans="2:29" ht="15.75" thickBot="1">
      <c r="B1169" s="3440" t="s">
        <v>2028</v>
      </c>
      <c r="C1169" s="3441"/>
      <c r="D1169" s="459"/>
      <c r="E1169" s="458"/>
      <c r="F1169" s="460"/>
      <c r="G1169" s="459"/>
      <c r="H1169" s="458"/>
      <c r="I1169" s="460"/>
      <c r="J1169" s="3541"/>
      <c r="K1169" s="458"/>
      <c r="L1169" s="460"/>
      <c r="M1169" s="3541"/>
      <c r="N1169" s="458"/>
      <c r="O1169" s="460"/>
      <c r="P1169" s="3541">
        <v>37257</v>
      </c>
      <c r="Q1169" s="458">
        <v>1317</v>
      </c>
      <c r="R1169" s="460" t="s">
        <v>2022</v>
      </c>
      <c r="S1169" s="1172"/>
      <c r="T1169" s="1172"/>
      <c r="U1169" s="1172"/>
      <c r="V1169" s="1172"/>
      <c r="W1169" s="1172"/>
      <c r="X1169" s="1172"/>
      <c r="Y1169" s="1172"/>
      <c r="Z1169" s="1172"/>
      <c r="AA1169" s="1172"/>
      <c r="AB1169" s="1172"/>
      <c r="AC1169" s="1172"/>
    </row>
    <row r="1170" spans="2:29" ht="16.5" thickBot="1">
      <c r="B1170" s="737" t="s">
        <v>488</v>
      </c>
      <c r="C1170" s="738"/>
      <c r="D1170" s="1417"/>
      <c r="E1170" s="1417"/>
      <c r="F1170" s="1417"/>
      <c r="G1170" s="1417"/>
      <c r="H1170" s="1417"/>
      <c r="I1170" s="1417"/>
      <c r="J1170" s="1417"/>
      <c r="K1170" s="1417"/>
      <c r="L1170" s="1417"/>
      <c r="M1170" s="1417"/>
      <c r="N1170" s="1417"/>
      <c r="O1170" s="1417"/>
      <c r="P1170" s="1417"/>
      <c r="Q1170" s="1417"/>
      <c r="R1170" s="1418"/>
      <c r="S1170" s="1172"/>
      <c r="T1170" s="1172"/>
      <c r="U1170" s="1172"/>
      <c r="V1170" s="1172"/>
      <c r="W1170" s="1172"/>
      <c r="X1170" s="1172"/>
      <c r="Y1170" s="1172"/>
      <c r="Z1170" s="1172"/>
      <c r="AA1170" s="1172"/>
      <c r="AB1170" s="1172"/>
      <c r="AC1170" s="1172"/>
    </row>
    <row r="1171" spans="2:29" ht="15.75" thickBot="1">
      <c r="B1171" s="4155"/>
      <c r="C1171" s="4156"/>
      <c r="D1171" s="4159">
        <f>CRCP_y1</f>
        <v>2013</v>
      </c>
      <c r="E1171" s="4160"/>
      <c r="F1171" s="4161"/>
      <c r="G1171" s="4162">
        <f>CRCP_y2</f>
        <v>2014</v>
      </c>
      <c r="H1171" s="4162"/>
      <c r="I1171" s="4163"/>
      <c r="J1171" s="4164">
        <f>CRCP_y3</f>
        <v>2015</v>
      </c>
      <c r="K1171" s="4165"/>
      <c r="L1171" s="4166"/>
      <c r="M1171" s="4167">
        <f>CRCP_y4</f>
        <v>2016</v>
      </c>
      <c r="N1171" s="4162"/>
      <c r="O1171" s="4163"/>
      <c r="P1171" s="4168">
        <f>CRCP_y5</f>
        <v>2017</v>
      </c>
      <c r="Q1171" s="4169"/>
      <c r="R1171" s="4170"/>
      <c r="S1171" s="1172"/>
      <c r="T1171" s="1172"/>
      <c r="U1171" s="1172"/>
      <c r="V1171" s="1172"/>
      <c r="W1171" s="1172"/>
      <c r="X1171" s="1172"/>
      <c r="Y1171" s="1172"/>
      <c r="Z1171" s="1172"/>
      <c r="AA1171" s="1172"/>
      <c r="AB1171" s="1172"/>
      <c r="AC1171" s="1172"/>
    </row>
    <row r="1172" spans="2:29" ht="25.5">
      <c r="B1172" s="4157"/>
      <c r="C1172" s="4158"/>
      <c r="D1172" s="1276" t="s">
        <v>173</v>
      </c>
      <c r="E1172" s="1277" t="s">
        <v>171</v>
      </c>
      <c r="F1172" s="1278" t="s">
        <v>205</v>
      </c>
      <c r="G1172" s="3443" t="s">
        <v>173</v>
      </c>
      <c r="H1172" s="3444" t="s">
        <v>171</v>
      </c>
      <c r="I1172" s="1270" t="s">
        <v>205</v>
      </c>
      <c r="J1172" s="1272" t="s">
        <v>173</v>
      </c>
      <c r="K1172" s="1273" t="s">
        <v>171</v>
      </c>
      <c r="L1172" s="1274" t="s">
        <v>205</v>
      </c>
      <c r="M1172" s="3443" t="s">
        <v>173</v>
      </c>
      <c r="N1172" s="3444" t="s">
        <v>171</v>
      </c>
      <c r="O1172" s="1270" t="s">
        <v>205</v>
      </c>
      <c r="P1172" s="1272" t="s">
        <v>173</v>
      </c>
      <c r="Q1172" s="1273" t="s">
        <v>171</v>
      </c>
      <c r="R1172" s="1275" t="s">
        <v>205</v>
      </c>
      <c r="S1172" s="1172"/>
      <c r="T1172" s="1172"/>
      <c r="U1172" s="1172"/>
      <c r="V1172" s="1172"/>
      <c r="W1172" s="1172"/>
      <c r="X1172" s="1172"/>
      <c r="Y1172" s="1172"/>
      <c r="Z1172" s="1172"/>
      <c r="AA1172" s="1172"/>
      <c r="AB1172" s="1172"/>
      <c r="AC1172" s="1172"/>
    </row>
    <row r="1173" spans="2:29" ht="13.5" thickBot="1">
      <c r="B1173" s="4157"/>
      <c r="C1173" s="4158"/>
      <c r="D1173" s="1268" t="s">
        <v>384</v>
      </c>
      <c r="E1173" s="568" t="s">
        <v>337</v>
      </c>
      <c r="F1173" s="1267"/>
      <c r="G1173" s="1269" t="s">
        <v>384</v>
      </c>
      <c r="H1173" s="1249" t="s">
        <v>337</v>
      </c>
      <c r="I1173" s="1271"/>
      <c r="J1173" s="1268" t="s">
        <v>384</v>
      </c>
      <c r="K1173" s="568" t="s">
        <v>337</v>
      </c>
      <c r="L1173" s="1267"/>
      <c r="M1173" s="1269" t="s">
        <v>384</v>
      </c>
      <c r="N1173" s="1249" t="s">
        <v>337</v>
      </c>
      <c r="O1173" s="1271"/>
      <c r="P1173" s="1268" t="s">
        <v>384</v>
      </c>
      <c r="Q1173" s="568" t="s">
        <v>337</v>
      </c>
      <c r="R1173" s="1266"/>
      <c r="S1173" s="1172"/>
      <c r="T1173" s="1172"/>
      <c r="U1173" s="1172"/>
      <c r="V1173" s="1172"/>
      <c r="W1173" s="1172"/>
      <c r="X1173" s="1172"/>
      <c r="Y1173" s="1172"/>
      <c r="Z1173" s="1172"/>
      <c r="AA1173" s="1172"/>
      <c r="AB1173" s="1172"/>
      <c r="AC1173" s="1172"/>
    </row>
    <row r="1174" spans="2:29" ht="63.75">
      <c r="B1174" s="3545" t="s">
        <v>2038</v>
      </c>
      <c r="C1174" s="3729"/>
      <c r="D1174" s="3726">
        <v>34335</v>
      </c>
      <c r="E1174" s="409">
        <v>1428</v>
      </c>
      <c r="F1174" s="3725" t="s">
        <v>2039</v>
      </c>
      <c r="G1174" s="1369"/>
      <c r="H1174" s="409"/>
      <c r="I1174" s="505"/>
      <c r="J1174" s="1369"/>
      <c r="K1174" s="409"/>
      <c r="L1174" s="505"/>
      <c r="M1174" s="1369"/>
      <c r="N1174" s="409"/>
      <c r="O1174" s="505"/>
      <c r="P1174" s="1369"/>
      <c r="Q1174" s="409"/>
      <c r="R1174" s="505"/>
      <c r="S1174" s="1172"/>
      <c r="T1174" s="1172"/>
      <c r="U1174" s="1172"/>
      <c r="V1174" s="1172"/>
      <c r="W1174" s="1172"/>
      <c r="X1174" s="1172"/>
      <c r="Y1174" s="1172"/>
      <c r="Z1174" s="1172"/>
      <c r="AA1174" s="1172"/>
      <c r="AB1174" s="1172"/>
      <c r="AC1174" s="1172"/>
    </row>
    <row r="1175" spans="2:29" ht="63.75">
      <c r="B1175" s="3545" t="s">
        <v>2040</v>
      </c>
      <c r="C1175" s="3729"/>
      <c r="D1175" s="3541">
        <v>34700</v>
      </c>
      <c r="E1175" s="458">
        <v>4929</v>
      </c>
      <c r="F1175" s="3544" t="s">
        <v>2039</v>
      </c>
      <c r="G1175" s="459"/>
      <c r="H1175" s="458"/>
      <c r="I1175" s="460"/>
      <c r="J1175" s="459"/>
      <c r="K1175" s="458"/>
      <c r="L1175" s="460"/>
      <c r="M1175" s="459"/>
      <c r="N1175" s="458"/>
      <c r="O1175" s="460"/>
      <c r="P1175" s="459"/>
      <c r="Q1175" s="458"/>
      <c r="R1175" s="460"/>
      <c r="S1175" s="1172"/>
      <c r="T1175" s="1172"/>
      <c r="U1175" s="1172"/>
      <c r="V1175" s="1172"/>
      <c r="W1175" s="1172"/>
      <c r="X1175" s="1172"/>
      <c r="Y1175" s="1172"/>
      <c r="Z1175" s="1172"/>
      <c r="AA1175" s="1172"/>
      <c r="AB1175" s="1172"/>
      <c r="AC1175" s="1172"/>
    </row>
    <row r="1176" spans="2:29" ht="63.75">
      <c r="B1176" s="3545" t="s">
        <v>2041</v>
      </c>
      <c r="C1176" s="3729"/>
      <c r="D1176" s="3541">
        <v>36161</v>
      </c>
      <c r="E1176" s="458">
        <v>44</v>
      </c>
      <c r="F1176" s="3544" t="s">
        <v>2039</v>
      </c>
      <c r="G1176" s="459"/>
      <c r="H1176" s="458"/>
      <c r="I1176" s="460"/>
      <c r="J1176" s="459"/>
      <c r="K1176" s="458"/>
      <c r="L1176" s="460"/>
      <c r="M1176" s="459"/>
      <c r="N1176" s="458"/>
      <c r="O1176" s="460"/>
      <c r="P1176" s="459"/>
      <c r="Q1176" s="458"/>
      <c r="R1176" s="460"/>
      <c r="S1176" s="1172"/>
      <c r="T1176" s="1172"/>
      <c r="U1176" s="1172"/>
      <c r="V1176" s="1172"/>
      <c r="W1176" s="1172"/>
      <c r="X1176" s="1172"/>
      <c r="Y1176" s="1172"/>
      <c r="Z1176" s="1172"/>
      <c r="AA1176" s="1172"/>
      <c r="AB1176" s="1172"/>
      <c r="AC1176" s="1172"/>
    </row>
    <row r="1177" spans="2:29" ht="63.75">
      <c r="B1177" s="3545" t="s">
        <v>2042</v>
      </c>
      <c r="C1177" s="3729"/>
      <c r="D1177" s="3541">
        <v>35431</v>
      </c>
      <c r="E1177" s="458">
        <v>844</v>
      </c>
      <c r="F1177" s="3544" t="s">
        <v>2039</v>
      </c>
      <c r="G1177" s="459"/>
      <c r="H1177" s="458"/>
      <c r="I1177" s="460"/>
      <c r="J1177" s="459"/>
      <c r="K1177" s="458"/>
      <c r="L1177" s="460"/>
      <c r="M1177" s="459"/>
      <c r="N1177" s="458"/>
      <c r="O1177" s="460"/>
      <c r="P1177" s="459"/>
      <c r="Q1177" s="458"/>
      <c r="R1177" s="460"/>
      <c r="S1177" s="1172"/>
      <c r="T1177" s="1172"/>
      <c r="U1177" s="1172"/>
      <c r="V1177" s="1172"/>
      <c r="W1177" s="1172"/>
      <c r="X1177" s="1172"/>
      <c r="Y1177" s="1172"/>
      <c r="Z1177" s="1172"/>
      <c r="AA1177" s="1172"/>
      <c r="AB1177" s="1172"/>
      <c r="AC1177" s="1172"/>
    </row>
    <row r="1178" spans="2:29" ht="63.75">
      <c r="B1178" s="3545" t="s">
        <v>2006</v>
      </c>
      <c r="C1178" s="3729"/>
      <c r="D1178" s="459"/>
      <c r="E1178" s="458"/>
      <c r="F1178" s="460"/>
      <c r="G1178" s="3541">
        <v>34700</v>
      </c>
      <c r="H1178" s="458">
        <v>18455</v>
      </c>
      <c r="I1178" s="3544" t="s">
        <v>2039</v>
      </c>
      <c r="J1178" s="459"/>
      <c r="K1178" s="458"/>
      <c r="L1178" s="460"/>
      <c r="M1178" s="3541"/>
      <c r="N1178" s="458"/>
      <c r="O1178" s="460"/>
      <c r="P1178" s="3541"/>
      <c r="Q1178" s="458"/>
      <c r="R1178" s="460"/>
      <c r="S1178" s="1172"/>
      <c r="T1178" s="1172"/>
      <c r="U1178" s="1172"/>
      <c r="V1178" s="1172"/>
      <c r="W1178" s="1172"/>
      <c r="X1178" s="1172"/>
      <c r="Y1178" s="1172"/>
      <c r="Z1178" s="1172"/>
      <c r="AA1178" s="1172"/>
      <c r="AB1178" s="1172"/>
      <c r="AC1178" s="1172"/>
    </row>
    <row r="1179" spans="2:29" ht="63.75">
      <c r="B1179" s="3545" t="s">
        <v>1999</v>
      </c>
      <c r="C1179" s="3729"/>
      <c r="D1179" s="459"/>
      <c r="E1179" s="458"/>
      <c r="F1179" s="460"/>
      <c r="G1179" s="3541">
        <v>36161</v>
      </c>
      <c r="H1179" s="458">
        <v>6260</v>
      </c>
      <c r="I1179" s="3544" t="s">
        <v>2039</v>
      </c>
      <c r="J1179" s="3541"/>
      <c r="K1179" s="458"/>
      <c r="L1179" s="3544"/>
      <c r="M1179" s="3541"/>
      <c r="N1179" s="458"/>
      <c r="O1179" s="3544"/>
      <c r="P1179" s="3541"/>
      <c r="Q1179" s="458"/>
      <c r="R1179" s="3544"/>
      <c r="S1179" s="1172"/>
      <c r="T1179" s="1172"/>
      <c r="U1179" s="1172"/>
      <c r="V1179" s="1172"/>
      <c r="W1179" s="1172"/>
      <c r="X1179" s="1172"/>
      <c r="Y1179" s="1172"/>
      <c r="Z1179" s="1172"/>
      <c r="AA1179" s="1172"/>
      <c r="AB1179" s="1172"/>
      <c r="AC1179" s="1172"/>
    </row>
    <row r="1180" spans="2:29" ht="38.25">
      <c r="B1180" s="3545" t="s">
        <v>2043</v>
      </c>
      <c r="C1180" s="3729"/>
      <c r="D1180" s="459"/>
      <c r="E1180" s="458"/>
      <c r="F1180" s="460"/>
      <c r="G1180" s="3541"/>
      <c r="H1180" s="458"/>
      <c r="I1180" s="3544"/>
      <c r="J1180" s="3541">
        <v>35065</v>
      </c>
      <c r="K1180" s="458">
        <v>847</v>
      </c>
      <c r="L1180" s="3544" t="s">
        <v>2044</v>
      </c>
      <c r="M1180" s="3541"/>
      <c r="N1180" s="458"/>
      <c r="O1180" s="460"/>
      <c r="P1180" s="3541"/>
      <c r="Q1180" s="458"/>
      <c r="R1180" s="460"/>
      <c r="S1180" s="1172"/>
      <c r="T1180" s="1172"/>
      <c r="U1180" s="1172"/>
      <c r="V1180" s="1172"/>
      <c r="W1180" s="1172"/>
      <c r="X1180" s="1172"/>
      <c r="Y1180" s="1172"/>
      <c r="Z1180" s="1172"/>
      <c r="AA1180" s="1172"/>
      <c r="AB1180" s="1172"/>
      <c r="AC1180" s="1172"/>
    </row>
    <row r="1181" spans="2:29" ht="89.25">
      <c r="B1181" s="3545" t="s">
        <v>2023</v>
      </c>
      <c r="C1181" s="3729"/>
      <c r="D1181" s="459"/>
      <c r="E1181" s="458"/>
      <c r="F1181" s="460"/>
      <c r="G1181" s="3541"/>
      <c r="H1181" s="458"/>
      <c r="I1181" s="460"/>
      <c r="J1181" s="3541">
        <v>36892</v>
      </c>
      <c r="K1181" s="458">
        <v>8000</v>
      </c>
      <c r="L1181" s="3544" t="s">
        <v>2045</v>
      </c>
      <c r="M1181" s="3541"/>
      <c r="N1181" s="458"/>
      <c r="O1181" s="460"/>
      <c r="P1181" s="3541"/>
      <c r="Q1181" s="458"/>
      <c r="R1181" s="460"/>
      <c r="S1181" s="1172"/>
      <c r="T1181" s="1172"/>
      <c r="U1181" s="1172"/>
      <c r="V1181" s="1172"/>
      <c r="W1181" s="1172"/>
      <c r="X1181" s="1172"/>
      <c r="Y1181" s="1172"/>
      <c r="Z1181" s="1172"/>
      <c r="AA1181" s="1172"/>
      <c r="AB1181" s="1172"/>
      <c r="AC1181" s="1172"/>
    </row>
    <row r="1182" spans="2:29" ht="89.25">
      <c r="B1182" s="3545" t="s">
        <v>1882</v>
      </c>
      <c r="C1182" s="3729"/>
      <c r="D1182" s="459"/>
      <c r="E1182" s="458"/>
      <c r="F1182" s="460"/>
      <c r="G1182" s="459"/>
      <c r="H1182" s="458"/>
      <c r="I1182" s="460"/>
      <c r="J1182" s="3541"/>
      <c r="K1182" s="458"/>
      <c r="L1182" s="3544"/>
      <c r="M1182" s="3541">
        <v>35065</v>
      </c>
      <c r="N1182" s="458">
        <v>4000</v>
      </c>
      <c r="O1182" s="3544" t="s">
        <v>2046</v>
      </c>
      <c r="P1182" s="3541"/>
      <c r="Q1182" s="458"/>
      <c r="R1182" s="460"/>
      <c r="S1182" s="1172"/>
      <c r="T1182" s="1172"/>
      <c r="U1182" s="1172"/>
      <c r="V1182" s="1172"/>
      <c r="W1182" s="1172"/>
      <c r="X1182" s="1172"/>
      <c r="Y1182" s="1172"/>
      <c r="Z1182" s="1172"/>
      <c r="AA1182" s="1172"/>
      <c r="AB1182" s="1172"/>
      <c r="AC1182" s="1172"/>
    </row>
    <row r="1183" spans="2:29" ht="63.75">
      <c r="B1183" s="3545" t="s">
        <v>2009</v>
      </c>
      <c r="C1183" s="3729"/>
      <c r="D1183" s="459"/>
      <c r="E1183" s="458"/>
      <c r="F1183" s="460"/>
      <c r="G1183" s="459"/>
      <c r="H1183" s="458"/>
      <c r="I1183" s="460"/>
      <c r="J1183" s="3541"/>
      <c r="K1183" s="458"/>
      <c r="L1183" s="3544"/>
      <c r="M1183" s="3541"/>
      <c r="N1183" s="458"/>
      <c r="O1183" s="3544"/>
      <c r="P1183" s="3541">
        <v>34700</v>
      </c>
      <c r="Q1183" s="3508">
        <v>1313</v>
      </c>
      <c r="R1183" s="3544" t="s">
        <v>2047</v>
      </c>
      <c r="S1183" s="1172"/>
      <c r="T1183" s="1172"/>
      <c r="U1183" s="1172"/>
      <c r="V1183" s="1172"/>
      <c r="W1183" s="1172"/>
      <c r="X1183" s="1172"/>
      <c r="Y1183" s="1172"/>
      <c r="Z1183" s="1172"/>
      <c r="AA1183" s="1172"/>
      <c r="AB1183" s="1172"/>
      <c r="AC1183" s="1172"/>
    </row>
    <row r="1184" spans="2:29" ht="15">
      <c r="B1184" s="3545" t="s">
        <v>2042</v>
      </c>
      <c r="C1184" s="3729"/>
      <c r="D1184" s="459"/>
      <c r="E1184" s="458"/>
      <c r="F1184" s="460"/>
      <c r="G1184" s="459"/>
      <c r="H1184" s="458"/>
      <c r="I1184" s="460"/>
      <c r="J1184" s="3541"/>
      <c r="K1184" s="458"/>
      <c r="L1184" s="3544"/>
      <c r="M1184" s="3541"/>
      <c r="N1184" s="458"/>
      <c r="O1184" s="3544"/>
      <c r="P1184" s="3541">
        <v>35431</v>
      </c>
      <c r="Q1184" s="458">
        <v>791</v>
      </c>
      <c r="R1184" s="460" t="s">
        <v>2048</v>
      </c>
      <c r="S1184" s="1172"/>
      <c r="T1184" s="1172"/>
      <c r="U1184" s="1172"/>
      <c r="V1184" s="1172"/>
      <c r="W1184" s="1172"/>
      <c r="X1184" s="1172"/>
      <c r="Y1184" s="1172"/>
      <c r="Z1184" s="1172"/>
      <c r="AA1184" s="1172"/>
      <c r="AB1184" s="1172"/>
      <c r="AC1184" s="1172"/>
    </row>
    <row r="1185" spans="2:29" ht="15">
      <c r="B1185" s="3545" t="s">
        <v>2049</v>
      </c>
      <c r="C1185" s="3729"/>
      <c r="D1185" s="459"/>
      <c r="E1185" s="458"/>
      <c r="F1185" s="460"/>
      <c r="G1185" s="459"/>
      <c r="H1185" s="458"/>
      <c r="I1185" s="460"/>
      <c r="J1185" s="3541"/>
      <c r="K1185" s="458"/>
      <c r="L1185" s="3544"/>
      <c r="M1185" s="3541"/>
      <c r="N1185" s="458"/>
      <c r="O1185" s="3544"/>
      <c r="P1185" s="3541">
        <v>35796</v>
      </c>
      <c r="Q1185" s="458">
        <v>744</v>
      </c>
      <c r="R1185" s="460" t="s">
        <v>2048</v>
      </c>
      <c r="S1185" s="1172"/>
      <c r="T1185" s="1172"/>
      <c r="U1185" s="1172"/>
      <c r="V1185" s="1172"/>
      <c r="W1185" s="1172"/>
      <c r="X1185" s="1172"/>
      <c r="Y1185" s="1172"/>
      <c r="Z1185" s="1172"/>
      <c r="AA1185" s="1172"/>
      <c r="AB1185" s="1172"/>
      <c r="AC1185" s="1172"/>
    </row>
    <row r="1186" spans="2:29" ht="15">
      <c r="B1186" s="3545" t="s">
        <v>2050</v>
      </c>
      <c r="C1186" s="3729"/>
      <c r="D1186" s="459"/>
      <c r="E1186" s="458"/>
      <c r="F1186" s="460"/>
      <c r="G1186" s="459"/>
      <c r="H1186" s="458"/>
      <c r="I1186" s="460"/>
      <c r="J1186" s="3541"/>
      <c r="K1186" s="458"/>
      <c r="L1186" s="3544"/>
      <c r="M1186" s="3541"/>
      <c r="N1186" s="458"/>
      <c r="O1186" s="3544"/>
      <c r="P1186" s="3541">
        <v>37622</v>
      </c>
      <c r="Q1186" s="458">
        <v>72</v>
      </c>
      <c r="R1186" s="460" t="s">
        <v>2048</v>
      </c>
      <c r="S1186" s="1172"/>
      <c r="T1186" s="1172"/>
      <c r="U1186" s="1172"/>
      <c r="V1186" s="1172"/>
      <c r="W1186" s="1172"/>
      <c r="X1186" s="1172"/>
      <c r="Y1186" s="1172"/>
      <c r="Z1186" s="1172"/>
      <c r="AA1186" s="1172"/>
      <c r="AB1186" s="1172"/>
      <c r="AC1186" s="1172"/>
    </row>
    <row r="1187" spans="2:29" ht="15">
      <c r="B1187" s="3545" t="s">
        <v>2051</v>
      </c>
      <c r="C1187" s="3729"/>
      <c r="D1187" s="459"/>
      <c r="E1187" s="458"/>
      <c r="F1187" s="460"/>
      <c r="G1187" s="459"/>
      <c r="H1187" s="458"/>
      <c r="I1187" s="460"/>
      <c r="J1187" s="3541"/>
      <c r="K1187" s="458"/>
      <c r="L1187" s="3544"/>
      <c r="M1187" s="3541"/>
      <c r="N1187" s="458"/>
      <c r="O1187" s="3544"/>
      <c r="P1187" s="3541">
        <v>36526</v>
      </c>
      <c r="Q1187" s="458">
        <v>1807</v>
      </c>
      <c r="R1187" s="460" t="s">
        <v>2048</v>
      </c>
      <c r="S1187" s="1172"/>
      <c r="T1187" s="1172"/>
      <c r="U1187" s="1172"/>
      <c r="V1187" s="1172"/>
      <c r="W1187" s="1172"/>
      <c r="X1187" s="1172"/>
      <c r="Y1187" s="1172"/>
      <c r="Z1187" s="1172"/>
      <c r="AA1187" s="1172"/>
      <c r="AB1187" s="1172"/>
      <c r="AC1187" s="1172"/>
    </row>
    <row r="1188" spans="2:29" ht="15">
      <c r="B1188" s="3545" t="s">
        <v>2052</v>
      </c>
      <c r="C1188" s="3729"/>
      <c r="D1188" s="459"/>
      <c r="E1188" s="458"/>
      <c r="F1188" s="460"/>
      <c r="G1188" s="459"/>
      <c r="H1188" s="458"/>
      <c r="I1188" s="460"/>
      <c r="J1188" s="3541"/>
      <c r="K1188" s="458"/>
      <c r="L1188" s="3544"/>
      <c r="M1188" s="3541"/>
      <c r="N1188" s="458"/>
      <c r="O1188" s="3544"/>
      <c r="P1188" s="3541">
        <v>37257</v>
      </c>
      <c r="Q1188" s="458">
        <v>1</v>
      </c>
      <c r="R1188" s="460" t="s">
        <v>2048</v>
      </c>
      <c r="S1188" s="1172"/>
      <c r="T1188" s="1172"/>
      <c r="U1188" s="1172"/>
      <c r="V1188" s="1172"/>
      <c r="W1188" s="1172"/>
      <c r="X1188" s="1172"/>
      <c r="Y1188" s="1172"/>
      <c r="Z1188" s="1172"/>
      <c r="AA1188" s="1172"/>
      <c r="AB1188" s="1172"/>
      <c r="AC1188" s="1172"/>
    </row>
    <row r="1189" spans="2:29" ht="15">
      <c r="B1189" s="3545" t="s">
        <v>2053</v>
      </c>
      <c r="C1189" s="3729"/>
      <c r="D1189" s="459"/>
      <c r="E1189" s="458"/>
      <c r="F1189" s="460"/>
      <c r="G1189" s="459"/>
      <c r="H1189" s="458"/>
      <c r="I1189" s="460"/>
      <c r="J1189" s="3541"/>
      <c r="K1189" s="458"/>
      <c r="L1189" s="3544"/>
      <c r="M1189" s="3541"/>
      <c r="N1189" s="458"/>
      <c r="O1189" s="3544"/>
      <c r="P1189" s="3541">
        <v>37622</v>
      </c>
      <c r="Q1189" s="458">
        <v>4</v>
      </c>
      <c r="R1189" s="460" t="s">
        <v>2048</v>
      </c>
      <c r="S1189" s="1172"/>
      <c r="T1189" s="1172"/>
      <c r="U1189" s="1172"/>
      <c r="V1189" s="1172"/>
      <c r="W1189" s="1172"/>
      <c r="X1189" s="1172"/>
      <c r="Y1189" s="1172"/>
      <c r="Z1189" s="1172"/>
      <c r="AA1189" s="1172"/>
      <c r="AB1189" s="1172"/>
      <c r="AC1189" s="1172"/>
    </row>
    <row r="1190" spans="2:29" ht="15">
      <c r="B1190" s="3545" t="s">
        <v>2054</v>
      </c>
      <c r="C1190" s="3729"/>
      <c r="D1190" s="459"/>
      <c r="E1190" s="458"/>
      <c r="F1190" s="460"/>
      <c r="G1190" s="459"/>
      <c r="H1190" s="458"/>
      <c r="I1190" s="460"/>
      <c r="J1190" s="3541"/>
      <c r="K1190" s="458"/>
      <c r="L1190" s="3544"/>
      <c r="M1190" s="3541"/>
      <c r="N1190" s="458"/>
      <c r="O1190" s="3544"/>
      <c r="P1190" s="3541">
        <v>37257</v>
      </c>
      <c r="Q1190" s="458">
        <v>1</v>
      </c>
      <c r="R1190" s="460" t="s">
        <v>2048</v>
      </c>
      <c r="S1190" s="1172"/>
      <c r="T1190" s="1172"/>
      <c r="U1190" s="1172"/>
      <c r="V1190" s="1172"/>
      <c r="W1190" s="1172"/>
      <c r="X1190" s="1172"/>
      <c r="Y1190" s="1172"/>
      <c r="Z1190" s="1172"/>
      <c r="AA1190" s="1172"/>
      <c r="AB1190" s="1172"/>
      <c r="AC1190" s="1172"/>
    </row>
    <row r="1191" spans="2:29" ht="15">
      <c r="B1191" s="3545" t="s">
        <v>2055</v>
      </c>
      <c r="C1191" s="3729"/>
      <c r="D1191" s="459"/>
      <c r="E1191" s="458"/>
      <c r="F1191" s="460"/>
      <c r="G1191" s="459"/>
      <c r="H1191" s="458"/>
      <c r="I1191" s="460"/>
      <c r="J1191" s="3541"/>
      <c r="K1191" s="458"/>
      <c r="L1191" s="3544"/>
      <c r="M1191" s="3541"/>
      <c r="N1191" s="458"/>
      <c r="O1191" s="3544"/>
      <c r="P1191" s="3541">
        <v>37622</v>
      </c>
      <c r="Q1191" s="458">
        <v>1</v>
      </c>
      <c r="R1191" s="460" t="s">
        <v>2048</v>
      </c>
      <c r="S1191" s="1172"/>
      <c r="T1191" s="1172"/>
      <c r="U1191" s="1172"/>
      <c r="V1191" s="1172"/>
      <c r="W1191" s="1172"/>
      <c r="X1191" s="1172"/>
      <c r="Y1191" s="1172"/>
      <c r="Z1191" s="1172"/>
      <c r="AA1191" s="1172"/>
      <c r="AB1191" s="1172"/>
      <c r="AC1191" s="1172"/>
    </row>
    <row r="1192" spans="2:29" ht="15">
      <c r="B1192" s="3545" t="s">
        <v>2056</v>
      </c>
      <c r="C1192" s="3729"/>
      <c r="D1192" s="459"/>
      <c r="E1192" s="458"/>
      <c r="F1192" s="460"/>
      <c r="G1192" s="459"/>
      <c r="H1192" s="458"/>
      <c r="I1192" s="460"/>
      <c r="J1192" s="3541"/>
      <c r="K1192" s="458"/>
      <c r="L1192" s="3544"/>
      <c r="M1192" s="3541"/>
      <c r="N1192" s="458"/>
      <c r="O1192" s="3544"/>
      <c r="P1192" s="3541">
        <v>37257</v>
      </c>
      <c r="Q1192" s="458">
        <v>1</v>
      </c>
      <c r="R1192" s="460" t="s">
        <v>2048</v>
      </c>
      <c r="S1192" s="1172"/>
      <c r="T1192" s="1172"/>
      <c r="U1192" s="1172"/>
      <c r="V1192" s="1172"/>
      <c r="W1192" s="1172"/>
      <c r="X1192" s="1172"/>
      <c r="Y1192" s="1172"/>
      <c r="Z1192" s="1172"/>
      <c r="AA1192" s="1172"/>
      <c r="AB1192" s="1172"/>
      <c r="AC1192" s="1172"/>
    </row>
    <row r="1193" spans="2:29" ht="15">
      <c r="B1193" s="3545" t="s">
        <v>2057</v>
      </c>
      <c r="C1193" s="3729"/>
      <c r="D1193" s="459"/>
      <c r="E1193" s="458"/>
      <c r="F1193" s="460"/>
      <c r="G1193" s="459"/>
      <c r="H1193" s="458"/>
      <c r="I1193" s="460"/>
      <c r="J1193" s="3541"/>
      <c r="K1193" s="458"/>
      <c r="L1193" s="3544"/>
      <c r="M1193" s="3541"/>
      <c r="N1193" s="458"/>
      <c r="O1193" s="3544"/>
      <c r="P1193" s="3541">
        <v>37257</v>
      </c>
      <c r="Q1193" s="458">
        <v>1</v>
      </c>
      <c r="R1193" s="460" t="s">
        <v>2048</v>
      </c>
      <c r="S1193" s="1172"/>
      <c r="T1193" s="1172"/>
      <c r="U1193" s="1172"/>
      <c r="V1193" s="1172"/>
      <c r="W1193" s="1172"/>
      <c r="X1193" s="1172"/>
      <c r="Y1193" s="1172"/>
      <c r="Z1193" s="1172"/>
      <c r="AA1193" s="1172"/>
      <c r="AB1193" s="1172"/>
      <c r="AC1193" s="1172"/>
    </row>
    <row r="1194" spans="2:29" ht="15">
      <c r="B1194" s="3545" t="s">
        <v>2058</v>
      </c>
      <c r="C1194" s="3729"/>
      <c r="D1194" s="459"/>
      <c r="E1194" s="458"/>
      <c r="F1194" s="460"/>
      <c r="G1194" s="459"/>
      <c r="H1194" s="458"/>
      <c r="I1194" s="460"/>
      <c r="J1194" s="3541"/>
      <c r="K1194" s="458"/>
      <c r="L1194" s="3544"/>
      <c r="M1194" s="3541"/>
      <c r="N1194" s="458"/>
      <c r="O1194" s="3544"/>
      <c r="P1194" s="3541">
        <v>37622</v>
      </c>
      <c r="Q1194" s="458">
        <v>6</v>
      </c>
      <c r="R1194" s="460" t="s">
        <v>2048</v>
      </c>
      <c r="S1194" s="1172"/>
      <c r="T1194" s="1172"/>
      <c r="U1194" s="1172"/>
      <c r="V1194" s="1172"/>
      <c r="W1194" s="1172"/>
      <c r="X1194" s="1172"/>
      <c r="Y1194" s="1172"/>
      <c r="Z1194" s="1172"/>
      <c r="AA1194" s="1172"/>
      <c r="AB1194" s="1172"/>
      <c r="AC1194" s="1172"/>
    </row>
    <row r="1195" spans="2:29" ht="15">
      <c r="B1195" s="3545" t="s">
        <v>2059</v>
      </c>
      <c r="C1195" s="3729"/>
      <c r="D1195" s="459"/>
      <c r="E1195" s="458"/>
      <c r="F1195" s="460"/>
      <c r="G1195" s="459"/>
      <c r="H1195" s="458"/>
      <c r="I1195" s="460"/>
      <c r="J1195" s="3541"/>
      <c r="K1195" s="458"/>
      <c r="L1195" s="3544"/>
      <c r="M1195" s="3541"/>
      <c r="N1195" s="458"/>
      <c r="O1195" s="3544"/>
      <c r="P1195" s="3541">
        <v>35796</v>
      </c>
      <c r="Q1195" s="458">
        <v>540</v>
      </c>
      <c r="R1195" s="460" t="s">
        <v>2048</v>
      </c>
      <c r="S1195" s="1172"/>
      <c r="T1195" s="1172"/>
      <c r="U1195" s="1172"/>
      <c r="V1195" s="1172"/>
      <c r="W1195" s="1172"/>
      <c r="X1195" s="1172"/>
      <c r="Y1195" s="1172"/>
      <c r="Z1195" s="1172"/>
      <c r="AA1195" s="1172"/>
      <c r="AB1195" s="1172"/>
      <c r="AC1195" s="1172"/>
    </row>
    <row r="1196" spans="2:29" ht="15">
      <c r="B1196" s="3545" t="s">
        <v>2060</v>
      </c>
      <c r="C1196" s="3729"/>
      <c r="D1196" s="459"/>
      <c r="E1196" s="458"/>
      <c r="F1196" s="460"/>
      <c r="G1196" s="459"/>
      <c r="H1196" s="458"/>
      <c r="I1196" s="460"/>
      <c r="J1196" s="3541"/>
      <c r="K1196" s="458"/>
      <c r="L1196" s="3544"/>
      <c r="M1196" s="3541"/>
      <c r="N1196" s="458"/>
      <c r="O1196" s="3544"/>
      <c r="P1196" s="3541">
        <v>36526</v>
      </c>
      <c r="Q1196" s="458">
        <v>120</v>
      </c>
      <c r="R1196" s="460" t="s">
        <v>2048</v>
      </c>
      <c r="S1196" s="1172"/>
      <c r="T1196" s="1172"/>
      <c r="U1196" s="1172"/>
      <c r="V1196" s="1172"/>
      <c r="W1196" s="1172"/>
      <c r="X1196" s="1172"/>
      <c r="Y1196" s="1172"/>
      <c r="Z1196" s="1172"/>
      <c r="AA1196" s="1172"/>
      <c r="AB1196" s="1172"/>
      <c r="AC1196" s="1172"/>
    </row>
    <row r="1197" spans="2:29" ht="15">
      <c r="B1197" s="3545" t="s">
        <v>2061</v>
      </c>
      <c r="C1197" s="3729"/>
      <c r="D1197" s="459"/>
      <c r="E1197" s="458"/>
      <c r="F1197" s="460"/>
      <c r="G1197" s="459"/>
      <c r="H1197" s="458"/>
      <c r="I1197" s="460"/>
      <c r="J1197" s="3541"/>
      <c r="K1197" s="458"/>
      <c r="L1197" s="3544"/>
      <c r="M1197" s="3541"/>
      <c r="N1197" s="458"/>
      <c r="O1197" s="3544"/>
      <c r="P1197" s="3541">
        <v>36892</v>
      </c>
      <c r="Q1197" s="458">
        <v>1</v>
      </c>
      <c r="R1197" s="460" t="s">
        <v>2048</v>
      </c>
      <c r="S1197" s="1172"/>
      <c r="T1197" s="1172"/>
      <c r="U1197" s="1172"/>
      <c r="V1197" s="1172"/>
      <c r="W1197" s="1172"/>
      <c r="X1197" s="1172"/>
      <c r="Y1197" s="1172"/>
      <c r="Z1197" s="1172"/>
      <c r="AA1197" s="1172"/>
      <c r="AB1197" s="1172"/>
      <c r="AC1197" s="1172"/>
    </row>
    <row r="1198" spans="2:29" ht="15.75" thickBot="1">
      <c r="B1198" s="3728" t="s">
        <v>2062</v>
      </c>
      <c r="C1198" s="3727"/>
      <c r="D1198" s="1440"/>
      <c r="E1198" s="411"/>
      <c r="F1198" s="570"/>
      <c r="G1198" s="1440"/>
      <c r="H1198" s="411"/>
      <c r="I1198" s="570"/>
      <c r="J1198" s="3724"/>
      <c r="K1198" s="411"/>
      <c r="L1198" s="3723"/>
      <c r="M1198" s="3724"/>
      <c r="N1198" s="411"/>
      <c r="O1198" s="3723"/>
      <c r="P1198" s="3724">
        <v>37257</v>
      </c>
      <c r="Q1198" s="411">
        <v>5</v>
      </c>
      <c r="R1198" s="570" t="s">
        <v>2048</v>
      </c>
      <c r="S1198" s="1172"/>
      <c r="T1198" s="1172"/>
      <c r="U1198" s="1172"/>
      <c r="V1198" s="1172"/>
      <c r="W1198" s="1172"/>
      <c r="X1198" s="1172"/>
      <c r="Y1198" s="1172"/>
      <c r="Z1198" s="1172"/>
      <c r="AA1198" s="1172"/>
      <c r="AB1198" s="1172"/>
      <c r="AC1198" s="1172"/>
    </row>
    <row r="1199" spans="2:29">
      <c r="B1199" s="262"/>
      <c r="C1199" s="262"/>
      <c r="D1199" s="262"/>
      <c r="E1199" s="262"/>
      <c r="F1199" s="262"/>
      <c r="G1199" s="262"/>
      <c r="H1199" s="262"/>
      <c r="I1199" s="262"/>
      <c r="J1199" s="262"/>
      <c r="K1199" s="262"/>
      <c r="L1199" s="262"/>
      <c r="M1199" s="262"/>
      <c r="N1199" s="262"/>
      <c r="O1199" s="262"/>
      <c r="P1199" s="262"/>
      <c r="Q1199" s="262"/>
      <c r="R1199" s="262"/>
      <c r="S1199" s="1172"/>
      <c r="T1199" s="1172"/>
      <c r="U1199" s="1172"/>
      <c r="V1199" s="1172"/>
      <c r="W1199" s="1172"/>
      <c r="X1199" s="1172"/>
      <c r="Y1199" s="1172"/>
      <c r="Z1199" s="1172"/>
      <c r="AA1199" s="1172"/>
      <c r="AB1199" s="1172"/>
      <c r="AC1199" s="1172"/>
    </row>
    <row r="1200" spans="2:29">
      <c r="B1200" s="262"/>
      <c r="C1200" s="262"/>
      <c r="D1200" s="262"/>
      <c r="E1200" s="262"/>
      <c r="F1200" s="262"/>
      <c r="G1200" s="262"/>
      <c r="H1200" s="262"/>
      <c r="I1200" s="262"/>
      <c r="J1200" s="262"/>
      <c r="K1200" s="262"/>
      <c r="L1200" s="262"/>
      <c r="M1200" s="262"/>
      <c r="N1200" s="262"/>
      <c r="O1200" s="262"/>
      <c r="P1200" s="262"/>
      <c r="Q1200" s="262"/>
      <c r="R1200" s="262"/>
      <c r="S1200" s="1172"/>
      <c r="T1200" s="1172"/>
      <c r="U1200" s="1172"/>
      <c r="V1200" s="1172"/>
      <c r="W1200" s="1172"/>
      <c r="X1200" s="1172"/>
      <c r="Y1200" s="1172"/>
      <c r="Z1200" s="1172"/>
      <c r="AA1200" s="1172"/>
      <c r="AB1200" s="1172"/>
      <c r="AC1200" s="1172"/>
    </row>
    <row r="1201" spans="2:29">
      <c r="B1201" s="262"/>
      <c r="C1201" s="262"/>
      <c r="D1201" s="262"/>
      <c r="E1201" s="262"/>
      <c r="F1201" s="262"/>
      <c r="G1201" s="262"/>
      <c r="H1201" s="262"/>
      <c r="I1201" s="262"/>
      <c r="J1201" s="262"/>
      <c r="K1201" s="262"/>
      <c r="L1201" s="262"/>
      <c r="M1201" s="262"/>
      <c r="N1201" s="262"/>
      <c r="O1201" s="262"/>
      <c r="P1201" s="262"/>
      <c r="Q1201" s="262"/>
      <c r="R1201" s="262"/>
      <c r="S1201" s="1172"/>
      <c r="T1201" s="1172"/>
      <c r="U1201" s="1172"/>
      <c r="V1201" s="262"/>
      <c r="W1201" s="262"/>
      <c r="X1201" s="262"/>
      <c r="Y1201" s="262"/>
      <c r="Z1201" s="262"/>
      <c r="AA1201" s="262"/>
      <c r="AB1201" s="262"/>
      <c r="AC1201" s="262"/>
    </row>
    <row r="1202" spans="2:29">
      <c r="B1202" s="474"/>
      <c r="C1202" s="474"/>
      <c r="D1202" s="474"/>
      <c r="E1202" s="474"/>
      <c r="F1202" s="474"/>
      <c r="G1202" s="474"/>
      <c r="H1202" s="474"/>
      <c r="I1202" s="474"/>
      <c r="K1202" s="474"/>
      <c r="L1202" s="474"/>
      <c r="M1202" s="474"/>
      <c r="N1202" s="474"/>
      <c r="O1202" s="474"/>
      <c r="P1202" s="474"/>
      <c r="Q1202" s="474"/>
      <c r="R1202" s="474"/>
      <c r="S1202" s="1172"/>
      <c r="T1202" s="1172"/>
      <c r="U1202" s="1172"/>
    </row>
    <row r="1203" spans="2:29">
      <c r="B1203" s="474"/>
      <c r="C1203" s="474"/>
      <c r="D1203" s="474"/>
      <c r="E1203" s="474"/>
      <c r="F1203" s="474"/>
      <c r="G1203" s="474"/>
      <c r="H1203" s="474"/>
      <c r="I1203" s="474"/>
      <c r="K1203" s="474"/>
      <c r="L1203" s="474"/>
      <c r="M1203" s="474"/>
      <c r="N1203" s="474"/>
      <c r="O1203" s="474"/>
      <c r="P1203" s="474"/>
      <c r="Q1203" s="474"/>
      <c r="R1203" s="474"/>
      <c r="S1203" s="1172"/>
      <c r="T1203" s="1172"/>
      <c r="U1203" s="1172"/>
    </row>
    <row r="1204" spans="2:29">
      <c r="B1204" s="474"/>
      <c r="C1204" s="474"/>
      <c r="D1204" s="474"/>
      <c r="E1204" s="474"/>
      <c r="F1204" s="474"/>
      <c r="G1204" s="474"/>
      <c r="H1204" s="474"/>
      <c r="I1204" s="474"/>
      <c r="K1204" s="474"/>
      <c r="L1204" s="474"/>
      <c r="M1204" s="474"/>
      <c r="N1204" s="474"/>
      <c r="O1204" s="474"/>
      <c r="P1204" s="474"/>
      <c r="Q1204" s="474"/>
      <c r="R1204" s="474"/>
      <c r="S1204" s="1172"/>
      <c r="T1204" s="1172"/>
      <c r="U1204" s="1172"/>
    </row>
    <row r="1205" spans="2:29">
      <c r="B1205" s="474"/>
      <c r="C1205" s="474"/>
      <c r="D1205" s="474"/>
      <c r="E1205" s="474"/>
      <c r="F1205" s="474"/>
      <c r="G1205" s="474"/>
      <c r="H1205" s="474"/>
      <c r="I1205" s="474"/>
      <c r="K1205" s="474"/>
      <c r="L1205" s="474"/>
      <c r="M1205" s="474"/>
      <c r="N1205" s="474"/>
      <c r="O1205" s="474"/>
      <c r="P1205" s="474"/>
      <c r="Q1205" s="474"/>
      <c r="R1205" s="474"/>
      <c r="S1205" s="1172"/>
      <c r="T1205" s="1172"/>
      <c r="U1205" s="1172"/>
    </row>
    <row r="1206" spans="2:29">
      <c r="B1206" s="474"/>
      <c r="C1206" s="474"/>
      <c r="D1206" s="474"/>
      <c r="E1206" s="474"/>
      <c r="F1206" s="474"/>
      <c r="G1206" s="474"/>
      <c r="H1206" s="474"/>
      <c r="I1206" s="474"/>
      <c r="K1206" s="474"/>
      <c r="L1206" s="474"/>
      <c r="M1206" s="474"/>
      <c r="N1206" s="474"/>
      <c r="O1206" s="474"/>
      <c r="P1206" s="474"/>
      <c r="Q1206" s="474"/>
      <c r="R1206" s="474"/>
      <c r="S1206" s="1172"/>
      <c r="T1206" s="1172"/>
      <c r="U1206" s="1172"/>
    </row>
    <row r="1207" spans="2:29">
      <c r="B1207" s="474"/>
      <c r="C1207" s="474"/>
      <c r="D1207" s="474"/>
      <c r="E1207" s="474"/>
      <c r="F1207" s="474"/>
      <c r="G1207" s="474"/>
      <c r="H1207" s="474"/>
      <c r="I1207" s="474"/>
      <c r="K1207" s="474"/>
      <c r="L1207" s="474"/>
      <c r="M1207" s="474"/>
      <c r="N1207" s="474"/>
      <c r="O1207" s="474"/>
      <c r="P1207" s="474"/>
      <c r="Q1207" s="474"/>
      <c r="R1207" s="474"/>
      <c r="S1207" s="1172"/>
      <c r="T1207" s="1172"/>
      <c r="U1207" s="1172"/>
    </row>
    <row r="1208" spans="2:29">
      <c r="B1208" s="474"/>
      <c r="C1208" s="474"/>
      <c r="D1208" s="474"/>
      <c r="E1208" s="474"/>
      <c r="F1208" s="474"/>
      <c r="G1208" s="474"/>
      <c r="H1208" s="474"/>
      <c r="I1208" s="474"/>
      <c r="K1208" s="474"/>
      <c r="L1208" s="474"/>
      <c r="M1208" s="474"/>
      <c r="N1208" s="474"/>
      <c r="O1208" s="474"/>
      <c r="P1208" s="474"/>
      <c r="Q1208" s="474"/>
      <c r="R1208" s="474"/>
      <c r="S1208" s="1172"/>
      <c r="T1208" s="1172"/>
      <c r="U1208" s="1172"/>
    </row>
    <row r="1209" spans="2:29">
      <c r="B1209" s="474"/>
      <c r="C1209" s="474"/>
      <c r="D1209" s="474"/>
      <c r="E1209" s="474"/>
      <c r="F1209" s="474"/>
      <c r="G1209" s="474"/>
      <c r="H1209" s="474"/>
      <c r="I1209" s="474"/>
      <c r="K1209" s="474"/>
      <c r="L1209" s="474"/>
      <c r="M1209" s="474"/>
      <c r="N1209" s="474"/>
      <c r="O1209" s="474"/>
      <c r="P1209" s="474"/>
      <c r="Q1209" s="474"/>
      <c r="R1209" s="474"/>
      <c r="S1209" s="1172"/>
      <c r="T1209" s="1172"/>
      <c r="U1209" s="1172"/>
    </row>
    <row r="1210" spans="2:29">
      <c r="B1210" s="474"/>
      <c r="C1210" s="474"/>
      <c r="D1210" s="474"/>
      <c r="E1210" s="474"/>
      <c r="F1210" s="474"/>
      <c r="G1210" s="474"/>
      <c r="H1210" s="474"/>
      <c r="I1210" s="474"/>
      <c r="K1210" s="474"/>
      <c r="L1210" s="474"/>
      <c r="M1210" s="474"/>
      <c r="N1210" s="474"/>
      <c r="O1210" s="474"/>
      <c r="P1210" s="474"/>
      <c r="Q1210" s="474"/>
      <c r="R1210" s="474"/>
      <c r="S1210" s="1172"/>
      <c r="T1210" s="1172"/>
      <c r="U1210" s="1172"/>
    </row>
    <row r="1211" spans="2:29">
      <c r="B1211" s="474"/>
      <c r="C1211" s="474"/>
      <c r="D1211" s="474"/>
      <c r="E1211" s="474"/>
      <c r="F1211" s="474"/>
      <c r="G1211" s="474"/>
      <c r="H1211" s="474"/>
      <c r="I1211" s="474"/>
      <c r="K1211" s="474"/>
      <c r="L1211" s="474"/>
      <c r="M1211" s="474"/>
      <c r="N1211" s="474"/>
      <c r="O1211" s="474"/>
      <c r="P1211" s="474"/>
      <c r="Q1211" s="474"/>
      <c r="R1211" s="474"/>
      <c r="S1211" s="1172"/>
      <c r="T1211" s="1172"/>
      <c r="U1211" s="1172"/>
    </row>
  </sheetData>
  <mergeCells count="293">
    <mergeCell ref="D250:H250"/>
    <mergeCell ref="I250:K250"/>
    <mergeCell ref="L250:R250"/>
    <mergeCell ref="D199:H199"/>
    <mergeCell ref="I199:K199"/>
    <mergeCell ref="L199:R199"/>
    <mergeCell ref="I311:M311"/>
    <mergeCell ref="B96:B98"/>
    <mergeCell ref="B51:B53"/>
    <mergeCell ref="B54:B56"/>
    <mergeCell ref="B57:B59"/>
    <mergeCell ref="B60:B62"/>
    <mergeCell ref="B63:B65"/>
    <mergeCell ref="B66:B68"/>
    <mergeCell ref="B87:B89"/>
    <mergeCell ref="B90:B92"/>
    <mergeCell ref="B93:B95"/>
    <mergeCell ref="B99:B101"/>
    <mergeCell ref="B102:B104"/>
    <mergeCell ref="B105:B107"/>
    <mergeCell ref="B108:B110"/>
    <mergeCell ref="B111:B113"/>
    <mergeCell ref="B129:B131"/>
    <mergeCell ref="B132:B134"/>
    <mergeCell ref="D20:H20"/>
    <mergeCell ref="N20:R20"/>
    <mergeCell ref="I20:M20"/>
    <mergeCell ref="L22:R22"/>
    <mergeCell ref="D22:K22"/>
    <mergeCell ref="D21:R21"/>
    <mergeCell ref="B42:B44"/>
    <mergeCell ref="B45:B47"/>
    <mergeCell ref="B48:B50"/>
    <mergeCell ref="B319:B326"/>
    <mergeCell ref="B7:F7"/>
    <mergeCell ref="B8:F8"/>
    <mergeCell ref="B20:C23"/>
    <mergeCell ref="B9:F9"/>
    <mergeCell ref="B10:F10"/>
    <mergeCell ref="B11:F11"/>
    <mergeCell ref="B12:F12"/>
    <mergeCell ref="B13:F13"/>
    <mergeCell ref="B14:F14"/>
    <mergeCell ref="B15:F15"/>
    <mergeCell ref="B24:B26"/>
    <mergeCell ref="B27:B29"/>
    <mergeCell ref="B30:B32"/>
    <mergeCell ref="B33:B35"/>
    <mergeCell ref="B36:B38"/>
    <mergeCell ref="B39:B41"/>
    <mergeCell ref="B69:B71"/>
    <mergeCell ref="B72:B74"/>
    <mergeCell ref="B75:B77"/>
    <mergeCell ref="B78:B80"/>
    <mergeCell ref="B81:B83"/>
    <mergeCell ref="B84:B86"/>
    <mergeCell ref="B236:C236"/>
    <mergeCell ref="B135:B137"/>
    <mergeCell ref="B138:B140"/>
    <mergeCell ref="B114:B116"/>
    <mergeCell ref="B117:B119"/>
    <mergeCell ref="B120:B122"/>
    <mergeCell ref="B123:B125"/>
    <mergeCell ref="B126:B128"/>
    <mergeCell ref="B141:B143"/>
    <mergeCell ref="B144:B146"/>
    <mergeCell ref="B147:B149"/>
    <mergeCell ref="B150:B152"/>
    <mergeCell ref="B153:B155"/>
    <mergeCell ref="B156:B158"/>
    <mergeCell ref="B159:B161"/>
    <mergeCell ref="B162:B164"/>
    <mergeCell ref="B165:B167"/>
    <mergeCell ref="B168:B170"/>
    <mergeCell ref="B171:B173"/>
    <mergeCell ref="B174:B176"/>
    <mergeCell ref="B177:B179"/>
    <mergeCell ref="B180:C180"/>
    <mergeCell ref="B181:C181"/>
    <mergeCell ref="B185:C188"/>
    <mergeCell ref="D185:H185"/>
    <mergeCell ref="I185:M185"/>
    <mergeCell ref="N185:R185"/>
    <mergeCell ref="V185:Z185"/>
    <mergeCell ref="AA185:AC185"/>
    <mergeCell ref="D186:K186"/>
    <mergeCell ref="L186:R186"/>
    <mergeCell ref="V186:AC186"/>
    <mergeCell ref="D187:K187"/>
    <mergeCell ref="L187:R187"/>
    <mergeCell ref="V187:AC187"/>
    <mergeCell ref="B189:C189"/>
    <mergeCell ref="B190:C190"/>
    <mergeCell ref="B191:C191"/>
    <mergeCell ref="B192:C192"/>
    <mergeCell ref="B193:C193"/>
    <mergeCell ref="B194:C194"/>
    <mergeCell ref="B195:C195"/>
    <mergeCell ref="B198:C198"/>
    <mergeCell ref="B199:C199"/>
    <mergeCell ref="B196:C196"/>
    <mergeCell ref="B197:C197"/>
    <mergeCell ref="B202:C205"/>
    <mergeCell ref="D202:H202"/>
    <mergeCell ref="I202:M202"/>
    <mergeCell ref="N202:R202"/>
    <mergeCell ref="V202:Z202"/>
    <mergeCell ref="AA202:AC202"/>
    <mergeCell ref="D203:K203"/>
    <mergeCell ref="L203:R203"/>
    <mergeCell ref="V203:AC203"/>
    <mergeCell ref="D204:K204"/>
    <mergeCell ref="L204:R204"/>
    <mergeCell ref="V204:AC204"/>
    <mergeCell ref="B207:C207"/>
    <mergeCell ref="B208:C208"/>
    <mergeCell ref="B209:C209"/>
    <mergeCell ref="B210:C210"/>
    <mergeCell ref="B211:C211"/>
    <mergeCell ref="B212:C212"/>
    <mergeCell ref="B213:C213"/>
    <mergeCell ref="B214:C214"/>
    <mergeCell ref="B215:C215"/>
    <mergeCell ref="B216:C216"/>
    <mergeCell ref="B218:C218"/>
    <mergeCell ref="B219:C219"/>
    <mergeCell ref="B220:C220"/>
    <mergeCell ref="B221:C221"/>
    <mergeCell ref="B222:C222"/>
    <mergeCell ref="B223:C223"/>
    <mergeCell ref="B224:C224"/>
    <mergeCell ref="B225:C225"/>
    <mergeCell ref="B226:C226"/>
    <mergeCell ref="B227:C227"/>
    <mergeCell ref="B229:C229"/>
    <mergeCell ref="B230:C230"/>
    <mergeCell ref="B231:C231"/>
    <mergeCell ref="B237:C237"/>
    <mergeCell ref="B238:C238"/>
    <mergeCell ref="B240:C240"/>
    <mergeCell ref="B241:C241"/>
    <mergeCell ref="B235:C235"/>
    <mergeCell ref="B234:C234"/>
    <mergeCell ref="B233:C233"/>
    <mergeCell ref="B232:C232"/>
    <mergeCell ref="B242:C242"/>
    <mergeCell ref="B243:C243"/>
    <mergeCell ref="B244:C244"/>
    <mergeCell ref="B245:C245"/>
    <mergeCell ref="B246:C246"/>
    <mergeCell ref="B247:C247"/>
    <mergeCell ref="B248:C248"/>
    <mergeCell ref="B249:C249"/>
    <mergeCell ref="B250:C250"/>
    <mergeCell ref="B253:C256"/>
    <mergeCell ref="D253:H253"/>
    <mergeCell ref="I253:M253"/>
    <mergeCell ref="D254:M254"/>
    <mergeCell ref="D255:M255"/>
    <mergeCell ref="B257:B265"/>
    <mergeCell ref="B266:B274"/>
    <mergeCell ref="B275:B283"/>
    <mergeCell ref="B284:B292"/>
    <mergeCell ref="B293:B301"/>
    <mergeCell ref="B302:B310"/>
    <mergeCell ref="B314:C317"/>
    <mergeCell ref="D314:H314"/>
    <mergeCell ref="I314:M314"/>
    <mergeCell ref="N314:R314"/>
    <mergeCell ref="V314:Z314"/>
    <mergeCell ref="AA314:AC314"/>
    <mergeCell ref="D315:K315"/>
    <mergeCell ref="L315:R315"/>
    <mergeCell ref="V315:AC315"/>
    <mergeCell ref="D316:K316"/>
    <mergeCell ref="L316:R316"/>
    <mergeCell ref="V316:AC316"/>
    <mergeCell ref="B311:C311"/>
    <mergeCell ref="B327:B334"/>
    <mergeCell ref="B335:B342"/>
    <mergeCell ref="B343:B350"/>
    <mergeCell ref="B351:B358"/>
    <mergeCell ref="B359:B366"/>
    <mergeCell ref="B367:B374"/>
    <mergeCell ref="B375:B382"/>
    <mergeCell ref="B383:B390"/>
    <mergeCell ref="B391:B398"/>
    <mergeCell ref="B399:B406"/>
    <mergeCell ref="B407:B414"/>
    <mergeCell ref="B415:B422"/>
    <mergeCell ref="B423:B430"/>
    <mergeCell ref="B431:B438"/>
    <mergeCell ref="B439:B446"/>
    <mergeCell ref="B447:B454"/>
    <mergeCell ref="B455:B462"/>
    <mergeCell ref="B463:B470"/>
    <mergeCell ref="B471:B478"/>
    <mergeCell ref="B479:B486"/>
    <mergeCell ref="B487:B494"/>
    <mergeCell ref="B495:C495"/>
    <mergeCell ref="B496:C496"/>
    <mergeCell ref="B498:B508"/>
    <mergeCell ref="B509:B519"/>
    <mergeCell ref="B520:B530"/>
    <mergeCell ref="B531:B541"/>
    <mergeCell ref="B542:B552"/>
    <mergeCell ref="B553:B563"/>
    <mergeCell ref="B564:B574"/>
    <mergeCell ref="B575:B585"/>
    <mergeCell ref="B586:B596"/>
    <mergeCell ref="B597:B607"/>
    <mergeCell ref="B608:B618"/>
    <mergeCell ref="B619:B629"/>
    <mergeCell ref="B630:B640"/>
    <mergeCell ref="B641:B651"/>
    <mergeCell ref="B652:B662"/>
    <mergeCell ref="B663:B673"/>
    <mergeCell ref="B674:B684"/>
    <mergeCell ref="B685:B695"/>
    <mergeCell ref="B696:B706"/>
    <mergeCell ref="B707:B717"/>
    <mergeCell ref="B718:B728"/>
    <mergeCell ref="B729:B739"/>
    <mergeCell ref="B740:B750"/>
    <mergeCell ref="B751:B761"/>
    <mergeCell ref="B762:B772"/>
    <mergeCell ref="B773:B783"/>
    <mergeCell ref="B784:B794"/>
    <mergeCell ref="B795:B805"/>
    <mergeCell ref="B806:B816"/>
    <mergeCell ref="B817:B827"/>
    <mergeCell ref="B828:B838"/>
    <mergeCell ref="B839:B849"/>
    <mergeCell ref="B850:B860"/>
    <mergeCell ref="B861:B871"/>
    <mergeCell ref="B872:B882"/>
    <mergeCell ref="B883:B893"/>
    <mergeCell ref="B894:B904"/>
    <mergeCell ref="B905:B915"/>
    <mergeCell ref="B916:B926"/>
    <mergeCell ref="B927:C927"/>
    <mergeCell ref="B928:C928"/>
    <mergeCell ref="B929:C929"/>
    <mergeCell ref="B930:C930"/>
    <mergeCell ref="B931:C931"/>
    <mergeCell ref="B934:B937"/>
    <mergeCell ref="C934:C937"/>
    <mergeCell ref="D934:H934"/>
    <mergeCell ref="I934:M934"/>
    <mergeCell ref="N934:R934"/>
    <mergeCell ref="K931:R931"/>
    <mergeCell ref="V934:Z934"/>
    <mergeCell ref="AA934:AC934"/>
    <mergeCell ref="D935:K935"/>
    <mergeCell ref="L935:R935"/>
    <mergeCell ref="V935:AC935"/>
    <mergeCell ref="D936:K936"/>
    <mergeCell ref="L936:R936"/>
    <mergeCell ref="V936:AC936"/>
    <mergeCell ref="B938:B947"/>
    <mergeCell ref="B948:B957"/>
    <mergeCell ref="B958:B967"/>
    <mergeCell ref="B968:C968"/>
    <mergeCell ref="B969:C969"/>
    <mergeCell ref="B972:C976"/>
    <mergeCell ref="D972:D975"/>
    <mergeCell ref="E972:E975"/>
    <mergeCell ref="F972:F975"/>
    <mergeCell ref="G972:G975"/>
    <mergeCell ref="H972:H975"/>
    <mergeCell ref="B977:C977"/>
    <mergeCell ref="B978:C978"/>
    <mergeCell ref="B979:C979"/>
    <mergeCell ref="B1111:C1113"/>
    <mergeCell ref="D1111:F1111"/>
    <mergeCell ref="G1111:I1111"/>
    <mergeCell ref="J1111:L1111"/>
    <mergeCell ref="M1111:O1111"/>
    <mergeCell ref="B1171:C1173"/>
    <mergeCell ref="D1171:F1171"/>
    <mergeCell ref="G1171:I1171"/>
    <mergeCell ref="J1171:L1171"/>
    <mergeCell ref="M1171:O1171"/>
    <mergeCell ref="P1171:R1171"/>
    <mergeCell ref="P1111:R1111"/>
    <mergeCell ref="B1114:C1114"/>
    <mergeCell ref="B1115:C1115"/>
    <mergeCell ref="B1156:C1158"/>
    <mergeCell ref="D1156:F1156"/>
    <mergeCell ref="G1156:I1156"/>
    <mergeCell ref="J1156:L1156"/>
    <mergeCell ref="M1156:O1156"/>
    <mergeCell ref="P1156:R1156"/>
  </mergeCells>
  <pageMargins left="0.75" right="0.75" top="1" bottom="1" header="0.5" footer="0.5"/>
  <pageSetup paperSize="9" orientation="portrait" r:id="rId1"/>
  <headerFooter alignWithMargins="0"/>
  <customProperties>
    <customPr name="_pios_id" r:id="rId2"/>
  </customPropertie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autoPageBreaks="0"/>
  </sheetPr>
  <dimension ref="A1:AH301"/>
  <sheetViews>
    <sheetView showGridLines="0" topLeftCell="F145" zoomScale="60" zoomScaleNormal="60" workbookViewId="0">
      <selection activeCell="U245" sqref="U245"/>
    </sheetView>
  </sheetViews>
  <sheetFormatPr defaultColWidth="9.140625" defaultRowHeight="12.75"/>
  <cols>
    <col min="1" max="1" width="12" style="474" hidden="1" customWidth="1"/>
    <col min="2" max="3" width="14.42578125" style="77" hidden="1" customWidth="1"/>
    <col min="4" max="4" width="14.42578125" style="77" customWidth="1"/>
    <col min="5" max="5" width="53.42578125" style="77" customWidth="1"/>
    <col min="6" max="6" width="56" style="474" customWidth="1"/>
    <col min="7" max="11" width="15.7109375" style="77" customWidth="1"/>
    <col min="12" max="12" width="15.7109375" style="474" customWidth="1"/>
    <col min="13" max="13" width="18.85546875" style="77" customWidth="1"/>
    <col min="14" max="15" width="15.7109375" style="77" customWidth="1"/>
    <col min="16" max="16" width="17.7109375" style="77" customWidth="1"/>
    <col min="17" max="20" width="15.7109375" style="77" customWidth="1"/>
    <col min="21" max="21" width="16.140625" style="77" customWidth="1"/>
    <col min="22" max="22" width="33.140625" style="77" customWidth="1"/>
    <col min="23" max="25" width="8.7109375"/>
    <col min="26" max="33" width="15.7109375" style="474" customWidth="1"/>
    <col min="34" max="16384" width="9.140625" style="77"/>
  </cols>
  <sheetData>
    <row r="1" spans="1:33" s="177" customFormat="1" ht="24" customHeight="1">
      <c r="E1" s="2522" t="str">
        <f>IF(dms_DataQuality="backcast",INDEX(dms_Worksheet_List,MATCH(dms_Model,dms_Model_List))&amp;" BACKCAST",INDEX(dms_Worksheet_List,MATCH(dms_Model,dms_Model_List)))</f>
        <v>REGULATORY REPORTING STATEMENT</v>
      </c>
      <c r="F1" s="491"/>
      <c r="G1" s="491"/>
      <c r="H1" s="491"/>
      <c r="I1" s="491"/>
      <c r="J1" s="491"/>
      <c r="K1" s="179"/>
      <c r="L1" s="179"/>
      <c r="M1" s="179"/>
      <c r="N1" s="179"/>
      <c r="O1" s="179"/>
      <c r="P1" s="179"/>
      <c r="Q1" s="179"/>
      <c r="R1" s="179"/>
      <c r="S1" s="179"/>
      <c r="T1" s="179"/>
      <c r="U1" s="179"/>
      <c r="V1" s="179"/>
      <c r="W1" s="179"/>
      <c r="X1" s="179"/>
      <c r="Y1" s="179"/>
      <c r="Z1" s="179"/>
      <c r="AA1" s="491"/>
      <c r="AB1" s="491"/>
      <c r="AC1" s="491"/>
      <c r="AD1" s="179"/>
      <c r="AE1" s="179"/>
      <c r="AF1" s="179"/>
      <c r="AG1" s="179"/>
    </row>
    <row r="2" spans="1:33" s="177" customFormat="1" ht="24" customHeight="1">
      <c r="E2" s="2526" t="str">
        <f>INDEX(dms_TradingNameFull_List,MATCH(dms_TradingName,dms_TradingName_List))</f>
        <v>AusNet Gas Services</v>
      </c>
      <c r="F2" s="180"/>
      <c r="G2" s="180"/>
      <c r="H2" s="180"/>
      <c r="I2" s="180"/>
      <c r="J2" s="180"/>
      <c r="K2" s="179"/>
      <c r="L2" s="179"/>
      <c r="M2" s="179"/>
      <c r="N2" s="179"/>
      <c r="O2" s="179"/>
      <c r="P2" s="179"/>
      <c r="Q2" s="179"/>
      <c r="R2" s="179"/>
      <c r="S2" s="179"/>
      <c r="T2" s="179"/>
      <c r="U2" s="179"/>
      <c r="V2" s="179"/>
      <c r="W2" s="179"/>
      <c r="X2" s="179"/>
      <c r="Y2" s="179"/>
      <c r="Z2" s="179"/>
      <c r="AA2" s="1173"/>
      <c r="AB2" s="1173"/>
      <c r="AC2" s="1173"/>
      <c r="AD2" s="179"/>
      <c r="AE2" s="179"/>
      <c r="AF2" s="179"/>
      <c r="AG2" s="179"/>
    </row>
    <row r="3" spans="1:33" s="177" customFormat="1" ht="24" customHeight="1">
      <c r="E3" s="2526" t="str">
        <f ca="1">IF(SUM(dms_SingleYear_Model)&gt;0,CRY,CONCATENATE(FRCP_y1," to ",dms_MultiYear_FinalYear_Result))</f>
        <v>2018 to 2022</v>
      </c>
      <c r="F3" s="181"/>
      <c r="G3" s="181"/>
      <c r="H3" s="181"/>
      <c r="I3" s="181"/>
      <c r="J3" s="181"/>
      <c r="K3" s="182" t="str">
        <f>CONCATENATE(LEFT(FRCP_y1,4),"-",LEFT(FRCP_y5,2),RIGHT(FRCP_y5,2))</f>
        <v>2018-2022</v>
      </c>
      <c r="L3" s="181"/>
      <c r="M3" s="181"/>
      <c r="N3" s="181"/>
      <c r="O3" s="181"/>
      <c r="P3" s="181"/>
      <c r="Q3" s="181"/>
      <c r="R3" s="181"/>
      <c r="S3" s="181"/>
      <c r="T3" s="181"/>
      <c r="U3" s="181"/>
      <c r="V3" s="181"/>
      <c r="W3" s="1171"/>
      <c r="X3" s="1171"/>
      <c r="Y3" s="1171"/>
      <c r="Z3" s="1171"/>
      <c r="AA3" s="1171"/>
      <c r="AB3" s="1171"/>
      <c r="AC3" s="1171"/>
      <c r="AD3" s="182"/>
      <c r="AE3" s="1171"/>
      <c r="AF3" s="1171"/>
      <c r="AG3" s="1171"/>
    </row>
    <row r="4" spans="1:33" s="159" customFormat="1" ht="24" customHeight="1">
      <c r="B4" s="10"/>
      <c r="C4" s="12"/>
      <c r="D4"/>
      <c r="E4" s="12" t="s">
        <v>436</v>
      </c>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row>
    <row r="5" spans="1:33" customFormat="1"/>
    <row r="6" spans="1:33" customFormat="1"/>
    <row r="7" spans="1:33">
      <c r="A7" s="262"/>
      <c r="B7" s="262"/>
      <c r="C7" s="262"/>
      <c r="D7" s="262"/>
      <c r="E7" s="85" t="s">
        <v>59</v>
      </c>
      <c r="F7" s="85"/>
      <c r="G7" s="85"/>
      <c r="H7" s="85"/>
      <c r="I7" s="85"/>
      <c r="J7" s="85"/>
      <c r="K7" s="85"/>
      <c r="L7" s="262"/>
      <c r="M7" s="262"/>
      <c r="N7" s="242"/>
      <c r="O7" s="242"/>
      <c r="P7" s="242"/>
      <c r="Q7" s="242"/>
      <c r="R7" s="242"/>
      <c r="S7" s="242"/>
      <c r="T7" s="242"/>
      <c r="U7" s="262"/>
      <c r="V7" s="262"/>
      <c r="Z7"/>
      <c r="AA7"/>
      <c r="AB7"/>
      <c r="AC7"/>
      <c r="AD7"/>
      <c r="AE7" s="262"/>
      <c r="AF7" s="262"/>
      <c r="AG7" s="1174"/>
    </row>
    <row r="8" spans="1:33">
      <c r="A8" s="262"/>
      <c r="B8" s="262"/>
      <c r="C8" s="262"/>
      <c r="D8" s="262"/>
      <c r="E8" s="4077" t="s">
        <v>618</v>
      </c>
      <c r="F8" s="4077"/>
      <c r="G8" s="4077"/>
      <c r="H8" s="4077"/>
      <c r="I8" s="4077"/>
      <c r="J8" s="4077"/>
      <c r="K8" s="4077"/>
      <c r="L8" s="262"/>
      <c r="M8" s="262"/>
      <c r="N8" s="242"/>
      <c r="O8" s="242"/>
      <c r="P8" s="242"/>
      <c r="Q8" s="242"/>
      <c r="R8" s="242"/>
      <c r="S8" s="242"/>
      <c r="T8" s="242"/>
      <c r="U8" s="262"/>
      <c r="V8" s="262"/>
      <c r="Z8"/>
      <c r="AA8"/>
      <c r="AB8"/>
      <c r="AC8"/>
      <c r="AD8"/>
      <c r="AE8" s="262"/>
      <c r="AF8" s="262"/>
      <c r="AG8" s="1174"/>
    </row>
    <row r="9" spans="1:33" ht="39.75" customHeight="1">
      <c r="A9" s="495" t="s">
        <v>187</v>
      </c>
      <c r="B9" s="911" t="s">
        <v>193</v>
      </c>
      <c r="D9" s="262"/>
      <c r="E9" s="4284" t="str">
        <f>CONCATENATE("As set out in cl.6.1 of the ", dms_TradingName, " RIN, for tables  9.1 to 9.2, where the requested data is captured in the ", dms_TradingName, " capex model it is not required to be reentered in the RIN template tables. If the requested data has not been provided in the AGN RIN please enter into the tables. This may require the insertion of new lines in each table.")</f>
        <v>As set out in cl.6.1 of the AusNet (Gas) RIN, for tables  9.1 to 9.2, where the requested data is captured in the AusNet (Gas) capex model it is not required to be reentered in the RIN template tables. If the requested data has not been provided in the AGN RIN please enter into the tables. This may require the insertion of new lines in each table.</v>
      </c>
      <c r="F9" s="4284"/>
      <c r="G9" s="4090"/>
      <c r="H9" s="4090"/>
      <c r="I9" s="4090"/>
      <c r="J9" s="4090"/>
      <c r="K9" s="4090"/>
      <c r="L9" s="262"/>
      <c r="M9" s="262"/>
      <c r="N9" s="242"/>
      <c r="O9" s="242"/>
      <c r="P9" s="242"/>
      <c r="Q9" s="242"/>
      <c r="R9" s="242"/>
      <c r="S9" s="242"/>
      <c r="T9" s="242"/>
      <c r="U9" s="262"/>
      <c r="V9" s="262"/>
      <c r="Z9"/>
      <c r="AA9"/>
      <c r="AB9"/>
      <c r="AC9"/>
      <c r="AD9"/>
      <c r="AE9" s="262"/>
      <c r="AF9" s="262"/>
      <c r="AG9" s="1174"/>
    </row>
    <row r="10" spans="1:33" ht="37.5" customHeight="1">
      <c r="A10" s="495" t="s">
        <v>188</v>
      </c>
      <c r="B10" s="911" t="s">
        <v>194</v>
      </c>
      <c r="D10" s="262"/>
      <c r="E10" s="4284" t="str">
        <f>CONCATENATE("Reported expenditure is to be entered EXCLUSIVE of any profit margins or management fees paid pursuant to arrangements or contracts between ", dms_TradingName," and any related parties. Include any related party margins or management fees in the separate 'Related party margin' line item.")</f>
        <v>Reported expenditure is to be entered EXCLUSIVE of any profit margins or management fees paid pursuant to arrangements or contracts between AusNet (Gas) and any related parties. Include any related party margins or management fees in the separate 'Related party margin' line item.</v>
      </c>
      <c r="F10" s="4284"/>
      <c r="G10" s="4090"/>
      <c r="H10" s="4090"/>
      <c r="I10" s="4090"/>
      <c r="J10" s="4090"/>
      <c r="K10" s="4090"/>
      <c r="L10" s="262"/>
      <c r="M10" s="262"/>
      <c r="N10" s="262"/>
      <c r="O10" s="262"/>
      <c r="P10" s="262"/>
      <c r="Q10" s="262"/>
      <c r="R10" s="262"/>
      <c r="S10" s="262"/>
      <c r="T10" s="262"/>
      <c r="U10" s="262"/>
      <c r="V10" s="262"/>
      <c r="Z10"/>
      <c r="AA10"/>
      <c r="AB10"/>
      <c r="AC10"/>
      <c r="AD10"/>
      <c r="AE10" s="262"/>
      <c r="AF10" s="262"/>
      <c r="AG10" s="262"/>
    </row>
    <row r="11" spans="1:33" ht="27.75" customHeight="1">
      <c r="A11" s="495" t="s">
        <v>185</v>
      </c>
      <c r="B11" s="911" t="s">
        <v>191</v>
      </c>
      <c r="D11" s="262"/>
      <c r="E11" s="4284" t="str">
        <f>CONCATENATE("Subject to cl.6.1 of the ", dms_TradingName, " RIN, where linked/adjustable overhead expenditure and related party margin expenditure is not provided in the ", dms_TradingName, " capex model, overhead expenditure and related party margin expenditure should be linked to allocations derived in tabs '14. Overheads' and '15. Related party transactions'.")</f>
        <v>Subject to cl.6.1 of the AusNet (Gas) RIN, where linked/adjustable overhead expenditure and related party margin expenditure is not provided in the AusNet (Gas) capex model, overhead expenditure and related party margin expenditure should be linked to allocations derived in tabs '14. Overheads' and '15. Related party transactions'.</v>
      </c>
      <c r="F11" s="4284"/>
      <c r="G11" s="4090"/>
      <c r="H11" s="4090"/>
      <c r="I11" s="4090"/>
      <c r="J11" s="4090"/>
      <c r="K11" s="4090"/>
      <c r="L11" s="262"/>
      <c r="M11" s="262"/>
      <c r="N11" s="262"/>
      <c r="O11" s="262"/>
      <c r="P11" s="262"/>
      <c r="Q11" s="262"/>
      <c r="R11" s="262"/>
      <c r="S11" s="262"/>
      <c r="T11" s="262"/>
      <c r="U11" s="262"/>
      <c r="V11" s="262"/>
      <c r="Z11"/>
      <c r="AA11"/>
      <c r="AB11"/>
      <c r="AC11"/>
      <c r="AD11"/>
      <c r="AE11" s="262"/>
      <c r="AF11" s="262"/>
      <c r="AG11" s="262"/>
    </row>
    <row r="12" spans="1:33" ht="27" customHeight="1">
      <c r="A12" s="495" t="s">
        <v>190</v>
      </c>
      <c r="B12" s="911" t="s">
        <v>196</v>
      </c>
      <c r="D12" s="262"/>
      <c r="E12" s="4284" t="s">
        <v>153</v>
      </c>
      <c r="F12" s="4284"/>
      <c r="G12" s="4090"/>
      <c r="H12" s="4090"/>
      <c r="I12" s="4090"/>
      <c r="J12" s="4090"/>
      <c r="K12" s="4090"/>
      <c r="L12" s="262"/>
      <c r="M12" s="262"/>
      <c r="N12" s="262"/>
      <c r="O12" s="262"/>
      <c r="P12" s="262"/>
      <c r="Q12" s="262"/>
      <c r="R12" s="262"/>
      <c r="S12" s="262"/>
      <c r="T12" s="262"/>
      <c r="U12" s="262"/>
      <c r="V12" s="262"/>
      <c r="Z12"/>
      <c r="AA12"/>
      <c r="AB12"/>
      <c r="AC12"/>
      <c r="AD12"/>
      <c r="AE12" s="262"/>
      <c r="AF12" s="262"/>
      <c r="AG12" s="262"/>
    </row>
    <row r="13" spans="1:33" s="78" customFormat="1" ht="13.5" thickBot="1">
      <c r="A13" s="916" t="s">
        <v>265</v>
      </c>
      <c r="B13" s="914" t="s">
        <v>597</v>
      </c>
      <c r="D13" s="262"/>
      <c r="E13" s="79"/>
      <c r="F13" s="262"/>
      <c r="G13" s="262"/>
      <c r="H13" s="262"/>
      <c r="I13" s="262"/>
      <c r="J13" s="262"/>
      <c r="K13" s="262"/>
      <c r="L13" s="262"/>
      <c r="M13" s="262"/>
      <c r="N13" s="262"/>
      <c r="O13" s="262"/>
      <c r="P13" s="262"/>
      <c r="Q13" s="262"/>
      <c r="R13" s="262"/>
      <c r="S13" s="262"/>
      <c r="T13" s="262"/>
      <c r="U13" s="262"/>
      <c r="V13" s="262"/>
      <c r="W13"/>
      <c r="X13"/>
      <c r="Y13"/>
      <c r="Z13" s="262"/>
      <c r="AA13" s="262"/>
      <c r="AB13" s="262"/>
      <c r="AC13" s="262"/>
      <c r="AD13" s="262"/>
      <c r="AE13" s="262"/>
      <c r="AF13" s="262"/>
      <c r="AG13" s="262"/>
    </row>
    <row r="14" spans="1:33" s="78" customFormat="1" ht="21" thickBot="1">
      <c r="A14" s="262"/>
      <c r="B14" s="262"/>
      <c r="C14" s="262"/>
      <c r="D14" s="262"/>
      <c r="F14" s="489"/>
      <c r="G14" s="489"/>
      <c r="H14" s="489"/>
      <c r="I14" s="489"/>
      <c r="J14" s="489"/>
      <c r="K14" s="489"/>
      <c r="L14" s="489"/>
      <c r="M14" s="489"/>
      <c r="N14" s="489"/>
      <c r="O14" s="489"/>
      <c r="P14" s="489"/>
      <c r="Q14" s="489"/>
      <c r="R14" s="489"/>
      <c r="S14" s="489"/>
      <c r="T14" s="489"/>
      <c r="U14" s="489"/>
      <c r="V14" s="489"/>
      <c r="W14"/>
      <c r="X14"/>
      <c r="Y14"/>
      <c r="Z14" s="489"/>
      <c r="AA14" s="489"/>
      <c r="AB14" s="489"/>
      <c r="AC14" s="489"/>
      <c r="AD14" s="489"/>
      <c r="AE14" s="489"/>
      <c r="AF14" s="489"/>
      <c r="AG14" s="489"/>
    </row>
    <row r="15" spans="1:33" s="183" customFormat="1" ht="24.75" customHeight="1" thickBot="1">
      <c r="A15" s="1248" t="s">
        <v>183</v>
      </c>
      <c r="B15" s="1248" t="s">
        <v>184</v>
      </c>
      <c r="C15" s="507" t="s">
        <v>197</v>
      </c>
      <c r="D15" s="262"/>
      <c r="E15" s="735" t="s">
        <v>721</v>
      </c>
      <c r="F15" s="735"/>
      <c r="G15" s="815"/>
      <c r="H15" s="815"/>
      <c r="I15" s="815"/>
      <c r="J15" s="815"/>
      <c r="K15" s="815"/>
      <c r="L15" s="815"/>
      <c r="M15" s="815"/>
      <c r="N15" s="815"/>
      <c r="O15" s="815"/>
      <c r="P15" s="815"/>
      <c r="Q15" s="815"/>
      <c r="R15" s="815"/>
      <c r="S15" s="815"/>
      <c r="T15" s="815"/>
      <c r="U15" s="815"/>
      <c r="V15" s="735"/>
      <c r="W15" s="1172"/>
      <c r="X15" s="1172"/>
      <c r="Y15" s="1172"/>
      <c r="Z15" s="735" t="s">
        <v>642</v>
      </c>
      <c r="AA15" s="815"/>
      <c r="AB15" s="815"/>
      <c r="AC15" s="815"/>
      <c r="AD15" s="815"/>
      <c r="AE15" s="815"/>
      <c r="AF15" s="815"/>
      <c r="AG15" s="1694"/>
    </row>
    <row r="16" spans="1:33" s="183" customFormat="1" ht="24.75" customHeight="1" thickBot="1">
      <c r="A16" s="262" t="s">
        <v>183</v>
      </c>
      <c r="B16" s="1258" t="s">
        <v>184</v>
      </c>
      <c r="C16" s="1259" t="s">
        <v>197</v>
      </c>
      <c r="D16"/>
      <c r="E16" s="2760" t="s">
        <v>722</v>
      </c>
      <c r="F16" s="1259"/>
      <c r="G16" s="1259"/>
      <c r="H16" s="1259"/>
      <c r="I16" s="1259"/>
      <c r="J16" s="1259"/>
      <c r="K16" s="1259"/>
      <c r="L16" s="1259"/>
      <c r="M16" s="1259"/>
      <c r="N16" s="1259"/>
      <c r="O16" s="1259"/>
      <c r="P16" s="1259"/>
      <c r="Q16" s="1259"/>
      <c r="R16" s="1259"/>
      <c r="S16" s="1259"/>
      <c r="T16" s="1259"/>
      <c r="U16" s="1259"/>
      <c r="V16" s="1260"/>
      <c r="W16" s="1172"/>
      <c r="X16" s="1172"/>
      <c r="Y16" s="1172"/>
      <c r="Z16" s="2760"/>
      <c r="AA16" s="1259"/>
      <c r="AB16" s="1259"/>
      <c r="AC16" s="1259"/>
      <c r="AD16" s="1259"/>
      <c r="AE16" s="1259"/>
      <c r="AF16" s="1259"/>
      <c r="AG16" s="1260"/>
    </row>
    <row r="17" spans="2:33" s="474" customFormat="1" ht="15.75" customHeight="1">
      <c r="B17" s="262"/>
      <c r="C17" s="262"/>
      <c r="D17" s="262"/>
      <c r="E17" s="244"/>
      <c r="F17" s="1162"/>
      <c r="G17" s="4073" t="s">
        <v>36</v>
      </c>
      <c r="H17" s="3997"/>
      <c r="I17" s="3997"/>
      <c r="J17" s="3997"/>
      <c r="K17" s="3997"/>
      <c r="L17" s="4074" t="s">
        <v>37</v>
      </c>
      <c r="M17" s="4075"/>
      <c r="N17" s="4075"/>
      <c r="O17" s="4075"/>
      <c r="P17" s="4075"/>
      <c r="Q17" s="3960" t="s">
        <v>73</v>
      </c>
      <c r="R17" s="3960"/>
      <c r="S17" s="3960"/>
      <c r="T17" s="3960"/>
      <c r="U17" s="4287"/>
      <c r="V17" s="4285" t="s">
        <v>154</v>
      </c>
      <c r="W17" s="1172"/>
      <c r="X17" s="1172"/>
      <c r="Y17" s="1172"/>
      <c r="Z17" s="4073" t="s">
        <v>36</v>
      </c>
      <c r="AA17" s="3997"/>
      <c r="AB17" s="3997"/>
      <c r="AC17" s="3997"/>
      <c r="AD17" s="3997"/>
      <c r="AE17" s="4074" t="s">
        <v>37</v>
      </c>
      <c r="AF17" s="4075"/>
      <c r="AG17" s="4082"/>
    </row>
    <row r="18" spans="2:33" s="474" customFormat="1" ht="12.75" customHeight="1">
      <c r="B18" s="262"/>
      <c r="C18" s="262"/>
      <c r="D18" s="262"/>
      <c r="E18" s="1179"/>
      <c r="F18" s="881"/>
      <c r="G18" s="3985" t="s">
        <v>543</v>
      </c>
      <c r="H18" s="3986"/>
      <c r="I18" s="3986"/>
      <c r="J18" s="3986"/>
      <c r="K18" s="3986"/>
      <c r="L18" s="3986"/>
      <c r="M18" s="3986"/>
      <c r="N18" s="3987"/>
      <c r="O18" s="3988" t="str">
        <f>CONCATENATE("$0's, real ",dms_DollarReal)</f>
        <v>$0's, real December 2017</v>
      </c>
      <c r="P18" s="3989"/>
      <c r="Q18" s="3989"/>
      <c r="R18" s="3989"/>
      <c r="S18" s="3989"/>
      <c r="T18" s="3989"/>
      <c r="U18" s="4199"/>
      <c r="V18" s="4285"/>
      <c r="W18" s="1172"/>
      <c r="X18" s="1172"/>
      <c r="Y18" s="1172"/>
      <c r="Z18" s="4083" t="str">
        <f>CONCATENATE("$0's, real ",dms_DollarReal)</f>
        <v>$0's, real December 2017</v>
      </c>
      <c r="AA18" s="3989"/>
      <c r="AB18" s="3989"/>
      <c r="AC18" s="3989"/>
      <c r="AD18" s="3989"/>
      <c r="AE18" s="3989"/>
      <c r="AF18" s="3989"/>
      <c r="AG18" s="3990"/>
    </row>
    <row r="19" spans="2:33" s="474" customFormat="1" ht="15" customHeight="1">
      <c r="B19" s="262"/>
      <c r="C19" s="262"/>
      <c r="D19" s="262"/>
      <c r="E19" s="1179"/>
      <c r="F19" s="881"/>
      <c r="G19" s="3985" t="s">
        <v>54</v>
      </c>
      <c r="H19" s="3986"/>
      <c r="I19" s="3986"/>
      <c r="J19" s="3986"/>
      <c r="K19" s="3986"/>
      <c r="L19" s="3986"/>
      <c r="M19" s="3986"/>
      <c r="N19" s="3987"/>
      <c r="O19" s="3988" t="s">
        <v>55</v>
      </c>
      <c r="P19" s="3989"/>
      <c r="Q19" s="3989"/>
      <c r="R19" s="3989"/>
      <c r="S19" s="3989"/>
      <c r="T19" s="3989"/>
      <c r="U19" s="4199"/>
      <c r="V19" s="4285"/>
      <c r="W19" s="1172"/>
      <c r="X19" s="1172"/>
      <c r="Y19" s="1172"/>
      <c r="Z19" s="3985" t="s">
        <v>54</v>
      </c>
      <c r="AA19" s="3986"/>
      <c r="AB19" s="3986"/>
      <c r="AC19" s="3986"/>
      <c r="AD19" s="3986"/>
      <c r="AE19" s="3986"/>
      <c r="AF19" s="3986"/>
      <c r="AG19" s="4030"/>
    </row>
    <row r="20" spans="2:33" s="474" customFormat="1" ht="15" customHeight="1" thickBot="1">
      <c r="B20" s="262"/>
      <c r="C20" s="262"/>
      <c r="D20" s="262"/>
      <c r="E20" s="3478"/>
      <c r="F20" s="3505"/>
      <c r="G20" s="1438">
        <f t="array" ref="G20:K20">PRCP</f>
        <v>2008</v>
      </c>
      <c r="H20" s="342">
        <v>2009</v>
      </c>
      <c r="I20" s="342">
        <v>2010</v>
      </c>
      <c r="J20" s="342">
        <v>2011</v>
      </c>
      <c r="K20" s="342">
        <v>2012</v>
      </c>
      <c r="L20" s="344">
        <f>CRCP_y1</f>
        <v>2013</v>
      </c>
      <c r="M20" s="344">
        <f>CRCP_y2</f>
        <v>2014</v>
      </c>
      <c r="N20" s="344">
        <f>CRCP_y3</f>
        <v>2015</v>
      </c>
      <c r="O20" s="344">
        <f>CRCP_y4</f>
        <v>2016</v>
      </c>
      <c r="P20" s="344">
        <f>CRCP_y5</f>
        <v>2017</v>
      </c>
      <c r="Q20" s="342" t="str">
        <f t="array" ref="Q20:U20">FRCP</f>
        <v>2018</v>
      </c>
      <c r="R20" s="342">
        <v>2019</v>
      </c>
      <c r="S20" s="342">
        <v>2020</v>
      </c>
      <c r="T20" s="342">
        <v>2021</v>
      </c>
      <c r="U20" s="686">
        <v>2022</v>
      </c>
      <c r="V20" s="4286"/>
      <c r="W20" s="1172"/>
      <c r="X20" s="1172"/>
      <c r="Y20" s="1172"/>
      <c r="Z20" s="1438">
        <f t="array" ref="Z20:AD20">PRCP</f>
        <v>2008</v>
      </c>
      <c r="AA20" s="342">
        <v>2009</v>
      </c>
      <c r="AB20" s="342">
        <v>2010</v>
      </c>
      <c r="AC20" s="342">
        <v>2011</v>
      </c>
      <c r="AD20" s="342">
        <v>2012</v>
      </c>
      <c r="AE20" s="344">
        <f>CRCP_y1</f>
        <v>2013</v>
      </c>
      <c r="AF20" s="344">
        <f>CRCP_y2</f>
        <v>2014</v>
      </c>
      <c r="AG20" s="542">
        <f>CRCP_y3</f>
        <v>2015</v>
      </c>
    </row>
    <row r="21" spans="2:33" s="78" customFormat="1" ht="12.75" customHeight="1">
      <c r="D21" s="262"/>
      <c r="E21" s="4278" t="s">
        <v>1790</v>
      </c>
      <c r="F21" s="842" t="s">
        <v>598</v>
      </c>
      <c r="G21" s="527"/>
      <c r="H21" s="528"/>
      <c r="I21" s="528"/>
      <c r="J21" s="528"/>
      <c r="K21" s="528"/>
      <c r="L21" s="538"/>
      <c r="M21" s="539"/>
      <c r="N21" s="539"/>
      <c r="O21" s="539"/>
      <c r="P21" s="3861"/>
      <c r="Q21" s="3862"/>
      <c r="R21" s="3861"/>
      <c r="S21" s="3861"/>
      <c r="T21" s="3861"/>
      <c r="U21" s="3863"/>
      <c r="V21" s="4281"/>
      <c r="W21" s="1172"/>
      <c r="X21" s="1172"/>
      <c r="Y21" s="1172"/>
      <c r="Z21" s="527"/>
      <c r="AA21" s="528"/>
      <c r="AB21" s="528"/>
      <c r="AC21" s="528"/>
      <c r="AD21" s="528"/>
      <c r="AE21" s="538"/>
      <c r="AF21" s="539"/>
      <c r="AG21" s="540"/>
    </row>
    <row r="22" spans="2:33" ht="12.75" customHeight="1">
      <c r="B22" s="78"/>
      <c r="C22" s="78"/>
      <c r="D22" s="262"/>
      <c r="E22" s="4279"/>
      <c r="F22" s="516" t="s">
        <v>559</v>
      </c>
      <c r="G22" s="470"/>
      <c r="H22" s="468"/>
      <c r="I22" s="468"/>
      <c r="J22" s="468"/>
      <c r="K22" s="468"/>
      <c r="L22" s="459"/>
      <c r="M22" s="458"/>
      <c r="N22" s="458"/>
      <c r="O22" s="458"/>
      <c r="P22" s="3864"/>
      <c r="Q22" s="3794"/>
      <c r="R22" s="3788"/>
      <c r="S22" s="3788"/>
      <c r="T22" s="3788"/>
      <c r="U22" s="3793"/>
      <c r="V22" s="4282"/>
      <c r="W22" s="1172"/>
      <c r="X22" s="1172"/>
      <c r="Y22" s="1172"/>
      <c r="Z22" s="470"/>
      <c r="AA22" s="468"/>
      <c r="AB22" s="468"/>
      <c r="AC22" s="468"/>
      <c r="AD22" s="468"/>
      <c r="AE22" s="462"/>
      <c r="AF22" s="463"/>
      <c r="AG22" s="464"/>
    </row>
    <row r="23" spans="2:33" ht="12.75" customHeight="1">
      <c r="D23" s="262"/>
      <c r="E23" s="4279"/>
      <c r="F23" s="516" t="s">
        <v>558</v>
      </c>
      <c r="G23" s="470"/>
      <c r="H23" s="468"/>
      <c r="I23" s="468"/>
      <c r="J23" s="468"/>
      <c r="K23" s="468"/>
      <c r="L23" s="459"/>
      <c r="M23" s="458"/>
      <c r="N23" s="458"/>
      <c r="O23" s="458"/>
      <c r="P23" s="3864"/>
      <c r="Q23" s="3794"/>
      <c r="R23" s="3788"/>
      <c r="S23" s="3788"/>
      <c r="T23" s="3788"/>
      <c r="U23" s="3793"/>
      <c r="V23" s="4282"/>
      <c r="W23" s="1172"/>
      <c r="X23" s="1172"/>
      <c r="Y23" s="1172"/>
      <c r="Z23" s="470"/>
      <c r="AA23" s="468"/>
      <c r="AB23" s="468"/>
      <c r="AC23" s="468"/>
      <c r="AD23" s="468"/>
      <c r="AE23" s="462"/>
      <c r="AF23" s="463"/>
      <c r="AG23" s="464"/>
    </row>
    <row r="24" spans="2:33" ht="12.75" customHeight="1">
      <c r="D24" s="262"/>
      <c r="E24" s="4279"/>
      <c r="F24" s="516" t="s">
        <v>578</v>
      </c>
      <c r="G24" s="470"/>
      <c r="H24" s="468"/>
      <c r="I24" s="468"/>
      <c r="J24" s="468"/>
      <c r="K24" s="468"/>
      <c r="L24" s="459"/>
      <c r="M24" s="458"/>
      <c r="N24" s="458"/>
      <c r="O24" s="458"/>
      <c r="P24" s="3864"/>
      <c r="Q24" s="3794"/>
      <c r="R24" s="3788"/>
      <c r="S24" s="3788"/>
      <c r="T24" s="3788"/>
      <c r="U24" s="3793"/>
      <c r="V24" s="4282"/>
      <c r="W24" s="1172"/>
      <c r="X24" s="1172"/>
      <c r="Y24" s="1172"/>
      <c r="Z24" s="470"/>
      <c r="AA24" s="468"/>
      <c r="AB24" s="468"/>
      <c r="AC24" s="468"/>
      <c r="AD24" s="468"/>
      <c r="AE24" s="462"/>
      <c r="AF24" s="463"/>
      <c r="AG24" s="464"/>
    </row>
    <row r="25" spans="2:33" ht="12.75" customHeight="1">
      <c r="D25" s="262"/>
      <c r="E25" s="4279"/>
      <c r="F25" s="517" t="s">
        <v>566</v>
      </c>
      <c r="G25" s="459"/>
      <c r="H25" s="458"/>
      <c r="I25" s="458"/>
      <c r="J25" s="458"/>
      <c r="K25" s="625"/>
      <c r="L25" s="353">
        <f t="shared" ref="L25:O25" si="0">SUM(L22:L24)</f>
        <v>0</v>
      </c>
      <c r="M25" s="354">
        <f t="shared" si="0"/>
        <v>0</v>
      </c>
      <c r="N25" s="354">
        <f t="shared" si="0"/>
        <v>0</v>
      </c>
      <c r="O25" s="354">
        <f t="shared" si="0"/>
        <v>0</v>
      </c>
      <c r="P25" s="3864"/>
      <c r="Q25" s="3794"/>
      <c r="R25" s="3788"/>
      <c r="S25" s="3788"/>
      <c r="T25" s="3788"/>
      <c r="U25" s="3793"/>
      <c r="V25" s="4282"/>
      <c r="W25" s="1172"/>
      <c r="X25" s="1172"/>
      <c r="Y25" s="1172"/>
      <c r="Z25" s="462"/>
      <c r="AA25" s="463"/>
      <c r="AB25" s="463"/>
      <c r="AC25" s="463"/>
      <c r="AD25" s="1190"/>
      <c r="AE25" s="353">
        <f t="shared" ref="AE25:AG25" si="1">SUM(AE22:AE24)</f>
        <v>0</v>
      </c>
      <c r="AF25" s="354">
        <f t="shared" si="1"/>
        <v>0</v>
      </c>
      <c r="AG25" s="450">
        <f t="shared" si="1"/>
        <v>0</v>
      </c>
    </row>
    <row r="26" spans="2:33" ht="12.75" customHeight="1">
      <c r="D26" s="262"/>
      <c r="E26" s="4279"/>
      <c r="F26" s="516" t="s">
        <v>583</v>
      </c>
      <c r="G26" s="459"/>
      <c r="H26" s="458"/>
      <c r="I26" s="458"/>
      <c r="J26" s="458"/>
      <c r="K26" s="625"/>
      <c r="L26" s="429"/>
      <c r="M26" s="476"/>
      <c r="N26" s="476"/>
      <c r="O26" s="476"/>
      <c r="P26" s="3865"/>
      <c r="Q26" s="3811"/>
      <c r="R26" s="3812"/>
      <c r="S26" s="3812"/>
      <c r="T26" s="3812"/>
      <c r="U26" s="3813"/>
      <c r="V26" s="4282"/>
      <c r="W26" s="1172"/>
      <c r="X26" s="1172"/>
      <c r="Y26" s="1172"/>
      <c r="Z26" s="462"/>
      <c r="AA26" s="463"/>
      <c r="AB26" s="463"/>
      <c r="AC26" s="463"/>
      <c r="AD26" s="1190"/>
      <c r="AE26" s="511"/>
      <c r="AF26" s="512"/>
      <c r="AG26" s="547"/>
    </row>
    <row r="27" spans="2:33" ht="12.75" customHeight="1">
      <c r="D27" s="262"/>
      <c r="E27" s="4279"/>
      <c r="F27" s="516" t="s">
        <v>581</v>
      </c>
      <c r="G27" s="459"/>
      <c r="H27" s="458"/>
      <c r="I27" s="458"/>
      <c r="J27" s="458"/>
      <c r="K27" s="625"/>
      <c r="L27" s="472"/>
      <c r="M27" s="467"/>
      <c r="N27" s="467"/>
      <c r="O27" s="467"/>
      <c r="P27" s="3864"/>
      <c r="Q27" s="3794"/>
      <c r="R27" s="3788"/>
      <c r="S27" s="3788"/>
      <c r="T27" s="3788"/>
      <c r="U27" s="3793"/>
      <c r="V27" s="4282"/>
      <c r="W27" s="1172"/>
      <c r="X27" s="1172"/>
      <c r="Y27" s="1172"/>
      <c r="Z27" s="462"/>
      <c r="AA27" s="463"/>
      <c r="AB27" s="463"/>
      <c r="AC27" s="463"/>
      <c r="AD27" s="1190"/>
      <c r="AE27" s="462"/>
      <c r="AF27" s="463"/>
      <c r="AG27" s="464"/>
    </row>
    <row r="28" spans="2:33" ht="12.75" customHeight="1">
      <c r="D28" s="262"/>
      <c r="E28" s="4279"/>
      <c r="F28" s="517" t="s">
        <v>584</v>
      </c>
      <c r="G28" s="353">
        <f t="shared" ref="G28:O28" si="2">SUM(G26:G27)</f>
        <v>0</v>
      </c>
      <c r="H28" s="354">
        <f t="shared" si="2"/>
        <v>0</v>
      </c>
      <c r="I28" s="354">
        <f t="shared" si="2"/>
        <v>0</v>
      </c>
      <c r="J28" s="354">
        <f t="shared" si="2"/>
        <v>0</v>
      </c>
      <c r="K28" s="626">
        <f t="shared" si="2"/>
        <v>0</v>
      </c>
      <c r="L28" s="353">
        <f t="shared" si="2"/>
        <v>0</v>
      </c>
      <c r="M28" s="354">
        <f t="shared" si="2"/>
        <v>0</v>
      </c>
      <c r="N28" s="354">
        <f t="shared" si="2"/>
        <v>0</v>
      </c>
      <c r="O28" s="354">
        <f t="shared" si="2"/>
        <v>0</v>
      </c>
      <c r="P28" s="3864"/>
      <c r="Q28" s="3794"/>
      <c r="R28" s="3788"/>
      <c r="S28" s="3788"/>
      <c r="T28" s="3788"/>
      <c r="U28" s="3788"/>
      <c r="V28" s="4282"/>
      <c r="W28" s="1172"/>
      <c r="X28" s="1172"/>
      <c r="Y28" s="1172"/>
      <c r="Z28" s="353">
        <f t="shared" ref="Z28:AG28" si="3">SUM(Z26:Z27)</f>
        <v>0</v>
      </c>
      <c r="AA28" s="354">
        <f t="shared" si="3"/>
        <v>0</v>
      </c>
      <c r="AB28" s="354">
        <f t="shared" si="3"/>
        <v>0</v>
      </c>
      <c r="AC28" s="354">
        <f t="shared" si="3"/>
        <v>0</v>
      </c>
      <c r="AD28" s="626">
        <f t="shared" si="3"/>
        <v>0</v>
      </c>
      <c r="AE28" s="353">
        <f t="shared" si="3"/>
        <v>0</v>
      </c>
      <c r="AF28" s="354">
        <f t="shared" si="3"/>
        <v>0</v>
      </c>
      <c r="AG28" s="450">
        <f t="shared" si="3"/>
        <v>0</v>
      </c>
    </row>
    <row r="29" spans="2:33" ht="12.75" customHeight="1">
      <c r="D29" s="262"/>
      <c r="E29" s="4279"/>
      <c r="F29" s="516" t="s">
        <v>35</v>
      </c>
      <c r="G29" s="459"/>
      <c r="H29" s="458"/>
      <c r="I29" s="458"/>
      <c r="J29" s="458"/>
      <c r="K29" s="625"/>
      <c r="L29" s="459"/>
      <c r="M29" s="458"/>
      <c r="N29" s="458"/>
      <c r="O29" s="458"/>
      <c r="P29" s="3864"/>
      <c r="Q29" s="3794"/>
      <c r="R29" s="3788"/>
      <c r="S29" s="3788"/>
      <c r="T29" s="3788"/>
      <c r="U29" s="3793"/>
      <c r="V29" s="4282"/>
      <c r="W29" s="1172"/>
      <c r="X29" s="1172"/>
      <c r="Y29" s="1172"/>
      <c r="Z29" s="462"/>
      <c r="AA29" s="463"/>
      <c r="AB29" s="463"/>
      <c r="AC29" s="463"/>
      <c r="AD29" s="1190"/>
      <c r="AE29" s="462"/>
      <c r="AF29" s="463"/>
      <c r="AG29" s="464"/>
    </row>
    <row r="30" spans="2:33" ht="13.5" customHeight="1" thickBot="1">
      <c r="D30" s="262"/>
      <c r="E30" s="4280"/>
      <c r="F30" s="1409" t="s">
        <v>585</v>
      </c>
      <c r="G30" s="1370">
        <f t="shared" ref="G30:K30" si="4">G28-G29</f>
        <v>0</v>
      </c>
      <c r="H30" s="356">
        <f t="shared" si="4"/>
        <v>0</v>
      </c>
      <c r="I30" s="356">
        <f t="shared" si="4"/>
        <v>0</v>
      </c>
      <c r="J30" s="356">
        <f t="shared" si="4"/>
        <v>0</v>
      </c>
      <c r="K30" s="627">
        <f t="shared" si="4"/>
        <v>0</v>
      </c>
      <c r="L30" s="1370">
        <f>L28-L29</f>
        <v>0</v>
      </c>
      <c r="M30" s="356">
        <f>M28-M29</f>
        <v>0</v>
      </c>
      <c r="N30" s="356">
        <f t="shared" ref="N30:O30" si="5">N28-N29</f>
        <v>0</v>
      </c>
      <c r="O30" s="356">
        <f t="shared" si="5"/>
        <v>0</v>
      </c>
      <c r="P30" s="3866"/>
      <c r="Q30" s="3867"/>
      <c r="R30" s="3802"/>
      <c r="S30" s="3802"/>
      <c r="T30" s="3802"/>
      <c r="U30" s="3802"/>
      <c r="V30" s="4283"/>
      <c r="W30" s="1172"/>
      <c r="X30" s="1172"/>
      <c r="Y30" s="1172"/>
      <c r="Z30" s="1370">
        <f t="shared" ref="Z30:AD30" si="6">Z28-Z29</f>
        <v>0</v>
      </c>
      <c r="AA30" s="356">
        <f t="shared" si="6"/>
        <v>0</v>
      </c>
      <c r="AB30" s="356">
        <f t="shared" si="6"/>
        <v>0</v>
      </c>
      <c r="AC30" s="356">
        <f t="shared" si="6"/>
        <v>0</v>
      </c>
      <c r="AD30" s="627">
        <f t="shared" si="6"/>
        <v>0</v>
      </c>
      <c r="AE30" s="1370">
        <f>AE28-AE29</f>
        <v>0</v>
      </c>
      <c r="AF30" s="356">
        <f>AF28-AF29</f>
        <v>0</v>
      </c>
      <c r="AG30" s="503">
        <f t="shared" ref="AG30" si="7">AG28-AG29</f>
        <v>0</v>
      </c>
    </row>
    <row r="31" spans="2:33" s="78" customFormat="1" ht="12.75" customHeight="1">
      <c r="D31" s="262"/>
      <c r="E31" s="4278" t="s">
        <v>1791</v>
      </c>
      <c r="F31" s="842" t="s">
        <v>598</v>
      </c>
      <c r="G31" s="470"/>
      <c r="H31" s="468"/>
      <c r="I31" s="468"/>
      <c r="J31" s="468"/>
      <c r="K31" s="468"/>
      <c r="L31" s="538"/>
      <c r="M31" s="539"/>
      <c r="N31" s="539"/>
      <c r="O31" s="539"/>
      <c r="P31" s="3861"/>
      <c r="Q31" s="3862"/>
      <c r="R31" s="3861"/>
      <c r="S31" s="3861"/>
      <c r="T31" s="3861"/>
      <c r="U31" s="3863"/>
      <c r="V31" s="4281"/>
      <c r="W31" s="1172"/>
      <c r="X31" s="1172"/>
      <c r="Y31" s="1172"/>
      <c r="Z31" s="470"/>
      <c r="AA31" s="468"/>
      <c r="AB31" s="468"/>
      <c r="AC31" s="468"/>
      <c r="AD31" s="468"/>
      <c r="AE31" s="538"/>
      <c r="AF31" s="539"/>
      <c r="AG31" s="540"/>
    </row>
    <row r="32" spans="2:33" s="474" customFormat="1" ht="12.75" customHeight="1">
      <c r="B32" s="78"/>
      <c r="C32" s="78"/>
      <c r="D32" s="262"/>
      <c r="E32" s="4279"/>
      <c r="F32" s="516" t="s">
        <v>559</v>
      </c>
      <c r="G32" s="470"/>
      <c r="H32" s="468"/>
      <c r="I32" s="468"/>
      <c r="J32" s="468"/>
      <c r="K32" s="468"/>
      <c r="L32" s="459"/>
      <c r="M32" s="458"/>
      <c r="N32" s="458"/>
      <c r="O32" s="458"/>
      <c r="P32" s="3864"/>
      <c r="Q32" s="3794"/>
      <c r="R32" s="3788"/>
      <c r="S32" s="3788"/>
      <c r="T32" s="3788"/>
      <c r="U32" s="3793"/>
      <c r="V32" s="4282"/>
      <c r="W32" s="1172"/>
      <c r="X32" s="1172"/>
      <c r="Y32" s="1172"/>
      <c r="Z32" s="470"/>
      <c r="AA32" s="468"/>
      <c r="AB32" s="468"/>
      <c r="AC32" s="468"/>
      <c r="AD32" s="468"/>
      <c r="AE32" s="462"/>
      <c r="AF32" s="463"/>
      <c r="AG32" s="464"/>
    </row>
    <row r="33" spans="2:33" s="474" customFormat="1" ht="12.75" customHeight="1">
      <c r="D33" s="262"/>
      <c r="E33" s="4279"/>
      <c r="F33" s="516" t="s">
        <v>558</v>
      </c>
      <c r="G33" s="470"/>
      <c r="H33" s="468"/>
      <c r="I33" s="468"/>
      <c r="J33" s="468"/>
      <c r="K33" s="468"/>
      <c r="L33" s="459"/>
      <c r="M33" s="458"/>
      <c r="N33" s="458"/>
      <c r="O33" s="458"/>
      <c r="P33" s="3864"/>
      <c r="Q33" s="3794"/>
      <c r="R33" s="3788"/>
      <c r="S33" s="3788"/>
      <c r="T33" s="3788"/>
      <c r="U33" s="3793"/>
      <c r="V33" s="4282"/>
      <c r="W33" s="1172"/>
      <c r="X33" s="1172"/>
      <c r="Y33" s="1172"/>
      <c r="Z33" s="470"/>
      <c r="AA33" s="468"/>
      <c r="AB33" s="468"/>
      <c r="AC33" s="468"/>
      <c r="AD33" s="468"/>
      <c r="AE33" s="462"/>
      <c r="AF33" s="463"/>
      <c r="AG33" s="464"/>
    </row>
    <row r="34" spans="2:33" s="474" customFormat="1" ht="12.75" customHeight="1">
      <c r="D34" s="262"/>
      <c r="E34" s="4279"/>
      <c r="F34" s="516" t="s">
        <v>578</v>
      </c>
      <c r="G34" s="470"/>
      <c r="H34" s="468"/>
      <c r="I34" s="468"/>
      <c r="J34" s="468"/>
      <c r="K34" s="468"/>
      <c r="L34" s="459"/>
      <c r="M34" s="458"/>
      <c r="N34" s="458"/>
      <c r="O34" s="458"/>
      <c r="P34" s="3864"/>
      <c r="Q34" s="3794"/>
      <c r="R34" s="3788"/>
      <c r="S34" s="3788"/>
      <c r="T34" s="3788"/>
      <c r="U34" s="3793"/>
      <c r="V34" s="4282"/>
      <c r="W34" s="1172"/>
      <c r="X34" s="1172"/>
      <c r="Y34" s="1172"/>
      <c r="Z34" s="470"/>
      <c r="AA34" s="468"/>
      <c r="AB34" s="468"/>
      <c r="AC34" s="468"/>
      <c r="AD34" s="468"/>
      <c r="AE34" s="462"/>
      <c r="AF34" s="463"/>
      <c r="AG34" s="464"/>
    </row>
    <row r="35" spans="2:33" s="474" customFormat="1" ht="12.75" customHeight="1">
      <c r="D35" s="262"/>
      <c r="E35" s="4279"/>
      <c r="F35" s="517" t="s">
        <v>566</v>
      </c>
      <c r="G35" s="459"/>
      <c r="H35" s="458"/>
      <c r="I35" s="458"/>
      <c r="J35" s="458"/>
      <c r="K35" s="625"/>
      <c r="L35" s="353">
        <f t="shared" ref="L35:O35" si="8">SUM(L32:L34)</f>
        <v>0</v>
      </c>
      <c r="M35" s="354">
        <f t="shared" si="8"/>
        <v>0</v>
      </c>
      <c r="N35" s="354">
        <f t="shared" si="8"/>
        <v>0</v>
      </c>
      <c r="O35" s="354">
        <f t="shared" si="8"/>
        <v>0</v>
      </c>
      <c r="P35" s="3864"/>
      <c r="Q35" s="3794"/>
      <c r="R35" s="3788"/>
      <c r="S35" s="3788"/>
      <c r="T35" s="3788"/>
      <c r="U35" s="3793"/>
      <c r="V35" s="4282"/>
      <c r="W35" s="1172"/>
      <c r="X35" s="1172"/>
      <c r="Y35" s="1172"/>
      <c r="Z35" s="462"/>
      <c r="AA35" s="463"/>
      <c r="AB35" s="463"/>
      <c r="AC35" s="463"/>
      <c r="AD35" s="1190"/>
      <c r="AE35" s="353">
        <f t="shared" ref="AE35:AG35" si="9">SUM(AE32:AE34)</f>
        <v>0</v>
      </c>
      <c r="AF35" s="354">
        <f t="shared" si="9"/>
        <v>0</v>
      </c>
      <c r="AG35" s="450">
        <f t="shared" si="9"/>
        <v>0</v>
      </c>
    </row>
    <row r="36" spans="2:33" s="474" customFormat="1" ht="12.75" customHeight="1">
      <c r="D36" s="262"/>
      <c r="E36" s="4279"/>
      <c r="F36" s="516" t="s">
        <v>583</v>
      </c>
      <c r="G36" s="459"/>
      <c r="H36" s="458"/>
      <c r="I36" s="458"/>
      <c r="J36" s="458"/>
      <c r="K36" s="625"/>
      <c r="L36" s="429"/>
      <c r="M36" s="476"/>
      <c r="N36" s="476"/>
      <c r="O36" s="476"/>
      <c r="P36" s="3865"/>
      <c r="Q36" s="3811"/>
      <c r="R36" s="3812"/>
      <c r="S36" s="3812"/>
      <c r="T36" s="3812"/>
      <c r="U36" s="3813"/>
      <c r="V36" s="4282"/>
      <c r="W36" s="1172"/>
      <c r="X36" s="1172"/>
      <c r="Y36" s="1172"/>
      <c r="Z36" s="462"/>
      <c r="AA36" s="463"/>
      <c r="AB36" s="463"/>
      <c r="AC36" s="463"/>
      <c r="AD36" s="1190"/>
      <c r="AE36" s="511"/>
      <c r="AF36" s="512"/>
      <c r="AG36" s="547"/>
    </row>
    <row r="37" spans="2:33" s="474" customFormat="1" ht="12.75" customHeight="1">
      <c r="D37" s="262"/>
      <c r="E37" s="4279"/>
      <c r="F37" s="516" t="s">
        <v>581</v>
      </c>
      <c r="G37" s="459"/>
      <c r="H37" s="458"/>
      <c r="I37" s="458"/>
      <c r="J37" s="458"/>
      <c r="K37" s="625"/>
      <c r="L37" s="472"/>
      <c r="M37" s="467"/>
      <c r="N37" s="467"/>
      <c r="O37" s="467"/>
      <c r="P37" s="3864"/>
      <c r="Q37" s="3794"/>
      <c r="R37" s="3788"/>
      <c r="S37" s="3788"/>
      <c r="T37" s="3788"/>
      <c r="U37" s="3793"/>
      <c r="V37" s="4282"/>
      <c r="W37" s="1172"/>
      <c r="X37" s="1172"/>
      <c r="Y37" s="1172"/>
      <c r="Z37" s="462"/>
      <c r="AA37" s="463"/>
      <c r="AB37" s="463"/>
      <c r="AC37" s="463"/>
      <c r="AD37" s="1190"/>
      <c r="AE37" s="462"/>
      <c r="AF37" s="463"/>
      <c r="AG37" s="464"/>
    </row>
    <row r="38" spans="2:33" s="474" customFormat="1" ht="12.75" customHeight="1">
      <c r="D38" s="262"/>
      <c r="E38" s="4279"/>
      <c r="F38" s="517" t="s">
        <v>584</v>
      </c>
      <c r="G38" s="353">
        <f t="shared" ref="G38:O38" si="10">SUM(G36:G37)</f>
        <v>0</v>
      </c>
      <c r="H38" s="354">
        <f t="shared" si="10"/>
        <v>0</v>
      </c>
      <c r="I38" s="354">
        <f t="shared" si="10"/>
        <v>0</v>
      </c>
      <c r="J38" s="354">
        <f t="shared" si="10"/>
        <v>0</v>
      </c>
      <c r="K38" s="626">
        <f t="shared" si="10"/>
        <v>0</v>
      </c>
      <c r="L38" s="353">
        <f t="shared" si="10"/>
        <v>0</v>
      </c>
      <c r="M38" s="354">
        <f t="shared" si="10"/>
        <v>0</v>
      </c>
      <c r="N38" s="354">
        <f t="shared" si="10"/>
        <v>0</v>
      </c>
      <c r="O38" s="354">
        <f t="shared" si="10"/>
        <v>0</v>
      </c>
      <c r="P38" s="3864"/>
      <c r="Q38" s="3794"/>
      <c r="R38" s="3788"/>
      <c r="S38" s="3788"/>
      <c r="T38" s="3788"/>
      <c r="U38" s="3793"/>
      <c r="V38" s="4282"/>
      <c r="W38" s="1172"/>
      <c r="X38" s="1172"/>
      <c r="Y38" s="1172"/>
      <c r="Z38" s="353">
        <f t="shared" ref="Z38:AG38" si="11">SUM(Z36:Z37)</f>
        <v>0</v>
      </c>
      <c r="AA38" s="354">
        <f t="shared" si="11"/>
        <v>0</v>
      </c>
      <c r="AB38" s="354">
        <f t="shared" si="11"/>
        <v>0</v>
      </c>
      <c r="AC38" s="354">
        <f t="shared" si="11"/>
        <v>0</v>
      </c>
      <c r="AD38" s="626">
        <f t="shared" si="11"/>
        <v>0</v>
      </c>
      <c r="AE38" s="353">
        <f t="shared" si="11"/>
        <v>0</v>
      </c>
      <c r="AF38" s="354">
        <f t="shared" si="11"/>
        <v>0</v>
      </c>
      <c r="AG38" s="450">
        <f t="shared" si="11"/>
        <v>0</v>
      </c>
    </row>
    <row r="39" spans="2:33" s="474" customFormat="1" ht="12.75" customHeight="1">
      <c r="D39" s="262"/>
      <c r="E39" s="4279"/>
      <c r="F39" s="516" t="s">
        <v>35</v>
      </c>
      <c r="G39" s="459"/>
      <c r="H39" s="458"/>
      <c r="I39" s="458"/>
      <c r="J39" s="458"/>
      <c r="K39" s="625"/>
      <c r="L39" s="459"/>
      <c r="M39" s="458"/>
      <c r="N39" s="458"/>
      <c r="O39" s="458"/>
      <c r="P39" s="3864"/>
      <c r="Q39" s="3794"/>
      <c r="R39" s="3788"/>
      <c r="S39" s="3788"/>
      <c r="T39" s="3788"/>
      <c r="U39" s="3793"/>
      <c r="V39" s="4282"/>
      <c r="W39" s="1172"/>
      <c r="X39" s="1172"/>
      <c r="Y39" s="1172"/>
      <c r="Z39" s="462"/>
      <c r="AA39" s="463"/>
      <c r="AB39" s="463"/>
      <c r="AC39" s="463"/>
      <c r="AD39" s="1190"/>
      <c r="AE39" s="462"/>
      <c r="AF39" s="463"/>
      <c r="AG39" s="464"/>
    </row>
    <row r="40" spans="2:33" s="474" customFormat="1" ht="13.5" customHeight="1" thickBot="1">
      <c r="D40" s="262"/>
      <c r="E40" s="4280"/>
      <c r="F40" s="1409" t="s">
        <v>585</v>
      </c>
      <c r="G40" s="1370">
        <f t="shared" ref="G40:K40" si="12">G38-G39</f>
        <v>0</v>
      </c>
      <c r="H40" s="356">
        <f t="shared" si="12"/>
        <v>0</v>
      </c>
      <c r="I40" s="356">
        <f t="shared" si="12"/>
        <v>0</v>
      </c>
      <c r="J40" s="356">
        <f t="shared" si="12"/>
        <v>0</v>
      </c>
      <c r="K40" s="627">
        <f t="shared" si="12"/>
        <v>0</v>
      </c>
      <c r="L40" s="1370">
        <f>L38-L39</f>
        <v>0</v>
      </c>
      <c r="M40" s="356">
        <f>M38-M39</f>
        <v>0</v>
      </c>
      <c r="N40" s="356">
        <f t="shared" ref="N40:O40" si="13">N38-N39</f>
        <v>0</v>
      </c>
      <c r="O40" s="356">
        <f t="shared" si="13"/>
        <v>0</v>
      </c>
      <c r="P40" s="3866"/>
      <c r="Q40" s="3867"/>
      <c r="R40" s="3802"/>
      <c r="S40" s="3802"/>
      <c r="T40" s="3802"/>
      <c r="U40" s="3803"/>
      <c r="V40" s="4283"/>
      <c r="W40" s="1172"/>
      <c r="X40" s="1172"/>
      <c r="Y40" s="1172"/>
      <c r="Z40" s="1370">
        <f t="shared" ref="Z40:AD40" si="14">Z38-Z39</f>
        <v>0</v>
      </c>
      <c r="AA40" s="356">
        <f t="shared" si="14"/>
        <v>0</v>
      </c>
      <c r="AB40" s="356">
        <f t="shared" si="14"/>
        <v>0</v>
      </c>
      <c r="AC40" s="356">
        <f t="shared" si="14"/>
        <v>0</v>
      </c>
      <c r="AD40" s="627">
        <f t="shared" si="14"/>
        <v>0</v>
      </c>
      <c r="AE40" s="1370">
        <f>AE38-AE39</f>
        <v>0</v>
      </c>
      <c r="AF40" s="356">
        <f>AF38-AF39</f>
        <v>0</v>
      </c>
      <c r="AG40" s="503">
        <f t="shared" ref="AG40" si="15">AG38-AG39</f>
        <v>0</v>
      </c>
    </row>
    <row r="41" spans="2:33" s="78" customFormat="1" ht="12.75" customHeight="1">
      <c r="D41" s="262"/>
      <c r="E41" s="4278" t="s">
        <v>1792</v>
      </c>
      <c r="F41" s="842" t="s">
        <v>598</v>
      </c>
      <c r="G41" s="527"/>
      <c r="H41" s="528"/>
      <c r="I41" s="528"/>
      <c r="J41" s="528"/>
      <c r="K41" s="528"/>
      <c r="L41" s="538"/>
      <c r="M41" s="539"/>
      <c r="N41" s="539"/>
      <c r="O41" s="539"/>
      <c r="P41" s="3861"/>
      <c r="Q41" s="3862"/>
      <c r="R41" s="3861"/>
      <c r="S41" s="3861"/>
      <c r="T41" s="3861"/>
      <c r="U41" s="3863"/>
      <c r="V41" s="4281"/>
      <c r="W41" s="1172"/>
      <c r="X41" s="1172"/>
      <c r="Y41" s="1172"/>
      <c r="Z41" s="527"/>
      <c r="AA41" s="528"/>
      <c r="AB41" s="528"/>
      <c r="AC41" s="528"/>
      <c r="AD41" s="528"/>
      <c r="AE41" s="538"/>
      <c r="AF41" s="539"/>
      <c r="AG41" s="540"/>
    </row>
    <row r="42" spans="2:33" s="474" customFormat="1" ht="12.75" customHeight="1">
      <c r="B42" s="78"/>
      <c r="C42" s="78"/>
      <c r="D42" s="262"/>
      <c r="E42" s="4279"/>
      <c r="F42" s="516" t="s">
        <v>559</v>
      </c>
      <c r="G42" s="470"/>
      <c r="H42" s="468"/>
      <c r="I42" s="468"/>
      <c r="J42" s="468"/>
      <c r="K42" s="468"/>
      <c r="L42" s="459"/>
      <c r="M42" s="458"/>
      <c r="N42" s="458"/>
      <c r="O42" s="458"/>
      <c r="P42" s="3864"/>
      <c r="Q42" s="3794"/>
      <c r="R42" s="3788"/>
      <c r="S42" s="3788"/>
      <c r="T42" s="3788"/>
      <c r="U42" s="3793"/>
      <c r="V42" s="4282"/>
      <c r="W42" s="1172"/>
      <c r="X42" s="1172"/>
      <c r="Y42" s="1172"/>
      <c r="Z42" s="470"/>
      <c r="AA42" s="468"/>
      <c r="AB42" s="468"/>
      <c r="AC42" s="468"/>
      <c r="AD42" s="468"/>
      <c r="AE42" s="462"/>
      <c r="AF42" s="463"/>
      <c r="AG42" s="464"/>
    </row>
    <row r="43" spans="2:33" s="474" customFormat="1" ht="12.75" customHeight="1">
      <c r="D43" s="262"/>
      <c r="E43" s="4279"/>
      <c r="F43" s="516" t="s">
        <v>558</v>
      </c>
      <c r="G43" s="470"/>
      <c r="H43" s="468"/>
      <c r="I43" s="468"/>
      <c r="J43" s="468"/>
      <c r="K43" s="468"/>
      <c r="L43" s="459"/>
      <c r="M43" s="458"/>
      <c r="N43" s="458"/>
      <c r="O43" s="458"/>
      <c r="P43" s="3864"/>
      <c r="Q43" s="3794"/>
      <c r="R43" s="3788"/>
      <c r="S43" s="3788"/>
      <c r="T43" s="3788"/>
      <c r="U43" s="3793"/>
      <c r="V43" s="4282"/>
      <c r="W43" s="1172"/>
      <c r="X43" s="1172"/>
      <c r="Y43" s="1172"/>
      <c r="Z43" s="470"/>
      <c r="AA43" s="468"/>
      <c r="AB43" s="468"/>
      <c r="AC43" s="468"/>
      <c r="AD43" s="468"/>
      <c r="AE43" s="462"/>
      <c r="AF43" s="463"/>
      <c r="AG43" s="464"/>
    </row>
    <row r="44" spans="2:33" s="474" customFormat="1" ht="12.75" customHeight="1">
      <c r="D44" s="262"/>
      <c r="E44" s="4279"/>
      <c r="F44" s="516" t="s">
        <v>578</v>
      </c>
      <c r="G44" s="470"/>
      <c r="H44" s="468"/>
      <c r="I44" s="468"/>
      <c r="J44" s="468"/>
      <c r="K44" s="468"/>
      <c r="L44" s="459"/>
      <c r="M44" s="458"/>
      <c r="N44" s="458"/>
      <c r="O44" s="458"/>
      <c r="P44" s="3864"/>
      <c r="Q44" s="3794"/>
      <c r="R44" s="3788"/>
      <c r="S44" s="3788"/>
      <c r="T44" s="3788"/>
      <c r="U44" s="3793"/>
      <c r="V44" s="4282"/>
      <c r="W44" s="1172"/>
      <c r="X44" s="1172"/>
      <c r="Y44" s="1172"/>
      <c r="Z44" s="470"/>
      <c r="AA44" s="468"/>
      <c r="AB44" s="468"/>
      <c r="AC44" s="468"/>
      <c r="AD44" s="468"/>
      <c r="AE44" s="462"/>
      <c r="AF44" s="463"/>
      <c r="AG44" s="464"/>
    </row>
    <row r="45" spans="2:33" s="474" customFormat="1" ht="12.75" customHeight="1">
      <c r="D45" s="262"/>
      <c r="E45" s="4279"/>
      <c r="F45" s="517" t="s">
        <v>566</v>
      </c>
      <c r="G45" s="459"/>
      <c r="H45" s="458"/>
      <c r="I45" s="458"/>
      <c r="J45" s="458"/>
      <c r="K45" s="625"/>
      <c r="L45" s="353">
        <f t="shared" ref="L45:O45" si="16">SUM(L42:L44)</f>
        <v>0</v>
      </c>
      <c r="M45" s="354">
        <f t="shared" si="16"/>
        <v>0</v>
      </c>
      <c r="N45" s="354">
        <f t="shared" si="16"/>
        <v>0</v>
      </c>
      <c r="O45" s="354">
        <f t="shared" si="16"/>
        <v>0</v>
      </c>
      <c r="P45" s="3864"/>
      <c r="Q45" s="3794"/>
      <c r="R45" s="3788"/>
      <c r="S45" s="3788"/>
      <c r="T45" s="3788"/>
      <c r="U45" s="3793"/>
      <c r="V45" s="4282"/>
      <c r="W45" s="1172"/>
      <c r="X45" s="1172"/>
      <c r="Y45" s="1172"/>
      <c r="Z45" s="462"/>
      <c r="AA45" s="463"/>
      <c r="AB45" s="463"/>
      <c r="AC45" s="463"/>
      <c r="AD45" s="1190"/>
      <c r="AE45" s="353">
        <f t="shared" ref="AE45:AG45" si="17">SUM(AE42:AE44)</f>
        <v>0</v>
      </c>
      <c r="AF45" s="354">
        <f t="shared" si="17"/>
        <v>0</v>
      </c>
      <c r="AG45" s="450">
        <f t="shared" si="17"/>
        <v>0</v>
      </c>
    </row>
    <row r="46" spans="2:33" s="474" customFormat="1" ht="12.75" customHeight="1">
      <c r="D46" s="262"/>
      <c r="E46" s="4279"/>
      <c r="F46" s="516" t="s">
        <v>583</v>
      </c>
      <c r="G46" s="459"/>
      <c r="H46" s="458"/>
      <c r="I46" s="458"/>
      <c r="J46" s="458"/>
      <c r="K46" s="625"/>
      <c r="L46" s="429"/>
      <c r="M46" s="476"/>
      <c r="N46" s="476"/>
      <c r="O46" s="476"/>
      <c r="P46" s="3865"/>
      <c r="Q46" s="3811"/>
      <c r="R46" s="3812"/>
      <c r="S46" s="3812"/>
      <c r="T46" s="3812"/>
      <c r="U46" s="3813"/>
      <c r="V46" s="4282"/>
      <c r="W46" s="1172"/>
      <c r="X46" s="1172"/>
      <c r="Y46" s="1172"/>
      <c r="Z46" s="462"/>
      <c r="AA46" s="463"/>
      <c r="AB46" s="463"/>
      <c r="AC46" s="463"/>
      <c r="AD46" s="1190"/>
      <c r="AE46" s="511"/>
      <c r="AF46" s="512"/>
      <c r="AG46" s="547"/>
    </row>
    <row r="47" spans="2:33" s="474" customFormat="1" ht="12.75" customHeight="1">
      <c r="D47" s="262"/>
      <c r="E47" s="4279"/>
      <c r="F47" s="516" t="s">
        <v>581</v>
      </c>
      <c r="G47" s="459"/>
      <c r="H47" s="458"/>
      <c r="I47" s="458"/>
      <c r="J47" s="458"/>
      <c r="K47" s="625"/>
      <c r="L47" s="472"/>
      <c r="M47" s="467"/>
      <c r="N47" s="467"/>
      <c r="O47" s="467"/>
      <c r="P47" s="3864"/>
      <c r="Q47" s="3794"/>
      <c r="R47" s="3788"/>
      <c r="S47" s="3788"/>
      <c r="T47" s="3788"/>
      <c r="U47" s="3793"/>
      <c r="V47" s="4282"/>
      <c r="W47" s="1172"/>
      <c r="X47" s="1172"/>
      <c r="Y47" s="1172"/>
      <c r="Z47" s="462"/>
      <c r="AA47" s="463"/>
      <c r="AB47" s="463"/>
      <c r="AC47" s="463"/>
      <c r="AD47" s="1190"/>
      <c r="AE47" s="462"/>
      <c r="AF47" s="463"/>
      <c r="AG47" s="464"/>
    </row>
    <row r="48" spans="2:33" s="474" customFormat="1" ht="12.75" customHeight="1">
      <c r="D48" s="262"/>
      <c r="E48" s="4279"/>
      <c r="F48" s="517" t="s">
        <v>584</v>
      </c>
      <c r="G48" s="353">
        <f t="shared" ref="G48:O48" si="18">SUM(G46:G47)</f>
        <v>0</v>
      </c>
      <c r="H48" s="354">
        <f t="shared" si="18"/>
        <v>0</v>
      </c>
      <c r="I48" s="354">
        <f t="shared" si="18"/>
        <v>0</v>
      </c>
      <c r="J48" s="354">
        <f t="shared" si="18"/>
        <v>0</v>
      </c>
      <c r="K48" s="626">
        <f t="shared" si="18"/>
        <v>0</v>
      </c>
      <c r="L48" s="353">
        <f t="shared" si="18"/>
        <v>0</v>
      </c>
      <c r="M48" s="354">
        <f t="shared" si="18"/>
        <v>0</v>
      </c>
      <c r="N48" s="354">
        <f t="shared" si="18"/>
        <v>0</v>
      </c>
      <c r="O48" s="354">
        <f t="shared" si="18"/>
        <v>0</v>
      </c>
      <c r="P48" s="3864"/>
      <c r="Q48" s="3794"/>
      <c r="R48" s="3788"/>
      <c r="S48" s="3788"/>
      <c r="T48" s="3788"/>
      <c r="U48" s="3793"/>
      <c r="V48" s="4282"/>
      <c r="W48" s="1172"/>
      <c r="X48" s="1172"/>
      <c r="Y48" s="1172"/>
      <c r="Z48" s="353">
        <f t="shared" ref="Z48:AG48" si="19">SUM(Z46:Z47)</f>
        <v>0</v>
      </c>
      <c r="AA48" s="354">
        <f t="shared" si="19"/>
        <v>0</v>
      </c>
      <c r="AB48" s="354">
        <f t="shared" si="19"/>
        <v>0</v>
      </c>
      <c r="AC48" s="354">
        <f t="shared" si="19"/>
        <v>0</v>
      </c>
      <c r="AD48" s="626">
        <f t="shared" si="19"/>
        <v>0</v>
      </c>
      <c r="AE48" s="353">
        <f t="shared" si="19"/>
        <v>0</v>
      </c>
      <c r="AF48" s="354">
        <f t="shared" si="19"/>
        <v>0</v>
      </c>
      <c r="AG48" s="450">
        <f t="shared" si="19"/>
        <v>0</v>
      </c>
    </row>
    <row r="49" spans="1:34" s="474" customFormat="1" ht="12.75" customHeight="1">
      <c r="D49" s="262"/>
      <c r="E49" s="4279"/>
      <c r="F49" s="516" t="s">
        <v>35</v>
      </c>
      <c r="G49" s="459"/>
      <c r="H49" s="458"/>
      <c r="I49" s="458"/>
      <c r="J49" s="458"/>
      <c r="K49" s="625"/>
      <c r="L49" s="459"/>
      <c r="M49" s="458"/>
      <c r="N49" s="458"/>
      <c r="O49" s="458"/>
      <c r="P49" s="3864"/>
      <c r="Q49" s="3794"/>
      <c r="R49" s="3788"/>
      <c r="S49" s="3788"/>
      <c r="T49" s="3788"/>
      <c r="U49" s="3793"/>
      <c r="V49" s="4282"/>
      <c r="W49" s="1172"/>
      <c r="X49" s="1172"/>
      <c r="Y49" s="1172"/>
      <c r="Z49" s="462"/>
      <c r="AA49" s="463"/>
      <c r="AB49" s="463"/>
      <c r="AC49" s="463"/>
      <c r="AD49" s="1190"/>
      <c r="AE49" s="462"/>
      <c r="AF49" s="463"/>
      <c r="AG49" s="464"/>
    </row>
    <row r="50" spans="1:34" s="474" customFormat="1" ht="13.5" customHeight="1" thickBot="1">
      <c r="D50" s="262"/>
      <c r="E50" s="4280"/>
      <c r="F50" s="1409" t="s">
        <v>585</v>
      </c>
      <c r="G50" s="1370">
        <f t="shared" ref="G50:K50" si="20">G48-G49</f>
        <v>0</v>
      </c>
      <c r="H50" s="356">
        <f t="shared" si="20"/>
        <v>0</v>
      </c>
      <c r="I50" s="356">
        <f t="shared" si="20"/>
        <v>0</v>
      </c>
      <c r="J50" s="356">
        <f t="shared" si="20"/>
        <v>0</v>
      </c>
      <c r="K50" s="627">
        <f t="shared" si="20"/>
        <v>0</v>
      </c>
      <c r="L50" s="1370">
        <f>L48-L49</f>
        <v>0</v>
      </c>
      <c r="M50" s="356">
        <f>M48-M49</f>
        <v>0</v>
      </c>
      <c r="N50" s="356">
        <f t="shared" ref="N50:O50" si="21">N48-N49</f>
        <v>0</v>
      </c>
      <c r="O50" s="356">
        <f t="shared" si="21"/>
        <v>0</v>
      </c>
      <c r="P50" s="3866"/>
      <c r="Q50" s="3867"/>
      <c r="R50" s="3802"/>
      <c r="S50" s="3802"/>
      <c r="T50" s="3802"/>
      <c r="U50" s="3803"/>
      <c r="V50" s="4283"/>
      <c r="W50" s="1172"/>
      <c r="X50" s="1172"/>
      <c r="Y50" s="1172"/>
      <c r="Z50" s="1370">
        <f t="shared" ref="Z50:AD50" si="22">Z48-Z49</f>
        <v>0</v>
      </c>
      <c r="AA50" s="356">
        <f t="shared" si="22"/>
        <v>0</v>
      </c>
      <c r="AB50" s="356">
        <f t="shared" si="22"/>
        <v>0</v>
      </c>
      <c r="AC50" s="356">
        <f t="shared" si="22"/>
        <v>0</v>
      </c>
      <c r="AD50" s="627">
        <f t="shared" si="22"/>
        <v>0</v>
      </c>
      <c r="AE50" s="1370">
        <f>AE48-AE49</f>
        <v>0</v>
      </c>
      <c r="AF50" s="356">
        <f>AF48-AF49</f>
        <v>0</v>
      </c>
      <c r="AG50" s="503">
        <f t="shared" ref="AG50" si="23">AG48-AG49</f>
        <v>0</v>
      </c>
    </row>
    <row r="51" spans="1:34" ht="12.75" customHeight="1">
      <c r="D51" s="262"/>
      <c r="E51" s="4278" t="s">
        <v>1793</v>
      </c>
      <c r="F51" s="842" t="s">
        <v>598</v>
      </c>
      <c r="G51" s="470"/>
      <c r="H51" s="468"/>
      <c r="I51" s="468"/>
      <c r="J51" s="468"/>
      <c r="K51" s="468"/>
      <c r="L51" s="538"/>
      <c r="M51" s="539"/>
      <c r="N51" s="539"/>
      <c r="O51" s="539"/>
      <c r="P51" s="3861"/>
      <c r="Q51" s="3868"/>
      <c r="R51" s="3869"/>
      <c r="S51" s="3869"/>
      <c r="T51" s="3869"/>
      <c r="U51" s="3870"/>
      <c r="V51" s="4281"/>
      <c r="W51" s="1172"/>
      <c r="X51" s="1172"/>
      <c r="Y51" s="1172"/>
      <c r="Z51" s="470"/>
      <c r="AA51" s="468"/>
      <c r="AB51" s="468"/>
      <c r="AC51" s="468"/>
      <c r="AD51" s="468"/>
      <c r="AE51" s="538"/>
      <c r="AF51" s="539"/>
      <c r="AG51" s="540"/>
    </row>
    <row r="52" spans="1:34" ht="12.75" customHeight="1">
      <c r="D52" s="262"/>
      <c r="E52" s="4279"/>
      <c r="F52" s="516" t="s">
        <v>559</v>
      </c>
      <c r="G52" s="470"/>
      <c r="H52" s="468"/>
      <c r="I52" s="468"/>
      <c r="J52" s="468"/>
      <c r="K52" s="468"/>
      <c r="L52" s="459"/>
      <c r="M52" s="458"/>
      <c r="N52" s="458"/>
      <c r="O52" s="458"/>
      <c r="P52" s="3864"/>
      <c r="Q52" s="3794"/>
      <c r="R52" s="3788"/>
      <c r="S52" s="3788"/>
      <c r="T52" s="3788"/>
      <c r="U52" s="3793"/>
      <c r="V52" s="4282"/>
      <c r="W52" s="1172"/>
      <c r="X52" s="1172"/>
      <c r="Y52" s="1172"/>
      <c r="Z52" s="470"/>
      <c r="AA52" s="468"/>
      <c r="AB52" s="468"/>
      <c r="AC52" s="468"/>
      <c r="AD52" s="468"/>
      <c r="AE52" s="462"/>
      <c r="AF52" s="463"/>
      <c r="AG52" s="464"/>
    </row>
    <row r="53" spans="1:34" ht="12.75" customHeight="1">
      <c r="D53" s="262"/>
      <c r="E53" s="4279"/>
      <c r="F53" s="516" t="s">
        <v>558</v>
      </c>
      <c r="G53" s="470"/>
      <c r="H53" s="468"/>
      <c r="I53" s="468"/>
      <c r="J53" s="468"/>
      <c r="K53" s="468"/>
      <c r="L53" s="459"/>
      <c r="M53" s="458"/>
      <c r="N53" s="458"/>
      <c r="O53" s="458"/>
      <c r="P53" s="3864"/>
      <c r="Q53" s="3794"/>
      <c r="R53" s="3788"/>
      <c r="S53" s="3788"/>
      <c r="T53" s="3788"/>
      <c r="U53" s="3793"/>
      <c r="V53" s="4282"/>
      <c r="W53" s="1172"/>
      <c r="X53" s="1172"/>
      <c r="Y53" s="1172"/>
      <c r="Z53" s="470"/>
      <c r="AA53" s="468"/>
      <c r="AB53" s="468"/>
      <c r="AC53" s="468"/>
      <c r="AD53" s="468"/>
      <c r="AE53" s="462"/>
      <c r="AF53" s="463"/>
      <c r="AG53" s="464"/>
    </row>
    <row r="54" spans="1:34" ht="12.75" customHeight="1">
      <c r="D54" s="262"/>
      <c r="E54" s="4279"/>
      <c r="F54" s="516" t="s">
        <v>578</v>
      </c>
      <c r="G54" s="470"/>
      <c r="H54" s="468"/>
      <c r="I54" s="468"/>
      <c r="J54" s="468"/>
      <c r="K54" s="468"/>
      <c r="L54" s="459"/>
      <c r="M54" s="458"/>
      <c r="N54" s="458"/>
      <c r="O54" s="458"/>
      <c r="P54" s="3864"/>
      <c r="Q54" s="3794"/>
      <c r="R54" s="3788"/>
      <c r="S54" s="3788"/>
      <c r="T54" s="3788"/>
      <c r="U54" s="3793"/>
      <c r="V54" s="4282"/>
      <c r="W54" s="1172"/>
      <c r="X54" s="1172"/>
      <c r="Y54" s="1172"/>
      <c r="Z54" s="470"/>
      <c r="AA54" s="468"/>
      <c r="AB54" s="468"/>
      <c r="AC54" s="468"/>
      <c r="AD54" s="468"/>
      <c r="AE54" s="462"/>
      <c r="AF54" s="463"/>
      <c r="AG54" s="464"/>
    </row>
    <row r="55" spans="1:34" ht="12.75" customHeight="1">
      <c r="D55" s="262"/>
      <c r="E55" s="4279"/>
      <c r="F55" s="517" t="s">
        <v>566</v>
      </c>
      <c r="G55" s="459"/>
      <c r="H55" s="458"/>
      <c r="I55" s="458"/>
      <c r="J55" s="458"/>
      <c r="K55" s="625"/>
      <c r="L55" s="353">
        <f t="shared" ref="L55:O55" si="24">SUM(L52:L54)</f>
        <v>0</v>
      </c>
      <c r="M55" s="354">
        <f t="shared" si="24"/>
        <v>0</v>
      </c>
      <c r="N55" s="354">
        <f t="shared" si="24"/>
        <v>0</v>
      </c>
      <c r="O55" s="354">
        <f t="shared" si="24"/>
        <v>0</v>
      </c>
      <c r="P55" s="3864"/>
      <c r="Q55" s="3794"/>
      <c r="R55" s="3788"/>
      <c r="S55" s="3788"/>
      <c r="T55" s="3788"/>
      <c r="U55" s="3793"/>
      <c r="V55" s="4282"/>
      <c r="W55" s="1172"/>
      <c r="X55" s="1172"/>
      <c r="Y55" s="1172"/>
      <c r="Z55" s="462"/>
      <c r="AA55" s="463"/>
      <c r="AB55" s="463"/>
      <c r="AC55" s="463"/>
      <c r="AD55" s="1190"/>
      <c r="AE55" s="353">
        <f t="shared" ref="AE55:AG55" si="25">SUM(AE52:AE54)</f>
        <v>0</v>
      </c>
      <c r="AF55" s="354">
        <f t="shared" si="25"/>
        <v>0</v>
      </c>
      <c r="AG55" s="450">
        <f t="shared" si="25"/>
        <v>0</v>
      </c>
    </row>
    <row r="56" spans="1:34" ht="13.5" customHeight="1">
      <c r="D56" s="262"/>
      <c r="E56" s="4279"/>
      <c r="F56" s="516" t="s">
        <v>583</v>
      </c>
      <c r="G56" s="459"/>
      <c r="H56" s="458"/>
      <c r="I56" s="458"/>
      <c r="J56" s="458"/>
      <c r="K56" s="625"/>
      <c r="L56" s="429"/>
      <c r="M56" s="476"/>
      <c r="N56" s="476"/>
      <c r="O56" s="476"/>
      <c r="P56" s="3865"/>
      <c r="Q56" s="3811"/>
      <c r="R56" s="3812"/>
      <c r="S56" s="3812"/>
      <c r="T56" s="3812"/>
      <c r="U56" s="3813"/>
      <c r="V56" s="4282"/>
      <c r="W56" s="1172"/>
      <c r="X56" s="1172"/>
      <c r="Y56" s="1172"/>
      <c r="Z56" s="462"/>
      <c r="AA56" s="463"/>
      <c r="AB56" s="463"/>
      <c r="AC56" s="463"/>
      <c r="AD56" s="1190"/>
      <c r="AE56" s="511"/>
      <c r="AF56" s="512"/>
      <c r="AG56" s="547"/>
    </row>
    <row r="57" spans="1:34" s="69" customFormat="1" ht="32.25" customHeight="1">
      <c r="A57" s="75"/>
      <c r="B57" s="75"/>
      <c r="C57" s="75"/>
      <c r="D57" s="314"/>
      <c r="E57" s="4279"/>
      <c r="F57" s="516" t="s">
        <v>581</v>
      </c>
      <c r="G57" s="459"/>
      <c r="H57" s="458"/>
      <c r="I57" s="458"/>
      <c r="J57" s="458"/>
      <c r="K57" s="625"/>
      <c r="L57" s="472"/>
      <c r="M57" s="467"/>
      <c r="N57" s="467"/>
      <c r="O57" s="467"/>
      <c r="P57" s="3864"/>
      <c r="Q57" s="3794"/>
      <c r="R57" s="3788"/>
      <c r="S57" s="3788"/>
      <c r="T57" s="3788"/>
      <c r="U57" s="3793"/>
      <c r="V57" s="4282"/>
      <c r="W57" s="1172"/>
      <c r="X57" s="1172"/>
      <c r="Y57" s="1172"/>
      <c r="Z57" s="462"/>
      <c r="AA57" s="463"/>
      <c r="AB57" s="463"/>
      <c r="AC57" s="463"/>
      <c r="AD57" s="1190"/>
      <c r="AE57" s="462"/>
      <c r="AF57" s="463"/>
      <c r="AG57" s="464"/>
    </row>
    <row r="58" spans="1:34" s="78" customFormat="1" ht="13.5" thickBot="1">
      <c r="D58" s="262"/>
      <c r="E58" s="4279"/>
      <c r="F58" s="517" t="s">
        <v>584</v>
      </c>
      <c r="G58" s="353">
        <f t="shared" ref="G58:O58" si="26">SUM(G56:G57)</f>
        <v>0</v>
      </c>
      <c r="H58" s="354">
        <f t="shared" si="26"/>
        <v>0</v>
      </c>
      <c r="I58" s="354">
        <f t="shared" si="26"/>
        <v>0</v>
      </c>
      <c r="J58" s="354">
        <f t="shared" si="26"/>
        <v>0</v>
      </c>
      <c r="K58" s="626">
        <f t="shared" si="26"/>
        <v>0</v>
      </c>
      <c r="L58" s="353">
        <f t="shared" si="26"/>
        <v>0</v>
      </c>
      <c r="M58" s="354">
        <f t="shared" si="26"/>
        <v>0</v>
      </c>
      <c r="N58" s="354">
        <f t="shared" si="26"/>
        <v>0</v>
      </c>
      <c r="O58" s="354">
        <f t="shared" si="26"/>
        <v>0</v>
      </c>
      <c r="P58" s="3864"/>
      <c r="Q58" s="3794"/>
      <c r="R58" s="3788"/>
      <c r="S58" s="3788"/>
      <c r="T58" s="3788"/>
      <c r="U58" s="3793"/>
      <c r="V58" s="4282"/>
      <c r="W58" s="1172"/>
      <c r="X58" s="1172"/>
      <c r="Y58" s="1172"/>
      <c r="Z58" s="353">
        <f t="shared" ref="Z58:AG58" si="27">SUM(Z56:Z57)</f>
        <v>0</v>
      </c>
      <c r="AA58" s="354">
        <f t="shared" si="27"/>
        <v>0</v>
      </c>
      <c r="AB58" s="354">
        <f t="shared" si="27"/>
        <v>0</v>
      </c>
      <c r="AC58" s="354">
        <f t="shared" si="27"/>
        <v>0</v>
      </c>
      <c r="AD58" s="626">
        <f t="shared" si="27"/>
        <v>0</v>
      </c>
      <c r="AE58" s="353">
        <f t="shared" si="27"/>
        <v>0</v>
      </c>
      <c r="AF58" s="354">
        <f t="shared" si="27"/>
        <v>0</v>
      </c>
      <c r="AG58" s="450">
        <f t="shared" si="27"/>
        <v>0</v>
      </c>
    </row>
    <row r="59" spans="1:34" s="183" customFormat="1" ht="24.75" customHeight="1" thickBot="1">
      <c r="A59" s="262"/>
      <c r="B59" s="1258"/>
      <c r="C59" s="1259"/>
      <c r="D59" s="1172"/>
      <c r="E59" s="4279"/>
      <c r="F59" s="516" t="s">
        <v>35</v>
      </c>
      <c r="G59" s="459"/>
      <c r="H59" s="458"/>
      <c r="I59" s="458"/>
      <c r="J59" s="458"/>
      <c r="K59" s="625"/>
      <c r="L59" s="459"/>
      <c r="M59" s="458"/>
      <c r="N59" s="458"/>
      <c r="O59" s="458"/>
      <c r="P59" s="3864"/>
      <c r="Q59" s="3794"/>
      <c r="R59" s="3788"/>
      <c r="S59" s="3788"/>
      <c r="T59" s="3788"/>
      <c r="U59" s="3793"/>
      <c r="V59" s="4282"/>
      <c r="W59" s="1172"/>
      <c r="X59" s="1172"/>
      <c r="Y59" s="1172"/>
      <c r="Z59" s="462"/>
      <c r="AA59" s="463"/>
      <c r="AB59" s="463"/>
      <c r="AC59" s="463"/>
      <c r="AD59" s="1190"/>
      <c r="AE59" s="462"/>
      <c r="AF59" s="463"/>
      <c r="AG59" s="464"/>
      <c r="AH59"/>
    </row>
    <row r="60" spans="1:34" ht="15.75" customHeight="1" thickBot="1">
      <c r="B60" s="78"/>
      <c r="C60" s="78"/>
      <c r="D60" s="262"/>
      <c r="E60" s="4280"/>
      <c r="F60" s="1409" t="s">
        <v>585</v>
      </c>
      <c r="G60" s="1370">
        <f t="shared" ref="G60:K60" si="28">G58-G59</f>
        <v>0</v>
      </c>
      <c r="H60" s="356">
        <f t="shared" si="28"/>
        <v>0</v>
      </c>
      <c r="I60" s="356">
        <f t="shared" si="28"/>
        <v>0</v>
      </c>
      <c r="J60" s="356">
        <f t="shared" si="28"/>
        <v>0</v>
      </c>
      <c r="K60" s="627">
        <f t="shared" si="28"/>
        <v>0</v>
      </c>
      <c r="L60" s="1370">
        <f>L58-L59</f>
        <v>0</v>
      </c>
      <c r="M60" s="356">
        <f>M58-M59</f>
        <v>0</v>
      </c>
      <c r="N60" s="356">
        <f t="shared" ref="N60:O60" si="29">N58-N59</f>
        <v>0</v>
      </c>
      <c r="O60" s="356">
        <f t="shared" si="29"/>
        <v>0</v>
      </c>
      <c r="P60" s="3866"/>
      <c r="Q60" s="3867"/>
      <c r="R60" s="3802"/>
      <c r="S60" s="3802"/>
      <c r="T60" s="3802"/>
      <c r="U60" s="3803"/>
      <c r="V60" s="4283"/>
      <c r="W60" s="1172"/>
      <c r="X60" s="1172"/>
      <c r="Y60" s="1172"/>
      <c r="Z60" s="1370">
        <f t="shared" ref="Z60:AD60" si="30">Z58-Z59</f>
        <v>0</v>
      </c>
      <c r="AA60" s="356">
        <f t="shared" si="30"/>
        <v>0</v>
      </c>
      <c r="AB60" s="356">
        <f t="shared" si="30"/>
        <v>0</v>
      </c>
      <c r="AC60" s="356">
        <f t="shared" si="30"/>
        <v>0</v>
      </c>
      <c r="AD60" s="627">
        <f t="shared" si="30"/>
        <v>0</v>
      </c>
      <c r="AE60" s="1370">
        <f>AE58-AE59</f>
        <v>0</v>
      </c>
      <c r="AF60" s="356">
        <f>AF58-AF59</f>
        <v>0</v>
      </c>
      <c r="AG60" s="503">
        <f t="shared" ref="AG60" si="31">AG58-AG59</f>
        <v>0</v>
      </c>
      <c r="AH60"/>
    </row>
    <row r="61" spans="1:34" ht="30" customHeight="1">
      <c r="B61" s="78"/>
      <c r="C61" s="78"/>
      <c r="D61" s="262"/>
      <c r="E61" s="4278" t="s">
        <v>1794</v>
      </c>
      <c r="F61" s="842" t="s">
        <v>598</v>
      </c>
      <c r="G61" s="470"/>
      <c r="H61" s="468"/>
      <c r="I61" s="468"/>
      <c r="J61" s="468"/>
      <c r="K61" s="468"/>
      <c r="L61" s="538"/>
      <c r="M61" s="539"/>
      <c r="N61" s="539"/>
      <c r="O61" s="539"/>
      <c r="P61" s="3861"/>
      <c r="Q61" s="3868"/>
      <c r="R61" s="3869"/>
      <c r="S61" s="3869"/>
      <c r="T61" s="3869"/>
      <c r="U61" s="3870"/>
      <c r="V61" s="4281"/>
      <c r="W61" s="1172"/>
      <c r="X61" s="1172"/>
      <c r="Y61" s="1172"/>
      <c r="Z61" s="470"/>
      <c r="AA61" s="468"/>
      <c r="AB61" s="468"/>
      <c r="AC61" s="468"/>
      <c r="AD61" s="468"/>
      <c r="AE61" s="538"/>
      <c r="AF61" s="539"/>
      <c r="AG61" s="540"/>
      <c r="AH61"/>
    </row>
    <row r="62" spans="1:34" ht="12.75" customHeight="1">
      <c r="D62" s="262"/>
      <c r="E62" s="4279"/>
      <c r="F62" s="516" t="s">
        <v>559</v>
      </c>
      <c r="G62" s="470"/>
      <c r="H62" s="468"/>
      <c r="I62" s="468"/>
      <c r="J62" s="468"/>
      <c r="K62" s="468"/>
      <c r="L62" s="459"/>
      <c r="M62" s="458"/>
      <c r="N62" s="458"/>
      <c r="O62" s="458"/>
      <c r="P62" s="3864"/>
      <c r="Q62" s="3794"/>
      <c r="R62" s="3788"/>
      <c r="S62" s="3788"/>
      <c r="T62" s="3788"/>
      <c r="U62" s="3793"/>
      <c r="V62" s="4282"/>
      <c r="W62" s="1172"/>
      <c r="X62" s="1172"/>
      <c r="Y62" s="1172"/>
      <c r="Z62" s="470"/>
      <c r="AA62" s="468"/>
      <c r="AB62" s="468"/>
      <c r="AC62" s="468"/>
      <c r="AD62" s="468"/>
      <c r="AE62" s="462"/>
      <c r="AF62" s="463"/>
      <c r="AG62" s="464"/>
      <c r="AH62"/>
    </row>
    <row r="63" spans="1:34" ht="12.75" customHeight="1">
      <c r="D63" s="262"/>
      <c r="E63" s="4279"/>
      <c r="F63" s="516" t="s">
        <v>558</v>
      </c>
      <c r="G63" s="470"/>
      <c r="H63" s="468"/>
      <c r="I63" s="468"/>
      <c r="J63" s="468"/>
      <c r="K63" s="468"/>
      <c r="L63" s="459"/>
      <c r="M63" s="458"/>
      <c r="N63" s="458"/>
      <c r="O63" s="458"/>
      <c r="P63" s="3864"/>
      <c r="Q63" s="3794"/>
      <c r="R63" s="3788"/>
      <c r="S63" s="3788"/>
      <c r="T63" s="3788"/>
      <c r="U63" s="3793"/>
      <c r="V63" s="4282"/>
      <c r="W63" s="1172"/>
      <c r="X63" s="1172"/>
      <c r="Y63" s="1172"/>
      <c r="Z63" s="470"/>
      <c r="AA63" s="468"/>
      <c r="AB63" s="468"/>
      <c r="AC63" s="468"/>
      <c r="AD63" s="468"/>
      <c r="AE63" s="462"/>
      <c r="AF63" s="463"/>
      <c r="AG63" s="464"/>
      <c r="AH63"/>
    </row>
    <row r="64" spans="1:34" s="78" customFormat="1" ht="18" customHeight="1">
      <c r="D64" s="262"/>
      <c r="E64" s="4279"/>
      <c r="F64" s="516" t="s">
        <v>578</v>
      </c>
      <c r="G64" s="470"/>
      <c r="H64" s="468"/>
      <c r="I64" s="468"/>
      <c r="J64" s="468"/>
      <c r="K64" s="468"/>
      <c r="L64" s="459"/>
      <c r="M64" s="458"/>
      <c r="N64" s="458"/>
      <c r="O64" s="458"/>
      <c r="P64" s="3864"/>
      <c r="Q64" s="3794"/>
      <c r="R64" s="3788"/>
      <c r="S64" s="3788"/>
      <c r="T64" s="3788"/>
      <c r="U64" s="3793"/>
      <c r="V64" s="4282"/>
      <c r="W64" s="1172"/>
      <c r="X64" s="1172"/>
      <c r="Y64" s="1172"/>
      <c r="Z64" s="470"/>
      <c r="AA64" s="468"/>
      <c r="AB64" s="468"/>
      <c r="AC64" s="468"/>
      <c r="AD64" s="468"/>
      <c r="AE64" s="462"/>
      <c r="AF64" s="463"/>
      <c r="AG64" s="464"/>
      <c r="AH64"/>
    </row>
    <row r="65" spans="2:34" s="474" customFormat="1" ht="12.75" customHeight="1">
      <c r="B65" s="78"/>
      <c r="C65" s="78"/>
      <c r="D65" s="262"/>
      <c r="E65" s="4279"/>
      <c r="F65" s="517" t="s">
        <v>566</v>
      </c>
      <c r="G65" s="459"/>
      <c r="H65" s="458"/>
      <c r="I65" s="458"/>
      <c r="J65" s="458"/>
      <c r="K65" s="625"/>
      <c r="L65" s="353">
        <f t="shared" ref="L65:O65" si="32">SUM(L62:L64)</f>
        <v>0</v>
      </c>
      <c r="M65" s="354">
        <f t="shared" si="32"/>
        <v>0</v>
      </c>
      <c r="N65" s="354">
        <f t="shared" si="32"/>
        <v>0</v>
      </c>
      <c r="O65" s="354">
        <f t="shared" si="32"/>
        <v>0</v>
      </c>
      <c r="P65" s="3864"/>
      <c r="Q65" s="3794"/>
      <c r="R65" s="3788"/>
      <c r="S65" s="3788"/>
      <c r="T65" s="3788"/>
      <c r="U65" s="3793"/>
      <c r="V65" s="4282"/>
      <c r="W65" s="1172"/>
      <c r="X65" s="1172"/>
      <c r="Y65" s="1172"/>
      <c r="Z65" s="462"/>
      <c r="AA65" s="463"/>
      <c r="AB65" s="463"/>
      <c r="AC65" s="463"/>
      <c r="AD65" s="1190"/>
      <c r="AE65" s="353">
        <f t="shared" ref="AE65:AG65" si="33">SUM(AE62:AE64)</f>
        <v>0</v>
      </c>
      <c r="AF65" s="354">
        <f t="shared" si="33"/>
        <v>0</v>
      </c>
      <c r="AG65" s="450">
        <f t="shared" si="33"/>
        <v>0</v>
      </c>
      <c r="AH65"/>
    </row>
    <row r="66" spans="2:34" s="474" customFormat="1" ht="12.75" customHeight="1">
      <c r="D66" s="262"/>
      <c r="E66" s="4279"/>
      <c r="F66" s="516" t="s">
        <v>583</v>
      </c>
      <c r="G66" s="459"/>
      <c r="H66" s="458"/>
      <c r="I66" s="458"/>
      <c r="J66" s="458"/>
      <c r="K66" s="625"/>
      <c r="L66" s="429"/>
      <c r="M66" s="476"/>
      <c r="N66" s="476"/>
      <c r="O66" s="476"/>
      <c r="P66" s="3865"/>
      <c r="Q66" s="3811"/>
      <c r="R66" s="3812"/>
      <c r="S66" s="3812"/>
      <c r="T66" s="3812"/>
      <c r="U66" s="3813"/>
      <c r="V66" s="4282"/>
      <c r="W66" s="1172"/>
      <c r="X66" s="1172"/>
      <c r="Y66" s="1172"/>
      <c r="Z66" s="462"/>
      <c r="AA66" s="463"/>
      <c r="AB66" s="463"/>
      <c r="AC66" s="463"/>
      <c r="AD66" s="1190"/>
      <c r="AE66" s="511"/>
      <c r="AF66" s="512"/>
      <c r="AG66" s="547"/>
      <c r="AH66"/>
    </row>
    <row r="67" spans="2:34" s="474" customFormat="1" ht="12.75" customHeight="1">
      <c r="D67" s="262"/>
      <c r="E67" s="4279"/>
      <c r="F67" s="516" t="s">
        <v>581</v>
      </c>
      <c r="G67" s="459"/>
      <c r="H67" s="458"/>
      <c r="I67" s="458"/>
      <c r="J67" s="458"/>
      <c r="K67" s="625"/>
      <c r="L67" s="472"/>
      <c r="M67" s="467"/>
      <c r="N67" s="467"/>
      <c r="O67" s="467"/>
      <c r="P67" s="3864"/>
      <c r="Q67" s="3794"/>
      <c r="R67" s="3788"/>
      <c r="S67" s="3788"/>
      <c r="T67" s="3788"/>
      <c r="U67" s="3793"/>
      <c r="V67" s="4282"/>
      <c r="W67" s="1172"/>
      <c r="X67" s="1172"/>
      <c r="Y67" s="1172"/>
      <c r="Z67" s="462"/>
      <c r="AA67" s="463"/>
      <c r="AB67" s="463"/>
      <c r="AC67" s="463"/>
      <c r="AD67" s="1190"/>
      <c r="AE67" s="462"/>
      <c r="AF67" s="463"/>
      <c r="AG67" s="464"/>
      <c r="AH67"/>
    </row>
    <row r="68" spans="2:34" s="474" customFormat="1" ht="12.75" customHeight="1">
      <c r="D68" s="262"/>
      <c r="E68" s="4279"/>
      <c r="F68" s="517" t="s">
        <v>584</v>
      </c>
      <c r="G68" s="353">
        <f t="shared" ref="G68:O68" si="34">SUM(G66:G67)</f>
        <v>0</v>
      </c>
      <c r="H68" s="354">
        <f t="shared" si="34"/>
        <v>0</v>
      </c>
      <c r="I68" s="354">
        <f t="shared" si="34"/>
        <v>0</v>
      </c>
      <c r="J68" s="354">
        <f t="shared" si="34"/>
        <v>0</v>
      </c>
      <c r="K68" s="626">
        <f t="shared" si="34"/>
        <v>0</v>
      </c>
      <c r="L68" s="353">
        <f t="shared" si="34"/>
        <v>0</v>
      </c>
      <c r="M68" s="354">
        <f t="shared" si="34"/>
        <v>0</v>
      </c>
      <c r="N68" s="354">
        <f t="shared" si="34"/>
        <v>0</v>
      </c>
      <c r="O68" s="354">
        <f t="shared" si="34"/>
        <v>0</v>
      </c>
      <c r="P68" s="3864"/>
      <c r="Q68" s="3794"/>
      <c r="R68" s="3788"/>
      <c r="S68" s="3788"/>
      <c r="T68" s="3788"/>
      <c r="U68" s="3793"/>
      <c r="V68" s="4282"/>
      <c r="W68" s="1172"/>
      <c r="X68" s="1172"/>
      <c r="Y68" s="1172"/>
      <c r="Z68" s="353">
        <f t="shared" ref="Z68:AG68" si="35">SUM(Z66:Z67)</f>
        <v>0</v>
      </c>
      <c r="AA68" s="354">
        <f t="shared" si="35"/>
        <v>0</v>
      </c>
      <c r="AB68" s="354">
        <f t="shared" si="35"/>
        <v>0</v>
      </c>
      <c r="AC68" s="354">
        <f t="shared" si="35"/>
        <v>0</v>
      </c>
      <c r="AD68" s="626">
        <f t="shared" si="35"/>
        <v>0</v>
      </c>
      <c r="AE68" s="353">
        <f t="shared" si="35"/>
        <v>0</v>
      </c>
      <c r="AF68" s="354">
        <f t="shared" si="35"/>
        <v>0</v>
      </c>
      <c r="AG68" s="450">
        <f t="shared" si="35"/>
        <v>0</v>
      </c>
      <c r="AH68"/>
    </row>
    <row r="69" spans="2:34" s="474" customFormat="1" ht="12.75" customHeight="1">
      <c r="D69" s="262"/>
      <c r="E69" s="4279"/>
      <c r="F69" s="516" t="s">
        <v>35</v>
      </c>
      <c r="G69" s="459"/>
      <c r="H69" s="458"/>
      <c r="I69" s="458"/>
      <c r="J69" s="458"/>
      <c r="K69" s="625"/>
      <c r="L69" s="459"/>
      <c r="M69" s="458"/>
      <c r="N69" s="458"/>
      <c r="O69" s="458"/>
      <c r="P69" s="3864"/>
      <c r="Q69" s="3794"/>
      <c r="R69" s="3788"/>
      <c r="S69" s="3788"/>
      <c r="T69" s="3788"/>
      <c r="U69" s="3793"/>
      <c r="V69" s="4282"/>
      <c r="W69" s="1172"/>
      <c r="X69" s="1172"/>
      <c r="Y69" s="1172"/>
      <c r="Z69" s="462"/>
      <c r="AA69" s="463"/>
      <c r="AB69" s="463"/>
      <c r="AC69" s="463"/>
      <c r="AD69" s="1190"/>
      <c r="AE69" s="462"/>
      <c r="AF69" s="463"/>
      <c r="AG69" s="464"/>
      <c r="AH69"/>
    </row>
    <row r="70" spans="2:34" s="474" customFormat="1" ht="12.75" customHeight="1" thickBot="1">
      <c r="D70" s="262"/>
      <c r="E70" s="4280"/>
      <c r="F70" s="1409" t="s">
        <v>585</v>
      </c>
      <c r="G70" s="1370">
        <f t="shared" ref="G70:K70" si="36">G68-G69</f>
        <v>0</v>
      </c>
      <c r="H70" s="356">
        <f t="shared" si="36"/>
        <v>0</v>
      </c>
      <c r="I70" s="356">
        <f t="shared" si="36"/>
        <v>0</v>
      </c>
      <c r="J70" s="356">
        <f t="shared" si="36"/>
        <v>0</v>
      </c>
      <c r="K70" s="627">
        <f t="shared" si="36"/>
        <v>0</v>
      </c>
      <c r="L70" s="1370">
        <f>L68-L69</f>
        <v>0</v>
      </c>
      <c r="M70" s="356">
        <f>M68-M69</f>
        <v>0</v>
      </c>
      <c r="N70" s="356">
        <f t="shared" ref="N70:O70" si="37">N68-N69</f>
        <v>0</v>
      </c>
      <c r="O70" s="356">
        <f t="shared" si="37"/>
        <v>0</v>
      </c>
      <c r="P70" s="3866"/>
      <c r="Q70" s="3867"/>
      <c r="R70" s="3802"/>
      <c r="S70" s="3802"/>
      <c r="T70" s="3802"/>
      <c r="U70" s="3803"/>
      <c r="V70" s="4283"/>
      <c r="W70" s="1172"/>
      <c r="X70" s="1172"/>
      <c r="Y70" s="1172"/>
      <c r="Z70" s="1370">
        <f t="shared" ref="Z70:AD70" si="38">Z68-Z69</f>
        <v>0</v>
      </c>
      <c r="AA70" s="356">
        <f t="shared" si="38"/>
        <v>0</v>
      </c>
      <c r="AB70" s="356">
        <f t="shared" si="38"/>
        <v>0</v>
      </c>
      <c r="AC70" s="356">
        <f t="shared" si="38"/>
        <v>0</v>
      </c>
      <c r="AD70" s="627">
        <f t="shared" si="38"/>
        <v>0</v>
      </c>
      <c r="AE70" s="1370">
        <f>AE68-AE69</f>
        <v>0</v>
      </c>
      <c r="AF70" s="356">
        <f>AF68-AF69</f>
        <v>0</v>
      </c>
      <c r="AG70" s="503">
        <f t="shared" ref="AG70" si="39">AG68-AG69</f>
        <v>0</v>
      </c>
      <c r="AH70"/>
    </row>
    <row r="71" spans="2:34" s="474" customFormat="1" ht="12.75" customHeight="1">
      <c r="D71" s="262"/>
      <c r="E71" s="4278" t="s">
        <v>1795</v>
      </c>
      <c r="F71" s="842" t="s">
        <v>598</v>
      </c>
      <c r="G71" s="470"/>
      <c r="H71" s="468"/>
      <c r="I71" s="468"/>
      <c r="J71" s="468"/>
      <c r="K71" s="468"/>
      <c r="L71" s="538"/>
      <c r="M71" s="539"/>
      <c r="N71" s="539"/>
      <c r="O71" s="539"/>
      <c r="P71" s="3861"/>
      <c r="Q71" s="3868"/>
      <c r="R71" s="3869"/>
      <c r="S71" s="3869"/>
      <c r="T71" s="3869"/>
      <c r="U71" s="3870"/>
      <c r="V71" s="4281"/>
      <c r="W71" s="1172"/>
      <c r="X71" s="1172"/>
      <c r="Y71" s="1172"/>
      <c r="Z71" s="470"/>
      <c r="AA71" s="468"/>
      <c r="AB71" s="468"/>
      <c r="AC71" s="468"/>
      <c r="AD71" s="468"/>
      <c r="AE71" s="538"/>
      <c r="AF71" s="539"/>
      <c r="AG71" s="540"/>
      <c r="AH71"/>
    </row>
    <row r="72" spans="2:34" s="474" customFormat="1" ht="12.75" customHeight="1">
      <c r="D72" s="262"/>
      <c r="E72" s="4279"/>
      <c r="F72" s="516" t="s">
        <v>559</v>
      </c>
      <c r="G72" s="470"/>
      <c r="H72" s="468"/>
      <c r="I72" s="468"/>
      <c r="J72" s="468"/>
      <c r="K72" s="468"/>
      <c r="L72" s="459"/>
      <c r="M72" s="458"/>
      <c r="N72" s="458"/>
      <c r="O72" s="458"/>
      <c r="P72" s="3864"/>
      <c r="Q72" s="3794"/>
      <c r="R72" s="3788"/>
      <c r="S72" s="3788"/>
      <c r="T72" s="3788"/>
      <c r="U72" s="3793"/>
      <c r="V72" s="4282"/>
      <c r="W72" s="1172"/>
      <c r="X72" s="1172"/>
      <c r="Y72" s="1172"/>
      <c r="Z72" s="470"/>
      <c r="AA72" s="468"/>
      <c r="AB72" s="468"/>
      <c r="AC72" s="468"/>
      <c r="AD72" s="468"/>
      <c r="AE72" s="462"/>
      <c r="AF72" s="463"/>
      <c r="AG72" s="464"/>
      <c r="AH72"/>
    </row>
    <row r="73" spans="2:34" s="474" customFormat="1" ht="13.5" customHeight="1">
      <c r="D73" s="262"/>
      <c r="E73" s="4279"/>
      <c r="F73" s="516" t="s">
        <v>558</v>
      </c>
      <c r="G73" s="470"/>
      <c r="H73" s="468"/>
      <c r="I73" s="468"/>
      <c r="J73" s="468"/>
      <c r="K73" s="468"/>
      <c r="L73" s="459"/>
      <c r="M73" s="458"/>
      <c r="N73" s="458"/>
      <c r="O73" s="458"/>
      <c r="P73" s="3864"/>
      <c r="Q73" s="3794"/>
      <c r="R73" s="3788"/>
      <c r="S73" s="3788"/>
      <c r="T73" s="3788"/>
      <c r="U73" s="3793"/>
      <c r="V73" s="4282"/>
      <c r="W73" s="1172"/>
      <c r="X73" s="1172"/>
      <c r="Y73" s="1172"/>
      <c r="Z73" s="470"/>
      <c r="AA73" s="468"/>
      <c r="AB73" s="468"/>
      <c r="AC73" s="468"/>
      <c r="AD73" s="468"/>
      <c r="AE73" s="462"/>
      <c r="AF73" s="463"/>
      <c r="AG73" s="464"/>
      <c r="AH73"/>
    </row>
    <row r="74" spans="2:34" s="183" customFormat="1" ht="12.75" customHeight="1">
      <c r="D74" s="262"/>
      <c r="E74" s="4279"/>
      <c r="F74" s="516" t="s">
        <v>578</v>
      </c>
      <c r="G74" s="470"/>
      <c r="H74" s="468"/>
      <c r="I74" s="468"/>
      <c r="J74" s="468"/>
      <c r="K74" s="468"/>
      <c r="L74" s="459"/>
      <c r="M74" s="458"/>
      <c r="N74" s="458"/>
      <c r="O74" s="458"/>
      <c r="P74" s="3864"/>
      <c r="Q74" s="3794"/>
      <c r="R74" s="3788"/>
      <c r="S74" s="3788"/>
      <c r="T74" s="3788"/>
      <c r="U74" s="3793"/>
      <c r="V74" s="4282"/>
      <c r="W74" s="1172"/>
      <c r="X74" s="1172"/>
      <c r="Y74" s="1172"/>
      <c r="Z74" s="470"/>
      <c r="AA74" s="468"/>
      <c r="AB74" s="468"/>
      <c r="AC74" s="468"/>
      <c r="AD74" s="468"/>
      <c r="AE74" s="462"/>
      <c r="AF74" s="463"/>
      <c r="AG74" s="464"/>
      <c r="AH74"/>
    </row>
    <row r="75" spans="2:34" s="474" customFormat="1" ht="12.75" customHeight="1">
      <c r="B75" s="183"/>
      <c r="C75" s="183"/>
      <c r="D75" s="262"/>
      <c r="E75" s="4279"/>
      <c r="F75" s="517" t="s">
        <v>566</v>
      </c>
      <c r="G75" s="459"/>
      <c r="H75" s="458"/>
      <c r="I75" s="458"/>
      <c r="J75" s="458"/>
      <c r="K75" s="625"/>
      <c r="L75" s="353">
        <f t="shared" ref="L75:O75" si="40">SUM(L72:L74)</f>
        <v>0</v>
      </c>
      <c r="M75" s="354">
        <f t="shared" si="40"/>
        <v>0</v>
      </c>
      <c r="N75" s="354">
        <f t="shared" si="40"/>
        <v>0</v>
      </c>
      <c r="O75" s="354">
        <f t="shared" si="40"/>
        <v>0</v>
      </c>
      <c r="P75" s="3864"/>
      <c r="Q75" s="3794"/>
      <c r="R75" s="3788"/>
      <c r="S75" s="3788"/>
      <c r="T75" s="3788"/>
      <c r="U75" s="3793"/>
      <c r="V75" s="4282"/>
      <c r="W75" s="1172"/>
      <c r="X75" s="1172"/>
      <c r="Y75" s="1172"/>
      <c r="Z75" s="462"/>
      <c r="AA75" s="463"/>
      <c r="AB75" s="463"/>
      <c r="AC75" s="463"/>
      <c r="AD75" s="1190"/>
      <c r="AE75" s="353">
        <f t="shared" ref="AE75:AG75" si="41">SUM(AE72:AE74)</f>
        <v>0</v>
      </c>
      <c r="AF75" s="354">
        <f t="shared" si="41"/>
        <v>0</v>
      </c>
      <c r="AG75" s="450">
        <f t="shared" si="41"/>
        <v>0</v>
      </c>
      <c r="AH75"/>
    </row>
    <row r="76" spans="2:34" s="474" customFormat="1" ht="12.75" customHeight="1">
      <c r="D76" s="262"/>
      <c r="E76" s="4279"/>
      <c r="F76" s="516" t="s">
        <v>583</v>
      </c>
      <c r="G76" s="459"/>
      <c r="H76" s="458"/>
      <c r="I76" s="458"/>
      <c r="J76" s="458"/>
      <c r="K76" s="625"/>
      <c r="L76" s="429"/>
      <c r="M76" s="476"/>
      <c r="N76" s="476"/>
      <c r="O76" s="476"/>
      <c r="P76" s="3865"/>
      <c r="Q76" s="3811"/>
      <c r="R76" s="3812"/>
      <c r="S76" s="3812"/>
      <c r="T76" s="3812"/>
      <c r="U76" s="3813"/>
      <c r="V76" s="4282"/>
      <c r="W76" s="1172"/>
      <c r="X76" s="1172"/>
      <c r="Y76" s="1172"/>
      <c r="Z76" s="462"/>
      <c r="AA76" s="463"/>
      <c r="AB76" s="463"/>
      <c r="AC76" s="463"/>
      <c r="AD76" s="1190"/>
      <c r="AE76" s="511"/>
      <c r="AF76" s="512"/>
      <c r="AG76" s="547"/>
      <c r="AH76"/>
    </row>
    <row r="77" spans="2:34" s="474" customFormat="1" ht="12.75" customHeight="1">
      <c r="D77" s="262"/>
      <c r="E77" s="4279"/>
      <c r="F77" s="516" t="s">
        <v>581</v>
      </c>
      <c r="G77" s="459"/>
      <c r="H77" s="458"/>
      <c r="I77" s="458"/>
      <c r="J77" s="458"/>
      <c r="K77" s="625"/>
      <c r="L77" s="472"/>
      <c r="M77" s="467"/>
      <c r="N77" s="467"/>
      <c r="O77" s="467"/>
      <c r="P77" s="3864"/>
      <c r="Q77" s="3794"/>
      <c r="R77" s="3788"/>
      <c r="S77" s="3788"/>
      <c r="T77" s="3788"/>
      <c r="U77" s="3793"/>
      <c r="V77" s="4282"/>
      <c r="W77" s="1172"/>
      <c r="X77" s="1172"/>
      <c r="Y77" s="1172"/>
      <c r="Z77" s="462"/>
      <c r="AA77" s="463"/>
      <c r="AB77" s="463"/>
      <c r="AC77" s="463"/>
      <c r="AD77" s="1190"/>
      <c r="AE77" s="462"/>
      <c r="AF77" s="463"/>
      <c r="AG77" s="464"/>
      <c r="AH77"/>
    </row>
    <row r="78" spans="2:34" s="474" customFormat="1" ht="12.75" customHeight="1">
      <c r="D78" s="262"/>
      <c r="E78" s="4279"/>
      <c r="F78" s="517" t="s">
        <v>584</v>
      </c>
      <c r="G78" s="353">
        <f t="shared" ref="G78:O78" si="42">SUM(G76:G77)</f>
        <v>0</v>
      </c>
      <c r="H78" s="354">
        <f t="shared" si="42"/>
        <v>0</v>
      </c>
      <c r="I78" s="354">
        <f t="shared" si="42"/>
        <v>0</v>
      </c>
      <c r="J78" s="354">
        <f t="shared" si="42"/>
        <v>0</v>
      </c>
      <c r="K78" s="626">
        <f t="shared" si="42"/>
        <v>0</v>
      </c>
      <c r="L78" s="353">
        <f t="shared" si="42"/>
        <v>0</v>
      </c>
      <c r="M78" s="354">
        <f t="shared" si="42"/>
        <v>0</v>
      </c>
      <c r="N78" s="354">
        <f t="shared" si="42"/>
        <v>0</v>
      </c>
      <c r="O78" s="354">
        <f t="shared" si="42"/>
        <v>0</v>
      </c>
      <c r="P78" s="3864"/>
      <c r="Q78" s="3794"/>
      <c r="R78" s="3788"/>
      <c r="S78" s="3788"/>
      <c r="T78" s="3788"/>
      <c r="U78" s="3793"/>
      <c r="V78" s="4282"/>
      <c r="W78" s="1172"/>
      <c r="X78" s="1172"/>
      <c r="Y78" s="1172"/>
      <c r="Z78" s="353">
        <f t="shared" ref="Z78:AG78" si="43">SUM(Z76:Z77)</f>
        <v>0</v>
      </c>
      <c r="AA78" s="354">
        <f t="shared" si="43"/>
        <v>0</v>
      </c>
      <c r="AB78" s="354">
        <f t="shared" si="43"/>
        <v>0</v>
      </c>
      <c r="AC78" s="354">
        <f t="shared" si="43"/>
        <v>0</v>
      </c>
      <c r="AD78" s="626">
        <f t="shared" si="43"/>
        <v>0</v>
      </c>
      <c r="AE78" s="353">
        <f t="shared" si="43"/>
        <v>0</v>
      </c>
      <c r="AF78" s="354">
        <f t="shared" si="43"/>
        <v>0</v>
      </c>
      <c r="AG78" s="450">
        <f t="shared" si="43"/>
        <v>0</v>
      </c>
      <c r="AH78"/>
    </row>
    <row r="79" spans="2:34" s="474" customFormat="1" ht="12.75" customHeight="1">
      <c r="D79" s="262"/>
      <c r="E79" s="4279"/>
      <c r="F79" s="516" t="s">
        <v>35</v>
      </c>
      <c r="G79" s="459"/>
      <c r="H79" s="458"/>
      <c r="I79" s="458"/>
      <c r="J79" s="458"/>
      <c r="K79" s="625"/>
      <c r="L79" s="459"/>
      <c r="M79" s="458"/>
      <c r="N79" s="458"/>
      <c r="O79" s="458"/>
      <c r="P79" s="3864"/>
      <c r="Q79" s="3794"/>
      <c r="R79" s="3788"/>
      <c r="S79" s="3788"/>
      <c r="T79" s="3788"/>
      <c r="U79" s="3793"/>
      <c r="V79" s="4282"/>
      <c r="W79" s="1172"/>
      <c r="X79" s="1172"/>
      <c r="Y79" s="1172"/>
      <c r="Z79" s="462"/>
      <c r="AA79" s="463"/>
      <c r="AB79" s="463"/>
      <c r="AC79" s="463"/>
      <c r="AD79" s="1190"/>
      <c r="AE79" s="462"/>
      <c r="AF79" s="463"/>
      <c r="AG79" s="464"/>
      <c r="AH79"/>
    </row>
    <row r="80" spans="2:34" s="474" customFormat="1" ht="12.75" customHeight="1" thickBot="1">
      <c r="D80" s="262"/>
      <c r="E80" s="4280"/>
      <c r="F80" s="1409" t="s">
        <v>585</v>
      </c>
      <c r="G80" s="1370">
        <f t="shared" ref="G80:K80" si="44">G78-G79</f>
        <v>0</v>
      </c>
      <c r="H80" s="356">
        <f t="shared" si="44"/>
        <v>0</v>
      </c>
      <c r="I80" s="356">
        <f t="shared" si="44"/>
        <v>0</v>
      </c>
      <c r="J80" s="356">
        <f t="shared" si="44"/>
        <v>0</v>
      </c>
      <c r="K80" s="627">
        <f t="shared" si="44"/>
        <v>0</v>
      </c>
      <c r="L80" s="1370">
        <f>L78-L79</f>
        <v>0</v>
      </c>
      <c r="M80" s="356">
        <f>M78-M79</f>
        <v>0</v>
      </c>
      <c r="N80" s="356">
        <f t="shared" ref="N80:O80" si="45">N78-N79</f>
        <v>0</v>
      </c>
      <c r="O80" s="356">
        <f t="shared" si="45"/>
        <v>0</v>
      </c>
      <c r="P80" s="3866"/>
      <c r="Q80" s="3867"/>
      <c r="R80" s="3802"/>
      <c r="S80" s="3802"/>
      <c r="T80" s="3802"/>
      <c r="U80" s="3803"/>
      <c r="V80" s="4283"/>
      <c r="W80" s="1172"/>
      <c r="X80" s="1172"/>
      <c r="Y80" s="1172"/>
      <c r="Z80" s="1370">
        <f t="shared" ref="Z80:AD80" si="46">Z78-Z79</f>
        <v>0</v>
      </c>
      <c r="AA80" s="356">
        <f t="shared" si="46"/>
        <v>0</v>
      </c>
      <c r="AB80" s="356">
        <f t="shared" si="46"/>
        <v>0</v>
      </c>
      <c r="AC80" s="356">
        <f t="shared" si="46"/>
        <v>0</v>
      </c>
      <c r="AD80" s="627">
        <f t="shared" si="46"/>
        <v>0</v>
      </c>
      <c r="AE80" s="1370">
        <f>AE78-AE79</f>
        <v>0</v>
      </c>
      <c r="AF80" s="356">
        <f>AF78-AF79</f>
        <v>0</v>
      </c>
      <c r="AG80" s="503">
        <f t="shared" ref="AG80" si="47">AG78-AG79</f>
        <v>0</v>
      </c>
      <c r="AH80"/>
    </row>
    <row r="81" spans="2:34" s="474" customFormat="1" ht="12.75" customHeight="1">
      <c r="D81" s="262"/>
      <c r="E81" s="4278" t="s">
        <v>1796</v>
      </c>
      <c r="F81" s="842" t="s">
        <v>598</v>
      </c>
      <c r="G81" s="527"/>
      <c r="H81" s="528"/>
      <c r="I81" s="528"/>
      <c r="J81" s="528"/>
      <c r="K81" s="528"/>
      <c r="L81" s="538"/>
      <c r="M81" s="539"/>
      <c r="N81" s="539"/>
      <c r="O81" s="539"/>
      <c r="P81" s="3861"/>
      <c r="Q81" s="3862"/>
      <c r="R81" s="3861"/>
      <c r="S81" s="3861"/>
      <c r="T81" s="3861"/>
      <c r="U81" s="3863"/>
      <c r="V81" s="4281"/>
      <c r="W81" s="1172"/>
      <c r="X81" s="1172"/>
      <c r="Y81" s="1172"/>
      <c r="Z81" s="527"/>
      <c r="AA81" s="528"/>
      <c r="AB81" s="528"/>
      <c r="AC81" s="528"/>
      <c r="AD81" s="528"/>
      <c r="AE81" s="538"/>
      <c r="AF81" s="539"/>
      <c r="AG81" s="540"/>
      <c r="AH81"/>
    </row>
    <row r="82" spans="2:34" s="474" customFormat="1" ht="12.75" customHeight="1">
      <c r="D82" s="262"/>
      <c r="E82" s="4279"/>
      <c r="F82" s="516" t="s">
        <v>559</v>
      </c>
      <c r="G82" s="470"/>
      <c r="H82" s="468"/>
      <c r="I82" s="468"/>
      <c r="J82" s="468"/>
      <c r="K82" s="468"/>
      <c r="L82" s="459"/>
      <c r="M82" s="458"/>
      <c r="N82" s="458"/>
      <c r="O82" s="458"/>
      <c r="P82" s="3864"/>
      <c r="Q82" s="3794"/>
      <c r="R82" s="3788"/>
      <c r="S82" s="3788"/>
      <c r="T82" s="3788"/>
      <c r="U82" s="3793"/>
      <c r="V82" s="4282"/>
      <c r="W82" s="1172"/>
      <c r="X82" s="1172"/>
      <c r="Y82" s="1172"/>
      <c r="Z82" s="470"/>
      <c r="AA82" s="468"/>
      <c r="AB82" s="468"/>
      <c r="AC82" s="468"/>
      <c r="AD82" s="468"/>
      <c r="AE82" s="462"/>
      <c r="AF82" s="463"/>
      <c r="AG82" s="464"/>
      <c r="AH82"/>
    </row>
    <row r="83" spans="2:34" s="474" customFormat="1" ht="13.5" customHeight="1">
      <c r="D83" s="262"/>
      <c r="E83" s="4279"/>
      <c r="F83" s="516" t="s">
        <v>558</v>
      </c>
      <c r="G83" s="470"/>
      <c r="H83" s="468"/>
      <c r="I83" s="468"/>
      <c r="J83" s="468"/>
      <c r="K83" s="468"/>
      <c r="L83" s="459"/>
      <c r="M83" s="458"/>
      <c r="N83" s="458"/>
      <c r="O83" s="458"/>
      <c r="P83" s="3864"/>
      <c r="Q83" s="3794"/>
      <c r="R83" s="3788"/>
      <c r="S83" s="3788"/>
      <c r="T83" s="3788"/>
      <c r="U83" s="3793"/>
      <c r="V83" s="4282"/>
      <c r="W83" s="1172"/>
      <c r="X83" s="1172"/>
      <c r="Y83" s="1172"/>
      <c r="Z83" s="470"/>
      <c r="AA83" s="468"/>
      <c r="AB83" s="468"/>
      <c r="AC83" s="468"/>
      <c r="AD83" s="468"/>
      <c r="AE83" s="462"/>
      <c r="AF83" s="463"/>
      <c r="AG83" s="464"/>
      <c r="AH83"/>
    </row>
    <row r="84" spans="2:34" s="78" customFormat="1" ht="12.75" customHeight="1">
      <c r="D84" s="262"/>
      <c r="E84" s="4279"/>
      <c r="F84" s="516" t="s">
        <v>578</v>
      </c>
      <c r="G84" s="470"/>
      <c r="H84" s="468"/>
      <c r="I84" s="468"/>
      <c r="J84" s="468"/>
      <c r="K84" s="468"/>
      <c r="L84" s="459"/>
      <c r="M84" s="458"/>
      <c r="N84" s="458"/>
      <c r="O84" s="458"/>
      <c r="P84" s="3864"/>
      <c r="Q84" s="3794"/>
      <c r="R84" s="3788"/>
      <c r="S84" s="3788"/>
      <c r="T84" s="3788"/>
      <c r="U84" s="3793"/>
      <c r="V84" s="4282"/>
      <c r="W84" s="1172"/>
      <c r="X84" s="1172"/>
      <c r="Y84" s="1172"/>
      <c r="Z84" s="470"/>
      <c r="AA84" s="468"/>
      <c r="AB84" s="468"/>
      <c r="AC84" s="468"/>
      <c r="AD84" s="468"/>
      <c r="AE84" s="462"/>
      <c r="AF84" s="463"/>
      <c r="AG84" s="464"/>
      <c r="AH84"/>
    </row>
    <row r="85" spans="2:34" s="474" customFormat="1" ht="12.75" customHeight="1">
      <c r="B85" s="78"/>
      <c r="C85" s="78"/>
      <c r="D85" s="262"/>
      <c r="E85" s="4279"/>
      <c r="F85" s="517" t="s">
        <v>566</v>
      </c>
      <c r="G85" s="459"/>
      <c r="H85" s="458"/>
      <c r="I85" s="458"/>
      <c r="J85" s="458"/>
      <c r="K85" s="625"/>
      <c r="L85" s="353">
        <f t="shared" ref="L85:O85" si="48">SUM(L82:L84)</f>
        <v>0</v>
      </c>
      <c r="M85" s="354">
        <f t="shared" si="48"/>
        <v>0</v>
      </c>
      <c r="N85" s="354">
        <f t="shared" si="48"/>
        <v>0</v>
      </c>
      <c r="O85" s="354">
        <f t="shared" si="48"/>
        <v>0</v>
      </c>
      <c r="P85" s="3864"/>
      <c r="Q85" s="3794"/>
      <c r="R85" s="3788"/>
      <c r="S85" s="3788"/>
      <c r="T85" s="3788"/>
      <c r="U85" s="3793"/>
      <c r="V85" s="4282"/>
      <c r="W85" s="1172"/>
      <c r="X85" s="1172"/>
      <c r="Y85" s="1172"/>
      <c r="Z85" s="462"/>
      <c r="AA85" s="463"/>
      <c r="AB85" s="463"/>
      <c r="AC85" s="463"/>
      <c r="AD85" s="1190"/>
      <c r="AE85" s="353">
        <f t="shared" ref="AE85:AG85" si="49">SUM(AE82:AE84)</f>
        <v>0</v>
      </c>
      <c r="AF85" s="354">
        <f t="shared" si="49"/>
        <v>0</v>
      </c>
      <c r="AG85" s="450">
        <f t="shared" si="49"/>
        <v>0</v>
      </c>
      <c r="AH85"/>
    </row>
    <row r="86" spans="2:34" s="474" customFormat="1" ht="12.75" customHeight="1">
      <c r="D86" s="262"/>
      <c r="E86" s="4279"/>
      <c r="F86" s="516" t="s">
        <v>583</v>
      </c>
      <c r="G86" s="459"/>
      <c r="H86" s="458"/>
      <c r="I86" s="458"/>
      <c r="J86" s="458"/>
      <c r="K86" s="625"/>
      <c r="L86" s="429"/>
      <c r="M86" s="476"/>
      <c r="N86" s="476"/>
      <c r="O86" s="476"/>
      <c r="P86" s="3865"/>
      <c r="Q86" s="3811"/>
      <c r="R86" s="3812"/>
      <c r="S86" s="3812"/>
      <c r="T86" s="3812"/>
      <c r="U86" s="3813"/>
      <c r="V86" s="4282"/>
      <c r="W86" s="1172"/>
      <c r="X86" s="1172"/>
      <c r="Y86" s="1172"/>
      <c r="Z86" s="462"/>
      <c r="AA86" s="463"/>
      <c r="AB86" s="463"/>
      <c r="AC86" s="463"/>
      <c r="AD86" s="1190"/>
      <c r="AE86" s="511"/>
      <c r="AF86" s="512"/>
      <c r="AG86" s="547"/>
      <c r="AH86"/>
    </row>
    <row r="87" spans="2:34" s="474" customFormat="1" ht="12.75" customHeight="1">
      <c r="D87" s="262"/>
      <c r="E87" s="4279"/>
      <c r="F87" s="516" t="s">
        <v>581</v>
      </c>
      <c r="G87" s="459"/>
      <c r="H87" s="458"/>
      <c r="I87" s="458"/>
      <c r="J87" s="458"/>
      <c r="K87" s="625"/>
      <c r="L87" s="472"/>
      <c r="M87" s="467"/>
      <c r="N87" s="467"/>
      <c r="O87" s="467"/>
      <c r="P87" s="3864"/>
      <c r="Q87" s="3794"/>
      <c r="R87" s="3788"/>
      <c r="S87" s="3788"/>
      <c r="T87" s="3788"/>
      <c r="U87" s="3793"/>
      <c r="V87" s="4282"/>
      <c r="W87" s="1172"/>
      <c r="X87" s="1172"/>
      <c r="Y87" s="1172"/>
      <c r="Z87" s="462"/>
      <c r="AA87" s="463"/>
      <c r="AB87" s="463"/>
      <c r="AC87" s="463"/>
      <c r="AD87" s="1190"/>
      <c r="AE87" s="462"/>
      <c r="AF87" s="463"/>
      <c r="AG87" s="464"/>
      <c r="AH87"/>
    </row>
    <row r="88" spans="2:34" s="474" customFormat="1" ht="12.75" customHeight="1">
      <c r="D88" s="262"/>
      <c r="E88" s="4279"/>
      <c r="F88" s="517" t="s">
        <v>584</v>
      </c>
      <c r="G88" s="353">
        <f t="shared" ref="G88:O88" si="50">SUM(G86:G87)</f>
        <v>0</v>
      </c>
      <c r="H88" s="354">
        <f t="shared" si="50"/>
        <v>0</v>
      </c>
      <c r="I88" s="354">
        <f t="shared" si="50"/>
        <v>0</v>
      </c>
      <c r="J88" s="354">
        <f t="shared" si="50"/>
        <v>0</v>
      </c>
      <c r="K88" s="626">
        <f t="shared" si="50"/>
        <v>0</v>
      </c>
      <c r="L88" s="353">
        <f t="shared" si="50"/>
        <v>0</v>
      </c>
      <c r="M88" s="354">
        <f t="shared" si="50"/>
        <v>0</v>
      </c>
      <c r="N88" s="354">
        <f t="shared" si="50"/>
        <v>0</v>
      </c>
      <c r="O88" s="354">
        <f t="shared" si="50"/>
        <v>0</v>
      </c>
      <c r="P88" s="3864"/>
      <c r="Q88" s="3794"/>
      <c r="R88" s="3788"/>
      <c r="S88" s="3788"/>
      <c r="T88" s="3788"/>
      <c r="U88" s="3793"/>
      <c r="V88" s="4282"/>
      <c r="W88" s="1172"/>
      <c r="X88" s="1172"/>
      <c r="Y88" s="1172"/>
      <c r="Z88" s="353">
        <f t="shared" ref="Z88:AG88" si="51">SUM(Z86:Z87)</f>
        <v>0</v>
      </c>
      <c r="AA88" s="354">
        <f t="shared" si="51"/>
        <v>0</v>
      </c>
      <c r="AB88" s="354">
        <f t="shared" si="51"/>
        <v>0</v>
      </c>
      <c r="AC88" s="354">
        <f t="shared" si="51"/>
        <v>0</v>
      </c>
      <c r="AD88" s="626">
        <f t="shared" si="51"/>
        <v>0</v>
      </c>
      <c r="AE88" s="353">
        <f t="shared" si="51"/>
        <v>0</v>
      </c>
      <c r="AF88" s="354">
        <f t="shared" si="51"/>
        <v>0</v>
      </c>
      <c r="AG88" s="450">
        <f t="shared" si="51"/>
        <v>0</v>
      </c>
      <c r="AH88"/>
    </row>
    <row r="89" spans="2:34" s="474" customFormat="1" ht="12.75" customHeight="1">
      <c r="D89" s="262"/>
      <c r="E89" s="4279"/>
      <c r="F89" s="516" t="s">
        <v>35</v>
      </c>
      <c r="G89" s="459"/>
      <c r="H89" s="458"/>
      <c r="I89" s="458"/>
      <c r="J89" s="458"/>
      <c r="K89" s="625"/>
      <c r="L89" s="459"/>
      <c r="M89" s="458"/>
      <c r="N89" s="458"/>
      <c r="O89" s="458"/>
      <c r="P89" s="3864"/>
      <c r="Q89" s="3794"/>
      <c r="R89" s="3788"/>
      <c r="S89" s="3788"/>
      <c r="T89" s="3788"/>
      <c r="U89" s="3793"/>
      <c r="V89" s="4282"/>
      <c r="W89" s="1172"/>
      <c r="X89" s="1172"/>
      <c r="Y89" s="1172"/>
      <c r="Z89" s="462"/>
      <c r="AA89" s="463"/>
      <c r="AB89" s="463"/>
      <c r="AC89" s="463"/>
      <c r="AD89" s="1190"/>
      <c r="AE89" s="462"/>
      <c r="AF89" s="463"/>
      <c r="AG89" s="464"/>
      <c r="AH89"/>
    </row>
    <row r="90" spans="2:34" s="474" customFormat="1" ht="12.75" customHeight="1" thickBot="1">
      <c r="D90" s="262"/>
      <c r="E90" s="4280"/>
      <c r="F90" s="1409" t="s">
        <v>585</v>
      </c>
      <c r="G90" s="1370">
        <f t="shared" ref="G90:K90" si="52">G88-G89</f>
        <v>0</v>
      </c>
      <c r="H90" s="356">
        <f t="shared" si="52"/>
        <v>0</v>
      </c>
      <c r="I90" s="356">
        <f t="shared" si="52"/>
        <v>0</v>
      </c>
      <c r="J90" s="356">
        <f t="shared" si="52"/>
        <v>0</v>
      </c>
      <c r="K90" s="627">
        <f t="shared" si="52"/>
        <v>0</v>
      </c>
      <c r="L90" s="1370">
        <f>L88-L89</f>
        <v>0</v>
      </c>
      <c r="M90" s="356">
        <f>M88-M89</f>
        <v>0</v>
      </c>
      <c r="N90" s="356">
        <f t="shared" ref="N90:O90" si="53">N88-N89</f>
        <v>0</v>
      </c>
      <c r="O90" s="356">
        <f t="shared" si="53"/>
        <v>0</v>
      </c>
      <c r="P90" s="3866"/>
      <c r="Q90" s="3867"/>
      <c r="R90" s="3802"/>
      <c r="S90" s="3802"/>
      <c r="T90" s="3802"/>
      <c r="U90" s="3803"/>
      <c r="V90" s="4283"/>
      <c r="W90" s="1172"/>
      <c r="X90" s="1172"/>
      <c r="Y90" s="1172"/>
      <c r="Z90" s="1370">
        <f t="shared" ref="Z90:AD90" si="54">Z88-Z89</f>
        <v>0</v>
      </c>
      <c r="AA90" s="356">
        <f t="shared" si="54"/>
        <v>0</v>
      </c>
      <c r="AB90" s="356">
        <f t="shared" si="54"/>
        <v>0</v>
      </c>
      <c r="AC90" s="356">
        <f t="shared" si="54"/>
        <v>0</v>
      </c>
      <c r="AD90" s="627">
        <f t="shared" si="54"/>
        <v>0</v>
      </c>
      <c r="AE90" s="1370">
        <f>AE88-AE89</f>
        <v>0</v>
      </c>
      <c r="AF90" s="356">
        <f>AF88-AF89</f>
        <v>0</v>
      </c>
      <c r="AG90" s="503">
        <f t="shared" ref="AG90" si="55">AG88-AG89</f>
        <v>0</v>
      </c>
      <c r="AH90"/>
    </row>
    <row r="91" spans="2:34" s="474" customFormat="1" ht="12.75" customHeight="1">
      <c r="D91" s="262"/>
      <c r="E91" s="4278" t="s">
        <v>1797</v>
      </c>
      <c r="F91" s="842" t="s">
        <v>598</v>
      </c>
      <c r="G91" s="470"/>
      <c r="H91" s="468"/>
      <c r="I91" s="468"/>
      <c r="J91" s="468"/>
      <c r="K91" s="468"/>
      <c r="L91" s="538"/>
      <c r="M91" s="539"/>
      <c r="N91" s="539"/>
      <c r="O91" s="539"/>
      <c r="P91" s="3861"/>
      <c r="Q91" s="3868"/>
      <c r="R91" s="3869"/>
      <c r="S91" s="3869"/>
      <c r="T91" s="3869"/>
      <c r="U91" s="3870"/>
      <c r="V91" s="4281"/>
      <c r="W91" s="1172"/>
      <c r="X91" s="1172"/>
      <c r="Y91" s="1172"/>
      <c r="Z91" s="470"/>
      <c r="AA91" s="468"/>
      <c r="AB91" s="468"/>
      <c r="AC91" s="468"/>
      <c r="AD91" s="468"/>
      <c r="AE91" s="538"/>
      <c r="AF91" s="539"/>
      <c r="AG91" s="540"/>
      <c r="AH91"/>
    </row>
    <row r="92" spans="2:34" s="474" customFormat="1" ht="12.75" customHeight="1">
      <c r="D92" s="262"/>
      <c r="E92" s="4279"/>
      <c r="F92" s="516" t="s">
        <v>559</v>
      </c>
      <c r="G92" s="470"/>
      <c r="H92" s="468"/>
      <c r="I92" s="468"/>
      <c r="J92" s="468"/>
      <c r="K92" s="468"/>
      <c r="L92" s="459"/>
      <c r="M92" s="458"/>
      <c r="N92" s="458"/>
      <c r="O92" s="458"/>
      <c r="P92" s="3864"/>
      <c r="Q92" s="3794"/>
      <c r="R92" s="3788"/>
      <c r="S92" s="3788"/>
      <c r="T92" s="3788"/>
      <c r="U92" s="3793"/>
      <c r="V92" s="4282"/>
      <c r="W92" s="1172"/>
      <c r="X92" s="1172"/>
      <c r="Y92" s="1172"/>
      <c r="Z92" s="470"/>
      <c r="AA92" s="468"/>
      <c r="AB92" s="468"/>
      <c r="AC92" s="468"/>
      <c r="AD92" s="468"/>
      <c r="AE92" s="462"/>
      <c r="AF92" s="463"/>
      <c r="AG92" s="464"/>
      <c r="AH92"/>
    </row>
    <row r="93" spans="2:34" s="474" customFormat="1" ht="13.5" customHeight="1">
      <c r="D93" s="262"/>
      <c r="E93" s="4279"/>
      <c r="F93" s="516" t="s">
        <v>558</v>
      </c>
      <c r="G93" s="470"/>
      <c r="H93" s="468"/>
      <c r="I93" s="468"/>
      <c r="J93" s="468"/>
      <c r="K93" s="468"/>
      <c r="L93" s="459"/>
      <c r="M93" s="458"/>
      <c r="N93" s="458"/>
      <c r="O93" s="458"/>
      <c r="P93" s="3864"/>
      <c r="Q93" s="3794"/>
      <c r="R93" s="3788"/>
      <c r="S93" s="3788"/>
      <c r="T93" s="3788"/>
      <c r="U93" s="3793"/>
      <c r="V93" s="4282"/>
      <c r="W93" s="1172"/>
      <c r="X93" s="1172"/>
      <c r="Y93" s="1172"/>
      <c r="Z93" s="470"/>
      <c r="AA93" s="468"/>
      <c r="AB93" s="468"/>
      <c r="AC93" s="468"/>
      <c r="AD93" s="468"/>
      <c r="AE93" s="462"/>
      <c r="AF93" s="463"/>
      <c r="AG93" s="464"/>
      <c r="AH93"/>
    </row>
    <row r="94" spans="2:34" ht="12.75" customHeight="1">
      <c r="D94" s="262"/>
      <c r="E94" s="4279"/>
      <c r="F94" s="516" t="s">
        <v>578</v>
      </c>
      <c r="G94" s="470"/>
      <c r="H94" s="468"/>
      <c r="I94" s="468"/>
      <c r="J94" s="468"/>
      <c r="K94" s="468"/>
      <c r="L94" s="459"/>
      <c r="M94" s="458"/>
      <c r="N94" s="458"/>
      <c r="O94" s="458"/>
      <c r="P94" s="3864"/>
      <c r="Q94" s="3794"/>
      <c r="R94" s="3788"/>
      <c r="S94" s="3788"/>
      <c r="T94" s="3788"/>
      <c r="U94" s="3793"/>
      <c r="V94" s="4282"/>
      <c r="W94" s="1172"/>
      <c r="X94" s="1172"/>
      <c r="Y94" s="1172"/>
      <c r="Z94" s="470"/>
      <c r="AA94" s="468"/>
      <c r="AB94" s="468"/>
      <c r="AC94" s="468"/>
      <c r="AD94" s="468"/>
      <c r="AE94" s="462"/>
      <c r="AF94" s="463"/>
      <c r="AG94" s="464"/>
      <c r="AH94"/>
    </row>
    <row r="95" spans="2:34" ht="12.75" customHeight="1">
      <c r="D95" s="262"/>
      <c r="E95" s="4279"/>
      <c r="F95" s="517" t="s">
        <v>566</v>
      </c>
      <c r="G95" s="459"/>
      <c r="H95" s="458"/>
      <c r="I95" s="458"/>
      <c r="J95" s="458"/>
      <c r="K95" s="625"/>
      <c r="L95" s="353">
        <f t="shared" ref="L95:O95" si="56">SUM(L92:L94)</f>
        <v>0</v>
      </c>
      <c r="M95" s="354">
        <f t="shared" si="56"/>
        <v>0</v>
      </c>
      <c r="N95" s="354">
        <f t="shared" si="56"/>
        <v>0</v>
      </c>
      <c r="O95" s="354">
        <f t="shared" si="56"/>
        <v>0</v>
      </c>
      <c r="P95" s="3864"/>
      <c r="Q95" s="3794"/>
      <c r="R95" s="3788"/>
      <c r="S95" s="3788"/>
      <c r="T95" s="3788"/>
      <c r="U95" s="3793"/>
      <c r="V95" s="4282"/>
      <c r="W95" s="1172"/>
      <c r="X95" s="1172"/>
      <c r="Y95" s="1172"/>
      <c r="Z95" s="462"/>
      <c r="AA95" s="463"/>
      <c r="AB95" s="463"/>
      <c r="AC95" s="463"/>
      <c r="AD95" s="1190"/>
      <c r="AE95" s="353">
        <f t="shared" ref="AE95:AG95" si="57">SUM(AE92:AE94)</f>
        <v>0</v>
      </c>
      <c r="AF95" s="354">
        <f t="shared" si="57"/>
        <v>0</v>
      </c>
      <c r="AG95" s="450">
        <f t="shared" si="57"/>
        <v>0</v>
      </c>
      <c r="AH95"/>
    </row>
    <row r="96" spans="2:34" ht="12.75" customHeight="1">
      <c r="D96" s="262"/>
      <c r="E96" s="4279"/>
      <c r="F96" s="516" t="s">
        <v>583</v>
      </c>
      <c r="G96" s="459"/>
      <c r="H96" s="458"/>
      <c r="I96" s="458"/>
      <c r="J96" s="458"/>
      <c r="K96" s="625"/>
      <c r="L96" s="429"/>
      <c r="M96" s="476"/>
      <c r="N96" s="476"/>
      <c r="O96" s="476"/>
      <c r="P96" s="3865"/>
      <c r="Q96" s="3811"/>
      <c r="R96" s="3812"/>
      <c r="S96" s="3812"/>
      <c r="T96" s="3812"/>
      <c r="U96" s="3813"/>
      <c r="V96" s="4282"/>
      <c r="W96" s="1172"/>
      <c r="X96" s="1172"/>
      <c r="Y96" s="1172"/>
      <c r="Z96" s="462"/>
      <c r="AA96" s="463"/>
      <c r="AB96" s="463"/>
      <c r="AC96" s="463"/>
      <c r="AD96" s="1190"/>
      <c r="AE96" s="511"/>
      <c r="AF96" s="512"/>
      <c r="AG96" s="547"/>
      <c r="AH96"/>
    </row>
    <row r="97" spans="2:34" s="69" customFormat="1" ht="12.75" customHeight="1">
      <c r="B97" s="75"/>
      <c r="C97" s="75"/>
      <c r="D97" s="314"/>
      <c r="E97" s="4279"/>
      <c r="F97" s="516" t="s">
        <v>581</v>
      </c>
      <c r="G97" s="459"/>
      <c r="H97" s="458"/>
      <c r="I97" s="458"/>
      <c r="J97" s="458"/>
      <c r="K97" s="625"/>
      <c r="L97" s="472"/>
      <c r="M97" s="467"/>
      <c r="N97" s="467"/>
      <c r="O97" s="467"/>
      <c r="P97" s="3864"/>
      <c r="Q97" s="3794"/>
      <c r="R97" s="3788"/>
      <c r="S97" s="3788"/>
      <c r="T97" s="3788"/>
      <c r="U97" s="3793"/>
      <c r="V97" s="4282"/>
      <c r="W97" s="1172"/>
      <c r="X97" s="1172"/>
      <c r="Y97" s="1172"/>
      <c r="Z97" s="462"/>
      <c r="AA97" s="463"/>
      <c r="AB97" s="463"/>
      <c r="AC97" s="463"/>
      <c r="AD97" s="1190"/>
      <c r="AE97" s="462"/>
      <c r="AF97" s="463"/>
      <c r="AG97" s="464"/>
      <c r="AH97"/>
    </row>
    <row r="98" spans="2:34" s="69" customFormat="1" ht="12.75" customHeight="1">
      <c r="B98" s="75"/>
      <c r="C98" s="75"/>
      <c r="D98" s="314"/>
      <c r="E98" s="4279"/>
      <c r="F98" s="517" t="s">
        <v>584</v>
      </c>
      <c r="G98" s="353">
        <f t="shared" ref="G98:O98" si="58">SUM(G96:G97)</f>
        <v>0</v>
      </c>
      <c r="H98" s="354">
        <f t="shared" si="58"/>
        <v>0</v>
      </c>
      <c r="I98" s="354">
        <f t="shared" si="58"/>
        <v>0</v>
      </c>
      <c r="J98" s="354">
        <f t="shared" si="58"/>
        <v>0</v>
      </c>
      <c r="K98" s="626">
        <f t="shared" si="58"/>
        <v>0</v>
      </c>
      <c r="L98" s="353">
        <f t="shared" si="58"/>
        <v>0</v>
      </c>
      <c r="M98" s="354">
        <f t="shared" si="58"/>
        <v>0</v>
      </c>
      <c r="N98" s="354">
        <f t="shared" si="58"/>
        <v>0</v>
      </c>
      <c r="O98" s="354">
        <f t="shared" si="58"/>
        <v>0</v>
      </c>
      <c r="P98" s="3864"/>
      <c r="Q98" s="3794"/>
      <c r="R98" s="3788"/>
      <c r="S98" s="3788"/>
      <c r="T98" s="3788"/>
      <c r="U98" s="3793"/>
      <c r="V98" s="4282"/>
      <c r="W98" s="1172"/>
      <c r="X98" s="1172"/>
      <c r="Y98" s="1172"/>
      <c r="Z98" s="353">
        <f t="shared" ref="Z98:AG98" si="59">SUM(Z96:Z97)</f>
        <v>0</v>
      </c>
      <c r="AA98" s="354">
        <f t="shared" si="59"/>
        <v>0</v>
      </c>
      <c r="AB98" s="354">
        <f t="shared" si="59"/>
        <v>0</v>
      </c>
      <c r="AC98" s="354">
        <f t="shared" si="59"/>
        <v>0</v>
      </c>
      <c r="AD98" s="626">
        <f t="shared" si="59"/>
        <v>0</v>
      </c>
      <c r="AE98" s="353">
        <f t="shared" si="59"/>
        <v>0</v>
      </c>
      <c r="AF98" s="354">
        <f t="shared" si="59"/>
        <v>0</v>
      </c>
      <c r="AG98" s="450">
        <f t="shared" si="59"/>
        <v>0</v>
      </c>
      <c r="AH98"/>
    </row>
    <row r="99" spans="2:34" s="69" customFormat="1" ht="13.5" customHeight="1">
      <c r="B99" s="75"/>
      <c r="C99" s="75"/>
      <c r="D99" s="314"/>
      <c r="E99" s="4279"/>
      <c r="F99" s="516" t="s">
        <v>35</v>
      </c>
      <c r="G99" s="459"/>
      <c r="H99" s="458"/>
      <c r="I99" s="458"/>
      <c r="J99" s="458"/>
      <c r="K99" s="625"/>
      <c r="L99" s="459"/>
      <c r="M99" s="458"/>
      <c r="N99" s="458"/>
      <c r="O99" s="458"/>
      <c r="P99" s="3864"/>
      <c r="Q99" s="3794"/>
      <c r="R99" s="3788"/>
      <c r="S99" s="3788"/>
      <c r="T99" s="3788"/>
      <c r="U99" s="3793"/>
      <c r="V99" s="4282"/>
      <c r="W99" s="1172"/>
      <c r="X99" s="1172"/>
      <c r="Y99" s="1172"/>
      <c r="Z99" s="462"/>
      <c r="AA99" s="463"/>
      <c r="AB99" s="463"/>
      <c r="AC99" s="463"/>
      <c r="AD99" s="1190"/>
      <c r="AE99" s="462"/>
      <c r="AF99" s="463"/>
      <c r="AG99" s="464"/>
      <c r="AH99"/>
    </row>
    <row r="100" spans="2:34" s="69" customFormat="1" ht="32.25" customHeight="1" thickBot="1">
      <c r="B100" s="75"/>
      <c r="C100" s="75"/>
      <c r="D100" s="314"/>
      <c r="E100" s="4280"/>
      <c r="F100" s="1409" t="s">
        <v>585</v>
      </c>
      <c r="G100" s="1370">
        <f t="shared" ref="G100:K100" si="60">G98-G99</f>
        <v>0</v>
      </c>
      <c r="H100" s="356">
        <f t="shared" si="60"/>
        <v>0</v>
      </c>
      <c r="I100" s="356">
        <f t="shared" si="60"/>
        <v>0</v>
      </c>
      <c r="J100" s="356">
        <f t="shared" si="60"/>
        <v>0</v>
      </c>
      <c r="K100" s="627">
        <f t="shared" si="60"/>
        <v>0</v>
      </c>
      <c r="L100" s="1370">
        <f>L98-L99</f>
        <v>0</v>
      </c>
      <c r="M100" s="356">
        <f>M98-M99</f>
        <v>0</v>
      </c>
      <c r="N100" s="356">
        <f t="shared" ref="N100:O100" si="61">N98-N99</f>
        <v>0</v>
      </c>
      <c r="O100" s="356">
        <f t="shared" si="61"/>
        <v>0</v>
      </c>
      <c r="P100" s="3866"/>
      <c r="Q100" s="3867"/>
      <c r="R100" s="3802"/>
      <c r="S100" s="3802"/>
      <c r="T100" s="3802"/>
      <c r="U100" s="3803"/>
      <c r="V100" s="4283"/>
      <c r="W100" s="1172"/>
      <c r="X100" s="1172"/>
      <c r="Y100" s="1172"/>
      <c r="Z100" s="1370">
        <f t="shared" ref="Z100:AD100" si="62">Z98-Z99</f>
        <v>0</v>
      </c>
      <c r="AA100" s="356">
        <f t="shared" si="62"/>
        <v>0</v>
      </c>
      <c r="AB100" s="356">
        <f t="shared" si="62"/>
        <v>0</v>
      </c>
      <c r="AC100" s="356">
        <f t="shared" si="62"/>
        <v>0</v>
      </c>
      <c r="AD100" s="627">
        <f t="shared" si="62"/>
        <v>0</v>
      </c>
      <c r="AE100" s="1370">
        <f>AE98-AE99</f>
        <v>0</v>
      </c>
      <c r="AF100" s="356">
        <f>AF98-AF99</f>
        <v>0</v>
      </c>
      <c r="AG100" s="503">
        <f t="shared" ref="AG100" si="63">AG98-AG99</f>
        <v>0</v>
      </c>
      <c r="AH100"/>
    </row>
    <row r="101" spans="2:34" s="65" customFormat="1" ht="12.75" customHeight="1">
      <c r="D101" s="242"/>
      <c r="E101" s="4278" t="s">
        <v>1798</v>
      </c>
      <c r="F101" s="842" t="s">
        <v>598</v>
      </c>
      <c r="G101" s="470"/>
      <c r="H101" s="468"/>
      <c r="I101" s="468"/>
      <c r="J101" s="468"/>
      <c r="K101" s="468"/>
      <c r="L101" s="538"/>
      <c r="M101" s="539"/>
      <c r="N101" s="539"/>
      <c r="O101" s="539"/>
      <c r="P101" s="3861"/>
      <c r="Q101" s="3868"/>
      <c r="R101" s="3869"/>
      <c r="S101" s="3869"/>
      <c r="T101" s="3869"/>
      <c r="U101" s="3870"/>
      <c r="V101" s="4281"/>
      <c r="W101" s="1172"/>
      <c r="X101" s="1172"/>
      <c r="Y101" s="1172"/>
      <c r="Z101" s="470"/>
      <c r="AA101" s="468"/>
      <c r="AB101" s="468"/>
      <c r="AC101" s="468"/>
      <c r="AD101" s="468"/>
      <c r="AE101" s="538"/>
      <c r="AF101" s="539"/>
      <c r="AG101" s="540"/>
      <c r="AH101"/>
    </row>
    <row r="102" spans="2:34" ht="12.75" customHeight="1">
      <c r="E102" s="4279"/>
      <c r="F102" s="516" t="s">
        <v>559</v>
      </c>
      <c r="G102" s="470"/>
      <c r="H102" s="468"/>
      <c r="I102" s="468"/>
      <c r="J102" s="468"/>
      <c r="K102" s="468"/>
      <c r="L102" s="459"/>
      <c r="M102" s="458"/>
      <c r="N102" s="458"/>
      <c r="O102" s="458">
        <v>0</v>
      </c>
      <c r="P102" s="3864"/>
      <c r="Q102" s="3794"/>
      <c r="R102" s="3788"/>
      <c r="S102" s="3788"/>
      <c r="T102" s="3788"/>
      <c r="U102" s="3793"/>
      <c r="V102" s="4282"/>
      <c r="W102" s="1172"/>
      <c r="X102" s="1172"/>
      <c r="Y102" s="1172"/>
      <c r="Z102" s="470"/>
      <c r="AA102" s="468"/>
      <c r="AB102" s="468"/>
      <c r="AC102" s="468"/>
      <c r="AD102" s="468"/>
      <c r="AE102" s="462"/>
      <c r="AF102" s="463"/>
      <c r="AG102" s="464"/>
      <c r="AH102"/>
    </row>
    <row r="103" spans="2:34" ht="12.75" customHeight="1">
      <c r="E103" s="4279"/>
      <c r="F103" s="516" t="s">
        <v>558</v>
      </c>
      <c r="G103" s="470"/>
      <c r="H103" s="468"/>
      <c r="I103" s="468"/>
      <c r="J103" s="468"/>
      <c r="K103" s="468"/>
      <c r="L103" s="459"/>
      <c r="M103" s="458"/>
      <c r="N103" s="458"/>
      <c r="O103" s="458">
        <v>0</v>
      </c>
      <c r="P103" s="3864"/>
      <c r="Q103" s="3794"/>
      <c r="R103" s="3788"/>
      <c r="S103" s="3788"/>
      <c r="T103" s="3788"/>
      <c r="U103" s="3793"/>
      <c r="V103" s="4282"/>
      <c r="W103" s="1172"/>
      <c r="X103" s="1172"/>
      <c r="Y103" s="1172"/>
      <c r="Z103" s="470"/>
      <c r="AA103" s="468"/>
      <c r="AB103" s="468"/>
      <c r="AC103" s="468"/>
      <c r="AD103" s="468"/>
      <c r="AE103" s="462"/>
      <c r="AF103" s="463"/>
      <c r="AG103" s="464"/>
    </row>
    <row r="104" spans="2:34" ht="12.75" customHeight="1">
      <c r="E104" s="4279"/>
      <c r="F104" s="516" t="s">
        <v>578</v>
      </c>
      <c r="G104" s="470"/>
      <c r="H104" s="468"/>
      <c r="I104" s="468"/>
      <c r="J104" s="468"/>
      <c r="K104" s="468"/>
      <c r="L104" s="459"/>
      <c r="M104" s="458"/>
      <c r="N104" s="458"/>
      <c r="O104" s="458">
        <v>0</v>
      </c>
      <c r="P104" s="3864"/>
      <c r="Q104" s="3794"/>
      <c r="R104" s="3788"/>
      <c r="S104" s="3788"/>
      <c r="T104" s="3788"/>
      <c r="U104" s="3793"/>
      <c r="V104" s="4282"/>
      <c r="W104" s="1172"/>
      <c r="X104" s="1172"/>
      <c r="Y104" s="1172"/>
      <c r="Z104" s="470"/>
      <c r="AA104" s="468"/>
      <c r="AB104" s="468"/>
      <c r="AC104" s="468"/>
      <c r="AD104" s="468"/>
      <c r="AE104" s="462"/>
      <c r="AF104" s="463"/>
      <c r="AG104" s="464"/>
    </row>
    <row r="105" spans="2:34" ht="12.75" customHeight="1">
      <c r="E105" s="4279"/>
      <c r="F105" s="517" t="s">
        <v>566</v>
      </c>
      <c r="G105" s="459"/>
      <c r="H105" s="458"/>
      <c r="I105" s="458"/>
      <c r="J105" s="458"/>
      <c r="K105" s="625"/>
      <c r="L105" s="353">
        <f t="shared" ref="L105:O105" si="64">SUM(L102:L104)</f>
        <v>0</v>
      </c>
      <c r="M105" s="354">
        <f t="shared" si="64"/>
        <v>0</v>
      </c>
      <c r="N105" s="354">
        <f t="shared" si="64"/>
        <v>0</v>
      </c>
      <c r="O105" s="354">
        <f t="shared" si="64"/>
        <v>0</v>
      </c>
      <c r="P105" s="3864"/>
      <c r="Q105" s="3794"/>
      <c r="R105" s="3788"/>
      <c r="S105" s="3788"/>
      <c r="T105" s="3788"/>
      <c r="U105" s="3793"/>
      <c r="V105" s="4282"/>
      <c r="W105" s="1172"/>
      <c r="X105" s="1172"/>
      <c r="Y105" s="1172"/>
      <c r="Z105" s="462"/>
      <c r="AA105" s="463"/>
      <c r="AB105" s="463"/>
      <c r="AC105" s="463"/>
      <c r="AD105" s="1190"/>
      <c r="AE105" s="353">
        <f t="shared" ref="AE105:AG105" si="65">SUM(AE102:AE104)</f>
        <v>0</v>
      </c>
      <c r="AF105" s="354">
        <f t="shared" si="65"/>
        <v>0</v>
      </c>
      <c r="AG105" s="450">
        <f t="shared" si="65"/>
        <v>0</v>
      </c>
    </row>
    <row r="106" spans="2:34" ht="12.75" customHeight="1">
      <c r="E106" s="4279"/>
      <c r="F106" s="516" t="s">
        <v>583</v>
      </c>
      <c r="G106" s="459"/>
      <c r="H106" s="458"/>
      <c r="I106" s="458"/>
      <c r="J106" s="458"/>
      <c r="K106" s="625"/>
      <c r="L106" s="429"/>
      <c r="M106" s="476"/>
      <c r="N106" s="476"/>
      <c r="O106" s="476">
        <v>0</v>
      </c>
      <c r="P106" s="3865"/>
      <c r="Q106" s="3811"/>
      <c r="R106" s="3812"/>
      <c r="S106" s="3812"/>
      <c r="T106" s="3812"/>
      <c r="U106" s="3813"/>
      <c r="V106" s="4282"/>
      <c r="W106" s="1172"/>
      <c r="X106" s="1172"/>
      <c r="Y106" s="1172"/>
      <c r="Z106" s="462"/>
      <c r="AA106" s="463"/>
      <c r="AB106" s="463"/>
      <c r="AC106" s="463"/>
      <c r="AD106" s="1190"/>
      <c r="AE106" s="511"/>
      <c r="AF106" s="512"/>
      <c r="AG106" s="547"/>
    </row>
    <row r="107" spans="2:34" ht="12.75" customHeight="1">
      <c r="E107" s="4279"/>
      <c r="F107" s="516" t="s">
        <v>581</v>
      </c>
      <c r="G107" s="459"/>
      <c r="H107" s="458"/>
      <c r="I107" s="458"/>
      <c r="J107" s="458"/>
      <c r="K107" s="625"/>
      <c r="L107" s="472"/>
      <c r="M107" s="467"/>
      <c r="N107" s="467"/>
      <c r="O107" s="467">
        <v>0</v>
      </c>
      <c r="P107" s="3864"/>
      <c r="Q107" s="3794"/>
      <c r="R107" s="3788"/>
      <c r="S107" s="3788"/>
      <c r="T107" s="3788"/>
      <c r="U107" s="3793"/>
      <c r="V107" s="4282"/>
      <c r="W107" s="1172"/>
      <c r="X107" s="1172"/>
      <c r="Y107" s="1172"/>
      <c r="Z107" s="462"/>
      <c r="AA107" s="463"/>
      <c r="AB107" s="463"/>
      <c r="AC107" s="463"/>
      <c r="AD107" s="1190"/>
      <c r="AE107" s="462"/>
      <c r="AF107" s="463"/>
      <c r="AG107" s="464"/>
    </row>
    <row r="108" spans="2:34" ht="12.75" customHeight="1">
      <c r="E108" s="4279"/>
      <c r="F108" s="517" t="s">
        <v>584</v>
      </c>
      <c r="G108" s="353">
        <f t="shared" ref="G108:O108" si="66">SUM(G106:G107)</f>
        <v>0</v>
      </c>
      <c r="H108" s="354">
        <f t="shared" si="66"/>
        <v>0</v>
      </c>
      <c r="I108" s="354">
        <f t="shared" si="66"/>
        <v>0</v>
      </c>
      <c r="J108" s="354">
        <f t="shared" si="66"/>
        <v>0</v>
      </c>
      <c r="K108" s="626">
        <f t="shared" si="66"/>
        <v>0</v>
      </c>
      <c r="L108" s="353">
        <f t="shared" si="66"/>
        <v>0</v>
      </c>
      <c r="M108" s="354">
        <f t="shared" si="66"/>
        <v>0</v>
      </c>
      <c r="N108" s="354">
        <f t="shared" si="66"/>
        <v>0</v>
      </c>
      <c r="O108" s="354">
        <f t="shared" si="66"/>
        <v>0</v>
      </c>
      <c r="P108" s="3864"/>
      <c r="Q108" s="3794"/>
      <c r="R108" s="3788"/>
      <c r="S108" s="3788"/>
      <c r="T108" s="3788"/>
      <c r="U108" s="3793"/>
      <c r="V108" s="4282"/>
      <c r="W108" s="1172"/>
      <c r="X108" s="1172"/>
      <c r="Y108" s="1172"/>
      <c r="Z108" s="353">
        <f t="shared" ref="Z108:AG108" si="67">SUM(Z106:Z107)</f>
        <v>0</v>
      </c>
      <c r="AA108" s="354">
        <f t="shared" si="67"/>
        <v>0</v>
      </c>
      <c r="AB108" s="354">
        <f t="shared" si="67"/>
        <v>0</v>
      </c>
      <c r="AC108" s="354">
        <f t="shared" si="67"/>
        <v>0</v>
      </c>
      <c r="AD108" s="626">
        <f t="shared" si="67"/>
        <v>0</v>
      </c>
      <c r="AE108" s="353">
        <f t="shared" si="67"/>
        <v>0</v>
      </c>
      <c r="AF108" s="354">
        <f t="shared" si="67"/>
        <v>0</v>
      </c>
      <c r="AG108" s="450">
        <f t="shared" si="67"/>
        <v>0</v>
      </c>
    </row>
    <row r="109" spans="2:34" ht="12.75" customHeight="1">
      <c r="E109" s="4279"/>
      <c r="F109" s="516" t="s">
        <v>35</v>
      </c>
      <c r="G109" s="459"/>
      <c r="H109" s="458"/>
      <c r="I109" s="458"/>
      <c r="J109" s="458"/>
      <c r="K109" s="625"/>
      <c r="L109" s="459"/>
      <c r="M109" s="458"/>
      <c r="N109" s="458"/>
      <c r="O109" s="458">
        <v>0</v>
      </c>
      <c r="P109" s="3864"/>
      <c r="Q109" s="3794"/>
      <c r="R109" s="3788"/>
      <c r="S109" s="3788"/>
      <c r="T109" s="3788"/>
      <c r="U109" s="3793"/>
      <c r="V109" s="4282"/>
      <c r="W109" s="1172"/>
      <c r="X109" s="1172"/>
      <c r="Y109" s="1172"/>
      <c r="Z109" s="462"/>
      <c r="AA109" s="463"/>
      <c r="AB109" s="463"/>
      <c r="AC109" s="463"/>
      <c r="AD109" s="1190"/>
      <c r="AE109" s="462"/>
      <c r="AF109" s="463"/>
      <c r="AG109" s="464"/>
    </row>
    <row r="110" spans="2:34" ht="13.5" customHeight="1" thickBot="1">
      <c r="E110" s="4280"/>
      <c r="F110" s="1409" t="s">
        <v>585</v>
      </c>
      <c r="G110" s="1370">
        <f t="shared" ref="G110:K110" si="68">G108-G109</f>
        <v>0</v>
      </c>
      <c r="H110" s="356">
        <f t="shared" si="68"/>
        <v>0</v>
      </c>
      <c r="I110" s="356">
        <f t="shared" si="68"/>
        <v>0</v>
      </c>
      <c r="J110" s="356">
        <f t="shared" si="68"/>
        <v>0</v>
      </c>
      <c r="K110" s="627">
        <f t="shared" si="68"/>
        <v>0</v>
      </c>
      <c r="L110" s="1370">
        <f>L108-L109</f>
        <v>0</v>
      </c>
      <c r="M110" s="356">
        <f>M108-M109</f>
        <v>0</v>
      </c>
      <c r="N110" s="356">
        <f t="shared" ref="N110:O110" si="69">N108-N109</f>
        <v>0</v>
      </c>
      <c r="O110" s="356">
        <f t="shared" si="69"/>
        <v>0</v>
      </c>
      <c r="P110" s="3866"/>
      <c r="Q110" s="3867"/>
      <c r="R110" s="3802"/>
      <c r="S110" s="3802"/>
      <c r="T110" s="3802"/>
      <c r="U110" s="3803"/>
      <c r="V110" s="4283"/>
      <c r="W110" s="1172"/>
      <c r="X110" s="1172"/>
      <c r="Y110" s="1172"/>
      <c r="Z110" s="1370">
        <f t="shared" ref="Z110:AD110" si="70">Z108-Z109</f>
        <v>0</v>
      </c>
      <c r="AA110" s="356">
        <f t="shared" si="70"/>
        <v>0</v>
      </c>
      <c r="AB110" s="356">
        <f t="shared" si="70"/>
        <v>0</v>
      </c>
      <c r="AC110" s="356">
        <f t="shared" si="70"/>
        <v>0</v>
      </c>
      <c r="AD110" s="627">
        <f t="shared" si="70"/>
        <v>0</v>
      </c>
      <c r="AE110" s="1370">
        <f>AE108-AE109</f>
        <v>0</v>
      </c>
      <c r="AF110" s="356">
        <f>AF108-AF109</f>
        <v>0</v>
      </c>
      <c r="AG110" s="503">
        <f t="shared" ref="AG110" si="71">AG108-AG109</f>
        <v>0</v>
      </c>
    </row>
    <row r="111" spans="2:34" ht="12.75" customHeight="1">
      <c r="E111" s="4278" t="s">
        <v>1799</v>
      </c>
      <c r="F111" s="842" t="s">
        <v>598</v>
      </c>
      <c r="G111" s="470"/>
      <c r="H111" s="468"/>
      <c r="I111" s="468"/>
      <c r="J111" s="468"/>
      <c r="K111" s="468"/>
      <c r="L111" s="538"/>
      <c r="M111" s="539"/>
      <c r="N111" s="539"/>
      <c r="O111" s="539"/>
      <c r="P111" s="3861"/>
      <c r="Q111" s="3868"/>
      <c r="R111" s="3869"/>
      <c r="S111" s="3869"/>
      <c r="T111" s="3869"/>
      <c r="U111" s="3870"/>
      <c r="V111" s="4281"/>
      <c r="W111" s="1172"/>
      <c r="X111" s="1172"/>
      <c r="Y111" s="1172"/>
      <c r="Z111" s="470"/>
      <c r="AA111" s="468"/>
      <c r="AB111" s="468"/>
      <c r="AC111" s="468"/>
      <c r="AD111" s="468"/>
      <c r="AE111" s="538"/>
      <c r="AF111" s="539"/>
      <c r="AG111" s="540"/>
    </row>
    <row r="112" spans="2:34" ht="12.75" customHeight="1">
      <c r="E112" s="4279"/>
      <c r="F112" s="516" t="s">
        <v>559</v>
      </c>
      <c r="G112" s="470"/>
      <c r="H112" s="468"/>
      <c r="I112" s="468"/>
      <c r="J112" s="468"/>
      <c r="K112" s="468"/>
      <c r="L112" s="459"/>
      <c r="M112" s="458"/>
      <c r="N112" s="458"/>
      <c r="O112" s="458"/>
      <c r="P112" s="3864"/>
      <c r="Q112" s="3794"/>
      <c r="R112" s="3788"/>
      <c r="S112" s="3788"/>
      <c r="T112" s="3788"/>
      <c r="U112" s="3793"/>
      <c r="V112" s="4282"/>
      <c r="W112" s="1172"/>
      <c r="X112" s="1172"/>
      <c r="Y112" s="1172"/>
      <c r="Z112" s="470"/>
      <c r="AA112" s="468"/>
      <c r="AB112" s="468"/>
      <c r="AC112" s="468"/>
      <c r="AD112" s="468"/>
      <c r="AE112" s="462"/>
      <c r="AF112" s="463"/>
      <c r="AG112" s="464"/>
    </row>
    <row r="113" spans="5:33" ht="12.75" customHeight="1">
      <c r="E113" s="4279"/>
      <c r="F113" s="516" t="s">
        <v>558</v>
      </c>
      <c r="G113" s="470"/>
      <c r="H113" s="468"/>
      <c r="I113" s="468"/>
      <c r="J113" s="468"/>
      <c r="K113" s="468"/>
      <c r="L113" s="459"/>
      <c r="M113" s="458"/>
      <c r="N113" s="458"/>
      <c r="O113" s="458"/>
      <c r="P113" s="3864"/>
      <c r="Q113" s="3794"/>
      <c r="R113" s="3788"/>
      <c r="S113" s="3788"/>
      <c r="T113" s="3788"/>
      <c r="U113" s="3793"/>
      <c r="V113" s="4282"/>
      <c r="W113" s="1172"/>
      <c r="X113" s="1172"/>
      <c r="Y113" s="1172"/>
      <c r="Z113" s="470"/>
      <c r="AA113" s="468"/>
      <c r="AB113" s="468"/>
      <c r="AC113" s="468"/>
      <c r="AD113" s="468"/>
      <c r="AE113" s="462"/>
      <c r="AF113" s="463"/>
      <c r="AG113" s="464"/>
    </row>
    <row r="114" spans="5:33" ht="12.75" customHeight="1">
      <c r="E114" s="4279"/>
      <c r="F114" s="516" t="s">
        <v>578</v>
      </c>
      <c r="G114" s="470"/>
      <c r="H114" s="468"/>
      <c r="I114" s="468"/>
      <c r="J114" s="468"/>
      <c r="K114" s="468"/>
      <c r="L114" s="459"/>
      <c r="M114" s="458"/>
      <c r="N114" s="458"/>
      <c r="O114" s="458"/>
      <c r="P114" s="3864"/>
      <c r="Q114" s="3794"/>
      <c r="R114" s="3788"/>
      <c r="S114" s="3788"/>
      <c r="T114" s="3788"/>
      <c r="U114" s="3793"/>
      <c r="V114" s="4282"/>
      <c r="W114" s="1172"/>
      <c r="X114" s="1172"/>
      <c r="Y114" s="1172"/>
      <c r="Z114" s="470"/>
      <c r="AA114" s="468"/>
      <c r="AB114" s="468"/>
      <c r="AC114" s="468"/>
      <c r="AD114" s="468"/>
      <c r="AE114" s="462"/>
      <c r="AF114" s="463"/>
      <c r="AG114" s="464"/>
    </row>
    <row r="115" spans="5:33" ht="12.75" customHeight="1">
      <c r="E115" s="4279"/>
      <c r="F115" s="517" t="s">
        <v>566</v>
      </c>
      <c r="G115" s="459"/>
      <c r="H115" s="458"/>
      <c r="I115" s="458"/>
      <c r="J115" s="458"/>
      <c r="K115" s="625"/>
      <c r="L115" s="353">
        <f t="shared" ref="L115:O115" si="72">SUM(L112:L114)</f>
        <v>0</v>
      </c>
      <c r="M115" s="354">
        <f t="shared" si="72"/>
        <v>0</v>
      </c>
      <c r="N115" s="354">
        <f t="shared" si="72"/>
        <v>0</v>
      </c>
      <c r="O115" s="354">
        <f t="shared" si="72"/>
        <v>0</v>
      </c>
      <c r="P115" s="3864"/>
      <c r="Q115" s="3794"/>
      <c r="R115" s="3788"/>
      <c r="S115" s="3788"/>
      <c r="T115" s="3788"/>
      <c r="U115" s="3793"/>
      <c r="V115" s="4282"/>
      <c r="W115" s="1172"/>
      <c r="X115" s="1172"/>
      <c r="Y115" s="1172"/>
      <c r="Z115" s="462"/>
      <c r="AA115" s="463"/>
      <c r="AB115" s="463"/>
      <c r="AC115" s="463"/>
      <c r="AD115" s="1190"/>
      <c r="AE115" s="353">
        <f t="shared" ref="AE115:AG115" si="73">SUM(AE112:AE114)</f>
        <v>0</v>
      </c>
      <c r="AF115" s="354">
        <f t="shared" si="73"/>
        <v>0</v>
      </c>
      <c r="AG115" s="450">
        <f t="shared" si="73"/>
        <v>0</v>
      </c>
    </row>
    <row r="116" spans="5:33" ht="12.75" customHeight="1">
      <c r="E116" s="4279"/>
      <c r="F116" s="516" t="s">
        <v>583</v>
      </c>
      <c r="G116" s="459"/>
      <c r="H116" s="458"/>
      <c r="I116" s="458"/>
      <c r="J116" s="458"/>
      <c r="K116" s="625"/>
      <c r="L116" s="429"/>
      <c r="M116" s="476"/>
      <c r="N116" s="476"/>
      <c r="O116" s="476"/>
      <c r="P116" s="3865"/>
      <c r="Q116" s="3811"/>
      <c r="R116" s="3812"/>
      <c r="S116" s="3812"/>
      <c r="T116" s="3812"/>
      <c r="U116" s="3813"/>
      <c r="V116" s="4282"/>
      <c r="W116" s="1172"/>
      <c r="X116" s="1172"/>
      <c r="Y116" s="1172"/>
      <c r="Z116" s="462"/>
      <c r="AA116" s="463"/>
      <c r="AB116" s="463"/>
      <c r="AC116" s="463"/>
      <c r="AD116" s="1190"/>
      <c r="AE116" s="511"/>
      <c r="AF116" s="512"/>
      <c r="AG116" s="547"/>
    </row>
    <row r="117" spans="5:33" ht="12.75" customHeight="1">
      <c r="E117" s="4279"/>
      <c r="F117" s="516" t="s">
        <v>581</v>
      </c>
      <c r="G117" s="459"/>
      <c r="H117" s="458"/>
      <c r="I117" s="458"/>
      <c r="J117" s="458"/>
      <c r="K117" s="625"/>
      <c r="L117" s="472"/>
      <c r="M117" s="467"/>
      <c r="N117" s="467"/>
      <c r="O117" s="467"/>
      <c r="P117" s="3864"/>
      <c r="Q117" s="3794"/>
      <c r="R117" s="3788"/>
      <c r="S117" s="3788"/>
      <c r="T117" s="3788"/>
      <c r="U117" s="3793"/>
      <c r="V117" s="4282"/>
      <c r="W117" s="1172"/>
      <c r="X117" s="1172"/>
      <c r="Y117" s="1172"/>
      <c r="Z117" s="462"/>
      <c r="AA117" s="463"/>
      <c r="AB117" s="463"/>
      <c r="AC117" s="463"/>
      <c r="AD117" s="1190"/>
      <c r="AE117" s="462"/>
      <c r="AF117" s="463"/>
      <c r="AG117" s="464"/>
    </row>
    <row r="118" spans="5:33" ht="12.75" customHeight="1">
      <c r="E118" s="4279"/>
      <c r="F118" s="517" t="s">
        <v>584</v>
      </c>
      <c r="G118" s="353">
        <f t="shared" ref="G118:O118" si="74">SUM(G116:G117)</f>
        <v>0</v>
      </c>
      <c r="H118" s="354">
        <f t="shared" si="74"/>
        <v>0</v>
      </c>
      <c r="I118" s="354">
        <f t="shared" si="74"/>
        <v>0</v>
      </c>
      <c r="J118" s="354">
        <f t="shared" si="74"/>
        <v>0</v>
      </c>
      <c r="K118" s="626">
        <f t="shared" si="74"/>
        <v>0</v>
      </c>
      <c r="L118" s="353">
        <f t="shared" si="74"/>
        <v>0</v>
      </c>
      <c r="M118" s="354">
        <f t="shared" si="74"/>
        <v>0</v>
      </c>
      <c r="N118" s="354">
        <f t="shared" si="74"/>
        <v>0</v>
      </c>
      <c r="O118" s="354">
        <f t="shared" si="74"/>
        <v>0</v>
      </c>
      <c r="P118" s="3864"/>
      <c r="Q118" s="3794"/>
      <c r="R118" s="3788"/>
      <c r="S118" s="3788"/>
      <c r="T118" s="3788"/>
      <c r="U118" s="3793"/>
      <c r="V118" s="4282"/>
      <c r="W118" s="1172"/>
      <c r="X118" s="1172"/>
      <c r="Y118" s="1172"/>
      <c r="Z118" s="353">
        <f t="shared" ref="Z118:AG118" si="75">SUM(Z116:Z117)</f>
        <v>0</v>
      </c>
      <c r="AA118" s="354">
        <f t="shared" si="75"/>
        <v>0</v>
      </c>
      <c r="AB118" s="354">
        <f t="shared" si="75"/>
        <v>0</v>
      </c>
      <c r="AC118" s="354">
        <f t="shared" si="75"/>
        <v>0</v>
      </c>
      <c r="AD118" s="626">
        <f t="shared" si="75"/>
        <v>0</v>
      </c>
      <c r="AE118" s="353">
        <f t="shared" si="75"/>
        <v>0</v>
      </c>
      <c r="AF118" s="354">
        <f t="shared" si="75"/>
        <v>0</v>
      </c>
      <c r="AG118" s="450">
        <f t="shared" si="75"/>
        <v>0</v>
      </c>
    </row>
    <row r="119" spans="5:33" ht="12.75" customHeight="1">
      <c r="E119" s="4279"/>
      <c r="F119" s="516" t="s">
        <v>35</v>
      </c>
      <c r="G119" s="459"/>
      <c r="H119" s="458"/>
      <c r="I119" s="458"/>
      <c r="J119" s="458"/>
      <c r="K119" s="625"/>
      <c r="L119" s="459"/>
      <c r="M119" s="458"/>
      <c r="N119" s="458"/>
      <c r="O119" s="458"/>
      <c r="P119" s="3864"/>
      <c r="Q119" s="3794"/>
      <c r="R119" s="3788"/>
      <c r="S119" s="3788"/>
      <c r="T119" s="3788"/>
      <c r="U119" s="3793"/>
      <c r="V119" s="4282"/>
      <c r="W119" s="1172"/>
      <c r="X119" s="1172"/>
      <c r="Y119" s="1172"/>
      <c r="Z119" s="462"/>
      <c r="AA119" s="463"/>
      <c r="AB119" s="463"/>
      <c r="AC119" s="463"/>
      <c r="AD119" s="1190"/>
      <c r="AE119" s="462"/>
      <c r="AF119" s="463"/>
      <c r="AG119" s="464"/>
    </row>
    <row r="120" spans="5:33" ht="13.5" customHeight="1" thickBot="1">
      <c r="E120" s="4280"/>
      <c r="F120" s="1409" t="s">
        <v>585</v>
      </c>
      <c r="G120" s="1370">
        <f t="shared" ref="G120:K120" si="76">G118-G119</f>
        <v>0</v>
      </c>
      <c r="H120" s="356">
        <f t="shared" si="76"/>
        <v>0</v>
      </c>
      <c r="I120" s="356">
        <f t="shared" si="76"/>
        <v>0</v>
      </c>
      <c r="J120" s="356">
        <f t="shared" si="76"/>
        <v>0</v>
      </c>
      <c r="K120" s="627">
        <f t="shared" si="76"/>
        <v>0</v>
      </c>
      <c r="L120" s="1370">
        <f>L118-L119</f>
        <v>0</v>
      </c>
      <c r="M120" s="356">
        <f>M118-M119</f>
        <v>0</v>
      </c>
      <c r="N120" s="356">
        <f t="shared" ref="N120:O120" si="77">N118-N119</f>
        <v>0</v>
      </c>
      <c r="O120" s="356">
        <f t="shared" si="77"/>
        <v>0</v>
      </c>
      <c r="P120" s="3866"/>
      <c r="Q120" s="3867"/>
      <c r="R120" s="3802"/>
      <c r="S120" s="3802"/>
      <c r="T120" s="3802"/>
      <c r="U120" s="3803"/>
      <c r="V120" s="4283"/>
      <c r="W120" s="1172"/>
      <c r="X120" s="1172"/>
      <c r="Y120" s="1172"/>
      <c r="Z120" s="1370">
        <f t="shared" ref="Z120:AD120" si="78">Z118-Z119</f>
        <v>0</v>
      </c>
      <c r="AA120" s="356">
        <f t="shared" si="78"/>
        <v>0</v>
      </c>
      <c r="AB120" s="356">
        <f t="shared" si="78"/>
        <v>0</v>
      </c>
      <c r="AC120" s="356">
        <f t="shared" si="78"/>
        <v>0</v>
      </c>
      <c r="AD120" s="627">
        <f t="shared" si="78"/>
        <v>0</v>
      </c>
      <c r="AE120" s="1370">
        <f>AE118-AE119</f>
        <v>0</v>
      </c>
      <c r="AF120" s="356">
        <f>AF118-AF119</f>
        <v>0</v>
      </c>
      <c r="AG120" s="503">
        <f t="shared" ref="AG120" si="79">AG118-AG119</f>
        <v>0</v>
      </c>
    </row>
    <row r="121" spans="5:33" ht="12.75" customHeight="1">
      <c r="E121" s="4278" t="s">
        <v>1800</v>
      </c>
      <c r="F121" s="842" t="s">
        <v>598</v>
      </c>
      <c r="G121" s="527"/>
      <c r="H121" s="528"/>
      <c r="I121" s="528"/>
      <c r="J121" s="528"/>
      <c r="K121" s="528"/>
      <c r="L121" s="538"/>
      <c r="M121" s="539"/>
      <c r="N121" s="539"/>
      <c r="O121" s="539"/>
      <c r="P121" s="3861"/>
      <c r="Q121" s="3862"/>
      <c r="R121" s="3861"/>
      <c r="S121" s="3861"/>
      <c r="T121" s="3861"/>
      <c r="U121" s="3863"/>
      <c r="V121" s="4281"/>
      <c r="W121" s="1172"/>
      <c r="X121" s="1172"/>
      <c r="Y121" s="1172"/>
      <c r="Z121" s="527"/>
      <c r="AA121" s="528"/>
      <c r="AB121" s="528"/>
      <c r="AC121" s="528"/>
      <c r="AD121" s="528"/>
      <c r="AE121" s="538"/>
      <c r="AF121" s="539"/>
      <c r="AG121" s="540"/>
    </row>
    <row r="122" spans="5:33" ht="12.75" customHeight="1">
      <c r="E122" s="4279"/>
      <c r="F122" s="516" t="s">
        <v>559</v>
      </c>
      <c r="G122" s="470"/>
      <c r="H122" s="468"/>
      <c r="I122" s="468"/>
      <c r="J122" s="468"/>
      <c r="K122" s="468"/>
      <c r="L122" s="459"/>
      <c r="M122" s="458"/>
      <c r="N122" s="458"/>
      <c r="O122" s="458"/>
      <c r="P122" s="3864"/>
      <c r="Q122" s="3794"/>
      <c r="R122" s="3788"/>
      <c r="S122" s="3788"/>
      <c r="T122" s="3788"/>
      <c r="U122" s="3793"/>
      <c r="V122" s="4282"/>
      <c r="W122" s="1172"/>
      <c r="X122" s="1172"/>
      <c r="Y122" s="1172"/>
      <c r="Z122" s="470"/>
      <c r="AA122" s="468"/>
      <c r="AB122" s="468"/>
      <c r="AC122" s="468"/>
      <c r="AD122" s="468"/>
      <c r="AE122" s="462"/>
      <c r="AF122" s="463"/>
      <c r="AG122" s="464"/>
    </row>
    <row r="123" spans="5:33" ht="12.75" customHeight="1">
      <c r="E123" s="4279"/>
      <c r="F123" s="516" t="s">
        <v>558</v>
      </c>
      <c r="G123" s="470"/>
      <c r="H123" s="468"/>
      <c r="I123" s="468"/>
      <c r="J123" s="468"/>
      <c r="K123" s="468"/>
      <c r="L123" s="459"/>
      <c r="M123" s="458"/>
      <c r="N123" s="458"/>
      <c r="O123" s="458"/>
      <c r="P123" s="3864"/>
      <c r="Q123" s="3794"/>
      <c r="R123" s="3788"/>
      <c r="S123" s="3788"/>
      <c r="T123" s="3788"/>
      <c r="U123" s="3793"/>
      <c r="V123" s="4282"/>
      <c r="W123" s="1172"/>
      <c r="X123" s="1172"/>
      <c r="Y123" s="1172"/>
      <c r="Z123" s="470"/>
      <c r="AA123" s="468"/>
      <c r="AB123" s="468"/>
      <c r="AC123" s="468"/>
      <c r="AD123" s="468"/>
      <c r="AE123" s="462"/>
      <c r="AF123" s="463"/>
      <c r="AG123" s="464"/>
    </row>
    <row r="124" spans="5:33" ht="12.75" customHeight="1">
      <c r="E124" s="4279"/>
      <c r="F124" s="516" t="s">
        <v>578</v>
      </c>
      <c r="G124" s="470"/>
      <c r="H124" s="468"/>
      <c r="I124" s="468"/>
      <c r="J124" s="468"/>
      <c r="K124" s="468"/>
      <c r="L124" s="459"/>
      <c r="M124" s="458"/>
      <c r="N124" s="458"/>
      <c r="O124" s="458"/>
      <c r="P124" s="3864"/>
      <c r="Q124" s="3794"/>
      <c r="R124" s="3788"/>
      <c r="S124" s="3788"/>
      <c r="T124" s="3788"/>
      <c r="U124" s="3793"/>
      <c r="V124" s="4282"/>
      <c r="W124" s="1172"/>
      <c r="X124" s="1172"/>
      <c r="Y124" s="1172"/>
      <c r="Z124" s="470"/>
      <c r="AA124" s="468"/>
      <c r="AB124" s="468"/>
      <c r="AC124" s="468"/>
      <c r="AD124" s="468"/>
      <c r="AE124" s="462"/>
      <c r="AF124" s="463"/>
      <c r="AG124" s="464"/>
    </row>
    <row r="125" spans="5:33" ht="12.75" customHeight="1">
      <c r="E125" s="4279"/>
      <c r="F125" s="517" t="s">
        <v>566</v>
      </c>
      <c r="G125" s="459"/>
      <c r="H125" s="458"/>
      <c r="I125" s="458"/>
      <c r="J125" s="458"/>
      <c r="K125" s="625"/>
      <c r="L125" s="353">
        <f t="shared" ref="L125:O125" si="80">SUM(L122:L124)</f>
        <v>0</v>
      </c>
      <c r="M125" s="354">
        <f t="shared" si="80"/>
        <v>0</v>
      </c>
      <c r="N125" s="354">
        <f t="shared" si="80"/>
        <v>0</v>
      </c>
      <c r="O125" s="354">
        <f t="shared" si="80"/>
        <v>0</v>
      </c>
      <c r="P125" s="3864"/>
      <c r="Q125" s="3794"/>
      <c r="R125" s="3788"/>
      <c r="S125" s="3788"/>
      <c r="T125" s="3788"/>
      <c r="U125" s="3793"/>
      <c r="V125" s="4282"/>
      <c r="W125" s="1172"/>
      <c r="X125" s="1172"/>
      <c r="Y125" s="1172"/>
      <c r="Z125" s="462"/>
      <c r="AA125" s="463"/>
      <c r="AB125" s="463"/>
      <c r="AC125" s="463"/>
      <c r="AD125" s="1190"/>
      <c r="AE125" s="353">
        <f t="shared" ref="AE125:AG125" si="81">SUM(AE122:AE124)</f>
        <v>0</v>
      </c>
      <c r="AF125" s="354">
        <f t="shared" si="81"/>
        <v>0</v>
      </c>
      <c r="AG125" s="450">
        <f t="shared" si="81"/>
        <v>0</v>
      </c>
    </row>
    <row r="126" spans="5:33" ht="12.75" customHeight="1">
      <c r="E126" s="4279"/>
      <c r="F126" s="516" t="s">
        <v>583</v>
      </c>
      <c r="G126" s="459"/>
      <c r="H126" s="458"/>
      <c r="I126" s="458"/>
      <c r="J126" s="458"/>
      <c r="K126" s="625"/>
      <c r="L126" s="429"/>
      <c r="M126" s="476"/>
      <c r="N126" s="476"/>
      <c r="O126" s="476"/>
      <c r="P126" s="3865"/>
      <c r="Q126" s="3811"/>
      <c r="R126" s="3812"/>
      <c r="S126" s="3812"/>
      <c r="T126" s="3812"/>
      <c r="U126" s="3813"/>
      <c r="V126" s="4282"/>
      <c r="W126" s="1172"/>
      <c r="X126" s="1172"/>
      <c r="Y126" s="1172"/>
      <c r="Z126" s="462"/>
      <c r="AA126" s="463"/>
      <c r="AB126" s="463"/>
      <c r="AC126" s="463"/>
      <c r="AD126" s="1190"/>
      <c r="AE126" s="511"/>
      <c r="AF126" s="512"/>
      <c r="AG126" s="547"/>
    </row>
    <row r="127" spans="5:33" ht="12.75" customHeight="1">
      <c r="E127" s="4279"/>
      <c r="F127" s="516" t="s">
        <v>581</v>
      </c>
      <c r="G127" s="459"/>
      <c r="H127" s="458"/>
      <c r="I127" s="458"/>
      <c r="J127" s="458"/>
      <c r="K127" s="625"/>
      <c r="L127" s="472"/>
      <c r="M127" s="467"/>
      <c r="N127" s="467"/>
      <c r="O127" s="467"/>
      <c r="P127" s="3864"/>
      <c r="Q127" s="3794"/>
      <c r="R127" s="3788"/>
      <c r="S127" s="3788"/>
      <c r="T127" s="3788"/>
      <c r="U127" s="3793"/>
      <c r="V127" s="4282"/>
      <c r="W127" s="1172"/>
      <c r="X127" s="1172"/>
      <c r="Y127" s="1172"/>
      <c r="Z127" s="462"/>
      <c r="AA127" s="463"/>
      <c r="AB127" s="463"/>
      <c r="AC127" s="463"/>
      <c r="AD127" s="1190"/>
      <c r="AE127" s="462"/>
      <c r="AF127" s="463"/>
      <c r="AG127" s="464"/>
    </row>
    <row r="128" spans="5:33" ht="12.75" customHeight="1">
      <c r="E128" s="4279"/>
      <c r="F128" s="517" t="s">
        <v>584</v>
      </c>
      <c r="G128" s="353">
        <f t="shared" ref="G128:O128" si="82">SUM(G126:G127)</f>
        <v>0</v>
      </c>
      <c r="H128" s="354">
        <f t="shared" si="82"/>
        <v>0</v>
      </c>
      <c r="I128" s="354">
        <f t="shared" si="82"/>
        <v>0</v>
      </c>
      <c r="J128" s="354">
        <f t="shared" si="82"/>
        <v>0</v>
      </c>
      <c r="K128" s="626">
        <f t="shared" si="82"/>
        <v>0</v>
      </c>
      <c r="L128" s="353">
        <f t="shared" si="82"/>
        <v>0</v>
      </c>
      <c r="M128" s="354">
        <f t="shared" si="82"/>
        <v>0</v>
      </c>
      <c r="N128" s="354">
        <f t="shared" si="82"/>
        <v>0</v>
      </c>
      <c r="O128" s="354">
        <f t="shared" si="82"/>
        <v>0</v>
      </c>
      <c r="P128" s="3864"/>
      <c r="Q128" s="3794"/>
      <c r="R128" s="3788"/>
      <c r="S128" s="3788"/>
      <c r="T128" s="3788"/>
      <c r="U128" s="3793"/>
      <c r="V128" s="4282"/>
      <c r="W128" s="1172"/>
      <c r="X128" s="1172"/>
      <c r="Y128" s="1172"/>
      <c r="Z128" s="353">
        <f t="shared" ref="Z128:AG128" si="83">SUM(Z126:Z127)</f>
        <v>0</v>
      </c>
      <c r="AA128" s="354">
        <f t="shared" si="83"/>
        <v>0</v>
      </c>
      <c r="AB128" s="354">
        <f t="shared" si="83"/>
        <v>0</v>
      </c>
      <c r="AC128" s="354">
        <f t="shared" si="83"/>
        <v>0</v>
      </c>
      <c r="AD128" s="626">
        <f t="shared" si="83"/>
        <v>0</v>
      </c>
      <c r="AE128" s="353">
        <f t="shared" si="83"/>
        <v>0</v>
      </c>
      <c r="AF128" s="354">
        <f t="shared" si="83"/>
        <v>0</v>
      </c>
      <c r="AG128" s="450">
        <f t="shared" si="83"/>
        <v>0</v>
      </c>
    </row>
    <row r="129" spans="5:33" ht="12.75" customHeight="1">
      <c r="E129" s="4279"/>
      <c r="F129" s="516" t="s">
        <v>35</v>
      </c>
      <c r="G129" s="459"/>
      <c r="H129" s="458"/>
      <c r="I129" s="458"/>
      <c r="J129" s="458"/>
      <c r="K129" s="625"/>
      <c r="L129" s="459"/>
      <c r="M129" s="458"/>
      <c r="N129" s="458"/>
      <c r="O129" s="458"/>
      <c r="P129" s="3864"/>
      <c r="Q129" s="3794"/>
      <c r="R129" s="3788"/>
      <c r="S129" s="3788"/>
      <c r="T129" s="3788"/>
      <c r="U129" s="3793"/>
      <c r="V129" s="4282"/>
      <c r="W129" s="1172"/>
      <c r="X129" s="1172"/>
      <c r="Y129" s="1172"/>
      <c r="Z129" s="462"/>
      <c r="AA129" s="463"/>
      <c r="AB129" s="463"/>
      <c r="AC129" s="463"/>
      <c r="AD129" s="1190"/>
      <c r="AE129" s="462"/>
      <c r="AF129" s="463"/>
      <c r="AG129" s="464"/>
    </row>
    <row r="130" spans="5:33" ht="13.5" customHeight="1" thickBot="1">
      <c r="E130" s="4280"/>
      <c r="F130" s="1409" t="s">
        <v>585</v>
      </c>
      <c r="G130" s="1370">
        <f t="shared" ref="G130:K130" si="84">G128-G129</f>
        <v>0</v>
      </c>
      <c r="H130" s="356">
        <f t="shared" si="84"/>
        <v>0</v>
      </c>
      <c r="I130" s="356">
        <f t="shared" si="84"/>
        <v>0</v>
      </c>
      <c r="J130" s="356">
        <f t="shared" si="84"/>
        <v>0</v>
      </c>
      <c r="K130" s="627">
        <f t="shared" si="84"/>
        <v>0</v>
      </c>
      <c r="L130" s="1370">
        <f>L128-L129</f>
        <v>0</v>
      </c>
      <c r="M130" s="356">
        <f>M128-M129</f>
        <v>0</v>
      </c>
      <c r="N130" s="356">
        <f t="shared" ref="N130:O130" si="85">N128-N129</f>
        <v>0</v>
      </c>
      <c r="O130" s="356">
        <f t="shared" si="85"/>
        <v>0</v>
      </c>
      <c r="P130" s="3866"/>
      <c r="Q130" s="3867"/>
      <c r="R130" s="3802"/>
      <c r="S130" s="3802"/>
      <c r="T130" s="3802"/>
      <c r="U130" s="3803"/>
      <c r="V130" s="4283"/>
      <c r="W130" s="1172"/>
      <c r="X130" s="1172"/>
      <c r="Y130" s="1172"/>
      <c r="Z130" s="1370">
        <f t="shared" ref="Z130:AD130" si="86">Z128-Z129</f>
        <v>0</v>
      </c>
      <c r="AA130" s="356">
        <f t="shared" si="86"/>
        <v>0</v>
      </c>
      <c r="AB130" s="356">
        <f t="shared" si="86"/>
        <v>0</v>
      </c>
      <c r="AC130" s="356">
        <f t="shared" si="86"/>
        <v>0</v>
      </c>
      <c r="AD130" s="627">
        <f t="shared" si="86"/>
        <v>0</v>
      </c>
      <c r="AE130" s="1370">
        <f>AE128-AE129</f>
        <v>0</v>
      </c>
      <c r="AF130" s="356">
        <f>AF128-AF129</f>
        <v>0</v>
      </c>
      <c r="AG130" s="503">
        <f t="shared" ref="AG130" si="87">AG128-AG129</f>
        <v>0</v>
      </c>
    </row>
    <row r="131" spans="5:33" ht="12.75" customHeight="1">
      <c r="E131" s="4278" t="s">
        <v>1801</v>
      </c>
      <c r="F131" s="842" t="s">
        <v>598</v>
      </c>
      <c r="G131" s="470"/>
      <c r="H131" s="468"/>
      <c r="I131" s="468"/>
      <c r="J131" s="468"/>
      <c r="K131" s="468"/>
      <c r="L131" s="538"/>
      <c r="M131" s="539"/>
      <c r="N131" s="539"/>
      <c r="O131" s="539"/>
      <c r="P131" s="3861"/>
      <c r="Q131" s="3868"/>
      <c r="R131" s="3869"/>
      <c r="S131" s="3869"/>
      <c r="T131" s="3869"/>
      <c r="U131" s="3870"/>
      <c r="V131" s="4281"/>
      <c r="W131" s="1172"/>
      <c r="X131" s="1172"/>
      <c r="Y131" s="1172"/>
      <c r="Z131" s="470"/>
      <c r="AA131" s="468"/>
      <c r="AB131" s="468"/>
      <c r="AC131" s="468"/>
      <c r="AD131" s="468"/>
      <c r="AE131" s="538"/>
      <c r="AF131" s="539"/>
      <c r="AG131" s="540"/>
    </row>
    <row r="132" spans="5:33" ht="12.75" customHeight="1">
      <c r="E132" s="4279"/>
      <c r="F132" s="516" t="s">
        <v>559</v>
      </c>
      <c r="G132" s="470"/>
      <c r="H132" s="468"/>
      <c r="I132" s="468"/>
      <c r="J132" s="468"/>
      <c r="K132" s="468"/>
      <c r="L132" s="459"/>
      <c r="M132" s="458"/>
      <c r="N132" s="458"/>
      <c r="O132" s="458"/>
      <c r="P132" s="3864"/>
      <c r="Q132" s="3794"/>
      <c r="R132" s="3788"/>
      <c r="S132" s="3788"/>
      <c r="T132" s="3788"/>
      <c r="U132" s="3793"/>
      <c r="V132" s="4282"/>
      <c r="W132" s="1172"/>
      <c r="X132" s="1172"/>
      <c r="Y132" s="1172"/>
      <c r="Z132" s="470"/>
      <c r="AA132" s="468"/>
      <c r="AB132" s="468"/>
      <c r="AC132" s="468"/>
      <c r="AD132" s="468"/>
      <c r="AE132" s="462"/>
      <c r="AF132" s="463"/>
      <c r="AG132" s="464"/>
    </row>
    <row r="133" spans="5:33" ht="12.75" customHeight="1">
      <c r="E133" s="4279"/>
      <c r="F133" s="516" t="s">
        <v>558</v>
      </c>
      <c r="G133" s="470"/>
      <c r="H133" s="468"/>
      <c r="I133" s="468"/>
      <c r="J133" s="468"/>
      <c r="K133" s="468"/>
      <c r="L133" s="459"/>
      <c r="M133" s="458"/>
      <c r="N133" s="458"/>
      <c r="O133" s="458"/>
      <c r="P133" s="3864"/>
      <c r="Q133" s="3794"/>
      <c r="R133" s="3788"/>
      <c r="S133" s="3788"/>
      <c r="T133" s="3788"/>
      <c r="U133" s="3793"/>
      <c r="V133" s="4282"/>
      <c r="W133" s="1172"/>
      <c r="X133" s="1172"/>
      <c r="Y133" s="1172"/>
      <c r="Z133" s="470"/>
      <c r="AA133" s="468"/>
      <c r="AB133" s="468"/>
      <c r="AC133" s="468"/>
      <c r="AD133" s="468"/>
      <c r="AE133" s="462"/>
      <c r="AF133" s="463"/>
      <c r="AG133" s="464"/>
    </row>
    <row r="134" spans="5:33" ht="12.75" customHeight="1">
      <c r="E134" s="4279"/>
      <c r="F134" s="516" t="s">
        <v>578</v>
      </c>
      <c r="G134" s="470"/>
      <c r="H134" s="468"/>
      <c r="I134" s="468"/>
      <c r="J134" s="468"/>
      <c r="K134" s="468"/>
      <c r="L134" s="459"/>
      <c r="M134" s="458"/>
      <c r="N134" s="458"/>
      <c r="O134" s="458"/>
      <c r="P134" s="3864"/>
      <c r="Q134" s="3794"/>
      <c r="R134" s="3788"/>
      <c r="S134" s="3788"/>
      <c r="T134" s="3788"/>
      <c r="U134" s="3793"/>
      <c r="V134" s="4282"/>
      <c r="W134" s="1172"/>
      <c r="X134" s="1172"/>
      <c r="Y134" s="1172"/>
      <c r="Z134" s="470"/>
      <c r="AA134" s="468"/>
      <c r="AB134" s="468"/>
      <c r="AC134" s="468"/>
      <c r="AD134" s="468"/>
      <c r="AE134" s="462"/>
      <c r="AF134" s="463"/>
      <c r="AG134" s="464"/>
    </row>
    <row r="135" spans="5:33" ht="12.75" customHeight="1">
      <c r="E135" s="4279"/>
      <c r="F135" s="517" t="s">
        <v>566</v>
      </c>
      <c r="G135" s="459"/>
      <c r="H135" s="458"/>
      <c r="I135" s="458"/>
      <c r="J135" s="458"/>
      <c r="K135" s="625"/>
      <c r="L135" s="353">
        <f t="shared" ref="L135:O135" si="88">SUM(L132:L134)</f>
        <v>0</v>
      </c>
      <c r="M135" s="354">
        <f t="shared" si="88"/>
        <v>0</v>
      </c>
      <c r="N135" s="354">
        <f t="shared" si="88"/>
        <v>0</v>
      </c>
      <c r="O135" s="354">
        <f t="shared" si="88"/>
        <v>0</v>
      </c>
      <c r="P135" s="3864"/>
      <c r="Q135" s="3794"/>
      <c r="R135" s="3788"/>
      <c r="S135" s="3788"/>
      <c r="T135" s="3788"/>
      <c r="U135" s="3793"/>
      <c r="V135" s="4282"/>
      <c r="W135" s="1172"/>
      <c r="X135" s="1172"/>
      <c r="Y135" s="1172"/>
      <c r="Z135" s="462"/>
      <c r="AA135" s="463"/>
      <c r="AB135" s="463"/>
      <c r="AC135" s="463"/>
      <c r="AD135" s="1190"/>
      <c r="AE135" s="353">
        <f t="shared" ref="AE135:AG135" si="89">SUM(AE132:AE134)</f>
        <v>0</v>
      </c>
      <c r="AF135" s="354">
        <f t="shared" si="89"/>
        <v>0</v>
      </c>
      <c r="AG135" s="450">
        <f t="shared" si="89"/>
        <v>0</v>
      </c>
    </row>
    <row r="136" spans="5:33" ht="12.75" customHeight="1">
      <c r="E136" s="4279"/>
      <c r="F136" s="516" t="s">
        <v>583</v>
      </c>
      <c r="G136" s="459"/>
      <c r="H136" s="458"/>
      <c r="I136" s="458"/>
      <c r="J136" s="458"/>
      <c r="K136" s="625"/>
      <c r="L136" s="429"/>
      <c r="M136" s="476"/>
      <c r="N136" s="476"/>
      <c r="O136" s="476"/>
      <c r="P136" s="3865"/>
      <c r="Q136" s="3811"/>
      <c r="R136" s="3812"/>
      <c r="S136" s="3812"/>
      <c r="T136" s="3812"/>
      <c r="U136" s="3813"/>
      <c r="V136" s="4282"/>
      <c r="W136" s="1172"/>
      <c r="X136" s="1172"/>
      <c r="Y136" s="1172"/>
      <c r="Z136" s="462"/>
      <c r="AA136" s="463"/>
      <c r="AB136" s="463"/>
      <c r="AC136" s="463"/>
      <c r="AD136" s="1190"/>
      <c r="AE136" s="511"/>
      <c r="AF136" s="512"/>
      <c r="AG136" s="547"/>
    </row>
    <row r="137" spans="5:33" ht="12.75" customHeight="1">
      <c r="E137" s="4279"/>
      <c r="F137" s="516" t="s">
        <v>581</v>
      </c>
      <c r="G137" s="459"/>
      <c r="H137" s="458"/>
      <c r="I137" s="458"/>
      <c r="J137" s="458"/>
      <c r="K137" s="625"/>
      <c r="L137" s="472"/>
      <c r="M137" s="467"/>
      <c r="N137" s="467"/>
      <c r="O137" s="467"/>
      <c r="P137" s="3864"/>
      <c r="Q137" s="3794"/>
      <c r="R137" s="3788"/>
      <c r="S137" s="3788"/>
      <c r="T137" s="3788"/>
      <c r="U137" s="3793"/>
      <c r="V137" s="4282"/>
      <c r="W137" s="1172"/>
      <c r="X137" s="1172"/>
      <c r="Y137" s="1172"/>
      <c r="Z137" s="462"/>
      <c r="AA137" s="463"/>
      <c r="AB137" s="463"/>
      <c r="AC137" s="463"/>
      <c r="AD137" s="1190"/>
      <c r="AE137" s="462"/>
      <c r="AF137" s="463"/>
      <c r="AG137" s="464"/>
    </row>
    <row r="138" spans="5:33" ht="12.75" customHeight="1">
      <c r="E138" s="4279"/>
      <c r="F138" s="517" t="s">
        <v>584</v>
      </c>
      <c r="G138" s="353">
        <f t="shared" ref="G138:O138" si="90">SUM(G136:G137)</f>
        <v>0</v>
      </c>
      <c r="H138" s="354">
        <f t="shared" si="90"/>
        <v>0</v>
      </c>
      <c r="I138" s="354">
        <f t="shared" si="90"/>
        <v>0</v>
      </c>
      <c r="J138" s="354">
        <f t="shared" si="90"/>
        <v>0</v>
      </c>
      <c r="K138" s="626">
        <f t="shared" si="90"/>
        <v>0</v>
      </c>
      <c r="L138" s="353">
        <f t="shared" si="90"/>
        <v>0</v>
      </c>
      <c r="M138" s="354">
        <f t="shared" si="90"/>
        <v>0</v>
      </c>
      <c r="N138" s="354">
        <f t="shared" si="90"/>
        <v>0</v>
      </c>
      <c r="O138" s="354">
        <f t="shared" si="90"/>
        <v>0</v>
      </c>
      <c r="P138" s="3864"/>
      <c r="Q138" s="3794"/>
      <c r="R138" s="3788"/>
      <c r="S138" s="3788"/>
      <c r="T138" s="3788"/>
      <c r="U138" s="3793"/>
      <c r="V138" s="4282"/>
      <c r="W138" s="1172"/>
      <c r="X138" s="1172"/>
      <c r="Y138" s="1172"/>
      <c r="Z138" s="353">
        <f t="shared" ref="Z138:AG138" si="91">SUM(Z136:Z137)</f>
        <v>0</v>
      </c>
      <c r="AA138" s="354">
        <f t="shared" si="91"/>
        <v>0</v>
      </c>
      <c r="AB138" s="354">
        <f t="shared" si="91"/>
        <v>0</v>
      </c>
      <c r="AC138" s="354">
        <f t="shared" si="91"/>
        <v>0</v>
      </c>
      <c r="AD138" s="626">
        <f t="shared" si="91"/>
        <v>0</v>
      </c>
      <c r="AE138" s="353">
        <f t="shared" si="91"/>
        <v>0</v>
      </c>
      <c r="AF138" s="354">
        <f t="shared" si="91"/>
        <v>0</v>
      </c>
      <c r="AG138" s="450">
        <f t="shared" si="91"/>
        <v>0</v>
      </c>
    </row>
    <row r="139" spans="5:33" ht="12.75" customHeight="1">
      <c r="E139" s="4279"/>
      <c r="F139" s="516" t="s">
        <v>35</v>
      </c>
      <c r="G139" s="459"/>
      <c r="H139" s="458"/>
      <c r="I139" s="458"/>
      <c r="J139" s="458"/>
      <c r="K139" s="625"/>
      <c r="L139" s="459"/>
      <c r="M139" s="458"/>
      <c r="N139" s="458"/>
      <c r="O139" s="458"/>
      <c r="P139" s="3864"/>
      <c r="Q139" s="3794"/>
      <c r="R139" s="3788"/>
      <c r="S139" s="3788"/>
      <c r="T139" s="3788"/>
      <c r="U139" s="3793"/>
      <c r="V139" s="4282"/>
      <c r="W139" s="1172"/>
      <c r="X139" s="1172"/>
      <c r="Y139" s="1172"/>
      <c r="Z139" s="462"/>
      <c r="AA139" s="463"/>
      <c r="AB139" s="463"/>
      <c r="AC139" s="463"/>
      <c r="AD139" s="1190"/>
      <c r="AE139" s="462"/>
      <c r="AF139" s="463"/>
      <c r="AG139" s="464"/>
    </row>
    <row r="140" spans="5:33" ht="13.5" customHeight="1" thickBot="1">
      <c r="E140" s="4280"/>
      <c r="F140" s="1409" t="s">
        <v>585</v>
      </c>
      <c r="G140" s="1370">
        <f t="shared" ref="G140:K140" si="92">G138-G139</f>
        <v>0</v>
      </c>
      <c r="H140" s="356">
        <f t="shared" si="92"/>
        <v>0</v>
      </c>
      <c r="I140" s="356">
        <f t="shared" si="92"/>
        <v>0</v>
      </c>
      <c r="J140" s="356">
        <f t="shared" si="92"/>
        <v>0</v>
      </c>
      <c r="K140" s="627">
        <f t="shared" si="92"/>
        <v>0</v>
      </c>
      <c r="L140" s="1370">
        <f>L138-L139</f>
        <v>0</v>
      </c>
      <c r="M140" s="356">
        <f>M138-M139</f>
        <v>0</v>
      </c>
      <c r="N140" s="356">
        <f t="shared" ref="N140:O140" si="93">N138-N139</f>
        <v>0</v>
      </c>
      <c r="O140" s="356">
        <f t="shared" si="93"/>
        <v>0</v>
      </c>
      <c r="P140" s="3866"/>
      <c r="Q140" s="3867"/>
      <c r="R140" s="3802"/>
      <c r="S140" s="3802"/>
      <c r="T140" s="3802"/>
      <c r="U140" s="3803"/>
      <c r="V140" s="4283"/>
      <c r="W140" s="1172"/>
      <c r="X140" s="1172"/>
      <c r="Y140" s="1172"/>
      <c r="Z140" s="1370">
        <f t="shared" ref="Z140:AD140" si="94">Z138-Z139</f>
        <v>0</v>
      </c>
      <c r="AA140" s="356">
        <f t="shared" si="94"/>
        <v>0</v>
      </c>
      <c r="AB140" s="356">
        <f t="shared" si="94"/>
        <v>0</v>
      </c>
      <c r="AC140" s="356">
        <f t="shared" si="94"/>
        <v>0</v>
      </c>
      <c r="AD140" s="627">
        <f t="shared" si="94"/>
        <v>0</v>
      </c>
      <c r="AE140" s="1370">
        <f>AE138-AE139</f>
        <v>0</v>
      </c>
      <c r="AF140" s="356">
        <f>AF138-AF139</f>
        <v>0</v>
      </c>
      <c r="AG140" s="503">
        <f t="shared" ref="AG140" si="95">AG138-AG139</f>
        <v>0</v>
      </c>
    </row>
    <row r="141" spans="5:33" ht="12.75" customHeight="1">
      <c r="E141" s="4278" t="s">
        <v>1802</v>
      </c>
      <c r="F141" s="842" t="s">
        <v>598</v>
      </c>
      <c r="G141" s="470"/>
      <c r="H141" s="468"/>
      <c r="I141" s="468"/>
      <c r="J141" s="468"/>
      <c r="K141" s="468"/>
      <c r="L141" s="538"/>
      <c r="M141" s="539"/>
      <c r="N141" s="539"/>
      <c r="O141" s="539"/>
      <c r="P141" s="3861"/>
      <c r="Q141" s="3868"/>
      <c r="R141" s="3869"/>
      <c r="S141" s="3869"/>
      <c r="T141" s="3869"/>
      <c r="U141" s="3870"/>
      <c r="V141" s="4281"/>
      <c r="W141" s="1172"/>
      <c r="X141" s="1172"/>
      <c r="Y141" s="1172"/>
      <c r="Z141" s="470"/>
      <c r="AA141" s="468"/>
      <c r="AB141" s="468"/>
      <c r="AC141" s="468"/>
      <c r="AD141" s="468"/>
      <c r="AE141" s="538"/>
      <c r="AF141" s="539"/>
      <c r="AG141" s="540"/>
    </row>
    <row r="142" spans="5:33" ht="12.75" customHeight="1">
      <c r="E142" s="4279"/>
      <c r="F142" s="516" t="s">
        <v>559</v>
      </c>
      <c r="G142" s="470"/>
      <c r="H142" s="468"/>
      <c r="I142" s="468"/>
      <c r="J142" s="468"/>
      <c r="K142" s="468"/>
      <c r="L142" s="459"/>
      <c r="M142" s="458"/>
      <c r="N142" s="458"/>
      <c r="O142" s="458"/>
      <c r="P142" s="3864"/>
      <c r="Q142" s="3794"/>
      <c r="R142" s="3788"/>
      <c r="S142" s="3788"/>
      <c r="T142" s="3788"/>
      <c r="U142" s="3793"/>
      <c r="V142" s="4282"/>
      <c r="W142" s="1172"/>
      <c r="X142" s="1172"/>
      <c r="Y142" s="1172"/>
      <c r="Z142" s="470"/>
      <c r="AA142" s="468"/>
      <c r="AB142" s="468"/>
      <c r="AC142" s="468"/>
      <c r="AD142" s="468"/>
      <c r="AE142" s="462"/>
      <c r="AF142" s="463"/>
      <c r="AG142" s="464"/>
    </row>
    <row r="143" spans="5:33" ht="12.75" customHeight="1">
      <c r="E143" s="4279"/>
      <c r="F143" s="516" t="s">
        <v>558</v>
      </c>
      <c r="G143" s="470"/>
      <c r="H143" s="468"/>
      <c r="I143" s="468"/>
      <c r="J143" s="468"/>
      <c r="K143" s="468"/>
      <c r="L143" s="459"/>
      <c r="M143" s="458"/>
      <c r="N143" s="458"/>
      <c r="O143" s="458"/>
      <c r="P143" s="3864"/>
      <c r="Q143" s="3794"/>
      <c r="R143" s="3788"/>
      <c r="S143" s="3788"/>
      <c r="T143" s="3788"/>
      <c r="U143" s="3793"/>
      <c r="V143" s="4282"/>
      <c r="W143" s="1172"/>
      <c r="X143" s="1172"/>
      <c r="Y143" s="1172"/>
      <c r="Z143" s="470"/>
      <c r="AA143" s="468"/>
      <c r="AB143" s="468"/>
      <c r="AC143" s="468"/>
      <c r="AD143" s="468"/>
      <c r="AE143" s="462"/>
      <c r="AF143" s="463"/>
      <c r="AG143" s="464"/>
    </row>
    <row r="144" spans="5:33" ht="12.75" customHeight="1">
      <c r="E144" s="4279"/>
      <c r="F144" s="516" t="s">
        <v>578</v>
      </c>
      <c r="G144" s="470"/>
      <c r="H144" s="468"/>
      <c r="I144" s="468"/>
      <c r="J144" s="468"/>
      <c r="K144" s="468"/>
      <c r="L144" s="459"/>
      <c r="M144" s="458"/>
      <c r="N144" s="458"/>
      <c r="O144" s="458"/>
      <c r="P144" s="3864"/>
      <c r="Q144" s="3794"/>
      <c r="R144" s="3788"/>
      <c r="S144" s="3788"/>
      <c r="T144" s="3788"/>
      <c r="U144" s="3793"/>
      <c r="V144" s="4282"/>
      <c r="W144" s="1172"/>
      <c r="X144" s="1172"/>
      <c r="Y144" s="1172"/>
      <c r="Z144" s="470"/>
      <c r="AA144" s="468"/>
      <c r="AB144" s="468"/>
      <c r="AC144" s="468"/>
      <c r="AD144" s="468"/>
      <c r="AE144" s="462"/>
      <c r="AF144" s="463"/>
      <c r="AG144" s="464"/>
    </row>
    <row r="145" spans="5:33" ht="12.75" customHeight="1">
      <c r="E145" s="4279"/>
      <c r="F145" s="517" t="s">
        <v>566</v>
      </c>
      <c r="G145" s="459"/>
      <c r="H145" s="458"/>
      <c r="I145" s="458"/>
      <c r="J145" s="458"/>
      <c r="K145" s="625"/>
      <c r="L145" s="353">
        <f t="shared" ref="L145:O145" si="96">SUM(L142:L144)</f>
        <v>0</v>
      </c>
      <c r="M145" s="354">
        <f t="shared" si="96"/>
        <v>0</v>
      </c>
      <c r="N145" s="354">
        <f t="shared" si="96"/>
        <v>0</v>
      </c>
      <c r="O145" s="354">
        <f t="shared" si="96"/>
        <v>0</v>
      </c>
      <c r="P145" s="3864"/>
      <c r="Q145" s="3794"/>
      <c r="R145" s="3788"/>
      <c r="S145" s="3788"/>
      <c r="T145" s="3788"/>
      <c r="U145" s="3793"/>
      <c r="V145" s="4282"/>
      <c r="W145" s="1172"/>
      <c r="X145" s="1172"/>
      <c r="Y145" s="1172"/>
      <c r="Z145" s="462"/>
      <c r="AA145" s="463"/>
      <c r="AB145" s="463"/>
      <c r="AC145" s="463"/>
      <c r="AD145" s="1190"/>
      <c r="AE145" s="353">
        <f t="shared" ref="AE145:AG145" si="97">SUM(AE142:AE144)</f>
        <v>0</v>
      </c>
      <c r="AF145" s="354">
        <f t="shared" si="97"/>
        <v>0</v>
      </c>
      <c r="AG145" s="450">
        <f t="shared" si="97"/>
        <v>0</v>
      </c>
    </row>
    <row r="146" spans="5:33" ht="12.75" customHeight="1">
      <c r="E146" s="4279"/>
      <c r="F146" s="516" t="s">
        <v>583</v>
      </c>
      <c r="G146" s="459"/>
      <c r="H146" s="458"/>
      <c r="I146" s="458"/>
      <c r="J146" s="458"/>
      <c r="K146" s="625"/>
      <c r="L146" s="429"/>
      <c r="M146" s="476"/>
      <c r="N146" s="476"/>
      <c r="O146" s="476"/>
      <c r="P146" s="3865"/>
      <c r="Q146" s="3811"/>
      <c r="R146" s="3812"/>
      <c r="S146" s="3812"/>
      <c r="T146" s="3812"/>
      <c r="U146" s="3813"/>
      <c r="V146" s="4282"/>
      <c r="W146" s="1172"/>
      <c r="X146" s="1172"/>
      <c r="Y146" s="1172"/>
      <c r="Z146" s="462"/>
      <c r="AA146" s="463"/>
      <c r="AB146" s="463"/>
      <c r="AC146" s="463"/>
      <c r="AD146" s="1190"/>
      <c r="AE146" s="511"/>
      <c r="AF146" s="512"/>
      <c r="AG146" s="547"/>
    </row>
    <row r="147" spans="5:33" ht="12.75" customHeight="1">
      <c r="E147" s="4279"/>
      <c r="F147" s="516" t="s">
        <v>581</v>
      </c>
      <c r="G147" s="459"/>
      <c r="H147" s="458"/>
      <c r="I147" s="458"/>
      <c r="J147" s="458"/>
      <c r="K147" s="625"/>
      <c r="L147" s="472"/>
      <c r="M147" s="467"/>
      <c r="N147" s="467"/>
      <c r="O147" s="467"/>
      <c r="P147" s="3864"/>
      <c r="Q147" s="3794"/>
      <c r="R147" s="3788"/>
      <c r="S147" s="3788"/>
      <c r="T147" s="3788"/>
      <c r="U147" s="3793"/>
      <c r="V147" s="4282"/>
      <c r="W147" s="1172"/>
      <c r="X147" s="1172"/>
      <c r="Y147" s="1172"/>
      <c r="Z147" s="462"/>
      <c r="AA147" s="463"/>
      <c r="AB147" s="463"/>
      <c r="AC147" s="463"/>
      <c r="AD147" s="1190"/>
      <c r="AE147" s="462"/>
      <c r="AF147" s="463"/>
      <c r="AG147" s="464"/>
    </row>
    <row r="148" spans="5:33" ht="12.75" customHeight="1">
      <c r="E148" s="4279"/>
      <c r="F148" s="517" t="s">
        <v>584</v>
      </c>
      <c r="G148" s="353">
        <f t="shared" ref="G148:O148" si="98">SUM(G146:G147)</f>
        <v>0</v>
      </c>
      <c r="H148" s="354">
        <f t="shared" si="98"/>
        <v>0</v>
      </c>
      <c r="I148" s="354">
        <f t="shared" si="98"/>
        <v>0</v>
      </c>
      <c r="J148" s="354">
        <f t="shared" si="98"/>
        <v>0</v>
      </c>
      <c r="K148" s="626">
        <f t="shared" si="98"/>
        <v>0</v>
      </c>
      <c r="L148" s="353">
        <f t="shared" si="98"/>
        <v>0</v>
      </c>
      <c r="M148" s="354">
        <f t="shared" si="98"/>
        <v>0</v>
      </c>
      <c r="N148" s="354">
        <f t="shared" si="98"/>
        <v>0</v>
      </c>
      <c r="O148" s="354">
        <f t="shared" si="98"/>
        <v>0</v>
      </c>
      <c r="P148" s="3864"/>
      <c r="Q148" s="3794"/>
      <c r="R148" s="3788"/>
      <c r="S148" s="3788"/>
      <c r="T148" s="3788"/>
      <c r="U148" s="3793"/>
      <c r="V148" s="4282"/>
      <c r="W148" s="1172"/>
      <c r="X148" s="1172"/>
      <c r="Y148" s="1172"/>
      <c r="Z148" s="353">
        <f t="shared" ref="Z148:AF148" si="99">SUM(Z146:Z147)</f>
        <v>0</v>
      </c>
      <c r="AA148" s="354">
        <f t="shared" si="99"/>
        <v>0</v>
      </c>
      <c r="AB148" s="354">
        <f t="shared" si="99"/>
        <v>0</v>
      </c>
      <c r="AC148" s="354">
        <f t="shared" si="99"/>
        <v>0</v>
      </c>
      <c r="AD148" s="626">
        <f t="shared" si="99"/>
        <v>0</v>
      </c>
      <c r="AE148" s="353">
        <f t="shared" si="99"/>
        <v>0</v>
      </c>
      <c r="AF148" s="354">
        <f t="shared" si="99"/>
        <v>0</v>
      </c>
      <c r="AG148" s="450">
        <f t="shared" ref="AG148" si="100">SUM(AG145:AG147)</f>
        <v>0</v>
      </c>
    </row>
    <row r="149" spans="5:33" ht="12.75" customHeight="1">
      <c r="E149" s="4279"/>
      <c r="F149" s="516" t="s">
        <v>35</v>
      </c>
      <c r="G149" s="459"/>
      <c r="H149" s="458"/>
      <c r="I149" s="458"/>
      <c r="J149" s="458"/>
      <c r="K149" s="625"/>
      <c r="L149" s="459"/>
      <c r="M149" s="458"/>
      <c r="N149" s="458"/>
      <c r="O149" s="458"/>
      <c r="P149" s="3864"/>
      <c r="Q149" s="3794"/>
      <c r="R149" s="3788"/>
      <c r="S149" s="3788"/>
      <c r="T149" s="3788"/>
      <c r="U149" s="3793"/>
      <c r="V149" s="4282"/>
      <c r="W149" s="1172"/>
      <c r="X149" s="1172"/>
      <c r="Y149" s="1172"/>
      <c r="Z149" s="462"/>
      <c r="AA149" s="463"/>
      <c r="AB149" s="463"/>
      <c r="AC149" s="463"/>
      <c r="AD149" s="1190"/>
      <c r="AE149" s="462"/>
      <c r="AF149" s="463"/>
      <c r="AG149" s="464"/>
    </row>
    <row r="150" spans="5:33" ht="13.5" customHeight="1" thickBot="1">
      <c r="E150" s="4280"/>
      <c r="F150" s="1409" t="s">
        <v>585</v>
      </c>
      <c r="G150" s="1370">
        <f t="shared" ref="G150:K150" si="101">G148-G149</f>
        <v>0</v>
      </c>
      <c r="H150" s="356">
        <f t="shared" si="101"/>
        <v>0</v>
      </c>
      <c r="I150" s="356">
        <f t="shared" si="101"/>
        <v>0</v>
      </c>
      <c r="J150" s="356">
        <f t="shared" si="101"/>
        <v>0</v>
      </c>
      <c r="K150" s="627">
        <f t="shared" si="101"/>
        <v>0</v>
      </c>
      <c r="L150" s="1370">
        <f>L148-L149</f>
        <v>0</v>
      </c>
      <c r="M150" s="356">
        <f>M148-M149</f>
        <v>0</v>
      </c>
      <c r="N150" s="356">
        <f t="shared" ref="N150:O150" si="102">N148-N149</f>
        <v>0</v>
      </c>
      <c r="O150" s="356">
        <f t="shared" si="102"/>
        <v>0</v>
      </c>
      <c r="P150" s="3866"/>
      <c r="Q150" s="3867"/>
      <c r="R150" s="3802"/>
      <c r="S150" s="3802"/>
      <c r="T150" s="3802"/>
      <c r="U150" s="3803"/>
      <c r="V150" s="4283"/>
      <c r="W150" s="1172"/>
      <c r="X150" s="1172"/>
      <c r="Y150" s="1172"/>
      <c r="Z150" s="1370">
        <f t="shared" ref="Z150:AD150" si="103">Z148-Z149</f>
        <v>0</v>
      </c>
      <c r="AA150" s="356">
        <f t="shared" si="103"/>
        <v>0</v>
      </c>
      <c r="AB150" s="356">
        <f t="shared" si="103"/>
        <v>0</v>
      </c>
      <c r="AC150" s="356">
        <f t="shared" si="103"/>
        <v>0</v>
      </c>
      <c r="AD150" s="627">
        <f t="shared" si="103"/>
        <v>0</v>
      </c>
      <c r="AE150" s="1370">
        <f>AE148-AE149</f>
        <v>0</v>
      </c>
      <c r="AF150" s="356">
        <f>AF148-AF149</f>
        <v>0</v>
      </c>
      <c r="AG150" s="503">
        <f t="shared" ref="AG150" si="104">AG148-AG149</f>
        <v>0</v>
      </c>
    </row>
    <row r="151" spans="5:33" ht="12.75" customHeight="1">
      <c r="E151" s="4278" t="s">
        <v>1803</v>
      </c>
      <c r="F151" s="842" t="s">
        <v>598</v>
      </c>
      <c r="G151" s="470"/>
      <c r="H151" s="468"/>
      <c r="I151" s="468"/>
      <c r="J151" s="468"/>
      <c r="K151" s="468"/>
      <c r="L151" s="538"/>
      <c r="M151" s="539"/>
      <c r="N151" s="539"/>
      <c r="O151" s="539"/>
      <c r="P151" s="3861"/>
      <c r="Q151" s="3868"/>
      <c r="R151" s="3869"/>
      <c r="S151" s="3869"/>
      <c r="T151" s="3869"/>
      <c r="U151" s="3870"/>
      <c r="V151" s="4281"/>
      <c r="W151" s="1172"/>
      <c r="X151" s="1172"/>
      <c r="Y151" s="1172"/>
      <c r="Z151" s="470"/>
      <c r="AA151" s="468"/>
      <c r="AB151" s="468"/>
      <c r="AC151" s="468"/>
      <c r="AD151" s="468"/>
      <c r="AE151" s="538"/>
      <c r="AF151" s="539"/>
      <c r="AG151" s="540"/>
    </row>
    <row r="152" spans="5:33" ht="12.75" customHeight="1">
      <c r="E152" s="4279"/>
      <c r="F152" s="516" t="s">
        <v>559</v>
      </c>
      <c r="G152" s="470"/>
      <c r="H152" s="468"/>
      <c r="I152" s="468"/>
      <c r="J152" s="468"/>
      <c r="K152" s="468"/>
      <c r="L152" s="459"/>
      <c r="M152" s="458"/>
      <c r="N152" s="458"/>
      <c r="O152" s="458"/>
      <c r="P152" s="3864"/>
      <c r="Q152" s="3794"/>
      <c r="R152" s="3788"/>
      <c r="S152" s="3788"/>
      <c r="T152" s="3788"/>
      <c r="U152" s="3793"/>
      <c r="V152" s="4282"/>
      <c r="W152" s="1172"/>
      <c r="X152" s="1172"/>
      <c r="Y152" s="1172"/>
      <c r="Z152" s="470"/>
      <c r="AA152" s="468"/>
      <c r="AB152" s="468"/>
      <c r="AC152" s="468"/>
      <c r="AD152" s="468"/>
      <c r="AE152" s="462"/>
      <c r="AF152" s="463"/>
      <c r="AG152" s="464"/>
    </row>
    <row r="153" spans="5:33" ht="12.75" customHeight="1">
      <c r="E153" s="4279"/>
      <c r="F153" s="516" t="s">
        <v>558</v>
      </c>
      <c r="G153" s="470"/>
      <c r="H153" s="468"/>
      <c r="I153" s="468"/>
      <c r="J153" s="468"/>
      <c r="K153" s="468"/>
      <c r="L153" s="459"/>
      <c r="M153" s="458"/>
      <c r="N153" s="458"/>
      <c r="O153" s="458"/>
      <c r="P153" s="3864"/>
      <c r="Q153" s="3794"/>
      <c r="R153" s="3788"/>
      <c r="S153" s="3788"/>
      <c r="T153" s="3788"/>
      <c r="U153" s="3793"/>
      <c r="V153" s="4282"/>
      <c r="W153" s="1172"/>
      <c r="X153" s="1172"/>
      <c r="Y153" s="1172"/>
      <c r="Z153" s="470"/>
      <c r="AA153" s="468"/>
      <c r="AB153" s="468"/>
      <c r="AC153" s="468"/>
      <c r="AD153" s="468"/>
      <c r="AE153" s="462"/>
      <c r="AF153" s="463"/>
      <c r="AG153" s="464"/>
    </row>
    <row r="154" spans="5:33" ht="12.75" customHeight="1">
      <c r="E154" s="4279"/>
      <c r="F154" s="516" t="s">
        <v>578</v>
      </c>
      <c r="G154" s="470"/>
      <c r="H154" s="468"/>
      <c r="I154" s="468"/>
      <c r="J154" s="468"/>
      <c r="K154" s="468"/>
      <c r="L154" s="459"/>
      <c r="M154" s="458"/>
      <c r="N154" s="458"/>
      <c r="O154" s="458"/>
      <c r="P154" s="3864"/>
      <c r="Q154" s="3794"/>
      <c r="R154" s="3788"/>
      <c r="S154" s="3788"/>
      <c r="T154" s="3788"/>
      <c r="U154" s="3793"/>
      <c r="V154" s="4282"/>
      <c r="W154" s="1172"/>
      <c r="X154" s="1172"/>
      <c r="Y154" s="1172"/>
      <c r="Z154" s="470"/>
      <c r="AA154" s="468"/>
      <c r="AB154" s="468"/>
      <c r="AC154" s="468"/>
      <c r="AD154" s="468"/>
      <c r="AE154" s="462"/>
      <c r="AF154" s="463"/>
      <c r="AG154" s="464"/>
    </row>
    <row r="155" spans="5:33" ht="12.75" customHeight="1">
      <c r="E155" s="4279"/>
      <c r="F155" s="517" t="s">
        <v>566</v>
      </c>
      <c r="G155" s="459"/>
      <c r="H155" s="458"/>
      <c r="I155" s="458"/>
      <c r="J155" s="458"/>
      <c r="K155" s="625"/>
      <c r="L155" s="353">
        <f t="shared" ref="L155:O155" si="105">SUM(L152:L154)</f>
        <v>0</v>
      </c>
      <c r="M155" s="354">
        <f t="shared" si="105"/>
        <v>0</v>
      </c>
      <c r="N155" s="354">
        <f t="shared" si="105"/>
        <v>0</v>
      </c>
      <c r="O155" s="354">
        <f t="shared" si="105"/>
        <v>0</v>
      </c>
      <c r="P155" s="3864"/>
      <c r="Q155" s="3794"/>
      <c r="R155" s="3788"/>
      <c r="S155" s="3788"/>
      <c r="T155" s="3788"/>
      <c r="U155" s="3793"/>
      <c r="V155" s="4282"/>
      <c r="W155" s="1172"/>
      <c r="X155" s="1172"/>
      <c r="Y155" s="1172"/>
      <c r="Z155" s="462"/>
      <c r="AA155" s="463"/>
      <c r="AB155" s="463"/>
      <c r="AC155" s="463"/>
      <c r="AD155" s="1190"/>
      <c r="AE155" s="353">
        <f t="shared" ref="AE155:AG155" si="106">SUM(AE152:AE154)</f>
        <v>0</v>
      </c>
      <c r="AF155" s="354">
        <f t="shared" si="106"/>
        <v>0</v>
      </c>
      <c r="AG155" s="450">
        <f t="shared" si="106"/>
        <v>0</v>
      </c>
    </row>
    <row r="156" spans="5:33" ht="12.75" customHeight="1">
      <c r="E156" s="4279"/>
      <c r="F156" s="516" t="s">
        <v>583</v>
      </c>
      <c r="G156" s="459"/>
      <c r="H156" s="458"/>
      <c r="I156" s="458"/>
      <c r="J156" s="458"/>
      <c r="K156" s="625"/>
      <c r="L156" s="429"/>
      <c r="M156" s="476"/>
      <c r="N156" s="476"/>
      <c r="O156" s="476"/>
      <c r="P156" s="3865"/>
      <c r="Q156" s="3811"/>
      <c r="R156" s="3812"/>
      <c r="S156" s="3812"/>
      <c r="T156" s="3812"/>
      <c r="U156" s="3813"/>
      <c r="V156" s="4282"/>
      <c r="W156" s="1172"/>
      <c r="X156" s="1172"/>
      <c r="Y156" s="1172"/>
      <c r="Z156" s="462"/>
      <c r="AA156" s="463"/>
      <c r="AB156" s="463"/>
      <c r="AC156" s="463"/>
      <c r="AD156" s="1190"/>
      <c r="AE156" s="511"/>
      <c r="AF156" s="512"/>
      <c r="AG156" s="547"/>
    </row>
    <row r="157" spans="5:33" ht="12.75" customHeight="1">
      <c r="E157" s="4279"/>
      <c r="F157" s="516" t="s">
        <v>581</v>
      </c>
      <c r="G157" s="459"/>
      <c r="H157" s="458"/>
      <c r="I157" s="458"/>
      <c r="J157" s="458"/>
      <c r="K157" s="625"/>
      <c r="L157" s="472"/>
      <c r="M157" s="467"/>
      <c r="N157" s="467"/>
      <c r="O157" s="467"/>
      <c r="P157" s="3864"/>
      <c r="Q157" s="3794"/>
      <c r="R157" s="3788"/>
      <c r="S157" s="3788"/>
      <c r="T157" s="3788"/>
      <c r="U157" s="3793"/>
      <c r="V157" s="4282"/>
      <c r="W157" s="1172"/>
      <c r="X157" s="1172"/>
      <c r="Y157" s="1172"/>
      <c r="Z157" s="462"/>
      <c r="AA157" s="463"/>
      <c r="AB157" s="463"/>
      <c r="AC157" s="463"/>
      <c r="AD157" s="1190"/>
      <c r="AE157" s="462"/>
      <c r="AF157" s="463"/>
      <c r="AG157" s="464"/>
    </row>
    <row r="158" spans="5:33" ht="12.75" customHeight="1">
      <c r="E158" s="4279"/>
      <c r="F158" s="517" t="s">
        <v>584</v>
      </c>
      <c r="G158" s="353">
        <f t="shared" ref="G158:O158" si="107">SUM(G156:G157)</f>
        <v>0</v>
      </c>
      <c r="H158" s="354">
        <f t="shared" si="107"/>
        <v>0</v>
      </c>
      <c r="I158" s="354">
        <f t="shared" si="107"/>
        <v>0</v>
      </c>
      <c r="J158" s="354">
        <f t="shared" si="107"/>
        <v>0</v>
      </c>
      <c r="K158" s="626">
        <f t="shared" si="107"/>
        <v>0</v>
      </c>
      <c r="L158" s="353">
        <f t="shared" si="107"/>
        <v>0</v>
      </c>
      <c r="M158" s="354">
        <f t="shared" si="107"/>
        <v>0</v>
      </c>
      <c r="N158" s="354">
        <f t="shared" si="107"/>
        <v>0</v>
      </c>
      <c r="O158" s="354">
        <f t="shared" si="107"/>
        <v>0</v>
      </c>
      <c r="P158" s="3864"/>
      <c r="Q158" s="3794"/>
      <c r="R158" s="3788"/>
      <c r="S158" s="3788"/>
      <c r="T158" s="3788"/>
      <c r="U158" s="3793"/>
      <c r="V158" s="4282"/>
      <c r="W158" s="1172"/>
      <c r="X158" s="1172"/>
      <c r="Y158" s="1172"/>
      <c r="Z158" s="353">
        <f t="shared" ref="Z158:AF158" si="108">SUM(Z156:Z157)</f>
        <v>0</v>
      </c>
      <c r="AA158" s="354">
        <f t="shared" si="108"/>
        <v>0</v>
      </c>
      <c r="AB158" s="354">
        <f t="shared" si="108"/>
        <v>0</v>
      </c>
      <c r="AC158" s="354">
        <f t="shared" si="108"/>
        <v>0</v>
      </c>
      <c r="AD158" s="626">
        <f t="shared" si="108"/>
        <v>0</v>
      </c>
      <c r="AE158" s="353">
        <f t="shared" si="108"/>
        <v>0</v>
      </c>
      <c r="AF158" s="354">
        <f t="shared" si="108"/>
        <v>0</v>
      </c>
      <c r="AG158" s="450">
        <f t="shared" ref="AG158:AG188" si="109">SUM(AG155:AG157)</f>
        <v>0</v>
      </c>
    </row>
    <row r="159" spans="5:33" ht="12.75" customHeight="1">
      <c r="E159" s="4279"/>
      <c r="F159" s="516" t="s">
        <v>35</v>
      </c>
      <c r="G159" s="459"/>
      <c r="H159" s="458"/>
      <c r="I159" s="458"/>
      <c r="J159" s="458"/>
      <c r="K159" s="625"/>
      <c r="L159" s="459"/>
      <c r="M159" s="458"/>
      <c r="N159" s="458"/>
      <c r="O159" s="458"/>
      <c r="P159" s="3864"/>
      <c r="Q159" s="3794"/>
      <c r="R159" s="3788"/>
      <c r="S159" s="3788"/>
      <c r="T159" s="3788"/>
      <c r="U159" s="3793"/>
      <c r="V159" s="4282"/>
      <c r="W159" s="1172"/>
      <c r="X159" s="1172"/>
      <c r="Y159" s="1172"/>
      <c r="Z159" s="462"/>
      <c r="AA159" s="463"/>
      <c r="AB159" s="463"/>
      <c r="AC159" s="463"/>
      <c r="AD159" s="1190"/>
      <c r="AE159" s="462"/>
      <c r="AF159" s="463"/>
      <c r="AG159" s="464"/>
    </row>
    <row r="160" spans="5:33" ht="13.5" customHeight="1" thickBot="1">
      <c r="E160" s="4280"/>
      <c r="F160" s="1409" t="s">
        <v>585</v>
      </c>
      <c r="G160" s="1370">
        <f t="shared" ref="G160:K160" si="110">G158-G159</f>
        <v>0</v>
      </c>
      <c r="H160" s="356">
        <f t="shared" si="110"/>
        <v>0</v>
      </c>
      <c r="I160" s="356">
        <f t="shared" si="110"/>
        <v>0</v>
      </c>
      <c r="J160" s="356">
        <f t="shared" si="110"/>
        <v>0</v>
      </c>
      <c r="K160" s="627">
        <f t="shared" si="110"/>
        <v>0</v>
      </c>
      <c r="L160" s="1370">
        <f>L158-L159</f>
        <v>0</v>
      </c>
      <c r="M160" s="356">
        <f>M158-M159</f>
        <v>0</v>
      </c>
      <c r="N160" s="356">
        <f t="shared" ref="N160:O160" si="111">N158-N159</f>
        <v>0</v>
      </c>
      <c r="O160" s="356">
        <f t="shared" si="111"/>
        <v>0</v>
      </c>
      <c r="P160" s="3866"/>
      <c r="Q160" s="3867"/>
      <c r="R160" s="3802"/>
      <c r="S160" s="3802"/>
      <c r="T160" s="3802"/>
      <c r="U160" s="3803"/>
      <c r="V160" s="4283"/>
      <c r="W160" s="1172"/>
      <c r="X160" s="1172"/>
      <c r="Y160" s="1172"/>
      <c r="Z160" s="1370">
        <f t="shared" ref="Z160:AG170" si="112">Z158-Z159</f>
        <v>0</v>
      </c>
      <c r="AA160" s="356">
        <f t="shared" si="112"/>
        <v>0</v>
      </c>
      <c r="AB160" s="356">
        <f t="shared" si="112"/>
        <v>0</v>
      </c>
      <c r="AC160" s="356">
        <f t="shared" si="112"/>
        <v>0</v>
      </c>
      <c r="AD160" s="627">
        <f t="shared" si="112"/>
        <v>0</v>
      </c>
      <c r="AE160" s="1370">
        <f t="shared" si="112"/>
        <v>0</v>
      </c>
      <c r="AF160" s="356">
        <f t="shared" si="112"/>
        <v>0</v>
      </c>
      <c r="AG160" s="503">
        <f t="shared" si="112"/>
        <v>0</v>
      </c>
    </row>
    <row r="161" spans="5:33" ht="12.75" customHeight="1">
      <c r="E161" s="4278" t="s">
        <v>1324</v>
      </c>
      <c r="F161" s="842" t="s">
        <v>598</v>
      </c>
      <c r="G161" s="527"/>
      <c r="H161" s="528"/>
      <c r="I161" s="528"/>
      <c r="J161" s="528"/>
      <c r="K161" s="528"/>
      <c r="L161" s="538"/>
      <c r="M161" s="539"/>
      <c r="N161" s="539"/>
      <c r="O161" s="539"/>
      <c r="P161" s="3861"/>
      <c r="Q161" s="3862"/>
      <c r="R161" s="3861"/>
      <c r="S161" s="3861"/>
      <c r="T161" s="3861"/>
      <c r="U161" s="3863"/>
      <c r="V161" s="4281"/>
      <c r="W161" s="1172"/>
      <c r="X161" s="1172"/>
      <c r="Y161" s="1172"/>
      <c r="Z161" s="527"/>
      <c r="AA161" s="528"/>
      <c r="AB161" s="528"/>
      <c r="AC161" s="528"/>
      <c r="AD161" s="528"/>
      <c r="AE161" s="538"/>
      <c r="AF161" s="539"/>
      <c r="AG161" s="540"/>
    </row>
    <row r="162" spans="5:33" ht="12.75" customHeight="1">
      <c r="E162" s="4279"/>
      <c r="F162" s="516" t="s">
        <v>559</v>
      </c>
      <c r="G162" s="470"/>
      <c r="H162" s="468"/>
      <c r="I162" s="468"/>
      <c r="J162" s="468"/>
      <c r="K162" s="468"/>
      <c r="L162" s="459"/>
      <c r="M162" s="458"/>
      <c r="N162" s="458"/>
      <c r="O162" s="458"/>
      <c r="P162" s="3864"/>
      <c r="Q162" s="3794"/>
      <c r="R162" s="3788"/>
      <c r="S162" s="3788"/>
      <c r="T162" s="3788"/>
      <c r="U162" s="3793"/>
      <c r="V162" s="4282"/>
      <c r="W162" s="1172"/>
      <c r="X162" s="1172"/>
      <c r="Y162" s="1172"/>
      <c r="Z162" s="470"/>
      <c r="AA162" s="468"/>
      <c r="AB162" s="468"/>
      <c r="AC162" s="468"/>
      <c r="AD162" s="468"/>
      <c r="AE162" s="462"/>
      <c r="AF162" s="463"/>
      <c r="AG162" s="464"/>
    </row>
    <row r="163" spans="5:33" ht="12.75" customHeight="1">
      <c r="E163" s="4279"/>
      <c r="F163" s="516" t="s">
        <v>558</v>
      </c>
      <c r="G163" s="470"/>
      <c r="H163" s="468"/>
      <c r="I163" s="468"/>
      <c r="J163" s="468"/>
      <c r="K163" s="468"/>
      <c r="L163" s="459"/>
      <c r="M163" s="458"/>
      <c r="N163" s="458"/>
      <c r="O163" s="458"/>
      <c r="P163" s="3864"/>
      <c r="Q163" s="3794"/>
      <c r="R163" s="3788"/>
      <c r="S163" s="3788"/>
      <c r="T163" s="3788"/>
      <c r="U163" s="3793"/>
      <c r="V163" s="4282"/>
      <c r="W163" s="1172"/>
      <c r="X163" s="1172"/>
      <c r="Y163" s="1172"/>
      <c r="Z163" s="470"/>
      <c r="AA163" s="468"/>
      <c r="AB163" s="468"/>
      <c r="AC163" s="468"/>
      <c r="AD163" s="468"/>
      <c r="AE163" s="462"/>
      <c r="AF163" s="463"/>
      <c r="AG163" s="464"/>
    </row>
    <row r="164" spans="5:33" ht="12.75" customHeight="1">
      <c r="E164" s="4279"/>
      <c r="F164" s="516" t="s">
        <v>578</v>
      </c>
      <c r="G164" s="470"/>
      <c r="H164" s="468"/>
      <c r="I164" s="468"/>
      <c r="J164" s="468"/>
      <c r="K164" s="468"/>
      <c r="L164" s="459"/>
      <c r="M164" s="458"/>
      <c r="N164" s="458"/>
      <c r="O164" s="458"/>
      <c r="P164" s="3864"/>
      <c r="Q164" s="3794"/>
      <c r="R164" s="3788"/>
      <c r="S164" s="3788"/>
      <c r="T164" s="3788"/>
      <c r="U164" s="3793"/>
      <c r="V164" s="4282"/>
      <c r="W164" s="1172"/>
      <c r="X164" s="1172"/>
      <c r="Y164" s="1172"/>
      <c r="Z164" s="470"/>
      <c r="AA164" s="468"/>
      <c r="AB164" s="468"/>
      <c r="AC164" s="468"/>
      <c r="AD164" s="468"/>
      <c r="AE164" s="462"/>
      <c r="AF164" s="463"/>
      <c r="AG164" s="464"/>
    </row>
    <row r="165" spans="5:33" ht="12.75" customHeight="1">
      <c r="E165" s="4279"/>
      <c r="F165" s="517" t="s">
        <v>566</v>
      </c>
      <c r="G165" s="459"/>
      <c r="H165" s="458"/>
      <c r="I165" s="458"/>
      <c r="J165" s="458"/>
      <c r="K165" s="625"/>
      <c r="L165" s="353">
        <f t="shared" ref="L165:N165" si="113">SUM(L162:L164)</f>
        <v>0</v>
      </c>
      <c r="M165" s="354">
        <f t="shared" si="113"/>
        <v>0</v>
      </c>
      <c r="N165" s="354">
        <f t="shared" si="113"/>
        <v>0</v>
      </c>
      <c r="O165" s="354">
        <v>327579.91274184122</v>
      </c>
      <c r="P165" s="3864"/>
      <c r="Q165" s="3794"/>
      <c r="R165" s="3788"/>
      <c r="S165" s="3788"/>
      <c r="T165" s="3788"/>
      <c r="U165" s="3793"/>
      <c r="V165" s="4282"/>
      <c r="W165" s="1172"/>
      <c r="X165" s="1172"/>
      <c r="Y165" s="1172"/>
      <c r="Z165" s="462"/>
      <c r="AA165" s="463"/>
      <c r="AB165" s="463"/>
      <c r="AC165" s="463"/>
      <c r="AD165" s="1190"/>
      <c r="AE165" s="353">
        <f t="shared" ref="AE165:AG165" si="114">SUM(AE162:AE164)</f>
        <v>0</v>
      </c>
      <c r="AF165" s="354">
        <f t="shared" si="114"/>
        <v>0</v>
      </c>
      <c r="AG165" s="450">
        <f t="shared" si="114"/>
        <v>0</v>
      </c>
    </row>
    <row r="166" spans="5:33" ht="12.75" customHeight="1">
      <c r="E166" s="4279"/>
      <c r="F166" s="516" t="s">
        <v>583</v>
      </c>
      <c r="G166" s="459"/>
      <c r="H166" s="458"/>
      <c r="I166" s="458"/>
      <c r="J166" s="458"/>
      <c r="K166" s="625"/>
      <c r="L166" s="429"/>
      <c r="M166" s="476"/>
      <c r="N166" s="476"/>
      <c r="O166" s="476">
        <v>30273.128231630744</v>
      </c>
      <c r="P166" s="3865"/>
      <c r="Q166" s="3811"/>
      <c r="R166" s="3812"/>
      <c r="S166" s="3812"/>
      <c r="T166" s="3812"/>
      <c r="U166" s="3813"/>
      <c r="V166" s="4282"/>
      <c r="W166" s="1172"/>
      <c r="X166" s="1172"/>
      <c r="Y166" s="1172"/>
      <c r="Z166" s="462"/>
      <c r="AA166" s="463"/>
      <c r="AB166" s="463"/>
      <c r="AC166" s="463"/>
      <c r="AD166" s="1190"/>
      <c r="AE166" s="511"/>
      <c r="AF166" s="512"/>
      <c r="AG166" s="547"/>
    </row>
    <row r="167" spans="5:33" ht="12.75" customHeight="1">
      <c r="E167" s="4279"/>
      <c r="F167" s="516" t="s">
        <v>581</v>
      </c>
      <c r="G167" s="459"/>
      <c r="H167" s="458"/>
      <c r="I167" s="458"/>
      <c r="J167" s="458"/>
      <c r="K167" s="625"/>
      <c r="L167" s="472"/>
      <c r="M167" s="467"/>
      <c r="N167" s="467"/>
      <c r="O167" s="467"/>
      <c r="P167" s="3864"/>
      <c r="Q167" s="3794"/>
      <c r="R167" s="3788"/>
      <c r="S167" s="3788"/>
      <c r="T167" s="3788"/>
      <c r="U167" s="3793"/>
      <c r="V167" s="4282"/>
      <c r="W167" s="1172"/>
      <c r="X167" s="1172"/>
      <c r="Y167" s="1172"/>
      <c r="Z167" s="462"/>
      <c r="AA167" s="463"/>
      <c r="AB167" s="463"/>
      <c r="AC167" s="463"/>
      <c r="AD167" s="1190"/>
      <c r="AE167" s="462"/>
      <c r="AF167" s="463"/>
      <c r="AG167" s="464"/>
    </row>
    <row r="168" spans="5:33" ht="12.75" customHeight="1">
      <c r="E168" s="4279"/>
      <c r="F168" s="517" t="s">
        <v>584</v>
      </c>
      <c r="G168" s="353">
        <f t="shared" ref="G168:N168" si="115">SUM(G166:G167)</f>
        <v>0</v>
      </c>
      <c r="H168" s="354">
        <f t="shared" si="115"/>
        <v>0</v>
      </c>
      <c r="I168" s="354">
        <f t="shared" si="115"/>
        <v>0</v>
      </c>
      <c r="J168" s="354">
        <f t="shared" si="115"/>
        <v>0</v>
      </c>
      <c r="K168" s="626">
        <f t="shared" si="115"/>
        <v>0</v>
      </c>
      <c r="L168" s="353">
        <f t="shared" si="115"/>
        <v>0</v>
      </c>
      <c r="M168" s="354">
        <f t="shared" si="115"/>
        <v>0</v>
      </c>
      <c r="N168" s="354">
        <f t="shared" si="115"/>
        <v>0</v>
      </c>
      <c r="O168" s="626">
        <f>SUM(O165:O167)</f>
        <v>357853.04097347194</v>
      </c>
      <c r="P168" s="3864"/>
      <c r="Q168" s="3794"/>
      <c r="R168" s="3788"/>
      <c r="S168" s="3788"/>
      <c r="T168" s="3788"/>
      <c r="U168" s="3793"/>
      <c r="V168" s="4282"/>
      <c r="W168" s="1172"/>
      <c r="X168" s="1172"/>
      <c r="Y168" s="1172"/>
      <c r="Z168" s="353">
        <f t="shared" ref="Z168:AF168" si="116">SUM(Z166:Z167)</f>
        <v>0</v>
      </c>
      <c r="AA168" s="354">
        <f t="shared" si="116"/>
        <v>0</v>
      </c>
      <c r="AB168" s="354">
        <f t="shared" si="116"/>
        <v>0</v>
      </c>
      <c r="AC168" s="354">
        <f t="shared" si="116"/>
        <v>0</v>
      </c>
      <c r="AD168" s="626">
        <f t="shared" si="116"/>
        <v>0</v>
      </c>
      <c r="AE168" s="353">
        <f t="shared" si="116"/>
        <v>0</v>
      </c>
      <c r="AF168" s="354">
        <f t="shared" si="116"/>
        <v>0</v>
      </c>
      <c r="AG168" s="450">
        <f t="shared" si="109"/>
        <v>0</v>
      </c>
    </row>
    <row r="169" spans="5:33" ht="12.75" customHeight="1">
      <c r="E169" s="4279"/>
      <c r="F169" s="516" t="s">
        <v>35</v>
      </c>
      <c r="G169" s="459"/>
      <c r="H169" s="458"/>
      <c r="I169" s="458"/>
      <c r="J169" s="458"/>
      <c r="K169" s="625"/>
      <c r="L169" s="459"/>
      <c r="M169" s="458"/>
      <c r="N169" s="458"/>
      <c r="O169" s="458"/>
      <c r="P169" s="3864"/>
      <c r="Q169" s="3794"/>
      <c r="R169" s="3788"/>
      <c r="S169" s="3788"/>
      <c r="T169" s="3788"/>
      <c r="U169" s="3793"/>
      <c r="V169" s="4282"/>
      <c r="W169" s="1172"/>
      <c r="X169" s="1172"/>
      <c r="Y169" s="1172"/>
      <c r="Z169" s="462"/>
      <c r="AA169" s="463"/>
      <c r="AB169" s="463"/>
      <c r="AC169" s="463"/>
      <c r="AD169" s="1190"/>
      <c r="AE169" s="462"/>
      <c r="AF169" s="463"/>
      <c r="AG169" s="464"/>
    </row>
    <row r="170" spans="5:33" ht="13.5" customHeight="1" thickBot="1">
      <c r="E170" s="4280"/>
      <c r="F170" s="1409" t="s">
        <v>585</v>
      </c>
      <c r="G170" s="1370">
        <f t="shared" ref="G170:K170" si="117">G168-G169</f>
        <v>0</v>
      </c>
      <c r="H170" s="356">
        <f t="shared" si="117"/>
        <v>0</v>
      </c>
      <c r="I170" s="356">
        <f t="shared" si="117"/>
        <v>0</v>
      </c>
      <c r="J170" s="356">
        <f t="shared" si="117"/>
        <v>0</v>
      </c>
      <c r="K170" s="627">
        <f t="shared" si="117"/>
        <v>0</v>
      </c>
      <c r="L170" s="1370">
        <f>L168-L169</f>
        <v>0</v>
      </c>
      <c r="M170" s="356">
        <f>M168-M169</f>
        <v>0</v>
      </c>
      <c r="N170" s="356">
        <f t="shared" ref="N170:O170" si="118">N168-N169</f>
        <v>0</v>
      </c>
      <c r="O170" s="356">
        <f t="shared" si="118"/>
        <v>357853.04097347194</v>
      </c>
      <c r="P170" s="3866"/>
      <c r="Q170" s="3867"/>
      <c r="R170" s="3802"/>
      <c r="S170" s="3802"/>
      <c r="T170" s="3802"/>
      <c r="U170" s="3803"/>
      <c r="V170" s="4283"/>
      <c r="W170" s="1172"/>
      <c r="X170" s="1172"/>
      <c r="Y170" s="1172"/>
      <c r="Z170" s="1370">
        <f t="shared" ref="Z170:AF170" si="119">Z168-Z169</f>
        <v>0</v>
      </c>
      <c r="AA170" s="356">
        <f t="shared" si="119"/>
        <v>0</v>
      </c>
      <c r="AB170" s="356">
        <f t="shared" si="119"/>
        <v>0</v>
      </c>
      <c r="AC170" s="356">
        <f t="shared" si="119"/>
        <v>0</v>
      </c>
      <c r="AD170" s="627">
        <f t="shared" si="119"/>
        <v>0</v>
      </c>
      <c r="AE170" s="1370">
        <f t="shared" si="119"/>
        <v>0</v>
      </c>
      <c r="AF170" s="356">
        <f t="shared" si="119"/>
        <v>0</v>
      </c>
      <c r="AG170" s="503">
        <f t="shared" si="112"/>
        <v>0</v>
      </c>
    </row>
    <row r="171" spans="5:33" ht="12.75" customHeight="1">
      <c r="E171" s="4278" t="s">
        <v>1804</v>
      </c>
      <c r="F171" s="842" t="s">
        <v>598</v>
      </c>
      <c r="G171" s="470"/>
      <c r="H171" s="468"/>
      <c r="I171" s="468"/>
      <c r="J171" s="468"/>
      <c r="K171" s="468"/>
      <c r="L171" s="538"/>
      <c r="M171" s="539"/>
      <c r="N171" s="539"/>
      <c r="O171" s="539"/>
      <c r="P171" s="3861"/>
      <c r="Q171" s="3868"/>
      <c r="R171" s="3869"/>
      <c r="S171" s="3869"/>
      <c r="T171" s="3869"/>
      <c r="U171" s="3870"/>
      <c r="V171" s="4281"/>
      <c r="W171" s="1172"/>
      <c r="X171" s="1172"/>
      <c r="Y171" s="1172"/>
      <c r="Z171" s="470"/>
      <c r="AA171" s="468"/>
      <c r="AB171" s="468"/>
      <c r="AC171" s="468"/>
      <c r="AD171" s="468"/>
      <c r="AE171" s="538"/>
      <c r="AF171" s="539"/>
      <c r="AG171" s="540"/>
    </row>
    <row r="172" spans="5:33" ht="12.75" customHeight="1">
      <c r="E172" s="4279"/>
      <c r="F172" s="516" t="s">
        <v>559</v>
      </c>
      <c r="G172" s="470"/>
      <c r="H172" s="468"/>
      <c r="I172" s="468"/>
      <c r="J172" s="468"/>
      <c r="K172" s="468"/>
      <c r="L172" s="459"/>
      <c r="M172" s="458"/>
      <c r="N172" s="458"/>
      <c r="O172" s="458"/>
      <c r="P172" s="3864"/>
      <c r="Q172" s="3794"/>
      <c r="R172" s="3788"/>
      <c r="S172" s="3788"/>
      <c r="T172" s="3788"/>
      <c r="U172" s="3793"/>
      <c r="V172" s="4282"/>
      <c r="W172" s="1172"/>
      <c r="X172" s="1172"/>
      <c r="Y172" s="1172"/>
      <c r="Z172" s="470"/>
      <c r="AA172" s="468"/>
      <c r="AB172" s="468"/>
      <c r="AC172" s="468"/>
      <c r="AD172" s="468"/>
      <c r="AE172" s="462"/>
      <c r="AF172" s="463"/>
      <c r="AG172" s="464"/>
    </row>
    <row r="173" spans="5:33" ht="12.75" customHeight="1">
      <c r="E173" s="4279"/>
      <c r="F173" s="516" t="s">
        <v>558</v>
      </c>
      <c r="G173" s="470"/>
      <c r="H173" s="468"/>
      <c r="I173" s="468"/>
      <c r="J173" s="468"/>
      <c r="K173" s="468"/>
      <c r="L173" s="459"/>
      <c r="M173" s="458"/>
      <c r="N173" s="458"/>
      <c r="O173" s="458"/>
      <c r="P173" s="3864"/>
      <c r="Q173" s="3794"/>
      <c r="R173" s="3788"/>
      <c r="S173" s="3788"/>
      <c r="T173" s="3788"/>
      <c r="U173" s="3793"/>
      <c r="V173" s="4282"/>
      <c r="W173" s="1172"/>
      <c r="X173" s="1172"/>
      <c r="Y173" s="1172"/>
      <c r="Z173" s="470"/>
      <c r="AA173" s="468"/>
      <c r="AB173" s="468"/>
      <c r="AC173" s="468"/>
      <c r="AD173" s="468"/>
      <c r="AE173" s="462"/>
      <c r="AF173" s="463"/>
      <c r="AG173" s="464"/>
    </row>
    <row r="174" spans="5:33" ht="12.75" customHeight="1">
      <c r="E174" s="4279"/>
      <c r="F174" s="516" t="s">
        <v>578</v>
      </c>
      <c r="G174" s="470"/>
      <c r="H174" s="468"/>
      <c r="I174" s="468"/>
      <c r="J174" s="468"/>
      <c r="K174" s="468"/>
      <c r="L174" s="459"/>
      <c r="M174" s="458"/>
      <c r="N174" s="458"/>
      <c r="O174" s="458"/>
      <c r="P174" s="3864"/>
      <c r="Q174" s="3794"/>
      <c r="R174" s="3788"/>
      <c r="S174" s="3788"/>
      <c r="T174" s="3788"/>
      <c r="U174" s="3793"/>
      <c r="V174" s="4282"/>
      <c r="W174" s="1172"/>
      <c r="X174" s="1172"/>
      <c r="Y174" s="1172"/>
      <c r="Z174" s="470"/>
      <c r="AA174" s="468"/>
      <c r="AB174" s="468"/>
      <c r="AC174" s="468"/>
      <c r="AD174" s="468"/>
      <c r="AE174" s="462"/>
      <c r="AF174" s="463"/>
      <c r="AG174" s="464"/>
    </row>
    <row r="175" spans="5:33" ht="12.75" customHeight="1">
      <c r="E175" s="4279"/>
      <c r="F175" s="517" t="s">
        <v>566</v>
      </c>
      <c r="G175" s="459"/>
      <c r="H175" s="458"/>
      <c r="I175" s="458"/>
      <c r="J175" s="458"/>
      <c r="K175" s="625"/>
      <c r="L175" s="353">
        <f t="shared" ref="L175:O175" si="120">SUM(L172:L174)</f>
        <v>0</v>
      </c>
      <c r="M175" s="354">
        <f t="shared" si="120"/>
        <v>0</v>
      </c>
      <c r="N175" s="354">
        <f t="shared" si="120"/>
        <v>0</v>
      </c>
      <c r="O175" s="354">
        <f t="shared" si="120"/>
        <v>0</v>
      </c>
      <c r="P175" s="3864"/>
      <c r="Q175" s="3794"/>
      <c r="R175" s="3788"/>
      <c r="S175" s="3788"/>
      <c r="T175" s="3788"/>
      <c r="U175" s="3793"/>
      <c r="V175" s="4282"/>
      <c r="W175" s="1172"/>
      <c r="X175" s="1172"/>
      <c r="Y175" s="1172"/>
      <c r="Z175" s="462"/>
      <c r="AA175" s="463"/>
      <c r="AB175" s="463"/>
      <c r="AC175" s="463"/>
      <c r="AD175" s="1190"/>
      <c r="AE175" s="353">
        <f t="shared" ref="AE175:AG175" si="121">SUM(AE172:AE174)</f>
        <v>0</v>
      </c>
      <c r="AF175" s="354">
        <f t="shared" si="121"/>
        <v>0</v>
      </c>
      <c r="AG175" s="450">
        <f t="shared" si="121"/>
        <v>0</v>
      </c>
    </row>
    <row r="176" spans="5:33" ht="12.75" customHeight="1">
      <c r="E176" s="4279"/>
      <c r="F176" s="516" t="s">
        <v>583</v>
      </c>
      <c r="G176" s="459"/>
      <c r="H176" s="458"/>
      <c r="I176" s="458"/>
      <c r="J176" s="458"/>
      <c r="K176" s="625"/>
      <c r="L176" s="429"/>
      <c r="M176" s="476"/>
      <c r="N176" s="476"/>
      <c r="O176" s="476"/>
      <c r="P176" s="3864"/>
      <c r="Q176" s="3794"/>
      <c r="R176" s="3788"/>
      <c r="S176" s="3788"/>
      <c r="T176" s="3788"/>
      <c r="U176" s="3793"/>
      <c r="V176" s="4282"/>
      <c r="W176" s="1172"/>
      <c r="X176" s="1172"/>
      <c r="Y176" s="1172"/>
      <c r="Z176" s="462"/>
      <c r="AA176" s="463"/>
      <c r="AB176" s="463"/>
      <c r="AC176" s="463"/>
      <c r="AD176" s="1190"/>
      <c r="AE176" s="511"/>
      <c r="AF176" s="512"/>
      <c r="AG176" s="547"/>
    </row>
    <row r="177" spans="5:33" ht="12.75" customHeight="1">
      <c r="E177" s="4279"/>
      <c r="F177" s="516" t="s">
        <v>581</v>
      </c>
      <c r="G177" s="459"/>
      <c r="H177" s="458"/>
      <c r="I177" s="458"/>
      <c r="J177" s="458"/>
      <c r="K177" s="625"/>
      <c r="L177" s="472"/>
      <c r="M177" s="467"/>
      <c r="N177" s="467"/>
      <c r="O177" s="467"/>
      <c r="P177" s="3864"/>
      <c r="Q177" s="3794"/>
      <c r="R177" s="3788"/>
      <c r="S177" s="3788"/>
      <c r="T177" s="3788"/>
      <c r="U177" s="3793"/>
      <c r="V177" s="4282"/>
      <c r="W177" s="1172"/>
      <c r="X177" s="1172"/>
      <c r="Y177" s="1172"/>
      <c r="Z177" s="462"/>
      <c r="AA177" s="463"/>
      <c r="AB177" s="463"/>
      <c r="AC177" s="463"/>
      <c r="AD177" s="1190"/>
      <c r="AE177" s="462"/>
      <c r="AF177" s="463"/>
      <c r="AG177" s="464"/>
    </row>
    <row r="178" spans="5:33" ht="12.75" customHeight="1">
      <c r="E178" s="4279"/>
      <c r="F178" s="517" t="s">
        <v>584</v>
      </c>
      <c r="G178" s="353">
        <f t="shared" ref="G178:O178" si="122">SUM(G176:G177)</f>
        <v>0</v>
      </c>
      <c r="H178" s="354">
        <f t="shared" si="122"/>
        <v>0</v>
      </c>
      <c r="I178" s="354">
        <f t="shared" si="122"/>
        <v>0</v>
      </c>
      <c r="J178" s="354">
        <f t="shared" si="122"/>
        <v>0</v>
      </c>
      <c r="K178" s="626">
        <f t="shared" si="122"/>
        <v>0</v>
      </c>
      <c r="L178" s="353">
        <f t="shared" si="122"/>
        <v>0</v>
      </c>
      <c r="M178" s="354">
        <f t="shared" si="122"/>
        <v>0</v>
      </c>
      <c r="N178" s="354">
        <f t="shared" si="122"/>
        <v>0</v>
      </c>
      <c r="O178" s="354">
        <f t="shared" si="122"/>
        <v>0</v>
      </c>
      <c r="P178" s="3864"/>
      <c r="Q178" s="3794"/>
      <c r="R178" s="3788"/>
      <c r="S178" s="3788"/>
      <c r="T178" s="3788"/>
      <c r="U178" s="3793"/>
      <c r="V178" s="4282"/>
      <c r="W178" s="1172"/>
      <c r="X178" s="1172"/>
      <c r="Y178" s="1172"/>
      <c r="Z178" s="353">
        <f t="shared" ref="Z178:AF178" si="123">SUM(Z176:Z177)</f>
        <v>0</v>
      </c>
      <c r="AA178" s="354">
        <f t="shared" si="123"/>
        <v>0</v>
      </c>
      <c r="AB178" s="354">
        <f t="shared" si="123"/>
        <v>0</v>
      </c>
      <c r="AC178" s="354">
        <f t="shared" si="123"/>
        <v>0</v>
      </c>
      <c r="AD178" s="626">
        <f t="shared" si="123"/>
        <v>0</v>
      </c>
      <c r="AE178" s="353">
        <f t="shared" si="123"/>
        <v>0</v>
      </c>
      <c r="AF178" s="354">
        <f t="shared" si="123"/>
        <v>0</v>
      </c>
      <c r="AG178" s="450">
        <f t="shared" si="109"/>
        <v>0</v>
      </c>
    </row>
    <row r="179" spans="5:33" ht="12.75" customHeight="1">
      <c r="E179" s="4279"/>
      <c r="F179" s="516" t="s">
        <v>35</v>
      </c>
      <c r="G179" s="459"/>
      <c r="H179" s="458"/>
      <c r="I179" s="458"/>
      <c r="J179" s="458"/>
      <c r="K179" s="625"/>
      <c r="L179" s="459"/>
      <c r="M179" s="458"/>
      <c r="N179" s="458"/>
      <c r="O179" s="458"/>
      <c r="P179" s="3864"/>
      <c r="Q179" s="3794"/>
      <c r="R179" s="3788"/>
      <c r="S179" s="3788"/>
      <c r="T179" s="3788"/>
      <c r="U179" s="3793"/>
      <c r="V179" s="4282"/>
      <c r="W179" s="1172"/>
      <c r="X179" s="1172"/>
      <c r="Y179" s="1172"/>
      <c r="Z179" s="462"/>
      <c r="AA179" s="463"/>
      <c r="AB179" s="463"/>
      <c r="AC179" s="463"/>
      <c r="AD179" s="1190"/>
      <c r="AE179" s="462"/>
      <c r="AF179" s="463"/>
      <c r="AG179" s="464"/>
    </row>
    <row r="180" spans="5:33" ht="13.5" customHeight="1" thickBot="1">
      <c r="E180" s="4280"/>
      <c r="F180" s="1409" t="s">
        <v>585</v>
      </c>
      <c r="G180" s="1370">
        <f t="shared" ref="G180:K180" si="124">G178-G179</f>
        <v>0</v>
      </c>
      <c r="H180" s="356">
        <f t="shared" si="124"/>
        <v>0</v>
      </c>
      <c r="I180" s="356">
        <f t="shared" si="124"/>
        <v>0</v>
      </c>
      <c r="J180" s="356">
        <f t="shared" si="124"/>
        <v>0</v>
      </c>
      <c r="K180" s="627">
        <f t="shared" si="124"/>
        <v>0</v>
      </c>
      <c r="L180" s="1370">
        <f>L178-L179</f>
        <v>0</v>
      </c>
      <c r="M180" s="356">
        <f>M178-M179</f>
        <v>0</v>
      </c>
      <c r="N180" s="356">
        <f t="shared" ref="N180:O180" si="125">N178-N179</f>
        <v>0</v>
      </c>
      <c r="O180" s="356">
        <f t="shared" si="125"/>
        <v>0</v>
      </c>
      <c r="P180" s="3866"/>
      <c r="Q180" s="3867"/>
      <c r="R180" s="3802"/>
      <c r="S180" s="3802"/>
      <c r="T180" s="3802"/>
      <c r="U180" s="3803"/>
      <c r="V180" s="4283"/>
      <c r="W180" s="1172"/>
      <c r="X180" s="1172"/>
      <c r="Y180" s="1172"/>
      <c r="Z180" s="1370">
        <f t="shared" ref="Z180:AG190" si="126">Z178-Z179</f>
        <v>0</v>
      </c>
      <c r="AA180" s="356">
        <f t="shared" si="126"/>
        <v>0</v>
      </c>
      <c r="AB180" s="356">
        <f t="shared" si="126"/>
        <v>0</v>
      </c>
      <c r="AC180" s="356">
        <f t="shared" si="126"/>
        <v>0</v>
      </c>
      <c r="AD180" s="627">
        <f t="shared" si="126"/>
        <v>0</v>
      </c>
      <c r="AE180" s="1370">
        <f t="shared" si="126"/>
        <v>0</v>
      </c>
      <c r="AF180" s="356">
        <f t="shared" si="126"/>
        <v>0</v>
      </c>
      <c r="AG180" s="503">
        <f t="shared" si="126"/>
        <v>0</v>
      </c>
    </row>
    <row r="181" spans="5:33" ht="12.75" customHeight="1">
      <c r="E181" s="4278" t="s">
        <v>1805</v>
      </c>
      <c r="F181" s="842" t="s">
        <v>598</v>
      </c>
      <c r="G181" s="527"/>
      <c r="H181" s="528"/>
      <c r="I181" s="528"/>
      <c r="J181" s="528"/>
      <c r="K181" s="528"/>
      <c r="L181" s="538"/>
      <c r="M181" s="539"/>
      <c r="N181" s="539"/>
      <c r="O181" s="539"/>
      <c r="P181" s="3861"/>
      <c r="Q181" s="3862"/>
      <c r="R181" s="3861"/>
      <c r="S181" s="3861"/>
      <c r="T181" s="3861"/>
      <c r="U181" s="3863"/>
      <c r="V181" s="4281"/>
      <c r="W181" s="1172"/>
      <c r="X181" s="1172"/>
      <c r="Y181" s="1172"/>
      <c r="Z181" s="470"/>
      <c r="AA181" s="468"/>
      <c r="AB181" s="468"/>
      <c r="AC181" s="468"/>
      <c r="AD181" s="468"/>
      <c r="AE181" s="538"/>
      <c r="AF181" s="539"/>
      <c r="AG181" s="540"/>
    </row>
    <row r="182" spans="5:33" ht="12.75" customHeight="1">
      <c r="E182" s="4279"/>
      <c r="F182" s="516" t="s">
        <v>559</v>
      </c>
      <c r="G182" s="470"/>
      <c r="H182" s="468"/>
      <c r="I182" s="468"/>
      <c r="J182" s="468"/>
      <c r="K182" s="468"/>
      <c r="L182" s="459"/>
      <c r="M182" s="458"/>
      <c r="N182" s="458"/>
      <c r="O182" s="458"/>
      <c r="P182" s="3864"/>
      <c r="Q182" s="3794"/>
      <c r="R182" s="3788"/>
      <c r="S182" s="3788"/>
      <c r="T182" s="3788"/>
      <c r="U182" s="3793"/>
      <c r="V182" s="4282"/>
      <c r="W182" s="1172"/>
      <c r="X182" s="1172"/>
      <c r="Y182" s="1172"/>
      <c r="Z182" s="470"/>
      <c r="AA182" s="468"/>
      <c r="AB182" s="468"/>
      <c r="AC182" s="468"/>
      <c r="AD182" s="468"/>
      <c r="AE182" s="462"/>
      <c r="AF182" s="463"/>
      <c r="AG182" s="464"/>
    </row>
    <row r="183" spans="5:33" ht="12.75" customHeight="1">
      <c r="E183" s="4279"/>
      <c r="F183" s="516" t="s">
        <v>558</v>
      </c>
      <c r="G183" s="470"/>
      <c r="H183" s="468"/>
      <c r="I183" s="468"/>
      <c r="J183" s="468"/>
      <c r="K183" s="468"/>
      <c r="L183" s="459"/>
      <c r="M183" s="458"/>
      <c r="N183" s="458"/>
      <c r="O183" s="458"/>
      <c r="P183" s="3864"/>
      <c r="Q183" s="3794"/>
      <c r="R183" s="3788"/>
      <c r="S183" s="3788"/>
      <c r="T183" s="3788"/>
      <c r="U183" s="3793"/>
      <c r="V183" s="4282"/>
      <c r="W183" s="1172"/>
      <c r="X183" s="1172"/>
      <c r="Y183" s="1172"/>
      <c r="Z183" s="470"/>
      <c r="AA183" s="468"/>
      <c r="AB183" s="468"/>
      <c r="AC183" s="468"/>
      <c r="AD183" s="468"/>
      <c r="AE183" s="462"/>
      <c r="AF183" s="463"/>
      <c r="AG183" s="464"/>
    </row>
    <row r="184" spans="5:33" ht="12.75" customHeight="1">
      <c r="E184" s="4279"/>
      <c r="F184" s="516" t="s">
        <v>578</v>
      </c>
      <c r="G184" s="470"/>
      <c r="H184" s="468"/>
      <c r="I184" s="468"/>
      <c r="J184" s="468"/>
      <c r="K184" s="468"/>
      <c r="L184" s="459"/>
      <c r="M184" s="458"/>
      <c r="N184" s="458"/>
      <c r="O184" s="458"/>
      <c r="P184" s="3864"/>
      <c r="Q184" s="3794"/>
      <c r="R184" s="3788"/>
      <c r="S184" s="3788"/>
      <c r="T184" s="3788"/>
      <c r="U184" s="3793"/>
      <c r="V184" s="4282"/>
      <c r="W184" s="1172"/>
      <c r="X184" s="1172"/>
      <c r="Y184" s="1172"/>
      <c r="Z184" s="470"/>
      <c r="AA184" s="468"/>
      <c r="AB184" s="468"/>
      <c r="AC184" s="468"/>
      <c r="AD184" s="468"/>
      <c r="AE184" s="462"/>
      <c r="AF184" s="463"/>
      <c r="AG184" s="464"/>
    </row>
    <row r="185" spans="5:33" ht="12.75" customHeight="1">
      <c r="E185" s="4279"/>
      <c r="F185" s="517" t="s">
        <v>566</v>
      </c>
      <c r="G185" s="459"/>
      <c r="H185" s="458"/>
      <c r="I185" s="458"/>
      <c r="J185" s="458"/>
      <c r="K185" s="625"/>
      <c r="L185" s="353">
        <f t="shared" ref="L185:N185" si="127">SUM(L182:L184)</f>
        <v>0</v>
      </c>
      <c r="M185" s="354">
        <f t="shared" si="127"/>
        <v>0</v>
      </c>
      <c r="N185" s="354">
        <f t="shared" si="127"/>
        <v>0</v>
      </c>
      <c r="O185" s="354">
        <v>298047.36644325155</v>
      </c>
      <c r="P185" s="3864"/>
      <c r="Q185" s="3794"/>
      <c r="R185" s="3788"/>
      <c r="S185" s="3788"/>
      <c r="T185" s="3788"/>
      <c r="U185" s="3793"/>
      <c r="V185" s="4282"/>
      <c r="W185" s="1172"/>
      <c r="X185" s="1172"/>
      <c r="Y185" s="1172"/>
      <c r="Z185" s="462"/>
      <c r="AA185" s="463"/>
      <c r="AB185" s="463"/>
      <c r="AC185" s="463"/>
      <c r="AD185" s="1190"/>
      <c r="AE185" s="353">
        <f t="shared" ref="AE185:AG185" si="128">SUM(AE182:AE184)</f>
        <v>0</v>
      </c>
      <c r="AF185" s="354">
        <f t="shared" si="128"/>
        <v>0</v>
      </c>
      <c r="AG185" s="450">
        <f t="shared" si="128"/>
        <v>0</v>
      </c>
    </row>
    <row r="186" spans="5:33" ht="12.75" customHeight="1">
      <c r="E186" s="4279"/>
      <c r="F186" s="516" t="s">
        <v>583</v>
      </c>
      <c r="G186" s="459"/>
      <c r="H186" s="458"/>
      <c r="I186" s="458"/>
      <c r="J186" s="458"/>
      <c r="K186" s="625"/>
      <c r="L186" s="429"/>
      <c r="M186" s="476"/>
      <c r="N186" s="476"/>
      <c r="O186" s="476">
        <v>-15600.248256824998</v>
      </c>
      <c r="P186" s="3865"/>
      <c r="Q186" s="3811"/>
      <c r="R186" s="3812"/>
      <c r="S186" s="3812"/>
      <c r="T186" s="3812"/>
      <c r="U186" s="3813"/>
      <c r="V186" s="4282"/>
      <c r="W186" s="1172"/>
      <c r="X186" s="1172"/>
      <c r="Y186" s="1172"/>
      <c r="Z186" s="462"/>
      <c r="AA186" s="463"/>
      <c r="AB186" s="463"/>
      <c r="AC186" s="463"/>
      <c r="AD186" s="1190"/>
      <c r="AE186" s="511"/>
      <c r="AF186" s="512"/>
      <c r="AG186" s="547"/>
    </row>
    <row r="187" spans="5:33" ht="12.75" customHeight="1">
      <c r="E187" s="4279"/>
      <c r="F187" s="516" t="s">
        <v>581</v>
      </c>
      <c r="G187" s="459"/>
      <c r="H187" s="458"/>
      <c r="I187" s="458"/>
      <c r="J187" s="458"/>
      <c r="K187" s="625"/>
      <c r="L187" s="472"/>
      <c r="M187" s="467"/>
      <c r="N187" s="467"/>
      <c r="O187" s="467"/>
      <c r="P187" s="3864"/>
      <c r="Q187" s="3794"/>
      <c r="R187" s="3788"/>
      <c r="S187" s="3788"/>
      <c r="T187" s="3788"/>
      <c r="U187" s="3793"/>
      <c r="V187" s="4282"/>
      <c r="W187" s="1172"/>
      <c r="X187" s="1172"/>
      <c r="Y187" s="1172"/>
      <c r="Z187" s="462"/>
      <c r="AA187" s="463"/>
      <c r="AB187" s="463"/>
      <c r="AC187" s="463"/>
      <c r="AD187" s="1190"/>
      <c r="AE187" s="462"/>
      <c r="AF187" s="463"/>
      <c r="AG187" s="464"/>
    </row>
    <row r="188" spans="5:33" ht="12.75" customHeight="1">
      <c r="E188" s="4279"/>
      <c r="F188" s="517" t="s">
        <v>584</v>
      </c>
      <c r="G188" s="353">
        <f>SUM(G185:G187)</f>
        <v>0</v>
      </c>
      <c r="H188" s="354">
        <f t="shared" ref="H188:N188" si="129">SUM(H185:H187)</f>
        <v>0</v>
      </c>
      <c r="I188" s="354">
        <f t="shared" si="129"/>
        <v>0</v>
      </c>
      <c r="J188" s="354">
        <f t="shared" si="129"/>
        <v>0</v>
      </c>
      <c r="K188" s="626">
        <f t="shared" si="129"/>
        <v>0</v>
      </c>
      <c r="L188" s="353">
        <f t="shared" si="129"/>
        <v>0</v>
      </c>
      <c r="M188" s="354">
        <f t="shared" si="129"/>
        <v>0</v>
      </c>
      <c r="N188" s="354">
        <f t="shared" si="129"/>
        <v>0</v>
      </c>
      <c r="O188" s="626">
        <f>SUM(O185:O187)</f>
        <v>282447.11818642658</v>
      </c>
      <c r="P188" s="3864"/>
      <c r="Q188" s="3794"/>
      <c r="R188" s="3788"/>
      <c r="S188" s="3788"/>
      <c r="T188" s="3788"/>
      <c r="U188" s="3793"/>
      <c r="V188" s="4282"/>
      <c r="W188" s="1172"/>
      <c r="X188" s="1172"/>
      <c r="Y188" s="1172"/>
      <c r="Z188" s="353">
        <f t="shared" ref="Z188:AF188" si="130">SUM(Z186:Z187)</f>
        <v>0</v>
      </c>
      <c r="AA188" s="354">
        <f t="shared" si="130"/>
        <v>0</v>
      </c>
      <c r="AB188" s="354">
        <f t="shared" si="130"/>
        <v>0</v>
      </c>
      <c r="AC188" s="354">
        <f t="shared" si="130"/>
        <v>0</v>
      </c>
      <c r="AD188" s="626">
        <f t="shared" si="130"/>
        <v>0</v>
      </c>
      <c r="AE188" s="353">
        <f t="shared" si="130"/>
        <v>0</v>
      </c>
      <c r="AF188" s="354">
        <f t="shared" si="130"/>
        <v>0</v>
      </c>
      <c r="AG188" s="450">
        <f t="shared" si="109"/>
        <v>0</v>
      </c>
    </row>
    <row r="189" spans="5:33" ht="12.75" customHeight="1">
      <c r="E189" s="4279"/>
      <c r="F189" s="516" t="s">
        <v>35</v>
      </c>
      <c r="G189" s="459"/>
      <c r="H189" s="458"/>
      <c r="I189" s="458"/>
      <c r="J189" s="458"/>
      <c r="K189" s="625"/>
      <c r="L189" s="459"/>
      <c r="M189" s="458"/>
      <c r="N189" s="458"/>
      <c r="O189" s="458"/>
      <c r="P189" s="3864"/>
      <c r="Q189" s="3794"/>
      <c r="R189" s="3788"/>
      <c r="S189" s="3788"/>
      <c r="T189" s="3788"/>
      <c r="U189" s="3793"/>
      <c r="V189" s="4282"/>
      <c r="W189" s="1172"/>
      <c r="X189" s="1172"/>
      <c r="Y189" s="1172"/>
      <c r="Z189" s="462"/>
      <c r="AA189" s="463"/>
      <c r="AB189" s="463"/>
      <c r="AC189" s="463"/>
      <c r="AD189" s="1190"/>
      <c r="AE189" s="462"/>
      <c r="AF189" s="463"/>
      <c r="AG189" s="464"/>
    </row>
    <row r="190" spans="5:33" ht="13.5" customHeight="1" thickBot="1">
      <c r="E190" s="4280"/>
      <c r="F190" s="1409" t="s">
        <v>585</v>
      </c>
      <c r="G190" s="1370">
        <f>G188-G189</f>
        <v>0</v>
      </c>
      <c r="H190" s="356">
        <f t="shared" ref="H190:K190" si="131">H188-H189</f>
        <v>0</v>
      </c>
      <c r="I190" s="356">
        <f t="shared" si="131"/>
        <v>0</v>
      </c>
      <c r="J190" s="356">
        <f t="shared" si="131"/>
        <v>0</v>
      </c>
      <c r="K190" s="627">
        <f t="shared" si="131"/>
        <v>0</v>
      </c>
      <c r="L190" s="1370">
        <f>L188-L189</f>
        <v>0</v>
      </c>
      <c r="M190" s="356">
        <f>M188-M189</f>
        <v>0</v>
      </c>
      <c r="N190" s="356">
        <f t="shared" ref="N190:O190" si="132">N188-N189</f>
        <v>0</v>
      </c>
      <c r="O190" s="356">
        <f t="shared" si="132"/>
        <v>282447.11818642658</v>
      </c>
      <c r="P190" s="3866"/>
      <c r="Q190" s="3867"/>
      <c r="R190" s="3802"/>
      <c r="S190" s="3802"/>
      <c r="T190" s="3802"/>
      <c r="U190" s="3803"/>
      <c r="V190" s="4283"/>
      <c r="W190" s="1172"/>
      <c r="X190" s="1172"/>
      <c r="Y190" s="1172"/>
      <c r="Z190" s="1370">
        <f t="shared" ref="Z190:AF190" si="133">Z188-Z189</f>
        <v>0</v>
      </c>
      <c r="AA190" s="356">
        <f t="shared" si="133"/>
        <v>0</v>
      </c>
      <c r="AB190" s="356">
        <f t="shared" si="133"/>
        <v>0</v>
      </c>
      <c r="AC190" s="356">
        <f t="shared" si="133"/>
        <v>0</v>
      </c>
      <c r="AD190" s="627">
        <f t="shared" si="133"/>
        <v>0</v>
      </c>
      <c r="AE190" s="1370">
        <f t="shared" si="133"/>
        <v>0</v>
      </c>
      <c r="AF190" s="356">
        <f t="shared" si="133"/>
        <v>0</v>
      </c>
      <c r="AG190" s="503">
        <f t="shared" si="126"/>
        <v>0</v>
      </c>
    </row>
    <row r="191" spans="5:33" ht="12.75" customHeight="1">
      <c r="E191" s="4278" t="s">
        <v>1806</v>
      </c>
      <c r="F191" s="842" t="s">
        <v>598</v>
      </c>
      <c r="G191" s="527"/>
      <c r="H191" s="528"/>
      <c r="I191" s="528"/>
      <c r="J191" s="528"/>
      <c r="K191" s="528"/>
      <c r="L191" s="538"/>
      <c r="M191" s="539"/>
      <c r="N191" s="539"/>
      <c r="O191" s="539"/>
      <c r="P191" s="3861"/>
      <c r="Q191" s="3862"/>
      <c r="R191" s="3861"/>
      <c r="S191" s="3861"/>
      <c r="T191" s="3861"/>
      <c r="U191" s="3863"/>
      <c r="V191" s="4281"/>
      <c r="W191" s="1172"/>
      <c r="X191" s="1172"/>
      <c r="Y191" s="1172"/>
      <c r="Z191" s="527"/>
      <c r="AA191" s="528"/>
      <c r="AB191" s="528"/>
      <c r="AC191" s="528"/>
      <c r="AD191" s="528"/>
      <c r="AE191" s="538"/>
      <c r="AF191" s="539"/>
      <c r="AG191" s="540"/>
    </row>
    <row r="192" spans="5:33" ht="12.75" customHeight="1">
      <c r="E192" s="4279"/>
      <c r="F192" s="516" t="s">
        <v>559</v>
      </c>
      <c r="G192" s="470"/>
      <c r="H192" s="468"/>
      <c r="I192" s="468"/>
      <c r="J192" s="468"/>
      <c r="K192" s="468"/>
      <c r="L192" s="459"/>
      <c r="M192" s="458"/>
      <c r="N192" s="458"/>
      <c r="O192" s="458"/>
      <c r="P192" s="3864"/>
      <c r="Q192" s="3794"/>
      <c r="R192" s="3788"/>
      <c r="S192" s="3788"/>
      <c r="T192" s="3788"/>
      <c r="U192" s="3793"/>
      <c r="V192" s="4282"/>
      <c r="W192" s="1172"/>
      <c r="X192" s="1172"/>
      <c r="Y192" s="1172"/>
      <c r="Z192" s="470"/>
      <c r="AA192" s="468"/>
      <c r="AB192" s="468"/>
      <c r="AC192" s="468"/>
      <c r="AD192" s="468"/>
      <c r="AE192" s="462"/>
      <c r="AF192" s="463"/>
      <c r="AG192" s="464"/>
    </row>
    <row r="193" spans="5:33" ht="12.75" customHeight="1">
      <c r="E193" s="4279"/>
      <c r="F193" s="516" t="s">
        <v>558</v>
      </c>
      <c r="G193" s="470"/>
      <c r="H193" s="468"/>
      <c r="I193" s="468"/>
      <c r="J193" s="468"/>
      <c r="K193" s="468"/>
      <c r="L193" s="459"/>
      <c r="M193" s="458"/>
      <c r="N193" s="458"/>
      <c r="O193" s="458"/>
      <c r="P193" s="3864"/>
      <c r="Q193" s="3794"/>
      <c r="R193" s="3788"/>
      <c r="S193" s="3788"/>
      <c r="T193" s="3788"/>
      <c r="U193" s="3793"/>
      <c r="V193" s="4282"/>
      <c r="W193" s="1172"/>
      <c r="X193" s="1172"/>
      <c r="Y193" s="1172"/>
      <c r="Z193" s="470"/>
      <c r="AA193" s="468"/>
      <c r="AB193" s="468"/>
      <c r="AC193" s="468"/>
      <c r="AD193" s="468"/>
      <c r="AE193" s="462"/>
      <c r="AF193" s="463"/>
      <c r="AG193" s="464"/>
    </row>
    <row r="194" spans="5:33" ht="12.75" customHeight="1">
      <c r="E194" s="4279"/>
      <c r="F194" s="516" t="s">
        <v>578</v>
      </c>
      <c r="G194" s="470"/>
      <c r="H194" s="468"/>
      <c r="I194" s="468"/>
      <c r="J194" s="468"/>
      <c r="K194" s="468"/>
      <c r="L194" s="459"/>
      <c r="M194" s="458"/>
      <c r="N194" s="458"/>
      <c r="O194" s="458"/>
      <c r="P194" s="3864"/>
      <c r="Q194" s="3794"/>
      <c r="R194" s="3788"/>
      <c r="S194" s="3788"/>
      <c r="T194" s="3788"/>
      <c r="U194" s="3793"/>
      <c r="V194" s="4282"/>
      <c r="W194" s="1172"/>
      <c r="X194" s="1172"/>
      <c r="Y194" s="1172"/>
      <c r="Z194" s="470"/>
      <c r="AA194" s="468"/>
      <c r="AB194" s="468"/>
      <c r="AC194" s="468"/>
      <c r="AD194" s="468"/>
      <c r="AE194" s="462"/>
      <c r="AF194" s="463"/>
      <c r="AG194" s="464"/>
    </row>
    <row r="195" spans="5:33" ht="12.75" customHeight="1">
      <c r="E195" s="4279"/>
      <c r="F195" s="517" t="s">
        <v>566</v>
      </c>
      <c r="G195" s="459"/>
      <c r="H195" s="458"/>
      <c r="I195" s="458"/>
      <c r="J195" s="458"/>
      <c r="K195" s="625"/>
      <c r="L195" s="353">
        <f t="shared" ref="L195:N195" si="134">SUM(L192:L194)</f>
        <v>0</v>
      </c>
      <c r="M195" s="354">
        <f t="shared" si="134"/>
        <v>0</v>
      </c>
      <c r="N195" s="354">
        <f t="shared" si="134"/>
        <v>0</v>
      </c>
      <c r="O195" s="354">
        <v>688.65976721376785</v>
      </c>
      <c r="P195" s="3864"/>
      <c r="Q195" s="3794"/>
      <c r="R195" s="3788"/>
      <c r="S195" s="3788"/>
      <c r="T195" s="3788"/>
      <c r="U195" s="3793"/>
      <c r="V195" s="4282"/>
      <c r="W195" s="1172"/>
      <c r="X195" s="1172"/>
      <c r="Y195" s="1172"/>
      <c r="Z195" s="462"/>
      <c r="AA195" s="463"/>
      <c r="AB195" s="463"/>
      <c r="AC195" s="463"/>
      <c r="AD195" s="1190"/>
      <c r="AE195" s="353">
        <f t="shared" ref="AE195:AG195" si="135">SUM(AE192:AE194)</f>
        <v>0</v>
      </c>
      <c r="AF195" s="354">
        <f t="shared" si="135"/>
        <v>0</v>
      </c>
      <c r="AG195" s="450">
        <f t="shared" si="135"/>
        <v>0</v>
      </c>
    </row>
    <row r="196" spans="5:33" ht="12.75" customHeight="1">
      <c r="E196" s="4279"/>
      <c r="F196" s="516" t="s">
        <v>583</v>
      </c>
      <c r="G196" s="459"/>
      <c r="H196" s="458"/>
      <c r="I196" s="458"/>
      <c r="J196" s="458"/>
      <c r="K196" s="625"/>
      <c r="L196" s="429"/>
      <c r="M196" s="476"/>
      <c r="N196" s="476"/>
      <c r="O196" s="476">
        <v>56.129862979359558</v>
      </c>
      <c r="P196" s="3865"/>
      <c r="Q196" s="3811"/>
      <c r="R196" s="3812"/>
      <c r="S196" s="3812"/>
      <c r="T196" s="3812"/>
      <c r="U196" s="3813"/>
      <c r="V196" s="4282"/>
      <c r="W196" s="1172"/>
      <c r="X196" s="1172"/>
      <c r="Y196" s="1172"/>
      <c r="Z196" s="462"/>
      <c r="AA196" s="463"/>
      <c r="AB196" s="463"/>
      <c r="AC196" s="463"/>
      <c r="AD196" s="1190"/>
      <c r="AE196" s="511"/>
      <c r="AF196" s="512"/>
      <c r="AG196" s="547"/>
    </row>
    <row r="197" spans="5:33" ht="12.75" customHeight="1">
      <c r="E197" s="4279"/>
      <c r="F197" s="516" t="s">
        <v>581</v>
      </c>
      <c r="G197" s="459"/>
      <c r="H197" s="458"/>
      <c r="I197" s="458"/>
      <c r="J197" s="458"/>
      <c r="K197" s="625"/>
      <c r="L197" s="472"/>
      <c r="M197" s="467"/>
      <c r="N197" s="467"/>
      <c r="O197" s="467"/>
      <c r="P197" s="3864"/>
      <c r="Q197" s="3794"/>
      <c r="R197" s="3788"/>
      <c r="S197" s="3788"/>
      <c r="T197" s="3788"/>
      <c r="U197" s="3793"/>
      <c r="V197" s="4282"/>
      <c r="W197" s="1172"/>
      <c r="X197" s="1172"/>
      <c r="Y197" s="1172"/>
      <c r="Z197" s="462"/>
      <c r="AA197" s="463"/>
      <c r="AB197" s="463"/>
      <c r="AC197" s="463"/>
      <c r="AD197" s="1190"/>
      <c r="AE197" s="462"/>
      <c r="AF197" s="463"/>
      <c r="AG197" s="464"/>
    </row>
    <row r="198" spans="5:33" ht="12.75" customHeight="1">
      <c r="E198" s="4279"/>
      <c r="F198" s="517" t="s">
        <v>584</v>
      </c>
      <c r="G198" s="353">
        <f>SUM(G195:G197)</f>
        <v>0</v>
      </c>
      <c r="H198" s="354">
        <f t="shared" ref="H198:N198" si="136">SUM(H195:H197)</f>
        <v>0</v>
      </c>
      <c r="I198" s="354">
        <f t="shared" si="136"/>
        <v>0</v>
      </c>
      <c r="J198" s="354">
        <f t="shared" si="136"/>
        <v>0</v>
      </c>
      <c r="K198" s="626">
        <f t="shared" si="136"/>
        <v>0</v>
      </c>
      <c r="L198" s="353">
        <f t="shared" si="136"/>
        <v>0</v>
      </c>
      <c r="M198" s="354">
        <f t="shared" si="136"/>
        <v>0</v>
      </c>
      <c r="N198" s="354">
        <f t="shared" si="136"/>
        <v>0</v>
      </c>
      <c r="O198" s="626">
        <f>SUM(O195:O197)</f>
        <v>744.78963019312744</v>
      </c>
      <c r="P198" s="3864"/>
      <c r="Q198" s="3794"/>
      <c r="R198" s="3788"/>
      <c r="S198" s="3788"/>
      <c r="T198" s="3788"/>
      <c r="U198" s="3793"/>
      <c r="V198" s="4282"/>
      <c r="W198" s="1172"/>
      <c r="X198" s="1172"/>
      <c r="Y198" s="1172"/>
      <c r="Z198" s="353">
        <f>SUM(Z195:Z197)</f>
        <v>0</v>
      </c>
      <c r="AA198" s="354">
        <f t="shared" ref="AA198:AD198" si="137">SUM(AA195:AA197)</f>
        <v>0</v>
      </c>
      <c r="AB198" s="354">
        <f t="shared" si="137"/>
        <v>0</v>
      </c>
      <c r="AC198" s="354">
        <f t="shared" si="137"/>
        <v>0</v>
      </c>
      <c r="AD198" s="626">
        <f t="shared" si="137"/>
        <v>0</v>
      </c>
      <c r="AE198" s="353">
        <f t="shared" ref="AE198:AF198" si="138">SUM(AE196:AE197)</f>
        <v>0</v>
      </c>
      <c r="AF198" s="354">
        <f t="shared" si="138"/>
        <v>0</v>
      </c>
      <c r="AG198" s="450">
        <f t="shared" ref="AG198" si="139">SUM(AG195:AG197)</f>
        <v>0</v>
      </c>
    </row>
    <row r="199" spans="5:33" ht="12.75" customHeight="1">
      <c r="E199" s="4279"/>
      <c r="F199" s="516" t="s">
        <v>35</v>
      </c>
      <c r="G199" s="459"/>
      <c r="H199" s="458"/>
      <c r="I199" s="458"/>
      <c r="J199" s="458"/>
      <c r="K199" s="625"/>
      <c r="L199" s="459"/>
      <c r="M199" s="458"/>
      <c r="N199" s="458"/>
      <c r="O199" s="458"/>
      <c r="P199" s="3864"/>
      <c r="Q199" s="3794"/>
      <c r="R199" s="3788"/>
      <c r="S199" s="3788"/>
      <c r="T199" s="3788"/>
      <c r="U199" s="3793"/>
      <c r="V199" s="4282"/>
      <c r="W199" s="1172"/>
      <c r="X199" s="1172"/>
      <c r="Y199" s="1172"/>
      <c r="Z199" s="462"/>
      <c r="AA199" s="463"/>
      <c r="AB199" s="463"/>
      <c r="AC199" s="463"/>
      <c r="AD199" s="1190"/>
      <c r="AE199" s="462"/>
      <c r="AF199" s="463"/>
      <c r="AG199" s="464"/>
    </row>
    <row r="200" spans="5:33" ht="13.5" customHeight="1" thickBot="1">
      <c r="E200" s="4280"/>
      <c r="F200" s="1409" t="s">
        <v>585</v>
      </c>
      <c r="G200" s="1370">
        <f>G198-G199</f>
        <v>0</v>
      </c>
      <c r="H200" s="356">
        <f t="shared" ref="H200:K200" si="140">H198-H199</f>
        <v>0</v>
      </c>
      <c r="I200" s="356">
        <f t="shared" si="140"/>
        <v>0</v>
      </c>
      <c r="J200" s="356">
        <f t="shared" si="140"/>
        <v>0</v>
      </c>
      <c r="K200" s="627">
        <f t="shared" si="140"/>
        <v>0</v>
      </c>
      <c r="L200" s="1370">
        <f>L198-L199</f>
        <v>0</v>
      </c>
      <c r="M200" s="356">
        <f>M198-M199</f>
        <v>0</v>
      </c>
      <c r="N200" s="356">
        <f t="shared" ref="N200:O200" si="141">N198-N199</f>
        <v>0</v>
      </c>
      <c r="O200" s="356">
        <f t="shared" si="141"/>
        <v>744.78963019312744</v>
      </c>
      <c r="P200" s="3866"/>
      <c r="Q200" s="3867"/>
      <c r="R200" s="3802"/>
      <c r="S200" s="3802"/>
      <c r="T200" s="3802"/>
      <c r="U200" s="3803"/>
      <c r="V200" s="4283"/>
      <c r="W200" s="1172"/>
      <c r="X200" s="1172"/>
      <c r="Y200" s="1172"/>
      <c r="Z200" s="1370">
        <f>Z198-Z199</f>
        <v>0</v>
      </c>
      <c r="AA200" s="356">
        <f t="shared" ref="AA200:AG200" si="142">AA198-AA199</f>
        <v>0</v>
      </c>
      <c r="AB200" s="356">
        <f t="shared" si="142"/>
        <v>0</v>
      </c>
      <c r="AC200" s="356">
        <f t="shared" si="142"/>
        <v>0</v>
      </c>
      <c r="AD200" s="627">
        <f t="shared" si="142"/>
        <v>0</v>
      </c>
      <c r="AE200" s="1370">
        <f t="shared" si="142"/>
        <v>0</v>
      </c>
      <c r="AF200" s="356">
        <f t="shared" si="142"/>
        <v>0</v>
      </c>
      <c r="AG200" s="503">
        <f t="shared" si="142"/>
        <v>0</v>
      </c>
    </row>
    <row r="201" spans="5:33" ht="12.75" customHeight="1">
      <c r="E201" s="4278" t="s">
        <v>1807</v>
      </c>
      <c r="F201" s="842" t="s">
        <v>598</v>
      </c>
      <c r="G201" s="527"/>
      <c r="H201" s="528"/>
      <c r="I201" s="528"/>
      <c r="J201" s="528"/>
      <c r="K201" s="528"/>
      <c r="L201" s="538"/>
      <c r="M201" s="539"/>
      <c r="N201" s="539"/>
      <c r="O201" s="539"/>
      <c r="P201" s="3861"/>
      <c r="Q201" s="3862"/>
      <c r="R201" s="3861"/>
      <c r="S201" s="3861"/>
      <c r="T201" s="3861"/>
      <c r="U201" s="3863"/>
      <c r="V201" s="4281"/>
      <c r="W201" s="1172"/>
      <c r="X201" s="1172"/>
      <c r="Y201" s="1172"/>
      <c r="Z201" s="527"/>
      <c r="AA201" s="528"/>
      <c r="AB201" s="528"/>
      <c r="AC201" s="528"/>
      <c r="AD201" s="528"/>
      <c r="AE201" s="538"/>
      <c r="AF201" s="539"/>
      <c r="AG201" s="540"/>
    </row>
    <row r="202" spans="5:33" ht="12.75" customHeight="1">
      <c r="E202" s="4279"/>
      <c r="F202" s="516" t="s">
        <v>559</v>
      </c>
      <c r="G202" s="470"/>
      <c r="H202" s="468"/>
      <c r="I202" s="468"/>
      <c r="J202" s="468"/>
      <c r="K202" s="468"/>
      <c r="L202" s="459"/>
      <c r="M202" s="458"/>
      <c r="N202" s="458"/>
      <c r="O202" s="458"/>
      <c r="P202" s="3864"/>
      <c r="Q202" s="3794"/>
      <c r="R202" s="3788"/>
      <c r="S202" s="3788"/>
      <c r="T202" s="3788"/>
      <c r="U202" s="3793"/>
      <c r="V202" s="4282"/>
      <c r="W202" s="1172"/>
      <c r="X202" s="1172"/>
      <c r="Y202" s="1172"/>
      <c r="Z202" s="470"/>
      <c r="AA202" s="468"/>
      <c r="AB202" s="468"/>
      <c r="AC202" s="468"/>
      <c r="AD202" s="468"/>
      <c r="AE202" s="462"/>
      <c r="AF202" s="463"/>
      <c r="AG202" s="464"/>
    </row>
    <row r="203" spans="5:33" ht="12.75" customHeight="1">
      <c r="E203" s="4279"/>
      <c r="F203" s="516" t="s">
        <v>558</v>
      </c>
      <c r="G203" s="470"/>
      <c r="H203" s="468"/>
      <c r="I203" s="468"/>
      <c r="J203" s="468"/>
      <c r="K203" s="468"/>
      <c r="L203" s="459"/>
      <c r="M203" s="458"/>
      <c r="N203" s="458"/>
      <c r="O203" s="458"/>
      <c r="P203" s="3864"/>
      <c r="Q203" s="3794"/>
      <c r="R203" s="3788"/>
      <c r="S203" s="3788"/>
      <c r="T203" s="3788"/>
      <c r="U203" s="3793"/>
      <c r="V203" s="4282"/>
      <c r="W203" s="1172"/>
      <c r="X203" s="1172"/>
      <c r="Y203" s="1172"/>
      <c r="Z203" s="470"/>
      <c r="AA203" s="468"/>
      <c r="AB203" s="468"/>
      <c r="AC203" s="468"/>
      <c r="AD203" s="468"/>
      <c r="AE203" s="462"/>
      <c r="AF203" s="463"/>
      <c r="AG203" s="464"/>
    </row>
    <row r="204" spans="5:33" ht="12.75" customHeight="1">
      <c r="E204" s="4279"/>
      <c r="F204" s="516" t="s">
        <v>578</v>
      </c>
      <c r="G204" s="470"/>
      <c r="H204" s="468"/>
      <c r="I204" s="468"/>
      <c r="J204" s="468"/>
      <c r="K204" s="468"/>
      <c r="L204" s="459"/>
      <c r="M204" s="458"/>
      <c r="N204" s="458"/>
      <c r="O204" s="458"/>
      <c r="P204" s="3864"/>
      <c r="Q204" s="3794"/>
      <c r="R204" s="3788"/>
      <c r="S204" s="3788"/>
      <c r="T204" s="3788"/>
      <c r="U204" s="3793"/>
      <c r="V204" s="4282"/>
      <c r="W204" s="1172"/>
      <c r="X204" s="1172"/>
      <c r="Y204" s="1172"/>
      <c r="Z204" s="470"/>
      <c r="AA204" s="468"/>
      <c r="AB204" s="468"/>
      <c r="AC204" s="468"/>
      <c r="AD204" s="468"/>
      <c r="AE204" s="462"/>
      <c r="AF204" s="463"/>
      <c r="AG204" s="464"/>
    </row>
    <row r="205" spans="5:33" ht="12.75" customHeight="1">
      <c r="E205" s="4279"/>
      <c r="F205" s="517" t="s">
        <v>566</v>
      </c>
      <c r="G205" s="459"/>
      <c r="H205" s="458"/>
      <c r="I205" s="458"/>
      <c r="J205" s="458"/>
      <c r="K205" s="625"/>
      <c r="L205" s="353">
        <f t="shared" ref="L205:N205" si="143">SUM(L202:L204)</f>
        <v>0</v>
      </c>
      <c r="M205" s="354">
        <f t="shared" si="143"/>
        <v>0</v>
      </c>
      <c r="N205" s="354">
        <f t="shared" si="143"/>
        <v>0</v>
      </c>
      <c r="O205" s="354">
        <v>13106.186834251588</v>
      </c>
      <c r="P205" s="3864"/>
      <c r="Q205" s="3794"/>
      <c r="R205" s="3788"/>
      <c r="S205" s="3788"/>
      <c r="T205" s="3788"/>
      <c r="U205" s="3793"/>
      <c r="V205" s="4282"/>
      <c r="W205" s="1172"/>
      <c r="X205" s="1172"/>
      <c r="Y205" s="1172"/>
      <c r="Z205" s="462"/>
      <c r="AA205" s="463"/>
      <c r="AB205" s="463"/>
      <c r="AC205" s="463"/>
      <c r="AD205" s="1190"/>
      <c r="AE205" s="353">
        <f t="shared" ref="AE205:AG205" si="144">SUM(AE202:AE204)</f>
        <v>0</v>
      </c>
      <c r="AF205" s="354">
        <f t="shared" si="144"/>
        <v>0</v>
      </c>
      <c r="AG205" s="450">
        <f t="shared" si="144"/>
        <v>0</v>
      </c>
    </row>
    <row r="206" spans="5:33" ht="12.75" customHeight="1">
      <c r="E206" s="4279"/>
      <c r="F206" s="516" t="s">
        <v>583</v>
      </c>
      <c r="G206" s="459"/>
      <c r="H206" s="458"/>
      <c r="I206" s="458"/>
      <c r="J206" s="458"/>
      <c r="K206" s="625"/>
      <c r="L206" s="429"/>
      <c r="M206" s="476"/>
      <c r="N206" s="476"/>
      <c r="O206" s="476">
        <v>734.5767730280329</v>
      </c>
      <c r="P206" s="3865"/>
      <c r="Q206" s="3811"/>
      <c r="R206" s="3812"/>
      <c r="S206" s="3812"/>
      <c r="T206" s="3812"/>
      <c r="U206" s="3813"/>
      <c r="V206" s="4282"/>
      <c r="W206" s="1172"/>
      <c r="X206" s="1172"/>
      <c r="Y206" s="1172"/>
      <c r="Z206" s="462"/>
      <c r="AA206" s="463"/>
      <c r="AB206" s="463"/>
      <c r="AC206" s="463"/>
      <c r="AD206" s="1190"/>
      <c r="AE206" s="511"/>
      <c r="AF206" s="512"/>
      <c r="AG206" s="547"/>
    </row>
    <row r="207" spans="5:33" ht="12.75" customHeight="1">
      <c r="E207" s="4279"/>
      <c r="F207" s="516" t="s">
        <v>581</v>
      </c>
      <c r="G207" s="459"/>
      <c r="H207" s="458"/>
      <c r="I207" s="458"/>
      <c r="J207" s="458"/>
      <c r="K207" s="625"/>
      <c r="L207" s="472"/>
      <c r="M207" s="467"/>
      <c r="N207" s="467"/>
      <c r="O207" s="467"/>
      <c r="P207" s="3864"/>
      <c r="Q207" s="3794"/>
      <c r="R207" s="3788"/>
      <c r="S207" s="3788"/>
      <c r="T207" s="3788"/>
      <c r="U207" s="3793"/>
      <c r="V207" s="4282"/>
      <c r="W207" s="1172"/>
      <c r="X207" s="1172"/>
      <c r="Y207" s="1172"/>
      <c r="Z207" s="462"/>
      <c r="AA207" s="463"/>
      <c r="AB207" s="463"/>
      <c r="AC207" s="463"/>
      <c r="AD207" s="1190"/>
      <c r="AE207" s="462"/>
      <c r="AF207" s="463"/>
      <c r="AG207" s="464"/>
    </row>
    <row r="208" spans="5:33" ht="12.75" customHeight="1">
      <c r="E208" s="4279"/>
      <c r="F208" s="517" t="s">
        <v>584</v>
      </c>
      <c r="G208" s="353">
        <f>SUM(G205:G207)</f>
        <v>0</v>
      </c>
      <c r="H208" s="354">
        <f t="shared" ref="H208:N208" si="145">SUM(H205:H207)</f>
        <v>0</v>
      </c>
      <c r="I208" s="354">
        <f t="shared" si="145"/>
        <v>0</v>
      </c>
      <c r="J208" s="354">
        <f t="shared" si="145"/>
        <v>0</v>
      </c>
      <c r="K208" s="626">
        <f t="shared" si="145"/>
        <v>0</v>
      </c>
      <c r="L208" s="353">
        <f t="shared" si="145"/>
        <v>0</v>
      </c>
      <c r="M208" s="354">
        <f t="shared" si="145"/>
        <v>0</v>
      </c>
      <c r="N208" s="354">
        <f t="shared" si="145"/>
        <v>0</v>
      </c>
      <c r="O208" s="626">
        <f>SUM(O205:O207)</f>
        <v>13840.763607279621</v>
      </c>
      <c r="P208" s="3864"/>
      <c r="Q208" s="3794"/>
      <c r="R208" s="3788"/>
      <c r="S208" s="3788"/>
      <c r="T208" s="3788"/>
      <c r="U208" s="3793"/>
      <c r="V208" s="4282"/>
      <c r="W208" s="1172"/>
      <c r="X208" s="1172"/>
      <c r="Y208" s="1172"/>
      <c r="Z208" s="353">
        <f>SUM(Z205:Z207)</f>
        <v>0</v>
      </c>
      <c r="AA208" s="354">
        <f t="shared" ref="AA208:AD208" si="146">SUM(AA205:AA207)</f>
        <v>0</v>
      </c>
      <c r="AB208" s="354">
        <f t="shared" si="146"/>
        <v>0</v>
      </c>
      <c r="AC208" s="354">
        <f t="shared" si="146"/>
        <v>0</v>
      </c>
      <c r="AD208" s="626">
        <f t="shared" si="146"/>
        <v>0</v>
      </c>
      <c r="AE208" s="353">
        <f t="shared" ref="AE208:AF208" si="147">SUM(AE206:AE207)</f>
        <v>0</v>
      </c>
      <c r="AF208" s="354">
        <f t="shared" si="147"/>
        <v>0</v>
      </c>
      <c r="AG208" s="450">
        <f t="shared" ref="AG208" si="148">SUM(AG205:AG207)</f>
        <v>0</v>
      </c>
    </row>
    <row r="209" spans="5:33" ht="12.75" customHeight="1">
      <c r="E209" s="4279"/>
      <c r="F209" s="516" t="s">
        <v>35</v>
      </c>
      <c r="G209" s="459"/>
      <c r="H209" s="458"/>
      <c r="I209" s="458"/>
      <c r="J209" s="458"/>
      <c r="K209" s="625"/>
      <c r="L209" s="459"/>
      <c r="M209" s="458"/>
      <c r="N209" s="458"/>
      <c r="O209" s="458"/>
      <c r="P209" s="3864"/>
      <c r="Q209" s="3794"/>
      <c r="R209" s="3788"/>
      <c r="S209" s="3788"/>
      <c r="T209" s="3788"/>
      <c r="U209" s="3793"/>
      <c r="V209" s="4282"/>
      <c r="W209" s="1172"/>
      <c r="X209" s="1172"/>
      <c r="Y209" s="1172"/>
      <c r="Z209" s="462"/>
      <c r="AA209" s="463"/>
      <c r="AB209" s="463"/>
      <c r="AC209" s="463"/>
      <c r="AD209" s="1190"/>
      <c r="AE209" s="462"/>
      <c r="AF209" s="463"/>
      <c r="AG209" s="464"/>
    </row>
    <row r="210" spans="5:33" ht="13.5" customHeight="1" thickBot="1">
      <c r="E210" s="4280"/>
      <c r="F210" s="1409" t="s">
        <v>585</v>
      </c>
      <c r="G210" s="1370">
        <f>G208-G209</f>
        <v>0</v>
      </c>
      <c r="H210" s="356">
        <f t="shared" ref="H210:K210" si="149">H208-H209</f>
        <v>0</v>
      </c>
      <c r="I210" s="356">
        <f t="shared" si="149"/>
        <v>0</v>
      </c>
      <c r="J210" s="356">
        <f t="shared" si="149"/>
        <v>0</v>
      </c>
      <c r="K210" s="627">
        <f t="shared" si="149"/>
        <v>0</v>
      </c>
      <c r="L210" s="1370">
        <f>L208-L209</f>
        <v>0</v>
      </c>
      <c r="M210" s="356">
        <f>M208-M209</f>
        <v>0</v>
      </c>
      <c r="N210" s="356">
        <f t="shared" ref="N210:O210" si="150">N208-N209</f>
        <v>0</v>
      </c>
      <c r="O210" s="356">
        <f t="shared" si="150"/>
        <v>13840.763607279621</v>
      </c>
      <c r="P210" s="3866"/>
      <c r="Q210" s="3867"/>
      <c r="R210" s="3802"/>
      <c r="S210" s="3802"/>
      <c r="T210" s="3802"/>
      <c r="U210" s="3803"/>
      <c r="V210" s="4283"/>
      <c r="W210" s="1172"/>
      <c r="X210" s="1172"/>
      <c r="Y210" s="1172"/>
      <c r="Z210" s="1370">
        <f>Z208-Z209</f>
        <v>0</v>
      </c>
      <c r="AA210" s="356">
        <f t="shared" ref="AA210:AG210" si="151">AA208-AA209</f>
        <v>0</v>
      </c>
      <c r="AB210" s="356">
        <f t="shared" si="151"/>
        <v>0</v>
      </c>
      <c r="AC210" s="356">
        <f t="shared" si="151"/>
        <v>0</v>
      </c>
      <c r="AD210" s="627">
        <f t="shared" si="151"/>
        <v>0</v>
      </c>
      <c r="AE210" s="1370">
        <f t="shared" si="151"/>
        <v>0</v>
      </c>
      <c r="AF210" s="356">
        <f t="shared" si="151"/>
        <v>0</v>
      </c>
      <c r="AG210" s="503">
        <f t="shared" si="151"/>
        <v>0</v>
      </c>
    </row>
    <row r="211" spans="5:33" ht="12.75" customHeight="1">
      <c r="E211" s="4278" t="s">
        <v>1808</v>
      </c>
      <c r="F211" s="842" t="s">
        <v>598</v>
      </c>
      <c r="G211" s="527"/>
      <c r="H211" s="528"/>
      <c r="I211" s="528"/>
      <c r="J211" s="528"/>
      <c r="K211" s="528"/>
      <c r="L211" s="538"/>
      <c r="M211" s="539"/>
      <c r="N211" s="539"/>
      <c r="O211" s="539"/>
      <c r="P211" s="3861"/>
      <c r="Q211" s="3862"/>
      <c r="R211" s="3861"/>
      <c r="S211" s="3861"/>
      <c r="T211" s="3861"/>
      <c r="U211" s="3863"/>
      <c r="V211" s="4281"/>
      <c r="W211" s="1172"/>
      <c r="X211" s="1172"/>
      <c r="Y211" s="1172"/>
      <c r="Z211" s="527"/>
      <c r="AA211" s="528"/>
      <c r="AB211" s="528"/>
      <c r="AC211" s="528"/>
      <c r="AD211" s="528"/>
      <c r="AE211" s="538"/>
      <c r="AF211" s="539"/>
      <c r="AG211" s="540"/>
    </row>
    <row r="212" spans="5:33" ht="12.75" customHeight="1">
      <c r="E212" s="4279"/>
      <c r="F212" s="516" t="s">
        <v>559</v>
      </c>
      <c r="G212" s="470"/>
      <c r="H212" s="468"/>
      <c r="I212" s="468"/>
      <c r="J212" s="468"/>
      <c r="K212" s="468"/>
      <c r="L212" s="459"/>
      <c r="M212" s="458"/>
      <c r="N212" s="458"/>
      <c r="O212" s="458"/>
      <c r="P212" s="3864"/>
      <c r="Q212" s="3794"/>
      <c r="R212" s="3788"/>
      <c r="S212" s="3788"/>
      <c r="T212" s="3788"/>
      <c r="U212" s="3793"/>
      <c r="V212" s="4282"/>
      <c r="W212" s="1172"/>
      <c r="X212" s="1172"/>
      <c r="Y212" s="1172"/>
      <c r="Z212" s="470"/>
      <c r="AA212" s="468"/>
      <c r="AB212" s="468"/>
      <c r="AC212" s="468"/>
      <c r="AD212" s="468"/>
      <c r="AE212" s="462"/>
      <c r="AF212" s="463"/>
      <c r="AG212" s="464"/>
    </row>
    <row r="213" spans="5:33" ht="12.75" customHeight="1">
      <c r="E213" s="4279"/>
      <c r="F213" s="516" t="s">
        <v>558</v>
      </c>
      <c r="G213" s="470"/>
      <c r="H213" s="468"/>
      <c r="I213" s="468"/>
      <c r="J213" s="468"/>
      <c r="K213" s="468"/>
      <c r="L213" s="459"/>
      <c r="M213" s="458"/>
      <c r="N213" s="458"/>
      <c r="O213" s="458"/>
      <c r="P213" s="3864"/>
      <c r="Q213" s="3794"/>
      <c r="R213" s="3788"/>
      <c r="S213" s="3788"/>
      <c r="T213" s="3788"/>
      <c r="U213" s="3793"/>
      <c r="V213" s="4282"/>
      <c r="W213" s="1172"/>
      <c r="X213" s="1172"/>
      <c r="Y213" s="1172"/>
      <c r="Z213" s="470"/>
      <c r="AA213" s="468"/>
      <c r="AB213" s="468"/>
      <c r="AC213" s="468"/>
      <c r="AD213" s="468"/>
      <c r="AE213" s="462"/>
      <c r="AF213" s="463"/>
      <c r="AG213" s="464"/>
    </row>
    <row r="214" spans="5:33" ht="12.75" customHeight="1">
      <c r="E214" s="4279"/>
      <c r="F214" s="516" t="s">
        <v>578</v>
      </c>
      <c r="G214" s="470"/>
      <c r="H214" s="468"/>
      <c r="I214" s="468"/>
      <c r="J214" s="468"/>
      <c r="K214" s="468"/>
      <c r="L214" s="459"/>
      <c r="M214" s="458"/>
      <c r="N214" s="458"/>
      <c r="O214" s="458"/>
      <c r="P214" s="3864"/>
      <c r="Q214" s="3794"/>
      <c r="R214" s="3788"/>
      <c r="S214" s="3788"/>
      <c r="T214" s="3788"/>
      <c r="U214" s="3793"/>
      <c r="V214" s="4282"/>
      <c r="W214" s="1172"/>
      <c r="X214" s="1172"/>
      <c r="Y214" s="1172"/>
      <c r="Z214" s="470"/>
      <c r="AA214" s="468"/>
      <c r="AB214" s="468"/>
      <c r="AC214" s="468"/>
      <c r="AD214" s="468"/>
      <c r="AE214" s="462"/>
      <c r="AF214" s="463"/>
      <c r="AG214" s="464"/>
    </row>
    <row r="215" spans="5:33" ht="12.75" customHeight="1">
      <c r="E215" s="4279"/>
      <c r="F215" s="517" t="s">
        <v>566</v>
      </c>
      <c r="G215" s="459"/>
      <c r="H215" s="458"/>
      <c r="I215" s="458"/>
      <c r="J215" s="458"/>
      <c r="K215" s="625"/>
      <c r="L215" s="353">
        <f t="shared" ref="L215:N215" si="152">SUM(L212:L214)</f>
        <v>0</v>
      </c>
      <c r="M215" s="354">
        <f t="shared" si="152"/>
        <v>0</v>
      </c>
      <c r="N215" s="354">
        <f t="shared" si="152"/>
        <v>0</v>
      </c>
      <c r="O215" s="354">
        <v>1352942.3839573143</v>
      </c>
      <c r="P215" s="3864"/>
      <c r="Q215" s="3794"/>
      <c r="R215" s="3788"/>
      <c r="S215" s="3788"/>
      <c r="T215" s="3788"/>
      <c r="U215" s="3793"/>
      <c r="V215" s="4282"/>
      <c r="W215" s="1172"/>
      <c r="X215" s="1172"/>
      <c r="Y215" s="1172"/>
      <c r="Z215" s="462"/>
      <c r="AA215" s="463"/>
      <c r="AB215" s="463"/>
      <c r="AC215" s="463"/>
      <c r="AD215" s="1190"/>
      <c r="AE215" s="353">
        <f t="shared" ref="AE215:AG215" si="153">SUM(AE212:AE214)</f>
        <v>0</v>
      </c>
      <c r="AF215" s="354">
        <f t="shared" si="153"/>
        <v>0</v>
      </c>
      <c r="AG215" s="450">
        <f t="shared" si="153"/>
        <v>0</v>
      </c>
    </row>
    <row r="216" spans="5:33" ht="12.75" customHeight="1">
      <c r="E216" s="4279"/>
      <c r="F216" s="516" t="s">
        <v>583</v>
      </c>
      <c r="G216" s="459"/>
      <c r="H216" s="458"/>
      <c r="I216" s="458"/>
      <c r="J216" s="458"/>
      <c r="K216" s="625"/>
      <c r="L216" s="429"/>
      <c r="M216" s="476"/>
      <c r="N216" s="476"/>
      <c r="O216" s="476">
        <v>88547.486958516849</v>
      </c>
      <c r="P216" s="3865"/>
      <c r="Q216" s="3811"/>
      <c r="R216" s="3812"/>
      <c r="S216" s="3812"/>
      <c r="T216" s="3812"/>
      <c r="U216" s="3813"/>
      <c r="V216" s="4282"/>
      <c r="W216" s="1172"/>
      <c r="X216" s="1172"/>
      <c r="Y216" s="1172"/>
      <c r="Z216" s="462"/>
      <c r="AA216" s="463"/>
      <c r="AB216" s="463"/>
      <c r="AC216" s="463"/>
      <c r="AD216" s="1190"/>
      <c r="AE216" s="511"/>
      <c r="AF216" s="512"/>
      <c r="AG216" s="547"/>
    </row>
    <row r="217" spans="5:33" ht="12.75" customHeight="1">
      <c r="E217" s="4279"/>
      <c r="F217" s="516" t="s">
        <v>581</v>
      </c>
      <c r="G217" s="459"/>
      <c r="H217" s="458"/>
      <c r="I217" s="458"/>
      <c r="J217" s="458"/>
      <c r="K217" s="625"/>
      <c r="L217" s="472"/>
      <c r="M217" s="467"/>
      <c r="N217" s="467"/>
      <c r="O217" s="467"/>
      <c r="P217" s="3864"/>
      <c r="Q217" s="3794"/>
      <c r="R217" s="3788"/>
      <c r="S217" s="3788"/>
      <c r="T217" s="3788"/>
      <c r="U217" s="3793"/>
      <c r="V217" s="4282"/>
      <c r="W217" s="1172"/>
      <c r="X217" s="1172"/>
      <c r="Y217" s="1172"/>
      <c r="Z217" s="462"/>
      <c r="AA217" s="463"/>
      <c r="AB217" s="463"/>
      <c r="AC217" s="463"/>
      <c r="AD217" s="1190"/>
      <c r="AE217" s="462"/>
      <c r="AF217" s="463"/>
      <c r="AG217" s="464"/>
    </row>
    <row r="218" spans="5:33" ht="12.75" customHeight="1">
      <c r="E218" s="4279"/>
      <c r="F218" s="517" t="s">
        <v>584</v>
      </c>
      <c r="G218" s="353">
        <f>SUM(G215:G217)</f>
        <v>0</v>
      </c>
      <c r="H218" s="354">
        <f t="shared" ref="H218:N218" si="154">SUM(H215:H217)</f>
        <v>0</v>
      </c>
      <c r="I218" s="354">
        <f t="shared" si="154"/>
        <v>0</v>
      </c>
      <c r="J218" s="354">
        <f t="shared" si="154"/>
        <v>0</v>
      </c>
      <c r="K218" s="626">
        <f t="shared" si="154"/>
        <v>0</v>
      </c>
      <c r="L218" s="353">
        <f t="shared" si="154"/>
        <v>0</v>
      </c>
      <c r="M218" s="354">
        <f t="shared" si="154"/>
        <v>0</v>
      </c>
      <c r="N218" s="354">
        <f t="shared" si="154"/>
        <v>0</v>
      </c>
      <c r="O218" s="626">
        <f>SUM(O215:O217)</f>
        <v>1441489.8709158311</v>
      </c>
      <c r="P218" s="3864"/>
      <c r="Q218" s="3794"/>
      <c r="R218" s="3788"/>
      <c r="S218" s="3788"/>
      <c r="T218" s="3788"/>
      <c r="U218" s="3793"/>
      <c r="V218" s="4282"/>
      <c r="W218" s="1172"/>
      <c r="X218" s="1172"/>
      <c r="Y218" s="1172"/>
      <c r="Z218" s="353">
        <f>SUM(Z215:Z217)</f>
        <v>0</v>
      </c>
      <c r="AA218" s="354">
        <f t="shared" ref="AA218:AD218" si="155">SUM(AA215:AA217)</f>
        <v>0</v>
      </c>
      <c r="AB218" s="354">
        <f t="shared" si="155"/>
        <v>0</v>
      </c>
      <c r="AC218" s="354">
        <f t="shared" si="155"/>
        <v>0</v>
      </c>
      <c r="AD218" s="626">
        <f t="shared" si="155"/>
        <v>0</v>
      </c>
      <c r="AE218" s="353">
        <f t="shared" ref="AE218:AF218" si="156">SUM(AE216:AE217)</f>
        <v>0</v>
      </c>
      <c r="AF218" s="354">
        <f t="shared" si="156"/>
        <v>0</v>
      </c>
      <c r="AG218" s="450">
        <f t="shared" ref="AG218" si="157">SUM(AG215:AG217)</f>
        <v>0</v>
      </c>
    </row>
    <row r="219" spans="5:33" ht="12.75" customHeight="1">
      <c r="E219" s="4279"/>
      <c r="F219" s="516" t="s">
        <v>35</v>
      </c>
      <c r="G219" s="459"/>
      <c r="H219" s="458"/>
      <c r="I219" s="458"/>
      <c r="J219" s="458"/>
      <c r="K219" s="625"/>
      <c r="L219" s="459"/>
      <c r="M219" s="458"/>
      <c r="N219" s="458"/>
      <c r="O219" s="458"/>
      <c r="P219" s="3864"/>
      <c r="Q219" s="3794"/>
      <c r="R219" s="3788"/>
      <c r="S219" s="3788"/>
      <c r="T219" s="3788"/>
      <c r="U219" s="3793"/>
      <c r="V219" s="4282"/>
      <c r="W219" s="1172"/>
      <c r="X219" s="1172"/>
      <c r="Y219" s="1172"/>
      <c r="Z219" s="462"/>
      <c r="AA219" s="463"/>
      <c r="AB219" s="463"/>
      <c r="AC219" s="463"/>
      <c r="AD219" s="1190"/>
      <c r="AE219" s="462"/>
      <c r="AF219" s="463"/>
      <c r="AG219" s="464"/>
    </row>
    <row r="220" spans="5:33" ht="13.5" customHeight="1" thickBot="1">
      <c r="E220" s="4280"/>
      <c r="F220" s="1409" t="s">
        <v>585</v>
      </c>
      <c r="G220" s="1370">
        <f>G218-G219</f>
        <v>0</v>
      </c>
      <c r="H220" s="356">
        <f t="shared" ref="H220:O220" si="158">H218-H219</f>
        <v>0</v>
      </c>
      <c r="I220" s="356">
        <f t="shared" si="158"/>
        <v>0</v>
      </c>
      <c r="J220" s="356">
        <f t="shared" si="158"/>
        <v>0</v>
      </c>
      <c r="K220" s="627">
        <f t="shared" si="158"/>
        <v>0</v>
      </c>
      <c r="L220" s="1370">
        <f>L218-L219</f>
        <v>0</v>
      </c>
      <c r="M220" s="356">
        <f>M218-M219</f>
        <v>0</v>
      </c>
      <c r="N220" s="356">
        <f t="shared" si="158"/>
        <v>0</v>
      </c>
      <c r="O220" s="356">
        <f t="shared" si="158"/>
        <v>1441489.8709158311</v>
      </c>
      <c r="P220" s="3866"/>
      <c r="Q220" s="3867"/>
      <c r="R220" s="3802"/>
      <c r="S220" s="3802"/>
      <c r="T220" s="3802"/>
      <c r="U220" s="3803"/>
      <c r="V220" s="4283"/>
      <c r="W220" s="1172"/>
      <c r="X220" s="1172"/>
      <c r="Y220" s="1172"/>
      <c r="Z220" s="1370">
        <f>Z218-Z219</f>
        <v>0</v>
      </c>
      <c r="AA220" s="356">
        <f t="shared" ref="AA220:AG220" si="159">AA218-AA219</f>
        <v>0</v>
      </c>
      <c r="AB220" s="356">
        <f t="shared" si="159"/>
        <v>0</v>
      </c>
      <c r="AC220" s="356">
        <f t="shared" si="159"/>
        <v>0</v>
      </c>
      <c r="AD220" s="627">
        <f t="shared" si="159"/>
        <v>0</v>
      </c>
      <c r="AE220" s="1370">
        <f t="shared" si="159"/>
        <v>0</v>
      </c>
      <c r="AF220" s="356">
        <f t="shared" si="159"/>
        <v>0</v>
      </c>
      <c r="AG220" s="503">
        <f t="shared" si="159"/>
        <v>0</v>
      </c>
    </row>
    <row r="221" spans="5:33" ht="12.75" customHeight="1">
      <c r="E221" s="4275" t="s">
        <v>341</v>
      </c>
      <c r="F221" s="1365" t="s">
        <v>579</v>
      </c>
      <c r="G221" s="635">
        <v>2895355.2324250606</v>
      </c>
      <c r="H221" s="629">
        <v>4564342.4350048443</v>
      </c>
      <c r="I221" s="629">
        <v>3536271.7671259888</v>
      </c>
      <c r="J221" s="629">
        <v>4137730.0113993906</v>
      </c>
      <c r="K221" s="630">
        <v>3184768.2826026706</v>
      </c>
      <c r="L221" s="3721">
        <v>9477449.4127157182</v>
      </c>
      <c r="M221" s="3722">
        <v>28381651.060484208</v>
      </c>
      <c r="N221" s="3722">
        <v>3691165.0495400992</v>
      </c>
      <c r="O221" s="3722">
        <f t="shared" ref="O221" si="160">SUMIF($F$21:$F$220,"Total direct expenditure ",O$21:O$220)</f>
        <v>1992364.5097438726</v>
      </c>
      <c r="P221" s="3871"/>
      <c r="Q221" s="3872"/>
      <c r="R221" s="3871"/>
      <c r="S221" s="3871"/>
      <c r="T221" s="3871"/>
      <c r="U221" s="3873"/>
      <c r="V221" s="628"/>
      <c r="W221" s="1172"/>
      <c r="X221" s="1172"/>
      <c r="Y221" s="1172"/>
      <c r="Z221" s="527"/>
      <c r="AA221" s="528"/>
      <c r="AB221" s="528"/>
      <c r="AC221" s="528"/>
      <c r="AD221" s="528"/>
      <c r="AE221" s="538"/>
      <c r="AF221" s="539"/>
      <c r="AG221" s="540"/>
    </row>
    <row r="222" spans="5:33" ht="12.75" customHeight="1">
      <c r="E222" s="4276"/>
      <c r="F222" s="1361" t="s">
        <v>617</v>
      </c>
      <c r="G222" s="635">
        <v>942699.30398913217</v>
      </c>
      <c r="H222" s="629">
        <v>912787.49502887693</v>
      </c>
      <c r="I222" s="629">
        <v>648853.36849676375</v>
      </c>
      <c r="J222" s="629">
        <v>645290.10303693509</v>
      </c>
      <c r="K222" s="630">
        <v>595205.73368595273</v>
      </c>
      <c r="L222" s="3721">
        <v>1753.1604950457081</v>
      </c>
      <c r="M222" s="3722">
        <v>3714.3561896347105</v>
      </c>
      <c r="N222" s="3722">
        <v>393.54677272353712</v>
      </c>
      <c r="O222" s="3722">
        <f t="shared" ref="O222" si="161">SUMIF($F$21:$F$220,"Total overhead expenditure",O$21:O$220)</f>
        <v>104011.07356932999</v>
      </c>
      <c r="P222" s="3871"/>
      <c r="Q222" s="3872"/>
      <c r="R222" s="3871"/>
      <c r="S222" s="3871"/>
      <c r="T222" s="3871"/>
      <c r="U222" s="3873"/>
      <c r="V222" s="628"/>
      <c r="W222" s="1172"/>
      <c r="X222" s="1172"/>
      <c r="Y222" s="1172"/>
      <c r="Z222" s="470"/>
      <c r="AA222" s="468"/>
      <c r="AB222" s="468"/>
      <c r="AC222" s="468"/>
      <c r="AD222" s="468"/>
      <c r="AE222" s="462"/>
      <c r="AF222" s="463"/>
      <c r="AG222" s="464"/>
    </row>
    <row r="223" spans="5:33" ht="12.75" customHeight="1">
      <c r="E223" s="4276"/>
      <c r="F223" s="1361" t="s">
        <v>581</v>
      </c>
      <c r="G223" s="635">
        <f t="shared" ref="G223:O223" si="162">SUMIF($F$21:$F$220,"Related party margin expenditure",G$21:G$220)</f>
        <v>0</v>
      </c>
      <c r="H223" s="629">
        <f t="shared" si="162"/>
        <v>0</v>
      </c>
      <c r="I223" s="629">
        <f t="shared" si="162"/>
        <v>0</v>
      </c>
      <c r="J223" s="629">
        <f t="shared" si="162"/>
        <v>0</v>
      </c>
      <c r="K223" s="630">
        <f t="shared" si="162"/>
        <v>0</v>
      </c>
      <c r="L223" s="3721">
        <f t="shared" si="162"/>
        <v>0</v>
      </c>
      <c r="M223" s="3722">
        <f t="shared" si="162"/>
        <v>0</v>
      </c>
      <c r="N223" s="3722">
        <f t="shared" si="162"/>
        <v>0</v>
      </c>
      <c r="O223" s="3722">
        <f t="shared" si="162"/>
        <v>0</v>
      </c>
      <c r="P223" s="3871"/>
      <c r="Q223" s="3872"/>
      <c r="R223" s="3871"/>
      <c r="S223" s="3871"/>
      <c r="T223" s="3871"/>
      <c r="U223" s="3873"/>
      <c r="V223" s="628"/>
      <c r="W223" s="1172"/>
      <c r="X223" s="1172"/>
      <c r="Y223" s="1172"/>
      <c r="Z223" s="470"/>
      <c r="AA223" s="468"/>
      <c r="AB223" s="468"/>
      <c r="AC223" s="468"/>
      <c r="AD223" s="468"/>
      <c r="AE223" s="462"/>
      <c r="AF223" s="463"/>
      <c r="AG223" s="464"/>
    </row>
    <row r="224" spans="5:33" ht="12.75" customHeight="1">
      <c r="E224" s="4276"/>
      <c r="F224" s="1422" t="s">
        <v>584</v>
      </c>
      <c r="G224" s="636">
        <f>G221+G222</f>
        <v>3838054.536414193</v>
      </c>
      <c r="H224" s="636">
        <f t="shared" ref="H224:N224" si="163">H221+H222</f>
        <v>5477129.930033721</v>
      </c>
      <c r="I224" s="636">
        <f t="shared" si="163"/>
        <v>4185125.1356227528</v>
      </c>
      <c r="J224" s="636">
        <f t="shared" si="163"/>
        <v>4783020.1144363256</v>
      </c>
      <c r="K224" s="636">
        <f t="shared" si="163"/>
        <v>3779974.0162886232</v>
      </c>
      <c r="L224" s="636">
        <f t="shared" si="163"/>
        <v>9479202.5732107647</v>
      </c>
      <c r="M224" s="636">
        <f t="shared" si="163"/>
        <v>28385365.416673843</v>
      </c>
      <c r="N224" s="636">
        <f t="shared" si="163"/>
        <v>3691558.5963128228</v>
      </c>
      <c r="O224" s="631">
        <f t="shared" ref="O224" si="164">SUMIF($F$21:$F$220,"Total gross expenditure",O$21:O$220)</f>
        <v>2096375.5833132025</v>
      </c>
      <c r="P224" s="3874"/>
      <c r="Q224" s="3875"/>
      <c r="R224" s="3874"/>
      <c r="S224" s="3874"/>
      <c r="T224" s="3874"/>
      <c r="U224" s="3876"/>
      <c r="V224" s="628"/>
      <c r="W224" s="1172"/>
      <c r="X224" s="1172"/>
      <c r="Y224" s="1172"/>
      <c r="Z224" s="470"/>
      <c r="AA224" s="468"/>
      <c r="AB224" s="468"/>
      <c r="AC224" s="468"/>
      <c r="AD224" s="468"/>
      <c r="AE224" s="462"/>
      <c r="AF224" s="463"/>
      <c r="AG224" s="464"/>
    </row>
    <row r="225" spans="5:33" ht="12.75" customHeight="1">
      <c r="E225" s="4276"/>
      <c r="F225" s="1361" t="s">
        <v>35</v>
      </c>
      <c r="G225" s="635">
        <f>SUMIF($F$21:$F$220,"Less customer contributions",G$21:G$220)</f>
        <v>0</v>
      </c>
      <c r="H225" s="629">
        <f>SUMIF($F$21:$F$220,"Less customer contributions",H$21:H$220)</f>
        <v>0</v>
      </c>
      <c r="I225" s="629">
        <f>SUMIF($F$21:$F$220,"Less customer contributions",I$21:I$220)</f>
        <v>0</v>
      </c>
      <c r="J225" s="629">
        <f>SUMIF($F$21:$F$220,"Less customer contributions",J$21:J$220)</f>
        <v>0</v>
      </c>
      <c r="K225" s="630">
        <v>491259.66092262772</v>
      </c>
      <c r="L225" s="3721">
        <v>5380168.6411404414</v>
      </c>
      <c r="M225" s="3722">
        <v>25608992.958534926</v>
      </c>
      <c r="N225" s="3722">
        <v>438496.63211374771</v>
      </c>
      <c r="O225" s="3722">
        <f t="shared" ref="O225" si="165">SUMIF($F$21:$F$220,"Less customer contributions",O$21:O$220)</f>
        <v>0</v>
      </c>
      <c r="P225" s="3871"/>
      <c r="Q225" s="3872"/>
      <c r="R225" s="3871"/>
      <c r="S225" s="3871"/>
      <c r="T225" s="3871"/>
      <c r="U225" s="3873"/>
      <c r="V225" s="628"/>
      <c r="W225" s="1172"/>
      <c r="X225" s="1172"/>
      <c r="Y225" s="1172"/>
      <c r="Z225" s="462"/>
      <c r="AA225" s="463"/>
      <c r="AB225" s="463"/>
      <c r="AC225" s="463"/>
      <c r="AD225" s="1190"/>
      <c r="AE225" s="353">
        <f t="shared" ref="AE225:AG225" si="166">SUM(AE222:AE224)</f>
        <v>0</v>
      </c>
      <c r="AF225" s="354">
        <f t="shared" si="166"/>
        <v>0</v>
      </c>
      <c r="AG225" s="450">
        <f t="shared" si="166"/>
        <v>0</v>
      </c>
    </row>
    <row r="226" spans="5:33" ht="13.5" customHeight="1" thickBot="1">
      <c r="E226" s="4277"/>
      <c r="F226" s="1423" t="s">
        <v>619</v>
      </c>
      <c r="G226" s="637">
        <f>G224-G225</f>
        <v>3838054.536414193</v>
      </c>
      <c r="H226" s="633">
        <f t="shared" ref="H226:N226" si="167">H224-H225</f>
        <v>5477129.930033721</v>
      </c>
      <c r="I226" s="633">
        <f t="shared" si="167"/>
        <v>4185125.1356227528</v>
      </c>
      <c r="J226" s="633">
        <f t="shared" si="167"/>
        <v>4783020.1144363256</v>
      </c>
      <c r="K226" s="634">
        <f t="shared" si="167"/>
        <v>3288714.3553659953</v>
      </c>
      <c r="L226" s="1705">
        <f t="shared" si="167"/>
        <v>4099033.9320703233</v>
      </c>
      <c r="M226" s="654">
        <f t="shared" si="167"/>
        <v>2776372.4581389166</v>
      </c>
      <c r="N226" s="654">
        <f t="shared" si="167"/>
        <v>3253061.964199075</v>
      </c>
      <c r="O226" s="654">
        <f t="shared" ref="O226" si="168">SUMIF($F$21:$F$220,"Total net expenditure",O$21:O$220)</f>
        <v>2096375.5833132025</v>
      </c>
      <c r="P226" s="654">
        <v>4446930.6498025749</v>
      </c>
      <c r="Q226" s="637">
        <v>5173989.2388926409</v>
      </c>
      <c r="R226" s="633">
        <v>5470046.9860872235</v>
      </c>
      <c r="S226" s="633">
        <v>4888571.773365913</v>
      </c>
      <c r="T226" s="633">
        <v>4532304.8275303459</v>
      </c>
      <c r="U226" s="634">
        <v>4554678.7936401926</v>
      </c>
      <c r="V226" s="628"/>
      <c r="W226" s="1172"/>
      <c r="X226" s="1172"/>
      <c r="Y226" s="1172"/>
      <c r="Z226" s="462"/>
      <c r="AA226" s="463"/>
      <c r="AB226" s="463"/>
      <c r="AC226" s="463"/>
      <c r="AD226" s="1190"/>
      <c r="AE226" s="511"/>
      <c r="AF226" s="512"/>
      <c r="AG226" s="547"/>
    </row>
    <row r="227" spans="5:33" ht="13.5" thickBot="1">
      <c r="E227" s="4059" t="s">
        <v>121</v>
      </c>
      <c r="F227" s="4060"/>
      <c r="G227" s="1349"/>
      <c r="H227" s="1350"/>
      <c r="I227" s="1350"/>
      <c r="J227" s="1350"/>
      <c r="K227" s="1350"/>
      <c r="L227" s="1350"/>
      <c r="M227" s="1350"/>
      <c r="N227" s="1350"/>
      <c r="O227" s="1350"/>
      <c r="P227" s="1350"/>
      <c r="Q227" s="1350"/>
      <c r="R227" s="1350"/>
      <c r="S227" s="1350"/>
      <c r="T227" s="1350"/>
      <c r="U227" s="1350"/>
      <c r="V227" s="1351"/>
      <c r="W227" s="1172"/>
      <c r="X227" s="1172"/>
      <c r="Y227" s="1172"/>
      <c r="Z227" s="462"/>
      <c r="AA227" s="463"/>
      <c r="AB227" s="463"/>
      <c r="AC227" s="463"/>
      <c r="AD227" s="1190"/>
      <c r="AE227" s="462"/>
      <c r="AF227" s="463"/>
      <c r="AG227" s="464"/>
    </row>
    <row r="228" spans="5:33" ht="13.5" thickBot="1">
      <c r="E228" s="82"/>
      <c r="F228" s="82"/>
      <c r="G228" s="82"/>
      <c r="H228" s="82"/>
      <c r="I228" s="82"/>
      <c r="J228" s="82"/>
      <c r="K228" s="82"/>
      <c r="L228" s="82"/>
      <c r="M228" s="82"/>
      <c r="N228" s="82"/>
      <c r="O228" s="82"/>
      <c r="P228" s="82"/>
      <c r="Q228" s="82"/>
      <c r="R228" s="82"/>
      <c r="S228" s="82"/>
      <c r="T228" s="82"/>
      <c r="U228" s="82"/>
      <c r="V228" s="82"/>
      <c r="W228" s="1172"/>
      <c r="X228" s="1172"/>
      <c r="Y228" s="1172"/>
      <c r="Z228" s="353">
        <f>SUM(Z225:Z227)</f>
        <v>0</v>
      </c>
      <c r="AA228" s="354">
        <f t="shared" ref="AA228:AD228" si="169">SUM(AA225:AA227)</f>
        <v>0</v>
      </c>
      <c r="AB228" s="354">
        <f t="shared" si="169"/>
        <v>0</v>
      </c>
      <c r="AC228" s="354">
        <f t="shared" si="169"/>
        <v>0</v>
      </c>
      <c r="AD228" s="626">
        <f t="shared" si="169"/>
        <v>0</v>
      </c>
      <c r="AE228" s="353">
        <f t="shared" ref="AE228:AF228" si="170">SUM(AE226:AE227)</f>
        <v>0</v>
      </c>
      <c r="AF228" s="354">
        <f t="shared" si="170"/>
        <v>0</v>
      </c>
      <c r="AG228" s="450">
        <f t="shared" ref="AG228" si="171">SUM(AG225:AG227)</f>
        <v>0</v>
      </c>
    </row>
    <row r="229" spans="5:33" ht="16.5" thickBot="1">
      <c r="E229" s="2760" t="s">
        <v>723</v>
      </c>
      <c r="F229" s="1259"/>
      <c r="G229" s="1259"/>
      <c r="H229" s="1259"/>
      <c r="I229" s="1259"/>
      <c r="J229" s="1259"/>
      <c r="K229" s="1259"/>
      <c r="L229" s="1259"/>
      <c r="M229" s="1259"/>
      <c r="N229" s="1259"/>
      <c r="O229" s="1259"/>
      <c r="P229" s="1260"/>
      <c r="Q229" s="1172"/>
      <c r="R229" s="1172"/>
      <c r="S229" s="1172"/>
      <c r="T229" s="1172"/>
      <c r="U229" s="1172"/>
      <c r="V229" s="1172"/>
      <c r="W229" s="1172"/>
      <c r="X229" s="1172"/>
      <c r="Y229" s="1172"/>
      <c r="Z229" s="462"/>
      <c r="AA229" s="463"/>
      <c r="AB229" s="463"/>
      <c r="AC229" s="463"/>
      <c r="AD229" s="1190"/>
      <c r="AE229" s="462"/>
      <c r="AF229" s="463"/>
      <c r="AG229" s="464"/>
    </row>
    <row r="230" spans="5:33" ht="18.75" customHeight="1" thickBot="1">
      <c r="E230" s="244"/>
      <c r="F230" s="1162"/>
      <c r="G230" s="4073" t="s">
        <v>36</v>
      </c>
      <c r="H230" s="3997"/>
      <c r="I230" s="3997"/>
      <c r="J230" s="3997"/>
      <c r="K230" s="3997"/>
      <c r="L230" s="4074" t="s">
        <v>37</v>
      </c>
      <c r="M230" s="4075"/>
      <c r="N230" s="4075"/>
      <c r="O230" s="4075"/>
      <c r="P230" s="4082"/>
      <c r="Q230" s="137"/>
      <c r="R230" s="724"/>
      <c r="S230" s="724"/>
      <c r="T230" s="724"/>
      <c r="U230" s="724"/>
      <c r="V230" s="724"/>
      <c r="W230" s="1172"/>
      <c r="X230" s="1172"/>
      <c r="Y230" s="1172"/>
      <c r="Z230" s="1370">
        <f>Z228-Z229</f>
        <v>0</v>
      </c>
      <c r="AA230" s="356">
        <f t="shared" ref="AA230:AG230" si="172">AA228-AA229</f>
        <v>0</v>
      </c>
      <c r="AB230" s="356">
        <f t="shared" si="172"/>
        <v>0</v>
      </c>
      <c r="AC230" s="356">
        <f t="shared" si="172"/>
        <v>0</v>
      </c>
      <c r="AD230" s="627">
        <f t="shared" si="172"/>
        <v>0</v>
      </c>
      <c r="AE230" s="1370">
        <f t="shared" si="172"/>
        <v>0</v>
      </c>
      <c r="AF230" s="356">
        <f t="shared" si="172"/>
        <v>0</v>
      </c>
      <c r="AG230" s="503">
        <f t="shared" si="172"/>
        <v>0</v>
      </c>
    </row>
    <row r="231" spans="5:33" ht="15" customHeight="1">
      <c r="E231" s="1179"/>
      <c r="F231" s="881"/>
      <c r="G231" s="3991" t="str">
        <f>CONCATENATE("$0's, real ",dms_DollarReal)</f>
        <v>$0's, real December 2017</v>
      </c>
      <c r="H231" s="3992"/>
      <c r="I231" s="3992"/>
      <c r="J231" s="3992"/>
      <c r="K231" s="3992"/>
      <c r="L231" s="3992"/>
      <c r="M231" s="3992"/>
      <c r="N231" s="3992"/>
      <c r="O231" s="3992"/>
      <c r="P231" s="4084"/>
      <c r="Q231" s="137"/>
      <c r="R231" s="131"/>
      <c r="S231" s="131"/>
      <c r="T231" s="131"/>
      <c r="U231" s="131"/>
      <c r="V231" s="131"/>
      <c r="W231" s="1172"/>
      <c r="X231" s="1172"/>
      <c r="Y231" s="1172"/>
      <c r="Z231" s="527"/>
      <c r="AA231" s="528"/>
      <c r="AB231" s="528"/>
      <c r="AC231" s="528"/>
      <c r="AD231" s="528"/>
      <c r="AE231" s="538"/>
      <c r="AF231" s="539"/>
      <c r="AG231" s="540"/>
    </row>
    <row r="232" spans="5:33" ht="15">
      <c r="E232" s="1179"/>
      <c r="F232" s="881"/>
      <c r="G232" s="3991" t="s">
        <v>74</v>
      </c>
      <c r="H232" s="3992"/>
      <c r="I232" s="3992"/>
      <c r="J232" s="3992"/>
      <c r="K232" s="3992"/>
      <c r="L232" s="3992"/>
      <c r="M232" s="3992"/>
      <c r="N232" s="3992"/>
      <c r="O232" s="3992"/>
      <c r="P232" s="4084"/>
      <c r="Q232" s="137"/>
      <c r="R232" s="131"/>
      <c r="S232" s="131"/>
      <c r="T232" s="131"/>
      <c r="U232" s="131"/>
      <c r="V232" s="131"/>
      <c r="W232" s="1172"/>
      <c r="X232" s="1172"/>
      <c r="Y232" s="1172"/>
      <c r="Z232" s="470"/>
      <c r="AA232" s="468"/>
      <c r="AB232" s="468"/>
      <c r="AC232" s="468"/>
      <c r="AD232" s="468"/>
      <c r="AE232" s="462"/>
      <c r="AF232" s="463"/>
      <c r="AG232" s="464"/>
    </row>
    <row r="233" spans="5:33" ht="15.75" thickBot="1">
      <c r="E233" s="3478"/>
      <c r="F233" s="3505"/>
      <c r="G233" s="1438">
        <f t="array" ref="G233:K233">PRCP</f>
        <v>2008</v>
      </c>
      <c r="H233" s="342">
        <v>2009</v>
      </c>
      <c r="I233" s="342">
        <v>2010</v>
      </c>
      <c r="J233" s="342">
        <v>2011</v>
      </c>
      <c r="K233" s="342">
        <v>2012</v>
      </c>
      <c r="L233" s="344">
        <f>CRCP_y1</f>
        <v>2013</v>
      </c>
      <c r="M233" s="344">
        <f>CRCP_y2</f>
        <v>2014</v>
      </c>
      <c r="N233" s="344">
        <f>CRCP_y3</f>
        <v>2015</v>
      </c>
      <c r="O233" s="344">
        <f>CRCP_y4</f>
        <v>2016</v>
      </c>
      <c r="P233" s="542">
        <f>CRCP_y5</f>
        <v>2017</v>
      </c>
      <c r="Q233" s="137"/>
      <c r="R233" s="131"/>
      <c r="S233" s="131"/>
      <c r="T233" s="131"/>
      <c r="U233" s="131"/>
      <c r="V233" s="131"/>
      <c r="W233" s="1172"/>
      <c r="X233" s="1172"/>
      <c r="Y233" s="1172"/>
      <c r="Z233" s="470"/>
      <c r="AA233" s="468"/>
      <c r="AB233" s="468"/>
      <c r="AC233" s="468"/>
      <c r="AD233" s="468"/>
      <c r="AE233" s="462"/>
      <c r="AF233" s="463"/>
      <c r="AG233" s="464"/>
    </row>
    <row r="234" spans="5:33" ht="12.75" customHeight="1">
      <c r="E234" s="4278" t="s">
        <v>88</v>
      </c>
      <c r="F234" s="842" t="s">
        <v>598</v>
      </c>
      <c r="G234" s="470"/>
      <c r="H234" s="468"/>
      <c r="I234" s="468"/>
      <c r="J234" s="468"/>
      <c r="K234" s="530"/>
      <c r="L234" s="376"/>
      <c r="M234" s="377"/>
      <c r="N234" s="377"/>
      <c r="O234" s="377"/>
      <c r="P234" s="1018"/>
      <c r="Q234" s="134"/>
      <c r="R234" s="134"/>
      <c r="S234" s="134"/>
      <c r="T234" s="134"/>
      <c r="U234" s="134"/>
      <c r="V234" s="134"/>
      <c r="W234" s="1172"/>
      <c r="X234" s="1172"/>
      <c r="Y234" s="1172"/>
      <c r="Z234" s="470"/>
      <c r="AA234" s="468"/>
      <c r="AB234" s="468"/>
      <c r="AC234" s="468"/>
      <c r="AD234" s="468"/>
      <c r="AE234" s="462"/>
      <c r="AF234" s="463"/>
      <c r="AG234" s="464"/>
    </row>
    <row r="235" spans="5:33" ht="12.75" customHeight="1">
      <c r="E235" s="4279"/>
      <c r="F235" s="516" t="s">
        <v>559</v>
      </c>
      <c r="G235" s="470"/>
      <c r="H235" s="468"/>
      <c r="I235" s="468"/>
      <c r="J235" s="468"/>
      <c r="K235" s="530"/>
      <c r="L235" s="459">
        <v>2755.6256160757507</v>
      </c>
      <c r="M235" s="458">
        <v>4528.7932682983992</v>
      </c>
      <c r="N235" s="458">
        <v>5182.7706093568786</v>
      </c>
      <c r="O235" s="458">
        <v>5093.2303526979149</v>
      </c>
      <c r="P235" s="460">
        <v>4050.1417323140113</v>
      </c>
      <c r="Q235" s="455"/>
      <c r="R235" s="455"/>
      <c r="S235" s="455"/>
      <c r="T235" s="455"/>
      <c r="U235" s="455"/>
      <c r="V235" s="455"/>
      <c r="W235" s="1172"/>
      <c r="X235" s="1172"/>
      <c r="Y235" s="1172"/>
      <c r="Z235" s="462"/>
      <c r="AA235" s="463"/>
      <c r="AB235" s="463"/>
      <c r="AC235" s="463"/>
      <c r="AD235" s="1190"/>
      <c r="AE235" s="353">
        <f t="shared" ref="AE235:AG235" si="173">SUM(AE232:AE234)</f>
        <v>0</v>
      </c>
      <c r="AF235" s="354">
        <f t="shared" si="173"/>
        <v>0</v>
      </c>
      <c r="AG235" s="450">
        <f t="shared" si="173"/>
        <v>0</v>
      </c>
    </row>
    <row r="236" spans="5:33" ht="12.75" customHeight="1">
      <c r="E236" s="4279"/>
      <c r="F236" s="516" t="s">
        <v>558</v>
      </c>
      <c r="G236" s="470"/>
      <c r="H236" s="468"/>
      <c r="I236" s="468"/>
      <c r="J236" s="468"/>
      <c r="K236" s="530"/>
      <c r="L236" s="459"/>
      <c r="M236" s="458"/>
      <c r="N236" s="458"/>
      <c r="O236" s="458"/>
      <c r="P236" s="460"/>
      <c r="Q236" s="455"/>
      <c r="R236" s="455"/>
      <c r="S236" s="455"/>
      <c r="T236" s="455"/>
      <c r="U236" s="455"/>
      <c r="V236" s="455"/>
      <c r="W236" s="1172"/>
      <c r="X236" s="1172"/>
      <c r="Y236" s="1172"/>
      <c r="Z236" s="462"/>
      <c r="AA236" s="463"/>
      <c r="AB236" s="463"/>
      <c r="AC236" s="463"/>
      <c r="AD236" s="1190"/>
      <c r="AE236" s="511"/>
      <c r="AF236" s="512"/>
      <c r="AG236" s="547"/>
    </row>
    <row r="237" spans="5:33" ht="12.75" customHeight="1">
      <c r="E237" s="4279"/>
      <c r="F237" s="516" t="s">
        <v>564</v>
      </c>
      <c r="G237" s="470"/>
      <c r="H237" s="468"/>
      <c r="I237" s="468"/>
      <c r="J237" s="468"/>
      <c r="K237" s="530"/>
      <c r="L237" s="459"/>
      <c r="M237" s="458"/>
      <c r="N237" s="458"/>
      <c r="O237" s="458"/>
      <c r="P237" s="460"/>
      <c r="Q237" s="455"/>
      <c r="R237" s="455"/>
      <c r="S237" s="455"/>
      <c r="T237" s="455"/>
      <c r="U237" s="455"/>
      <c r="V237" s="455"/>
      <c r="W237" s="1172"/>
      <c r="X237" s="1172"/>
      <c r="Y237" s="1172"/>
      <c r="Z237" s="462"/>
      <c r="AA237" s="463"/>
      <c r="AB237" s="463"/>
      <c r="AC237" s="463"/>
      <c r="AD237" s="1190"/>
      <c r="AE237" s="462"/>
      <c r="AF237" s="463"/>
      <c r="AG237" s="464"/>
    </row>
    <row r="238" spans="5:33" ht="12.75" customHeight="1">
      <c r="E238" s="4279"/>
      <c r="F238" s="517" t="s">
        <v>566</v>
      </c>
      <c r="G238" s="459"/>
      <c r="H238" s="458"/>
      <c r="I238" s="458"/>
      <c r="J238" s="458"/>
      <c r="K238" s="460"/>
      <c r="L238" s="353">
        <f t="shared" ref="L238:P238" si="174">SUM(L235:L237)</f>
        <v>2755.6256160757507</v>
      </c>
      <c r="M238" s="354">
        <f t="shared" si="174"/>
        <v>4528.7932682983992</v>
      </c>
      <c r="N238" s="354">
        <f t="shared" si="174"/>
        <v>5182.7706093568786</v>
      </c>
      <c r="O238" s="354">
        <f t="shared" si="174"/>
        <v>5093.2303526979149</v>
      </c>
      <c r="P238" s="450">
        <f t="shared" si="174"/>
        <v>4050.1417323140113</v>
      </c>
      <c r="Q238" s="455"/>
      <c r="R238" s="455"/>
      <c r="S238" s="455"/>
      <c r="T238" s="455"/>
      <c r="U238" s="455"/>
      <c r="V238" s="455"/>
      <c r="W238" s="1172"/>
      <c r="X238" s="1172"/>
      <c r="Y238" s="1172"/>
      <c r="Z238" s="353">
        <f>SUM(Z235:Z237)</f>
        <v>0</v>
      </c>
      <c r="AA238" s="354">
        <f t="shared" ref="AA238:AD238" si="175">SUM(AA235:AA237)</f>
        <v>0</v>
      </c>
      <c r="AB238" s="354">
        <f t="shared" si="175"/>
        <v>0</v>
      </c>
      <c r="AC238" s="354">
        <f t="shared" si="175"/>
        <v>0</v>
      </c>
      <c r="AD238" s="626">
        <f t="shared" si="175"/>
        <v>0</v>
      </c>
      <c r="AE238" s="353">
        <f t="shared" ref="AE238:AF238" si="176">SUM(AE236:AE237)</f>
        <v>0</v>
      </c>
      <c r="AF238" s="354">
        <f t="shared" si="176"/>
        <v>0</v>
      </c>
      <c r="AG238" s="450">
        <f t="shared" ref="AG238" si="177">SUM(AG235:AG237)</f>
        <v>0</v>
      </c>
    </row>
    <row r="239" spans="5:33" ht="12.75" customHeight="1">
      <c r="E239" s="4279"/>
      <c r="F239" s="516" t="s">
        <v>583</v>
      </c>
      <c r="G239" s="459"/>
      <c r="H239" s="458"/>
      <c r="I239" s="458"/>
      <c r="J239" s="458"/>
      <c r="K239" s="460"/>
      <c r="L239" s="511"/>
      <c r="M239" s="512"/>
      <c r="N239" s="512"/>
      <c r="O239" s="512"/>
      <c r="P239" s="547"/>
      <c r="Q239" s="455"/>
      <c r="R239" s="455"/>
      <c r="S239" s="455"/>
      <c r="T239" s="455"/>
      <c r="U239" s="455"/>
      <c r="V239" s="455"/>
      <c r="W239" s="1172"/>
      <c r="X239" s="1172"/>
      <c r="Y239" s="1172"/>
      <c r="Z239" s="462"/>
      <c r="AA239" s="463"/>
      <c r="AB239" s="463"/>
      <c r="AC239" s="463"/>
      <c r="AD239" s="1190"/>
      <c r="AE239" s="462"/>
      <c r="AF239" s="463"/>
      <c r="AG239" s="464"/>
    </row>
    <row r="240" spans="5:33" ht="13.5" customHeight="1" thickBot="1">
      <c r="E240" s="4279"/>
      <c r="F240" s="516" t="s">
        <v>581</v>
      </c>
      <c r="G240" s="459"/>
      <c r="H240" s="458"/>
      <c r="I240" s="458"/>
      <c r="J240" s="458"/>
      <c r="K240" s="460"/>
      <c r="L240" s="462"/>
      <c r="M240" s="463"/>
      <c r="N240" s="463"/>
      <c r="O240" s="463"/>
      <c r="P240" s="464"/>
      <c r="Q240" s="455"/>
      <c r="R240" s="455"/>
      <c r="S240" s="455"/>
      <c r="T240" s="455"/>
      <c r="U240" s="455"/>
      <c r="V240" s="455"/>
      <c r="W240" s="1172"/>
      <c r="X240" s="1172"/>
      <c r="Y240" s="1172"/>
      <c r="Z240" s="1370">
        <f>Z238-Z239</f>
        <v>0</v>
      </c>
      <c r="AA240" s="356">
        <f t="shared" ref="AA240:AG240" si="178">AA238-AA239</f>
        <v>0</v>
      </c>
      <c r="AB240" s="356">
        <f t="shared" si="178"/>
        <v>0</v>
      </c>
      <c r="AC240" s="356">
        <f t="shared" si="178"/>
        <v>0</v>
      </c>
      <c r="AD240" s="627">
        <f t="shared" si="178"/>
        <v>0</v>
      </c>
      <c r="AE240" s="1370">
        <f t="shared" si="178"/>
        <v>0</v>
      </c>
      <c r="AF240" s="356">
        <f t="shared" si="178"/>
        <v>0</v>
      </c>
      <c r="AG240" s="503">
        <f t="shared" si="178"/>
        <v>0</v>
      </c>
    </row>
    <row r="241" spans="5:33" ht="12.75" customHeight="1">
      <c r="E241" s="4279"/>
      <c r="F241" s="517" t="s">
        <v>584</v>
      </c>
      <c r="G241" s="353">
        <f t="shared" ref="G241:P241" si="179">SUM(G239:G240)</f>
        <v>0</v>
      </c>
      <c r="H241" s="354">
        <f t="shared" si="179"/>
        <v>0</v>
      </c>
      <c r="I241" s="354">
        <f t="shared" si="179"/>
        <v>0</v>
      </c>
      <c r="J241" s="354">
        <f t="shared" si="179"/>
        <v>0</v>
      </c>
      <c r="K241" s="450">
        <f t="shared" si="179"/>
        <v>0</v>
      </c>
      <c r="L241" s="353">
        <f t="shared" si="179"/>
        <v>0</v>
      </c>
      <c r="M241" s="354">
        <f t="shared" si="179"/>
        <v>0</v>
      </c>
      <c r="N241" s="354">
        <f t="shared" si="179"/>
        <v>0</v>
      </c>
      <c r="O241" s="354">
        <f t="shared" si="179"/>
        <v>0</v>
      </c>
      <c r="P241" s="450">
        <f t="shared" si="179"/>
        <v>0</v>
      </c>
      <c r="Q241" s="455"/>
      <c r="R241" s="455"/>
      <c r="S241" s="455"/>
      <c r="T241" s="455"/>
      <c r="U241" s="455"/>
      <c r="V241" s="455"/>
      <c r="W241" s="1172"/>
      <c r="X241" s="1172"/>
      <c r="Y241" s="1172"/>
      <c r="Z241" s="527"/>
      <c r="AA241" s="528"/>
      <c r="AB241" s="528"/>
      <c r="AC241" s="528"/>
      <c r="AD241" s="528"/>
      <c r="AE241" s="538"/>
      <c r="AF241" s="539"/>
      <c r="AG241" s="540"/>
    </row>
    <row r="242" spans="5:33" ht="12.75" customHeight="1">
      <c r="E242" s="4279"/>
      <c r="F242" s="516" t="s">
        <v>35</v>
      </c>
      <c r="G242" s="459"/>
      <c r="H242" s="458"/>
      <c r="I242" s="458"/>
      <c r="J242" s="458"/>
      <c r="K242" s="460"/>
      <c r="L242" s="459"/>
      <c r="M242" s="458"/>
      <c r="N242" s="458"/>
      <c r="O242" s="458"/>
      <c r="P242" s="460"/>
      <c r="Q242" s="455"/>
      <c r="R242" s="455"/>
      <c r="S242" s="455"/>
      <c r="T242" s="455"/>
      <c r="U242" s="455"/>
      <c r="V242" s="455"/>
      <c r="W242" s="1172"/>
      <c r="X242" s="1172"/>
      <c r="Y242" s="1172"/>
      <c r="Z242" s="470"/>
      <c r="AA242" s="468"/>
      <c r="AB242" s="468"/>
      <c r="AC242" s="468"/>
      <c r="AD242" s="468"/>
      <c r="AE242" s="462"/>
      <c r="AF242" s="463"/>
      <c r="AG242" s="464"/>
    </row>
    <row r="243" spans="5:33" ht="13.5" customHeight="1" thickBot="1">
      <c r="E243" s="4280"/>
      <c r="F243" s="1409" t="s">
        <v>585</v>
      </c>
      <c r="G243" s="1370">
        <f t="shared" ref="G243:P243" si="180">G241-G242</f>
        <v>0</v>
      </c>
      <c r="H243" s="356">
        <f t="shared" si="180"/>
        <v>0</v>
      </c>
      <c r="I243" s="356">
        <f t="shared" si="180"/>
        <v>0</v>
      </c>
      <c r="J243" s="356">
        <f t="shared" si="180"/>
        <v>0</v>
      </c>
      <c r="K243" s="503">
        <f t="shared" si="180"/>
        <v>0</v>
      </c>
      <c r="L243" s="1370">
        <f t="shared" si="180"/>
        <v>0</v>
      </c>
      <c r="M243" s="356">
        <f t="shared" si="180"/>
        <v>0</v>
      </c>
      <c r="N243" s="356">
        <f t="shared" si="180"/>
        <v>0</v>
      </c>
      <c r="O243" s="356">
        <f t="shared" si="180"/>
        <v>0</v>
      </c>
      <c r="P243" s="503">
        <f t="shared" si="180"/>
        <v>0</v>
      </c>
      <c r="Q243" s="455"/>
      <c r="R243" s="455"/>
      <c r="S243" s="455"/>
      <c r="T243" s="455"/>
      <c r="U243" s="455"/>
      <c r="V243" s="455"/>
      <c r="W243" s="1172"/>
      <c r="X243" s="1172"/>
      <c r="Y243" s="1172"/>
      <c r="Z243" s="470"/>
      <c r="AA243" s="468"/>
      <c r="AB243" s="468"/>
      <c r="AC243" s="468"/>
      <c r="AD243" s="468"/>
      <c r="AE243" s="462"/>
      <c r="AF243" s="463"/>
      <c r="AG243" s="464"/>
    </row>
    <row r="244" spans="5:33" ht="12.75" customHeight="1">
      <c r="E244" s="4278" t="s">
        <v>88</v>
      </c>
      <c r="F244" s="842" t="s">
        <v>598</v>
      </c>
      <c r="G244" s="527"/>
      <c r="H244" s="528"/>
      <c r="I244" s="528"/>
      <c r="J244" s="528"/>
      <c r="K244" s="529"/>
      <c r="L244" s="538"/>
      <c r="M244" s="539"/>
      <c r="N244" s="539"/>
      <c r="O244" s="539"/>
      <c r="P244" s="540"/>
      <c r="Q244" s="134"/>
      <c r="R244" s="134"/>
      <c r="S244" s="134"/>
      <c r="T244" s="134"/>
      <c r="U244" s="134"/>
      <c r="V244" s="134"/>
      <c r="W244" s="1172"/>
      <c r="X244" s="1172"/>
      <c r="Y244" s="1172"/>
      <c r="Z244" s="470"/>
      <c r="AA244" s="468"/>
      <c r="AB244" s="468"/>
      <c r="AC244" s="468"/>
      <c r="AD244" s="468"/>
      <c r="AE244" s="462"/>
      <c r="AF244" s="463"/>
      <c r="AG244" s="464"/>
    </row>
    <row r="245" spans="5:33" ht="12.75" customHeight="1">
      <c r="E245" s="4279"/>
      <c r="F245" s="516" t="s">
        <v>559</v>
      </c>
      <c r="G245" s="470"/>
      <c r="H245" s="468"/>
      <c r="I245" s="468"/>
      <c r="J245" s="468"/>
      <c r="K245" s="530"/>
      <c r="L245" s="459"/>
      <c r="M245" s="458"/>
      <c r="N245" s="458"/>
      <c r="O245" s="458"/>
      <c r="P245" s="460"/>
      <c r="Q245" s="455"/>
      <c r="R245" s="455"/>
      <c r="S245" s="455"/>
      <c r="T245" s="455"/>
      <c r="U245" s="455"/>
      <c r="V245" s="455"/>
      <c r="W245" s="1172"/>
      <c r="X245" s="1172"/>
      <c r="Y245" s="1172"/>
      <c r="Z245" s="462"/>
      <c r="AA245" s="463"/>
      <c r="AB245" s="463"/>
      <c r="AC245" s="463"/>
      <c r="AD245" s="1190"/>
      <c r="AE245" s="353">
        <f t="shared" ref="AE245:AG245" si="181">SUM(AE242:AE244)</f>
        <v>0</v>
      </c>
      <c r="AF245" s="354">
        <f t="shared" si="181"/>
        <v>0</v>
      </c>
      <c r="AG245" s="450">
        <f t="shared" si="181"/>
        <v>0</v>
      </c>
    </row>
    <row r="246" spans="5:33" ht="12.75" customHeight="1">
      <c r="E246" s="4279"/>
      <c r="F246" s="516" t="s">
        <v>558</v>
      </c>
      <c r="G246" s="470"/>
      <c r="H246" s="468"/>
      <c r="I246" s="468"/>
      <c r="J246" s="468"/>
      <c r="K246" s="530"/>
      <c r="L246" s="459"/>
      <c r="M246" s="458"/>
      <c r="N246" s="458"/>
      <c r="O246" s="458"/>
      <c r="P246" s="460"/>
      <c r="Q246" s="455"/>
      <c r="R246" s="455"/>
      <c r="S246" s="455"/>
      <c r="T246" s="455"/>
      <c r="U246" s="455"/>
      <c r="V246" s="455"/>
      <c r="W246" s="1172"/>
      <c r="X246" s="1172"/>
      <c r="Y246" s="1172"/>
      <c r="Z246" s="462"/>
      <c r="AA246" s="463"/>
      <c r="AB246" s="463"/>
      <c r="AC246" s="463"/>
      <c r="AD246" s="1190"/>
      <c r="AE246" s="511"/>
      <c r="AF246" s="512"/>
      <c r="AG246" s="547"/>
    </row>
    <row r="247" spans="5:33" ht="12.75" customHeight="1">
      <c r="E247" s="4279"/>
      <c r="F247" s="516" t="s">
        <v>564</v>
      </c>
      <c r="G247" s="470"/>
      <c r="H247" s="468"/>
      <c r="I247" s="468"/>
      <c r="J247" s="468"/>
      <c r="K247" s="530"/>
      <c r="L247" s="459"/>
      <c r="M247" s="458"/>
      <c r="N247" s="458"/>
      <c r="O247" s="458"/>
      <c r="P247" s="460"/>
      <c r="Q247" s="455"/>
      <c r="R247" s="455"/>
      <c r="S247" s="455"/>
      <c r="T247" s="455"/>
      <c r="U247" s="455"/>
      <c r="V247" s="455"/>
      <c r="W247" s="1172"/>
      <c r="X247" s="1172"/>
      <c r="Y247" s="1172"/>
      <c r="Z247" s="462"/>
      <c r="AA247" s="463"/>
      <c r="AB247" s="463"/>
      <c r="AC247" s="463"/>
      <c r="AD247" s="1190"/>
      <c r="AE247" s="462"/>
      <c r="AF247" s="463"/>
      <c r="AG247" s="464"/>
    </row>
    <row r="248" spans="5:33" ht="12.75" customHeight="1">
      <c r="E248" s="4279"/>
      <c r="F248" s="517" t="s">
        <v>566</v>
      </c>
      <c r="G248" s="459"/>
      <c r="H248" s="458"/>
      <c r="I248" s="458"/>
      <c r="J248" s="458"/>
      <c r="K248" s="460"/>
      <c r="L248" s="353">
        <f t="shared" ref="L248:P248" si="182">SUM(L245:L247)</f>
        <v>0</v>
      </c>
      <c r="M248" s="354">
        <f t="shared" si="182"/>
        <v>0</v>
      </c>
      <c r="N248" s="354">
        <f t="shared" si="182"/>
        <v>0</v>
      </c>
      <c r="O248" s="354">
        <f t="shared" si="182"/>
        <v>0</v>
      </c>
      <c r="P248" s="450">
        <f t="shared" si="182"/>
        <v>0</v>
      </c>
      <c r="Q248" s="455"/>
      <c r="R248" s="455"/>
      <c r="S248" s="455"/>
      <c r="T248" s="455"/>
      <c r="U248" s="455"/>
      <c r="V248" s="455"/>
      <c r="W248" s="1172"/>
      <c r="X248" s="1172"/>
      <c r="Y248" s="1172"/>
      <c r="Z248" s="353">
        <f>SUM(Z245:Z247)</f>
        <v>0</v>
      </c>
      <c r="AA248" s="354">
        <f t="shared" ref="AA248:AD248" si="183">SUM(AA245:AA247)</f>
        <v>0</v>
      </c>
      <c r="AB248" s="354">
        <f t="shared" si="183"/>
        <v>0</v>
      </c>
      <c r="AC248" s="354">
        <f t="shared" si="183"/>
        <v>0</v>
      </c>
      <c r="AD248" s="626">
        <f t="shared" si="183"/>
        <v>0</v>
      </c>
      <c r="AE248" s="353">
        <f t="shared" ref="AE248:AF248" si="184">SUM(AE246:AE247)</f>
        <v>0</v>
      </c>
      <c r="AF248" s="354">
        <f t="shared" si="184"/>
        <v>0</v>
      </c>
      <c r="AG248" s="450">
        <f t="shared" ref="AG248" si="185">SUM(AG245:AG247)</f>
        <v>0</v>
      </c>
    </row>
    <row r="249" spans="5:33" ht="12.75" customHeight="1">
      <c r="E249" s="4279"/>
      <c r="F249" s="516" t="s">
        <v>583</v>
      </c>
      <c r="G249" s="459"/>
      <c r="H249" s="458"/>
      <c r="I249" s="458"/>
      <c r="J249" s="458"/>
      <c r="K249" s="460"/>
      <c r="L249" s="511"/>
      <c r="M249" s="512"/>
      <c r="N249" s="512"/>
      <c r="O249" s="512"/>
      <c r="P249" s="547"/>
      <c r="Q249" s="455"/>
      <c r="R249" s="455"/>
      <c r="S249" s="455"/>
      <c r="T249" s="455"/>
      <c r="U249" s="455"/>
      <c r="V249" s="455"/>
      <c r="W249" s="1172"/>
      <c r="X249" s="1172"/>
      <c r="Y249" s="1172"/>
      <c r="Z249" s="462"/>
      <c r="AA249" s="463"/>
      <c r="AB249" s="463"/>
      <c r="AC249" s="463"/>
      <c r="AD249" s="1190"/>
      <c r="AE249" s="462"/>
      <c r="AF249" s="463"/>
      <c r="AG249" s="464"/>
    </row>
    <row r="250" spans="5:33" ht="13.5" customHeight="1" thickBot="1">
      <c r="E250" s="4279"/>
      <c r="F250" s="516" t="s">
        <v>581</v>
      </c>
      <c r="G250" s="459"/>
      <c r="H250" s="458"/>
      <c r="I250" s="458"/>
      <c r="J250" s="458"/>
      <c r="K250" s="460"/>
      <c r="L250" s="462"/>
      <c r="M250" s="463"/>
      <c r="N250" s="463"/>
      <c r="O250" s="463"/>
      <c r="P250" s="464"/>
      <c r="Q250" s="455"/>
      <c r="R250" s="455"/>
      <c r="S250" s="455"/>
      <c r="T250" s="455"/>
      <c r="U250" s="455"/>
      <c r="V250" s="455"/>
      <c r="W250" s="1172"/>
      <c r="X250" s="1172"/>
      <c r="Y250" s="1172"/>
      <c r="Z250" s="1370">
        <f>Z248-Z249</f>
        <v>0</v>
      </c>
      <c r="AA250" s="356">
        <f t="shared" ref="AA250:AG250" si="186">AA248-AA249</f>
        <v>0</v>
      </c>
      <c r="AB250" s="356">
        <f t="shared" si="186"/>
        <v>0</v>
      </c>
      <c r="AC250" s="356">
        <f t="shared" si="186"/>
        <v>0</v>
      </c>
      <c r="AD250" s="627">
        <f t="shared" si="186"/>
        <v>0</v>
      </c>
      <c r="AE250" s="1370">
        <f t="shared" si="186"/>
        <v>0</v>
      </c>
      <c r="AF250" s="356">
        <f t="shared" si="186"/>
        <v>0</v>
      </c>
      <c r="AG250" s="503">
        <f t="shared" si="186"/>
        <v>0</v>
      </c>
    </row>
    <row r="251" spans="5:33" ht="12.75" customHeight="1">
      <c r="E251" s="4279"/>
      <c r="F251" s="517" t="s">
        <v>584</v>
      </c>
      <c r="G251" s="353">
        <f t="shared" ref="G251:P251" si="187">SUM(G249:G250)</f>
        <v>0</v>
      </c>
      <c r="H251" s="354">
        <f t="shared" si="187"/>
        <v>0</v>
      </c>
      <c r="I251" s="354">
        <f t="shared" si="187"/>
        <v>0</v>
      </c>
      <c r="J251" s="354">
        <f t="shared" si="187"/>
        <v>0</v>
      </c>
      <c r="K251" s="450">
        <f t="shared" si="187"/>
        <v>0</v>
      </c>
      <c r="L251" s="353">
        <f t="shared" si="187"/>
        <v>0</v>
      </c>
      <c r="M251" s="354">
        <f t="shared" si="187"/>
        <v>0</v>
      </c>
      <c r="N251" s="354">
        <f t="shared" si="187"/>
        <v>0</v>
      </c>
      <c r="O251" s="354">
        <f t="shared" si="187"/>
        <v>0</v>
      </c>
      <c r="P251" s="450">
        <f t="shared" si="187"/>
        <v>0</v>
      </c>
      <c r="Q251" s="455"/>
      <c r="R251" s="455"/>
      <c r="S251" s="455"/>
      <c r="T251" s="455"/>
      <c r="U251" s="455"/>
      <c r="V251" s="455"/>
      <c r="W251" s="1172"/>
      <c r="X251" s="1172"/>
      <c r="Y251" s="1172"/>
      <c r="Z251" s="527"/>
      <c r="AA251" s="528"/>
      <c r="AB251" s="528"/>
      <c r="AC251" s="528"/>
      <c r="AD251" s="528"/>
      <c r="AE251" s="538"/>
      <c r="AF251" s="539"/>
      <c r="AG251" s="540"/>
    </row>
    <row r="252" spans="5:33" ht="12.75" customHeight="1">
      <c r="E252" s="4279"/>
      <c r="F252" s="516" t="s">
        <v>35</v>
      </c>
      <c r="G252" s="459"/>
      <c r="H252" s="458"/>
      <c r="I252" s="458"/>
      <c r="J252" s="458"/>
      <c r="K252" s="460"/>
      <c r="L252" s="459"/>
      <c r="M252" s="458"/>
      <c r="N252" s="458"/>
      <c r="O252" s="458"/>
      <c r="P252" s="460"/>
      <c r="Q252" s="455"/>
      <c r="R252" s="455"/>
      <c r="S252" s="455"/>
      <c r="T252" s="455"/>
      <c r="U252" s="455"/>
      <c r="V252" s="455"/>
      <c r="W252" s="1172"/>
      <c r="X252" s="1172"/>
      <c r="Y252" s="1172"/>
      <c r="Z252" s="470"/>
      <c r="AA252" s="468"/>
      <c r="AB252" s="468"/>
      <c r="AC252" s="468"/>
      <c r="AD252" s="468"/>
      <c r="AE252" s="462"/>
      <c r="AF252" s="463"/>
      <c r="AG252" s="464"/>
    </row>
    <row r="253" spans="5:33" ht="13.5" customHeight="1" thickBot="1">
      <c r="E253" s="4280"/>
      <c r="F253" s="1409" t="s">
        <v>585</v>
      </c>
      <c r="G253" s="3506">
        <f t="shared" ref="G253:P253" si="188">G251-G252</f>
        <v>0</v>
      </c>
      <c r="H253" s="657">
        <f t="shared" si="188"/>
        <v>0</v>
      </c>
      <c r="I253" s="657">
        <f t="shared" si="188"/>
        <v>0</v>
      </c>
      <c r="J253" s="657">
        <f t="shared" si="188"/>
        <v>0</v>
      </c>
      <c r="K253" s="658">
        <f t="shared" si="188"/>
        <v>0</v>
      </c>
      <c r="L253" s="3506">
        <f t="shared" si="188"/>
        <v>0</v>
      </c>
      <c r="M253" s="657">
        <f t="shared" si="188"/>
        <v>0</v>
      </c>
      <c r="N253" s="657">
        <f t="shared" si="188"/>
        <v>0</v>
      </c>
      <c r="O253" s="657">
        <f t="shared" si="188"/>
        <v>0</v>
      </c>
      <c r="P253" s="658">
        <f t="shared" si="188"/>
        <v>0</v>
      </c>
      <c r="Q253" s="455"/>
      <c r="R253" s="455"/>
      <c r="S253" s="455"/>
      <c r="T253" s="455"/>
      <c r="U253" s="455"/>
      <c r="V253" s="455"/>
      <c r="W253" s="1172"/>
      <c r="X253" s="1172"/>
      <c r="Y253" s="1172"/>
      <c r="Z253" s="470"/>
      <c r="AA253" s="468"/>
      <c r="AB253" s="468"/>
      <c r="AC253" s="468"/>
      <c r="AD253" s="468"/>
      <c r="AE253" s="462"/>
      <c r="AF253" s="463"/>
      <c r="AG253" s="464"/>
    </row>
    <row r="254" spans="5:33" ht="12.75" customHeight="1">
      <c r="E254" s="4278" t="s">
        <v>88</v>
      </c>
      <c r="F254" s="842" t="s">
        <v>598</v>
      </c>
      <c r="G254" s="527"/>
      <c r="H254" s="528"/>
      <c r="I254" s="528"/>
      <c r="J254" s="528"/>
      <c r="K254" s="529"/>
      <c r="L254" s="538"/>
      <c r="M254" s="539"/>
      <c r="N254" s="539"/>
      <c r="O254" s="539"/>
      <c r="P254" s="540"/>
      <c r="Q254" s="134"/>
      <c r="R254" s="134"/>
      <c r="S254" s="134"/>
      <c r="T254" s="134"/>
      <c r="U254" s="134"/>
      <c r="V254" s="134"/>
      <c r="W254" s="1172"/>
      <c r="X254" s="1172"/>
      <c r="Y254" s="1172"/>
      <c r="Z254" s="470"/>
      <c r="AA254" s="468"/>
      <c r="AB254" s="468"/>
      <c r="AC254" s="468"/>
      <c r="AD254" s="468"/>
      <c r="AE254" s="462"/>
      <c r="AF254" s="463"/>
      <c r="AG254" s="464"/>
    </row>
    <row r="255" spans="5:33" ht="12.75" customHeight="1">
      <c r="E255" s="4279"/>
      <c r="F255" s="516" t="s">
        <v>559</v>
      </c>
      <c r="G255" s="470"/>
      <c r="H255" s="468"/>
      <c r="I255" s="468"/>
      <c r="J255" s="468"/>
      <c r="K255" s="530"/>
      <c r="L255" s="459"/>
      <c r="M255" s="458"/>
      <c r="N255" s="458"/>
      <c r="O255" s="458"/>
      <c r="P255" s="460"/>
      <c r="Q255" s="455"/>
      <c r="R255" s="455"/>
      <c r="S255" s="455"/>
      <c r="T255" s="455"/>
      <c r="U255" s="455"/>
      <c r="V255" s="455"/>
      <c r="W255" s="1172"/>
      <c r="X255" s="1172"/>
      <c r="Y255" s="1172"/>
      <c r="Z255" s="462"/>
      <c r="AA255" s="463"/>
      <c r="AB255" s="463"/>
      <c r="AC255" s="463"/>
      <c r="AD255" s="1190"/>
      <c r="AE255" s="353">
        <f t="shared" ref="AE255:AG255" si="189">SUM(AE252:AE254)</f>
        <v>0</v>
      </c>
      <c r="AF255" s="354">
        <f t="shared" si="189"/>
        <v>0</v>
      </c>
      <c r="AG255" s="450">
        <f t="shared" si="189"/>
        <v>0</v>
      </c>
    </row>
    <row r="256" spans="5:33" ht="12.75" customHeight="1">
      <c r="E256" s="4279"/>
      <c r="F256" s="516" t="s">
        <v>558</v>
      </c>
      <c r="G256" s="470"/>
      <c r="H256" s="468"/>
      <c r="I256" s="468"/>
      <c r="J256" s="468"/>
      <c r="K256" s="530"/>
      <c r="L256" s="459"/>
      <c r="M256" s="458"/>
      <c r="N256" s="458"/>
      <c r="O256" s="458"/>
      <c r="P256" s="460"/>
      <c r="Q256" s="455"/>
      <c r="R256" s="455"/>
      <c r="S256" s="455"/>
      <c r="T256" s="455"/>
      <c r="U256" s="455"/>
      <c r="V256" s="455"/>
      <c r="W256" s="1172"/>
      <c r="X256" s="1172"/>
      <c r="Y256" s="1172"/>
      <c r="Z256" s="462"/>
      <c r="AA256" s="463"/>
      <c r="AB256" s="463"/>
      <c r="AC256" s="463"/>
      <c r="AD256" s="1190"/>
      <c r="AE256" s="511"/>
      <c r="AF256" s="512"/>
      <c r="AG256" s="547"/>
    </row>
    <row r="257" spans="5:33" ht="12.75" customHeight="1">
      <c r="E257" s="4279"/>
      <c r="F257" s="516" t="s">
        <v>564</v>
      </c>
      <c r="G257" s="470"/>
      <c r="H257" s="468"/>
      <c r="I257" s="468"/>
      <c r="J257" s="468"/>
      <c r="K257" s="530"/>
      <c r="L257" s="459"/>
      <c r="M257" s="458"/>
      <c r="N257" s="458"/>
      <c r="O257" s="458"/>
      <c r="P257" s="460"/>
      <c r="Q257" s="455"/>
      <c r="R257" s="455"/>
      <c r="S257" s="455"/>
      <c r="T257" s="455"/>
      <c r="U257" s="455"/>
      <c r="V257" s="455"/>
      <c r="W257" s="1172"/>
      <c r="X257" s="1172"/>
      <c r="Y257" s="1172"/>
      <c r="Z257" s="462"/>
      <c r="AA257" s="463"/>
      <c r="AB257" s="463"/>
      <c r="AC257" s="463"/>
      <c r="AD257" s="1190"/>
      <c r="AE257" s="462"/>
      <c r="AF257" s="463"/>
      <c r="AG257" s="464"/>
    </row>
    <row r="258" spans="5:33" ht="12.75" customHeight="1">
      <c r="E258" s="4279"/>
      <c r="F258" s="517" t="s">
        <v>566</v>
      </c>
      <c r="G258" s="459"/>
      <c r="H258" s="458"/>
      <c r="I258" s="458"/>
      <c r="J258" s="458"/>
      <c r="K258" s="460"/>
      <c r="L258" s="353">
        <f t="shared" ref="L258:P258" si="190">SUM(L255:L257)</f>
        <v>0</v>
      </c>
      <c r="M258" s="354">
        <f t="shared" si="190"/>
        <v>0</v>
      </c>
      <c r="N258" s="354">
        <f t="shared" si="190"/>
        <v>0</v>
      </c>
      <c r="O258" s="354">
        <f t="shared" si="190"/>
        <v>0</v>
      </c>
      <c r="P258" s="450">
        <f t="shared" si="190"/>
        <v>0</v>
      </c>
      <c r="Q258" s="455"/>
      <c r="R258" s="455"/>
      <c r="S258" s="455"/>
      <c r="T258" s="455"/>
      <c r="U258" s="455"/>
      <c r="V258" s="455"/>
      <c r="W258" s="1172"/>
      <c r="X258" s="1172"/>
      <c r="Y258" s="1172"/>
      <c r="Z258" s="353">
        <f>SUM(Z255:Z257)</f>
        <v>0</v>
      </c>
      <c r="AA258" s="354">
        <f t="shared" ref="AA258:AD258" si="191">SUM(AA255:AA257)</f>
        <v>0</v>
      </c>
      <c r="AB258" s="354">
        <f t="shared" si="191"/>
        <v>0</v>
      </c>
      <c r="AC258" s="354">
        <f t="shared" si="191"/>
        <v>0</v>
      </c>
      <c r="AD258" s="626">
        <f t="shared" si="191"/>
        <v>0</v>
      </c>
      <c r="AE258" s="353">
        <f t="shared" ref="AE258:AF258" si="192">SUM(AE256:AE257)</f>
        <v>0</v>
      </c>
      <c r="AF258" s="354">
        <f t="shared" si="192"/>
        <v>0</v>
      </c>
      <c r="AG258" s="450">
        <f t="shared" ref="AG258" si="193">SUM(AG255:AG257)</f>
        <v>0</v>
      </c>
    </row>
    <row r="259" spans="5:33" ht="12.75" customHeight="1">
      <c r="E259" s="4279"/>
      <c r="F259" s="516" t="s">
        <v>583</v>
      </c>
      <c r="G259" s="459"/>
      <c r="H259" s="458"/>
      <c r="I259" s="458"/>
      <c r="J259" s="458"/>
      <c r="K259" s="460"/>
      <c r="L259" s="511"/>
      <c r="M259" s="512"/>
      <c r="N259" s="512"/>
      <c r="O259" s="512"/>
      <c r="P259" s="547"/>
      <c r="Q259" s="455"/>
      <c r="R259" s="455"/>
      <c r="S259" s="455"/>
      <c r="T259" s="455"/>
      <c r="U259" s="455"/>
      <c r="V259" s="455"/>
      <c r="W259" s="1172"/>
      <c r="X259" s="1172"/>
      <c r="Y259" s="1172"/>
      <c r="Z259" s="462"/>
      <c r="AA259" s="463"/>
      <c r="AB259" s="463"/>
      <c r="AC259" s="463"/>
      <c r="AD259" s="1190"/>
      <c r="AE259" s="462"/>
      <c r="AF259" s="463"/>
      <c r="AG259" s="464"/>
    </row>
    <row r="260" spans="5:33" ht="13.5" customHeight="1" thickBot="1">
      <c r="E260" s="4279"/>
      <c r="F260" s="516" t="s">
        <v>581</v>
      </c>
      <c r="G260" s="459"/>
      <c r="H260" s="458"/>
      <c r="I260" s="458"/>
      <c r="J260" s="458"/>
      <c r="K260" s="460"/>
      <c r="L260" s="462"/>
      <c r="M260" s="463"/>
      <c r="N260" s="463"/>
      <c r="O260" s="463"/>
      <c r="P260" s="464"/>
      <c r="Q260" s="455"/>
      <c r="R260" s="455"/>
      <c r="S260" s="455"/>
      <c r="T260" s="455"/>
      <c r="U260" s="455"/>
      <c r="V260" s="455"/>
      <c r="W260" s="1172"/>
      <c r="X260" s="1172"/>
      <c r="Y260" s="1172"/>
      <c r="Z260" s="1370">
        <f>Z258-Z259</f>
        <v>0</v>
      </c>
      <c r="AA260" s="356">
        <f t="shared" ref="AA260:AG260" si="194">AA258-AA259</f>
        <v>0</v>
      </c>
      <c r="AB260" s="356">
        <f t="shared" si="194"/>
        <v>0</v>
      </c>
      <c r="AC260" s="356">
        <f t="shared" si="194"/>
        <v>0</v>
      </c>
      <c r="AD260" s="627">
        <f t="shared" si="194"/>
        <v>0</v>
      </c>
      <c r="AE260" s="1370">
        <f t="shared" si="194"/>
        <v>0</v>
      </c>
      <c r="AF260" s="356">
        <f t="shared" si="194"/>
        <v>0</v>
      </c>
      <c r="AG260" s="503">
        <f t="shared" si="194"/>
        <v>0</v>
      </c>
    </row>
    <row r="261" spans="5:33" ht="12.75" customHeight="1">
      <c r="E261" s="4279"/>
      <c r="F261" s="517" t="s">
        <v>584</v>
      </c>
      <c r="G261" s="353">
        <f t="shared" ref="G261:P261" si="195">SUM(G259:G260)</f>
        <v>0</v>
      </c>
      <c r="H261" s="354">
        <f t="shared" si="195"/>
        <v>0</v>
      </c>
      <c r="I261" s="354">
        <f t="shared" si="195"/>
        <v>0</v>
      </c>
      <c r="J261" s="354">
        <f t="shared" si="195"/>
        <v>0</v>
      </c>
      <c r="K261" s="450">
        <f t="shared" si="195"/>
        <v>0</v>
      </c>
      <c r="L261" s="353">
        <f t="shared" si="195"/>
        <v>0</v>
      </c>
      <c r="M261" s="354">
        <f t="shared" si="195"/>
        <v>0</v>
      </c>
      <c r="N261" s="354">
        <f t="shared" si="195"/>
        <v>0</v>
      </c>
      <c r="O261" s="354">
        <f t="shared" si="195"/>
        <v>0</v>
      </c>
      <c r="P261" s="450">
        <f t="shared" si="195"/>
        <v>0</v>
      </c>
      <c r="Q261" s="455"/>
      <c r="R261" s="455"/>
      <c r="S261" s="455"/>
      <c r="T261" s="455"/>
      <c r="U261" s="455"/>
      <c r="V261" s="455"/>
      <c r="W261" s="1172"/>
      <c r="X261" s="1172"/>
      <c r="Y261" s="1172"/>
      <c r="Z261" s="1163">
        <f t="shared" ref="Z261:AG261" si="196">SUMIF($F$21:$F$220,"Total direct expenditure ",Z$21:Z$260)</f>
        <v>0</v>
      </c>
      <c r="AA261" s="629">
        <f t="shared" si="196"/>
        <v>0</v>
      </c>
      <c r="AB261" s="629">
        <f t="shared" si="196"/>
        <v>0</v>
      </c>
      <c r="AC261" s="629">
        <f t="shared" si="196"/>
        <v>0</v>
      </c>
      <c r="AD261" s="630">
        <f t="shared" si="196"/>
        <v>0</v>
      </c>
      <c r="AE261" s="1163">
        <f t="shared" si="196"/>
        <v>0</v>
      </c>
      <c r="AF261" s="629">
        <f t="shared" si="196"/>
        <v>0</v>
      </c>
      <c r="AG261" s="1163">
        <f t="shared" si="196"/>
        <v>0</v>
      </c>
    </row>
    <row r="262" spans="5:33" ht="12.75" customHeight="1">
      <c r="E262" s="4279"/>
      <c r="F262" s="516" t="s">
        <v>35</v>
      </c>
      <c r="G262" s="459"/>
      <c r="H262" s="458"/>
      <c r="I262" s="458"/>
      <c r="J262" s="458"/>
      <c r="K262" s="460"/>
      <c r="L262" s="459"/>
      <c r="M262" s="458"/>
      <c r="N262" s="458"/>
      <c r="O262" s="458"/>
      <c r="P262" s="460"/>
      <c r="Q262" s="455"/>
      <c r="R262" s="455"/>
      <c r="S262" s="455"/>
      <c r="T262" s="455"/>
      <c r="U262" s="455"/>
      <c r="V262" s="455"/>
      <c r="W262" s="1172"/>
      <c r="X262" s="1172"/>
      <c r="Y262" s="1172"/>
      <c r="Z262" s="1163">
        <f t="shared" ref="Z262:AG262" si="197">SUMIF($F$21:$F$220,"Total overhead expenditure",Z$21:Z$260)</f>
        <v>0</v>
      </c>
      <c r="AA262" s="629">
        <f t="shared" si="197"/>
        <v>0</v>
      </c>
      <c r="AB262" s="629">
        <f t="shared" si="197"/>
        <v>0</v>
      </c>
      <c r="AC262" s="629">
        <f t="shared" si="197"/>
        <v>0</v>
      </c>
      <c r="AD262" s="630">
        <f t="shared" si="197"/>
        <v>0</v>
      </c>
      <c r="AE262" s="1163">
        <f t="shared" si="197"/>
        <v>0</v>
      </c>
      <c r="AF262" s="629">
        <f t="shared" si="197"/>
        <v>0</v>
      </c>
      <c r="AG262" s="1163">
        <f t="shared" si="197"/>
        <v>0</v>
      </c>
    </row>
    <row r="263" spans="5:33" ht="13.5" customHeight="1" thickBot="1">
      <c r="E263" s="4280"/>
      <c r="F263" s="1409" t="s">
        <v>585</v>
      </c>
      <c r="G263" s="3506">
        <f t="shared" ref="G263:P263" si="198">G261-G262</f>
        <v>0</v>
      </c>
      <c r="H263" s="657">
        <f t="shared" si="198"/>
        <v>0</v>
      </c>
      <c r="I263" s="657">
        <f t="shared" si="198"/>
        <v>0</v>
      </c>
      <c r="J263" s="657">
        <f t="shared" si="198"/>
        <v>0</v>
      </c>
      <c r="K263" s="658">
        <f t="shared" si="198"/>
        <v>0</v>
      </c>
      <c r="L263" s="3506">
        <f t="shared" si="198"/>
        <v>0</v>
      </c>
      <c r="M263" s="657">
        <f t="shared" si="198"/>
        <v>0</v>
      </c>
      <c r="N263" s="657">
        <f t="shared" si="198"/>
        <v>0</v>
      </c>
      <c r="O263" s="657">
        <f t="shared" si="198"/>
        <v>0</v>
      </c>
      <c r="P263" s="658">
        <f t="shared" si="198"/>
        <v>0</v>
      </c>
      <c r="Q263" s="455"/>
      <c r="R263" s="455"/>
      <c r="S263" s="455"/>
      <c r="T263" s="455"/>
      <c r="U263" s="455"/>
      <c r="V263" s="455"/>
      <c r="W263" s="1172"/>
      <c r="X263" s="1172"/>
      <c r="Y263" s="1172"/>
      <c r="Z263" s="1163">
        <f t="shared" ref="Z263:AG263" si="199">SUMIF($F$21:$F$220,"Related party margin expenditure",Z$21:Z$260)</f>
        <v>0</v>
      </c>
      <c r="AA263" s="629">
        <f t="shared" si="199"/>
        <v>0</v>
      </c>
      <c r="AB263" s="629">
        <f t="shared" si="199"/>
        <v>0</v>
      </c>
      <c r="AC263" s="629">
        <f t="shared" si="199"/>
        <v>0</v>
      </c>
      <c r="AD263" s="630">
        <f t="shared" si="199"/>
        <v>0</v>
      </c>
      <c r="AE263" s="1163">
        <f t="shared" si="199"/>
        <v>0</v>
      </c>
      <c r="AF263" s="629">
        <f t="shared" si="199"/>
        <v>0</v>
      </c>
      <c r="AG263" s="1163">
        <f t="shared" si="199"/>
        <v>0</v>
      </c>
    </row>
    <row r="264" spans="5:33" ht="12.75" customHeight="1">
      <c r="E264" s="4275" t="s">
        <v>341</v>
      </c>
      <c r="F264" s="1365" t="s">
        <v>579</v>
      </c>
      <c r="G264" s="646">
        <f t="shared" ref="G264:P264" si="200">SUMIF($F$234:$F$263,"Total direct expenditure ",G$234:G$263)</f>
        <v>0</v>
      </c>
      <c r="H264" s="647">
        <f t="shared" si="200"/>
        <v>0</v>
      </c>
      <c r="I264" s="647">
        <f t="shared" si="200"/>
        <v>0</v>
      </c>
      <c r="J264" s="647">
        <f t="shared" si="200"/>
        <v>0</v>
      </c>
      <c r="K264" s="648">
        <f t="shared" si="200"/>
        <v>0</v>
      </c>
      <c r="L264" s="646">
        <f t="shared" si="200"/>
        <v>2755.6256160757507</v>
      </c>
      <c r="M264" s="647">
        <f t="shared" si="200"/>
        <v>4528.7932682983992</v>
      </c>
      <c r="N264" s="647">
        <f t="shared" si="200"/>
        <v>5182.7706093568786</v>
      </c>
      <c r="O264" s="647">
        <f t="shared" si="200"/>
        <v>5093.2303526979149</v>
      </c>
      <c r="P264" s="1244">
        <f t="shared" si="200"/>
        <v>4050.1417323140113</v>
      </c>
      <c r="Q264" s="134"/>
      <c r="R264" s="134"/>
      <c r="S264" s="134"/>
      <c r="T264" s="134"/>
      <c r="U264" s="134"/>
      <c r="V264" s="134"/>
      <c r="W264" s="1172"/>
      <c r="X264" s="1172"/>
      <c r="Y264" s="1172"/>
      <c r="Z264" s="652">
        <f t="shared" ref="Z264:AG264" si="201">SUMIF($F$21:$F$220,"Total gross expenditure",Z$21:Z$260)</f>
        <v>0</v>
      </c>
      <c r="AA264" s="631">
        <f t="shared" si="201"/>
        <v>0</v>
      </c>
      <c r="AB264" s="631">
        <f t="shared" si="201"/>
        <v>0</v>
      </c>
      <c r="AC264" s="631">
        <f t="shared" si="201"/>
        <v>0</v>
      </c>
      <c r="AD264" s="632">
        <f t="shared" si="201"/>
        <v>0</v>
      </c>
      <c r="AE264" s="652">
        <f t="shared" si="201"/>
        <v>0</v>
      </c>
      <c r="AF264" s="631">
        <f t="shared" si="201"/>
        <v>0</v>
      </c>
      <c r="AG264" s="652">
        <f t="shared" si="201"/>
        <v>0</v>
      </c>
    </row>
    <row r="265" spans="5:33" ht="12.75" customHeight="1">
      <c r="E265" s="4276"/>
      <c r="F265" s="1361" t="s">
        <v>617</v>
      </c>
      <c r="G265" s="649">
        <f t="shared" ref="G265:P265" si="202">SUMIF($F$234:$F$263,"Total overhead expenditure",G$234:G$263)</f>
        <v>0</v>
      </c>
      <c r="H265" s="650">
        <f t="shared" si="202"/>
        <v>0</v>
      </c>
      <c r="I265" s="650">
        <f t="shared" si="202"/>
        <v>0</v>
      </c>
      <c r="J265" s="650">
        <f t="shared" si="202"/>
        <v>0</v>
      </c>
      <c r="K265" s="651">
        <f t="shared" si="202"/>
        <v>0</v>
      </c>
      <c r="L265" s="649">
        <f t="shared" si="202"/>
        <v>0</v>
      </c>
      <c r="M265" s="650">
        <f t="shared" si="202"/>
        <v>0</v>
      </c>
      <c r="N265" s="650">
        <f t="shared" si="202"/>
        <v>0</v>
      </c>
      <c r="O265" s="650">
        <f t="shared" si="202"/>
        <v>0</v>
      </c>
      <c r="P265" s="1245">
        <f t="shared" si="202"/>
        <v>0</v>
      </c>
      <c r="Q265" s="121"/>
      <c r="R265" s="23"/>
      <c r="S265" s="23"/>
      <c r="T265" s="23"/>
      <c r="U265" s="23"/>
      <c r="V265" s="23"/>
      <c r="W265" s="1172"/>
      <c r="X265" s="1172"/>
      <c r="Y265" s="1172"/>
      <c r="Z265" s="1163">
        <f t="shared" ref="Z265:AG265" si="203">SUMIF($F$21:$F$220,"Less customer contributions",Z$21:Z$260)</f>
        <v>0</v>
      </c>
      <c r="AA265" s="629">
        <f t="shared" si="203"/>
        <v>0</v>
      </c>
      <c r="AB265" s="629">
        <f t="shared" si="203"/>
        <v>0</v>
      </c>
      <c r="AC265" s="629">
        <f t="shared" si="203"/>
        <v>0</v>
      </c>
      <c r="AD265" s="630">
        <f t="shared" si="203"/>
        <v>0</v>
      </c>
      <c r="AE265" s="1163">
        <f t="shared" si="203"/>
        <v>0</v>
      </c>
      <c r="AF265" s="629">
        <f t="shared" si="203"/>
        <v>0</v>
      </c>
      <c r="AG265" s="1163">
        <f t="shared" si="203"/>
        <v>0</v>
      </c>
    </row>
    <row r="266" spans="5:33" ht="13.5" customHeight="1" thickBot="1">
      <c r="E266" s="4276"/>
      <c r="F266" s="1361" t="s">
        <v>581</v>
      </c>
      <c r="G266" s="649">
        <f t="shared" ref="G266:P266" si="204">SUMIF($F$234:$F$263,"Related party margin expenditure",G$234:G$263)</f>
        <v>0</v>
      </c>
      <c r="H266" s="650">
        <f t="shared" si="204"/>
        <v>0</v>
      </c>
      <c r="I266" s="650">
        <f t="shared" si="204"/>
        <v>0</v>
      </c>
      <c r="J266" s="650">
        <f t="shared" si="204"/>
        <v>0</v>
      </c>
      <c r="K266" s="651">
        <f t="shared" si="204"/>
        <v>0</v>
      </c>
      <c r="L266" s="649">
        <f t="shared" si="204"/>
        <v>0</v>
      </c>
      <c r="M266" s="650">
        <f t="shared" si="204"/>
        <v>0</v>
      </c>
      <c r="N266" s="650">
        <f t="shared" si="204"/>
        <v>0</v>
      </c>
      <c r="O266" s="650">
        <f t="shared" si="204"/>
        <v>0</v>
      </c>
      <c r="P266" s="1245">
        <f t="shared" si="204"/>
        <v>0</v>
      </c>
      <c r="Q266" s="23"/>
      <c r="R266" s="23"/>
      <c r="S266" s="23"/>
      <c r="T266" s="23"/>
      <c r="U266" s="23"/>
      <c r="V266" s="23"/>
      <c r="W266" s="1172"/>
      <c r="X266" s="1172"/>
      <c r="Y266" s="1172"/>
      <c r="Z266" s="1704">
        <f t="shared" ref="Z266:AG266" si="205">SUMIF($F$21:$F$220,"Total net expenditure",Z$21:Z$260)</f>
        <v>0</v>
      </c>
      <c r="AA266" s="633">
        <f t="shared" si="205"/>
        <v>0</v>
      </c>
      <c r="AB266" s="633">
        <f t="shared" si="205"/>
        <v>0</v>
      </c>
      <c r="AC266" s="633">
        <f t="shared" si="205"/>
        <v>0</v>
      </c>
      <c r="AD266" s="634">
        <f t="shared" si="205"/>
        <v>0</v>
      </c>
      <c r="AE266" s="1705">
        <f t="shared" si="205"/>
        <v>0</v>
      </c>
      <c r="AF266" s="654">
        <f t="shared" si="205"/>
        <v>0</v>
      </c>
      <c r="AG266" s="1705">
        <f t="shared" si="205"/>
        <v>0</v>
      </c>
    </row>
    <row r="267" spans="5:33" ht="13.5" customHeight="1" thickBot="1">
      <c r="E267" s="4276"/>
      <c r="F267" s="1422" t="s">
        <v>584</v>
      </c>
      <c r="G267" s="652">
        <f t="shared" ref="G267:P267" si="206">SUMIF($F$234:$F$263,"Total gross expenditure",G$234:G$263)</f>
        <v>0</v>
      </c>
      <c r="H267" s="631">
        <f t="shared" si="206"/>
        <v>0</v>
      </c>
      <c r="I267" s="631">
        <f t="shared" si="206"/>
        <v>0</v>
      </c>
      <c r="J267" s="631">
        <f t="shared" si="206"/>
        <v>0</v>
      </c>
      <c r="K267" s="632">
        <f t="shared" si="206"/>
        <v>0</v>
      </c>
      <c r="L267" s="652">
        <f t="shared" si="206"/>
        <v>0</v>
      </c>
      <c r="M267" s="631">
        <f t="shared" si="206"/>
        <v>0</v>
      </c>
      <c r="N267" s="631">
        <f t="shared" si="206"/>
        <v>0</v>
      </c>
      <c r="O267" s="631">
        <f t="shared" si="206"/>
        <v>0</v>
      </c>
      <c r="P267" s="653">
        <f t="shared" si="206"/>
        <v>0</v>
      </c>
      <c r="Q267" s="156"/>
      <c r="R267" s="134"/>
      <c r="S267" s="134"/>
      <c r="T267" s="134"/>
      <c r="U267" s="134"/>
      <c r="V267" s="134"/>
      <c r="W267" s="1172"/>
      <c r="X267" s="1172"/>
      <c r="Y267" s="1172"/>
      <c r="Z267" s="1706"/>
      <c r="AA267" s="1707"/>
      <c r="AB267" s="1707"/>
      <c r="AC267" s="1707"/>
      <c r="AD267" s="1707"/>
      <c r="AE267" s="1707"/>
      <c r="AF267" s="1707"/>
      <c r="AG267" s="1707"/>
    </row>
    <row r="268" spans="5:33" ht="12.75" customHeight="1">
      <c r="E268" s="4276"/>
      <c r="F268" s="1361" t="s">
        <v>35</v>
      </c>
      <c r="G268" s="649">
        <f t="shared" ref="G268:P268" si="207">SUMIF($F$234:$F$263,"Less customer contributions",G$234:G$263)</f>
        <v>0</v>
      </c>
      <c r="H268" s="650">
        <f t="shared" si="207"/>
        <v>0</v>
      </c>
      <c r="I268" s="650">
        <f t="shared" si="207"/>
        <v>0</v>
      </c>
      <c r="J268" s="650">
        <f t="shared" si="207"/>
        <v>0</v>
      </c>
      <c r="K268" s="651">
        <f t="shared" si="207"/>
        <v>0</v>
      </c>
      <c r="L268" s="649">
        <f t="shared" si="207"/>
        <v>0</v>
      </c>
      <c r="M268" s="650">
        <f t="shared" si="207"/>
        <v>0</v>
      </c>
      <c r="N268" s="650">
        <f t="shared" si="207"/>
        <v>0</v>
      </c>
      <c r="O268" s="650">
        <f t="shared" si="207"/>
        <v>0</v>
      </c>
      <c r="P268" s="1245">
        <f t="shared" si="207"/>
        <v>0</v>
      </c>
      <c r="Q268" s="138"/>
      <c r="R268" s="133"/>
      <c r="S268" s="133"/>
      <c r="T268" s="133"/>
      <c r="U268" s="133"/>
      <c r="V268" s="133"/>
      <c r="W268" s="1172"/>
      <c r="X268" s="1172"/>
      <c r="Y268" s="1172"/>
      <c r="Z268" s="82"/>
      <c r="AA268" s="82"/>
      <c r="AB268" s="82"/>
      <c r="AC268" s="82"/>
      <c r="AD268" s="82"/>
      <c r="AE268" s="82"/>
      <c r="AF268" s="82"/>
    </row>
    <row r="269" spans="5:33" ht="13.5" customHeight="1" thickBot="1">
      <c r="E269" s="4277"/>
      <c r="F269" s="1423" t="s">
        <v>619</v>
      </c>
      <c r="G269" s="1705">
        <f t="shared" ref="G269:P269" si="208">SUMIF($F$234:$F$263,"Total net expenditure",G$234:G$263)</f>
        <v>0</v>
      </c>
      <c r="H269" s="654">
        <f t="shared" si="208"/>
        <v>0</v>
      </c>
      <c r="I269" s="654">
        <f t="shared" si="208"/>
        <v>0</v>
      </c>
      <c r="J269" s="654">
        <f t="shared" si="208"/>
        <v>0</v>
      </c>
      <c r="K269" s="655">
        <f t="shared" si="208"/>
        <v>0</v>
      </c>
      <c r="L269" s="1705">
        <f t="shared" si="208"/>
        <v>0</v>
      </c>
      <c r="M269" s="654">
        <f t="shared" si="208"/>
        <v>0</v>
      </c>
      <c r="N269" s="654">
        <f t="shared" si="208"/>
        <v>0</v>
      </c>
      <c r="O269" s="654">
        <f t="shared" si="208"/>
        <v>0</v>
      </c>
      <c r="P269" s="656">
        <f t="shared" si="208"/>
        <v>0</v>
      </c>
      <c r="Q269" s="138"/>
      <c r="R269" s="133"/>
      <c r="S269" s="133"/>
      <c r="T269" s="133"/>
      <c r="U269" s="133"/>
      <c r="V269" s="133"/>
      <c r="W269" s="1172"/>
      <c r="X269" s="1172"/>
      <c r="Y269" s="1172"/>
      <c r="Z269" s="1172"/>
      <c r="AA269" s="1172"/>
      <c r="AB269" s="1172"/>
      <c r="AC269" s="1172"/>
      <c r="AD269" s="1172"/>
      <c r="AE269" s="1172"/>
      <c r="AF269" s="1172"/>
    </row>
    <row r="270" spans="5:33" ht="13.5" thickBot="1">
      <c r="E270" s="4059" t="s">
        <v>121</v>
      </c>
      <c r="F270" s="4060"/>
      <c r="G270" s="3983"/>
      <c r="H270" s="3983"/>
      <c r="I270" s="3983"/>
      <c r="J270" s="3983"/>
      <c r="K270" s="3983"/>
      <c r="L270" s="3983" t="s">
        <v>1788</v>
      </c>
      <c r="M270" s="3983"/>
      <c r="N270" s="3983"/>
      <c r="O270" s="3983"/>
      <c r="P270" s="3983"/>
      <c r="Q270" s="138"/>
      <c r="R270" s="133"/>
      <c r="S270" s="133"/>
      <c r="T270" s="133"/>
      <c r="U270" s="133"/>
      <c r="V270" s="133"/>
      <c r="W270" s="1172"/>
      <c r="X270" s="1172"/>
      <c r="Y270" s="1172"/>
      <c r="Z270" s="1172"/>
      <c r="AA270" s="1172"/>
      <c r="AB270" s="1172"/>
      <c r="AC270" s="1172"/>
      <c r="AD270" s="1172"/>
      <c r="AE270" s="1172"/>
      <c r="AF270" s="1172"/>
    </row>
    <row r="271" spans="5:33">
      <c r="E271" s="474"/>
      <c r="G271" s="1172"/>
      <c r="H271" s="1172"/>
      <c r="I271" s="1172"/>
      <c r="J271" s="1172"/>
      <c r="K271" s="1172"/>
      <c r="L271" s="514"/>
      <c r="M271" s="514"/>
      <c r="N271" s="514"/>
      <c r="O271" s="514"/>
      <c r="P271" s="514"/>
      <c r="Q271" s="515"/>
      <c r="R271" s="515"/>
      <c r="S271" s="515"/>
      <c r="T271" s="515"/>
      <c r="U271" s="515"/>
      <c r="V271" s="515"/>
      <c r="W271" s="1172"/>
      <c r="X271" s="1172"/>
      <c r="Y271" s="1172"/>
      <c r="Z271" s="1172"/>
      <c r="AA271" s="1172"/>
      <c r="AB271" s="1172"/>
      <c r="AC271" s="1172"/>
      <c r="AD271" s="1172"/>
      <c r="AE271" s="1172"/>
      <c r="AF271" s="1172"/>
    </row>
    <row r="272" spans="5:33">
      <c r="E272" s="474"/>
      <c r="G272" s="474"/>
      <c r="H272" s="474"/>
      <c r="I272" s="474"/>
      <c r="J272" s="474"/>
      <c r="K272" s="474"/>
      <c r="M272" s="474"/>
      <c r="N272" s="474"/>
      <c r="O272" s="474"/>
      <c r="P272" s="474"/>
      <c r="Q272" s="474"/>
      <c r="R272" s="474"/>
      <c r="S272" s="474"/>
      <c r="T272" s="474"/>
      <c r="U272" s="474"/>
      <c r="V272" s="474"/>
      <c r="W272" s="1172"/>
      <c r="X272" s="1172"/>
      <c r="Y272" s="1172"/>
      <c r="Z272" s="1172"/>
      <c r="AA272" s="1172"/>
      <c r="AB272" s="1172"/>
      <c r="AC272" s="1172"/>
      <c r="AD272" s="1172"/>
      <c r="AE272" s="1172"/>
      <c r="AF272" s="1172"/>
    </row>
    <row r="273" spans="5:32">
      <c r="E273" s="474"/>
      <c r="G273" s="474"/>
      <c r="H273" s="474"/>
      <c r="I273" s="474"/>
      <c r="J273" s="474"/>
      <c r="K273" s="474"/>
      <c r="M273" s="474"/>
      <c r="N273" s="474"/>
      <c r="O273" s="474"/>
      <c r="P273" s="474"/>
      <c r="Q273" s="474"/>
      <c r="R273" s="474"/>
      <c r="S273" s="474"/>
      <c r="T273" s="474"/>
      <c r="U273" s="474"/>
      <c r="V273" s="474"/>
      <c r="W273" s="1172"/>
      <c r="X273" s="1172"/>
      <c r="Y273" s="1172"/>
      <c r="Z273" s="1172"/>
      <c r="AA273" s="1172"/>
      <c r="AB273" s="1172"/>
      <c r="AC273" s="1172"/>
      <c r="AD273" s="1172"/>
      <c r="AE273" s="1172"/>
      <c r="AF273" s="1172"/>
    </row>
    <row r="274" spans="5:32">
      <c r="E274" s="474"/>
      <c r="G274" s="474"/>
      <c r="H274" s="474"/>
      <c r="I274" s="474"/>
      <c r="J274" s="474"/>
      <c r="K274" s="474"/>
      <c r="M274" s="474"/>
      <c r="N274" s="474"/>
      <c r="O274" s="474"/>
      <c r="P274" s="474"/>
      <c r="Q274" s="474"/>
      <c r="R274" s="474"/>
      <c r="S274" s="474"/>
      <c r="T274" s="474"/>
      <c r="U274" s="474"/>
      <c r="V274" s="474"/>
      <c r="W274" s="1172"/>
      <c r="X274" s="1172"/>
      <c r="Y274" s="1172"/>
      <c r="Z274" s="1172"/>
      <c r="AA274" s="1172"/>
      <c r="AB274" s="1172"/>
      <c r="AC274" s="1172"/>
      <c r="AD274" s="1172"/>
      <c r="AE274" s="1172"/>
      <c r="AF274" s="1172"/>
    </row>
    <row r="275" spans="5:32">
      <c r="E275" s="474"/>
      <c r="G275" s="474"/>
      <c r="H275" s="474"/>
      <c r="I275" s="474"/>
      <c r="J275" s="474"/>
      <c r="K275" s="474"/>
      <c r="M275" s="474"/>
      <c r="N275" s="474"/>
      <c r="O275" s="474"/>
      <c r="P275" s="474"/>
      <c r="Q275" s="474"/>
      <c r="R275" s="474"/>
      <c r="S275" s="474"/>
      <c r="T275" s="474"/>
      <c r="U275" s="474"/>
      <c r="V275" s="474"/>
      <c r="W275" s="1172"/>
      <c r="X275" s="1172"/>
      <c r="Y275" s="1172"/>
      <c r="Z275" s="1172"/>
      <c r="AA275" s="1172"/>
      <c r="AB275" s="1172"/>
      <c r="AC275" s="1172"/>
      <c r="AD275" s="1172"/>
      <c r="AE275" s="1172"/>
      <c r="AF275" s="1172"/>
    </row>
    <row r="276" spans="5:32">
      <c r="E276" s="474"/>
      <c r="G276" s="474"/>
      <c r="H276" s="474"/>
      <c r="I276" s="474"/>
      <c r="J276" s="474"/>
      <c r="K276" s="474"/>
      <c r="M276" s="474"/>
      <c r="N276" s="474"/>
      <c r="O276" s="474"/>
      <c r="P276" s="474"/>
      <c r="Q276" s="474"/>
      <c r="R276" s="474"/>
      <c r="S276" s="474"/>
      <c r="T276" s="474"/>
      <c r="U276" s="474"/>
      <c r="V276" s="474"/>
      <c r="W276" s="1172"/>
      <c r="X276" s="1172"/>
      <c r="Y276" s="1172"/>
      <c r="Z276" s="1172"/>
      <c r="AA276" s="1172"/>
      <c r="AB276" s="1172"/>
      <c r="AC276" s="1172"/>
      <c r="AD276" s="1172"/>
      <c r="AE276" s="1172"/>
      <c r="AF276" s="1172"/>
    </row>
    <row r="277" spans="5:32">
      <c r="E277" s="474"/>
      <c r="G277" s="474"/>
      <c r="H277" s="474"/>
      <c r="I277" s="474"/>
      <c r="J277" s="474"/>
      <c r="K277" s="474"/>
      <c r="M277" s="474"/>
      <c r="N277" s="474"/>
      <c r="O277" s="474"/>
      <c r="P277" s="474"/>
      <c r="Q277" s="474"/>
      <c r="R277" s="474"/>
      <c r="S277" s="474"/>
      <c r="T277" s="474"/>
      <c r="U277" s="474"/>
      <c r="V277" s="474"/>
      <c r="W277" s="1172"/>
      <c r="X277" s="1172"/>
      <c r="Y277" s="1172"/>
      <c r="Z277" s="1172"/>
      <c r="AA277" s="1172"/>
      <c r="AB277" s="1172"/>
      <c r="AC277" s="1172"/>
      <c r="AD277" s="1172"/>
      <c r="AE277" s="1172"/>
      <c r="AF277" s="1172"/>
    </row>
    <row r="278" spans="5:32">
      <c r="E278" s="474"/>
      <c r="G278" s="474"/>
      <c r="H278" s="474"/>
      <c r="I278" s="474"/>
      <c r="J278" s="474"/>
      <c r="K278" s="474"/>
      <c r="M278" s="474"/>
      <c r="N278" s="474"/>
      <c r="O278" s="474"/>
      <c r="P278" s="474"/>
      <c r="Q278" s="474"/>
      <c r="R278" s="474"/>
      <c r="S278" s="474"/>
      <c r="T278" s="474"/>
      <c r="U278" s="474"/>
      <c r="V278" s="474"/>
      <c r="W278" s="1172"/>
      <c r="X278" s="1172"/>
      <c r="Y278" s="1172"/>
      <c r="Z278" s="1172"/>
      <c r="AA278" s="1172"/>
      <c r="AB278" s="1172"/>
      <c r="AC278" s="1172"/>
      <c r="AD278" s="1172"/>
      <c r="AE278" s="1172"/>
      <c r="AF278" s="1172"/>
    </row>
    <row r="279" spans="5:32">
      <c r="E279" s="474"/>
      <c r="G279" s="474"/>
      <c r="H279" s="474"/>
      <c r="I279" s="474"/>
      <c r="J279" s="474"/>
      <c r="K279" s="474"/>
      <c r="M279" s="474"/>
      <c r="N279" s="474"/>
      <c r="O279" s="474"/>
      <c r="P279" s="474"/>
      <c r="Q279" s="474"/>
      <c r="R279" s="474"/>
      <c r="S279" s="474"/>
      <c r="T279" s="474"/>
      <c r="U279" s="474"/>
      <c r="V279" s="474"/>
      <c r="W279" s="1172"/>
      <c r="X279" s="1172"/>
      <c r="Y279" s="1172"/>
      <c r="Z279" s="1172"/>
      <c r="AA279" s="1172"/>
      <c r="AB279" s="1172"/>
      <c r="AC279" s="1172"/>
      <c r="AD279" s="1172"/>
      <c r="AE279" s="1172"/>
      <c r="AF279" s="1172"/>
    </row>
    <row r="280" spans="5:32">
      <c r="E280" s="474"/>
      <c r="G280" s="474"/>
      <c r="H280" s="474"/>
      <c r="I280" s="474"/>
      <c r="J280" s="474"/>
      <c r="K280" s="474"/>
      <c r="M280" s="474"/>
      <c r="N280" s="474"/>
      <c r="O280" s="474"/>
      <c r="P280" s="474"/>
      <c r="Q280" s="474"/>
      <c r="R280" s="474"/>
      <c r="S280" s="474"/>
      <c r="T280" s="474"/>
      <c r="U280" s="474"/>
      <c r="V280" s="474"/>
      <c r="W280" s="1172"/>
      <c r="X280" s="1172"/>
      <c r="Y280" s="1172"/>
      <c r="Z280" s="1172"/>
      <c r="AA280" s="1172"/>
      <c r="AB280" s="1172"/>
      <c r="AC280" s="1172"/>
      <c r="AD280" s="1172"/>
      <c r="AE280" s="1172"/>
      <c r="AF280" s="1172"/>
    </row>
    <row r="281" spans="5:32">
      <c r="E281" s="474"/>
      <c r="G281" s="474"/>
      <c r="H281" s="474"/>
      <c r="I281" s="474"/>
      <c r="J281" s="474"/>
      <c r="K281" s="474"/>
      <c r="M281" s="474"/>
      <c r="N281" s="474"/>
      <c r="O281" s="474"/>
      <c r="P281" s="474"/>
      <c r="Q281" s="474"/>
      <c r="R281" s="474"/>
      <c r="S281" s="474"/>
      <c r="T281" s="474"/>
      <c r="U281" s="474"/>
      <c r="V281" s="474"/>
      <c r="W281" s="1172"/>
      <c r="X281" s="1172"/>
      <c r="Y281" s="1172"/>
      <c r="Z281" s="1172"/>
      <c r="AA281" s="1172"/>
      <c r="AB281" s="1172"/>
      <c r="AC281" s="1172"/>
      <c r="AD281" s="1172"/>
      <c r="AE281" s="1172"/>
      <c r="AF281" s="1172"/>
    </row>
    <row r="282" spans="5:32">
      <c r="E282" s="474"/>
      <c r="G282" s="474"/>
      <c r="H282" s="474"/>
      <c r="I282" s="474"/>
      <c r="J282" s="474"/>
      <c r="K282" s="474"/>
      <c r="M282" s="474"/>
      <c r="N282" s="474"/>
      <c r="O282" s="474"/>
      <c r="P282" s="474"/>
      <c r="Q282" s="474"/>
      <c r="R282" s="474"/>
      <c r="S282" s="474"/>
      <c r="T282" s="474"/>
      <c r="U282" s="474"/>
      <c r="V282" s="474"/>
      <c r="W282" s="1172"/>
      <c r="X282" s="1172"/>
      <c r="Y282" s="1172"/>
      <c r="Z282" s="1172"/>
      <c r="AA282" s="1172"/>
      <c r="AB282" s="1172"/>
      <c r="AC282" s="1172"/>
      <c r="AD282" s="1172"/>
      <c r="AE282" s="1172"/>
      <c r="AF282" s="1172"/>
    </row>
    <row r="283" spans="5:32">
      <c r="E283" s="474"/>
      <c r="G283" s="474"/>
      <c r="H283" s="474"/>
      <c r="I283" s="474"/>
      <c r="J283" s="474"/>
      <c r="K283" s="474"/>
      <c r="M283" s="474"/>
      <c r="N283" s="474"/>
      <c r="O283" s="474"/>
      <c r="P283" s="474"/>
      <c r="Q283" s="474"/>
      <c r="R283" s="474"/>
      <c r="S283" s="474"/>
      <c r="T283" s="474"/>
      <c r="U283" s="474"/>
      <c r="V283" s="474"/>
      <c r="W283" s="1172"/>
      <c r="X283" s="1172"/>
      <c r="Y283" s="1172"/>
      <c r="Z283" s="1172"/>
      <c r="AA283" s="1172"/>
      <c r="AB283" s="1172"/>
      <c r="AC283" s="1172"/>
      <c r="AD283" s="1172"/>
      <c r="AE283" s="1172"/>
      <c r="AF283" s="1172"/>
    </row>
    <row r="284" spans="5:32">
      <c r="E284" s="474"/>
      <c r="G284" s="474"/>
      <c r="H284" s="474"/>
      <c r="I284" s="474"/>
      <c r="J284" s="474"/>
      <c r="K284" s="474"/>
      <c r="M284" s="474"/>
      <c r="N284" s="474"/>
      <c r="O284" s="474"/>
      <c r="P284" s="474"/>
      <c r="Q284" s="474"/>
      <c r="R284" s="474"/>
      <c r="S284" s="474"/>
      <c r="T284" s="474"/>
      <c r="U284" s="474"/>
      <c r="V284" s="474"/>
      <c r="W284" s="1172"/>
      <c r="X284" s="1172"/>
      <c r="Y284" s="1172"/>
      <c r="Z284" s="1172"/>
      <c r="AA284" s="1172"/>
      <c r="AB284" s="1172"/>
      <c r="AC284" s="1172"/>
      <c r="AD284" s="1172"/>
      <c r="AE284" s="1172"/>
      <c r="AF284" s="1172"/>
    </row>
    <row r="285" spans="5:32">
      <c r="E285" s="474"/>
      <c r="G285" s="474"/>
      <c r="H285" s="474"/>
      <c r="I285" s="474"/>
      <c r="J285" s="474"/>
      <c r="K285" s="474"/>
      <c r="M285" s="474"/>
      <c r="N285" s="474"/>
      <c r="O285" s="474"/>
      <c r="P285" s="474"/>
      <c r="Q285" s="474"/>
      <c r="R285" s="474"/>
      <c r="S285" s="474"/>
      <c r="T285" s="474"/>
      <c r="U285" s="474"/>
      <c r="V285" s="474"/>
      <c r="W285" s="1172"/>
      <c r="X285" s="1172"/>
      <c r="Y285" s="1172"/>
      <c r="Z285" s="1172"/>
      <c r="AA285" s="1172"/>
      <c r="AB285" s="1172"/>
      <c r="AC285" s="1172"/>
      <c r="AD285" s="1172"/>
      <c r="AE285" s="1172"/>
      <c r="AF285" s="1172"/>
    </row>
    <row r="286" spans="5:32">
      <c r="E286" s="474"/>
      <c r="G286" s="474"/>
      <c r="H286" s="474"/>
      <c r="I286" s="474"/>
      <c r="J286" s="474"/>
      <c r="K286" s="474"/>
      <c r="M286" s="474"/>
      <c r="N286" s="474"/>
      <c r="O286" s="474"/>
      <c r="P286" s="474"/>
      <c r="Q286" s="474"/>
      <c r="R286" s="474"/>
      <c r="S286" s="474"/>
      <c r="T286" s="474"/>
      <c r="U286" s="474"/>
      <c r="V286" s="474"/>
      <c r="W286" s="1172"/>
      <c r="X286" s="1172"/>
      <c r="Y286" s="1172"/>
      <c r="Z286" s="1172"/>
      <c r="AA286" s="1172"/>
      <c r="AB286" s="1172"/>
      <c r="AC286" s="1172"/>
      <c r="AD286" s="1172"/>
      <c r="AE286" s="1172"/>
      <c r="AF286" s="1172"/>
    </row>
    <row r="287" spans="5:32">
      <c r="E287" s="474"/>
      <c r="G287" s="474"/>
      <c r="H287" s="474"/>
      <c r="I287" s="474"/>
      <c r="J287" s="474"/>
      <c r="K287" s="474"/>
      <c r="M287" s="474"/>
      <c r="N287" s="474"/>
      <c r="O287" s="474"/>
      <c r="P287" s="474"/>
      <c r="Q287" s="474"/>
      <c r="R287" s="474"/>
      <c r="S287" s="474"/>
      <c r="T287" s="474"/>
      <c r="U287" s="474"/>
      <c r="V287" s="474"/>
      <c r="W287" s="1172"/>
      <c r="X287" s="1172"/>
      <c r="Y287" s="1172"/>
      <c r="Z287" s="1172"/>
      <c r="AA287" s="1172"/>
      <c r="AB287" s="1172"/>
      <c r="AC287" s="1172"/>
      <c r="AD287" s="1172"/>
      <c r="AE287" s="1172"/>
      <c r="AF287" s="1172"/>
    </row>
    <row r="288" spans="5:32">
      <c r="E288" s="474"/>
      <c r="G288" s="474"/>
      <c r="H288" s="474"/>
      <c r="I288" s="474"/>
      <c r="J288" s="474"/>
      <c r="K288" s="474"/>
      <c r="M288" s="474"/>
      <c r="N288" s="474"/>
      <c r="O288" s="474"/>
      <c r="P288" s="474"/>
      <c r="Q288" s="474"/>
      <c r="R288" s="474"/>
      <c r="S288" s="474"/>
      <c r="T288" s="474"/>
      <c r="U288" s="474"/>
      <c r="V288" s="474"/>
      <c r="W288" s="1172"/>
      <c r="X288" s="1172"/>
      <c r="Y288" s="1172"/>
      <c r="Z288" s="1172"/>
      <c r="AA288" s="1172"/>
      <c r="AB288" s="1172"/>
      <c r="AC288" s="1172"/>
      <c r="AD288" s="1172"/>
      <c r="AE288" s="1172"/>
      <c r="AF288" s="1172"/>
    </row>
    <row r="289" spans="5:32">
      <c r="E289" s="474"/>
      <c r="G289" s="474"/>
      <c r="H289" s="474"/>
      <c r="I289" s="474"/>
      <c r="J289" s="474"/>
      <c r="K289" s="474"/>
      <c r="M289" s="474"/>
      <c r="N289" s="474"/>
      <c r="O289" s="474"/>
      <c r="P289" s="474"/>
      <c r="Q289" s="474"/>
      <c r="R289" s="474"/>
      <c r="S289" s="474"/>
      <c r="T289" s="474"/>
      <c r="U289" s="474"/>
      <c r="V289" s="474"/>
      <c r="W289" s="1172"/>
      <c r="X289" s="1172"/>
      <c r="Y289" s="1172"/>
      <c r="Z289" s="1172"/>
      <c r="AA289" s="1172"/>
      <c r="AB289" s="1172"/>
      <c r="AC289" s="1172"/>
      <c r="AD289" s="1172"/>
      <c r="AE289" s="1172"/>
      <c r="AF289" s="1172"/>
    </row>
    <row r="290" spans="5:32">
      <c r="E290" s="474"/>
      <c r="G290" s="474"/>
      <c r="H290" s="474"/>
      <c r="I290" s="474"/>
      <c r="J290" s="474"/>
      <c r="K290" s="474"/>
      <c r="M290" s="474"/>
      <c r="N290" s="474"/>
      <c r="O290" s="474"/>
      <c r="P290" s="474"/>
      <c r="Q290" s="474"/>
      <c r="R290" s="474"/>
      <c r="S290" s="474"/>
      <c r="T290" s="474"/>
      <c r="U290" s="474"/>
      <c r="V290" s="474"/>
      <c r="W290" s="1172"/>
      <c r="X290" s="1172"/>
      <c r="Y290" s="1172"/>
      <c r="Z290" s="1172"/>
      <c r="AA290" s="1172"/>
      <c r="AB290" s="1172"/>
      <c r="AC290" s="1172"/>
      <c r="AD290" s="1172"/>
      <c r="AE290" s="1172"/>
      <c r="AF290" s="1172"/>
    </row>
    <row r="291" spans="5:32">
      <c r="E291" s="474"/>
      <c r="G291" s="474"/>
      <c r="H291" s="474"/>
      <c r="I291" s="474"/>
      <c r="J291" s="474"/>
      <c r="K291" s="474"/>
      <c r="M291" s="474"/>
      <c r="N291" s="474"/>
      <c r="O291" s="474"/>
      <c r="P291" s="474"/>
      <c r="Q291" s="474"/>
      <c r="R291" s="474"/>
      <c r="S291" s="474"/>
      <c r="T291" s="474"/>
      <c r="U291" s="474"/>
      <c r="V291" s="474"/>
      <c r="W291" s="1172"/>
      <c r="X291" s="1172"/>
      <c r="Y291" s="1172"/>
      <c r="Z291" s="1172"/>
      <c r="AA291" s="1172"/>
      <c r="AB291" s="1172"/>
      <c r="AC291" s="1172"/>
      <c r="AD291" s="1172"/>
      <c r="AE291" s="1172"/>
      <c r="AF291" s="1172"/>
    </row>
    <row r="292" spans="5:32">
      <c r="E292" s="474"/>
      <c r="G292" s="474"/>
      <c r="H292" s="474"/>
      <c r="I292" s="474"/>
      <c r="J292" s="474"/>
      <c r="K292" s="474"/>
      <c r="M292" s="474"/>
      <c r="N292" s="474"/>
      <c r="O292" s="474"/>
      <c r="P292" s="474"/>
      <c r="Q292" s="474"/>
      <c r="R292" s="474"/>
      <c r="S292" s="474"/>
      <c r="T292" s="474"/>
      <c r="U292" s="474"/>
      <c r="V292" s="474"/>
      <c r="W292" s="1172"/>
      <c r="X292" s="1172"/>
      <c r="Y292" s="1172"/>
      <c r="Z292" s="1172"/>
      <c r="AA292" s="1172"/>
      <c r="AB292" s="1172"/>
      <c r="AC292" s="1172"/>
      <c r="AD292" s="1172"/>
      <c r="AE292" s="1172"/>
      <c r="AF292" s="1172"/>
    </row>
    <row r="293" spans="5:32">
      <c r="E293" s="474"/>
      <c r="G293" s="474"/>
      <c r="H293" s="474"/>
      <c r="I293" s="474"/>
      <c r="J293" s="474"/>
      <c r="K293" s="474"/>
      <c r="M293" s="474"/>
      <c r="N293" s="474"/>
      <c r="O293" s="474"/>
      <c r="P293" s="474"/>
      <c r="Q293" s="474"/>
      <c r="R293" s="474"/>
      <c r="S293" s="474"/>
      <c r="T293" s="474"/>
      <c r="U293" s="474"/>
      <c r="V293" s="474"/>
      <c r="W293" s="1172"/>
      <c r="X293" s="1172"/>
      <c r="Y293" s="1172"/>
      <c r="Z293" s="1172"/>
      <c r="AA293" s="1172"/>
      <c r="AB293" s="1172"/>
      <c r="AC293" s="1172"/>
      <c r="AD293" s="1172"/>
      <c r="AE293" s="1172"/>
      <c r="AF293" s="1172"/>
    </row>
    <row r="294" spans="5:32">
      <c r="E294" s="474"/>
      <c r="G294" s="474"/>
      <c r="H294" s="474"/>
      <c r="I294" s="474"/>
      <c r="J294" s="474"/>
      <c r="K294" s="474"/>
      <c r="M294" s="474"/>
      <c r="N294" s="474"/>
      <c r="O294" s="474"/>
      <c r="P294" s="474"/>
      <c r="Q294" s="474"/>
      <c r="R294" s="474"/>
      <c r="S294" s="474"/>
      <c r="T294" s="474"/>
      <c r="U294" s="474"/>
      <c r="V294" s="474"/>
      <c r="W294" s="1172"/>
      <c r="X294" s="1172"/>
      <c r="Y294" s="1172"/>
      <c r="Z294" s="1172"/>
      <c r="AA294" s="1172"/>
      <c r="AB294" s="1172"/>
      <c r="AC294" s="1172"/>
      <c r="AD294" s="1172"/>
      <c r="AE294" s="1172"/>
      <c r="AF294" s="1172"/>
    </row>
    <row r="295" spans="5:32">
      <c r="E295" s="474"/>
      <c r="G295" s="474"/>
      <c r="H295" s="474"/>
      <c r="I295" s="474"/>
      <c r="J295" s="474"/>
      <c r="K295" s="474"/>
      <c r="M295" s="474"/>
      <c r="N295" s="474"/>
      <c r="O295" s="474"/>
      <c r="P295" s="474"/>
      <c r="Q295" s="474"/>
      <c r="R295" s="474"/>
      <c r="S295" s="474"/>
      <c r="T295" s="474"/>
      <c r="U295" s="474"/>
      <c r="V295" s="474"/>
      <c r="W295" s="1172"/>
      <c r="X295" s="1172"/>
      <c r="Y295" s="1172"/>
      <c r="Z295" s="1172"/>
      <c r="AA295" s="1172"/>
      <c r="AB295" s="1172"/>
      <c r="AC295" s="1172"/>
      <c r="AD295" s="1172"/>
      <c r="AE295" s="1172"/>
      <c r="AF295" s="1172"/>
    </row>
    <row r="296" spans="5:32">
      <c r="E296" s="474"/>
      <c r="G296" s="474"/>
      <c r="H296" s="474"/>
      <c r="I296" s="474"/>
      <c r="J296" s="474"/>
      <c r="K296" s="474"/>
      <c r="M296" s="474"/>
      <c r="N296" s="474"/>
      <c r="O296" s="474"/>
      <c r="P296" s="474"/>
      <c r="Q296" s="474"/>
      <c r="R296" s="474"/>
      <c r="S296" s="474"/>
      <c r="T296" s="474"/>
      <c r="U296" s="474"/>
      <c r="V296" s="474"/>
      <c r="W296" s="1172"/>
      <c r="X296" s="1172"/>
      <c r="Y296" s="1172"/>
      <c r="Z296" s="1172"/>
      <c r="AA296" s="1172"/>
      <c r="AB296" s="1172"/>
      <c r="AC296" s="1172"/>
      <c r="AD296" s="1172"/>
      <c r="AE296" s="1172"/>
      <c r="AF296" s="1172"/>
    </row>
    <row r="297" spans="5:32">
      <c r="E297" s="474"/>
      <c r="G297" s="474"/>
      <c r="H297" s="474"/>
      <c r="I297" s="474"/>
      <c r="J297" s="474"/>
      <c r="K297" s="474"/>
      <c r="M297" s="474"/>
      <c r="N297" s="474"/>
      <c r="O297" s="474"/>
      <c r="P297" s="474"/>
      <c r="Q297" s="474"/>
      <c r="R297" s="474"/>
      <c r="S297" s="474"/>
      <c r="T297" s="474"/>
      <c r="U297" s="474"/>
      <c r="V297" s="474"/>
      <c r="W297" s="1172"/>
      <c r="X297" s="1172"/>
      <c r="Y297" s="1172"/>
      <c r="Z297" s="1172"/>
      <c r="AA297" s="1172"/>
      <c r="AB297" s="1172"/>
      <c r="AC297" s="1172"/>
      <c r="AD297" s="1172"/>
      <c r="AE297" s="1172"/>
      <c r="AF297" s="1172"/>
    </row>
    <row r="298" spans="5:32">
      <c r="E298" s="474"/>
      <c r="G298" s="474"/>
      <c r="H298" s="474"/>
      <c r="I298" s="474"/>
      <c r="J298" s="474"/>
      <c r="K298" s="474"/>
      <c r="M298" s="474"/>
      <c r="N298" s="474"/>
      <c r="O298" s="474"/>
      <c r="P298" s="474"/>
      <c r="Q298" s="474"/>
      <c r="R298" s="474"/>
      <c r="S298" s="474"/>
      <c r="T298" s="474"/>
      <c r="U298" s="474"/>
      <c r="V298" s="474"/>
      <c r="W298" s="1172"/>
      <c r="X298" s="1172"/>
      <c r="Y298" s="1172"/>
      <c r="Z298" s="1172"/>
      <c r="AA298" s="1172"/>
      <c r="AB298" s="1172"/>
      <c r="AC298" s="1172"/>
      <c r="AD298" s="1172"/>
      <c r="AE298" s="1172"/>
      <c r="AF298" s="1172"/>
    </row>
    <row r="299" spans="5:32">
      <c r="E299" s="474"/>
      <c r="G299" s="474"/>
      <c r="H299" s="474"/>
      <c r="I299" s="474"/>
      <c r="J299" s="474"/>
      <c r="K299" s="474"/>
      <c r="M299" s="474"/>
      <c r="N299" s="474"/>
      <c r="O299" s="474"/>
      <c r="P299" s="474"/>
      <c r="Q299" s="474"/>
      <c r="R299" s="474"/>
      <c r="S299" s="474"/>
      <c r="T299" s="474"/>
      <c r="U299" s="474"/>
      <c r="V299" s="474"/>
      <c r="W299" s="1172"/>
      <c r="X299" s="1172"/>
      <c r="Y299" s="1172"/>
      <c r="Z299" s="1172"/>
      <c r="AA299" s="1172"/>
      <c r="AB299" s="1172"/>
      <c r="AC299" s="1172"/>
      <c r="AD299" s="1172"/>
      <c r="AE299" s="1172"/>
      <c r="AF299" s="1172"/>
    </row>
    <row r="300" spans="5:32">
      <c r="E300" s="474"/>
      <c r="G300" s="474"/>
      <c r="H300" s="474"/>
      <c r="I300" s="474"/>
      <c r="J300" s="474"/>
      <c r="K300" s="474"/>
      <c r="M300" s="474"/>
      <c r="N300" s="474"/>
      <c r="O300" s="474"/>
      <c r="P300" s="474"/>
      <c r="Q300" s="474"/>
      <c r="R300" s="474"/>
      <c r="S300" s="474"/>
      <c r="T300" s="474"/>
      <c r="U300" s="474"/>
      <c r="V300" s="474"/>
      <c r="W300" s="1172"/>
      <c r="X300" s="1172"/>
      <c r="Y300" s="1172"/>
      <c r="Z300" s="1172"/>
      <c r="AA300" s="1172"/>
      <c r="AB300" s="1172"/>
      <c r="AC300" s="1172"/>
      <c r="AD300" s="1172"/>
      <c r="AE300" s="1172"/>
      <c r="AF300" s="1172"/>
    </row>
    <row r="301" spans="5:32">
      <c r="E301" s="474"/>
      <c r="G301" s="474"/>
      <c r="H301" s="474"/>
      <c r="I301" s="474"/>
      <c r="J301" s="474"/>
      <c r="K301" s="474"/>
      <c r="M301" s="474"/>
      <c r="N301" s="474"/>
      <c r="O301" s="474"/>
      <c r="P301" s="474"/>
      <c r="Q301" s="474"/>
      <c r="R301" s="474"/>
      <c r="S301" s="474"/>
      <c r="T301" s="474"/>
      <c r="U301" s="474"/>
      <c r="V301" s="474"/>
      <c r="W301" s="1172"/>
      <c r="X301" s="1172"/>
      <c r="Y301" s="1172"/>
      <c r="Z301" s="1172"/>
      <c r="AA301" s="1172"/>
      <c r="AB301" s="1172"/>
      <c r="AC301" s="1172"/>
      <c r="AD301" s="1172"/>
      <c r="AE301" s="1172"/>
      <c r="AF301" s="1172"/>
    </row>
  </sheetData>
  <mergeCells count="71">
    <mergeCell ref="AE17:AG17"/>
    <mergeCell ref="Z18:AG18"/>
    <mergeCell ref="Z19:AG19"/>
    <mergeCell ref="V51:V60"/>
    <mergeCell ref="V61:V70"/>
    <mergeCell ref="E51:E60"/>
    <mergeCell ref="E61:E70"/>
    <mergeCell ref="E71:E80"/>
    <mergeCell ref="E81:E90"/>
    <mergeCell ref="Z17:AD17"/>
    <mergeCell ref="V71:V80"/>
    <mergeCell ref="V81:V90"/>
    <mergeCell ref="E8:H8"/>
    <mergeCell ref="I8:K8"/>
    <mergeCell ref="E9:K9"/>
    <mergeCell ref="E10:K10"/>
    <mergeCell ref="E11:K11"/>
    <mergeCell ref="E12:K12"/>
    <mergeCell ref="O19:U19"/>
    <mergeCell ref="V17:V20"/>
    <mergeCell ref="V21:V30"/>
    <mergeCell ref="E41:E50"/>
    <mergeCell ref="V41:V50"/>
    <mergeCell ref="E21:E30"/>
    <mergeCell ref="E31:E40"/>
    <mergeCell ref="V31:V40"/>
    <mergeCell ref="G17:K17"/>
    <mergeCell ref="L17:P17"/>
    <mergeCell ref="Q17:U17"/>
    <mergeCell ref="G18:N18"/>
    <mergeCell ref="O18:U18"/>
    <mergeCell ref="G19:N19"/>
    <mergeCell ref="E91:E100"/>
    <mergeCell ref="V91:V100"/>
    <mergeCell ref="E101:E110"/>
    <mergeCell ref="V101:V110"/>
    <mergeCell ref="E111:E120"/>
    <mergeCell ref="V111:V120"/>
    <mergeCell ref="E121:E130"/>
    <mergeCell ref="V121:V130"/>
    <mergeCell ref="E131:E140"/>
    <mergeCell ref="V131:V140"/>
    <mergeCell ref="E141:E150"/>
    <mergeCell ref="V141:V150"/>
    <mergeCell ref="E151:E160"/>
    <mergeCell ref="V151:V160"/>
    <mergeCell ref="E161:E170"/>
    <mergeCell ref="V161:V170"/>
    <mergeCell ref="E171:E180"/>
    <mergeCell ref="V171:V180"/>
    <mergeCell ref="E181:E190"/>
    <mergeCell ref="V181:V190"/>
    <mergeCell ref="E191:E200"/>
    <mergeCell ref="V191:V200"/>
    <mergeCell ref="E201:E210"/>
    <mergeCell ref="V201:V210"/>
    <mergeCell ref="V211:V220"/>
    <mergeCell ref="E221:E226"/>
    <mergeCell ref="E227:F227"/>
    <mergeCell ref="G230:K230"/>
    <mergeCell ref="L230:P230"/>
    <mergeCell ref="E264:E269"/>
    <mergeCell ref="E270:F270"/>
    <mergeCell ref="G270:K270"/>
    <mergeCell ref="L270:P270"/>
    <mergeCell ref="E211:E220"/>
    <mergeCell ref="G231:P231"/>
    <mergeCell ref="G232:P232"/>
    <mergeCell ref="E234:E243"/>
    <mergeCell ref="E244:E253"/>
    <mergeCell ref="E254:E263"/>
  </mergeCells>
  <pageMargins left="0.7" right="0.7" top="0.75" bottom="0.75" header="0.3" footer="0.3"/>
  <pageSetup paperSize="9" orientation="portrait" r:id="rId1"/>
  <customProperties>
    <customPr name="_pios_id" r:id="rId2"/>
  </customPropertie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autoPageBreaks="0"/>
  </sheetPr>
  <dimension ref="A1:AH340"/>
  <sheetViews>
    <sheetView showGridLines="0" topLeftCell="E282" zoomScale="70" zoomScaleNormal="70" workbookViewId="0">
      <selection activeCell="R313" sqref="R313"/>
    </sheetView>
  </sheetViews>
  <sheetFormatPr defaultColWidth="9.140625" defaultRowHeight="12.75" outlineLevelRow="1"/>
  <cols>
    <col min="1" max="1" width="12" style="262" hidden="1" customWidth="1"/>
    <col min="2" max="3" width="14.42578125" style="262" hidden="1" customWidth="1"/>
    <col min="4" max="4" width="14.42578125" style="262" customWidth="1"/>
    <col min="5" max="5" width="51.85546875" style="474" customWidth="1"/>
    <col min="6" max="6" width="45" style="474" customWidth="1"/>
    <col min="7" max="15" width="15.7109375" style="474" customWidth="1"/>
    <col min="16" max="16" width="17.7109375" style="474" customWidth="1"/>
    <col min="17" max="20" width="15.7109375" style="474" customWidth="1"/>
    <col min="21" max="21" width="14.42578125" style="474" customWidth="1"/>
    <col min="22" max="22" width="33.140625" style="474" customWidth="1"/>
    <col min="23" max="25" width="8.7109375"/>
    <col min="26" max="33" width="15.7109375" style="474" customWidth="1"/>
    <col min="34" max="16384" width="9.140625" style="474"/>
  </cols>
  <sheetData>
    <row r="1" spans="1:33" s="177" customFormat="1" ht="24" customHeight="1">
      <c r="E1" s="2522" t="str">
        <f>IF(dms_DataQuality="backcast",INDEX(dms_Worksheet_List,MATCH(dms_Model,dms_Model_List))&amp;" BACKCAST",INDEX(dms_Worksheet_List,MATCH(dms_Model,dms_Model_List)))</f>
        <v>REGULATORY REPORTING STATEMENT</v>
      </c>
      <c r="F1" s="491"/>
      <c r="G1" s="491"/>
      <c r="H1" s="491"/>
      <c r="I1" s="491"/>
      <c r="J1" s="491"/>
      <c r="K1" s="179"/>
      <c r="L1" s="179"/>
      <c r="M1" s="179"/>
      <c r="N1" s="179"/>
      <c r="O1" s="179"/>
      <c r="P1" s="179"/>
      <c r="Q1" s="179"/>
      <c r="R1" s="179"/>
      <c r="S1" s="179"/>
      <c r="T1" s="179"/>
      <c r="U1" s="179"/>
      <c r="V1" s="179"/>
      <c r="W1" s="179"/>
      <c r="X1" s="179"/>
      <c r="Y1" s="179"/>
      <c r="Z1" s="179"/>
      <c r="AA1" s="491"/>
      <c r="AB1" s="491"/>
      <c r="AC1" s="491"/>
      <c r="AD1" s="179"/>
      <c r="AE1" s="179"/>
      <c r="AF1" s="179"/>
      <c r="AG1" s="179"/>
    </row>
    <row r="2" spans="1:33" s="177" customFormat="1" ht="24" customHeight="1">
      <c r="E2" s="2526" t="str">
        <f>INDEX(dms_TradingNameFull_List,MATCH(dms_TradingName,dms_TradingName_List))</f>
        <v>AusNet Gas Services</v>
      </c>
      <c r="F2" s="180"/>
      <c r="G2" s="180"/>
      <c r="H2" s="180"/>
      <c r="I2" s="180"/>
      <c r="J2" s="180"/>
      <c r="K2" s="179"/>
      <c r="L2" s="179"/>
      <c r="M2" s="179"/>
      <c r="N2" s="179"/>
      <c r="O2" s="179"/>
      <c r="P2" s="179"/>
      <c r="Q2" s="179"/>
      <c r="R2" s="179"/>
      <c r="S2" s="179"/>
      <c r="T2" s="179"/>
      <c r="U2" s="179"/>
      <c r="V2" s="179"/>
      <c r="W2" s="179"/>
      <c r="X2" s="179"/>
      <c r="Y2" s="179"/>
      <c r="Z2" s="179"/>
      <c r="AA2" s="1173"/>
      <c r="AB2" s="1173"/>
      <c r="AC2" s="1173"/>
      <c r="AD2" s="179"/>
      <c r="AE2" s="179"/>
      <c r="AF2" s="179"/>
      <c r="AG2" s="179"/>
    </row>
    <row r="3" spans="1:33" s="177" customFormat="1" ht="24" customHeight="1">
      <c r="E3" s="2526" t="str">
        <f ca="1">IF(SUM(dms_SingleYear_Model)&gt;0,CRY,CONCATENATE(FRCP_y1," to ",dms_MultiYear_FinalYear_Result))</f>
        <v>2018 to 2022</v>
      </c>
      <c r="F3" s="181"/>
      <c r="G3" s="181"/>
      <c r="H3" s="181"/>
      <c r="I3" s="181"/>
      <c r="J3" s="181"/>
      <c r="K3" s="182" t="str">
        <f>CONCATENATE(LEFT(FRCP_y1,4),"-",LEFT(FRCP_y5,2),RIGHT(FRCP_y5,2))</f>
        <v>2018-2022</v>
      </c>
      <c r="L3" s="181"/>
      <c r="M3" s="181"/>
      <c r="N3" s="181"/>
      <c r="O3" s="181"/>
      <c r="P3" s="181"/>
      <c r="Q3" s="181"/>
      <c r="R3" s="181"/>
      <c r="S3" s="181"/>
      <c r="T3" s="181"/>
      <c r="U3" s="181"/>
      <c r="V3" s="181"/>
      <c r="W3" s="1171"/>
      <c r="X3" s="1171"/>
      <c r="Y3" s="1171"/>
      <c r="Z3" s="1171"/>
      <c r="AA3" s="1171"/>
      <c r="AB3" s="1171"/>
      <c r="AC3" s="1171"/>
      <c r="AD3" s="182" t="str">
        <f>CONCATENATE(LEFT(FRCP_y1,4),"-",LEFT(FRCP_y5,2),RIGHT(FRCP_y5,2))</f>
        <v>2018-2022</v>
      </c>
      <c r="AE3" s="1171"/>
      <c r="AF3" s="1171"/>
      <c r="AG3" s="1171"/>
    </row>
    <row r="4" spans="1:33" s="159" customFormat="1" ht="24" customHeight="1">
      <c r="B4" s="10"/>
      <c r="C4" s="12"/>
      <c r="D4"/>
      <c r="E4" s="12" t="s">
        <v>444</v>
      </c>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row>
    <row r="5" spans="1:33" ht="34.5" customHeight="1">
      <c r="B5" s="360"/>
      <c r="C5" s="360"/>
      <c r="D5" s="360"/>
      <c r="E5" s="490"/>
      <c r="F5" s="262"/>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s="262"/>
      <c r="AG5" s="262"/>
    </row>
    <row r="6" spans="1:33" ht="15.75" thickBot="1">
      <c r="A6" s="485" t="s">
        <v>184</v>
      </c>
      <c r="C6" s="361"/>
      <c r="E6" s="1279" t="s">
        <v>59</v>
      </c>
      <c r="F6" s="1279"/>
      <c r="G6" s="1279"/>
      <c r="H6"/>
      <c r="I6"/>
      <c r="J6"/>
      <c r="K6"/>
      <c r="L6" s="262"/>
      <c r="M6" s="262"/>
      <c r="N6" s="242"/>
      <c r="O6" s="242"/>
      <c r="P6" s="242"/>
      <c r="Q6" s="242"/>
      <c r="R6" s="242"/>
      <c r="S6" s="242"/>
      <c r="T6" s="262"/>
      <c r="U6" s="262"/>
      <c r="V6" s="262"/>
      <c r="Z6"/>
      <c r="AA6"/>
      <c r="AB6" s="1172"/>
      <c r="AC6" s="1172"/>
      <c r="AD6" s="1172"/>
      <c r="AE6" s="262"/>
      <c r="AF6" s="262"/>
      <c r="AG6" s="1174"/>
    </row>
    <row r="7" spans="1:33" ht="25.5" customHeight="1">
      <c r="A7" s="915" t="s">
        <v>186</v>
      </c>
      <c r="B7" s="910" t="s">
        <v>192</v>
      </c>
      <c r="C7" s="361"/>
      <c r="E7" s="4259" t="s">
        <v>445</v>
      </c>
      <c r="F7" s="4259"/>
      <c r="G7" s="4259"/>
      <c r="H7"/>
      <c r="I7"/>
      <c r="J7"/>
      <c r="K7"/>
      <c r="L7" s="262"/>
      <c r="M7" s="262"/>
      <c r="N7" s="242"/>
      <c r="O7" s="242"/>
      <c r="P7" s="242"/>
      <c r="Q7" s="242"/>
      <c r="R7" s="242"/>
      <c r="S7" s="242"/>
      <c r="T7" s="262"/>
      <c r="U7" s="262"/>
      <c r="V7" s="262"/>
      <c r="Z7"/>
      <c r="AA7"/>
      <c r="AB7" s="1172"/>
      <c r="AC7" s="1172"/>
      <c r="AD7" s="1172"/>
      <c r="AE7" s="262"/>
      <c r="AF7" s="262"/>
      <c r="AG7" s="1174"/>
    </row>
    <row r="8" spans="1:33" ht="53.25" customHeight="1">
      <c r="A8" s="495" t="s">
        <v>189</v>
      </c>
      <c r="B8" s="911" t="s">
        <v>195</v>
      </c>
      <c r="E8" s="4259" t="str">
        <f>CONCATENATE("As set out in cl.6.1 of the ", dms_TradingName, " RIN, for tables  12.1 to 12.2, where the requested data is captured in the ", dms_TradingName, " capex model it is not required to be reentered in the RIN template tables. If the requested data has not been provided in the ", dms_TradingName, " RIN please enter into the tables. This may require the insertion of new lines in each table.")</f>
        <v>As set out in cl.6.1 of the AusNet (Gas) RIN, for tables  12.1 to 12.2, where the requested data is captured in the AusNet (Gas) capex model it is not required to be reentered in the RIN template tables. If the requested data has not been provided in the AusNet (Gas) RIN please enter into the tables. This may require the insertion of new lines in each table.</v>
      </c>
      <c r="F8" s="4259"/>
      <c r="G8" s="4259"/>
      <c r="H8"/>
      <c r="I8"/>
      <c r="J8"/>
      <c r="K8"/>
      <c r="L8" s="262"/>
      <c r="M8" s="262"/>
      <c r="N8" s="242"/>
      <c r="O8" s="242"/>
      <c r="P8" s="242"/>
      <c r="Q8" s="242"/>
      <c r="R8" s="242"/>
      <c r="S8" s="242"/>
      <c r="T8" s="262"/>
      <c r="U8" s="262"/>
      <c r="V8" s="262"/>
      <c r="Z8"/>
      <c r="AA8" s="1172"/>
      <c r="AB8" s="1172"/>
      <c r="AC8" s="1172"/>
      <c r="AD8" s="1172"/>
      <c r="AE8" s="262"/>
      <c r="AF8" s="262"/>
      <c r="AG8" s="1174"/>
    </row>
    <row r="9" spans="1:33" ht="54.75" customHeight="1">
      <c r="A9" s="495" t="s">
        <v>261</v>
      </c>
      <c r="B9" s="911" t="s">
        <v>255</v>
      </c>
      <c r="E9" s="4259" t="s">
        <v>424</v>
      </c>
      <c r="F9" s="4259"/>
      <c r="G9" s="4259"/>
      <c r="H9"/>
      <c r="I9"/>
      <c r="J9"/>
      <c r="K9"/>
      <c r="L9" s="262"/>
      <c r="M9" s="262"/>
      <c r="N9" s="262"/>
      <c r="O9" s="262"/>
      <c r="P9" s="262"/>
      <c r="Q9" s="262"/>
      <c r="R9" s="262"/>
      <c r="S9" s="262"/>
      <c r="T9" s="262"/>
      <c r="U9" s="262"/>
      <c r="V9" s="262"/>
      <c r="Z9"/>
      <c r="AA9" s="1172"/>
      <c r="AB9" s="1172"/>
      <c r="AC9" s="1172"/>
      <c r="AD9" s="1172"/>
      <c r="AE9" s="262"/>
      <c r="AF9" s="262"/>
      <c r="AG9" s="262"/>
    </row>
    <row r="10" spans="1:33" ht="51" customHeight="1">
      <c r="A10" s="495" t="s">
        <v>262</v>
      </c>
      <c r="B10" s="911" t="s">
        <v>620</v>
      </c>
      <c r="C10" s="361"/>
      <c r="E10" s="4259" t="str">
        <f>CONCATENATE("Subject to cl.6.1 of the ", dms_TradingName, " RIN, where linked/adjustable overhead expenditure and related party margin expenditure is not provided in the ", dms_TradingName, " capex model, overhead expenditure and related party margin expenditure should be linked to allocations derived in tabs '14. Overheads' and '15. Related party transactions'.")</f>
        <v>Subject to cl.6.1 of the AusNet (Gas) RIN, where linked/adjustable overhead expenditure and related party margin expenditure is not provided in the AusNet (Gas) capex model, overhead expenditure and related party margin expenditure should be linked to allocations derived in tabs '14. Overheads' and '15. Related party transactions'.</v>
      </c>
      <c r="F10" s="4259"/>
      <c r="G10" s="4259"/>
      <c r="H10"/>
      <c r="I10"/>
      <c r="J10"/>
      <c r="K10"/>
      <c r="L10" s="262"/>
      <c r="M10" s="262"/>
      <c r="N10" s="262"/>
      <c r="O10" s="262"/>
      <c r="P10" s="262"/>
      <c r="Q10" s="262"/>
      <c r="R10" s="262"/>
      <c r="S10" s="262"/>
      <c r="T10" s="262"/>
      <c r="U10" s="262"/>
      <c r="V10" s="262"/>
      <c r="Z10"/>
      <c r="AA10" s="1172"/>
      <c r="AB10" s="1172"/>
      <c r="AC10" s="1172"/>
      <c r="AD10" s="1172"/>
      <c r="AE10" s="262"/>
      <c r="AF10" s="262"/>
      <c r="AG10" s="262"/>
    </row>
    <row r="11" spans="1:33" ht="37.5" customHeight="1">
      <c r="A11" s="495" t="s">
        <v>263</v>
      </c>
      <c r="B11" s="911" t="s">
        <v>264</v>
      </c>
      <c r="E11" s="4259" t="s">
        <v>153</v>
      </c>
      <c r="F11" s="4259"/>
      <c r="G11" s="4259"/>
      <c r="H11"/>
      <c r="I11"/>
      <c r="J11"/>
      <c r="K11"/>
      <c r="L11" s="262"/>
      <c r="M11" s="262"/>
      <c r="N11" s="262"/>
      <c r="O11" s="262"/>
      <c r="P11" s="262"/>
      <c r="Q11" s="262"/>
      <c r="R11" s="262"/>
      <c r="S11" s="262"/>
      <c r="T11" s="262"/>
      <c r="U11" s="262"/>
      <c r="V11" s="262"/>
      <c r="Z11"/>
      <c r="AA11" s="1172"/>
      <c r="AB11" s="1172"/>
      <c r="AC11" s="1172"/>
      <c r="AD11" s="1172"/>
      <c r="AE11" s="262"/>
      <c r="AF11" s="262"/>
      <c r="AG11" s="262"/>
    </row>
    <row r="12" spans="1:33" s="78" customFormat="1">
      <c r="A12" s="262"/>
      <c r="B12" s="262"/>
      <c r="C12" s="262"/>
      <c r="D12" s="262"/>
      <c r="E12" s="79"/>
      <c r="F12" s="262"/>
      <c r="G12" s="262"/>
      <c r="H12" s="262"/>
      <c r="I12" s="262"/>
      <c r="J12" s="262"/>
      <c r="K12" s="262"/>
      <c r="L12" s="262"/>
      <c r="M12" s="262"/>
      <c r="N12" s="262"/>
      <c r="O12" s="262"/>
      <c r="P12" s="262"/>
      <c r="Q12" s="262"/>
      <c r="R12" s="262"/>
      <c r="S12" s="262"/>
      <c r="T12" s="262"/>
      <c r="U12" s="262"/>
      <c r="V12" s="262"/>
      <c r="W12"/>
      <c r="X12"/>
      <c r="Y12"/>
      <c r="Z12" s="262"/>
      <c r="AA12" s="262"/>
      <c r="AB12" s="262"/>
      <c r="AC12" s="262"/>
      <c r="AD12" s="262"/>
      <c r="AE12" s="262"/>
      <c r="AF12" s="262"/>
      <c r="AG12" s="262"/>
    </row>
    <row r="13" spans="1:33" s="78" customFormat="1" ht="21" thickBot="1">
      <c r="A13" s="262"/>
      <c r="B13" s="262"/>
      <c r="C13" s="262"/>
      <c r="D13" s="262"/>
      <c r="E13" s="262"/>
      <c r="F13" s="489"/>
      <c r="G13" s="489"/>
      <c r="H13" s="489"/>
      <c r="I13" s="489"/>
      <c r="J13" s="489"/>
      <c r="K13" s="489"/>
      <c r="L13" s="489"/>
      <c r="M13" s="489"/>
      <c r="N13" s="489"/>
      <c r="O13" s="489"/>
      <c r="P13" s="489"/>
      <c r="Q13" s="489"/>
      <c r="R13" s="489"/>
      <c r="S13" s="489"/>
      <c r="T13" s="489"/>
      <c r="U13" s="489"/>
      <c r="V13" s="489"/>
      <c r="W13"/>
      <c r="X13"/>
      <c r="Y13"/>
      <c r="Z13" s="489"/>
      <c r="AA13" s="489"/>
      <c r="AB13" s="489"/>
      <c r="AC13" s="489"/>
      <c r="AD13" s="489"/>
      <c r="AE13" s="489"/>
      <c r="AF13" s="489"/>
      <c r="AG13" s="489"/>
    </row>
    <row r="14" spans="1:33" s="183" customFormat="1" ht="24.75" customHeight="1" thickBot="1">
      <c r="A14" s="933" t="s">
        <v>183</v>
      </c>
      <c r="B14" s="934" t="s">
        <v>184</v>
      </c>
      <c r="C14" s="935" t="s">
        <v>197</v>
      </c>
      <c r="D14" s="262"/>
      <c r="E14" s="735" t="s">
        <v>490</v>
      </c>
      <c r="F14" s="735"/>
      <c r="G14" s="735"/>
      <c r="H14" s="735"/>
      <c r="I14" s="735"/>
      <c r="J14" s="735"/>
      <c r="K14" s="735"/>
      <c r="L14" s="735"/>
      <c r="M14" s="735"/>
      <c r="N14" s="735"/>
      <c r="O14" s="735"/>
      <c r="P14" s="735"/>
      <c r="Q14" s="735"/>
      <c r="R14" s="735"/>
      <c r="S14" s="735"/>
      <c r="T14" s="735"/>
      <c r="U14" s="735"/>
      <c r="V14" s="735"/>
      <c r="W14" s="1172"/>
      <c r="X14" s="1172"/>
      <c r="Y14" s="1172"/>
      <c r="Z14" s="735" t="s">
        <v>642</v>
      </c>
      <c r="AA14" s="735"/>
      <c r="AB14" s="735"/>
      <c r="AC14" s="735"/>
      <c r="AD14" s="735"/>
      <c r="AE14" s="735"/>
      <c r="AF14" s="735"/>
      <c r="AG14" s="1201"/>
    </row>
    <row r="15" spans="1:33" s="78" customFormat="1" ht="24.75" customHeight="1" thickBot="1">
      <c r="A15" s="933" t="s">
        <v>183</v>
      </c>
      <c r="B15" s="934" t="s">
        <v>184</v>
      </c>
      <c r="C15" s="935" t="s">
        <v>197</v>
      </c>
      <c r="D15" s="262"/>
      <c r="E15" s="2760" t="s">
        <v>491</v>
      </c>
      <c r="F15" s="1259"/>
      <c r="G15" s="1259"/>
      <c r="H15" s="1259"/>
      <c r="I15" s="1259"/>
      <c r="J15" s="1259"/>
      <c r="K15" s="1259"/>
      <c r="L15" s="1259"/>
      <c r="M15" s="1259"/>
      <c r="N15" s="1259"/>
      <c r="O15" s="1259"/>
      <c r="P15" s="1259"/>
      <c r="Q15" s="1259"/>
      <c r="R15" s="1259"/>
      <c r="S15" s="1259"/>
      <c r="T15" s="1259"/>
      <c r="U15" s="1259"/>
      <c r="V15" s="1260"/>
      <c r="W15" s="1172"/>
      <c r="X15" s="1172"/>
      <c r="Y15" s="1172"/>
      <c r="Z15" s="2760"/>
      <c r="AA15" s="1259"/>
      <c r="AB15" s="1259"/>
      <c r="AC15" s="1259"/>
      <c r="AD15" s="1259"/>
      <c r="AE15" s="1259"/>
      <c r="AF15" s="1259"/>
      <c r="AG15" s="1260"/>
    </row>
    <row r="16" spans="1:33" ht="15.75" customHeight="1">
      <c r="E16" s="1179"/>
      <c r="F16" s="522"/>
      <c r="G16" s="4047" t="s">
        <v>36</v>
      </c>
      <c r="H16" s="4048"/>
      <c r="I16" s="4048"/>
      <c r="J16" s="4048"/>
      <c r="K16" s="4049"/>
      <c r="L16" s="4050" t="s">
        <v>37</v>
      </c>
      <c r="M16" s="4051"/>
      <c r="N16" s="4051"/>
      <c r="O16" s="4051"/>
      <c r="P16" s="4297"/>
      <c r="Q16" s="4296" t="s">
        <v>73</v>
      </c>
      <c r="R16" s="4048"/>
      <c r="S16" s="4048"/>
      <c r="T16" s="4048"/>
      <c r="U16" s="4049"/>
      <c r="V16" s="3448" t="s">
        <v>154</v>
      </c>
      <c r="W16" s="1172"/>
      <c r="X16" s="1172"/>
      <c r="Y16" s="1172"/>
      <c r="Z16" s="3431" t="s">
        <v>36</v>
      </c>
      <c r="AA16" s="3432"/>
      <c r="AB16" s="3432"/>
      <c r="AC16" s="3432"/>
      <c r="AD16" s="3433"/>
      <c r="AE16" s="3434" t="s">
        <v>37</v>
      </c>
      <c r="AF16" s="3435"/>
      <c r="AG16" s="3436"/>
    </row>
    <row r="17" spans="1:33" ht="12.75" customHeight="1">
      <c r="E17" s="1179"/>
      <c r="F17" s="522"/>
      <c r="G17" s="3985" t="s">
        <v>543</v>
      </c>
      <c r="H17" s="3986"/>
      <c r="I17" s="3986"/>
      <c r="J17" s="3986"/>
      <c r="K17" s="3986"/>
      <c r="L17" s="3986"/>
      <c r="M17" s="3986"/>
      <c r="N17" s="3987"/>
      <c r="O17" s="3988" t="str">
        <f>CONCATENATE("$0's, real ",dms_DollarReal)</f>
        <v>$0's, real December 2017</v>
      </c>
      <c r="P17" s="3989"/>
      <c r="Q17" s="3989"/>
      <c r="R17" s="3989"/>
      <c r="S17" s="3989"/>
      <c r="T17" s="3989"/>
      <c r="U17" s="4199"/>
      <c r="V17" s="3449"/>
      <c r="W17" s="1172"/>
      <c r="X17" s="1172"/>
      <c r="Y17" s="1172"/>
      <c r="Z17" s="3424" t="str">
        <f>CONCATENATE("$0's, real ",dms_DollarReal)</f>
        <v>$0's, real December 2017</v>
      </c>
      <c r="AA17" s="3425"/>
      <c r="AB17" s="3425"/>
      <c r="AC17" s="3425"/>
      <c r="AD17" s="3425"/>
      <c r="AE17" s="3425"/>
      <c r="AF17" s="3425"/>
      <c r="AG17" s="3430"/>
    </row>
    <row r="18" spans="1:33" ht="15" customHeight="1">
      <c r="E18" s="1179"/>
      <c r="F18" s="522"/>
      <c r="G18" s="3985" t="s">
        <v>54</v>
      </c>
      <c r="H18" s="3986"/>
      <c r="I18" s="3986"/>
      <c r="J18" s="3986"/>
      <c r="K18" s="3986"/>
      <c r="L18" s="3986"/>
      <c r="M18" s="3986"/>
      <c r="N18" s="3987"/>
      <c r="O18" s="3988" t="s">
        <v>55</v>
      </c>
      <c r="P18" s="3989"/>
      <c r="Q18" s="3989"/>
      <c r="R18" s="3989"/>
      <c r="S18" s="3989"/>
      <c r="T18" s="3989"/>
      <c r="U18" s="4199"/>
      <c r="V18" s="3449"/>
      <c r="W18" s="1172"/>
      <c r="X18" s="1172"/>
      <c r="Y18" s="1172"/>
      <c r="Z18" s="3424" t="s">
        <v>54</v>
      </c>
      <c r="AA18" s="3425"/>
      <c r="AB18" s="3425"/>
      <c r="AC18" s="3425"/>
      <c r="AD18" s="3425"/>
      <c r="AE18" s="3425"/>
      <c r="AF18" s="3425"/>
      <c r="AG18" s="3430"/>
    </row>
    <row r="19" spans="1:33" ht="15" customHeight="1" thickBot="1">
      <c r="E19" s="3478"/>
      <c r="F19" s="3479"/>
      <c r="G19" s="3426">
        <f t="array" ref="G19:K19">PRCP</f>
        <v>2008</v>
      </c>
      <c r="H19" s="3428">
        <v>2009</v>
      </c>
      <c r="I19" s="3428">
        <v>2010</v>
      </c>
      <c r="J19" s="3428">
        <v>2011</v>
      </c>
      <c r="K19" s="3428">
        <v>2012</v>
      </c>
      <c r="L19" s="3429">
        <f>CRCP_y1</f>
        <v>2013</v>
      </c>
      <c r="M19" s="3429">
        <f>CRCP_y2</f>
        <v>2014</v>
      </c>
      <c r="N19" s="3429">
        <f>CRCP_y3</f>
        <v>2015</v>
      </c>
      <c r="O19" s="3429">
        <f>CRCP_y4</f>
        <v>2016</v>
      </c>
      <c r="P19" s="3429">
        <f>CRCP_y5</f>
        <v>2017</v>
      </c>
      <c r="Q19" s="3428" t="str">
        <f t="array" ref="Q19:U19">FRCP</f>
        <v>2018</v>
      </c>
      <c r="R19" s="3428">
        <v>2019</v>
      </c>
      <c r="S19" s="3428">
        <v>2020</v>
      </c>
      <c r="T19" s="3428">
        <v>2021</v>
      </c>
      <c r="U19" s="3428">
        <v>2022</v>
      </c>
      <c r="V19" s="3450"/>
      <c r="W19" s="1172"/>
      <c r="X19" s="1172"/>
      <c r="Y19" s="1172"/>
      <c r="Z19" s="3427">
        <f t="array" ref="Z19:AD19">PRCP</f>
        <v>2008</v>
      </c>
      <c r="AA19" s="3428">
        <v>2009</v>
      </c>
      <c r="AB19" s="3428">
        <v>2010</v>
      </c>
      <c r="AC19" s="3428">
        <v>2011</v>
      </c>
      <c r="AD19" s="3428">
        <v>2012</v>
      </c>
      <c r="AE19" s="3429">
        <f>CRCP_y1</f>
        <v>2013</v>
      </c>
      <c r="AF19" s="3429">
        <f>CRCP_y2</f>
        <v>2014</v>
      </c>
      <c r="AG19" s="1708">
        <f>CRCP_y3</f>
        <v>2015</v>
      </c>
    </row>
    <row r="20" spans="1:33" s="183" customFormat="1" ht="40.5" customHeight="1">
      <c r="A20" s="262"/>
      <c r="B20" s="262"/>
      <c r="C20" s="262"/>
      <c r="D20" s="262"/>
      <c r="E20" s="3446" t="s">
        <v>1759</v>
      </c>
      <c r="F20" s="1442" t="s">
        <v>598</v>
      </c>
      <c r="G20" s="528"/>
      <c r="H20" s="3757"/>
      <c r="I20" s="528"/>
      <c r="J20" s="528"/>
      <c r="K20" s="529"/>
      <c r="L20" s="538"/>
      <c r="M20" s="539"/>
      <c r="N20" s="539"/>
      <c r="O20" s="539"/>
      <c r="P20" s="540"/>
      <c r="Q20" s="539"/>
      <c r="R20" s="539"/>
      <c r="S20" s="539"/>
      <c r="T20" s="539"/>
      <c r="U20" s="540"/>
      <c r="V20" s="3437"/>
      <c r="W20" s="1172"/>
      <c r="X20" s="1172"/>
      <c r="Y20" s="1172"/>
      <c r="Z20" s="527"/>
      <c r="AA20" s="528"/>
      <c r="AB20" s="528"/>
      <c r="AC20" s="528"/>
      <c r="AD20" s="529"/>
      <c r="AE20" s="538"/>
      <c r="AF20" s="539"/>
      <c r="AG20" s="540"/>
    </row>
    <row r="21" spans="1:33" ht="12.75" customHeight="1" outlineLevel="1">
      <c r="A21" s="183"/>
      <c r="B21" s="183"/>
      <c r="C21" s="183"/>
      <c r="E21" s="3446"/>
      <c r="F21" s="1421" t="s">
        <v>559</v>
      </c>
      <c r="G21" s="468">
        <v>3341</v>
      </c>
      <c r="H21" s="468">
        <v>0</v>
      </c>
      <c r="I21" s="468">
        <v>0</v>
      </c>
      <c r="J21" s="468">
        <v>0</v>
      </c>
      <c r="K21" s="530">
        <v>0</v>
      </c>
      <c r="L21" s="459">
        <v>68920.478999999992</v>
      </c>
      <c r="M21" s="458">
        <v>0</v>
      </c>
      <c r="N21" s="458">
        <v>0</v>
      </c>
      <c r="O21" s="458">
        <v>0</v>
      </c>
      <c r="P21" s="460">
        <v>0</v>
      </c>
      <c r="Q21" s="413">
        <v>0</v>
      </c>
      <c r="R21" s="458">
        <v>0</v>
      </c>
      <c r="S21" s="458">
        <v>0</v>
      </c>
      <c r="T21" s="458">
        <v>0</v>
      </c>
      <c r="U21" s="458">
        <v>0</v>
      </c>
      <c r="V21" s="3438"/>
      <c r="W21" s="1172"/>
      <c r="X21" s="1172"/>
      <c r="Y21" s="1172"/>
      <c r="Z21" s="470"/>
      <c r="AA21" s="468"/>
      <c r="AB21" s="468"/>
      <c r="AC21" s="468"/>
      <c r="AD21" s="530"/>
      <c r="AE21" s="462"/>
      <c r="AF21" s="463"/>
      <c r="AG21" s="464"/>
    </row>
    <row r="22" spans="1:33" ht="12.75" customHeight="1" outlineLevel="1">
      <c r="A22" s="183"/>
      <c r="B22" s="183"/>
      <c r="C22" s="183"/>
      <c r="E22" s="3446"/>
      <c r="F22" s="1421" t="s">
        <v>558</v>
      </c>
      <c r="G22" s="468">
        <v>51245</v>
      </c>
      <c r="H22" s="468">
        <v>24983.512415999994</v>
      </c>
      <c r="I22" s="468">
        <v>345471.68217600003</v>
      </c>
      <c r="J22" s="468">
        <v>-11847.318600000013</v>
      </c>
      <c r="K22" s="530">
        <v>1415.1469199999995</v>
      </c>
      <c r="L22" s="459">
        <v>130841.48999999998</v>
      </c>
      <c r="M22" s="458">
        <v>9432</v>
      </c>
      <c r="N22" s="458">
        <v>0</v>
      </c>
      <c r="O22" s="458">
        <v>0</v>
      </c>
      <c r="P22" s="460">
        <v>0</v>
      </c>
      <c r="Q22" s="413">
        <v>0</v>
      </c>
      <c r="R22" s="458">
        <v>0</v>
      </c>
      <c r="S22" s="458">
        <v>0</v>
      </c>
      <c r="T22" s="458">
        <v>0</v>
      </c>
      <c r="U22" s="458">
        <v>0</v>
      </c>
      <c r="V22" s="3438"/>
      <c r="W22" s="1172"/>
      <c r="X22" s="1172"/>
      <c r="Y22" s="1172"/>
      <c r="Z22" s="470"/>
      <c r="AA22" s="468"/>
      <c r="AB22" s="468"/>
      <c r="AC22" s="468"/>
      <c r="AD22" s="530"/>
      <c r="AE22" s="462"/>
      <c r="AF22" s="463"/>
      <c r="AG22" s="464"/>
    </row>
    <row r="23" spans="1:33" ht="12.75" customHeight="1" outlineLevel="1">
      <c r="A23" s="474"/>
      <c r="B23" s="474"/>
      <c r="C23" s="474"/>
      <c r="E23" s="3446"/>
      <c r="F23" s="1421" t="s">
        <v>578</v>
      </c>
      <c r="G23" s="468">
        <v>0</v>
      </c>
      <c r="H23" s="468">
        <v>18074</v>
      </c>
      <c r="I23" s="468">
        <v>22</v>
      </c>
      <c r="J23" s="468">
        <v>0.73919999999999964</v>
      </c>
      <c r="K23" s="468">
        <v>0</v>
      </c>
      <c r="L23" s="459">
        <v>42.542999999999999</v>
      </c>
      <c r="M23" s="458">
        <v>0</v>
      </c>
      <c r="N23" s="458">
        <v>0</v>
      </c>
      <c r="O23" s="458">
        <v>0</v>
      </c>
      <c r="P23" s="460">
        <v>0</v>
      </c>
      <c r="Q23" s="413">
        <v>0</v>
      </c>
      <c r="R23" s="458">
        <v>0</v>
      </c>
      <c r="S23" s="458">
        <v>0</v>
      </c>
      <c r="T23" s="458">
        <v>0</v>
      </c>
      <c r="U23" s="458">
        <v>0</v>
      </c>
      <c r="V23" s="3438"/>
      <c r="W23" s="1172"/>
      <c r="X23" s="1172"/>
      <c r="Y23" s="1172"/>
      <c r="Z23" s="470"/>
      <c r="AA23" s="468"/>
      <c r="AB23" s="468"/>
      <c r="AC23" s="468"/>
      <c r="AD23" s="530"/>
      <c r="AE23" s="462"/>
      <c r="AF23" s="463"/>
      <c r="AG23" s="464"/>
    </row>
    <row r="24" spans="1:33" ht="12.75" customHeight="1" outlineLevel="1">
      <c r="A24" s="474"/>
      <c r="B24" s="474"/>
      <c r="C24" s="474"/>
      <c r="E24" s="3446"/>
      <c r="F24" s="1441" t="s">
        <v>566</v>
      </c>
      <c r="G24" s="354">
        <f>SUM(G21:G23)</f>
        <v>54586</v>
      </c>
      <c r="H24" s="354">
        <v>43057.512415999998</v>
      </c>
      <c r="I24" s="354">
        <f>SUM(I21:I23)</f>
        <v>345493.68217600003</v>
      </c>
      <c r="J24" s="354">
        <f>SUM(J21:J23)</f>
        <v>-11846.579400000013</v>
      </c>
      <c r="K24" s="626">
        <f>SUM(K21:K23)</f>
        <v>1415.1469199999995</v>
      </c>
      <c r="L24" s="353">
        <f t="shared" ref="L24:P24" si="0">SUM(L21:L23)</f>
        <v>199804.51199999999</v>
      </c>
      <c r="M24" s="354">
        <f t="shared" si="0"/>
        <v>9432</v>
      </c>
      <c r="N24" s="354">
        <f t="shared" si="0"/>
        <v>0</v>
      </c>
      <c r="O24" s="354">
        <f t="shared" si="0"/>
        <v>0</v>
      </c>
      <c r="P24" s="626">
        <f t="shared" si="0"/>
        <v>0</v>
      </c>
      <c r="Q24" s="353">
        <f>SUM(Q21:Q23)</f>
        <v>0</v>
      </c>
      <c r="R24" s="354">
        <f t="shared" ref="R24:U24" si="1">SUM(R21:R23)</f>
        <v>0</v>
      </c>
      <c r="S24" s="354">
        <f t="shared" si="1"/>
        <v>0</v>
      </c>
      <c r="T24" s="354">
        <f t="shared" si="1"/>
        <v>0</v>
      </c>
      <c r="U24" s="354">
        <f t="shared" si="1"/>
        <v>0</v>
      </c>
      <c r="V24" s="3438"/>
      <c r="W24" s="1172"/>
      <c r="X24" s="1172"/>
      <c r="Y24" s="1172"/>
      <c r="Z24" s="462"/>
      <c r="AA24" s="463"/>
      <c r="AB24" s="463"/>
      <c r="AC24" s="463"/>
      <c r="AD24" s="464"/>
      <c r="AE24" s="353"/>
      <c r="AF24" s="354">
        <f t="shared" ref="AF24:AG24" si="2">SUM(AF21:AF23)</f>
        <v>0</v>
      </c>
      <c r="AG24" s="450">
        <f t="shared" si="2"/>
        <v>0</v>
      </c>
    </row>
    <row r="25" spans="1:33" ht="12.75" customHeight="1" outlineLevel="1">
      <c r="A25" s="474"/>
      <c r="B25" s="474"/>
      <c r="C25" s="474"/>
      <c r="E25" s="3446"/>
      <c r="F25" s="1421" t="s">
        <v>583</v>
      </c>
      <c r="G25" s="413">
        <f>G24*'[5]IT capitalised overheads'!C$7</f>
        <v>5327.738189372757</v>
      </c>
      <c r="H25" s="458">
        <v>1811.3489776270003</v>
      </c>
      <c r="I25" s="458">
        <f>I24*'[5]IT capitalised overheads'!E$7</f>
        <v>12264.920387643206</v>
      </c>
      <c r="J25" s="458">
        <f>J24*'[5]IT capitalised overheads'!F$7</f>
        <v>-544.5923118474218</v>
      </c>
      <c r="K25" s="625">
        <f>K24*'[5]IT capitalised overheads'!G$7</f>
        <v>66.624934343388901</v>
      </c>
      <c r="L25" s="511">
        <f>L24*'[5]IT capitalised overheads'!H$7</f>
        <v>9785.3947472843211</v>
      </c>
      <c r="M25" s="512">
        <f>M24*'[5]IT capitalised overheads'!I$7</f>
        <v>702.83416946769762</v>
      </c>
      <c r="N25" s="512">
        <f>N24*'[5]IT capitalised overheads'!J$7</f>
        <v>0</v>
      </c>
      <c r="O25" s="512">
        <f>O24*'[5]IT capitalised overheads'!K$7</f>
        <v>0</v>
      </c>
      <c r="P25" s="3480">
        <f>P24*'[5]IT capitalised overheads'!L$7</f>
        <v>0</v>
      </c>
      <c r="Q25" s="564">
        <f>Q24*'[5]IT capitalised overheads'!M$7</f>
        <v>0</v>
      </c>
      <c r="R25" s="477">
        <f>R24*'[5]IT capitalised overheads'!N$7</f>
        <v>0</v>
      </c>
      <c r="S25" s="477">
        <f>S24*'[5]IT capitalised overheads'!O$7</f>
        <v>0</v>
      </c>
      <c r="T25" s="477">
        <f>T24*'[5]IT capitalised overheads'!P$7</f>
        <v>0</v>
      </c>
      <c r="U25" s="519">
        <f>U24*'[5]IT capitalised overheads'!Q$7</f>
        <v>0</v>
      </c>
      <c r="V25" s="3438"/>
      <c r="W25" s="1172"/>
      <c r="X25" s="1172"/>
      <c r="Y25" s="1172"/>
      <c r="Z25" s="462"/>
      <c r="AA25" s="463"/>
      <c r="AB25" s="463"/>
      <c r="AC25" s="463"/>
      <c r="AD25" s="464"/>
      <c r="AE25" s="511"/>
      <c r="AF25" s="512"/>
      <c r="AG25" s="547"/>
    </row>
    <row r="26" spans="1:33" ht="12.75" customHeight="1" outlineLevel="1">
      <c r="A26" s="474"/>
      <c r="B26" s="474"/>
      <c r="C26" s="474"/>
      <c r="E26" s="3446"/>
      <c r="F26" s="1421" t="s">
        <v>581</v>
      </c>
      <c r="G26" s="413"/>
      <c r="H26" s="458"/>
      <c r="I26" s="458"/>
      <c r="J26" s="458"/>
      <c r="K26" s="625"/>
      <c r="L26" s="462"/>
      <c r="M26" s="463"/>
      <c r="N26" s="463"/>
      <c r="O26" s="463"/>
      <c r="P26" s="1190"/>
      <c r="Q26" s="459"/>
      <c r="R26" s="458"/>
      <c r="S26" s="458"/>
      <c r="T26" s="458"/>
      <c r="U26" s="460"/>
      <c r="V26" s="3438"/>
      <c r="W26" s="1172"/>
      <c r="X26" s="1172"/>
      <c r="Y26" s="1172"/>
      <c r="Z26" s="462"/>
      <c r="AA26" s="463"/>
      <c r="AB26" s="463"/>
      <c r="AC26" s="463"/>
      <c r="AD26" s="464"/>
      <c r="AE26" s="462"/>
      <c r="AF26" s="463"/>
      <c r="AG26" s="464"/>
    </row>
    <row r="27" spans="1:33" ht="12.75" customHeight="1" outlineLevel="1">
      <c r="A27" s="474"/>
      <c r="B27" s="474"/>
      <c r="C27" s="474"/>
      <c r="E27" s="3446"/>
      <c r="F27" s="1441" t="s">
        <v>584</v>
      </c>
      <c r="G27" s="1147">
        <f>SUM(G24:G26)</f>
        <v>59913.738189372758</v>
      </c>
      <c r="H27" s="1147">
        <v>44868.861393626998</v>
      </c>
      <c r="I27" s="1147">
        <f t="shared" ref="I27:U27" si="3">SUM(I24:I26)</f>
        <v>357758.60256364325</v>
      </c>
      <c r="J27" s="1147">
        <f t="shared" si="3"/>
        <v>-12391.171711847435</v>
      </c>
      <c r="K27" s="1147">
        <f t="shared" si="3"/>
        <v>1481.7718543433884</v>
      </c>
      <c r="L27" s="1147">
        <f t="shared" si="3"/>
        <v>209589.90674728432</v>
      </c>
      <c r="M27" s="1147">
        <f t="shared" si="3"/>
        <v>10134.834169467698</v>
      </c>
      <c r="N27" s="1147">
        <f t="shared" si="3"/>
        <v>0</v>
      </c>
      <c r="O27" s="1147">
        <f t="shared" si="3"/>
        <v>0</v>
      </c>
      <c r="P27" s="1147">
        <f t="shared" si="3"/>
        <v>0</v>
      </c>
      <c r="Q27" s="1147">
        <f t="shared" si="3"/>
        <v>0</v>
      </c>
      <c r="R27" s="1147">
        <f t="shared" si="3"/>
        <v>0</v>
      </c>
      <c r="S27" s="1147">
        <f t="shared" si="3"/>
        <v>0</v>
      </c>
      <c r="T27" s="1147">
        <f t="shared" si="3"/>
        <v>0</v>
      </c>
      <c r="U27" s="1147">
        <f t="shared" si="3"/>
        <v>0</v>
      </c>
      <c r="V27" s="3438"/>
      <c r="W27" s="844"/>
      <c r="X27" s="844"/>
      <c r="Y27" s="844"/>
      <c r="Z27" s="1144">
        <f t="shared" ref="Z27:AG27" si="4">SUM(Z25:Z26)</f>
        <v>0</v>
      </c>
      <c r="AA27" s="1145">
        <f t="shared" si="4"/>
        <v>0</v>
      </c>
      <c r="AB27" s="1145">
        <f t="shared" si="4"/>
        <v>0</v>
      </c>
      <c r="AC27" s="1145">
        <f t="shared" si="4"/>
        <v>0</v>
      </c>
      <c r="AD27" s="1146">
        <f t="shared" si="4"/>
        <v>0</v>
      </c>
      <c r="AE27" s="1144">
        <f t="shared" si="4"/>
        <v>0</v>
      </c>
      <c r="AF27" s="1145">
        <f t="shared" si="4"/>
        <v>0</v>
      </c>
      <c r="AG27" s="1146">
        <f t="shared" si="4"/>
        <v>0</v>
      </c>
    </row>
    <row r="28" spans="1:33" s="844" customFormat="1" ht="12.75" customHeight="1" outlineLevel="1">
      <c r="D28" s="843"/>
      <c r="E28" s="3446"/>
      <c r="F28" s="1421" t="s">
        <v>35</v>
      </c>
      <c r="G28" s="413"/>
      <c r="H28" s="458"/>
      <c r="I28" s="458"/>
      <c r="J28" s="458"/>
      <c r="K28" s="625"/>
      <c r="L28" s="459"/>
      <c r="M28" s="458"/>
      <c r="N28" s="458"/>
      <c r="O28" s="458"/>
      <c r="P28" s="625"/>
      <c r="Q28" s="459"/>
      <c r="R28" s="458"/>
      <c r="S28" s="458"/>
      <c r="T28" s="458"/>
      <c r="U28" s="460"/>
      <c r="V28" s="3438"/>
      <c r="W28" s="1172"/>
      <c r="X28" s="1172"/>
      <c r="Y28" s="1172"/>
      <c r="Z28" s="462"/>
      <c r="AA28" s="463"/>
      <c r="AB28" s="463"/>
      <c r="AC28" s="463"/>
      <c r="AD28" s="464"/>
      <c r="AE28" s="462"/>
      <c r="AF28" s="463"/>
      <c r="AG28" s="464"/>
    </row>
    <row r="29" spans="1:33" ht="12.75" customHeight="1" outlineLevel="1" thickBot="1">
      <c r="A29" s="474"/>
      <c r="B29" s="474"/>
      <c r="C29" s="474"/>
      <c r="E29" s="3447"/>
      <c r="F29" s="1443" t="s">
        <v>585</v>
      </c>
      <c r="G29" s="1152">
        <f>G27-G28</f>
        <v>59913.738189372758</v>
      </c>
      <c r="H29" s="1152">
        <v>44868.861393626998</v>
      </c>
      <c r="I29" s="1152">
        <f t="shared" ref="I29:U29" si="5">I27-I28</f>
        <v>357758.60256364325</v>
      </c>
      <c r="J29" s="1152">
        <f t="shared" si="5"/>
        <v>-12391.171711847435</v>
      </c>
      <c r="K29" s="3481">
        <f t="shared" si="5"/>
        <v>1481.7718543433884</v>
      </c>
      <c r="L29" s="1447">
        <f t="shared" si="5"/>
        <v>209589.90674728432</v>
      </c>
      <c r="M29" s="1152">
        <f t="shared" si="5"/>
        <v>10134.834169467698</v>
      </c>
      <c r="N29" s="1152">
        <f t="shared" si="5"/>
        <v>0</v>
      </c>
      <c r="O29" s="1152">
        <f t="shared" si="5"/>
        <v>0</v>
      </c>
      <c r="P29" s="3481">
        <f t="shared" si="5"/>
        <v>0</v>
      </c>
      <c r="Q29" s="1447">
        <f t="shared" si="5"/>
        <v>0</v>
      </c>
      <c r="R29" s="1152">
        <f t="shared" si="5"/>
        <v>0</v>
      </c>
      <c r="S29" s="1152">
        <f t="shared" si="5"/>
        <v>0</v>
      </c>
      <c r="T29" s="1152">
        <f t="shared" si="5"/>
        <v>0</v>
      </c>
      <c r="U29" s="1152">
        <f t="shared" si="5"/>
        <v>0</v>
      </c>
      <c r="V29" s="3439"/>
      <c r="W29" s="844"/>
      <c r="X29" s="844"/>
      <c r="Y29" s="844"/>
      <c r="Z29" s="1447">
        <f t="shared" ref="Z29:AE29" si="6">Z27-Z28</f>
        <v>0</v>
      </c>
      <c r="AA29" s="1150">
        <f t="shared" si="6"/>
        <v>0</v>
      </c>
      <c r="AB29" s="1150">
        <f t="shared" si="6"/>
        <v>0</v>
      </c>
      <c r="AC29" s="1150">
        <f t="shared" si="6"/>
        <v>0</v>
      </c>
      <c r="AD29" s="1151">
        <f t="shared" si="6"/>
        <v>0</v>
      </c>
      <c r="AE29" s="1447">
        <f t="shared" si="6"/>
        <v>0</v>
      </c>
      <c r="AF29" s="1150">
        <f>AF27-AF28</f>
        <v>0</v>
      </c>
      <c r="AG29" s="1151">
        <f t="shared" ref="AG29" si="7">AG27-AG28</f>
        <v>0</v>
      </c>
    </row>
    <row r="30" spans="1:33" s="844" customFormat="1" ht="12.75" customHeight="1" outlineLevel="1">
      <c r="D30" s="843"/>
      <c r="E30" s="3446" t="s">
        <v>1760</v>
      </c>
      <c r="F30" s="1442" t="s">
        <v>598</v>
      </c>
      <c r="G30" s="528"/>
      <c r="H30" s="3757"/>
      <c r="I30" s="528"/>
      <c r="J30" s="528"/>
      <c r="K30" s="528"/>
      <c r="L30" s="538"/>
      <c r="M30" s="539"/>
      <c r="N30" s="539"/>
      <c r="O30" s="539"/>
      <c r="P30" s="539"/>
      <c r="Q30" s="538"/>
      <c r="R30" s="539"/>
      <c r="S30" s="539"/>
      <c r="T30" s="539"/>
      <c r="U30" s="540"/>
      <c r="V30" s="3437"/>
      <c r="W30" s="1172"/>
      <c r="X30" s="1172"/>
      <c r="Y30" s="1172"/>
      <c r="Z30" s="527"/>
      <c r="AA30" s="528"/>
      <c r="AB30" s="528"/>
      <c r="AC30" s="528"/>
      <c r="AD30" s="529"/>
      <c r="AE30" s="538"/>
      <c r="AF30" s="539"/>
      <c r="AG30" s="540"/>
    </row>
    <row r="31" spans="1:33" ht="12.75" customHeight="1" outlineLevel="1">
      <c r="A31" s="183"/>
      <c r="B31" s="183"/>
      <c r="C31" s="183"/>
      <c r="E31" s="3446"/>
      <c r="F31" s="1421" t="s">
        <v>559</v>
      </c>
      <c r="G31" s="468">
        <v>380</v>
      </c>
      <c r="H31" s="468">
        <v>160319.32199999999</v>
      </c>
      <c r="I31" s="468">
        <v>12671.396999999999</v>
      </c>
      <c r="J31" s="468">
        <v>41339.358999999997</v>
      </c>
      <c r="K31" s="468">
        <v>14858.718000000001</v>
      </c>
      <c r="L31" s="459">
        <v>-3990.6750000000006</v>
      </c>
      <c r="M31" s="458">
        <v>51982.736999999994</v>
      </c>
      <c r="N31" s="458">
        <v>2813.5769999999998</v>
      </c>
      <c r="O31" s="458">
        <v>12090</v>
      </c>
      <c r="P31" s="625">
        <v>1115</v>
      </c>
      <c r="Q31" s="459">
        <v>0</v>
      </c>
      <c r="R31" s="458">
        <v>0</v>
      </c>
      <c r="S31" s="458">
        <v>0</v>
      </c>
      <c r="T31" s="458">
        <v>0</v>
      </c>
      <c r="U31" s="458">
        <v>0</v>
      </c>
      <c r="V31" s="3438"/>
      <c r="W31" s="1172"/>
      <c r="X31" s="1172"/>
      <c r="Y31" s="1172"/>
      <c r="Z31" s="470"/>
      <c r="AA31" s="468"/>
      <c r="AB31" s="468"/>
      <c r="AC31" s="468"/>
      <c r="AD31" s="530"/>
      <c r="AE31" s="462"/>
      <c r="AF31" s="463"/>
      <c r="AG31" s="464"/>
    </row>
    <row r="32" spans="1:33" ht="12.75" customHeight="1" outlineLevel="1">
      <c r="A32" s="183"/>
      <c r="B32" s="183"/>
      <c r="C32" s="183"/>
      <c r="E32" s="3446"/>
      <c r="F32" s="1421" t="s">
        <v>558</v>
      </c>
      <c r="G32" s="468">
        <v>171271</v>
      </c>
      <c r="H32" s="468">
        <v>213420.201</v>
      </c>
      <c r="I32" s="468">
        <v>109910.66999999998</v>
      </c>
      <c r="J32" s="468">
        <v>100149.38500000001</v>
      </c>
      <c r="K32" s="468">
        <v>24979.89599999999</v>
      </c>
      <c r="L32" s="459">
        <v>858171.1379999998</v>
      </c>
      <c r="M32" s="458">
        <v>-146308.79100000003</v>
      </c>
      <c r="N32" s="458">
        <v>28297.530000000006</v>
      </c>
      <c r="O32" s="458">
        <v>7532</v>
      </c>
      <c r="P32" s="625">
        <v>191</v>
      </c>
      <c r="Q32" s="459">
        <v>0</v>
      </c>
      <c r="R32" s="458">
        <v>0</v>
      </c>
      <c r="S32" s="458">
        <v>0</v>
      </c>
      <c r="T32" s="458">
        <v>0</v>
      </c>
      <c r="U32" s="458">
        <v>0</v>
      </c>
      <c r="V32" s="3438"/>
      <c r="W32" s="1172"/>
      <c r="X32" s="1172"/>
      <c r="Y32" s="1172"/>
      <c r="Z32" s="470"/>
      <c r="AA32" s="468"/>
      <c r="AB32" s="468"/>
      <c r="AC32" s="468"/>
      <c r="AD32" s="530"/>
      <c r="AE32" s="462"/>
      <c r="AF32" s="463"/>
      <c r="AG32" s="464"/>
    </row>
    <row r="33" spans="1:33" ht="12.75" customHeight="1" outlineLevel="1">
      <c r="A33" s="474"/>
      <c r="B33" s="474"/>
      <c r="C33" s="474"/>
      <c r="E33" s="3446"/>
      <c r="F33" s="1421" t="s">
        <v>578</v>
      </c>
      <c r="G33" s="468">
        <v>0</v>
      </c>
      <c r="H33" s="468">
        <v>59391</v>
      </c>
      <c r="I33" s="468">
        <v>49.091999999999992</v>
      </c>
      <c r="J33" s="468">
        <v>39.272999999999996</v>
      </c>
      <c r="K33" s="468">
        <v>0</v>
      </c>
      <c r="L33" s="459">
        <v>96</v>
      </c>
      <c r="M33" s="458">
        <v>58.983000000000004</v>
      </c>
      <c r="N33" s="458">
        <v>0</v>
      </c>
      <c r="O33" s="458">
        <v>15047</v>
      </c>
      <c r="P33" s="625">
        <v>1415</v>
      </c>
      <c r="Q33" s="459">
        <v>0</v>
      </c>
      <c r="R33" s="458">
        <v>0</v>
      </c>
      <c r="S33" s="458">
        <v>0</v>
      </c>
      <c r="T33" s="458">
        <v>0</v>
      </c>
      <c r="U33" s="458">
        <v>0</v>
      </c>
      <c r="V33" s="3438"/>
      <c r="W33" s="1172"/>
      <c r="X33" s="1172"/>
      <c r="Y33" s="1172"/>
      <c r="Z33" s="470"/>
      <c r="AA33" s="468"/>
      <c r="AB33" s="468"/>
      <c r="AC33" s="468"/>
      <c r="AD33" s="530"/>
      <c r="AE33" s="462"/>
      <c r="AF33" s="463"/>
      <c r="AG33" s="464"/>
    </row>
    <row r="34" spans="1:33" ht="12.75" customHeight="1" outlineLevel="1">
      <c r="A34" s="474"/>
      <c r="B34" s="474"/>
      <c r="C34" s="474"/>
      <c r="E34" s="3446"/>
      <c r="F34" s="1441" t="s">
        <v>566</v>
      </c>
      <c r="G34" s="354">
        <f>SUM(G31:G33)</f>
        <v>171651</v>
      </c>
      <c r="H34" s="354">
        <v>433130.52299999999</v>
      </c>
      <c r="I34" s="354">
        <f t="shared" ref="I34:U34" si="8">SUM(I31:I33)</f>
        <v>122631.15899999999</v>
      </c>
      <c r="J34" s="354">
        <f t="shared" si="8"/>
        <v>141528.01699999999</v>
      </c>
      <c r="K34" s="626">
        <f t="shared" si="8"/>
        <v>39838.613999999987</v>
      </c>
      <c r="L34" s="353">
        <f t="shared" si="8"/>
        <v>854276.46299999976</v>
      </c>
      <c r="M34" s="354">
        <f t="shared" si="8"/>
        <v>-94267.07100000004</v>
      </c>
      <c r="N34" s="354">
        <f t="shared" si="8"/>
        <v>31111.107000000007</v>
      </c>
      <c r="O34" s="354">
        <f t="shared" si="8"/>
        <v>34669</v>
      </c>
      <c r="P34" s="626">
        <f t="shared" si="8"/>
        <v>2721</v>
      </c>
      <c r="Q34" s="353">
        <f t="shared" si="8"/>
        <v>0</v>
      </c>
      <c r="R34" s="354">
        <f t="shared" si="8"/>
        <v>0</v>
      </c>
      <c r="S34" s="354">
        <f t="shared" si="8"/>
        <v>0</v>
      </c>
      <c r="T34" s="354">
        <f t="shared" si="8"/>
        <v>0</v>
      </c>
      <c r="U34" s="354">
        <f t="shared" si="8"/>
        <v>0</v>
      </c>
      <c r="V34" s="3438"/>
      <c r="W34" s="1172"/>
      <c r="X34" s="1172"/>
      <c r="Y34" s="1172"/>
      <c r="Z34" s="462"/>
      <c r="AA34" s="463"/>
      <c r="AB34" s="463"/>
      <c r="AC34" s="463"/>
      <c r="AD34" s="464"/>
      <c r="AE34" s="353"/>
      <c r="AF34" s="354">
        <f t="shared" ref="AF34:AG34" si="9">SUM(AF31:AF33)</f>
        <v>0</v>
      </c>
      <c r="AG34" s="450">
        <f t="shared" si="9"/>
        <v>0</v>
      </c>
    </row>
    <row r="35" spans="1:33" ht="12.75" customHeight="1" outlineLevel="1">
      <c r="A35" s="474"/>
      <c r="B35" s="474"/>
      <c r="C35" s="474"/>
      <c r="E35" s="3446"/>
      <c r="F35" s="1421" t="s">
        <v>583</v>
      </c>
      <c r="G35" s="413">
        <f>G34*'[5]IT capitalised overheads'!C$7</f>
        <v>16753.592275382391</v>
      </c>
      <c r="H35" s="458">
        <v>18220.990623777005</v>
      </c>
      <c r="I35" s="458">
        <f>I34*'[5]IT capitalised overheads'!E$7</f>
        <v>4353.3687583126984</v>
      </c>
      <c r="J35" s="458">
        <f>J34*'[5]IT capitalised overheads'!F$7</f>
        <v>6506.1033541218758</v>
      </c>
      <c r="K35" s="625">
        <f>K34*'[5]IT capitalised overheads'!G$7</f>
        <v>1875.5968052289679</v>
      </c>
      <c r="L35" s="511">
        <f>L34*'[5]IT capitalised overheads'!H$7</f>
        <v>41838.056258553494</v>
      </c>
      <c r="M35" s="512">
        <f>M34*'[5]IT capitalised overheads'!I$7</f>
        <v>-7024.3976414798044</v>
      </c>
      <c r="N35" s="512">
        <f>N34*'[5]IT capitalised overheads'!J$7</f>
        <v>2076.8802549195743</v>
      </c>
      <c r="O35" s="512">
        <f>O34*'[5]IT capitalised overheads'!K$7</f>
        <v>3327.5473206191973</v>
      </c>
      <c r="P35" s="3480">
        <f>P34*'[5]IT capitalised overheads'!L$7</f>
        <v>159.70428130804689</v>
      </c>
      <c r="Q35" s="564">
        <f>Q34*'[5]IT capitalised overheads'!M$7</f>
        <v>0</v>
      </c>
      <c r="R35" s="477">
        <f>R34*'[5]IT capitalised overheads'!N$7</f>
        <v>0</v>
      </c>
      <c r="S35" s="477">
        <f>S34*'[5]IT capitalised overheads'!O$7</f>
        <v>0</v>
      </c>
      <c r="T35" s="477">
        <f>T34*'[5]IT capitalised overheads'!P$7</f>
        <v>0</v>
      </c>
      <c r="U35" s="519">
        <f>U34*'[5]IT capitalised overheads'!Q$7</f>
        <v>0</v>
      </c>
      <c r="V35" s="3438"/>
      <c r="W35" s="1172"/>
      <c r="X35" s="1172"/>
      <c r="Y35" s="1172"/>
      <c r="Z35" s="462"/>
      <c r="AA35" s="463"/>
      <c r="AB35" s="463"/>
      <c r="AC35" s="463"/>
      <c r="AD35" s="464"/>
      <c r="AE35" s="511"/>
      <c r="AF35" s="512"/>
      <c r="AG35" s="547"/>
    </row>
    <row r="36" spans="1:33" ht="12.75" customHeight="1" outlineLevel="1">
      <c r="A36" s="474"/>
      <c r="B36" s="474"/>
      <c r="C36" s="474"/>
      <c r="E36" s="3446"/>
      <c r="F36" s="1421" t="s">
        <v>581</v>
      </c>
      <c r="G36" s="413"/>
      <c r="H36" s="458"/>
      <c r="I36" s="458"/>
      <c r="J36" s="458"/>
      <c r="K36" s="625"/>
      <c r="L36" s="462"/>
      <c r="M36" s="463"/>
      <c r="N36" s="463"/>
      <c r="O36" s="463"/>
      <c r="P36" s="1190"/>
      <c r="Q36" s="459"/>
      <c r="R36" s="458"/>
      <c r="S36" s="458"/>
      <c r="T36" s="458"/>
      <c r="U36" s="460"/>
      <c r="V36" s="3438"/>
      <c r="W36" s="1172"/>
      <c r="X36" s="1172"/>
      <c r="Y36" s="1172"/>
      <c r="Z36" s="462"/>
      <c r="AA36" s="463"/>
      <c r="AB36" s="463"/>
      <c r="AC36" s="463"/>
      <c r="AD36" s="464"/>
      <c r="AE36" s="462"/>
      <c r="AF36" s="463"/>
      <c r="AG36" s="464"/>
    </row>
    <row r="37" spans="1:33" ht="12.75" customHeight="1" outlineLevel="1">
      <c r="A37" s="474"/>
      <c r="B37" s="474"/>
      <c r="C37" s="474"/>
      <c r="E37" s="3446"/>
      <c r="F37" s="1441" t="s">
        <v>584</v>
      </c>
      <c r="G37" s="1147">
        <f>SUM(G34:G36)</f>
        <v>188404.5922753824</v>
      </c>
      <c r="H37" s="1147">
        <v>451351.51362377696</v>
      </c>
      <c r="I37" s="1147">
        <f t="shared" ref="I37:U37" si="10">SUM(I34:I36)</f>
        <v>126984.52775831269</v>
      </c>
      <c r="J37" s="1147">
        <f t="shared" si="10"/>
        <v>148034.12035412187</v>
      </c>
      <c r="K37" s="1147">
        <f t="shared" si="10"/>
        <v>41714.210805228955</v>
      </c>
      <c r="L37" s="1147">
        <f t="shared" si="10"/>
        <v>896114.51925855328</v>
      </c>
      <c r="M37" s="1147">
        <f t="shared" si="10"/>
        <v>-101291.46864147985</v>
      </c>
      <c r="N37" s="1147">
        <f t="shared" si="10"/>
        <v>33187.987254919579</v>
      </c>
      <c r="O37" s="1147">
        <f t="shared" si="10"/>
        <v>37996.547320619196</v>
      </c>
      <c r="P37" s="1147">
        <f t="shared" si="10"/>
        <v>2880.704281308047</v>
      </c>
      <c r="Q37" s="1147">
        <f t="shared" si="10"/>
        <v>0</v>
      </c>
      <c r="R37" s="1147">
        <f t="shared" si="10"/>
        <v>0</v>
      </c>
      <c r="S37" s="1147">
        <f t="shared" si="10"/>
        <v>0</v>
      </c>
      <c r="T37" s="1147">
        <f t="shared" si="10"/>
        <v>0</v>
      </c>
      <c r="U37" s="1147">
        <f t="shared" si="10"/>
        <v>0</v>
      </c>
      <c r="V37" s="3438"/>
      <c r="W37" s="844"/>
      <c r="X37" s="844"/>
      <c r="Y37" s="844"/>
      <c r="Z37" s="1144">
        <f t="shared" ref="Z37:AG37" si="11">SUM(Z35:Z36)</f>
        <v>0</v>
      </c>
      <c r="AA37" s="1145">
        <f t="shared" si="11"/>
        <v>0</v>
      </c>
      <c r="AB37" s="1145">
        <f t="shared" si="11"/>
        <v>0</v>
      </c>
      <c r="AC37" s="1145">
        <f t="shared" si="11"/>
        <v>0</v>
      </c>
      <c r="AD37" s="1146">
        <f t="shared" si="11"/>
        <v>0</v>
      </c>
      <c r="AE37" s="1144">
        <f t="shared" si="11"/>
        <v>0</v>
      </c>
      <c r="AF37" s="1145">
        <f t="shared" si="11"/>
        <v>0</v>
      </c>
      <c r="AG37" s="1146">
        <f t="shared" si="11"/>
        <v>0</v>
      </c>
    </row>
    <row r="38" spans="1:33" s="844" customFormat="1" ht="12.75" customHeight="1" outlineLevel="1">
      <c r="D38" s="843"/>
      <c r="E38" s="3446"/>
      <c r="F38" s="1421" t="s">
        <v>35</v>
      </c>
      <c r="G38" s="413"/>
      <c r="H38" s="458"/>
      <c r="I38" s="458"/>
      <c r="J38" s="458"/>
      <c r="K38" s="625"/>
      <c r="L38" s="459"/>
      <c r="M38" s="458"/>
      <c r="N38" s="458"/>
      <c r="O38" s="458"/>
      <c r="P38" s="625"/>
      <c r="Q38" s="459"/>
      <c r="R38" s="458"/>
      <c r="S38" s="458"/>
      <c r="T38" s="458"/>
      <c r="U38" s="460"/>
      <c r="V38" s="3438"/>
      <c r="W38" s="1172"/>
      <c r="X38" s="1172"/>
      <c r="Y38" s="1172"/>
      <c r="Z38" s="462"/>
      <c r="AA38" s="463"/>
      <c r="AB38" s="463"/>
      <c r="AC38" s="463"/>
      <c r="AD38" s="464"/>
      <c r="AE38" s="462"/>
      <c r="AF38" s="463"/>
      <c r="AG38" s="464"/>
    </row>
    <row r="39" spans="1:33" ht="12.75" customHeight="1" outlineLevel="1" thickBot="1">
      <c r="A39" s="474"/>
      <c r="B39" s="474"/>
      <c r="C39" s="474"/>
      <c r="E39" s="3447"/>
      <c r="F39" s="1443" t="s">
        <v>585</v>
      </c>
      <c r="G39" s="1152">
        <f>G37-G38</f>
        <v>188404.5922753824</v>
      </c>
      <c r="H39" s="1152">
        <v>451351.51362377696</v>
      </c>
      <c r="I39" s="1152">
        <f t="shared" ref="I39:U39" si="12">I37-I38</f>
        <v>126984.52775831269</v>
      </c>
      <c r="J39" s="1152">
        <f t="shared" si="12"/>
        <v>148034.12035412187</v>
      </c>
      <c r="K39" s="3481">
        <f t="shared" si="12"/>
        <v>41714.210805228955</v>
      </c>
      <c r="L39" s="1447">
        <f t="shared" si="12"/>
        <v>896114.51925855328</v>
      </c>
      <c r="M39" s="1152">
        <f t="shared" si="12"/>
        <v>-101291.46864147985</v>
      </c>
      <c r="N39" s="1152">
        <f t="shared" si="12"/>
        <v>33187.987254919579</v>
      </c>
      <c r="O39" s="1152">
        <f t="shared" si="12"/>
        <v>37996.547320619196</v>
      </c>
      <c r="P39" s="3481">
        <f t="shared" si="12"/>
        <v>2880.704281308047</v>
      </c>
      <c r="Q39" s="1447">
        <f t="shared" si="12"/>
        <v>0</v>
      </c>
      <c r="R39" s="1152">
        <f t="shared" si="12"/>
        <v>0</v>
      </c>
      <c r="S39" s="1152">
        <f t="shared" si="12"/>
        <v>0</v>
      </c>
      <c r="T39" s="1152">
        <f t="shared" si="12"/>
        <v>0</v>
      </c>
      <c r="U39" s="1152">
        <f t="shared" si="12"/>
        <v>0</v>
      </c>
      <c r="V39" s="3439"/>
      <c r="W39" s="844"/>
      <c r="X39" s="844"/>
      <c r="Y39" s="844"/>
      <c r="Z39" s="1447">
        <f t="shared" ref="Z39:AE39" si="13">Z37-Z38</f>
        <v>0</v>
      </c>
      <c r="AA39" s="1150">
        <f t="shared" si="13"/>
        <v>0</v>
      </c>
      <c r="AB39" s="1150">
        <f t="shared" si="13"/>
        <v>0</v>
      </c>
      <c r="AC39" s="1150">
        <f t="shared" si="13"/>
        <v>0</v>
      </c>
      <c r="AD39" s="1151">
        <f t="shared" si="13"/>
        <v>0</v>
      </c>
      <c r="AE39" s="1447">
        <f t="shared" si="13"/>
        <v>0</v>
      </c>
      <c r="AF39" s="1150">
        <f>AF37-AF38</f>
        <v>0</v>
      </c>
      <c r="AG39" s="1151">
        <f t="shared" ref="AG39" si="14">AG37-AG38</f>
        <v>0</v>
      </c>
    </row>
    <row r="40" spans="1:33" s="844" customFormat="1" ht="12.75" customHeight="1" outlineLevel="1">
      <c r="D40" s="843"/>
      <c r="E40" s="3446" t="s">
        <v>1761</v>
      </c>
      <c r="F40" s="1442" t="s">
        <v>598</v>
      </c>
      <c r="G40" s="528"/>
      <c r="H40" s="3757"/>
      <c r="I40" s="528"/>
      <c r="J40" s="528"/>
      <c r="K40" s="528"/>
      <c r="L40" s="538"/>
      <c r="M40" s="539"/>
      <c r="N40" s="539"/>
      <c r="O40" s="539"/>
      <c r="P40" s="539"/>
      <c r="Q40" s="538"/>
      <c r="R40" s="539"/>
      <c r="S40" s="539"/>
      <c r="T40" s="539"/>
      <c r="U40" s="540"/>
      <c r="V40" s="3437"/>
      <c r="W40" s="1172"/>
      <c r="X40" s="1172"/>
      <c r="Y40" s="1172"/>
      <c r="Z40" s="527"/>
      <c r="AA40" s="528"/>
      <c r="AB40" s="528"/>
      <c r="AC40" s="528"/>
      <c r="AD40" s="529"/>
      <c r="AE40" s="538"/>
      <c r="AF40" s="539"/>
      <c r="AG40" s="540"/>
    </row>
    <row r="41" spans="1:33" ht="12.75" customHeight="1" outlineLevel="1">
      <c r="A41" s="183"/>
      <c r="B41" s="183"/>
      <c r="C41" s="183"/>
      <c r="E41" s="3446"/>
      <c r="F41" s="1421" t="s">
        <v>559</v>
      </c>
      <c r="G41" s="468">
        <v>0</v>
      </c>
      <c r="H41" s="468">
        <v>34545.403349999993</v>
      </c>
      <c r="I41" s="468">
        <v>354540.79274999944</v>
      </c>
      <c r="J41" s="468">
        <v>149773.02098295151</v>
      </c>
      <c r="K41" s="468">
        <v>172167.69166775912</v>
      </c>
      <c r="L41" s="459">
        <v>82875.363615723356</v>
      </c>
      <c r="M41" s="458">
        <v>83200.497098130945</v>
      </c>
      <c r="N41" s="458">
        <v>0</v>
      </c>
      <c r="O41" s="458">
        <v>143712</v>
      </c>
      <c r="P41" s="625">
        <v>482743</v>
      </c>
      <c r="Q41" s="459">
        <v>129311.745948</v>
      </c>
      <c r="R41" s="458">
        <v>549901.46509199997</v>
      </c>
      <c r="S41" s="458">
        <v>844986.01782239997</v>
      </c>
      <c r="T41" s="458">
        <v>613879.36883519997</v>
      </c>
      <c r="U41" s="460">
        <v>186577.33964619998</v>
      </c>
      <c r="V41" s="3438"/>
      <c r="W41" s="1172"/>
      <c r="X41" s="1172"/>
      <c r="Y41" s="1172"/>
      <c r="Z41" s="470"/>
      <c r="AA41" s="468"/>
      <c r="AB41" s="468"/>
      <c r="AC41" s="468"/>
      <c r="AD41" s="530"/>
      <c r="AE41" s="462"/>
      <c r="AF41" s="463"/>
      <c r="AG41" s="464"/>
    </row>
    <row r="42" spans="1:33" ht="12.75" customHeight="1" outlineLevel="1">
      <c r="A42" s="183"/>
      <c r="B42" s="183"/>
      <c r="C42" s="183"/>
      <c r="E42" s="3446"/>
      <c r="F42" s="1421" t="s">
        <v>558</v>
      </c>
      <c r="G42" s="468">
        <v>0</v>
      </c>
      <c r="H42" s="468">
        <v>3782378.560800001</v>
      </c>
      <c r="I42" s="468">
        <v>3715541.4426000006</v>
      </c>
      <c r="J42" s="468">
        <v>1482374.6370905621</v>
      </c>
      <c r="K42" s="468">
        <v>2663505.5886388668</v>
      </c>
      <c r="L42" s="459">
        <v>-86110.227987555118</v>
      </c>
      <c r="M42" s="458">
        <v>243554.08499999999</v>
      </c>
      <c r="N42" s="458">
        <v>0</v>
      </c>
      <c r="O42" s="458">
        <v>89533</v>
      </c>
      <c r="P42" s="625">
        <v>26669</v>
      </c>
      <c r="Q42" s="459">
        <v>0</v>
      </c>
      <c r="R42" s="458">
        <v>0</v>
      </c>
      <c r="S42" s="458">
        <v>248149.17827519999</v>
      </c>
      <c r="T42" s="458">
        <v>570646.9088944</v>
      </c>
      <c r="U42" s="460">
        <v>131687.74820639999</v>
      </c>
      <c r="V42" s="3438"/>
      <c r="W42" s="1172"/>
      <c r="X42" s="1172"/>
      <c r="Y42" s="1172"/>
      <c r="Z42" s="470"/>
      <c r="AA42" s="468"/>
      <c r="AB42" s="468"/>
      <c r="AC42" s="468"/>
      <c r="AD42" s="530"/>
      <c r="AE42" s="462"/>
      <c r="AF42" s="463"/>
      <c r="AG42" s="464"/>
    </row>
    <row r="43" spans="1:33" ht="12.75" customHeight="1" outlineLevel="1">
      <c r="A43" s="474"/>
      <c r="B43" s="474"/>
      <c r="C43" s="474"/>
      <c r="E43" s="3446"/>
      <c r="F43" s="1421" t="s">
        <v>578</v>
      </c>
      <c r="G43" s="468">
        <v>0</v>
      </c>
      <c r="H43" s="468">
        <v>344.25</v>
      </c>
      <c r="I43" s="468">
        <v>0</v>
      </c>
      <c r="J43" s="468">
        <v>13143</v>
      </c>
      <c r="K43" s="468">
        <v>29784.062643375244</v>
      </c>
      <c r="L43" s="459">
        <v>34203.537449264033</v>
      </c>
      <c r="M43" s="458">
        <v>-1195</v>
      </c>
      <c r="N43" s="458">
        <v>0</v>
      </c>
      <c r="O43" s="458">
        <v>178856</v>
      </c>
      <c r="P43" s="625">
        <v>524649</v>
      </c>
      <c r="Q43" s="459">
        <v>86207.830631999997</v>
      </c>
      <c r="R43" s="458">
        <v>366600.97672799998</v>
      </c>
      <c r="S43" s="458">
        <v>550088.06212799996</v>
      </c>
      <c r="T43" s="458">
        <v>209050.87933199998</v>
      </c>
      <c r="U43" s="460">
        <v>78184.158083999995</v>
      </c>
      <c r="V43" s="3438"/>
      <c r="W43" s="1172"/>
      <c r="X43" s="1172"/>
      <c r="Y43" s="1172"/>
      <c r="Z43" s="470"/>
      <c r="AA43" s="468"/>
      <c r="AB43" s="468"/>
      <c r="AC43" s="468"/>
      <c r="AD43" s="530"/>
      <c r="AE43" s="462"/>
      <c r="AF43" s="463"/>
      <c r="AG43" s="464"/>
    </row>
    <row r="44" spans="1:33" ht="12.75" customHeight="1" outlineLevel="1">
      <c r="A44" s="474"/>
      <c r="B44" s="474"/>
      <c r="C44" s="474"/>
      <c r="E44" s="3446"/>
      <c r="F44" s="1441" t="s">
        <v>566</v>
      </c>
      <c r="G44" s="354">
        <f>SUM(G41:G43)</f>
        <v>0</v>
      </c>
      <c r="H44" s="354">
        <v>3817268.2141500008</v>
      </c>
      <c r="I44" s="354">
        <f t="shared" ref="I44" si="15">SUM(I41:I43)</f>
        <v>4070082.2353500002</v>
      </c>
      <c r="J44" s="354">
        <f>SUM(J41:J43)</f>
        <v>1645290.6580735138</v>
      </c>
      <c r="K44" s="626">
        <f t="shared" ref="K44" si="16">SUM(K41:K43)</f>
        <v>2865457.3429500014</v>
      </c>
      <c r="L44" s="353">
        <f>SUM(L41:L43)</f>
        <v>30968.673077432271</v>
      </c>
      <c r="M44" s="354">
        <f t="shared" ref="M44" si="17">SUM(M41:M43)</f>
        <v>325559.58209813095</v>
      </c>
      <c r="N44" s="354">
        <f>SUM(N41:N43)</f>
        <v>0</v>
      </c>
      <c r="O44" s="354">
        <f t="shared" ref="O44:U44" si="18">SUM(O41:O43)</f>
        <v>412101</v>
      </c>
      <c r="P44" s="626">
        <f t="shared" si="18"/>
        <v>1034061</v>
      </c>
      <c r="Q44" s="353">
        <f t="shared" si="18"/>
        <v>215519.57657999999</v>
      </c>
      <c r="R44" s="354">
        <f t="shared" si="18"/>
        <v>916502.44181999995</v>
      </c>
      <c r="S44" s="354">
        <f t="shared" si="18"/>
        <v>1643223.2582256</v>
      </c>
      <c r="T44" s="354">
        <f t="shared" si="18"/>
        <v>1393577.1570615999</v>
      </c>
      <c r="U44" s="354">
        <f t="shared" si="18"/>
        <v>396449.24593659997</v>
      </c>
      <c r="V44" s="3438"/>
      <c r="W44" s="1172"/>
      <c r="X44" s="1172"/>
      <c r="Y44" s="1172"/>
      <c r="Z44" s="462"/>
      <c r="AA44" s="463"/>
      <c r="AB44" s="463"/>
      <c r="AC44" s="463"/>
      <c r="AD44" s="464"/>
      <c r="AE44" s="353"/>
      <c r="AF44" s="354">
        <f t="shared" ref="AF44:AG44" si="19">SUM(AF41:AF43)</f>
        <v>0</v>
      </c>
      <c r="AG44" s="450">
        <f t="shared" si="19"/>
        <v>0</v>
      </c>
    </row>
    <row r="45" spans="1:33" ht="12.75" customHeight="1" outlineLevel="1">
      <c r="A45" s="474"/>
      <c r="B45" s="474"/>
      <c r="C45" s="474"/>
      <c r="E45" s="3446"/>
      <c r="F45" s="1421" t="s">
        <v>583</v>
      </c>
      <c r="G45" s="413">
        <f>G44*'[5]IT capitalised overheads'!C$7</f>
        <v>0</v>
      </c>
      <c r="H45" s="458">
        <v>160585.33085295666</v>
      </c>
      <c r="I45" s="458">
        <f>I44*'[5]IT capitalised overheads'!E$7</f>
        <v>144486.67852137159</v>
      </c>
      <c r="J45" s="458">
        <f>J44*'[5]IT capitalised overheads'!F$7</f>
        <v>75634.713860206757</v>
      </c>
      <c r="K45" s="625">
        <f>K44*'[5]IT capitalised overheads'!G$7</f>
        <v>134905.36186718021</v>
      </c>
      <c r="L45" s="511">
        <f>L44*'[5]IT capitalised overheads'!H$7</f>
        <v>1516.6859238007153</v>
      </c>
      <c r="M45" s="512">
        <f>M44*'[5]IT capitalised overheads'!I$7</f>
        <v>24259.372190011727</v>
      </c>
      <c r="N45" s="512">
        <f>N44*'[5]IT capitalised overheads'!J$7</f>
        <v>0</v>
      </c>
      <c r="O45" s="512">
        <f>O44*'[5]IT capitalised overheads'!K$7</f>
        <v>39553.652495730821</v>
      </c>
      <c r="P45" s="3480">
        <f>P44*'[5]IT capitalised overheads'!L$7</f>
        <v>60692.381048761585</v>
      </c>
      <c r="Q45" s="564">
        <f>Q44*'[5]IT capitalised overheads'!M$7</f>
        <v>11993.724404470086</v>
      </c>
      <c r="R45" s="477">
        <f>R44*'[5]IT capitalised overheads'!N$7</f>
        <v>47101.342508823109</v>
      </c>
      <c r="S45" s="477">
        <f>S44*'[5]IT capitalised overheads'!O$7</f>
        <v>98823.127957704259</v>
      </c>
      <c r="T45" s="477">
        <f>T44*'[5]IT capitalised overheads'!P$7</f>
        <v>98505.691852312899</v>
      </c>
      <c r="U45" s="519">
        <f>U44*'[5]IT capitalised overheads'!Q$7</f>
        <v>44562.047721760369</v>
      </c>
      <c r="V45" s="3438"/>
      <c r="W45" s="1172"/>
      <c r="X45" s="1172"/>
      <c r="Y45" s="1172"/>
      <c r="Z45" s="462"/>
      <c r="AA45" s="463"/>
      <c r="AB45" s="463"/>
      <c r="AC45" s="463"/>
      <c r="AD45" s="464"/>
      <c r="AE45" s="511"/>
      <c r="AF45" s="512"/>
      <c r="AG45" s="547"/>
    </row>
    <row r="46" spans="1:33" ht="12.75" customHeight="1" outlineLevel="1">
      <c r="A46" s="474"/>
      <c r="B46" s="474"/>
      <c r="C46" s="474"/>
      <c r="E46" s="3446"/>
      <c r="F46" s="1421" t="s">
        <v>581</v>
      </c>
      <c r="G46" s="413"/>
      <c r="H46" s="458"/>
      <c r="I46" s="458"/>
      <c r="J46" s="458"/>
      <c r="K46" s="625"/>
      <c r="L46" s="462"/>
      <c r="M46" s="463"/>
      <c r="N46" s="463"/>
      <c r="O46" s="463"/>
      <c r="P46" s="1190"/>
      <c r="Q46" s="459"/>
      <c r="R46" s="458"/>
      <c r="S46" s="458"/>
      <c r="T46" s="458"/>
      <c r="U46" s="460"/>
      <c r="V46" s="3438"/>
      <c r="W46" s="1172"/>
      <c r="X46" s="1172"/>
      <c r="Y46" s="1172"/>
      <c r="Z46" s="462"/>
      <c r="AA46" s="463"/>
      <c r="AB46" s="463"/>
      <c r="AC46" s="463"/>
      <c r="AD46" s="464"/>
      <c r="AE46" s="462"/>
      <c r="AF46" s="463"/>
      <c r="AG46" s="464"/>
    </row>
    <row r="47" spans="1:33" ht="12.75" customHeight="1" outlineLevel="1">
      <c r="A47" s="474"/>
      <c r="B47" s="474"/>
      <c r="C47" s="474"/>
      <c r="E47" s="3446"/>
      <c r="F47" s="1441" t="s">
        <v>584</v>
      </c>
      <c r="G47" s="1147">
        <f>SUM(G44:G46)</f>
        <v>0</v>
      </c>
      <c r="H47" s="1147">
        <v>3977853.5450029573</v>
      </c>
      <c r="I47" s="1147">
        <f t="shared" ref="I47:U47" si="20">SUM(I44:I46)</f>
        <v>4214568.9138713721</v>
      </c>
      <c r="J47" s="1147">
        <f t="shared" si="20"/>
        <v>1720925.3719337205</v>
      </c>
      <c r="K47" s="1147">
        <f t="shared" si="20"/>
        <v>3000362.7048171815</v>
      </c>
      <c r="L47" s="1147">
        <f t="shared" si="20"/>
        <v>32485.359001232988</v>
      </c>
      <c r="M47" s="1147">
        <f t="shared" si="20"/>
        <v>349818.95428814268</v>
      </c>
      <c r="N47" s="1147">
        <f t="shared" si="20"/>
        <v>0</v>
      </c>
      <c r="O47" s="1147">
        <f t="shared" si="20"/>
        <v>451654.65249573084</v>
      </c>
      <c r="P47" s="1147">
        <f t="shared" si="20"/>
        <v>1094753.3810487615</v>
      </c>
      <c r="Q47" s="1147">
        <f t="shared" si="20"/>
        <v>227513.30098447009</v>
      </c>
      <c r="R47" s="1147">
        <f t="shared" si="20"/>
        <v>963603.78432882309</v>
      </c>
      <c r="S47" s="1147">
        <f t="shared" si="20"/>
        <v>1742046.3861833042</v>
      </c>
      <c r="T47" s="1147">
        <f t="shared" si="20"/>
        <v>1492082.8489139129</v>
      </c>
      <c r="U47" s="1147">
        <f t="shared" si="20"/>
        <v>441011.29365836032</v>
      </c>
      <c r="V47" s="3438"/>
      <c r="W47" s="844"/>
      <c r="X47" s="844"/>
      <c r="Y47" s="844"/>
      <c r="Z47" s="1144">
        <f t="shared" ref="Z47:AG47" si="21">SUM(Z45:Z46)</f>
        <v>0</v>
      </c>
      <c r="AA47" s="1145">
        <f t="shared" si="21"/>
        <v>0</v>
      </c>
      <c r="AB47" s="1145">
        <f t="shared" si="21"/>
        <v>0</v>
      </c>
      <c r="AC47" s="1145">
        <f t="shared" si="21"/>
        <v>0</v>
      </c>
      <c r="AD47" s="1146">
        <f t="shared" si="21"/>
        <v>0</v>
      </c>
      <c r="AE47" s="1144">
        <f t="shared" si="21"/>
        <v>0</v>
      </c>
      <c r="AF47" s="1145">
        <f t="shared" si="21"/>
        <v>0</v>
      </c>
      <c r="AG47" s="1146">
        <f t="shared" si="21"/>
        <v>0</v>
      </c>
    </row>
    <row r="48" spans="1:33" s="844" customFormat="1" ht="12.75" customHeight="1" outlineLevel="1">
      <c r="D48" s="843"/>
      <c r="E48" s="3446"/>
      <c r="F48" s="1421" t="s">
        <v>35</v>
      </c>
      <c r="G48" s="413"/>
      <c r="H48" s="458"/>
      <c r="I48" s="458"/>
      <c r="J48" s="458"/>
      <c r="K48" s="625"/>
      <c r="L48" s="459"/>
      <c r="M48" s="458"/>
      <c r="N48" s="458"/>
      <c r="O48" s="458"/>
      <c r="P48" s="625"/>
      <c r="Q48" s="459"/>
      <c r="R48" s="458"/>
      <c r="S48" s="458"/>
      <c r="T48" s="458"/>
      <c r="U48" s="460"/>
      <c r="V48" s="3438"/>
      <c r="W48" s="1172"/>
      <c r="X48" s="1172"/>
      <c r="Y48" s="1172"/>
      <c r="Z48" s="462"/>
      <c r="AA48" s="463"/>
      <c r="AB48" s="463"/>
      <c r="AC48" s="463"/>
      <c r="AD48" s="464"/>
      <c r="AE48" s="462"/>
      <c r="AF48" s="463"/>
      <c r="AG48" s="464"/>
    </row>
    <row r="49" spans="1:33" ht="12.75" customHeight="1" outlineLevel="1" thickBot="1">
      <c r="A49" s="474"/>
      <c r="B49" s="474"/>
      <c r="C49" s="474"/>
      <c r="E49" s="3447"/>
      <c r="F49" s="1443" t="s">
        <v>585</v>
      </c>
      <c r="G49" s="1152">
        <f>G47-G48</f>
        <v>0</v>
      </c>
      <c r="H49" s="1152">
        <v>3977853.5450029573</v>
      </c>
      <c r="I49" s="1152">
        <f t="shared" ref="I49:U49" si="22">I47-I48</f>
        <v>4214568.9138713721</v>
      </c>
      <c r="J49" s="1152">
        <f t="shared" si="22"/>
        <v>1720925.3719337205</v>
      </c>
      <c r="K49" s="3481">
        <f t="shared" si="22"/>
        <v>3000362.7048171815</v>
      </c>
      <c r="L49" s="1447">
        <f t="shared" si="22"/>
        <v>32485.359001232988</v>
      </c>
      <c r="M49" s="1152">
        <f t="shared" si="22"/>
        <v>349818.95428814268</v>
      </c>
      <c r="N49" s="1152">
        <f t="shared" si="22"/>
        <v>0</v>
      </c>
      <c r="O49" s="1152">
        <f t="shared" si="22"/>
        <v>451654.65249573084</v>
      </c>
      <c r="P49" s="3481">
        <f t="shared" si="22"/>
        <v>1094753.3810487615</v>
      </c>
      <c r="Q49" s="1447">
        <f t="shared" si="22"/>
        <v>227513.30098447009</v>
      </c>
      <c r="R49" s="1152">
        <f t="shared" si="22"/>
        <v>963603.78432882309</v>
      </c>
      <c r="S49" s="1152">
        <f t="shared" si="22"/>
        <v>1742046.3861833042</v>
      </c>
      <c r="T49" s="1152">
        <f t="shared" si="22"/>
        <v>1492082.8489139129</v>
      </c>
      <c r="U49" s="1152">
        <f t="shared" si="22"/>
        <v>441011.29365836032</v>
      </c>
      <c r="V49" s="3439"/>
      <c r="W49" s="844"/>
      <c r="X49" s="844"/>
      <c r="Y49" s="844"/>
      <c r="Z49" s="1447">
        <f t="shared" ref="Z49:AE49" si="23">Z47-Z48</f>
        <v>0</v>
      </c>
      <c r="AA49" s="1150">
        <f t="shared" si="23"/>
        <v>0</v>
      </c>
      <c r="AB49" s="1150">
        <f t="shared" si="23"/>
        <v>0</v>
      </c>
      <c r="AC49" s="1150">
        <f t="shared" si="23"/>
        <v>0</v>
      </c>
      <c r="AD49" s="1151">
        <f t="shared" si="23"/>
        <v>0</v>
      </c>
      <c r="AE49" s="1447">
        <f t="shared" si="23"/>
        <v>0</v>
      </c>
      <c r="AF49" s="1150">
        <f>AF47-AF48</f>
        <v>0</v>
      </c>
      <c r="AG49" s="1151">
        <f t="shared" ref="AG49" si="24">AG47-AG48</f>
        <v>0</v>
      </c>
    </row>
    <row r="50" spans="1:33" s="844" customFormat="1" ht="12.75" customHeight="1" outlineLevel="1">
      <c r="D50" s="843"/>
      <c r="E50" s="3446" t="s">
        <v>1762</v>
      </c>
      <c r="F50" s="1442" t="s">
        <v>598</v>
      </c>
      <c r="G50" s="528"/>
      <c r="H50" s="3757"/>
      <c r="I50" s="528"/>
      <c r="J50" s="528"/>
      <c r="K50" s="528"/>
      <c r="L50" s="538"/>
      <c r="M50" s="539"/>
      <c r="N50" s="539"/>
      <c r="O50" s="539"/>
      <c r="P50" s="539"/>
      <c r="Q50" s="538"/>
      <c r="R50" s="539"/>
      <c r="S50" s="539"/>
      <c r="T50" s="539"/>
      <c r="U50" s="540"/>
      <c r="V50" s="3437"/>
      <c r="W50" s="1172"/>
      <c r="X50" s="1172"/>
      <c r="Y50" s="1172"/>
      <c r="Z50" s="527"/>
      <c r="AA50" s="528"/>
      <c r="AB50" s="528"/>
      <c r="AC50" s="528"/>
      <c r="AD50" s="529"/>
      <c r="AE50" s="538"/>
      <c r="AF50" s="539"/>
      <c r="AG50" s="540"/>
    </row>
    <row r="51" spans="1:33" s="183" customFormat="1" ht="40.5" customHeight="1">
      <c r="A51" s="262"/>
      <c r="B51" s="262"/>
      <c r="C51" s="262"/>
      <c r="D51" s="262"/>
      <c r="E51" s="3446"/>
      <c r="F51" s="1421" t="s">
        <v>559</v>
      </c>
      <c r="G51" s="468">
        <v>0</v>
      </c>
      <c r="H51" s="468">
        <v>0</v>
      </c>
      <c r="I51" s="468">
        <v>51517.4</v>
      </c>
      <c r="J51" s="468">
        <v>33732.387000000002</v>
      </c>
      <c r="K51" s="468">
        <v>4968.4589999999962</v>
      </c>
      <c r="L51" s="459">
        <v>58274.328000000001</v>
      </c>
      <c r="M51" s="458">
        <v>198604.91700000002</v>
      </c>
      <c r="N51" s="458">
        <v>109485.473</v>
      </c>
      <c r="O51" s="458">
        <v>37735</v>
      </c>
      <c r="P51" s="625">
        <v>585732</v>
      </c>
      <c r="Q51" s="459">
        <v>428478.62716599996</v>
      </c>
      <c r="R51" s="458">
        <v>147420.98829179999</v>
      </c>
      <c r="S51" s="458">
        <v>41547.903365799997</v>
      </c>
      <c r="T51" s="458">
        <v>347811.69185299997</v>
      </c>
      <c r="U51" s="460">
        <v>795363.64604879997</v>
      </c>
      <c r="V51" s="3438"/>
      <c r="W51" s="1172"/>
      <c r="X51" s="1172"/>
      <c r="Y51" s="1172"/>
      <c r="Z51" s="470"/>
      <c r="AA51" s="468"/>
      <c r="AB51" s="468"/>
      <c r="AC51" s="468"/>
      <c r="AD51" s="530"/>
      <c r="AE51" s="462"/>
      <c r="AF51" s="463"/>
      <c r="AG51" s="464"/>
    </row>
    <row r="52" spans="1:33" ht="12.75" customHeight="1" outlineLevel="1">
      <c r="A52" s="183"/>
      <c r="B52" s="183"/>
      <c r="C52" s="183"/>
      <c r="E52" s="3446"/>
      <c r="F52" s="1421" t="s">
        <v>558</v>
      </c>
      <c r="G52" s="468">
        <v>13338</v>
      </c>
      <c r="H52" s="468">
        <v>54789.581999999988</v>
      </c>
      <c r="I52" s="468">
        <v>692062.96300000011</v>
      </c>
      <c r="J52" s="468">
        <v>882120.29899999988</v>
      </c>
      <c r="K52" s="468">
        <v>1508231.1119999993</v>
      </c>
      <c r="L52" s="459">
        <v>1563111.9959999998</v>
      </c>
      <c r="M52" s="458">
        <v>429977.53499999997</v>
      </c>
      <c r="N52" s="458">
        <v>185612.21000000008</v>
      </c>
      <c r="O52" s="458">
        <v>23509</v>
      </c>
      <c r="P52" s="625">
        <v>192369</v>
      </c>
      <c r="Q52" s="459">
        <v>356197.15532079997</v>
      </c>
      <c r="R52" s="458">
        <v>155062.13691599999</v>
      </c>
      <c r="S52" s="458">
        <v>291626.2876632</v>
      </c>
      <c r="T52" s="458">
        <v>402974.95894559997</v>
      </c>
      <c r="U52" s="460">
        <v>273658.02974660002</v>
      </c>
      <c r="V52" s="3438"/>
      <c r="W52" s="1172"/>
      <c r="X52" s="1172"/>
      <c r="Y52" s="1172"/>
      <c r="Z52" s="470"/>
      <c r="AA52" s="468"/>
      <c r="AB52" s="468"/>
      <c r="AC52" s="468"/>
      <c r="AD52" s="530"/>
      <c r="AE52" s="462"/>
      <c r="AF52" s="463"/>
      <c r="AG52" s="464"/>
    </row>
    <row r="53" spans="1:33" ht="12.75" customHeight="1" outlineLevel="1">
      <c r="A53" s="183"/>
      <c r="B53" s="183"/>
      <c r="C53" s="183"/>
      <c r="E53" s="3446"/>
      <c r="F53" s="1421" t="s">
        <v>578</v>
      </c>
      <c r="G53" s="468">
        <v>0</v>
      </c>
      <c r="H53" s="468">
        <v>41934</v>
      </c>
      <c r="I53" s="468">
        <v>3910</v>
      </c>
      <c r="J53" s="468">
        <v>40048</v>
      </c>
      <c r="K53" s="468">
        <v>144</v>
      </c>
      <c r="L53" s="459">
        <v>84186</v>
      </c>
      <c r="M53" s="458">
        <v>0</v>
      </c>
      <c r="N53" s="458">
        <v>0</v>
      </c>
      <c r="O53" s="458">
        <v>46964</v>
      </c>
      <c r="P53" s="625">
        <v>583722</v>
      </c>
      <c r="Q53" s="459">
        <v>939657.06068719993</v>
      </c>
      <c r="R53" s="458">
        <v>801076.62530099996</v>
      </c>
      <c r="S53" s="458">
        <v>2101643.4531181999</v>
      </c>
      <c r="T53" s="458">
        <v>3330159.9820848</v>
      </c>
      <c r="U53" s="460">
        <v>1012723.2767338</v>
      </c>
      <c r="V53" s="3438"/>
      <c r="W53" s="1172"/>
      <c r="X53" s="1172"/>
      <c r="Y53" s="1172"/>
      <c r="Z53" s="470"/>
      <c r="AA53" s="468"/>
      <c r="AB53" s="468"/>
      <c r="AC53" s="468"/>
      <c r="AD53" s="530"/>
      <c r="AE53" s="462"/>
      <c r="AF53" s="463"/>
      <c r="AG53" s="464"/>
    </row>
    <row r="54" spans="1:33" ht="12.75" customHeight="1" outlineLevel="1">
      <c r="A54" s="474"/>
      <c r="B54" s="474"/>
      <c r="C54" s="474"/>
      <c r="E54" s="3446"/>
      <c r="F54" s="1441" t="s">
        <v>566</v>
      </c>
      <c r="G54" s="354">
        <f>SUM(G51:G53)</f>
        <v>13338</v>
      </c>
      <c r="H54" s="354">
        <v>96723.581999999995</v>
      </c>
      <c r="I54" s="354">
        <f t="shared" ref="I54:P54" si="25">SUM(I51:I53)</f>
        <v>747490.36300000013</v>
      </c>
      <c r="J54" s="354">
        <f t="shared" si="25"/>
        <v>955900.68599999987</v>
      </c>
      <c r="K54" s="626">
        <f t="shared" si="25"/>
        <v>1513343.5709999993</v>
      </c>
      <c r="L54" s="353">
        <f t="shared" si="25"/>
        <v>1705572.3239999998</v>
      </c>
      <c r="M54" s="354">
        <f t="shared" si="25"/>
        <v>628582.45200000005</v>
      </c>
      <c r="N54" s="354">
        <f t="shared" si="25"/>
        <v>295097.68300000008</v>
      </c>
      <c r="O54" s="354">
        <f t="shared" si="25"/>
        <v>108208</v>
      </c>
      <c r="P54" s="626">
        <f t="shared" si="25"/>
        <v>1361823</v>
      </c>
      <c r="Q54" s="353">
        <f>SUM(Q51:Q53)</f>
        <v>1724332.8431739998</v>
      </c>
      <c r="R54" s="354">
        <f t="shared" ref="R54:U54" si="26">SUM(R51:R53)</f>
        <v>1103559.7505087999</v>
      </c>
      <c r="S54" s="354">
        <f t="shared" si="26"/>
        <v>2434817.6441472</v>
      </c>
      <c r="T54" s="354">
        <f t="shared" si="26"/>
        <v>4080946.6328833997</v>
      </c>
      <c r="U54" s="354">
        <f t="shared" si="26"/>
        <v>2081744.9525291999</v>
      </c>
      <c r="V54" s="3438"/>
      <c r="W54" s="1172"/>
      <c r="X54" s="1172"/>
      <c r="Y54" s="1172"/>
      <c r="Z54" s="462"/>
      <c r="AA54" s="463"/>
      <c r="AB54" s="463"/>
      <c r="AC54" s="463"/>
      <c r="AD54" s="464"/>
      <c r="AE54" s="353"/>
      <c r="AF54" s="354">
        <f t="shared" ref="AF54:AG54" si="27">SUM(AF51:AF53)</f>
        <v>0</v>
      </c>
      <c r="AG54" s="450">
        <f t="shared" si="27"/>
        <v>0</v>
      </c>
    </row>
    <row r="55" spans="1:33" ht="12.75" customHeight="1" outlineLevel="1">
      <c r="A55" s="474"/>
      <c r="B55" s="474"/>
      <c r="C55" s="474"/>
      <c r="E55" s="3446"/>
      <c r="F55" s="1421" t="s">
        <v>583</v>
      </c>
      <c r="G55" s="413">
        <f>G54*'[5]IT capitalised overheads'!C$7</f>
        <v>1301.8241301772218</v>
      </c>
      <c r="H55" s="458">
        <v>4068.9801044571641</v>
      </c>
      <c r="I55" s="458">
        <f>I54*'[5]IT capitalised overheads'!E$7</f>
        <v>26535.680001393604</v>
      </c>
      <c r="J55" s="458">
        <f>J54*'[5]IT capitalised overheads'!F$7</f>
        <v>43943.16257106889</v>
      </c>
      <c r="K55" s="625">
        <f>K54*'[5]IT capitalised overheads'!G$7</f>
        <v>71248.019998421572</v>
      </c>
      <c r="L55" s="511">
        <f>L54*'[5]IT capitalised overheads'!H$7</f>
        <v>83530.138000002276</v>
      </c>
      <c r="M55" s="512">
        <f>M54*'[5]IT capitalised overheads'!I$7</f>
        <v>46839.400508204933</v>
      </c>
      <c r="N55" s="512">
        <f>N54*'[5]IT capitalised overheads'!J$7</f>
        <v>19699.798888391073</v>
      </c>
      <c r="O55" s="512">
        <f>O54*'[5]IT capitalised overheads'!K$7</f>
        <v>10385.85596554738</v>
      </c>
      <c r="P55" s="3480">
        <f>P54*'[5]IT capitalised overheads'!L$7</f>
        <v>79929.791798518316</v>
      </c>
      <c r="Q55" s="564">
        <f>Q54*'[5]IT capitalised overheads'!M$7</f>
        <v>95959.602514013488</v>
      </c>
      <c r="R55" s="477">
        <f>R54*'[5]IT capitalised overheads'!N$7</f>
        <v>56714.683361285584</v>
      </c>
      <c r="S55" s="477">
        <f>S54*'[5]IT capitalised overheads'!O$7</f>
        <v>146429.46075450466</v>
      </c>
      <c r="T55" s="477">
        <f>T54*'[5]IT capitalised overheads'!P$7</f>
        <v>288463.73481908097</v>
      </c>
      <c r="U55" s="519">
        <f>U54*'[5]IT capitalised overheads'!Q$7</f>
        <v>233994.18429963474</v>
      </c>
      <c r="V55" s="3438"/>
      <c r="W55" s="1172"/>
      <c r="X55" s="1172"/>
      <c r="Y55" s="1172"/>
      <c r="Z55" s="462"/>
      <c r="AA55" s="463"/>
      <c r="AB55" s="463"/>
      <c r="AC55" s="463"/>
      <c r="AD55" s="464"/>
      <c r="AE55" s="511"/>
      <c r="AF55" s="512"/>
      <c r="AG55" s="547"/>
    </row>
    <row r="56" spans="1:33" ht="12.75" customHeight="1" outlineLevel="1">
      <c r="A56" s="474"/>
      <c r="B56" s="474"/>
      <c r="C56" s="474"/>
      <c r="E56" s="3446"/>
      <c r="F56" s="1421" t="s">
        <v>581</v>
      </c>
      <c r="G56" s="413"/>
      <c r="H56" s="458"/>
      <c r="I56" s="458"/>
      <c r="J56" s="458"/>
      <c r="K56" s="625"/>
      <c r="L56" s="462"/>
      <c r="M56" s="463"/>
      <c r="N56" s="463"/>
      <c r="O56" s="463"/>
      <c r="P56" s="1190"/>
      <c r="Q56" s="459"/>
      <c r="R56" s="458"/>
      <c r="S56" s="458"/>
      <c r="T56" s="458"/>
      <c r="U56" s="460"/>
      <c r="V56" s="3438"/>
      <c r="W56" s="1172"/>
      <c r="X56" s="1172"/>
      <c r="Y56" s="1172"/>
      <c r="Z56" s="462"/>
      <c r="AA56" s="463"/>
      <c r="AB56" s="463"/>
      <c r="AC56" s="463"/>
      <c r="AD56" s="464"/>
      <c r="AE56" s="462"/>
      <c r="AF56" s="463"/>
      <c r="AG56" s="464"/>
    </row>
    <row r="57" spans="1:33" ht="12.75" customHeight="1" outlineLevel="1">
      <c r="A57" s="474"/>
      <c r="B57" s="474"/>
      <c r="C57" s="474"/>
      <c r="E57" s="3446"/>
      <c r="F57" s="1441" t="s">
        <v>584</v>
      </c>
      <c r="G57" s="1147">
        <f>SUM(G54:G56)</f>
        <v>14639.824130177221</v>
      </c>
      <c r="H57" s="1147">
        <v>100792.56210445716</v>
      </c>
      <c r="I57" s="1147">
        <f t="shared" ref="I57:U57" si="28">SUM(I54:I56)</f>
        <v>774026.04300139379</v>
      </c>
      <c r="J57" s="1147">
        <f t="shared" si="28"/>
        <v>999843.84857106872</v>
      </c>
      <c r="K57" s="1147">
        <f t="shared" si="28"/>
        <v>1584591.590998421</v>
      </c>
      <c r="L57" s="1147">
        <f t="shared" si="28"/>
        <v>1789102.4620000022</v>
      </c>
      <c r="M57" s="1147">
        <f t="shared" si="28"/>
        <v>675421.85250820499</v>
      </c>
      <c r="N57" s="1147">
        <f t="shared" si="28"/>
        <v>314797.48188839114</v>
      </c>
      <c r="O57" s="1147">
        <f t="shared" si="28"/>
        <v>118593.85596554738</v>
      </c>
      <c r="P57" s="1147">
        <f t="shared" si="28"/>
        <v>1441752.7917985183</v>
      </c>
      <c r="Q57" s="1147">
        <f t="shared" si="28"/>
        <v>1820292.4456880132</v>
      </c>
      <c r="R57" s="1147">
        <f t="shared" si="28"/>
        <v>1160274.4338700855</v>
      </c>
      <c r="S57" s="1147">
        <f t="shared" si="28"/>
        <v>2581247.1049017049</v>
      </c>
      <c r="T57" s="1147">
        <f t="shared" si="28"/>
        <v>4369410.3677024804</v>
      </c>
      <c r="U57" s="1147">
        <f t="shared" si="28"/>
        <v>2315739.1368288347</v>
      </c>
      <c r="V57" s="3438"/>
      <c r="W57" s="844"/>
      <c r="X57" s="844"/>
      <c r="Y57" s="844"/>
      <c r="Z57" s="1144">
        <f t="shared" ref="Z57:AG57" si="29">SUM(Z55:Z56)</f>
        <v>0</v>
      </c>
      <c r="AA57" s="1145">
        <f t="shared" si="29"/>
        <v>0</v>
      </c>
      <c r="AB57" s="1145">
        <f t="shared" si="29"/>
        <v>0</v>
      </c>
      <c r="AC57" s="1145">
        <f t="shared" si="29"/>
        <v>0</v>
      </c>
      <c r="AD57" s="1146">
        <f t="shared" si="29"/>
        <v>0</v>
      </c>
      <c r="AE57" s="1144">
        <f t="shared" si="29"/>
        <v>0</v>
      </c>
      <c r="AF57" s="1145">
        <f t="shared" si="29"/>
        <v>0</v>
      </c>
      <c r="AG57" s="1146">
        <f t="shared" si="29"/>
        <v>0</v>
      </c>
    </row>
    <row r="58" spans="1:33" ht="12.75" customHeight="1" outlineLevel="1">
      <c r="A58" s="474"/>
      <c r="B58" s="474"/>
      <c r="C58" s="474"/>
      <c r="E58" s="3446"/>
      <c r="F58" s="1421" t="s">
        <v>35</v>
      </c>
      <c r="G58" s="413"/>
      <c r="H58" s="458"/>
      <c r="I58" s="458"/>
      <c r="J58" s="458"/>
      <c r="K58" s="625"/>
      <c r="L58" s="459"/>
      <c r="M58" s="458"/>
      <c r="N58" s="458"/>
      <c r="O58" s="458"/>
      <c r="P58" s="625"/>
      <c r="Q58" s="459"/>
      <c r="R58" s="458"/>
      <c r="S58" s="458"/>
      <c r="T58" s="458"/>
      <c r="U58" s="460"/>
      <c r="V58" s="3438"/>
      <c r="W58" s="1172"/>
      <c r="X58" s="1172"/>
      <c r="Y58" s="1172"/>
      <c r="Z58" s="462"/>
      <c r="AA58" s="463"/>
      <c r="AB58" s="463"/>
      <c r="AC58" s="463"/>
      <c r="AD58" s="464"/>
      <c r="AE58" s="462"/>
      <c r="AF58" s="463"/>
      <c r="AG58" s="464"/>
    </row>
    <row r="59" spans="1:33" s="844" customFormat="1" ht="12.75" customHeight="1" outlineLevel="1" thickBot="1">
      <c r="D59" s="843"/>
      <c r="E59" s="3447"/>
      <c r="F59" s="1443" t="s">
        <v>585</v>
      </c>
      <c r="G59" s="1152">
        <f>G57-G58</f>
        <v>14639.824130177221</v>
      </c>
      <c r="H59" s="1152">
        <v>100792.56210445716</v>
      </c>
      <c r="I59" s="1152">
        <f t="shared" ref="I59:U59" si="30">I57-I58</f>
        <v>774026.04300139379</v>
      </c>
      <c r="J59" s="1152">
        <f t="shared" si="30"/>
        <v>999843.84857106872</v>
      </c>
      <c r="K59" s="3481">
        <f t="shared" si="30"/>
        <v>1584591.590998421</v>
      </c>
      <c r="L59" s="1447">
        <f t="shared" si="30"/>
        <v>1789102.4620000022</v>
      </c>
      <c r="M59" s="1152">
        <f t="shared" si="30"/>
        <v>675421.85250820499</v>
      </c>
      <c r="N59" s="1152">
        <f t="shared" si="30"/>
        <v>314797.48188839114</v>
      </c>
      <c r="O59" s="1152">
        <f t="shared" si="30"/>
        <v>118593.85596554738</v>
      </c>
      <c r="P59" s="3481">
        <f t="shared" si="30"/>
        <v>1441752.7917985183</v>
      </c>
      <c r="Q59" s="1447">
        <f t="shared" si="30"/>
        <v>1820292.4456880132</v>
      </c>
      <c r="R59" s="1152">
        <f t="shared" si="30"/>
        <v>1160274.4338700855</v>
      </c>
      <c r="S59" s="1152">
        <f t="shared" si="30"/>
        <v>2581247.1049017049</v>
      </c>
      <c r="T59" s="1152">
        <f t="shared" si="30"/>
        <v>4369410.3677024804</v>
      </c>
      <c r="U59" s="1152">
        <f t="shared" si="30"/>
        <v>2315739.1368288347</v>
      </c>
      <c r="V59" s="3439"/>
      <c r="Z59" s="1447">
        <f t="shared" ref="Z59:AE59" si="31">Z57-Z58</f>
        <v>0</v>
      </c>
      <c r="AA59" s="1150">
        <f t="shared" si="31"/>
        <v>0</v>
      </c>
      <c r="AB59" s="1150">
        <f t="shared" si="31"/>
        <v>0</v>
      </c>
      <c r="AC59" s="1150">
        <f t="shared" si="31"/>
        <v>0</v>
      </c>
      <c r="AD59" s="1151">
        <f t="shared" si="31"/>
        <v>0</v>
      </c>
      <c r="AE59" s="1447">
        <f t="shared" si="31"/>
        <v>0</v>
      </c>
      <c r="AF59" s="1150">
        <f>AF57-AF58</f>
        <v>0</v>
      </c>
      <c r="AG59" s="1151">
        <f t="shared" ref="AG59" si="32">AG57-AG58</f>
        <v>0</v>
      </c>
    </row>
    <row r="60" spans="1:33" ht="12.75" customHeight="1" outlineLevel="1">
      <c r="A60" s="474"/>
      <c r="B60" s="474"/>
      <c r="C60" s="474"/>
      <c r="E60" s="3446" t="s">
        <v>1763</v>
      </c>
      <c r="F60" s="1442" t="s">
        <v>598</v>
      </c>
      <c r="G60" s="528"/>
      <c r="H60" s="3757"/>
      <c r="I60" s="528"/>
      <c r="J60" s="528"/>
      <c r="K60" s="528"/>
      <c r="L60" s="538"/>
      <c r="M60" s="539"/>
      <c r="N60" s="539"/>
      <c r="O60" s="539"/>
      <c r="P60" s="539"/>
      <c r="Q60" s="538"/>
      <c r="R60" s="539"/>
      <c r="S60" s="539"/>
      <c r="T60" s="539"/>
      <c r="U60" s="540"/>
      <c r="V60" s="3437"/>
      <c r="W60" s="1172"/>
      <c r="X60" s="1172"/>
      <c r="Y60" s="1172"/>
      <c r="Z60" s="527"/>
      <c r="AA60" s="528"/>
      <c r="AB60" s="528"/>
      <c r="AC60" s="528"/>
      <c r="AD60" s="529"/>
      <c r="AE60" s="538"/>
      <c r="AF60" s="539"/>
      <c r="AG60" s="540"/>
    </row>
    <row r="61" spans="1:33" s="844" customFormat="1" ht="12.75" customHeight="1" outlineLevel="1">
      <c r="D61" s="843"/>
      <c r="E61" s="3446"/>
      <c r="F61" s="1421" t="s">
        <v>559</v>
      </c>
      <c r="G61" s="468">
        <v>0</v>
      </c>
      <c r="H61" s="468">
        <v>0</v>
      </c>
      <c r="I61" s="468">
        <v>0</v>
      </c>
      <c r="J61" s="468">
        <v>191703.81</v>
      </c>
      <c r="K61" s="468">
        <v>44233.979999999996</v>
      </c>
      <c r="L61" s="459">
        <v>13655.19</v>
      </c>
      <c r="M61" s="458">
        <v>0</v>
      </c>
      <c r="N61" s="458">
        <v>0</v>
      </c>
      <c r="O61" s="458">
        <v>0</v>
      </c>
      <c r="P61" s="625">
        <v>0</v>
      </c>
      <c r="Q61" s="459">
        <v>0</v>
      </c>
      <c r="R61" s="458">
        <v>0</v>
      </c>
      <c r="S61" s="458">
        <v>0</v>
      </c>
      <c r="T61" s="458">
        <v>0</v>
      </c>
      <c r="U61" s="458">
        <v>0</v>
      </c>
      <c r="V61" s="3438"/>
      <c r="W61" s="1172"/>
      <c r="X61" s="1172"/>
      <c r="Y61" s="1172"/>
      <c r="Z61" s="470"/>
      <c r="AA61" s="468"/>
      <c r="AB61" s="468"/>
      <c r="AC61" s="468"/>
      <c r="AD61" s="530"/>
      <c r="AE61" s="462"/>
      <c r="AF61" s="463"/>
      <c r="AG61" s="464"/>
    </row>
    <row r="62" spans="1:33" ht="12.75" customHeight="1" outlineLevel="1">
      <c r="A62" s="183"/>
      <c r="B62" s="183"/>
      <c r="C62" s="183"/>
      <c r="E62" s="3446"/>
      <c r="F62" s="1421" t="s">
        <v>558</v>
      </c>
      <c r="G62" s="468">
        <v>0</v>
      </c>
      <c r="H62" s="468">
        <v>0</v>
      </c>
      <c r="I62" s="468">
        <v>18113.680000000011</v>
      </c>
      <c r="J62" s="468">
        <v>1099716.1200000001</v>
      </c>
      <c r="K62" s="468">
        <v>267175.05</v>
      </c>
      <c r="L62" s="459">
        <v>57164.68000000008</v>
      </c>
      <c r="M62" s="458">
        <v>31505</v>
      </c>
      <c r="N62" s="458">
        <v>0</v>
      </c>
      <c r="O62" s="458">
        <v>0</v>
      </c>
      <c r="P62" s="625">
        <v>0</v>
      </c>
      <c r="Q62" s="459">
        <v>0</v>
      </c>
      <c r="R62" s="458">
        <v>0</v>
      </c>
      <c r="S62" s="458">
        <v>0</v>
      </c>
      <c r="T62" s="458">
        <v>0</v>
      </c>
      <c r="U62" s="458">
        <v>0</v>
      </c>
      <c r="V62" s="3438"/>
      <c r="W62" s="1172"/>
      <c r="X62" s="1172"/>
      <c r="Y62" s="1172"/>
      <c r="Z62" s="470"/>
      <c r="AA62" s="468"/>
      <c r="AB62" s="468"/>
      <c r="AC62" s="468"/>
      <c r="AD62" s="530"/>
      <c r="AE62" s="462"/>
      <c r="AF62" s="463"/>
      <c r="AG62" s="464"/>
    </row>
    <row r="63" spans="1:33" ht="12.75" customHeight="1" outlineLevel="1">
      <c r="A63" s="183"/>
      <c r="B63" s="183"/>
      <c r="C63" s="183"/>
      <c r="E63" s="3446"/>
      <c r="F63" s="1421" t="s">
        <v>578</v>
      </c>
      <c r="G63" s="468">
        <v>0</v>
      </c>
      <c r="H63" s="468">
        <v>0</v>
      </c>
      <c r="I63" s="468">
        <v>0</v>
      </c>
      <c r="J63" s="468">
        <v>0</v>
      </c>
      <c r="K63" s="468">
        <v>0</v>
      </c>
      <c r="L63" s="459">
        <v>0</v>
      </c>
      <c r="M63" s="458">
        <v>0</v>
      </c>
      <c r="N63" s="458">
        <v>0</v>
      </c>
      <c r="O63" s="458">
        <v>0</v>
      </c>
      <c r="P63" s="625">
        <v>0</v>
      </c>
      <c r="Q63" s="459">
        <v>0</v>
      </c>
      <c r="R63" s="458">
        <v>0</v>
      </c>
      <c r="S63" s="458">
        <v>0</v>
      </c>
      <c r="T63" s="458">
        <v>0</v>
      </c>
      <c r="U63" s="458">
        <v>0</v>
      </c>
      <c r="V63" s="3438"/>
      <c r="W63" s="1172"/>
      <c r="X63" s="1172"/>
      <c r="Y63" s="1172"/>
      <c r="Z63" s="470"/>
      <c r="AA63" s="468"/>
      <c r="AB63" s="468"/>
      <c r="AC63" s="468"/>
      <c r="AD63" s="530"/>
      <c r="AE63" s="462"/>
      <c r="AF63" s="463"/>
      <c r="AG63" s="464"/>
    </row>
    <row r="64" spans="1:33" ht="12.75" customHeight="1" outlineLevel="1">
      <c r="A64" s="474"/>
      <c r="B64" s="474"/>
      <c r="C64" s="474"/>
      <c r="E64" s="3446"/>
      <c r="F64" s="1441" t="s">
        <v>566</v>
      </c>
      <c r="G64" s="354">
        <f>SUM(G61:G63)</f>
        <v>0</v>
      </c>
      <c r="H64" s="354">
        <v>0</v>
      </c>
      <c r="I64" s="354">
        <f t="shared" ref="I64:K64" si="33">SUM(I61:I63)</f>
        <v>18113.680000000011</v>
      </c>
      <c r="J64" s="354">
        <f t="shared" si="33"/>
        <v>1291419.9300000002</v>
      </c>
      <c r="K64" s="626">
        <f t="shared" si="33"/>
        <v>311409.02999999997</v>
      </c>
      <c r="L64" s="353">
        <f>SUM(L61:L63)</f>
        <v>70819.870000000083</v>
      </c>
      <c r="M64" s="354">
        <f t="shared" ref="M64:U64" si="34">SUM(M61:M63)</f>
        <v>31505</v>
      </c>
      <c r="N64" s="354">
        <f t="shared" si="34"/>
        <v>0</v>
      </c>
      <c r="O64" s="354">
        <f t="shared" si="34"/>
        <v>0</v>
      </c>
      <c r="P64" s="626">
        <f t="shared" si="34"/>
        <v>0</v>
      </c>
      <c r="Q64" s="353">
        <f t="shared" si="34"/>
        <v>0</v>
      </c>
      <c r="R64" s="354">
        <f t="shared" si="34"/>
        <v>0</v>
      </c>
      <c r="S64" s="354">
        <f t="shared" si="34"/>
        <v>0</v>
      </c>
      <c r="T64" s="354">
        <f t="shared" si="34"/>
        <v>0</v>
      </c>
      <c r="U64" s="354">
        <f t="shared" si="34"/>
        <v>0</v>
      </c>
      <c r="V64" s="3438"/>
      <c r="W64" s="1172"/>
      <c r="X64" s="1172"/>
      <c r="Y64" s="1172"/>
      <c r="Z64" s="462"/>
      <c r="AA64" s="463"/>
      <c r="AB64" s="463"/>
      <c r="AC64" s="463"/>
      <c r="AD64" s="464"/>
      <c r="AE64" s="353"/>
      <c r="AF64" s="354">
        <f t="shared" ref="AF64:AG64" si="35">SUM(AF61:AF63)</f>
        <v>0</v>
      </c>
      <c r="AG64" s="450">
        <f t="shared" si="35"/>
        <v>0</v>
      </c>
    </row>
    <row r="65" spans="1:33" ht="12.75" customHeight="1" outlineLevel="1">
      <c r="A65" s="474"/>
      <c r="B65" s="474"/>
      <c r="C65" s="474"/>
      <c r="E65" s="3446"/>
      <c r="F65" s="1421" t="s">
        <v>583</v>
      </c>
      <c r="G65" s="413">
        <f>G64*'[5]IT capitalised overheads'!C$7</f>
        <v>0</v>
      </c>
      <c r="H65" s="458">
        <v>0</v>
      </c>
      <c r="I65" s="458">
        <f>I64*'[5]IT capitalised overheads'!E$7</f>
        <v>643.03011773764297</v>
      </c>
      <c r="J65" s="458">
        <f>J64*'[5]IT capitalised overheads'!F$7</f>
        <v>59367.125437452007</v>
      </c>
      <c r="K65" s="625">
        <f>K64*'[5]IT capitalised overheads'!G$7</f>
        <v>14661.096939453064</v>
      </c>
      <c r="L65" s="511">
        <f>L64*'[5]IT capitalised overheads'!H$7</f>
        <v>3468.3920646464644</v>
      </c>
      <c r="M65" s="512">
        <f>M64*'[5]IT capitalised overheads'!I$7</f>
        <v>2347.6240997752138</v>
      </c>
      <c r="N65" s="512">
        <f>N64*'[5]IT capitalised overheads'!J$7</f>
        <v>0</v>
      </c>
      <c r="O65" s="512">
        <f>O64*'[5]IT capitalised overheads'!K$7</f>
        <v>0</v>
      </c>
      <c r="P65" s="3480">
        <f>P64*'[5]IT capitalised overheads'!L$7</f>
        <v>0</v>
      </c>
      <c r="Q65" s="564">
        <f>Q64*'[5]IT capitalised overheads'!M$7</f>
        <v>0</v>
      </c>
      <c r="R65" s="477">
        <f>R64*'[5]IT capitalised overheads'!N$7</f>
        <v>0</v>
      </c>
      <c r="S65" s="477">
        <f>S64*'[5]IT capitalised overheads'!O$7</f>
        <v>0</v>
      </c>
      <c r="T65" s="477">
        <f>T64*'[5]IT capitalised overheads'!P$7</f>
        <v>0</v>
      </c>
      <c r="U65" s="519">
        <f>U64*'[5]IT capitalised overheads'!Q$7</f>
        <v>0</v>
      </c>
      <c r="V65" s="3438"/>
      <c r="W65" s="1172"/>
      <c r="X65" s="1172"/>
      <c r="Y65" s="1172"/>
      <c r="Z65" s="462"/>
      <c r="AA65" s="463"/>
      <c r="AB65" s="463"/>
      <c r="AC65" s="463"/>
      <c r="AD65" s="464"/>
      <c r="AE65" s="511"/>
      <c r="AF65" s="512"/>
      <c r="AG65" s="547"/>
    </row>
    <row r="66" spans="1:33" ht="12.75" customHeight="1" outlineLevel="1">
      <c r="A66" s="474"/>
      <c r="B66" s="474"/>
      <c r="C66" s="474"/>
      <c r="E66" s="3446"/>
      <c r="F66" s="1421" t="s">
        <v>581</v>
      </c>
      <c r="G66" s="413"/>
      <c r="H66" s="458"/>
      <c r="I66" s="458"/>
      <c r="J66" s="458"/>
      <c r="K66" s="625"/>
      <c r="L66" s="462"/>
      <c r="M66" s="463"/>
      <c r="N66" s="463"/>
      <c r="O66" s="463"/>
      <c r="P66" s="1190"/>
      <c r="Q66" s="459"/>
      <c r="R66" s="458"/>
      <c r="S66" s="458"/>
      <c r="T66" s="458"/>
      <c r="U66" s="460"/>
      <c r="V66" s="3438"/>
      <c r="W66" s="1172"/>
      <c r="X66" s="1172"/>
      <c r="Y66" s="1172"/>
      <c r="Z66" s="462"/>
      <c r="AA66" s="463"/>
      <c r="AB66" s="463"/>
      <c r="AC66" s="463"/>
      <c r="AD66" s="464"/>
      <c r="AE66" s="462"/>
      <c r="AF66" s="463"/>
      <c r="AG66" s="464"/>
    </row>
    <row r="67" spans="1:33" ht="12.75" customHeight="1" outlineLevel="1">
      <c r="A67" s="474"/>
      <c r="B67" s="474"/>
      <c r="C67" s="474"/>
      <c r="E67" s="3446"/>
      <c r="F67" s="1441" t="s">
        <v>584</v>
      </c>
      <c r="G67" s="1147">
        <f>SUM(G64:G66)</f>
        <v>0</v>
      </c>
      <c r="H67" s="1147">
        <v>0</v>
      </c>
      <c r="I67" s="1147">
        <f t="shared" ref="I67:U67" si="36">SUM(I64:I66)</f>
        <v>18756.710117737653</v>
      </c>
      <c r="J67" s="1147">
        <f t="shared" si="36"/>
        <v>1350787.0554374522</v>
      </c>
      <c r="K67" s="1147">
        <f t="shared" si="36"/>
        <v>326070.12693945301</v>
      </c>
      <c r="L67" s="1147">
        <f t="shared" si="36"/>
        <v>74288.262064646551</v>
      </c>
      <c r="M67" s="1147">
        <f t="shared" si="36"/>
        <v>33852.624099775217</v>
      </c>
      <c r="N67" s="1147">
        <f t="shared" si="36"/>
        <v>0</v>
      </c>
      <c r="O67" s="1147">
        <f t="shared" si="36"/>
        <v>0</v>
      </c>
      <c r="P67" s="1147">
        <f t="shared" si="36"/>
        <v>0</v>
      </c>
      <c r="Q67" s="1147">
        <f t="shared" si="36"/>
        <v>0</v>
      </c>
      <c r="R67" s="1147">
        <f t="shared" si="36"/>
        <v>0</v>
      </c>
      <c r="S67" s="1147">
        <f t="shared" si="36"/>
        <v>0</v>
      </c>
      <c r="T67" s="1147">
        <f t="shared" si="36"/>
        <v>0</v>
      </c>
      <c r="U67" s="1147">
        <f t="shared" si="36"/>
        <v>0</v>
      </c>
      <c r="V67" s="3438"/>
      <c r="W67" s="844"/>
      <c r="X67" s="844"/>
      <c r="Y67" s="844"/>
      <c r="Z67" s="1144">
        <f t="shared" ref="Z67:AG67" si="37">SUM(Z65:Z66)</f>
        <v>0</v>
      </c>
      <c r="AA67" s="1145">
        <f t="shared" si="37"/>
        <v>0</v>
      </c>
      <c r="AB67" s="1145">
        <f t="shared" si="37"/>
        <v>0</v>
      </c>
      <c r="AC67" s="1145">
        <f t="shared" si="37"/>
        <v>0</v>
      </c>
      <c r="AD67" s="1146">
        <f t="shared" si="37"/>
        <v>0</v>
      </c>
      <c r="AE67" s="1144">
        <f t="shared" si="37"/>
        <v>0</v>
      </c>
      <c r="AF67" s="1145">
        <f t="shared" si="37"/>
        <v>0</v>
      </c>
      <c r="AG67" s="1146">
        <f t="shared" si="37"/>
        <v>0</v>
      </c>
    </row>
    <row r="68" spans="1:33" ht="12.75" customHeight="1" outlineLevel="1">
      <c r="A68" s="474"/>
      <c r="B68" s="474"/>
      <c r="C68" s="474"/>
      <c r="E68" s="3446"/>
      <c r="F68" s="1421" t="s">
        <v>35</v>
      </c>
      <c r="G68" s="413"/>
      <c r="H68" s="458"/>
      <c r="I68" s="458"/>
      <c r="J68" s="458"/>
      <c r="K68" s="625"/>
      <c r="L68" s="459"/>
      <c r="M68" s="458"/>
      <c r="N68" s="458"/>
      <c r="O68" s="458"/>
      <c r="P68" s="625"/>
      <c r="Q68" s="459"/>
      <c r="R68" s="458"/>
      <c r="S68" s="458"/>
      <c r="T68" s="458"/>
      <c r="U68" s="460"/>
      <c r="V68" s="3438"/>
      <c r="W68" s="1172"/>
      <c r="X68" s="1172"/>
      <c r="Y68" s="1172"/>
      <c r="Z68" s="462"/>
      <c r="AA68" s="463"/>
      <c r="AB68" s="463"/>
      <c r="AC68" s="463"/>
      <c r="AD68" s="464"/>
      <c r="AE68" s="462"/>
      <c r="AF68" s="463"/>
      <c r="AG68" s="464"/>
    </row>
    <row r="69" spans="1:33" s="844" customFormat="1" ht="12.75" customHeight="1" outlineLevel="1" thickBot="1">
      <c r="D69" s="843"/>
      <c r="E69" s="3447"/>
      <c r="F69" s="1443" t="s">
        <v>585</v>
      </c>
      <c r="G69" s="1152">
        <f>G67-G68</f>
        <v>0</v>
      </c>
      <c r="H69" s="1152">
        <v>0</v>
      </c>
      <c r="I69" s="1152">
        <f t="shared" ref="I69:U69" si="38">I67-I68</f>
        <v>18756.710117737653</v>
      </c>
      <c r="J69" s="1152">
        <f t="shared" si="38"/>
        <v>1350787.0554374522</v>
      </c>
      <c r="K69" s="3481">
        <f t="shared" si="38"/>
        <v>326070.12693945301</v>
      </c>
      <c r="L69" s="1447">
        <f t="shared" si="38"/>
        <v>74288.262064646551</v>
      </c>
      <c r="M69" s="1152">
        <f t="shared" si="38"/>
        <v>33852.624099775217</v>
      </c>
      <c r="N69" s="1152">
        <f t="shared" si="38"/>
        <v>0</v>
      </c>
      <c r="O69" s="1152">
        <f t="shared" si="38"/>
        <v>0</v>
      </c>
      <c r="P69" s="3481">
        <f t="shared" si="38"/>
        <v>0</v>
      </c>
      <c r="Q69" s="1447">
        <f t="shared" si="38"/>
        <v>0</v>
      </c>
      <c r="R69" s="1152">
        <f t="shared" si="38"/>
        <v>0</v>
      </c>
      <c r="S69" s="1152">
        <f t="shared" si="38"/>
        <v>0</v>
      </c>
      <c r="T69" s="1152">
        <f t="shared" si="38"/>
        <v>0</v>
      </c>
      <c r="U69" s="1152">
        <f t="shared" si="38"/>
        <v>0</v>
      </c>
      <c r="V69" s="3439"/>
      <c r="Z69" s="1447">
        <f t="shared" ref="Z69:AE69" si="39">Z67-Z68</f>
        <v>0</v>
      </c>
      <c r="AA69" s="1150">
        <f t="shared" si="39"/>
        <v>0</v>
      </c>
      <c r="AB69" s="1150">
        <f t="shared" si="39"/>
        <v>0</v>
      </c>
      <c r="AC69" s="1150">
        <f t="shared" si="39"/>
        <v>0</v>
      </c>
      <c r="AD69" s="1151">
        <f t="shared" si="39"/>
        <v>0</v>
      </c>
      <c r="AE69" s="1447">
        <f t="shared" si="39"/>
        <v>0</v>
      </c>
      <c r="AF69" s="1150">
        <f>AF67-AF68</f>
        <v>0</v>
      </c>
      <c r="AG69" s="1151">
        <f t="shared" ref="AG69" si="40">AG67-AG68</f>
        <v>0</v>
      </c>
    </row>
    <row r="70" spans="1:33" ht="12.75" customHeight="1" outlineLevel="1">
      <c r="A70" s="474"/>
      <c r="B70" s="474"/>
      <c r="C70" s="474"/>
      <c r="E70" s="3446" t="s">
        <v>1764</v>
      </c>
      <c r="F70" s="1442" t="s">
        <v>598</v>
      </c>
      <c r="G70" s="528"/>
      <c r="H70" s="3757"/>
      <c r="I70" s="528"/>
      <c r="J70" s="528"/>
      <c r="K70" s="528"/>
      <c r="L70" s="538"/>
      <c r="M70" s="539"/>
      <c r="N70" s="539"/>
      <c r="O70" s="539"/>
      <c r="P70" s="539"/>
      <c r="Q70" s="538"/>
      <c r="R70" s="539"/>
      <c r="S70" s="539"/>
      <c r="T70" s="539"/>
      <c r="U70" s="540"/>
      <c r="V70" s="3437"/>
      <c r="W70" s="1172"/>
      <c r="X70" s="1172"/>
      <c r="Y70" s="1172"/>
      <c r="Z70" s="527"/>
      <c r="AA70" s="528"/>
      <c r="AB70" s="528"/>
      <c r="AC70" s="528"/>
      <c r="AD70" s="529"/>
      <c r="AE70" s="538"/>
      <c r="AF70" s="539"/>
      <c r="AG70" s="540"/>
    </row>
    <row r="71" spans="1:33" s="844" customFormat="1" ht="12.75" customHeight="1" outlineLevel="1">
      <c r="D71" s="843"/>
      <c r="E71" s="3446"/>
      <c r="F71" s="1421" t="s">
        <v>559</v>
      </c>
      <c r="G71" s="468">
        <v>0</v>
      </c>
      <c r="H71" s="468">
        <v>0</v>
      </c>
      <c r="I71" s="468">
        <v>0</v>
      </c>
      <c r="J71" s="468">
        <v>1350</v>
      </c>
      <c r="K71" s="468">
        <v>48926.675999999999</v>
      </c>
      <c r="L71" s="459">
        <v>58968.546000000002</v>
      </c>
      <c r="M71" s="458">
        <v>44957.00951700822</v>
      </c>
      <c r="N71" s="458">
        <v>0</v>
      </c>
      <c r="O71" s="458">
        <v>0</v>
      </c>
      <c r="P71" s="625">
        <v>0</v>
      </c>
      <c r="Q71" s="459">
        <v>0</v>
      </c>
      <c r="R71" s="458">
        <v>0</v>
      </c>
      <c r="S71" s="458">
        <v>0</v>
      </c>
      <c r="T71" s="458">
        <v>0</v>
      </c>
      <c r="U71" s="458">
        <v>0</v>
      </c>
      <c r="V71" s="3438"/>
      <c r="W71" s="1172"/>
      <c r="X71" s="1172"/>
      <c r="Y71" s="1172"/>
      <c r="Z71" s="470"/>
      <c r="AA71" s="468"/>
      <c r="AB71" s="468"/>
      <c r="AC71" s="468"/>
      <c r="AD71" s="530"/>
      <c r="AE71" s="462"/>
      <c r="AF71" s="463"/>
      <c r="AG71" s="464"/>
    </row>
    <row r="72" spans="1:33" ht="12.75" customHeight="1" outlineLevel="1">
      <c r="A72" s="183"/>
      <c r="B72" s="183"/>
      <c r="C72" s="183"/>
      <c r="E72" s="3446"/>
      <c r="F72" s="1421" t="s">
        <v>558</v>
      </c>
      <c r="G72" s="468">
        <v>0</v>
      </c>
      <c r="H72" s="468">
        <v>19254.776916666673</v>
      </c>
      <c r="I72" s="468">
        <v>439493.61938333337</v>
      </c>
      <c r="J72" s="468">
        <v>1090473.1663322058</v>
      </c>
      <c r="K72" s="468">
        <v>1272648.1113865827</v>
      </c>
      <c r="L72" s="459">
        <v>663671.32693501271</v>
      </c>
      <c r="M72" s="458">
        <v>-34179.827606113635</v>
      </c>
      <c r="N72" s="458">
        <v>0</v>
      </c>
      <c r="O72" s="458">
        <v>0</v>
      </c>
      <c r="P72" s="625">
        <v>0</v>
      </c>
      <c r="Q72" s="459">
        <v>0</v>
      </c>
      <c r="R72" s="458">
        <v>0</v>
      </c>
      <c r="S72" s="458">
        <v>0</v>
      </c>
      <c r="T72" s="458">
        <v>0</v>
      </c>
      <c r="U72" s="458">
        <v>0</v>
      </c>
      <c r="V72" s="3438"/>
      <c r="W72" s="1172"/>
      <c r="X72" s="1172"/>
      <c r="Y72" s="1172"/>
      <c r="Z72" s="470"/>
      <c r="AA72" s="468"/>
      <c r="AB72" s="468"/>
      <c r="AC72" s="468"/>
      <c r="AD72" s="530"/>
      <c r="AE72" s="462"/>
      <c r="AF72" s="463"/>
      <c r="AG72" s="464"/>
    </row>
    <row r="73" spans="1:33" ht="12.75" customHeight="1" outlineLevel="1">
      <c r="A73" s="183"/>
      <c r="B73" s="183"/>
      <c r="C73" s="183"/>
      <c r="E73" s="3446"/>
      <c r="F73" s="1421" t="s">
        <v>578</v>
      </c>
      <c r="G73" s="468">
        <v>0</v>
      </c>
      <c r="H73" s="468">
        <v>0</v>
      </c>
      <c r="I73" s="468">
        <v>0</v>
      </c>
      <c r="J73" s="468">
        <v>1065.2187011276758</v>
      </c>
      <c r="K73" s="468">
        <v>384.13926341716575</v>
      </c>
      <c r="L73" s="459">
        <v>-75.017874305800518</v>
      </c>
      <c r="M73" s="458">
        <v>205</v>
      </c>
      <c r="N73" s="458">
        <v>0</v>
      </c>
      <c r="O73" s="458">
        <v>0</v>
      </c>
      <c r="P73" s="625">
        <v>0</v>
      </c>
      <c r="Q73" s="459">
        <v>0</v>
      </c>
      <c r="R73" s="458">
        <v>0</v>
      </c>
      <c r="S73" s="458">
        <v>0</v>
      </c>
      <c r="T73" s="458">
        <v>0</v>
      </c>
      <c r="U73" s="458">
        <v>0</v>
      </c>
      <c r="V73" s="3438"/>
      <c r="W73" s="1172"/>
      <c r="X73" s="1172"/>
      <c r="Y73" s="1172"/>
      <c r="Z73" s="470"/>
      <c r="AA73" s="468"/>
      <c r="AB73" s="468"/>
      <c r="AC73" s="468"/>
      <c r="AD73" s="530"/>
      <c r="AE73" s="462"/>
      <c r="AF73" s="463"/>
      <c r="AG73" s="464"/>
    </row>
    <row r="74" spans="1:33" ht="12.75" customHeight="1" outlineLevel="1">
      <c r="A74" s="474"/>
      <c r="B74" s="474"/>
      <c r="C74" s="474"/>
      <c r="E74" s="3446"/>
      <c r="F74" s="1441" t="s">
        <v>566</v>
      </c>
      <c r="G74" s="354">
        <f>SUM(G71:G73)</f>
        <v>0</v>
      </c>
      <c r="H74" s="354">
        <v>19254.776916666673</v>
      </c>
      <c r="I74" s="354">
        <f t="shared" ref="I74:K74" si="41">SUM(I71:I73)</f>
        <v>439493.61938333337</v>
      </c>
      <c r="J74" s="354">
        <f t="shared" si="41"/>
        <v>1092888.3850333334</v>
      </c>
      <c r="K74" s="626">
        <f t="shared" si="41"/>
        <v>1321958.9266499998</v>
      </c>
      <c r="L74" s="353">
        <f>SUM(L71:L73)</f>
        <v>722564.85506070685</v>
      </c>
      <c r="M74" s="354">
        <f t="shared" ref="M74:U74" si="42">SUM(M71:M73)</f>
        <v>10982.181910894586</v>
      </c>
      <c r="N74" s="354">
        <f t="shared" si="42"/>
        <v>0</v>
      </c>
      <c r="O74" s="354">
        <f t="shared" si="42"/>
        <v>0</v>
      </c>
      <c r="P74" s="626">
        <f t="shared" si="42"/>
        <v>0</v>
      </c>
      <c r="Q74" s="353">
        <f t="shared" si="42"/>
        <v>0</v>
      </c>
      <c r="R74" s="354">
        <f t="shared" si="42"/>
        <v>0</v>
      </c>
      <c r="S74" s="354">
        <f t="shared" si="42"/>
        <v>0</v>
      </c>
      <c r="T74" s="354">
        <f t="shared" si="42"/>
        <v>0</v>
      </c>
      <c r="U74" s="354">
        <f t="shared" si="42"/>
        <v>0</v>
      </c>
      <c r="V74" s="3438"/>
      <c r="W74" s="1172"/>
      <c r="X74" s="1172"/>
      <c r="Y74" s="1172"/>
      <c r="Z74" s="462"/>
      <c r="AA74" s="463"/>
      <c r="AB74" s="463"/>
      <c r="AC74" s="463"/>
      <c r="AD74" s="464"/>
      <c r="AE74" s="353"/>
      <c r="AF74" s="354">
        <f t="shared" ref="AF74:AG74" si="43">SUM(AF71:AF73)</f>
        <v>0</v>
      </c>
      <c r="AG74" s="450">
        <f t="shared" si="43"/>
        <v>0</v>
      </c>
    </row>
    <row r="75" spans="1:33" ht="12.75" customHeight="1" outlineLevel="1">
      <c r="A75" s="474"/>
      <c r="B75" s="474"/>
      <c r="C75" s="474"/>
      <c r="E75" s="3446"/>
      <c r="F75" s="1421" t="s">
        <v>583</v>
      </c>
      <c r="G75" s="413">
        <f>G74*'[5]IT capitalised overheads'!C$7</f>
        <v>0</v>
      </c>
      <c r="H75" s="458">
        <v>810.01243512339886</v>
      </c>
      <c r="I75" s="458">
        <f>I74*'[5]IT capitalised overheads'!E$7</f>
        <v>15601.889501029473</v>
      </c>
      <c r="J75" s="458">
        <f>J74*'[5]IT capitalised overheads'!F$7</f>
        <v>50240.545570183545</v>
      </c>
      <c r="K75" s="625">
        <f>K74*'[5]IT capitalised overheads'!G$7</f>
        <v>62237.655644060709</v>
      </c>
      <c r="L75" s="511">
        <f>L74*'[5]IT capitalised overheads'!H$7</f>
        <v>35387.500845242663</v>
      </c>
      <c r="M75" s="512">
        <f>M74*'[5]IT capitalised overheads'!I$7</f>
        <v>818.34740270215957</v>
      </c>
      <c r="N75" s="512">
        <f>N74*'[5]IT capitalised overheads'!J$7</f>
        <v>0</v>
      </c>
      <c r="O75" s="512">
        <f>O74*'[5]IT capitalised overheads'!K$7</f>
        <v>0</v>
      </c>
      <c r="P75" s="3480">
        <f>P74*'[5]IT capitalised overheads'!L$7</f>
        <v>0</v>
      </c>
      <c r="Q75" s="564">
        <f>Q74*'[5]IT capitalised overheads'!M$7</f>
        <v>0</v>
      </c>
      <c r="R75" s="477">
        <f>R74*'[5]IT capitalised overheads'!N$7</f>
        <v>0</v>
      </c>
      <c r="S75" s="477">
        <f>S74*'[5]IT capitalised overheads'!O$7</f>
        <v>0</v>
      </c>
      <c r="T75" s="477">
        <f>T74*'[5]IT capitalised overheads'!P$7</f>
        <v>0</v>
      </c>
      <c r="U75" s="519">
        <f>U74*'[5]IT capitalised overheads'!Q$7</f>
        <v>0</v>
      </c>
      <c r="V75" s="3438"/>
      <c r="W75" s="1172"/>
      <c r="X75" s="1172"/>
      <c r="Y75" s="1172"/>
      <c r="Z75" s="462"/>
      <c r="AA75" s="463"/>
      <c r="AB75" s="463"/>
      <c r="AC75" s="463"/>
      <c r="AD75" s="464"/>
      <c r="AE75" s="511"/>
      <c r="AF75" s="512"/>
      <c r="AG75" s="547"/>
    </row>
    <row r="76" spans="1:33" ht="12.75" customHeight="1" outlineLevel="1">
      <c r="A76" s="474"/>
      <c r="B76" s="474"/>
      <c r="C76" s="474"/>
      <c r="E76" s="3446"/>
      <c r="F76" s="1421" t="s">
        <v>581</v>
      </c>
      <c r="G76" s="413"/>
      <c r="H76" s="458"/>
      <c r="I76" s="458"/>
      <c r="J76" s="458"/>
      <c r="K76" s="625"/>
      <c r="L76" s="462"/>
      <c r="M76" s="463"/>
      <c r="N76" s="463"/>
      <c r="O76" s="463"/>
      <c r="P76" s="1190"/>
      <c r="Q76" s="459"/>
      <c r="R76" s="458"/>
      <c r="S76" s="458"/>
      <c r="T76" s="458"/>
      <c r="U76" s="460"/>
      <c r="V76" s="3438"/>
      <c r="W76" s="1172"/>
      <c r="X76" s="1172"/>
      <c r="Y76" s="1172"/>
      <c r="Z76" s="462"/>
      <c r="AA76" s="463"/>
      <c r="AB76" s="463"/>
      <c r="AC76" s="463"/>
      <c r="AD76" s="464"/>
      <c r="AE76" s="462"/>
      <c r="AF76" s="463"/>
      <c r="AG76" s="464"/>
    </row>
    <row r="77" spans="1:33" ht="12.75" customHeight="1" outlineLevel="1">
      <c r="A77" s="474"/>
      <c r="B77" s="474"/>
      <c r="C77" s="474"/>
      <c r="E77" s="3446"/>
      <c r="F77" s="1441" t="s">
        <v>584</v>
      </c>
      <c r="G77" s="1147">
        <f>SUM(G74:G76)</f>
        <v>0</v>
      </c>
      <c r="H77" s="1147">
        <v>20064.78935179007</v>
      </c>
      <c r="I77" s="1147">
        <f t="shared" ref="I77:U77" si="44">SUM(I74:I76)</f>
        <v>455095.50888436282</v>
      </c>
      <c r="J77" s="1147">
        <f t="shared" si="44"/>
        <v>1143128.930603517</v>
      </c>
      <c r="K77" s="1147">
        <f t="shared" si="44"/>
        <v>1384196.5822940606</v>
      </c>
      <c r="L77" s="1147">
        <f t="shared" si="44"/>
        <v>757952.35590594949</v>
      </c>
      <c r="M77" s="1147">
        <f t="shared" si="44"/>
        <v>11800.529313596746</v>
      </c>
      <c r="N77" s="1147">
        <f t="shared" si="44"/>
        <v>0</v>
      </c>
      <c r="O77" s="1147">
        <f t="shared" si="44"/>
        <v>0</v>
      </c>
      <c r="P77" s="1147">
        <f t="shared" si="44"/>
        <v>0</v>
      </c>
      <c r="Q77" s="1147">
        <f t="shared" si="44"/>
        <v>0</v>
      </c>
      <c r="R77" s="1147">
        <f t="shared" si="44"/>
        <v>0</v>
      </c>
      <c r="S77" s="1147">
        <f t="shared" si="44"/>
        <v>0</v>
      </c>
      <c r="T77" s="1147">
        <f t="shared" si="44"/>
        <v>0</v>
      </c>
      <c r="U77" s="1147">
        <f t="shared" si="44"/>
        <v>0</v>
      </c>
      <c r="V77" s="3438"/>
      <c r="W77" s="844"/>
      <c r="X77" s="844"/>
      <c r="Y77" s="844"/>
      <c r="Z77" s="1144">
        <f t="shared" ref="Z77:AG77" si="45">SUM(Z75:Z76)</f>
        <v>0</v>
      </c>
      <c r="AA77" s="1145">
        <f t="shared" si="45"/>
        <v>0</v>
      </c>
      <c r="AB77" s="1145">
        <f t="shared" si="45"/>
        <v>0</v>
      </c>
      <c r="AC77" s="1145">
        <f t="shared" si="45"/>
        <v>0</v>
      </c>
      <c r="AD77" s="1146">
        <f t="shared" si="45"/>
        <v>0</v>
      </c>
      <c r="AE77" s="1144">
        <f t="shared" si="45"/>
        <v>0</v>
      </c>
      <c r="AF77" s="1145">
        <f t="shared" si="45"/>
        <v>0</v>
      </c>
      <c r="AG77" s="1146">
        <f t="shared" si="45"/>
        <v>0</v>
      </c>
    </row>
    <row r="78" spans="1:33" ht="12.75" customHeight="1" outlineLevel="1">
      <c r="A78" s="474"/>
      <c r="B78" s="474"/>
      <c r="C78" s="474"/>
      <c r="E78" s="3446"/>
      <c r="F78" s="1421" t="s">
        <v>35</v>
      </c>
      <c r="G78" s="413"/>
      <c r="H78" s="458"/>
      <c r="I78" s="458"/>
      <c r="J78" s="458"/>
      <c r="K78" s="625"/>
      <c r="L78" s="459"/>
      <c r="M78" s="458"/>
      <c r="N78" s="458"/>
      <c r="O78" s="458"/>
      <c r="P78" s="625"/>
      <c r="Q78" s="459"/>
      <c r="R78" s="458"/>
      <c r="S78" s="458"/>
      <c r="T78" s="458"/>
      <c r="U78" s="460"/>
      <c r="V78" s="3438"/>
      <c r="W78" s="1172"/>
      <c r="X78" s="1172"/>
      <c r="Y78" s="1172"/>
      <c r="Z78" s="462"/>
      <c r="AA78" s="463"/>
      <c r="AB78" s="463"/>
      <c r="AC78" s="463"/>
      <c r="AD78" s="464"/>
      <c r="AE78" s="462"/>
      <c r="AF78" s="463"/>
      <c r="AG78" s="464"/>
    </row>
    <row r="79" spans="1:33" s="844" customFormat="1" ht="12.75" customHeight="1" outlineLevel="1" thickBot="1">
      <c r="D79" s="843"/>
      <c r="E79" s="3447"/>
      <c r="F79" s="1443" t="s">
        <v>585</v>
      </c>
      <c r="G79" s="1152">
        <f>G77-G78</f>
        <v>0</v>
      </c>
      <c r="H79" s="1152">
        <v>20064.78935179007</v>
      </c>
      <c r="I79" s="1152">
        <f t="shared" ref="I79:U79" si="46">I77-I78</f>
        <v>455095.50888436282</v>
      </c>
      <c r="J79" s="1152">
        <f t="shared" si="46"/>
        <v>1143128.930603517</v>
      </c>
      <c r="K79" s="3481">
        <f t="shared" si="46"/>
        <v>1384196.5822940606</v>
      </c>
      <c r="L79" s="1447">
        <f t="shared" si="46"/>
        <v>757952.35590594949</v>
      </c>
      <c r="M79" s="1152">
        <f t="shared" si="46"/>
        <v>11800.529313596746</v>
      </c>
      <c r="N79" s="1152">
        <f t="shared" si="46"/>
        <v>0</v>
      </c>
      <c r="O79" s="1152">
        <f t="shared" si="46"/>
        <v>0</v>
      </c>
      <c r="P79" s="3481">
        <f t="shared" si="46"/>
        <v>0</v>
      </c>
      <c r="Q79" s="1447">
        <f t="shared" si="46"/>
        <v>0</v>
      </c>
      <c r="R79" s="1152">
        <f t="shared" si="46"/>
        <v>0</v>
      </c>
      <c r="S79" s="1152">
        <f t="shared" si="46"/>
        <v>0</v>
      </c>
      <c r="T79" s="1152">
        <f t="shared" si="46"/>
        <v>0</v>
      </c>
      <c r="U79" s="1152">
        <f t="shared" si="46"/>
        <v>0</v>
      </c>
      <c r="V79" s="3439"/>
      <c r="Z79" s="1447">
        <f t="shared" ref="Z79:AE79" si="47">Z77-Z78</f>
        <v>0</v>
      </c>
      <c r="AA79" s="1150">
        <f t="shared" si="47"/>
        <v>0</v>
      </c>
      <c r="AB79" s="1150">
        <f t="shared" si="47"/>
        <v>0</v>
      </c>
      <c r="AC79" s="1150">
        <f t="shared" si="47"/>
        <v>0</v>
      </c>
      <c r="AD79" s="1151">
        <f t="shared" si="47"/>
        <v>0</v>
      </c>
      <c r="AE79" s="1447">
        <f t="shared" si="47"/>
        <v>0</v>
      </c>
      <c r="AF79" s="1150">
        <f>AF77-AF78</f>
        <v>0</v>
      </c>
      <c r="AG79" s="1151">
        <f t="shared" ref="AG79" si="48">AG77-AG78</f>
        <v>0</v>
      </c>
    </row>
    <row r="80" spans="1:33" ht="12.75" customHeight="1" outlineLevel="1">
      <c r="A80" s="474"/>
      <c r="B80" s="474"/>
      <c r="C80" s="474"/>
      <c r="E80" s="3446" t="s">
        <v>1765</v>
      </c>
      <c r="F80" s="1442" t="s">
        <v>598</v>
      </c>
      <c r="G80" s="528"/>
      <c r="H80" s="3757"/>
      <c r="I80" s="528"/>
      <c r="J80" s="528"/>
      <c r="K80" s="528"/>
      <c r="L80" s="538"/>
      <c r="M80" s="539"/>
      <c r="N80" s="539"/>
      <c r="O80" s="539"/>
      <c r="P80" s="539"/>
      <c r="Q80" s="538"/>
      <c r="R80" s="539"/>
      <c r="S80" s="539"/>
      <c r="T80" s="539"/>
      <c r="U80" s="540"/>
      <c r="V80" s="3437"/>
      <c r="W80" s="1172"/>
      <c r="X80" s="1172"/>
      <c r="Y80" s="1172"/>
      <c r="Z80" s="527"/>
      <c r="AA80" s="528"/>
      <c r="AB80" s="528"/>
      <c r="AC80" s="528"/>
      <c r="AD80" s="529"/>
      <c r="AE80" s="538"/>
      <c r="AF80" s="539"/>
      <c r="AG80" s="540"/>
    </row>
    <row r="81" spans="1:34" s="844" customFormat="1" ht="12.75" customHeight="1" outlineLevel="1">
      <c r="D81" s="843"/>
      <c r="E81" s="3446"/>
      <c r="F81" s="1421" t="s">
        <v>559</v>
      </c>
      <c r="G81" s="468">
        <v>0</v>
      </c>
      <c r="H81" s="468">
        <v>0</v>
      </c>
      <c r="I81" s="468">
        <v>0</v>
      </c>
      <c r="J81" s="468">
        <v>0</v>
      </c>
      <c r="K81" s="468">
        <v>55486.218000000001</v>
      </c>
      <c r="L81" s="459">
        <v>821699.35499999963</v>
      </c>
      <c r="M81" s="458">
        <v>1693845.9422231745</v>
      </c>
      <c r="N81" s="458">
        <v>1626295.6239999977</v>
      </c>
      <c r="O81" s="458">
        <v>560195</v>
      </c>
      <c r="P81" s="625">
        <v>51545</v>
      </c>
      <c r="Q81" s="459">
        <v>0</v>
      </c>
      <c r="R81" s="458">
        <v>0</v>
      </c>
      <c r="S81" s="458">
        <v>0</v>
      </c>
      <c r="T81" s="458">
        <v>0</v>
      </c>
      <c r="U81" s="458">
        <v>0</v>
      </c>
      <c r="V81" s="3438"/>
      <c r="W81" s="1172"/>
      <c r="X81" s="1172"/>
      <c r="Y81" s="1172"/>
      <c r="Z81" s="470"/>
      <c r="AA81" s="468"/>
      <c r="AB81" s="468"/>
      <c r="AC81" s="468"/>
      <c r="AD81" s="530"/>
      <c r="AE81" s="462"/>
      <c r="AF81" s="463"/>
      <c r="AG81" s="464"/>
    </row>
    <row r="82" spans="1:34" ht="12.75" customHeight="1">
      <c r="A82" s="474"/>
      <c r="B82" s="474"/>
      <c r="C82" s="474"/>
      <c r="E82" s="3446"/>
      <c r="F82" s="1421" t="s">
        <v>558</v>
      </c>
      <c r="G82" s="468">
        <v>0</v>
      </c>
      <c r="H82" s="468">
        <v>0</v>
      </c>
      <c r="I82" s="468">
        <v>0</v>
      </c>
      <c r="J82" s="468">
        <v>2154.7950000000005</v>
      </c>
      <c r="K82" s="468">
        <v>275668.19099999999</v>
      </c>
      <c r="L82" s="459">
        <v>4520144.4269999983</v>
      </c>
      <c r="M82" s="458">
        <v>8284434.620602645</v>
      </c>
      <c r="N82" s="458">
        <v>3121424.6820000005</v>
      </c>
      <c r="O82" s="458">
        <v>349005</v>
      </c>
      <c r="P82" s="625">
        <v>8800</v>
      </c>
      <c r="Q82" s="459">
        <v>0</v>
      </c>
      <c r="R82" s="458">
        <v>0</v>
      </c>
      <c r="S82" s="458">
        <v>0</v>
      </c>
      <c r="T82" s="458">
        <v>0</v>
      </c>
      <c r="U82" s="458">
        <v>0</v>
      </c>
      <c r="V82" s="3438"/>
      <c r="W82" s="1172"/>
      <c r="X82" s="1172"/>
      <c r="Y82" s="1172"/>
      <c r="Z82" s="470"/>
      <c r="AA82" s="468"/>
      <c r="AB82" s="468"/>
      <c r="AC82" s="468"/>
      <c r="AD82" s="530"/>
      <c r="AE82" s="462"/>
      <c r="AF82" s="463"/>
      <c r="AG82" s="464"/>
    </row>
    <row r="83" spans="1:34" ht="12.75" customHeight="1">
      <c r="A83" s="474"/>
      <c r="B83" s="474"/>
      <c r="C83" s="474"/>
      <c r="E83" s="3446"/>
      <c r="F83" s="1421" t="s">
        <v>578</v>
      </c>
      <c r="G83" s="468">
        <v>0</v>
      </c>
      <c r="H83" s="468">
        <v>0</v>
      </c>
      <c r="I83" s="468">
        <v>0</v>
      </c>
      <c r="J83" s="468">
        <v>0</v>
      </c>
      <c r="K83" s="468">
        <v>6564.4139999999998</v>
      </c>
      <c r="L83" s="459">
        <v>19030</v>
      </c>
      <c r="M83" s="458">
        <v>43923</v>
      </c>
      <c r="N83" s="458">
        <v>1210789</v>
      </c>
      <c r="O83" s="458">
        <v>697193</v>
      </c>
      <c r="P83" s="625">
        <v>65374</v>
      </c>
      <c r="Q83" s="459">
        <v>0</v>
      </c>
      <c r="R83" s="458">
        <v>0</v>
      </c>
      <c r="S83" s="458">
        <v>0</v>
      </c>
      <c r="T83" s="458">
        <v>0</v>
      </c>
      <c r="U83" s="458">
        <v>0</v>
      </c>
      <c r="V83" s="3438"/>
      <c r="W83" s="1172"/>
      <c r="X83" s="1172"/>
      <c r="Y83" s="1172"/>
      <c r="Z83" s="470"/>
      <c r="AA83" s="468"/>
      <c r="AB83" s="468"/>
      <c r="AC83" s="468"/>
      <c r="AD83" s="530"/>
      <c r="AE83" s="462"/>
      <c r="AF83" s="463"/>
      <c r="AG83" s="464"/>
    </row>
    <row r="84" spans="1:34" ht="12.75" customHeight="1">
      <c r="A84" s="474"/>
      <c r="B84" s="474"/>
      <c r="C84" s="474"/>
      <c r="E84" s="3446"/>
      <c r="F84" s="1441" t="s">
        <v>566</v>
      </c>
      <c r="G84" s="354">
        <f>SUM(G81:G83)</f>
        <v>0</v>
      </c>
      <c r="H84" s="354">
        <v>0</v>
      </c>
      <c r="I84" s="354">
        <f t="shared" ref="I84:U84" si="49">SUM(I81:I83)</f>
        <v>0</v>
      </c>
      <c r="J84" s="354">
        <f t="shared" si="49"/>
        <v>2154.7950000000005</v>
      </c>
      <c r="K84" s="626">
        <f t="shared" si="49"/>
        <v>337718.82299999997</v>
      </c>
      <c r="L84" s="353">
        <f t="shared" si="49"/>
        <v>5360873.7819999978</v>
      </c>
      <c r="M84" s="354">
        <f t="shared" si="49"/>
        <v>10022203.562825819</v>
      </c>
      <c r="N84" s="354">
        <f t="shared" si="49"/>
        <v>5958509.305999998</v>
      </c>
      <c r="O84" s="354">
        <f t="shared" si="49"/>
        <v>1606393</v>
      </c>
      <c r="P84" s="626">
        <f t="shared" si="49"/>
        <v>125719</v>
      </c>
      <c r="Q84" s="353">
        <f t="shared" si="49"/>
        <v>0</v>
      </c>
      <c r="R84" s="354">
        <f t="shared" si="49"/>
        <v>0</v>
      </c>
      <c r="S84" s="354">
        <f t="shared" si="49"/>
        <v>0</v>
      </c>
      <c r="T84" s="354">
        <f t="shared" si="49"/>
        <v>0</v>
      </c>
      <c r="U84" s="354">
        <f t="shared" si="49"/>
        <v>0</v>
      </c>
      <c r="V84" s="3438"/>
      <c r="W84" s="1172"/>
      <c r="X84" s="1172"/>
      <c r="Y84" s="1172"/>
      <c r="Z84" s="462"/>
      <c r="AA84" s="463"/>
      <c r="AB84" s="463"/>
      <c r="AC84" s="463"/>
      <c r="AD84" s="464"/>
      <c r="AE84" s="353"/>
      <c r="AF84" s="354">
        <f t="shared" ref="AF84:AG84" si="50">SUM(AF81:AF83)</f>
        <v>0</v>
      </c>
      <c r="AG84" s="450">
        <f t="shared" si="50"/>
        <v>0</v>
      </c>
    </row>
    <row r="85" spans="1:34" ht="12.75" customHeight="1">
      <c r="A85" s="474"/>
      <c r="B85" s="474"/>
      <c r="C85" s="474"/>
      <c r="E85" s="3446"/>
      <c r="F85" s="1421" t="s">
        <v>583</v>
      </c>
      <c r="G85" s="413">
        <f>G84*'[5]IT capitalised overheads'!C$7</f>
        <v>0</v>
      </c>
      <c r="H85" s="458">
        <v>0</v>
      </c>
      <c r="I85" s="458">
        <f>I84*'[5]IT capitalised overheads'!E$7</f>
        <v>0</v>
      </c>
      <c r="J85" s="458">
        <f>J84*'[5]IT capitalised overheads'!F$7</f>
        <v>99.056845945527883</v>
      </c>
      <c r="K85" s="625">
        <f>K84*'[5]IT capitalised overheads'!G$7</f>
        <v>15899.758598140173</v>
      </c>
      <c r="L85" s="511">
        <f>L84*'[5]IT capitalised overheads'!H$7</f>
        <v>262547.95560991642</v>
      </c>
      <c r="M85" s="512">
        <f>M84*'[5]IT capitalised overheads'!I$7</f>
        <v>746813.73169156967</v>
      </c>
      <c r="N85" s="512">
        <f>N84*'[5]IT capitalised overheads'!J$7</f>
        <v>397771.45591077581</v>
      </c>
      <c r="O85" s="512">
        <f>O84*'[5]IT capitalised overheads'!K$7</f>
        <v>154182.37396554369</v>
      </c>
      <c r="P85" s="3480">
        <f>P84*'[5]IT capitalised overheads'!L$7</f>
        <v>7378.8542968637803</v>
      </c>
      <c r="Q85" s="564">
        <f>Q84*'[5]IT capitalised overheads'!M$7</f>
        <v>0</v>
      </c>
      <c r="R85" s="477">
        <f>R84*'[5]IT capitalised overheads'!N$7</f>
        <v>0</v>
      </c>
      <c r="S85" s="477">
        <f>S84*'[5]IT capitalised overheads'!O$7</f>
        <v>0</v>
      </c>
      <c r="T85" s="477">
        <f>T84*'[5]IT capitalised overheads'!P$7</f>
        <v>0</v>
      </c>
      <c r="U85" s="519">
        <f>U84*'[5]IT capitalised overheads'!Q$7</f>
        <v>0</v>
      </c>
      <c r="V85" s="3438"/>
      <c r="W85" s="1172"/>
      <c r="X85" s="1172"/>
      <c r="Y85" s="1172"/>
      <c r="Z85" s="462"/>
      <c r="AA85" s="463"/>
      <c r="AB85" s="463"/>
      <c r="AC85" s="463"/>
      <c r="AD85" s="464"/>
      <c r="AE85" s="511"/>
      <c r="AF85" s="512"/>
      <c r="AG85" s="547"/>
    </row>
    <row r="86" spans="1:34" ht="12.75" customHeight="1">
      <c r="A86" s="474"/>
      <c r="B86" s="474"/>
      <c r="C86" s="474"/>
      <c r="E86" s="3446"/>
      <c r="F86" s="1421" t="s">
        <v>581</v>
      </c>
      <c r="G86" s="413"/>
      <c r="H86" s="458"/>
      <c r="I86" s="458"/>
      <c r="J86" s="458"/>
      <c r="K86" s="625"/>
      <c r="L86" s="462"/>
      <c r="M86" s="463"/>
      <c r="N86" s="463"/>
      <c r="O86" s="463"/>
      <c r="P86" s="1190"/>
      <c r="Q86" s="459"/>
      <c r="R86" s="458"/>
      <c r="S86" s="458"/>
      <c r="T86" s="458"/>
      <c r="U86" s="460"/>
      <c r="V86" s="3438"/>
      <c r="W86" s="1172"/>
      <c r="X86" s="1172"/>
      <c r="Y86" s="1172"/>
      <c r="Z86" s="462"/>
      <c r="AA86" s="463"/>
      <c r="AB86" s="463"/>
      <c r="AC86" s="463"/>
      <c r="AD86" s="464"/>
      <c r="AE86" s="462"/>
      <c r="AF86" s="463"/>
      <c r="AG86" s="464"/>
    </row>
    <row r="87" spans="1:34" ht="13.5" customHeight="1">
      <c r="A87" s="474"/>
      <c r="B87" s="474"/>
      <c r="C87" s="474"/>
      <c r="E87" s="3446"/>
      <c r="F87" s="1441" t="s">
        <v>584</v>
      </c>
      <c r="G87" s="1147">
        <f>SUM(G84:G86)</f>
        <v>0</v>
      </c>
      <c r="H87" s="1147">
        <v>0</v>
      </c>
      <c r="I87" s="1147">
        <f t="shared" ref="I87:U87" si="51">SUM(I84:I86)</f>
        <v>0</v>
      </c>
      <c r="J87" s="1147">
        <f t="shared" si="51"/>
        <v>2253.8518459455286</v>
      </c>
      <c r="K87" s="1147">
        <f t="shared" si="51"/>
        <v>353618.58159814012</v>
      </c>
      <c r="L87" s="1147">
        <f t="shared" si="51"/>
        <v>5623421.7376099145</v>
      </c>
      <c r="M87" s="1147">
        <f t="shared" si="51"/>
        <v>10769017.294517389</v>
      </c>
      <c r="N87" s="1147">
        <f t="shared" si="51"/>
        <v>6356280.7619107738</v>
      </c>
      <c r="O87" s="1147">
        <f t="shared" si="51"/>
        <v>1760575.3739655437</v>
      </c>
      <c r="P87" s="1147">
        <f t="shared" si="51"/>
        <v>133097.85429686378</v>
      </c>
      <c r="Q87" s="1147">
        <f t="shared" si="51"/>
        <v>0</v>
      </c>
      <c r="R87" s="1147">
        <f t="shared" si="51"/>
        <v>0</v>
      </c>
      <c r="S87" s="1147">
        <f t="shared" si="51"/>
        <v>0</v>
      </c>
      <c r="T87" s="1147">
        <f t="shared" si="51"/>
        <v>0</v>
      </c>
      <c r="U87" s="1147">
        <f t="shared" si="51"/>
        <v>0</v>
      </c>
      <c r="V87" s="3438"/>
      <c r="W87" s="844"/>
      <c r="X87" s="844"/>
      <c r="Y87" s="844"/>
      <c r="Z87" s="1144">
        <f t="shared" ref="Z87:AG87" si="52">SUM(Z85:Z86)</f>
        <v>0</v>
      </c>
      <c r="AA87" s="1145">
        <f t="shared" si="52"/>
        <v>0</v>
      </c>
      <c r="AB87" s="1145">
        <f t="shared" si="52"/>
        <v>0</v>
      </c>
      <c r="AC87" s="1145">
        <f t="shared" si="52"/>
        <v>0</v>
      </c>
      <c r="AD87" s="1146">
        <f t="shared" si="52"/>
        <v>0</v>
      </c>
      <c r="AE87" s="1144">
        <f t="shared" si="52"/>
        <v>0</v>
      </c>
      <c r="AF87" s="1145">
        <f t="shared" si="52"/>
        <v>0</v>
      </c>
      <c r="AG87" s="1146">
        <f t="shared" si="52"/>
        <v>0</v>
      </c>
    </row>
    <row r="88" spans="1:34" s="1172" customFormat="1" ht="42.75" customHeight="1">
      <c r="A88" s="1178"/>
      <c r="B88" s="1178"/>
      <c r="C88" s="1178"/>
      <c r="D88" s="881"/>
      <c r="E88" s="3446"/>
      <c r="F88" s="1421" t="s">
        <v>35</v>
      </c>
      <c r="G88" s="413"/>
      <c r="H88" s="458"/>
      <c r="I88" s="458"/>
      <c r="J88" s="458"/>
      <c r="K88" s="625"/>
      <c r="L88" s="459"/>
      <c r="M88" s="458"/>
      <c r="N88" s="458"/>
      <c r="O88" s="458"/>
      <c r="P88" s="625"/>
      <c r="Q88" s="459"/>
      <c r="R88" s="458"/>
      <c r="S88" s="458"/>
      <c r="T88" s="458"/>
      <c r="U88" s="460"/>
      <c r="V88" s="3438"/>
      <c r="Z88" s="462"/>
      <c r="AA88" s="463"/>
      <c r="AB88" s="463"/>
      <c r="AC88" s="463"/>
      <c r="AD88" s="464"/>
      <c r="AE88" s="462"/>
      <c r="AF88" s="463"/>
      <c r="AG88" s="464"/>
    </row>
    <row r="89" spans="1:34" s="78" customFormat="1" ht="56.25" customHeight="1" thickBot="1">
      <c r="A89" s="262"/>
      <c r="B89" s="262"/>
      <c r="C89" s="262"/>
      <c r="D89" s="262"/>
      <c r="E89" s="3447"/>
      <c r="F89" s="1443" t="s">
        <v>585</v>
      </c>
      <c r="G89" s="1152">
        <f>G87-G88</f>
        <v>0</v>
      </c>
      <c r="H89" s="1152">
        <v>0</v>
      </c>
      <c r="I89" s="1152">
        <f t="shared" ref="I89:U89" si="53">I87-I88</f>
        <v>0</v>
      </c>
      <c r="J89" s="1152">
        <f t="shared" si="53"/>
        <v>2253.8518459455286</v>
      </c>
      <c r="K89" s="3481">
        <f t="shared" si="53"/>
        <v>353618.58159814012</v>
      </c>
      <c r="L89" s="1447">
        <f t="shared" si="53"/>
        <v>5623421.7376099145</v>
      </c>
      <c r="M89" s="1152">
        <f t="shared" si="53"/>
        <v>10769017.294517389</v>
      </c>
      <c r="N89" s="1152">
        <f t="shared" si="53"/>
        <v>6356280.7619107738</v>
      </c>
      <c r="O89" s="1152">
        <f t="shared" si="53"/>
        <v>1760575.3739655437</v>
      </c>
      <c r="P89" s="3481">
        <f t="shared" si="53"/>
        <v>133097.85429686378</v>
      </c>
      <c r="Q89" s="1447">
        <f t="shared" si="53"/>
        <v>0</v>
      </c>
      <c r="R89" s="1152">
        <f t="shared" si="53"/>
        <v>0</v>
      </c>
      <c r="S89" s="1152">
        <f t="shared" si="53"/>
        <v>0</v>
      </c>
      <c r="T89" s="1152">
        <f t="shared" si="53"/>
        <v>0</v>
      </c>
      <c r="U89" s="1152">
        <f t="shared" si="53"/>
        <v>0</v>
      </c>
      <c r="V89" s="3439"/>
      <c r="W89" s="844"/>
      <c r="X89" s="844"/>
      <c r="Y89" s="844"/>
      <c r="Z89" s="1447">
        <f t="shared" ref="Z89:AE89" si="54">Z87-Z88</f>
        <v>0</v>
      </c>
      <c r="AA89" s="1150">
        <f t="shared" si="54"/>
        <v>0</v>
      </c>
      <c r="AB89" s="1150">
        <f t="shared" si="54"/>
        <v>0</v>
      </c>
      <c r="AC89" s="1150">
        <f t="shared" si="54"/>
        <v>0</v>
      </c>
      <c r="AD89" s="1151">
        <f t="shared" si="54"/>
        <v>0</v>
      </c>
      <c r="AE89" s="1447">
        <f t="shared" si="54"/>
        <v>0</v>
      </c>
      <c r="AF89" s="1150">
        <f>AF87-AF88</f>
        <v>0</v>
      </c>
      <c r="AG89" s="1151">
        <f t="shared" ref="AG89" si="55">AG87-AG88</f>
        <v>0</v>
      </c>
    </row>
    <row r="90" spans="1:34" s="78" customFormat="1" ht="24.75" customHeight="1">
      <c r="A90" s="262"/>
      <c r="B90" s="262"/>
      <c r="C90" s="262"/>
      <c r="D90" s="262"/>
      <c r="E90" s="3446" t="s">
        <v>1766</v>
      </c>
      <c r="F90" s="1442" t="s">
        <v>598</v>
      </c>
      <c r="G90" s="528"/>
      <c r="H90" s="3757"/>
      <c r="I90" s="528"/>
      <c r="J90" s="528"/>
      <c r="K90" s="528"/>
      <c r="L90" s="538"/>
      <c r="M90" s="539"/>
      <c r="N90" s="539"/>
      <c r="O90" s="539"/>
      <c r="P90" s="539"/>
      <c r="Q90" s="538"/>
      <c r="R90" s="539"/>
      <c r="S90" s="539"/>
      <c r="T90" s="539"/>
      <c r="U90" s="540"/>
      <c r="V90" s="3437"/>
      <c r="W90" s="1172"/>
      <c r="X90" s="1172"/>
      <c r="Y90" s="1172"/>
      <c r="Z90" s="527"/>
      <c r="AA90" s="528"/>
      <c r="AB90" s="528"/>
      <c r="AC90" s="528"/>
      <c r="AD90" s="529"/>
      <c r="AE90" s="538"/>
      <c r="AF90" s="539"/>
      <c r="AG90" s="540"/>
      <c r="AH90"/>
    </row>
    <row r="91" spans="1:34" ht="15.75" customHeight="1">
      <c r="E91" s="3446"/>
      <c r="F91" s="1421" t="s">
        <v>559</v>
      </c>
      <c r="G91" s="468">
        <v>0</v>
      </c>
      <c r="H91" s="468">
        <v>0</v>
      </c>
      <c r="I91" s="468">
        <v>0</v>
      </c>
      <c r="J91" s="468">
        <v>0</v>
      </c>
      <c r="K91" s="468">
        <v>0</v>
      </c>
      <c r="L91" s="459">
        <v>0</v>
      </c>
      <c r="M91" s="458">
        <v>0</v>
      </c>
      <c r="N91" s="458">
        <v>885.26</v>
      </c>
      <c r="O91" s="458">
        <v>11925</v>
      </c>
      <c r="P91" s="625">
        <v>191900</v>
      </c>
      <c r="Q91" s="459">
        <v>0</v>
      </c>
      <c r="R91" s="458">
        <v>180252.73677600001</v>
      </c>
      <c r="S91" s="458">
        <v>120168.491184</v>
      </c>
      <c r="T91" s="458">
        <v>0</v>
      </c>
      <c r="U91" s="458">
        <v>0</v>
      </c>
      <c r="V91" s="3438"/>
      <c r="W91" s="1172"/>
      <c r="X91" s="1172"/>
      <c r="Y91" s="1172"/>
      <c r="Z91" s="470"/>
      <c r="AA91" s="468"/>
      <c r="AB91" s="468"/>
      <c r="AC91" s="468"/>
      <c r="AD91" s="530"/>
      <c r="AE91" s="462"/>
      <c r="AF91" s="463"/>
      <c r="AG91" s="464"/>
      <c r="AH91"/>
    </row>
    <row r="92" spans="1:34" ht="15" customHeight="1">
      <c r="E92" s="3446"/>
      <c r="F92" s="1421" t="s">
        <v>558</v>
      </c>
      <c r="G92" s="468">
        <v>-4893</v>
      </c>
      <c r="H92" s="468">
        <v>1560</v>
      </c>
      <c r="I92" s="468">
        <v>0</v>
      </c>
      <c r="J92" s="468">
        <v>0</v>
      </c>
      <c r="K92" s="468">
        <v>0</v>
      </c>
      <c r="L92" s="459">
        <v>0</v>
      </c>
      <c r="M92" s="458">
        <v>0</v>
      </c>
      <c r="N92" s="458">
        <v>0</v>
      </c>
      <c r="O92" s="458">
        <v>7430</v>
      </c>
      <c r="P92" s="625">
        <v>0</v>
      </c>
      <c r="Q92" s="459">
        <v>0</v>
      </c>
      <c r="R92" s="458">
        <v>0</v>
      </c>
      <c r="S92" s="458">
        <v>0</v>
      </c>
      <c r="T92" s="458">
        <v>0</v>
      </c>
      <c r="U92" s="458">
        <v>0</v>
      </c>
      <c r="V92" s="3438"/>
      <c r="W92" s="1172"/>
      <c r="X92" s="1172"/>
      <c r="Y92" s="1172"/>
      <c r="Z92" s="470"/>
      <c r="AA92" s="468"/>
      <c r="AB92" s="468"/>
      <c r="AC92" s="468"/>
      <c r="AD92" s="530"/>
      <c r="AE92" s="462"/>
      <c r="AF92" s="463"/>
      <c r="AG92" s="464"/>
      <c r="AH92"/>
    </row>
    <row r="93" spans="1:34" ht="18">
      <c r="E93" s="3446"/>
      <c r="F93" s="1421" t="s">
        <v>578</v>
      </c>
      <c r="G93" s="468">
        <v>0</v>
      </c>
      <c r="H93" s="468">
        <v>0</v>
      </c>
      <c r="I93" s="468">
        <v>0</v>
      </c>
      <c r="J93" s="468">
        <v>0</v>
      </c>
      <c r="K93" s="468">
        <v>0</v>
      </c>
      <c r="L93" s="459">
        <v>0</v>
      </c>
      <c r="M93" s="458">
        <v>0</v>
      </c>
      <c r="N93" s="458">
        <v>6129.32</v>
      </c>
      <c r="O93" s="458">
        <v>14842</v>
      </c>
      <c r="P93" s="625">
        <v>0</v>
      </c>
      <c r="Q93" s="459">
        <v>0</v>
      </c>
      <c r="R93" s="458">
        <v>0</v>
      </c>
      <c r="S93" s="458">
        <v>0</v>
      </c>
      <c r="T93" s="458">
        <v>0</v>
      </c>
      <c r="U93" s="458">
        <v>0</v>
      </c>
      <c r="V93" s="3438"/>
      <c r="W93" s="1172"/>
      <c r="X93" s="1172"/>
      <c r="Y93" s="1172"/>
      <c r="Z93" s="470"/>
      <c r="AA93" s="468"/>
      <c r="AB93" s="468"/>
      <c r="AC93" s="468"/>
      <c r="AD93" s="530"/>
      <c r="AE93" s="462"/>
      <c r="AF93" s="463"/>
      <c r="AG93" s="464"/>
      <c r="AH93"/>
    </row>
    <row r="94" spans="1:34" ht="18">
      <c r="E94" s="3446"/>
      <c r="F94" s="1441" t="s">
        <v>566</v>
      </c>
      <c r="G94" s="354">
        <f>SUM(G91:G93)</f>
        <v>-4893</v>
      </c>
      <c r="H94" s="354">
        <v>1560</v>
      </c>
      <c r="I94" s="354">
        <f t="shared" ref="I94:K94" si="56">SUM(I91:I93)</f>
        <v>0</v>
      </c>
      <c r="J94" s="354">
        <f t="shared" si="56"/>
        <v>0</v>
      </c>
      <c r="K94" s="626">
        <f t="shared" si="56"/>
        <v>0</v>
      </c>
      <c r="L94" s="353">
        <f>SUM(L91:L93)</f>
        <v>0</v>
      </c>
      <c r="M94" s="354">
        <f t="shared" ref="M94:N94" si="57">SUM(M91:M93)</f>
        <v>0</v>
      </c>
      <c r="N94" s="354">
        <f t="shared" si="57"/>
        <v>7014.58</v>
      </c>
      <c r="O94" s="354">
        <f>SUM(O91:O93)</f>
        <v>34197</v>
      </c>
      <c r="P94" s="626">
        <f t="shared" ref="P94:S94" si="58">SUM(P91:P93)</f>
        <v>191900</v>
      </c>
      <c r="Q94" s="353">
        <f t="shared" si="58"/>
        <v>0</v>
      </c>
      <c r="R94" s="354">
        <f t="shared" si="58"/>
        <v>180252.73677600001</v>
      </c>
      <c r="S94" s="354">
        <f t="shared" si="58"/>
        <v>120168.491184</v>
      </c>
      <c r="T94" s="354">
        <f>SUM(T91:T93)</f>
        <v>0</v>
      </c>
      <c r="U94" s="354">
        <f t="shared" ref="U94" si="59">SUM(U91:U93)</f>
        <v>0</v>
      </c>
      <c r="V94" s="3438"/>
      <c r="W94" s="1172"/>
      <c r="X94" s="1172"/>
      <c r="Y94" s="1172"/>
      <c r="Z94" s="462"/>
      <c r="AA94" s="463"/>
      <c r="AB94" s="463"/>
      <c r="AC94" s="463"/>
      <c r="AD94" s="464"/>
      <c r="AE94" s="353"/>
      <c r="AF94" s="354">
        <f t="shared" ref="AF94:AG94" si="60">SUM(AF91:AF93)</f>
        <v>0</v>
      </c>
      <c r="AG94" s="450">
        <f t="shared" si="60"/>
        <v>0</v>
      </c>
      <c r="AH94"/>
    </row>
    <row r="95" spans="1:34" s="78" customFormat="1" ht="18" customHeight="1">
      <c r="A95" s="262"/>
      <c r="B95" s="262"/>
      <c r="C95" s="262"/>
      <c r="D95" s="262"/>
      <c r="E95" s="3446"/>
      <c r="F95" s="1421" t="s">
        <v>583</v>
      </c>
      <c r="G95" s="413">
        <f>G94*'[5]IT capitalised overheads'!C$7</f>
        <v>-477.56976075552154</v>
      </c>
      <c r="H95" s="458">
        <v>65.62628090999749</v>
      </c>
      <c r="I95" s="458">
        <f>I94*'[5]IT capitalised overheads'!E$7</f>
        <v>0</v>
      </c>
      <c r="J95" s="458">
        <f>J94*'[5]IT capitalised overheads'!F$7</f>
        <v>0</v>
      </c>
      <c r="K95" s="625">
        <f>K94*'[5]IT capitalised overheads'!G$7</f>
        <v>0</v>
      </c>
      <c r="L95" s="511">
        <f>L94*'[5]IT capitalised overheads'!H$7</f>
        <v>0</v>
      </c>
      <c r="M95" s="512">
        <f>M94*'[5]IT capitalised overheads'!I$7</f>
        <v>0</v>
      </c>
      <c r="N95" s="512">
        <f>N94*'[5]IT capitalised overheads'!J$7</f>
        <v>468.27143433223847</v>
      </c>
      <c r="O95" s="512">
        <f>O94*'[5]IT capitalised overheads'!K$7</f>
        <v>3282.2445332491475</v>
      </c>
      <c r="P95" s="3480">
        <f>P94*'[5]IT capitalised overheads'!L$7</f>
        <v>11263.2310117656</v>
      </c>
      <c r="Q95" s="564">
        <f>Q94*'[5]IT capitalised overheads'!M$7</f>
        <v>0</v>
      </c>
      <c r="R95" s="477">
        <f>R94*'[5]IT capitalised overheads'!N$7</f>
        <v>9263.6369589799378</v>
      </c>
      <c r="S95" s="477">
        <f>S94*'[5]IT capitalised overheads'!O$7</f>
        <v>7226.9097466306048</v>
      </c>
      <c r="T95" s="477">
        <f>T94*'[5]IT capitalised overheads'!P$7</f>
        <v>0</v>
      </c>
      <c r="U95" s="519">
        <f>U94*'[5]IT capitalised overheads'!Q$7</f>
        <v>0</v>
      </c>
      <c r="V95" s="3438"/>
      <c r="W95" s="1172"/>
      <c r="X95" s="1172"/>
      <c r="Y95" s="1172"/>
      <c r="Z95" s="462"/>
      <c r="AA95" s="463"/>
      <c r="AB95" s="463"/>
      <c r="AC95" s="463"/>
      <c r="AD95" s="464"/>
      <c r="AE95" s="511"/>
      <c r="AF95" s="512"/>
      <c r="AG95" s="547"/>
      <c r="AH95"/>
    </row>
    <row r="96" spans="1:34" ht="12.75" customHeight="1">
      <c r="E96" s="3446"/>
      <c r="F96" s="1421" t="s">
        <v>581</v>
      </c>
      <c r="G96" s="413"/>
      <c r="H96" s="458"/>
      <c r="I96" s="458"/>
      <c r="J96" s="458"/>
      <c r="K96" s="625"/>
      <c r="L96" s="462"/>
      <c r="M96" s="463"/>
      <c r="N96" s="463"/>
      <c r="O96" s="463"/>
      <c r="P96" s="1190"/>
      <c r="Q96" s="459"/>
      <c r="R96" s="458"/>
      <c r="S96" s="458"/>
      <c r="T96" s="458"/>
      <c r="U96" s="460"/>
      <c r="V96" s="3438"/>
      <c r="W96" s="1172"/>
      <c r="X96" s="1172"/>
      <c r="Y96" s="1172"/>
      <c r="Z96" s="462"/>
      <c r="AA96" s="463"/>
      <c r="AB96" s="463"/>
      <c r="AC96" s="463"/>
      <c r="AD96" s="464"/>
      <c r="AE96" s="462"/>
      <c r="AF96" s="463"/>
      <c r="AG96" s="464"/>
      <c r="AH96"/>
    </row>
    <row r="97" spans="1:34" ht="12.75" customHeight="1">
      <c r="E97" s="3446"/>
      <c r="F97" s="1441" t="s">
        <v>584</v>
      </c>
      <c r="G97" s="1147">
        <f>SUM(G94:G96)</f>
        <v>-5370.5697607555212</v>
      </c>
      <c r="H97" s="1147">
        <v>1625.6262809099976</v>
      </c>
      <c r="I97" s="1147">
        <f t="shared" ref="I97:U97" si="61">SUM(I94:I96)</f>
        <v>0</v>
      </c>
      <c r="J97" s="1147">
        <f t="shared" si="61"/>
        <v>0</v>
      </c>
      <c r="K97" s="1147">
        <f t="shared" si="61"/>
        <v>0</v>
      </c>
      <c r="L97" s="1147">
        <f t="shared" si="61"/>
        <v>0</v>
      </c>
      <c r="M97" s="1147">
        <f t="shared" si="61"/>
        <v>0</v>
      </c>
      <c r="N97" s="1147">
        <f t="shared" si="61"/>
        <v>7482.8514343322386</v>
      </c>
      <c r="O97" s="1147">
        <f t="shared" si="61"/>
        <v>37479.244533249148</v>
      </c>
      <c r="P97" s="1147">
        <f t="shared" si="61"/>
        <v>203163.2310117656</v>
      </c>
      <c r="Q97" s="1147">
        <f t="shared" si="61"/>
        <v>0</v>
      </c>
      <c r="R97" s="1147">
        <f t="shared" si="61"/>
        <v>189516.37373497995</v>
      </c>
      <c r="S97" s="1147">
        <f t="shared" si="61"/>
        <v>127395.4009306306</v>
      </c>
      <c r="T97" s="1147">
        <f t="shared" si="61"/>
        <v>0</v>
      </c>
      <c r="U97" s="1147">
        <f t="shared" si="61"/>
        <v>0</v>
      </c>
      <c r="V97" s="3438"/>
      <c r="W97" s="844"/>
      <c r="X97" s="844"/>
      <c r="Y97" s="844"/>
      <c r="Z97" s="1144">
        <f t="shared" ref="Z97:AG97" si="62">SUM(Z95:Z96)</f>
        <v>0</v>
      </c>
      <c r="AA97" s="1145">
        <f t="shared" si="62"/>
        <v>0</v>
      </c>
      <c r="AB97" s="1145">
        <f t="shared" si="62"/>
        <v>0</v>
      </c>
      <c r="AC97" s="1145">
        <f t="shared" si="62"/>
        <v>0</v>
      </c>
      <c r="AD97" s="1146">
        <f t="shared" si="62"/>
        <v>0</v>
      </c>
      <c r="AE97" s="1144">
        <f t="shared" si="62"/>
        <v>0</v>
      </c>
      <c r="AF97" s="1145">
        <f t="shared" si="62"/>
        <v>0</v>
      </c>
      <c r="AG97" s="1146">
        <f t="shared" si="62"/>
        <v>0</v>
      </c>
      <c r="AH97"/>
    </row>
    <row r="98" spans="1:34" ht="12.75" customHeight="1">
      <c r="E98" s="3446"/>
      <c r="F98" s="1421" t="s">
        <v>35</v>
      </c>
      <c r="G98" s="413"/>
      <c r="H98" s="458"/>
      <c r="I98" s="458"/>
      <c r="J98" s="458"/>
      <c r="K98" s="625"/>
      <c r="L98" s="459"/>
      <c r="M98" s="458"/>
      <c r="N98" s="458"/>
      <c r="O98" s="458"/>
      <c r="P98" s="625"/>
      <c r="Q98" s="459"/>
      <c r="R98" s="458"/>
      <c r="S98" s="458"/>
      <c r="T98" s="458"/>
      <c r="U98" s="460"/>
      <c r="V98" s="3438"/>
      <c r="W98" s="1172"/>
      <c r="X98" s="1172"/>
      <c r="Y98" s="1172"/>
      <c r="Z98" s="462"/>
      <c r="AA98" s="463"/>
      <c r="AB98" s="463"/>
      <c r="AC98" s="463"/>
      <c r="AD98" s="464"/>
      <c r="AE98" s="462"/>
      <c r="AF98" s="463"/>
      <c r="AG98" s="464"/>
      <c r="AH98"/>
    </row>
    <row r="99" spans="1:34" ht="12.75" customHeight="1" thickBot="1">
      <c r="E99" s="3447"/>
      <c r="F99" s="1443" t="s">
        <v>585</v>
      </c>
      <c r="G99" s="1152">
        <f>G97-G98</f>
        <v>-5370.5697607555212</v>
      </c>
      <c r="H99" s="1152">
        <v>1625.6262809099976</v>
      </c>
      <c r="I99" s="1152">
        <f t="shared" ref="I99:U99" si="63">I97-I98</f>
        <v>0</v>
      </c>
      <c r="J99" s="1152">
        <f t="shared" si="63"/>
        <v>0</v>
      </c>
      <c r="K99" s="3481">
        <f t="shared" si="63"/>
        <v>0</v>
      </c>
      <c r="L99" s="1447">
        <f t="shared" si="63"/>
        <v>0</v>
      </c>
      <c r="M99" s="1152">
        <f t="shared" si="63"/>
        <v>0</v>
      </c>
      <c r="N99" s="1152">
        <f t="shared" si="63"/>
        <v>7482.8514343322386</v>
      </c>
      <c r="O99" s="1152">
        <f t="shared" si="63"/>
        <v>37479.244533249148</v>
      </c>
      <c r="P99" s="3481">
        <f t="shared" si="63"/>
        <v>203163.2310117656</v>
      </c>
      <c r="Q99" s="1447">
        <f t="shared" si="63"/>
        <v>0</v>
      </c>
      <c r="R99" s="1152">
        <f t="shared" si="63"/>
        <v>189516.37373497995</v>
      </c>
      <c r="S99" s="1152">
        <f t="shared" si="63"/>
        <v>127395.4009306306</v>
      </c>
      <c r="T99" s="1152">
        <f t="shared" si="63"/>
        <v>0</v>
      </c>
      <c r="U99" s="1152">
        <f t="shared" si="63"/>
        <v>0</v>
      </c>
      <c r="V99" s="3439"/>
      <c r="W99" s="844"/>
      <c r="X99" s="844"/>
      <c r="Y99" s="844"/>
      <c r="Z99" s="1447">
        <f t="shared" ref="Z99:AE99" si="64">Z97-Z98</f>
        <v>0</v>
      </c>
      <c r="AA99" s="1150">
        <f t="shared" si="64"/>
        <v>0</v>
      </c>
      <c r="AB99" s="1150">
        <f t="shared" si="64"/>
        <v>0</v>
      </c>
      <c r="AC99" s="1150">
        <f t="shared" si="64"/>
        <v>0</v>
      </c>
      <c r="AD99" s="1151">
        <f t="shared" si="64"/>
        <v>0</v>
      </c>
      <c r="AE99" s="1447">
        <f t="shared" si="64"/>
        <v>0</v>
      </c>
      <c r="AF99" s="1150">
        <f>AF97-AF98</f>
        <v>0</v>
      </c>
      <c r="AG99" s="1151">
        <f t="shared" ref="AG99" si="65">AG97-AG98</f>
        <v>0</v>
      </c>
      <c r="AH99"/>
    </row>
    <row r="100" spans="1:34" ht="12.75" customHeight="1">
      <c r="E100" s="3446" t="s">
        <v>1767</v>
      </c>
      <c r="F100" s="1442" t="s">
        <v>598</v>
      </c>
      <c r="G100" s="528"/>
      <c r="H100" s="3757"/>
      <c r="I100" s="528"/>
      <c r="J100" s="528"/>
      <c r="K100" s="528"/>
      <c r="L100" s="538"/>
      <c r="M100" s="539"/>
      <c r="N100" s="539"/>
      <c r="O100" s="539"/>
      <c r="P100" s="539"/>
      <c r="Q100" s="538"/>
      <c r="R100" s="539"/>
      <c r="S100" s="539"/>
      <c r="T100" s="539"/>
      <c r="U100" s="540"/>
      <c r="V100" s="3437"/>
      <c r="W100" s="1172"/>
      <c r="X100" s="1172"/>
      <c r="Y100" s="1172"/>
      <c r="Z100" s="527"/>
      <c r="AA100" s="528"/>
      <c r="AB100" s="528"/>
      <c r="AC100" s="528"/>
      <c r="AD100" s="529"/>
      <c r="AE100" s="538"/>
      <c r="AF100" s="539"/>
      <c r="AG100" s="540"/>
      <c r="AH100"/>
    </row>
    <row r="101" spans="1:34" ht="12.75" customHeight="1">
      <c r="E101" s="3446"/>
      <c r="F101" s="1421" t="s">
        <v>559</v>
      </c>
      <c r="G101" s="468">
        <v>0</v>
      </c>
      <c r="H101" s="468">
        <v>0</v>
      </c>
      <c r="I101" s="468">
        <v>0</v>
      </c>
      <c r="J101" s="468">
        <v>0</v>
      </c>
      <c r="K101" s="468">
        <v>0</v>
      </c>
      <c r="L101" s="459">
        <v>97307</v>
      </c>
      <c r="M101" s="458">
        <v>551269.68000000005</v>
      </c>
      <c r="N101" s="458">
        <v>0</v>
      </c>
      <c r="O101" s="458">
        <v>0</v>
      </c>
      <c r="P101" s="625">
        <v>0</v>
      </c>
      <c r="Q101" s="459">
        <v>0</v>
      </c>
      <c r="R101" s="458">
        <v>0</v>
      </c>
      <c r="S101" s="458">
        <v>0</v>
      </c>
      <c r="T101" s="458">
        <v>0</v>
      </c>
      <c r="U101" s="458">
        <v>0</v>
      </c>
      <c r="V101" s="3438"/>
      <c r="W101" s="1172"/>
      <c r="X101" s="1172"/>
      <c r="Y101" s="1172"/>
      <c r="Z101" s="470"/>
      <c r="AA101" s="468"/>
      <c r="AB101" s="468"/>
      <c r="AC101" s="468"/>
      <c r="AD101" s="530"/>
      <c r="AE101" s="462"/>
      <c r="AF101" s="463"/>
      <c r="AG101" s="464"/>
      <c r="AH101"/>
    </row>
    <row r="102" spans="1:34" ht="12.75" customHeight="1">
      <c r="E102" s="3446"/>
      <c r="F102" s="1421" t="s">
        <v>558</v>
      </c>
      <c r="G102" s="468">
        <v>0</v>
      </c>
      <c r="H102" s="468">
        <v>0</v>
      </c>
      <c r="I102" s="468">
        <v>0</v>
      </c>
      <c r="J102" s="468">
        <v>0</v>
      </c>
      <c r="K102" s="468">
        <v>1169722.56</v>
      </c>
      <c r="L102" s="459">
        <v>2858403.4399999995</v>
      </c>
      <c r="M102" s="458">
        <v>173.20999999978812</v>
      </c>
      <c r="N102" s="458">
        <v>0</v>
      </c>
      <c r="O102" s="458">
        <v>0</v>
      </c>
      <c r="P102" s="625">
        <v>0</v>
      </c>
      <c r="Q102" s="459">
        <v>0</v>
      </c>
      <c r="R102" s="458">
        <v>0</v>
      </c>
      <c r="S102" s="458">
        <v>0</v>
      </c>
      <c r="T102" s="458">
        <v>0</v>
      </c>
      <c r="U102" s="458">
        <v>0</v>
      </c>
      <c r="V102" s="3438"/>
      <c r="W102" s="1172"/>
      <c r="X102" s="1172"/>
      <c r="Y102" s="1172"/>
      <c r="Z102" s="470"/>
      <c r="AA102" s="468"/>
      <c r="AB102" s="468"/>
      <c r="AC102" s="468"/>
      <c r="AD102" s="530"/>
      <c r="AE102" s="462"/>
      <c r="AF102" s="463"/>
      <c r="AG102" s="464"/>
      <c r="AH102"/>
    </row>
    <row r="103" spans="1:34" ht="12.75" customHeight="1">
      <c r="E103" s="3446"/>
      <c r="F103" s="1421" t="s">
        <v>578</v>
      </c>
      <c r="G103" s="468">
        <v>0</v>
      </c>
      <c r="H103" s="468">
        <v>0</v>
      </c>
      <c r="I103" s="468">
        <v>0</v>
      </c>
      <c r="J103" s="468">
        <v>0</v>
      </c>
      <c r="K103" s="468">
        <v>0</v>
      </c>
      <c r="L103" s="459">
        <v>0</v>
      </c>
      <c r="M103" s="458">
        <v>0</v>
      </c>
      <c r="N103" s="458">
        <v>0</v>
      </c>
      <c r="O103" s="458">
        <v>0</v>
      </c>
      <c r="P103" s="625">
        <v>0</v>
      </c>
      <c r="Q103" s="459">
        <v>0</v>
      </c>
      <c r="R103" s="458">
        <v>0</v>
      </c>
      <c r="S103" s="458">
        <v>0</v>
      </c>
      <c r="T103" s="458">
        <v>0</v>
      </c>
      <c r="U103" s="458">
        <v>0</v>
      </c>
      <c r="V103" s="3438"/>
      <c r="W103" s="1172"/>
      <c r="X103" s="1172"/>
      <c r="Y103" s="1172"/>
      <c r="Z103" s="470"/>
      <c r="AA103" s="468"/>
      <c r="AB103" s="468"/>
      <c r="AC103" s="468"/>
      <c r="AD103" s="530"/>
      <c r="AE103" s="462"/>
      <c r="AF103" s="463"/>
      <c r="AG103" s="464"/>
      <c r="AH103"/>
    </row>
    <row r="104" spans="1:34" ht="13.5" customHeight="1">
      <c r="E104" s="3446"/>
      <c r="F104" s="1441" t="s">
        <v>566</v>
      </c>
      <c r="G104" s="354">
        <f>SUM(G101:G103)</f>
        <v>0</v>
      </c>
      <c r="H104" s="354">
        <v>0</v>
      </c>
      <c r="I104" s="354">
        <f t="shared" ref="I104:K104" si="66">SUM(I101:I103)</f>
        <v>0</v>
      </c>
      <c r="J104" s="354">
        <f t="shared" si="66"/>
        <v>0</v>
      </c>
      <c r="K104" s="626">
        <f t="shared" si="66"/>
        <v>1169722.56</v>
      </c>
      <c r="L104" s="353">
        <f>SUM(L101:L103)</f>
        <v>2955710.4399999995</v>
      </c>
      <c r="M104" s="354">
        <f t="shared" ref="M104" si="67">SUM(M101:M103)</f>
        <v>551442.8899999999</v>
      </c>
      <c r="N104" s="354">
        <f>SUM(N101:N103)</f>
        <v>0</v>
      </c>
      <c r="O104" s="354">
        <f t="shared" ref="O104:P104" si="68">SUM(O101:O103)</f>
        <v>0</v>
      </c>
      <c r="P104" s="626">
        <f t="shared" si="68"/>
        <v>0</v>
      </c>
      <c r="Q104" s="353">
        <f>SUM(Q101:Q103)</f>
        <v>0</v>
      </c>
      <c r="R104" s="354">
        <f t="shared" ref="R104:U104" si="69">SUM(R101:R103)</f>
        <v>0</v>
      </c>
      <c r="S104" s="354">
        <f t="shared" si="69"/>
        <v>0</v>
      </c>
      <c r="T104" s="354">
        <f t="shared" si="69"/>
        <v>0</v>
      </c>
      <c r="U104" s="354">
        <f t="shared" si="69"/>
        <v>0</v>
      </c>
      <c r="V104" s="3438"/>
      <c r="W104" s="1172"/>
      <c r="X104" s="1172"/>
      <c r="Y104" s="1172"/>
      <c r="Z104" s="462"/>
      <c r="AA104" s="463"/>
      <c r="AB104" s="463"/>
      <c r="AC104" s="463"/>
      <c r="AD104" s="464"/>
      <c r="AE104" s="353"/>
      <c r="AF104" s="354">
        <f t="shared" ref="AF104:AG104" si="70">SUM(AF101:AF103)</f>
        <v>0</v>
      </c>
      <c r="AG104" s="450">
        <f t="shared" si="70"/>
        <v>0</v>
      </c>
      <c r="AH104"/>
    </row>
    <row r="105" spans="1:34" s="78" customFormat="1" ht="12.75" customHeight="1">
      <c r="A105" s="262"/>
      <c r="B105" s="262"/>
      <c r="C105" s="262"/>
      <c r="D105" s="262"/>
      <c r="E105" s="3446"/>
      <c r="F105" s="1421" t="s">
        <v>583</v>
      </c>
      <c r="G105" s="413">
        <f>G104*'[5]IT capitalised overheads'!C$7</f>
        <v>0</v>
      </c>
      <c r="H105" s="458">
        <v>0</v>
      </c>
      <c r="I105" s="458">
        <f>I104*'[5]IT capitalised overheads'!E$7</f>
        <v>0</v>
      </c>
      <c r="J105" s="458">
        <f>J104*'[5]IT capitalised overheads'!F$7</f>
        <v>0</v>
      </c>
      <c r="K105" s="625">
        <f>K104*'[5]IT capitalised overheads'!G$7</f>
        <v>55070.387151025148</v>
      </c>
      <c r="L105" s="511">
        <f>L104*'[5]IT capitalised overheads'!H$7</f>
        <v>144755.45684408481</v>
      </c>
      <c r="M105" s="512">
        <f>M104*'[5]IT capitalised overheads'!I$7</f>
        <v>41091.274979009424</v>
      </c>
      <c r="N105" s="512">
        <f>N104*'[5]IT capitalised overheads'!J$7</f>
        <v>0</v>
      </c>
      <c r="O105" s="512">
        <f>O104*'[5]IT capitalised overheads'!K$7</f>
        <v>0</v>
      </c>
      <c r="P105" s="3480">
        <f>P104*'[5]IT capitalised overheads'!L$7</f>
        <v>0</v>
      </c>
      <c r="Q105" s="564">
        <f>Q104*'[5]IT capitalised overheads'!M$7</f>
        <v>0</v>
      </c>
      <c r="R105" s="477">
        <f>R104*'[5]IT capitalised overheads'!N$7</f>
        <v>0</v>
      </c>
      <c r="S105" s="477">
        <f>S104*'[5]IT capitalised overheads'!O$7</f>
        <v>0</v>
      </c>
      <c r="T105" s="477">
        <f>T104*'[5]IT capitalised overheads'!P$7</f>
        <v>0</v>
      </c>
      <c r="U105" s="519">
        <f>U104*'[5]IT capitalised overheads'!Q$7</f>
        <v>0</v>
      </c>
      <c r="V105" s="3438"/>
      <c r="W105" s="1172"/>
      <c r="X105" s="1172"/>
      <c r="Y105" s="1172"/>
      <c r="Z105" s="462"/>
      <c r="AA105" s="463"/>
      <c r="AB105" s="463"/>
      <c r="AC105" s="463"/>
      <c r="AD105" s="464"/>
      <c r="AE105" s="511"/>
      <c r="AF105" s="512"/>
      <c r="AG105" s="547"/>
      <c r="AH105"/>
    </row>
    <row r="106" spans="1:34" ht="12.75" customHeight="1">
      <c r="E106" s="3446"/>
      <c r="F106" s="1421" t="s">
        <v>581</v>
      </c>
      <c r="G106" s="413"/>
      <c r="H106" s="458"/>
      <c r="I106" s="458"/>
      <c r="J106" s="458"/>
      <c r="K106" s="625"/>
      <c r="L106" s="462"/>
      <c r="M106" s="463"/>
      <c r="N106" s="463"/>
      <c r="O106" s="463"/>
      <c r="P106" s="1190"/>
      <c r="Q106" s="459"/>
      <c r="R106" s="458"/>
      <c r="S106" s="458"/>
      <c r="T106" s="458"/>
      <c r="U106" s="460"/>
      <c r="V106" s="3438"/>
      <c r="W106" s="1172"/>
      <c r="X106" s="1172"/>
      <c r="Y106" s="1172"/>
      <c r="Z106" s="462"/>
      <c r="AA106" s="463"/>
      <c r="AB106" s="463"/>
      <c r="AC106" s="463"/>
      <c r="AD106" s="464"/>
      <c r="AE106" s="462"/>
      <c r="AF106" s="463"/>
      <c r="AG106" s="464"/>
      <c r="AH106"/>
    </row>
    <row r="107" spans="1:34" ht="12.75" customHeight="1">
      <c r="E107" s="3446"/>
      <c r="F107" s="1441" t="s">
        <v>584</v>
      </c>
      <c r="G107" s="1147">
        <f>SUM(G104:G106)</f>
        <v>0</v>
      </c>
      <c r="H107" s="1147">
        <v>0</v>
      </c>
      <c r="I107" s="1147">
        <f t="shared" ref="I107:U107" si="71">SUM(I104:I106)</f>
        <v>0</v>
      </c>
      <c r="J107" s="1147">
        <f t="shared" si="71"/>
        <v>0</v>
      </c>
      <c r="K107" s="1147">
        <f t="shared" si="71"/>
        <v>1224792.9471510253</v>
      </c>
      <c r="L107" s="1147">
        <f t="shared" si="71"/>
        <v>3100465.8968440844</v>
      </c>
      <c r="M107" s="1147">
        <f t="shared" si="71"/>
        <v>592534.16497900931</v>
      </c>
      <c r="N107" s="1147">
        <f t="shared" si="71"/>
        <v>0</v>
      </c>
      <c r="O107" s="1147">
        <f t="shared" si="71"/>
        <v>0</v>
      </c>
      <c r="P107" s="1147">
        <f t="shared" si="71"/>
        <v>0</v>
      </c>
      <c r="Q107" s="1147">
        <f t="shared" si="71"/>
        <v>0</v>
      </c>
      <c r="R107" s="1147">
        <f t="shared" si="71"/>
        <v>0</v>
      </c>
      <c r="S107" s="1147">
        <f t="shared" si="71"/>
        <v>0</v>
      </c>
      <c r="T107" s="1147">
        <f t="shared" si="71"/>
        <v>0</v>
      </c>
      <c r="U107" s="1147">
        <f t="shared" si="71"/>
        <v>0</v>
      </c>
      <c r="V107" s="3438"/>
      <c r="W107" s="844"/>
      <c r="X107" s="844"/>
      <c r="Y107" s="844"/>
      <c r="Z107" s="1144">
        <f t="shared" ref="Z107:AG107" si="72">SUM(Z105:Z106)</f>
        <v>0</v>
      </c>
      <c r="AA107" s="1145">
        <f t="shared" si="72"/>
        <v>0</v>
      </c>
      <c r="AB107" s="1145">
        <f t="shared" si="72"/>
        <v>0</v>
      </c>
      <c r="AC107" s="1145">
        <f t="shared" si="72"/>
        <v>0</v>
      </c>
      <c r="AD107" s="1146">
        <f t="shared" si="72"/>
        <v>0</v>
      </c>
      <c r="AE107" s="1144">
        <f t="shared" si="72"/>
        <v>0</v>
      </c>
      <c r="AF107" s="1145">
        <f t="shared" si="72"/>
        <v>0</v>
      </c>
      <c r="AG107" s="1146">
        <f t="shared" si="72"/>
        <v>0</v>
      </c>
      <c r="AH107"/>
    </row>
    <row r="108" spans="1:34" ht="12.75" customHeight="1">
      <c r="E108" s="3446"/>
      <c r="F108" s="1421" t="s">
        <v>35</v>
      </c>
      <c r="G108" s="413"/>
      <c r="H108" s="458"/>
      <c r="I108" s="458"/>
      <c r="J108" s="458"/>
      <c r="K108" s="625"/>
      <c r="L108" s="459"/>
      <c r="M108" s="458"/>
      <c r="N108" s="458"/>
      <c r="O108" s="458"/>
      <c r="P108" s="625"/>
      <c r="Q108" s="459"/>
      <c r="R108" s="458"/>
      <c r="S108" s="458"/>
      <c r="T108" s="458"/>
      <c r="U108" s="460"/>
      <c r="V108" s="3438"/>
      <c r="W108" s="1172"/>
      <c r="X108" s="1172"/>
      <c r="Y108" s="1172"/>
      <c r="Z108" s="462"/>
      <c r="AA108" s="463"/>
      <c r="AB108" s="463"/>
      <c r="AC108" s="463"/>
      <c r="AD108" s="464"/>
      <c r="AE108" s="462"/>
      <c r="AF108" s="463"/>
      <c r="AG108" s="464"/>
      <c r="AH108"/>
    </row>
    <row r="109" spans="1:34" ht="12.75" customHeight="1" thickBot="1">
      <c r="E109" s="3447"/>
      <c r="F109" s="1443" t="s">
        <v>585</v>
      </c>
      <c r="G109" s="1152">
        <f>G107-G108</f>
        <v>0</v>
      </c>
      <c r="H109" s="1152">
        <v>0</v>
      </c>
      <c r="I109" s="1152">
        <f t="shared" ref="I109:U109" si="73">I107-I108</f>
        <v>0</v>
      </c>
      <c r="J109" s="1152">
        <f t="shared" si="73"/>
        <v>0</v>
      </c>
      <c r="K109" s="3481">
        <f t="shared" si="73"/>
        <v>1224792.9471510253</v>
      </c>
      <c r="L109" s="1447">
        <f t="shared" si="73"/>
        <v>3100465.8968440844</v>
      </c>
      <c r="M109" s="1152">
        <f t="shared" si="73"/>
        <v>592534.16497900931</v>
      </c>
      <c r="N109" s="1152">
        <f t="shared" si="73"/>
        <v>0</v>
      </c>
      <c r="O109" s="1152">
        <f t="shared" si="73"/>
        <v>0</v>
      </c>
      <c r="P109" s="3481">
        <f t="shared" si="73"/>
        <v>0</v>
      </c>
      <c r="Q109" s="1447">
        <f t="shared" si="73"/>
        <v>0</v>
      </c>
      <c r="R109" s="1152">
        <f t="shared" si="73"/>
        <v>0</v>
      </c>
      <c r="S109" s="1152">
        <f t="shared" si="73"/>
        <v>0</v>
      </c>
      <c r="T109" s="1152">
        <f t="shared" si="73"/>
        <v>0</v>
      </c>
      <c r="U109" s="1152">
        <f t="shared" si="73"/>
        <v>0</v>
      </c>
      <c r="V109" s="3439"/>
      <c r="W109" s="844"/>
      <c r="X109" s="844"/>
      <c r="Y109" s="844"/>
      <c r="Z109" s="1447">
        <f t="shared" ref="Z109:AE109" si="74">Z107-Z108</f>
        <v>0</v>
      </c>
      <c r="AA109" s="1150">
        <f t="shared" si="74"/>
        <v>0</v>
      </c>
      <c r="AB109" s="1150">
        <f t="shared" si="74"/>
        <v>0</v>
      </c>
      <c r="AC109" s="1150">
        <f t="shared" si="74"/>
        <v>0</v>
      </c>
      <c r="AD109" s="1151">
        <f t="shared" si="74"/>
        <v>0</v>
      </c>
      <c r="AE109" s="1447">
        <f t="shared" si="74"/>
        <v>0</v>
      </c>
      <c r="AF109" s="1150">
        <f>AF107-AF108</f>
        <v>0</v>
      </c>
      <c r="AG109" s="1151">
        <f t="shared" ref="AG109" si="75">AG107-AG108</f>
        <v>0</v>
      </c>
      <c r="AH109"/>
    </row>
    <row r="110" spans="1:34" ht="12.75" customHeight="1">
      <c r="E110" s="3446" t="s">
        <v>1768</v>
      </c>
      <c r="F110" s="1442" t="s">
        <v>598</v>
      </c>
      <c r="G110" s="528"/>
      <c r="H110" s="3757"/>
      <c r="I110" s="528"/>
      <c r="J110" s="528"/>
      <c r="K110" s="528"/>
      <c r="L110" s="538"/>
      <c r="M110" s="539"/>
      <c r="N110" s="539"/>
      <c r="O110" s="539"/>
      <c r="P110" s="539"/>
      <c r="Q110" s="538"/>
      <c r="R110" s="539"/>
      <c r="S110" s="539"/>
      <c r="T110" s="539"/>
      <c r="U110" s="540"/>
      <c r="V110" s="3437"/>
      <c r="W110" s="1172"/>
      <c r="X110" s="1172"/>
      <c r="Y110" s="1172"/>
      <c r="Z110" s="527"/>
      <c r="AA110" s="528"/>
      <c r="AB110" s="528"/>
      <c r="AC110" s="528"/>
      <c r="AD110" s="529"/>
      <c r="AE110" s="538"/>
      <c r="AF110" s="539"/>
      <c r="AG110" s="540"/>
      <c r="AH110"/>
    </row>
    <row r="111" spans="1:34" ht="12.75" customHeight="1">
      <c r="E111" s="3446"/>
      <c r="F111" s="1421" t="s">
        <v>559</v>
      </c>
      <c r="G111" s="468">
        <v>0</v>
      </c>
      <c r="H111" s="468">
        <v>0</v>
      </c>
      <c r="I111" s="468">
        <v>0</v>
      </c>
      <c r="J111" s="468">
        <v>0</v>
      </c>
      <c r="K111" s="468">
        <v>0</v>
      </c>
      <c r="L111" s="459">
        <v>0</v>
      </c>
      <c r="M111" s="458">
        <v>118131.44534883721</v>
      </c>
      <c r="N111" s="458">
        <v>5265.8620930232582</v>
      </c>
      <c r="O111" s="458">
        <v>144759</v>
      </c>
      <c r="P111" s="625">
        <v>1118049</v>
      </c>
      <c r="Q111" s="459">
        <v>1037780.1487179999</v>
      </c>
      <c r="R111" s="458">
        <v>2317755.9936126</v>
      </c>
      <c r="S111" s="458">
        <v>758254.67883939994</v>
      </c>
      <c r="T111" s="458">
        <v>806035.95985779993</v>
      </c>
      <c r="U111" s="460">
        <v>777415.08448600001</v>
      </c>
      <c r="V111" s="3438"/>
      <c r="W111" s="1172"/>
      <c r="X111" s="1172"/>
      <c r="Y111" s="1172"/>
      <c r="Z111" s="470"/>
      <c r="AA111" s="468"/>
      <c r="AB111" s="468"/>
      <c r="AC111" s="468"/>
      <c r="AD111" s="530"/>
      <c r="AE111" s="462"/>
      <c r="AF111" s="463"/>
      <c r="AG111" s="464"/>
      <c r="AH111"/>
    </row>
    <row r="112" spans="1:34" ht="12.75" customHeight="1">
      <c r="E112" s="3446"/>
      <c r="F112" s="1421" t="s">
        <v>558</v>
      </c>
      <c r="G112" s="468">
        <v>157187</v>
      </c>
      <c r="H112" s="468">
        <v>-16260.996938995278</v>
      </c>
      <c r="I112" s="468">
        <v>528377.83178208407</v>
      </c>
      <c r="J112" s="468">
        <v>150010.99486636848</v>
      </c>
      <c r="K112" s="468">
        <v>-1519929.0776344768</v>
      </c>
      <c r="L112" s="459">
        <v>-1887.875025694193</v>
      </c>
      <c r="M112" s="458">
        <v>-4733.6930232557879</v>
      </c>
      <c r="N112" s="458">
        <v>52871.107906976715</v>
      </c>
      <c r="O112" s="458">
        <v>90185</v>
      </c>
      <c r="P112" s="625">
        <v>120083</v>
      </c>
      <c r="Q112" s="459">
        <v>0</v>
      </c>
      <c r="R112" s="458">
        <v>0</v>
      </c>
      <c r="S112" s="458">
        <v>0</v>
      </c>
      <c r="T112" s="458">
        <v>0</v>
      </c>
      <c r="U112" s="458">
        <v>0</v>
      </c>
      <c r="V112" s="3438"/>
      <c r="W112" s="1172"/>
      <c r="X112" s="1172"/>
      <c r="Y112" s="1172"/>
      <c r="Z112" s="470"/>
      <c r="AA112" s="468"/>
      <c r="AB112" s="468"/>
      <c r="AC112" s="468"/>
      <c r="AD112" s="530"/>
      <c r="AE112" s="462"/>
      <c r="AF112" s="463"/>
      <c r="AG112" s="464"/>
      <c r="AH112"/>
    </row>
    <row r="113" spans="1:34" ht="12.75" customHeight="1">
      <c r="E113" s="3446"/>
      <c r="F113" s="1421" t="s">
        <v>578</v>
      </c>
      <c r="G113" s="468">
        <v>0</v>
      </c>
      <c r="H113" s="468">
        <v>0</v>
      </c>
      <c r="I113" s="468">
        <v>8.5653020069657373</v>
      </c>
      <c r="J113" s="468">
        <v>341.43797336450734</v>
      </c>
      <c r="K113" s="468">
        <v>1724958.9882441978</v>
      </c>
      <c r="L113" s="459">
        <v>1030.526414039974</v>
      </c>
      <c r="M113" s="458">
        <v>0</v>
      </c>
      <c r="N113" s="458">
        <v>38485.910000000003</v>
      </c>
      <c r="O113" s="458">
        <v>180160</v>
      </c>
      <c r="P113" s="625">
        <v>936469</v>
      </c>
      <c r="Q113" s="459">
        <v>267766.74666</v>
      </c>
      <c r="R113" s="458">
        <v>596488.52507999993</v>
      </c>
      <c r="S113" s="458">
        <v>855547.41006000002</v>
      </c>
      <c r="T113" s="458">
        <v>896234.8937598</v>
      </c>
      <c r="U113" s="460">
        <v>922361.5887504</v>
      </c>
      <c r="V113" s="3438"/>
      <c r="W113" s="1172"/>
      <c r="X113" s="1172"/>
      <c r="Y113" s="1172"/>
      <c r="Z113" s="470"/>
      <c r="AA113" s="468"/>
      <c r="AB113" s="468"/>
      <c r="AC113" s="468"/>
      <c r="AD113" s="530"/>
      <c r="AE113" s="462"/>
      <c r="AF113" s="463"/>
      <c r="AG113" s="464"/>
      <c r="AH113"/>
    </row>
    <row r="114" spans="1:34" ht="13.5" customHeight="1">
      <c r="E114" s="3446"/>
      <c r="F114" s="1441" t="s">
        <v>566</v>
      </c>
      <c r="G114" s="354">
        <f t="shared" ref="G114:P114" si="76">SUM(G111:G113)</f>
        <v>157187</v>
      </c>
      <c r="H114" s="354">
        <v>-16260.996938995278</v>
      </c>
      <c r="I114" s="354">
        <f t="shared" si="76"/>
        <v>528386.39708409109</v>
      </c>
      <c r="J114" s="354">
        <f t="shared" si="76"/>
        <v>150352.432839733</v>
      </c>
      <c r="K114" s="626">
        <f t="shared" si="76"/>
        <v>205029.91060972097</v>
      </c>
      <c r="L114" s="353">
        <f t="shared" si="76"/>
        <v>-857.34861165421898</v>
      </c>
      <c r="M114" s="354">
        <f t="shared" si="76"/>
        <v>113397.75232558142</v>
      </c>
      <c r="N114" s="354">
        <f t="shared" si="76"/>
        <v>96622.879999999976</v>
      </c>
      <c r="O114" s="354">
        <f t="shared" si="76"/>
        <v>415104</v>
      </c>
      <c r="P114" s="626">
        <f t="shared" si="76"/>
        <v>2174601</v>
      </c>
      <c r="Q114" s="353">
        <f>SUM(Q111:Q113)</f>
        <v>1305546.8953779999</v>
      </c>
      <c r="R114" s="354">
        <f>SUM(R111:R113)</f>
        <v>2914244.5186926001</v>
      </c>
      <c r="S114" s="354">
        <f t="shared" ref="S114:U114" si="77">SUM(S111:S113)</f>
        <v>1613802.0888994001</v>
      </c>
      <c r="T114" s="354">
        <f t="shared" si="77"/>
        <v>1702270.8536175999</v>
      </c>
      <c r="U114" s="354">
        <f t="shared" si="77"/>
        <v>1699776.6732363999</v>
      </c>
      <c r="V114" s="3438"/>
      <c r="W114" s="1172"/>
      <c r="X114" s="1172"/>
      <c r="Y114" s="1172"/>
      <c r="Z114" s="462"/>
      <c r="AA114" s="463"/>
      <c r="AB114" s="463"/>
      <c r="AC114" s="463"/>
      <c r="AD114" s="464"/>
      <c r="AE114" s="353"/>
      <c r="AF114" s="354">
        <f t="shared" ref="AF114:AG114" si="78">SUM(AF111:AF113)</f>
        <v>0</v>
      </c>
      <c r="AG114" s="450">
        <f t="shared" si="78"/>
        <v>0</v>
      </c>
      <c r="AH114"/>
    </row>
    <row r="115" spans="1:34" ht="12.75" customHeight="1">
      <c r="E115" s="3446"/>
      <c r="F115" s="1421" t="s">
        <v>583</v>
      </c>
      <c r="G115" s="413">
        <f>G114*'[5]IT capitalised overheads'!C$7</f>
        <v>15341.867562615607</v>
      </c>
      <c r="H115" s="458">
        <v>-684.069713458406</v>
      </c>
      <c r="I115" s="458">
        <f>I114*'[5]IT capitalised overheads'!E$7</f>
        <v>18757.556008936441</v>
      </c>
      <c r="J115" s="458">
        <f>J114*'[5]IT capitalised overheads'!F$7</f>
        <v>6911.7655170634589</v>
      </c>
      <c r="K115" s="625">
        <f>K114*'[5]IT capitalised overheads'!G$7</f>
        <v>9652.7817287010457</v>
      </c>
      <c r="L115" s="511">
        <f>L114*'[5]IT capitalised overheads'!H$7</f>
        <v>-41.988514258740565</v>
      </c>
      <c r="M115" s="512">
        <f>M114*'[5]IT capitalised overheads'!I$7</f>
        <v>8449.9379850777877</v>
      </c>
      <c r="N115" s="512">
        <f>N114*'[5]IT capitalised overheads'!J$7</f>
        <v>6450.2414409575122</v>
      </c>
      <c r="O115" s="512">
        <f>O114*'[5]IT capitalised overheads'!K$7</f>
        <v>39841.881882324597</v>
      </c>
      <c r="P115" s="3480">
        <f>P114*'[5]IT capitalised overheads'!L$7</f>
        <v>127634.35863166486</v>
      </c>
      <c r="Q115" s="472">
        <f>Q114*'[5]IT capitalised overheads'!M$7</f>
        <v>72654.047993004235</v>
      </c>
      <c r="R115" s="467">
        <f>R114*'[5]IT capitalised overheads'!N$7</f>
        <v>149770.28207019132</v>
      </c>
      <c r="S115" s="467">
        <f>S114*'[5]IT capitalised overheads'!O$7</f>
        <v>97053.744542252884</v>
      </c>
      <c r="T115" s="467">
        <f>T114*'[5]IT capitalised overheads'!P$7</f>
        <v>120325.85874842729</v>
      </c>
      <c r="U115" s="480">
        <f>U114*'[5]IT capitalised overheads'!Q$7</f>
        <v>191059.83932482681</v>
      </c>
      <c r="V115" s="3438"/>
      <c r="W115" s="1172"/>
      <c r="X115" s="1172"/>
      <c r="Y115" s="1172"/>
      <c r="Z115" s="462"/>
      <c r="AA115" s="463"/>
      <c r="AB115" s="463"/>
      <c r="AC115" s="463"/>
      <c r="AD115" s="464"/>
      <c r="AE115" s="511"/>
      <c r="AF115" s="512"/>
      <c r="AG115" s="547"/>
      <c r="AH115"/>
    </row>
    <row r="116" spans="1:34" ht="12.75" customHeight="1">
      <c r="E116" s="3446"/>
      <c r="F116" s="1421" t="s">
        <v>581</v>
      </c>
      <c r="G116" s="413"/>
      <c r="H116" s="458"/>
      <c r="I116" s="458"/>
      <c r="J116" s="458"/>
      <c r="K116" s="625"/>
      <c r="L116" s="462"/>
      <c r="M116" s="463"/>
      <c r="N116" s="463"/>
      <c r="O116" s="463"/>
      <c r="P116" s="1190"/>
      <c r="Q116" s="459"/>
      <c r="R116" s="458"/>
      <c r="S116" s="458"/>
      <c r="T116" s="458"/>
      <c r="U116" s="460"/>
      <c r="V116" s="3438"/>
      <c r="W116" s="1172"/>
      <c r="X116" s="1172"/>
      <c r="Y116" s="1172"/>
      <c r="Z116" s="462"/>
      <c r="AA116" s="463"/>
      <c r="AB116" s="463"/>
      <c r="AC116" s="463"/>
      <c r="AD116" s="464"/>
      <c r="AE116" s="462"/>
      <c r="AF116" s="463"/>
      <c r="AG116" s="464"/>
      <c r="AH116"/>
    </row>
    <row r="117" spans="1:34" ht="12.75" customHeight="1">
      <c r="E117" s="3446"/>
      <c r="F117" s="1441" t="s">
        <v>584</v>
      </c>
      <c r="G117" s="1147">
        <f>SUM(G114:G116)</f>
        <v>172528.8675626156</v>
      </c>
      <c r="H117" s="1147">
        <v>-16945.066652453683</v>
      </c>
      <c r="I117" s="1147">
        <f t="shared" ref="I117:U117" si="79">SUM(I114:I116)</f>
        <v>547143.95309302758</v>
      </c>
      <c r="J117" s="1147">
        <f t="shared" si="79"/>
        <v>157264.19835679646</v>
      </c>
      <c r="K117" s="1147">
        <f t="shared" si="79"/>
        <v>214682.69233842203</v>
      </c>
      <c r="L117" s="1147">
        <f t="shared" si="79"/>
        <v>-899.33712591295955</v>
      </c>
      <c r="M117" s="1147">
        <f t="shared" si="79"/>
        <v>121847.69031065921</v>
      </c>
      <c r="N117" s="1147">
        <f t="shared" si="79"/>
        <v>103073.12144095749</v>
      </c>
      <c r="O117" s="1147">
        <f t="shared" si="79"/>
        <v>454945.88188232458</v>
      </c>
      <c r="P117" s="1147">
        <f t="shared" si="79"/>
        <v>2302235.3586316649</v>
      </c>
      <c r="Q117" s="1147">
        <f t="shared" si="79"/>
        <v>1378200.9433710042</v>
      </c>
      <c r="R117" s="1147">
        <f t="shared" si="79"/>
        <v>3064014.8007627912</v>
      </c>
      <c r="S117" s="1147">
        <f t="shared" si="79"/>
        <v>1710855.8334416531</v>
      </c>
      <c r="T117" s="1147">
        <f t="shared" si="79"/>
        <v>1822596.7123660273</v>
      </c>
      <c r="U117" s="1147">
        <f t="shared" si="79"/>
        <v>1890836.5125612267</v>
      </c>
      <c r="V117" s="3438"/>
      <c r="W117" s="844"/>
      <c r="X117" s="844"/>
      <c r="Y117" s="844"/>
      <c r="Z117" s="1144">
        <f t="shared" ref="Z117:AG117" si="80">SUM(Z115:Z116)</f>
        <v>0</v>
      </c>
      <c r="AA117" s="1145">
        <f t="shared" si="80"/>
        <v>0</v>
      </c>
      <c r="AB117" s="1145">
        <f t="shared" si="80"/>
        <v>0</v>
      </c>
      <c r="AC117" s="1145">
        <f t="shared" si="80"/>
        <v>0</v>
      </c>
      <c r="AD117" s="1146">
        <f t="shared" si="80"/>
        <v>0</v>
      </c>
      <c r="AE117" s="1144">
        <f t="shared" si="80"/>
        <v>0</v>
      </c>
      <c r="AF117" s="1145">
        <f t="shared" si="80"/>
        <v>0</v>
      </c>
      <c r="AG117" s="1146">
        <f t="shared" si="80"/>
        <v>0</v>
      </c>
      <c r="AH117"/>
    </row>
    <row r="118" spans="1:34" s="69" customFormat="1" ht="12.75" customHeight="1">
      <c r="A118" s="361"/>
      <c r="B118" s="314"/>
      <c r="C118" s="314"/>
      <c r="D118" s="314"/>
      <c r="E118" s="3446"/>
      <c r="F118" s="1421" t="s">
        <v>35</v>
      </c>
      <c r="G118" s="413"/>
      <c r="H118" s="458"/>
      <c r="I118" s="458"/>
      <c r="J118" s="458"/>
      <c r="K118" s="625"/>
      <c r="L118" s="459"/>
      <c r="M118" s="458"/>
      <c r="N118" s="458"/>
      <c r="O118" s="458"/>
      <c r="P118" s="625"/>
      <c r="Q118" s="459"/>
      <c r="R118" s="458"/>
      <c r="S118" s="458"/>
      <c r="T118" s="458"/>
      <c r="U118" s="460"/>
      <c r="V118" s="3438"/>
      <c r="W118" s="1172"/>
      <c r="X118" s="1172"/>
      <c r="Y118" s="1172"/>
      <c r="Z118" s="462"/>
      <c r="AA118" s="463"/>
      <c r="AB118" s="463"/>
      <c r="AC118" s="463"/>
      <c r="AD118" s="464"/>
      <c r="AE118" s="462"/>
      <c r="AF118" s="463"/>
      <c r="AG118" s="464"/>
      <c r="AH118"/>
    </row>
    <row r="119" spans="1:34" s="69" customFormat="1" ht="12.75" customHeight="1" thickBot="1">
      <c r="A119" s="361"/>
      <c r="B119" s="314"/>
      <c r="C119" s="314"/>
      <c r="D119" s="314"/>
      <c r="E119" s="3447"/>
      <c r="F119" s="1443" t="s">
        <v>585</v>
      </c>
      <c r="G119" s="1152">
        <f>G117-G118</f>
        <v>172528.8675626156</v>
      </c>
      <c r="H119" s="1152">
        <v>-16945.066652453683</v>
      </c>
      <c r="I119" s="1152">
        <f t="shared" ref="I119:U119" si="81">I117-I118</f>
        <v>547143.95309302758</v>
      </c>
      <c r="J119" s="1152">
        <f t="shared" si="81"/>
        <v>157264.19835679646</v>
      </c>
      <c r="K119" s="3481">
        <f t="shared" si="81"/>
        <v>214682.69233842203</v>
      </c>
      <c r="L119" s="1447">
        <f t="shared" si="81"/>
        <v>-899.33712591295955</v>
      </c>
      <c r="M119" s="1152">
        <f t="shared" si="81"/>
        <v>121847.69031065921</v>
      </c>
      <c r="N119" s="1152">
        <f t="shared" si="81"/>
        <v>103073.12144095749</v>
      </c>
      <c r="O119" s="1152">
        <f t="shared" si="81"/>
        <v>454945.88188232458</v>
      </c>
      <c r="P119" s="3481">
        <f t="shared" si="81"/>
        <v>2302235.3586316649</v>
      </c>
      <c r="Q119" s="1447">
        <f t="shared" si="81"/>
        <v>1378200.9433710042</v>
      </c>
      <c r="R119" s="1152">
        <f t="shared" si="81"/>
        <v>3064014.8007627912</v>
      </c>
      <c r="S119" s="1152">
        <f t="shared" si="81"/>
        <v>1710855.8334416531</v>
      </c>
      <c r="T119" s="1152">
        <f t="shared" si="81"/>
        <v>1822596.7123660273</v>
      </c>
      <c r="U119" s="1152">
        <f t="shared" si="81"/>
        <v>1890836.5125612267</v>
      </c>
      <c r="V119" s="3439"/>
      <c r="W119" s="844"/>
      <c r="X119" s="844"/>
      <c r="Y119" s="844"/>
      <c r="Z119" s="1447">
        <f t="shared" ref="Z119:AE119" si="82">Z117-Z118</f>
        <v>0</v>
      </c>
      <c r="AA119" s="1150">
        <f t="shared" si="82"/>
        <v>0</v>
      </c>
      <c r="AB119" s="1150">
        <f t="shared" si="82"/>
        <v>0</v>
      </c>
      <c r="AC119" s="1150">
        <f t="shared" si="82"/>
        <v>0</v>
      </c>
      <c r="AD119" s="1151">
        <f t="shared" si="82"/>
        <v>0</v>
      </c>
      <c r="AE119" s="1447">
        <f t="shared" si="82"/>
        <v>0</v>
      </c>
      <c r="AF119" s="1150">
        <f>AF117-AF118</f>
        <v>0</v>
      </c>
      <c r="AG119" s="1151">
        <f t="shared" ref="AG119" si="83">AG117-AG118</f>
        <v>0</v>
      </c>
      <c r="AH119"/>
    </row>
    <row r="120" spans="1:34" s="69" customFormat="1" ht="13.5" customHeight="1">
      <c r="A120" s="361"/>
      <c r="B120" s="314"/>
      <c r="C120" s="314"/>
      <c r="D120" s="314"/>
      <c r="E120" s="3446" t="s">
        <v>1769</v>
      </c>
      <c r="F120" s="1442" t="s">
        <v>598</v>
      </c>
      <c r="G120" s="528"/>
      <c r="H120" s="3757"/>
      <c r="I120" s="528"/>
      <c r="J120" s="528"/>
      <c r="K120" s="528"/>
      <c r="L120" s="538"/>
      <c r="M120" s="539"/>
      <c r="N120" s="539"/>
      <c r="O120" s="539"/>
      <c r="P120" s="539"/>
      <c r="Q120" s="538"/>
      <c r="R120" s="539"/>
      <c r="S120" s="539"/>
      <c r="T120" s="539"/>
      <c r="U120" s="540"/>
      <c r="V120" s="3437"/>
      <c r="W120" s="1172"/>
      <c r="X120" s="1172"/>
      <c r="Y120" s="1172"/>
      <c r="Z120" s="527"/>
      <c r="AA120" s="528"/>
      <c r="AB120" s="528"/>
      <c r="AC120" s="528"/>
      <c r="AD120" s="529"/>
      <c r="AE120" s="538"/>
      <c r="AF120" s="539"/>
      <c r="AG120" s="540"/>
      <c r="AH120"/>
    </row>
    <row r="121" spans="1:34" s="69" customFormat="1" ht="32.25" customHeight="1">
      <c r="A121" s="361"/>
      <c r="B121" s="314"/>
      <c r="C121" s="314"/>
      <c r="D121" s="314"/>
      <c r="E121" s="3446"/>
      <c r="F121" s="1421" t="s">
        <v>559</v>
      </c>
      <c r="G121" s="468">
        <v>823</v>
      </c>
      <c r="H121" s="468">
        <v>0</v>
      </c>
      <c r="I121" s="468">
        <v>0</v>
      </c>
      <c r="J121" s="468">
        <v>30783.153739201443</v>
      </c>
      <c r="K121" s="468">
        <v>177540.79777819006</v>
      </c>
      <c r="L121" s="459">
        <v>231815.50116088061</v>
      </c>
      <c r="M121" s="458">
        <v>119465.11559999999</v>
      </c>
      <c r="N121" s="458">
        <v>0</v>
      </c>
      <c r="O121" s="458">
        <v>9672</v>
      </c>
      <c r="P121" s="625">
        <v>893</v>
      </c>
      <c r="Q121" s="459">
        <v>0</v>
      </c>
      <c r="R121" s="458">
        <v>0</v>
      </c>
      <c r="S121" s="458">
        <v>0</v>
      </c>
      <c r="T121" s="458">
        <v>0</v>
      </c>
      <c r="U121" s="458">
        <v>0</v>
      </c>
      <c r="V121" s="3438"/>
      <c r="W121" s="1172"/>
      <c r="X121" s="1172"/>
      <c r="Y121" s="1172"/>
      <c r="Z121" s="470"/>
      <c r="AA121" s="468"/>
      <c r="AB121" s="468"/>
      <c r="AC121" s="468"/>
      <c r="AD121" s="530"/>
      <c r="AE121" s="462"/>
      <c r="AF121" s="463"/>
      <c r="AG121" s="464"/>
      <c r="AH121"/>
    </row>
    <row r="122" spans="1:34" s="65" customFormat="1" ht="18">
      <c r="A122" s="242"/>
      <c r="B122" s="242"/>
      <c r="C122" s="242"/>
      <c r="D122" s="242"/>
      <c r="E122" s="3446"/>
      <c r="F122" s="1421" t="s">
        <v>558</v>
      </c>
      <c r="G122" s="468">
        <v>94066</v>
      </c>
      <c r="H122" s="468">
        <v>1594033.5312080132</v>
      </c>
      <c r="I122" s="468">
        <v>852358.45242575801</v>
      </c>
      <c r="J122" s="468">
        <v>623389.18790575746</v>
      </c>
      <c r="K122" s="468">
        <v>886759.26179995295</v>
      </c>
      <c r="L122" s="459">
        <v>71833.793267895308</v>
      </c>
      <c r="M122" s="458">
        <v>227214.97879999998</v>
      </c>
      <c r="N122" s="458">
        <v>0</v>
      </c>
      <c r="O122" s="458">
        <v>6026</v>
      </c>
      <c r="P122" s="625">
        <v>152</v>
      </c>
      <c r="Q122" s="459">
        <v>0</v>
      </c>
      <c r="R122" s="458">
        <v>0</v>
      </c>
      <c r="S122" s="458">
        <v>0</v>
      </c>
      <c r="T122" s="458">
        <v>0</v>
      </c>
      <c r="U122" s="458">
        <v>0</v>
      </c>
      <c r="V122" s="3438"/>
      <c r="W122" s="1172"/>
      <c r="X122" s="1172"/>
      <c r="Y122" s="1172"/>
      <c r="Z122" s="470"/>
      <c r="AA122" s="468"/>
      <c r="AB122" s="468"/>
      <c r="AC122" s="468"/>
      <c r="AD122" s="530"/>
      <c r="AE122" s="462"/>
      <c r="AF122" s="463"/>
      <c r="AG122" s="464"/>
      <c r="AH122"/>
    </row>
    <row r="123" spans="1:34" ht="18">
      <c r="E123" s="3446"/>
      <c r="F123" s="1421" t="s">
        <v>578</v>
      </c>
      <c r="G123" s="468">
        <v>65</v>
      </c>
      <c r="H123" s="468">
        <v>27</v>
      </c>
      <c r="I123" s="468">
        <v>3803</v>
      </c>
      <c r="J123" s="468">
        <v>29901</v>
      </c>
      <c r="K123" s="468">
        <v>13327</v>
      </c>
      <c r="L123" s="459">
        <v>2408</v>
      </c>
      <c r="M123" s="458">
        <v>203</v>
      </c>
      <c r="N123" s="458">
        <v>0</v>
      </c>
      <c r="O123" s="458">
        <v>12038</v>
      </c>
      <c r="P123" s="625">
        <v>1132</v>
      </c>
      <c r="Q123" s="459">
        <v>0</v>
      </c>
      <c r="R123" s="458">
        <v>0</v>
      </c>
      <c r="S123" s="458">
        <v>0</v>
      </c>
      <c r="T123" s="458">
        <v>0</v>
      </c>
      <c r="U123" s="458">
        <v>0</v>
      </c>
      <c r="V123" s="3438"/>
      <c r="W123" s="1172"/>
      <c r="X123" s="1172"/>
      <c r="Y123" s="1172"/>
      <c r="Z123" s="470"/>
      <c r="AA123" s="468"/>
      <c r="AB123" s="468"/>
      <c r="AC123" s="468"/>
      <c r="AD123" s="530"/>
      <c r="AE123" s="462"/>
      <c r="AF123" s="463"/>
      <c r="AG123" s="464"/>
    </row>
    <row r="124" spans="1:34" ht="18">
      <c r="E124" s="3446"/>
      <c r="F124" s="1441" t="s">
        <v>566</v>
      </c>
      <c r="G124" s="354">
        <f>SUM(G121:G123)</f>
        <v>94954</v>
      </c>
      <c r="H124" s="354">
        <v>1594060.5312080132</v>
      </c>
      <c r="I124" s="354">
        <f t="shared" ref="I124:U124" si="84">SUM(I121:I123)</f>
        <v>856161.45242575801</v>
      </c>
      <c r="J124" s="354">
        <f t="shared" si="84"/>
        <v>684073.34164495894</v>
      </c>
      <c r="K124" s="626">
        <f t="shared" si="84"/>
        <v>1077627.0595781431</v>
      </c>
      <c r="L124" s="353">
        <f t="shared" si="84"/>
        <v>306057.2944287759</v>
      </c>
      <c r="M124" s="354">
        <f t="shared" si="84"/>
        <v>346883.09439999994</v>
      </c>
      <c r="N124" s="354">
        <f t="shared" si="84"/>
        <v>0</v>
      </c>
      <c r="O124" s="354">
        <f t="shared" si="84"/>
        <v>27736</v>
      </c>
      <c r="P124" s="626">
        <f t="shared" si="84"/>
        <v>2177</v>
      </c>
      <c r="Q124" s="353">
        <f t="shared" si="84"/>
        <v>0</v>
      </c>
      <c r="R124" s="354">
        <f t="shared" si="84"/>
        <v>0</v>
      </c>
      <c r="S124" s="354">
        <f t="shared" si="84"/>
        <v>0</v>
      </c>
      <c r="T124" s="354">
        <f t="shared" si="84"/>
        <v>0</v>
      </c>
      <c r="U124" s="354">
        <f t="shared" si="84"/>
        <v>0</v>
      </c>
      <c r="V124" s="3438"/>
      <c r="W124" s="1172"/>
      <c r="X124" s="1172"/>
      <c r="Y124" s="1172"/>
      <c r="Z124" s="462"/>
      <c r="AA124" s="463"/>
      <c r="AB124" s="463"/>
      <c r="AC124" s="463"/>
      <c r="AD124" s="464"/>
      <c r="AE124" s="353"/>
      <c r="AF124" s="354">
        <f t="shared" ref="AF124:AG124" si="85">SUM(AF121:AF123)</f>
        <v>0</v>
      </c>
      <c r="AG124" s="450">
        <f t="shared" si="85"/>
        <v>0</v>
      </c>
    </row>
    <row r="125" spans="1:34" ht="18">
      <c r="E125" s="3446"/>
      <c r="F125" s="1421" t="s">
        <v>583</v>
      </c>
      <c r="G125" s="413">
        <f>G124*'[5]IT capitalised overheads'!C$7</f>
        <v>9267.7619175924374</v>
      </c>
      <c r="H125" s="458">
        <v>67059.143723459536</v>
      </c>
      <c r="I125" s="458">
        <f>I124*'[5]IT capitalised overheads'!E$7</f>
        <v>30393.470545784527</v>
      </c>
      <c r="J125" s="458">
        <f>J124*'[5]IT capitalised overheads'!F$7</f>
        <v>31447.143518880985</v>
      </c>
      <c r="K125" s="625">
        <f>K124*'[5]IT capitalised overheads'!G$7</f>
        <v>50734.542877748019</v>
      </c>
      <c r="L125" s="511">
        <f>L124*'[5]IT capitalised overheads'!H$7</f>
        <v>14989.108160237116</v>
      </c>
      <c r="M125" s="512">
        <f>M124*'[5]IT capitalised overheads'!I$7</f>
        <v>25848.31335400858</v>
      </c>
      <c r="N125" s="512">
        <f>N124*'[5]IT capitalised overheads'!J$7</f>
        <v>0</v>
      </c>
      <c r="O125" s="512">
        <f>O124*'[5]IT capitalised overheads'!K$7</f>
        <v>2662.1146408807308</v>
      </c>
      <c r="P125" s="3480">
        <f>P124*'[5]IT capitalised overheads'!L$7</f>
        <v>127.77516369261966</v>
      </c>
      <c r="Q125" s="564">
        <f>Q124*'[5]IT capitalised overheads'!M$7</f>
        <v>0</v>
      </c>
      <c r="R125" s="477">
        <f>R124*'[5]IT capitalised overheads'!N$7</f>
        <v>0</v>
      </c>
      <c r="S125" s="477">
        <f>S124*'[5]IT capitalised overheads'!O$7</f>
        <v>0</v>
      </c>
      <c r="T125" s="477">
        <f>T124*'[5]IT capitalised overheads'!P$7</f>
        <v>0</v>
      </c>
      <c r="U125" s="519">
        <f>U124*'[5]IT capitalised overheads'!Q$7</f>
        <v>0</v>
      </c>
      <c r="V125" s="3438"/>
      <c r="W125" s="1172"/>
      <c r="X125" s="1172"/>
      <c r="Y125" s="1172"/>
      <c r="Z125" s="462"/>
      <c r="AA125" s="463"/>
      <c r="AB125" s="463"/>
      <c r="AC125" s="463"/>
      <c r="AD125" s="464"/>
      <c r="AE125" s="511"/>
      <c r="AF125" s="512"/>
      <c r="AG125" s="547"/>
    </row>
    <row r="126" spans="1:34" ht="18">
      <c r="E126" s="3446"/>
      <c r="F126" s="1421" t="s">
        <v>581</v>
      </c>
      <c r="G126" s="413"/>
      <c r="H126" s="458"/>
      <c r="I126" s="458"/>
      <c r="J126" s="458"/>
      <c r="K126" s="625"/>
      <c r="L126" s="462"/>
      <c r="M126" s="463"/>
      <c r="N126" s="463"/>
      <c r="O126" s="463"/>
      <c r="P126" s="1190"/>
      <c r="Q126" s="459"/>
      <c r="R126" s="458"/>
      <c r="S126" s="458"/>
      <c r="T126" s="458"/>
      <c r="U126" s="460"/>
      <c r="V126" s="3438"/>
      <c r="W126" s="1172"/>
      <c r="X126" s="1172"/>
      <c r="Y126" s="1172"/>
      <c r="Z126" s="462"/>
      <c r="AA126" s="463"/>
      <c r="AB126" s="463"/>
      <c r="AC126" s="463"/>
      <c r="AD126" s="464"/>
      <c r="AE126" s="462"/>
      <c r="AF126" s="463"/>
      <c r="AG126" s="464"/>
    </row>
    <row r="127" spans="1:34" ht="18">
      <c r="E127" s="3446"/>
      <c r="F127" s="1441" t="s">
        <v>584</v>
      </c>
      <c r="G127" s="1147">
        <f>SUM(G124:G126)</f>
        <v>104221.76191759243</v>
      </c>
      <c r="H127" s="1147">
        <v>1661119.6749314726</v>
      </c>
      <c r="I127" s="1147">
        <f t="shared" ref="I127:U127" si="86">SUM(I124:I126)</f>
        <v>886554.92297154258</v>
      </c>
      <c r="J127" s="1147">
        <f t="shared" si="86"/>
        <v>715520.48516383988</v>
      </c>
      <c r="K127" s="1147">
        <f t="shared" si="86"/>
        <v>1128361.602455891</v>
      </c>
      <c r="L127" s="1147">
        <f t="shared" si="86"/>
        <v>321046.40258901304</v>
      </c>
      <c r="M127" s="1147">
        <f t="shared" si="86"/>
        <v>372731.40775400854</v>
      </c>
      <c r="N127" s="1147">
        <f t="shared" si="86"/>
        <v>0</v>
      </c>
      <c r="O127" s="1147">
        <f t="shared" si="86"/>
        <v>30398.114640880733</v>
      </c>
      <c r="P127" s="1147">
        <f t="shared" si="86"/>
        <v>2304.7751636926196</v>
      </c>
      <c r="Q127" s="1147">
        <f t="shared" si="86"/>
        <v>0</v>
      </c>
      <c r="R127" s="1147">
        <f t="shared" si="86"/>
        <v>0</v>
      </c>
      <c r="S127" s="1147">
        <f t="shared" si="86"/>
        <v>0</v>
      </c>
      <c r="T127" s="1147">
        <f t="shared" si="86"/>
        <v>0</v>
      </c>
      <c r="U127" s="1147">
        <f t="shared" si="86"/>
        <v>0</v>
      </c>
      <c r="V127" s="3438"/>
      <c r="W127" s="844"/>
      <c r="X127" s="844"/>
      <c r="Y127" s="844"/>
      <c r="Z127" s="1144">
        <f t="shared" ref="Z127:AG127" si="87">SUM(Z125:Z126)</f>
        <v>0</v>
      </c>
      <c r="AA127" s="1145">
        <f t="shared" si="87"/>
        <v>0</v>
      </c>
      <c r="AB127" s="1145">
        <f t="shared" si="87"/>
        <v>0</v>
      </c>
      <c r="AC127" s="1145">
        <f t="shared" si="87"/>
        <v>0</v>
      </c>
      <c r="AD127" s="1146">
        <f t="shared" si="87"/>
        <v>0</v>
      </c>
      <c r="AE127" s="1144">
        <f t="shared" si="87"/>
        <v>0</v>
      </c>
      <c r="AF127" s="1145">
        <f t="shared" si="87"/>
        <v>0</v>
      </c>
      <c r="AG127" s="1146">
        <f t="shared" si="87"/>
        <v>0</v>
      </c>
    </row>
    <row r="128" spans="1:34" ht="18">
      <c r="E128" s="3446"/>
      <c r="F128" s="1421" t="s">
        <v>35</v>
      </c>
      <c r="G128" s="413"/>
      <c r="H128" s="458"/>
      <c r="I128" s="458"/>
      <c r="J128" s="458"/>
      <c r="K128" s="625"/>
      <c r="L128" s="459"/>
      <c r="M128" s="458"/>
      <c r="N128" s="458"/>
      <c r="O128" s="458"/>
      <c r="P128" s="625"/>
      <c r="Q128" s="459"/>
      <c r="R128" s="458"/>
      <c r="S128" s="458"/>
      <c r="T128" s="458"/>
      <c r="U128" s="460"/>
      <c r="V128" s="3438"/>
      <c r="W128" s="1172"/>
      <c r="X128" s="1172"/>
      <c r="Y128" s="1172"/>
      <c r="Z128" s="462"/>
      <c r="AA128" s="463"/>
      <c r="AB128" s="463"/>
      <c r="AC128" s="463"/>
      <c r="AD128" s="464"/>
      <c r="AE128" s="462"/>
      <c r="AF128" s="463"/>
      <c r="AG128" s="464"/>
    </row>
    <row r="129" spans="5:33" ht="18.75" thickBot="1">
      <c r="E129" s="3447"/>
      <c r="F129" s="1443" t="s">
        <v>585</v>
      </c>
      <c r="G129" s="1152">
        <f>G127-G128</f>
        <v>104221.76191759243</v>
      </c>
      <c r="H129" s="1152">
        <v>1661119.6749314726</v>
      </c>
      <c r="I129" s="1152">
        <f t="shared" ref="I129:U129" si="88">I127-I128</f>
        <v>886554.92297154258</v>
      </c>
      <c r="J129" s="1152">
        <f t="shared" si="88"/>
        <v>715520.48516383988</v>
      </c>
      <c r="K129" s="3481">
        <f t="shared" si="88"/>
        <v>1128361.602455891</v>
      </c>
      <c r="L129" s="1447">
        <f t="shared" si="88"/>
        <v>321046.40258901304</v>
      </c>
      <c r="M129" s="1152">
        <f t="shared" si="88"/>
        <v>372731.40775400854</v>
      </c>
      <c r="N129" s="1152">
        <f t="shared" si="88"/>
        <v>0</v>
      </c>
      <c r="O129" s="1152">
        <f t="shared" si="88"/>
        <v>30398.114640880733</v>
      </c>
      <c r="P129" s="3481">
        <f t="shared" si="88"/>
        <v>2304.7751636926196</v>
      </c>
      <c r="Q129" s="1447">
        <f t="shared" si="88"/>
        <v>0</v>
      </c>
      <c r="R129" s="1152">
        <f t="shared" si="88"/>
        <v>0</v>
      </c>
      <c r="S129" s="1152">
        <f t="shared" si="88"/>
        <v>0</v>
      </c>
      <c r="T129" s="1152">
        <f t="shared" si="88"/>
        <v>0</v>
      </c>
      <c r="U129" s="1152">
        <f t="shared" si="88"/>
        <v>0</v>
      </c>
      <c r="V129" s="3439"/>
      <c r="W129" s="844"/>
      <c r="X129" s="844"/>
      <c r="Y129" s="844"/>
      <c r="Z129" s="1447">
        <f t="shared" ref="Z129:AE129" si="89">Z127-Z128</f>
        <v>0</v>
      </c>
      <c r="AA129" s="1150">
        <f t="shared" si="89"/>
        <v>0</v>
      </c>
      <c r="AB129" s="1150">
        <f t="shared" si="89"/>
        <v>0</v>
      </c>
      <c r="AC129" s="1150">
        <f t="shared" si="89"/>
        <v>0</v>
      </c>
      <c r="AD129" s="1151">
        <f t="shared" si="89"/>
        <v>0</v>
      </c>
      <c r="AE129" s="1447">
        <f t="shared" si="89"/>
        <v>0</v>
      </c>
      <c r="AF129" s="1150">
        <f>AF127-AF128</f>
        <v>0</v>
      </c>
      <c r="AG129" s="1151">
        <f t="shared" ref="AG129" si="90">AG127-AG128</f>
        <v>0</v>
      </c>
    </row>
    <row r="130" spans="5:33" ht="18">
      <c r="E130" s="3446" t="s">
        <v>1770</v>
      </c>
      <c r="F130" s="1442" t="s">
        <v>598</v>
      </c>
      <c r="G130" s="528"/>
      <c r="H130" s="3757"/>
      <c r="I130" s="528"/>
      <c r="J130" s="528"/>
      <c r="K130" s="528"/>
      <c r="L130" s="538"/>
      <c r="M130" s="539"/>
      <c r="N130" s="539"/>
      <c r="O130" s="539"/>
      <c r="P130" s="539"/>
      <c r="Q130" s="538"/>
      <c r="R130" s="539"/>
      <c r="S130" s="539"/>
      <c r="T130" s="539"/>
      <c r="U130" s="540"/>
      <c r="V130" s="3437"/>
      <c r="W130" s="1172"/>
      <c r="X130" s="1172"/>
      <c r="Y130" s="1172"/>
      <c r="Z130" s="527"/>
      <c r="AA130" s="528"/>
      <c r="AB130" s="528"/>
      <c r="AC130" s="528"/>
      <c r="AD130" s="529"/>
      <c r="AE130" s="538"/>
      <c r="AF130" s="539"/>
      <c r="AG130" s="540"/>
    </row>
    <row r="131" spans="5:33" ht="18">
      <c r="E131" s="3446"/>
      <c r="F131" s="1421" t="s">
        <v>559</v>
      </c>
      <c r="G131" s="468">
        <v>0</v>
      </c>
      <c r="H131" s="468">
        <v>0</v>
      </c>
      <c r="I131" s="468">
        <v>0</v>
      </c>
      <c r="J131" s="468">
        <v>0</v>
      </c>
      <c r="K131" s="468">
        <v>0</v>
      </c>
      <c r="L131" s="459">
        <v>0</v>
      </c>
      <c r="M131" s="458">
        <v>19579.085999999999</v>
      </c>
      <c r="N131" s="458">
        <v>14513.234999999999</v>
      </c>
      <c r="O131" s="458">
        <v>57233</v>
      </c>
      <c r="P131" s="458">
        <v>6918</v>
      </c>
      <c r="Q131" s="459">
        <v>0</v>
      </c>
      <c r="R131" s="458">
        <v>0</v>
      </c>
      <c r="S131" s="458">
        <v>0</v>
      </c>
      <c r="T131" s="458">
        <v>0</v>
      </c>
      <c r="U131" s="458">
        <v>0</v>
      </c>
      <c r="V131" s="3438"/>
      <c r="W131" s="1172"/>
      <c r="X131" s="1172"/>
      <c r="Y131" s="1172"/>
      <c r="Z131" s="470"/>
      <c r="AA131" s="468"/>
      <c r="AB131" s="468"/>
      <c r="AC131" s="468"/>
      <c r="AD131" s="530"/>
      <c r="AE131" s="462"/>
      <c r="AF131" s="463"/>
      <c r="AG131" s="464"/>
    </row>
    <row r="132" spans="5:33" ht="18">
      <c r="E132" s="3446"/>
      <c r="F132" s="1421" t="s">
        <v>558</v>
      </c>
      <c r="G132" s="468">
        <v>0</v>
      </c>
      <c r="H132" s="468">
        <v>761617.32900000003</v>
      </c>
      <c r="I132" s="468">
        <v>318236.29200000002</v>
      </c>
      <c r="J132" s="468">
        <v>350189.69999999995</v>
      </c>
      <c r="K132" s="468">
        <v>48356.07</v>
      </c>
      <c r="L132" s="459">
        <v>104730.231</v>
      </c>
      <c r="M132" s="458">
        <v>40751.636999999995</v>
      </c>
      <c r="N132" s="458">
        <v>557749.13800000004</v>
      </c>
      <c r="O132" s="458">
        <v>35657</v>
      </c>
      <c r="P132" s="458">
        <v>1181</v>
      </c>
      <c r="Q132" s="459">
        <v>0</v>
      </c>
      <c r="R132" s="458">
        <v>0</v>
      </c>
      <c r="S132" s="458">
        <v>0</v>
      </c>
      <c r="T132" s="458">
        <v>0</v>
      </c>
      <c r="U132" s="458">
        <v>0</v>
      </c>
      <c r="V132" s="3438"/>
      <c r="W132" s="1172"/>
      <c r="X132" s="1172"/>
      <c r="Y132" s="1172"/>
      <c r="Z132" s="470"/>
      <c r="AA132" s="468"/>
      <c r="AB132" s="468"/>
      <c r="AC132" s="468"/>
      <c r="AD132" s="530"/>
      <c r="AE132" s="462"/>
      <c r="AF132" s="463"/>
      <c r="AG132" s="464"/>
    </row>
    <row r="133" spans="5:33" ht="18">
      <c r="E133" s="3446"/>
      <c r="F133" s="1421" t="s">
        <v>578</v>
      </c>
      <c r="G133" s="468">
        <v>0</v>
      </c>
      <c r="H133" s="468">
        <v>0</v>
      </c>
      <c r="I133" s="468">
        <v>0</v>
      </c>
      <c r="J133" s="468">
        <v>0</v>
      </c>
      <c r="K133" s="468">
        <v>0</v>
      </c>
      <c r="L133" s="459">
        <v>0</v>
      </c>
      <c r="M133" s="458">
        <v>0</v>
      </c>
      <c r="N133" s="458">
        <v>-9422</v>
      </c>
      <c r="O133" s="458">
        <v>71230</v>
      </c>
      <c r="P133" s="458">
        <v>8773</v>
      </c>
      <c r="Q133" s="459">
        <v>0</v>
      </c>
      <c r="R133" s="458">
        <v>0</v>
      </c>
      <c r="S133" s="458">
        <v>0</v>
      </c>
      <c r="T133" s="458">
        <v>0</v>
      </c>
      <c r="U133" s="458">
        <v>0</v>
      </c>
      <c r="V133" s="3438"/>
      <c r="W133" s="1172"/>
      <c r="X133" s="1172"/>
      <c r="Y133" s="1172"/>
      <c r="Z133" s="470"/>
      <c r="AA133" s="468"/>
      <c r="AB133" s="468"/>
      <c r="AC133" s="468"/>
      <c r="AD133" s="530"/>
      <c r="AE133" s="462"/>
      <c r="AF133" s="463"/>
      <c r="AG133" s="464"/>
    </row>
    <row r="134" spans="5:33" ht="18">
      <c r="E134" s="3446"/>
      <c r="F134" s="1441" t="s">
        <v>566</v>
      </c>
      <c r="G134" s="354">
        <f>SUM(G131:G133)</f>
        <v>0</v>
      </c>
      <c r="H134" s="354">
        <v>761617.32900000003</v>
      </c>
      <c r="I134" s="354">
        <f t="shared" ref="I134:U134" si="91">SUM(I131:I133)</f>
        <v>318236.29200000002</v>
      </c>
      <c r="J134" s="354">
        <f t="shared" si="91"/>
        <v>350189.69999999995</v>
      </c>
      <c r="K134" s="626">
        <f t="shared" si="91"/>
        <v>48356.07</v>
      </c>
      <c r="L134" s="353">
        <f t="shared" si="91"/>
        <v>104730.231</v>
      </c>
      <c r="M134" s="354">
        <f t="shared" si="91"/>
        <v>60330.722999999998</v>
      </c>
      <c r="N134" s="354">
        <f t="shared" si="91"/>
        <v>562840.37300000002</v>
      </c>
      <c r="O134" s="354">
        <f t="shared" si="91"/>
        <v>164120</v>
      </c>
      <c r="P134" s="626">
        <f t="shared" si="91"/>
        <v>16872</v>
      </c>
      <c r="Q134" s="353">
        <f t="shared" si="91"/>
        <v>0</v>
      </c>
      <c r="R134" s="354">
        <f t="shared" si="91"/>
        <v>0</v>
      </c>
      <c r="S134" s="354">
        <f t="shared" si="91"/>
        <v>0</v>
      </c>
      <c r="T134" s="354">
        <f t="shared" si="91"/>
        <v>0</v>
      </c>
      <c r="U134" s="354">
        <f t="shared" si="91"/>
        <v>0</v>
      </c>
      <c r="V134" s="3438"/>
      <c r="W134" s="1172"/>
      <c r="X134" s="1172"/>
      <c r="Y134" s="1172"/>
      <c r="Z134" s="462"/>
      <c r="AA134" s="463"/>
      <c r="AB134" s="463"/>
      <c r="AC134" s="463"/>
      <c r="AD134" s="464"/>
      <c r="AE134" s="353"/>
      <c r="AF134" s="354">
        <f t="shared" ref="AF134:AG134" si="92">SUM(AF131:AF133)</f>
        <v>0</v>
      </c>
      <c r="AG134" s="450">
        <f t="shared" si="92"/>
        <v>0</v>
      </c>
    </row>
    <row r="135" spans="5:33" ht="18">
      <c r="E135" s="3446"/>
      <c r="F135" s="1421" t="s">
        <v>583</v>
      </c>
      <c r="G135" s="413">
        <f>G134*'[5]IT capitalised overheads'!C$7</f>
        <v>0</v>
      </c>
      <c r="H135" s="458">
        <v>32039.815883894855</v>
      </c>
      <c r="I135" s="458">
        <f>I134*'[5]IT capitalised overheads'!E$7</f>
        <v>11297.291346272586</v>
      </c>
      <c r="J135" s="458">
        <f>J134*'[5]IT capitalised overheads'!F$7</f>
        <v>16098.369990932137</v>
      </c>
      <c r="K135" s="625">
        <f>K134*'[5]IT capitalised overheads'!G$7</f>
        <v>2276.5975343777864</v>
      </c>
      <c r="L135" s="511">
        <f>L134*'[5]IT capitalised overheads'!H$7</f>
        <v>5129.1466946916271</v>
      </c>
      <c r="M135" s="512">
        <f>M134*'[5]IT capitalised overheads'!I$7</f>
        <v>4495.5994055439696</v>
      </c>
      <c r="N135" s="512">
        <f>N134*'[5]IT capitalised overheads'!J$7</f>
        <v>37573.463951484213</v>
      </c>
      <c r="O135" s="512">
        <f>O134*'[5]IT capitalised overheads'!K$7</f>
        <v>15752.316659263974</v>
      </c>
      <c r="P135" s="3480">
        <f>P134*'[5]IT capitalised overheads'!L$7</f>
        <v>990.27219192553002</v>
      </c>
      <c r="Q135" s="564">
        <f>Q134*'[5]IT capitalised overheads'!M$7</f>
        <v>0</v>
      </c>
      <c r="R135" s="477">
        <f>R134*'[5]IT capitalised overheads'!N$7</f>
        <v>0</v>
      </c>
      <c r="S135" s="477">
        <f>S134*'[5]IT capitalised overheads'!O$7</f>
        <v>0</v>
      </c>
      <c r="T135" s="477">
        <f>T134*'[5]IT capitalised overheads'!P$7</f>
        <v>0</v>
      </c>
      <c r="U135" s="519">
        <f>U134*'[5]IT capitalised overheads'!Q$7</f>
        <v>0</v>
      </c>
      <c r="V135" s="3438"/>
      <c r="W135" s="1172"/>
      <c r="X135" s="1172"/>
      <c r="Y135" s="1172"/>
      <c r="Z135" s="462"/>
      <c r="AA135" s="463"/>
      <c r="AB135" s="463"/>
      <c r="AC135" s="463"/>
      <c r="AD135" s="464"/>
      <c r="AE135" s="511"/>
      <c r="AF135" s="512"/>
      <c r="AG135" s="547"/>
    </row>
    <row r="136" spans="5:33" ht="18">
      <c r="E136" s="3446"/>
      <c r="F136" s="1421" t="s">
        <v>581</v>
      </c>
      <c r="G136" s="413"/>
      <c r="H136" s="458"/>
      <c r="I136" s="458"/>
      <c r="J136" s="458"/>
      <c r="K136" s="625"/>
      <c r="L136" s="462"/>
      <c r="M136" s="463"/>
      <c r="N136" s="463"/>
      <c r="O136" s="463"/>
      <c r="P136" s="1190"/>
      <c r="Q136" s="459"/>
      <c r="R136" s="458"/>
      <c r="S136" s="458"/>
      <c r="T136" s="458"/>
      <c r="U136" s="460"/>
      <c r="V136" s="3438"/>
      <c r="W136" s="1172"/>
      <c r="X136" s="1172"/>
      <c r="Y136" s="1172"/>
      <c r="Z136" s="462"/>
      <c r="AA136" s="463"/>
      <c r="AB136" s="463"/>
      <c r="AC136" s="463"/>
      <c r="AD136" s="464"/>
      <c r="AE136" s="462"/>
      <c r="AF136" s="463"/>
      <c r="AG136" s="464"/>
    </row>
    <row r="137" spans="5:33" ht="18">
      <c r="E137" s="3446"/>
      <c r="F137" s="1441" t="s">
        <v>584</v>
      </c>
      <c r="G137" s="1147">
        <f>SUM(G134:G136)</f>
        <v>0</v>
      </c>
      <c r="H137" s="1147">
        <v>793657.14488389483</v>
      </c>
      <c r="I137" s="1147">
        <f t="shared" ref="I137:U137" si="93">SUM(I134:I136)</f>
        <v>329533.58334627259</v>
      </c>
      <c r="J137" s="1147">
        <f t="shared" si="93"/>
        <v>366288.06999093207</v>
      </c>
      <c r="K137" s="1147">
        <f t="shared" si="93"/>
        <v>50632.66753437779</v>
      </c>
      <c r="L137" s="1147">
        <f t="shared" si="93"/>
        <v>109859.37769469163</v>
      </c>
      <c r="M137" s="1147">
        <f t="shared" si="93"/>
        <v>64826.322405543964</v>
      </c>
      <c r="N137" s="1147">
        <f t="shared" si="93"/>
        <v>600413.83695148421</v>
      </c>
      <c r="O137" s="1147">
        <f t="shared" si="93"/>
        <v>179872.31665926398</v>
      </c>
      <c r="P137" s="1147">
        <f t="shared" si="93"/>
        <v>17862.272191925531</v>
      </c>
      <c r="Q137" s="1147">
        <f t="shared" si="93"/>
        <v>0</v>
      </c>
      <c r="R137" s="1147">
        <f t="shared" si="93"/>
        <v>0</v>
      </c>
      <c r="S137" s="1147">
        <f t="shared" si="93"/>
        <v>0</v>
      </c>
      <c r="T137" s="1147">
        <f t="shared" si="93"/>
        <v>0</v>
      </c>
      <c r="U137" s="1147">
        <f t="shared" si="93"/>
        <v>0</v>
      </c>
      <c r="V137" s="3438"/>
      <c r="W137" s="844"/>
      <c r="X137" s="844"/>
      <c r="Y137" s="844"/>
      <c r="Z137" s="1144">
        <f t="shared" ref="Z137:AG137" si="94">SUM(Z135:Z136)</f>
        <v>0</v>
      </c>
      <c r="AA137" s="1145">
        <f t="shared" si="94"/>
        <v>0</v>
      </c>
      <c r="AB137" s="1145">
        <f t="shared" si="94"/>
        <v>0</v>
      </c>
      <c r="AC137" s="1145">
        <f t="shared" si="94"/>
        <v>0</v>
      </c>
      <c r="AD137" s="1146">
        <f t="shared" si="94"/>
        <v>0</v>
      </c>
      <c r="AE137" s="1144">
        <f t="shared" si="94"/>
        <v>0</v>
      </c>
      <c r="AF137" s="1145">
        <f t="shared" si="94"/>
        <v>0</v>
      </c>
      <c r="AG137" s="1146">
        <f t="shared" si="94"/>
        <v>0</v>
      </c>
    </row>
    <row r="138" spans="5:33" ht="18">
      <c r="E138" s="3446"/>
      <c r="F138" s="1421" t="s">
        <v>35</v>
      </c>
      <c r="G138" s="413"/>
      <c r="H138" s="458"/>
      <c r="I138" s="458"/>
      <c r="J138" s="458"/>
      <c r="K138" s="625"/>
      <c r="L138" s="459"/>
      <c r="M138" s="458"/>
      <c r="N138" s="458"/>
      <c r="O138" s="458"/>
      <c r="P138" s="625"/>
      <c r="Q138" s="459"/>
      <c r="R138" s="458"/>
      <c r="S138" s="458"/>
      <c r="T138" s="458"/>
      <c r="U138" s="460"/>
      <c r="V138" s="3438"/>
      <c r="W138" s="1172"/>
      <c r="X138" s="1172"/>
      <c r="Y138" s="1172"/>
      <c r="Z138" s="462"/>
      <c r="AA138" s="463"/>
      <c r="AB138" s="463"/>
      <c r="AC138" s="463"/>
      <c r="AD138" s="464"/>
      <c r="AE138" s="462"/>
      <c r="AF138" s="463"/>
      <c r="AG138" s="464"/>
    </row>
    <row r="139" spans="5:33" ht="18.75" thickBot="1">
      <c r="E139" s="3447"/>
      <c r="F139" s="1443" t="s">
        <v>585</v>
      </c>
      <c r="G139" s="1152">
        <f>G137-G138</f>
        <v>0</v>
      </c>
      <c r="H139" s="1152">
        <v>793657.14488389483</v>
      </c>
      <c r="I139" s="1152">
        <f t="shared" ref="I139:U139" si="95">I137-I138</f>
        <v>329533.58334627259</v>
      </c>
      <c r="J139" s="1152">
        <f t="shared" si="95"/>
        <v>366288.06999093207</v>
      </c>
      <c r="K139" s="3481">
        <f t="shared" si="95"/>
        <v>50632.66753437779</v>
      </c>
      <c r="L139" s="1447">
        <f t="shared" si="95"/>
        <v>109859.37769469163</v>
      </c>
      <c r="M139" s="1152">
        <f t="shared" si="95"/>
        <v>64826.322405543964</v>
      </c>
      <c r="N139" s="1152">
        <f t="shared" si="95"/>
        <v>600413.83695148421</v>
      </c>
      <c r="O139" s="1152">
        <f t="shared" si="95"/>
        <v>179872.31665926398</v>
      </c>
      <c r="P139" s="3481">
        <f t="shared" si="95"/>
        <v>17862.272191925531</v>
      </c>
      <c r="Q139" s="1447">
        <f t="shared" si="95"/>
        <v>0</v>
      </c>
      <c r="R139" s="1152">
        <f t="shared" si="95"/>
        <v>0</v>
      </c>
      <c r="S139" s="1152">
        <f t="shared" si="95"/>
        <v>0</v>
      </c>
      <c r="T139" s="1152">
        <f t="shared" si="95"/>
        <v>0</v>
      </c>
      <c r="U139" s="1152">
        <f t="shared" si="95"/>
        <v>0</v>
      </c>
      <c r="V139" s="3439"/>
      <c r="W139" s="844"/>
      <c r="X139" s="844"/>
      <c r="Y139" s="844"/>
      <c r="Z139" s="1447">
        <f t="shared" ref="Z139:AE139" si="96">Z137-Z138</f>
        <v>0</v>
      </c>
      <c r="AA139" s="1150">
        <f t="shared" si="96"/>
        <v>0</v>
      </c>
      <c r="AB139" s="1150">
        <f t="shared" si="96"/>
        <v>0</v>
      </c>
      <c r="AC139" s="1150">
        <f t="shared" si="96"/>
        <v>0</v>
      </c>
      <c r="AD139" s="1151">
        <f t="shared" si="96"/>
        <v>0</v>
      </c>
      <c r="AE139" s="1447">
        <f t="shared" si="96"/>
        <v>0</v>
      </c>
      <c r="AF139" s="1150">
        <f>AF137-AF138</f>
        <v>0</v>
      </c>
      <c r="AG139" s="1151">
        <f t="shared" ref="AG139" si="97">AG137-AG138</f>
        <v>0</v>
      </c>
    </row>
    <row r="140" spans="5:33" ht="18">
      <c r="E140" s="3446" t="s">
        <v>1771</v>
      </c>
      <c r="F140" s="1442" t="s">
        <v>598</v>
      </c>
      <c r="G140" s="528"/>
      <c r="H140" s="3757"/>
      <c r="I140" s="528"/>
      <c r="J140" s="528"/>
      <c r="K140" s="528"/>
      <c r="L140" s="538"/>
      <c r="M140" s="539"/>
      <c r="N140" s="539"/>
      <c r="O140" s="539"/>
      <c r="P140" s="539"/>
      <c r="Q140" s="538"/>
      <c r="R140" s="539"/>
      <c r="S140" s="539"/>
      <c r="T140" s="539"/>
      <c r="U140" s="540"/>
      <c r="V140" s="3437"/>
      <c r="W140" s="1172"/>
      <c r="X140" s="1172"/>
      <c r="Y140" s="1172"/>
      <c r="Z140" s="527"/>
      <c r="AA140" s="528"/>
      <c r="AB140" s="528"/>
      <c r="AC140" s="528"/>
      <c r="AD140" s="529"/>
      <c r="AE140" s="538"/>
      <c r="AF140" s="539"/>
      <c r="AG140" s="540"/>
    </row>
    <row r="141" spans="5:33" ht="18">
      <c r="E141" s="3446"/>
      <c r="F141" s="1421" t="s">
        <v>559</v>
      </c>
      <c r="G141" s="468">
        <v>16245</v>
      </c>
      <c r="H141" s="468">
        <v>18150.837345920107</v>
      </c>
      <c r="I141" s="468">
        <v>479.14063450225092</v>
      </c>
      <c r="J141" s="468">
        <v>26450.325000000004</v>
      </c>
      <c r="K141" s="468">
        <v>60791.114999999998</v>
      </c>
      <c r="L141" s="459">
        <v>14351.348999999998</v>
      </c>
      <c r="M141" s="458">
        <v>89936.161567164192</v>
      </c>
      <c r="N141" s="458">
        <v>131843.71900000001</v>
      </c>
      <c r="O141" s="458">
        <v>459901</v>
      </c>
      <c r="P141" s="625">
        <v>757218</v>
      </c>
      <c r="Q141" s="459">
        <v>2649020.6749732001</v>
      </c>
      <c r="R141" s="458">
        <v>2306744.6951882001</v>
      </c>
      <c r="S141" s="458">
        <v>1543854.1166544</v>
      </c>
      <c r="T141" s="458">
        <v>502450.87548739999</v>
      </c>
      <c r="U141" s="460">
        <v>291308.03605180001</v>
      </c>
      <c r="V141" s="3438"/>
      <c r="W141" s="1172"/>
      <c r="X141" s="1172"/>
      <c r="Y141" s="1172"/>
      <c r="Z141" s="470"/>
      <c r="AA141" s="468"/>
      <c r="AB141" s="468"/>
      <c r="AC141" s="468"/>
      <c r="AD141" s="530"/>
      <c r="AE141" s="462"/>
      <c r="AF141" s="463"/>
      <c r="AG141" s="464"/>
    </row>
    <row r="142" spans="5:33" ht="18">
      <c r="E142" s="3446"/>
      <c r="F142" s="1421" t="s">
        <v>558</v>
      </c>
      <c r="G142" s="468">
        <v>223251</v>
      </c>
      <c r="H142" s="468">
        <v>923706.05153775564</v>
      </c>
      <c r="I142" s="468">
        <v>157170.58936549776</v>
      </c>
      <c r="J142" s="468">
        <v>1625250.784</v>
      </c>
      <c r="K142" s="468">
        <v>1369111.7055511477</v>
      </c>
      <c r="L142" s="459">
        <v>534539.15699999989</v>
      </c>
      <c r="M142" s="458">
        <v>197831.5634328358</v>
      </c>
      <c r="N142" s="458">
        <v>219073.19400000002</v>
      </c>
      <c r="O142" s="458">
        <v>317973</v>
      </c>
      <c r="P142" s="625">
        <v>252759</v>
      </c>
      <c r="Q142" s="459">
        <v>2530759.6201571999</v>
      </c>
      <c r="R142" s="458">
        <v>2271382.4835657999</v>
      </c>
      <c r="S142" s="458">
        <v>398427.17451819999</v>
      </c>
      <c r="T142" s="458">
        <v>30507.578735799998</v>
      </c>
      <c r="U142" s="460">
        <v>8500.5316399999992</v>
      </c>
      <c r="V142" s="3438"/>
      <c r="W142" s="1172"/>
      <c r="X142" s="1172"/>
      <c r="Y142" s="1172"/>
      <c r="Z142" s="470"/>
      <c r="AA142" s="468"/>
      <c r="AB142" s="468"/>
      <c r="AC142" s="468"/>
      <c r="AD142" s="530"/>
      <c r="AE142" s="462"/>
      <c r="AF142" s="463"/>
      <c r="AG142" s="464"/>
    </row>
    <row r="143" spans="5:33" ht="18">
      <c r="E143" s="3446"/>
      <c r="F143" s="1421" t="s">
        <v>578</v>
      </c>
      <c r="G143" s="468">
        <v>23</v>
      </c>
      <c r="H143" s="468">
        <v>19140</v>
      </c>
      <c r="I143" s="468">
        <v>0</v>
      </c>
      <c r="J143" s="468">
        <v>87</v>
      </c>
      <c r="K143" s="468">
        <v>566</v>
      </c>
      <c r="L143" s="459">
        <v>43262</v>
      </c>
      <c r="M143" s="458">
        <v>7959.2238805970146</v>
      </c>
      <c r="N143" s="458">
        <v>235877</v>
      </c>
      <c r="O143" s="458">
        <v>600194</v>
      </c>
      <c r="P143" s="625">
        <v>1993535</v>
      </c>
      <c r="Q143" s="459">
        <v>3228894.8072977997</v>
      </c>
      <c r="R143" s="458">
        <v>2791128.8309899997</v>
      </c>
      <c r="S143" s="458">
        <v>1528393.5155716001</v>
      </c>
      <c r="T143" s="458">
        <v>898634.73897279997</v>
      </c>
      <c r="U143" s="460">
        <v>753786.71647739992</v>
      </c>
      <c r="V143" s="3438"/>
      <c r="W143" s="1172"/>
      <c r="X143" s="1172"/>
      <c r="Y143" s="1172"/>
      <c r="Z143" s="470"/>
      <c r="AA143" s="468"/>
      <c r="AB143" s="468"/>
      <c r="AC143" s="468"/>
      <c r="AD143" s="530"/>
      <c r="AE143" s="462"/>
      <c r="AF143" s="463"/>
      <c r="AG143" s="464"/>
    </row>
    <row r="144" spans="5:33" ht="18">
      <c r="E144" s="3446"/>
      <c r="F144" s="1441" t="s">
        <v>566</v>
      </c>
      <c r="G144" s="354">
        <f>SUM(G141:G143)</f>
        <v>239519</v>
      </c>
      <c r="H144" s="354">
        <v>960996.8888836758</v>
      </c>
      <c r="I144" s="354">
        <f t="shared" ref="I144:P144" si="98">SUM(I141:I143)</f>
        <v>157649.73000000001</v>
      </c>
      <c r="J144" s="354">
        <f t="shared" si="98"/>
        <v>1651788.1089999999</v>
      </c>
      <c r="K144" s="626">
        <f t="shared" si="98"/>
        <v>1430468.8205511477</v>
      </c>
      <c r="L144" s="353">
        <f t="shared" si="98"/>
        <v>592152.50599999994</v>
      </c>
      <c r="M144" s="354">
        <f t="shared" si="98"/>
        <v>295726.94888059702</v>
      </c>
      <c r="N144" s="354">
        <f t="shared" si="98"/>
        <v>586793.91300000006</v>
      </c>
      <c r="O144" s="354">
        <f t="shared" si="98"/>
        <v>1378068</v>
      </c>
      <c r="P144" s="626">
        <f t="shared" si="98"/>
        <v>3003512</v>
      </c>
      <c r="Q144" s="353">
        <f>SUM(Q141:Q143)</f>
        <v>8408675.1024281997</v>
      </c>
      <c r="R144" s="354">
        <f t="shared" ref="R144:U144" si="99">SUM(R141:R143)</f>
        <v>7369256.0097439997</v>
      </c>
      <c r="S144" s="354">
        <f t="shared" si="99"/>
        <v>3470674.8067442002</v>
      </c>
      <c r="T144" s="354">
        <f t="shared" si="99"/>
        <v>1431593.1931960001</v>
      </c>
      <c r="U144" s="354">
        <f t="shared" si="99"/>
        <v>1053595.2841691999</v>
      </c>
      <c r="V144" s="3438"/>
      <c r="W144" s="1172"/>
      <c r="X144" s="1172"/>
      <c r="Y144" s="1172"/>
      <c r="Z144" s="462"/>
      <c r="AA144" s="463"/>
      <c r="AB144" s="463"/>
      <c r="AC144" s="463"/>
      <c r="AD144" s="464"/>
      <c r="AE144" s="353"/>
      <c r="AF144" s="354">
        <f t="shared" ref="AF144:AG144" si="100">SUM(AF141:AF143)</f>
        <v>0</v>
      </c>
      <c r="AG144" s="450">
        <f t="shared" si="100"/>
        <v>0</v>
      </c>
    </row>
    <row r="145" spans="5:33" ht="18">
      <c r="E145" s="3446"/>
      <c r="F145" s="1421" t="s">
        <v>583</v>
      </c>
      <c r="G145" s="413">
        <f>G144*'[5]IT capitalised overheads'!C$7</f>
        <v>23377.688846597543</v>
      </c>
      <c r="H145" s="458">
        <v>40427.340886867787</v>
      </c>
      <c r="I145" s="458">
        <f>I144*'[5]IT capitalised overheads'!E$7</f>
        <v>5596.5173528077985</v>
      </c>
      <c r="J145" s="458">
        <f>J144*'[5]IT capitalised overheads'!F$7</f>
        <v>75933.404452798422</v>
      </c>
      <c r="K145" s="625">
        <f>K144*'[5]IT capitalised overheads'!G$7</f>
        <v>67346.287443769586</v>
      </c>
      <c r="L145" s="511">
        <f>L144*'[5]IT capitalised overheads'!H$7</f>
        <v>29000.576432446363</v>
      </c>
      <c r="M145" s="512">
        <f>M144*'[5]IT capitalised overheads'!I$7</f>
        <v>22036.366041742014</v>
      </c>
      <c r="N145" s="512">
        <f>N144*'[5]IT capitalised overheads'!J$7</f>
        <v>39172.527406906294</v>
      </c>
      <c r="O145" s="512">
        <f>O144*'[5]IT capitalised overheads'!K$7</f>
        <v>132267.63047769063</v>
      </c>
      <c r="P145" s="3480">
        <f>P144*'[5]IT capitalised overheads'!L$7</f>
        <v>176285.82335909392</v>
      </c>
      <c r="Q145" s="564">
        <f>Q144*'[5]IT capitalised overheads'!M$7</f>
        <v>467945.10914333339</v>
      </c>
      <c r="R145" s="477">
        <f>R144*'[5]IT capitalised overheads'!N$7</f>
        <v>378724.41524637601</v>
      </c>
      <c r="S145" s="477">
        <f>S144*'[5]IT capitalised overheads'!O$7</f>
        <v>208725.7095525933</v>
      </c>
      <c r="T145" s="477">
        <f>T144*'[5]IT capitalised overheads'!P$7</f>
        <v>101192.87420308968</v>
      </c>
      <c r="U145" s="519">
        <f>U144*'[5]IT capitalised overheads'!Q$7</f>
        <v>118427.17274351393</v>
      </c>
      <c r="V145" s="3438"/>
      <c r="W145" s="1172"/>
      <c r="X145" s="1172"/>
      <c r="Y145" s="1172"/>
      <c r="Z145" s="462"/>
      <c r="AA145" s="463"/>
      <c r="AB145" s="463"/>
      <c r="AC145" s="463"/>
      <c r="AD145" s="464"/>
      <c r="AE145" s="511"/>
      <c r="AF145" s="512"/>
      <c r="AG145" s="547"/>
    </row>
    <row r="146" spans="5:33" ht="18">
      <c r="E146" s="3446"/>
      <c r="F146" s="1421" t="s">
        <v>581</v>
      </c>
      <c r="G146" s="413"/>
      <c r="H146" s="458"/>
      <c r="I146" s="458"/>
      <c r="J146" s="458"/>
      <c r="K146" s="625"/>
      <c r="L146" s="462"/>
      <c r="M146" s="463"/>
      <c r="N146" s="463"/>
      <c r="O146" s="463"/>
      <c r="P146" s="1190"/>
      <c r="Q146" s="459"/>
      <c r="R146" s="458"/>
      <c r="S146" s="458"/>
      <c r="T146" s="458"/>
      <c r="U146" s="460"/>
      <c r="V146" s="3438"/>
      <c r="W146" s="1172"/>
      <c r="X146" s="1172"/>
      <c r="Y146" s="1172"/>
      <c r="Z146" s="462"/>
      <c r="AA146" s="463"/>
      <c r="AB146" s="463"/>
      <c r="AC146" s="463"/>
      <c r="AD146" s="464"/>
      <c r="AE146" s="462"/>
      <c r="AF146" s="463"/>
      <c r="AG146" s="464"/>
    </row>
    <row r="147" spans="5:33" ht="18">
      <c r="E147" s="3446"/>
      <c r="F147" s="1441" t="s">
        <v>584</v>
      </c>
      <c r="G147" s="1147">
        <f>SUM(G144:G146)</f>
        <v>262896.68884659756</v>
      </c>
      <c r="H147" s="1147">
        <v>1001424.2297705436</v>
      </c>
      <c r="I147" s="1147">
        <f t="shared" ref="I147:U147" si="101">SUM(I144:I146)</f>
        <v>163246.24735280781</v>
      </c>
      <c r="J147" s="1147">
        <f t="shared" si="101"/>
        <v>1727721.5134527984</v>
      </c>
      <c r="K147" s="1147">
        <f t="shared" si="101"/>
        <v>1497815.1079949173</v>
      </c>
      <c r="L147" s="1147">
        <f t="shared" si="101"/>
        <v>621153.0824324463</v>
      </c>
      <c r="M147" s="1147">
        <f t="shared" si="101"/>
        <v>317763.31492233905</v>
      </c>
      <c r="N147" s="1147">
        <f t="shared" si="101"/>
        <v>625966.4404069063</v>
      </c>
      <c r="O147" s="1147">
        <f t="shared" si="101"/>
        <v>1510335.6304776906</v>
      </c>
      <c r="P147" s="1147">
        <f t="shared" si="101"/>
        <v>3179797.8233590941</v>
      </c>
      <c r="Q147" s="1147">
        <f t="shared" si="101"/>
        <v>8876620.2115715332</v>
      </c>
      <c r="R147" s="1147">
        <f t="shared" si="101"/>
        <v>7747980.4249903755</v>
      </c>
      <c r="S147" s="1147">
        <f t="shared" si="101"/>
        <v>3679400.5162967937</v>
      </c>
      <c r="T147" s="1147">
        <f t="shared" si="101"/>
        <v>1532786.0673990897</v>
      </c>
      <c r="U147" s="1147">
        <f t="shared" si="101"/>
        <v>1172022.4569127138</v>
      </c>
      <c r="V147" s="3438"/>
      <c r="W147" s="844"/>
      <c r="X147" s="844"/>
      <c r="Y147" s="844"/>
      <c r="Z147" s="1144">
        <f t="shared" ref="Z147:AG147" si="102">SUM(Z145:Z146)</f>
        <v>0</v>
      </c>
      <c r="AA147" s="1145">
        <f t="shared" si="102"/>
        <v>0</v>
      </c>
      <c r="AB147" s="1145">
        <f t="shared" si="102"/>
        <v>0</v>
      </c>
      <c r="AC147" s="1145">
        <f t="shared" si="102"/>
        <v>0</v>
      </c>
      <c r="AD147" s="1146">
        <f t="shared" si="102"/>
        <v>0</v>
      </c>
      <c r="AE147" s="1144">
        <f t="shared" si="102"/>
        <v>0</v>
      </c>
      <c r="AF147" s="1145">
        <f t="shared" si="102"/>
        <v>0</v>
      </c>
      <c r="AG147" s="1146">
        <f t="shared" si="102"/>
        <v>0</v>
      </c>
    </row>
    <row r="148" spans="5:33" ht="18">
      <c r="E148" s="3446"/>
      <c r="F148" s="1421" t="s">
        <v>35</v>
      </c>
      <c r="G148" s="413"/>
      <c r="H148" s="458"/>
      <c r="I148" s="458"/>
      <c r="J148" s="458"/>
      <c r="K148" s="625"/>
      <c r="L148" s="459"/>
      <c r="M148" s="458"/>
      <c r="N148" s="458"/>
      <c r="O148" s="458"/>
      <c r="P148" s="625"/>
      <c r="Q148" s="459"/>
      <c r="R148" s="458"/>
      <c r="S148" s="458"/>
      <c r="T148" s="458"/>
      <c r="U148" s="460"/>
      <c r="V148" s="3438"/>
      <c r="W148" s="1172"/>
      <c r="X148" s="1172"/>
      <c r="Y148" s="1172"/>
      <c r="Z148" s="462"/>
      <c r="AA148" s="463"/>
      <c r="AB148" s="463"/>
      <c r="AC148" s="463"/>
      <c r="AD148" s="464"/>
      <c r="AE148" s="462"/>
      <c r="AF148" s="463"/>
      <c r="AG148" s="464"/>
    </row>
    <row r="149" spans="5:33" ht="18.75" thickBot="1">
      <c r="E149" s="3447"/>
      <c r="F149" s="1443" t="s">
        <v>585</v>
      </c>
      <c r="G149" s="1152">
        <f>G147-G148</f>
        <v>262896.68884659756</v>
      </c>
      <c r="H149" s="1152">
        <v>1001424.2297705436</v>
      </c>
      <c r="I149" s="1152">
        <f t="shared" ref="I149:U149" si="103">I147-I148</f>
        <v>163246.24735280781</v>
      </c>
      <c r="J149" s="1152">
        <f t="shared" si="103"/>
        <v>1727721.5134527984</v>
      </c>
      <c r="K149" s="3481">
        <f t="shared" si="103"/>
        <v>1497815.1079949173</v>
      </c>
      <c r="L149" s="1447">
        <f t="shared" si="103"/>
        <v>621153.0824324463</v>
      </c>
      <c r="M149" s="1152">
        <f t="shared" si="103"/>
        <v>317763.31492233905</v>
      </c>
      <c r="N149" s="1152">
        <f t="shared" si="103"/>
        <v>625966.4404069063</v>
      </c>
      <c r="O149" s="1152">
        <f t="shared" si="103"/>
        <v>1510335.6304776906</v>
      </c>
      <c r="P149" s="3481">
        <f t="shared" si="103"/>
        <v>3179797.8233590941</v>
      </c>
      <c r="Q149" s="1447">
        <f t="shared" si="103"/>
        <v>8876620.2115715332</v>
      </c>
      <c r="R149" s="1152">
        <f t="shared" si="103"/>
        <v>7747980.4249903755</v>
      </c>
      <c r="S149" s="1152">
        <f t="shared" si="103"/>
        <v>3679400.5162967937</v>
      </c>
      <c r="T149" s="1152">
        <f t="shared" si="103"/>
        <v>1532786.0673990897</v>
      </c>
      <c r="U149" s="1152">
        <f t="shared" si="103"/>
        <v>1172022.4569127138</v>
      </c>
      <c r="V149" s="3439"/>
      <c r="W149" s="844"/>
      <c r="X149" s="844"/>
      <c r="Y149" s="844"/>
      <c r="Z149" s="1447">
        <f t="shared" ref="Z149:AE149" si="104">Z147-Z148</f>
        <v>0</v>
      </c>
      <c r="AA149" s="1150">
        <f t="shared" si="104"/>
        <v>0</v>
      </c>
      <c r="AB149" s="1150">
        <f t="shared" si="104"/>
        <v>0</v>
      </c>
      <c r="AC149" s="1150">
        <f t="shared" si="104"/>
        <v>0</v>
      </c>
      <c r="AD149" s="1151">
        <f t="shared" si="104"/>
        <v>0</v>
      </c>
      <c r="AE149" s="1447">
        <f t="shared" si="104"/>
        <v>0</v>
      </c>
      <c r="AF149" s="1150">
        <f>AF147-AF148</f>
        <v>0</v>
      </c>
      <c r="AG149" s="1151">
        <f t="shared" ref="AG149" si="105">AG147-AG148</f>
        <v>0</v>
      </c>
    </row>
    <row r="150" spans="5:33" ht="18">
      <c r="E150" s="3446" t="s">
        <v>1772</v>
      </c>
      <c r="F150" s="1442" t="s">
        <v>598</v>
      </c>
      <c r="G150" s="528"/>
      <c r="H150" s="3757"/>
      <c r="I150" s="528"/>
      <c r="J150" s="528"/>
      <c r="K150" s="528"/>
      <c r="L150" s="538"/>
      <c r="M150" s="539"/>
      <c r="N150" s="539"/>
      <c r="O150" s="539"/>
      <c r="P150" s="539"/>
      <c r="Q150" s="538"/>
      <c r="R150" s="539"/>
      <c r="S150" s="539"/>
      <c r="T150" s="539"/>
      <c r="U150" s="540"/>
      <c r="V150" s="3437"/>
      <c r="W150" s="1172"/>
      <c r="X150" s="1172"/>
      <c r="Y150" s="1172"/>
      <c r="Z150" s="527"/>
      <c r="AA150" s="528"/>
      <c r="AB150" s="528"/>
      <c r="AC150" s="528"/>
      <c r="AD150" s="529"/>
      <c r="AE150" s="538"/>
      <c r="AF150" s="539"/>
      <c r="AG150" s="540"/>
    </row>
    <row r="151" spans="5:33" ht="18">
      <c r="E151" s="3446"/>
      <c r="F151" s="1421" t="s">
        <v>559</v>
      </c>
      <c r="G151" s="468">
        <v>0</v>
      </c>
      <c r="H151" s="468">
        <v>0</v>
      </c>
      <c r="I151" s="468">
        <v>13269.87971336052</v>
      </c>
      <c r="J151" s="468">
        <v>-35133.287497941157</v>
      </c>
      <c r="K151" s="468">
        <v>0</v>
      </c>
      <c r="L151" s="459">
        <v>122255.05807456982</v>
      </c>
      <c r="M151" s="458">
        <v>67587.596699999995</v>
      </c>
      <c r="N151" s="458">
        <v>0</v>
      </c>
      <c r="O151" s="458">
        <v>126654</v>
      </c>
      <c r="P151" s="625">
        <v>11688</v>
      </c>
      <c r="Q151" s="459">
        <v>0</v>
      </c>
      <c r="R151" s="458">
        <v>0</v>
      </c>
      <c r="S151" s="458">
        <v>0</v>
      </c>
      <c r="T151" s="458">
        <v>0</v>
      </c>
      <c r="U151" s="458">
        <v>0</v>
      </c>
      <c r="V151" s="3438"/>
      <c r="W151" s="1172"/>
      <c r="X151" s="1172"/>
      <c r="Y151" s="1172"/>
      <c r="Z151" s="470"/>
      <c r="AA151" s="468"/>
      <c r="AB151" s="468"/>
      <c r="AC151" s="468"/>
      <c r="AD151" s="530"/>
      <c r="AE151" s="462"/>
      <c r="AF151" s="463"/>
      <c r="AG151" s="464"/>
    </row>
    <row r="152" spans="5:33" ht="18">
      <c r="E152" s="3446"/>
      <c r="F152" s="1421" t="s">
        <v>558</v>
      </c>
      <c r="G152" s="468">
        <v>30965</v>
      </c>
      <c r="H152" s="468">
        <v>50920.392998347241</v>
      </c>
      <c r="I152" s="468">
        <v>237908.59628307703</v>
      </c>
      <c r="J152" s="468">
        <v>295762.22720558685</v>
      </c>
      <c r="K152" s="468">
        <v>586726.67637652659</v>
      </c>
      <c r="L152" s="459">
        <v>150684.43457453596</v>
      </c>
      <c r="M152" s="458">
        <v>-56144.619500000001</v>
      </c>
      <c r="N152" s="458">
        <v>-447.9338848810371</v>
      </c>
      <c r="O152" s="458">
        <v>78906</v>
      </c>
      <c r="P152" s="625">
        <v>1996</v>
      </c>
      <c r="Q152" s="459">
        <v>0</v>
      </c>
      <c r="R152" s="458">
        <v>0</v>
      </c>
      <c r="S152" s="458">
        <v>0</v>
      </c>
      <c r="T152" s="458">
        <v>0</v>
      </c>
      <c r="U152" s="458">
        <v>0</v>
      </c>
      <c r="V152" s="3438"/>
      <c r="W152" s="1172"/>
      <c r="X152" s="1172"/>
      <c r="Y152" s="1172"/>
      <c r="Z152" s="470"/>
      <c r="AA152" s="468"/>
      <c r="AB152" s="468"/>
      <c r="AC152" s="468"/>
      <c r="AD152" s="530"/>
      <c r="AE152" s="462"/>
      <c r="AF152" s="463"/>
      <c r="AG152" s="464"/>
    </row>
    <row r="153" spans="5:33" ht="18">
      <c r="E153" s="3446"/>
      <c r="F153" s="1421" t="s">
        <v>578</v>
      </c>
      <c r="G153" s="468">
        <v>9</v>
      </c>
      <c r="H153" s="468">
        <v>0</v>
      </c>
      <c r="I153" s="468">
        <v>21</v>
      </c>
      <c r="J153" s="468">
        <v>-6410</v>
      </c>
      <c r="K153" s="468">
        <v>124288.09261042796</v>
      </c>
      <c r="L153" s="459">
        <v>98533</v>
      </c>
      <c r="M153" s="458">
        <v>0</v>
      </c>
      <c r="N153" s="458">
        <v>0</v>
      </c>
      <c r="O153" s="458">
        <v>157628</v>
      </c>
      <c r="P153" s="625">
        <v>14824</v>
      </c>
      <c r="Q153" s="459">
        <v>0</v>
      </c>
      <c r="R153" s="458">
        <v>0</v>
      </c>
      <c r="S153" s="458">
        <v>0</v>
      </c>
      <c r="T153" s="458">
        <v>0</v>
      </c>
      <c r="U153" s="458">
        <v>0</v>
      </c>
      <c r="V153" s="3438"/>
      <c r="W153" s="1172"/>
      <c r="X153" s="1172"/>
      <c r="Y153" s="1172"/>
      <c r="Z153" s="470"/>
      <c r="AA153" s="468"/>
      <c r="AB153" s="468"/>
      <c r="AC153" s="468"/>
      <c r="AD153" s="530"/>
      <c r="AE153" s="462"/>
      <c r="AF153" s="463"/>
      <c r="AG153" s="464"/>
    </row>
    <row r="154" spans="5:33" ht="18">
      <c r="E154" s="3446"/>
      <c r="F154" s="1441" t="s">
        <v>566</v>
      </c>
      <c r="G154" s="354">
        <f>SUM(G151:G153)</f>
        <v>30974</v>
      </c>
      <c r="H154" s="354">
        <v>50920.392998347241</v>
      </c>
      <c r="I154" s="354">
        <f t="shared" ref="I154:K154" si="106">SUM(I151:I153)</f>
        <v>251199.47599643754</v>
      </c>
      <c r="J154" s="354">
        <f t="shared" si="106"/>
        <v>254218.93970764568</v>
      </c>
      <c r="K154" s="626">
        <f t="shared" si="106"/>
        <v>711014.76898695459</v>
      </c>
      <c r="L154" s="353">
        <f>SUM(L151:L153)</f>
        <v>371472.49264910578</v>
      </c>
      <c r="M154" s="354">
        <f t="shared" ref="M154:U154" si="107">SUM(M151:M153)</f>
        <v>11442.977199999994</v>
      </c>
      <c r="N154" s="354">
        <f t="shared" si="107"/>
        <v>-447.9338848810371</v>
      </c>
      <c r="O154" s="354">
        <f t="shared" si="107"/>
        <v>363188</v>
      </c>
      <c r="P154" s="626">
        <f t="shared" si="107"/>
        <v>28508</v>
      </c>
      <c r="Q154" s="353">
        <f t="shared" si="107"/>
        <v>0</v>
      </c>
      <c r="R154" s="354">
        <f t="shared" si="107"/>
        <v>0</v>
      </c>
      <c r="S154" s="354">
        <f t="shared" si="107"/>
        <v>0</v>
      </c>
      <c r="T154" s="354">
        <f t="shared" si="107"/>
        <v>0</v>
      </c>
      <c r="U154" s="354">
        <f t="shared" si="107"/>
        <v>0</v>
      </c>
      <c r="V154" s="3438"/>
      <c r="W154" s="1172"/>
      <c r="X154" s="1172"/>
      <c r="Y154" s="1172"/>
      <c r="Z154" s="462"/>
      <c r="AA154" s="463"/>
      <c r="AB154" s="463"/>
      <c r="AC154" s="463"/>
      <c r="AD154" s="464"/>
      <c r="AE154" s="353"/>
      <c r="AF154" s="354">
        <f t="shared" ref="AF154:AG154" si="108">SUM(AF151:AF153)</f>
        <v>0</v>
      </c>
      <c r="AG154" s="450">
        <f t="shared" si="108"/>
        <v>0</v>
      </c>
    </row>
    <row r="155" spans="5:33" ht="18">
      <c r="E155" s="3446"/>
      <c r="F155" s="1421" t="s">
        <v>583</v>
      </c>
      <c r="G155" s="413">
        <f>G154*'[5]IT capitalised overheads'!C$7</f>
        <v>3023.1444450524268</v>
      </c>
      <c r="H155" s="458">
        <v>2142.1256506134646</v>
      </c>
      <c r="I155" s="458">
        <f>I154*'[5]IT capitalised overheads'!E$7</f>
        <v>8917.5048154556862</v>
      </c>
      <c r="J155" s="458">
        <f>J154*'[5]IT capitalised overheads'!F$7</f>
        <v>11686.553174225712</v>
      </c>
      <c r="K155" s="625">
        <f>K154*'[5]IT capitalised overheads'!G$7</f>
        <v>33474.483554637343</v>
      </c>
      <c r="L155" s="511">
        <f>L154*'[5]IT capitalised overheads'!H$7</f>
        <v>18192.807269183057</v>
      </c>
      <c r="M155" s="512">
        <f>M154*'[5]IT capitalised overheads'!I$7</f>
        <v>852.68398818912169</v>
      </c>
      <c r="N155" s="512">
        <f>N154*'[5]IT capitalised overheads'!J$7</f>
        <v>-29.902665984172256</v>
      </c>
      <c r="O155" s="512">
        <f>O154*'[5]IT capitalised overheads'!K$7</f>
        <v>34858.959193545968</v>
      </c>
      <c r="P155" s="3480">
        <f>P154*'[5]IT capitalised overheads'!L$7</f>
        <v>1673.2266268025728</v>
      </c>
      <c r="Q155" s="564">
        <f>Q154*'[5]IT capitalised overheads'!M$7</f>
        <v>0</v>
      </c>
      <c r="R155" s="477">
        <f>R154*'[5]IT capitalised overheads'!N$7</f>
        <v>0</v>
      </c>
      <c r="S155" s="477">
        <f>S154*'[5]IT capitalised overheads'!O$7</f>
        <v>0</v>
      </c>
      <c r="T155" s="477">
        <f>T154*'[5]IT capitalised overheads'!P$7</f>
        <v>0</v>
      </c>
      <c r="U155" s="519">
        <f>U154*'[5]IT capitalised overheads'!Q$7</f>
        <v>0</v>
      </c>
      <c r="V155" s="3438"/>
      <c r="W155" s="1172"/>
      <c r="X155" s="1172"/>
      <c r="Y155" s="1172"/>
      <c r="Z155" s="462"/>
      <c r="AA155" s="463"/>
      <c r="AB155" s="463"/>
      <c r="AC155" s="463"/>
      <c r="AD155" s="464"/>
      <c r="AE155" s="511"/>
      <c r="AF155" s="512"/>
      <c r="AG155" s="547"/>
    </row>
    <row r="156" spans="5:33" ht="18">
      <c r="E156" s="3446"/>
      <c r="F156" s="1421" t="s">
        <v>581</v>
      </c>
      <c r="G156" s="413"/>
      <c r="H156" s="458"/>
      <c r="I156" s="458"/>
      <c r="J156" s="458"/>
      <c r="K156" s="625"/>
      <c r="L156" s="462"/>
      <c r="M156" s="463"/>
      <c r="N156" s="463"/>
      <c r="O156" s="463"/>
      <c r="P156" s="1190"/>
      <c r="Q156" s="459"/>
      <c r="R156" s="458"/>
      <c r="S156" s="458"/>
      <c r="T156" s="458"/>
      <c r="U156" s="460"/>
      <c r="V156" s="3438"/>
      <c r="W156" s="1172"/>
      <c r="X156" s="1172"/>
      <c r="Y156" s="1172"/>
      <c r="Z156" s="462"/>
      <c r="AA156" s="463"/>
      <c r="AB156" s="463"/>
      <c r="AC156" s="463"/>
      <c r="AD156" s="464"/>
      <c r="AE156" s="462"/>
      <c r="AF156" s="463"/>
      <c r="AG156" s="464"/>
    </row>
    <row r="157" spans="5:33" ht="18">
      <c r="E157" s="3446"/>
      <c r="F157" s="1441" t="s">
        <v>584</v>
      </c>
      <c r="G157" s="1147">
        <f>SUM(G154:G156)</f>
        <v>33997.144445052429</v>
      </c>
      <c r="H157" s="1147">
        <v>53062.518648960708</v>
      </c>
      <c r="I157" s="1147">
        <f t="shared" ref="I157:U157" si="109">SUM(I154:I156)</f>
        <v>260116.98081189324</v>
      </c>
      <c r="J157" s="1147">
        <f t="shared" si="109"/>
        <v>265905.49288187141</v>
      </c>
      <c r="K157" s="1147">
        <f t="shared" si="109"/>
        <v>744489.25254159188</v>
      </c>
      <c r="L157" s="1147">
        <f t="shared" si="109"/>
        <v>389665.29991828883</v>
      </c>
      <c r="M157" s="1147">
        <f t="shared" si="109"/>
        <v>12295.661188189115</v>
      </c>
      <c r="N157" s="1147">
        <f t="shared" si="109"/>
        <v>-477.83655086520935</v>
      </c>
      <c r="O157" s="1147">
        <f t="shared" si="109"/>
        <v>398046.95919354598</v>
      </c>
      <c r="P157" s="1147">
        <f t="shared" si="109"/>
        <v>30181.226626802574</v>
      </c>
      <c r="Q157" s="1147">
        <f t="shared" si="109"/>
        <v>0</v>
      </c>
      <c r="R157" s="1147">
        <f t="shared" si="109"/>
        <v>0</v>
      </c>
      <c r="S157" s="1147">
        <f t="shared" si="109"/>
        <v>0</v>
      </c>
      <c r="T157" s="1147">
        <f t="shared" si="109"/>
        <v>0</v>
      </c>
      <c r="U157" s="1147">
        <f t="shared" si="109"/>
        <v>0</v>
      </c>
      <c r="V157" s="3438"/>
      <c r="W157" s="844"/>
      <c r="X157" s="844"/>
      <c r="Y157" s="844"/>
      <c r="Z157" s="1144">
        <f t="shared" ref="Z157:AG157" si="110">SUM(Z155:Z156)</f>
        <v>0</v>
      </c>
      <c r="AA157" s="1145">
        <f t="shared" si="110"/>
        <v>0</v>
      </c>
      <c r="AB157" s="1145">
        <f t="shared" si="110"/>
        <v>0</v>
      </c>
      <c r="AC157" s="1145">
        <f t="shared" si="110"/>
        <v>0</v>
      </c>
      <c r="AD157" s="1146">
        <f t="shared" si="110"/>
        <v>0</v>
      </c>
      <c r="AE157" s="1144">
        <f t="shared" si="110"/>
        <v>0</v>
      </c>
      <c r="AF157" s="1145">
        <f t="shared" si="110"/>
        <v>0</v>
      </c>
      <c r="AG157" s="1146">
        <f t="shared" si="110"/>
        <v>0</v>
      </c>
    </row>
    <row r="158" spans="5:33" ht="18">
      <c r="E158" s="3446"/>
      <c r="F158" s="1421" t="s">
        <v>35</v>
      </c>
      <c r="G158" s="413"/>
      <c r="H158" s="458"/>
      <c r="I158" s="458"/>
      <c r="J158" s="458"/>
      <c r="K158" s="625"/>
      <c r="L158" s="459"/>
      <c r="M158" s="458"/>
      <c r="N158" s="458"/>
      <c r="O158" s="458"/>
      <c r="P158" s="625"/>
      <c r="Q158" s="459"/>
      <c r="R158" s="458"/>
      <c r="S158" s="458"/>
      <c r="T158" s="458"/>
      <c r="U158" s="460"/>
      <c r="V158" s="3438"/>
      <c r="W158" s="1172"/>
      <c r="X158" s="1172"/>
      <c r="Y158" s="1172"/>
      <c r="Z158" s="462"/>
      <c r="AA158" s="463"/>
      <c r="AB158" s="463"/>
      <c r="AC158" s="463"/>
      <c r="AD158" s="464"/>
      <c r="AE158" s="462"/>
      <c r="AF158" s="463"/>
      <c r="AG158" s="464"/>
    </row>
    <row r="159" spans="5:33" ht="18.75" thickBot="1">
      <c r="E159" s="3447"/>
      <c r="F159" s="1443" t="s">
        <v>585</v>
      </c>
      <c r="G159" s="1152">
        <f>G157-G158</f>
        <v>33997.144445052429</v>
      </c>
      <c r="H159" s="1152">
        <v>53062.518648960708</v>
      </c>
      <c r="I159" s="1152">
        <f t="shared" ref="I159:U159" si="111">I157-I158</f>
        <v>260116.98081189324</v>
      </c>
      <c r="J159" s="1152">
        <f t="shared" si="111"/>
        <v>265905.49288187141</v>
      </c>
      <c r="K159" s="3481">
        <f t="shared" si="111"/>
        <v>744489.25254159188</v>
      </c>
      <c r="L159" s="1447">
        <f t="shared" si="111"/>
        <v>389665.29991828883</v>
      </c>
      <c r="M159" s="1152">
        <f t="shared" si="111"/>
        <v>12295.661188189115</v>
      </c>
      <c r="N159" s="1152">
        <f t="shared" si="111"/>
        <v>-477.83655086520935</v>
      </c>
      <c r="O159" s="1152">
        <f t="shared" si="111"/>
        <v>398046.95919354598</v>
      </c>
      <c r="P159" s="3481">
        <f t="shared" si="111"/>
        <v>30181.226626802574</v>
      </c>
      <c r="Q159" s="1447">
        <f t="shared" si="111"/>
        <v>0</v>
      </c>
      <c r="R159" s="1152">
        <f t="shared" si="111"/>
        <v>0</v>
      </c>
      <c r="S159" s="1152">
        <f t="shared" si="111"/>
        <v>0</v>
      </c>
      <c r="T159" s="1152">
        <f t="shared" si="111"/>
        <v>0</v>
      </c>
      <c r="U159" s="1152">
        <f t="shared" si="111"/>
        <v>0</v>
      </c>
      <c r="V159" s="3439"/>
      <c r="W159" s="844"/>
      <c r="X159" s="844"/>
      <c r="Y159" s="844"/>
      <c r="Z159" s="1447">
        <f t="shared" ref="Z159:AE159" si="112">Z157-Z158</f>
        <v>0</v>
      </c>
      <c r="AA159" s="1150">
        <f t="shared" si="112"/>
        <v>0</v>
      </c>
      <c r="AB159" s="1150">
        <f t="shared" si="112"/>
        <v>0</v>
      </c>
      <c r="AC159" s="1150">
        <f t="shared" si="112"/>
        <v>0</v>
      </c>
      <c r="AD159" s="1151">
        <f t="shared" si="112"/>
        <v>0</v>
      </c>
      <c r="AE159" s="1447">
        <f t="shared" si="112"/>
        <v>0</v>
      </c>
      <c r="AF159" s="1150">
        <f>AF157-AF158</f>
        <v>0</v>
      </c>
      <c r="AG159" s="1151">
        <f t="shared" ref="AG159" si="113">AG157-AG158</f>
        <v>0</v>
      </c>
    </row>
    <row r="160" spans="5:33" ht="18">
      <c r="E160" s="3446" t="s">
        <v>1773</v>
      </c>
      <c r="F160" s="1442" t="s">
        <v>598</v>
      </c>
      <c r="G160" s="528"/>
      <c r="H160" s="3757"/>
      <c r="I160" s="528"/>
      <c r="J160" s="528"/>
      <c r="K160" s="528"/>
      <c r="L160" s="538"/>
      <c r="M160" s="539"/>
      <c r="N160" s="539"/>
      <c r="O160" s="539"/>
      <c r="P160" s="539"/>
      <c r="Q160" s="538"/>
      <c r="R160" s="539"/>
      <c r="S160" s="539"/>
      <c r="T160" s="539"/>
      <c r="U160" s="540"/>
      <c r="V160" s="3437"/>
      <c r="W160" s="1172"/>
      <c r="X160" s="1172"/>
      <c r="Y160" s="1172"/>
      <c r="Z160" s="527"/>
      <c r="AA160" s="528"/>
      <c r="AB160" s="528"/>
      <c r="AC160" s="528"/>
      <c r="AD160" s="529"/>
      <c r="AE160" s="538"/>
      <c r="AF160" s="539"/>
      <c r="AG160" s="540"/>
    </row>
    <row r="161" spans="5:33" ht="18">
      <c r="E161" s="3446"/>
      <c r="F161" s="1421" t="s">
        <v>559</v>
      </c>
      <c r="G161" s="468">
        <v>14390</v>
      </c>
      <c r="H161" s="468">
        <v>1180.8</v>
      </c>
      <c r="I161" s="468">
        <v>0</v>
      </c>
      <c r="J161" s="468">
        <v>0</v>
      </c>
      <c r="K161" s="468">
        <v>0</v>
      </c>
      <c r="L161" s="459">
        <v>0</v>
      </c>
      <c r="M161" s="458">
        <v>0</v>
      </c>
      <c r="N161" s="458">
        <v>0</v>
      </c>
      <c r="O161" s="458">
        <v>226336</v>
      </c>
      <c r="P161" s="625">
        <v>347809</v>
      </c>
      <c r="Q161" s="459">
        <v>69173.594545600004</v>
      </c>
      <c r="R161" s="458">
        <v>275378.86907859996</v>
      </c>
      <c r="S161" s="458">
        <v>794878.49375519995</v>
      </c>
      <c r="T161" s="458">
        <v>391303.31434380001</v>
      </c>
      <c r="U161" s="460">
        <v>134482.5571456</v>
      </c>
      <c r="V161" s="3438"/>
      <c r="W161" s="1172"/>
      <c r="X161" s="1172"/>
      <c r="Y161" s="1172"/>
      <c r="Z161" s="470"/>
      <c r="AA161" s="468"/>
      <c r="AB161" s="468"/>
      <c r="AC161" s="468"/>
      <c r="AD161" s="530"/>
      <c r="AE161" s="462"/>
      <c r="AF161" s="463"/>
      <c r="AG161" s="464"/>
    </row>
    <row r="162" spans="5:33" ht="18">
      <c r="E162" s="3446"/>
      <c r="F162" s="1421" t="s">
        <v>558</v>
      </c>
      <c r="G162" s="468">
        <v>3164</v>
      </c>
      <c r="H162" s="468">
        <v>46729.104000000007</v>
      </c>
      <c r="I162" s="468">
        <v>16017.579000000002</v>
      </c>
      <c r="J162" s="468">
        <v>-105.8219999999983</v>
      </c>
      <c r="K162" s="468">
        <v>0</v>
      </c>
      <c r="L162" s="459">
        <v>-31724.091</v>
      </c>
      <c r="M162" s="458">
        <v>-26842.403999999999</v>
      </c>
      <c r="N162" s="458">
        <v>0</v>
      </c>
      <c r="O162" s="458">
        <v>130816</v>
      </c>
      <c r="P162" s="625">
        <v>26736</v>
      </c>
      <c r="Q162" s="459">
        <v>7673.2847803999994</v>
      </c>
      <c r="R162" s="458">
        <v>7673.2847803999994</v>
      </c>
      <c r="S162" s="458">
        <v>7673.2847803999994</v>
      </c>
      <c r="T162" s="458">
        <v>7673.2847803999994</v>
      </c>
      <c r="U162" s="460">
        <v>7673.2847803999994</v>
      </c>
      <c r="V162" s="3438"/>
      <c r="W162" s="1172"/>
      <c r="X162" s="1172"/>
      <c r="Y162" s="1172"/>
      <c r="Z162" s="470"/>
      <c r="AA162" s="468"/>
      <c r="AB162" s="468"/>
      <c r="AC162" s="468"/>
      <c r="AD162" s="530"/>
      <c r="AE162" s="462"/>
      <c r="AF162" s="463"/>
      <c r="AG162" s="464"/>
    </row>
    <row r="163" spans="5:33" ht="18">
      <c r="E163" s="3446"/>
      <c r="F163" s="1421" t="s">
        <v>578</v>
      </c>
      <c r="G163" s="468">
        <v>36859</v>
      </c>
      <c r="H163" s="468">
        <v>175922</v>
      </c>
      <c r="I163" s="468">
        <v>0</v>
      </c>
      <c r="J163" s="468">
        <v>0</v>
      </c>
      <c r="K163" s="468">
        <v>0</v>
      </c>
      <c r="L163" s="459">
        <v>11277</v>
      </c>
      <c r="M163" s="458">
        <v>0</v>
      </c>
      <c r="N163" s="458">
        <v>0</v>
      </c>
      <c r="O163" s="458">
        <v>259859</v>
      </c>
      <c r="P163" s="625">
        <v>248504</v>
      </c>
      <c r="Q163" s="459">
        <v>10231.737474</v>
      </c>
      <c r="R163" s="458">
        <v>117509.483421</v>
      </c>
      <c r="S163" s="458">
        <v>142599.5282116</v>
      </c>
      <c r="T163" s="458">
        <v>88315.340488599992</v>
      </c>
      <c r="U163" s="460">
        <v>53771.045873999996</v>
      </c>
      <c r="V163" s="3438"/>
      <c r="W163" s="1172"/>
      <c r="X163" s="1172"/>
      <c r="Y163" s="1172"/>
      <c r="Z163" s="470"/>
      <c r="AA163" s="468"/>
      <c r="AB163" s="468"/>
      <c r="AC163" s="468"/>
      <c r="AD163" s="530"/>
      <c r="AE163" s="462"/>
      <c r="AF163" s="463"/>
      <c r="AG163" s="464"/>
    </row>
    <row r="164" spans="5:33" ht="18">
      <c r="E164" s="3446"/>
      <c r="F164" s="1441" t="s">
        <v>566</v>
      </c>
      <c r="G164" s="354">
        <f>SUM(G161:G163)</f>
        <v>54413</v>
      </c>
      <c r="H164" s="354">
        <v>223831.90400000001</v>
      </c>
      <c r="I164" s="354">
        <f t="shared" ref="I164:U164" si="114">SUM(I161:I163)</f>
        <v>16017.579000000002</v>
      </c>
      <c r="J164" s="354">
        <f t="shared" si="114"/>
        <v>-105.8219999999983</v>
      </c>
      <c r="K164" s="626">
        <f t="shared" si="114"/>
        <v>0</v>
      </c>
      <c r="L164" s="353">
        <f t="shared" si="114"/>
        <v>-20447.091</v>
      </c>
      <c r="M164" s="354">
        <f t="shared" si="114"/>
        <v>-26842.403999999999</v>
      </c>
      <c r="N164" s="354">
        <f t="shared" si="114"/>
        <v>0</v>
      </c>
      <c r="O164" s="354">
        <f t="shared" si="114"/>
        <v>617011</v>
      </c>
      <c r="P164" s="626">
        <f t="shared" si="114"/>
        <v>623049</v>
      </c>
      <c r="Q164" s="353">
        <f t="shared" si="114"/>
        <v>87078.616800000003</v>
      </c>
      <c r="R164" s="354">
        <f t="shared" si="114"/>
        <v>400561.63727999997</v>
      </c>
      <c r="S164" s="354">
        <f t="shared" si="114"/>
        <v>945151.30674719997</v>
      </c>
      <c r="T164" s="354">
        <f t="shared" si="114"/>
        <v>487291.93961280002</v>
      </c>
      <c r="U164" s="354">
        <f t="shared" si="114"/>
        <v>195926.8878</v>
      </c>
      <c r="V164" s="3438"/>
      <c r="W164" s="1172"/>
      <c r="X164" s="1172"/>
      <c r="Y164" s="1172"/>
      <c r="Z164" s="462"/>
      <c r="AA164" s="463"/>
      <c r="AB164" s="463"/>
      <c r="AC164" s="463"/>
      <c r="AD164" s="464"/>
      <c r="AE164" s="353"/>
      <c r="AF164" s="354">
        <f t="shared" ref="AF164:AG164" si="115">SUM(AF161:AF163)</f>
        <v>0</v>
      </c>
      <c r="AG164" s="450">
        <f t="shared" si="115"/>
        <v>0</v>
      </c>
    </row>
    <row r="165" spans="5:33" ht="18">
      <c r="E165" s="3446"/>
      <c r="F165" s="1421" t="s">
        <v>583</v>
      </c>
      <c r="G165" s="413">
        <f>G164*'[5]IT capitalised overheads'!C$7</f>
        <v>5310.8529311240945</v>
      </c>
      <c r="H165" s="458">
        <v>9416.189364438198</v>
      </c>
      <c r="I165" s="458">
        <f>I164*'[5]IT capitalised overheads'!E$7</f>
        <v>568.61917126955939</v>
      </c>
      <c r="J165" s="458">
        <f>J164*'[5]IT capitalised overheads'!F$7</f>
        <v>-4.8646825111657863</v>
      </c>
      <c r="K165" s="625">
        <f>K164*'[5]IT capitalised overheads'!G$7</f>
        <v>0</v>
      </c>
      <c r="L165" s="511">
        <f>L164*'[5]IT capitalised overheads'!H$7</f>
        <v>-1001.3930860012036</v>
      </c>
      <c r="M165" s="512">
        <f>M164*'[5]IT capitalised overheads'!I$7</f>
        <v>-2000.1864633011455</v>
      </c>
      <c r="N165" s="512">
        <f>N164*'[5]IT capitalised overheads'!J$7</f>
        <v>0</v>
      </c>
      <c r="O165" s="512">
        <f>O164*'[5]IT capitalised overheads'!K$7</f>
        <v>59221.013004198896</v>
      </c>
      <c r="P165" s="3480">
        <f>P164*'[5]IT capitalised overheads'!L$7</f>
        <v>36568.758825688099</v>
      </c>
      <c r="Q165" s="564">
        <f>Q164*'[5]IT capitalised overheads'!M$7</f>
        <v>4845.9492543313481</v>
      </c>
      <c r="R165" s="477">
        <f>R164*'[5]IT capitalised overheads'!N$7</f>
        <v>20585.859908844304</v>
      </c>
      <c r="S165" s="477">
        <f>S164*'[5]IT capitalised overheads'!O$7</f>
        <v>56841.216224585929</v>
      </c>
      <c r="T165" s="477">
        <f>T164*'[5]IT capitalised overheads'!P$7</f>
        <v>34444.472200467171</v>
      </c>
      <c r="U165" s="519">
        <f>U164*'[5]IT capitalised overheads'!Q$7</f>
        <v>22022.751748444069</v>
      </c>
      <c r="V165" s="3438"/>
      <c r="W165" s="1172"/>
      <c r="X165" s="1172"/>
      <c r="Y165" s="1172"/>
      <c r="Z165" s="462"/>
      <c r="AA165" s="463"/>
      <c r="AB165" s="463"/>
      <c r="AC165" s="463"/>
      <c r="AD165" s="464"/>
      <c r="AE165" s="511"/>
      <c r="AF165" s="512"/>
      <c r="AG165" s="547"/>
    </row>
    <row r="166" spans="5:33" ht="18">
      <c r="E166" s="3446"/>
      <c r="F166" s="1421" t="s">
        <v>581</v>
      </c>
      <c r="G166" s="413"/>
      <c r="H166" s="458"/>
      <c r="I166" s="458"/>
      <c r="J166" s="458"/>
      <c r="K166" s="625"/>
      <c r="L166" s="462"/>
      <c r="M166" s="463"/>
      <c r="N166" s="463"/>
      <c r="O166" s="463"/>
      <c r="P166" s="1190"/>
      <c r="Q166" s="459"/>
      <c r="R166" s="458"/>
      <c r="S166" s="458"/>
      <c r="T166" s="458"/>
      <c r="U166" s="460"/>
      <c r="V166" s="3438"/>
      <c r="W166" s="1172"/>
      <c r="X166" s="1172"/>
      <c r="Y166" s="1172"/>
      <c r="Z166" s="462"/>
      <c r="AA166" s="463"/>
      <c r="AB166" s="463"/>
      <c r="AC166" s="463"/>
      <c r="AD166" s="464"/>
      <c r="AE166" s="462"/>
      <c r="AF166" s="463"/>
      <c r="AG166" s="464"/>
    </row>
    <row r="167" spans="5:33" ht="18">
      <c r="E167" s="3446"/>
      <c r="F167" s="1441" t="s">
        <v>584</v>
      </c>
      <c r="G167" s="1147">
        <f>SUM(G164:G166)</f>
        <v>59723.852931124093</v>
      </c>
      <c r="H167" s="1147">
        <v>233248.09336443822</v>
      </c>
      <c r="I167" s="1147">
        <f t="shared" ref="I167:U167" si="116">SUM(I164:I166)</f>
        <v>16586.19817126956</v>
      </c>
      <c r="J167" s="1147">
        <f t="shared" si="116"/>
        <v>-110.68668251116408</v>
      </c>
      <c r="K167" s="1147">
        <f t="shared" si="116"/>
        <v>0</v>
      </c>
      <c r="L167" s="1147">
        <f t="shared" si="116"/>
        <v>-21448.484086001205</v>
      </c>
      <c r="M167" s="1147">
        <f t="shared" si="116"/>
        <v>-28842.590463301145</v>
      </c>
      <c r="N167" s="1147">
        <f t="shared" si="116"/>
        <v>0</v>
      </c>
      <c r="O167" s="1147">
        <f t="shared" si="116"/>
        <v>676232.0130041989</v>
      </c>
      <c r="P167" s="1147">
        <f t="shared" si="116"/>
        <v>659617.75882568816</v>
      </c>
      <c r="Q167" s="1147">
        <f t="shared" si="116"/>
        <v>91924.566054331357</v>
      </c>
      <c r="R167" s="1147">
        <f t="shared" si="116"/>
        <v>421147.49718884425</v>
      </c>
      <c r="S167" s="1147">
        <f t="shared" si="116"/>
        <v>1001992.5229717859</v>
      </c>
      <c r="T167" s="1147">
        <f t="shared" si="116"/>
        <v>521736.41181326722</v>
      </c>
      <c r="U167" s="1147">
        <f t="shared" si="116"/>
        <v>217949.63954844407</v>
      </c>
      <c r="V167" s="3438"/>
      <c r="W167" s="844"/>
      <c r="X167" s="844"/>
      <c r="Y167" s="844"/>
      <c r="Z167" s="1144">
        <f t="shared" ref="Z167:AG167" si="117">SUM(Z165:Z166)</f>
        <v>0</v>
      </c>
      <c r="AA167" s="1145">
        <f t="shared" si="117"/>
        <v>0</v>
      </c>
      <c r="AB167" s="1145">
        <f t="shared" si="117"/>
        <v>0</v>
      </c>
      <c r="AC167" s="1145">
        <f t="shared" si="117"/>
        <v>0</v>
      </c>
      <c r="AD167" s="1146">
        <f t="shared" si="117"/>
        <v>0</v>
      </c>
      <c r="AE167" s="1144">
        <f t="shared" si="117"/>
        <v>0</v>
      </c>
      <c r="AF167" s="1145">
        <f t="shared" si="117"/>
        <v>0</v>
      </c>
      <c r="AG167" s="1146">
        <f t="shared" si="117"/>
        <v>0</v>
      </c>
    </row>
    <row r="168" spans="5:33" ht="18">
      <c r="E168" s="3446"/>
      <c r="F168" s="1421" t="s">
        <v>35</v>
      </c>
      <c r="G168" s="413"/>
      <c r="H168" s="458"/>
      <c r="I168" s="458"/>
      <c r="J168" s="458"/>
      <c r="K168" s="625"/>
      <c r="L168" s="459"/>
      <c r="M168" s="458"/>
      <c r="N168" s="458"/>
      <c r="O168" s="458"/>
      <c r="P168" s="625"/>
      <c r="Q168" s="459"/>
      <c r="R168" s="458"/>
      <c r="S168" s="458"/>
      <c r="T168" s="458"/>
      <c r="U168" s="460"/>
      <c r="V168" s="3438"/>
      <c r="W168" s="1172"/>
      <c r="X168" s="1172"/>
      <c r="Y168" s="1172"/>
      <c r="Z168" s="462"/>
      <c r="AA168" s="463"/>
      <c r="AB168" s="463"/>
      <c r="AC168" s="463"/>
      <c r="AD168" s="464"/>
      <c r="AE168" s="462"/>
      <c r="AF168" s="463"/>
      <c r="AG168" s="464"/>
    </row>
    <row r="169" spans="5:33" ht="18.75" thickBot="1">
      <c r="E169" s="3447"/>
      <c r="F169" s="1443" t="s">
        <v>585</v>
      </c>
      <c r="G169" s="1152">
        <f>G167-G168</f>
        <v>59723.852931124093</v>
      </c>
      <c r="H169" s="1152">
        <v>233248.09336443822</v>
      </c>
      <c r="I169" s="1152">
        <f t="shared" ref="I169:U169" si="118">I167-I168</f>
        <v>16586.19817126956</v>
      </c>
      <c r="J169" s="1152">
        <f t="shared" si="118"/>
        <v>-110.68668251116408</v>
      </c>
      <c r="K169" s="3481">
        <f t="shared" si="118"/>
        <v>0</v>
      </c>
      <c r="L169" s="1447">
        <f t="shared" si="118"/>
        <v>-21448.484086001205</v>
      </c>
      <c r="M169" s="1152">
        <f t="shared" si="118"/>
        <v>-28842.590463301145</v>
      </c>
      <c r="N169" s="1152">
        <f t="shared" si="118"/>
        <v>0</v>
      </c>
      <c r="O169" s="1152">
        <f t="shared" si="118"/>
        <v>676232.0130041989</v>
      </c>
      <c r="P169" s="3481">
        <f t="shared" si="118"/>
        <v>659617.75882568816</v>
      </c>
      <c r="Q169" s="1447">
        <f t="shared" si="118"/>
        <v>91924.566054331357</v>
      </c>
      <c r="R169" s="1152">
        <f t="shared" si="118"/>
        <v>421147.49718884425</v>
      </c>
      <c r="S169" s="1152">
        <f t="shared" si="118"/>
        <v>1001992.5229717859</v>
      </c>
      <c r="T169" s="1152">
        <f t="shared" si="118"/>
        <v>521736.41181326722</v>
      </c>
      <c r="U169" s="1152">
        <f t="shared" si="118"/>
        <v>217949.63954844407</v>
      </c>
      <c r="V169" s="3439"/>
      <c r="W169" s="844"/>
      <c r="X169" s="844"/>
      <c r="Y169" s="844"/>
      <c r="Z169" s="1447">
        <f t="shared" ref="Z169:AE169" si="119">Z167-Z168</f>
        <v>0</v>
      </c>
      <c r="AA169" s="1150">
        <f t="shared" si="119"/>
        <v>0</v>
      </c>
      <c r="AB169" s="1150">
        <f t="shared" si="119"/>
        <v>0</v>
      </c>
      <c r="AC169" s="1150">
        <f t="shared" si="119"/>
        <v>0</v>
      </c>
      <c r="AD169" s="1151">
        <f t="shared" si="119"/>
        <v>0</v>
      </c>
      <c r="AE169" s="1447">
        <f t="shared" si="119"/>
        <v>0</v>
      </c>
      <c r="AF169" s="1150">
        <f>AF167-AF168</f>
        <v>0</v>
      </c>
      <c r="AG169" s="1151">
        <f t="shared" ref="AG169" si="120">AG167-AG168</f>
        <v>0</v>
      </c>
    </row>
    <row r="170" spans="5:33" ht="18">
      <c r="E170" s="3446" t="s">
        <v>1774</v>
      </c>
      <c r="F170" s="1442" t="s">
        <v>598</v>
      </c>
      <c r="G170" s="528"/>
      <c r="H170" s="3757"/>
      <c r="I170" s="528"/>
      <c r="J170" s="528"/>
      <c r="K170" s="528"/>
      <c r="L170" s="538"/>
      <c r="M170" s="539"/>
      <c r="N170" s="539"/>
      <c r="O170" s="539"/>
      <c r="P170" s="539"/>
      <c r="Q170" s="538"/>
      <c r="R170" s="539"/>
      <c r="S170" s="539"/>
      <c r="T170" s="539"/>
      <c r="U170" s="540"/>
      <c r="V170" s="3437"/>
      <c r="W170" s="1172"/>
      <c r="X170" s="1172"/>
      <c r="Y170" s="1172"/>
      <c r="Z170" s="527"/>
      <c r="AA170" s="528"/>
      <c r="AB170" s="528"/>
      <c r="AC170" s="528"/>
      <c r="AD170" s="529"/>
      <c r="AE170" s="538"/>
      <c r="AF170" s="539"/>
      <c r="AG170" s="540"/>
    </row>
    <row r="171" spans="5:33" ht="18">
      <c r="E171" s="3446"/>
      <c r="F171" s="1421" t="s">
        <v>559</v>
      </c>
      <c r="G171" s="468">
        <v>0</v>
      </c>
      <c r="H171" s="468">
        <v>3908.0970000000002</v>
      </c>
      <c r="I171" s="468">
        <v>0</v>
      </c>
      <c r="J171" s="468">
        <v>0</v>
      </c>
      <c r="K171" s="468">
        <v>0</v>
      </c>
      <c r="L171" s="459">
        <v>22597.02</v>
      </c>
      <c r="M171" s="458">
        <v>0</v>
      </c>
      <c r="N171" s="458">
        <v>0</v>
      </c>
      <c r="O171" s="458">
        <v>123500</v>
      </c>
      <c r="P171" s="625">
        <v>199605</v>
      </c>
      <c r="Q171" s="459">
        <v>0</v>
      </c>
      <c r="R171" s="458">
        <v>0</v>
      </c>
      <c r="S171" s="458">
        <v>0</v>
      </c>
      <c r="T171" s="458">
        <v>0</v>
      </c>
      <c r="U171" s="458">
        <v>0</v>
      </c>
      <c r="V171" s="3438"/>
      <c r="W171" s="1172"/>
      <c r="X171" s="1172"/>
      <c r="Y171" s="1172"/>
      <c r="Z171" s="470"/>
      <c r="AA171" s="468"/>
      <c r="AB171" s="468"/>
      <c r="AC171" s="468"/>
      <c r="AD171" s="530"/>
      <c r="AE171" s="462"/>
      <c r="AF171" s="463"/>
      <c r="AG171" s="464"/>
    </row>
    <row r="172" spans="5:33" ht="18">
      <c r="E172" s="3446"/>
      <c r="F172" s="1421" t="s">
        <v>558</v>
      </c>
      <c r="G172" s="468">
        <v>0</v>
      </c>
      <c r="H172" s="468">
        <v>0</v>
      </c>
      <c r="I172" s="468">
        <v>34141.875</v>
      </c>
      <c r="J172" s="468">
        <v>170168.745</v>
      </c>
      <c r="K172" s="468">
        <v>1431450.5249000001</v>
      </c>
      <c r="L172" s="459">
        <v>361399.81149999995</v>
      </c>
      <c r="M172" s="458">
        <v>0</v>
      </c>
      <c r="N172" s="458">
        <v>0</v>
      </c>
      <c r="O172" s="458">
        <v>76941</v>
      </c>
      <c r="P172" s="625">
        <v>34079</v>
      </c>
      <c r="Q172" s="459">
        <v>0</v>
      </c>
      <c r="R172" s="458">
        <v>0</v>
      </c>
      <c r="S172" s="458">
        <v>0</v>
      </c>
      <c r="T172" s="458">
        <v>0</v>
      </c>
      <c r="U172" s="458">
        <v>0</v>
      </c>
      <c r="V172" s="3438"/>
      <c r="W172" s="1172"/>
      <c r="X172" s="1172"/>
      <c r="Y172" s="1172"/>
      <c r="Z172" s="470"/>
      <c r="AA172" s="468"/>
      <c r="AB172" s="468"/>
      <c r="AC172" s="468"/>
      <c r="AD172" s="530"/>
      <c r="AE172" s="462"/>
      <c r="AF172" s="463"/>
      <c r="AG172" s="464"/>
    </row>
    <row r="173" spans="5:33" ht="18">
      <c r="E173" s="3446"/>
      <c r="F173" s="1421" t="s">
        <v>578</v>
      </c>
      <c r="G173" s="468">
        <v>0</v>
      </c>
      <c r="H173" s="468">
        <v>0</v>
      </c>
      <c r="I173" s="468">
        <v>0</v>
      </c>
      <c r="J173" s="468">
        <v>0</v>
      </c>
      <c r="K173" s="468">
        <v>0</v>
      </c>
      <c r="L173" s="459">
        <v>0</v>
      </c>
      <c r="M173" s="458">
        <v>0</v>
      </c>
      <c r="N173" s="458">
        <v>0</v>
      </c>
      <c r="O173" s="458">
        <v>153702</v>
      </c>
      <c r="P173" s="625">
        <v>253159</v>
      </c>
      <c r="Q173" s="459">
        <v>0</v>
      </c>
      <c r="R173" s="458">
        <v>0</v>
      </c>
      <c r="S173" s="458">
        <v>0</v>
      </c>
      <c r="T173" s="458">
        <v>0</v>
      </c>
      <c r="U173" s="458">
        <v>0</v>
      </c>
      <c r="V173" s="3438"/>
      <c r="W173" s="1172"/>
      <c r="X173" s="1172"/>
      <c r="Y173" s="1172"/>
      <c r="Z173" s="470"/>
      <c r="AA173" s="468"/>
      <c r="AB173" s="468"/>
      <c r="AC173" s="468"/>
      <c r="AD173" s="530"/>
      <c r="AE173" s="462"/>
      <c r="AF173" s="463"/>
      <c r="AG173" s="464"/>
    </row>
    <row r="174" spans="5:33" ht="18">
      <c r="E174" s="3446"/>
      <c r="F174" s="1441" t="s">
        <v>566</v>
      </c>
      <c r="G174" s="354">
        <f>SUM(G171:G173)</f>
        <v>0</v>
      </c>
      <c r="H174" s="354">
        <v>3908.0970000000002</v>
      </c>
      <c r="I174" s="354">
        <f t="shared" ref="I174:U174" si="121">SUM(I171:I173)</f>
        <v>34141.875</v>
      </c>
      <c r="J174" s="354">
        <f t="shared" si="121"/>
        <v>170168.745</v>
      </c>
      <c r="K174" s="626">
        <f t="shared" si="121"/>
        <v>1431450.5249000001</v>
      </c>
      <c r="L174" s="353">
        <f t="shared" si="121"/>
        <v>383996.83149999997</v>
      </c>
      <c r="M174" s="354">
        <f t="shared" si="121"/>
        <v>0</v>
      </c>
      <c r="N174" s="354">
        <f t="shared" si="121"/>
        <v>0</v>
      </c>
      <c r="O174" s="354">
        <f t="shared" si="121"/>
        <v>354143</v>
      </c>
      <c r="P174" s="626">
        <f t="shared" si="121"/>
        <v>486843</v>
      </c>
      <c r="Q174" s="353">
        <f t="shared" si="121"/>
        <v>0</v>
      </c>
      <c r="R174" s="354">
        <f t="shared" si="121"/>
        <v>0</v>
      </c>
      <c r="S174" s="354">
        <f t="shared" si="121"/>
        <v>0</v>
      </c>
      <c r="T174" s="354">
        <f t="shared" si="121"/>
        <v>0</v>
      </c>
      <c r="U174" s="354">
        <f t="shared" si="121"/>
        <v>0</v>
      </c>
      <c r="V174" s="3438"/>
      <c r="W174" s="1172"/>
      <c r="X174" s="1172"/>
      <c r="Y174" s="1172"/>
      <c r="Z174" s="462"/>
      <c r="AA174" s="463"/>
      <c r="AB174" s="463"/>
      <c r="AC174" s="463"/>
      <c r="AD174" s="464"/>
      <c r="AE174" s="353"/>
      <c r="AF174" s="354">
        <f t="shared" ref="AF174:AG174" si="122">SUM(AF171:AF173)</f>
        <v>0</v>
      </c>
      <c r="AG174" s="450">
        <f t="shared" si="122"/>
        <v>0</v>
      </c>
    </row>
    <row r="175" spans="5:33" ht="18">
      <c r="E175" s="3446"/>
      <c r="F175" s="1421" t="s">
        <v>583</v>
      </c>
      <c r="G175" s="413">
        <f>G174*'[5]IT capitalised overheads'!C$7</f>
        <v>0</v>
      </c>
      <c r="H175" s="458">
        <v>164.40632791379389</v>
      </c>
      <c r="I175" s="458">
        <f>I174*'[5]IT capitalised overheads'!E$7</f>
        <v>1212.0261537707345</v>
      </c>
      <c r="J175" s="458">
        <f>J174*'[5]IT capitalised overheads'!F$7</f>
        <v>7822.7298458594969</v>
      </c>
      <c r="K175" s="625">
        <f>K174*'[5]IT capitalised overheads'!G$7</f>
        <v>67392.505957806919</v>
      </c>
      <c r="L175" s="511">
        <f>L174*'[5]IT capitalised overheads'!H$7</f>
        <v>18806.184806947313</v>
      </c>
      <c r="M175" s="512">
        <f>M174*'[5]IT capitalised overheads'!I$7</f>
        <v>0</v>
      </c>
      <c r="N175" s="512">
        <f>N174*'[5]IT capitalised overheads'!J$7</f>
        <v>0</v>
      </c>
      <c r="O175" s="512">
        <f>O174*'[5]IT capitalised overheads'!K$7</f>
        <v>33990.815736422868</v>
      </c>
      <c r="P175" s="3480">
        <f>P174*'[5]IT capitalised overheads'!L$7</f>
        <v>28574.388616263681</v>
      </c>
      <c r="Q175" s="564">
        <f>Q174*'[5]IT capitalised overheads'!M$7</f>
        <v>0</v>
      </c>
      <c r="R175" s="477">
        <f>R174*'[5]IT capitalised overheads'!N$7</f>
        <v>0</v>
      </c>
      <c r="S175" s="477">
        <f>S174*'[5]IT capitalised overheads'!O$7</f>
        <v>0</v>
      </c>
      <c r="T175" s="477">
        <f>T174*'[5]IT capitalised overheads'!P$7</f>
        <v>0</v>
      </c>
      <c r="U175" s="519">
        <f>U174*'[5]IT capitalised overheads'!Q$7</f>
        <v>0</v>
      </c>
      <c r="V175" s="3438"/>
      <c r="W175" s="1172"/>
      <c r="X175" s="1172"/>
      <c r="Y175" s="1172"/>
      <c r="Z175" s="462"/>
      <c r="AA175" s="463"/>
      <c r="AB175" s="463"/>
      <c r="AC175" s="463"/>
      <c r="AD175" s="464"/>
      <c r="AE175" s="511"/>
      <c r="AF175" s="512"/>
      <c r="AG175" s="547"/>
    </row>
    <row r="176" spans="5:33" ht="18">
      <c r="E176" s="3446"/>
      <c r="F176" s="1421" t="s">
        <v>581</v>
      </c>
      <c r="G176" s="413"/>
      <c r="H176" s="458"/>
      <c r="I176" s="458"/>
      <c r="J176" s="458"/>
      <c r="K176" s="625"/>
      <c r="L176" s="462"/>
      <c r="M176" s="463"/>
      <c r="N176" s="463"/>
      <c r="O176" s="463"/>
      <c r="P176" s="1190"/>
      <c r="Q176" s="459"/>
      <c r="R176" s="458"/>
      <c r="S176" s="458"/>
      <c r="T176" s="458"/>
      <c r="U176" s="460"/>
      <c r="V176" s="3438"/>
      <c r="W176" s="1172"/>
      <c r="X176" s="1172"/>
      <c r="Y176" s="1172"/>
      <c r="Z176" s="462"/>
      <c r="AA176" s="463"/>
      <c r="AB176" s="463"/>
      <c r="AC176" s="463"/>
      <c r="AD176" s="464"/>
      <c r="AE176" s="462"/>
      <c r="AF176" s="463"/>
      <c r="AG176" s="464"/>
    </row>
    <row r="177" spans="5:33" ht="18">
      <c r="E177" s="3446"/>
      <c r="F177" s="1441" t="s">
        <v>584</v>
      </c>
      <c r="G177" s="1147">
        <f>SUM(G174:G176)</f>
        <v>0</v>
      </c>
      <c r="H177" s="1147">
        <v>4072.5033279137942</v>
      </c>
      <c r="I177" s="1147">
        <f t="shared" ref="I177:U177" si="123">SUM(I174:I176)</f>
        <v>35353.901153770734</v>
      </c>
      <c r="J177" s="1147">
        <f t="shared" si="123"/>
        <v>177991.47484585948</v>
      </c>
      <c r="K177" s="1147">
        <f t="shared" si="123"/>
        <v>1498843.030857807</v>
      </c>
      <c r="L177" s="1147">
        <f t="shared" si="123"/>
        <v>402803.01630694728</v>
      </c>
      <c r="M177" s="1147">
        <f t="shared" si="123"/>
        <v>0</v>
      </c>
      <c r="N177" s="1147">
        <f t="shared" si="123"/>
        <v>0</v>
      </c>
      <c r="O177" s="1147">
        <f t="shared" si="123"/>
        <v>388133.8157364229</v>
      </c>
      <c r="P177" s="1147">
        <f t="shared" si="123"/>
        <v>515417.38861626369</v>
      </c>
      <c r="Q177" s="1147">
        <f t="shared" si="123"/>
        <v>0</v>
      </c>
      <c r="R177" s="1147">
        <f t="shared" si="123"/>
        <v>0</v>
      </c>
      <c r="S177" s="1147">
        <f t="shared" si="123"/>
        <v>0</v>
      </c>
      <c r="T177" s="1147">
        <f t="shared" si="123"/>
        <v>0</v>
      </c>
      <c r="U177" s="1147">
        <f t="shared" si="123"/>
        <v>0</v>
      </c>
      <c r="V177" s="3438"/>
      <c r="W177" s="844"/>
      <c r="X177" s="844"/>
      <c r="Y177" s="844"/>
      <c r="Z177" s="1144">
        <f t="shared" ref="Z177:AG177" si="124">SUM(Z175:Z176)</f>
        <v>0</v>
      </c>
      <c r="AA177" s="1145">
        <f t="shared" si="124"/>
        <v>0</v>
      </c>
      <c r="AB177" s="1145">
        <f t="shared" si="124"/>
        <v>0</v>
      </c>
      <c r="AC177" s="1145">
        <f t="shared" si="124"/>
        <v>0</v>
      </c>
      <c r="AD177" s="1146">
        <f t="shared" si="124"/>
        <v>0</v>
      </c>
      <c r="AE177" s="1144">
        <f t="shared" si="124"/>
        <v>0</v>
      </c>
      <c r="AF177" s="1145">
        <f t="shared" si="124"/>
        <v>0</v>
      </c>
      <c r="AG177" s="1146">
        <f t="shared" si="124"/>
        <v>0</v>
      </c>
    </row>
    <row r="178" spans="5:33" ht="18">
      <c r="E178" s="3446"/>
      <c r="F178" s="1421" t="s">
        <v>35</v>
      </c>
      <c r="G178" s="413"/>
      <c r="H178" s="458"/>
      <c r="I178" s="458"/>
      <c r="J178" s="458"/>
      <c r="K178" s="625"/>
      <c r="L178" s="459"/>
      <c r="M178" s="458"/>
      <c r="N178" s="458"/>
      <c r="O178" s="458"/>
      <c r="P178" s="625"/>
      <c r="Q178" s="459"/>
      <c r="R178" s="458"/>
      <c r="S178" s="458"/>
      <c r="T178" s="458"/>
      <c r="U178" s="460"/>
      <c r="V178" s="3438"/>
      <c r="W178" s="1172"/>
      <c r="X178" s="1172"/>
      <c r="Y178" s="1172"/>
      <c r="Z178" s="462"/>
      <c r="AA178" s="463"/>
      <c r="AB178" s="463"/>
      <c r="AC178" s="463"/>
      <c r="AD178" s="464"/>
      <c r="AE178" s="462"/>
      <c r="AF178" s="463"/>
      <c r="AG178" s="464"/>
    </row>
    <row r="179" spans="5:33" ht="18.75" thickBot="1">
      <c r="E179" s="3447"/>
      <c r="F179" s="1443" t="s">
        <v>585</v>
      </c>
      <c r="G179" s="1152">
        <f>G177-G178</f>
        <v>0</v>
      </c>
      <c r="H179" s="1152">
        <v>4072.5033279137942</v>
      </c>
      <c r="I179" s="1152">
        <f t="shared" ref="I179:U179" si="125">I177-I178</f>
        <v>35353.901153770734</v>
      </c>
      <c r="J179" s="1152">
        <f t="shared" si="125"/>
        <v>177991.47484585948</v>
      </c>
      <c r="K179" s="3481">
        <f t="shared" si="125"/>
        <v>1498843.030857807</v>
      </c>
      <c r="L179" s="1447">
        <f t="shared" si="125"/>
        <v>402803.01630694728</v>
      </c>
      <c r="M179" s="1152">
        <f t="shared" si="125"/>
        <v>0</v>
      </c>
      <c r="N179" s="1152">
        <f t="shared" si="125"/>
        <v>0</v>
      </c>
      <c r="O179" s="1152">
        <f t="shared" si="125"/>
        <v>388133.8157364229</v>
      </c>
      <c r="P179" s="3481">
        <f t="shared" si="125"/>
        <v>515417.38861626369</v>
      </c>
      <c r="Q179" s="1447">
        <f t="shared" si="125"/>
        <v>0</v>
      </c>
      <c r="R179" s="1152">
        <f t="shared" si="125"/>
        <v>0</v>
      </c>
      <c r="S179" s="1152">
        <f t="shared" si="125"/>
        <v>0</v>
      </c>
      <c r="T179" s="1152">
        <f t="shared" si="125"/>
        <v>0</v>
      </c>
      <c r="U179" s="1152">
        <f t="shared" si="125"/>
        <v>0</v>
      </c>
      <c r="V179" s="3439"/>
      <c r="W179" s="844"/>
      <c r="X179" s="844"/>
      <c r="Y179" s="844"/>
      <c r="Z179" s="1447">
        <f t="shared" ref="Z179:AE179" si="126">Z177-Z178</f>
        <v>0</v>
      </c>
      <c r="AA179" s="1150">
        <f t="shared" si="126"/>
        <v>0</v>
      </c>
      <c r="AB179" s="1150">
        <f t="shared" si="126"/>
        <v>0</v>
      </c>
      <c r="AC179" s="1150">
        <f t="shared" si="126"/>
        <v>0</v>
      </c>
      <c r="AD179" s="1151">
        <f t="shared" si="126"/>
        <v>0</v>
      </c>
      <c r="AE179" s="1447">
        <f t="shared" si="126"/>
        <v>0</v>
      </c>
      <c r="AF179" s="1150">
        <f>AF177-AF178</f>
        <v>0</v>
      </c>
      <c r="AG179" s="1151">
        <f t="shared" ref="AG179" si="127">AG177-AG178</f>
        <v>0</v>
      </c>
    </row>
    <row r="180" spans="5:33" ht="18">
      <c r="E180" s="3446" t="s">
        <v>1775</v>
      </c>
      <c r="F180" s="1442" t="s">
        <v>598</v>
      </c>
      <c r="G180" s="528"/>
      <c r="H180" s="3757"/>
      <c r="I180" s="528"/>
      <c r="J180" s="528"/>
      <c r="K180" s="528"/>
      <c r="L180" s="538"/>
      <c r="M180" s="539"/>
      <c r="N180" s="539"/>
      <c r="O180" s="539"/>
      <c r="P180" s="539"/>
      <c r="Q180" s="538"/>
      <c r="R180" s="539"/>
      <c r="S180" s="539"/>
      <c r="T180" s="539"/>
      <c r="U180" s="540"/>
      <c r="V180" s="3437"/>
      <c r="W180" s="1172"/>
      <c r="X180" s="1172"/>
      <c r="Y180" s="1172"/>
      <c r="Z180" s="527"/>
      <c r="AA180" s="528"/>
      <c r="AB180" s="528"/>
      <c r="AC180" s="528"/>
      <c r="AD180" s="529"/>
      <c r="AE180" s="538"/>
      <c r="AF180" s="539"/>
      <c r="AG180" s="540"/>
    </row>
    <row r="181" spans="5:33" ht="18">
      <c r="E181" s="3446"/>
      <c r="F181" s="1421" t="s">
        <v>559</v>
      </c>
      <c r="G181" s="468">
        <v>10810</v>
      </c>
      <c r="H181" s="468">
        <v>0</v>
      </c>
      <c r="I181" s="468">
        <v>0</v>
      </c>
      <c r="J181" s="468">
        <v>0</v>
      </c>
      <c r="K181" s="468">
        <v>0</v>
      </c>
      <c r="L181" s="459">
        <v>0</v>
      </c>
      <c r="M181" s="458">
        <v>0</v>
      </c>
      <c r="N181" s="458">
        <v>0</v>
      </c>
      <c r="O181" s="458">
        <v>0</v>
      </c>
      <c r="P181" s="625">
        <v>0</v>
      </c>
      <c r="Q181" s="459">
        <v>0</v>
      </c>
      <c r="R181" s="458">
        <v>0</v>
      </c>
      <c r="S181" s="458">
        <v>0</v>
      </c>
      <c r="T181" s="458">
        <v>0</v>
      </c>
      <c r="U181" s="458">
        <v>0</v>
      </c>
      <c r="V181" s="3438"/>
      <c r="W181" s="1172"/>
      <c r="X181" s="1172"/>
      <c r="Y181" s="1172"/>
      <c r="Z181" s="470"/>
      <c r="AA181" s="468"/>
      <c r="AB181" s="468"/>
      <c r="AC181" s="468"/>
      <c r="AD181" s="530"/>
      <c r="AE181" s="462"/>
      <c r="AF181" s="463"/>
      <c r="AG181" s="464"/>
    </row>
    <row r="182" spans="5:33" ht="18">
      <c r="E182" s="3446"/>
      <c r="F182" s="1421" t="s">
        <v>558</v>
      </c>
      <c r="G182" s="468">
        <v>44869</v>
      </c>
      <c r="H182" s="468">
        <v>12671.270999999999</v>
      </c>
      <c r="I182" s="468">
        <v>0</v>
      </c>
      <c r="J182" s="468">
        <v>0</v>
      </c>
      <c r="K182" s="468">
        <v>0</v>
      </c>
      <c r="L182" s="459">
        <v>0</v>
      </c>
      <c r="M182" s="458">
        <v>0</v>
      </c>
      <c r="N182" s="458">
        <v>0</v>
      </c>
      <c r="O182" s="458">
        <v>0</v>
      </c>
      <c r="P182" s="625">
        <v>0</v>
      </c>
      <c r="Q182" s="459">
        <v>0</v>
      </c>
      <c r="R182" s="458">
        <v>0</v>
      </c>
      <c r="S182" s="458">
        <v>0</v>
      </c>
      <c r="T182" s="458">
        <v>0</v>
      </c>
      <c r="U182" s="458">
        <v>0</v>
      </c>
      <c r="V182" s="3438"/>
      <c r="W182" s="1172"/>
      <c r="X182" s="1172"/>
      <c r="Y182" s="1172"/>
      <c r="Z182" s="470"/>
      <c r="AA182" s="468"/>
      <c r="AB182" s="468"/>
      <c r="AC182" s="468"/>
      <c r="AD182" s="530"/>
      <c r="AE182" s="462"/>
      <c r="AF182" s="463"/>
      <c r="AG182" s="464"/>
    </row>
    <row r="183" spans="5:33" ht="18">
      <c r="E183" s="3446"/>
      <c r="F183" s="1421" t="s">
        <v>578</v>
      </c>
      <c r="G183" s="468">
        <v>0</v>
      </c>
      <c r="H183" s="468">
        <v>1234</v>
      </c>
      <c r="I183" s="468">
        <v>0</v>
      </c>
      <c r="J183" s="468">
        <v>0</v>
      </c>
      <c r="K183" s="468">
        <v>0</v>
      </c>
      <c r="L183" s="459">
        <v>0</v>
      </c>
      <c r="M183" s="458">
        <v>0</v>
      </c>
      <c r="N183" s="458">
        <v>0</v>
      </c>
      <c r="O183" s="458">
        <v>0</v>
      </c>
      <c r="P183" s="625">
        <v>0</v>
      </c>
      <c r="Q183" s="459">
        <v>0</v>
      </c>
      <c r="R183" s="458">
        <v>0</v>
      </c>
      <c r="S183" s="458">
        <v>0</v>
      </c>
      <c r="T183" s="458">
        <v>0</v>
      </c>
      <c r="U183" s="458">
        <v>0</v>
      </c>
      <c r="V183" s="3438"/>
      <c r="W183" s="1172"/>
      <c r="X183" s="1172"/>
      <c r="Y183" s="1172"/>
      <c r="Z183" s="470"/>
      <c r="AA183" s="468"/>
      <c r="AB183" s="468"/>
      <c r="AC183" s="468"/>
      <c r="AD183" s="530"/>
      <c r="AE183" s="462"/>
      <c r="AF183" s="463"/>
      <c r="AG183" s="464"/>
    </row>
    <row r="184" spans="5:33" ht="18">
      <c r="E184" s="3446"/>
      <c r="F184" s="1441" t="s">
        <v>566</v>
      </c>
      <c r="G184" s="354">
        <f>SUM(G181:G183)</f>
        <v>55679</v>
      </c>
      <c r="H184" s="354">
        <v>13905.270999999999</v>
      </c>
      <c r="I184" s="354">
        <f t="shared" ref="I184:U184" si="128">SUM(I181:I183)</f>
        <v>0</v>
      </c>
      <c r="J184" s="354">
        <f t="shared" si="128"/>
        <v>0</v>
      </c>
      <c r="K184" s="626">
        <f t="shared" si="128"/>
        <v>0</v>
      </c>
      <c r="L184" s="353">
        <f t="shared" si="128"/>
        <v>0</v>
      </c>
      <c r="M184" s="354">
        <f t="shared" si="128"/>
        <v>0</v>
      </c>
      <c r="N184" s="354">
        <f t="shared" si="128"/>
        <v>0</v>
      </c>
      <c r="O184" s="354">
        <f t="shared" si="128"/>
        <v>0</v>
      </c>
      <c r="P184" s="626">
        <f t="shared" si="128"/>
        <v>0</v>
      </c>
      <c r="Q184" s="353">
        <f t="shared" si="128"/>
        <v>0</v>
      </c>
      <c r="R184" s="354">
        <f t="shared" si="128"/>
        <v>0</v>
      </c>
      <c r="S184" s="354">
        <f t="shared" si="128"/>
        <v>0</v>
      </c>
      <c r="T184" s="354">
        <f t="shared" si="128"/>
        <v>0</v>
      </c>
      <c r="U184" s="354">
        <f t="shared" si="128"/>
        <v>0</v>
      </c>
      <c r="V184" s="3438"/>
      <c r="W184" s="1172"/>
      <c r="X184" s="1172"/>
      <c r="Y184" s="1172"/>
      <c r="Z184" s="462"/>
      <c r="AA184" s="463"/>
      <c r="AB184" s="463"/>
      <c r="AC184" s="463"/>
      <c r="AD184" s="464"/>
      <c r="AE184" s="353"/>
      <c r="AF184" s="354">
        <f t="shared" ref="AF184:AG184" si="129">SUM(AF181:AF183)</f>
        <v>0</v>
      </c>
      <c r="AG184" s="450">
        <f t="shared" si="129"/>
        <v>0</v>
      </c>
    </row>
    <row r="185" spans="5:33" ht="18">
      <c r="E185" s="3446"/>
      <c r="F185" s="1421" t="s">
        <v>583</v>
      </c>
      <c r="G185" s="413">
        <f>G184*'[5]IT capitalised overheads'!C$7</f>
        <v>5434.4178845507222</v>
      </c>
      <c r="H185" s="458">
        <v>584.96873126643686</v>
      </c>
      <c r="I185" s="458">
        <f>I184*'[5]IT capitalised overheads'!E$7</f>
        <v>0</v>
      </c>
      <c r="J185" s="458">
        <f>J184*'[5]IT capitalised overheads'!F$7</f>
        <v>0</v>
      </c>
      <c r="K185" s="625">
        <f>K184*'[5]IT capitalised overheads'!G$7</f>
        <v>0</v>
      </c>
      <c r="L185" s="511">
        <f>L184*'[5]IT capitalised overheads'!H$7</f>
        <v>0</v>
      </c>
      <c r="M185" s="512">
        <f>M184*'[5]IT capitalised overheads'!I$7</f>
        <v>0</v>
      </c>
      <c r="N185" s="512">
        <f>N184*'[5]IT capitalised overheads'!J$7</f>
        <v>0</v>
      </c>
      <c r="O185" s="512">
        <f>O184*'[5]IT capitalised overheads'!K$7</f>
        <v>0</v>
      </c>
      <c r="P185" s="3480">
        <f>P184*'[5]IT capitalised overheads'!L$7</f>
        <v>0</v>
      </c>
      <c r="Q185" s="564">
        <f>Q184*'[5]IT capitalised overheads'!M$7</f>
        <v>0</v>
      </c>
      <c r="R185" s="477">
        <f>R184*'[5]IT capitalised overheads'!N$7</f>
        <v>0</v>
      </c>
      <c r="S185" s="477">
        <f>S184*'[5]IT capitalised overheads'!O$7</f>
        <v>0</v>
      </c>
      <c r="T185" s="477">
        <f>T184*'[5]IT capitalised overheads'!P$7</f>
        <v>0</v>
      </c>
      <c r="U185" s="519">
        <f>U184*'[5]IT capitalised overheads'!Q$7</f>
        <v>0</v>
      </c>
      <c r="V185" s="3438"/>
      <c r="W185" s="1172"/>
      <c r="X185" s="1172"/>
      <c r="Y185" s="1172"/>
      <c r="Z185" s="462"/>
      <c r="AA185" s="463"/>
      <c r="AB185" s="463"/>
      <c r="AC185" s="463"/>
      <c r="AD185" s="464"/>
      <c r="AE185" s="511"/>
      <c r="AF185" s="512"/>
      <c r="AG185" s="547"/>
    </row>
    <row r="186" spans="5:33" ht="18">
      <c r="E186" s="3446"/>
      <c r="F186" s="1421" t="s">
        <v>581</v>
      </c>
      <c r="G186" s="413"/>
      <c r="H186" s="458"/>
      <c r="I186" s="458"/>
      <c r="J186" s="458"/>
      <c r="K186" s="625"/>
      <c r="L186" s="462"/>
      <c r="M186" s="463"/>
      <c r="N186" s="463"/>
      <c r="O186" s="463"/>
      <c r="P186" s="1190"/>
      <c r="Q186" s="459"/>
      <c r="R186" s="458"/>
      <c r="S186" s="458"/>
      <c r="T186" s="458"/>
      <c r="U186" s="460"/>
      <c r="V186" s="3438"/>
      <c r="W186" s="1172"/>
      <c r="X186" s="1172"/>
      <c r="Y186" s="1172"/>
      <c r="Z186" s="462"/>
      <c r="AA186" s="463"/>
      <c r="AB186" s="463"/>
      <c r="AC186" s="463"/>
      <c r="AD186" s="464"/>
      <c r="AE186" s="462"/>
      <c r="AF186" s="463"/>
      <c r="AG186" s="464"/>
    </row>
    <row r="187" spans="5:33" ht="18">
      <c r="E187" s="3446"/>
      <c r="F187" s="1441" t="s">
        <v>584</v>
      </c>
      <c r="G187" s="1147">
        <f>SUM(G184:G186)</f>
        <v>61113.417884550719</v>
      </c>
      <c r="H187" s="1147">
        <v>14490.239731266436</v>
      </c>
      <c r="I187" s="1147">
        <f t="shared" ref="I187:U187" si="130">SUM(I184:I186)</f>
        <v>0</v>
      </c>
      <c r="J187" s="1147">
        <f t="shared" si="130"/>
        <v>0</v>
      </c>
      <c r="K187" s="1147">
        <f t="shared" si="130"/>
        <v>0</v>
      </c>
      <c r="L187" s="1147">
        <f t="shared" si="130"/>
        <v>0</v>
      </c>
      <c r="M187" s="1147">
        <f t="shared" si="130"/>
        <v>0</v>
      </c>
      <c r="N187" s="1147">
        <f t="shared" si="130"/>
        <v>0</v>
      </c>
      <c r="O187" s="1147">
        <f t="shared" si="130"/>
        <v>0</v>
      </c>
      <c r="P187" s="1147">
        <f t="shared" si="130"/>
        <v>0</v>
      </c>
      <c r="Q187" s="1147">
        <f t="shared" si="130"/>
        <v>0</v>
      </c>
      <c r="R187" s="1147">
        <f t="shared" si="130"/>
        <v>0</v>
      </c>
      <c r="S187" s="1147">
        <f t="shared" si="130"/>
        <v>0</v>
      </c>
      <c r="T187" s="1147">
        <f t="shared" si="130"/>
        <v>0</v>
      </c>
      <c r="U187" s="1147">
        <f t="shared" si="130"/>
        <v>0</v>
      </c>
      <c r="V187" s="3438"/>
      <c r="W187" s="844"/>
      <c r="X187" s="844"/>
      <c r="Y187" s="844"/>
      <c r="Z187" s="1144">
        <f t="shared" ref="Z187:AG187" si="131">SUM(Z185:Z186)</f>
        <v>0</v>
      </c>
      <c r="AA187" s="1145">
        <f t="shared" si="131"/>
        <v>0</v>
      </c>
      <c r="AB187" s="1145">
        <f t="shared" si="131"/>
        <v>0</v>
      </c>
      <c r="AC187" s="1145">
        <f t="shared" si="131"/>
        <v>0</v>
      </c>
      <c r="AD187" s="1146">
        <f t="shared" si="131"/>
        <v>0</v>
      </c>
      <c r="AE187" s="1144">
        <f t="shared" si="131"/>
        <v>0</v>
      </c>
      <c r="AF187" s="1145">
        <f t="shared" si="131"/>
        <v>0</v>
      </c>
      <c r="AG187" s="1146">
        <f t="shared" si="131"/>
        <v>0</v>
      </c>
    </row>
    <row r="188" spans="5:33" ht="18">
      <c r="E188" s="3446"/>
      <c r="F188" s="1421" t="s">
        <v>35</v>
      </c>
      <c r="G188" s="413"/>
      <c r="H188" s="458"/>
      <c r="I188" s="458"/>
      <c r="J188" s="458"/>
      <c r="K188" s="625"/>
      <c r="L188" s="459"/>
      <c r="M188" s="458"/>
      <c r="N188" s="458"/>
      <c r="O188" s="458"/>
      <c r="P188" s="625"/>
      <c r="Q188" s="459"/>
      <c r="R188" s="458"/>
      <c r="S188" s="458"/>
      <c r="T188" s="458"/>
      <c r="U188" s="460"/>
      <c r="V188" s="3438"/>
      <c r="W188" s="1172"/>
      <c r="X188" s="1172"/>
      <c r="Y188" s="1172"/>
      <c r="Z188" s="462"/>
      <c r="AA188" s="463"/>
      <c r="AB188" s="463"/>
      <c r="AC188" s="463"/>
      <c r="AD188" s="464"/>
      <c r="AE188" s="462"/>
      <c r="AF188" s="463"/>
      <c r="AG188" s="464"/>
    </row>
    <row r="189" spans="5:33" ht="18.75" thickBot="1">
      <c r="E189" s="3447"/>
      <c r="F189" s="1443" t="s">
        <v>585</v>
      </c>
      <c r="G189" s="1152">
        <f>G187-G188</f>
        <v>61113.417884550719</v>
      </c>
      <c r="H189" s="1152">
        <v>14490.239731266436</v>
      </c>
      <c r="I189" s="1152">
        <f t="shared" ref="I189:U189" si="132">I187-I188</f>
        <v>0</v>
      </c>
      <c r="J189" s="1152">
        <f t="shared" si="132"/>
        <v>0</v>
      </c>
      <c r="K189" s="3481">
        <f t="shared" si="132"/>
        <v>0</v>
      </c>
      <c r="L189" s="1447">
        <f t="shared" si="132"/>
        <v>0</v>
      </c>
      <c r="M189" s="1152">
        <f t="shared" si="132"/>
        <v>0</v>
      </c>
      <c r="N189" s="1152">
        <f t="shared" si="132"/>
        <v>0</v>
      </c>
      <c r="O189" s="1152">
        <f t="shared" si="132"/>
        <v>0</v>
      </c>
      <c r="P189" s="3481">
        <f t="shared" si="132"/>
        <v>0</v>
      </c>
      <c r="Q189" s="1447">
        <f t="shared" si="132"/>
        <v>0</v>
      </c>
      <c r="R189" s="1152">
        <f t="shared" si="132"/>
        <v>0</v>
      </c>
      <c r="S189" s="1152">
        <f t="shared" si="132"/>
        <v>0</v>
      </c>
      <c r="T189" s="1152">
        <f t="shared" si="132"/>
        <v>0</v>
      </c>
      <c r="U189" s="1152">
        <f t="shared" si="132"/>
        <v>0</v>
      </c>
      <c r="V189" s="3439"/>
      <c r="W189" s="844"/>
      <c r="X189" s="844"/>
      <c r="Y189" s="844"/>
      <c r="Z189" s="1447">
        <f t="shared" ref="Z189:AE189" si="133">Z187-Z188</f>
        <v>0</v>
      </c>
      <c r="AA189" s="1150">
        <f t="shared" si="133"/>
        <v>0</v>
      </c>
      <c r="AB189" s="1150">
        <f t="shared" si="133"/>
        <v>0</v>
      </c>
      <c r="AC189" s="1150">
        <f t="shared" si="133"/>
        <v>0</v>
      </c>
      <c r="AD189" s="1151">
        <f t="shared" si="133"/>
        <v>0</v>
      </c>
      <c r="AE189" s="1447">
        <f t="shared" si="133"/>
        <v>0</v>
      </c>
      <c r="AF189" s="1150">
        <f>AF187-AF188</f>
        <v>0</v>
      </c>
      <c r="AG189" s="1151">
        <f t="shared" ref="AG189" si="134">AG187-AG188</f>
        <v>0</v>
      </c>
    </row>
    <row r="190" spans="5:33" ht="18">
      <c r="E190" s="3446" t="s">
        <v>62</v>
      </c>
      <c r="F190" s="1442" t="s">
        <v>598</v>
      </c>
      <c r="G190" s="528"/>
      <c r="H190" s="3757"/>
      <c r="I190" s="528"/>
      <c r="J190" s="528"/>
      <c r="K190" s="528"/>
      <c r="L190" s="538"/>
      <c r="M190" s="539"/>
      <c r="N190" s="539"/>
      <c r="O190" s="539"/>
      <c r="P190" s="539"/>
      <c r="Q190" s="538"/>
      <c r="R190" s="539"/>
      <c r="S190" s="539"/>
      <c r="T190" s="539"/>
      <c r="U190" s="540"/>
      <c r="V190" s="3437"/>
      <c r="W190" s="1172"/>
      <c r="X190" s="1172"/>
      <c r="Y190" s="1172"/>
      <c r="Z190" s="527"/>
      <c r="AA190" s="528"/>
      <c r="AB190" s="528"/>
      <c r="AC190" s="528"/>
      <c r="AD190" s="529"/>
      <c r="AE190" s="538"/>
      <c r="AF190" s="539"/>
      <c r="AG190" s="540"/>
    </row>
    <row r="191" spans="5:33" ht="18">
      <c r="E191" s="3446"/>
      <c r="F191" s="1421" t="s">
        <v>559</v>
      </c>
      <c r="G191" s="468">
        <v>24619</v>
      </c>
      <c r="H191" s="468">
        <v>5741.7036324504315</v>
      </c>
      <c r="I191" s="468">
        <v>-2.3209354981063815E-13</v>
      </c>
      <c r="J191" s="468">
        <v>27885.566231004559</v>
      </c>
      <c r="K191" s="468">
        <v>0</v>
      </c>
      <c r="L191" s="459">
        <v>-173802.2283248973</v>
      </c>
      <c r="M191" s="458">
        <v>-44489.792600000015</v>
      </c>
      <c r="N191" s="458">
        <v>0</v>
      </c>
      <c r="O191" s="458">
        <v>7829</v>
      </c>
      <c r="P191" s="625">
        <v>24099</v>
      </c>
      <c r="Q191" s="459">
        <v>0</v>
      </c>
      <c r="R191" s="458">
        <v>0</v>
      </c>
      <c r="S191" s="458">
        <v>0</v>
      </c>
      <c r="T191" s="458">
        <v>0</v>
      </c>
      <c r="U191" s="458">
        <v>0</v>
      </c>
      <c r="V191" s="3438"/>
      <c r="W191" s="1172"/>
      <c r="X191" s="1172"/>
      <c r="Y191" s="1172"/>
      <c r="Z191" s="470"/>
      <c r="AA191" s="468"/>
      <c r="AB191" s="468"/>
      <c r="AC191" s="468"/>
      <c r="AD191" s="530"/>
      <c r="AE191" s="462"/>
      <c r="AF191" s="463"/>
      <c r="AG191" s="464"/>
    </row>
    <row r="192" spans="5:33" ht="18">
      <c r="E192" s="3446"/>
      <c r="F192" s="1421" t="s">
        <v>558</v>
      </c>
      <c r="G192" s="468">
        <v>325813</v>
      </c>
      <c r="H192" s="468">
        <v>698713.3675659555</v>
      </c>
      <c r="I192" s="468">
        <v>558578.6881512535</v>
      </c>
      <c r="J192" s="468">
        <v>661228.56962764089</v>
      </c>
      <c r="K192" s="468">
        <v>1341982.6963191943</v>
      </c>
      <c r="L192" s="459">
        <v>1110472.2445867581</v>
      </c>
      <c r="M192" s="458">
        <v>-179256.29340000002</v>
      </c>
      <c r="N192" s="458">
        <v>0</v>
      </c>
      <c r="O192" s="458">
        <v>4877</v>
      </c>
      <c r="P192" s="625">
        <v>4114</v>
      </c>
      <c r="Q192" s="459">
        <v>0</v>
      </c>
      <c r="R192" s="458">
        <v>0</v>
      </c>
      <c r="S192" s="458">
        <v>0</v>
      </c>
      <c r="T192" s="458">
        <v>0</v>
      </c>
      <c r="U192" s="458">
        <v>0</v>
      </c>
      <c r="V192" s="3438"/>
      <c r="W192" s="1172"/>
      <c r="X192" s="1172"/>
      <c r="Y192" s="1172"/>
      <c r="Z192" s="470"/>
      <c r="AA192" s="468"/>
      <c r="AB192" s="468"/>
      <c r="AC192" s="468"/>
      <c r="AD192" s="530"/>
      <c r="AE192" s="462"/>
      <c r="AF192" s="463"/>
      <c r="AG192" s="464"/>
    </row>
    <row r="193" spans="5:33" ht="18">
      <c r="E193" s="3446"/>
      <c r="F193" s="1421" t="s">
        <v>578</v>
      </c>
      <c r="G193" s="468">
        <v>64159</v>
      </c>
      <c r="H193" s="468">
        <v>-34227</v>
      </c>
      <c r="I193" s="468">
        <v>27.56943488401318</v>
      </c>
      <c r="J193" s="468">
        <v>-3579.5172115304949</v>
      </c>
      <c r="K193" s="468">
        <v>-340376.25658652169</v>
      </c>
      <c r="L193" s="459">
        <v>20139</v>
      </c>
      <c r="M193" s="458">
        <v>-20.810899999999958</v>
      </c>
      <c r="N193" s="458">
        <v>0</v>
      </c>
      <c r="O193" s="458">
        <v>9743</v>
      </c>
      <c r="P193" s="625">
        <v>30565</v>
      </c>
      <c r="Q193" s="459">
        <v>0</v>
      </c>
      <c r="R193" s="458">
        <v>0</v>
      </c>
      <c r="S193" s="458">
        <v>0</v>
      </c>
      <c r="T193" s="458">
        <v>0</v>
      </c>
      <c r="U193" s="458">
        <v>0</v>
      </c>
      <c r="V193" s="3438"/>
      <c r="W193" s="1172"/>
      <c r="X193" s="1172"/>
      <c r="Y193" s="1172"/>
      <c r="Z193" s="470"/>
      <c r="AA193" s="468"/>
      <c r="AB193" s="468"/>
      <c r="AC193" s="468"/>
      <c r="AD193" s="530"/>
      <c r="AE193" s="462"/>
      <c r="AF193" s="463"/>
      <c r="AG193" s="464"/>
    </row>
    <row r="194" spans="5:33" ht="18">
      <c r="E194" s="3446"/>
      <c r="F194" s="1441" t="s">
        <v>566</v>
      </c>
      <c r="G194" s="354">
        <f>SUM(G191:G193)</f>
        <v>414591</v>
      </c>
      <c r="H194" s="354">
        <v>670228.07119840593</v>
      </c>
      <c r="I194" s="354">
        <f t="shared" ref="I194:U194" si="135">SUM(I191:I193)</f>
        <v>558606.25758613751</v>
      </c>
      <c r="J194" s="354">
        <f t="shared" si="135"/>
        <v>685534.61864711496</v>
      </c>
      <c r="K194" s="626">
        <f t="shared" si="135"/>
        <v>1001606.4397326726</v>
      </c>
      <c r="L194" s="353">
        <f t="shared" si="135"/>
        <v>956809.01626186073</v>
      </c>
      <c r="M194" s="354">
        <f t="shared" si="135"/>
        <v>-223766.89690000005</v>
      </c>
      <c r="N194" s="354">
        <f t="shared" si="135"/>
        <v>0</v>
      </c>
      <c r="O194" s="354">
        <f t="shared" si="135"/>
        <v>22449</v>
      </c>
      <c r="P194" s="626">
        <f t="shared" si="135"/>
        <v>58778</v>
      </c>
      <c r="Q194" s="353">
        <f t="shared" si="135"/>
        <v>0</v>
      </c>
      <c r="R194" s="354">
        <f t="shared" si="135"/>
        <v>0</v>
      </c>
      <c r="S194" s="354">
        <f t="shared" si="135"/>
        <v>0</v>
      </c>
      <c r="T194" s="354">
        <f t="shared" si="135"/>
        <v>0</v>
      </c>
      <c r="U194" s="354">
        <f t="shared" si="135"/>
        <v>0</v>
      </c>
      <c r="V194" s="3438"/>
      <c r="W194" s="1172"/>
      <c r="X194" s="1172"/>
      <c r="Y194" s="1172"/>
      <c r="Z194" s="462"/>
      <c r="AA194" s="463"/>
      <c r="AB194" s="463"/>
      <c r="AC194" s="463"/>
      <c r="AD194" s="464"/>
      <c r="AE194" s="353"/>
      <c r="AF194" s="354">
        <f t="shared" ref="AF194:AG194" si="136">SUM(AF191:AF193)</f>
        <v>0</v>
      </c>
      <c r="AG194" s="450">
        <f t="shared" si="136"/>
        <v>0</v>
      </c>
    </row>
    <row r="195" spans="5:33" ht="18">
      <c r="E195" s="3446"/>
      <c r="F195" s="1421" t="s">
        <v>583</v>
      </c>
      <c r="G195" s="413">
        <f>G194*'[5]IT capitalised overheads'!C$7</f>
        <v>40465.179783648571</v>
      </c>
      <c r="H195" s="458">
        <v>28195.240816815629</v>
      </c>
      <c r="I195" s="458">
        <f>I194*'[5]IT capitalised overheads'!E$7</f>
        <v>19830.351843722419</v>
      </c>
      <c r="J195" s="458">
        <f>J194*'[5]IT capitalised overheads'!F$7</f>
        <v>31514.319046430617</v>
      </c>
      <c r="K195" s="625">
        <f>K194*'[5]IT capitalised overheads'!G$7</f>
        <v>47155.501907254162</v>
      </c>
      <c r="L195" s="511">
        <f>L194*'[5]IT capitalised overheads'!H$7</f>
        <v>46859.57202949997</v>
      </c>
      <c r="M195" s="512">
        <f>M194*'[5]IT capitalised overheads'!I$7</f>
        <v>-16674.196473396467</v>
      </c>
      <c r="N195" s="512">
        <f>N194*'[5]IT capitalised overheads'!J$7</f>
        <v>0</v>
      </c>
      <c r="O195" s="512">
        <f>O194*'[5]IT capitalised overheads'!K$7</f>
        <v>2154.6658340471417</v>
      </c>
      <c r="P195" s="3480">
        <f>P194*'[5]IT capitalised overheads'!L$7</f>
        <v>3449.8707264698201</v>
      </c>
      <c r="Q195" s="564">
        <f>Q194*'[5]IT capitalised overheads'!M$7</f>
        <v>0</v>
      </c>
      <c r="R195" s="477">
        <f>R194*'[5]IT capitalised overheads'!N$7</f>
        <v>0</v>
      </c>
      <c r="S195" s="477">
        <f>S194*'[5]IT capitalised overheads'!O$7</f>
        <v>0</v>
      </c>
      <c r="T195" s="477">
        <f>T194*'[5]IT capitalised overheads'!P$7</f>
        <v>0</v>
      </c>
      <c r="U195" s="519">
        <f>U194*'[5]IT capitalised overheads'!Q$7</f>
        <v>0</v>
      </c>
      <c r="V195" s="3438"/>
      <c r="W195" s="1172"/>
      <c r="X195" s="1172"/>
      <c r="Y195" s="1172"/>
      <c r="Z195" s="462"/>
      <c r="AA195" s="463"/>
      <c r="AB195" s="463"/>
      <c r="AC195" s="463"/>
      <c r="AD195" s="464"/>
      <c r="AE195" s="511"/>
      <c r="AF195" s="512"/>
      <c r="AG195" s="547"/>
    </row>
    <row r="196" spans="5:33" ht="18">
      <c r="E196" s="3446"/>
      <c r="F196" s="1421" t="s">
        <v>581</v>
      </c>
      <c r="G196" s="413"/>
      <c r="H196" s="458"/>
      <c r="I196" s="458"/>
      <c r="J196" s="458"/>
      <c r="K196" s="625"/>
      <c r="L196" s="462"/>
      <c r="M196" s="463"/>
      <c r="N196" s="463"/>
      <c r="O196" s="463"/>
      <c r="P196" s="1190"/>
      <c r="Q196" s="459"/>
      <c r="R196" s="458"/>
      <c r="S196" s="458"/>
      <c r="T196" s="458"/>
      <c r="U196" s="460"/>
      <c r="V196" s="3438"/>
      <c r="W196" s="1172"/>
      <c r="X196" s="1172"/>
      <c r="Y196" s="1172"/>
      <c r="Z196" s="462"/>
      <c r="AA196" s="463"/>
      <c r="AB196" s="463"/>
      <c r="AC196" s="463"/>
      <c r="AD196" s="464"/>
      <c r="AE196" s="462"/>
      <c r="AF196" s="463"/>
      <c r="AG196" s="464"/>
    </row>
    <row r="197" spans="5:33" ht="18">
      <c r="E197" s="3446"/>
      <c r="F197" s="1441" t="s">
        <v>584</v>
      </c>
      <c r="G197" s="1147">
        <f>SUM(G194:G196)</f>
        <v>455056.17978364858</v>
      </c>
      <c r="H197" s="1147">
        <v>698423.31201522157</v>
      </c>
      <c r="I197" s="1147">
        <f t="shared" ref="I197:U197" si="137">SUM(I194:I196)</f>
        <v>578436.60942985991</v>
      </c>
      <c r="J197" s="1147">
        <f t="shared" si="137"/>
        <v>717048.93769354559</v>
      </c>
      <c r="K197" s="1147">
        <f t="shared" si="137"/>
        <v>1048761.9416399268</v>
      </c>
      <c r="L197" s="1147">
        <f t="shared" si="137"/>
        <v>1003668.5882913606</v>
      </c>
      <c r="M197" s="1147">
        <f t="shared" si="137"/>
        <v>-240441.09337339652</v>
      </c>
      <c r="N197" s="1147">
        <f t="shared" si="137"/>
        <v>0</v>
      </c>
      <c r="O197" s="1147">
        <f t="shared" si="137"/>
        <v>24603.66583404714</v>
      </c>
      <c r="P197" s="1147">
        <f t="shared" si="137"/>
        <v>62227.870726469817</v>
      </c>
      <c r="Q197" s="1147">
        <f t="shared" si="137"/>
        <v>0</v>
      </c>
      <c r="R197" s="1147">
        <f t="shared" si="137"/>
        <v>0</v>
      </c>
      <c r="S197" s="1147">
        <f t="shared" si="137"/>
        <v>0</v>
      </c>
      <c r="T197" s="1147">
        <f t="shared" si="137"/>
        <v>0</v>
      </c>
      <c r="U197" s="1147">
        <f t="shared" si="137"/>
        <v>0</v>
      </c>
      <c r="V197" s="3438"/>
      <c r="W197" s="844"/>
      <c r="X197" s="844"/>
      <c r="Y197" s="844"/>
      <c r="Z197" s="1144">
        <f t="shared" ref="Z197:AG197" si="138">SUM(Z195:Z196)</f>
        <v>0</v>
      </c>
      <c r="AA197" s="1145">
        <f t="shared" si="138"/>
        <v>0</v>
      </c>
      <c r="AB197" s="1145">
        <f t="shared" si="138"/>
        <v>0</v>
      </c>
      <c r="AC197" s="1145">
        <f t="shared" si="138"/>
        <v>0</v>
      </c>
      <c r="AD197" s="1146">
        <f t="shared" si="138"/>
        <v>0</v>
      </c>
      <c r="AE197" s="1144">
        <f t="shared" si="138"/>
        <v>0</v>
      </c>
      <c r="AF197" s="1145">
        <f t="shared" si="138"/>
        <v>0</v>
      </c>
      <c r="AG197" s="1146">
        <f t="shared" si="138"/>
        <v>0</v>
      </c>
    </row>
    <row r="198" spans="5:33" ht="18">
      <c r="E198" s="3446"/>
      <c r="F198" s="1421" t="s">
        <v>35</v>
      </c>
      <c r="G198" s="413"/>
      <c r="H198" s="458"/>
      <c r="I198" s="458"/>
      <c r="J198" s="458"/>
      <c r="K198" s="625"/>
      <c r="L198" s="459"/>
      <c r="M198" s="458"/>
      <c r="N198" s="458"/>
      <c r="O198" s="458"/>
      <c r="P198" s="625"/>
      <c r="Q198" s="459"/>
      <c r="R198" s="458"/>
      <c r="S198" s="458"/>
      <c r="T198" s="458"/>
      <c r="U198" s="460"/>
      <c r="V198" s="3438"/>
      <c r="W198" s="1172"/>
      <c r="X198" s="1172"/>
      <c r="Y198" s="1172"/>
      <c r="Z198" s="462"/>
      <c r="AA198" s="463"/>
      <c r="AB198" s="463"/>
      <c r="AC198" s="463"/>
      <c r="AD198" s="464"/>
      <c r="AE198" s="462"/>
      <c r="AF198" s="463"/>
      <c r="AG198" s="464"/>
    </row>
    <row r="199" spans="5:33" ht="18.75" thickBot="1">
      <c r="E199" s="3447"/>
      <c r="F199" s="1443" t="s">
        <v>585</v>
      </c>
      <c r="G199" s="1152">
        <f>G197-G198</f>
        <v>455056.17978364858</v>
      </c>
      <c r="H199" s="1152">
        <v>698423.31201522157</v>
      </c>
      <c r="I199" s="1152">
        <f t="shared" ref="I199:U199" si="139">I197-I198</f>
        <v>578436.60942985991</v>
      </c>
      <c r="J199" s="1152">
        <f t="shared" si="139"/>
        <v>717048.93769354559</v>
      </c>
      <c r="K199" s="3481">
        <f t="shared" si="139"/>
        <v>1048761.9416399268</v>
      </c>
      <c r="L199" s="1447">
        <f t="shared" si="139"/>
        <v>1003668.5882913606</v>
      </c>
      <c r="M199" s="1152">
        <f t="shared" si="139"/>
        <v>-240441.09337339652</v>
      </c>
      <c r="N199" s="1152">
        <f t="shared" si="139"/>
        <v>0</v>
      </c>
      <c r="O199" s="1152">
        <f t="shared" si="139"/>
        <v>24603.66583404714</v>
      </c>
      <c r="P199" s="3481">
        <f t="shared" si="139"/>
        <v>62227.870726469817</v>
      </c>
      <c r="Q199" s="1447">
        <f t="shared" si="139"/>
        <v>0</v>
      </c>
      <c r="R199" s="1152">
        <f t="shared" si="139"/>
        <v>0</v>
      </c>
      <c r="S199" s="1152">
        <f t="shared" si="139"/>
        <v>0</v>
      </c>
      <c r="T199" s="1152">
        <f t="shared" si="139"/>
        <v>0</v>
      </c>
      <c r="U199" s="1152">
        <f t="shared" si="139"/>
        <v>0</v>
      </c>
      <c r="V199" s="3439"/>
      <c r="W199" s="844"/>
      <c r="X199" s="844"/>
      <c r="Y199" s="844"/>
      <c r="Z199" s="1447">
        <f t="shared" ref="Z199:AE199" si="140">Z197-Z198</f>
        <v>0</v>
      </c>
      <c r="AA199" s="1150">
        <f t="shared" si="140"/>
        <v>0</v>
      </c>
      <c r="AB199" s="1150">
        <f t="shared" si="140"/>
        <v>0</v>
      </c>
      <c r="AC199" s="1150">
        <f t="shared" si="140"/>
        <v>0</v>
      </c>
      <c r="AD199" s="1151">
        <f t="shared" si="140"/>
        <v>0</v>
      </c>
      <c r="AE199" s="1447">
        <f t="shared" si="140"/>
        <v>0</v>
      </c>
      <c r="AF199" s="1150">
        <f>AF197-AF198</f>
        <v>0</v>
      </c>
      <c r="AG199" s="1151">
        <f t="shared" ref="AG199" si="141">AG197-AG198</f>
        <v>0</v>
      </c>
    </row>
    <row r="200" spans="5:33" ht="18">
      <c r="E200" s="3446" t="s">
        <v>1776</v>
      </c>
      <c r="F200" s="1442" t="s">
        <v>598</v>
      </c>
      <c r="G200" s="528"/>
      <c r="H200" s="3757"/>
      <c r="I200" s="528"/>
      <c r="J200" s="528"/>
      <c r="K200" s="528"/>
      <c r="L200" s="538"/>
      <c r="M200" s="539"/>
      <c r="N200" s="539"/>
      <c r="O200" s="539"/>
      <c r="P200" s="539"/>
      <c r="Q200" s="538"/>
      <c r="R200" s="539"/>
      <c r="S200" s="539"/>
      <c r="T200" s="539"/>
      <c r="U200" s="540"/>
      <c r="V200" s="3437"/>
      <c r="W200" s="1172"/>
      <c r="X200" s="1172"/>
      <c r="Y200" s="1172"/>
      <c r="Z200" s="527"/>
      <c r="AA200" s="528"/>
      <c r="AB200" s="528"/>
      <c r="AC200" s="528"/>
      <c r="AD200" s="529"/>
      <c r="AE200" s="538"/>
      <c r="AF200" s="539"/>
      <c r="AG200" s="540"/>
    </row>
    <row r="201" spans="5:33" ht="18">
      <c r="E201" s="3446"/>
      <c r="F201" s="1421" t="s">
        <v>559</v>
      </c>
      <c r="G201" s="468">
        <v>0</v>
      </c>
      <c r="H201" s="468">
        <v>0</v>
      </c>
      <c r="I201" s="468">
        <v>0</v>
      </c>
      <c r="J201" s="468">
        <v>0</v>
      </c>
      <c r="K201" s="468">
        <v>0</v>
      </c>
      <c r="L201" s="459">
        <v>-7133.9939999999997</v>
      </c>
      <c r="M201" s="458">
        <v>20157.383999999998</v>
      </c>
      <c r="N201" s="458">
        <v>25731.465000000004</v>
      </c>
      <c r="O201" s="458">
        <v>38784</v>
      </c>
      <c r="P201" s="625">
        <v>467296</v>
      </c>
      <c r="Q201" s="459">
        <v>0</v>
      </c>
      <c r="R201" s="458">
        <v>0</v>
      </c>
      <c r="S201" s="458">
        <v>0</v>
      </c>
      <c r="T201" s="458">
        <v>0</v>
      </c>
      <c r="U201" s="458">
        <v>0</v>
      </c>
      <c r="V201" s="3438"/>
      <c r="W201" s="1172"/>
      <c r="X201" s="1172"/>
      <c r="Y201" s="1172"/>
      <c r="Z201" s="470"/>
      <c r="AA201" s="468"/>
      <c r="AB201" s="468"/>
      <c r="AC201" s="468"/>
      <c r="AD201" s="530"/>
      <c r="AE201" s="462"/>
      <c r="AF201" s="463"/>
      <c r="AG201" s="464"/>
    </row>
    <row r="202" spans="5:33" ht="18">
      <c r="E202" s="3446"/>
      <c r="F202" s="1421" t="s">
        <v>558</v>
      </c>
      <c r="G202" s="468">
        <v>0</v>
      </c>
      <c r="H202" s="468">
        <v>0</v>
      </c>
      <c r="I202" s="468">
        <v>0</v>
      </c>
      <c r="J202" s="468">
        <v>0</v>
      </c>
      <c r="K202" s="468">
        <v>0</v>
      </c>
      <c r="L202" s="459">
        <v>-818.29499999999825</v>
      </c>
      <c r="M202" s="458">
        <v>0</v>
      </c>
      <c r="N202" s="458">
        <v>128758.29999999999</v>
      </c>
      <c r="O202" s="458">
        <v>24163</v>
      </c>
      <c r="P202" s="625">
        <v>90181</v>
      </c>
      <c r="Q202" s="459">
        <v>0</v>
      </c>
      <c r="R202" s="458">
        <v>0</v>
      </c>
      <c r="S202" s="458">
        <v>0</v>
      </c>
      <c r="T202" s="458">
        <v>0</v>
      </c>
      <c r="U202" s="458">
        <v>0</v>
      </c>
      <c r="V202" s="3438"/>
      <c r="W202" s="1172"/>
      <c r="X202" s="1172"/>
      <c r="Y202" s="1172"/>
      <c r="Z202" s="470"/>
      <c r="AA202" s="468"/>
      <c r="AB202" s="468"/>
      <c r="AC202" s="468"/>
      <c r="AD202" s="530"/>
      <c r="AE202" s="462"/>
      <c r="AF202" s="463"/>
      <c r="AG202" s="464"/>
    </row>
    <row r="203" spans="5:33" ht="18">
      <c r="E203" s="3446"/>
      <c r="F203" s="1421" t="s">
        <v>578</v>
      </c>
      <c r="G203" s="468">
        <v>0</v>
      </c>
      <c r="H203" s="468">
        <v>0</v>
      </c>
      <c r="I203" s="468">
        <v>0</v>
      </c>
      <c r="J203" s="468">
        <v>0</v>
      </c>
      <c r="K203" s="468">
        <v>0</v>
      </c>
      <c r="L203" s="459">
        <v>873</v>
      </c>
      <c r="M203" s="458">
        <v>0</v>
      </c>
      <c r="N203" s="458">
        <v>0</v>
      </c>
      <c r="O203" s="458">
        <v>48269</v>
      </c>
      <c r="P203" s="625">
        <v>666067</v>
      </c>
      <c r="Q203" s="459">
        <v>0</v>
      </c>
      <c r="R203" s="458">
        <v>0</v>
      </c>
      <c r="S203" s="458">
        <v>0</v>
      </c>
      <c r="T203" s="458">
        <v>0</v>
      </c>
      <c r="U203" s="458">
        <v>0</v>
      </c>
      <c r="V203" s="3438"/>
      <c r="W203" s="1172"/>
      <c r="X203" s="1172"/>
      <c r="Y203" s="1172"/>
      <c r="Z203" s="470"/>
      <c r="AA203" s="468"/>
      <c r="AB203" s="468"/>
      <c r="AC203" s="468"/>
      <c r="AD203" s="530"/>
      <c r="AE203" s="462"/>
      <c r="AF203" s="463"/>
      <c r="AG203" s="464"/>
    </row>
    <row r="204" spans="5:33" ht="18">
      <c r="E204" s="3446"/>
      <c r="F204" s="1441" t="s">
        <v>566</v>
      </c>
      <c r="G204" s="354">
        <f>SUM(G201:G203)</f>
        <v>0</v>
      </c>
      <c r="H204" s="354">
        <v>0</v>
      </c>
      <c r="I204" s="354">
        <f t="shared" ref="I204:U204" si="142">SUM(I201:I203)</f>
        <v>0</v>
      </c>
      <c r="J204" s="354">
        <f t="shared" si="142"/>
        <v>0</v>
      </c>
      <c r="K204" s="626">
        <f t="shared" si="142"/>
        <v>0</v>
      </c>
      <c r="L204" s="353">
        <f t="shared" si="142"/>
        <v>-7079.2889999999979</v>
      </c>
      <c r="M204" s="354">
        <f t="shared" si="142"/>
        <v>20157.383999999998</v>
      </c>
      <c r="N204" s="354">
        <f t="shared" si="142"/>
        <v>154489.76499999998</v>
      </c>
      <c r="O204" s="354">
        <f t="shared" si="142"/>
        <v>111216</v>
      </c>
      <c r="P204" s="626">
        <f t="shared" si="142"/>
        <v>1223544</v>
      </c>
      <c r="Q204" s="353">
        <f t="shared" si="142"/>
        <v>0</v>
      </c>
      <c r="R204" s="354">
        <f t="shared" si="142"/>
        <v>0</v>
      </c>
      <c r="S204" s="354">
        <f t="shared" si="142"/>
        <v>0</v>
      </c>
      <c r="T204" s="354">
        <f t="shared" si="142"/>
        <v>0</v>
      </c>
      <c r="U204" s="354">
        <f t="shared" si="142"/>
        <v>0</v>
      </c>
      <c r="V204" s="3438"/>
      <c r="W204" s="1172"/>
      <c r="X204" s="1172"/>
      <c r="Y204" s="1172"/>
      <c r="Z204" s="462"/>
      <c r="AA204" s="463"/>
      <c r="AB204" s="463"/>
      <c r="AC204" s="463"/>
      <c r="AD204" s="464"/>
      <c r="AE204" s="353"/>
      <c r="AF204" s="354">
        <f t="shared" ref="AF204:AG204" si="143">SUM(AF201:AF203)</f>
        <v>0</v>
      </c>
      <c r="AG204" s="450">
        <f t="shared" si="143"/>
        <v>0</v>
      </c>
    </row>
    <row r="205" spans="5:33" ht="18">
      <c r="E205" s="3446"/>
      <c r="F205" s="1421" t="s">
        <v>583</v>
      </c>
      <c r="G205" s="413">
        <f>G204*'[5]IT capitalised overheads'!C$7</f>
        <v>0</v>
      </c>
      <c r="H205" s="458">
        <v>0</v>
      </c>
      <c r="I205" s="458">
        <f>I204*'[5]IT capitalised overheads'!E$7</f>
        <v>0</v>
      </c>
      <c r="J205" s="458">
        <f>J204*'[5]IT capitalised overheads'!F$7</f>
        <v>0</v>
      </c>
      <c r="K205" s="625">
        <f>K204*'[5]IT capitalised overheads'!G$7</f>
        <v>0</v>
      </c>
      <c r="L205" s="511">
        <f>L204*'[5]IT capitalised overheads'!H$7</f>
        <v>-346.70707233632271</v>
      </c>
      <c r="M205" s="512">
        <f>M204*'[5]IT capitalised overheads'!I$7</f>
        <v>1502.0460392580001</v>
      </c>
      <c r="N205" s="512">
        <f>N204*'[5]IT capitalised overheads'!J$7</f>
        <v>10313.253800826342</v>
      </c>
      <c r="O205" s="512">
        <f>O204*'[5]IT capitalised overheads'!K$7</f>
        <v>10674.565254549732</v>
      </c>
      <c r="P205" s="3480">
        <f>P204*'[5]IT capitalised overheads'!L$7</f>
        <v>71813.75052141599</v>
      </c>
      <c r="Q205" s="564">
        <f>Q204*'[5]IT capitalised overheads'!M$7</f>
        <v>0</v>
      </c>
      <c r="R205" s="477">
        <f>R204*'[5]IT capitalised overheads'!N$7</f>
        <v>0</v>
      </c>
      <c r="S205" s="477">
        <f>S204*'[5]IT capitalised overheads'!O$7</f>
        <v>0</v>
      </c>
      <c r="T205" s="477">
        <f>T204*'[5]IT capitalised overheads'!P$7</f>
        <v>0</v>
      </c>
      <c r="U205" s="519">
        <f>U204*'[5]IT capitalised overheads'!Q$7</f>
        <v>0</v>
      </c>
      <c r="V205" s="3438"/>
      <c r="W205" s="1172"/>
      <c r="X205" s="1172"/>
      <c r="Y205" s="1172"/>
      <c r="Z205" s="462"/>
      <c r="AA205" s="463"/>
      <c r="AB205" s="463"/>
      <c r="AC205" s="463"/>
      <c r="AD205" s="464"/>
      <c r="AE205" s="511"/>
      <c r="AF205" s="512"/>
      <c r="AG205" s="547"/>
    </row>
    <row r="206" spans="5:33" ht="18">
      <c r="E206" s="3446"/>
      <c r="F206" s="1421" t="s">
        <v>581</v>
      </c>
      <c r="G206" s="413"/>
      <c r="H206" s="458"/>
      <c r="I206" s="458"/>
      <c r="J206" s="458"/>
      <c r="K206" s="625"/>
      <c r="L206" s="462"/>
      <c r="M206" s="463"/>
      <c r="N206" s="463"/>
      <c r="O206" s="463"/>
      <c r="P206" s="1190"/>
      <c r="Q206" s="459"/>
      <c r="R206" s="458"/>
      <c r="S206" s="458"/>
      <c r="T206" s="458"/>
      <c r="U206" s="460"/>
      <c r="V206" s="3438"/>
      <c r="W206" s="1172"/>
      <c r="X206" s="1172"/>
      <c r="Y206" s="1172"/>
      <c r="Z206" s="462"/>
      <c r="AA206" s="463"/>
      <c r="AB206" s="463"/>
      <c r="AC206" s="463"/>
      <c r="AD206" s="464"/>
      <c r="AE206" s="462"/>
      <c r="AF206" s="463"/>
      <c r="AG206" s="464"/>
    </row>
    <row r="207" spans="5:33" ht="18">
      <c r="E207" s="3446"/>
      <c r="F207" s="1441" t="s">
        <v>584</v>
      </c>
      <c r="G207" s="1147">
        <f>SUM(G204:G206)</f>
        <v>0</v>
      </c>
      <c r="H207" s="1147">
        <v>0</v>
      </c>
      <c r="I207" s="1147">
        <f t="shared" ref="I207:U207" si="144">SUM(I204:I206)</f>
        <v>0</v>
      </c>
      <c r="J207" s="1147">
        <f t="shared" si="144"/>
        <v>0</v>
      </c>
      <c r="K207" s="1147">
        <f t="shared" si="144"/>
        <v>0</v>
      </c>
      <c r="L207" s="1147">
        <f t="shared" si="144"/>
        <v>-7425.996072336321</v>
      </c>
      <c r="M207" s="1147">
        <f t="shared" si="144"/>
        <v>21659.430039257997</v>
      </c>
      <c r="N207" s="1147">
        <f t="shared" si="144"/>
        <v>164803.01880082634</v>
      </c>
      <c r="O207" s="1147">
        <f t="shared" si="144"/>
        <v>121890.56525454973</v>
      </c>
      <c r="P207" s="1147">
        <f t="shared" si="144"/>
        <v>1295357.7505214161</v>
      </c>
      <c r="Q207" s="1147">
        <f t="shared" si="144"/>
        <v>0</v>
      </c>
      <c r="R207" s="1147">
        <f t="shared" si="144"/>
        <v>0</v>
      </c>
      <c r="S207" s="1147">
        <f t="shared" si="144"/>
        <v>0</v>
      </c>
      <c r="T207" s="1147">
        <f t="shared" si="144"/>
        <v>0</v>
      </c>
      <c r="U207" s="1147">
        <f t="shared" si="144"/>
        <v>0</v>
      </c>
      <c r="V207" s="3438"/>
      <c r="W207" s="844"/>
      <c r="X207" s="844"/>
      <c r="Y207" s="844"/>
      <c r="Z207" s="1144">
        <f t="shared" ref="Z207:AG207" si="145">SUM(Z205:Z206)</f>
        <v>0</v>
      </c>
      <c r="AA207" s="1145">
        <f t="shared" si="145"/>
        <v>0</v>
      </c>
      <c r="AB207" s="1145">
        <f t="shared" si="145"/>
        <v>0</v>
      </c>
      <c r="AC207" s="1145">
        <f t="shared" si="145"/>
        <v>0</v>
      </c>
      <c r="AD207" s="1146">
        <f t="shared" si="145"/>
        <v>0</v>
      </c>
      <c r="AE207" s="1144">
        <f t="shared" si="145"/>
        <v>0</v>
      </c>
      <c r="AF207" s="1145">
        <f t="shared" si="145"/>
        <v>0</v>
      </c>
      <c r="AG207" s="1146">
        <f t="shared" si="145"/>
        <v>0</v>
      </c>
    </row>
    <row r="208" spans="5:33" ht="18">
      <c r="E208" s="3446"/>
      <c r="F208" s="1421" t="s">
        <v>35</v>
      </c>
      <c r="G208" s="413"/>
      <c r="H208" s="458"/>
      <c r="I208" s="458"/>
      <c r="J208" s="458"/>
      <c r="K208" s="625"/>
      <c r="L208" s="459"/>
      <c r="M208" s="458"/>
      <c r="N208" s="458"/>
      <c r="O208" s="458"/>
      <c r="P208" s="625"/>
      <c r="Q208" s="459"/>
      <c r="R208" s="458"/>
      <c r="S208" s="458"/>
      <c r="T208" s="458"/>
      <c r="U208" s="460"/>
      <c r="V208" s="3438"/>
      <c r="W208" s="1172"/>
      <c r="X208" s="1172"/>
      <c r="Y208" s="1172"/>
      <c r="Z208" s="462"/>
      <c r="AA208" s="463"/>
      <c r="AB208" s="463"/>
      <c r="AC208" s="463"/>
      <c r="AD208" s="464"/>
      <c r="AE208" s="462"/>
      <c r="AF208" s="463"/>
      <c r="AG208" s="464"/>
    </row>
    <row r="209" spans="5:33" ht="18.75" thickBot="1">
      <c r="E209" s="3447"/>
      <c r="F209" s="1443" t="s">
        <v>585</v>
      </c>
      <c r="G209" s="1152">
        <f>G207-G208</f>
        <v>0</v>
      </c>
      <c r="H209" s="1152">
        <v>0</v>
      </c>
      <c r="I209" s="1152">
        <f t="shared" ref="I209:U209" si="146">I207-I208</f>
        <v>0</v>
      </c>
      <c r="J209" s="1152">
        <f t="shared" si="146"/>
        <v>0</v>
      </c>
      <c r="K209" s="3481">
        <f t="shared" si="146"/>
        <v>0</v>
      </c>
      <c r="L209" s="1447">
        <f t="shared" si="146"/>
        <v>-7425.996072336321</v>
      </c>
      <c r="M209" s="1152">
        <f t="shared" si="146"/>
        <v>21659.430039257997</v>
      </c>
      <c r="N209" s="1152">
        <f t="shared" si="146"/>
        <v>164803.01880082634</v>
      </c>
      <c r="O209" s="1152">
        <f t="shared" si="146"/>
        <v>121890.56525454973</v>
      </c>
      <c r="P209" s="3481">
        <f t="shared" si="146"/>
        <v>1295357.7505214161</v>
      </c>
      <c r="Q209" s="1447">
        <f t="shared" si="146"/>
        <v>0</v>
      </c>
      <c r="R209" s="1152">
        <f t="shared" si="146"/>
        <v>0</v>
      </c>
      <c r="S209" s="1152">
        <f t="shared" si="146"/>
        <v>0</v>
      </c>
      <c r="T209" s="1152">
        <f t="shared" si="146"/>
        <v>0</v>
      </c>
      <c r="U209" s="1152">
        <f t="shared" si="146"/>
        <v>0</v>
      </c>
      <c r="V209" s="3439"/>
      <c r="W209" s="844"/>
      <c r="X209" s="844"/>
      <c r="Y209" s="844"/>
      <c r="Z209" s="1447">
        <f t="shared" ref="Z209:AE209" si="147">Z207-Z208</f>
        <v>0</v>
      </c>
      <c r="AA209" s="1150">
        <f t="shared" si="147"/>
        <v>0</v>
      </c>
      <c r="AB209" s="1150">
        <f t="shared" si="147"/>
        <v>0</v>
      </c>
      <c r="AC209" s="1150">
        <f t="shared" si="147"/>
        <v>0</v>
      </c>
      <c r="AD209" s="1151">
        <f t="shared" si="147"/>
        <v>0</v>
      </c>
      <c r="AE209" s="1447">
        <f t="shared" si="147"/>
        <v>0</v>
      </c>
      <c r="AF209" s="1150">
        <f>AF207-AF208</f>
        <v>0</v>
      </c>
      <c r="AG209" s="1151">
        <f t="shared" ref="AG209" si="148">AG207-AG208</f>
        <v>0</v>
      </c>
    </row>
    <row r="210" spans="5:33" ht="18">
      <c r="E210" s="3446" t="s">
        <v>1549</v>
      </c>
      <c r="F210" s="1442" t="s">
        <v>598</v>
      </c>
      <c r="G210" s="528"/>
      <c r="H210" s="3757"/>
      <c r="I210" s="528"/>
      <c r="J210" s="528"/>
      <c r="K210" s="528"/>
      <c r="L210" s="538"/>
      <c r="M210" s="539"/>
      <c r="N210" s="539"/>
      <c r="O210" s="539"/>
      <c r="P210" s="539"/>
      <c r="Q210" s="538"/>
      <c r="R210" s="539"/>
      <c r="S210" s="539"/>
      <c r="T210" s="539"/>
      <c r="U210" s="540"/>
      <c r="V210" s="3437"/>
      <c r="W210" s="1172"/>
      <c r="X210" s="1172"/>
      <c r="Y210" s="1172"/>
      <c r="Z210" s="527"/>
      <c r="AA210" s="528"/>
      <c r="AB210" s="528"/>
      <c r="AC210" s="528"/>
      <c r="AD210" s="529"/>
      <c r="AE210" s="538"/>
      <c r="AF210" s="539"/>
      <c r="AG210" s="540"/>
    </row>
    <row r="211" spans="5:33" ht="18">
      <c r="E211" s="3446"/>
      <c r="F211" s="1421" t="s">
        <v>559</v>
      </c>
      <c r="G211" s="468">
        <v>0</v>
      </c>
      <c r="H211" s="468">
        <v>104478.18</v>
      </c>
      <c r="I211" s="468">
        <v>118327.731</v>
      </c>
      <c r="J211" s="468">
        <v>142177.29250000001</v>
      </c>
      <c r="K211" s="468">
        <v>103532.94749999999</v>
      </c>
      <c r="L211" s="459">
        <v>-226179.07500000001</v>
      </c>
      <c r="M211" s="458">
        <v>63034.777000000016</v>
      </c>
      <c r="N211" s="458">
        <v>8790.0159999999996</v>
      </c>
      <c r="O211" s="458">
        <v>0</v>
      </c>
      <c r="P211" s="625">
        <v>0</v>
      </c>
      <c r="Q211" s="459">
        <v>0</v>
      </c>
      <c r="R211" s="458">
        <v>0</v>
      </c>
      <c r="S211" s="458">
        <v>0</v>
      </c>
      <c r="T211" s="458">
        <v>0</v>
      </c>
      <c r="U211" s="458">
        <v>0</v>
      </c>
      <c r="V211" s="3438"/>
      <c r="W211" s="1172"/>
      <c r="X211" s="1172"/>
      <c r="Y211" s="1172"/>
      <c r="Z211" s="470"/>
      <c r="AA211" s="468"/>
      <c r="AB211" s="468"/>
      <c r="AC211" s="468"/>
      <c r="AD211" s="530"/>
      <c r="AE211" s="462"/>
      <c r="AF211" s="463"/>
      <c r="AG211" s="464"/>
    </row>
    <row r="212" spans="5:33" ht="18">
      <c r="E212" s="3446"/>
      <c r="F212" s="1421" t="s">
        <v>558</v>
      </c>
      <c r="G212" s="468">
        <v>0</v>
      </c>
      <c r="H212" s="468">
        <v>580222.96</v>
      </c>
      <c r="I212" s="468">
        <v>293498.25300000003</v>
      </c>
      <c r="J212" s="468">
        <v>93726.052000000025</v>
      </c>
      <c r="K212" s="468">
        <v>-11853.957500000048</v>
      </c>
      <c r="L212" s="459">
        <v>364437.86749999999</v>
      </c>
      <c r="M212" s="458">
        <v>-32857.779999999992</v>
      </c>
      <c r="N212" s="458">
        <v>66494.770999999993</v>
      </c>
      <c r="O212" s="458">
        <v>0</v>
      </c>
      <c r="P212" s="625">
        <v>0</v>
      </c>
      <c r="Q212" s="459">
        <v>0</v>
      </c>
      <c r="R212" s="458">
        <v>0</v>
      </c>
      <c r="S212" s="458">
        <v>0</v>
      </c>
      <c r="T212" s="458">
        <v>0</v>
      </c>
      <c r="U212" s="458">
        <v>0</v>
      </c>
      <c r="V212" s="3438"/>
      <c r="W212" s="1172"/>
      <c r="X212" s="1172"/>
      <c r="Y212" s="1172"/>
      <c r="Z212" s="470"/>
      <c r="AA212" s="468"/>
      <c r="AB212" s="468"/>
      <c r="AC212" s="468"/>
      <c r="AD212" s="530"/>
      <c r="AE212" s="462"/>
      <c r="AF212" s="463"/>
      <c r="AG212" s="464"/>
    </row>
    <row r="213" spans="5:33" ht="18">
      <c r="E213" s="3446"/>
      <c r="F213" s="1421" t="s">
        <v>578</v>
      </c>
      <c r="G213" s="468">
        <v>0</v>
      </c>
      <c r="H213" s="468">
        <v>204860</v>
      </c>
      <c r="I213" s="468">
        <v>1067.8399999999999</v>
      </c>
      <c r="J213" s="468">
        <v>3356</v>
      </c>
      <c r="K213" s="468">
        <v>1036</v>
      </c>
      <c r="L213" s="459">
        <v>829</v>
      </c>
      <c r="M213" s="458">
        <v>168.86250000000001</v>
      </c>
      <c r="N213" s="458">
        <v>0</v>
      </c>
      <c r="O213" s="458">
        <v>0</v>
      </c>
      <c r="P213" s="625">
        <v>0</v>
      </c>
      <c r="Q213" s="459">
        <v>0</v>
      </c>
      <c r="R213" s="458">
        <v>0</v>
      </c>
      <c r="S213" s="458">
        <v>0</v>
      </c>
      <c r="T213" s="458">
        <v>0</v>
      </c>
      <c r="U213" s="458">
        <v>0</v>
      </c>
      <c r="V213" s="3438"/>
      <c r="W213" s="1172"/>
      <c r="X213" s="1172"/>
      <c r="Y213" s="1172"/>
      <c r="Z213" s="470"/>
      <c r="AA213" s="468"/>
      <c r="AB213" s="468"/>
      <c r="AC213" s="468"/>
      <c r="AD213" s="530"/>
      <c r="AE213" s="462"/>
      <c r="AF213" s="463"/>
      <c r="AG213" s="464"/>
    </row>
    <row r="214" spans="5:33" ht="18">
      <c r="E214" s="3446"/>
      <c r="F214" s="1441" t="s">
        <v>566</v>
      </c>
      <c r="G214" s="354">
        <f>SUM(G211:G213)</f>
        <v>0</v>
      </c>
      <c r="H214" s="354">
        <v>889561.1399999999</v>
      </c>
      <c r="I214" s="354">
        <f t="shared" ref="I214:U214" si="149">SUM(I211:I213)</f>
        <v>412893.82400000008</v>
      </c>
      <c r="J214" s="354">
        <f t="shared" si="149"/>
        <v>239259.34450000004</v>
      </c>
      <c r="K214" s="626">
        <f t="shared" si="149"/>
        <v>92714.989999999947</v>
      </c>
      <c r="L214" s="353">
        <f t="shared" si="149"/>
        <v>139087.79249999998</v>
      </c>
      <c r="M214" s="354">
        <f t="shared" si="149"/>
        <v>30345.859500000024</v>
      </c>
      <c r="N214" s="354">
        <f t="shared" si="149"/>
        <v>75284.786999999997</v>
      </c>
      <c r="O214" s="354">
        <f t="shared" si="149"/>
        <v>0</v>
      </c>
      <c r="P214" s="626">
        <f t="shared" si="149"/>
        <v>0</v>
      </c>
      <c r="Q214" s="353">
        <f t="shared" si="149"/>
        <v>0</v>
      </c>
      <c r="R214" s="354">
        <f t="shared" si="149"/>
        <v>0</v>
      </c>
      <c r="S214" s="354">
        <f t="shared" si="149"/>
        <v>0</v>
      </c>
      <c r="T214" s="354">
        <f t="shared" si="149"/>
        <v>0</v>
      </c>
      <c r="U214" s="354">
        <f t="shared" si="149"/>
        <v>0</v>
      </c>
      <c r="V214" s="3438"/>
      <c r="W214" s="1172"/>
      <c r="X214" s="1172"/>
      <c r="Y214" s="1172"/>
      <c r="Z214" s="462"/>
      <c r="AA214" s="463"/>
      <c r="AB214" s="463"/>
      <c r="AC214" s="463"/>
      <c r="AD214" s="464"/>
      <c r="AE214" s="353"/>
      <c r="AF214" s="354">
        <f t="shared" ref="AF214:AG214" si="150">SUM(AF211:AF213)</f>
        <v>0</v>
      </c>
      <c r="AG214" s="450">
        <f t="shared" si="150"/>
        <v>0</v>
      </c>
    </row>
    <row r="215" spans="5:33" ht="18">
      <c r="E215" s="3446"/>
      <c r="F215" s="1421" t="s">
        <v>583</v>
      </c>
      <c r="G215" s="413">
        <f>G214*'[5]IT capitalised overheads'!C$7</f>
        <v>0</v>
      </c>
      <c r="H215" s="458">
        <v>37422.172602729224</v>
      </c>
      <c r="I215" s="458">
        <f>I214*'[5]IT capitalised overheads'!E$7</f>
        <v>14657.604874319604</v>
      </c>
      <c r="J215" s="458">
        <f>J214*'[5]IT capitalised overheads'!F$7</f>
        <v>10998.854196879278</v>
      </c>
      <c r="K215" s="625">
        <f>K214*'[5]IT capitalised overheads'!G$7</f>
        <v>4365.0097626598072</v>
      </c>
      <c r="L215" s="511">
        <f>L214*'[5]IT capitalised overheads'!H$7</f>
        <v>6811.8028993302787</v>
      </c>
      <c r="M215" s="512">
        <f>M214*'[5]IT capitalised overheads'!I$7</f>
        <v>2261.249677530318</v>
      </c>
      <c r="N215" s="512">
        <f>N214*'[5]IT capitalised overheads'!J$7</f>
        <v>5025.7770517817253</v>
      </c>
      <c r="O215" s="512">
        <f>O214*'[5]IT capitalised overheads'!K$7</f>
        <v>0</v>
      </c>
      <c r="P215" s="3480">
        <f>P214*'[5]IT capitalised overheads'!L$7</f>
        <v>0</v>
      </c>
      <c r="Q215" s="564">
        <f>Q214*'[5]IT capitalised overheads'!M$7</f>
        <v>0</v>
      </c>
      <c r="R215" s="477">
        <f>R214*'[5]IT capitalised overheads'!N$7</f>
        <v>0</v>
      </c>
      <c r="S215" s="477">
        <f>S214*'[5]IT capitalised overheads'!O$7</f>
        <v>0</v>
      </c>
      <c r="T215" s="477">
        <f>T214*'[5]IT capitalised overheads'!P$7</f>
        <v>0</v>
      </c>
      <c r="U215" s="519">
        <f>U214*'[5]IT capitalised overheads'!Q$7</f>
        <v>0</v>
      </c>
      <c r="V215" s="3438"/>
      <c r="W215" s="1172"/>
      <c r="X215" s="1172"/>
      <c r="Y215" s="1172"/>
      <c r="Z215" s="462"/>
      <c r="AA215" s="463"/>
      <c r="AB215" s="463"/>
      <c r="AC215" s="463"/>
      <c r="AD215" s="464"/>
      <c r="AE215" s="511"/>
      <c r="AF215" s="512"/>
      <c r="AG215" s="547"/>
    </row>
    <row r="216" spans="5:33" ht="18">
      <c r="E216" s="3446"/>
      <c r="F216" s="1421" t="s">
        <v>581</v>
      </c>
      <c r="G216" s="413"/>
      <c r="H216" s="458"/>
      <c r="I216" s="458"/>
      <c r="J216" s="458"/>
      <c r="K216" s="625"/>
      <c r="L216" s="462"/>
      <c r="M216" s="463"/>
      <c r="N216" s="463"/>
      <c r="O216" s="463"/>
      <c r="P216" s="1190"/>
      <c r="Q216" s="459"/>
      <c r="R216" s="458"/>
      <c r="S216" s="458"/>
      <c r="T216" s="458"/>
      <c r="U216" s="460"/>
      <c r="V216" s="3438"/>
      <c r="W216" s="1172"/>
      <c r="X216" s="1172"/>
      <c r="Y216" s="1172"/>
      <c r="Z216" s="462"/>
      <c r="AA216" s="463"/>
      <c r="AB216" s="463"/>
      <c r="AC216" s="463"/>
      <c r="AD216" s="464"/>
      <c r="AE216" s="462"/>
      <c r="AF216" s="463"/>
      <c r="AG216" s="464"/>
    </row>
    <row r="217" spans="5:33" ht="18">
      <c r="E217" s="3446"/>
      <c r="F217" s="1441" t="s">
        <v>584</v>
      </c>
      <c r="G217" s="1147">
        <f>SUM(G214:G216)</f>
        <v>0</v>
      </c>
      <c r="H217" s="1147">
        <v>926983.31260272907</v>
      </c>
      <c r="I217" s="1147">
        <f t="shared" ref="I217:U217" si="151">SUM(I214:I216)</f>
        <v>427551.42887431971</v>
      </c>
      <c r="J217" s="1147">
        <f t="shared" si="151"/>
        <v>250258.19869687932</v>
      </c>
      <c r="K217" s="1147">
        <f t="shared" si="151"/>
        <v>97079.999762659747</v>
      </c>
      <c r="L217" s="1147">
        <f t="shared" si="151"/>
        <v>145899.59539933025</v>
      </c>
      <c r="M217" s="1147">
        <f t="shared" si="151"/>
        <v>32607.109177530343</v>
      </c>
      <c r="N217" s="1147">
        <f t="shared" si="151"/>
        <v>80310.564051781723</v>
      </c>
      <c r="O217" s="1147">
        <f t="shared" si="151"/>
        <v>0</v>
      </c>
      <c r="P217" s="1147">
        <f t="shared" si="151"/>
        <v>0</v>
      </c>
      <c r="Q217" s="1147">
        <f t="shared" si="151"/>
        <v>0</v>
      </c>
      <c r="R217" s="1147">
        <f t="shared" si="151"/>
        <v>0</v>
      </c>
      <c r="S217" s="1147">
        <f t="shared" si="151"/>
        <v>0</v>
      </c>
      <c r="T217" s="1147">
        <f t="shared" si="151"/>
        <v>0</v>
      </c>
      <c r="U217" s="1147">
        <f t="shared" si="151"/>
        <v>0</v>
      </c>
      <c r="V217" s="3438"/>
      <c r="W217" s="844"/>
      <c r="X217" s="844"/>
      <c r="Y217" s="844"/>
      <c r="Z217" s="1144">
        <f t="shared" ref="Z217:AG217" si="152">SUM(Z215:Z216)</f>
        <v>0</v>
      </c>
      <c r="AA217" s="1145">
        <f t="shared" si="152"/>
        <v>0</v>
      </c>
      <c r="AB217" s="1145">
        <f t="shared" si="152"/>
        <v>0</v>
      </c>
      <c r="AC217" s="1145">
        <f t="shared" si="152"/>
        <v>0</v>
      </c>
      <c r="AD217" s="1146">
        <f t="shared" si="152"/>
        <v>0</v>
      </c>
      <c r="AE217" s="1144">
        <f t="shared" si="152"/>
        <v>0</v>
      </c>
      <c r="AF217" s="1145">
        <f t="shared" si="152"/>
        <v>0</v>
      </c>
      <c r="AG217" s="1146">
        <f t="shared" si="152"/>
        <v>0</v>
      </c>
    </row>
    <row r="218" spans="5:33" ht="18">
      <c r="E218" s="3446"/>
      <c r="F218" s="1421" t="s">
        <v>35</v>
      </c>
      <c r="G218" s="413"/>
      <c r="H218" s="458"/>
      <c r="I218" s="458"/>
      <c r="J218" s="458"/>
      <c r="K218" s="625"/>
      <c r="L218" s="459"/>
      <c r="M218" s="458"/>
      <c r="N218" s="458"/>
      <c r="O218" s="458"/>
      <c r="P218" s="625"/>
      <c r="Q218" s="459"/>
      <c r="R218" s="458"/>
      <c r="S218" s="458"/>
      <c r="T218" s="458"/>
      <c r="U218" s="460"/>
      <c r="V218" s="3438"/>
      <c r="W218" s="1172"/>
      <c r="X218" s="1172"/>
      <c r="Y218" s="1172"/>
      <c r="Z218" s="462"/>
      <c r="AA218" s="463"/>
      <c r="AB218" s="463"/>
      <c r="AC218" s="463"/>
      <c r="AD218" s="464"/>
      <c r="AE218" s="462"/>
      <c r="AF218" s="463"/>
      <c r="AG218" s="464"/>
    </row>
    <row r="219" spans="5:33" ht="18.75" thickBot="1">
      <c r="E219" s="3447"/>
      <c r="F219" s="1443" t="s">
        <v>585</v>
      </c>
      <c r="G219" s="1152">
        <f>G217-G218</f>
        <v>0</v>
      </c>
      <c r="H219" s="1152">
        <v>926983.31260272907</v>
      </c>
      <c r="I219" s="1152">
        <f t="shared" ref="I219:U219" si="153">I217-I218</f>
        <v>427551.42887431971</v>
      </c>
      <c r="J219" s="1152">
        <f t="shared" si="153"/>
        <v>250258.19869687932</v>
      </c>
      <c r="K219" s="3481">
        <f t="shared" si="153"/>
        <v>97079.999762659747</v>
      </c>
      <c r="L219" s="1447">
        <f t="shared" si="153"/>
        <v>145899.59539933025</v>
      </c>
      <c r="M219" s="1152">
        <f t="shared" si="153"/>
        <v>32607.109177530343</v>
      </c>
      <c r="N219" s="1152">
        <f t="shared" si="153"/>
        <v>80310.564051781723</v>
      </c>
      <c r="O219" s="1152">
        <f t="shared" si="153"/>
        <v>0</v>
      </c>
      <c r="P219" s="3481">
        <f t="shared" si="153"/>
        <v>0</v>
      </c>
      <c r="Q219" s="1447">
        <f t="shared" si="153"/>
        <v>0</v>
      </c>
      <c r="R219" s="1152">
        <f t="shared" si="153"/>
        <v>0</v>
      </c>
      <c r="S219" s="1152">
        <f t="shared" si="153"/>
        <v>0</v>
      </c>
      <c r="T219" s="1152">
        <f t="shared" si="153"/>
        <v>0</v>
      </c>
      <c r="U219" s="1152">
        <f t="shared" si="153"/>
        <v>0</v>
      </c>
      <c r="V219" s="3439"/>
      <c r="W219" s="844"/>
      <c r="X219" s="844"/>
      <c r="Y219" s="844"/>
      <c r="Z219" s="1447">
        <f t="shared" ref="Z219:AE219" si="154">Z217-Z218</f>
        <v>0</v>
      </c>
      <c r="AA219" s="1150">
        <f t="shared" si="154"/>
        <v>0</v>
      </c>
      <c r="AB219" s="1150">
        <f t="shared" si="154"/>
        <v>0</v>
      </c>
      <c r="AC219" s="1150">
        <f t="shared" si="154"/>
        <v>0</v>
      </c>
      <c r="AD219" s="1151">
        <f t="shared" si="154"/>
        <v>0</v>
      </c>
      <c r="AE219" s="1447">
        <f t="shared" si="154"/>
        <v>0</v>
      </c>
      <c r="AF219" s="1150">
        <f>AF217-AF218</f>
        <v>0</v>
      </c>
      <c r="AG219" s="1151">
        <f t="shared" ref="AG219" si="155">AG217-AG218</f>
        <v>0</v>
      </c>
    </row>
    <row r="220" spans="5:33" ht="18">
      <c r="E220" s="3446" t="s">
        <v>1777</v>
      </c>
      <c r="F220" s="1442" t="s">
        <v>598</v>
      </c>
      <c r="G220" s="528"/>
      <c r="H220" s="3757"/>
      <c r="I220" s="528"/>
      <c r="J220" s="528"/>
      <c r="K220" s="528"/>
      <c r="L220" s="538"/>
      <c r="M220" s="539"/>
      <c r="N220" s="539"/>
      <c r="O220" s="539"/>
      <c r="P220" s="539"/>
      <c r="Q220" s="538"/>
      <c r="R220" s="539"/>
      <c r="S220" s="539"/>
      <c r="T220" s="539"/>
      <c r="U220" s="540"/>
      <c r="V220" s="3437"/>
      <c r="W220" s="1172"/>
      <c r="X220" s="1172"/>
      <c r="Y220" s="1172"/>
      <c r="Z220" s="527"/>
      <c r="AA220" s="528"/>
      <c r="AB220" s="528"/>
      <c r="AC220" s="528"/>
      <c r="AD220" s="529"/>
      <c r="AE220" s="538"/>
      <c r="AF220" s="539"/>
      <c r="AG220" s="540"/>
    </row>
    <row r="221" spans="5:33" ht="18">
      <c r="E221" s="3446"/>
      <c r="F221" s="1421" t="s">
        <v>559</v>
      </c>
      <c r="G221" s="468">
        <v>3431</v>
      </c>
      <c r="H221" s="468">
        <v>0</v>
      </c>
      <c r="I221" s="468">
        <v>0</v>
      </c>
      <c r="J221" s="468">
        <v>0</v>
      </c>
      <c r="K221" s="468">
        <v>0</v>
      </c>
      <c r="L221" s="459">
        <v>0</v>
      </c>
      <c r="M221" s="458">
        <v>284.03700000000003</v>
      </c>
      <c r="N221" s="458">
        <v>19664.116999999998</v>
      </c>
      <c r="O221" s="458">
        <v>138729</v>
      </c>
      <c r="P221" s="625">
        <v>333546</v>
      </c>
      <c r="Q221" s="459">
        <v>68706.065305399999</v>
      </c>
      <c r="R221" s="458">
        <v>42094.218021200002</v>
      </c>
      <c r="S221" s="458">
        <v>357385.15645000001</v>
      </c>
      <c r="T221" s="458">
        <v>230535.454727</v>
      </c>
      <c r="U221" s="460">
        <v>38121.774454799997</v>
      </c>
      <c r="V221" s="3438"/>
      <c r="W221" s="1172"/>
      <c r="X221" s="1172"/>
      <c r="Y221" s="1172"/>
      <c r="Z221" s="470"/>
      <c r="AA221" s="468"/>
      <c r="AB221" s="468"/>
      <c r="AC221" s="468"/>
      <c r="AD221" s="530"/>
      <c r="AE221" s="462"/>
      <c r="AF221" s="463"/>
      <c r="AG221" s="464"/>
    </row>
    <row r="222" spans="5:33" ht="18">
      <c r="E222" s="3446"/>
      <c r="F222" s="1421" t="s">
        <v>558</v>
      </c>
      <c r="G222" s="468">
        <v>-28144</v>
      </c>
      <c r="H222" s="468">
        <v>0</v>
      </c>
      <c r="I222" s="468">
        <v>144372.81599999999</v>
      </c>
      <c r="J222" s="468">
        <v>144025.804</v>
      </c>
      <c r="K222" s="468">
        <v>797.97</v>
      </c>
      <c r="L222" s="459">
        <v>0</v>
      </c>
      <c r="M222" s="458">
        <v>1494.2820000000002</v>
      </c>
      <c r="N222" s="458">
        <v>150784.33899999998</v>
      </c>
      <c r="O222" s="458">
        <v>86460</v>
      </c>
      <c r="P222" s="625">
        <v>65948</v>
      </c>
      <c r="Q222" s="459">
        <v>50505.597743999999</v>
      </c>
      <c r="R222" s="458">
        <v>162266.85580600001</v>
      </c>
      <c r="S222" s="458">
        <v>166416.56655659998</v>
      </c>
      <c r="T222" s="458">
        <v>147132.79953620001</v>
      </c>
      <c r="U222" s="460">
        <v>38967.681017999996</v>
      </c>
      <c r="V222" s="3438"/>
      <c r="W222" s="1172"/>
      <c r="X222" s="1172"/>
      <c r="Y222" s="1172"/>
      <c r="Z222" s="470"/>
      <c r="AA222" s="468"/>
      <c r="AB222" s="468"/>
      <c r="AC222" s="468"/>
      <c r="AD222" s="530"/>
      <c r="AE222" s="462"/>
      <c r="AF222" s="463"/>
      <c r="AG222" s="464"/>
    </row>
    <row r="223" spans="5:33" ht="18">
      <c r="E223" s="3446"/>
      <c r="F223" s="1421" t="s">
        <v>578</v>
      </c>
      <c r="G223" s="468">
        <v>0</v>
      </c>
      <c r="H223" s="468">
        <v>0</v>
      </c>
      <c r="I223" s="468">
        <v>0</v>
      </c>
      <c r="J223" s="468">
        <v>0</v>
      </c>
      <c r="K223" s="468">
        <v>0</v>
      </c>
      <c r="L223" s="459">
        <v>0</v>
      </c>
      <c r="M223" s="458">
        <v>0</v>
      </c>
      <c r="N223" s="458">
        <v>48572</v>
      </c>
      <c r="O223" s="458">
        <v>209196</v>
      </c>
      <c r="P223" s="625">
        <v>875674</v>
      </c>
      <c r="Q223" s="459">
        <v>735161.22233399993</v>
      </c>
      <c r="R223" s="458">
        <v>527821.85248220002</v>
      </c>
      <c r="S223" s="458">
        <v>865925.31521219993</v>
      </c>
      <c r="T223" s="458">
        <v>905733.71954239998</v>
      </c>
      <c r="U223" s="460">
        <v>215875.14759859999</v>
      </c>
      <c r="V223" s="3438"/>
      <c r="W223" s="1172"/>
      <c r="X223" s="1172"/>
      <c r="Y223" s="1172"/>
      <c r="Z223" s="470"/>
      <c r="AA223" s="468"/>
      <c r="AB223" s="468"/>
      <c r="AC223" s="468"/>
      <c r="AD223" s="530"/>
      <c r="AE223" s="462"/>
      <c r="AF223" s="463"/>
      <c r="AG223" s="464"/>
    </row>
    <row r="224" spans="5:33" ht="18">
      <c r="E224" s="3446"/>
      <c r="F224" s="1441" t="s">
        <v>566</v>
      </c>
      <c r="G224" s="354">
        <f>SUM(G221:G223)</f>
        <v>-24713</v>
      </c>
      <c r="H224" s="354">
        <v>0</v>
      </c>
      <c r="I224" s="354">
        <f t="shared" ref="I224:U224" si="156">SUM(I221:I223)</f>
        <v>144372.81599999999</v>
      </c>
      <c r="J224" s="354">
        <f t="shared" si="156"/>
        <v>144025.804</v>
      </c>
      <c r="K224" s="626">
        <f t="shared" si="156"/>
        <v>797.97</v>
      </c>
      <c r="L224" s="353">
        <f t="shared" si="156"/>
        <v>0</v>
      </c>
      <c r="M224" s="354">
        <f t="shared" si="156"/>
        <v>1778.3190000000002</v>
      </c>
      <c r="N224" s="354">
        <f t="shared" si="156"/>
        <v>219020.45599999998</v>
      </c>
      <c r="O224" s="354">
        <f t="shared" si="156"/>
        <v>434385</v>
      </c>
      <c r="P224" s="626">
        <f t="shared" si="156"/>
        <v>1275168</v>
      </c>
      <c r="Q224" s="353">
        <f t="shared" si="156"/>
        <v>854372.8853833999</v>
      </c>
      <c r="R224" s="354">
        <f t="shared" si="156"/>
        <v>732182.92630940001</v>
      </c>
      <c r="S224" s="354">
        <f t="shared" si="156"/>
        <v>1389727.0382188</v>
      </c>
      <c r="T224" s="354">
        <f t="shared" si="156"/>
        <v>1283401.9738055998</v>
      </c>
      <c r="U224" s="354">
        <f t="shared" si="156"/>
        <v>292964.60307139996</v>
      </c>
      <c r="V224" s="3438"/>
      <c r="W224" s="1172"/>
      <c r="X224" s="1172"/>
      <c r="Y224" s="1172"/>
      <c r="Z224" s="462"/>
      <c r="AA224" s="463"/>
      <c r="AB224" s="463"/>
      <c r="AC224" s="463"/>
      <c r="AD224" s="464"/>
      <c r="AE224" s="353"/>
      <c r="AF224" s="354">
        <f t="shared" ref="AF224:AG224" si="157">SUM(AF221:AF223)</f>
        <v>0</v>
      </c>
      <c r="AG224" s="450">
        <f t="shared" si="157"/>
        <v>0</v>
      </c>
    </row>
    <row r="225" spans="5:33" ht="18">
      <c r="E225" s="3446"/>
      <c r="F225" s="1421" t="s">
        <v>583</v>
      </c>
      <c r="G225" s="413">
        <f>G224*'[5]IT capitalised overheads'!C$7</f>
        <v>-2412.0542606889853</v>
      </c>
      <c r="H225" s="458">
        <v>0</v>
      </c>
      <c r="I225" s="458">
        <f>I224*'[5]IT capitalised overheads'!E$7</f>
        <v>5125.1909535000623</v>
      </c>
      <c r="J225" s="458">
        <f>J224*'[5]IT capitalised overheads'!F$7</f>
        <v>6620.9276887169272</v>
      </c>
      <c r="K225" s="625">
        <f>K224*'[5]IT capitalised overheads'!G$7</f>
        <v>37.568324607592025</v>
      </c>
      <c r="L225" s="511">
        <f>L224*'[5]IT capitalised overheads'!H$7</f>
        <v>0</v>
      </c>
      <c r="M225" s="512">
        <f>M224*'[5]IT capitalised overheads'!I$7</f>
        <v>132.51307860619454</v>
      </c>
      <c r="N225" s="512">
        <f>N224*'[5]IT capitalised overheads'!J$7</f>
        <v>14621.121019251461</v>
      </c>
      <c r="O225" s="512">
        <f>O224*'[5]IT capitalised overheads'!K$7</f>
        <v>41692.481550294789</v>
      </c>
      <c r="P225" s="3480">
        <f>P224*'[5]IT capitalised overheads'!L$7</f>
        <v>74843.729873950579</v>
      </c>
      <c r="Q225" s="564">
        <f>Q224*'[5]IT capitalised overheads'!M$7</f>
        <v>47546.088798744095</v>
      </c>
      <c r="R225" s="477">
        <f>R224*'[5]IT capitalised overheads'!N$7</f>
        <v>37628.703664692046</v>
      </c>
      <c r="S225" s="477">
        <f>S224*'[5]IT capitalised overheads'!O$7</f>
        <v>83577.914465791138</v>
      </c>
      <c r="T225" s="477">
        <f>T224*'[5]IT capitalised overheads'!P$7</f>
        <v>90717.904433013289</v>
      </c>
      <c r="U225" s="519">
        <f>U224*'[5]IT capitalised overheads'!Q$7</f>
        <v>32930.073033717104</v>
      </c>
      <c r="V225" s="3438"/>
      <c r="W225" s="1172"/>
      <c r="X225" s="1172"/>
      <c r="Y225" s="1172"/>
      <c r="Z225" s="462"/>
      <c r="AA225" s="463"/>
      <c r="AB225" s="463"/>
      <c r="AC225" s="463"/>
      <c r="AD225" s="464"/>
      <c r="AE225" s="511"/>
      <c r="AF225" s="512"/>
      <c r="AG225" s="547"/>
    </row>
    <row r="226" spans="5:33" ht="18">
      <c r="E226" s="3446"/>
      <c r="F226" s="1421" t="s">
        <v>581</v>
      </c>
      <c r="G226" s="413"/>
      <c r="H226" s="458"/>
      <c r="I226" s="458"/>
      <c r="J226" s="458"/>
      <c r="K226" s="625"/>
      <c r="L226" s="462"/>
      <c r="M226" s="463"/>
      <c r="N226" s="463"/>
      <c r="O226" s="463"/>
      <c r="P226" s="1190"/>
      <c r="Q226" s="459"/>
      <c r="R226" s="458"/>
      <c r="S226" s="458"/>
      <c r="T226" s="458"/>
      <c r="U226" s="460"/>
      <c r="V226" s="3438"/>
      <c r="W226" s="1172"/>
      <c r="X226" s="1172"/>
      <c r="Y226" s="1172"/>
      <c r="Z226" s="462"/>
      <c r="AA226" s="463"/>
      <c r="AB226" s="463"/>
      <c r="AC226" s="463"/>
      <c r="AD226" s="464"/>
      <c r="AE226" s="462"/>
      <c r="AF226" s="463"/>
      <c r="AG226" s="464"/>
    </row>
    <row r="227" spans="5:33" ht="18">
      <c r="E227" s="3446"/>
      <c r="F227" s="1441" t="s">
        <v>584</v>
      </c>
      <c r="G227" s="1147">
        <f>SUM(G224:G226)</f>
        <v>-27125.054260688987</v>
      </c>
      <c r="H227" s="1147">
        <v>0</v>
      </c>
      <c r="I227" s="1147">
        <f t="shared" ref="I227:U227" si="158">SUM(I224:I226)</f>
        <v>149498.00695350007</v>
      </c>
      <c r="J227" s="1147">
        <f t="shared" si="158"/>
        <v>150646.73168871694</v>
      </c>
      <c r="K227" s="1147">
        <f t="shared" si="158"/>
        <v>835.53832460759202</v>
      </c>
      <c r="L227" s="1147">
        <f t="shared" si="158"/>
        <v>0</v>
      </c>
      <c r="M227" s="1147">
        <f t="shared" si="158"/>
        <v>1910.8320786061947</v>
      </c>
      <c r="N227" s="1147">
        <f t="shared" si="158"/>
        <v>233641.57701925145</v>
      </c>
      <c r="O227" s="1147">
        <f t="shared" si="158"/>
        <v>476077.48155029479</v>
      </c>
      <c r="P227" s="1147">
        <f t="shared" si="158"/>
        <v>1350011.7298739506</v>
      </c>
      <c r="Q227" s="1147">
        <f t="shared" si="158"/>
        <v>901918.97418214404</v>
      </c>
      <c r="R227" s="1147">
        <f t="shared" si="158"/>
        <v>769811.62997409201</v>
      </c>
      <c r="S227" s="1147">
        <f t="shared" si="158"/>
        <v>1473304.9526845911</v>
      </c>
      <c r="T227" s="1147">
        <f t="shared" si="158"/>
        <v>1374119.8782386133</v>
      </c>
      <c r="U227" s="1147">
        <f t="shared" si="158"/>
        <v>325894.67610511708</v>
      </c>
      <c r="V227" s="3438"/>
      <c r="W227" s="844"/>
      <c r="X227" s="844"/>
      <c r="Y227" s="844"/>
      <c r="Z227" s="1144">
        <f t="shared" ref="Z227:AG227" si="159">SUM(Z225:Z226)</f>
        <v>0</v>
      </c>
      <c r="AA227" s="1145">
        <f t="shared" si="159"/>
        <v>0</v>
      </c>
      <c r="AB227" s="1145">
        <f t="shared" si="159"/>
        <v>0</v>
      </c>
      <c r="AC227" s="1145">
        <f t="shared" si="159"/>
        <v>0</v>
      </c>
      <c r="AD227" s="1146">
        <f t="shared" si="159"/>
        <v>0</v>
      </c>
      <c r="AE227" s="1144">
        <f t="shared" si="159"/>
        <v>0</v>
      </c>
      <c r="AF227" s="1145">
        <f t="shared" si="159"/>
        <v>0</v>
      </c>
      <c r="AG227" s="1146">
        <f t="shared" si="159"/>
        <v>0</v>
      </c>
    </row>
    <row r="228" spans="5:33" ht="18">
      <c r="E228" s="3446"/>
      <c r="F228" s="1421" t="s">
        <v>35</v>
      </c>
      <c r="G228" s="413"/>
      <c r="H228" s="458"/>
      <c r="I228" s="458"/>
      <c r="J228" s="458"/>
      <c r="K228" s="625"/>
      <c r="L228" s="459"/>
      <c r="M228" s="458"/>
      <c r="N228" s="458"/>
      <c r="O228" s="458"/>
      <c r="P228" s="625"/>
      <c r="Q228" s="459"/>
      <c r="R228" s="458"/>
      <c r="S228" s="458"/>
      <c r="T228" s="458"/>
      <c r="U228" s="460"/>
      <c r="V228" s="3438"/>
      <c r="W228" s="1172"/>
      <c r="X228" s="1172"/>
      <c r="Y228" s="1172"/>
      <c r="Z228" s="462"/>
      <c r="AA228" s="463"/>
      <c r="AB228" s="463"/>
      <c r="AC228" s="463"/>
      <c r="AD228" s="464"/>
      <c r="AE228" s="462"/>
      <c r="AF228" s="463"/>
      <c r="AG228" s="464"/>
    </row>
    <row r="229" spans="5:33" ht="18.75" thickBot="1">
      <c r="E229" s="3447"/>
      <c r="F229" s="1443" t="s">
        <v>585</v>
      </c>
      <c r="G229" s="1152">
        <f>G227-G228</f>
        <v>-27125.054260688987</v>
      </c>
      <c r="H229" s="1152">
        <v>0</v>
      </c>
      <c r="I229" s="1152">
        <f t="shared" ref="I229:U229" si="160">I227-I228</f>
        <v>149498.00695350007</v>
      </c>
      <c r="J229" s="1152">
        <f t="shared" si="160"/>
        <v>150646.73168871694</v>
      </c>
      <c r="K229" s="3481">
        <f t="shared" si="160"/>
        <v>835.53832460759202</v>
      </c>
      <c r="L229" s="1447">
        <f t="shared" si="160"/>
        <v>0</v>
      </c>
      <c r="M229" s="1152">
        <f t="shared" si="160"/>
        <v>1910.8320786061947</v>
      </c>
      <c r="N229" s="1152">
        <f t="shared" si="160"/>
        <v>233641.57701925145</v>
      </c>
      <c r="O229" s="1152">
        <f t="shared" si="160"/>
        <v>476077.48155029479</v>
      </c>
      <c r="P229" s="3481">
        <f t="shared" si="160"/>
        <v>1350011.7298739506</v>
      </c>
      <c r="Q229" s="1447">
        <f t="shared" si="160"/>
        <v>901918.97418214404</v>
      </c>
      <c r="R229" s="1152">
        <f t="shared" si="160"/>
        <v>769811.62997409201</v>
      </c>
      <c r="S229" s="1152">
        <f t="shared" si="160"/>
        <v>1473304.9526845911</v>
      </c>
      <c r="T229" s="1152">
        <f t="shared" si="160"/>
        <v>1374119.8782386133</v>
      </c>
      <c r="U229" s="1152">
        <f t="shared" si="160"/>
        <v>325894.67610511708</v>
      </c>
      <c r="V229" s="3439"/>
      <c r="W229" s="844"/>
      <c r="X229" s="844"/>
      <c r="Y229" s="844"/>
      <c r="Z229" s="1447">
        <f t="shared" ref="Z229:AE229" si="161">Z227-Z228</f>
        <v>0</v>
      </c>
      <c r="AA229" s="1150">
        <f t="shared" si="161"/>
        <v>0</v>
      </c>
      <c r="AB229" s="1150">
        <f t="shared" si="161"/>
        <v>0</v>
      </c>
      <c r="AC229" s="1150">
        <f t="shared" si="161"/>
        <v>0</v>
      </c>
      <c r="AD229" s="1151">
        <f t="shared" si="161"/>
        <v>0</v>
      </c>
      <c r="AE229" s="1447">
        <f t="shared" si="161"/>
        <v>0</v>
      </c>
      <c r="AF229" s="1150">
        <f>AF227-AF228</f>
        <v>0</v>
      </c>
      <c r="AG229" s="1151">
        <f t="shared" ref="AG229" si="162">AG227-AG228</f>
        <v>0</v>
      </c>
    </row>
    <row r="230" spans="5:33" ht="18">
      <c r="E230" s="3446" t="s">
        <v>1778</v>
      </c>
      <c r="F230" s="1442" t="s">
        <v>598</v>
      </c>
      <c r="G230" s="528"/>
      <c r="H230" s="3757"/>
      <c r="I230" s="528"/>
      <c r="J230" s="528"/>
      <c r="K230" s="528"/>
      <c r="L230" s="538"/>
      <c r="M230" s="539"/>
      <c r="N230" s="539"/>
      <c r="O230" s="539"/>
      <c r="P230" s="539"/>
      <c r="Q230" s="538"/>
      <c r="R230" s="539"/>
      <c r="S230" s="539"/>
      <c r="T230" s="539"/>
      <c r="U230" s="540"/>
      <c r="V230" s="3437"/>
      <c r="W230" s="1172"/>
      <c r="X230" s="1172"/>
      <c r="Y230" s="1172"/>
      <c r="Z230" s="527"/>
      <c r="AA230" s="528"/>
      <c r="AB230" s="528"/>
      <c r="AC230" s="528"/>
      <c r="AD230" s="529"/>
      <c r="AE230" s="538"/>
      <c r="AF230" s="539"/>
      <c r="AG230" s="540"/>
    </row>
    <row r="231" spans="5:33" ht="18">
      <c r="E231" s="3446"/>
      <c r="F231" s="1421" t="s">
        <v>559</v>
      </c>
      <c r="G231" s="468">
        <v>0</v>
      </c>
      <c r="H231" s="468">
        <v>0</v>
      </c>
      <c r="I231" s="468">
        <v>0</v>
      </c>
      <c r="J231" s="468">
        <v>22862.864999999998</v>
      </c>
      <c r="K231" s="468">
        <v>-15282.889999999998</v>
      </c>
      <c r="L231" s="459">
        <v>22161.403714285716</v>
      </c>
      <c r="M231" s="458">
        <v>81800.918999999994</v>
      </c>
      <c r="N231" s="458">
        <v>16943.337999999989</v>
      </c>
      <c r="O231" s="458">
        <v>0</v>
      </c>
      <c r="P231" s="625">
        <v>0</v>
      </c>
      <c r="Q231" s="459">
        <v>0</v>
      </c>
      <c r="R231" s="458">
        <v>0</v>
      </c>
      <c r="S231" s="458">
        <v>0</v>
      </c>
      <c r="T231" s="458">
        <v>0</v>
      </c>
      <c r="U231" s="458">
        <v>0</v>
      </c>
      <c r="V231" s="3438"/>
      <c r="W231" s="1172"/>
      <c r="X231" s="1172"/>
      <c r="Y231" s="1172"/>
      <c r="Z231" s="470"/>
      <c r="AA231" s="468"/>
      <c r="AB231" s="468"/>
      <c r="AC231" s="468"/>
      <c r="AD231" s="530"/>
      <c r="AE231" s="462"/>
      <c r="AF231" s="463"/>
      <c r="AG231" s="464"/>
    </row>
    <row r="232" spans="5:33" ht="18">
      <c r="E232" s="3446"/>
      <c r="F232" s="1421" t="s">
        <v>558</v>
      </c>
      <c r="G232" s="468">
        <v>-22257</v>
      </c>
      <c r="H232" s="468">
        <v>0</v>
      </c>
      <c r="I232" s="468">
        <v>58817.762999999992</v>
      </c>
      <c r="J232" s="468">
        <v>88998.648000000016</v>
      </c>
      <c r="K232" s="468">
        <v>38824.784999999989</v>
      </c>
      <c r="L232" s="459">
        <v>161312.40044155845</v>
      </c>
      <c r="M232" s="458">
        <v>-50088.858</v>
      </c>
      <c r="N232" s="458">
        <v>12956.938000000002</v>
      </c>
      <c r="O232" s="458">
        <v>0</v>
      </c>
      <c r="P232" s="625">
        <v>0</v>
      </c>
      <c r="Q232" s="459">
        <v>0</v>
      </c>
      <c r="R232" s="458">
        <v>0</v>
      </c>
      <c r="S232" s="458">
        <v>0</v>
      </c>
      <c r="T232" s="458">
        <v>0</v>
      </c>
      <c r="U232" s="458">
        <v>0</v>
      </c>
      <c r="V232" s="3438"/>
      <c r="W232" s="1172"/>
      <c r="X232" s="1172"/>
      <c r="Y232" s="1172"/>
      <c r="Z232" s="470"/>
      <c r="AA232" s="468"/>
      <c r="AB232" s="468"/>
      <c r="AC232" s="468"/>
      <c r="AD232" s="530"/>
      <c r="AE232" s="462"/>
      <c r="AF232" s="463"/>
      <c r="AG232" s="464"/>
    </row>
    <row r="233" spans="5:33" ht="18">
      <c r="E233" s="3446"/>
      <c r="F233" s="1421" t="s">
        <v>578</v>
      </c>
      <c r="G233" s="468">
        <v>0</v>
      </c>
      <c r="H233" s="468">
        <v>0</v>
      </c>
      <c r="I233" s="468">
        <v>0</v>
      </c>
      <c r="J233" s="468">
        <v>0</v>
      </c>
      <c r="K233" s="468">
        <v>0</v>
      </c>
      <c r="L233" s="459">
        <v>0</v>
      </c>
      <c r="M233" s="458">
        <v>0</v>
      </c>
      <c r="N233" s="458">
        <v>0</v>
      </c>
      <c r="O233" s="458">
        <v>0</v>
      </c>
      <c r="P233" s="625">
        <v>0</v>
      </c>
      <c r="Q233" s="459">
        <v>0</v>
      </c>
      <c r="R233" s="458">
        <v>0</v>
      </c>
      <c r="S233" s="458">
        <v>0</v>
      </c>
      <c r="T233" s="458">
        <v>0</v>
      </c>
      <c r="U233" s="458">
        <v>0</v>
      </c>
      <c r="V233" s="3438"/>
      <c r="W233" s="1172"/>
      <c r="X233" s="1172"/>
      <c r="Y233" s="1172"/>
      <c r="Z233" s="470"/>
      <c r="AA233" s="468"/>
      <c r="AB233" s="468"/>
      <c r="AC233" s="468"/>
      <c r="AD233" s="530"/>
      <c r="AE233" s="462"/>
      <c r="AF233" s="463"/>
      <c r="AG233" s="464"/>
    </row>
    <row r="234" spans="5:33" ht="18">
      <c r="E234" s="3446"/>
      <c r="F234" s="1441" t="s">
        <v>566</v>
      </c>
      <c r="G234" s="354">
        <f>SUM(G231:G233)</f>
        <v>-22257</v>
      </c>
      <c r="H234" s="354">
        <v>0</v>
      </c>
      <c r="I234" s="354">
        <f t="shared" ref="I234:U234" si="163">SUM(I231:I233)</f>
        <v>58817.762999999992</v>
      </c>
      <c r="J234" s="354">
        <f t="shared" si="163"/>
        <v>111861.51300000001</v>
      </c>
      <c r="K234" s="626">
        <f t="shared" si="163"/>
        <v>23541.89499999999</v>
      </c>
      <c r="L234" s="353">
        <f t="shared" si="163"/>
        <v>183473.80415584418</v>
      </c>
      <c r="M234" s="354">
        <f t="shared" si="163"/>
        <v>31712.060999999994</v>
      </c>
      <c r="N234" s="354">
        <f t="shared" si="163"/>
        <v>29900.275999999991</v>
      </c>
      <c r="O234" s="354">
        <f t="shared" si="163"/>
        <v>0</v>
      </c>
      <c r="P234" s="626">
        <f t="shared" si="163"/>
        <v>0</v>
      </c>
      <c r="Q234" s="353">
        <f t="shared" si="163"/>
        <v>0</v>
      </c>
      <c r="R234" s="354">
        <f t="shared" si="163"/>
        <v>0</v>
      </c>
      <c r="S234" s="354">
        <f t="shared" si="163"/>
        <v>0</v>
      </c>
      <c r="T234" s="354">
        <f t="shared" si="163"/>
        <v>0</v>
      </c>
      <c r="U234" s="354">
        <f t="shared" si="163"/>
        <v>0</v>
      </c>
      <c r="V234" s="3438"/>
      <c r="W234" s="1172"/>
      <c r="X234" s="1172"/>
      <c r="Y234" s="1172"/>
      <c r="Z234" s="462"/>
      <c r="AA234" s="463"/>
      <c r="AB234" s="463"/>
      <c r="AC234" s="463"/>
      <c r="AD234" s="464"/>
      <c r="AE234" s="353"/>
      <c r="AF234" s="354">
        <f t="shared" ref="AF234:AG234" si="164">SUM(AF231:AF233)</f>
        <v>0</v>
      </c>
      <c r="AG234" s="450">
        <f t="shared" si="164"/>
        <v>0</v>
      </c>
    </row>
    <row r="235" spans="5:33" ht="18">
      <c r="E235" s="3446"/>
      <c r="F235" s="1421" t="s">
        <v>583</v>
      </c>
      <c r="G235" s="413">
        <f>G234*'[5]IT capitalised overheads'!C$7</f>
        <v>-2172.3421551472807</v>
      </c>
      <c r="H235" s="458">
        <v>0</v>
      </c>
      <c r="I235" s="458">
        <f>I234*'[5]IT capitalised overheads'!E$7</f>
        <v>2088.0126549080446</v>
      </c>
      <c r="J235" s="458">
        <f>J234*'[5]IT capitalised overheads'!F$7</f>
        <v>5142.321501801639</v>
      </c>
      <c r="K235" s="625">
        <f>K234*'[5]IT capitalised overheads'!G$7</f>
        <v>1108.3493780942231</v>
      </c>
      <c r="L235" s="511">
        <f>L234*'[5]IT capitalised overheads'!H$7</f>
        <v>8985.6008829814109</v>
      </c>
      <c r="M235" s="512">
        <f>M234*'[5]IT capitalised overheads'!I$7</f>
        <v>2363.0534409503775</v>
      </c>
      <c r="N235" s="512">
        <f>N234*'[5]IT capitalised overheads'!J$7</f>
        <v>1996.0489622257928</v>
      </c>
      <c r="O235" s="512">
        <f>O234*'[5]IT capitalised overheads'!K$7</f>
        <v>0</v>
      </c>
      <c r="P235" s="3480">
        <f>P234*'[5]IT capitalised overheads'!L$7</f>
        <v>0</v>
      </c>
      <c r="Q235" s="564">
        <f>Q234*'[5]IT capitalised overheads'!M$7</f>
        <v>0</v>
      </c>
      <c r="R235" s="477">
        <f>R234*'[5]IT capitalised overheads'!N$7</f>
        <v>0</v>
      </c>
      <c r="S235" s="477">
        <f>S234*'[5]IT capitalised overheads'!O$7</f>
        <v>0</v>
      </c>
      <c r="T235" s="477">
        <f>T234*'[5]IT capitalised overheads'!P$7</f>
        <v>0</v>
      </c>
      <c r="U235" s="519">
        <f>U234*'[5]IT capitalised overheads'!Q$7</f>
        <v>0</v>
      </c>
      <c r="V235" s="3438"/>
      <c r="W235" s="1172"/>
      <c r="X235" s="1172"/>
      <c r="Y235" s="1172"/>
      <c r="Z235" s="462"/>
      <c r="AA235" s="463"/>
      <c r="AB235" s="463"/>
      <c r="AC235" s="463"/>
      <c r="AD235" s="464"/>
      <c r="AE235" s="511"/>
      <c r="AF235" s="512"/>
      <c r="AG235" s="547"/>
    </row>
    <row r="236" spans="5:33" ht="18">
      <c r="E236" s="3446"/>
      <c r="F236" s="1421" t="s">
        <v>581</v>
      </c>
      <c r="G236" s="413"/>
      <c r="H236" s="458"/>
      <c r="I236" s="458"/>
      <c r="J236" s="458"/>
      <c r="K236" s="625"/>
      <c r="L236" s="462"/>
      <c r="M236" s="463"/>
      <c r="N236" s="463"/>
      <c r="O236" s="463"/>
      <c r="P236" s="1190"/>
      <c r="Q236" s="459"/>
      <c r="R236" s="458"/>
      <c r="S236" s="458"/>
      <c r="T236" s="458"/>
      <c r="U236" s="460"/>
      <c r="V236" s="3438"/>
      <c r="W236" s="1172"/>
      <c r="X236" s="1172"/>
      <c r="Y236" s="1172"/>
      <c r="Z236" s="462"/>
      <c r="AA236" s="463"/>
      <c r="AB236" s="463"/>
      <c r="AC236" s="463"/>
      <c r="AD236" s="464"/>
      <c r="AE236" s="462"/>
      <c r="AF236" s="463"/>
      <c r="AG236" s="464"/>
    </row>
    <row r="237" spans="5:33" ht="18">
      <c r="E237" s="3446"/>
      <c r="F237" s="1441" t="s">
        <v>584</v>
      </c>
      <c r="G237" s="1147">
        <f>SUM(G234:G236)</f>
        <v>-24429.342155147282</v>
      </c>
      <c r="H237" s="1147">
        <v>0</v>
      </c>
      <c r="I237" s="1147">
        <f t="shared" ref="I237:U237" si="165">SUM(I234:I236)</f>
        <v>60905.775654908037</v>
      </c>
      <c r="J237" s="1147">
        <f t="shared" si="165"/>
        <v>117003.83450180164</v>
      </c>
      <c r="K237" s="1147">
        <f t="shared" si="165"/>
        <v>24650.244378094212</v>
      </c>
      <c r="L237" s="1147">
        <f t="shared" si="165"/>
        <v>192459.40503882559</v>
      </c>
      <c r="M237" s="1147">
        <f t="shared" si="165"/>
        <v>34075.114440950369</v>
      </c>
      <c r="N237" s="1147">
        <f t="shared" si="165"/>
        <v>31896.324962225783</v>
      </c>
      <c r="O237" s="1147">
        <f t="shared" si="165"/>
        <v>0</v>
      </c>
      <c r="P237" s="1147">
        <f t="shared" si="165"/>
        <v>0</v>
      </c>
      <c r="Q237" s="1147">
        <f t="shared" si="165"/>
        <v>0</v>
      </c>
      <c r="R237" s="1147">
        <f t="shared" si="165"/>
        <v>0</v>
      </c>
      <c r="S237" s="1147">
        <f t="shared" si="165"/>
        <v>0</v>
      </c>
      <c r="T237" s="1147">
        <f t="shared" si="165"/>
        <v>0</v>
      </c>
      <c r="U237" s="1147">
        <f t="shared" si="165"/>
        <v>0</v>
      </c>
      <c r="V237" s="3438"/>
      <c r="W237" s="844"/>
      <c r="X237" s="844"/>
      <c r="Y237" s="844"/>
      <c r="Z237" s="1144">
        <f t="shared" ref="Z237:AG237" si="166">SUM(Z235:Z236)</f>
        <v>0</v>
      </c>
      <c r="AA237" s="1145">
        <f t="shared" si="166"/>
        <v>0</v>
      </c>
      <c r="AB237" s="1145">
        <f t="shared" si="166"/>
        <v>0</v>
      </c>
      <c r="AC237" s="1145">
        <f t="shared" si="166"/>
        <v>0</v>
      </c>
      <c r="AD237" s="1146">
        <f t="shared" si="166"/>
        <v>0</v>
      </c>
      <c r="AE237" s="1144">
        <f t="shared" si="166"/>
        <v>0</v>
      </c>
      <c r="AF237" s="1145">
        <f t="shared" si="166"/>
        <v>0</v>
      </c>
      <c r="AG237" s="1146">
        <f t="shared" si="166"/>
        <v>0</v>
      </c>
    </row>
    <row r="238" spans="5:33" ht="18">
      <c r="E238" s="3446"/>
      <c r="F238" s="1421" t="s">
        <v>35</v>
      </c>
      <c r="G238" s="413"/>
      <c r="H238" s="458"/>
      <c r="I238" s="458"/>
      <c r="J238" s="458"/>
      <c r="K238" s="625"/>
      <c r="L238" s="459"/>
      <c r="M238" s="458"/>
      <c r="N238" s="458"/>
      <c r="O238" s="458"/>
      <c r="P238" s="625"/>
      <c r="Q238" s="459"/>
      <c r="R238" s="458"/>
      <c r="S238" s="458"/>
      <c r="T238" s="458"/>
      <c r="U238" s="460"/>
      <c r="V238" s="3438"/>
      <c r="W238" s="1172"/>
      <c r="X238" s="1172"/>
      <c r="Y238" s="1172"/>
      <c r="Z238" s="462"/>
      <c r="AA238" s="463"/>
      <c r="AB238" s="463"/>
      <c r="AC238" s="463"/>
      <c r="AD238" s="464"/>
      <c r="AE238" s="462"/>
      <c r="AF238" s="463"/>
      <c r="AG238" s="464"/>
    </row>
    <row r="239" spans="5:33" ht="18.75" thickBot="1">
      <c r="E239" s="3447"/>
      <c r="F239" s="1443" t="s">
        <v>585</v>
      </c>
      <c r="G239" s="1152">
        <f>G237-G238</f>
        <v>-24429.342155147282</v>
      </c>
      <c r="H239" s="1152">
        <v>0</v>
      </c>
      <c r="I239" s="1152">
        <f t="shared" ref="I239:U239" si="167">I237-I238</f>
        <v>60905.775654908037</v>
      </c>
      <c r="J239" s="1152">
        <f t="shared" si="167"/>
        <v>117003.83450180164</v>
      </c>
      <c r="K239" s="3481">
        <f t="shared" si="167"/>
        <v>24650.244378094212</v>
      </c>
      <c r="L239" s="1447">
        <f t="shared" si="167"/>
        <v>192459.40503882559</v>
      </c>
      <c r="M239" s="1152">
        <f t="shared" si="167"/>
        <v>34075.114440950369</v>
      </c>
      <c r="N239" s="1152">
        <f t="shared" si="167"/>
        <v>31896.324962225783</v>
      </c>
      <c r="O239" s="1152">
        <f t="shared" si="167"/>
        <v>0</v>
      </c>
      <c r="P239" s="3481">
        <f t="shared" si="167"/>
        <v>0</v>
      </c>
      <c r="Q239" s="1447">
        <f t="shared" si="167"/>
        <v>0</v>
      </c>
      <c r="R239" s="1152">
        <f t="shared" si="167"/>
        <v>0</v>
      </c>
      <c r="S239" s="1152">
        <f t="shared" si="167"/>
        <v>0</v>
      </c>
      <c r="T239" s="1152">
        <f t="shared" si="167"/>
        <v>0</v>
      </c>
      <c r="U239" s="1152">
        <f t="shared" si="167"/>
        <v>0</v>
      </c>
      <c r="V239" s="3439"/>
      <c r="W239" s="844"/>
      <c r="X239" s="844"/>
      <c r="Y239" s="844"/>
      <c r="Z239" s="1447">
        <f t="shared" ref="Z239:AE239" si="168">Z237-Z238</f>
        <v>0</v>
      </c>
      <c r="AA239" s="1150">
        <f t="shared" si="168"/>
        <v>0</v>
      </c>
      <c r="AB239" s="1150">
        <f t="shared" si="168"/>
        <v>0</v>
      </c>
      <c r="AC239" s="1150">
        <f t="shared" si="168"/>
        <v>0</v>
      </c>
      <c r="AD239" s="1151">
        <f t="shared" si="168"/>
        <v>0</v>
      </c>
      <c r="AE239" s="1447">
        <f t="shared" si="168"/>
        <v>0</v>
      </c>
      <c r="AF239" s="1150">
        <f>AF237-AF238</f>
        <v>0</v>
      </c>
      <c r="AG239" s="1151">
        <f t="shared" ref="AG239" si="169">AG237-AG238</f>
        <v>0</v>
      </c>
    </row>
    <row r="240" spans="5:33" ht="18">
      <c r="E240" s="3446" t="s">
        <v>1779</v>
      </c>
      <c r="F240" s="1442" t="s">
        <v>598</v>
      </c>
      <c r="G240" s="528"/>
      <c r="H240" s="3757"/>
      <c r="I240" s="528"/>
      <c r="J240" s="528"/>
      <c r="K240" s="528"/>
      <c r="L240" s="538"/>
      <c r="M240" s="539"/>
      <c r="N240" s="539"/>
      <c r="O240" s="539"/>
      <c r="P240" s="539"/>
      <c r="Q240" s="538"/>
      <c r="R240" s="539"/>
      <c r="S240" s="539"/>
      <c r="T240" s="539"/>
      <c r="U240" s="540"/>
      <c r="V240" s="3437"/>
      <c r="W240" s="1172"/>
      <c r="X240" s="1172"/>
      <c r="Y240" s="1172"/>
      <c r="Z240" s="527"/>
      <c r="AA240" s="528"/>
      <c r="AB240" s="528"/>
      <c r="AC240" s="528"/>
      <c r="AD240" s="529"/>
      <c r="AE240" s="538"/>
      <c r="AF240" s="539"/>
      <c r="AG240" s="540"/>
    </row>
    <row r="241" spans="5:33" ht="18">
      <c r="E241" s="3446"/>
      <c r="F241" s="1421" t="s">
        <v>559</v>
      </c>
      <c r="G241" s="468">
        <v>4283</v>
      </c>
      <c r="H241" s="468">
        <v>0</v>
      </c>
      <c r="I241" s="468">
        <v>0</v>
      </c>
      <c r="J241" s="468">
        <v>204.83999999999997</v>
      </c>
      <c r="K241" s="468">
        <v>351</v>
      </c>
      <c r="L241" s="459">
        <v>1321.1490000000001</v>
      </c>
      <c r="M241" s="458">
        <v>0</v>
      </c>
      <c r="N241" s="458">
        <v>0</v>
      </c>
      <c r="O241" s="458">
        <v>0</v>
      </c>
      <c r="P241" s="625">
        <v>0</v>
      </c>
      <c r="Q241" s="459">
        <v>0</v>
      </c>
      <c r="R241" s="458">
        <v>0</v>
      </c>
      <c r="S241" s="458">
        <v>0</v>
      </c>
      <c r="T241" s="458">
        <v>0</v>
      </c>
      <c r="U241" s="458">
        <v>0</v>
      </c>
      <c r="V241" s="3438"/>
      <c r="W241" s="1172"/>
      <c r="X241" s="1172"/>
      <c r="Y241" s="1172"/>
      <c r="Z241" s="470"/>
      <c r="AA241" s="468"/>
      <c r="AB241" s="468"/>
      <c r="AC241" s="468"/>
      <c r="AD241" s="530"/>
      <c r="AE241" s="462"/>
      <c r="AF241" s="463"/>
      <c r="AG241" s="464"/>
    </row>
    <row r="242" spans="5:33" ht="18">
      <c r="E242" s="3446"/>
      <c r="F242" s="1421" t="s">
        <v>558</v>
      </c>
      <c r="G242" s="468">
        <v>346728</v>
      </c>
      <c r="H242" s="468">
        <v>4941.5729999999994</v>
      </c>
      <c r="I242" s="468">
        <v>153311.19900000002</v>
      </c>
      <c r="J242" s="468">
        <v>67818.752999999997</v>
      </c>
      <c r="K242" s="468">
        <v>151797.05099999998</v>
      </c>
      <c r="L242" s="459">
        <v>3837.8070000000071</v>
      </c>
      <c r="M242" s="458">
        <v>0</v>
      </c>
      <c r="N242" s="458">
        <v>0</v>
      </c>
      <c r="O242" s="458">
        <v>0</v>
      </c>
      <c r="P242" s="625">
        <v>0</v>
      </c>
      <c r="Q242" s="459">
        <v>0</v>
      </c>
      <c r="R242" s="458">
        <v>0</v>
      </c>
      <c r="S242" s="458">
        <v>0</v>
      </c>
      <c r="T242" s="458">
        <v>0</v>
      </c>
      <c r="U242" s="458">
        <v>0</v>
      </c>
      <c r="V242" s="3438"/>
      <c r="W242" s="1172"/>
      <c r="X242" s="1172"/>
      <c r="Y242" s="1172"/>
      <c r="Z242" s="470"/>
      <c r="AA242" s="468"/>
      <c r="AB242" s="468"/>
      <c r="AC242" s="468"/>
      <c r="AD242" s="530"/>
      <c r="AE242" s="462"/>
      <c r="AF242" s="463"/>
      <c r="AG242" s="464"/>
    </row>
    <row r="243" spans="5:33" ht="18">
      <c r="E243" s="3446"/>
      <c r="F243" s="1421" t="s">
        <v>578</v>
      </c>
      <c r="G243" s="468">
        <v>20490</v>
      </c>
      <c r="H243" s="468">
        <v>20424</v>
      </c>
      <c r="I243" s="468">
        <v>0</v>
      </c>
      <c r="J243" s="468">
        <v>0</v>
      </c>
      <c r="K243" s="468">
        <v>29858</v>
      </c>
      <c r="L243" s="459">
        <v>-8957</v>
      </c>
      <c r="M243" s="458">
        <v>0</v>
      </c>
      <c r="N243" s="458">
        <v>0</v>
      </c>
      <c r="O243" s="458">
        <v>0</v>
      </c>
      <c r="P243" s="625">
        <v>0</v>
      </c>
      <c r="Q243" s="459">
        <v>0</v>
      </c>
      <c r="R243" s="458">
        <v>0</v>
      </c>
      <c r="S243" s="458">
        <v>0</v>
      </c>
      <c r="T243" s="458">
        <v>0</v>
      </c>
      <c r="U243" s="458">
        <v>0</v>
      </c>
      <c r="V243" s="3438"/>
      <c r="W243" s="1172"/>
      <c r="X243" s="1172"/>
      <c r="Y243" s="1172"/>
      <c r="Z243" s="470"/>
      <c r="AA243" s="468"/>
      <c r="AB243" s="468"/>
      <c r="AC243" s="468"/>
      <c r="AD243" s="530"/>
      <c r="AE243" s="462"/>
      <c r="AF243" s="463"/>
      <c r="AG243" s="464"/>
    </row>
    <row r="244" spans="5:33" ht="18">
      <c r="E244" s="3446"/>
      <c r="F244" s="1441" t="s">
        <v>566</v>
      </c>
      <c r="G244" s="354">
        <f>SUM(G241:G243)</f>
        <v>371501</v>
      </c>
      <c r="H244" s="354">
        <v>25365.573</v>
      </c>
      <c r="I244" s="354">
        <f t="shared" ref="I244:U244" si="170">SUM(I241:I243)</f>
        <v>153311.19900000002</v>
      </c>
      <c r="J244" s="354">
        <f t="shared" si="170"/>
        <v>68023.592999999993</v>
      </c>
      <c r="K244" s="626">
        <f t="shared" si="170"/>
        <v>182006.05099999998</v>
      </c>
      <c r="L244" s="353">
        <f t="shared" si="170"/>
        <v>-3798.0439999999926</v>
      </c>
      <c r="M244" s="354">
        <f t="shared" si="170"/>
        <v>0</v>
      </c>
      <c r="N244" s="354">
        <f t="shared" si="170"/>
        <v>0</v>
      </c>
      <c r="O244" s="354">
        <f t="shared" si="170"/>
        <v>0</v>
      </c>
      <c r="P244" s="626">
        <f t="shared" si="170"/>
        <v>0</v>
      </c>
      <c r="Q244" s="353">
        <f t="shared" si="170"/>
        <v>0</v>
      </c>
      <c r="R244" s="354">
        <f t="shared" si="170"/>
        <v>0</v>
      </c>
      <c r="S244" s="354">
        <f t="shared" si="170"/>
        <v>0</v>
      </c>
      <c r="T244" s="354">
        <f t="shared" si="170"/>
        <v>0</v>
      </c>
      <c r="U244" s="354">
        <f t="shared" si="170"/>
        <v>0</v>
      </c>
      <c r="V244" s="3438"/>
      <c r="W244" s="1172"/>
      <c r="X244" s="1172"/>
      <c r="Y244" s="1172"/>
      <c r="Z244" s="462"/>
      <c r="AA244" s="463"/>
      <c r="AB244" s="463"/>
      <c r="AC244" s="463"/>
      <c r="AD244" s="464"/>
      <c r="AE244" s="353"/>
      <c r="AF244" s="354">
        <f t="shared" ref="AF244:AG244" si="171">SUM(AF241:AF243)</f>
        <v>0</v>
      </c>
      <c r="AG244" s="450">
        <f t="shared" si="171"/>
        <v>0</v>
      </c>
    </row>
    <row r="245" spans="5:33" ht="18">
      <c r="E245" s="3446"/>
      <c r="F245" s="1421" t="s">
        <v>583</v>
      </c>
      <c r="G245" s="413">
        <f>G244*'[5]IT capitalised overheads'!C$7</f>
        <v>36259.481645296757</v>
      </c>
      <c r="H245" s="458">
        <v>1067.0821917570818</v>
      </c>
      <c r="I245" s="458">
        <f>I244*'[5]IT capitalised overheads'!E$7</f>
        <v>5442.5008249825087</v>
      </c>
      <c r="J245" s="458">
        <f>J244*'[5]IT capitalised overheads'!F$7</f>
        <v>3127.0736067525154</v>
      </c>
      <c r="K245" s="625">
        <f>K244*'[5]IT capitalised overheads'!G$7</f>
        <v>8568.8213899193543</v>
      </c>
      <c r="L245" s="511">
        <f>L244*'[5]IT capitalised overheads'!H$7</f>
        <v>-186.00861129479728</v>
      </c>
      <c r="M245" s="512">
        <f>M244*'[5]IT capitalised overheads'!I$7</f>
        <v>0</v>
      </c>
      <c r="N245" s="512">
        <f>N244*'[5]IT capitalised overheads'!J$7</f>
        <v>0</v>
      </c>
      <c r="O245" s="512">
        <f>O244*'[5]IT capitalised overheads'!K$7</f>
        <v>0</v>
      </c>
      <c r="P245" s="3480">
        <f>P244*'[5]IT capitalised overheads'!L$7</f>
        <v>0</v>
      </c>
      <c r="Q245" s="564">
        <f>Q244*'[5]IT capitalised overheads'!M$7</f>
        <v>0</v>
      </c>
      <c r="R245" s="477">
        <f>R244*'[5]IT capitalised overheads'!N$7</f>
        <v>0</v>
      </c>
      <c r="S245" s="477">
        <f>S244*'[5]IT capitalised overheads'!O$7</f>
        <v>0</v>
      </c>
      <c r="T245" s="477">
        <f>T244*'[5]IT capitalised overheads'!P$7</f>
        <v>0</v>
      </c>
      <c r="U245" s="519">
        <f>U244*'[5]IT capitalised overheads'!Q$7</f>
        <v>0</v>
      </c>
      <c r="V245" s="3438"/>
      <c r="W245" s="1172"/>
      <c r="X245" s="1172"/>
      <c r="Y245" s="1172"/>
      <c r="Z245" s="462"/>
      <c r="AA245" s="463"/>
      <c r="AB245" s="463"/>
      <c r="AC245" s="463"/>
      <c r="AD245" s="464"/>
      <c r="AE245" s="511"/>
      <c r="AF245" s="512"/>
      <c r="AG245" s="547"/>
    </row>
    <row r="246" spans="5:33" ht="18">
      <c r="E246" s="3446"/>
      <c r="F246" s="1421" t="s">
        <v>581</v>
      </c>
      <c r="G246" s="413"/>
      <c r="H246" s="458"/>
      <c r="I246" s="458"/>
      <c r="J246" s="458"/>
      <c r="K246" s="625"/>
      <c r="L246" s="462"/>
      <c r="M246" s="463"/>
      <c r="N246" s="463"/>
      <c r="O246" s="463"/>
      <c r="P246" s="1190"/>
      <c r="Q246" s="459"/>
      <c r="R246" s="458"/>
      <c r="S246" s="458"/>
      <c r="T246" s="458"/>
      <c r="U246" s="460"/>
      <c r="V246" s="3438"/>
      <c r="W246" s="1172"/>
      <c r="X246" s="1172"/>
      <c r="Y246" s="1172"/>
      <c r="Z246" s="462"/>
      <c r="AA246" s="463"/>
      <c r="AB246" s="463"/>
      <c r="AC246" s="463"/>
      <c r="AD246" s="464"/>
      <c r="AE246" s="462"/>
      <c r="AF246" s="463"/>
      <c r="AG246" s="464"/>
    </row>
    <row r="247" spans="5:33" ht="18">
      <c r="E247" s="3446"/>
      <c r="F247" s="1441" t="s">
        <v>584</v>
      </c>
      <c r="G247" s="1147">
        <f>SUM(G244:G246)</f>
        <v>407760.48164529674</v>
      </c>
      <c r="H247" s="1147">
        <v>26432.655191757083</v>
      </c>
      <c r="I247" s="1147">
        <f t="shared" ref="I247:U247" si="172">SUM(I244:I246)</f>
        <v>158753.69982498253</v>
      </c>
      <c r="J247" s="1147">
        <f t="shared" si="172"/>
        <v>71150.666606752508</v>
      </c>
      <c r="K247" s="1147">
        <f t="shared" si="172"/>
        <v>190574.87238991933</v>
      </c>
      <c r="L247" s="1147">
        <f t="shared" si="172"/>
        <v>-3984.05261129479</v>
      </c>
      <c r="M247" s="1147">
        <f t="shared" si="172"/>
        <v>0</v>
      </c>
      <c r="N247" s="1147">
        <f t="shared" si="172"/>
        <v>0</v>
      </c>
      <c r="O247" s="1147">
        <f t="shared" si="172"/>
        <v>0</v>
      </c>
      <c r="P247" s="1147">
        <f t="shared" si="172"/>
        <v>0</v>
      </c>
      <c r="Q247" s="1147">
        <f t="shared" si="172"/>
        <v>0</v>
      </c>
      <c r="R247" s="1147">
        <f t="shared" si="172"/>
        <v>0</v>
      </c>
      <c r="S247" s="1147">
        <f t="shared" si="172"/>
        <v>0</v>
      </c>
      <c r="T247" s="1147">
        <f t="shared" si="172"/>
        <v>0</v>
      </c>
      <c r="U247" s="1147">
        <f t="shared" si="172"/>
        <v>0</v>
      </c>
      <c r="V247" s="3438"/>
      <c r="W247" s="844"/>
      <c r="X247" s="844"/>
      <c r="Y247" s="844"/>
      <c r="Z247" s="1144">
        <f t="shared" ref="Z247:AG247" si="173">SUM(Z245:Z246)</f>
        <v>0</v>
      </c>
      <c r="AA247" s="1145">
        <f t="shared" si="173"/>
        <v>0</v>
      </c>
      <c r="AB247" s="1145">
        <f t="shared" si="173"/>
        <v>0</v>
      </c>
      <c r="AC247" s="1145">
        <f t="shared" si="173"/>
        <v>0</v>
      </c>
      <c r="AD247" s="1146">
        <f t="shared" si="173"/>
        <v>0</v>
      </c>
      <c r="AE247" s="1144">
        <f t="shared" si="173"/>
        <v>0</v>
      </c>
      <c r="AF247" s="1145">
        <f t="shared" si="173"/>
        <v>0</v>
      </c>
      <c r="AG247" s="1146">
        <f t="shared" si="173"/>
        <v>0</v>
      </c>
    </row>
    <row r="248" spans="5:33" ht="18">
      <c r="E248" s="3446"/>
      <c r="F248" s="1421" t="s">
        <v>35</v>
      </c>
      <c r="G248" s="413"/>
      <c r="H248" s="458"/>
      <c r="I248" s="458"/>
      <c r="J248" s="458"/>
      <c r="K248" s="625"/>
      <c r="L248" s="459"/>
      <c r="M248" s="458"/>
      <c r="N248" s="458"/>
      <c r="O248" s="458"/>
      <c r="P248" s="625"/>
      <c r="Q248" s="459"/>
      <c r="R248" s="458"/>
      <c r="S248" s="458"/>
      <c r="T248" s="458"/>
      <c r="U248" s="460"/>
      <c r="V248" s="3438"/>
      <c r="W248" s="1172"/>
      <c r="X248" s="1172"/>
      <c r="Y248" s="1172"/>
      <c r="Z248" s="462"/>
      <c r="AA248" s="463"/>
      <c r="AB248" s="463"/>
      <c r="AC248" s="463"/>
      <c r="AD248" s="464"/>
      <c r="AE248" s="462"/>
      <c r="AF248" s="463"/>
      <c r="AG248" s="464"/>
    </row>
    <row r="249" spans="5:33" ht="18.75" thickBot="1">
      <c r="E249" s="3447"/>
      <c r="F249" s="1443" t="s">
        <v>585</v>
      </c>
      <c r="G249" s="1152">
        <f>G247-G248</f>
        <v>407760.48164529674</v>
      </c>
      <c r="H249" s="1152">
        <v>26432.655191757083</v>
      </c>
      <c r="I249" s="1152">
        <f t="shared" ref="I249:U249" si="174">I247-I248</f>
        <v>158753.69982498253</v>
      </c>
      <c r="J249" s="1152">
        <f t="shared" si="174"/>
        <v>71150.666606752508</v>
      </c>
      <c r="K249" s="3481">
        <f t="shared" si="174"/>
        <v>190574.87238991933</v>
      </c>
      <c r="L249" s="1447">
        <f t="shared" si="174"/>
        <v>-3984.05261129479</v>
      </c>
      <c r="M249" s="1152">
        <f t="shared" si="174"/>
        <v>0</v>
      </c>
      <c r="N249" s="1152">
        <f t="shared" si="174"/>
        <v>0</v>
      </c>
      <c r="O249" s="1152">
        <f t="shared" si="174"/>
        <v>0</v>
      </c>
      <c r="P249" s="3481">
        <f t="shared" si="174"/>
        <v>0</v>
      </c>
      <c r="Q249" s="1447">
        <f t="shared" si="174"/>
        <v>0</v>
      </c>
      <c r="R249" s="1152">
        <f t="shared" si="174"/>
        <v>0</v>
      </c>
      <c r="S249" s="1152">
        <f t="shared" si="174"/>
        <v>0</v>
      </c>
      <c r="T249" s="1152">
        <f t="shared" si="174"/>
        <v>0</v>
      </c>
      <c r="U249" s="1152">
        <f t="shared" si="174"/>
        <v>0</v>
      </c>
      <c r="V249" s="3439"/>
      <c r="W249" s="844"/>
      <c r="X249" s="844"/>
      <c r="Y249" s="844"/>
      <c r="Z249" s="1447">
        <f t="shared" ref="Z249:AE249" si="175">Z247-Z248</f>
        <v>0</v>
      </c>
      <c r="AA249" s="1150">
        <f t="shared" si="175"/>
        <v>0</v>
      </c>
      <c r="AB249" s="1150">
        <f t="shared" si="175"/>
        <v>0</v>
      </c>
      <c r="AC249" s="1150">
        <f t="shared" si="175"/>
        <v>0</v>
      </c>
      <c r="AD249" s="1151">
        <f t="shared" si="175"/>
        <v>0</v>
      </c>
      <c r="AE249" s="1447">
        <f t="shared" si="175"/>
        <v>0</v>
      </c>
      <c r="AF249" s="1150">
        <f>AF247-AF248</f>
        <v>0</v>
      </c>
      <c r="AG249" s="1151">
        <f t="shared" ref="AG249" si="176">AG247-AG248</f>
        <v>0</v>
      </c>
    </row>
    <row r="250" spans="5:33" ht="18">
      <c r="E250" s="3446" t="s">
        <v>1780</v>
      </c>
      <c r="F250" s="1442" t="s">
        <v>598</v>
      </c>
      <c r="G250" s="528"/>
      <c r="H250" s="3757"/>
      <c r="I250" s="528"/>
      <c r="J250" s="528"/>
      <c r="K250" s="528"/>
      <c r="L250" s="538"/>
      <c r="M250" s="539"/>
      <c r="N250" s="539"/>
      <c r="O250" s="539"/>
      <c r="P250" s="539"/>
      <c r="Q250" s="538"/>
      <c r="R250" s="539"/>
      <c r="S250" s="539"/>
      <c r="T250" s="539"/>
      <c r="U250" s="540"/>
      <c r="V250" s="3437"/>
      <c r="W250" s="1172"/>
      <c r="X250" s="1172"/>
      <c r="Y250" s="1172"/>
      <c r="Z250" s="527"/>
      <c r="AA250" s="528"/>
      <c r="AB250" s="528"/>
      <c r="AC250" s="528"/>
      <c r="AD250" s="529"/>
      <c r="AE250" s="538"/>
      <c r="AF250" s="539"/>
      <c r="AG250" s="540"/>
    </row>
    <row r="251" spans="5:33" ht="18">
      <c r="E251" s="3446"/>
      <c r="F251" s="1421" t="s">
        <v>559</v>
      </c>
      <c r="G251" s="468">
        <v>1530</v>
      </c>
      <c r="H251" s="468">
        <v>0</v>
      </c>
      <c r="I251" s="468">
        <v>0</v>
      </c>
      <c r="J251" s="468">
        <v>22242</v>
      </c>
      <c r="K251" s="468">
        <v>8539.9270677966106</v>
      </c>
      <c r="L251" s="459">
        <v>14699.726999999999</v>
      </c>
      <c r="M251" s="458">
        <v>77821.250999999989</v>
      </c>
      <c r="N251" s="458">
        <v>111314.136</v>
      </c>
      <c r="O251" s="458">
        <v>67635</v>
      </c>
      <c r="P251" s="625">
        <v>91487</v>
      </c>
      <c r="Q251" s="459">
        <v>84901.651379999996</v>
      </c>
      <c r="R251" s="458">
        <v>84901.651379999996</v>
      </c>
      <c r="S251" s="458">
        <v>84901.651379999996</v>
      </c>
      <c r="T251" s="458">
        <v>84901.651379999996</v>
      </c>
      <c r="U251" s="460">
        <v>84901.651379999996</v>
      </c>
      <c r="V251" s="3438"/>
      <c r="W251" s="1172"/>
      <c r="X251" s="1172"/>
      <c r="Y251" s="1172"/>
      <c r="Z251" s="470"/>
      <c r="AA251" s="468"/>
      <c r="AB251" s="468"/>
      <c r="AC251" s="468"/>
      <c r="AD251" s="530"/>
      <c r="AE251" s="462"/>
      <c r="AF251" s="463"/>
      <c r="AG251" s="464"/>
    </row>
    <row r="252" spans="5:33" ht="18">
      <c r="E252" s="3446"/>
      <c r="F252" s="1421" t="s">
        <v>558</v>
      </c>
      <c r="G252" s="468">
        <v>54115</v>
      </c>
      <c r="H252" s="468">
        <v>26499.312000000009</v>
      </c>
      <c r="I252" s="468">
        <v>36878.007000000012</v>
      </c>
      <c r="J252" s="468">
        <v>19621.458999999999</v>
      </c>
      <c r="K252" s="468">
        <v>69081.270237288147</v>
      </c>
      <c r="L252" s="459">
        <v>351126.0275762711</v>
      </c>
      <c r="M252" s="458">
        <v>91729.164000000004</v>
      </c>
      <c r="N252" s="458">
        <v>5390.390000000004</v>
      </c>
      <c r="O252" s="458">
        <v>42137</v>
      </c>
      <c r="P252" s="625">
        <v>15620</v>
      </c>
      <c r="Q252" s="459">
        <v>0</v>
      </c>
      <c r="R252" s="458">
        <v>0</v>
      </c>
      <c r="S252" s="458">
        <v>0</v>
      </c>
      <c r="T252" s="458">
        <v>0</v>
      </c>
      <c r="U252" s="458">
        <v>0</v>
      </c>
      <c r="V252" s="3438"/>
      <c r="W252" s="1172"/>
      <c r="X252" s="1172"/>
      <c r="Y252" s="1172"/>
      <c r="Z252" s="470"/>
      <c r="AA252" s="468"/>
      <c r="AB252" s="468"/>
      <c r="AC252" s="468"/>
      <c r="AD252" s="530"/>
      <c r="AE252" s="462"/>
      <c r="AF252" s="463"/>
      <c r="AG252" s="464"/>
    </row>
    <row r="253" spans="5:33" ht="18">
      <c r="E253" s="3446"/>
      <c r="F253" s="1421" t="s">
        <v>578</v>
      </c>
      <c r="G253" s="468">
        <v>-17</v>
      </c>
      <c r="H253" s="468">
        <v>0</v>
      </c>
      <c r="I253" s="468">
        <v>17</v>
      </c>
      <c r="J253" s="468">
        <v>0</v>
      </c>
      <c r="K253" s="468">
        <v>0</v>
      </c>
      <c r="L253" s="459">
        <v>0</v>
      </c>
      <c r="M253" s="458">
        <v>0</v>
      </c>
      <c r="N253" s="458">
        <v>102743</v>
      </c>
      <c r="O253" s="458">
        <v>84176</v>
      </c>
      <c r="P253" s="625">
        <v>116032</v>
      </c>
      <c r="Q253" s="459">
        <v>0</v>
      </c>
      <c r="R253" s="458">
        <v>0</v>
      </c>
      <c r="S253" s="458">
        <v>0</v>
      </c>
      <c r="T253" s="458">
        <v>0</v>
      </c>
      <c r="U253" s="458">
        <v>0</v>
      </c>
      <c r="V253" s="3438"/>
      <c r="W253" s="1172"/>
      <c r="X253" s="1172"/>
      <c r="Y253" s="1172"/>
      <c r="Z253" s="470"/>
      <c r="AA253" s="468"/>
      <c r="AB253" s="468"/>
      <c r="AC253" s="468"/>
      <c r="AD253" s="530"/>
      <c r="AE253" s="462"/>
      <c r="AF253" s="463"/>
      <c r="AG253" s="464"/>
    </row>
    <row r="254" spans="5:33" ht="18">
      <c r="E254" s="3446"/>
      <c r="F254" s="1441" t="s">
        <v>566</v>
      </c>
      <c r="G254" s="354">
        <f>SUM(G251:G253)</f>
        <v>55628</v>
      </c>
      <c r="H254" s="354">
        <v>26499.312000000009</v>
      </c>
      <c r="I254" s="354">
        <f t="shared" ref="I254:U254" si="177">SUM(I251:I253)</f>
        <v>36895.007000000012</v>
      </c>
      <c r="J254" s="354">
        <f t="shared" si="177"/>
        <v>41863.459000000003</v>
      </c>
      <c r="K254" s="626">
        <f t="shared" si="177"/>
        <v>77621.197305084759</v>
      </c>
      <c r="L254" s="353">
        <f t="shared" si="177"/>
        <v>365825.75457627111</v>
      </c>
      <c r="M254" s="354">
        <f t="shared" si="177"/>
        <v>169550.41499999998</v>
      </c>
      <c r="N254" s="354">
        <f t="shared" si="177"/>
        <v>219447.52600000001</v>
      </c>
      <c r="O254" s="354">
        <f t="shared" si="177"/>
        <v>193948</v>
      </c>
      <c r="P254" s="626">
        <f t="shared" si="177"/>
        <v>223139</v>
      </c>
      <c r="Q254" s="353">
        <f t="shared" si="177"/>
        <v>84901.651379999996</v>
      </c>
      <c r="R254" s="354">
        <f t="shared" si="177"/>
        <v>84901.651379999996</v>
      </c>
      <c r="S254" s="354">
        <f t="shared" si="177"/>
        <v>84901.651379999996</v>
      </c>
      <c r="T254" s="354">
        <f t="shared" si="177"/>
        <v>84901.651379999996</v>
      </c>
      <c r="U254" s="354">
        <f t="shared" si="177"/>
        <v>84901.651379999996</v>
      </c>
      <c r="V254" s="3438"/>
      <c r="W254" s="1172"/>
      <c r="X254" s="1172"/>
      <c r="Y254" s="1172"/>
      <c r="Z254" s="462"/>
      <c r="AA254" s="463"/>
      <c r="AB254" s="463"/>
      <c r="AC254" s="463"/>
      <c r="AD254" s="464"/>
      <c r="AE254" s="353"/>
      <c r="AF254" s="354">
        <f t="shared" ref="AF254:AG254" si="178">SUM(AF251:AF253)</f>
        <v>0</v>
      </c>
      <c r="AG254" s="450">
        <f t="shared" si="178"/>
        <v>0</v>
      </c>
    </row>
    <row r="255" spans="5:33" ht="18">
      <c r="E255" s="3446"/>
      <c r="F255" s="1421" t="s">
        <v>583</v>
      </c>
      <c r="G255" s="413">
        <f>G254*'[5]IT capitalised overheads'!C$7</f>
        <v>5429.4401494600761</v>
      </c>
      <c r="H255" s="458">
        <v>1114.7764700215819</v>
      </c>
      <c r="I255" s="458">
        <f>I254*'[5]IT capitalised overheads'!E$7</f>
        <v>1309.7615004317818</v>
      </c>
      <c r="J255" s="458">
        <f>J254*'[5]IT capitalised overheads'!F$7</f>
        <v>1924.4810800609441</v>
      </c>
      <c r="K255" s="625">
        <f>K254*'[5]IT capitalised overheads'!G$7</f>
        <v>3654.3959507091386</v>
      </c>
      <c r="L255" s="511">
        <f>L254*'[5]IT capitalised overheads'!H$7</f>
        <v>17916.259154607913</v>
      </c>
      <c r="M255" s="512">
        <f>M254*'[5]IT capitalised overheads'!I$7</f>
        <v>12634.20537631769</v>
      </c>
      <c r="N255" s="512">
        <f>N254*'[5]IT capitalised overheads'!J$7</f>
        <v>14649.630877498183</v>
      </c>
      <c r="O255" s="512">
        <f>O254*'[5]IT capitalised overheads'!K$7</f>
        <v>18615.222467895012</v>
      </c>
      <c r="P255" s="3480">
        <f>P254*'[5]IT capitalised overheads'!L$7</f>
        <v>13096.748852185327</v>
      </c>
      <c r="Q255" s="564">
        <f>Q254*'[5]IT capitalised overheads'!M$7</f>
        <v>4724.8005229730643</v>
      </c>
      <c r="R255" s="477">
        <f>R254*'[5]IT capitalised overheads'!N$7</f>
        <v>4363.307263287651</v>
      </c>
      <c r="S255" s="477">
        <f>S254*'[5]IT capitalised overheads'!O$7</f>
        <v>5105.9688427281444</v>
      </c>
      <c r="T255" s="477">
        <f>T254*'[5]IT capitalised overheads'!P$7</f>
        <v>6001.3152958283572</v>
      </c>
      <c r="U255" s="519">
        <f>U254*'[5]IT capitalised overheads'!Q$7</f>
        <v>9543.1924243257636</v>
      </c>
      <c r="V255" s="3438"/>
      <c r="W255" s="1172"/>
      <c r="X255" s="1172"/>
      <c r="Y255" s="1172"/>
      <c r="Z255" s="462"/>
      <c r="AA255" s="463"/>
      <c r="AB255" s="463"/>
      <c r="AC255" s="463"/>
      <c r="AD255" s="464"/>
      <c r="AE255" s="511"/>
      <c r="AF255" s="512"/>
      <c r="AG255" s="547"/>
    </row>
    <row r="256" spans="5:33" ht="18">
      <c r="E256" s="3446"/>
      <c r="F256" s="1421" t="s">
        <v>581</v>
      </c>
      <c r="G256" s="413"/>
      <c r="H256" s="458"/>
      <c r="I256" s="458"/>
      <c r="J256" s="458"/>
      <c r="K256" s="625"/>
      <c r="L256" s="462"/>
      <c r="M256" s="463"/>
      <c r="N256" s="463"/>
      <c r="O256" s="463"/>
      <c r="P256" s="1190"/>
      <c r="Q256" s="459"/>
      <c r="R256" s="458"/>
      <c r="S256" s="458"/>
      <c r="T256" s="458"/>
      <c r="U256" s="460"/>
      <c r="V256" s="3438"/>
      <c r="W256" s="1172"/>
      <c r="X256" s="1172"/>
      <c r="Y256" s="1172"/>
      <c r="Z256" s="462"/>
      <c r="AA256" s="463"/>
      <c r="AB256" s="463"/>
      <c r="AC256" s="463"/>
      <c r="AD256" s="464"/>
      <c r="AE256" s="462"/>
      <c r="AF256" s="463"/>
      <c r="AG256" s="464"/>
    </row>
    <row r="257" spans="5:33" ht="18">
      <c r="E257" s="3446"/>
      <c r="F257" s="1441" t="s">
        <v>584</v>
      </c>
      <c r="G257" s="1147">
        <f>SUM(G254:G256)</f>
        <v>61057.440149460075</v>
      </c>
      <c r="H257" s="1147">
        <v>27614.08847002159</v>
      </c>
      <c r="I257" s="1147">
        <f t="shared" ref="I257:U257" si="179">SUM(I254:I256)</f>
        <v>38204.768500431797</v>
      </c>
      <c r="J257" s="1147">
        <f t="shared" si="179"/>
        <v>43787.940080060944</v>
      </c>
      <c r="K257" s="1147">
        <f t="shared" si="179"/>
        <v>81275.593255793894</v>
      </c>
      <c r="L257" s="1147">
        <f t="shared" si="179"/>
        <v>383742.013730879</v>
      </c>
      <c r="M257" s="1147">
        <f t="shared" si="179"/>
        <v>182184.62037631767</v>
      </c>
      <c r="N257" s="1147">
        <f t="shared" si="179"/>
        <v>234097.1568774982</v>
      </c>
      <c r="O257" s="1147">
        <f t="shared" si="179"/>
        <v>212563.22246789502</v>
      </c>
      <c r="P257" s="1147">
        <f t="shared" si="179"/>
        <v>236235.74885218532</v>
      </c>
      <c r="Q257" s="1147">
        <f t="shared" si="179"/>
        <v>89626.451902973058</v>
      </c>
      <c r="R257" s="1147">
        <f t="shared" si="179"/>
        <v>89264.958643287653</v>
      </c>
      <c r="S257" s="1147">
        <f t="shared" si="179"/>
        <v>90007.620222728146</v>
      </c>
      <c r="T257" s="1147">
        <f t="shared" si="179"/>
        <v>90902.966675828357</v>
      </c>
      <c r="U257" s="1147">
        <f t="shared" si="179"/>
        <v>94444.843804325763</v>
      </c>
      <c r="V257" s="3438"/>
      <c r="W257" s="844"/>
      <c r="X257" s="844"/>
      <c r="Y257" s="844"/>
      <c r="Z257" s="1144">
        <f t="shared" ref="Z257:AG257" si="180">SUM(Z255:Z256)</f>
        <v>0</v>
      </c>
      <c r="AA257" s="1145">
        <f t="shared" si="180"/>
        <v>0</v>
      </c>
      <c r="AB257" s="1145">
        <f t="shared" si="180"/>
        <v>0</v>
      </c>
      <c r="AC257" s="1145">
        <f t="shared" si="180"/>
        <v>0</v>
      </c>
      <c r="AD257" s="1146">
        <f t="shared" si="180"/>
        <v>0</v>
      </c>
      <c r="AE257" s="1144">
        <f t="shared" si="180"/>
        <v>0</v>
      </c>
      <c r="AF257" s="1145">
        <f t="shared" si="180"/>
        <v>0</v>
      </c>
      <c r="AG257" s="1146">
        <f t="shared" si="180"/>
        <v>0</v>
      </c>
    </row>
    <row r="258" spans="5:33" ht="18">
      <c r="E258" s="3446"/>
      <c r="F258" s="1421" t="s">
        <v>35</v>
      </c>
      <c r="G258" s="413"/>
      <c r="H258" s="458"/>
      <c r="I258" s="458"/>
      <c r="J258" s="458"/>
      <c r="K258" s="625"/>
      <c r="L258" s="459"/>
      <c r="M258" s="458"/>
      <c r="N258" s="458"/>
      <c r="O258" s="458"/>
      <c r="P258" s="625"/>
      <c r="Q258" s="459"/>
      <c r="R258" s="458"/>
      <c r="S258" s="458"/>
      <c r="T258" s="458"/>
      <c r="U258" s="460"/>
      <c r="V258" s="3438"/>
      <c r="W258" s="1172"/>
      <c r="X258" s="1172"/>
      <c r="Y258" s="1172"/>
      <c r="Z258" s="462"/>
      <c r="AA258" s="463"/>
      <c r="AB258" s="463"/>
      <c r="AC258" s="463"/>
      <c r="AD258" s="464"/>
      <c r="AE258" s="462"/>
      <c r="AF258" s="463"/>
      <c r="AG258" s="464"/>
    </row>
    <row r="259" spans="5:33" ht="18.75" thickBot="1">
      <c r="E259" s="3447"/>
      <c r="F259" s="1443" t="s">
        <v>585</v>
      </c>
      <c r="G259" s="1152">
        <f>G257-G258</f>
        <v>61057.440149460075</v>
      </c>
      <c r="H259" s="1152">
        <v>27614.08847002159</v>
      </c>
      <c r="I259" s="1152">
        <f t="shared" ref="I259:U259" si="181">I257-I258</f>
        <v>38204.768500431797</v>
      </c>
      <c r="J259" s="1152">
        <f t="shared" si="181"/>
        <v>43787.940080060944</v>
      </c>
      <c r="K259" s="3481">
        <f t="shared" si="181"/>
        <v>81275.593255793894</v>
      </c>
      <c r="L259" s="1447">
        <f t="shared" si="181"/>
        <v>383742.013730879</v>
      </c>
      <c r="M259" s="1152">
        <f t="shared" si="181"/>
        <v>182184.62037631767</v>
      </c>
      <c r="N259" s="1152">
        <f t="shared" si="181"/>
        <v>234097.1568774982</v>
      </c>
      <c r="O259" s="1152">
        <f t="shared" si="181"/>
        <v>212563.22246789502</v>
      </c>
      <c r="P259" s="3481">
        <f t="shared" si="181"/>
        <v>236235.74885218532</v>
      </c>
      <c r="Q259" s="1447">
        <f t="shared" si="181"/>
        <v>89626.451902973058</v>
      </c>
      <c r="R259" s="1152">
        <f t="shared" si="181"/>
        <v>89264.958643287653</v>
      </c>
      <c r="S259" s="1152">
        <f t="shared" si="181"/>
        <v>90007.620222728146</v>
      </c>
      <c r="T259" s="1152">
        <f t="shared" si="181"/>
        <v>90902.966675828357</v>
      </c>
      <c r="U259" s="1152">
        <f t="shared" si="181"/>
        <v>94444.843804325763</v>
      </c>
      <c r="V259" s="3439"/>
      <c r="W259" s="844"/>
      <c r="X259" s="844"/>
      <c r="Y259" s="844"/>
      <c r="Z259" s="1447">
        <f t="shared" ref="Z259:AE259" si="182">Z257-Z258</f>
        <v>0</v>
      </c>
      <c r="AA259" s="1150">
        <f t="shared" si="182"/>
        <v>0</v>
      </c>
      <c r="AB259" s="1150">
        <f t="shared" si="182"/>
        <v>0</v>
      </c>
      <c r="AC259" s="1150">
        <f t="shared" si="182"/>
        <v>0</v>
      </c>
      <c r="AD259" s="1151">
        <f t="shared" si="182"/>
        <v>0</v>
      </c>
      <c r="AE259" s="1447">
        <f t="shared" si="182"/>
        <v>0</v>
      </c>
      <c r="AF259" s="1150">
        <f>AF257-AF258</f>
        <v>0</v>
      </c>
      <c r="AG259" s="1151">
        <f t="shared" ref="AG259" si="183">AG257-AG258</f>
        <v>0</v>
      </c>
    </row>
    <row r="260" spans="5:33" ht="18">
      <c r="E260" s="3446" t="s">
        <v>1781</v>
      </c>
      <c r="F260" s="1442" t="s">
        <v>598</v>
      </c>
      <c r="G260" s="528"/>
      <c r="H260" s="3757"/>
      <c r="I260" s="528"/>
      <c r="J260" s="528"/>
      <c r="K260" s="528"/>
      <c r="L260" s="538"/>
      <c r="M260" s="539"/>
      <c r="N260" s="539"/>
      <c r="O260" s="539"/>
      <c r="P260" s="539"/>
      <c r="Q260" s="538"/>
      <c r="R260" s="539"/>
      <c r="S260" s="539"/>
      <c r="T260" s="539"/>
      <c r="U260" s="540"/>
      <c r="V260" s="3437"/>
      <c r="W260" s="1172"/>
      <c r="X260" s="1172"/>
      <c r="Y260" s="1172"/>
      <c r="Z260" s="527"/>
      <c r="AA260" s="528"/>
      <c r="AB260" s="528"/>
      <c r="AC260" s="528"/>
      <c r="AD260" s="529"/>
      <c r="AE260" s="538"/>
      <c r="AF260" s="539"/>
      <c r="AG260" s="540"/>
    </row>
    <row r="261" spans="5:33" ht="18">
      <c r="E261" s="3446"/>
      <c r="F261" s="1421" t="s">
        <v>559</v>
      </c>
      <c r="G261" s="468">
        <v>0</v>
      </c>
      <c r="H261" s="468">
        <v>0</v>
      </c>
      <c r="I261" s="468">
        <v>0</v>
      </c>
      <c r="J261" s="468">
        <v>0</v>
      </c>
      <c r="K261" s="468">
        <v>0</v>
      </c>
      <c r="L261" s="459">
        <v>0</v>
      </c>
      <c r="M261" s="458">
        <v>0</v>
      </c>
      <c r="N261" s="458">
        <v>0</v>
      </c>
      <c r="O261" s="458">
        <v>34174</v>
      </c>
      <c r="P261" s="625">
        <v>88576</v>
      </c>
      <c r="Q261" s="459">
        <v>171980.26817999998</v>
      </c>
      <c r="R261" s="458">
        <v>0</v>
      </c>
      <c r="S261" s="458">
        <v>0</v>
      </c>
      <c r="T261" s="458">
        <v>0</v>
      </c>
      <c r="U261" s="458">
        <v>0</v>
      </c>
      <c r="V261" s="3438"/>
      <c r="W261" s="1172"/>
      <c r="X261" s="1172"/>
      <c r="Y261" s="1172"/>
      <c r="Z261" s="470"/>
      <c r="AA261" s="468"/>
      <c r="AB261" s="468"/>
      <c r="AC261" s="468"/>
      <c r="AD261" s="530"/>
      <c r="AE261" s="462"/>
      <c r="AF261" s="463"/>
      <c r="AG261" s="464"/>
    </row>
    <row r="262" spans="5:33" ht="18">
      <c r="E262" s="3446"/>
      <c r="F262" s="1421" t="s">
        <v>558</v>
      </c>
      <c r="G262" s="468">
        <v>0</v>
      </c>
      <c r="H262" s="468">
        <v>0</v>
      </c>
      <c r="I262" s="468">
        <v>0</v>
      </c>
      <c r="J262" s="468">
        <v>0</v>
      </c>
      <c r="K262" s="468">
        <v>0</v>
      </c>
      <c r="L262" s="459">
        <v>0</v>
      </c>
      <c r="M262" s="458">
        <v>0</v>
      </c>
      <c r="N262" s="458">
        <v>0</v>
      </c>
      <c r="O262" s="458">
        <v>0</v>
      </c>
      <c r="P262" s="625">
        <v>15123</v>
      </c>
      <c r="Q262" s="459">
        <v>0</v>
      </c>
      <c r="R262" s="458">
        <v>0</v>
      </c>
      <c r="S262" s="458">
        <v>0</v>
      </c>
      <c r="T262" s="458">
        <v>0</v>
      </c>
      <c r="U262" s="458">
        <v>0</v>
      </c>
      <c r="V262" s="3438"/>
      <c r="W262" s="1172"/>
      <c r="X262" s="1172"/>
      <c r="Y262" s="1172"/>
      <c r="Z262" s="470"/>
      <c r="AA262" s="468"/>
      <c r="AB262" s="468"/>
      <c r="AC262" s="468"/>
      <c r="AD262" s="530"/>
      <c r="AE262" s="462"/>
      <c r="AF262" s="463"/>
      <c r="AG262" s="464"/>
    </row>
    <row r="263" spans="5:33" ht="18">
      <c r="E263" s="3446"/>
      <c r="F263" s="1421" t="s">
        <v>578</v>
      </c>
      <c r="G263" s="468">
        <v>0</v>
      </c>
      <c r="H263" s="468">
        <v>0</v>
      </c>
      <c r="I263" s="468">
        <v>0</v>
      </c>
      <c r="J263" s="468">
        <v>0</v>
      </c>
      <c r="K263" s="468">
        <v>0</v>
      </c>
      <c r="L263" s="459">
        <v>0</v>
      </c>
      <c r="M263" s="458">
        <v>0</v>
      </c>
      <c r="N263" s="458">
        <v>0</v>
      </c>
      <c r="O263" s="458">
        <v>0</v>
      </c>
      <c r="P263" s="625">
        <v>112341</v>
      </c>
      <c r="Q263" s="459">
        <v>0</v>
      </c>
      <c r="R263" s="458">
        <v>0</v>
      </c>
      <c r="S263" s="458">
        <v>0</v>
      </c>
      <c r="T263" s="458">
        <v>0</v>
      </c>
      <c r="U263" s="458">
        <v>0</v>
      </c>
      <c r="V263" s="3438"/>
      <c r="W263" s="1172"/>
      <c r="X263" s="1172"/>
      <c r="Y263" s="1172"/>
      <c r="Z263" s="470"/>
      <c r="AA263" s="468"/>
      <c r="AB263" s="468"/>
      <c r="AC263" s="468"/>
      <c r="AD263" s="530"/>
      <c r="AE263" s="462"/>
      <c r="AF263" s="463"/>
      <c r="AG263" s="464"/>
    </row>
    <row r="264" spans="5:33" ht="18">
      <c r="E264" s="3446"/>
      <c r="F264" s="1441" t="s">
        <v>566</v>
      </c>
      <c r="G264" s="354">
        <f>SUM(G261:G263)</f>
        <v>0</v>
      </c>
      <c r="H264" s="354">
        <v>0</v>
      </c>
      <c r="I264" s="354">
        <f t="shared" ref="I264:U264" si="184">SUM(I261:I263)</f>
        <v>0</v>
      </c>
      <c r="J264" s="354">
        <f t="shared" si="184"/>
        <v>0</v>
      </c>
      <c r="K264" s="626">
        <f t="shared" si="184"/>
        <v>0</v>
      </c>
      <c r="L264" s="353">
        <f t="shared" si="184"/>
        <v>0</v>
      </c>
      <c r="M264" s="354">
        <f t="shared" si="184"/>
        <v>0</v>
      </c>
      <c r="N264" s="354">
        <f t="shared" si="184"/>
        <v>0</v>
      </c>
      <c r="O264" s="354">
        <f t="shared" si="184"/>
        <v>34174</v>
      </c>
      <c r="P264" s="626">
        <f t="shared" si="184"/>
        <v>216040</v>
      </c>
      <c r="Q264" s="353">
        <f t="shared" si="184"/>
        <v>171980.26817999998</v>
      </c>
      <c r="R264" s="354">
        <f t="shared" si="184"/>
        <v>0</v>
      </c>
      <c r="S264" s="354">
        <f t="shared" si="184"/>
        <v>0</v>
      </c>
      <c r="T264" s="354">
        <f t="shared" si="184"/>
        <v>0</v>
      </c>
      <c r="U264" s="354">
        <f t="shared" si="184"/>
        <v>0</v>
      </c>
      <c r="V264" s="3438"/>
      <c r="W264" s="1172"/>
      <c r="X264" s="1172"/>
      <c r="Y264" s="1172"/>
      <c r="Z264" s="462"/>
      <c r="AA264" s="463"/>
      <c r="AB264" s="463"/>
      <c r="AC264" s="463"/>
      <c r="AD264" s="464"/>
      <c r="AE264" s="353"/>
      <c r="AF264" s="354">
        <f t="shared" ref="AF264:AG264" si="185">SUM(AF261:AF263)</f>
        <v>0</v>
      </c>
      <c r="AG264" s="450">
        <f t="shared" si="185"/>
        <v>0</v>
      </c>
    </row>
    <row r="265" spans="5:33" ht="18">
      <c r="E265" s="3446"/>
      <c r="F265" s="1421" t="s">
        <v>583</v>
      </c>
      <c r="G265" s="413">
        <f>G264*'[5]IT capitalised overheads'!C$7</f>
        <v>0</v>
      </c>
      <c r="H265" s="458">
        <v>0</v>
      </c>
      <c r="I265" s="458">
        <f>I264*'[5]IT capitalised overheads'!E$7</f>
        <v>0</v>
      </c>
      <c r="J265" s="458">
        <f>J264*'[5]IT capitalised overheads'!F$7</f>
        <v>0</v>
      </c>
      <c r="K265" s="625">
        <f>K264*'[5]IT capitalised overheads'!G$7</f>
        <v>0</v>
      </c>
      <c r="L265" s="511">
        <f>L264*'[5]IT capitalised overheads'!H$7</f>
        <v>0</v>
      </c>
      <c r="M265" s="512">
        <f>M264*'[5]IT capitalised overheads'!I$7</f>
        <v>0</v>
      </c>
      <c r="N265" s="512">
        <f>N264*'[5]IT capitalised overheads'!J$7</f>
        <v>0</v>
      </c>
      <c r="O265" s="512">
        <f>O264*'[5]IT capitalised overheads'!K$7</f>
        <v>3280.0369821696745</v>
      </c>
      <c r="P265" s="3480">
        <f>P264*'[5]IT capitalised overheads'!L$7</f>
        <v>12680.085605950184</v>
      </c>
      <c r="Q265" s="564">
        <f>Q264*'[5]IT capitalised overheads'!M$7</f>
        <v>9570.7497773044124</v>
      </c>
      <c r="R265" s="477">
        <f>R264*'[5]IT capitalised overheads'!N$7</f>
        <v>0</v>
      </c>
      <c r="S265" s="477">
        <f>S264*'[5]IT capitalised overheads'!O$7</f>
        <v>0</v>
      </c>
      <c r="T265" s="477">
        <f>T264*'[5]IT capitalised overheads'!P$7</f>
        <v>0</v>
      </c>
      <c r="U265" s="519">
        <f>U264*'[5]IT capitalised overheads'!Q$7</f>
        <v>0</v>
      </c>
      <c r="V265" s="3438"/>
      <c r="W265" s="1172"/>
      <c r="X265" s="1172"/>
      <c r="Y265" s="1172"/>
      <c r="Z265" s="462"/>
      <c r="AA265" s="463"/>
      <c r="AB265" s="463"/>
      <c r="AC265" s="463"/>
      <c r="AD265" s="464"/>
      <c r="AE265" s="511"/>
      <c r="AF265" s="512"/>
      <c r="AG265" s="547"/>
    </row>
    <row r="266" spans="5:33" ht="18">
      <c r="E266" s="3446"/>
      <c r="F266" s="1421" t="s">
        <v>581</v>
      </c>
      <c r="G266" s="413"/>
      <c r="H266" s="458"/>
      <c r="I266" s="458"/>
      <c r="J266" s="458"/>
      <c r="K266" s="625"/>
      <c r="L266" s="462"/>
      <c r="M266" s="463"/>
      <c r="N266" s="463"/>
      <c r="O266" s="463"/>
      <c r="P266" s="1190"/>
      <c r="Q266" s="459"/>
      <c r="R266" s="458"/>
      <c r="S266" s="458"/>
      <c r="T266" s="458"/>
      <c r="U266" s="460"/>
      <c r="V266" s="3438"/>
      <c r="W266" s="1172"/>
      <c r="X266" s="1172"/>
      <c r="Y266" s="1172"/>
      <c r="Z266" s="462"/>
      <c r="AA266" s="463"/>
      <c r="AB266" s="463"/>
      <c r="AC266" s="463"/>
      <c r="AD266" s="464"/>
      <c r="AE266" s="462"/>
      <c r="AF266" s="463"/>
      <c r="AG266" s="464"/>
    </row>
    <row r="267" spans="5:33" ht="18">
      <c r="E267" s="3446"/>
      <c r="F267" s="1441" t="s">
        <v>584</v>
      </c>
      <c r="G267" s="1147">
        <f>SUM(G264:G266)</f>
        <v>0</v>
      </c>
      <c r="H267" s="1147">
        <v>0</v>
      </c>
      <c r="I267" s="1147">
        <f t="shared" ref="I267:U267" si="186">SUM(I264:I266)</f>
        <v>0</v>
      </c>
      <c r="J267" s="1147">
        <f t="shared" si="186"/>
        <v>0</v>
      </c>
      <c r="K267" s="1147">
        <f t="shared" si="186"/>
        <v>0</v>
      </c>
      <c r="L267" s="1147">
        <f t="shared" si="186"/>
        <v>0</v>
      </c>
      <c r="M267" s="1147">
        <f t="shared" si="186"/>
        <v>0</v>
      </c>
      <c r="N267" s="1147">
        <f t="shared" si="186"/>
        <v>0</v>
      </c>
      <c r="O267" s="1147">
        <f t="shared" si="186"/>
        <v>37454.036982169673</v>
      </c>
      <c r="P267" s="1147">
        <f t="shared" si="186"/>
        <v>228720.08560595018</v>
      </c>
      <c r="Q267" s="1147">
        <f t="shared" si="186"/>
        <v>181551.0179573044</v>
      </c>
      <c r="R267" s="1147">
        <f t="shared" si="186"/>
        <v>0</v>
      </c>
      <c r="S267" s="1147">
        <f t="shared" si="186"/>
        <v>0</v>
      </c>
      <c r="T267" s="1147">
        <f t="shared" si="186"/>
        <v>0</v>
      </c>
      <c r="U267" s="1147">
        <f t="shared" si="186"/>
        <v>0</v>
      </c>
      <c r="V267" s="3438"/>
      <c r="W267" s="844"/>
      <c r="X267" s="844"/>
      <c r="Y267" s="844"/>
      <c r="Z267" s="1144">
        <f t="shared" ref="Z267:AG267" si="187">SUM(Z265:Z266)</f>
        <v>0</v>
      </c>
      <c r="AA267" s="1145">
        <f t="shared" si="187"/>
        <v>0</v>
      </c>
      <c r="AB267" s="1145">
        <f t="shared" si="187"/>
        <v>0</v>
      </c>
      <c r="AC267" s="1145">
        <f t="shared" si="187"/>
        <v>0</v>
      </c>
      <c r="AD267" s="1146">
        <f t="shared" si="187"/>
        <v>0</v>
      </c>
      <c r="AE267" s="1144">
        <f t="shared" si="187"/>
        <v>0</v>
      </c>
      <c r="AF267" s="1145">
        <f t="shared" si="187"/>
        <v>0</v>
      </c>
      <c r="AG267" s="1146">
        <f t="shared" si="187"/>
        <v>0</v>
      </c>
    </row>
    <row r="268" spans="5:33" ht="18">
      <c r="E268" s="3446"/>
      <c r="F268" s="1421" t="s">
        <v>35</v>
      </c>
      <c r="G268" s="413"/>
      <c r="H268" s="458"/>
      <c r="I268" s="458"/>
      <c r="J268" s="458"/>
      <c r="K268" s="625"/>
      <c r="L268" s="459"/>
      <c r="M268" s="458"/>
      <c r="N268" s="458"/>
      <c r="O268" s="458"/>
      <c r="P268" s="625"/>
      <c r="Q268" s="459"/>
      <c r="R268" s="458"/>
      <c r="S268" s="458"/>
      <c r="T268" s="458"/>
      <c r="U268" s="460"/>
      <c r="V268" s="3438"/>
      <c r="W268" s="1172"/>
      <c r="X268" s="1172"/>
      <c r="Y268" s="1172"/>
      <c r="Z268" s="462"/>
      <c r="AA268" s="463"/>
      <c r="AB268" s="463"/>
      <c r="AC268" s="463"/>
      <c r="AD268" s="464"/>
      <c r="AE268" s="462"/>
      <c r="AF268" s="463"/>
      <c r="AG268" s="464"/>
    </row>
    <row r="269" spans="5:33" ht="18.75" thickBot="1">
      <c r="E269" s="3447"/>
      <c r="F269" s="1443" t="s">
        <v>585</v>
      </c>
      <c r="G269" s="1152">
        <f>G267-G268</f>
        <v>0</v>
      </c>
      <c r="H269" s="1152">
        <v>0</v>
      </c>
      <c r="I269" s="1152">
        <f t="shared" ref="I269:U269" si="188">I267-I268</f>
        <v>0</v>
      </c>
      <c r="J269" s="1152">
        <f t="shared" si="188"/>
        <v>0</v>
      </c>
      <c r="K269" s="3481">
        <f t="shared" si="188"/>
        <v>0</v>
      </c>
      <c r="L269" s="1447">
        <f t="shared" si="188"/>
        <v>0</v>
      </c>
      <c r="M269" s="1152">
        <f t="shared" si="188"/>
        <v>0</v>
      </c>
      <c r="N269" s="1152">
        <f t="shared" si="188"/>
        <v>0</v>
      </c>
      <c r="O269" s="1152">
        <f t="shared" si="188"/>
        <v>37454.036982169673</v>
      </c>
      <c r="P269" s="3481">
        <f t="shared" si="188"/>
        <v>228720.08560595018</v>
      </c>
      <c r="Q269" s="1447">
        <f t="shared" si="188"/>
        <v>181551.0179573044</v>
      </c>
      <c r="R269" s="1152">
        <f t="shared" si="188"/>
        <v>0</v>
      </c>
      <c r="S269" s="1152">
        <f t="shared" si="188"/>
        <v>0</v>
      </c>
      <c r="T269" s="1152">
        <f t="shared" si="188"/>
        <v>0</v>
      </c>
      <c r="U269" s="1152">
        <f t="shared" si="188"/>
        <v>0</v>
      </c>
      <c r="V269" s="3439"/>
      <c r="W269" s="844"/>
      <c r="X269" s="844"/>
      <c r="Y269" s="844"/>
      <c r="Z269" s="1447">
        <f t="shared" ref="Z269:AE269" si="189">Z267-Z268</f>
        <v>0</v>
      </c>
      <c r="AA269" s="1150">
        <f t="shared" si="189"/>
        <v>0</v>
      </c>
      <c r="AB269" s="1150">
        <f t="shared" si="189"/>
        <v>0</v>
      </c>
      <c r="AC269" s="1150">
        <f t="shared" si="189"/>
        <v>0</v>
      </c>
      <c r="AD269" s="1151">
        <f t="shared" si="189"/>
        <v>0</v>
      </c>
      <c r="AE269" s="1447">
        <f t="shared" si="189"/>
        <v>0</v>
      </c>
      <c r="AF269" s="1150">
        <f>AF267-AF268</f>
        <v>0</v>
      </c>
      <c r="AG269" s="1151">
        <f t="shared" ref="AG269" si="190">AG267-AG268</f>
        <v>0</v>
      </c>
    </row>
    <row r="270" spans="5:33" ht="18">
      <c r="E270" s="3446" t="s">
        <v>1782</v>
      </c>
      <c r="F270" s="1442" t="s">
        <v>598</v>
      </c>
      <c r="G270" s="528"/>
      <c r="H270" s="3757"/>
      <c r="I270" s="528"/>
      <c r="J270" s="528"/>
      <c r="K270" s="528"/>
      <c r="L270" s="538"/>
      <c r="M270" s="539"/>
      <c r="N270" s="539"/>
      <c r="O270" s="539"/>
      <c r="P270" s="539"/>
      <c r="Q270" s="538"/>
      <c r="R270" s="539"/>
      <c r="S270" s="539"/>
      <c r="T270" s="539"/>
      <c r="U270" s="540"/>
      <c r="V270" s="3437"/>
      <c r="W270" s="1172"/>
      <c r="X270" s="1172"/>
      <c r="Y270" s="1172"/>
      <c r="Z270" s="527"/>
      <c r="AA270" s="528"/>
      <c r="AB270" s="528"/>
      <c r="AC270" s="528"/>
      <c r="AD270" s="529"/>
      <c r="AE270" s="538"/>
      <c r="AF270" s="539"/>
      <c r="AG270" s="540"/>
    </row>
    <row r="271" spans="5:33" ht="18">
      <c r="E271" s="3446"/>
      <c r="F271" s="1421" t="s">
        <v>559</v>
      </c>
      <c r="G271" s="468">
        <v>0</v>
      </c>
      <c r="H271" s="468">
        <v>0</v>
      </c>
      <c r="I271" s="468">
        <v>0</v>
      </c>
      <c r="J271" s="468">
        <v>0</v>
      </c>
      <c r="K271" s="468">
        <v>0</v>
      </c>
      <c r="L271" s="459">
        <v>0</v>
      </c>
      <c r="M271" s="458">
        <v>0</v>
      </c>
      <c r="N271" s="458">
        <v>0</v>
      </c>
      <c r="O271" s="458">
        <v>0</v>
      </c>
      <c r="P271" s="625">
        <v>168005</v>
      </c>
      <c r="Q271" s="459">
        <v>318925.43403</v>
      </c>
      <c r="R271" s="458">
        <v>323279.36486999999</v>
      </c>
      <c r="S271" s="458">
        <v>0</v>
      </c>
      <c r="T271" s="458">
        <v>0</v>
      </c>
      <c r="U271" s="458">
        <v>0</v>
      </c>
      <c r="V271" s="3438"/>
      <c r="W271" s="1172"/>
      <c r="X271" s="1172"/>
      <c r="Y271" s="1172"/>
      <c r="Z271" s="470"/>
      <c r="AA271" s="468"/>
      <c r="AB271" s="468"/>
      <c r="AC271" s="468"/>
      <c r="AD271" s="530"/>
      <c r="AE271" s="462"/>
      <c r="AF271" s="463"/>
      <c r="AG271" s="464"/>
    </row>
    <row r="272" spans="5:33" ht="18">
      <c r="E272" s="3446"/>
      <c r="F272" s="1421" t="s">
        <v>558</v>
      </c>
      <c r="G272" s="468">
        <v>0</v>
      </c>
      <c r="H272" s="468">
        <v>0</v>
      </c>
      <c r="I272" s="468">
        <v>0</v>
      </c>
      <c r="J272" s="468">
        <v>0</v>
      </c>
      <c r="K272" s="468">
        <v>0</v>
      </c>
      <c r="L272" s="459">
        <v>0</v>
      </c>
      <c r="M272" s="458">
        <v>0</v>
      </c>
      <c r="N272" s="458">
        <v>0</v>
      </c>
      <c r="O272" s="458">
        <v>0</v>
      </c>
      <c r="P272" s="625">
        <v>2853</v>
      </c>
      <c r="Q272" s="459">
        <v>0</v>
      </c>
      <c r="R272" s="458">
        <v>0</v>
      </c>
      <c r="S272" s="458">
        <v>0</v>
      </c>
      <c r="T272" s="458">
        <v>0</v>
      </c>
      <c r="U272" s="458">
        <v>0</v>
      </c>
      <c r="V272" s="3438"/>
      <c r="W272" s="1172"/>
      <c r="X272" s="1172"/>
      <c r="Y272" s="1172"/>
      <c r="Z272" s="470"/>
      <c r="AA272" s="468"/>
      <c r="AB272" s="468"/>
      <c r="AC272" s="468"/>
      <c r="AD272" s="530"/>
      <c r="AE272" s="462"/>
      <c r="AF272" s="463"/>
      <c r="AG272" s="464"/>
    </row>
    <row r="273" spans="5:33" ht="18">
      <c r="E273" s="3446"/>
      <c r="F273" s="1421" t="s">
        <v>578</v>
      </c>
      <c r="G273" s="468">
        <v>0</v>
      </c>
      <c r="H273" s="468">
        <v>0</v>
      </c>
      <c r="I273" s="468">
        <v>0</v>
      </c>
      <c r="J273" s="468">
        <v>0</v>
      </c>
      <c r="K273" s="468">
        <v>0</v>
      </c>
      <c r="L273" s="459">
        <v>0</v>
      </c>
      <c r="M273" s="458">
        <v>0</v>
      </c>
      <c r="N273" s="458">
        <v>0</v>
      </c>
      <c r="O273" s="458">
        <v>0</v>
      </c>
      <c r="P273" s="625">
        <v>21192</v>
      </c>
      <c r="Q273" s="459">
        <v>0</v>
      </c>
      <c r="R273" s="458">
        <v>0</v>
      </c>
      <c r="S273" s="458">
        <v>0</v>
      </c>
      <c r="T273" s="458">
        <v>0</v>
      </c>
      <c r="U273" s="458">
        <v>0</v>
      </c>
      <c r="V273" s="3438"/>
      <c r="W273" s="1172"/>
      <c r="X273" s="1172"/>
      <c r="Y273" s="1172"/>
      <c r="Z273" s="470"/>
      <c r="AA273" s="468"/>
      <c r="AB273" s="468"/>
      <c r="AC273" s="468"/>
      <c r="AD273" s="530"/>
      <c r="AE273" s="462"/>
      <c r="AF273" s="463"/>
      <c r="AG273" s="464"/>
    </row>
    <row r="274" spans="5:33" ht="18">
      <c r="E274" s="3446"/>
      <c r="F274" s="1441" t="s">
        <v>566</v>
      </c>
      <c r="G274" s="354">
        <f>SUM(G271:G273)</f>
        <v>0</v>
      </c>
      <c r="H274" s="354">
        <v>0</v>
      </c>
      <c r="I274" s="354">
        <f t="shared" ref="I274:U274" si="191">SUM(I271:I273)</f>
        <v>0</v>
      </c>
      <c r="J274" s="354">
        <f t="shared" si="191"/>
        <v>0</v>
      </c>
      <c r="K274" s="626">
        <f t="shared" si="191"/>
        <v>0</v>
      </c>
      <c r="L274" s="353">
        <f t="shared" si="191"/>
        <v>0</v>
      </c>
      <c r="M274" s="354">
        <f t="shared" si="191"/>
        <v>0</v>
      </c>
      <c r="N274" s="354">
        <f t="shared" si="191"/>
        <v>0</v>
      </c>
      <c r="O274" s="354">
        <f t="shared" si="191"/>
        <v>0</v>
      </c>
      <c r="P274" s="626">
        <f>SUM(P271:P273)</f>
        <v>192050</v>
      </c>
      <c r="Q274" s="353">
        <f t="shared" si="191"/>
        <v>318925.43403</v>
      </c>
      <c r="R274" s="354">
        <f t="shared" si="191"/>
        <v>323279.36486999999</v>
      </c>
      <c r="S274" s="354">
        <f t="shared" si="191"/>
        <v>0</v>
      </c>
      <c r="T274" s="354">
        <f t="shared" si="191"/>
        <v>0</v>
      </c>
      <c r="U274" s="354">
        <f t="shared" si="191"/>
        <v>0</v>
      </c>
      <c r="V274" s="3438"/>
      <c r="W274" s="1172"/>
      <c r="X274" s="1172"/>
      <c r="Y274" s="1172"/>
      <c r="Z274" s="462"/>
      <c r="AA274" s="463"/>
      <c r="AB274" s="463"/>
      <c r="AC274" s="463"/>
      <c r="AD274" s="464"/>
      <c r="AE274" s="353"/>
      <c r="AF274" s="354">
        <f t="shared" ref="AF274:AG274" si="192">SUM(AF271:AF273)</f>
        <v>0</v>
      </c>
      <c r="AG274" s="450">
        <f t="shared" si="192"/>
        <v>0</v>
      </c>
    </row>
    <row r="275" spans="5:33" ht="18">
      <c r="E275" s="3446"/>
      <c r="F275" s="1421" t="s">
        <v>583</v>
      </c>
      <c r="G275" s="413">
        <f>G274*'[5]IT capitalised overheads'!C$7</f>
        <v>0</v>
      </c>
      <c r="H275" s="458">
        <v>0</v>
      </c>
      <c r="I275" s="458">
        <f>I274*'[5]IT capitalised overheads'!E$7</f>
        <v>0</v>
      </c>
      <c r="J275" s="458">
        <f>J274*'[5]IT capitalised overheads'!F$7</f>
        <v>0</v>
      </c>
      <c r="K275" s="625">
        <f>K274*'[5]IT capitalised overheads'!G$7</f>
        <v>0</v>
      </c>
      <c r="L275" s="511">
        <f>L274*'[5]IT capitalised overheads'!H$7</f>
        <v>0</v>
      </c>
      <c r="M275" s="512">
        <f>M274*'[5]IT capitalised overheads'!I$7</f>
        <v>0</v>
      </c>
      <c r="N275" s="512">
        <f>N274*'[5]IT capitalised overheads'!J$7</f>
        <v>0</v>
      </c>
      <c r="O275" s="512">
        <f>O274*'[5]IT capitalised overheads'!K$7</f>
        <v>0</v>
      </c>
      <c r="P275" s="3480">
        <f>P274*'[5]IT capitalised overheads'!L$7</f>
        <v>11272.034996402208</v>
      </c>
      <c r="Q275" s="564">
        <f>Q274*'[5]IT capitalised overheads'!M$7</f>
        <v>17748.289143988561</v>
      </c>
      <c r="R275" s="477">
        <f>R274*'[5]IT capitalised overheads'!N$7</f>
        <v>16614.131502518365</v>
      </c>
      <c r="S275" s="477">
        <f>S274*'[5]IT capitalised overheads'!O$7</f>
        <v>0</v>
      </c>
      <c r="T275" s="477">
        <f>T274*'[5]IT capitalised overheads'!P$7</f>
        <v>0</v>
      </c>
      <c r="U275" s="519">
        <f>U274*'[5]IT capitalised overheads'!Q$7</f>
        <v>0</v>
      </c>
      <c r="V275" s="3438"/>
      <c r="W275" s="1172"/>
      <c r="X275" s="1172"/>
      <c r="Y275" s="1172"/>
      <c r="Z275" s="462"/>
      <c r="AA275" s="463"/>
      <c r="AB275" s="463"/>
      <c r="AC275" s="463"/>
      <c r="AD275" s="464"/>
      <c r="AE275" s="511"/>
      <c r="AF275" s="512"/>
      <c r="AG275" s="547"/>
    </row>
    <row r="276" spans="5:33" ht="18">
      <c r="E276" s="3446"/>
      <c r="F276" s="1421" t="s">
        <v>581</v>
      </c>
      <c r="G276" s="413"/>
      <c r="H276" s="458"/>
      <c r="I276" s="458"/>
      <c r="J276" s="458"/>
      <c r="K276" s="625"/>
      <c r="L276" s="462"/>
      <c r="M276" s="463"/>
      <c r="N276" s="463"/>
      <c r="O276" s="463"/>
      <c r="P276" s="1190"/>
      <c r="Q276" s="459"/>
      <c r="R276" s="458"/>
      <c r="S276" s="458"/>
      <c r="T276" s="458"/>
      <c r="U276" s="460"/>
      <c r="V276" s="3438"/>
      <c r="W276" s="1172"/>
      <c r="X276" s="1172"/>
      <c r="Y276" s="1172"/>
      <c r="Z276" s="462"/>
      <c r="AA276" s="463"/>
      <c r="AB276" s="463"/>
      <c r="AC276" s="463"/>
      <c r="AD276" s="464"/>
      <c r="AE276" s="462"/>
      <c r="AF276" s="463"/>
      <c r="AG276" s="464"/>
    </row>
    <row r="277" spans="5:33" ht="18">
      <c r="E277" s="3446"/>
      <c r="F277" s="1441" t="s">
        <v>584</v>
      </c>
      <c r="G277" s="1147">
        <f>SUM(G274:G276)</f>
        <v>0</v>
      </c>
      <c r="H277" s="1147">
        <v>0</v>
      </c>
      <c r="I277" s="1147">
        <f t="shared" ref="I277:U277" si="193">SUM(I274:I276)</f>
        <v>0</v>
      </c>
      <c r="J277" s="1147">
        <f t="shared" si="193"/>
        <v>0</v>
      </c>
      <c r="K277" s="1147">
        <f t="shared" si="193"/>
        <v>0</v>
      </c>
      <c r="L277" s="1147">
        <f t="shared" si="193"/>
        <v>0</v>
      </c>
      <c r="M277" s="1147">
        <f t="shared" si="193"/>
        <v>0</v>
      </c>
      <c r="N277" s="1147">
        <f t="shared" si="193"/>
        <v>0</v>
      </c>
      <c r="O277" s="1147">
        <f t="shared" si="193"/>
        <v>0</v>
      </c>
      <c r="P277" s="1147">
        <f t="shared" si="193"/>
        <v>203322.03499640222</v>
      </c>
      <c r="Q277" s="1147">
        <f t="shared" si="193"/>
        <v>336673.72317398858</v>
      </c>
      <c r="R277" s="1147">
        <f t="shared" si="193"/>
        <v>339893.49637251836</v>
      </c>
      <c r="S277" s="1147">
        <f t="shared" si="193"/>
        <v>0</v>
      </c>
      <c r="T277" s="1147">
        <f t="shared" si="193"/>
        <v>0</v>
      </c>
      <c r="U277" s="1147">
        <f t="shared" si="193"/>
        <v>0</v>
      </c>
      <c r="V277" s="3438"/>
      <c r="W277" s="844"/>
      <c r="X277" s="844"/>
      <c r="Y277" s="844"/>
      <c r="Z277" s="1144">
        <f t="shared" ref="Z277:AG277" si="194">SUM(Z275:Z276)</f>
        <v>0</v>
      </c>
      <c r="AA277" s="1145">
        <f t="shared" si="194"/>
        <v>0</v>
      </c>
      <c r="AB277" s="1145">
        <f t="shared" si="194"/>
        <v>0</v>
      </c>
      <c r="AC277" s="1145">
        <f t="shared" si="194"/>
        <v>0</v>
      </c>
      <c r="AD277" s="1146">
        <f t="shared" si="194"/>
        <v>0</v>
      </c>
      <c r="AE277" s="1144">
        <f t="shared" si="194"/>
        <v>0</v>
      </c>
      <c r="AF277" s="1145">
        <f t="shared" si="194"/>
        <v>0</v>
      </c>
      <c r="AG277" s="1146">
        <f t="shared" si="194"/>
        <v>0</v>
      </c>
    </row>
    <row r="278" spans="5:33" ht="18">
      <c r="E278" s="3446"/>
      <c r="F278" s="1421" t="s">
        <v>35</v>
      </c>
      <c r="G278" s="413"/>
      <c r="H278" s="458"/>
      <c r="I278" s="458"/>
      <c r="J278" s="458"/>
      <c r="K278" s="625"/>
      <c r="L278" s="459"/>
      <c r="M278" s="458"/>
      <c r="N278" s="458"/>
      <c r="O278" s="458"/>
      <c r="P278" s="625"/>
      <c r="Q278" s="459"/>
      <c r="R278" s="458"/>
      <c r="S278" s="458"/>
      <c r="T278" s="458"/>
      <c r="U278" s="460"/>
      <c r="V278" s="3438"/>
      <c r="W278" s="1172"/>
      <c r="X278" s="1172"/>
      <c r="Y278" s="1172"/>
      <c r="Z278" s="462"/>
      <c r="AA278" s="463"/>
      <c r="AB278" s="463"/>
      <c r="AC278" s="463"/>
      <c r="AD278" s="464"/>
      <c r="AE278" s="462"/>
      <c r="AF278" s="463"/>
      <c r="AG278" s="464"/>
    </row>
    <row r="279" spans="5:33" ht="18.75" thickBot="1">
      <c r="E279" s="3447"/>
      <c r="F279" s="1443" t="s">
        <v>585</v>
      </c>
      <c r="G279" s="1152">
        <f>G277-G278</f>
        <v>0</v>
      </c>
      <c r="H279" s="1152">
        <v>0</v>
      </c>
      <c r="I279" s="1152">
        <f t="shared" ref="I279:U279" si="195">I277-I278</f>
        <v>0</v>
      </c>
      <c r="J279" s="1152">
        <f t="shared" si="195"/>
        <v>0</v>
      </c>
      <c r="K279" s="3481">
        <f t="shared" si="195"/>
        <v>0</v>
      </c>
      <c r="L279" s="1447">
        <f t="shared" si="195"/>
        <v>0</v>
      </c>
      <c r="M279" s="1152">
        <f t="shared" si="195"/>
        <v>0</v>
      </c>
      <c r="N279" s="1152">
        <f t="shared" si="195"/>
        <v>0</v>
      </c>
      <c r="O279" s="1152">
        <f t="shared" si="195"/>
        <v>0</v>
      </c>
      <c r="P279" s="3481">
        <f t="shared" si="195"/>
        <v>203322.03499640222</v>
      </c>
      <c r="Q279" s="1447">
        <f t="shared" si="195"/>
        <v>336673.72317398858</v>
      </c>
      <c r="R279" s="1152">
        <f t="shared" si="195"/>
        <v>339893.49637251836</v>
      </c>
      <c r="S279" s="1152">
        <f t="shared" si="195"/>
        <v>0</v>
      </c>
      <c r="T279" s="1152">
        <f t="shared" si="195"/>
        <v>0</v>
      </c>
      <c r="U279" s="1152">
        <f t="shared" si="195"/>
        <v>0</v>
      </c>
      <c r="V279" s="3439"/>
      <c r="W279" s="844"/>
      <c r="X279" s="844"/>
      <c r="Y279" s="844"/>
      <c r="Z279" s="1447">
        <f t="shared" ref="Z279:AE279" si="196">Z277-Z278</f>
        <v>0</v>
      </c>
      <c r="AA279" s="1150">
        <f t="shared" si="196"/>
        <v>0</v>
      </c>
      <c r="AB279" s="1150">
        <f t="shared" si="196"/>
        <v>0</v>
      </c>
      <c r="AC279" s="1150">
        <f t="shared" si="196"/>
        <v>0</v>
      </c>
      <c r="AD279" s="1151">
        <f t="shared" si="196"/>
        <v>0</v>
      </c>
      <c r="AE279" s="1447">
        <f t="shared" si="196"/>
        <v>0</v>
      </c>
      <c r="AF279" s="1150">
        <f>AF277-AF278</f>
        <v>0</v>
      </c>
      <c r="AG279" s="1151">
        <f t="shared" ref="AG279" si="197">AG277-AG278</f>
        <v>0</v>
      </c>
    </row>
    <row r="280" spans="5:33" ht="18">
      <c r="E280" s="3446" t="s">
        <v>1783</v>
      </c>
      <c r="F280" s="1442" t="s">
        <v>598</v>
      </c>
      <c r="G280" s="528"/>
      <c r="H280" s="3757"/>
      <c r="I280" s="528"/>
      <c r="J280" s="528"/>
      <c r="K280" s="528"/>
      <c r="L280" s="538"/>
      <c r="M280" s="539"/>
      <c r="N280" s="539"/>
      <c r="O280" s="539"/>
      <c r="P280" s="539"/>
      <c r="Q280" s="538"/>
      <c r="R280" s="539"/>
      <c r="S280" s="539"/>
      <c r="T280" s="539"/>
      <c r="U280" s="540"/>
      <c r="V280" s="3437"/>
      <c r="W280" s="1172"/>
      <c r="X280" s="1172"/>
      <c r="Y280" s="1172"/>
      <c r="Z280" s="527"/>
      <c r="AA280" s="528"/>
      <c r="AB280" s="528"/>
      <c r="AC280" s="528"/>
      <c r="AD280" s="529"/>
      <c r="AE280" s="538"/>
      <c r="AF280" s="539"/>
      <c r="AG280" s="540"/>
    </row>
    <row r="281" spans="5:33" ht="18">
      <c r="E281" s="3446"/>
      <c r="F281" s="1421" t="s">
        <v>559</v>
      </c>
      <c r="G281" s="468">
        <v>0</v>
      </c>
      <c r="H281" s="468">
        <v>0</v>
      </c>
      <c r="I281" s="468">
        <v>0</v>
      </c>
      <c r="J281" s="468">
        <v>0</v>
      </c>
      <c r="K281" s="468">
        <v>0</v>
      </c>
      <c r="L281" s="459">
        <v>0</v>
      </c>
      <c r="M281" s="458">
        <v>0</v>
      </c>
      <c r="N281" s="458">
        <v>0</v>
      </c>
      <c r="O281" s="458">
        <v>0</v>
      </c>
      <c r="P281" s="458">
        <v>0</v>
      </c>
      <c r="Q281" s="459">
        <v>0</v>
      </c>
      <c r="R281" s="458">
        <v>0</v>
      </c>
      <c r="S281" s="458">
        <v>92902.517623599997</v>
      </c>
      <c r="T281" s="458">
        <v>0</v>
      </c>
      <c r="U281" s="458">
        <v>0</v>
      </c>
      <c r="V281" s="3438"/>
      <c r="W281" s="1172"/>
      <c r="X281" s="1172"/>
      <c r="Y281" s="1172"/>
      <c r="Z281" s="470"/>
      <c r="AA281" s="468"/>
      <c r="AB281" s="468"/>
      <c r="AC281" s="468"/>
      <c r="AD281" s="530"/>
      <c r="AE281" s="462"/>
      <c r="AF281" s="463"/>
      <c r="AG281" s="464"/>
    </row>
    <row r="282" spans="5:33" ht="18">
      <c r="E282" s="3446"/>
      <c r="F282" s="1421" t="s">
        <v>558</v>
      </c>
      <c r="G282" s="468">
        <v>0</v>
      </c>
      <c r="H282" s="468">
        <v>0</v>
      </c>
      <c r="I282" s="468">
        <v>0</v>
      </c>
      <c r="J282" s="468">
        <v>0</v>
      </c>
      <c r="K282" s="468">
        <v>0</v>
      </c>
      <c r="L282" s="459">
        <v>0</v>
      </c>
      <c r="M282" s="458">
        <v>0</v>
      </c>
      <c r="N282" s="458">
        <v>0</v>
      </c>
      <c r="O282" s="458">
        <v>0</v>
      </c>
      <c r="P282" s="458">
        <v>0</v>
      </c>
      <c r="Q282" s="459">
        <v>0</v>
      </c>
      <c r="R282" s="458">
        <v>0</v>
      </c>
      <c r="S282" s="458">
        <v>233822.67251119998</v>
      </c>
      <c r="T282" s="458">
        <v>0</v>
      </c>
      <c r="U282" s="458">
        <v>0</v>
      </c>
      <c r="V282" s="3438"/>
      <c r="W282" s="1172"/>
      <c r="X282" s="1172"/>
      <c r="Y282" s="1172"/>
      <c r="Z282" s="470"/>
      <c r="AA282" s="468"/>
      <c r="AB282" s="468"/>
      <c r="AC282" s="468"/>
      <c r="AD282" s="530"/>
      <c r="AE282" s="462"/>
      <c r="AF282" s="463"/>
      <c r="AG282" s="464"/>
    </row>
    <row r="283" spans="5:33" ht="18">
      <c r="E283" s="3446"/>
      <c r="F283" s="1421" t="s">
        <v>578</v>
      </c>
      <c r="G283" s="468">
        <v>0</v>
      </c>
      <c r="H283" s="468">
        <v>0</v>
      </c>
      <c r="I283" s="468">
        <v>0</v>
      </c>
      <c r="J283" s="468">
        <v>0</v>
      </c>
      <c r="K283" s="468">
        <v>0</v>
      </c>
      <c r="L283" s="459">
        <v>0</v>
      </c>
      <c r="M283" s="458">
        <v>0</v>
      </c>
      <c r="N283" s="458">
        <v>0</v>
      </c>
      <c r="O283" s="458">
        <v>0</v>
      </c>
      <c r="P283" s="458">
        <v>0</v>
      </c>
      <c r="Q283" s="459">
        <v>0</v>
      </c>
      <c r="R283" s="458">
        <v>0</v>
      </c>
      <c r="S283" s="458">
        <v>36307.636604799998</v>
      </c>
      <c r="T283" s="458">
        <v>0</v>
      </c>
      <c r="U283" s="458">
        <v>0</v>
      </c>
      <c r="V283" s="3438"/>
      <c r="W283" s="1172"/>
      <c r="X283" s="1172"/>
      <c r="Y283" s="1172"/>
      <c r="Z283" s="470"/>
      <c r="AA283" s="468"/>
      <c r="AB283" s="468"/>
      <c r="AC283" s="468"/>
      <c r="AD283" s="530"/>
      <c r="AE283" s="462"/>
      <c r="AF283" s="463"/>
      <c r="AG283" s="464"/>
    </row>
    <row r="284" spans="5:33" ht="18">
      <c r="E284" s="3446"/>
      <c r="F284" s="1441" t="s">
        <v>566</v>
      </c>
      <c r="G284" s="354">
        <f>SUM(G281:G283)</f>
        <v>0</v>
      </c>
      <c r="H284" s="354">
        <v>0</v>
      </c>
      <c r="I284" s="354">
        <f t="shared" ref="I284:U284" si="198">SUM(I281:I283)</f>
        <v>0</v>
      </c>
      <c r="J284" s="354">
        <f t="shared" si="198"/>
        <v>0</v>
      </c>
      <c r="K284" s="626">
        <f t="shared" si="198"/>
        <v>0</v>
      </c>
      <c r="L284" s="353">
        <f t="shared" si="198"/>
        <v>0</v>
      </c>
      <c r="M284" s="354">
        <f t="shared" si="198"/>
        <v>0</v>
      </c>
      <c r="N284" s="354">
        <f t="shared" si="198"/>
        <v>0</v>
      </c>
      <c r="O284" s="354">
        <f t="shared" si="198"/>
        <v>0</v>
      </c>
      <c r="P284" s="354">
        <f t="shared" si="198"/>
        <v>0</v>
      </c>
      <c r="Q284" s="353">
        <f t="shared" si="198"/>
        <v>0</v>
      </c>
      <c r="R284" s="354">
        <f t="shared" si="198"/>
        <v>0</v>
      </c>
      <c r="S284" s="354">
        <f t="shared" si="198"/>
        <v>363032.82673959999</v>
      </c>
      <c r="T284" s="354">
        <f t="shared" si="198"/>
        <v>0</v>
      </c>
      <c r="U284" s="354">
        <f t="shared" si="198"/>
        <v>0</v>
      </c>
      <c r="V284" s="3438"/>
      <c r="W284" s="1172"/>
      <c r="X284" s="1172"/>
      <c r="Y284" s="1172"/>
      <c r="Z284" s="462"/>
      <c r="AA284" s="463"/>
      <c r="AB284" s="463"/>
      <c r="AC284" s="463"/>
      <c r="AD284" s="464"/>
      <c r="AE284" s="353"/>
      <c r="AF284" s="354">
        <f t="shared" ref="AF284:AG284" si="199">SUM(AF281:AF283)</f>
        <v>0</v>
      </c>
      <c r="AG284" s="450">
        <f t="shared" si="199"/>
        <v>0</v>
      </c>
    </row>
    <row r="285" spans="5:33" ht="18">
      <c r="E285" s="3446"/>
      <c r="F285" s="1421" t="s">
        <v>583</v>
      </c>
      <c r="G285" s="413">
        <f>G284*'[5]IT capitalised overheads'!C$7</f>
        <v>0</v>
      </c>
      <c r="H285" s="458">
        <v>0</v>
      </c>
      <c r="I285" s="458">
        <f>I284*'[5]IT capitalised overheads'!E$7</f>
        <v>0</v>
      </c>
      <c r="J285" s="458">
        <f>J284*'[5]IT capitalised overheads'!F$7</f>
        <v>0</v>
      </c>
      <c r="K285" s="625">
        <f>K284*'[5]IT capitalised overheads'!G$7</f>
        <v>0</v>
      </c>
      <c r="L285" s="511">
        <f>L284*'[5]IT capitalised overheads'!H$7</f>
        <v>0</v>
      </c>
      <c r="M285" s="512">
        <f>M284*'[5]IT capitalised overheads'!I$7</f>
        <v>0</v>
      </c>
      <c r="N285" s="512">
        <f>N284*'[5]IT capitalised overheads'!J$7</f>
        <v>0</v>
      </c>
      <c r="O285" s="512">
        <f>O284*'[5]IT capitalised overheads'!K$7</f>
        <v>0</v>
      </c>
      <c r="P285" s="3480">
        <f>P284*'[5]IT capitalised overheads'!L$7</f>
        <v>0</v>
      </c>
      <c r="Q285" s="564">
        <f>Q284*'[5]IT capitalised overheads'!M$7</f>
        <v>0</v>
      </c>
      <c r="R285" s="477">
        <f>R284*'[5]IT capitalised overheads'!N$7</f>
        <v>0</v>
      </c>
      <c r="S285" s="477">
        <f>S284*'[5]IT capitalised overheads'!O$7</f>
        <v>21832.723770277298</v>
      </c>
      <c r="T285" s="477">
        <f>T284*'[5]IT capitalised overheads'!P$7</f>
        <v>0</v>
      </c>
      <c r="U285" s="519">
        <f>U284*'[5]IT capitalised overheads'!Q$7</f>
        <v>0</v>
      </c>
      <c r="V285" s="3438"/>
      <c r="W285" s="1172"/>
      <c r="X285" s="1172"/>
      <c r="Y285" s="1172"/>
      <c r="Z285" s="462"/>
      <c r="AA285" s="463"/>
      <c r="AB285" s="463"/>
      <c r="AC285" s="463"/>
      <c r="AD285" s="464"/>
      <c r="AE285" s="511"/>
      <c r="AF285" s="512"/>
      <c r="AG285" s="547"/>
    </row>
    <row r="286" spans="5:33" ht="18">
      <c r="E286" s="3446"/>
      <c r="F286" s="1421" t="s">
        <v>581</v>
      </c>
      <c r="G286" s="413"/>
      <c r="H286" s="458"/>
      <c r="I286" s="458"/>
      <c r="J286" s="458"/>
      <c r="K286" s="625"/>
      <c r="L286" s="462"/>
      <c r="M286" s="463"/>
      <c r="N286" s="463"/>
      <c r="O286" s="463"/>
      <c r="P286" s="1190"/>
      <c r="Q286" s="459"/>
      <c r="R286" s="458"/>
      <c r="S286" s="458"/>
      <c r="T286" s="458"/>
      <c r="U286" s="460"/>
      <c r="V286" s="3438"/>
      <c r="W286" s="1172"/>
      <c r="X286" s="1172"/>
      <c r="Y286" s="1172"/>
      <c r="Z286" s="462"/>
      <c r="AA286" s="463"/>
      <c r="AB286" s="463"/>
      <c r="AC286" s="463"/>
      <c r="AD286" s="464"/>
      <c r="AE286" s="462"/>
      <c r="AF286" s="463"/>
      <c r="AG286" s="464"/>
    </row>
    <row r="287" spans="5:33" ht="18">
      <c r="E287" s="3446"/>
      <c r="F287" s="1441" t="s">
        <v>584</v>
      </c>
      <c r="G287" s="1147">
        <f>SUM(G284:G286)</f>
        <v>0</v>
      </c>
      <c r="H287" s="1147">
        <v>0</v>
      </c>
      <c r="I287" s="1147">
        <f t="shared" ref="I287:U287" si="200">SUM(I284:I286)</f>
        <v>0</v>
      </c>
      <c r="J287" s="1147">
        <f t="shared" si="200"/>
        <v>0</v>
      </c>
      <c r="K287" s="1147">
        <f t="shared" si="200"/>
        <v>0</v>
      </c>
      <c r="L287" s="1147">
        <f t="shared" si="200"/>
        <v>0</v>
      </c>
      <c r="M287" s="1147">
        <f t="shared" si="200"/>
        <v>0</v>
      </c>
      <c r="N287" s="1147">
        <f t="shared" si="200"/>
        <v>0</v>
      </c>
      <c r="O287" s="1147">
        <f t="shared" si="200"/>
        <v>0</v>
      </c>
      <c r="P287" s="1147">
        <f t="shared" si="200"/>
        <v>0</v>
      </c>
      <c r="Q287" s="1147">
        <f t="shared" si="200"/>
        <v>0</v>
      </c>
      <c r="R287" s="1147">
        <f t="shared" si="200"/>
        <v>0</v>
      </c>
      <c r="S287" s="1147">
        <f t="shared" si="200"/>
        <v>384865.55050987727</v>
      </c>
      <c r="T287" s="1147">
        <f t="shared" si="200"/>
        <v>0</v>
      </c>
      <c r="U287" s="1147">
        <f t="shared" si="200"/>
        <v>0</v>
      </c>
      <c r="V287" s="3438"/>
      <c r="W287" s="844"/>
      <c r="X287" s="844"/>
      <c r="Y287" s="844"/>
      <c r="Z287" s="1144">
        <f t="shared" ref="Z287:AG287" si="201">SUM(Z285:Z286)</f>
        <v>0</v>
      </c>
      <c r="AA287" s="1145">
        <f t="shared" si="201"/>
        <v>0</v>
      </c>
      <c r="AB287" s="1145">
        <f t="shared" si="201"/>
        <v>0</v>
      </c>
      <c r="AC287" s="1145">
        <f t="shared" si="201"/>
        <v>0</v>
      </c>
      <c r="AD287" s="1146">
        <f t="shared" si="201"/>
        <v>0</v>
      </c>
      <c r="AE287" s="1144">
        <f t="shared" si="201"/>
        <v>0</v>
      </c>
      <c r="AF287" s="1145">
        <f t="shared" si="201"/>
        <v>0</v>
      </c>
      <c r="AG287" s="1146">
        <f t="shared" si="201"/>
        <v>0</v>
      </c>
    </row>
    <row r="288" spans="5:33" ht="18">
      <c r="E288" s="3446"/>
      <c r="F288" s="1421" t="s">
        <v>35</v>
      </c>
      <c r="G288" s="413"/>
      <c r="H288" s="458"/>
      <c r="I288" s="458"/>
      <c r="J288" s="458"/>
      <c r="K288" s="625"/>
      <c r="L288" s="459"/>
      <c r="M288" s="458"/>
      <c r="N288" s="458"/>
      <c r="O288" s="458"/>
      <c r="P288" s="625"/>
      <c r="Q288" s="459"/>
      <c r="R288" s="458"/>
      <c r="S288" s="458"/>
      <c r="T288" s="458"/>
      <c r="U288" s="460"/>
      <c r="V288" s="3438"/>
      <c r="W288" s="1172"/>
      <c r="X288" s="1172"/>
      <c r="Y288" s="1172"/>
      <c r="Z288" s="462"/>
      <c r="AA288" s="463"/>
      <c r="AB288" s="463"/>
      <c r="AC288" s="463"/>
      <c r="AD288" s="464"/>
      <c r="AE288" s="462"/>
      <c r="AF288" s="463"/>
      <c r="AG288" s="464"/>
    </row>
    <row r="289" spans="5:33" ht="18.75" thickBot="1">
      <c r="E289" s="3447"/>
      <c r="F289" s="1443" t="s">
        <v>585</v>
      </c>
      <c r="G289" s="1152">
        <f>G287-G288</f>
        <v>0</v>
      </c>
      <c r="H289" s="1152">
        <v>0</v>
      </c>
      <c r="I289" s="1152">
        <f t="shared" ref="I289:U289" si="202">I287-I288</f>
        <v>0</v>
      </c>
      <c r="J289" s="1152">
        <f t="shared" si="202"/>
        <v>0</v>
      </c>
      <c r="K289" s="3481">
        <f t="shared" si="202"/>
        <v>0</v>
      </c>
      <c r="L289" s="1447">
        <f t="shared" si="202"/>
        <v>0</v>
      </c>
      <c r="M289" s="1152">
        <f t="shared" si="202"/>
        <v>0</v>
      </c>
      <c r="N289" s="1152">
        <f t="shared" si="202"/>
        <v>0</v>
      </c>
      <c r="O289" s="1152">
        <f t="shared" si="202"/>
        <v>0</v>
      </c>
      <c r="P289" s="3481">
        <f t="shared" si="202"/>
        <v>0</v>
      </c>
      <c r="Q289" s="1447">
        <f t="shared" si="202"/>
        <v>0</v>
      </c>
      <c r="R289" s="1152">
        <f t="shared" si="202"/>
        <v>0</v>
      </c>
      <c r="S289" s="1152">
        <f t="shared" si="202"/>
        <v>384865.55050987727</v>
      </c>
      <c r="T289" s="1152">
        <f t="shared" si="202"/>
        <v>0</v>
      </c>
      <c r="U289" s="1152">
        <f t="shared" si="202"/>
        <v>0</v>
      </c>
      <c r="V289" s="3439"/>
      <c r="W289" s="844"/>
      <c r="X289" s="844"/>
      <c r="Y289" s="844"/>
      <c r="Z289" s="1447">
        <f t="shared" ref="Z289:AE289" si="203">Z287-Z288</f>
        <v>0</v>
      </c>
      <c r="AA289" s="1150">
        <f t="shared" si="203"/>
        <v>0</v>
      </c>
      <c r="AB289" s="1150">
        <f t="shared" si="203"/>
        <v>0</v>
      </c>
      <c r="AC289" s="1150">
        <f t="shared" si="203"/>
        <v>0</v>
      </c>
      <c r="AD289" s="1151">
        <f t="shared" si="203"/>
        <v>0</v>
      </c>
      <c r="AE289" s="1447">
        <f t="shared" si="203"/>
        <v>0</v>
      </c>
      <c r="AF289" s="1150">
        <f>AF287-AF288</f>
        <v>0</v>
      </c>
      <c r="AG289" s="1151">
        <f t="shared" ref="AG289" si="204">AG287-AG288</f>
        <v>0</v>
      </c>
    </row>
    <row r="290" spans="5:33" ht="18">
      <c r="E290" s="3445" t="s">
        <v>1784</v>
      </c>
      <c r="F290" s="1442" t="s">
        <v>598</v>
      </c>
      <c r="G290" s="528"/>
      <c r="H290" s="3757"/>
      <c r="I290" s="528"/>
      <c r="J290" s="528"/>
      <c r="K290" s="528"/>
      <c r="L290" s="538"/>
      <c r="M290" s="539"/>
      <c r="N290" s="539"/>
      <c r="O290" s="539"/>
      <c r="P290" s="539"/>
      <c r="Q290" s="538"/>
      <c r="R290" s="539"/>
      <c r="S290" s="539"/>
      <c r="T290" s="539"/>
      <c r="U290" s="540"/>
      <c r="V290" s="3437"/>
      <c r="W290" s="1172"/>
      <c r="X290" s="1172"/>
      <c r="Y290" s="1172"/>
      <c r="Z290" s="527"/>
      <c r="AA290" s="528"/>
      <c r="AB290" s="528"/>
      <c r="AC290" s="528"/>
      <c r="AD290" s="529"/>
      <c r="AE290" s="538"/>
      <c r="AF290" s="539"/>
      <c r="AG290" s="540"/>
    </row>
    <row r="291" spans="5:33" ht="18">
      <c r="E291" s="3446"/>
      <c r="F291" s="1421" t="s">
        <v>559</v>
      </c>
      <c r="G291" s="468">
        <v>0</v>
      </c>
      <c r="H291" s="468">
        <v>0</v>
      </c>
      <c r="I291" s="468">
        <v>0</v>
      </c>
      <c r="J291" s="468">
        <v>0</v>
      </c>
      <c r="K291" s="468">
        <v>0</v>
      </c>
      <c r="L291" s="459">
        <v>0</v>
      </c>
      <c r="M291" s="458">
        <v>0</v>
      </c>
      <c r="N291" s="458">
        <v>0</v>
      </c>
      <c r="O291" s="458">
        <v>0</v>
      </c>
      <c r="P291" s="625">
        <v>238376</v>
      </c>
      <c r="Q291" s="459">
        <v>119733.0981</v>
      </c>
      <c r="R291" s="458">
        <v>367471.762896</v>
      </c>
      <c r="S291" s="458">
        <v>233370.69302399998</v>
      </c>
      <c r="T291" s="458">
        <v>0</v>
      </c>
      <c r="U291" s="460">
        <v>726305.11967539997</v>
      </c>
      <c r="V291" s="3438"/>
      <c r="W291" s="1172"/>
      <c r="X291" s="1172"/>
      <c r="Y291" s="1172"/>
      <c r="Z291" s="470"/>
      <c r="AA291" s="468"/>
      <c r="AB291" s="468"/>
      <c r="AC291" s="468"/>
      <c r="AD291" s="530"/>
      <c r="AE291" s="462"/>
      <c r="AF291" s="463"/>
      <c r="AG291" s="464"/>
    </row>
    <row r="292" spans="5:33" ht="18">
      <c r="E292" s="3446"/>
      <c r="F292" s="1421" t="s">
        <v>558</v>
      </c>
      <c r="G292" s="468">
        <v>0</v>
      </c>
      <c r="H292" s="468">
        <v>0</v>
      </c>
      <c r="I292" s="468">
        <v>0</v>
      </c>
      <c r="J292" s="468">
        <v>0</v>
      </c>
      <c r="K292" s="468">
        <v>0</v>
      </c>
      <c r="L292" s="459">
        <v>0</v>
      </c>
      <c r="M292" s="458">
        <v>0</v>
      </c>
      <c r="N292" s="458">
        <v>0</v>
      </c>
      <c r="O292" s="458">
        <v>0</v>
      </c>
      <c r="P292" s="625">
        <v>14605</v>
      </c>
      <c r="Q292" s="459">
        <v>0</v>
      </c>
      <c r="R292" s="458">
        <v>0</v>
      </c>
      <c r="S292" s="458">
        <v>0</v>
      </c>
      <c r="T292" s="458">
        <v>0</v>
      </c>
      <c r="U292" s="460">
        <v>48694.569844599995</v>
      </c>
      <c r="V292" s="3438"/>
      <c r="W292" s="1172"/>
      <c r="X292" s="1172"/>
      <c r="Y292" s="1172"/>
      <c r="Z292" s="470"/>
      <c r="AA292" s="468"/>
      <c r="AB292" s="468"/>
      <c r="AC292" s="468"/>
      <c r="AD292" s="530"/>
      <c r="AE292" s="462"/>
      <c r="AF292" s="463"/>
      <c r="AG292" s="464"/>
    </row>
    <row r="293" spans="5:33" ht="18">
      <c r="E293" s="3446"/>
      <c r="F293" s="1421" t="s">
        <v>578</v>
      </c>
      <c r="G293" s="468">
        <v>0</v>
      </c>
      <c r="H293" s="468">
        <v>0</v>
      </c>
      <c r="I293" s="468">
        <v>0</v>
      </c>
      <c r="J293" s="468">
        <v>0</v>
      </c>
      <c r="K293" s="468">
        <v>0</v>
      </c>
      <c r="L293" s="459">
        <v>0</v>
      </c>
      <c r="M293" s="458">
        <v>0</v>
      </c>
      <c r="N293" s="458">
        <v>0</v>
      </c>
      <c r="O293" s="458">
        <v>0</v>
      </c>
      <c r="P293" s="625">
        <v>108504</v>
      </c>
      <c r="Q293" s="459">
        <v>0</v>
      </c>
      <c r="R293" s="458">
        <v>0</v>
      </c>
      <c r="S293" s="458">
        <v>0</v>
      </c>
      <c r="T293" s="458">
        <v>0</v>
      </c>
      <c r="U293" s="458">
        <v>0</v>
      </c>
      <c r="V293" s="3438"/>
      <c r="W293" s="1172"/>
      <c r="X293" s="1172"/>
      <c r="Y293" s="1172"/>
      <c r="Z293" s="470"/>
      <c r="AA293" s="468"/>
      <c r="AB293" s="468"/>
      <c r="AC293" s="468"/>
      <c r="AD293" s="530"/>
      <c r="AE293" s="462"/>
      <c r="AF293" s="463"/>
      <c r="AG293" s="464"/>
    </row>
    <row r="294" spans="5:33" ht="18">
      <c r="E294" s="3446"/>
      <c r="F294" s="1441" t="s">
        <v>566</v>
      </c>
      <c r="G294" s="354">
        <f>SUM(G291:G293)</f>
        <v>0</v>
      </c>
      <c r="H294" s="354">
        <v>0</v>
      </c>
      <c r="I294" s="354">
        <f t="shared" ref="I294:U294" si="205">SUM(I291:I293)</f>
        <v>0</v>
      </c>
      <c r="J294" s="354">
        <f t="shared" si="205"/>
        <v>0</v>
      </c>
      <c r="K294" s="626">
        <f t="shared" si="205"/>
        <v>0</v>
      </c>
      <c r="L294" s="353">
        <f t="shared" si="205"/>
        <v>0</v>
      </c>
      <c r="M294" s="354">
        <f t="shared" si="205"/>
        <v>0</v>
      </c>
      <c r="N294" s="354">
        <f t="shared" si="205"/>
        <v>0</v>
      </c>
      <c r="O294" s="354">
        <f t="shared" si="205"/>
        <v>0</v>
      </c>
      <c r="P294" s="626">
        <f t="shared" si="205"/>
        <v>361485</v>
      </c>
      <c r="Q294" s="353">
        <f t="shared" si="205"/>
        <v>119733.0981</v>
      </c>
      <c r="R294" s="354">
        <f t="shared" si="205"/>
        <v>367471.762896</v>
      </c>
      <c r="S294" s="354">
        <f t="shared" si="205"/>
        <v>233370.69302399998</v>
      </c>
      <c r="T294" s="354">
        <f t="shared" si="205"/>
        <v>0</v>
      </c>
      <c r="U294" s="354">
        <f t="shared" si="205"/>
        <v>774999.68952000001</v>
      </c>
      <c r="V294" s="3438"/>
      <c r="W294" s="1172"/>
      <c r="X294" s="1172"/>
      <c r="Y294" s="1172"/>
      <c r="Z294" s="462"/>
      <c r="AA294" s="463"/>
      <c r="AB294" s="463"/>
      <c r="AC294" s="463"/>
      <c r="AD294" s="464"/>
      <c r="AE294" s="353"/>
      <c r="AF294" s="354">
        <f t="shared" ref="AF294:AG294" si="206">SUM(AF291:AF293)</f>
        <v>0</v>
      </c>
      <c r="AG294" s="450">
        <f t="shared" si="206"/>
        <v>0</v>
      </c>
    </row>
    <row r="295" spans="5:33" ht="18">
      <c r="E295" s="3446"/>
      <c r="F295" s="1421" t="s">
        <v>583</v>
      </c>
      <c r="G295" s="413">
        <f>G294*'[5]IT capitalised overheads'!C$7</f>
        <v>0</v>
      </c>
      <c r="H295" s="458">
        <v>0</v>
      </c>
      <c r="I295" s="458">
        <f>I294*'[5]IT capitalised overheads'!E$7</f>
        <v>0</v>
      </c>
      <c r="J295" s="458">
        <f>J294*'[5]IT capitalised overheads'!F$7</f>
        <v>0</v>
      </c>
      <c r="K295" s="625">
        <f>K294*'[5]IT capitalised overheads'!G$7</f>
        <v>0</v>
      </c>
      <c r="L295" s="511">
        <f>L294*'[5]IT capitalised overheads'!H$7</f>
        <v>0</v>
      </c>
      <c r="M295" s="512">
        <f>M294*'[5]IT capitalised overheads'!I$7</f>
        <v>0</v>
      </c>
      <c r="N295" s="512">
        <f>N294*'[5]IT capitalised overheads'!J$7</f>
        <v>0</v>
      </c>
      <c r="O295" s="512">
        <f>O294*'[5]IT capitalised overheads'!K$7</f>
        <v>0</v>
      </c>
      <c r="P295" s="3480">
        <f>P294*'[5]IT capitalised overheads'!L$7</f>
        <v>21216.722575758668</v>
      </c>
      <c r="Q295" s="564">
        <f>Q294*'[5]IT capitalised overheads'!M$7</f>
        <v>6663.1802247056039</v>
      </c>
      <c r="R295" s="477">
        <f>R294*'[5]IT capitalised overheads'!N$7</f>
        <v>18885.288872896297</v>
      </c>
      <c r="S295" s="477">
        <f>S294*'[5]IT capitalised overheads'!O$7</f>
        <v>14034.868203601463</v>
      </c>
      <c r="T295" s="477">
        <f>T294*'[5]IT capitalised overheads'!P$7</f>
        <v>0</v>
      </c>
      <c r="U295" s="519">
        <f>U294*'[5]IT capitalised overheads'!Q$7</f>
        <v>87112.218027178766</v>
      </c>
      <c r="V295" s="3438"/>
      <c r="W295" s="1172"/>
      <c r="X295" s="1172"/>
      <c r="Y295" s="1172"/>
      <c r="Z295" s="462"/>
      <c r="AA295" s="463"/>
      <c r="AB295" s="463"/>
      <c r="AC295" s="463"/>
      <c r="AD295" s="464"/>
      <c r="AE295" s="511"/>
      <c r="AF295" s="512"/>
      <c r="AG295" s="547"/>
    </row>
    <row r="296" spans="5:33" ht="18">
      <c r="E296" s="3446"/>
      <c r="F296" s="1421" t="s">
        <v>581</v>
      </c>
      <c r="G296" s="413"/>
      <c r="H296" s="458"/>
      <c r="I296" s="458"/>
      <c r="J296" s="458"/>
      <c r="K296" s="625"/>
      <c r="L296" s="462"/>
      <c r="M296" s="463"/>
      <c r="N296" s="463"/>
      <c r="O296" s="463"/>
      <c r="P296" s="1190"/>
      <c r="Q296" s="459"/>
      <c r="R296" s="458"/>
      <c r="S296" s="458"/>
      <c r="T296" s="458"/>
      <c r="U296" s="460"/>
      <c r="V296" s="3438"/>
      <c r="W296" s="1172"/>
      <c r="X296" s="1172"/>
      <c r="Y296" s="1172"/>
      <c r="Z296" s="462"/>
      <c r="AA296" s="463"/>
      <c r="AB296" s="463"/>
      <c r="AC296" s="463"/>
      <c r="AD296" s="464"/>
      <c r="AE296" s="462"/>
      <c r="AF296" s="463"/>
      <c r="AG296" s="464"/>
    </row>
    <row r="297" spans="5:33" ht="18">
      <c r="E297" s="3446"/>
      <c r="F297" s="1441" t="s">
        <v>584</v>
      </c>
      <c r="G297" s="1147">
        <f>SUM(G294:G296)</f>
        <v>0</v>
      </c>
      <c r="H297" s="1147">
        <v>0</v>
      </c>
      <c r="I297" s="1147">
        <f t="shared" ref="I297:U297" si="207">SUM(I294:I296)</f>
        <v>0</v>
      </c>
      <c r="J297" s="1147">
        <f t="shared" si="207"/>
        <v>0</v>
      </c>
      <c r="K297" s="1147">
        <f t="shared" si="207"/>
        <v>0</v>
      </c>
      <c r="L297" s="1147">
        <f t="shared" si="207"/>
        <v>0</v>
      </c>
      <c r="M297" s="1147">
        <f t="shared" si="207"/>
        <v>0</v>
      </c>
      <c r="N297" s="1147">
        <f t="shared" si="207"/>
        <v>0</v>
      </c>
      <c r="O297" s="1147">
        <f t="shared" si="207"/>
        <v>0</v>
      </c>
      <c r="P297" s="1147">
        <f t="shared" si="207"/>
        <v>382701.72257575864</v>
      </c>
      <c r="Q297" s="1147">
        <f t="shared" si="207"/>
        <v>126396.27832470561</v>
      </c>
      <c r="R297" s="1147">
        <f t="shared" si="207"/>
        <v>386357.05176889629</v>
      </c>
      <c r="S297" s="1147">
        <f t="shared" si="207"/>
        <v>247405.56122760143</v>
      </c>
      <c r="T297" s="1147">
        <f t="shared" si="207"/>
        <v>0</v>
      </c>
      <c r="U297" s="1147">
        <f t="shared" si="207"/>
        <v>862111.90754717879</v>
      </c>
      <c r="V297" s="3438"/>
      <c r="W297" s="844"/>
      <c r="X297" s="844"/>
      <c r="Y297" s="844"/>
      <c r="Z297" s="1144">
        <f t="shared" ref="Z297:AG297" si="208">SUM(Z295:Z296)</f>
        <v>0</v>
      </c>
      <c r="AA297" s="1145">
        <f t="shared" si="208"/>
        <v>0</v>
      </c>
      <c r="AB297" s="1145">
        <f t="shared" si="208"/>
        <v>0</v>
      </c>
      <c r="AC297" s="1145">
        <f t="shared" si="208"/>
        <v>0</v>
      </c>
      <c r="AD297" s="1146">
        <f t="shared" si="208"/>
        <v>0</v>
      </c>
      <c r="AE297" s="1144">
        <f t="shared" si="208"/>
        <v>0</v>
      </c>
      <c r="AF297" s="1145">
        <f t="shared" si="208"/>
        <v>0</v>
      </c>
      <c r="AG297" s="1146">
        <f t="shared" si="208"/>
        <v>0</v>
      </c>
    </row>
    <row r="298" spans="5:33" ht="18">
      <c r="E298" s="3446"/>
      <c r="F298" s="1421" t="s">
        <v>35</v>
      </c>
      <c r="G298" s="413"/>
      <c r="H298" s="458"/>
      <c r="I298" s="458"/>
      <c r="J298" s="458"/>
      <c r="K298" s="625"/>
      <c r="L298" s="459"/>
      <c r="M298" s="458"/>
      <c r="N298" s="458"/>
      <c r="O298" s="458"/>
      <c r="P298" s="625"/>
      <c r="Q298" s="459"/>
      <c r="R298" s="458"/>
      <c r="S298" s="458"/>
      <c r="T298" s="458"/>
      <c r="U298" s="460"/>
      <c r="V298" s="3438"/>
      <c r="W298" s="1172"/>
      <c r="X298" s="1172"/>
      <c r="Y298" s="1172"/>
      <c r="Z298" s="462"/>
      <c r="AA298" s="463"/>
      <c r="AB298" s="463"/>
      <c r="AC298" s="463"/>
      <c r="AD298" s="464"/>
      <c r="AE298" s="462"/>
      <c r="AF298" s="463"/>
      <c r="AG298" s="464"/>
    </row>
    <row r="299" spans="5:33" ht="18.75" thickBot="1">
      <c r="E299" s="3447"/>
      <c r="F299" s="1443" t="s">
        <v>585</v>
      </c>
      <c r="G299" s="1152">
        <f>G297-G298</f>
        <v>0</v>
      </c>
      <c r="H299" s="1152">
        <v>0</v>
      </c>
      <c r="I299" s="1152">
        <f t="shared" ref="I299:U299" si="209">I297-I298</f>
        <v>0</v>
      </c>
      <c r="J299" s="1152">
        <f t="shared" si="209"/>
        <v>0</v>
      </c>
      <c r="K299" s="3481">
        <f t="shared" si="209"/>
        <v>0</v>
      </c>
      <c r="L299" s="1447">
        <f t="shared" si="209"/>
        <v>0</v>
      </c>
      <c r="M299" s="1152">
        <f t="shared" si="209"/>
        <v>0</v>
      </c>
      <c r="N299" s="1152">
        <f t="shared" si="209"/>
        <v>0</v>
      </c>
      <c r="O299" s="1152">
        <f t="shared" si="209"/>
        <v>0</v>
      </c>
      <c r="P299" s="3481">
        <f t="shared" si="209"/>
        <v>382701.72257575864</v>
      </c>
      <c r="Q299" s="1447">
        <f t="shared" si="209"/>
        <v>126396.27832470561</v>
      </c>
      <c r="R299" s="1152">
        <f t="shared" si="209"/>
        <v>386357.05176889629</v>
      </c>
      <c r="S299" s="1152">
        <f t="shared" si="209"/>
        <v>247405.56122760143</v>
      </c>
      <c r="T299" s="1152">
        <f t="shared" si="209"/>
        <v>0</v>
      </c>
      <c r="U299" s="1152">
        <f t="shared" si="209"/>
        <v>862111.90754717879</v>
      </c>
      <c r="V299" s="3439"/>
      <c r="W299" s="844"/>
      <c r="X299" s="844"/>
      <c r="Y299" s="844"/>
      <c r="Z299" s="1447">
        <f t="shared" ref="Z299:AE299" si="210">Z297-Z298</f>
        <v>0</v>
      </c>
      <c r="AA299" s="1150">
        <f t="shared" si="210"/>
        <v>0</v>
      </c>
      <c r="AB299" s="1150">
        <f t="shared" si="210"/>
        <v>0</v>
      </c>
      <c r="AC299" s="1150">
        <f t="shared" si="210"/>
        <v>0</v>
      </c>
      <c r="AD299" s="1151">
        <f t="shared" si="210"/>
        <v>0</v>
      </c>
      <c r="AE299" s="1447">
        <f t="shared" si="210"/>
        <v>0</v>
      </c>
      <c r="AF299" s="1150">
        <f>AF297-AF298</f>
        <v>0</v>
      </c>
      <c r="AG299" s="1151">
        <f t="shared" ref="AG299" si="211">AG297-AG298</f>
        <v>0</v>
      </c>
    </row>
    <row r="300" spans="5:33">
      <c r="E300" s="4275" t="s">
        <v>341</v>
      </c>
      <c r="F300" s="922" t="s">
        <v>579</v>
      </c>
      <c r="G300" s="3482">
        <f>SUMIF($F$20:$F$299,"Total direct expenditure ",G$20:G$299)</f>
        <v>1662158</v>
      </c>
      <c r="H300" s="3483">
        <v>9615628.1218321174</v>
      </c>
      <c r="I300" s="3483">
        <f>SUMIF($F$20:$F$299,"Total direct expenditure ",I$20:I$299)</f>
        <v>9269994.4070017599</v>
      </c>
      <c r="J300" s="3484">
        <f t="shared" ref="J300:P300" si="212">SUMIF($F$20:$F$299,"Total direct expenditure ",J$20:J$299)</f>
        <v>9668589.6700463016</v>
      </c>
      <c r="K300" s="3485">
        <f t="shared" si="212"/>
        <v>13843099.712183727</v>
      </c>
      <c r="L300" s="3482">
        <f t="shared" si="212"/>
        <v>15272014.869598337</v>
      </c>
      <c r="M300" s="3483">
        <f t="shared" si="212"/>
        <v>12316156.831241023</v>
      </c>
      <c r="N300" s="3483">
        <f t="shared" si="212"/>
        <v>8235684.7181151146</v>
      </c>
      <c r="O300" s="3484">
        <f t="shared" si="212"/>
        <v>6311110</v>
      </c>
      <c r="P300" s="3485">
        <f t="shared" si="212"/>
        <v>12601990</v>
      </c>
      <c r="Q300" s="3482">
        <f>SUMIF($F$20:$F$299,"Total direct expenditure ",Q$20:Q$299)</f>
        <v>13291066.371433599</v>
      </c>
      <c r="R300" s="3483">
        <f>SUMIF($F$20:$F$299,"Total direct expenditure ",R$20:R$299)</f>
        <v>14392212.800276799</v>
      </c>
      <c r="S300" s="3483">
        <f>SUMIF($F$20:$F$299,"Total direct expenditure ",S$20:S$299)</f>
        <v>12298869.80531</v>
      </c>
      <c r="T300" s="3484">
        <f>SUMIF($F$20:$F$299,"Total direct expenditure ",T$20:T$299)</f>
        <v>10463983.401557</v>
      </c>
      <c r="U300" s="3485">
        <f>SUMIF($F$20:$F$299,"Total direct expenditure ",U$20:U$299)</f>
        <v>6580358.9876427986</v>
      </c>
      <c r="V300" s="4293"/>
      <c r="W300" s="1172"/>
      <c r="X300" s="1172"/>
      <c r="Y300" s="1172"/>
      <c r="Z300" s="1446">
        <f>SUMIF($F$20:$F$219,"Total direct expenditure ",Z$20:Z$219)</f>
        <v>0</v>
      </c>
      <c r="AA300" s="536">
        <v>0</v>
      </c>
      <c r="AB300" s="536">
        <v>0</v>
      </c>
      <c r="AC300" s="536">
        <v>0</v>
      </c>
      <c r="AD300" s="548">
        <v>0</v>
      </c>
      <c r="AE300" s="1446">
        <v>0</v>
      </c>
      <c r="AF300" s="536">
        <v>0</v>
      </c>
      <c r="AG300" s="537">
        <v>0</v>
      </c>
    </row>
    <row r="301" spans="5:33">
      <c r="E301" s="4276"/>
      <c r="F301" s="848" t="s">
        <v>583</v>
      </c>
      <c r="G301" s="1452">
        <f>SUMIF($F$20:$F$299,"Total overhead expenditure",G$20:G$299)</f>
        <v>162231.02358427885</v>
      </c>
      <c r="H301" s="3756">
        <v>404511.48221117037</v>
      </c>
      <c r="I301" s="3486">
        <f t="shared" ref="I301:U301" si="213">SUMIF($F$20:$F$299,"Total overhead expenditure",I$20:I$299)</f>
        <v>329081.97533365007</v>
      </c>
      <c r="J301" s="3487">
        <f t="shared" si="213"/>
        <v>444469.19426502212</v>
      </c>
      <c r="K301" s="3488">
        <f t="shared" si="213"/>
        <v>651731.34774813813</v>
      </c>
      <c r="L301" s="1452">
        <f t="shared" si="213"/>
        <v>747944.54133956518</v>
      </c>
      <c r="M301" s="3486">
        <f t="shared" si="213"/>
        <v>917749.77284978749</v>
      </c>
      <c r="N301" s="3486">
        <f t="shared" si="213"/>
        <v>549788.56833336595</v>
      </c>
      <c r="O301" s="3487">
        <f t="shared" si="213"/>
        <v>605743.37796397437</v>
      </c>
      <c r="P301" s="3488">
        <f t="shared" si="213"/>
        <v>739651.50900448137</v>
      </c>
      <c r="Q301" s="1452">
        <f t="shared" si="213"/>
        <v>739651.54177686817</v>
      </c>
      <c r="R301" s="3486">
        <f t="shared" si="213"/>
        <v>739651.65135789453</v>
      </c>
      <c r="S301" s="3486">
        <f t="shared" si="213"/>
        <v>739651.6440606697</v>
      </c>
      <c r="T301" s="3487">
        <f t="shared" si="213"/>
        <v>739651.85155221971</v>
      </c>
      <c r="U301" s="3488">
        <f t="shared" si="213"/>
        <v>739651.47932340158</v>
      </c>
      <c r="V301" s="4145"/>
      <c r="W301" s="474"/>
      <c r="X301" s="474"/>
      <c r="Y301" s="474"/>
      <c r="Z301" s="1452">
        <f>SUMIF($F$20:$F$219,"Total overhead expenditure",Z$20:Z$219)</f>
        <v>0</v>
      </c>
      <c r="AA301" s="1453">
        <v>0</v>
      </c>
      <c r="AB301" s="1453">
        <v>0</v>
      </c>
      <c r="AC301" s="1453">
        <v>0</v>
      </c>
      <c r="AD301" s="1454">
        <v>0</v>
      </c>
      <c r="AE301" s="1452">
        <v>0</v>
      </c>
      <c r="AF301" s="1453">
        <v>0</v>
      </c>
      <c r="AG301" s="1455">
        <v>0</v>
      </c>
    </row>
    <row r="302" spans="5:33">
      <c r="E302" s="4276"/>
      <c r="F302" s="848" t="s">
        <v>581</v>
      </c>
      <c r="G302" s="3489">
        <f>SUMIF($F$20:$F$299,"Related party margin expenditure",G$20:G$299)</f>
        <v>0</v>
      </c>
      <c r="H302" s="3490">
        <v>0</v>
      </c>
      <c r="I302" s="3491">
        <f t="shared" ref="I302:U302" si="214">SUMIF($F$20:$F$299,"Related party margin expenditure",I$20:I$299)</f>
        <v>0</v>
      </c>
      <c r="J302" s="3491">
        <f t="shared" si="214"/>
        <v>0</v>
      </c>
      <c r="K302" s="3492">
        <f t="shared" si="214"/>
        <v>0</v>
      </c>
      <c r="L302" s="3489">
        <f t="shared" si="214"/>
        <v>0</v>
      </c>
      <c r="M302" s="3491">
        <f t="shared" si="214"/>
        <v>0</v>
      </c>
      <c r="N302" s="3491">
        <f t="shared" si="214"/>
        <v>0</v>
      </c>
      <c r="O302" s="3491">
        <f t="shared" si="214"/>
        <v>0</v>
      </c>
      <c r="P302" s="3492">
        <f t="shared" si="214"/>
        <v>0</v>
      </c>
      <c r="Q302" s="3489">
        <f t="shared" si="214"/>
        <v>0</v>
      </c>
      <c r="R302" s="3491">
        <f t="shared" si="214"/>
        <v>0</v>
      </c>
      <c r="S302" s="3491">
        <f t="shared" si="214"/>
        <v>0</v>
      </c>
      <c r="T302" s="3491">
        <f t="shared" si="214"/>
        <v>0</v>
      </c>
      <c r="U302" s="3492">
        <f t="shared" si="214"/>
        <v>0</v>
      </c>
      <c r="V302" s="4294"/>
      <c r="W302" s="183"/>
      <c r="X302" s="183"/>
      <c r="Y302" s="183"/>
      <c r="Z302" s="3493">
        <f>SUMIF($F$20:$F$219,"Related party margin expenditure",Z$20:Z$219)</f>
        <v>0</v>
      </c>
      <c r="AA302" s="3494">
        <v>0</v>
      </c>
      <c r="AB302" s="3494">
        <v>0</v>
      </c>
      <c r="AC302" s="3494">
        <v>0</v>
      </c>
      <c r="AD302" s="3495">
        <v>0</v>
      </c>
      <c r="AE302" s="3493">
        <v>0</v>
      </c>
      <c r="AF302" s="3494">
        <v>0</v>
      </c>
      <c r="AG302" s="3496">
        <v>0</v>
      </c>
    </row>
    <row r="303" spans="5:33">
      <c r="E303" s="4276"/>
      <c r="F303" s="848" t="s">
        <v>1785</v>
      </c>
      <c r="G303" s="3489">
        <v>0</v>
      </c>
      <c r="H303" s="3490">
        <v>0</v>
      </c>
      <c r="I303" s="3491">
        <v>0</v>
      </c>
      <c r="J303" s="3491">
        <v>0</v>
      </c>
      <c r="K303" s="3492">
        <v>0</v>
      </c>
      <c r="L303" s="3489">
        <v>0</v>
      </c>
      <c r="M303" s="3491">
        <v>0</v>
      </c>
      <c r="N303" s="3491">
        <v>0</v>
      </c>
      <c r="O303" s="3491">
        <v>0</v>
      </c>
      <c r="P303" s="3492">
        <f>[6]IT!G40</f>
        <v>15764.141540873796</v>
      </c>
      <c r="Q303" s="3489">
        <f>[6]IT!H40</f>
        <v>60486.952591137961</v>
      </c>
      <c r="R303" s="3491">
        <f>[6]IT!I40</f>
        <v>138741.80937883444</v>
      </c>
      <c r="S303" s="3491">
        <f>[6]IT!J40</f>
        <v>206996.52765836008</v>
      </c>
      <c r="T303" s="3491">
        <f>[6]IT!K40</f>
        <v>217725.96873371303</v>
      </c>
      <c r="U303" s="3492">
        <f>[6]IT!L40</f>
        <v>225294.24150178116</v>
      </c>
      <c r="V303" s="4294"/>
      <c r="W303" s="183"/>
      <c r="X303" s="183"/>
      <c r="Y303" s="183"/>
      <c r="Z303" s="3493"/>
      <c r="AA303" s="3494"/>
      <c r="AB303" s="3494"/>
      <c r="AC303" s="3494"/>
      <c r="AD303" s="3495"/>
      <c r="AE303" s="3493"/>
      <c r="AF303" s="3494"/>
      <c r="AG303" s="3496"/>
    </row>
    <row r="304" spans="5:33">
      <c r="E304" s="4276"/>
      <c r="F304" s="1412" t="s">
        <v>584</v>
      </c>
      <c r="G304" s="3497">
        <f>SUMIF($F$20:$F$299,"Total gross expenditure",G$20:G$299)+G303</f>
        <v>1824389.0235842785</v>
      </c>
      <c r="H304" s="3498">
        <v>10020139.604043284</v>
      </c>
      <c r="I304" s="369">
        <f t="shared" ref="I304:O304" si="215">SUMIF($F$20:$F$299,"Total gross expenditure",I$20:I$299)+I303</f>
        <v>9599076.3823354095</v>
      </c>
      <c r="J304" s="369">
        <f t="shared" si="215"/>
        <v>10113058.864311323</v>
      </c>
      <c r="K304" s="1015">
        <f t="shared" si="215"/>
        <v>14494831.059931863</v>
      </c>
      <c r="L304" s="3497">
        <f t="shared" si="215"/>
        <v>16019959.410937909</v>
      </c>
      <c r="M304" s="369">
        <f t="shared" si="215"/>
        <v>13233906.604090804</v>
      </c>
      <c r="N304" s="369">
        <f t="shared" si="215"/>
        <v>8785473.2864484843</v>
      </c>
      <c r="O304" s="1015">
        <f t="shared" si="215"/>
        <v>6916853.3779639741</v>
      </c>
      <c r="P304" s="1015">
        <f>SUMIF($F$20:$F$299,"Total gross expenditure",P$20:P$299)+P303</f>
        <v>13357405.650545359</v>
      </c>
      <c r="Q304" s="3497">
        <f t="shared" ref="Q304:U304" si="216">SUMIF($F$20:$F$299,"Total gross expenditure",Q$20:Q$299)+Q303</f>
        <v>14091204.865801604</v>
      </c>
      <c r="R304" s="369">
        <f t="shared" si="216"/>
        <v>15270606.261013528</v>
      </c>
      <c r="S304" s="369">
        <f t="shared" si="216"/>
        <v>13245517.977029033</v>
      </c>
      <c r="T304" s="369">
        <f t="shared" si="216"/>
        <v>11421361.221842932</v>
      </c>
      <c r="U304" s="1015">
        <f t="shared" si="216"/>
        <v>7545304.7084679827</v>
      </c>
      <c r="V304" s="4294"/>
      <c r="W304" s="1172"/>
      <c r="X304" s="1172"/>
      <c r="Y304" s="1172"/>
      <c r="Z304" s="368">
        <f>SUMIF($F$20:$F$219,"Total gross expenditure",Z$20:Z$219)</f>
        <v>0</v>
      </c>
      <c r="AA304" s="1145">
        <v>0</v>
      </c>
      <c r="AB304" s="1145">
        <v>0</v>
      </c>
      <c r="AC304" s="1145">
        <v>0</v>
      </c>
      <c r="AD304" s="1148">
        <v>0</v>
      </c>
      <c r="AE304" s="1144">
        <v>0</v>
      </c>
      <c r="AF304" s="1145">
        <v>0</v>
      </c>
      <c r="AG304" s="1146">
        <v>0</v>
      </c>
    </row>
    <row r="305" spans="5:33">
      <c r="E305" s="4276"/>
      <c r="F305" s="848" t="s">
        <v>35</v>
      </c>
      <c r="G305" s="3499">
        <f>SUMIF($F$20:$F$299,"Less customer contributions",G$20:G$299)</f>
        <v>0</v>
      </c>
      <c r="H305" s="1454">
        <v>0</v>
      </c>
      <c r="I305" s="1453">
        <f t="shared" ref="I305:U305" si="217">SUMIF($F$20:$F$299,"Less customer contributions",I$20:I$299)</f>
        <v>0</v>
      </c>
      <c r="J305" s="1453">
        <f t="shared" si="217"/>
        <v>0</v>
      </c>
      <c r="K305" s="3488">
        <f t="shared" si="217"/>
        <v>0</v>
      </c>
      <c r="L305" s="3499">
        <f t="shared" si="217"/>
        <v>0</v>
      </c>
      <c r="M305" s="1453">
        <f t="shared" si="217"/>
        <v>0</v>
      </c>
      <c r="N305" s="1453">
        <f t="shared" si="217"/>
        <v>0</v>
      </c>
      <c r="O305" s="1453">
        <f t="shared" si="217"/>
        <v>0</v>
      </c>
      <c r="P305" s="3488">
        <f t="shared" si="217"/>
        <v>0</v>
      </c>
      <c r="Q305" s="3499">
        <f t="shared" si="217"/>
        <v>0</v>
      </c>
      <c r="R305" s="1453">
        <f t="shared" si="217"/>
        <v>0</v>
      </c>
      <c r="S305" s="1453">
        <f t="shared" si="217"/>
        <v>0</v>
      </c>
      <c r="T305" s="1453">
        <f t="shared" si="217"/>
        <v>0</v>
      </c>
      <c r="U305" s="3488">
        <f t="shared" si="217"/>
        <v>0</v>
      </c>
      <c r="V305" s="4294"/>
      <c r="W305" s="474"/>
      <c r="X305" s="474"/>
      <c r="Y305" s="474"/>
      <c r="Z305" s="1452">
        <f>SUMIF($F$20:$F$219,"Less customer contributions",Z$20:Z$219)</f>
        <v>0</v>
      </c>
      <c r="AA305" s="1453">
        <v>0</v>
      </c>
      <c r="AB305" s="1453">
        <v>0</v>
      </c>
      <c r="AC305" s="1453">
        <v>0</v>
      </c>
      <c r="AD305" s="1454">
        <v>0</v>
      </c>
      <c r="AE305" s="1452">
        <v>0</v>
      </c>
      <c r="AF305" s="1453">
        <v>0</v>
      </c>
      <c r="AG305" s="1455">
        <v>0</v>
      </c>
    </row>
    <row r="306" spans="5:33" ht="13.5" thickBot="1">
      <c r="E306" s="4277"/>
      <c r="F306" s="1413" t="s">
        <v>585</v>
      </c>
      <c r="G306" s="3497">
        <f t="shared" ref="G306:T306" si="218">SUMIF($F$20:$F$299,"Total net expenditure",G$20:G$299)+G303</f>
        <v>1824389.0235842785</v>
      </c>
      <c r="H306" s="563">
        <v>10020139.604043284</v>
      </c>
      <c r="I306" s="563">
        <f t="shared" si="218"/>
        <v>9599076.3823354095</v>
      </c>
      <c r="J306" s="563">
        <f t="shared" si="218"/>
        <v>10113058.864311323</v>
      </c>
      <c r="K306" s="1015">
        <f t="shared" si="218"/>
        <v>14494831.059931863</v>
      </c>
      <c r="L306" s="3497">
        <f t="shared" si="218"/>
        <v>16019959.410937909</v>
      </c>
      <c r="M306" s="563">
        <f t="shared" si="218"/>
        <v>13233906.604090804</v>
      </c>
      <c r="N306" s="563">
        <f t="shared" si="218"/>
        <v>8785473.2864484843</v>
      </c>
      <c r="O306" s="563">
        <f t="shared" si="218"/>
        <v>6916853.3779639741</v>
      </c>
      <c r="P306" s="1015">
        <f t="shared" si="218"/>
        <v>13357405.650545359</v>
      </c>
      <c r="Q306" s="3497">
        <f t="shared" si="218"/>
        <v>14091204.865801604</v>
      </c>
      <c r="R306" s="563">
        <f t="shared" si="218"/>
        <v>15270606.261013528</v>
      </c>
      <c r="S306" s="563">
        <f t="shared" si="218"/>
        <v>13245517.977029033</v>
      </c>
      <c r="T306" s="563">
        <f t="shared" si="218"/>
        <v>11421361.221842932</v>
      </c>
      <c r="U306" s="1015">
        <f>SUMIF($F$20:$F$299,"Total net expenditure",U$20:U$299)+U303</f>
        <v>7545304.7084679827</v>
      </c>
      <c r="V306" s="4295"/>
      <c r="W306" s="1172"/>
      <c r="X306" s="1172"/>
      <c r="Y306" s="1172"/>
      <c r="Z306" s="368">
        <f>SUMIF($F$20:$F$219,"Total net expenditure",Z$20:Z$219)</f>
        <v>0</v>
      </c>
      <c r="AA306" s="1150">
        <v>0</v>
      </c>
      <c r="AB306" s="1150">
        <v>0</v>
      </c>
      <c r="AC306" s="1150">
        <v>0</v>
      </c>
      <c r="AD306" s="1153">
        <v>0</v>
      </c>
      <c r="AE306" s="1447">
        <v>0</v>
      </c>
      <c r="AF306" s="1150">
        <v>0</v>
      </c>
      <c r="AG306" s="1151">
        <v>0</v>
      </c>
    </row>
    <row r="307" spans="5:33" ht="26.25" customHeight="1" thickBot="1">
      <c r="E307" s="4059" t="s">
        <v>121</v>
      </c>
      <c r="F307" s="4060"/>
      <c r="G307" s="4288" t="s">
        <v>1789</v>
      </c>
      <c r="H307" s="4289"/>
      <c r="I307" s="4289"/>
      <c r="J307" s="4289"/>
      <c r="K307" s="4289"/>
      <c r="L307" s="4289"/>
      <c r="M307" s="4289"/>
      <c r="N307" s="4289"/>
      <c r="O307" s="4289" t="s">
        <v>1786</v>
      </c>
      <c r="P307" s="4289"/>
      <c r="Q307" s="4289"/>
      <c r="R307" s="4289"/>
      <c r="S307" s="4289"/>
      <c r="T307" s="4289"/>
      <c r="U307" s="4289"/>
      <c r="V307" s="1445"/>
      <c r="W307" s="1172"/>
      <c r="X307" s="1172"/>
      <c r="Y307" s="1172"/>
      <c r="Z307" s="1663"/>
      <c r="AA307" s="1644"/>
      <c r="AB307" s="1644"/>
      <c r="AC307" s="1644"/>
      <c r="AD307" s="1644"/>
      <c r="AE307" s="1644"/>
      <c r="AF307" s="1644"/>
      <c r="AG307" s="1647"/>
    </row>
    <row r="308" spans="5:33" ht="15" thickBot="1">
      <c r="E308" s="3500"/>
      <c r="F308" s="3501"/>
      <c r="G308" s="3502"/>
      <c r="H308" s="3502"/>
      <c r="I308" s="3502"/>
      <c r="J308" s="3502"/>
      <c r="K308" s="3502"/>
      <c r="L308" s="3502"/>
      <c r="M308" s="3502"/>
      <c r="N308" s="3502"/>
      <c r="O308" s="3502"/>
      <c r="P308" s="3502"/>
      <c r="Q308" s="3502"/>
      <c r="R308" s="3502"/>
      <c r="S308" s="3502"/>
      <c r="T308" s="3502"/>
      <c r="U308" s="3502"/>
      <c r="V308" s="3500"/>
      <c r="W308" s="3503"/>
      <c r="X308" s="3503"/>
      <c r="Y308" s="3503"/>
      <c r="Z308" s="3500"/>
      <c r="AA308" s="3500"/>
      <c r="AB308" s="3500"/>
      <c r="AC308" s="3500"/>
      <c r="AD308" s="3500"/>
      <c r="AE308" s="3500"/>
      <c r="AF308" s="3500"/>
      <c r="AG308" s="3500"/>
    </row>
    <row r="309" spans="5:33" ht="16.5" thickBot="1">
      <c r="E309" s="2760" t="s">
        <v>492</v>
      </c>
      <c r="F309" s="1259"/>
      <c r="G309" s="1259"/>
      <c r="H309" s="1259"/>
      <c r="I309" s="1259"/>
      <c r="J309" s="1259"/>
      <c r="K309" s="1259"/>
      <c r="L309" s="1259"/>
      <c r="M309" s="1259"/>
      <c r="N309" s="1259"/>
      <c r="O309" s="1259"/>
      <c r="P309" s="1260"/>
      <c r="Q309" s="1174"/>
      <c r="R309" s="1174"/>
      <c r="S309" s="1174"/>
      <c r="T309" s="1174"/>
      <c r="U309" s="1174"/>
      <c r="V309" s="262"/>
      <c r="W309" s="1172"/>
      <c r="X309" s="1172"/>
      <c r="Y309" s="1172"/>
      <c r="Z309" s="1172"/>
      <c r="AA309" s="1172"/>
      <c r="AB309" s="1172"/>
      <c r="AC309" s="1172"/>
      <c r="AD309" s="1172"/>
      <c r="AE309" s="1172"/>
      <c r="AF309" s="1172"/>
      <c r="AG309" s="1172"/>
    </row>
    <row r="310" spans="5:33" ht="15.75">
      <c r="E310" s="244"/>
      <c r="F310" s="521"/>
      <c r="G310" s="4047" t="s">
        <v>36</v>
      </c>
      <c r="H310" s="4048"/>
      <c r="I310" s="4048"/>
      <c r="J310" s="4048"/>
      <c r="K310" s="4049"/>
      <c r="L310" s="4050" t="s">
        <v>37</v>
      </c>
      <c r="M310" s="4051"/>
      <c r="N310" s="4051"/>
      <c r="O310" s="4051"/>
      <c r="P310" s="4052"/>
      <c r="Q310" s="638"/>
      <c r="R310" s="725"/>
      <c r="S310" s="725"/>
      <c r="T310" s="725"/>
      <c r="U310" s="725"/>
      <c r="V310" s="725"/>
      <c r="W310" s="1172"/>
      <c r="X310" s="1172"/>
      <c r="Y310" s="1172"/>
      <c r="Z310" s="1172"/>
      <c r="AA310" s="1172"/>
      <c r="AB310" s="1172"/>
      <c r="AC310" s="1172"/>
      <c r="AD310" s="1172"/>
      <c r="AE310" s="1172"/>
      <c r="AF310" s="1172"/>
      <c r="AG310" s="1172"/>
    </row>
    <row r="311" spans="5:33" ht="15">
      <c r="E311" s="1179"/>
      <c r="F311" s="522"/>
      <c r="G311" s="3985" t="str">
        <f>CONCATENATE("$0's, real ",dms_DollarReal)</f>
        <v>$0's, real December 2017</v>
      </c>
      <c r="H311" s="3986"/>
      <c r="I311" s="3986"/>
      <c r="J311" s="3986"/>
      <c r="K311" s="3986"/>
      <c r="L311" s="3986"/>
      <c r="M311" s="3986"/>
      <c r="N311" s="3986"/>
      <c r="O311" s="3986"/>
      <c r="P311" s="4030"/>
      <c r="Q311" s="638"/>
      <c r="R311" s="639"/>
      <c r="S311" s="639"/>
      <c r="T311" s="639"/>
      <c r="U311" s="639"/>
      <c r="V311" s="639"/>
      <c r="W311" s="1172"/>
      <c r="X311" s="1172"/>
      <c r="Y311" s="1172"/>
      <c r="Z311" s="1172"/>
      <c r="AA311" s="1172"/>
      <c r="AB311" s="1172"/>
      <c r="AC311" s="1172"/>
      <c r="AD311" s="1172"/>
      <c r="AE311" s="1172"/>
      <c r="AF311" s="1172"/>
      <c r="AG311" s="1172"/>
    </row>
    <row r="312" spans="5:33" ht="15">
      <c r="E312" s="1179"/>
      <c r="F312" s="522"/>
      <c r="G312" s="3985" t="s">
        <v>74</v>
      </c>
      <c r="H312" s="3986"/>
      <c r="I312" s="3986"/>
      <c r="J312" s="3986"/>
      <c r="K312" s="3986"/>
      <c r="L312" s="3986"/>
      <c r="M312" s="3986"/>
      <c r="N312" s="3986"/>
      <c r="O312" s="3986"/>
      <c r="P312" s="4030"/>
      <c r="Q312" s="638"/>
      <c r="R312" s="639"/>
      <c r="S312" s="639"/>
      <c r="T312" s="639"/>
      <c r="U312" s="639"/>
      <c r="V312" s="639"/>
      <c r="W312" s="1172"/>
      <c r="X312" s="1172"/>
      <c r="Y312" s="1172"/>
      <c r="Z312" s="1172"/>
      <c r="AA312" s="1172"/>
      <c r="AB312" s="1172"/>
      <c r="AC312" s="1172"/>
      <c r="AD312" s="1172"/>
      <c r="AE312" s="1172"/>
      <c r="AF312" s="1172"/>
      <c r="AG312" s="1172"/>
    </row>
    <row r="313" spans="5:33" ht="15.75" thickBot="1">
      <c r="E313" s="3478"/>
      <c r="F313" s="3479"/>
      <c r="G313" s="1438">
        <f t="array" ref="G313:K313">PRCP</f>
        <v>2008</v>
      </c>
      <c r="H313" s="342">
        <v>2009</v>
      </c>
      <c r="I313" s="342">
        <v>2010</v>
      </c>
      <c r="J313" s="342">
        <v>2011</v>
      </c>
      <c r="K313" s="342">
        <v>2012</v>
      </c>
      <c r="L313" s="344">
        <f>CRCP_y1</f>
        <v>2013</v>
      </c>
      <c r="M313" s="344">
        <f>CRCP_y2</f>
        <v>2014</v>
      </c>
      <c r="N313" s="344">
        <f>CRCP_y3</f>
        <v>2015</v>
      </c>
      <c r="O313" s="344">
        <f>CRCP_y4</f>
        <v>2016</v>
      </c>
      <c r="P313" s="542">
        <f>CRCP_y5</f>
        <v>2017</v>
      </c>
      <c r="Q313" s="638"/>
      <c r="R313" s="639"/>
      <c r="S313" s="639"/>
      <c r="T313" s="639"/>
      <c r="U313" s="639"/>
      <c r="V313" s="639"/>
      <c r="W313" s="1172"/>
      <c r="X313" s="1172"/>
      <c r="Y313" s="1172"/>
      <c r="Z313" s="1172"/>
      <c r="AA313" s="1172"/>
      <c r="AB313" s="1172"/>
      <c r="AC313" s="1172"/>
      <c r="AD313" s="1172"/>
      <c r="AE313" s="1172"/>
      <c r="AF313" s="1172"/>
      <c r="AG313" s="1172"/>
    </row>
    <row r="314" spans="5:33">
      <c r="E314" s="4290"/>
      <c r="F314" s="842" t="s">
        <v>593</v>
      </c>
      <c r="G314" s="527"/>
      <c r="H314" s="528"/>
      <c r="I314" s="528"/>
      <c r="J314" s="528"/>
      <c r="K314" s="529"/>
      <c r="L314" s="538"/>
      <c r="M314" s="539"/>
      <c r="N314" s="539"/>
      <c r="O314" s="539"/>
      <c r="P314" s="540"/>
      <c r="Q314" s="640"/>
      <c r="R314" s="640"/>
      <c r="S314" s="640"/>
      <c r="T314" s="640"/>
      <c r="U314" s="640"/>
      <c r="V314" s="640"/>
      <c r="W314" s="1172"/>
      <c r="X314" s="1172"/>
      <c r="Y314" s="1172"/>
      <c r="Z314" s="1172"/>
      <c r="AA314" s="1172"/>
      <c r="AB314" s="1172"/>
      <c r="AC314" s="1172"/>
      <c r="AD314" s="1172"/>
      <c r="AE314" s="1172"/>
      <c r="AF314" s="1172"/>
      <c r="AG314" s="1172"/>
    </row>
    <row r="315" spans="5:33">
      <c r="E315" s="4291"/>
      <c r="F315" s="516" t="s">
        <v>559</v>
      </c>
      <c r="G315" s="470"/>
      <c r="H315" s="468"/>
      <c r="I315" s="468"/>
      <c r="J315" s="468"/>
      <c r="K315" s="530"/>
      <c r="L315" s="459"/>
      <c r="M315" s="458"/>
      <c r="N315" s="458"/>
      <c r="O315" s="458"/>
      <c r="P315" s="460"/>
      <c r="Q315" s="551"/>
      <c r="R315" s="551"/>
      <c r="S315" s="551"/>
      <c r="T315" s="551"/>
      <c r="U315" s="551"/>
      <c r="V315" s="551"/>
      <c r="W315" s="1172"/>
      <c r="X315" s="1172"/>
      <c r="Y315" s="1172"/>
      <c r="Z315" s="1172"/>
      <c r="AA315" s="1172"/>
      <c r="AB315" s="1172"/>
      <c r="AC315" s="1172"/>
      <c r="AD315" s="1172"/>
      <c r="AE315" s="1172"/>
      <c r="AF315" s="1172"/>
      <c r="AG315" s="1172"/>
    </row>
    <row r="316" spans="5:33">
      <c r="E316" s="4291"/>
      <c r="F316" s="516" t="s">
        <v>558</v>
      </c>
      <c r="G316" s="470"/>
      <c r="H316" s="468"/>
      <c r="I316" s="468"/>
      <c r="J316" s="468"/>
      <c r="K316" s="530"/>
      <c r="L316" s="459"/>
      <c r="M316" s="458"/>
      <c r="N316" s="458"/>
      <c r="O316" s="458"/>
      <c r="P316" s="460"/>
      <c r="Q316" s="551"/>
      <c r="R316" s="551"/>
      <c r="S316" s="551"/>
      <c r="T316" s="551"/>
      <c r="U316" s="551"/>
      <c r="V316" s="551"/>
      <c r="W316" s="1172"/>
      <c r="X316" s="1172"/>
      <c r="Y316" s="1172"/>
      <c r="Z316" s="1172"/>
      <c r="AA316" s="1172"/>
      <c r="AB316" s="1172"/>
      <c r="AC316" s="1172"/>
      <c r="AD316" s="1172"/>
      <c r="AE316" s="1172"/>
      <c r="AF316" s="1172"/>
      <c r="AG316" s="1172"/>
    </row>
    <row r="317" spans="5:33">
      <c r="E317" s="4291"/>
      <c r="F317" s="516" t="s">
        <v>578</v>
      </c>
      <c r="G317" s="470"/>
      <c r="H317" s="468"/>
      <c r="I317" s="468"/>
      <c r="J317" s="468"/>
      <c r="K317" s="530"/>
      <c r="L317" s="459"/>
      <c r="M317" s="458"/>
      <c r="N317" s="458"/>
      <c r="O317" s="458"/>
      <c r="P317" s="460"/>
      <c r="Q317" s="551"/>
      <c r="R317" s="551"/>
      <c r="S317" s="551"/>
      <c r="T317" s="551"/>
      <c r="U317" s="551"/>
      <c r="V317" s="551"/>
      <c r="W317" s="1172"/>
      <c r="X317" s="1172"/>
      <c r="Y317" s="1172"/>
      <c r="Z317" s="1172"/>
      <c r="AA317" s="1172"/>
      <c r="AB317" s="1172"/>
      <c r="AC317" s="1172"/>
      <c r="AD317" s="1172"/>
      <c r="AE317" s="1172"/>
      <c r="AF317" s="1172"/>
      <c r="AG317" s="1172"/>
    </row>
    <row r="318" spans="5:33">
      <c r="E318" s="4291"/>
      <c r="F318" s="517" t="s">
        <v>566</v>
      </c>
      <c r="G318" s="459"/>
      <c r="H318" s="458"/>
      <c r="I318" s="458"/>
      <c r="J318" s="458"/>
      <c r="K318" s="460"/>
      <c r="L318" s="353">
        <v>0</v>
      </c>
      <c r="M318" s="354">
        <v>0</v>
      </c>
      <c r="N318" s="354">
        <v>0</v>
      </c>
      <c r="O318" s="354">
        <v>0</v>
      </c>
      <c r="P318" s="450">
        <v>0</v>
      </c>
      <c r="Q318" s="551"/>
      <c r="R318" s="551"/>
      <c r="S318" s="551"/>
      <c r="T318" s="551"/>
      <c r="U318" s="551"/>
      <c r="V318" s="551"/>
      <c r="W318" s="1172"/>
      <c r="X318" s="1172"/>
      <c r="Y318" s="1172"/>
      <c r="Z318" s="1172"/>
      <c r="AA318" s="1172"/>
      <c r="AB318" s="1172"/>
      <c r="AC318" s="1172"/>
      <c r="AD318" s="1172"/>
      <c r="AE318" s="1172"/>
      <c r="AF318" s="1172"/>
      <c r="AG318" s="1172"/>
    </row>
    <row r="319" spans="5:33">
      <c r="E319" s="4291"/>
      <c r="F319" s="516" t="s">
        <v>583</v>
      </c>
      <c r="G319" s="459"/>
      <c r="H319" s="458"/>
      <c r="I319" s="458"/>
      <c r="J319" s="458"/>
      <c r="K319" s="460"/>
      <c r="L319" s="511"/>
      <c r="M319" s="512"/>
      <c r="N319" s="512"/>
      <c r="O319" s="512"/>
      <c r="P319" s="547"/>
      <c r="Q319" s="551"/>
      <c r="R319" s="551"/>
      <c r="S319" s="551"/>
      <c r="T319" s="551"/>
      <c r="U319" s="551"/>
      <c r="V319" s="551"/>
      <c r="W319" s="1172"/>
      <c r="X319" s="1172"/>
      <c r="Y319" s="1172"/>
      <c r="Z319" s="1172"/>
      <c r="AA319" s="1172"/>
      <c r="AB319" s="1172"/>
      <c r="AC319" s="1172"/>
      <c r="AD319" s="1172"/>
      <c r="AE319" s="1172"/>
      <c r="AF319" s="1172"/>
      <c r="AG319" s="1172"/>
    </row>
    <row r="320" spans="5:33">
      <c r="E320" s="4291"/>
      <c r="F320" s="516" t="s">
        <v>151</v>
      </c>
      <c r="G320" s="459"/>
      <c r="H320" s="458"/>
      <c r="I320" s="458"/>
      <c r="J320" s="458"/>
      <c r="K320" s="460"/>
      <c r="L320" s="462"/>
      <c r="M320" s="463"/>
      <c r="N320" s="463"/>
      <c r="O320" s="463"/>
      <c r="P320" s="464"/>
      <c r="Q320" s="551"/>
      <c r="R320" s="551"/>
      <c r="S320" s="551"/>
      <c r="T320" s="551"/>
      <c r="U320" s="551"/>
      <c r="V320" s="551"/>
      <c r="W320" s="1172"/>
      <c r="X320" s="1172"/>
      <c r="Y320" s="1172"/>
      <c r="Z320" s="1172"/>
      <c r="AA320" s="1172"/>
      <c r="AB320" s="1172"/>
      <c r="AC320" s="1172"/>
      <c r="AD320" s="1172"/>
      <c r="AE320" s="1172"/>
      <c r="AF320" s="1172"/>
      <c r="AG320" s="1172"/>
    </row>
    <row r="321" spans="5:33">
      <c r="E321" s="4291"/>
      <c r="F321" s="517" t="s">
        <v>584</v>
      </c>
      <c r="G321" s="1145">
        <v>0</v>
      </c>
      <c r="H321" s="1145">
        <v>0</v>
      </c>
      <c r="I321" s="1145">
        <v>0</v>
      </c>
      <c r="J321" s="1145">
        <v>0</v>
      </c>
      <c r="K321" s="1146">
        <v>0</v>
      </c>
      <c r="L321" s="1144">
        <v>0</v>
      </c>
      <c r="M321" s="1145">
        <v>0</v>
      </c>
      <c r="N321" s="1145">
        <v>0</v>
      </c>
      <c r="O321" s="1145">
        <v>0</v>
      </c>
      <c r="P321" s="1146">
        <v>0</v>
      </c>
      <c r="Q321" s="551"/>
      <c r="R321" s="551"/>
      <c r="S321" s="551"/>
      <c r="T321" s="551"/>
      <c r="U321" s="551"/>
      <c r="V321" s="551"/>
      <c r="W321" s="1172"/>
      <c r="X321" s="1172"/>
      <c r="Y321" s="1172"/>
      <c r="Z321" s="1172"/>
      <c r="AA321" s="1172"/>
      <c r="AB321" s="1172"/>
      <c r="AC321" s="1172"/>
      <c r="AD321" s="1172"/>
      <c r="AE321" s="1172"/>
      <c r="AF321" s="1172"/>
      <c r="AG321" s="1172"/>
    </row>
    <row r="322" spans="5:33">
      <c r="E322" s="4291"/>
      <c r="F322" s="516" t="s">
        <v>35</v>
      </c>
      <c r="G322" s="459"/>
      <c r="H322" s="458"/>
      <c r="I322" s="458"/>
      <c r="J322" s="458"/>
      <c r="K322" s="460"/>
      <c r="L322" s="459"/>
      <c r="M322" s="458"/>
      <c r="N322" s="458"/>
      <c r="O322" s="458"/>
      <c r="P322" s="460"/>
      <c r="Q322" s="551"/>
      <c r="R322" s="551"/>
      <c r="S322" s="551"/>
      <c r="T322" s="551"/>
      <c r="U322" s="551"/>
      <c r="V322" s="551"/>
      <c r="W322" s="1172"/>
      <c r="X322" s="1172"/>
      <c r="Y322" s="1172"/>
      <c r="Z322" s="1172"/>
      <c r="AA322" s="1172"/>
      <c r="AB322" s="1172"/>
      <c r="AC322" s="1172"/>
      <c r="AD322" s="1172"/>
      <c r="AE322" s="1172"/>
      <c r="AF322" s="1172"/>
      <c r="AG322" s="1172"/>
    </row>
    <row r="323" spans="5:33" ht="13.5" thickBot="1">
      <c r="E323" s="4292"/>
      <c r="F323" s="1409" t="s">
        <v>585</v>
      </c>
      <c r="G323" s="1447">
        <v>0</v>
      </c>
      <c r="H323" s="1150">
        <v>0</v>
      </c>
      <c r="I323" s="1150">
        <v>0</v>
      </c>
      <c r="J323" s="1150">
        <v>0</v>
      </c>
      <c r="K323" s="1151">
        <v>0</v>
      </c>
      <c r="L323" s="1447">
        <v>0</v>
      </c>
      <c r="M323" s="1150">
        <v>0</v>
      </c>
      <c r="N323" s="1150">
        <v>0</v>
      </c>
      <c r="O323" s="1150">
        <v>0</v>
      </c>
      <c r="P323" s="1151">
        <v>0</v>
      </c>
      <c r="Q323" s="551"/>
      <c r="R323" s="551"/>
      <c r="S323" s="551"/>
      <c r="T323" s="551"/>
      <c r="U323" s="551"/>
      <c r="V323" s="551"/>
      <c r="W323" s="1172"/>
      <c r="X323" s="1172"/>
      <c r="Y323" s="1172"/>
      <c r="Z323" s="1172"/>
      <c r="AA323" s="1172"/>
      <c r="AB323" s="1172"/>
      <c r="AC323" s="1172"/>
      <c r="AD323" s="1172"/>
      <c r="AE323" s="1172"/>
      <c r="AF323" s="1172"/>
      <c r="AG323" s="1172"/>
    </row>
    <row r="324" spans="5:33">
      <c r="E324" s="4290"/>
      <c r="F324" s="842" t="s">
        <v>598</v>
      </c>
      <c r="G324" s="527"/>
      <c r="H324" s="528"/>
      <c r="I324" s="528"/>
      <c r="J324" s="528"/>
      <c r="K324" s="529"/>
      <c r="L324" s="538"/>
      <c r="M324" s="539"/>
      <c r="N324" s="539"/>
      <c r="O324" s="539"/>
      <c r="P324" s="540"/>
      <c r="Q324" s="640"/>
      <c r="R324" s="640"/>
      <c r="S324" s="640"/>
      <c r="T324" s="640"/>
      <c r="U324" s="640"/>
      <c r="V324" s="640"/>
      <c r="W324" s="1172"/>
      <c r="X324" s="1172"/>
      <c r="Y324" s="1172"/>
      <c r="Z324" s="1172"/>
      <c r="AA324" s="1172"/>
      <c r="AB324" s="1172"/>
      <c r="AC324" s="1172"/>
      <c r="AD324" s="1172"/>
      <c r="AE324" s="1172"/>
      <c r="AF324" s="1172"/>
      <c r="AG324" s="1172"/>
    </row>
    <row r="325" spans="5:33">
      <c r="E325" s="4291"/>
      <c r="F325" s="516" t="s">
        <v>340</v>
      </c>
      <c r="G325" s="470"/>
      <c r="H325" s="468"/>
      <c r="I325" s="468"/>
      <c r="J325" s="468"/>
      <c r="K325" s="530"/>
      <c r="L325" s="459"/>
      <c r="M325" s="458"/>
      <c r="N325" s="458"/>
      <c r="O325" s="458"/>
      <c r="P325" s="460"/>
      <c r="Q325" s="551"/>
      <c r="R325" s="551"/>
      <c r="S325" s="551"/>
      <c r="T325" s="551"/>
      <c r="U325" s="551"/>
      <c r="V325" s="551"/>
      <c r="W325" s="1172"/>
      <c r="X325" s="1172"/>
      <c r="Y325" s="1172"/>
      <c r="Z325" s="1172"/>
      <c r="AA325" s="1172"/>
      <c r="AB325" s="1172"/>
      <c r="AC325" s="1172"/>
      <c r="AD325" s="1172"/>
      <c r="AE325" s="1172"/>
      <c r="AF325" s="1172"/>
      <c r="AG325" s="1172"/>
    </row>
    <row r="326" spans="5:33">
      <c r="E326" s="4291"/>
      <c r="F326" s="516" t="s">
        <v>558</v>
      </c>
      <c r="G326" s="470"/>
      <c r="H326" s="468"/>
      <c r="I326" s="468"/>
      <c r="J326" s="468"/>
      <c r="K326" s="530"/>
      <c r="L326" s="459"/>
      <c r="M326" s="458"/>
      <c r="N326" s="458"/>
      <c r="O326" s="458"/>
      <c r="P326" s="460"/>
      <c r="Q326" s="551"/>
      <c r="R326" s="551"/>
      <c r="S326" s="551"/>
      <c r="T326" s="551"/>
      <c r="U326" s="551"/>
      <c r="V326" s="551"/>
      <c r="W326" s="1172"/>
      <c r="X326" s="1172"/>
      <c r="Y326" s="1172"/>
      <c r="Z326" s="1172"/>
      <c r="AA326" s="1172"/>
      <c r="AB326" s="1172"/>
      <c r="AC326" s="1172"/>
      <c r="AD326" s="1172"/>
      <c r="AE326" s="1172"/>
      <c r="AF326" s="1172"/>
      <c r="AG326" s="1172"/>
    </row>
    <row r="327" spans="5:33">
      <c r="E327" s="4291"/>
      <c r="F327" s="516" t="s">
        <v>564</v>
      </c>
      <c r="G327" s="470"/>
      <c r="H327" s="468"/>
      <c r="I327" s="468"/>
      <c r="J327" s="468"/>
      <c r="K327" s="530"/>
      <c r="L327" s="459"/>
      <c r="M327" s="458"/>
      <c r="N327" s="458"/>
      <c r="O327" s="458"/>
      <c r="P327" s="460"/>
      <c r="Q327" s="551"/>
      <c r="R327" s="551"/>
      <c r="S327" s="551"/>
      <c r="T327" s="551"/>
      <c r="U327" s="551"/>
      <c r="V327" s="551"/>
      <c r="W327" s="1172"/>
      <c r="X327" s="1172"/>
      <c r="Y327" s="1172"/>
      <c r="Z327" s="1172"/>
      <c r="AA327" s="1172"/>
      <c r="AB327" s="1172"/>
      <c r="AC327" s="1172"/>
      <c r="AD327" s="1172"/>
      <c r="AE327" s="1172"/>
      <c r="AF327" s="1172"/>
      <c r="AG327" s="1172"/>
    </row>
    <row r="328" spans="5:33">
      <c r="E328" s="4291"/>
      <c r="F328" s="517" t="s">
        <v>566</v>
      </c>
      <c r="G328" s="459"/>
      <c r="H328" s="458"/>
      <c r="I328" s="458"/>
      <c r="J328" s="458"/>
      <c r="K328" s="460"/>
      <c r="L328" s="353">
        <v>0</v>
      </c>
      <c r="M328" s="354">
        <v>0</v>
      </c>
      <c r="N328" s="354">
        <v>0</v>
      </c>
      <c r="O328" s="354">
        <v>0</v>
      </c>
      <c r="P328" s="450">
        <v>0</v>
      </c>
      <c r="Q328" s="551"/>
      <c r="R328" s="551"/>
      <c r="S328" s="551"/>
      <c r="T328" s="551"/>
      <c r="U328" s="551"/>
      <c r="V328" s="551"/>
      <c r="W328" s="1172"/>
      <c r="X328" s="1172"/>
      <c r="Y328" s="1172"/>
      <c r="Z328" s="1172"/>
      <c r="AA328" s="1172"/>
      <c r="AB328" s="1172"/>
      <c r="AC328" s="1172"/>
      <c r="AD328" s="1172"/>
      <c r="AE328" s="1172"/>
      <c r="AF328" s="1172"/>
      <c r="AG328" s="1172"/>
    </row>
    <row r="329" spans="5:33">
      <c r="E329" s="4291"/>
      <c r="F329" s="516" t="s">
        <v>583</v>
      </c>
      <c r="G329" s="459"/>
      <c r="H329" s="458"/>
      <c r="I329" s="458"/>
      <c r="J329" s="458"/>
      <c r="K329" s="460"/>
      <c r="L329" s="511"/>
      <c r="M329" s="512"/>
      <c r="N329" s="512"/>
      <c r="O329" s="512"/>
      <c r="P329" s="547"/>
      <c r="Q329" s="551"/>
      <c r="R329" s="551"/>
      <c r="S329" s="551"/>
      <c r="T329" s="551"/>
      <c r="U329" s="551"/>
      <c r="V329" s="551"/>
      <c r="W329" s="1172"/>
      <c r="X329" s="1172"/>
      <c r="Y329" s="1172"/>
      <c r="Z329" s="1172"/>
      <c r="AA329" s="1172"/>
      <c r="AB329" s="1172"/>
      <c r="AC329" s="1172"/>
      <c r="AD329" s="1172"/>
      <c r="AE329" s="1172"/>
      <c r="AF329" s="1172"/>
      <c r="AG329" s="1172"/>
    </row>
    <row r="330" spans="5:33">
      <c r="E330" s="4291"/>
      <c r="F330" s="516" t="s">
        <v>151</v>
      </c>
      <c r="G330" s="459"/>
      <c r="H330" s="458"/>
      <c r="I330" s="458"/>
      <c r="J330" s="458"/>
      <c r="K330" s="460"/>
      <c r="L330" s="462"/>
      <c r="M330" s="463"/>
      <c r="N330" s="463"/>
      <c r="O330" s="463"/>
      <c r="P330" s="464"/>
      <c r="Q330" s="551"/>
      <c r="R330" s="551"/>
      <c r="S330" s="551"/>
      <c r="T330" s="551"/>
      <c r="U330" s="551"/>
      <c r="V330" s="551"/>
      <c r="W330" s="1172"/>
      <c r="X330" s="1172"/>
      <c r="Y330" s="1172"/>
      <c r="Z330" s="1172"/>
      <c r="AA330" s="1172"/>
      <c r="AB330" s="1172"/>
      <c r="AC330" s="1172"/>
      <c r="AD330" s="1172"/>
      <c r="AE330" s="1172"/>
      <c r="AF330" s="1172"/>
      <c r="AG330" s="1172"/>
    </row>
    <row r="331" spans="5:33">
      <c r="E331" s="4291"/>
      <c r="F331" s="517" t="s">
        <v>584</v>
      </c>
      <c r="G331" s="1145">
        <v>0</v>
      </c>
      <c r="H331" s="1145">
        <v>0</v>
      </c>
      <c r="I331" s="1145">
        <v>0</v>
      </c>
      <c r="J331" s="1145">
        <v>0</v>
      </c>
      <c r="K331" s="1146">
        <v>0</v>
      </c>
      <c r="L331" s="1144">
        <v>0</v>
      </c>
      <c r="M331" s="1145">
        <v>0</v>
      </c>
      <c r="N331" s="1145">
        <v>0</v>
      </c>
      <c r="O331" s="1145">
        <v>0</v>
      </c>
      <c r="P331" s="1146">
        <v>0</v>
      </c>
      <c r="Q331" s="551"/>
      <c r="R331" s="551"/>
      <c r="S331" s="551"/>
      <c r="T331" s="551"/>
      <c r="U331" s="551"/>
      <c r="V331" s="551"/>
      <c r="W331" s="1172"/>
      <c r="X331" s="1172"/>
      <c r="Y331" s="1172"/>
      <c r="Z331" s="1172"/>
      <c r="AA331" s="1172"/>
      <c r="AB331" s="1172"/>
      <c r="AC331" s="1172"/>
      <c r="AD331" s="1172"/>
      <c r="AE331" s="1172"/>
      <c r="AF331" s="1172"/>
      <c r="AG331" s="1172"/>
    </row>
    <row r="332" spans="5:33">
      <c r="E332" s="4291"/>
      <c r="F332" s="516" t="s">
        <v>35</v>
      </c>
      <c r="G332" s="459"/>
      <c r="H332" s="458"/>
      <c r="I332" s="458"/>
      <c r="J332" s="458"/>
      <c r="K332" s="460"/>
      <c r="L332" s="459"/>
      <c r="M332" s="458"/>
      <c r="N332" s="458"/>
      <c r="O332" s="458"/>
      <c r="P332" s="460"/>
      <c r="Q332" s="551"/>
      <c r="R332" s="551"/>
      <c r="S332" s="551"/>
      <c r="T332" s="551"/>
      <c r="U332" s="551"/>
      <c r="V332" s="551"/>
      <c r="W332" s="1172"/>
      <c r="X332" s="1172"/>
      <c r="Y332" s="1172"/>
      <c r="Z332" s="1172"/>
      <c r="AA332" s="1172"/>
      <c r="AB332" s="1172"/>
      <c r="AC332" s="1172"/>
      <c r="AD332" s="1172"/>
      <c r="AE332" s="1172"/>
      <c r="AF332" s="1172"/>
      <c r="AG332" s="1172"/>
    </row>
    <row r="333" spans="5:33" ht="13.5" thickBot="1">
      <c r="E333" s="4292"/>
      <c r="F333" s="1409" t="s">
        <v>585</v>
      </c>
      <c r="G333" s="1447">
        <v>0</v>
      </c>
      <c r="H333" s="1150">
        <v>0</v>
      </c>
      <c r="I333" s="1150">
        <v>0</v>
      </c>
      <c r="J333" s="1150">
        <v>0</v>
      </c>
      <c r="K333" s="1151">
        <v>0</v>
      </c>
      <c r="L333" s="1447">
        <v>0</v>
      </c>
      <c r="M333" s="1150">
        <v>0</v>
      </c>
      <c r="N333" s="1150">
        <v>0</v>
      </c>
      <c r="O333" s="1150">
        <v>0</v>
      </c>
      <c r="P333" s="1151">
        <v>0</v>
      </c>
      <c r="Q333" s="551"/>
      <c r="R333" s="551"/>
      <c r="S333" s="551"/>
      <c r="T333" s="551"/>
      <c r="U333" s="551"/>
      <c r="V333" s="551"/>
      <c r="W333" s="1172"/>
      <c r="X333" s="1172"/>
      <c r="Y333" s="1172"/>
      <c r="Z333" s="1172"/>
      <c r="AA333" s="1172"/>
      <c r="AB333" s="1172"/>
      <c r="AC333" s="1172"/>
      <c r="AD333" s="1172"/>
      <c r="AE333" s="1172"/>
      <c r="AF333" s="1172"/>
      <c r="AG333" s="1172"/>
    </row>
    <row r="334" spans="5:33">
      <c r="E334" s="4275" t="s">
        <v>341</v>
      </c>
      <c r="F334" s="1444" t="s">
        <v>566</v>
      </c>
      <c r="G334" s="646">
        <f>'[5]ICT capex allowances'!D10</f>
        <v>8552613.9088729005</v>
      </c>
      <c r="H334" s="647">
        <f>'[5]ICT capex allowances'!E10</f>
        <v>19007266.187050361</v>
      </c>
      <c r="I334" s="647">
        <f>'[5]ICT capex allowances'!F10</f>
        <v>9510191.846522782</v>
      </c>
      <c r="J334" s="647">
        <f>'[5]ICT capex allowances'!G10</f>
        <v>1521630.6954436451</v>
      </c>
      <c r="K334" s="648">
        <f>'[5]ICT capex allowances'!H10</f>
        <v>5050239.8081534775</v>
      </c>
      <c r="L334" s="646">
        <f>'[5]ICT capex allowances'!I10</f>
        <v>14939804.949014165</v>
      </c>
      <c r="M334" s="647">
        <f>'[5]ICT capex allowances'!J10</f>
        <v>14257097.41720403</v>
      </c>
      <c r="N334" s="647">
        <f>'[5]ICT capex allowances'!K10</f>
        <v>7529057.1162766377</v>
      </c>
      <c r="O334" s="647">
        <f>'[5]ICT capex allowances'!L10</f>
        <v>8260252.4025400998</v>
      </c>
      <c r="P334" s="1244">
        <f>'[5]ICT capex allowances'!M10</f>
        <v>8336651.241281135</v>
      </c>
      <c r="Q334" s="640"/>
      <c r="R334" s="640"/>
      <c r="S334" s="640"/>
      <c r="T334" s="640"/>
      <c r="U334" s="640"/>
      <c r="V334" s="640"/>
      <c r="W334" s="1172"/>
      <c r="X334" s="1172"/>
      <c r="Y334" s="1172"/>
      <c r="Z334" s="1172"/>
      <c r="AA334" s="1172"/>
      <c r="AB334" s="1172"/>
      <c r="AC334" s="1172"/>
      <c r="AD334" s="1172"/>
      <c r="AE334" s="1172"/>
      <c r="AF334" s="1172"/>
      <c r="AG334" s="1172"/>
    </row>
    <row r="335" spans="5:33">
      <c r="E335" s="4276"/>
      <c r="F335" s="848" t="s">
        <v>583</v>
      </c>
      <c r="G335" s="1456">
        <f>'[5]ICT capex allowances'!D11</f>
        <v>915129.68824940047</v>
      </c>
      <c r="H335" s="1457">
        <f>'[5]ICT capex allowances'!E11</f>
        <v>2033777.4820143885</v>
      </c>
      <c r="I335" s="1457">
        <f>'[5]ICT capex allowances'!F11</f>
        <v>1017590.5275779376</v>
      </c>
      <c r="J335" s="1457">
        <f>'[5]ICT capex allowances'!G11</f>
        <v>162814.48441247002</v>
      </c>
      <c r="K335" s="1458">
        <f>'[5]ICT capex allowances'!H11</f>
        <v>540375.65947242209</v>
      </c>
      <c r="L335" s="1456">
        <f>'[5]ICT capex allowances'!I11</f>
        <v>1927884.3358591644</v>
      </c>
      <c r="M335" s="1457">
        <f>'[5]ICT capex allowances'!J11</f>
        <v>1786265.6868501874</v>
      </c>
      <c r="N335" s="1457">
        <f>'[5]ICT capex allowances'!K11</f>
        <v>1007804.7056654167</v>
      </c>
      <c r="O335" s="1457">
        <f>'[5]ICT capex allowances'!L11</f>
        <v>1229956.3063447813</v>
      </c>
      <c r="P335" s="1459">
        <f>'[5]ICT capex allowances'!M11</f>
        <v>1265109.4139012573</v>
      </c>
      <c r="Q335" s="641"/>
      <c r="R335" s="642"/>
      <c r="S335" s="642"/>
      <c r="T335" s="642"/>
      <c r="U335" s="642"/>
      <c r="V335" s="642"/>
      <c r="W335" s="1172"/>
      <c r="X335" s="1172"/>
      <c r="Y335" s="1172"/>
      <c r="Z335" s="1172"/>
      <c r="AA335" s="1172"/>
      <c r="AB335" s="1172"/>
      <c r="AC335" s="1172"/>
      <c r="AD335" s="1172"/>
      <c r="AE335" s="1172"/>
      <c r="AF335" s="1172"/>
      <c r="AG335" s="1172"/>
    </row>
    <row r="336" spans="5:33">
      <c r="E336" s="4276"/>
      <c r="F336" s="848" t="s">
        <v>581</v>
      </c>
      <c r="G336" s="1456">
        <f>SUMIF($F$304:$F$323,"Related party margin",G$304:G$323)</f>
        <v>0</v>
      </c>
      <c r="H336" s="1457">
        <v>0</v>
      </c>
      <c r="I336" s="1457">
        <v>0</v>
      </c>
      <c r="J336" s="1457">
        <v>0</v>
      </c>
      <c r="K336" s="1458">
        <v>0</v>
      </c>
      <c r="L336" s="1456">
        <v>0</v>
      </c>
      <c r="M336" s="1457">
        <v>0</v>
      </c>
      <c r="N336" s="1457">
        <v>0</v>
      </c>
      <c r="O336" s="1457">
        <v>0</v>
      </c>
      <c r="P336" s="1459">
        <v>0</v>
      </c>
      <c r="Q336" s="642"/>
      <c r="R336" s="642"/>
      <c r="S336" s="642"/>
      <c r="T336" s="642"/>
      <c r="U336" s="642"/>
      <c r="V336" s="642"/>
      <c r="W336" s="1172"/>
      <c r="X336" s="1172"/>
      <c r="Y336" s="1172"/>
      <c r="Z336" s="1172"/>
      <c r="AA336" s="1172"/>
      <c r="AB336" s="1172"/>
      <c r="AC336" s="1172"/>
      <c r="AD336" s="1172"/>
      <c r="AE336" s="1172"/>
      <c r="AF336" s="1172"/>
      <c r="AG336" s="1172"/>
    </row>
    <row r="337" spans="5:33">
      <c r="E337" s="4276"/>
      <c r="F337" s="1412" t="s">
        <v>584</v>
      </c>
      <c r="G337" s="652">
        <f>SUM(G334:G336)</f>
        <v>9467743.5971223004</v>
      </c>
      <c r="H337" s="631">
        <f t="shared" ref="H337:P337" si="219">SUM(H334:H336)</f>
        <v>21041043.669064749</v>
      </c>
      <c r="I337" s="631">
        <f t="shared" si="219"/>
        <v>10527782.374100719</v>
      </c>
      <c r="J337" s="631">
        <f t="shared" si="219"/>
        <v>1684445.179856115</v>
      </c>
      <c r="K337" s="632">
        <f t="shared" si="219"/>
        <v>5590615.4676258992</v>
      </c>
      <c r="L337" s="652">
        <f t="shared" si="219"/>
        <v>16867689.284873329</v>
      </c>
      <c r="M337" s="631">
        <f t="shared" si="219"/>
        <v>16043363.104054216</v>
      </c>
      <c r="N337" s="631">
        <f t="shared" si="219"/>
        <v>8536861.8219420537</v>
      </c>
      <c r="O337" s="631">
        <f t="shared" si="219"/>
        <v>9490208.7088848818</v>
      </c>
      <c r="P337" s="653">
        <f t="shared" si="219"/>
        <v>9601760.6551823914</v>
      </c>
      <c r="Q337" s="643"/>
      <c r="R337" s="640"/>
      <c r="S337" s="640"/>
      <c r="T337" s="640"/>
      <c r="U337" s="640"/>
      <c r="V337" s="640"/>
      <c r="W337" s="1172"/>
      <c r="X337" s="1172"/>
      <c r="Y337" s="1172"/>
      <c r="Z337" s="1172"/>
      <c r="AA337" s="1172"/>
      <c r="AB337" s="1172"/>
      <c r="AC337" s="1172"/>
      <c r="AD337" s="1172"/>
      <c r="AE337" s="1172"/>
      <c r="AF337" s="1172"/>
      <c r="AG337" s="1172"/>
    </row>
    <row r="338" spans="5:33">
      <c r="E338" s="4276"/>
      <c r="F338" s="848" t="s">
        <v>35</v>
      </c>
      <c r="G338" s="1456">
        <f>SUMIF($F$304:$F$323,"Less customer contributions",G$304:G$323)</f>
        <v>0</v>
      </c>
      <c r="H338" s="1457">
        <v>0</v>
      </c>
      <c r="I338" s="1457">
        <v>0</v>
      </c>
      <c r="J338" s="1457">
        <v>0</v>
      </c>
      <c r="K338" s="1458">
        <v>0</v>
      </c>
      <c r="L338" s="1456">
        <v>0</v>
      </c>
      <c r="M338" s="1457">
        <v>0</v>
      </c>
      <c r="N338" s="1457">
        <v>0</v>
      </c>
      <c r="O338" s="1457">
        <v>0</v>
      </c>
      <c r="P338" s="1459">
        <v>0</v>
      </c>
      <c r="Q338" s="644"/>
      <c r="R338" s="645"/>
      <c r="S338" s="645"/>
      <c r="T338" s="645"/>
      <c r="U338" s="645"/>
      <c r="V338" s="645"/>
      <c r="W338" s="1172"/>
      <c r="X338" s="1172"/>
      <c r="Y338" s="1172"/>
      <c r="Z338" s="1172"/>
      <c r="AA338" s="1172"/>
      <c r="AB338" s="1172"/>
      <c r="AC338" s="1172"/>
      <c r="AD338" s="1172"/>
      <c r="AE338" s="1172"/>
      <c r="AF338" s="1172"/>
      <c r="AG338" s="1172"/>
    </row>
    <row r="339" spans="5:33" ht="13.5" thickBot="1">
      <c r="E339" s="4277"/>
      <c r="F339" s="1413" t="s">
        <v>585</v>
      </c>
      <c r="G339" s="1705">
        <f>G337-G338</f>
        <v>9467743.5971223004</v>
      </c>
      <c r="H339" s="654">
        <f t="shared" ref="H339:P339" si="220">H337-H338</f>
        <v>21041043.669064749</v>
      </c>
      <c r="I339" s="654">
        <f t="shared" si="220"/>
        <v>10527782.374100719</v>
      </c>
      <c r="J339" s="654">
        <f t="shared" si="220"/>
        <v>1684445.179856115</v>
      </c>
      <c r="K339" s="655">
        <f t="shared" si="220"/>
        <v>5590615.4676258992</v>
      </c>
      <c r="L339" s="1705">
        <f t="shared" si="220"/>
        <v>16867689.284873329</v>
      </c>
      <c r="M339" s="654">
        <f t="shared" si="220"/>
        <v>16043363.104054216</v>
      </c>
      <c r="N339" s="654">
        <f t="shared" si="220"/>
        <v>8536861.8219420537</v>
      </c>
      <c r="O339" s="654">
        <f t="shared" si="220"/>
        <v>9490208.7088848818</v>
      </c>
      <c r="P339" s="656">
        <f t="shared" si="220"/>
        <v>9601760.6551823914</v>
      </c>
      <c r="Q339" s="644"/>
      <c r="R339" s="645"/>
      <c r="S339" s="645"/>
      <c r="T339" s="645"/>
      <c r="U339" s="645"/>
      <c r="V339" s="645"/>
      <c r="W339" s="1172"/>
      <c r="X339" s="1172"/>
      <c r="Y339" s="1172"/>
      <c r="Z339" s="1172"/>
      <c r="AA339" s="1172"/>
      <c r="AB339" s="1172"/>
      <c r="AC339" s="1172"/>
      <c r="AD339" s="1172"/>
      <c r="AE339" s="1172"/>
      <c r="AF339" s="1172"/>
      <c r="AG339" s="1172"/>
    </row>
    <row r="340" spans="5:33" ht="39" customHeight="1" thickBot="1">
      <c r="E340" s="4059" t="s">
        <v>121</v>
      </c>
      <c r="F340" s="4060"/>
      <c r="G340" s="3982" t="s">
        <v>1787</v>
      </c>
      <c r="H340" s="3980"/>
      <c r="I340" s="3980"/>
      <c r="J340" s="3980"/>
      <c r="K340" s="3980"/>
      <c r="L340" s="3983" t="s">
        <v>1788</v>
      </c>
      <c r="M340" s="3983"/>
      <c r="N340" s="3983"/>
      <c r="O340" s="3983"/>
      <c r="P340" s="3984"/>
      <c r="Q340" s="644"/>
      <c r="R340" s="645"/>
      <c r="S340" s="645"/>
      <c r="T340" s="645"/>
      <c r="U340" s="645"/>
      <c r="V340" s="645"/>
      <c r="W340" s="1172"/>
      <c r="X340" s="1172"/>
      <c r="Y340" s="1172"/>
      <c r="Z340" s="1172"/>
      <c r="AA340" s="1172"/>
      <c r="AB340" s="1172"/>
      <c r="AC340" s="1172"/>
      <c r="AD340" s="1172"/>
      <c r="AE340" s="1172"/>
      <c r="AF340" s="1172"/>
      <c r="AG340" s="1172"/>
    </row>
  </sheetData>
  <mergeCells count="27">
    <mergeCell ref="Q16:U16"/>
    <mergeCell ref="L16:P16"/>
    <mergeCell ref="G17:N17"/>
    <mergeCell ref="O17:U17"/>
    <mergeCell ref="G18:N18"/>
    <mergeCell ref="O18:U18"/>
    <mergeCell ref="E7:G7"/>
    <mergeCell ref="E8:G8"/>
    <mergeCell ref="E9:G9"/>
    <mergeCell ref="G16:K16"/>
    <mergeCell ref="E10:G10"/>
    <mergeCell ref="E11:G11"/>
    <mergeCell ref="E300:E306"/>
    <mergeCell ref="V300:V306"/>
    <mergeCell ref="E307:F307"/>
    <mergeCell ref="G310:K310"/>
    <mergeCell ref="L310:P310"/>
    <mergeCell ref="E340:F340"/>
    <mergeCell ref="G307:N307"/>
    <mergeCell ref="O307:U307"/>
    <mergeCell ref="G340:K340"/>
    <mergeCell ref="L340:P340"/>
    <mergeCell ref="G311:P311"/>
    <mergeCell ref="G312:P312"/>
    <mergeCell ref="E314:E323"/>
    <mergeCell ref="E324:E333"/>
    <mergeCell ref="E334:E339"/>
  </mergeCells>
  <pageMargins left="0.7" right="0.7" top="0.75" bottom="0.75" header="0.3" footer="0.3"/>
  <pageSetup paperSize="9" orientation="portrait" r:id="rId1"/>
  <customProperties>
    <customPr name="_pios_id" r:id="rId2"/>
  </customPropertie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1">
    <pageSetUpPr autoPageBreaks="0"/>
  </sheetPr>
  <dimension ref="A1:AI86"/>
  <sheetViews>
    <sheetView showGridLines="0" topLeftCell="A37" zoomScale="70" zoomScaleNormal="70" zoomScaleSheetLayoutView="115" workbookViewId="0">
      <selection activeCell="I97" sqref="I97"/>
    </sheetView>
  </sheetViews>
  <sheetFormatPr defaultColWidth="9.140625" defaultRowHeight="12.75"/>
  <cols>
    <col min="1" max="1" width="14.42578125" style="77" customWidth="1"/>
    <col min="2" max="2" width="91.5703125" style="77" customWidth="1"/>
    <col min="3" max="7" width="15.7109375" style="77" customWidth="1"/>
    <col min="8" max="8" width="15.7109375" style="474" customWidth="1"/>
    <col min="9" max="11" width="15.7109375" style="77" customWidth="1"/>
    <col min="12" max="12" width="17.7109375" style="77" customWidth="1"/>
    <col min="13" max="17" width="15.7109375" style="77" customWidth="1"/>
    <col min="18" max="20" width="8.7109375"/>
    <col min="21" max="28" width="15.7109375" style="474" customWidth="1"/>
    <col min="29" max="29" width="8.7109375" customWidth="1"/>
    <col min="30" max="16384" width="9.140625" style="77"/>
  </cols>
  <sheetData>
    <row r="1" spans="1:32" s="159" customFormat="1" ht="24" customHeight="1">
      <c r="B1" s="2522" t="str">
        <f>IF(dms_DataQuality="backcast",INDEX(dms_Worksheet_List,MATCH(dms_Model,dms_Model_List))&amp;" BACKCAST",INDEX(dms_Worksheet_List,MATCH(dms_Model,dms_Model_List)))</f>
        <v>REGULATORY REPORTING STATEMENT</v>
      </c>
      <c r="C1" s="160"/>
      <c r="D1" s="160"/>
      <c r="E1" s="160"/>
      <c r="F1" s="160"/>
      <c r="G1" s="160"/>
      <c r="H1" s="157"/>
      <c r="I1" s="157"/>
      <c r="J1" s="157"/>
      <c r="K1" s="157"/>
      <c r="L1" s="157"/>
      <c r="M1" s="157"/>
      <c r="N1" s="157"/>
      <c r="O1" s="157"/>
      <c r="P1" s="157"/>
      <c r="Q1" s="157"/>
      <c r="R1" s="179"/>
      <c r="S1" s="179"/>
      <c r="T1" s="179"/>
      <c r="U1" s="179"/>
      <c r="V1" s="179"/>
      <c r="W1" s="179"/>
      <c r="X1" s="179"/>
      <c r="Y1" s="179"/>
      <c r="Z1" s="179"/>
      <c r="AA1" s="179"/>
      <c r="AB1" s="179"/>
      <c r="AC1"/>
      <c r="AD1"/>
      <c r="AE1"/>
      <c r="AF1"/>
    </row>
    <row r="2" spans="1:32" s="177" customFormat="1" ht="24" customHeight="1">
      <c r="B2" s="2526" t="str">
        <f>INDEX(dms_TradingNameFull_List,MATCH(dms_TradingName,dms_TradingName_List))</f>
        <v>AusNet Gas Services</v>
      </c>
      <c r="C2" s="180"/>
      <c r="D2" s="180"/>
      <c r="E2" s="180"/>
      <c r="F2" s="180"/>
      <c r="G2" s="180"/>
      <c r="H2" s="179"/>
      <c r="I2" s="179"/>
      <c r="J2" s="179"/>
      <c r="K2" s="179"/>
      <c r="L2" s="179"/>
      <c r="M2" s="179"/>
      <c r="N2" s="179"/>
      <c r="O2" s="179"/>
      <c r="P2" s="179"/>
      <c r="Q2" s="179"/>
      <c r="R2" s="179"/>
      <c r="S2" s="179"/>
      <c r="T2" s="179"/>
      <c r="U2" s="179"/>
      <c r="V2" s="179"/>
      <c r="W2" s="179"/>
      <c r="X2" s="179"/>
      <c r="Y2" s="179"/>
      <c r="Z2" s="179"/>
      <c r="AA2" s="179"/>
      <c r="AB2" s="179"/>
      <c r="AC2"/>
      <c r="AD2"/>
      <c r="AE2"/>
      <c r="AF2"/>
    </row>
    <row r="3" spans="1:32" s="177" customFormat="1" ht="24" customHeight="1">
      <c r="B3" s="2526" t="str">
        <f ca="1">IF(SUM(dms_SingleYear_Model)&gt;0,CRY,CONCATENATE(FRCP_y1," to ",dms_MultiYear_FinalYear_Result))</f>
        <v>2018 to 2022</v>
      </c>
      <c r="C3" s="181"/>
      <c r="D3" s="181"/>
      <c r="E3" s="181"/>
      <c r="F3" s="181"/>
      <c r="G3" s="181"/>
      <c r="H3" s="182" t="str">
        <f>CONCATENATE(LEFT(FRCP_y1,4),"-",LEFT(FRCP_y5,2),RIGHT(FRCP_y5,2))</f>
        <v>2018-2022</v>
      </c>
      <c r="I3" s="182" t="str">
        <f>CONCATENATE(LEFT(FRCP_y1,4),"-",LEFT(FRCP_y5,2),RIGHT(FRCP_y5,2))</f>
        <v>2018-2022</v>
      </c>
      <c r="J3" s="181"/>
      <c r="K3" s="181"/>
      <c r="L3" s="181"/>
      <c r="M3" s="181"/>
      <c r="N3" s="181"/>
      <c r="O3" s="181"/>
      <c r="P3" s="181"/>
      <c r="Q3" s="181"/>
      <c r="R3" s="1171"/>
      <c r="S3" s="1171"/>
      <c r="T3" s="1171"/>
      <c r="U3" s="1171"/>
      <c r="V3" s="1171"/>
      <c r="W3" s="1171"/>
      <c r="X3" s="1171"/>
      <c r="Y3" s="1171"/>
      <c r="Z3" s="1171"/>
      <c r="AA3" s="1171"/>
      <c r="AB3" s="1171"/>
      <c r="AC3"/>
      <c r="AD3"/>
      <c r="AE3"/>
      <c r="AF3"/>
    </row>
    <row r="4" spans="1:32" s="159" customFormat="1" ht="24" customHeight="1">
      <c r="B4" s="10" t="s">
        <v>493</v>
      </c>
      <c r="C4" s="12"/>
      <c r="D4" s="12"/>
      <c r="E4" s="12"/>
      <c r="F4" s="12"/>
      <c r="G4" s="12"/>
      <c r="H4" s="12"/>
      <c r="I4" s="12"/>
      <c r="J4" s="12"/>
      <c r="K4" s="12"/>
      <c r="L4" s="12"/>
      <c r="M4" s="12"/>
      <c r="N4" s="12"/>
      <c r="O4" s="12"/>
      <c r="P4" s="12"/>
      <c r="Q4" s="12"/>
      <c r="R4" s="12"/>
      <c r="S4" s="12"/>
      <c r="T4" s="12"/>
      <c r="U4" s="12"/>
      <c r="V4" s="12"/>
      <c r="W4" s="12"/>
      <c r="X4" s="12"/>
      <c r="Y4" s="12"/>
      <c r="Z4" s="12"/>
      <c r="AA4" s="12"/>
      <c r="AB4" s="12"/>
      <c r="AC4"/>
      <c r="AD4"/>
      <c r="AE4"/>
      <c r="AF4"/>
    </row>
    <row r="5" spans="1:32" customFormat="1"/>
    <row r="6" spans="1:32" customFormat="1"/>
    <row r="7" spans="1:32" ht="24.75" customHeight="1">
      <c r="A7" s="262"/>
      <c r="B7" s="85" t="s">
        <v>59</v>
      </c>
      <c r="C7" s="85"/>
      <c r="D7" s="85"/>
      <c r="E7" s="262"/>
      <c r="F7" s="242"/>
      <c r="G7" s="242"/>
      <c r="H7" s="242"/>
      <c r="I7" s="242"/>
      <c r="J7" s="242"/>
      <c r="K7" s="242"/>
      <c r="L7" s="242"/>
      <c r="M7" s="262"/>
      <c r="N7" s="262"/>
      <c r="O7" s="262"/>
      <c r="P7" s="262"/>
      <c r="Q7" s="262"/>
      <c r="U7"/>
      <c r="V7"/>
      <c r="W7"/>
      <c r="X7"/>
      <c r="Y7"/>
      <c r="Z7"/>
      <c r="AA7"/>
      <c r="AB7"/>
      <c r="AD7"/>
      <c r="AE7"/>
      <c r="AF7"/>
    </row>
    <row r="8" spans="1:32" ht="24.75" customHeight="1">
      <c r="A8" s="262"/>
      <c r="B8" s="4077" t="s">
        <v>95</v>
      </c>
      <c r="C8" s="4077"/>
      <c r="D8" s="4077"/>
      <c r="E8" s="262"/>
      <c r="F8" s="242"/>
      <c r="G8" s="242"/>
      <c r="H8" s="242"/>
      <c r="I8" s="242"/>
      <c r="J8" s="242"/>
      <c r="K8" s="242"/>
      <c r="L8" s="242"/>
      <c r="M8" s="262"/>
      <c r="N8" s="262"/>
      <c r="O8" s="262"/>
      <c r="P8" s="262"/>
      <c r="Q8" s="262"/>
      <c r="U8"/>
      <c r="V8"/>
      <c r="W8"/>
      <c r="X8"/>
      <c r="Y8"/>
      <c r="Z8"/>
      <c r="AA8"/>
      <c r="AB8"/>
      <c r="AD8"/>
      <c r="AE8"/>
      <c r="AF8"/>
    </row>
    <row r="9" spans="1:32" ht="24.75" customHeight="1">
      <c r="A9" s="262"/>
      <c r="B9" s="4024" t="s">
        <v>494</v>
      </c>
      <c r="C9" s="4024"/>
      <c r="D9" s="4024"/>
      <c r="E9" s="262"/>
      <c r="F9" s="242"/>
      <c r="G9" s="242"/>
      <c r="H9" s="242"/>
      <c r="I9" s="242"/>
      <c r="J9" s="242"/>
      <c r="K9" s="242"/>
      <c r="L9" s="242"/>
      <c r="M9" s="262"/>
      <c r="N9" s="262"/>
      <c r="O9" s="262"/>
      <c r="P9" s="262"/>
      <c r="Q9" s="262"/>
      <c r="U9"/>
      <c r="V9"/>
      <c r="W9"/>
      <c r="X9"/>
      <c r="Y9"/>
      <c r="Z9"/>
      <c r="AA9"/>
      <c r="AB9"/>
      <c r="AD9"/>
      <c r="AE9"/>
      <c r="AF9"/>
    </row>
    <row r="10" spans="1:32" ht="24.75" customHeight="1">
      <c r="A10" s="262"/>
      <c r="B10" s="154" t="s">
        <v>236</v>
      </c>
      <c r="C10" s="154"/>
      <c r="D10" s="154"/>
      <c r="E10" s="262"/>
      <c r="F10" s="262"/>
      <c r="G10" s="262"/>
      <c r="H10" s="262"/>
      <c r="I10" s="262"/>
      <c r="J10" s="262"/>
      <c r="K10" s="262"/>
      <c r="L10" s="262"/>
      <c r="M10" s="262"/>
      <c r="N10" s="262"/>
      <c r="O10" s="262"/>
      <c r="P10" s="262"/>
      <c r="Q10" s="262"/>
      <c r="U10"/>
      <c r="V10"/>
      <c r="W10"/>
      <c r="X10"/>
      <c r="Y10"/>
      <c r="Z10"/>
      <c r="AA10"/>
      <c r="AB10"/>
      <c r="AD10"/>
      <c r="AE10"/>
      <c r="AF10"/>
    </row>
    <row r="11" spans="1:32" customFormat="1">
      <c r="U11" s="1172"/>
      <c r="V11" s="1172"/>
      <c r="W11" s="1172"/>
      <c r="X11" s="1172"/>
      <c r="Y11" s="1172"/>
      <c r="Z11" s="1172"/>
      <c r="AA11" s="1172"/>
      <c r="AB11" s="1172"/>
    </row>
    <row r="12" spans="1:32" s="78" customFormat="1" ht="21" thickBot="1">
      <c r="A12" s="262"/>
      <c r="B12" s="81"/>
      <c r="C12" s="489"/>
      <c r="D12" s="489"/>
      <c r="E12" s="489"/>
      <c r="F12" s="489"/>
      <c r="G12" s="489"/>
      <c r="H12" s="489"/>
      <c r="I12" s="489"/>
      <c r="J12" s="489"/>
      <c r="K12" s="489"/>
      <c r="L12" s="489"/>
      <c r="M12" s="489"/>
      <c r="N12" s="262"/>
      <c r="O12" s="262"/>
      <c r="P12" s="262"/>
      <c r="Q12" s="262"/>
      <c r="R12"/>
      <c r="S12"/>
      <c r="T12"/>
      <c r="U12" s="489"/>
      <c r="V12" s="489"/>
      <c r="W12" s="489"/>
      <c r="X12" s="489"/>
      <c r="Y12" s="489"/>
      <c r="Z12" s="489"/>
      <c r="AA12" s="489"/>
      <c r="AB12" s="489"/>
      <c r="AC12"/>
    </row>
    <row r="13" spans="1:32" s="183" customFormat="1" ht="24.75" customHeight="1" thickBot="1">
      <c r="A13" s="262"/>
      <c r="B13" s="735" t="s">
        <v>495</v>
      </c>
      <c r="C13" s="735"/>
      <c r="D13" s="735"/>
      <c r="E13" s="735"/>
      <c r="F13" s="735"/>
      <c r="G13" s="735"/>
      <c r="H13" s="735"/>
      <c r="I13" s="735"/>
      <c r="J13" s="735"/>
      <c r="K13" s="735"/>
      <c r="L13" s="735"/>
      <c r="M13" s="735"/>
      <c r="N13" s="735"/>
      <c r="O13" s="735"/>
      <c r="P13" s="735"/>
      <c r="Q13" s="735"/>
      <c r="R13" s="1172"/>
      <c r="S13" s="1172"/>
      <c r="T13" s="1172"/>
      <c r="U13" s="735" t="s">
        <v>642</v>
      </c>
      <c r="V13" s="735"/>
      <c r="W13" s="735"/>
      <c r="X13" s="735"/>
      <c r="Y13" s="735"/>
      <c r="Z13" s="735"/>
      <c r="AA13" s="735"/>
      <c r="AB13" s="1201"/>
      <c r="AC13" s="1172"/>
    </row>
    <row r="14" spans="1:32" s="78" customFormat="1" ht="24.75" customHeight="1" thickBot="1">
      <c r="A14" s="262"/>
      <c r="B14" s="1258" t="s">
        <v>496</v>
      </c>
      <c r="C14" s="1259"/>
      <c r="D14" s="1259"/>
      <c r="E14" s="1259"/>
      <c r="F14" s="1259"/>
      <c r="G14" s="1259"/>
      <c r="H14" s="1259"/>
      <c r="I14" s="1259"/>
      <c r="J14" s="1259"/>
      <c r="K14" s="1259"/>
      <c r="L14" s="1259"/>
      <c r="M14" s="1259"/>
      <c r="N14" s="1259"/>
      <c r="O14" s="1259"/>
      <c r="P14" s="1259"/>
      <c r="Q14" s="1260"/>
      <c r="R14"/>
      <c r="S14"/>
      <c r="T14"/>
      <c r="U14" s="1258"/>
      <c r="V14" s="1259"/>
      <c r="W14" s="1259"/>
      <c r="X14" s="1259"/>
      <c r="Y14" s="1259"/>
      <c r="Z14" s="1259"/>
      <c r="AA14" s="1259"/>
      <c r="AB14" s="1260"/>
      <c r="AC14"/>
    </row>
    <row r="15" spans="1:32" s="474" customFormat="1" ht="15.75" customHeight="1">
      <c r="A15" s="262"/>
      <c r="B15" s="246"/>
      <c r="C15" s="4194" t="s">
        <v>36</v>
      </c>
      <c r="D15" s="4195"/>
      <c r="E15" s="4195"/>
      <c r="F15" s="4195"/>
      <c r="G15" s="4195"/>
      <c r="H15" s="4196" t="s">
        <v>37</v>
      </c>
      <c r="I15" s="4197"/>
      <c r="J15" s="4197"/>
      <c r="K15" s="4197"/>
      <c r="L15" s="4197"/>
      <c r="M15" s="4208" t="s">
        <v>73</v>
      </c>
      <c r="N15" s="4208"/>
      <c r="O15" s="4208"/>
      <c r="P15" s="4208"/>
      <c r="Q15" s="4209"/>
      <c r="R15"/>
      <c r="S15"/>
      <c r="T15"/>
      <c r="U15" s="4194" t="s">
        <v>36</v>
      </c>
      <c r="V15" s="4195"/>
      <c r="W15" s="4195"/>
      <c r="X15" s="4195"/>
      <c r="Y15" s="4195"/>
      <c r="Z15" s="4196" t="s">
        <v>37</v>
      </c>
      <c r="AA15" s="4197"/>
      <c r="AB15" s="4198"/>
      <c r="AC15"/>
    </row>
    <row r="16" spans="1:32" s="474" customFormat="1" ht="12.75" customHeight="1">
      <c r="A16" s="262"/>
      <c r="B16" s="246"/>
      <c r="C16" s="3985" t="s">
        <v>543</v>
      </c>
      <c r="D16" s="3986"/>
      <c r="E16" s="3986"/>
      <c r="F16" s="3986"/>
      <c r="G16" s="3986"/>
      <c r="H16" s="3986"/>
      <c r="I16" s="3986"/>
      <c r="J16" s="3987"/>
      <c r="K16" s="3988" t="str">
        <f>CONCATENATE("$0's, real ",dms_DollarReal)</f>
        <v>$0's, real December 2017</v>
      </c>
      <c r="L16" s="3989"/>
      <c r="M16" s="3989"/>
      <c r="N16" s="3989"/>
      <c r="O16" s="3989"/>
      <c r="P16" s="3989"/>
      <c r="Q16" s="4199"/>
      <c r="R16"/>
      <c r="S16"/>
      <c r="T16"/>
      <c r="U16" s="4083" t="str">
        <f>CONCATENATE("$0's, real ",dms_DollarReal)</f>
        <v>$0's, real December 2017</v>
      </c>
      <c r="V16" s="3989"/>
      <c r="W16" s="3989"/>
      <c r="X16" s="3989"/>
      <c r="Y16" s="3989"/>
      <c r="Z16" s="3989"/>
      <c r="AA16" s="3989"/>
      <c r="AB16" s="3990"/>
      <c r="AC16"/>
    </row>
    <row r="17" spans="1:29" s="474" customFormat="1" ht="15" customHeight="1">
      <c r="A17" s="262"/>
      <c r="B17" s="246"/>
      <c r="C17" s="3985" t="s">
        <v>54</v>
      </c>
      <c r="D17" s="3986"/>
      <c r="E17" s="3986"/>
      <c r="F17" s="3986"/>
      <c r="G17" s="3986"/>
      <c r="H17" s="3986"/>
      <c r="I17" s="3986"/>
      <c r="J17" s="3987"/>
      <c r="K17" s="3988" t="s">
        <v>55</v>
      </c>
      <c r="L17" s="3989"/>
      <c r="M17" s="3989"/>
      <c r="N17" s="3989"/>
      <c r="O17" s="3989"/>
      <c r="P17" s="3989"/>
      <c r="Q17" s="4199"/>
      <c r="R17"/>
      <c r="S17"/>
      <c r="T17"/>
      <c r="U17" s="3985" t="s">
        <v>54</v>
      </c>
      <c r="V17" s="3986"/>
      <c r="W17" s="3986"/>
      <c r="X17" s="3986"/>
      <c r="Y17" s="3986"/>
      <c r="Z17" s="3986"/>
      <c r="AA17" s="3986"/>
      <c r="AB17" s="4030"/>
      <c r="AC17"/>
    </row>
    <row r="18" spans="1:29" s="474" customFormat="1" ht="15" customHeight="1" thickBot="1">
      <c r="A18" s="262"/>
      <c r="B18" s="523"/>
      <c r="C18" s="343">
        <f t="array" ref="C18:G18">PRCP</f>
        <v>2008</v>
      </c>
      <c r="D18" s="342">
        <v>2009</v>
      </c>
      <c r="E18" s="342">
        <v>2010</v>
      </c>
      <c r="F18" s="342">
        <v>2011</v>
      </c>
      <c r="G18" s="342">
        <v>2012</v>
      </c>
      <c r="H18" s="344">
        <f>CRCP_y1</f>
        <v>2013</v>
      </c>
      <c r="I18" s="344">
        <f>CRCP_y2</f>
        <v>2014</v>
      </c>
      <c r="J18" s="344">
        <f>CRCP_y3</f>
        <v>2015</v>
      </c>
      <c r="K18" s="344">
        <f>CRCP_y4</f>
        <v>2016</v>
      </c>
      <c r="L18" s="344">
        <f>CRCP_y5</f>
        <v>2017</v>
      </c>
      <c r="M18" s="342" t="str">
        <f t="array" ref="M18:Q18">FRCP</f>
        <v>2018</v>
      </c>
      <c r="N18" s="342">
        <v>2019</v>
      </c>
      <c r="O18" s="342">
        <v>2020</v>
      </c>
      <c r="P18" s="342">
        <v>2021</v>
      </c>
      <c r="Q18" s="443">
        <v>2022</v>
      </c>
      <c r="R18"/>
      <c r="S18"/>
      <c r="T18"/>
      <c r="U18" s="1438">
        <f t="array" ref="U18:Y18">PRCP</f>
        <v>2008</v>
      </c>
      <c r="V18" s="342">
        <v>2009</v>
      </c>
      <c r="W18" s="342">
        <v>2010</v>
      </c>
      <c r="X18" s="342">
        <v>2011</v>
      </c>
      <c r="Y18" s="342">
        <v>2012</v>
      </c>
      <c r="Z18" s="344">
        <f>CRCP_y1</f>
        <v>2013</v>
      </c>
      <c r="AA18" s="344">
        <f>CRCP_y2</f>
        <v>2014</v>
      </c>
      <c r="AB18" s="542">
        <f>CRCP_y3</f>
        <v>2015</v>
      </c>
      <c r="AC18"/>
    </row>
    <row r="19" spans="1:29" ht="24.75" customHeight="1" thickBot="1">
      <c r="A19" s="262"/>
      <c r="B19" s="660" t="s">
        <v>622</v>
      </c>
      <c r="C19" s="454"/>
      <c r="D19" s="454"/>
      <c r="E19" s="454"/>
      <c r="F19" s="454"/>
      <c r="G19" s="454"/>
      <c r="H19" s="454"/>
      <c r="I19" s="454"/>
      <c r="J19" s="454"/>
      <c r="K19" s="454"/>
      <c r="L19" s="454"/>
      <c r="M19" s="454"/>
      <c r="N19" s="454"/>
      <c r="O19" s="454"/>
      <c r="P19" s="454"/>
      <c r="Q19" s="669"/>
      <c r="U19" s="1662"/>
      <c r="V19" s="454"/>
      <c r="W19" s="454"/>
      <c r="X19" s="454"/>
      <c r="Y19" s="454"/>
      <c r="Z19" s="454"/>
      <c r="AA19" s="454"/>
      <c r="AB19" s="424"/>
    </row>
    <row r="20" spans="1:29">
      <c r="A20" s="262"/>
      <c r="B20" s="2932" t="s">
        <v>1439</v>
      </c>
      <c r="C20" s="408">
        <v>21240369.076031912</v>
      </c>
      <c r="D20" s="409">
        <v>19010704.374045525</v>
      </c>
      <c r="E20" s="409">
        <v>15866012.2284729</v>
      </c>
      <c r="F20" s="409">
        <v>19733051.547869489</v>
      </c>
      <c r="G20" s="505">
        <v>20812206.627868589</v>
      </c>
      <c r="H20" s="408">
        <v>20705295.329690326</v>
      </c>
      <c r="I20" s="409">
        <v>24965080.879159093</v>
      </c>
      <c r="J20" s="409">
        <v>25722054.393956136</v>
      </c>
      <c r="K20" s="409">
        <v>24770613.020791911</v>
      </c>
      <c r="L20" s="505">
        <v>25010495.324169926</v>
      </c>
      <c r="M20" s="408">
        <v>26947239.771754436</v>
      </c>
      <c r="N20" s="409">
        <v>27436551.355589874</v>
      </c>
      <c r="O20" s="409">
        <v>27967352.950790875</v>
      </c>
      <c r="P20" s="409">
        <v>28689385.755269598</v>
      </c>
      <c r="Q20" s="505">
        <v>29053356.810168669</v>
      </c>
      <c r="U20" s="1521"/>
      <c r="V20" s="453"/>
      <c r="W20" s="453"/>
      <c r="X20" s="453"/>
      <c r="Y20" s="526"/>
      <c r="Z20" s="1712"/>
      <c r="AA20" s="1713"/>
      <c r="AB20" s="1714"/>
    </row>
    <row r="21" spans="1:29">
      <c r="A21" s="262"/>
      <c r="B21" s="2933" t="s">
        <v>1440</v>
      </c>
      <c r="C21" s="459">
        <v>196694.53409929195</v>
      </c>
      <c r="D21" s="458">
        <v>485759.60876858461</v>
      </c>
      <c r="E21" s="458">
        <v>1238221.4465294483</v>
      </c>
      <c r="F21" s="458">
        <v>1587524.6861413103</v>
      </c>
      <c r="G21" s="460">
        <v>1275193.884762184</v>
      </c>
      <c r="H21" s="459">
        <v>3200870.6946937628</v>
      </c>
      <c r="I21" s="458">
        <v>2765685.3588367184</v>
      </c>
      <c r="J21" s="458">
        <v>2151554.164585832</v>
      </c>
      <c r="K21" s="458">
        <v>2071969.6330613303</v>
      </c>
      <c r="L21" s="460">
        <v>2092034.8953820833</v>
      </c>
      <c r="M21" s="459">
        <v>2254036.363776383</v>
      </c>
      <c r="N21" s="458">
        <v>2294965.4575360399</v>
      </c>
      <c r="O21" s="458">
        <v>2339365.0364045091</v>
      </c>
      <c r="P21" s="458">
        <v>2399760.3945532274</v>
      </c>
      <c r="Q21" s="460">
        <v>2430205.2193313292</v>
      </c>
      <c r="U21" s="462"/>
      <c r="V21" s="463"/>
      <c r="W21" s="463"/>
      <c r="X21" s="463"/>
      <c r="Y21" s="464"/>
      <c r="Z21" s="1715"/>
      <c r="AA21" s="1716"/>
      <c r="AB21" s="1717"/>
    </row>
    <row r="22" spans="1:29">
      <c r="A22" s="262"/>
      <c r="B22" s="2933" t="s">
        <v>1441</v>
      </c>
      <c r="C22" s="459">
        <v>366263.76163460792</v>
      </c>
      <c r="D22" s="458">
        <v>397382.59454982675</v>
      </c>
      <c r="E22" s="458">
        <v>260909.73941188195</v>
      </c>
      <c r="F22" s="458">
        <v>339747.94331447408</v>
      </c>
      <c r="G22" s="460">
        <v>292316.74565488851</v>
      </c>
      <c r="H22" s="459">
        <v>263093.51290379302</v>
      </c>
      <c r="I22" s="458">
        <v>80807.83129974574</v>
      </c>
      <c r="J22" s="458">
        <v>23158.047503817859</v>
      </c>
      <c r="K22" s="458">
        <v>22301.447009185049</v>
      </c>
      <c r="L22" s="460">
        <v>22517.417541393337</v>
      </c>
      <c r="M22" s="459">
        <v>24261.104854738584</v>
      </c>
      <c r="N22" s="458">
        <v>24701.641241493598</v>
      </c>
      <c r="O22" s="458">
        <v>25179.531862845186</v>
      </c>
      <c r="P22" s="458">
        <v>25829.591524851112</v>
      </c>
      <c r="Q22" s="460">
        <v>26157.281485002502</v>
      </c>
      <c r="U22" s="462"/>
      <c r="V22" s="463"/>
      <c r="W22" s="463"/>
      <c r="X22" s="463"/>
      <c r="Y22" s="464"/>
      <c r="Z22" s="1715"/>
      <c r="AA22" s="1716"/>
      <c r="AB22" s="1717"/>
    </row>
    <row r="23" spans="1:29">
      <c r="A23" s="262"/>
      <c r="B23" s="2933" t="s">
        <v>1442</v>
      </c>
      <c r="C23" s="459">
        <v>1134423.2931599631</v>
      </c>
      <c r="D23" s="458">
        <v>1389821.1859588311</v>
      </c>
      <c r="E23" s="458">
        <v>384464.6434539925</v>
      </c>
      <c r="F23" s="458">
        <v>475616.72562695696</v>
      </c>
      <c r="G23" s="460">
        <v>99475.517373316135</v>
      </c>
      <c r="H23" s="459">
        <v>194589.54172750257</v>
      </c>
      <c r="I23" s="458">
        <v>162978.36741110473</v>
      </c>
      <c r="J23" s="458">
        <v>199611.90604324566</v>
      </c>
      <c r="K23" s="458">
        <v>192228.39681505825</v>
      </c>
      <c r="L23" s="460">
        <v>194089.96522129644</v>
      </c>
      <c r="M23" s="459">
        <v>209119.7620166821</v>
      </c>
      <c r="N23" s="458">
        <v>212916.98662411395</v>
      </c>
      <c r="O23" s="458">
        <v>217036.18785610274</v>
      </c>
      <c r="P23" s="458">
        <v>222639.40842784735</v>
      </c>
      <c r="Q23" s="460">
        <v>225463.94782505993</v>
      </c>
      <c r="U23" s="462"/>
      <c r="V23" s="463"/>
      <c r="W23" s="463"/>
      <c r="X23" s="463"/>
      <c r="Y23" s="464"/>
      <c r="Z23" s="1715"/>
      <c r="AA23" s="1716"/>
      <c r="AB23" s="1717"/>
    </row>
    <row r="24" spans="1:29">
      <c r="A24" s="262"/>
      <c r="B24" s="2933"/>
      <c r="C24" s="459"/>
      <c r="D24" s="458"/>
      <c r="E24" s="458"/>
      <c r="F24" s="458"/>
      <c r="G24" s="460"/>
      <c r="H24" s="459"/>
      <c r="I24" s="458"/>
      <c r="J24" s="458"/>
      <c r="K24" s="458"/>
      <c r="L24" s="460"/>
      <c r="M24" s="459"/>
      <c r="N24" s="458"/>
      <c r="O24" s="458"/>
      <c r="P24" s="458"/>
      <c r="Q24" s="460"/>
      <c r="U24" s="462"/>
      <c r="V24" s="463"/>
      <c r="W24" s="463"/>
      <c r="X24" s="463"/>
      <c r="Y24" s="464"/>
      <c r="Z24" s="1715"/>
      <c r="AA24" s="1716"/>
      <c r="AB24" s="1717"/>
    </row>
    <row r="25" spans="1:29">
      <c r="A25" s="262"/>
      <c r="B25" s="2933"/>
      <c r="C25" s="459"/>
      <c r="D25" s="458"/>
      <c r="E25" s="458"/>
      <c r="F25" s="458"/>
      <c r="G25" s="460"/>
      <c r="H25" s="459"/>
      <c r="I25" s="458"/>
      <c r="J25" s="458"/>
      <c r="K25" s="458"/>
      <c r="L25" s="460"/>
      <c r="M25" s="459"/>
      <c r="N25" s="458"/>
      <c r="O25" s="458"/>
      <c r="P25" s="458"/>
      <c r="Q25" s="460"/>
      <c r="U25" s="462"/>
      <c r="V25" s="463"/>
      <c r="W25" s="463"/>
      <c r="X25" s="463"/>
      <c r="Y25" s="464"/>
      <c r="Z25" s="1715"/>
      <c r="AA25" s="1716"/>
      <c r="AB25" s="1717"/>
    </row>
    <row r="26" spans="1:29" ht="13.5" thickBot="1">
      <c r="A26" s="262"/>
      <c r="B26" s="2934"/>
      <c r="C26" s="666"/>
      <c r="D26" s="667"/>
      <c r="E26" s="667"/>
      <c r="F26" s="667"/>
      <c r="G26" s="670"/>
      <c r="H26" s="666"/>
      <c r="I26" s="667"/>
      <c r="J26" s="667"/>
      <c r="K26" s="667"/>
      <c r="L26" s="670"/>
      <c r="M26" s="666"/>
      <c r="N26" s="667"/>
      <c r="O26" s="667"/>
      <c r="P26" s="667"/>
      <c r="Q26" s="670"/>
      <c r="U26" s="1718"/>
      <c r="V26" s="1719"/>
      <c r="W26" s="1719"/>
      <c r="X26" s="1719"/>
      <c r="Y26" s="1720"/>
      <c r="Z26" s="1721"/>
      <c r="AA26" s="1722"/>
      <c r="AB26" s="1723"/>
    </row>
    <row r="27" spans="1:29" s="474" customFormat="1" ht="24.75" customHeight="1" thickBot="1">
      <c r="A27" s="262"/>
      <c r="B27" s="660" t="s">
        <v>623</v>
      </c>
      <c r="C27" s="662"/>
      <c r="D27" s="663"/>
      <c r="E27" s="663"/>
      <c r="F27" s="663"/>
      <c r="G27" s="669"/>
      <c r="H27" s="662"/>
      <c r="I27" s="663"/>
      <c r="J27" s="663"/>
      <c r="K27" s="3578"/>
      <c r="L27" s="3579"/>
      <c r="M27" s="3580"/>
      <c r="N27" s="3578"/>
      <c r="O27" s="3578"/>
      <c r="P27" s="3578"/>
      <c r="Q27" s="3579"/>
      <c r="R27"/>
      <c r="S27"/>
      <c r="T27"/>
      <c r="U27" s="1724"/>
      <c r="V27" s="1725"/>
      <c r="W27" s="1725"/>
      <c r="X27" s="1725"/>
      <c r="Y27" s="1726"/>
      <c r="Z27" s="1724"/>
      <c r="AA27" s="1725"/>
      <c r="AB27" s="1726"/>
      <c r="AC27"/>
    </row>
    <row r="28" spans="1:29">
      <c r="A28" s="262"/>
      <c r="B28" s="668" t="s">
        <v>1443</v>
      </c>
      <c r="C28" s="412">
        <f>'[7]2008'!$N$9*1000</f>
        <v>2506486.6719333474</v>
      </c>
      <c r="D28" s="494">
        <f>'[7]2009'!$N$9*1000</f>
        <v>1177678.9317753096</v>
      </c>
      <c r="E28" s="458">
        <f>'[7]2010'!N9*1000</f>
        <v>1144708.5015375952</v>
      </c>
      <c r="F28" s="458">
        <f>'[7]2011'!N9*1000</f>
        <v>2902473.9679030762</v>
      </c>
      <c r="G28" s="506">
        <f>'[7]2012'!N9*1000</f>
        <v>3878097.5307207247</v>
      </c>
      <c r="H28" s="458">
        <f>'[7]2013'!M9*1000</f>
        <v>1997078.2626030317</v>
      </c>
      <c r="I28" s="458">
        <f>'[7]2014'!$M$9*1000</f>
        <v>1595360.3146816846</v>
      </c>
      <c r="J28" s="458">
        <f>'[7]2015'!$M$9*1000</f>
        <v>736243.64308227494</v>
      </c>
      <c r="K28" s="494">
        <v>709010.48930579342</v>
      </c>
      <c r="L28" s="506">
        <v>715876.65241411398</v>
      </c>
      <c r="M28" s="412">
        <v>771312.18512739649</v>
      </c>
      <c r="N28" s="494">
        <v>785317.77494412626</v>
      </c>
      <c r="O28" s="494">
        <v>800510.93542109383</v>
      </c>
      <c r="P28" s="494">
        <v>821177.71631862735</v>
      </c>
      <c r="Q28" s="506">
        <v>831595.67793752335</v>
      </c>
      <c r="U28" s="1698"/>
      <c r="V28" s="1699"/>
      <c r="W28" s="1699"/>
      <c r="X28" s="1699"/>
      <c r="Y28" s="1700"/>
      <c r="Z28" s="1727"/>
      <c r="AA28" s="1728"/>
      <c r="AB28" s="1729"/>
    </row>
    <row r="29" spans="1:29">
      <c r="A29" s="262"/>
      <c r="B29" s="661" t="s">
        <v>1444</v>
      </c>
      <c r="C29" s="459">
        <f>'[7]2008'!$N$10*1000</f>
        <v>9836853.0567034148</v>
      </c>
      <c r="D29" s="458">
        <f>'[7]2009'!$N$10*1000</f>
        <v>8863057.4119445998</v>
      </c>
      <c r="E29" s="458">
        <f>'[7]2010'!N10*1000</f>
        <v>7991258.9551655166</v>
      </c>
      <c r="F29" s="458">
        <f>'[7]2011'!N10*1000</f>
        <v>10132412.98460252</v>
      </c>
      <c r="G29" s="460">
        <f>'[7]2012'!N10*1000</f>
        <v>11536374.586944764</v>
      </c>
      <c r="H29" s="458">
        <f>'[7]2013'!M15*1000</f>
        <v>16592168.417661164</v>
      </c>
      <c r="I29" s="458">
        <f>'[7]2014'!$M$15*1000</f>
        <v>17929302.754362889</v>
      </c>
      <c r="J29" s="458">
        <f>12566631.7131991+1124996.51790342</f>
        <v>13691628.231102519</v>
      </c>
      <c r="K29" s="458">
        <v>12101800.516198583</v>
      </c>
      <c r="L29" s="460">
        <v>12218996.153642446</v>
      </c>
      <c r="M29" s="459">
        <v>13165201.842449967</v>
      </c>
      <c r="N29" s="458">
        <v>13404257.338285746</v>
      </c>
      <c r="O29" s="458">
        <v>13663582.976024732</v>
      </c>
      <c r="P29" s="458">
        <v>14016335.528358361</v>
      </c>
      <c r="Q29" s="460">
        <v>14194155.31410051</v>
      </c>
      <c r="U29" s="462"/>
      <c r="V29" s="463"/>
      <c r="W29" s="463"/>
      <c r="X29" s="463"/>
      <c r="Y29" s="464"/>
      <c r="Z29" s="1715"/>
      <c r="AA29" s="1716"/>
      <c r="AB29" s="1717"/>
    </row>
    <row r="30" spans="1:29">
      <c r="A30" s="262"/>
      <c r="B30" s="661"/>
      <c r="C30" s="459"/>
      <c r="D30" s="458"/>
      <c r="E30" s="458"/>
      <c r="F30" s="458"/>
      <c r="G30" s="460"/>
      <c r="H30" s="671"/>
      <c r="I30" s="659"/>
      <c r="J30" s="659"/>
      <c r="K30" s="659"/>
      <c r="L30" s="672"/>
      <c r="M30" s="671"/>
      <c r="N30" s="659"/>
      <c r="O30" s="659"/>
      <c r="P30" s="659"/>
      <c r="Q30" s="672"/>
      <c r="U30" s="462"/>
      <c r="V30" s="463"/>
      <c r="W30" s="463"/>
      <c r="X30" s="463"/>
      <c r="Y30" s="464"/>
      <c r="Z30" s="1715"/>
      <c r="AA30" s="1716"/>
      <c r="AB30" s="1717"/>
    </row>
    <row r="31" spans="1:29">
      <c r="A31" s="262"/>
      <c r="B31" s="661"/>
      <c r="C31" s="459"/>
      <c r="D31" s="458"/>
      <c r="E31" s="458"/>
      <c r="F31" s="458"/>
      <c r="G31" s="460"/>
      <c r="H31" s="671"/>
      <c r="I31" s="659"/>
      <c r="J31" s="659"/>
      <c r="K31" s="659"/>
      <c r="L31" s="672"/>
      <c r="M31" s="671"/>
      <c r="N31" s="659"/>
      <c r="O31" s="659"/>
      <c r="P31" s="659"/>
      <c r="Q31" s="672"/>
      <c r="U31" s="462"/>
      <c r="V31" s="463"/>
      <c r="W31" s="463"/>
      <c r="X31" s="463"/>
      <c r="Y31" s="464"/>
      <c r="Z31" s="1715"/>
      <c r="AA31" s="1716"/>
      <c r="AB31" s="1717"/>
    </row>
    <row r="32" spans="1:29">
      <c r="A32" s="262"/>
      <c r="B32" s="661"/>
      <c r="C32" s="459"/>
      <c r="D32" s="458"/>
      <c r="E32" s="458"/>
      <c r="F32" s="458"/>
      <c r="G32" s="460"/>
      <c r="H32" s="671"/>
      <c r="I32" s="659"/>
      <c r="J32" s="659"/>
      <c r="K32" s="659"/>
      <c r="L32" s="672"/>
      <c r="M32" s="671"/>
      <c r="N32" s="659"/>
      <c r="O32" s="659"/>
      <c r="P32" s="659"/>
      <c r="Q32" s="672"/>
      <c r="U32" s="462"/>
      <c r="V32" s="463"/>
      <c r="W32" s="463"/>
      <c r="X32" s="463"/>
      <c r="Y32" s="464"/>
      <c r="Z32" s="1715"/>
      <c r="AA32" s="1716"/>
      <c r="AB32" s="1717"/>
    </row>
    <row r="33" spans="1:29">
      <c r="A33" s="262"/>
      <c r="B33" s="661"/>
      <c r="C33" s="459"/>
      <c r="D33" s="458"/>
      <c r="E33" s="458"/>
      <c r="F33" s="458"/>
      <c r="G33" s="460"/>
      <c r="H33" s="671"/>
      <c r="I33" s="659"/>
      <c r="J33" s="659"/>
      <c r="K33" s="659"/>
      <c r="L33" s="672"/>
      <c r="M33" s="671"/>
      <c r="N33" s="659"/>
      <c r="O33" s="659"/>
      <c r="P33" s="659"/>
      <c r="Q33" s="672"/>
      <c r="U33" s="462"/>
      <c r="V33" s="463"/>
      <c r="W33" s="463"/>
      <c r="X33" s="463"/>
      <c r="Y33" s="464"/>
      <c r="Z33" s="1715"/>
      <c r="AA33" s="1716"/>
      <c r="AB33" s="1717"/>
    </row>
    <row r="34" spans="1:29" s="844" customFormat="1" ht="13.5" thickBot="1">
      <c r="A34" s="843"/>
      <c r="B34" s="665" t="s">
        <v>583</v>
      </c>
      <c r="C34" s="1149">
        <f t="shared" ref="C34:P34" si="0">SUM(C20:C33)</f>
        <v>35281090.39356254</v>
      </c>
      <c r="D34" s="1150">
        <f t="shared" si="0"/>
        <v>31324404.107042678</v>
      </c>
      <c r="E34" s="1150">
        <f t="shared" si="0"/>
        <v>26885575.514571335</v>
      </c>
      <c r="F34" s="1150">
        <f t="shared" si="0"/>
        <v>35170827.855457827</v>
      </c>
      <c r="G34" s="1151">
        <f t="shared" si="0"/>
        <v>37893664.893324465</v>
      </c>
      <c r="H34" s="1149">
        <f t="shared" si="0"/>
        <v>42953095.759279579</v>
      </c>
      <c r="I34" s="1150">
        <f t="shared" si="0"/>
        <v>47499215.50575123</v>
      </c>
      <c r="J34" s="1150">
        <f t="shared" si="0"/>
        <v>42524250.386273831</v>
      </c>
      <c r="K34" s="1150">
        <f>SUM(K20:K33)</f>
        <v>39867923.50318186</v>
      </c>
      <c r="L34" s="1151">
        <f t="shared" si="0"/>
        <v>40254010.408371255</v>
      </c>
      <c r="M34" s="1149">
        <f t="shared" si="0"/>
        <v>43371171.029979602</v>
      </c>
      <c r="N34" s="1150">
        <f t="shared" si="0"/>
        <v>44158710.554221399</v>
      </c>
      <c r="O34" s="1150">
        <f t="shared" si="0"/>
        <v>45013027.618360162</v>
      </c>
      <c r="P34" s="1150">
        <f t="shared" si="0"/>
        <v>46175128.394452505</v>
      </c>
      <c r="Q34" s="1151">
        <f t="shared" ref="Q34" si="1">SUM(Q20:Q33)</f>
        <v>46760934.250848092</v>
      </c>
      <c r="U34" s="1447">
        <f t="shared" ref="U34:AB34" si="2">SUM(U20:U33)</f>
        <v>0</v>
      </c>
      <c r="V34" s="1150">
        <f t="shared" si="2"/>
        <v>0</v>
      </c>
      <c r="W34" s="1150">
        <f t="shared" si="2"/>
        <v>0</v>
      </c>
      <c r="X34" s="1150">
        <f t="shared" si="2"/>
        <v>0</v>
      </c>
      <c r="Y34" s="1151">
        <f t="shared" si="2"/>
        <v>0</v>
      </c>
      <c r="Z34" s="1447">
        <f t="shared" si="2"/>
        <v>0</v>
      </c>
      <c r="AA34" s="1150">
        <f t="shared" si="2"/>
        <v>0</v>
      </c>
      <c r="AB34" s="1151">
        <f t="shared" si="2"/>
        <v>0</v>
      </c>
    </row>
    <row r="35" spans="1:29" s="69" customFormat="1" ht="28.5" customHeight="1" thickBot="1">
      <c r="A35" s="314"/>
      <c r="B35" s="380" t="s">
        <v>121</v>
      </c>
      <c r="C35" s="2961" t="s">
        <v>1566</v>
      </c>
      <c r="D35" s="264"/>
      <c r="E35" s="264"/>
      <c r="F35" s="264"/>
      <c r="G35" s="264"/>
      <c r="H35" s="264"/>
      <c r="I35" s="264"/>
      <c r="J35" s="264"/>
      <c r="K35" s="1005" t="s">
        <v>2102</v>
      </c>
      <c r="L35" s="264"/>
      <c r="M35" s="264"/>
      <c r="N35" s="264"/>
      <c r="O35" s="264"/>
      <c r="P35" s="264"/>
      <c r="Q35" s="406"/>
      <c r="R35"/>
      <c r="S35"/>
      <c r="T35"/>
      <c r="U35" s="1663"/>
      <c r="V35" s="1644"/>
      <c r="W35" s="1644"/>
      <c r="X35" s="1644"/>
      <c r="Y35" s="1644"/>
      <c r="Z35" s="1644"/>
      <c r="AA35" s="1644"/>
      <c r="AB35" s="1647"/>
      <c r="AC35"/>
    </row>
    <row r="36" spans="1:29" s="136" customFormat="1" ht="39.75" customHeight="1">
      <c r="A36" s="314"/>
      <c r="B36" s="645"/>
      <c r="C36" s="645"/>
      <c r="D36" s="645"/>
      <c r="E36" s="645"/>
      <c r="F36" s="645"/>
      <c r="G36" s="645"/>
      <c r="H36" s="645"/>
      <c r="I36" s="645"/>
      <c r="J36" s="645"/>
      <c r="K36" s="645"/>
      <c r="L36" s="645"/>
      <c r="M36" s="645"/>
      <c r="N36" s="645"/>
      <c r="O36" s="645"/>
      <c r="P36" s="645"/>
      <c r="Q36" s="645"/>
      <c r="R36"/>
      <c r="S36"/>
      <c r="T36"/>
      <c r="U36" s="645"/>
      <c r="V36" s="645"/>
      <c r="W36" s="645"/>
      <c r="X36" s="645"/>
      <c r="Y36" s="645"/>
      <c r="Z36" s="645"/>
      <c r="AA36" s="645"/>
      <c r="AB36" s="645"/>
      <c r="AC36"/>
    </row>
    <row r="37" spans="1:29" s="78" customFormat="1" ht="39" customHeight="1" thickBot="1">
      <c r="A37" s="262"/>
      <c r="B37" s="262"/>
      <c r="C37" s="489"/>
      <c r="D37" s="489"/>
      <c r="E37" s="489"/>
      <c r="F37" s="489"/>
      <c r="G37" s="489"/>
      <c r="H37" s="489"/>
      <c r="I37" s="489"/>
      <c r="J37" s="489"/>
      <c r="K37" s="489"/>
      <c r="L37" s="489"/>
      <c r="M37" s="489"/>
      <c r="N37" s="262"/>
      <c r="O37" s="262"/>
      <c r="P37" s="262"/>
      <c r="Q37" s="262"/>
      <c r="R37"/>
      <c r="S37"/>
      <c r="T37"/>
      <c r="U37" s="489"/>
      <c r="V37" s="489"/>
      <c r="W37" s="489"/>
      <c r="X37" s="489"/>
      <c r="Y37" s="489"/>
      <c r="Z37" s="489"/>
      <c r="AA37" s="489"/>
      <c r="AB37" s="489"/>
      <c r="AC37"/>
    </row>
    <row r="38" spans="1:29" s="183" customFormat="1" ht="24.75" customHeight="1" thickBot="1">
      <c r="A38" s="262"/>
      <c r="B38" s="1258" t="s">
        <v>1414</v>
      </c>
      <c r="C38" s="1259"/>
      <c r="D38" s="1259"/>
      <c r="E38" s="1259"/>
      <c r="F38" s="1259"/>
      <c r="G38" s="1259"/>
      <c r="H38" s="1259"/>
      <c r="I38" s="1259"/>
      <c r="J38" s="1259"/>
      <c r="K38" s="1259"/>
      <c r="L38" s="1259"/>
      <c r="M38" s="1259"/>
      <c r="N38" s="1259"/>
      <c r="O38" s="1259"/>
      <c r="P38" s="1259"/>
      <c r="Q38" s="1260"/>
      <c r="R38" s="1172"/>
      <c r="S38" s="1172"/>
      <c r="T38" s="1172"/>
      <c r="U38" s="1258"/>
      <c r="V38" s="1259"/>
      <c r="W38" s="1259"/>
      <c r="X38" s="1259"/>
      <c r="Y38" s="1259"/>
      <c r="Z38" s="1259"/>
      <c r="AA38" s="1259"/>
      <c r="AB38" s="1260"/>
      <c r="AC38" s="1172"/>
    </row>
    <row r="39" spans="1:29" s="474" customFormat="1" ht="15.75" customHeight="1">
      <c r="A39" s="262"/>
      <c r="B39" s="246"/>
      <c r="C39" s="4194" t="s">
        <v>36</v>
      </c>
      <c r="D39" s="4195"/>
      <c r="E39" s="4195"/>
      <c r="F39" s="4195"/>
      <c r="G39" s="4195"/>
      <c r="H39" s="4196" t="s">
        <v>37</v>
      </c>
      <c r="I39" s="4197"/>
      <c r="J39" s="4197"/>
      <c r="K39" s="4197"/>
      <c r="L39" s="4197"/>
      <c r="M39" s="4208" t="s">
        <v>73</v>
      </c>
      <c r="N39" s="4208"/>
      <c r="O39" s="4208"/>
      <c r="P39" s="4208"/>
      <c r="Q39" s="4209"/>
      <c r="R39"/>
      <c r="S39"/>
      <c r="T39"/>
      <c r="U39" s="4194" t="s">
        <v>36</v>
      </c>
      <c r="V39" s="4195"/>
      <c r="W39" s="4195"/>
      <c r="X39" s="4195"/>
      <c r="Y39" s="4195"/>
      <c r="Z39" s="4196" t="s">
        <v>37</v>
      </c>
      <c r="AA39" s="4197"/>
      <c r="AB39" s="4198"/>
      <c r="AC39"/>
    </row>
    <row r="40" spans="1:29" s="474" customFormat="1" ht="12.75" customHeight="1">
      <c r="A40" s="262"/>
      <c r="B40" s="246"/>
      <c r="C40" s="3985" t="s">
        <v>543</v>
      </c>
      <c r="D40" s="3986"/>
      <c r="E40" s="3986"/>
      <c r="F40" s="3986"/>
      <c r="G40" s="3986"/>
      <c r="H40" s="3986"/>
      <c r="I40" s="3986"/>
      <c r="J40" s="3987"/>
      <c r="K40" s="3988" t="str">
        <f>CONCATENATE("$0's, real ",dms_DollarReal)</f>
        <v>$0's, real December 2017</v>
      </c>
      <c r="L40" s="3989"/>
      <c r="M40" s="3989"/>
      <c r="N40" s="3989"/>
      <c r="O40" s="3989"/>
      <c r="P40" s="3989"/>
      <c r="Q40" s="4199"/>
      <c r="R40"/>
      <c r="S40"/>
      <c r="T40"/>
      <c r="U40" s="4083" t="str">
        <f>CONCATENATE("$0's, real ",dms_DollarReal)</f>
        <v>$0's, real December 2017</v>
      </c>
      <c r="V40" s="3989"/>
      <c r="W40" s="3989"/>
      <c r="X40" s="3989"/>
      <c r="Y40" s="3989"/>
      <c r="Z40" s="3989"/>
      <c r="AA40" s="3989"/>
      <c r="AB40" s="3990"/>
      <c r="AC40"/>
    </row>
    <row r="41" spans="1:29" s="474" customFormat="1" ht="15" customHeight="1">
      <c r="A41" s="262"/>
      <c r="B41" s="246"/>
      <c r="C41" s="3985" t="s">
        <v>54</v>
      </c>
      <c r="D41" s="3986"/>
      <c r="E41" s="3986"/>
      <c r="F41" s="3986"/>
      <c r="G41" s="3986"/>
      <c r="H41" s="3986"/>
      <c r="I41" s="3986"/>
      <c r="J41" s="3987"/>
      <c r="K41" s="3988" t="s">
        <v>55</v>
      </c>
      <c r="L41" s="3989"/>
      <c r="M41" s="3989"/>
      <c r="N41" s="3989"/>
      <c r="O41" s="3989"/>
      <c r="P41" s="3989"/>
      <c r="Q41" s="4199"/>
      <c r="R41"/>
      <c r="S41"/>
      <c r="T41"/>
      <c r="U41" s="3985" t="s">
        <v>54</v>
      </c>
      <c r="V41" s="3986"/>
      <c r="W41" s="3986"/>
      <c r="X41" s="3986"/>
      <c r="Y41" s="3986"/>
      <c r="Z41" s="3986"/>
      <c r="AA41" s="3986"/>
      <c r="AB41" s="4030"/>
      <c r="AC41"/>
    </row>
    <row r="42" spans="1:29" s="474" customFormat="1" ht="15" customHeight="1" thickBot="1">
      <c r="A42" s="262"/>
      <c r="B42" s="246"/>
      <c r="C42" s="345">
        <f t="array" ref="C42:G42">PRCP</f>
        <v>2008</v>
      </c>
      <c r="D42" s="346">
        <v>2009</v>
      </c>
      <c r="E42" s="346">
        <v>2010</v>
      </c>
      <c r="F42" s="346">
        <v>2011</v>
      </c>
      <c r="G42" s="346">
        <v>2012</v>
      </c>
      <c r="H42" s="347">
        <f>CRCP_y1</f>
        <v>2013</v>
      </c>
      <c r="I42" s="347">
        <f>CRCP_y2</f>
        <v>2014</v>
      </c>
      <c r="J42" s="347">
        <f>CRCP_y3</f>
        <v>2015</v>
      </c>
      <c r="K42" s="347">
        <f>CRCP_y4</f>
        <v>2016</v>
      </c>
      <c r="L42" s="347">
        <f>CRCP_y5</f>
        <v>2017</v>
      </c>
      <c r="M42" s="346" t="str">
        <f t="array" ref="M42:Q42">FRCP</f>
        <v>2018</v>
      </c>
      <c r="N42" s="346">
        <v>2019</v>
      </c>
      <c r="O42" s="346">
        <v>2020</v>
      </c>
      <c r="P42" s="346">
        <v>2021</v>
      </c>
      <c r="Q42" s="553">
        <v>2022</v>
      </c>
      <c r="R42"/>
      <c r="S42"/>
      <c r="T42"/>
      <c r="U42" s="1206">
        <f t="array" ref="U42:Y42">PRCP</f>
        <v>2008</v>
      </c>
      <c r="V42" s="1207">
        <v>2009</v>
      </c>
      <c r="W42" s="1207">
        <v>2010</v>
      </c>
      <c r="X42" s="1207">
        <v>2011</v>
      </c>
      <c r="Y42" s="1207">
        <v>2012</v>
      </c>
      <c r="Z42" s="347">
        <f>CRCP_y1</f>
        <v>2013</v>
      </c>
      <c r="AA42" s="347">
        <f>CRCP_y2</f>
        <v>2014</v>
      </c>
      <c r="AB42" s="1645">
        <f>CRCP_y3</f>
        <v>2015</v>
      </c>
      <c r="AC42"/>
    </row>
    <row r="43" spans="1:29">
      <c r="A43" s="262"/>
      <c r="B43" s="1460" t="s">
        <v>165</v>
      </c>
      <c r="C43" s="1369">
        <v>24211053.68756254</v>
      </c>
      <c r="D43" s="409">
        <v>21023883.842606798</v>
      </c>
      <c r="E43" s="409">
        <v>16939422.880750015</v>
      </c>
      <c r="F43" s="409">
        <v>23670000.247372042</v>
      </c>
      <c r="G43" s="1164">
        <v>23104910.066005345</v>
      </c>
      <c r="H43" s="1369">
        <v>28301190.318059038</v>
      </c>
      <c r="I43" s="409">
        <v>33710368.122405432</v>
      </c>
      <c r="J43" s="409">
        <v>33301422.931854147</v>
      </c>
      <c r="K43" s="409">
        <v>32893544.572315946</v>
      </c>
      <c r="L43" s="505">
        <v>33311632.208256237</v>
      </c>
      <c r="M43" s="408">
        <v>36389641.940943398</v>
      </c>
      <c r="N43" s="409">
        <v>37132167.341861919</v>
      </c>
      <c r="O43" s="409">
        <v>37930542.692974739</v>
      </c>
      <c r="P43" s="409">
        <v>39023470.454649821</v>
      </c>
      <c r="Q43" s="505">
        <v>39531130.343039051</v>
      </c>
      <c r="U43" s="1521"/>
      <c r="V43" s="453"/>
      <c r="W43" s="453"/>
      <c r="X43" s="453"/>
      <c r="Y43" s="1530"/>
      <c r="Z43" s="1712"/>
      <c r="AA43" s="1713"/>
      <c r="AB43" s="1714"/>
    </row>
    <row r="44" spans="1:29">
      <c r="A44" s="262"/>
      <c r="B44" s="1461" t="s">
        <v>166</v>
      </c>
      <c r="C44" s="478">
        <f>C45-C43</f>
        <v>11070036.706</v>
      </c>
      <c r="D44" s="479">
        <f t="shared" ref="D44:Q44" si="3">D45-D43</f>
        <v>10300520.26443588</v>
      </c>
      <c r="E44" s="479">
        <f t="shared" si="3"/>
        <v>9946152.6338213198</v>
      </c>
      <c r="F44" s="479">
        <f t="shared" si="3"/>
        <v>11500827.608085785</v>
      </c>
      <c r="G44" s="1200">
        <f t="shared" si="3"/>
        <v>14788754.827319119</v>
      </c>
      <c r="H44" s="478">
        <f t="shared" ref="H44" si="4">H45-H43</f>
        <v>14651905.441220541</v>
      </c>
      <c r="I44" s="479">
        <f t="shared" si="3"/>
        <v>13788847.383345798</v>
      </c>
      <c r="J44" s="479">
        <f t="shared" si="3"/>
        <v>9222827.4544196837</v>
      </c>
      <c r="K44" s="479">
        <f t="shared" si="3"/>
        <v>6974378.9308659136</v>
      </c>
      <c r="L44" s="425">
        <f t="shared" si="3"/>
        <v>6942378.2001150176</v>
      </c>
      <c r="M44" s="479">
        <f>M45-M43</f>
        <v>6981529.0890362039</v>
      </c>
      <c r="N44" s="479">
        <f t="shared" si="3"/>
        <v>7026543.2123594806</v>
      </c>
      <c r="O44" s="479">
        <f t="shared" si="3"/>
        <v>7082484.925385423</v>
      </c>
      <c r="P44" s="479">
        <f t="shared" si="3"/>
        <v>7151657.9398026839</v>
      </c>
      <c r="Q44" s="425">
        <f t="shared" si="3"/>
        <v>7229803.9078090414</v>
      </c>
      <c r="U44" s="478">
        <f>U45-U43</f>
        <v>0</v>
      </c>
      <c r="V44" s="479">
        <f t="shared" ref="V44:AB44" si="5">V45-V43</f>
        <v>0</v>
      </c>
      <c r="W44" s="479">
        <f t="shared" si="5"/>
        <v>0</v>
      </c>
      <c r="X44" s="479">
        <f t="shared" si="5"/>
        <v>0</v>
      </c>
      <c r="Y44" s="1200">
        <f t="shared" si="5"/>
        <v>0</v>
      </c>
      <c r="Z44" s="478">
        <f t="shared" si="5"/>
        <v>0</v>
      </c>
      <c r="AA44" s="479">
        <f t="shared" si="5"/>
        <v>0</v>
      </c>
      <c r="AB44" s="425">
        <f t="shared" si="5"/>
        <v>0</v>
      </c>
    </row>
    <row r="45" spans="1:29" ht="13.5" thickBot="1">
      <c r="A45" s="262"/>
      <c r="B45" s="673" t="s">
        <v>167</v>
      </c>
      <c r="C45" s="1149">
        <f t="shared" ref="C45:G45" si="6">C34</f>
        <v>35281090.39356254</v>
      </c>
      <c r="D45" s="1150">
        <f t="shared" si="6"/>
        <v>31324404.107042678</v>
      </c>
      <c r="E45" s="1150">
        <f t="shared" si="6"/>
        <v>26885575.514571335</v>
      </c>
      <c r="F45" s="1150">
        <f t="shared" si="6"/>
        <v>35170827.855457827</v>
      </c>
      <c r="G45" s="1153">
        <f t="shared" si="6"/>
        <v>37893664.893324465</v>
      </c>
      <c r="H45" s="1149">
        <f>H34</f>
        <v>42953095.759279579</v>
      </c>
      <c r="I45" s="1150">
        <f t="shared" ref="I45:Q45" si="7">I34</f>
        <v>47499215.50575123</v>
      </c>
      <c r="J45" s="1150">
        <f t="shared" si="7"/>
        <v>42524250.386273831</v>
      </c>
      <c r="K45" s="1150">
        <f t="shared" si="7"/>
        <v>39867923.50318186</v>
      </c>
      <c r="L45" s="1151">
        <f t="shared" si="7"/>
        <v>40254010.408371255</v>
      </c>
      <c r="M45" s="1150">
        <f t="shared" si="7"/>
        <v>43371171.029979602</v>
      </c>
      <c r="N45" s="1150">
        <f t="shared" si="7"/>
        <v>44158710.554221399</v>
      </c>
      <c r="O45" s="1150">
        <f t="shared" si="7"/>
        <v>45013027.618360162</v>
      </c>
      <c r="P45" s="1150">
        <f t="shared" si="7"/>
        <v>46175128.394452505</v>
      </c>
      <c r="Q45" s="1151">
        <f t="shared" si="7"/>
        <v>46760934.250848092</v>
      </c>
      <c r="U45" s="1447">
        <f t="shared" ref="U45:Z45" si="8">U34</f>
        <v>0</v>
      </c>
      <c r="V45" s="1150">
        <f t="shared" si="8"/>
        <v>0</v>
      </c>
      <c r="W45" s="1150">
        <f t="shared" si="8"/>
        <v>0</v>
      </c>
      <c r="X45" s="1150">
        <f t="shared" si="8"/>
        <v>0</v>
      </c>
      <c r="Y45" s="1153">
        <f t="shared" si="8"/>
        <v>0</v>
      </c>
      <c r="Z45" s="1447">
        <f t="shared" si="8"/>
        <v>0</v>
      </c>
      <c r="AA45" s="1150">
        <f>Z34</f>
        <v>0</v>
      </c>
      <c r="AB45" s="1151">
        <f>AA34</f>
        <v>0</v>
      </c>
    </row>
    <row r="46" spans="1:29" s="69" customFormat="1" ht="28.5" customHeight="1" thickBot="1">
      <c r="A46" s="314"/>
      <c r="B46" s="1381" t="s">
        <v>121</v>
      </c>
      <c r="C46" s="2961" t="s">
        <v>1566</v>
      </c>
      <c r="D46" s="264"/>
      <c r="E46" s="264"/>
      <c r="F46" s="264"/>
      <c r="G46" s="264"/>
      <c r="H46" s="264"/>
      <c r="I46" s="264"/>
      <c r="J46" s="264"/>
      <c r="K46" s="1005" t="s">
        <v>2102</v>
      </c>
      <c r="L46" s="264"/>
      <c r="M46" s="264"/>
      <c r="N46" s="264"/>
      <c r="O46" s="264"/>
      <c r="P46" s="264"/>
      <c r="Q46" s="406"/>
      <c r="R46"/>
      <c r="S46"/>
      <c r="T46"/>
      <c r="U46" s="1663"/>
      <c r="V46" s="1644"/>
      <c r="W46" s="1644"/>
      <c r="X46" s="1644"/>
      <c r="Y46" s="1644"/>
      <c r="Z46" s="1644"/>
      <c r="AA46" s="1644"/>
      <c r="AB46" s="1647"/>
      <c r="AC46"/>
    </row>
    <row r="47" spans="1:29" s="78" customFormat="1" ht="45.75" customHeight="1" thickBot="1">
      <c r="A47" s="262"/>
      <c r="C47" s="3582"/>
      <c r="D47" s="3582"/>
      <c r="E47" s="3582"/>
      <c r="F47" s="3582"/>
      <c r="G47" s="3582"/>
      <c r="H47" s="3582"/>
      <c r="I47" s="3582"/>
      <c r="J47" s="3582"/>
      <c r="K47" s="3582"/>
      <c r="L47" s="3582"/>
      <c r="M47" s="3582"/>
      <c r="N47" s="3581"/>
      <c r="O47" s="3581"/>
      <c r="P47" s="3581"/>
      <c r="Q47" s="3581"/>
      <c r="R47"/>
      <c r="S47"/>
      <c r="T47"/>
      <c r="U47" s="185"/>
      <c r="V47" s="185"/>
      <c r="W47" s="185"/>
      <c r="X47" s="185"/>
      <c r="Y47" s="185"/>
      <c r="Z47" s="185"/>
      <c r="AA47" s="185"/>
      <c r="AB47" s="185"/>
      <c r="AC47"/>
    </row>
    <row r="48" spans="1:29" s="183" customFormat="1" ht="24.75" customHeight="1" thickBot="1">
      <c r="A48" s="262"/>
      <c r="B48" s="1258" t="s">
        <v>1415</v>
      </c>
      <c r="C48" s="1259"/>
      <c r="D48" s="1259"/>
      <c r="E48" s="1259"/>
      <c r="F48" s="1259"/>
      <c r="G48" s="1259"/>
      <c r="H48" s="1259"/>
      <c r="I48" s="1259"/>
      <c r="J48" s="1259"/>
      <c r="K48" s="1259"/>
      <c r="L48" s="1259"/>
      <c r="M48" s="1259"/>
      <c r="N48" s="1259"/>
      <c r="O48" s="1259"/>
      <c r="P48" s="1259"/>
      <c r="Q48" s="1260"/>
      <c r="R48" s="1172"/>
      <c r="S48" s="1172"/>
      <c r="T48" s="1172"/>
      <c r="U48" s="1258"/>
      <c r="V48" s="1259"/>
      <c r="W48" s="1259"/>
      <c r="X48" s="1259"/>
      <c r="Y48" s="1259"/>
      <c r="Z48" s="1259"/>
      <c r="AA48" s="1259"/>
      <c r="AB48" s="1260"/>
      <c r="AC48" s="1172"/>
    </row>
    <row r="49" spans="1:35" ht="15.75" customHeight="1">
      <c r="A49" s="262"/>
      <c r="B49" s="675"/>
      <c r="C49" s="4098" t="s">
        <v>36</v>
      </c>
      <c r="D49" s="3997"/>
      <c r="E49" s="3997"/>
      <c r="F49" s="3997"/>
      <c r="G49" s="3997"/>
      <c r="H49" s="4074" t="s">
        <v>37</v>
      </c>
      <c r="I49" s="4075"/>
      <c r="J49" s="4075"/>
      <c r="K49" s="4075"/>
      <c r="L49" s="4075"/>
      <c r="M49" s="3960" t="s">
        <v>73</v>
      </c>
      <c r="N49" s="3960"/>
      <c r="O49" s="3960"/>
      <c r="P49" s="3960"/>
      <c r="Q49" s="4099"/>
      <c r="U49" s="4073" t="s">
        <v>36</v>
      </c>
      <c r="V49" s="3997"/>
      <c r="W49" s="3997"/>
      <c r="X49" s="3997"/>
      <c r="Y49" s="3997"/>
      <c r="Z49" s="4074" t="s">
        <v>37</v>
      </c>
      <c r="AA49" s="4075"/>
      <c r="AB49" s="4082"/>
    </row>
    <row r="50" spans="1:35" ht="15" customHeight="1">
      <c r="A50" s="262"/>
      <c r="B50" s="524"/>
      <c r="C50" s="3985" t="s">
        <v>112</v>
      </c>
      <c r="D50" s="3986" t="s">
        <v>112</v>
      </c>
      <c r="E50" s="3986" t="s">
        <v>112</v>
      </c>
      <c r="F50" s="3986" t="s">
        <v>112</v>
      </c>
      <c r="G50" s="3986" t="s">
        <v>112</v>
      </c>
      <c r="H50" s="3986" t="s">
        <v>112</v>
      </c>
      <c r="I50" s="3986" t="s">
        <v>112</v>
      </c>
      <c r="J50" s="3986" t="s">
        <v>112</v>
      </c>
      <c r="K50" s="3986" t="s">
        <v>112</v>
      </c>
      <c r="L50" s="3986" t="s">
        <v>112</v>
      </c>
      <c r="M50" s="3986" t="s">
        <v>112</v>
      </c>
      <c r="N50" s="3986" t="s">
        <v>112</v>
      </c>
      <c r="O50" s="3986" t="s">
        <v>112</v>
      </c>
      <c r="P50" s="3986" t="s">
        <v>112</v>
      </c>
      <c r="Q50" s="4030" t="s">
        <v>112</v>
      </c>
      <c r="U50" s="3985" t="s">
        <v>112</v>
      </c>
      <c r="V50" s="3986"/>
      <c r="W50" s="3986"/>
      <c r="X50" s="3986"/>
      <c r="Y50" s="3986"/>
      <c r="Z50" s="3986"/>
      <c r="AA50" s="3986"/>
      <c r="AB50" s="4030"/>
      <c r="AD50"/>
      <c r="AE50"/>
      <c r="AF50"/>
      <c r="AG50"/>
      <c r="AH50"/>
      <c r="AI50"/>
    </row>
    <row r="51" spans="1:35" s="474" customFormat="1" ht="15">
      <c r="A51" s="262"/>
      <c r="B51" s="524"/>
      <c r="C51" s="3985" t="s">
        <v>54</v>
      </c>
      <c r="D51" s="3986"/>
      <c r="E51" s="3986"/>
      <c r="F51" s="3986"/>
      <c r="G51" s="3986"/>
      <c r="H51" s="3986"/>
      <c r="I51" s="3986"/>
      <c r="J51" s="3987"/>
      <c r="K51" s="3988" t="s">
        <v>55</v>
      </c>
      <c r="L51" s="3989"/>
      <c r="M51" s="3989"/>
      <c r="N51" s="3989"/>
      <c r="O51" s="3989"/>
      <c r="P51" s="3989"/>
      <c r="Q51" s="3990"/>
      <c r="R51" s="1172"/>
      <c r="S51" s="1172"/>
      <c r="T51" s="1172"/>
      <c r="U51" s="3985" t="s">
        <v>54</v>
      </c>
      <c r="V51" s="3986"/>
      <c r="W51" s="3986"/>
      <c r="X51" s="3986"/>
      <c r="Y51" s="3986"/>
      <c r="Z51" s="3986"/>
      <c r="AA51" s="3986"/>
      <c r="AB51" s="4030"/>
      <c r="AC51" s="1172"/>
    </row>
    <row r="52" spans="1:35" ht="12.75" customHeight="1" thickBot="1">
      <c r="A52" s="262"/>
      <c r="B52" s="674"/>
      <c r="C52" s="343">
        <f t="array" ref="C52:G52">PRCP</f>
        <v>2008</v>
      </c>
      <c r="D52" s="342">
        <v>2009</v>
      </c>
      <c r="E52" s="342">
        <v>2010</v>
      </c>
      <c r="F52" s="342">
        <v>2011</v>
      </c>
      <c r="G52" s="342">
        <v>2012</v>
      </c>
      <c r="H52" s="344">
        <f>CRCP_y1</f>
        <v>2013</v>
      </c>
      <c r="I52" s="344">
        <f>CRCP_y2</f>
        <v>2014</v>
      </c>
      <c r="J52" s="344">
        <f>CRCP_y3</f>
        <v>2015</v>
      </c>
      <c r="K52" s="344">
        <f>CRCP_y4</f>
        <v>2016</v>
      </c>
      <c r="L52" s="344">
        <f>CRCP_y5</f>
        <v>2017</v>
      </c>
      <c r="M52" s="342" t="str">
        <f t="array" ref="M52:Q52">FRCP</f>
        <v>2018</v>
      </c>
      <c r="N52" s="342">
        <v>2019</v>
      </c>
      <c r="O52" s="342">
        <v>2020</v>
      </c>
      <c r="P52" s="342">
        <v>2021</v>
      </c>
      <c r="Q52" s="443">
        <v>2022</v>
      </c>
      <c r="U52" s="1438">
        <f t="array" ref="U52:Y52">PRCP</f>
        <v>2008</v>
      </c>
      <c r="V52" s="342">
        <v>2009</v>
      </c>
      <c r="W52" s="342">
        <v>2010</v>
      </c>
      <c r="X52" s="342">
        <v>2011</v>
      </c>
      <c r="Y52" s="342">
        <v>2012</v>
      </c>
      <c r="Z52" s="344">
        <f>CRCP_y1</f>
        <v>2013</v>
      </c>
      <c r="AA52" s="344">
        <f>CRCP_y2</f>
        <v>2014</v>
      </c>
      <c r="AB52" s="542">
        <f>CRCP_y3</f>
        <v>2015</v>
      </c>
    </row>
    <row r="53" spans="1:35" ht="27" customHeight="1" thickBot="1">
      <c r="A53" s="262"/>
      <c r="B53" s="1247" t="s">
        <v>155</v>
      </c>
      <c r="C53" s="2935">
        <f>C44/SUM('16. Capex allocation'!C21:C27,'16. Capex allocation'!C33:C39,'16. Capex allocation'!C45:C51,'16. Capex allocation'!C57:C63,'16. Capex allocation'!C69:C75,'16. Capex allocation'!C81:C87,'16. Capex allocation'!C93:C99,'16. Capex allocation'!C117:C123,'16. Capex allocation'!C129:C135,'16. Capex allocation'!C141:C147)</f>
        <v>0.19918862179699287</v>
      </c>
      <c r="D53" s="2936">
        <f>D44/SUM('16. Capex allocation'!D21:D27,'16. Capex allocation'!D33:D39,'16. Capex allocation'!D45:D51,'16. Capex allocation'!D57:D63,'16. Capex allocation'!D69:D75,'16. Capex allocation'!D81:D87,'16. Capex allocation'!D93:D99,'16. Capex allocation'!D117:D123,'16. Capex allocation'!D129:D135,'16. Capex allocation'!D141:D147)</f>
        <v>0.17223353738138941</v>
      </c>
      <c r="E53" s="2936">
        <f>E44/SUM('16. Capex allocation'!E21:E27,'16. Capex allocation'!E33:E39,'16. Capex allocation'!E45:E51,'16. Capex allocation'!E57:E63,'16. Capex allocation'!E69:E75,'16. Capex allocation'!E81:E87,'16. Capex allocation'!E93:E99,'16. Capex allocation'!E117:E123,'16. Capex allocation'!E129:E135,'16. Capex allocation'!E141:E147)</f>
        <v>0.16011936785738073</v>
      </c>
      <c r="F53" s="2936">
        <f>F44/SUM('16. Capex allocation'!F21:F27,'16. Capex allocation'!F33:F39,'16. Capex allocation'!F45:F51,'16. Capex allocation'!F57:F63,'16. Capex allocation'!F69:F75,'16. Capex allocation'!F81:F87,'16. Capex allocation'!F93:F99,'16. Capex allocation'!F117:F123,'16. Capex allocation'!F129:F135,'16. Capex allocation'!F141:F147)</f>
        <v>0.16112067801582244</v>
      </c>
      <c r="G53" s="2937">
        <f>G44/SUM('16. Capex allocation'!G21:G27,'16. Capex allocation'!G33:G39,'16. Capex allocation'!G45:G51,'16. Capex allocation'!G57:G63,'16. Capex allocation'!G69:G75,'16. Capex allocation'!G81:G87,'16. Capex allocation'!G93:G99,'16. Capex allocation'!G117:G123,'16. Capex allocation'!G129:G135,'16. Capex allocation'!G141:G147)</f>
        <v>0.18938086360867698</v>
      </c>
      <c r="H53" s="2935">
        <f>H44/SUM('16. Capex allocation'!H21:H27,'16. Capex allocation'!H33:H39,'16. Capex allocation'!H45:H51,'16. Capex allocation'!H57:H63,'16. Capex allocation'!H69:H75,'16. Capex allocation'!H81:H87,'16. Capex allocation'!H93:H99,'16. Capex allocation'!H117:H123,'16. Capex allocation'!H129:H135,'16. Capex allocation'!H141:H147)</f>
        <v>0.18498231091160625</v>
      </c>
      <c r="I53" s="2936">
        <f>I44/SUM('16. Capex allocation'!I21:I27,'16. Capex allocation'!I33:I39,'16. Capex allocation'!I45:I51,'16. Capex allocation'!I57:I63,'16. Capex allocation'!I69:I75,'16. Capex allocation'!I81:I87,'16. Capex allocation'!I93:I99,'16. Capex allocation'!I117:I123,'16. Capex allocation'!I129:I135,'16. Capex allocation'!I141:I147)</f>
        <v>0.13087174462539308</v>
      </c>
      <c r="J53" s="2936">
        <f>J44/SUM('16. Capex allocation'!J21:J27,'16. Capex allocation'!J33:J39,'16. Capex allocation'!J45:J51,'16. Capex allocation'!J57:J63,'16. Capex allocation'!J69:J75,'16. Capex allocation'!J81:J87,'16. Capex allocation'!J93:J99,'16. Capex allocation'!J117:J123,'16. Capex allocation'!J129:J135,'16. Capex allocation'!J141:J147)</f>
        <v>0.1066185790777822</v>
      </c>
      <c r="K53" s="2936">
        <f>K44/SUM('16. Capex allocation'!K21:K27,'16. Capex allocation'!K33:K39,'16. Capex allocation'!K45:K51,'16. Capex allocation'!K57:K63,'16. Capex allocation'!K69:K75,'16. Capex allocation'!K81:K87,'16. Capex allocation'!K93:K99,'16. Capex allocation'!K117:K123,'16. Capex allocation'!K129:K135,'16. Capex allocation'!K141:K147)</f>
        <v>9.0385093317485787E-2</v>
      </c>
      <c r="L53" s="2936">
        <f>L44/SUM('16. Capex allocation'!L21:L27,'16. Capex allocation'!L33:L39,'16. Capex allocation'!L45:L51,'16. Capex allocation'!L57:L63,'16. Capex allocation'!L69:L75,'16. Capex allocation'!L81:L87,'16. Capex allocation'!L93:L99,'16. Capex allocation'!L117:L123,'16. Capex allocation'!L129:L135,'16. Capex allocation'!L141:L147)</f>
        <v>7.2561539528650021E-2</v>
      </c>
      <c r="M53" s="2935">
        <f>M44/SUM('16. Capex allocation'!M21:M27,'16. Capex allocation'!M33:M39,'16. Capex allocation'!M45:M51,'16. Capex allocation'!M57:M63,'16. Capex allocation'!M69:M75,'16. Capex allocation'!M81:M87,'16. Capex allocation'!M93:M99,'16. Capex allocation'!M117:M123,'16. Capex allocation'!M129:M135,'16. Capex allocation'!M141:M147)</f>
        <v>6.756609514779495E-2</v>
      </c>
      <c r="N53" s="2936">
        <f>N44/SUM('16. Capex allocation'!N21:N27,'16. Capex allocation'!N33:N39,'16. Capex allocation'!N45:N51,'16. Capex allocation'!N57:N63,'16. Capex allocation'!N69:N75,'16. Capex allocation'!N81:N87,'16. Capex allocation'!N93:N99,'16. Capex allocation'!N117:N123,'16. Capex allocation'!N129:N135,'16. Capex allocation'!N141:N147)</f>
        <v>7.0414429528602981E-2</v>
      </c>
      <c r="O53" s="2936">
        <f>O44/SUM('16. Capex allocation'!O21:O27,'16. Capex allocation'!O33:O39,'16. Capex allocation'!O45:O51,'16. Capex allocation'!O57:O63,'16. Capex allocation'!O69:O75,'16. Capex allocation'!O81:O87,'16. Capex allocation'!O93:O99,'16. Capex allocation'!O117:O123,'16. Capex allocation'!O129:O135,'16. Capex allocation'!O141:O147)</f>
        <v>7.2913380842152001E-2</v>
      </c>
      <c r="P53" s="2936">
        <f>P44/SUM('16. Capex allocation'!P21:P27,'16. Capex allocation'!P33:P39,'16. Capex allocation'!P45:P51,'16. Capex allocation'!P57:P63,'16. Capex allocation'!P69:P75,'16. Capex allocation'!P81:P87,'16. Capex allocation'!P93:P99,'16. Capex allocation'!P117:P123,'16. Capex allocation'!P129:P135,'16. Capex allocation'!P141:P147)</f>
        <v>7.8740931606671657E-2</v>
      </c>
      <c r="Q53" s="2937">
        <f>Q44/SUM('16. Capex allocation'!Q21:Q27,'16. Capex allocation'!Q33:Q39,'16. Capex allocation'!Q45:Q51,'16. Capex allocation'!Q57:Q63,'16. Capex allocation'!Q69:Q75,'16. Capex allocation'!Q81:Q87,'16. Capex allocation'!Q93:Q99,'16. Capex allocation'!Q117:Q123,'16. Capex allocation'!Q129:Q135,'16. Capex allocation'!Q141:Q147)</f>
        <v>8.340455114548595E-2</v>
      </c>
      <c r="U53" s="1825"/>
      <c r="V53" s="1826"/>
      <c r="W53" s="1826"/>
      <c r="X53" s="1826"/>
      <c r="Y53" s="1827"/>
      <c r="Z53" s="1828"/>
      <c r="AA53" s="1829"/>
      <c r="AB53" s="1830"/>
    </row>
    <row r="54" spans="1:35" ht="15.75" customHeight="1" thickBot="1">
      <c r="A54" s="262"/>
      <c r="B54" s="1831" t="s">
        <v>235</v>
      </c>
      <c r="C54" s="4304" t="s">
        <v>543</v>
      </c>
      <c r="D54" s="4305"/>
      <c r="E54" s="4305"/>
      <c r="F54" s="4305"/>
      <c r="G54" s="4305"/>
      <c r="H54" s="4305"/>
      <c r="I54" s="4305"/>
      <c r="J54" s="4306"/>
      <c r="K54" s="4301" t="str">
        <f>CONCATENATE("$0's, real ",dms_DollarReal)</f>
        <v>$0's, real December 2017</v>
      </c>
      <c r="L54" s="4302"/>
      <c r="M54" s="4302"/>
      <c r="N54" s="4302"/>
      <c r="O54" s="4302"/>
      <c r="P54" s="4302"/>
      <c r="Q54" s="4303"/>
      <c r="U54" s="4310" t="str">
        <f>CONCATENATE("$0's, real ",dms_DollarReal)</f>
        <v>$0's, real December 2017</v>
      </c>
      <c r="V54" s="4302"/>
      <c r="W54" s="4302"/>
      <c r="X54" s="4302"/>
      <c r="Y54" s="4302"/>
      <c r="Z54" s="4302"/>
      <c r="AA54" s="4302"/>
      <c r="AB54" s="4303"/>
    </row>
    <row r="55" spans="1:35">
      <c r="A55" s="262"/>
      <c r="B55" s="731" t="s">
        <v>385</v>
      </c>
      <c r="C55" s="1369">
        <v>7028125.2702611648</v>
      </c>
      <c r="D55" s="409">
        <v>6064264.6409051912</v>
      </c>
      <c r="E55" s="409">
        <v>5675268.8542393837</v>
      </c>
      <c r="F55" s="409">
        <v>6145254.7025056202</v>
      </c>
      <c r="G55" s="505">
        <v>6775866.1676175781</v>
      </c>
      <c r="H55" s="1369">
        <v>5842496.4239136782</v>
      </c>
      <c r="I55" s="409">
        <v>4844430.4514446342</v>
      </c>
      <c r="J55" s="409">
        <v>6621947.1033360222</v>
      </c>
      <c r="K55" s="409">
        <v>4655453.6838236898</v>
      </c>
      <c r="L55" s="409">
        <v>4533122.5090296371</v>
      </c>
      <c r="M55" s="408">
        <v>4558686.627074114</v>
      </c>
      <c r="N55" s="409">
        <v>4588079.225659078</v>
      </c>
      <c r="O55" s="409">
        <v>4624607.1460923636</v>
      </c>
      <c r="P55" s="409">
        <v>4669774.6289971573</v>
      </c>
      <c r="Q55" s="505">
        <v>4720801.1268842453</v>
      </c>
      <c r="U55" s="1521"/>
      <c r="V55" s="453"/>
      <c r="W55" s="453"/>
      <c r="X55" s="453"/>
      <c r="Y55" s="526"/>
      <c r="Z55" s="1521"/>
      <c r="AA55" s="453"/>
      <c r="AB55" s="526"/>
    </row>
    <row r="56" spans="1:35">
      <c r="A56" s="262"/>
      <c r="B56" s="676" t="s">
        <v>349</v>
      </c>
      <c r="C56" s="459">
        <v>541477.01137260511</v>
      </c>
      <c r="D56" s="458">
        <v>160904.34128954436</v>
      </c>
      <c r="E56" s="458">
        <v>100225.29932741316</v>
      </c>
      <c r="F56" s="458">
        <v>628902.13104107871</v>
      </c>
      <c r="G56" s="460">
        <v>435017.27429484943</v>
      </c>
      <c r="H56" s="459">
        <v>212320.1160635468</v>
      </c>
      <c r="I56" s="458">
        <v>639400.95280699292</v>
      </c>
      <c r="J56" s="458">
        <v>733921.43534500909</v>
      </c>
      <c r="K56" s="458">
        <v>515971.69178424875</v>
      </c>
      <c r="L56" s="458">
        <v>502413.5237724472</v>
      </c>
      <c r="M56" s="459">
        <v>505246.83758721326</v>
      </c>
      <c r="N56" s="458">
        <v>508504.46828183613</v>
      </c>
      <c r="O56" s="458">
        <v>512552.91859051638</v>
      </c>
      <c r="P56" s="458">
        <v>517558.90600888571</v>
      </c>
      <c r="Q56" s="460">
        <v>523214.25782392122</v>
      </c>
      <c r="U56" s="462"/>
      <c r="V56" s="463"/>
      <c r="W56" s="463"/>
      <c r="X56" s="463"/>
      <c r="Y56" s="464"/>
      <c r="Z56" s="462"/>
      <c r="AA56" s="463"/>
      <c r="AB56" s="464"/>
    </row>
    <row r="57" spans="1:35">
      <c r="A57" s="262"/>
      <c r="B57" s="676" t="s">
        <v>156</v>
      </c>
      <c r="C57" s="459">
        <v>1802575.8435950028</v>
      </c>
      <c r="D57" s="458">
        <v>1438206.9421395252</v>
      </c>
      <c r="E57" s="458">
        <v>2038538.070413925</v>
      </c>
      <c r="F57" s="458">
        <v>2124844.2445738548</v>
      </c>
      <c r="G57" s="460">
        <v>3565060.961703924</v>
      </c>
      <c r="H57" s="459">
        <v>3089069.7582655917</v>
      </c>
      <c r="I57" s="458">
        <v>4170173.9019382354</v>
      </c>
      <c r="J57" s="458">
        <v>204166.98969744472</v>
      </c>
      <c r="K57" s="458">
        <v>143536.32692464758</v>
      </c>
      <c r="L57" s="458">
        <v>139764.62846283548</v>
      </c>
      <c r="M57" s="459">
        <v>140552.81794003345</v>
      </c>
      <c r="N57" s="458">
        <v>141459.046618522</v>
      </c>
      <c r="O57" s="458">
        <v>142585.2705883593</v>
      </c>
      <c r="P57" s="458">
        <v>143977.86839576808</v>
      </c>
      <c r="Q57" s="460">
        <v>145551.11057149631</v>
      </c>
      <c r="U57" s="462"/>
      <c r="V57" s="463"/>
      <c r="W57" s="463"/>
      <c r="X57" s="463"/>
      <c r="Y57" s="464"/>
      <c r="Z57" s="462"/>
      <c r="AA57" s="463"/>
      <c r="AB57" s="464"/>
    </row>
    <row r="58" spans="1:35">
      <c r="A58" s="262"/>
      <c r="B58" s="676" t="s">
        <v>157</v>
      </c>
      <c r="C58" s="459">
        <v>-3886.2927480209969</v>
      </c>
      <c r="D58" s="458">
        <v>214129.2506162253</v>
      </c>
      <c r="E58" s="458">
        <v>99403.844235105455</v>
      </c>
      <c r="F58" s="458">
        <v>98048.700263306891</v>
      </c>
      <c r="G58" s="460">
        <v>54661.232464435205</v>
      </c>
      <c r="H58" s="459">
        <v>110788.46654885124</v>
      </c>
      <c r="I58" s="458">
        <v>42661.14388914538</v>
      </c>
      <c r="J58" s="458">
        <v>50883.964045675486</v>
      </c>
      <c r="K58" s="458">
        <v>35773.15465788787</v>
      </c>
      <c r="L58" s="458">
        <v>34833.144868810887</v>
      </c>
      <c r="M58" s="459">
        <v>35029.583113202672</v>
      </c>
      <c r="N58" s="458">
        <v>35255.439935413291</v>
      </c>
      <c r="O58" s="458">
        <v>35536.125564728303</v>
      </c>
      <c r="P58" s="458">
        <v>35883.198795652082</v>
      </c>
      <c r="Q58" s="460">
        <v>36275.293513919351</v>
      </c>
      <c r="U58" s="462"/>
      <c r="V58" s="463"/>
      <c r="W58" s="463"/>
      <c r="X58" s="463"/>
      <c r="Y58" s="464"/>
      <c r="Z58" s="462"/>
      <c r="AA58" s="463"/>
      <c r="AB58" s="464"/>
    </row>
    <row r="59" spans="1:35">
      <c r="A59" s="262"/>
      <c r="B59" s="676" t="s">
        <v>150</v>
      </c>
      <c r="C59" s="459">
        <v>821356.48475777183</v>
      </c>
      <c r="D59" s="458">
        <v>227461.32829865994</v>
      </c>
      <c r="E59" s="458">
        <v>215098.25128453536</v>
      </c>
      <c r="F59" s="458">
        <v>290864.89712921309</v>
      </c>
      <c r="G59" s="460">
        <v>646000.55630752433</v>
      </c>
      <c r="H59" s="459">
        <v>814669.9810203024</v>
      </c>
      <c r="I59" s="458">
        <v>562746.56624693947</v>
      </c>
      <c r="J59" s="458">
        <v>43278.424393844718</v>
      </c>
      <c r="K59" s="458">
        <v>30426.202011324876</v>
      </c>
      <c r="L59" s="458">
        <v>29626.693888303562</v>
      </c>
      <c r="M59" s="459">
        <v>29793.770842063259</v>
      </c>
      <c r="N59" s="458">
        <v>29985.869228798656</v>
      </c>
      <c r="O59" s="458">
        <v>30224.601253997091</v>
      </c>
      <c r="P59" s="458">
        <v>30519.798038787263</v>
      </c>
      <c r="Q59" s="460">
        <v>30853.287025701171</v>
      </c>
      <c r="U59" s="462"/>
      <c r="V59" s="463"/>
      <c r="W59" s="463"/>
      <c r="X59" s="463"/>
      <c r="Y59" s="464"/>
      <c r="Z59" s="462"/>
      <c r="AA59" s="463"/>
      <c r="AB59" s="464"/>
    </row>
    <row r="60" spans="1:35">
      <c r="A60" s="262"/>
      <c r="B60" s="676" t="s">
        <v>158</v>
      </c>
      <c r="C60" s="459">
        <v>566459.96810901025</v>
      </c>
      <c r="D60" s="458">
        <v>600929.77205941989</v>
      </c>
      <c r="E60" s="458">
        <v>399911.54511176277</v>
      </c>
      <c r="F60" s="458">
        <v>706652.93770776351</v>
      </c>
      <c r="G60" s="460">
        <v>578535.0385367109</v>
      </c>
      <c r="H60" s="459">
        <v>1646865.5920701781</v>
      </c>
      <c r="I60" s="458">
        <v>1539016.0684250062</v>
      </c>
      <c r="J60" s="458">
        <v>164039.33710947871</v>
      </c>
      <c r="K60" s="458">
        <v>605743.26319890027</v>
      </c>
      <c r="L60" s="458">
        <v>741090.92338315444</v>
      </c>
      <c r="M60" s="459">
        <v>745270.23594515119</v>
      </c>
      <c r="N60" s="458">
        <v>750075.4420657818</v>
      </c>
      <c r="O60" s="458">
        <v>756047.15587436501</v>
      </c>
      <c r="P60" s="458">
        <v>763431.29595576285</v>
      </c>
      <c r="Q60" s="460">
        <v>771773.28855817369</v>
      </c>
      <c r="U60" s="462"/>
      <c r="V60" s="463"/>
      <c r="W60" s="463"/>
      <c r="X60" s="463"/>
      <c r="Y60" s="464"/>
      <c r="Z60" s="462"/>
      <c r="AA60" s="463"/>
      <c r="AB60" s="464"/>
    </row>
    <row r="61" spans="1:35">
      <c r="A61" s="262"/>
      <c r="B61" s="676" t="s">
        <v>62</v>
      </c>
      <c r="C61" s="459">
        <v>313928.42065246642</v>
      </c>
      <c r="D61" s="458">
        <v>1594623.9891273135</v>
      </c>
      <c r="E61" s="458">
        <v>1417706.7692091949</v>
      </c>
      <c r="F61" s="458">
        <v>1506259.9948649479</v>
      </c>
      <c r="G61" s="460">
        <v>2733613.5963940974</v>
      </c>
      <c r="H61" s="459">
        <v>2935695.1033383948</v>
      </c>
      <c r="I61" s="458">
        <v>1990418.2985948445</v>
      </c>
      <c r="J61" s="458">
        <v>1404590.2004922088</v>
      </c>
      <c r="K61" s="458">
        <v>987474.60846521577</v>
      </c>
      <c r="L61" s="458">
        <v>961526.77670983027</v>
      </c>
      <c r="M61" s="459">
        <v>966949.21653442644</v>
      </c>
      <c r="N61" s="458">
        <v>973183.72057005111</v>
      </c>
      <c r="O61" s="458">
        <v>980931.70742109441</v>
      </c>
      <c r="P61" s="458">
        <v>990512.24361067102</v>
      </c>
      <c r="Q61" s="460">
        <v>1001335.5434315852</v>
      </c>
      <c r="U61" s="462"/>
      <c r="V61" s="463"/>
      <c r="W61" s="463"/>
      <c r="X61" s="463"/>
      <c r="Y61" s="464"/>
      <c r="Z61" s="462"/>
      <c r="AA61" s="463"/>
      <c r="AB61" s="464"/>
    </row>
    <row r="62" spans="1:35">
      <c r="A62" s="262"/>
      <c r="B62" s="1472" t="s">
        <v>624</v>
      </c>
      <c r="C62" s="1473"/>
      <c r="D62" s="1474"/>
      <c r="E62" s="1474"/>
      <c r="F62" s="1474"/>
      <c r="G62" s="1475"/>
      <c r="H62" s="1473"/>
      <c r="I62" s="1474"/>
      <c r="J62" s="1474"/>
      <c r="K62" s="1474"/>
      <c r="L62" s="1474"/>
      <c r="M62" s="1473"/>
      <c r="N62" s="1474"/>
      <c r="O62" s="1474"/>
      <c r="P62" s="1474"/>
      <c r="Q62" s="1475"/>
      <c r="U62" s="1451"/>
      <c r="V62" s="1449"/>
      <c r="W62" s="1449"/>
      <c r="X62" s="1449"/>
      <c r="Y62" s="1450"/>
      <c r="Z62" s="1451"/>
      <c r="AA62" s="1449"/>
      <c r="AB62" s="1450"/>
    </row>
    <row r="63" spans="1:35" ht="13.5" thickBot="1">
      <c r="A63" s="262"/>
      <c r="B63" s="1468" t="s">
        <v>167</v>
      </c>
      <c r="C63" s="2938">
        <v>11070036.706</v>
      </c>
      <c r="D63" s="2939">
        <v>10300520.26443588</v>
      </c>
      <c r="E63" s="2939">
        <v>9946152.6338213198</v>
      </c>
      <c r="F63" s="2939">
        <v>11500827.608085785</v>
      </c>
      <c r="G63" s="2940">
        <v>14788754.827319119</v>
      </c>
      <c r="H63" s="2938">
        <v>14651905.441220541</v>
      </c>
      <c r="I63" s="2939">
        <v>13788847.383345798</v>
      </c>
      <c r="J63" s="2939">
        <v>9222827.4544196837</v>
      </c>
      <c r="K63" s="1470">
        <v>6974378.9308659146</v>
      </c>
      <c r="L63" s="1470">
        <v>6942378.2001150195</v>
      </c>
      <c r="M63" s="1469">
        <v>6981529.0890362039</v>
      </c>
      <c r="N63" s="1470">
        <v>7026543.2123594815</v>
      </c>
      <c r="O63" s="1470">
        <v>7082484.9253854239</v>
      </c>
      <c r="P63" s="1470">
        <v>7151657.9398026839</v>
      </c>
      <c r="Q63" s="1471">
        <v>7229803.9078090414</v>
      </c>
      <c r="U63" s="1709"/>
      <c r="V63" s="1710"/>
      <c r="W63" s="1710"/>
      <c r="X63" s="1710"/>
      <c r="Y63" s="1711"/>
      <c r="Z63" s="1709"/>
      <c r="AA63" s="1710"/>
      <c r="AB63" s="1711"/>
    </row>
    <row r="64" spans="1:35" s="69" customFormat="1" ht="28.5" customHeight="1" thickBot="1">
      <c r="A64" s="314"/>
      <c r="B64" s="1381" t="s">
        <v>121</v>
      </c>
      <c r="C64" s="2961" t="s">
        <v>1447</v>
      </c>
      <c r="D64" s="264"/>
      <c r="E64" s="264"/>
      <c r="F64" s="264"/>
      <c r="G64" s="264"/>
      <c r="H64" s="264"/>
      <c r="I64" s="264"/>
      <c r="J64" s="264"/>
      <c r="K64" s="1005" t="s">
        <v>2095</v>
      </c>
      <c r="L64" s="264"/>
      <c r="M64" s="264"/>
      <c r="N64" s="264"/>
      <c r="O64" s="264"/>
      <c r="P64" s="264"/>
      <c r="Q64" s="406"/>
      <c r="R64"/>
      <c r="S64"/>
      <c r="T64"/>
      <c r="U64" s="1663"/>
      <c r="V64" s="1644"/>
      <c r="W64" s="1644"/>
      <c r="X64" s="1644"/>
      <c r="Y64" s="1644"/>
      <c r="Z64" s="1644"/>
      <c r="AA64" s="1644"/>
      <c r="AB64" s="1647"/>
      <c r="AC64"/>
    </row>
    <row r="65" spans="1:29" s="136" customFormat="1" ht="51.75" customHeight="1" thickBot="1">
      <c r="A65" s="314"/>
      <c r="B65" s="645"/>
      <c r="C65" s="3630"/>
      <c r="D65" s="3630"/>
      <c r="E65" s="3630"/>
      <c r="F65" s="3630"/>
      <c r="G65" s="3630"/>
      <c r="H65" s="3630"/>
      <c r="I65" s="3630"/>
      <c r="J65" s="3630"/>
      <c r="K65" s="3630"/>
      <c r="L65" s="3630"/>
      <c r="M65" s="3630"/>
      <c r="N65" s="3630"/>
      <c r="O65" s="3630"/>
      <c r="P65" s="3630"/>
      <c r="Q65" s="3630"/>
      <c r="R65"/>
      <c r="S65"/>
      <c r="T65"/>
      <c r="U65" s="645"/>
      <c r="V65" s="645"/>
      <c r="W65" s="645"/>
      <c r="X65" s="645"/>
      <c r="Y65" s="645"/>
      <c r="Z65" s="645"/>
      <c r="AA65" s="645"/>
      <c r="AB65" s="645"/>
      <c r="AC65"/>
    </row>
    <row r="66" spans="1:29" s="183" customFormat="1" ht="24.75" customHeight="1" thickBot="1">
      <c r="A66" s="262"/>
      <c r="B66" s="1258" t="s">
        <v>1416</v>
      </c>
      <c r="C66" s="1259"/>
      <c r="D66" s="1259"/>
      <c r="E66" s="1259"/>
      <c r="F66" s="1259"/>
      <c r="G66" s="1259"/>
      <c r="H66" s="1259"/>
      <c r="I66" s="1259"/>
      <c r="J66" s="1259"/>
      <c r="K66" s="1259"/>
      <c r="L66" s="1260"/>
      <c r="M66" s="1172"/>
      <c r="N66" s="1172"/>
      <c r="O66" s="1172"/>
      <c r="P66" s="1172"/>
      <c r="Q66" s="1172"/>
      <c r="R66" s="1172"/>
      <c r="S66" s="1172"/>
      <c r="T66" s="1172"/>
      <c r="U66"/>
      <c r="V66"/>
      <c r="W66"/>
      <c r="X66"/>
      <c r="Y66"/>
      <c r="Z66"/>
      <c r="AA66"/>
      <c r="AB66"/>
    </row>
    <row r="67" spans="1:29" ht="15.75" customHeight="1">
      <c r="A67" s="262"/>
      <c r="B67" s="244"/>
      <c r="C67" s="4098" t="s">
        <v>36</v>
      </c>
      <c r="D67" s="3997"/>
      <c r="E67" s="3997"/>
      <c r="F67" s="3997"/>
      <c r="G67" s="3997"/>
      <c r="H67" s="4074" t="s">
        <v>37</v>
      </c>
      <c r="I67" s="4075"/>
      <c r="J67" s="4075"/>
      <c r="K67" s="4075"/>
      <c r="L67" s="4082"/>
      <c r="M67" s="262"/>
      <c r="N67" s="262"/>
      <c r="O67" s="262"/>
      <c r="P67" s="262"/>
      <c r="Q67" s="262"/>
      <c r="U67"/>
      <c r="V67"/>
      <c r="W67"/>
      <c r="X67"/>
      <c r="Y67"/>
      <c r="Z67"/>
      <c r="AA67"/>
      <c r="AB67"/>
    </row>
    <row r="68" spans="1:29" ht="12.75" customHeight="1">
      <c r="A68" s="262"/>
      <c r="B68" s="1179"/>
      <c r="C68" s="3991" t="s">
        <v>112</v>
      </c>
      <c r="D68" s="3992"/>
      <c r="E68" s="3992"/>
      <c r="F68" s="3992"/>
      <c r="G68" s="3992"/>
      <c r="H68" s="3992"/>
      <c r="I68" s="3992"/>
      <c r="J68" s="3992"/>
      <c r="K68" s="3992"/>
      <c r="L68" s="4084"/>
      <c r="M68" s="262"/>
      <c r="N68" s="262"/>
      <c r="O68" s="262"/>
      <c r="P68" s="262"/>
      <c r="Q68" s="262"/>
      <c r="U68"/>
      <c r="V68"/>
      <c r="W68"/>
      <c r="X68"/>
      <c r="Y68"/>
      <c r="Z68"/>
      <c r="AA68"/>
      <c r="AB68"/>
    </row>
    <row r="69" spans="1:29" ht="15" customHeight="1">
      <c r="A69" s="262"/>
      <c r="B69" s="1179"/>
      <c r="C69" s="3991" t="s">
        <v>74</v>
      </c>
      <c r="D69" s="3992"/>
      <c r="E69" s="3992"/>
      <c r="F69" s="3992"/>
      <c r="G69" s="3992"/>
      <c r="H69" s="3992"/>
      <c r="I69" s="3992"/>
      <c r="J69" s="3992"/>
      <c r="K69" s="3992"/>
      <c r="L69" s="4084"/>
      <c r="M69" s="262"/>
      <c r="N69" s="262"/>
      <c r="O69" s="262"/>
      <c r="P69" s="262"/>
      <c r="Q69" s="262"/>
      <c r="U69"/>
      <c r="V69"/>
      <c r="W69"/>
      <c r="X69"/>
      <c r="Y69"/>
      <c r="Z69"/>
      <c r="AA69"/>
      <c r="AB69"/>
    </row>
    <row r="70" spans="1:29" ht="12.75" customHeight="1" thickBot="1">
      <c r="A70" s="262"/>
      <c r="B70" s="1246"/>
      <c r="C70" s="343">
        <f t="array" ref="C70:G70">PRCP</f>
        <v>2008</v>
      </c>
      <c r="D70" s="342">
        <v>2009</v>
      </c>
      <c r="E70" s="342">
        <v>2010</v>
      </c>
      <c r="F70" s="342">
        <v>2011</v>
      </c>
      <c r="G70" s="342">
        <v>2012</v>
      </c>
      <c r="H70" s="344">
        <f>CRCP_y1</f>
        <v>2013</v>
      </c>
      <c r="I70" s="344">
        <f>CRCP_y2</f>
        <v>2014</v>
      </c>
      <c r="J70" s="344">
        <f>CRCP_y3</f>
        <v>2015</v>
      </c>
      <c r="K70" s="344">
        <f>CRCP_y4</f>
        <v>2016</v>
      </c>
      <c r="L70" s="542">
        <f>CRCP_y5</f>
        <v>2017</v>
      </c>
      <c r="M70" s="262"/>
      <c r="N70" s="262"/>
      <c r="O70" s="262"/>
      <c r="P70" s="262"/>
      <c r="Q70" s="262"/>
      <c r="U70"/>
      <c r="V70"/>
      <c r="W70"/>
      <c r="X70"/>
      <c r="Y70"/>
      <c r="Z70"/>
      <c r="AA70"/>
      <c r="AB70"/>
    </row>
    <row r="71" spans="1:29" s="1166" customFormat="1" ht="21.75" customHeight="1" thickBot="1">
      <c r="A71" s="1165"/>
      <c r="B71" s="677" t="s">
        <v>155</v>
      </c>
      <c r="C71" s="1462"/>
      <c r="D71" s="1463"/>
      <c r="E71" s="1463"/>
      <c r="F71" s="1463"/>
      <c r="G71" s="1464"/>
      <c r="H71" s="1465">
        <v>0.12897324121626891</v>
      </c>
      <c r="I71" s="1466">
        <v>0.11794246479999788</v>
      </c>
      <c r="J71" s="1466">
        <v>0.12498035823357787</v>
      </c>
      <c r="K71" s="1466">
        <v>0.14303712526727427</v>
      </c>
      <c r="L71" s="1467">
        <v>0.14967778396455425</v>
      </c>
      <c r="M71" s="1165"/>
      <c r="N71" s="1165"/>
      <c r="O71" s="1165"/>
      <c r="P71" s="1165"/>
      <c r="Q71" s="1165"/>
      <c r="R71"/>
      <c r="S71"/>
      <c r="T71"/>
      <c r="U71"/>
      <c r="V71"/>
      <c r="W71"/>
      <c r="X71"/>
      <c r="Y71"/>
      <c r="Z71"/>
      <c r="AA71"/>
      <c r="AB71"/>
      <c r="AC71"/>
    </row>
    <row r="72" spans="1:29" ht="22.5" customHeight="1">
      <c r="A72" s="262"/>
      <c r="B72" s="4298" t="s">
        <v>235</v>
      </c>
      <c r="C72" s="4307" t="str">
        <f>CONCATENATE("$0's, real ",dms_DollarReal)</f>
        <v>$0's, real December 2017</v>
      </c>
      <c r="D72" s="4308"/>
      <c r="E72" s="4308"/>
      <c r="F72" s="4308"/>
      <c r="G72" s="4308"/>
      <c r="H72" s="4308"/>
      <c r="I72" s="4308"/>
      <c r="J72" s="4308"/>
      <c r="K72" s="4308"/>
      <c r="L72" s="4309"/>
      <c r="M72"/>
      <c r="N72"/>
      <c r="O72"/>
      <c r="P72"/>
      <c r="Q72"/>
      <c r="U72"/>
      <c r="V72"/>
      <c r="W72"/>
      <c r="X72"/>
      <c r="Y72"/>
      <c r="Z72"/>
      <c r="AA72"/>
      <c r="AB72"/>
    </row>
    <row r="73" spans="1:29" s="474" customFormat="1" ht="15" customHeight="1">
      <c r="A73" s="262"/>
      <c r="B73" s="4299"/>
      <c r="C73" s="3991" t="s">
        <v>74</v>
      </c>
      <c r="D73" s="3992"/>
      <c r="E73" s="3992"/>
      <c r="F73" s="3992"/>
      <c r="G73" s="3992"/>
      <c r="H73" s="3992"/>
      <c r="I73" s="3992"/>
      <c r="J73" s="3992"/>
      <c r="K73" s="3992"/>
      <c r="L73" s="4084"/>
      <c r="M73" s="262"/>
      <c r="N73" s="262"/>
      <c r="O73" s="262"/>
      <c r="P73" s="262"/>
      <c r="Q73" s="262"/>
      <c r="R73" s="1172"/>
      <c r="S73" s="1172"/>
      <c r="T73" s="1172"/>
      <c r="U73"/>
      <c r="V73"/>
      <c r="W73"/>
      <c r="X73"/>
      <c r="Y73"/>
      <c r="Z73"/>
      <c r="AA73"/>
      <c r="AB73"/>
      <c r="AC73" s="1172"/>
    </row>
    <row r="74" spans="1:29" s="474" customFormat="1" ht="12.75" customHeight="1" thickBot="1">
      <c r="A74" s="262"/>
      <c r="B74" s="4300"/>
      <c r="C74" s="343">
        <f t="array" ref="C74:G74">PRCP</f>
        <v>2008</v>
      </c>
      <c r="D74" s="342">
        <v>2009</v>
      </c>
      <c r="E74" s="342">
        <v>2010</v>
      </c>
      <c r="F74" s="342">
        <v>2011</v>
      </c>
      <c r="G74" s="342">
        <v>2012</v>
      </c>
      <c r="H74" s="344">
        <f>CRCP_y1</f>
        <v>2013</v>
      </c>
      <c r="I74" s="344">
        <f>CRCP_y2</f>
        <v>2014</v>
      </c>
      <c r="J74" s="344">
        <f>CRCP_y3</f>
        <v>2015</v>
      </c>
      <c r="K74" s="344">
        <f>CRCP_y4</f>
        <v>2016</v>
      </c>
      <c r="L74" s="542">
        <f>CRCP_y5</f>
        <v>2017</v>
      </c>
      <c r="M74" s="262"/>
      <c r="N74" s="262"/>
      <c r="O74" s="262"/>
      <c r="P74" s="262"/>
      <c r="Q74" s="262"/>
      <c r="R74" s="1172"/>
      <c r="S74" s="1172"/>
      <c r="T74" s="1172"/>
      <c r="U74"/>
      <c r="V74"/>
      <c r="W74"/>
      <c r="X74"/>
      <c r="Y74"/>
      <c r="Z74"/>
      <c r="AA74"/>
      <c r="AB74"/>
      <c r="AC74" s="1172"/>
    </row>
    <row r="75" spans="1:29">
      <c r="A75" s="262"/>
      <c r="B75" s="676" t="s">
        <v>385</v>
      </c>
      <c r="C75" s="412"/>
      <c r="D75" s="494"/>
      <c r="E75" s="494"/>
      <c r="F75" s="494"/>
      <c r="G75" s="1199"/>
      <c r="H75" s="408"/>
      <c r="I75" s="409"/>
      <c r="J75" s="409"/>
      <c r="K75" s="409"/>
      <c r="L75" s="505"/>
      <c r="M75" s="262"/>
      <c r="N75" s="262"/>
      <c r="O75" s="262"/>
      <c r="P75" s="262"/>
      <c r="Q75" s="262"/>
      <c r="U75"/>
      <c r="V75"/>
      <c r="W75"/>
      <c r="X75"/>
      <c r="Y75"/>
      <c r="Z75"/>
      <c r="AA75"/>
      <c r="AB75"/>
    </row>
    <row r="76" spans="1:29">
      <c r="A76" s="262"/>
      <c r="B76" s="676" t="s">
        <v>349</v>
      </c>
      <c r="C76" s="459"/>
      <c r="D76" s="458"/>
      <c r="E76" s="458"/>
      <c r="F76" s="458"/>
      <c r="G76" s="625"/>
      <c r="H76" s="459"/>
      <c r="I76" s="458"/>
      <c r="J76" s="458"/>
      <c r="K76" s="458"/>
      <c r="L76" s="460"/>
      <c r="M76" s="262"/>
      <c r="N76" s="262"/>
      <c r="O76" s="262"/>
      <c r="P76" s="262"/>
      <c r="Q76" s="262"/>
      <c r="U76"/>
      <c r="V76"/>
      <c r="W76"/>
      <c r="X76"/>
      <c r="Y76"/>
      <c r="Z76"/>
      <c r="AA76"/>
      <c r="AB76"/>
    </row>
    <row r="77" spans="1:29">
      <c r="A77" s="262"/>
      <c r="B77" s="676" t="s">
        <v>156</v>
      </c>
      <c r="C77" s="459"/>
      <c r="D77" s="458"/>
      <c r="E77" s="458"/>
      <c r="F77" s="458"/>
      <c r="G77" s="625"/>
      <c r="H77" s="459"/>
      <c r="I77" s="458"/>
      <c r="J77" s="458"/>
      <c r="K77" s="458"/>
      <c r="L77" s="460"/>
      <c r="M77" s="262"/>
      <c r="N77" s="262"/>
      <c r="O77" s="262"/>
      <c r="P77" s="262"/>
      <c r="Q77" s="262"/>
      <c r="U77"/>
      <c r="V77"/>
      <c r="W77"/>
      <c r="X77"/>
      <c r="Y77"/>
      <c r="Z77"/>
      <c r="AA77"/>
      <c r="AB77"/>
    </row>
    <row r="78" spans="1:29">
      <c r="A78" s="262"/>
      <c r="B78" s="676" t="s">
        <v>157</v>
      </c>
      <c r="C78" s="459"/>
      <c r="D78" s="458"/>
      <c r="E78" s="458"/>
      <c r="F78" s="458"/>
      <c r="G78" s="625"/>
      <c r="H78" s="459"/>
      <c r="I78" s="458"/>
      <c r="J78" s="458"/>
      <c r="K78" s="458"/>
      <c r="L78" s="460"/>
      <c r="M78" s="262"/>
      <c r="N78" s="262"/>
      <c r="O78" s="262"/>
      <c r="P78" s="262"/>
      <c r="Q78" s="262"/>
      <c r="U78"/>
      <c r="V78"/>
      <c r="W78"/>
      <c r="X78"/>
      <c r="Y78"/>
      <c r="Z78"/>
      <c r="AA78"/>
      <c r="AB78"/>
    </row>
    <row r="79" spans="1:29">
      <c r="A79" s="262"/>
      <c r="B79" s="676" t="s">
        <v>150</v>
      </c>
      <c r="C79" s="459"/>
      <c r="D79" s="458"/>
      <c r="E79" s="458"/>
      <c r="F79" s="458"/>
      <c r="G79" s="625"/>
      <c r="H79" s="459"/>
      <c r="I79" s="458"/>
      <c r="J79" s="458"/>
      <c r="K79" s="458"/>
      <c r="L79" s="460"/>
      <c r="M79" s="262"/>
      <c r="N79" s="262"/>
      <c r="O79" s="262"/>
      <c r="P79" s="262"/>
      <c r="Q79" s="262"/>
      <c r="U79"/>
      <c r="V79"/>
      <c r="W79"/>
      <c r="X79"/>
      <c r="Y79"/>
      <c r="Z79"/>
      <c r="AA79"/>
      <c r="AB79"/>
    </row>
    <row r="80" spans="1:29">
      <c r="A80" s="262"/>
      <c r="B80" s="676" t="s">
        <v>158</v>
      </c>
      <c r="C80" s="459"/>
      <c r="D80" s="458"/>
      <c r="E80" s="458"/>
      <c r="F80" s="458"/>
      <c r="G80" s="625"/>
      <c r="H80" s="459"/>
      <c r="I80" s="458"/>
      <c r="J80" s="458"/>
      <c r="K80" s="458"/>
      <c r="L80" s="460"/>
      <c r="M80" s="262"/>
      <c r="N80" s="262"/>
      <c r="O80" s="262"/>
      <c r="P80" s="262"/>
      <c r="Q80" s="262"/>
      <c r="U80"/>
      <c r="V80"/>
      <c r="W80"/>
      <c r="X80"/>
      <c r="Y80"/>
      <c r="Z80"/>
      <c r="AA80"/>
      <c r="AB80"/>
    </row>
    <row r="81" spans="1:29">
      <c r="A81" s="262"/>
      <c r="B81" s="676" t="s">
        <v>62</v>
      </c>
      <c r="C81" s="459"/>
      <c r="D81" s="458"/>
      <c r="E81" s="458"/>
      <c r="F81" s="458"/>
      <c r="G81" s="625"/>
      <c r="H81" s="459"/>
      <c r="I81" s="458"/>
      <c r="J81" s="458"/>
      <c r="K81" s="458"/>
      <c r="L81" s="460"/>
      <c r="M81" s="262"/>
      <c r="N81" s="262"/>
      <c r="O81" s="262"/>
      <c r="P81" s="262"/>
      <c r="Q81" s="262"/>
      <c r="U81"/>
      <c r="V81"/>
      <c r="W81"/>
      <c r="X81"/>
      <c r="Y81"/>
      <c r="Z81"/>
      <c r="AA81"/>
      <c r="AB81"/>
    </row>
    <row r="82" spans="1:29">
      <c r="A82" s="262"/>
      <c r="B82" s="1472" t="s">
        <v>624</v>
      </c>
      <c r="C82" s="1473"/>
      <c r="D82" s="1474"/>
      <c r="E82" s="1474"/>
      <c r="F82" s="1474"/>
      <c r="G82" s="1480"/>
      <c r="H82" s="1473"/>
      <c r="I82" s="1474"/>
      <c r="J82" s="1474"/>
      <c r="K82" s="1474"/>
      <c r="L82" s="1475"/>
      <c r="M82" s="262"/>
      <c r="N82" s="262"/>
      <c r="O82" s="262"/>
      <c r="P82" s="262"/>
      <c r="Q82" s="262"/>
      <c r="U82"/>
      <c r="V82"/>
      <c r="W82"/>
      <c r="X82"/>
      <c r="Y82"/>
      <c r="Z82"/>
      <c r="AA82"/>
      <c r="AB82"/>
    </row>
    <row r="83" spans="1:29" ht="13.5" thickBot="1">
      <c r="A83" s="262"/>
      <c r="B83" s="1468" t="s">
        <v>167</v>
      </c>
      <c r="C83" s="1476">
        <f>SUM(C75:C82)</f>
        <v>0</v>
      </c>
      <c r="D83" s="1477">
        <f t="shared" ref="D83:G83" si="9">SUM(D75:D82)</f>
        <v>0</v>
      </c>
      <c r="E83" s="1477">
        <f t="shared" si="9"/>
        <v>0</v>
      </c>
      <c r="F83" s="1477">
        <f t="shared" si="9"/>
        <v>0</v>
      </c>
      <c r="G83" s="1478">
        <f t="shared" si="9"/>
        <v>0</v>
      </c>
      <c r="H83" s="1476">
        <v>13351207.795588754</v>
      </c>
      <c r="I83" s="1477">
        <v>13473828.707036799</v>
      </c>
      <c r="J83" s="1477">
        <v>13346813.059590008</v>
      </c>
      <c r="K83" s="1477">
        <v>13129296.116182741</v>
      </c>
      <c r="L83" s="1479">
        <v>13153643.521526322</v>
      </c>
      <c r="M83" s="262"/>
      <c r="N83" s="262"/>
      <c r="O83" s="262"/>
      <c r="P83" s="262"/>
      <c r="Q83" s="262"/>
      <c r="U83"/>
      <c r="V83"/>
      <c r="W83"/>
      <c r="X83"/>
      <c r="Y83"/>
      <c r="Z83"/>
      <c r="AA83"/>
      <c r="AB83"/>
    </row>
    <row r="84" spans="1:29" s="69" customFormat="1" ht="28.5" customHeight="1" thickBot="1">
      <c r="A84" s="314"/>
      <c r="B84" s="1381" t="s">
        <v>121</v>
      </c>
      <c r="C84" s="664"/>
      <c r="D84" s="264"/>
      <c r="E84" s="264"/>
      <c r="F84" s="264"/>
      <c r="G84" s="264"/>
      <c r="H84" s="264" t="s">
        <v>2094</v>
      </c>
      <c r="I84" s="264"/>
      <c r="J84" s="264"/>
      <c r="K84" s="264"/>
      <c r="L84" s="406"/>
      <c r="M84" s="242"/>
      <c r="N84" s="242"/>
      <c r="O84" s="242"/>
      <c r="P84" s="242"/>
      <c r="Q84" s="361"/>
      <c r="R84"/>
      <c r="S84"/>
      <c r="T84"/>
      <c r="U84"/>
      <c r="V84"/>
      <c r="W84"/>
      <c r="X84"/>
      <c r="Y84"/>
      <c r="Z84"/>
      <c r="AA84"/>
      <c r="AB84"/>
      <c r="AC84"/>
    </row>
    <row r="85" spans="1:29">
      <c r="A85" s="262"/>
      <c r="U85"/>
      <c r="V85"/>
      <c r="W85"/>
      <c r="X85"/>
      <c r="Y85"/>
      <c r="Z85"/>
      <c r="AA85"/>
      <c r="AB85"/>
    </row>
    <row r="86" spans="1:29">
      <c r="A86" s="262"/>
    </row>
  </sheetData>
  <mergeCells count="44">
    <mergeCell ref="U15:Y15"/>
    <mergeCell ref="Z15:AB15"/>
    <mergeCell ref="U16:AB16"/>
    <mergeCell ref="U17:AB17"/>
    <mergeCell ref="U54:AB54"/>
    <mergeCell ref="U39:Y39"/>
    <mergeCell ref="Z39:AB39"/>
    <mergeCell ref="U40:AB40"/>
    <mergeCell ref="U50:AB50"/>
    <mergeCell ref="U41:AB41"/>
    <mergeCell ref="U49:Y49"/>
    <mergeCell ref="Z49:AB49"/>
    <mergeCell ref="U51:AB51"/>
    <mergeCell ref="B72:B74"/>
    <mergeCell ref="C68:L68"/>
    <mergeCell ref="K54:Q54"/>
    <mergeCell ref="C54:J54"/>
    <mergeCell ref="C67:G67"/>
    <mergeCell ref="H67:L67"/>
    <mergeCell ref="C69:L69"/>
    <mergeCell ref="C72:L72"/>
    <mergeCell ref="C73:L73"/>
    <mergeCell ref="C51:J51"/>
    <mergeCell ref="K51:Q51"/>
    <mergeCell ref="C41:J41"/>
    <mergeCell ref="K41:Q41"/>
    <mergeCell ref="H49:L49"/>
    <mergeCell ref="C49:G49"/>
    <mergeCell ref="C50:Q50"/>
    <mergeCell ref="M49:Q49"/>
    <mergeCell ref="B8:D8"/>
    <mergeCell ref="B9:D9"/>
    <mergeCell ref="C16:J16"/>
    <mergeCell ref="K16:Q16"/>
    <mergeCell ref="C17:J17"/>
    <mergeCell ref="K17:Q17"/>
    <mergeCell ref="C15:G15"/>
    <mergeCell ref="H15:L15"/>
    <mergeCell ref="M15:Q15"/>
    <mergeCell ref="C40:J40"/>
    <mergeCell ref="K40:Q40"/>
    <mergeCell ref="H39:L39"/>
    <mergeCell ref="C39:G39"/>
    <mergeCell ref="M39:Q39"/>
  </mergeCells>
  <pageMargins left="0.74803149606299213" right="0.74803149606299213" top="0.98425196850393704" bottom="0.98425196850393704" header="0.51181102362204722" footer="0.51181102362204722"/>
  <pageSetup paperSize="9" scale="55" orientation="portrait" r:id="rId1"/>
  <headerFooter alignWithMargins="0"/>
  <colBreaks count="2" manualBreakCount="2">
    <brk id="1" max="131" man="1"/>
    <brk id="9" max="1048575" man="1"/>
  </colBreaks>
  <customProperties>
    <customPr name="_pios_id" r:id="rId2"/>
  </customPropertie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autoPageBreaks="0"/>
  </sheetPr>
  <dimension ref="A1:AN143"/>
  <sheetViews>
    <sheetView showGridLines="0" topLeftCell="A82" zoomScale="60" zoomScaleNormal="60" workbookViewId="0">
      <selection activeCell="O114" sqref="O114"/>
    </sheetView>
  </sheetViews>
  <sheetFormatPr defaultColWidth="9.140625" defaultRowHeight="12.75"/>
  <cols>
    <col min="1" max="1" width="15.7109375" style="124" customWidth="1"/>
    <col min="2" max="2" width="49.28515625" style="124" customWidth="1"/>
    <col min="3" max="6" width="24.85546875" style="124" customWidth="1"/>
    <col min="7" max="7" width="37.7109375" style="124" customWidth="1"/>
    <col min="8" max="8" width="33.42578125" style="125" bestFit="1" customWidth="1"/>
    <col min="9" max="23" width="15.7109375" style="124" customWidth="1"/>
    <col min="24" max="26" width="8.7109375"/>
    <col min="27" max="31" width="15.7109375" style="124" customWidth="1"/>
    <col min="32" max="32" width="15.7109375" style="125" customWidth="1"/>
    <col min="33" max="34" width="15.7109375" style="124" customWidth="1"/>
    <col min="35" max="16384" width="9.140625" style="124"/>
  </cols>
  <sheetData>
    <row r="1" spans="1:34" s="159" customFormat="1" ht="24" customHeight="1">
      <c r="B1" s="2522" t="str">
        <f>IF(dms_DataQuality="backcast",INDEX(dms_Worksheet_List,MATCH(dms_Model,dms_Model_List))&amp;" BACKCAST",INDEX(dms_Worksheet_List,MATCH(dms_Model,dms_Model_List)))</f>
        <v>REGULATORY REPORTING STATEMENT</v>
      </c>
      <c r="C1" s="160"/>
      <c r="D1" s="160"/>
      <c r="E1" s="160"/>
      <c r="F1" s="160"/>
      <c r="G1" s="160"/>
      <c r="H1" s="157"/>
      <c r="I1" s="157"/>
      <c r="J1" s="157"/>
      <c r="K1" s="157"/>
      <c r="L1" s="157"/>
      <c r="M1" s="157"/>
      <c r="N1" s="157"/>
      <c r="O1" s="157"/>
      <c r="P1" s="157"/>
      <c r="Q1" s="157"/>
      <c r="R1" s="157"/>
      <c r="S1" s="157"/>
      <c r="T1" s="157"/>
      <c r="U1" s="157"/>
      <c r="V1" s="157"/>
      <c r="W1" s="157"/>
      <c r="X1" s="179"/>
      <c r="Y1" s="179"/>
      <c r="Z1" s="179"/>
      <c r="AA1" s="1173"/>
      <c r="AB1" s="1173"/>
      <c r="AC1" s="1173"/>
      <c r="AD1" s="1173"/>
      <c r="AE1" s="1173"/>
      <c r="AF1" s="179"/>
      <c r="AG1" s="179"/>
      <c r="AH1" s="179"/>
    </row>
    <row r="2" spans="1:34" s="159" customFormat="1" ht="24" customHeight="1">
      <c r="B2" s="2526" t="str">
        <f>INDEX(dms_TradingNameFull_List,MATCH(dms_TradingName,dms_TradingName_List))</f>
        <v>AusNet Gas Services</v>
      </c>
      <c r="C2" s="160"/>
      <c r="D2" s="160"/>
      <c r="E2" s="160"/>
      <c r="F2" s="160"/>
      <c r="G2" s="160"/>
      <c r="H2" s="157"/>
      <c r="I2" s="157"/>
      <c r="J2" s="157"/>
      <c r="K2" s="157"/>
      <c r="L2" s="157"/>
      <c r="M2" s="157"/>
      <c r="N2" s="157"/>
      <c r="O2" s="157"/>
      <c r="P2" s="157"/>
      <c r="Q2" s="157"/>
      <c r="R2" s="157"/>
      <c r="S2" s="157"/>
      <c r="T2" s="157"/>
      <c r="U2" s="157"/>
      <c r="V2" s="157"/>
      <c r="W2" s="157"/>
      <c r="X2" s="179"/>
      <c r="Y2" s="179"/>
      <c r="Z2" s="179"/>
      <c r="AA2" s="1173"/>
      <c r="AB2" s="1173"/>
      <c r="AC2" s="1173"/>
      <c r="AD2" s="1173"/>
      <c r="AE2" s="1173"/>
      <c r="AF2" s="179"/>
      <c r="AG2" s="179"/>
      <c r="AH2" s="179"/>
    </row>
    <row r="3" spans="1:34" s="159" customFormat="1" ht="24" customHeight="1">
      <c r="B3" s="2526" t="str">
        <f ca="1">IF(SUM(dms_SingleYear_Model)&gt;0,CRY,CONCATENATE(FRCP_y1," to ",dms_MultiYear_FinalYear_Result))</f>
        <v>2018 to 2022</v>
      </c>
      <c r="C3" s="161"/>
      <c r="D3" s="161"/>
      <c r="E3" s="161"/>
      <c r="F3" s="161"/>
      <c r="G3" s="161"/>
      <c r="H3" s="162"/>
      <c r="I3" s="162" t="str">
        <f>CONCATENATE(LEFT(FRCP_y1,4),"-",LEFT(FRCP_y5,2),RIGHT(FRCP_y5,2))</f>
        <v>2018-2022</v>
      </c>
      <c r="J3" s="161"/>
      <c r="K3" s="161"/>
      <c r="L3" s="161"/>
      <c r="M3" s="161"/>
      <c r="N3" s="161"/>
      <c r="O3" s="161"/>
      <c r="P3" s="161"/>
      <c r="Q3" s="161"/>
      <c r="R3" s="161"/>
      <c r="S3" s="161"/>
      <c r="T3" s="161"/>
      <c r="U3" s="161"/>
      <c r="V3" s="161"/>
      <c r="W3" s="161"/>
      <c r="X3" s="1171"/>
      <c r="Y3" s="1171"/>
      <c r="Z3" s="1171"/>
      <c r="AA3" s="1171"/>
      <c r="AB3" s="1171"/>
      <c r="AC3" s="1171"/>
      <c r="AD3" s="1171"/>
      <c r="AE3" s="1171"/>
      <c r="AF3" s="182"/>
      <c r="AG3" s="182" t="str">
        <f>CONCATENATE(LEFT(FRCP_y1,4),"-",LEFT(FRCP_y5,2),RIGHT(FRCP_y5,2))</f>
        <v>2018-2022</v>
      </c>
      <c r="AH3" s="1171"/>
    </row>
    <row r="4" spans="1:34" s="159" customFormat="1" ht="24" customHeight="1">
      <c r="B4" s="10" t="s">
        <v>497</v>
      </c>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row>
    <row r="5" spans="1:34">
      <c r="A5" s="360"/>
      <c r="B5" s="682"/>
      <c r="C5" s="682"/>
      <c r="D5" s="682"/>
      <c r="E5" s="682"/>
      <c r="F5" s="682"/>
      <c r="G5" s="682"/>
      <c r="H5" s="685"/>
      <c r="I5" s="682"/>
      <c r="J5" s="682"/>
      <c r="K5" s="682"/>
      <c r="L5" s="682"/>
      <c r="M5" s="682"/>
      <c r="N5" s="682"/>
      <c r="O5" s="682"/>
      <c r="P5" s="682"/>
      <c r="Q5" s="682"/>
      <c r="R5" s="682"/>
      <c r="S5" s="682"/>
      <c r="T5" s="682"/>
      <c r="U5" s="682"/>
      <c r="V5" s="682"/>
      <c r="W5" s="682"/>
      <c r="AA5"/>
      <c r="AB5"/>
      <c r="AC5"/>
      <c r="AD5"/>
      <c r="AE5"/>
      <c r="AF5" s="685"/>
      <c r="AG5" s="682"/>
      <c r="AH5" s="682"/>
    </row>
    <row r="6" spans="1:34">
      <c r="A6" s="360"/>
      <c r="B6" s="682"/>
      <c r="C6" s="682"/>
      <c r="D6" s="682"/>
      <c r="E6" s="682"/>
      <c r="F6" s="682"/>
      <c r="G6" s="682"/>
      <c r="H6" s="685"/>
      <c r="I6" s="682"/>
      <c r="J6" s="682"/>
      <c r="K6" s="682"/>
      <c r="L6" s="682"/>
      <c r="M6" s="682"/>
      <c r="N6" s="682"/>
      <c r="O6" s="682"/>
      <c r="P6" s="682"/>
      <c r="Q6" s="682"/>
      <c r="R6" s="682"/>
      <c r="S6" s="682"/>
      <c r="T6" s="682"/>
      <c r="U6" s="682"/>
      <c r="V6" s="682"/>
      <c r="W6" s="682"/>
      <c r="AA6"/>
      <c r="AB6"/>
      <c r="AC6"/>
      <c r="AD6"/>
      <c r="AE6"/>
      <c r="AF6" s="685"/>
      <c r="AG6" s="682"/>
      <c r="AH6" s="682"/>
    </row>
    <row r="7" spans="1:34" ht="12.75" customHeight="1">
      <c r="A7" s="682"/>
      <c r="B7" s="103" t="s">
        <v>59</v>
      </c>
      <c r="C7" s="104"/>
      <c r="D7" s="104"/>
      <c r="E7" s="104"/>
      <c r="F7" s="126"/>
      <c r="G7" s="682"/>
      <c r="H7" s="685"/>
      <c r="I7" s="682"/>
      <c r="J7" s="682"/>
      <c r="K7" s="682"/>
      <c r="L7" s="682"/>
      <c r="M7" s="682"/>
      <c r="N7" s="682"/>
      <c r="O7" s="682"/>
      <c r="P7" s="682"/>
      <c r="Q7" s="682"/>
      <c r="R7" s="682"/>
      <c r="S7" s="682"/>
      <c r="T7" s="682"/>
      <c r="U7" s="682"/>
      <c r="V7" s="682"/>
      <c r="W7" s="682"/>
      <c r="AA7"/>
      <c r="AB7"/>
      <c r="AC7"/>
      <c r="AD7"/>
      <c r="AE7"/>
      <c r="AF7" s="685"/>
      <c r="AG7" s="682"/>
      <c r="AH7" s="682"/>
    </row>
    <row r="8" spans="1:34" ht="18.75" customHeight="1">
      <c r="A8" s="682"/>
      <c r="B8" s="127" t="s">
        <v>621</v>
      </c>
      <c r="C8" s="128"/>
      <c r="D8" s="128"/>
      <c r="E8" s="128"/>
      <c r="F8" s="128"/>
      <c r="G8" s="682"/>
      <c r="H8" s="685"/>
      <c r="I8" s="682"/>
      <c r="J8" s="682"/>
      <c r="K8" s="682"/>
      <c r="L8" s="682"/>
      <c r="M8" s="682"/>
      <c r="N8" s="682"/>
      <c r="O8" s="682"/>
      <c r="P8" s="682"/>
      <c r="Q8" s="682"/>
      <c r="R8" s="682"/>
      <c r="S8" s="682"/>
      <c r="T8" s="682"/>
      <c r="U8" s="682"/>
      <c r="V8" s="682"/>
      <c r="W8" s="682"/>
      <c r="AA8"/>
      <c r="AB8"/>
      <c r="AC8"/>
      <c r="AD8"/>
      <c r="AE8"/>
      <c r="AF8" s="685"/>
      <c r="AG8" s="682"/>
      <c r="AH8" s="682"/>
    </row>
    <row r="9" spans="1:34" ht="18.75" customHeight="1">
      <c r="A9" s="682"/>
      <c r="B9" s="127" t="s">
        <v>498</v>
      </c>
      <c r="C9" s="127"/>
      <c r="D9" s="127"/>
      <c r="E9" s="127"/>
      <c r="F9" s="1210"/>
      <c r="G9" s="682"/>
      <c r="H9" s="685"/>
      <c r="I9" s="682"/>
      <c r="J9" s="682"/>
      <c r="K9" s="682"/>
      <c r="L9" s="682"/>
      <c r="M9" s="682"/>
      <c r="N9" s="682"/>
      <c r="O9" s="682"/>
      <c r="P9" s="682"/>
      <c r="Q9" s="682"/>
      <c r="R9" s="682"/>
      <c r="S9" s="682"/>
      <c r="T9" s="682"/>
      <c r="U9" s="682"/>
      <c r="V9" s="682"/>
      <c r="W9" s="682"/>
      <c r="AA9"/>
      <c r="AB9"/>
      <c r="AC9"/>
      <c r="AD9"/>
      <c r="AE9"/>
      <c r="AF9" s="685"/>
      <c r="AG9" s="682"/>
      <c r="AH9" s="682"/>
    </row>
    <row r="10" spans="1:34" ht="27" customHeight="1" thickBot="1">
      <c r="A10" s="682"/>
      <c r="D10" s="682"/>
      <c r="E10" s="682"/>
      <c r="F10" s="682"/>
      <c r="G10" s="682"/>
      <c r="H10" s="685"/>
      <c r="I10" s="682"/>
      <c r="J10" s="682"/>
      <c r="K10" s="682"/>
      <c r="L10" s="682"/>
      <c r="M10" s="682"/>
      <c r="N10" s="682"/>
      <c r="O10" s="682"/>
      <c r="P10" s="682"/>
      <c r="Q10" s="682"/>
      <c r="R10" s="682"/>
      <c r="S10" s="682"/>
      <c r="T10" s="682"/>
      <c r="U10" s="682"/>
      <c r="V10" s="682"/>
      <c r="W10" s="682"/>
      <c r="AA10"/>
      <c r="AB10"/>
      <c r="AC10"/>
      <c r="AD10"/>
      <c r="AE10"/>
      <c r="AF10" s="685"/>
      <c r="AG10" s="682"/>
      <c r="AH10" s="682"/>
    </row>
    <row r="11" spans="1:34" s="183" customFormat="1" ht="24.75" customHeight="1" thickBot="1">
      <c r="A11" s="262"/>
      <c r="B11" s="735" t="s">
        <v>503</v>
      </c>
      <c r="C11" s="735"/>
      <c r="D11" s="735"/>
      <c r="E11" s="735"/>
      <c r="F11" s="735"/>
      <c r="G11" s="735"/>
      <c r="H11" s="735"/>
      <c r="I11" s="735"/>
      <c r="J11" s="735"/>
      <c r="K11" s="735"/>
      <c r="L11" s="735"/>
      <c r="M11" s="735"/>
      <c r="N11" s="735"/>
      <c r="O11" s="735"/>
      <c r="P11" s="735"/>
      <c r="Q11" s="735"/>
      <c r="R11" s="735"/>
      <c r="S11" s="735"/>
      <c r="T11" s="735"/>
      <c r="U11" s="735"/>
      <c r="V11" s="735"/>
      <c r="W11" s="735"/>
      <c r="X11" s="1172"/>
      <c r="Y11" s="1172"/>
      <c r="Z11" s="1172"/>
      <c r="AA11" s="735" t="s">
        <v>642</v>
      </c>
      <c r="AB11" s="735"/>
      <c r="AC11" s="735"/>
      <c r="AD11" s="735"/>
      <c r="AE11" s="735"/>
      <c r="AF11" s="735"/>
      <c r="AG11" s="735"/>
      <c r="AH11" s="1201"/>
    </row>
    <row r="12" spans="1:34" s="78" customFormat="1" ht="24.75" customHeight="1" thickBot="1">
      <c r="A12" s="262"/>
      <c r="B12" s="1258" t="str">
        <f>CONCATENATE("Table 15.1 - Payments made by ",dms_TradingName," to Related Party greater than $1,000,000")</f>
        <v>Table 15.1 - Payments made by AusNet (Gas) to Related Party greater than $1,000,000</v>
      </c>
      <c r="C12" s="1259"/>
      <c r="D12" s="1259"/>
      <c r="E12" s="1259"/>
      <c r="F12" s="1259"/>
      <c r="G12" s="1259"/>
      <c r="H12" s="1259"/>
      <c r="I12" s="1259"/>
      <c r="J12" s="1259"/>
      <c r="K12" s="1259"/>
      <c r="L12" s="1259"/>
      <c r="M12" s="1259"/>
      <c r="N12" s="1259"/>
      <c r="O12" s="1259"/>
      <c r="P12" s="1259"/>
      <c r="Q12" s="1259"/>
      <c r="R12" s="1259"/>
      <c r="S12" s="1259"/>
      <c r="T12" s="1259"/>
      <c r="U12" s="1259"/>
      <c r="V12" s="1259"/>
      <c r="W12" s="1260"/>
      <c r="X12"/>
      <c r="Y12"/>
      <c r="Z12"/>
      <c r="AA12" s="1258"/>
      <c r="AB12" s="1259"/>
      <c r="AC12" s="1259"/>
      <c r="AD12" s="1259"/>
      <c r="AE12" s="1259"/>
      <c r="AF12" s="1259"/>
      <c r="AG12" s="1259"/>
      <c r="AH12" s="1260"/>
    </row>
    <row r="13" spans="1:34" ht="20.25" customHeight="1">
      <c r="A13" s="682"/>
      <c r="B13" s="4337" t="s">
        <v>25</v>
      </c>
      <c r="C13" s="4340" t="s">
        <v>266</v>
      </c>
      <c r="D13" s="4340" t="s">
        <v>10</v>
      </c>
      <c r="E13" s="4340" t="s">
        <v>26</v>
      </c>
      <c r="F13" s="4340" t="s">
        <v>27</v>
      </c>
      <c r="G13" s="4343" t="s">
        <v>625</v>
      </c>
      <c r="H13" s="727"/>
      <c r="I13" s="4073" t="s">
        <v>36</v>
      </c>
      <c r="J13" s="3997"/>
      <c r="K13" s="3997"/>
      <c r="L13" s="3997"/>
      <c r="M13" s="3997"/>
      <c r="N13" s="4074" t="s">
        <v>37</v>
      </c>
      <c r="O13" s="4075"/>
      <c r="P13" s="4075"/>
      <c r="Q13" s="4075"/>
      <c r="R13" s="4075"/>
      <c r="S13" s="3960" t="s">
        <v>73</v>
      </c>
      <c r="T13" s="3960"/>
      <c r="U13" s="3960"/>
      <c r="V13" s="3960"/>
      <c r="W13" s="4099"/>
      <c r="AA13" s="4194" t="s">
        <v>36</v>
      </c>
      <c r="AB13" s="4195"/>
      <c r="AC13" s="4195"/>
      <c r="AD13" s="4195"/>
      <c r="AE13" s="4195"/>
      <c r="AF13" s="4196" t="s">
        <v>37</v>
      </c>
      <c r="AG13" s="4197"/>
      <c r="AH13" s="4198"/>
    </row>
    <row r="14" spans="1:34" ht="20.25" customHeight="1">
      <c r="A14" s="682"/>
      <c r="B14" s="4338"/>
      <c r="C14" s="4341"/>
      <c r="D14" s="4341"/>
      <c r="E14" s="4341"/>
      <c r="F14" s="4341"/>
      <c r="G14" s="4344"/>
      <c r="H14" s="728"/>
      <c r="I14" s="3985" t="s">
        <v>543</v>
      </c>
      <c r="J14" s="3986"/>
      <c r="K14" s="3986"/>
      <c r="L14" s="3986"/>
      <c r="M14" s="3986"/>
      <c r="N14" s="3986"/>
      <c r="O14" s="3986"/>
      <c r="P14" s="3987"/>
      <c r="Q14" s="3988" t="str">
        <f>CONCATENATE("$0's, real ",dms_DollarReal)</f>
        <v>$0's, real December 2017</v>
      </c>
      <c r="R14" s="3989"/>
      <c r="S14" s="3989"/>
      <c r="T14" s="3989"/>
      <c r="U14" s="3989"/>
      <c r="V14" s="3989"/>
      <c r="W14" s="3990"/>
      <c r="AA14" s="3985" t="str">
        <f>CONCATENATE("$0's, real ",dms_DollarReal)</f>
        <v>$0's, real December 2017</v>
      </c>
      <c r="AB14" s="3986"/>
      <c r="AC14" s="3986"/>
      <c r="AD14" s="3986"/>
      <c r="AE14" s="3986"/>
      <c r="AF14" s="3986"/>
      <c r="AG14" s="3986"/>
      <c r="AH14" s="4030"/>
    </row>
    <row r="15" spans="1:34" ht="20.25">
      <c r="A15" s="682"/>
      <c r="B15" s="4338"/>
      <c r="C15" s="4341"/>
      <c r="D15" s="4341"/>
      <c r="E15" s="4341"/>
      <c r="F15" s="4341"/>
      <c r="G15" s="4344"/>
      <c r="H15" s="728"/>
      <c r="I15" s="3985" t="s">
        <v>54</v>
      </c>
      <c r="J15" s="3986"/>
      <c r="K15" s="3986"/>
      <c r="L15" s="3986"/>
      <c r="M15" s="3986"/>
      <c r="N15" s="3986"/>
      <c r="O15" s="3986"/>
      <c r="P15" s="3987"/>
      <c r="Q15" s="3988" t="s">
        <v>55</v>
      </c>
      <c r="R15" s="3989"/>
      <c r="S15" s="3989"/>
      <c r="T15" s="3989"/>
      <c r="U15" s="3989"/>
      <c r="V15" s="3989"/>
      <c r="W15" s="3990"/>
      <c r="AA15" s="3985" t="s">
        <v>54</v>
      </c>
      <c r="AB15" s="3986"/>
      <c r="AC15" s="3986"/>
      <c r="AD15" s="3986"/>
      <c r="AE15" s="3986"/>
      <c r="AF15" s="3986"/>
      <c r="AG15" s="3986"/>
      <c r="AH15" s="4030"/>
    </row>
    <row r="16" spans="1:34" ht="40.5" customHeight="1" thickBot="1">
      <c r="A16" s="682"/>
      <c r="B16" s="4339"/>
      <c r="C16" s="4342"/>
      <c r="D16" s="4342"/>
      <c r="E16" s="4342"/>
      <c r="F16" s="4342"/>
      <c r="G16" s="4345"/>
      <c r="H16" s="684"/>
      <c r="I16" s="1438">
        <f t="array" ref="I16:M16">PRCP</f>
        <v>2008</v>
      </c>
      <c r="J16" s="342">
        <v>2009</v>
      </c>
      <c r="K16" s="342">
        <v>2010</v>
      </c>
      <c r="L16" s="342">
        <v>2011</v>
      </c>
      <c r="M16" s="342">
        <v>2012</v>
      </c>
      <c r="N16" s="344">
        <f>CRCP_y1</f>
        <v>2013</v>
      </c>
      <c r="O16" s="344">
        <f>CRCP_y2</f>
        <v>2014</v>
      </c>
      <c r="P16" s="344">
        <f>CRCP_y3</f>
        <v>2015</v>
      </c>
      <c r="Q16" s="344">
        <f>CRCP_y4</f>
        <v>2016</v>
      </c>
      <c r="R16" s="344">
        <f>CRCP_y5</f>
        <v>2017</v>
      </c>
      <c r="S16" s="342" t="str">
        <f t="array" ref="S16:W16">FRCP</f>
        <v>2018</v>
      </c>
      <c r="T16" s="342">
        <v>2019</v>
      </c>
      <c r="U16" s="342">
        <v>2020</v>
      </c>
      <c r="V16" s="342">
        <v>2021</v>
      </c>
      <c r="W16" s="443">
        <v>2022</v>
      </c>
      <c r="AA16" s="1438">
        <f t="array" ref="AA16:AE16">PRCP</f>
        <v>2008</v>
      </c>
      <c r="AB16" s="342">
        <v>2009</v>
      </c>
      <c r="AC16" s="342">
        <v>2010</v>
      </c>
      <c r="AD16" s="342">
        <v>2011</v>
      </c>
      <c r="AE16" s="342">
        <v>2012</v>
      </c>
      <c r="AF16" s="344">
        <f>CRCP_y1</f>
        <v>2013</v>
      </c>
      <c r="AG16" s="344">
        <f>CRCP_y2</f>
        <v>2014</v>
      </c>
      <c r="AH16" s="542">
        <f>CRCP_y3</f>
        <v>2015</v>
      </c>
    </row>
    <row r="17" spans="1:34" ht="236.25">
      <c r="A17" s="682"/>
      <c r="B17" s="944" t="s">
        <v>1550</v>
      </c>
      <c r="C17" s="945" t="s">
        <v>2063</v>
      </c>
      <c r="D17" s="945" t="s">
        <v>1551</v>
      </c>
      <c r="E17" s="945" t="s">
        <v>1552</v>
      </c>
      <c r="F17" s="945" t="s">
        <v>1553</v>
      </c>
      <c r="G17" s="945" t="s">
        <v>1554</v>
      </c>
      <c r="H17" s="756" t="s">
        <v>83</v>
      </c>
      <c r="I17" s="408">
        <v>3603319.2411045278</v>
      </c>
      <c r="J17" s="409">
        <v>3501570.4553920128</v>
      </c>
      <c r="K17" s="409">
        <v>2637555.86502644</v>
      </c>
      <c r="L17" s="409">
        <v>4037579.6576564042</v>
      </c>
      <c r="M17" s="505">
        <v>3451157.9667639802</v>
      </c>
      <c r="N17" s="408">
        <v>2262663.5252624904</v>
      </c>
      <c r="O17" s="409">
        <v>217438.90076078556</v>
      </c>
      <c r="P17" s="409">
        <v>0</v>
      </c>
      <c r="Q17" s="409">
        <v>0</v>
      </c>
      <c r="R17" s="409">
        <v>0</v>
      </c>
      <c r="S17" s="408">
        <v>0</v>
      </c>
      <c r="T17" s="409">
        <v>0</v>
      </c>
      <c r="U17" s="409">
        <v>0</v>
      </c>
      <c r="V17" s="409">
        <v>0</v>
      </c>
      <c r="W17" s="505">
        <v>0</v>
      </c>
      <c r="AA17" s="1739"/>
      <c r="AB17" s="1740"/>
      <c r="AC17" s="1740"/>
      <c r="AD17" s="1740"/>
      <c r="AE17" s="1741"/>
      <c r="AF17" s="1739"/>
      <c r="AG17" s="1740"/>
      <c r="AH17" s="1741"/>
    </row>
    <row r="18" spans="1:34" ht="130.5" customHeight="1">
      <c r="A18" s="682"/>
      <c r="B18" s="946" t="s">
        <v>1550</v>
      </c>
      <c r="C18" s="947" t="s">
        <v>2063</v>
      </c>
      <c r="D18" s="947" t="s">
        <v>1551</v>
      </c>
      <c r="E18" s="947" t="s">
        <v>1552</v>
      </c>
      <c r="F18" s="947" t="s">
        <v>1553</v>
      </c>
      <c r="G18" s="947" t="s">
        <v>1554</v>
      </c>
      <c r="H18" s="756" t="s">
        <v>79</v>
      </c>
      <c r="I18" s="459">
        <v>3603319.2411045302</v>
      </c>
      <c r="J18" s="458">
        <v>3501570.4553920128</v>
      </c>
      <c r="K18" s="458">
        <v>2637555.86502644</v>
      </c>
      <c r="L18" s="458">
        <v>4037579.6576564042</v>
      </c>
      <c r="M18" s="460">
        <v>3451157.9667639784</v>
      </c>
      <c r="N18" s="459">
        <v>2262663.5252624904</v>
      </c>
      <c r="O18" s="458">
        <v>217438.90076078556</v>
      </c>
      <c r="P18" s="458">
        <v>0</v>
      </c>
      <c r="Q18" s="458">
        <v>0</v>
      </c>
      <c r="R18" s="458">
        <v>0</v>
      </c>
      <c r="S18" s="459">
        <v>0</v>
      </c>
      <c r="T18" s="458">
        <v>0</v>
      </c>
      <c r="U18" s="458">
        <v>0</v>
      </c>
      <c r="V18" s="458">
        <v>0</v>
      </c>
      <c r="W18" s="460">
        <v>0</v>
      </c>
      <c r="AA18" s="1742"/>
      <c r="AB18" s="1743"/>
      <c r="AC18" s="1743"/>
      <c r="AD18" s="1743"/>
      <c r="AE18" s="1744"/>
      <c r="AF18" s="1742"/>
      <c r="AG18" s="1743"/>
      <c r="AH18" s="1744"/>
    </row>
    <row r="19" spans="1:34" ht="78.75">
      <c r="A19" s="682"/>
      <c r="B19" s="948" t="s">
        <v>1555</v>
      </c>
      <c r="C19" s="949" t="s">
        <v>2064</v>
      </c>
      <c r="D19" s="949" t="s">
        <v>1556</v>
      </c>
      <c r="E19" s="949" t="s">
        <v>1557</v>
      </c>
      <c r="F19" s="949" t="s">
        <v>1553</v>
      </c>
      <c r="G19" s="949" t="s">
        <v>1558</v>
      </c>
      <c r="H19" s="756" t="s">
        <v>83</v>
      </c>
      <c r="I19" s="459">
        <v>0</v>
      </c>
      <c r="J19" s="458">
        <v>4579948.3846021192</v>
      </c>
      <c r="K19" s="458">
        <v>4516741.0928292163</v>
      </c>
      <c r="L19" s="458">
        <v>8773793.6314486042</v>
      </c>
      <c r="M19" s="460">
        <v>4110031.8333224067</v>
      </c>
      <c r="N19" s="459">
        <v>5843053.6012587557</v>
      </c>
      <c r="O19" s="458">
        <v>2338248.5520855077</v>
      </c>
      <c r="P19" s="458">
        <v>0</v>
      </c>
      <c r="Q19" s="458">
        <v>0</v>
      </c>
      <c r="R19" s="458">
        <v>0</v>
      </c>
      <c r="S19" s="459">
        <v>0</v>
      </c>
      <c r="T19" s="458">
        <v>0</v>
      </c>
      <c r="U19" s="458">
        <v>0</v>
      </c>
      <c r="V19" s="458">
        <v>0</v>
      </c>
      <c r="W19" s="460">
        <v>0</v>
      </c>
      <c r="AA19" s="1742"/>
      <c r="AB19" s="1743"/>
      <c r="AC19" s="1743"/>
      <c r="AD19" s="1743"/>
      <c r="AE19" s="1744"/>
      <c r="AF19" s="1742"/>
      <c r="AG19" s="1743"/>
      <c r="AH19" s="1744"/>
    </row>
    <row r="20" spans="1:34" ht="78.75">
      <c r="A20" s="682"/>
      <c r="B20" s="946" t="s">
        <v>1555</v>
      </c>
      <c r="C20" s="947" t="s">
        <v>2065</v>
      </c>
      <c r="D20" s="947" t="s">
        <v>1556</v>
      </c>
      <c r="E20" s="947" t="s">
        <v>1557</v>
      </c>
      <c r="F20" s="947" t="s">
        <v>1553</v>
      </c>
      <c r="G20" s="947" t="s">
        <v>1558</v>
      </c>
      <c r="H20" s="756" t="s">
        <v>79</v>
      </c>
      <c r="I20" s="459">
        <v>0</v>
      </c>
      <c r="J20" s="458">
        <v>4579948.3846021192</v>
      </c>
      <c r="K20" s="458">
        <v>4516741.0928292163</v>
      </c>
      <c r="L20" s="458">
        <v>8773793.6314486042</v>
      </c>
      <c r="M20" s="460">
        <v>4110031.8333224067</v>
      </c>
      <c r="N20" s="459">
        <v>5843053.6012587557</v>
      </c>
      <c r="O20" s="458">
        <v>2338248.5520855077</v>
      </c>
      <c r="P20" s="458">
        <v>0</v>
      </c>
      <c r="Q20" s="458">
        <v>0</v>
      </c>
      <c r="R20" s="458">
        <v>0</v>
      </c>
      <c r="S20" s="459">
        <v>0</v>
      </c>
      <c r="T20" s="458">
        <v>0</v>
      </c>
      <c r="U20" s="458">
        <v>0</v>
      </c>
      <c r="V20" s="458">
        <v>0</v>
      </c>
      <c r="W20" s="460">
        <v>0</v>
      </c>
      <c r="AA20" s="1742"/>
      <c r="AB20" s="1743"/>
      <c r="AC20" s="1743"/>
      <c r="AD20" s="1743"/>
      <c r="AE20" s="1744"/>
      <c r="AF20" s="1742"/>
      <c r="AG20" s="1743"/>
      <c r="AH20" s="1744"/>
    </row>
    <row r="21" spans="1:34" ht="112.5">
      <c r="A21" s="682"/>
      <c r="B21" s="948" t="s">
        <v>1559</v>
      </c>
      <c r="C21" s="949" t="s">
        <v>1560</v>
      </c>
      <c r="D21" s="949" t="s">
        <v>1561</v>
      </c>
      <c r="E21" s="949" t="s">
        <v>1569</v>
      </c>
      <c r="F21" s="949" t="s">
        <v>1562</v>
      </c>
      <c r="G21" s="949" t="s">
        <v>1563</v>
      </c>
      <c r="H21" s="756" t="s">
        <v>83</v>
      </c>
      <c r="I21" s="459">
        <v>0</v>
      </c>
      <c r="J21" s="458">
        <v>0</v>
      </c>
      <c r="K21" s="458">
        <v>0</v>
      </c>
      <c r="L21" s="458">
        <v>2976434.3584905663</v>
      </c>
      <c r="M21" s="460">
        <v>0</v>
      </c>
      <c r="N21" s="459">
        <v>0</v>
      </c>
      <c r="O21" s="458">
        <v>0</v>
      </c>
      <c r="P21" s="458">
        <v>0</v>
      </c>
      <c r="Q21" s="458">
        <v>0</v>
      </c>
      <c r="R21" s="458">
        <v>0</v>
      </c>
      <c r="S21" s="459">
        <v>0</v>
      </c>
      <c r="T21" s="458">
        <v>0</v>
      </c>
      <c r="U21" s="458">
        <v>0</v>
      </c>
      <c r="V21" s="458">
        <v>0</v>
      </c>
      <c r="W21" s="460">
        <v>0</v>
      </c>
      <c r="AA21" s="1742"/>
      <c r="AB21" s="1743"/>
      <c r="AC21" s="1743"/>
      <c r="AD21" s="1743"/>
      <c r="AE21" s="1744"/>
      <c r="AF21" s="1742"/>
      <c r="AG21" s="1743"/>
      <c r="AH21" s="1744"/>
    </row>
    <row r="22" spans="1:34" ht="112.5">
      <c r="A22" s="682"/>
      <c r="B22" s="946" t="s">
        <v>1559</v>
      </c>
      <c r="C22" s="947" t="s">
        <v>1560</v>
      </c>
      <c r="D22" s="947" t="s">
        <v>1561</v>
      </c>
      <c r="E22" s="947" t="s">
        <v>1569</v>
      </c>
      <c r="F22" s="947" t="s">
        <v>1562</v>
      </c>
      <c r="G22" s="947" t="s">
        <v>1563</v>
      </c>
      <c r="H22" s="756" t="s">
        <v>79</v>
      </c>
      <c r="I22" s="459">
        <v>0</v>
      </c>
      <c r="J22" s="458">
        <v>0</v>
      </c>
      <c r="K22" s="458">
        <v>0</v>
      </c>
      <c r="L22" s="458">
        <v>2976434.3584905663</v>
      </c>
      <c r="M22" s="460">
        <v>0</v>
      </c>
      <c r="N22" s="459">
        <v>0</v>
      </c>
      <c r="O22" s="458">
        <v>0</v>
      </c>
      <c r="P22" s="458">
        <v>0</v>
      </c>
      <c r="Q22" s="458">
        <v>0</v>
      </c>
      <c r="R22" s="458">
        <v>0</v>
      </c>
      <c r="S22" s="459">
        <v>0</v>
      </c>
      <c r="T22" s="458">
        <v>0</v>
      </c>
      <c r="U22" s="458">
        <v>0</v>
      </c>
      <c r="V22" s="458">
        <v>0</v>
      </c>
      <c r="W22" s="460">
        <v>0</v>
      </c>
      <c r="AA22" s="1742"/>
      <c r="AB22" s="1743"/>
      <c r="AC22" s="1743"/>
      <c r="AD22" s="1743"/>
      <c r="AE22" s="1744"/>
      <c r="AF22" s="1742"/>
      <c r="AG22" s="1743"/>
      <c r="AH22" s="1744"/>
    </row>
    <row r="23" spans="1:34" ht="135">
      <c r="A23" s="682"/>
      <c r="B23" s="948" t="s">
        <v>1564</v>
      </c>
      <c r="C23" s="949" t="s">
        <v>1565</v>
      </c>
      <c r="D23" s="949" t="s">
        <v>1561</v>
      </c>
      <c r="E23" s="949" t="s">
        <v>1570</v>
      </c>
      <c r="F23" s="949" t="s">
        <v>1562</v>
      </c>
      <c r="G23" s="949" t="s">
        <v>1563</v>
      </c>
      <c r="H23" s="756" t="s">
        <v>83</v>
      </c>
      <c r="I23" s="459">
        <v>0</v>
      </c>
      <c r="J23" s="458">
        <v>0</v>
      </c>
      <c r="K23" s="458">
        <v>0</v>
      </c>
      <c r="L23" s="458">
        <v>0</v>
      </c>
      <c r="M23" s="460">
        <v>2043853.03</v>
      </c>
      <c r="N23" s="459">
        <v>3258786.5200000005</v>
      </c>
      <c r="O23" s="458">
        <v>1873140.3699999999</v>
      </c>
      <c r="P23" s="458">
        <v>0</v>
      </c>
      <c r="Q23" s="458">
        <v>0</v>
      </c>
      <c r="R23" s="458">
        <v>0</v>
      </c>
      <c r="S23" s="459">
        <v>0</v>
      </c>
      <c r="T23" s="458">
        <v>0</v>
      </c>
      <c r="U23" s="458">
        <v>0</v>
      </c>
      <c r="V23" s="458">
        <v>0</v>
      </c>
      <c r="W23" s="460">
        <v>0</v>
      </c>
      <c r="AA23" s="1742"/>
      <c r="AB23" s="1743"/>
      <c r="AC23" s="1743"/>
      <c r="AD23" s="1743"/>
      <c r="AE23" s="1744"/>
      <c r="AF23" s="1742"/>
      <c r="AG23" s="1743"/>
      <c r="AH23" s="1744"/>
    </row>
    <row r="24" spans="1:34" ht="147" thickBot="1">
      <c r="A24" s="682"/>
      <c r="B24" s="946" t="s">
        <v>1564</v>
      </c>
      <c r="C24" s="947" t="s">
        <v>1565</v>
      </c>
      <c r="D24" s="947" t="s">
        <v>1561</v>
      </c>
      <c r="E24" s="947" t="s">
        <v>1571</v>
      </c>
      <c r="F24" s="947" t="s">
        <v>1562</v>
      </c>
      <c r="G24" s="947" t="s">
        <v>1563</v>
      </c>
      <c r="H24" s="756" t="s">
        <v>79</v>
      </c>
      <c r="I24" s="569">
        <v>0</v>
      </c>
      <c r="J24" s="411">
        <v>0</v>
      </c>
      <c r="K24" s="411">
        <v>0</v>
      </c>
      <c r="L24" s="411">
        <v>0</v>
      </c>
      <c r="M24" s="570">
        <v>2043853.03</v>
      </c>
      <c r="N24" s="569">
        <v>3258786.5200000005</v>
      </c>
      <c r="O24" s="411">
        <v>1873140.3699999999</v>
      </c>
      <c r="P24" s="458">
        <v>0</v>
      </c>
      <c r="Q24" s="458">
        <v>0</v>
      </c>
      <c r="R24" s="458">
        <v>0</v>
      </c>
      <c r="S24" s="459">
        <v>0</v>
      </c>
      <c r="T24" s="458">
        <v>0</v>
      </c>
      <c r="U24" s="458">
        <v>0</v>
      </c>
      <c r="V24" s="458">
        <v>0</v>
      </c>
      <c r="W24" s="460">
        <v>0</v>
      </c>
      <c r="AA24" s="1745"/>
      <c r="AB24" s="1746"/>
      <c r="AC24" s="1746"/>
      <c r="AD24" s="1746"/>
      <c r="AE24" s="1747"/>
      <c r="AF24" s="1745"/>
      <c r="AG24" s="1746"/>
      <c r="AH24" s="1747"/>
    </row>
    <row r="25" spans="1:34" s="69" customFormat="1" ht="28.5" customHeight="1" thickBot="1">
      <c r="A25" s="314"/>
      <c r="B25" s="1371" t="s">
        <v>121</v>
      </c>
      <c r="C25" s="263" t="s">
        <v>1566</v>
      </c>
      <c r="D25" s="264"/>
      <c r="E25" s="264"/>
      <c r="F25" s="264"/>
      <c r="G25" s="264"/>
      <c r="H25" s="264"/>
      <c r="I25" s="264"/>
      <c r="J25" s="264"/>
      <c r="K25" s="264"/>
      <c r="L25" s="264"/>
      <c r="M25" s="264"/>
      <c r="N25" s="264"/>
      <c r="O25" s="264"/>
      <c r="P25" s="264"/>
      <c r="Q25" s="264"/>
      <c r="R25" s="264"/>
      <c r="S25" s="264"/>
      <c r="T25" s="264"/>
      <c r="U25" s="264"/>
      <c r="V25" s="264"/>
      <c r="W25" s="406"/>
      <c r="X25"/>
      <c r="Y25"/>
      <c r="Z25"/>
      <c r="AA25" s="1663"/>
      <c r="AB25" s="1644"/>
      <c r="AC25" s="1644"/>
      <c r="AD25" s="1644"/>
      <c r="AE25" s="1644"/>
      <c r="AF25" s="1644"/>
      <c r="AG25" s="1644"/>
      <c r="AH25" s="1647"/>
    </row>
    <row r="26" spans="1:34" s="105" customFormat="1" ht="51.75" customHeight="1" thickBot="1">
      <c r="A26" s="483"/>
      <c r="B26" s="483"/>
      <c r="C26" s="483"/>
      <c r="D26" s="483"/>
      <c r="E26" s="483"/>
      <c r="F26" s="483"/>
      <c r="G26" s="483"/>
      <c r="H26" s="687"/>
      <c r="I26" s="483"/>
      <c r="J26" s="483"/>
      <c r="K26" s="483"/>
      <c r="L26" s="483"/>
      <c r="M26" s="483"/>
      <c r="N26" s="483"/>
      <c r="O26" s="483"/>
      <c r="P26" s="483"/>
      <c r="Q26" s="483"/>
      <c r="R26" s="483"/>
      <c r="S26" s="682"/>
      <c r="T26" s="682"/>
      <c r="U26" s="682"/>
      <c r="V26" s="682"/>
      <c r="W26" s="682"/>
      <c r="X26"/>
      <c r="Y26"/>
      <c r="Z26"/>
      <c r="AA26" s="483"/>
      <c r="AB26" s="483"/>
      <c r="AC26" s="483"/>
      <c r="AD26" s="483"/>
      <c r="AE26" s="483"/>
      <c r="AF26" s="483"/>
      <c r="AG26" s="483"/>
      <c r="AH26" s="483"/>
    </row>
    <row r="27" spans="1:34" s="78" customFormat="1" ht="24.75" customHeight="1" thickBot="1">
      <c r="A27" s="262"/>
      <c r="B27" s="1258" t="str">
        <f>CONCATENATE("Table 15.2 - Payments received by ",dms_TradingName, " from Related Party greater than $1,000,000")</f>
        <v>Table 15.2 - Payments received by AusNet (Gas) from Related Party greater than $1,000,000</v>
      </c>
      <c r="C27" s="1259"/>
      <c r="D27" s="1259"/>
      <c r="E27" s="1259"/>
      <c r="F27" s="1259"/>
      <c r="G27" s="1259"/>
      <c r="H27" s="1259"/>
      <c r="I27" s="1259"/>
      <c r="J27" s="1259"/>
      <c r="K27" s="1259"/>
      <c r="L27" s="1259"/>
      <c r="M27" s="1259"/>
      <c r="N27" s="1259"/>
      <c r="O27" s="1259"/>
      <c r="P27" s="1259"/>
      <c r="Q27" s="1259"/>
      <c r="R27" s="1259"/>
      <c r="S27" s="1259"/>
      <c r="T27" s="1259"/>
      <c r="U27" s="1259"/>
      <c r="V27" s="1259"/>
      <c r="W27" s="1260"/>
      <c r="X27"/>
      <c r="Y27"/>
      <c r="Z27"/>
      <c r="AA27" s="1258"/>
      <c r="AB27" s="1259"/>
      <c r="AC27" s="1259"/>
      <c r="AD27" s="1259"/>
      <c r="AE27" s="1259"/>
      <c r="AF27" s="1259"/>
      <c r="AG27" s="1259"/>
      <c r="AH27" s="1260"/>
    </row>
    <row r="28" spans="1:34" s="105" customFormat="1" ht="20.25" customHeight="1">
      <c r="A28" s="483"/>
      <c r="B28" s="4337" t="s">
        <v>25</v>
      </c>
      <c r="C28" s="4340" t="s">
        <v>266</v>
      </c>
      <c r="D28" s="4340" t="s">
        <v>10</v>
      </c>
      <c r="E28" s="4340" t="s">
        <v>26</v>
      </c>
      <c r="F28" s="4340" t="s">
        <v>27</v>
      </c>
      <c r="G28" s="4343" t="s">
        <v>625</v>
      </c>
      <c r="H28" s="727"/>
      <c r="I28" s="4194" t="s">
        <v>36</v>
      </c>
      <c r="J28" s="4195"/>
      <c r="K28" s="4195"/>
      <c r="L28" s="4195"/>
      <c r="M28" s="4195"/>
      <c r="N28" s="4196" t="s">
        <v>37</v>
      </c>
      <c r="O28" s="4197"/>
      <c r="P28" s="4197"/>
      <c r="Q28" s="4197"/>
      <c r="R28" s="4197"/>
      <c r="S28" s="4208" t="s">
        <v>73</v>
      </c>
      <c r="T28" s="4208"/>
      <c r="U28" s="4208"/>
      <c r="V28" s="4208"/>
      <c r="W28" s="4209"/>
      <c r="X28"/>
      <c r="Y28"/>
      <c r="Z28"/>
      <c r="AA28" s="4194" t="s">
        <v>36</v>
      </c>
      <c r="AB28" s="4195"/>
      <c r="AC28" s="4195"/>
      <c r="AD28" s="4195"/>
      <c r="AE28" s="4195"/>
      <c r="AF28" s="4196" t="s">
        <v>37</v>
      </c>
      <c r="AG28" s="4197"/>
      <c r="AH28" s="4198"/>
    </row>
    <row r="29" spans="1:34" ht="20.25" customHeight="1">
      <c r="A29" s="682"/>
      <c r="B29" s="4338"/>
      <c r="C29" s="4341"/>
      <c r="D29" s="4341"/>
      <c r="E29" s="4341"/>
      <c r="F29" s="4341"/>
      <c r="G29" s="4344"/>
      <c r="H29" s="728"/>
      <c r="I29" s="3985" t="s">
        <v>543</v>
      </c>
      <c r="J29" s="3986"/>
      <c r="K29" s="3986"/>
      <c r="L29" s="3986"/>
      <c r="M29" s="3986"/>
      <c r="N29" s="3986"/>
      <c r="O29" s="3986"/>
      <c r="P29" s="3987"/>
      <c r="Q29" s="3988" t="str">
        <f>CONCATENATE("$0's, real ",dms_DollarReal)</f>
        <v>$0's, real December 2017</v>
      </c>
      <c r="R29" s="3989"/>
      <c r="S29" s="3989"/>
      <c r="T29" s="3989"/>
      <c r="U29" s="3989"/>
      <c r="V29" s="3989"/>
      <c r="W29" s="4199"/>
      <c r="AA29" s="3985" t="str">
        <f>CONCATENATE("$0's, real ",dms_DollarReal)</f>
        <v>$0's, real December 2017</v>
      </c>
      <c r="AB29" s="3986"/>
      <c r="AC29" s="3986"/>
      <c r="AD29" s="3986"/>
      <c r="AE29" s="3986"/>
      <c r="AF29" s="3986"/>
      <c r="AG29" s="3986"/>
      <c r="AH29" s="4030"/>
    </row>
    <row r="30" spans="1:34" ht="20.25">
      <c r="A30" s="682"/>
      <c r="B30" s="4338"/>
      <c r="C30" s="4341"/>
      <c r="D30" s="4341"/>
      <c r="E30" s="4341"/>
      <c r="F30" s="4341"/>
      <c r="G30" s="4344"/>
      <c r="H30" s="728"/>
      <c r="I30" s="3985" t="s">
        <v>54</v>
      </c>
      <c r="J30" s="3986"/>
      <c r="K30" s="3986"/>
      <c r="L30" s="3986"/>
      <c r="M30" s="3986"/>
      <c r="N30" s="3986"/>
      <c r="O30" s="3986"/>
      <c r="P30" s="3987"/>
      <c r="Q30" s="3988" t="s">
        <v>55</v>
      </c>
      <c r="R30" s="3989"/>
      <c r="S30" s="3989"/>
      <c r="T30" s="3989"/>
      <c r="U30" s="3989"/>
      <c r="V30" s="3989"/>
      <c r="W30" s="4199"/>
      <c r="AA30" s="3985" t="s">
        <v>54</v>
      </c>
      <c r="AB30" s="3986"/>
      <c r="AC30" s="3986"/>
      <c r="AD30" s="3986"/>
      <c r="AE30" s="3986"/>
      <c r="AF30" s="3986"/>
      <c r="AG30" s="3986"/>
      <c r="AH30" s="4030"/>
    </row>
    <row r="31" spans="1:34" ht="15.75" thickBot="1">
      <c r="A31" s="682"/>
      <c r="B31" s="4338"/>
      <c r="C31" s="4341"/>
      <c r="D31" s="4341"/>
      <c r="E31" s="4341"/>
      <c r="F31" s="4341"/>
      <c r="G31" s="4344"/>
      <c r="H31" s="684"/>
      <c r="I31" s="343">
        <f t="array" ref="I31:M31">PRCP</f>
        <v>2008</v>
      </c>
      <c r="J31" s="342">
        <v>2009</v>
      </c>
      <c r="K31" s="342">
        <v>2010</v>
      </c>
      <c r="L31" s="342">
        <v>2011</v>
      </c>
      <c r="M31" s="342">
        <v>2012</v>
      </c>
      <c r="N31" s="344">
        <f>CRCP_y1</f>
        <v>2013</v>
      </c>
      <c r="O31" s="344">
        <f>CRCP_y2</f>
        <v>2014</v>
      </c>
      <c r="P31" s="344">
        <f>CRCP_y3</f>
        <v>2015</v>
      </c>
      <c r="Q31" s="344">
        <f>CRCP_y4</f>
        <v>2016</v>
      </c>
      <c r="R31" s="344">
        <f>CRCP_y5</f>
        <v>2017</v>
      </c>
      <c r="S31" s="342" t="str">
        <f t="array" ref="S31:W31">FRCP</f>
        <v>2018</v>
      </c>
      <c r="T31" s="342">
        <v>2019</v>
      </c>
      <c r="U31" s="342">
        <v>2020</v>
      </c>
      <c r="V31" s="342">
        <v>2021</v>
      </c>
      <c r="W31" s="443">
        <v>2022</v>
      </c>
      <c r="AA31" s="1438">
        <f t="array" ref="AA31:AE31">PRCP</f>
        <v>2008</v>
      </c>
      <c r="AB31" s="342">
        <v>2009</v>
      </c>
      <c r="AC31" s="342">
        <v>2010</v>
      </c>
      <c r="AD31" s="342">
        <v>2011</v>
      </c>
      <c r="AE31" s="342">
        <v>2012</v>
      </c>
      <c r="AF31" s="344">
        <f>CRCP_y1</f>
        <v>2013</v>
      </c>
      <c r="AG31" s="344">
        <f>CRCP_y2</f>
        <v>2014</v>
      </c>
      <c r="AH31" s="542">
        <f>CRCP_y3</f>
        <v>2015</v>
      </c>
    </row>
    <row r="32" spans="1:34">
      <c r="A32" s="682"/>
      <c r="B32" s="938" t="s">
        <v>1567</v>
      </c>
      <c r="C32" s="939" t="s">
        <v>854</v>
      </c>
      <c r="D32" s="939" t="s">
        <v>854</v>
      </c>
      <c r="E32" s="939" t="s">
        <v>854</v>
      </c>
      <c r="F32" s="939" t="s">
        <v>854</v>
      </c>
      <c r="G32" s="939" t="s">
        <v>854</v>
      </c>
      <c r="H32" s="756" t="s">
        <v>84</v>
      </c>
      <c r="I32" s="758" t="s">
        <v>854</v>
      </c>
      <c r="J32" s="759" t="s">
        <v>854</v>
      </c>
      <c r="K32" s="759" t="s">
        <v>854</v>
      </c>
      <c r="L32" s="759" t="s">
        <v>854</v>
      </c>
      <c r="M32" s="760" t="s">
        <v>854</v>
      </c>
      <c r="N32" s="758" t="s">
        <v>854</v>
      </c>
      <c r="O32" s="759" t="s">
        <v>854</v>
      </c>
      <c r="P32" s="759" t="s">
        <v>854</v>
      </c>
      <c r="Q32" s="759" t="s">
        <v>854</v>
      </c>
      <c r="R32" s="759" t="s">
        <v>854</v>
      </c>
      <c r="S32" s="765" t="s">
        <v>854</v>
      </c>
      <c r="T32" s="759" t="s">
        <v>854</v>
      </c>
      <c r="U32" s="759" t="s">
        <v>854</v>
      </c>
      <c r="V32" s="759" t="s">
        <v>854</v>
      </c>
      <c r="W32" s="760" t="s">
        <v>854</v>
      </c>
      <c r="AA32" s="1739"/>
      <c r="AB32" s="1740"/>
      <c r="AC32" s="1740"/>
      <c r="AD32" s="1740"/>
      <c r="AE32" s="1741"/>
      <c r="AF32" s="1739"/>
      <c r="AG32" s="1740"/>
      <c r="AH32" s="1741"/>
    </row>
    <row r="33" spans="1:34" ht="13.5" thickBot="1">
      <c r="A33" s="682"/>
      <c r="B33" s="940" t="str">
        <f t="shared" ref="B33:G33" si="0">B32</f>
        <v>None noted</v>
      </c>
      <c r="C33" s="941" t="str">
        <f t="shared" si="0"/>
        <v>-</v>
      </c>
      <c r="D33" s="941" t="str">
        <f t="shared" si="0"/>
        <v>-</v>
      </c>
      <c r="E33" s="941" t="str">
        <f t="shared" si="0"/>
        <v>-</v>
      </c>
      <c r="F33" s="941" t="str">
        <f t="shared" si="0"/>
        <v>-</v>
      </c>
      <c r="G33" s="941" t="str">
        <f t="shared" si="0"/>
        <v>-</v>
      </c>
      <c r="H33" s="756" t="s">
        <v>85</v>
      </c>
      <c r="I33" s="708" t="s">
        <v>854</v>
      </c>
      <c r="J33" s="681" t="s">
        <v>854</v>
      </c>
      <c r="K33" s="681" t="s">
        <v>854</v>
      </c>
      <c r="L33" s="681" t="s">
        <v>854</v>
      </c>
      <c r="M33" s="761" t="s">
        <v>854</v>
      </c>
      <c r="N33" s="708" t="s">
        <v>854</v>
      </c>
      <c r="O33" s="681" t="s">
        <v>854</v>
      </c>
      <c r="P33" s="681" t="s">
        <v>854</v>
      </c>
      <c r="Q33" s="681" t="s">
        <v>854</v>
      </c>
      <c r="R33" s="681" t="s">
        <v>854</v>
      </c>
      <c r="S33" s="757" t="s">
        <v>854</v>
      </c>
      <c r="T33" s="681" t="s">
        <v>854</v>
      </c>
      <c r="U33" s="681" t="s">
        <v>854</v>
      </c>
      <c r="V33" s="681" t="s">
        <v>854</v>
      </c>
      <c r="W33" s="761" t="s">
        <v>854</v>
      </c>
      <c r="AA33" s="1742"/>
      <c r="AB33" s="1743"/>
      <c r="AC33" s="1743"/>
      <c r="AD33" s="1743"/>
      <c r="AE33" s="1744"/>
      <c r="AF33" s="1742"/>
      <c r="AG33" s="1743"/>
      <c r="AH33" s="1744"/>
    </row>
    <row r="34" spans="1:34" hidden="1">
      <c r="A34" s="682"/>
      <c r="B34" s="942"/>
      <c r="C34" s="943"/>
      <c r="D34" s="943"/>
      <c r="E34" s="943"/>
      <c r="F34" s="943"/>
      <c r="G34" s="943"/>
      <c r="H34" s="756" t="s">
        <v>84</v>
      </c>
      <c r="I34" s="708"/>
      <c r="J34" s="681"/>
      <c r="K34" s="681"/>
      <c r="L34" s="681"/>
      <c r="M34" s="761"/>
      <c r="N34" s="708"/>
      <c r="O34" s="681"/>
      <c r="P34" s="681"/>
      <c r="Q34" s="681"/>
      <c r="R34" s="681"/>
      <c r="S34" s="757"/>
      <c r="T34" s="681"/>
      <c r="U34" s="681"/>
      <c r="V34" s="681"/>
      <c r="W34" s="761"/>
      <c r="AA34" s="1742"/>
      <c r="AB34" s="1743"/>
      <c r="AC34" s="1743"/>
      <c r="AD34" s="1743"/>
      <c r="AE34" s="1744"/>
      <c r="AF34" s="1742"/>
      <c r="AG34" s="1743"/>
      <c r="AH34" s="1744"/>
    </row>
    <row r="35" spans="1:34" hidden="1">
      <c r="A35" s="682"/>
      <c r="B35" s="940">
        <f t="shared" ref="B35:G35" si="1">B34</f>
        <v>0</v>
      </c>
      <c r="C35" s="941">
        <f t="shared" si="1"/>
        <v>0</v>
      </c>
      <c r="D35" s="941">
        <f t="shared" si="1"/>
        <v>0</v>
      </c>
      <c r="E35" s="941">
        <f t="shared" si="1"/>
        <v>0</v>
      </c>
      <c r="F35" s="941">
        <f t="shared" si="1"/>
        <v>0</v>
      </c>
      <c r="G35" s="941">
        <f t="shared" si="1"/>
        <v>0</v>
      </c>
      <c r="H35" s="756" t="s">
        <v>85</v>
      </c>
      <c r="I35" s="708"/>
      <c r="J35" s="681"/>
      <c r="K35" s="681"/>
      <c r="L35" s="681"/>
      <c r="M35" s="761"/>
      <c r="N35" s="708"/>
      <c r="O35" s="681"/>
      <c r="P35" s="681"/>
      <c r="Q35" s="681"/>
      <c r="R35" s="681"/>
      <c r="S35" s="757"/>
      <c r="T35" s="681"/>
      <c r="U35" s="681"/>
      <c r="V35" s="681"/>
      <c r="W35" s="761"/>
      <c r="AA35" s="1742"/>
      <c r="AB35" s="1743"/>
      <c r="AC35" s="1743"/>
      <c r="AD35" s="1743"/>
      <c r="AE35" s="1744"/>
      <c r="AF35" s="1742"/>
      <c r="AG35" s="1743"/>
      <c r="AH35" s="1744"/>
    </row>
    <row r="36" spans="1:34" hidden="1">
      <c r="A36" s="682"/>
      <c r="B36" s="942"/>
      <c r="C36" s="943"/>
      <c r="D36" s="943"/>
      <c r="E36" s="943"/>
      <c r="F36" s="943"/>
      <c r="G36" s="943"/>
      <c r="H36" s="756" t="s">
        <v>84</v>
      </c>
      <c r="I36" s="708"/>
      <c r="J36" s="681"/>
      <c r="K36" s="681"/>
      <c r="L36" s="681"/>
      <c r="M36" s="761"/>
      <c r="N36" s="708"/>
      <c r="O36" s="681"/>
      <c r="P36" s="681"/>
      <c r="Q36" s="681"/>
      <c r="R36" s="681"/>
      <c r="S36" s="757"/>
      <c r="T36" s="681"/>
      <c r="U36" s="681"/>
      <c r="V36" s="681"/>
      <c r="W36" s="761"/>
      <c r="AA36" s="1742"/>
      <c r="AB36" s="1743"/>
      <c r="AC36" s="1743"/>
      <c r="AD36" s="1743"/>
      <c r="AE36" s="1744"/>
      <c r="AF36" s="1742"/>
      <c r="AG36" s="1743"/>
      <c r="AH36" s="1744"/>
    </row>
    <row r="37" spans="1:34" hidden="1">
      <c r="A37" s="682"/>
      <c r="B37" s="940">
        <f t="shared" ref="B37:G37" si="2">B36</f>
        <v>0</v>
      </c>
      <c r="C37" s="941">
        <f t="shared" si="2"/>
        <v>0</v>
      </c>
      <c r="D37" s="941">
        <f t="shared" si="2"/>
        <v>0</v>
      </c>
      <c r="E37" s="941">
        <f t="shared" si="2"/>
        <v>0</v>
      </c>
      <c r="F37" s="941">
        <f t="shared" si="2"/>
        <v>0</v>
      </c>
      <c r="G37" s="941">
        <f t="shared" si="2"/>
        <v>0</v>
      </c>
      <c r="H37" s="756" t="s">
        <v>85</v>
      </c>
      <c r="I37" s="708"/>
      <c r="J37" s="681"/>
      <c r="K37" s="681"/>
      <c r="L37" s="681"/>
      <c r="M37" s="761"/>
      <c r="N37" s="708"/>
      <c r="O37" s="681"/>
      <c r="P37" s="681"/>
      <c r="Q37" s="681"/>
      <c r="R37" s="681"/>
      <c r="S37" s="757"/>
      <c r="T37" s="681"/>
      <c r="U37" s="681"/>
      <c r="V37" s="681"/>
      <c r="W37" s="761"/>
      <c r="AA37" s="1742"/>
      <c r="AB37" s="1743"/>
      <c r="AC37" s="1743"/>
      <c r="AD37" s="1743"/>
      <c r="AE37" s="1744"/>
      <c r="AF37" s="1742"/>
      <c r="AG37" s="1743"/>
      <c r="AH37" s="1744"/>
    </row>
    <row r="38" spans="1:34" hidden="1">
      <c r="A38" s="682"/>
      <c r="B38" s="942"/>
      <c r="C38" s="943"/>
      <c r="D38" s="943"/>
      <c r="E38" s="943"/>
      <c r="F38" s="943"/>
      <c r="G38" s="943"/>
      <c r="H38" s="756" t="s">
        <v>84</v>
      </c>
      <c r="I38" s="708"/>
      <c r="J38" s="681"/>
      <c r="K38" s="681"/>
      <c r="L38" s="681"/>
      <c r="M38" s="761"/>
      <c r="N38" s="708"/>
      <c r="O38" s="681"/>
      <c r="P38" s="681"/>
      <c r="Q38" s="681"/>
      <c r="R38" s="681"/>
      <c r="S38" s="757"/>
      <c r="T38" s="681"/>
      <c r="U38" s="681"/>
      <c r="V38" s="681"/>
      <c r="W38" s="761"/>
      <c r="AA38" s="1742"/>
      <c r="AB38" s="1743"/>
      <c r="AC38" s="1743"/>
      <c r="AD38" s="1743"/>
      <c r="AE38" s="1744"/>
      <c r="AF38" s="1742"/>
      <c r="AG38" s="1743"/>
      <c r="AH38" s="1744"/>
    </row>
    <row r="39" spans="1:34" ht="13.5" hidden="1" thickBot="1">
      <c r="A39" s="682"/>
      <c r="B39" s="940">
        <f t="shared" ref="B39:G39" si="3">B38</f>
        <v>0</v>
      </c>
      <c r="C39" s="941">
        <f t="shared" si="3"/>
        <v>0</v>
      </c>
      <c r="D39" s="941">
        <f t="shared" si="3"/>
        <v>0</v>
      </c>
      <c r="E39" s="941">
        <f t="shared" si="3"/>
        <v>0</v>
      </c>
      <c r="F39" s="941">
        <f t="shared" si="3"/>
        <v>0</v>
      </c>
      <c r="G39" s="941">
        <f t="shared" si="3"/>
        <v>0</v>
      </c>
      <c r="H39" s="756" t="s">
        <v>85</v>
      </c>
      <c r="I39" s="762"/>
      <c r="J39" s="763"/>
      <c r="K39" s="763"/>
      <c r="L39" s="763"/>
      <c r="M39" s="764"/>
      <c r="N39" s="762"/>
      <c r="O39" s="763"/>
      <c r="P39" s="763"/>
      <c r="Q39" s="763"/>
      <c r="R39" s="763"/>
      <c r="S39" s="766"/>
      <c r="T39" s="763"/>
      <c r="U39" s="763"/>
      <c r="V39" s="763"/>
      <c r="W39" s="764"/>
      <c r="AA39" s="1745"/>
      <c r="AB39" s="1746"/>
      <c r="AC39" s="1746"/>
      <c r="AD39" s="1746"/>
      <c r="AE39" s="1747"/>
      <c r="AF39" s="1745"/>
      <c r="AG39" s="1746"/>
      <c r="AH39" s="1747"/>
    </row>
    <row r="40" spans="1:34" s="69" customFormat="1" ht="28.5" customHeight="1" thickBot="1">
      <c r="A40" s="314"/>
      <c r="B40" s="1371" t="s">
        <v>121</v>
      </c>
      <c r="C40" s="263" t="s">
        <v>1566</v>
      </c>
      <c r="D40" s="264"/>
      <c r="E40" s="264"/>
      <c r="F40" s="264"/>
      <c r="G40" s="264"/>
      <c r="H40" s="264"/>
      <c r="I40" s="264"/>
      <c r="J40" s="264"/>
      <c r="K40" s="264"/>
      <c r="L40" s="264"/>
      <c r="M40" s="264"/>
      <c r="N40" s="264"/>
      <c r="O40" s="264"/>
      <c r="P40" s="264"/>
      <c r="Q40" s="264"/>
      <c r="R40" s="264"/>
      <c r="S40" s="264"/>
      <c r="T40" s="264"/>
      <c r="U40" s="264"/>
      <c r="V40" s="264"/>
      <c r="W40" s="406"/>
      <c r="X40"/>
      <c r="Y40"/>
      <c r="Z40"/>
      <c r="AA40" s="1663"/>
      <c r="AB40" s="1644"/>
      <c r="AC40" s="1644"/>
      <c r="AD40" s="1644"/>
      <c r="AE40" s="1644"/>
      <c r="AF40" s="1644"/>
      <c r="AG40" s="1644"/>
      <c r="AH40" s="1647"/>
    </row>
    <row r="41" spans="1:34" ht="60.75" customHeight="1" thickBot="1">
      <c r="A41" s="682"/>
      <c r="B41" s="682"/>
      <c r="C41" s="682"/>
      <c r="D41" s="682"/>
      <c r="E41" s="682"/>
      <c r="F41" s="682"/>
      <c r="G41" s="682"/>
      <c r="H41" s="685"/>
      <c r="I41" s="682"/>
      <c r="J41" s="682"/>
      <c r="K41" s="682"/>
      <c r="L41" s="682"/>
      <c r="M41" s="682"/>
      <c r="N41" s="682"/>
      <c r="O41" s="682"/>
      <c r="P41" s="682"/>
      <c r="Q41" s="682"/>
      <c r="R41" s="682"/>
      <c r="S41" s="682"/>
      <c r="T41" s="682"/>
      <c r="U41" s="682"/>
      <c r="V41" s="682"/>
      <c r="W41" s="682"/>
      <c r="AA41" s="682"/>
      <c r="AB41" s="682"/>
      <c r="AC41" s="682"/>
      <c r="AD41" s="682"/>
      <c r="AE41" s="682"/>
      <c r="AF41" s="685"/>
      <c r="AG41" s="682"/>
      <c r="AH41" s="682"/>
    </row>
    <row r="42" spans="1:34" s="78" customFormat="1" ht="24.75" customHeight="1" thickBot="1">
      <c r="A42" s="262"/>
      <c r="B42" s="1258" t="s">
        <v>548</v>
      </c>
      <c r="C42" s="1259"/>
      <c r="D42" s="1259"/>
      <c r="E42" s="1259"/>
      <c r="F42" s="1259"/>
      <c r="G42" s="1259"/>
      <c r="H42" s="1259"/>
      <c r="I42" s="1259"/>
      <c r="J42" s="1259"/>
      <c r="K42" s="1259"/>
      <c r="L42" s="1259"/>
      <c r="M42" s="1259"/>
      <c r="N42" s="1259"/>
      <c r="O42" s="1259"/>
      <c r="P42" s="1259"/>
      <c r="Q42" s="1259"/>
      <c r="R42" s="1259"/>
      <c r="S42" s="1259"/>
      <c r="T42" s="1259"/>
      <c r="U42" s="1259"/>
      <c r="V42" s="1259"/>
      <c r="W42" s="1260"/>
      <c r="X42"/>
      <c r="Y42"/>
      <c r="Z42"/>
      <c r="AA42" s="1258"/>
      <c r="AB42" s="1259"/>
      <c r="AC42" s="1259"/>
      <c r="AD42" s="1259"/>
      <c r="AE42" s="1259"/>
      <c r="AF42" s="1259"/>
      <c r="AG42" s="1259"/>
      <c r="AH42" s="1260"/>
    </row>
    <row r="43" spans="1:34" ht="17.25" customHeight="1">
      <c r="A43" s="682"/>
      <c r="B43" s="1175"/>
      <c r="C43" s="1176"/>
      <c r="D43" s="1176"/>
      <c r="E43" s="1176"/>
      <c r="F43" s="1176"/>
      <c r="G43" s="1176"/>
      <c r="H43" s="1176"/>
      <c r="I43" s="4073" t="s">
        <v>36</v>
      </c>
      <c r="J43" s="3997"/>
      <c r="K43" s="3997"/>
      <c r="L43" s="3997"/>
      <c r="M43" s="3997"/>
      <c r="N43" s="4074" t="s">
        <v>37</v>
      </c>
      <c r="O43" s="4075"/>
      <c r="P43" s="4075"/>
      <c r="Q43" s="4075"/>
      <c r="R43" s="4075"/>
      <c r="S43" s="3960" t="s">
        <v>73</v>
      </c>
      <c r="T43" s="3960"/>
      <c r="U43" s="3960"/>
      <c r="V43" s="3960"/>
      <c r="W43" s="4099"/>
      <c r="X43" s="682"/>
      <c r="Y43" s="682"/>
      <c r="Z43" s="682"/>
      <c r="AA43" s="4073" t="s">
        <v>36</v>
      </c>
      <c r="AB43" s="3997"/>
      <c r="AC43" s="3997"/>
      <c r="AD43" s="3997"/>
      <c r="AE43" s="3997"/>
      <c r="AF43" s="4074" t="s">
        <v>37</v>
      </c>
      <c r="AG43" s="4075"/>
      <c r="AH43" s="4082"/>
    </row>
    <row r="44" spans="1:34" ht="17.25" customHeight="1">
      <c r="A44" s="682"/>
      <c r="B44" s="1177"/>
      <c r="C44" s="1178"/>
      <c r="D44" s="1178"/>
      <c r="E44" s="1178"/>
      <c r="F44" s="1178"/>
      <c r="G44" s="1178"/>
      <c r="H44" s="1178"/>
      <c r="I44" s="3985" t="s">
        <v>543</v>
      </c>
      <c r="J44" s="3986"/>
      <c r="K44" s="3986"/>
      <c r="L44" s="3986"/>
      <c r="M44" s="3986"/>
      <c r="N44" s="3986"/>
      <c r="O44" s="3986"/>
      <c r="P44" s="3987"/>
      <c r="Q44" s="3988" t="str">
        <f>CONCATENATE("$0's, real ",dms_DollarReal)</f>
        <v>$0's, real December 2017</v>
      </c>
      <c r="R44" s="3989"/>
      <c r="S44" s="3989"/>
      <c r="T44" s="3989"/>
      <c r="U44" s="3989"/>
      <c r="V44" s="3989"/>
      <c r="W44" s="3990"/>
      <c r="X44" s="682"/>
      <c r="Y44" s="682"/>
      <c r="Z44" s="682"/>
      <c r="AA44" s="3985" t="str">
        <f>CONCATENATE("$0's, real ",dms_DollarReal)</f>
        <v>$0's, real December 2017</v>
      </c>
      <c r="AB44" s="3986"/>
      <c r="AC44" s="3986"/>
      <c r="AD44" s="3986"/>
      <c r="AE44" s="3986"/>
      <c r="AF44" s="3986"/>
      <c r="AG44" s="3986"/>
      <c r="AH44" s="4030"/>
    </row>
    <row r="45" spans="1:34" ht="17.25" customHeight="1">
      <c r="A45" s="682"/>
      <c r="B45" s="1177"/>
      <c r="C45" s="1178"/>
      <c r="D45" s="1178"/>
      <c r="E45" s="1178"/>
      <c r="F45" s="1178"/>
      <c r="G45" s="1178"/>
      <c r="H45" s="1178"/>
      <c r="I45" s="3985" t="s">
        <v>54</v>
      </c>
      <c r="J45" s="3986"/>
      <c r="K45" s="3986"/>
      <c r="L45" s="3986"/>
      <c r="M45" s="3986"/>
      <c r="N45" s="3986"/>
      <c r="O45" s="3986"/>
      <c r="P45" s="3987"/>
      <c r="Q45" s="3988" t="s">
        <v>55</v>
      </c>
      <c r="R45" s="3989"/>
      <c r="S45" s="3989"/>
      <c r="T45" s="3989"/>
      <c r="U45" s="3989"/>
      <c r="V45" s="3989"/>
      <c r="W45" s="3990"/>
      <c r="X45" s="682"/>
      <c r="Y45" s="682"/>
      <c r="Z45" s="682"/>
      <c r="AA45" s="3985" t="s">
        <v>54</v>
      </c>
      <c r="AB45" s="3986"/>
      <c r="AC45" s="3986"/>
      <c r="AD45" s="3986"/>
      <c r="AE45" s="3986"/>
      <c r="AF45" s="3986"/>
      <c r="AG45" s="3986"/>
      <c r="AH45" s="4030"/>
    </row>
    <row r="46" spans="1:34" ht="17.25" customHeight="1" thickBot="1">
      <c r="A46" s="682"/>
      <c r="B46" s="1177"/>
      <c r="C46" s="1178"/>
      <c r="D46" s="1178"/>
      <c r="E46" s="1178"/>
      <c r="F46" s="1178"/>
      <c r="G46" s="1178"/>
      <c r="H46" s="1178"/>
      <c r="I46" s="1438">
        <f t="array" ref="I46:M46">PRCP</f>
        <v>2008</v>
      </c>
      <c r="J46" s="342">
        <v>2009</v>
      </c>
      <c r="K46" s="342">
        <v>2010</v>
      </c>
      <c r="L46" s="342">
        <v>2011</v>
      </c>
      <c r="M46" s="342">
        <v>2012</v>
      </c>
      <c r="N46" s="344">
        <f>CRCP_y1</f>
        <v>2013</v>
      </c>
      <c r="O46" s="344">
        <f>CRCP_y2</f>
        <v>2014</v>
      </c>
      <c r="P46" s="344">
        <f>CRCP_y3</f>
        <v>2015</v>
      </c>
      <c r="Q46" s="344">
        <f>CRCP_y4</f>
        <v>2016</v>
      </c>
      <c r="R46" s="344">
        <f>CRCP_y5</f>
        <v>2017</v>
      </c>
      <c r="S46" s="342" t="str">
        <f t="array" ref="S46:W46">FRCP</f>
        <v>2018</v>
      </c>
      <c r="T46" s="342">
        <v>2019</v>
      </c>
      <c r="U46" s="342">
        <v>2020</v>
      </c>
      <c r="V46" s="342">
        <v>2021</v>
      </c>
      <c r="W46" s="443">
        <v>2022</v>
      </c>
      <c r="X46" s="682"/>
      <c r="Y46" s="682"/>
      <c r="Z46" s="682"/>
      <c r="AA46" s="1438">
        <f t="array" ref="AA46:AE46">PRCP</f>
        <v>2008</v>
      </c>
      <c r="AB46" s="342">
        <v>2009</v>
      </c>
      <c r="AC46" s="342">
        <v>2010</v>
      </c>
      <c r="AD46" s="342">
        <v>2011</v>
      </c>
      <c r="AE46" s="342">
        <v>2012</v>
      </c>
      <c r="AF46" s="344">
        <f>CRCP_y1</f>
        <v>2013</v>
      </c>
      <c r="AG46" s="344">
        <f>CRCP_y2</f>
        <v>2014</v>
      </c>
      <c r="AH46" s="542">
        <f>CRCP_y3</f>
        <v>2015</v>
      </c>
    </row>
    <row r="47" spans="1:34">
      <c r="A47" s="682"/>
      <c r="B47" s="4331" t="str">
        <f>'[8]15. Related party transactions'!H51</f>
        <v>Connections growth</v>
      </c>
      <c r="C47" s="4332"/>
      <c r="D47" s="4332"/>
      <c r="E47" s="4332"/>
      <c r="F47" s="4332"/>
      <c r="G47" s="4332"/>
      <c r="H47" s="4333"/>
      <c r="I47" s="1369">
        <v>0</v>
      </c>
      <c r="J47" s="409">
        <v>0</v>
      </c>
      <c r="K47" s="409">
        <v>0</v>
      </c>
      <c r="L47" s="409">
        <v>21569.838679245277</v>
      </c>
      <c r="M47" s="505">
        <v>0</v>
      </c>
      <c r="N47" s="2972">
        <v>0</v>
      </c>
      <c r="O47" s="2970">
        <v>0</v>
      </c>
      <c r="P47" s="2970">
        <v>0</v>
      </c>
      <c r="Q47" s="3573">
        <v>0</v>
      </c>
      <c r="R47" s="3573">
        <v>0</v>
      </c>
      <c r="S47" s="3583">
        <v>0</v>
      </c>
      <c r="T47" s="3573">
        <v>0</v>
      </c>
      <c r="U47" s="3573">
        <v>0</v>
      </c>
      <c r="V47" s="3573">
        <v>0</v>
      </c>
      <c r="W47" s="3574">
        <v>0</v>
      </c>
      <c r="X47" s="682"/>
      <c r="Y47" s="682"/>
      <c r="Z47" s="682"/>
      <c r="AA47" s="1521"/>
      <c r="AB47" s="453"/>
      <c r="AC47" s="453"/>
      <c r="AD47" s="453"/>
      <c r="AE47" s="526"/>
      <c r="AF47" s="1730"/>
      <c r="AG47" s="1731"/>
      <c r="AH47" s="1732"/>
    </row>
    <row r="48" spans="1:34">
      <c r="A48" s="682"/>
      <c r="B48" s="4334" t="str">
        <f>'[8]15. Related party transactions'!H52</f>
        <v>Mains augmentation</v>
      </c>
      <c r="C48" s="4335"/>
      <c r="D48" s="4335"/>
      <c r="E48" s="4335"/>
      <c r="F48" s="4335"/>
      <c r="G48" s="4335"/>
      <c r="H48" s="4336"/>
      <c r="I48" s="412">
        <v>0</v>
      </c>
      <c r="J48" s="494">
        <v>0</v>
      </c>
      <c r="K48" s="494">
        <v>0</v>
      </c>
      <c r="L48" s="494">
        <v>108940.20735849056</v>
      </c>
      <c r="M48" s="506">
        <v>0</v>
      </c>
      <c r="N48" s="2973">
        <v>0</v>
      </c>
      <c r="O48" s="2974">
        <v>0</v>
      </c>
      <c r="P48" s="2974">
        <v>0</v>
      </c>
      <c r="Q48" s="3575">
        <v>0</v>
      </c>
      <c r="R48" s="3575">
        <v>0</v>
      </c>
      <c r="S48" s="3577">
        <v>0</v>
      </c>
      <c r="T48" s="3575">
        <v>0</v>
      </c>
      <c r="U48" s="3575">
        <v>0</v>
      </c>
      <c r="V48" s="3575">
        <v>0</v>
      </c>
      <c r="W48" s="3576">
        <v>0</v>
      </c>
      <c r="X48" s="682"/>
      <c r="Y48" s="682"/>
      <c r="Z48" s="682"/>
      <c r="AA48" s="1698"/>
      <c r="AB48" s="1699"/>
      <c r="AC48" s="1699"/>
      <c r="AD48" s="1699"/>
      <c r="AE48" s="1700"/>
      <c r="AF48" s="1733"/>
      <c r="AG48" s="1734"/>
      <c r="AH48" s="1735"/>
    </row>
    <row r="49" spans="1:34">
      <c r="A49" s="682"/>
      <c r="B49" s="4334" t="str">
        <f>'[8]15. Related party transactions'!H53</f>
        <v>Mains replacement</v>
      </c>
      <c r="C49" s="4335"/>
      <c r="D49" s="4335"/>
      <c r="E49" s="4335"/>
      <c r="F49" s="4335"/>
      <c r="G49" s="4335"/>
      <c r="H49" s="4336"/>
      <c r="I49" s="459">
        <v>0</v>
      </c>
      <c r="J49" s="458">
        <v>0</v>
      </c>
      <c r="K49" s="458">
        <v>0</v>
      </c>
      <c r="L49" s="458">
        <v>45554.830754716982</v>
      </c>
      <c r="M49" s="460">
        <v>0</v>
      </c>
      <c r="N49" s="1001">
        <v>0</v>
      </c>
      <c r="O49" s="265">
        <v>0</v>
      </c>
      <c r="P49" s="265">
        <v>0</v>
      </c>
      <c r="Q49" s="2969">
        <v>0</v>
      </c>
      <c r="R49" s="2969">
        <v>0</v>
      </c>
      <c r="S49" s="3313">
        <v>0</v>
      </c>
      <c r="T49" s="2969">
        <v>0</v>
      </c>
      <c r="U49" s="2969">
        <v>0</v>
      </c>
      <c r="V49" s="2969">
        <v>0</v>
      </c>
      <c r="W49" s="3314">
        <v>0</v>
      </c>
      <c r="X49" s="682"/>
      <c r="Y49" s="682"/>
      <c r="Z49" s="682"/>
      <c r="AA49" s="462"/>
      <c r="AB49" s="463"/>
      <c r="AC49" s="463"/>
      <c r="AD49" s="463"/>
      <c r="AE49" s="464"/>
      <c r="AF49" s="773"/>
      <c r="AG49" s="692"/>
      <c r="AH49" s="774"/>
    </row>
    <row r="50" spans="1:34">
      <c r="A50" s="682"/>
      <c r="B50" s="4334" t="str">
        <f>'[8]15. Related party transactions'!H54</f>
        <v>Telemetry</v>
      </c>
      <c r="C50" s="4335"/>
      <c r="D50" s="4335"/>
      <c r="E50" s="4335"/>
      <c r="F50" s="4335"/>
      <c r="G50" s="4335"/>
      <c r="H50" s="4336"/>
      <c r="I50" s="412">
        <v>0</v>
      </c>
      <c r="J50" s="494">
        <v>0</v>
      </c>
      <c r="K50" s="494">
        <v>0</v>
      </c>
      <c r="L50" s="494">
        <v>0</v>
      </c>
      <c r="M50" s="506">
        <v>0</v>
      </c>
      <c r="N50" s="2973">
        <v>0</v>
      </c>
      <c r="O50" s="2974">
        <v>0</v>
      </c>
      <c r="P50" s="2974">
        <v>0</v>
      </c>
      <c r="Q50" s="3575">
        <v>0</v>
      </c>
      <c r="R50" s="3575">
        <v>0</v>
      </c>
      <c r="S50" s="3577">
        <v>0</v>
      </c>
      <c r="T50" s="3575">
        <v>0</v>
      </c>
      <c r="U50" s="3575">
        <v>0</v>
      </c>
      <c r="V50" s="3575">
        <v>0</v>
      </c>
      <c r="W50" s="3576">
        <v>0</v>
      </c>
      <c r="X50" s="682"/>
      <c r="Y50" s="682"/>
      <c r="Z50" s="682"/>
      <c r="AA50" s="1698"/>
      <c r="AB50" s="1699"/>
      <c r="AC50" s="1699"/>
      <c r="AD50" s="1699"/>
      <c r="AE50" s="1700"/>
      <c r="AF50" s="1733"/>
      <c r="AG50" s="1734"/>
      <c r="AH50" s="1735"/>
    </row>
    <row r="51" spans="1:34">
      <c r="A51" s="682"/>
      <c r="B51" s="4334" t="str">
        <f>'[8]15. Related party transactions'!H55</f>
        <v>Meter replacement</v>
      </c>
      <c r="C51" s="4335"/>
      <c r="D51" s="4335"/>
      <c r="E51" s="4335"/>
      <c r="F51" s="4335"/>
      <c r="G51" s="4335"/>
      <c r="H51" s="4336"/>
      <c r="I51" s="412">
        <v>0</v>
      </c>
      <c r="J51" s="494">
        <v>0</v>
      </c>
      <c r="K51" s="494">
        <v>0</v>
      </c>
      <c r="L51" s="494">
        <v>0</v>
      </c>
      <c r="M51" s="506">
        <v>0</v>
      </c>
      <c r="N51" s="2973">
        <v>0</v>
      </c>
      <c r="O51" s="2974">
        <v>0</v>
      </c>
      <c r="P51" s="2974">
        <v>0</v>
      </c>
      <c r="Q51" s="3575">
        <v>0</v>
      </c>
      <c r="R51" s="3575">
        <v>0</v>
      </c>
      <c r="S51" s="3577">
        <v>0</v>
      </c>
      <c r="T51" s="3575">
        <v>0</v>
      </c>
      <c r="U51" s="3575">
        <v>0</v>
      </c>
      <c r="V51" s="3575">
        <v>0</v>
      </c>
      <c r="W51" s="3576">
        <v>0</v>
      </c>
      <c r="X51" s="682"/>
      <c r="Y51" s="682"/>
      <c r="Z51" s="682"/>
      <c r="AA51" s="1698"/>
      <c r="AB51" s="1699"/>
      <c r="AC51" s="1699"/>
      <c r="AD51" s="1699"/>
      <c r="AE51" s="1700"/>
      <c r="AF51" s="1733"/>
      <c r="AG51" s="1734"/>
      <c r="AH51" s="1735"/>
    </row>
    <row r="52" spans="1:34">
      <c r="A52" s="682"/>
      <c r="B52" s="4334" t="str">
        <f>'[8]15. Related party transactions'!H56</f>
        <v>Other distribution system</v>
      </c>
      <c r="C52" s="4335"/>
      <c r="D52" s="4335"/>
      <c r="E52" s="4335"/>
      <c r="F52" s="4335"/>
      <c r="G52" s="4335"/>
      <c r="H52" s="4336"/>
      <c r="I52" s="459">
        <v>0</v>
      </c>
      <c r="J52" s="458">
        <v>0</v>
      </c>
      <c r="K52" s="458">
        <v>0</v>
      </c>
      <c r="L52" s="458">
        <v>2521.1847169811317</v>
      </c>
      <c r="M52" s="460">
        <v>0</v>
      </c>
      <c r="N52" s="1001">
        <v>0</v>
      </c>
      <c r="O52" s="265">
        <v>0</v>
      </c>
      <c r="P52" s="265">
        <v>0</v>
      </c>
      <c r="Q52" s="2969">
        <v>0</v>
      </c>
      <c r="R52" s="2969">
        <v>0</v>
      </c>
      <c r="S52" s="3313">
        <v>0</v>
      </c>
      <c r="T52" s="2969">
        <v>0</v>
      </c>
      <c r="U52" s="2969">
        <v>0</v>
      </c>
      <c r="V52" s="2969">
        <v>0</v>
      </c>
      <c r="W52" s="3314">
        <v>0</v>
      </c>
      <c r="X52" s="682"/>
      <c r="Y52" s="682"/>
      <c r="Z52" s="682"/>
      <c r="AA52" s="462"/>
      <c r="AB52" s="463"/>
      <c r="AC52" s="463"/>
      <c r="AD52" s="463"/>
      <c r="AE52" s="464"/>
      <c r="AF52" s="773"/>
      <c r="AG52" s="692"/>
      <c r="AH52" s="774"/>
    </row>
    <row r="53" spans="1:34">
      <c r="A53" s="682"/>
      <c r="B53" s="4334" t="str">
        <f>'[8]15. Related party transactions'!H57</f>
        <v>Other non-distribution system</v>
      </c>
      <c r="C53" s="4335"/>
      <c r="D53" s="4335"/>
      <c r="E53" s="4335"/>
      <c r="F53" s="4335"/>
      <c r="G53" s="4335"/>
      <c r="H53" s="4336"/>
      <c r="I53" s="412">
        <v>0</v>
      </c>
      <c r="J53" s="494">
        <v>0</v>
      </c>
      <c r="K53" s="494">
        <v>0</v>
      </c>
      <c r="L53" s="494">
        <v>0</v>
      </c>
      <c r="M53" s="506">
        <v>0</v>
      </c>
      <c r="N53" s="2973">
        <v>0</v>
      </c>
      <c r="O53" s="2974">
        <v>0</v>
      </c>
      <c r="P53" s="2974">
        <v>0</v>
      </c>
      <c r="Q53" s="3575">
        <v>0</v>
      </c>
      <c r="R53" s="3575">
        <v>0</v>
      </c>
      <c r="S53" s="3577">
        <v>0</v>
      </c>
      <c r="T53" s="3575">
        <v>0</v>
      </c>
      <c r="U53" s="3575">
        <v>0</v>
      </c>
      <c r="V53" s="3575">
        <v>0</v>
      </c>
      <c r="W53" s="3576">
        <v>0</v>
      </c>
      <c r="X53" s="682"/>
      <c r="Y53" s="682"/>
      <c r="Z53" s="682"/>
      <c r="AA53" s="1698"/>
      <c r="AB53" s="1699"/>
      <c r="AC53" s="1699"/>
      <c r="AD53" s="1699"/>
      <c r="AE53" s="1700"/>
      <c r="AF53" s="1733"/>
      <c r="AG53" s="1734"/>
      <c r="AH53" s="1735"/>
    </row>
    <row r="54" spans="1:34" ht="13.5" thickBot="1">
      <c r="A54" s="682"/>
      <c r="B54" s="4346" t="str">
        <f>'[8]15. Related party transactions'!H58</f>
        <v>IT</v>
      </c>
      <c r="C54" s="4347"/>
      <c r="D54" s="4347"/>
      <c r="E54" s="4347"/>
      <c r="F54" s="4347"/>
      <c r="G54" s="4347"/>
      <c r="H54" s="4348"/>
      <c r="I54" s="1440">
        <v>0</v>
      </c>
      <c r="J54" s="411">
        <v>0</v>
      </c>
      <c r="K54" s="411">
        <v>0</v>
      </c>
      <c r="L54" s="411">
        <v>0</v>
      </c>
      <c r="M54" s="570">
        <v>0</v>
      </c>
      <c r="N54" s="2975">
        <v>0</v>
      </c>
      <c r="O54" s="2971">
        <v>0</v>
      </c>
      <c r="P54" s="2971">
        <v>0</v>
      </c>
      <c r="Q54" s="3317">
        <v>0</v>
      </c>
      <c r="R54" s="3317">
        <v>0</v>
      </c>
      <c r="S54" s="3316">
        <v>0</v>
      </c>
      <c r="T54" s="3317">
        <v>0</v>
      </c>
      <c r="U54" s="3317">
        <v>0</v>
      </c>
      <c r="V54" s="3317">
        <v>0</v>
      </c>
      <c r="W54" s="3318">
        <v>0</v>
      </c>
      <c r="X54" s="682"/>
      <c r="Y54" s="682"/>
      <c r="Z54" s="682"/>
      <c r="AA54" s="1529"/>
      <c r="AB54" s="509"/>
      <c r="AC54" s="509"/>
      <c r="AD54" s="509"/>
      <c r="AE54" s="510"/>
      <c r="AF54" s="1736"/>
      <c r="AG54" s="1737"/>
      <c r="AH54" s="1738"/>
    </row>
    <row r="55" spans="1:34" s="69" customFormat="1" ht="28.5" customHeight="1" thickBot="1">
      <c r="A55" s="314"/>
      <c r="B55" s="4059" t="s">
        <v>121</v>
      </c>
      <c r="C55" s="4349"/>
      <c r="D55" s="4349"/>
      <c r="E55" s="4349"/>
      <c r="F55" s="4349"/>
      <c r="G55" s="4349"/>
      <c r="H55" s="4349"/>
      <c r="I55" s="263" t="s">
        <v>1566</v>
      </c>
      <c r="J55" s="264"/>
      <c r="K55" s="264"/>
      <c r="L55" s="264"/>
      <c r="M55" s="264"/>
      <c r="N55" s="264"/>
      <c r="O55" s="264"/>
      <c r="P55" s="264"/>
      <c r="Q55" s="264"/>
      <c r="R55" s="264"/>
      <c r="S55" s="264"/>
      <c r="T55" s="264"/>
      <c r="U55" s="264"/>
      <c r="V55" s="264"/>
      <c r="W55" s="406"/>
      <c r="X55" s="242"/>
      <c r="Y55" s="242"/>
      <c r="Z55" s="242"/>
      <c r="AA55" s="1663"/>
      <c r="AB55" s="1644"/>
      <c r="AC55" s="1644"/>
      <c r="AD55" s="1644"/>
      <c r="AE55" s="1644"/>
      <c r="AF55" s="1644"/>
      <c r="AG55" s="1644"/>
      <c r="AH55" s="1647"/>
    </row>
    <row r="56" spans="1:34" ht="46.5" customHeight="1" thickBot="1">
      <c r="A56" s="682"/>
      <c r="B56" s="682"/>
      <c r="C56" s="682"/>
      <c r="D56" s="682"/>
      <c r="E56" s="682"/>
      <c r="F56" s="682"/>
      <c r="G56" s="682"/>
      <c r="H56" s="682"/>
      <c r="I56" s="262"/>
      <c r="J56" s="262"/>
      <c r="K56" s="262"/>
      <c r="L56" s="315"/>
      <c r="M56" s="262"/>
      <c r="N56" s="262"/>
      <c r="O56" s="262"/>
      <c r="P56" s="262"/>
      <c r="Q56" s="262"/>
      <c r="R56" s="262"/>
      <c r="S56" s="682"/>
      <c r="T56" s="682"/>
      <c r="U56" s="682"/>
      <c r="V56" s="682"/>
      <c r="W56" s="682"/>
      <c r="X56" s="682"/>
      <c r="Y56" s="682"/>
      <c r="Z56" s="682"/>
      <c r="AA56" s="262"/>
      <c r="AB56" s="262"/>
      <c r="AC56" s="262"/>
      <c r="AD56" s="262"/>
      <c r="AE56" s="262"/>
      <c r="AF56" s="262"/>
      <c r="AG56" s="262"/>
      <c r="AH56" s="262"/>
    </row>
    <row r="57" spans="1:34" s="78" customFormat="1" ht="24.75" customHeight="1" thickBot="1">
      <c r="A57" s="262"/>
      <c r="B57" s="1258" t="s">
        <v>499</v>
      </c>
      <c r="C57" s="1259"/>
      <c r="D57" s="1259"/>
      <c r="E57" s="1259"/>
      <c r="F57" s="1259"/>
      <c r="G57" s="1259"/>
      <c r="H57" s="1259"/>
      <c r="I57" s="1259"/>
      <c r="J57" s="1259"/>
      <c r="K57" s="1259"/>
      <c r="L57" s="1259"/>
      <c r="M57" s="1259"/>
      <c r="N57" s="1259"/>
      <c r="O57" s="1259"/>
      <c r="P57" s="1259"/>
      <c r="Q57" s="1259"/>
      <c r="R57" s="1260"/>
      <c r="S57" s="262"/>
      <c r="T57" s="262"/>
      <c r="U57" s="262"/>
      <c r="V57" s="262"/>
      <c r="W57" s="262"/>
      <c r="X57" s="262"/>
      <c r="Y57"/>
      <c r="Z57"/>
      <c r="AA57" s="1259"/>
      <c r="AB57" s="1259"/>
      <c r="AC57" s="1259"/>
      <c r="AD57" s="1259"/>
      <c r="AE57" s="1259"/>
      <c r="AF57" s="1259"/>
      <c r="AG57" s="1259"/>
      <c r="AH57" s="1259"/>
    </row>
    <row r="58" spans="1:34" ht="17.25" customHeight="1">
      <c r="A58" s="682"/>
      <c r="B58" s="4328"/>
      <c r="C58" s="1755"/>
      <c r="D58" s="1755"/>
      <c r="E58" s="1755"/>
      <c r="F58" s="1755"/>
      <c r="G58" s="1755"/>
      <c r="H58" s="1755"/>
      <c r="I58" s="4098" t="s">
        <v>36</v>
      </c>
      <c r="J58" s="3997"/>
      <c r="K58" s="3997"/>
      <c r="L58" s="3997"/>
      <c r="M58" s="3997"/>
      <c r="N58" s="4074" t="s">
        <v>37</v>
      </c>
      <c r="O58" s="4075"/>
      <c r="P58" s="4075"/>
      <c r="Q58" s="4075"/>
      <c r="R58" s="4082"/>
      <c r="S58" s="682"/>
      <c r="T58" s="682"/>
      <c r="U58" s="682"/>
      <c r="V58" s="682"/>
      <c r="W58" s="682"/>
      <c r="X58" s="682"/>
      <c r="Y58" s="682"/>
      <c r="Z58" s="682"/>
      <c r="AA58" s="4098" t="s">
        <v>36</v>
      </c>
      <c r="AB58" s="3997"/>
      <c r="AC58" s="3997"/>
      <c r="AD58" s="3997"/>
      <c r="AE58" s="3997"/>
      <c r="AF58" s="4074" t="s">
        <v>37</v>
      </c>
      <c r="AG58" s="4075"/>
      <c r="AH58" s="4075"/>
    </row>
    <row r="59" spans="1:34" ht="24.75">
      <c r="A59" s="682"/>
      <c r="B59" s="4329"/>
      <c r="C59" s="1756"/>
      <c r="D59" s="1756"/>
      <c r="E59" s="1756"/>
      <c r="F59" s="1756"/>
      <c r="G59" s="1756"/>
      <c r="H59" s="1756"/>
      <c r="I59" s="3985" t="s">
        <v>543</v>
      </c>
      <c r="J59" s="3986"/>
      <c r="K59" s="3986"/>
      <c r="L59" s="3986"/>
      <c r="M59" s="3986"/>
      <c r="N59" s="3986"/>
      <c r="O59" s="3986"/>
      <c r="P59" s="3986"/>
      <c r="Q59" s="3986"/>
      <c r="R59" s="4030"/>
      <c r="S59"/>
      <c r="T59"/>
      <c r="U59"/>
      <c r="V59"/>
      <c r="W59"/>
      <c r="Y59" s="682"/>
      <c r="Z59" s="682"/>
      <c r="AA59" s="3985" t="s">
        <v>543</v>
      </c>
      <c r="AB59" s="3986"/>
      <c r="AC59" s="3986"/>
      <c r="AD59" s="3986"/>
      <c r="AE59" s="3986"/>
      <c r="AF59" s="3986"/>
      <c r="AG59" s="3986"/>
      <c r="AH59" s="3986"/>
    </row>
    <row r="60" spans="1:34" ht="17.25" customHeight="1">
      <c r="A60" s="682"/>
      <c r="B60" s="4329"/>
      <c r="C60" s="1756"/>
      <c r="D60" s="1756"/>
      <c r="E60" s="1756"/>
      <c r="F60" s="1756"/>
      <c r="G60" s="1756"/>
      <c r="H60" s="1756"/>
      <c r="I60" s="3985" t="s">
        <v>74</v>
      </c>
      <c r="J60" s="3986"/>
      <c r="K60" s="3986"/>
      <c r="L60" s="3986"/>
      <c r="M60" s="3986"/>
      <c r="N60" s="3986"/>
      <c r="O60" s="3986"/>
      <c r="P60" s="3986"/>
      <c r="Q60" s="3986"/>
      <c r="R60" s="4030"/>
      <c r="S60" s="682"/>
      <c r="T60" s="682"/>
      <c r="U60" s="682"/>
      <c r="V60" s="682"/>
      <c r="W60" s="682"/>
      <c r="X60" s="682"/>
      <c r="Y60" s="682"/>
      <c r="Z60" s="682"/>
      <c r="AA60" s="3985" t="s">
        <v>74</v>
      </c>
      <c r="AB60" s="3986"/>
      <c r="AC60" s="3986"/>
      <c r="AD60" s="3986"/>
      <c r="AE60" s="3986"/>
      <c r="AF60" s="3986"/>
      <c r="AG60" s="3986"/>
      <c r="AH60" s="3986"/>
    </row>
    <row r="61" spans="1:34" ht="17.25" customHeight="1" thickBot="1">
      <c r="A61" s="682"/>
      <c r="B61" s="4330"/>
      <c r="C61" s="1690"/>
      <c r="D61" s="1690"/>
      <c r="E61" s="1690"/>
      <c r="F61" s="1690"/>
      <c r="G61" s="1690"/>
      <c r="H61" s="1690"/>
      <c r="I61" s="343">
        <f t="array" ref="I61:M61">PRCP</f>
        <v>2008</v>
      </c>
      <c r="J61" s="342">
        <v>2009</v>
      </c>
      <c r="K61" s="342">
        <v>2010</v>
      </c>
      <c r="L61" s="342">
        <v>2011</v>
      </c>
      <c r="M61" s="342">
        <v>2012</v>
      </c>
      <c r="N61" s="344">
        <f>CRCP_y1</f>
        <v>2013</v>
      </c>
      <c r="O61" s="344">
        <f>CRCP_y2</f>
        <v>2014</v>
      </c>
      <c r="P61" s="344">
        <f>CRCP_y3</f>
        <v>2015</v>
      </c>
      <c r="Q61" s="344">
        <f>CRCP_y4</f>
        <v>2016</v>
      </c>
      <c r="R61" s="542">
        <f>CRCP_y5</f>
        <v>2017</v>
      </c>
      <c r="S61" s="682"/>
      <c r="T61" s="682"/>
      <c r="U61" s="682"/>
      <c r="V61" s="682"/>
      <c r="W61" s="682"/>
      <c r="X61" s="682"/>
      <c r="Y61" s="682"/>
      <c r="Z61" s="682"/>
      <c r="AA61" s="343">
        <f t="array" ref="AA61:AE61">PRCP</f>
        <v>2008</v>
      </c>
      <c r="AB61" s="342">
        <v>2009</v>
      </c>
      <c r="AC61" s="342">
        <v>2010</v>
      </c>
      <c r="AD61" s="342">
        <v>2011</v>
      </c>
      <c r="AE61" s="342">
        <v>2012</v>
      </c>
      <c r="AF61" s="344">
        <f>CRCP_y1</f>
        <v>2013</v>
      </c>
      <c r="AG61" s="344">
        <f>CRCP_y2</f>
        <v>2014</v>
      </c>
      <c r="AH61" s="344">
        <f>CRCP_y3</f>
        <v>2015</v>
      </c>
    </row>
    <row r="62" spans="1:34">
      <c r="A62" s="682"/>
      <c r="B62" s="693" t="s">
        <v>267</v>
      </c>
      <c r="C62" s="706"/>
      <c r="D62" s="706"/>
      <c r="E62" s="706"/>
      <c r="F62" s="706"/>
      <c r="G62" s="706"/>
      <c r="H62" s="706"/>
      <c r="I62" s="535"/>
      <c r="J62" s="536"/>
      <c r="K62" s="536"/>
      <c r="L62" s="536"/>
      <c r="M62" s="537"/>
      <c r="N62" s="770"/>
      <c r="O62" s="771"/>
      <c r="P62" s="771"/>
      <c r="Q62" s="771"/>
      <c r="R62" s="772"/>
      <c r="S62" s="682"/>
      <c r="T62" s="682"/>
      <c r="U62" s="682"/>
      <c r="V62" s="682"/>
      <c r="W62" s="682"/>
      <c r="X62" s="682"/>
      <c r="Y62" s="682"/>
      <c r="Z62" s="682"/>
      <c r="AA62" s="535"/>
      <c r="AB62" s="536"/>
      <c r="AC62" s="536"/>
      <c r="AD62" s="536"/>
      <c r="AE62" s="537"/>
      <c r="AF62" s="770"/>
      <c r="AG62" s="771"/>
      <c r="AH62" s="771"/>
    </row>
    <row r="63" spans="1:34">
      <c r="A63" s="682"/>
      <c r="B63" s="694" t="s">
        <v>267</v>
      </c>
      <c r="C63" s="1689"/>
      <c r="D63" s="1689"/>
      <c r="E63" s="1689"/>
      <c r="F63" s="1689"/>
      <c r="G63" s="1689"/>
      <c r="H63" s="1689"/>
      <c r="I63" s="462"/>
      <c r="J63" s="463"/>
      <c r="K63" s="463"/>
      <c r="L63" s="463"/>
      <c r="M63" s="464"/>
      <c r="N63" s="773"/>
      <c r="O63" s="692"/>
      <c r="P63" s="692"/>
      <c r="Q63" s="692"/>
      <c r="R63" s="774"/>
      <c r="S63" s="682"/>
      <c r="T63" s="682"/>
      <c r="U63" s="682"/>
      <c r="V63" s="682"/>
      <c r="W63" s="682"/>
      <c r="X63" s="682"/>
      <c r="Y63" s="682"/>
      <c r="Z63" s="682"/>
      <c r="AA63" s="462"/>
      <c r="AB63" s="463"/>
      <c r="AC63" s="463"/>
      <c r="AD63" s="463"/>
      <c r="AE63" s="464"/>
      <c r="AF63" s="773"/>
      <c r="AG63" s="692"/>
      <c r="AH63" s="692"/>
    </row>
    <row r="64" spans="1:34">
      <c r="A64" s="682"/>
      <c r="B64" s="694" t="s">
        <v>267</v>
      </c>
      <c r="C64" s="1689"/>
      <c r="D64" s="1689"/>
      <c r="E64" s="1689"/>
      <c r="F64" s="1689"/>
      <c r="G64" s="1689"/>
      <c r="H64" s="1689"/>
      <c r="I64" s="462"/>
      <c r="J64" s="463"/>
      <c r="K64" s="463"/>
      <c r="L64" s="463"/>
      <c r="M64" s="464"/>
      <c r="N64" s="773"/>
      <c r="O64" s="692"/>
      <c r="P64" s="692"/>
      <c r="Q64" s="692"/>
      <c r="R64" s="774"/>
      <c r="S64" s="682"/>
      <c r="T64" s="682"/>
      <c r="U64" s="682"/>
      <c r="V64" s="682"/>
      <c r="W64" s="682"/>
      <c r="X64" s="682"/>
      <c r="Y64" s="682"/>
      <c r="Z64" s="682"/>
      <c r="AA64" s="462"/>
      <c r="AB64" s="463"/>
      <c r="AC64" s="463"/>
      <c r="AD64" s="463"/>
      <c r="AE64" s="464"/>
      <c r="AF64" s="773"/>
      <c r="AG64" s="692"/>
      <c r="AH64" s="692"/>
    </row>
    <row r="65" spans="1:34">
      <c r="A65" s="682"/>
      <c r="B65" s="694" t="s">
        <v>267</v>
      </c>
      <c r="C65" s="1689"/>
      <c r="D65" s="1689"/>
      <c r="E65" s="1689"/>
      <c r="F65" s="1689"/>
      <c r="G65" s="1689"/>
      <c r="H65" s="1689"/>
      <c r="I65" s="462"/>
      <c r="J65" s="463"/>
      <c r="K65" s="463"/>
      <c r="L65" s="463"/>
      <c r="M65" s="464"/>
      <c r="N65" s="773"/>
      <c r="O65" s="692"/>
      <c r="P65" s="692"/>
      <c r="Q65" s="692"/>
      <c r="R65" s="774"/>
      <c r="S65" s="682"/>
      <c r="T65" s="682"/>
      <c r="U65" s="682"/>
      <c r="V65" s="682"/>
      <c r="W65" s="682"/>
      <c r="X65" s="682"/>
      <c r="Y65" s="682"/>
      <c r="Z65" s="682"/>
      <c r="AA65" s="462"/>
      <c r="AB65" s="463"/>
      <c r="AC65" s="463"/>
      <c r="AD65" s="463"/>
      <c r="AE65" s="464"/>
      <c r="AF65" s="773"/>
      <c r="AG65" s="692"/>
      <c r="AH65" s="692"/>
    </row>
    <row r="66" spans="1:34">
      <c r="A66" s="682"/>
      <c r="B66" s="694" t="s">
        <v>267</v>
      </c>
      <c r="C66" s="1689"/>
      <c r="D66" s="1689"/>
      <c r="E66" s="1689"/>
      <c r="F66" s="1689"/>
      <c r="G66" s="1689"/>
      <c r="H66" s="1689"/>
      <c r="I66" s="462"/>
      <c r="J66" s="463"/>
      <c r="K66" s="463"/>
      <c r="L66" s="463"/>
      <c r="M66" s="464"/>
      <c r="N66" s="773"/>
      <c r="O66" s="692"/>
      <c r="P66" s="692"/>
      <c r="Q66" s="692"/>
      <c r="R66" s="774"/>
      <c r="S66" s="682"/>
      <c r="T66" s="682"/>
      <c r="U66" s="682"/>
      <c r="V66" s="682"/>
      <c r="W66" s="682"/>
      <c r="X66" s="682"/>
      <c r="Y66" s="682"/>
      <c r="Z66" s="682"/>
      <c r="AA66" s="462"/>
      <c r="AB66" s="463"/>
      <c r="AC66" s="463"/>
      <c r="AD66" s="463"/>
      <c r="AE66" s="464"/>
      <c r="AF66" s="773"/>
      <c r="AG66" s="692"/>
      <c r="AH66" s="692"/>
    </row>
    <row r="67" spans="1:34" ht="13.5" thickBot="1">
      <c r="A67" s="682"/>
      <c r="B67" s="695" t="s">
        <v>267</v>
      </c>
      <c r="C67" s="707"/>
      <c r="D67" s="707"/>
      <c r="E67" s="707"/>
      <c r="F67" s="707"/>
      <c r="G67" s="707"/>
      <c r="H67" s="707"/>
      <c r="I67" s="767"/>
      <c r="J67" s="768"/>
      <c r="K67" s="768"/>
      <c r="L67" s="768"/>
      <c r="M67" s="769"/>
      <c r="N67" s="775"/>
      <c r="O67" s="776"/>
      <c r="P67" s="776"/>
      <c r="Q67" s="776"/>
      <c r="R67" s="777"/>
      <c r="S67" s="682"/>
      <c r="T67" s="682"/>
      <c r="U67" s="682"/>
      <c r="V67" s="682"/>
      <c r="W67" s="682"/>
      <c r="X67" s="682"/>
      <c r="Y67" s="682"/>
      <c r="Z67" s="682"/>
      <c r="AA67" s="767"/>
      <c r="AB67" s="768"/>
      <c r="AC67" s="768"/>
      <c r="AD67" s="768"/>
      <c r="AE67" s="769"/>
      <c r="AF67" s="775"/>
      <c r="AG67" s="776"/>
      <c r="AH67" s="776"/>
    </row>
    <row r="68" spans="1:34" s="69" customFormat="1" ht="28.5" customHeight="1" thickBot="1">
      <c r="A68" s="314"/>
      <c r="B68" s="1371" t="s">
        <v>121</v>
      </c>
      <c r="C68" s="1688"/>
      <c r="D68" s="1688"/>
      <c r="E68" s="1688"/>
      <c r="F68" s="1688"/>
      <c r="G68" s="1688"/>
      <c r="H68" s="1688"/>
      <c r="I68" s="664"/>
      <c r="J68" s="264"/>
      <c r="K68" s="264"/>
      <c r="L68" s="264"/>
      <c r="M68" s="264"/>
      <c r="N68" s="264"/>
      <c r="O68" s="264"/>
      <c r="P68" s="264"/>
      <c r="Q68" s="264"/>
      <c r="R68" s="406"/>
      <c r="S68"/>
      <c r="T68"/>
      <c r="U68"/>
      <c r="V68"/>
      <c r="X68" s="242"/>
      <c r="Y68" s="242"/>
      <c r="Z68" s="242"/>
      <c r="AA68" s="664"/>
      <c r="AB68" s="264"/>
      <c r="AC68" s="264"/>
      <c r="AD68" s="264"/>
      <c r="AE68" s="264"/>
      <c r="AF68" s="264"/>
      <c r="AG68" s="264"/>
      <c r="AH68" s="264"/>
    </row>
    <row r="69" spans="1:34" ht="42.75" customHeight="1" thickBot="1">
      <c r="A69" s="682"/>
      <c r="B69" s="682"/>
      <c r="C69" s="682"/>
      <c r="D69" s="682"/>
      <c r="E69" s="682"/>
      <c r="F69" s="682"/>
      <c r="G69" s="682"/>
      <c r="H69" s="682"/>
      <c r="I69" s="682"/>
      <c r="J69" s="682"/>
      <c r="K69" s="682"/>
      <c r="L69" s="2982"/>
      <c r="M69" s="682"/>
      <c r="N69" s="685"/>
      <c r="O69" s="682"/>
      <c r="P69" s="682"/>
      <c r="Q69" s="682"/>
      <c r="R69" s="682"/>
      <c r="S69" s="682"/>
      <c r="T69" s="682"/>
      <c r="U69" s="682"/>
      <c r="V69" s="682"/>
      <c r="W69" s="682"/>
      <c r="X69" s="242"/>
      <c r="Y69" s="242"/>
      <c r="Z69" s="242"/>
      <c r="AA69" s="682"/>
      <c r="AB69" s="682"/>
      <c r="AC69" s="682"/>
      <c r="AD69" s="682"/>
      <c r="AE69" s="682"/>
      <c r="AF69" s="685"/>
      <c r="AG69" s="682"/>
      <c r="AH69" s="682"/>
    </row>
    <row r="70" spans="1:34" s="78" customFormat="1" ht="24.75" customHeight="1" thickBot="1">
      <c r="A70" s="262"/>
      <c r="B70" s="1258" t="s">
        <v>549</v>
      </c>
      <c r="C70" s="1259"/>
      <c r="D70" s="1259"/>
      <c r="E70" s="1259"/>
      <c r="F70" s="1259"/>
      <c r="G70" s="1259"/>
      <c r="H70" s="1259"/>
      <c r="I70" s="1259"/>
      <c r="J70" s="1259"/>
      <c r="K70" s="1259"/>
      <c r="L70" s="1259"/>
      <c r="M70" s="1259"/>
      <c r="N70" s="1259"/>
      <c r="O70" s="1259"/>
      <c r="P70" s="1259"/>
      <c r="Q70" s="1259"/>
      <c r="R70" s="1259"/>
      <c r="S70" s="1259"/>
      <c r="T70" s="1259"/>
      <c r="U70" s="1259"/>
      <c r="V70" s="1259"/>
      <c r="W70" s="1260"/>
      <c r="X70" s="262"/>
      <c r="Y70" s="262"/>
      <c r="Z70" s="262"/>
      <c r="AA70"/>
      <c r="AB70"/>
      <c r="AC70"/>
      <c r="AD70"/>
      <c r="AE70"/>
      <c r="AF70"/>
      <c r="AG70"/>
      <c r="AH70"/>
    </row>
    <row r="71" spans="1:34" ht="23.25" customHeight="1">
      <c r="A71" s="682"/>
      <c r="B71" s="1175"/>
      <c r="C71" s="1176"/>
      <c r="D71" s="1176"/>
      <c r="E71" s="1176"/>
      <c r="F71" s="1176"/>
      <c r="G71" s="1176"/>
      <c r="H71" s="1757"/>
      <c r="I71" s="4073" t="s">
        <v>36</v>
      </c>
      <c r="J71" s="3997"/>
      <c r="K71" s="3997"/>
      <c r="L71" s="3997"/>
      <c r="M71" s="3997"/>
      <c r="N71" s="4074" t="s">
        <v>37</v>
      </c>
      <c r="O71" s="4075"/>
      <c r="P71" s="4075"/>
      <c r="Q71" s="4075"/>
      <c r="R71" s="4075"/>
      <c r="S71" s="3960" t="s">
        <v>73</v>
      </c>
      <c r="T71" s="3960"/>
      <c r="U71" s="3960"/>
      <c r="V71" s="3960"/>
      <c r="W71" s="4099"/>
      <c r="X71" s="682"/>
      <c r="Y71" s="682"/>
      <c r="Z71" s="682"/>
      <c r="AA71"/>
      <c r="AB71"/>
      <c r="AC71"/>
      <c r="AD71"/>
      <c r="AE71"/>
      <c r="AF71"/>
      <c r="AG71"/>
      <c r="AH71"/>
    </row>
    <row r="72" spans="1:34" ht="23.25" customHeight="1">
      <c r="A72" s="682"/>
      <c r="B72" s="1177"/>
      <c r="C72" s="1178"/>
      <c r="D72" s="1178"/>
      <c r="E72" s="1178"/>
      <c r="F72" s="1178"/>
      <c r="G72" s="1178"/>
      <c r="H72" s="1758"/>
      <c r="I72" s="3985" t="s">
        <v>348</v>
      </c>
      <c r="J72" s="3986"/>
      <c r="K72" s="3986"/>
      <c r="L72" s="3986"/>
      <c r="M72" s="3986"/>
      <c r="N72" s="3986"/>
      <c r="O72" s="3986"/>
      <c r="P72" s="3986"/>
      <c r="Q72" s="3986"/>
      <c r="R72" s="3986"/>
      <c r="S72" s="3986"/>
      <c r="T72" s="3986"/>
      <c r="U72" s="3986"/>
      <c r="V72" s="3986"/>
      <c r="W72" s="4030"/>
      <c r="X72" s="682"/>
      <c r="Y72" s="682"/>
      <c r="Z72" s="682"/>
      <c r="AA72"/>
      <c r="AB72"/>
      <c r="AC72"/>
      <c r="AD72"/>
      <c r="AE72"/>
      <c r="AF72"/>
      <c r="AG72"/>
      <c r="AH72"/>
    </row>
    <row r="73" spans="1:34" ht="23.25" customHeight="1">
      <c r="A73" s="682"/>
      <c r="B73" s="1177"/>
      <c r="C73" s="1178"/>
      <c r="D73" s="1178"/>
      <c r="E73" s="1178"/>
      <c r="F73" s="1178"/>
      <c r="G73" s="1178"/>
      <c r="H73" s="1758"/>
      <c r="I73" s="3985" t="s">
        <v>54</v>
      </c>
      <c r="J73" s="3986"/>
      <c r="K73" s="3986"/>
      <c r="L73" s="3986"/>
      <c r="M73" s="3986"/>
      <c r="N73" s="3986"/>
      <c r="O73" s="3986"/>
      <c r="P73" s="3987"/>
      <c r="Q73" s="3988" t="s">
        <v>55</v>
      </c>
      <c r="R73" s="3989"/>
      <c r="S73" s="3989"/>
      <c r="T73" s="3989"/>
      <c r="U73" s="3989"/>
      <c r="V73" s="3989"/>
      <c r="W73" s="3990"/>
      <c r="X73" s="682"/>
      <c r="Y73" s="682"/>
      <c r="Z73" s="682"/>
      <c r="AA73"/>
      <c r="AB73"/>
      <c r="AC73"/>
      <c r="AD73"/>
      <c r="AE73"/>
      <c r="AF73"/>
      <c r="AG73"/>
      <c r="AH73"/>
    </row>
    <row r="74" spans="1:34" ht="23.25" customHeight="1" thickBot="1">
      <c r="A74" s="682"/>
      <c r="B74" s="1177"/>
      <c r="C74" s="1178"/>
      <c r="D74" s="1178"/>
      <c r="E74" s="1178"/>
      <c r="F74" s="1178"/>
      <c r="G74" s="1178"/>
      <c r="H74" s="1758"/>
      <c r="I74" s="1438">
        <f t="array" ref="I74:M74">PRCP</f>
        <v>2008</v>
      </c>
      <c r="J74" s="342">
        <v>2009</v>
      </c>
      <c r="K74" s="342">
        <v>2010</v>
      </c>
      <c r="L74" s="342">
        <v>2011</v>
      </c>
      <c r="M74" s="342">
        <v>2012</v>
      </c>
      <c r="N74" s="344">
        <f>CRCP_y1</f>
        <v>2013</v>
      </c>
      <c r="O74" s="344">
        <f>CRCP_y2</f>
        <v>2014</v>
      </c>
      <c r="P74" s="344">
        <f>CRCP_y3</f>
        <v>2015</v>
      </c>
      <c r="Q74" s="344">
        <f>CRCP_y4</f>
        <v>2016</v>
      </c>
      <c r="R74" s="344">
        <f>CRCP_y5</f>
        <v>2017</v>
      </c>
      <c r="S74" s="342" t="str">
        <f t="array" ref="S74:W74">FRCP</f>
        <v>2018</v>
      </c>
      <c r="T74" s="342">
        <v>2019</v>
      </c>
      <c r="U74" s="342">
        <v>2020</v>
      </c>
      <c r="V74" s="342">
        <v>2021</v>
      </c>
      <c r="W74" s="443">
        <v>2022</v>
      </c>
      <c r="X74" s="682"/>
      <c r="Y74" s="682"/>
      <c r="Z74" s="682"/>
      <c r="AA74"/>
      <c r="AB74"/>
      <c r="AC74"/>
      <c r="AD74"/>
      <c r="AE74"/>
      <c r="AF74"/>
      <c r="AG74"/>
      <c r="AH74"/>
    </row>
    <row r="75" spans="1:34">
      <c r="A75" s="682"/>
      <c r="B75" s="4320" t="s">
        <v>1321</v>
      </c>
      <c r="C75" s="4321"/>
      <c r="D75" s="4321"/>
      <c r="E75" s="4321"/>
      <c r="F75" s="4321"/>
      <c r="G75" s="4321"/>
      <c r="H75" s="4322"/>
      <c r="I75" s="2976">
        <f>'[8]15. Related party transactions'!I80</f>
        <v>0</v>
      </c>
      <c r="J75" s="2977">
        <f>'[8]15. Related party transactions'!J80</f>
        <v>1.1951049428832744E-2</v>
      </c>
      <c r="K75" s="2977">
        <f>'[8]15. Related party transactions'!K80</f>
        <v>1.1272710132287284E-2</v>
      </c>
      <c r="L75" s="2977">
        <f>'[8]15. Related party transactions'!L80</f>
        <v>1.2378567079651476E-2</v>
      </c>
      <c r="M75" s="2978">
        <f>'[8]15. Related party transactions'!M80</f>
        <v>1.1898076726630371E-2</v>
      </c>
      <c r="N75" s="2979">
        <f>'[8]15. Related party transactions'!N80</f>
        <v>1.4090269322571609E-2</v>
      </c>
      <c r="O75" s="2977">
        <f>'[8]15. Related party transactions'!O80</f>
        <v>1.6776109918062267E-3</v>
      </c>
      <c r="P75" s="2977">
        <f>'[8]15. Related party transactions'!P80</f>
        <v>0</v>
      </c>
      <c r="Q75" s="752">
        <v>0</v>
      </c>
      <c r="R75" s="752">
        <v>0</v>
      </c>
      <c r="S75" s="751">
        <v>0</v>
      </c>
      <c r="T75" s="752">
        <v>0</v>
      </c>
      <c r="U75" s="752">
        <v>0</v>
      </c>
      <c r="V75" s="752">
        <v>0</v>
      </c>
      <c r="W75" s="753">
        <v>0</v>
      </c>
      <c r="X75" s="682"/>
      <c r="Y75" s="682"/>
      <c r="Z75" s="682"/>
      <c r="AA75"/>
      <c r="AB75"/>
      <c r="AC75"/>
      <c r="AD75"/>
      <c r="AE75"/>
      <c r="AF75"/>
      <c r="AG75"/>
      <c r="AH75"/>
    </row>
    <row r="76" spans="1:34">
      <c r="A76" s="682"/>
      <c r="B76" s="4323" t="s">
        <v>1322</v>
      </c>
      <c r="C76" s="4324"/>
      <c r="D76" s="4324"/>
      <c r="E76" s="4324"/>
      <c r="F76" s="4324"/>
      <c r="G76" s="4324"/>
      <c r="H76" s="4325"/>
      <c r="I76" s="2980">
        <f>'[8]15. Related party transactions'!I81</f>
        <v>1.4802209417274309E-2</v>
      </c>
      <c r="J76" s="2981">
        <f>'[8]15. Related party transactions'!J81</f>
        <v>1.1951049428832744E-2</v>
      </c>
      <c r="K76" s="2981">
        <f>'[8]15. Related party transactions'!K81</f>
        <v>1.1272710132287285E-2</v>
      </c>
      <c r="L76" s="2981">
        <f>'[8]15. Related party transactions'!L81</f>
        <v>9.1835834845577488E-2</v>
      </c>
      <c r="M76" s="277">
        <f>'[8]15. Related party transactions'!M81</f>
        <v>4.2490857812392646E-2</v>
      </c>
      <c r="N76" s="2980">
        <f>'[8]15. Related party transactions'!N81</f>
        <v>2.8951497134396209E-2</v>
      </c>
      <c r="O76" s="2981">
        <f>'[8]15. Related party transactions'!O81</f>
        <v>2.766423255879506E-3</v>
      </c>
      <c r="P76" s="2981">
        <f>'[8]15. Related party transactions'!P81</f>
        <v>0</v>
      </c>
      <c r="Q76" s="680">
        <v>0</v>
      </c>
      <c r="R76" s="680">
        <v>0</v>
      </c>
      <c r="S76" s="754">
        <v>0</v>
      </c>
      <c r="T76" s="680">
        <v>0</v>
      </c>
      <c r="U76" s="680">
        <v>0</v>
      </c>
      <c r="V76" s="680">
        <v>0</v>
      </c>
      <c r="W76" s="755">
        <v>0</v>
      </c>
      <c r="X76" s="682"/>
      <c r="Y76" s="682"/>
      <c r="Z76" s="682"/>
      <c r="AA76"/>
      <c r="AB76"/>
      <c r="AC76"/>
      <c r="AD76"/>
      <c r="AE76"/>
      <c r="AF76"/>
      <c r="AG76"/>
      <c r="AH76"/>
    </row>
    <row r="77" spans="1:34">
      <c r="A77" s="682"/>
      <c r="B77" s="4323" t="s">
        <v>1323</v>
      </c>
      <c r="C77" s="4324"/>
      <c r="D77" s="4324"/>
      <c r="E77" s="4324"/>
      <c r="F77" s="4324"/>
      <c r="G77" s="4324"/>
      <c r="H77" s="4325"/>
      <c r="I77" s="2980">
        <f>'[8]15. Related party transactions'!I82</f>
        <v>1.4802209417274311E-2</v>
      </c>
      <c r="J77" s="2981">
        <f>'[8]15. Related party transactions'!J82</f>
        <v>1.1951049428832744E-2</v>
      </c>
      <c r="K77" s="2981">
        <f>'[8]15. Related party transactions'!K82</f>
        <v>1.1272710132287284E-2</v>
      </c>
      <c r="L77" s="2981">
        <f>'[8]15. Related party transactions'!L82</f>
        <v>1.275683627697992E-2</v>
      </c>
      <c r="M77" s="277">
        <f>'[8]15. Related party transactions'!M82</f>
        <v>1.1898076726630371E-2</v>
      </c>
      <c r="N77" s="2980">
        <f>'[8]15. Related party transactions'!N82</f>
        <v>5.1780438581403999E-2</v>
      </c>
      <c r="O77" s="2981">
        <f>'[8]15. Related party transactions'!O82</f>
        <v>1.6776109918062267E-3</v>
      </c>
      <c r="P77" s="2981">
        <f>'[8]15. Related party transactions'!P82</f>
        <v>0</v>
      </c>
      <c r="Q77" s="680">
        <v>0</v>
      </c>
      <c r="R77" s="680">
        <v>0</v>
      </c>
      <c r="S77" s="754">
        <v>0</v>
      </c>
      <c r="T77" s="680">
        <v>0</v>
      </c>
      <c r="U77" s="680">
        <v>0</v>
      </c>
      <c r="V77" s="680">
        <v>0</v>
      </c>
      <c r="W77" s="755">
        <v>0</v>
      </c>
      <c r="X77" s="682"/>
      <c r="Y77" s="682"/>
      <c r="Z77" s="682"/>
      <c r="AA77"/>
      <c r="AB77"/>
      <c r="AC77"/>
      <c r="AD77"/>
      <c r="AE77"/>
      <c r="AF77"/>
      <c r="AG77"/>
      <c r="AH77"/>
    </row>
    <row r="78" spans="1:34">
      <c r="A78" s="682"/>
      <c r="B78" s="4323" t="s">
        <v>1324</v>
      </c>
      <c r="C78" s="4324"/>
      <c r="D78" s="4324"/>
      <c r="E78" s="4324"/>
      <c r="F78" s="4324"/>
      <c r="G78" s="4324"/>
      <c r="H78" s="4325"/>
      <c r="I78" s="2980">
        <f>'[8]15. Related party transactions'!I83</f>
        <v>1.4802209417274309E-2</v>
      </c>
      <c r="J78" s="2981">
        <f>'[8]15. Related party transactions'!J83</f>
        <v>1.1951049428832742E-2</v>
      </c>
      <c r="K78" s="2981">
        <f>'[8]15. Related party transactions'!K83</f>
        <v>0</v>
      </c>
      <c r="L78" s="2981">
        <f>'[8]15. Related party transactions'!L83</f>
        <v>1.2378567079651475E-2</v>
      </c>
      <c r="M78" s="277">
        <f>'[8]15. Related party transactions'!M83</f>
        <v>0.14956513100769725</v>
      </c>
      <c r="N78" s="2980">
        <f>'[8]15. Related party transactions'!N83</f>
        <v>0.24395707943698697</v>
      </c>
      <c r="O78" s="2981">
        <f>'[8]15. Related party transactions'!O83</f>
        <v>0.40943036777023395</v>
      </c>
      <c r="P78" s="2981">
        <f>'[8]15. Related party transactions'!P83</f>
        <v>0</v>
      </c>
      <c r="Q78" s="680">
        <v>0</v>
      </c>
      <c r="R78" s="680">
        <v>0</v>
      </c>
      <c r="S78" s="754">
        <v>0</v>
      </c>
      <c r="T78" s="680">
        <v>0</v>
      </c>
      <c r="U78" s="680">
        <v>0</v>
      </c>
      <c r="V78" s="680">
        <v>0</v>
      </c>
      <c r="W78" s="755">
        <v>0</v>
      </c>
      <c r="X78" s="682"/>
      <c r="Y78" s="682"/>
      <c r="Z78" s="682"/>
      <c r="AA78" s="1172"/>
      <c r="AB78" s="1172"/>
      <c r="AC78" s="1172"/>
      <c r="AD78" s="1172"/>
      <c r="AE78" s="1172"/>
      <c r="AF78" s="1172"/>
      <c r="AG78" s="1172"/>
      <c r="AH78" s="1172"/>
    </row>
    <row r="79" spans="1:34">
      <c r="A79" s="682"/>
      <c r="B79" s="4323" t="s">
        <v>1412</v>
      </c>
      <c r="C79" s="4324"/>
      <c r="D79" s="4324"/>
      <c r="E79" s="4324"/>
      <c r="F79" s="4324"/>
      <c r="G79" s="4324"/>
      <c r="H79" s="4325"/>
      <c r="I79" s="2980">
        <f>'[8]15. Related party transactions'!I84</f>
        <v>1.4802209417274311E-2</v>
      </c>
      <c r="J79" s="2981">
        <f>'[8]15. Related party transactions'!J84</f>
        <v>1.1951049428832745E-2</v>
      </c>
      <c r="K79" s="2981">
        <f>'[8]15. Related party transactions'!K84</f>
        <v>1.1272710132287284E-2</v>
      </c>
      <c r="L79" s="2981">
        <f>'[8]15. Related party transactions'!L84</f>
        <v>4.7909081202738645E-2</v>
      </c>
      <c r="M79" s="277">
        <f>'[8]15. Related party transactions'!M84</f>
        <v>0.33998160673081801</v>
      </c>
      <c r="N79" s="2980">
        <f>'[8]15. Related party transactions'!N84</f>
        <v>0.55842200537293329</v>
      </c>
      <c r="O79" s="2981">
        <f>'[8]15. Related party transactions'!O84</f>
        <v>0.30643947593577481</v>
      </c>
      <c r="P79" s="2981">
        <f>'[8]15. Related party transactions'!P84</f>
        <v>0</v>
      </c>
      <c r="Q79" s="680">
        <v>0</v>
      </c>
      <c r="R79" s="680">
        <v>0</v>
      </c>
      <c r="S79" s="754">
        <v>0</v>
      </c>
      <c r="T79" s="680">
        <v>0</v>
      </c>
      <c r="U79" s="680">
        <v>0</v>
      </c>
      <c r="V79" s="680">
        <v>0</v>
      </c>
      <c r="W79" s="755">
        <v>0</v>
      </c>
      <c r="X79" s="682"/>
      <c r="Y79" s="682"/>
      <c r="Z79" s="682"/>
      <c r="AA79"/>
      <c r="AB79"/>
      <c r="AC79"/>
      <c r="AD79"/>
      <c r="AE79"/>
      <c r="AF79"/>
      <c r="AG79"/>
      <c r="AH79"/>
    </row>
    <row r="80" spans="1:34">
      <c r="A80" s="682"/>
      <c r="B80" s="4323" t="s">
        <v>61</v>
      </c>
      <c r="C80" s="4324"/>
      <c r="D80" s="4324"/>
      <c r="E80" s="4324"/>
      <c r="F80" s="4324"/>
      <c r="G80" s="4324"/>
      <c r="H80" s="4325"/>
      <c r="I80" s="2980">
        <f>'[8]15. Related party transactions'!I85</f>
        <v>1.4802209417274313E-2</v>
      </c>
      <c r="J80" s="2981">
        <f>'[8]15. Related party transactions'!J85</f>
        <v>1.1951049428832745E-2</v>
      </c>
      <c r="K80" s="2981">
        <f>'[8]15. Related party transactions'!K85</f>
        <v>1.1272710132287284E-2</v>
      </c>
      <c r="L80" s="2981">
        <f>'[8]15. Related party transactions'!L85</f>
        <v>1.2378567079651476E-2</v>
      </c>
      <c r="M80" s="277">
        <f>'[8]15. Related party transactions'!M85</f>
        <v>1.1898076726630371E-2</v>
      </c>
      <c r="N80" s="2980">
        <f>'[8]15. Related party transactions'!N85</f>
        <v>1.4090269322571606E-2</v>
      </c>
      <c r="O80" s="2981">
        <f>'[8]15. Related party transactions'!O85</f>
        <v>1.6776109918062267E-3</v>
      </c>
      <c r="P80" s="2981">
        <f>'[8]15. Related party transactions'!P85</f>
        <v>0</v>
      </c>
      <c r="Q80" s="680">
        <v>0</v>
      </c>
      <c r="R80" s="680">
        <v>0</v>
      </c>
      <c r="S80" s="754">
        <v>0</v>
      </c>
      <c r="T80" s="680">
        <v>0</v>
      </c>
      <c r="U80" s="680">
        <v>0</v>
      </c>
      <c r="V80" s="680">
        <v>0</v>
      </c>
      <c r="W80" s="755">
        <v>0</v>
      </c>
      <c r="X80" s="682"/>
      <c r="Y80" s="682"/>
      <c r="Z80" s="682"/>
      <c r="AA80"/>
      <c r="AB80"/>
      <c r="AC80"/>
      <c r="AD80"/>
      <c r="AE80"/>
      <c r="AF80"/>
      <c r="AG80"/>
      <c r="AH80"/>
    </row>
    <row r="81" spans="1:34">
      <c r="A81" s="682"/>
      <c r="B81" s="4323" t="s">
        <v>1325</v>
      </c>
      <c r="C81" s="4324"/>
      <c r="D81" s="4324"/>
      <c r="E81" s="4324"/>
      <c r="F81" s="4324"/>
      <c r="G81" s="4324"/>
      <c r="H81" s="4325"/>
      <c r="I81" s="2980">
        <f>'[8]15. Related party transactions'!I86</f>
        <v>1.4802209417274309E-2</v>
      </c>
      <c r="J81" s="2981">
        <f>'[8]15. Related party transactions'!J86</f>
        <v>1.1951049428832745E-2</v>
      </c>
      <c r="K81" s="2981">
        <f>'[8]15. Related party transactions'!K86</f>
        <v>1.1272710132287284E-2</v>
      </c>
      <c r="L81" s="2981">
        <f>'[8]15. Related party transactions'!L86</f>
        <v>1.2378567079651475E-2</v>
      </c>
      <c r="M81" s="277">
        <f>'[8]15. Related party transactions'!M86</f>
        <v>0.10803787652871118</v>
      </c>
      <c r="N81" s="2980">
        <f>'[8]15. Related party transactions'!N86</f>
        <v>0.1176519822377529</v>
      </c>
      <c r="O81" s="2981">
        <f>'[8]15. Related party transactions'!O86</f>
        <v>4.5639886196883084E-2</v>
      </c>
      <c r="P81" s="2981">
        <f>'[8]15. Related party transactions'!P86</f>
        <v>0</v>
      </c>
      <c r="Q81" s="680">
        <v>0</v>
      </c>
      <c r="R81" s="680">
        <v>0</v>
      </c>
      <c r="S81" s="754">
        <v>0</v>
      </c>
      <c r="T81" s="680">
        <v>0</v>
      </c>
      <c r="U81" s="680">
        <v>0</v>
      </c>
      <c r="V81" s="680">
        <v>0</v>
      </c>
      <c r="W81" s="755">
        <v>0</v>
      </c>
      <c r="X81" s="682"/>
      <c r="Y81" s="682"/>
      <c r="Z81" s="682"/>
      <c r="AA81"/>
      <c r="AB81"/>
      <c r="AC81"/>
      <c r="AD81"/>
      <c r="AE81"/>
      <c r="AF81"/>
      <c r="AG81"/>
      <c r="AH81"/>
    </row>
    <row r="82" spans="1:34">
      <c r="A82" s="682"/>
      <c r="B82" s="2835"/>
      <c r="C82" s="2836"/>
      <c r="D82" s="2836"/>
      <c r="E82" s="2836"/>
      <c r="F82" s="2836"/>
      <c r="G82" s="2836"/>
      <c r="H82" s="2837" t="s">
        <v>1326</v>
      </c>
      <c r="I82" s="2980">
        <f>'[8]15. Related party transactions'!I87</f>
        <v>0</v>
      </c>
      <c r="J82" s="2981">
        <f>'[8]15. Related party transactions'!J87</f>
        <v>0</v>
      </c>
      <c r="K82" s="2981">
        <f>'[8]15. Related party transactions'!K87</f>
        <v>0</v>
      </c>
      <c r="L82" s="2981">
        <f>'[8]15. Related party transactions'!L87</f>
        <v>0</v>
      </c>
      <c r="M82" s="277">
        <f>'[8]15. Related party transactions'!M87</f>
        <v>0</v>
      </c>
      <c r="N82" s="2980">
        <f>'[8]15. Related party transactions'!N87</f>
        <v>0</v>
      </c>
      <c r="O82" s="2981">
        <f>'[8]15. Related party transactions'!O87</f>
        <v>0</v>
      </c>
      <c r="P82" s="2981">
        <f>'[8]15. Related party transactions'!P87</f>
        <v>0</v>
      </c>
      <c r="Q82" s="680">
        <v>0</v>
      </c>
      <c r="R82" s="680">
        <v>0</v>
      </c>
      <c r="S82" s="754">
        <v>0</v>
      </c>
      <c r="T82" s="680">
        <v>0</v>
      </c>
      <c r="U82" s="680">
        <v>0</v>
      </c>
      <c r="V82" s="680">
        <v>0</v>
      </c>
      <c r="W82" s="755">
        <v>0</v>
      </c>
      <c r="X82" s="682"/>
      <c r="Y82" s="682"/>
      <c r="Z82" s="682"/>
      <c r="AA82" s="1172"/>
      <c r="AB82" s="1172"/>
      <c r="AC82" s="1172"/>
      <c r="AD82" s="1172"/>
      <c r="AE82" s="1172"/>
      <c r="AF82" s="1172"/>
      <c r="AG82" s="1172"/>
      <c r="AH82" s="1172"/>
    </row>
    <row r="83" spans="1:34">
      <c r="A83" s="682"/>
      <c r="B83" s="2835"/>
      <c r="C83" s="2836"/>
      <c r="D83" s="2836"/>
      <c r="E83" s="2836"/>
      <c r="F83" s="2836"/>
      <c r="G83" s="2836"/>
      <c r="H83" s="2837" t="s">
        <v>1327</v>
      </c>
      <c r="I83" s="2980">
        <f>'[8]15. Related party transactions'!I88</f>
        <v>0</v>
      </c>
      <c r="J83" s="2981">
        <f>'[8]15. Related party transactions'!J88</f>
        <v>0.31096031628000981</v>
      </c>
      <c r="K83" s="2981">
        <f>'[8]15. Related party transactions'!K88</f>
        <v>0.28832611793305146</v>
      </c>
      <c r="L83" s="2981">
        <f>'[8]15. Related party transactions'!L88</f>
        <v>0.58160019634665028</v>
      </c>
      <c r="M83" s="277">
        <f>'[8]15. Related party transactions'!M88</f>
        <v>0.13437029444566018</v>
      </c>
      <c r="N83" s="2980">
        <f>'[8]15. Related party transactions'!N88</f>
        <v>9.4305158051144991E-2</v>
      </c>
      <c r="O83" s="2981">
        <f>'[8]15. Related party transactions'!O88</f>
        <v>2.893206134012909E-2</v>
      </c>
      <c r="P83" s="2981">
        <f>'[8]15. Related party transactions'!P88</f>
        <v>0</v>
      </c>
      <c r="Q83" s="680">
        <v>0</v>
      </c>
      <c r="R83" s="680">
        <v>0</v>
      </c>
      <c r="S83" s="754">
        <v>0</v>
      </c>
      <c r="T83" s="680">
        <v>0</v>
      </c>
      <c r="U83" s="680">
        <v>0</v>
      </c>
      <c r="V83" s="680">
        <v>0</v>
      </c>
      <c r="W83" s="755">
        <v>0</v>
      </c>
      <c r="X83" s="682"/>
      <c r="Y83" s="682"/>
      <c r="Z83" s="682"/>
      <c r="AA83" s="1172"/>
      <c r="AB83" s="1172"/>
      <c r="AC83" s="1172"/>
      <c r="AD83" s="1172"/>
      <c r="AE83" s="1172"/>
      <c r="AF83" s="1172"/>
      <c r="AG83" s="1172"/>
      <c r="AH83" s="1172"/>
    </row>
    <row r="84" spans="1:34">
      <c r="A84" s="682"/>
      <c r="B84" s="2835"/>
      <c r="C84" s="2836"/>
      <c r="D84" s="2836"/>
      <c r="E84" s="2836"/>
      <c r="F84" s="2836"/>
      <c r="G84" s="2836"/>
      <c r="H84" s="2837" t="s">
        <v>1413</v>
      </c>
      <c r="I84" s="2980">
        <f>'[8]15. Related party transactions'!I89</f>
        <v>0</v>
      </c>
      <c r="J84" s="2981">
        <f>'[8]15. Related party transactions'!J89</f>
        <v>0</v>
      </c>
      <c r="K84" s="2981">
        <f>'[8]15. Related party transactions'!K89</f>
        <v>0</v>
      </c>
      <c r="L84" s="2981">
        <f>'[8]15. Related party transactions'!L89</f>
        <v>0</v>
      </c>
      <c r="M84" s="277">
        <f>'[8]15. Related party transactions'!M89</f>
        <v>0</v>
      </c>
      <c r="N84" s="2980">
        <f>'[8]15. Related party transactions'!N89</f>
        <v>0</v>
      </c>
      <c r="O84" s="2981">
        <f>'[8]15. Related party transactions'!O89</f>
        <v>0</v>
      </c>
      <c r="P84" s="2981">
        <f>'[8]15. Related party transactions'!P89</f>
        <v>0</v>
      </c>
      <c r="Q84" s="680">
        <v>0</v>
      </c>
      <c r="R84" s="680">
        <v>0</v>
      </c>
      <c r="S84" s="754">
        <v>0</v>
      </c>
      <c r="T84" s="680">
        <v>0</v>
      </c>
      <c r="U84" s="680">
        <v>0</v>
      </c>
      <c r="V84" s="680">
        <v>0</v>
      </c>
      <c r="W84" s="755">
        <v>0</v>
      </c>
      <c r="X84" s="682"/>
      <c r="Y84" s="682"/>
      <c r="Z84" s="682"/>
      <c r="AA84" s="1172"/>
      <c r="AB84" s="1172"/>
      <c r="AC84" s="1172"/>
      <c r="AD84" s="1172"/>
      <c r="AE84" s="1172"/>
      <c r="AF84" s="1172"/>
      <c r="AG84" s="1172"/>
      <c r="AH84" s="1172"/>
    </row>
    <row r="85" spans="1:34" ht="13.5" thickBot="1">
      <c r="A85" s="682"/>
      <c r="B85" s="4311" t="s">
        <v>509</v>
      </c>
      <c r="C85" s="4312"/>
      <c r="D85" s="4312"/>
      <c r="E85" s="4312"/>
      <c r="F85" s="4312"/>
      <c r="G85" s="4312"/>
      <c r="H85" s="4313"/>
      <c r="I85" s="2980">
        <f>'[8]15. Related party transactions'!I90</f>
        <v>0</v>
      </c>
      <c r="J85" s="2981">
        <f>'[8]15. Related party transactions'!J90</f>
        <v>0</v>
      </c>
      <c r="K85" s="2981">
        <f>'[8]15. Related party transactions'!K90</f>
        <v>0</v>
      </c>
      <c r="L85" s="2981">
        <f>'[8]15. Related party transactions'!L90</f>
        <v>0</v>
      </c>
      <c r="M85" s="277">
        <f>'[8]15. Related party transactions'!M90</f>
        <v>0</v>
      </c>
      <c r="N85" s="2980">
        <f>'[8]15. Related party transactions'!N90</f>
        <v>0</v>
      </c>
      <c r="O85" s="2981">
        <f>'[8]15. Related party transactions'!O90</f>
        <v>0</v>
      </c>
      <c r="P85" s="2981">
        <f>'[8]15. Related party transactions'!P90</f>
        <v>0</v>
      </c>
      <c r="Q85" s="680">
        <v>0</v>
      </c>
      <c r="R85" s="680">
        <v>0</v>
      </c>
      <c r="S85" s="754">
        <v>0</v>
      </c>
      <c r="T85" s="680">
        <v>0</v>
      </c>
      <c r="U85" s="680">
        <v>0</v>
      </c>
      <c r="V85" s="680">
        <v>0</v>
      </c>
      <c r="W85" s="755">
        <v>0</v>
      </c>
      <c r="X85" s="682"/>
      <c r="Y85" s="682"/>
      <c r="Z85" s="682"/>
      <c r="AA85"/>
      <c r="AB85"/>
      <c r="AC85"/>
      <c r="AD85"/>
      <c r="AE85"/>
      <c r="AF85"/>
      <c r="AG85"/>
      <c r="AH85"/>
    </row>
    <row r="86" spans="1:34" s="69" customFormat="1" ht="28.5" customHeight="1" thickBot="1">
      <c r="A86" s="314"/>
      <c r="B86" s="4350" t="s">
        <v>121</v>
      </c>
      <c r="C86" s="4351"/>
      <c r="D86" s="4351"/>
      <c r="E86" s="4351"/>
      <c r="F86" s="4351"/>
      <c r="G86" s="4351"/>
      <c r="H86" s="4352"/>
      <c r="I86" s="263" t="s">
        <v>1568</v>
      </c>
      <c r="J86" s="264"/>
      <c r="K86" s="264"/>
      <c r="L86" s="264"/>
      <c r="M86" s="264"/>
      <c r="N86" s="264"/>
      <c r="O86" s="264"/>
      <c r="P86" s="264"/>
      <c r="Q86" s="264"/>
      <c r="R86" s="264"/>
      <c r="S86" s="264"/>
      <c r="T86" s="264"/>
      <c r="U86" s="264"/>
      <c r="V86" s="264"/>
      <c r="W86" s="406"/>
      <c r="X86" s="242"/>
      <c r="Y86" s="242"/>
      <c r="Z86" s="242"/>
      <c r="AA86"/>
      <c r="AB86"/>
      <c r="AC86"/>
      <c r="AD86"/>
      <c r="AE86"/>
      <c r="AF86"/>
      <c r="AG86"/>
      <c r="AH86"/>
    </row>
    <row r="87" spans="1:34" ht="66" customHeight="1" thickBot="1">
      <c r="A87" s="682"/>
      <c r="H87" s="124"/>
      <c r="N87" s="125"/>
      <c r="X87" s="682"/>
      <c r="Y87" s="682"/>
      <c r="Z87" s="682"/>
    </row>
    <row r="88" spans="1:34" s="78" customFormat="1" ht="24.75" customHeight="1" thickBot="1">
      <c r="A88" s="262"/>
      <c r="B88" s="1258" t="s">
        <v>500</v>
      </c>
      <c r="C88" s="1259"/>
      <c r="D88" s="1259"/>
      <c r="E88" s="1259"/>
      <c r="F88" s="1259"/>
      <c r="G88" s="1259"/>
      <c r="H88" s="1259"/>
      <c r="I88" s="1259"/>
      <c r="J88" s="1259"/>
      <c r="K88" s="1259"/>
      <c r="L88" s="1259"/>
      <c r="M88" s="1259"/>
      <c r="N88" s="1259"/>
      <c r="O88" s="1259"/>
      <c r="P88" s="1259"/>
      <c r="Q88" s="1259"/>
      <c r="R88" s="1260"/>
      <c r="S88" s="262"/>
      <c r="T88" s="262"/>
      <c r="U88" s="262"/>
      <c r="V88" s="262"/>
      <c r="W88" s="262"/>
      <c r="Y88"/>
      <c r="Z88"/>
      <c r="AA88"/>
      <c r="AB88"/>
      <c r="AC88"/>
      <c r="AD88"/>
      <c r="AE88"/>
      <c r="AF88"/>
      <c r="AG88"/>
      <c r="AH88"/>
    </row>
    <row r="89" spans="1:34" ht="18.75" customHeight="1">
      <c r="A89" s="682"/>
      <c r="B89" s="1175"/>
      <c r="C89" s="1176"/>
      <c r="D89" s="1176"/>
      <c r="E89" s="1176"/>
      <c r="F89" s="1176"/>
      <c r="G89" s="1176"/>
      <c r="H89" s="1757"/>
      <c r="I89" s="4098" t="s">
        <v>36</v>
      </c>
      <c r="J89" s="3997"/>
      <c r="K89" s="3997"/>
      <c r="L89" s="3997"/>
      <c r="M89" s="3997"/>
      <c r="N89" s="4074" t="s">
        <v>37</v>
      </c>
      <c r="O89" s="4075"/>
      <c r="P89" s="4075"/>
      <c r="Q89" s="4075"/>
      <c r="R89" s="4082"/>
      <c r="S89" s="729"/>
      <c r="T89" s="729"/>
      <c r="U89" s="729"/>
      <c r="V89" s="729"/>
      <c r="W89" s="682"/>
      <c r="X89" s="682"/>
      <c r="Y89" s="682"/>
      <c r="Z89" s="682"/>
      <c r="AA89"/>
      <c r="AB89"/>
      <c r="AC89"/>
      <c r="AD89"/>
      <c r="AE89"/>
      <c r="AF89"/>
      <c r="AG89"/>
      <c r="AH89"/>
    </row>
    <row r="90" spans="1:34" ht="18.75" customHeight="1">
      <c r="A90" s="682"/>
      <c r="B90" s="1177"/>
      <c r="C90" s="1178"/>
      <c r="D90" s="1178"/>
      <c r="E90" s="1178"/>
      <c r="F90" s="1178"/>
      <c r="G90" s="1178"/>
      <c r="H90" s="1758"/>
      <c r="I90" s="3985" t="s">
        <v>112</v>
      </c>
      <c r="J90" s="3986"/>
      <c r="K90" s="3986"/>
      <c r="L90" s="3986"/>
      <c r="M90" s="3986"/>
      <c r="N90" s="3986"/>
      <c r="O90" s="3986"/>
      <c r="P90" s="3986"/>
      <c r="Q90" s="3986"/>
      <c r="R90" s="4030"/>
      <c r="S90" s="688"/>
      <c r="T90" s="688"/>
      <c r="U90" s="688"/>
      <c r="V90" s="688"/>
      <c r="W90" s="688"/>
      <c r="X90" s="682"/>
      <c r="Y90" s="682"/>
      <c r="Z90" s="682"/>
      <c r="AA90"/>
      <c r="AB90"/>
      <c r="AC90"/>
      <c r="AD90"/>
      <c r="AE90"/>
      <c r="AF90"/>
      <c r="AG90"/>
      <c r="AH90"/>
    </row>
    <row r="91" spans="1:34" ht="18.75" customHeight="1">
      <c r="A91" s="682"/>
      <c r="B91" s="1177"/>
      <c r="C91" s="1178"/>
      <c r="D91" s="1178"/>
      <c r="E91" s="1178"/>
      <c r="F91" s="1178"/>
      <c r="G91" s="1178"/>
      <c r="H91" s="1758"/>
      <c r="I91" s="3985" t="s">
        <v>74</v>
      </c>
      <c r="J91" s="3986"/>
      <c r="K91" s="3986"/>
      <c r="L91" s="3986"/>
      <c r="M91" s="3986"/>
      <c r="N91" s="3986"/>
      <c r="O91" s="3986"/>
      <c r="P91" s="3986"/>
      <c r="Q91" s="3986"/>
      <c r="R91" s="4030"/>
      <c r="S91" s="688"/>
      <c r="T91" s="688"/>
      <c r="U91" s="688"/>
      <c r="V91" s="688"/>
      <c r="W91" s="688"/>
      <c r="X91" s="682"/>
      <c r="Y91" s="682"/>
      <c r="Z91" s="682"/>
      <c r="AA91"/>
      <c r="AB91"/>
      <c r="AC91"/>
      <c r="AD91"/>
      <c r="AE91"/>
      <c r="AF91"/>
      <c r="AG91"/>
      <c r="AH91"/>
    </row>
    <row r="92" spans="1:34" ht="18.75" customHeight="1" thickBot="1">
      <c r="A92" s="682"/>
      <c r="B92" s="1177"/>
      <c r="C92" s="1178"/>
      <c r="D92" s="1178"/>
      <c r="E92" s="1178"/>
      <c r="F92" s="1178"/>
      <c r="G92" s="1178"/>
      <c r="H92" s="1758"/>
      <c r="I92" s="343">
        <f t="array" ref="I92:M92">PRCP</f>
        <v>2008</v>
      </c>
      <c r="J92" s="342">
        <v>2009</v>
      </c>
      <c r="K92" s="342">
        <v>2010</v>
      </c>
      <c r="L92" s="342">
        <v>2011</v>
      </c>
      <c r="M92" s="342">
        <v>2012</v>
      </c>
      <c r="N92" s="344">
        <f>CRCP_y1</f>
        <v>2013</v>
      </c>
      <c r="O92" s="344">
        <f>CRCP_y2</f>
        <v>2014</v>
      </c>
      <c r="P92" s="344">
        <f>CRCP_y3</f>
        <v>2015</v>
      </c>
      <c r="Q92" s="344">
        <f>CRCP_y4</f>
        <v>2016</v>
      </c>
      <c r="R92" s="542">
        <f>CRCP_y5</f>
        <v>2017</v>
      </c>
      <c r="S92" s="689"/>
      <c r="T92" s="689"/>
      <c r="U92" s="689"/>
      <c r="V92" s="689"/>
      <c r="W92" s="689"/>
      <c r="X92" s="682"/>
      <c r="Y92" s="682"/>
      <c r="Z92" s="682"/>
      <c r="AA92"/>
      <c r="AB92"/>
      <c r="AC92"/>
      <c r="AD92"/>
      <c r="AE92"/>
      <c r="AF92"/>
      <c r="AG92"/>
      <c r="AH92"/>
    </row>
    <row r="93" spans="1:34" ht="12.75" customHeight="1">
      <c r="A93" s="682"/>
      <c r="B93" s="4320" t="s">
        <v>1321</v>
      </c>
      <c r="C93" s="4321"/>
      <c r="D93" s="4321"/>
      <c r="E93" s="4321"/>
      <c r="F93" s="4321"/>
      <c r="G93" s="4321"/>
      <c r="H93" s="4322"/>
      <c r="I93" s="1369"/>
      <c r="J93" s="409"/>
      <c r="K93" s="409"/>
      <c r="L93" s="409"/>
      <c r="M93" s="505"/>
      <c r="N93" s="1759"/>
      <c r="O93" s="752"/>
      <c r="P93" s="752"/>
      <c r="Q93" s="752"/>
      <c r="R93" s="753"/>
      <c r="S93" s="690"/>
      <c r="T93" s="690"/>
      <c r="U93" s="690"/>
      <c r="V93" s="690"/>
      <c r="W93" s="690"/>
      <c r="X93" s="682"/>
      <c r="Y93" s="682"/>
      <c r="Z93" s="682"/>
      <c r="AA93"/>
      <c r="AB93"/>
      <c r="AC93"/>
      <c r="AD93"/>
      <c r="AE93"/>
      <c r="AF93"/>
      <c r="AG93"/>
      <c r="AH93"/>
    </row>
    <row r="94" spans="1:34">
      <c r="A94" s="682"/>
      <c r="B94" s="4323" t="s">
        <v>1322</v>
      </c>
      <c r="C94" s="4324"/>
      <c r="D94" s="4324"/>
      <c r="E94" s="4324"/>
      <c r="F94" s="4324"/>
      <c r="G94" s="4324"/>
      <c r="H94" s="4325"/>
      <c r="I94" s="459"/>
      <c r="J94" s="458"/>
      <c r="K94" s="458"/>
      <c r="L94" s="458"/>
      <c r="M94" s="460"/>
      <c r="N94" s="754"/>
      <c r="O94" s="680"/>
      <c r="P94" s="680"/>
      <c r="Q94" s="680"/>
      <c r="R94" s="755"/>
      <c r="S94" s="690"/>
      <c r="T94" s="690"/>
      <c r="U94" s="690"/>
      <c r="V94" s="690"/>
      <c r="W94" s="690"/>
      <c r="X94" s="682"/>
      <c r="Y94" s="682"/>
      <c r="Z94" s="682"/>
      <c r="AA94"/>
      <c r="AB94"/>
      <c r="AC94"/>
      <c r="AD94"/>
      <c r="AE94"/>
      <c r="AF94"/>
      <c r="AG94"/>
      <c r="AH94"/>
    </row>
    <row r="95" spans="1:34">
      <c r="A95" s="682"/>
      <c r="B95" s="4323" t="s">
        <v>1323</v>
      </c>
      <c r="C95" s="4324"/>
      <c r="D95" s="4324"/>
      <c r="E95" s="4324"/>
      <c r="F95" s="4324"/>
      <c r="G95" s="4324"/>
      <c r="H95" s="4325"/>
      <c r="I95" s="459"/>
      <c r="J95" s="458"/>
      <c r="K95" s="458"/>
      <c r="L95" s="458"/>
      <c r="M95" s="460"/>
      <c r="N95" s="754"/>
      <c r="O95" s="680"/>
      <c r="P95" s="680"/>
      <c r="Q95" s="680"/>
      <c r="R95" s="755"/>
      <c r="S95" s="690"/>
      <c r="T95" s="690"/>
      <c r="U95" s="690"/>
      <c r="V95" s="690"/>
      <c r="W95" s="690"/>
      <c r="X95" s="682"/>
      <c r="Y95" s="682"/>
      <c r="Z95" s="682"/>
      <c r="AA95"/>
      <c r="AB95"/>
      <c r="AC95"/>
      <c r="AD95"/>
      <c r="AE95"/>
      <c r="AF95"/>
      <c r="AG95"/>
      <c r="AH95"/>
    </row>
    <row r="96" spans="1:34">
      <c r="A96" s="682"/>
      <c r="B96" s="4323" t="s">
        <v>1324</v>
      </c>
      <c r="C96" s="4324"/>
      <c r="D96" s="4324"/>
      <c r="E96" s="4324"/>
      <c r="F96" s="4324"/>
      <c r="G96" s="4324"/>
      <c r="H96" s="4325"/>
      <c r="I96" s="459"/>
      <c r="J96" s="458"/>
      <c r="K96" s="458"/>
      <c r="L96" s="458"/>
      <c r="M96" s="460"/>
      <c r="N96" s="754"/>
      <c r="O96" s="680"/>
      <c r="P96" s="680"/>
      <c r="Q96" s="680"/>
      <c r="R96" s="755"/>
      <c r="S96" s="690"/>
      <c r="T96" s="690"/>
      <c r="U96" s="690"/>
      <c r="V96" s="690"/>
      <c r="W96" s="690"/>
      <c r="X96" s="682"/>
      <c r="Y96" s="682"/>
      <c r="Z96" s="682"/>
      <c r="AA96" s="1172"/>
      <c r="AB96" s="1172"/>
      <c r="AC96" s="1172"/>
      <c r="AD96" s="1172"/>
      <c r="AE96" s="1172"/>
      <c r="AF96" s="1172"/>
      <c r="AG96" s="1172"/>
      <c r="AH96" s="1172"/>
    </row>
    <row r="97" spans="1:34">
      <c r="A97" s="682"/>
      <c r="B97" s="4323" t="s">
        <v>1412</v>
      </c>
      <c r="C97" s="4324"/>
      <c r="D97" s="4324"/>
      <c r="E97" s="4324"/>
      <c r="F97" s="4324"/>
      <c r="G97" s="4324"/>
      <c r="H97" s="4325"/>
      <c r="I97" s="459"/>
      <c r="J97" s="458"/>
      <c r="K97" s="458"/>
      <c r="L97" s="458"/>
      <c r="M97" s="460"/>
      <c r="N97" s="754"/>
      <c r="O97" s="680"/>
      <c r="P97" s="680"/>
      <c r="Q97" s="680"/>
      <c r="R97" s="755"/>
      <c r="S97" s="690"/>
      <c r="T97" s="690"/>
      <c r="U97" s="690"/>
      <c r="V97" s="690"/>
      <c r="W97" s="690"/>
      <c r="X97" s="682"/>
      <c r="Y97" s="682"/>
      <c r="Z97" s="682"/>
      <c r="AA97"/>
      <c r="AB97"/>
      <c r="AC97"/>
      <c r="AD97"/>
      <c r="AE97"/>
      <c r="AF97"/>
      <c r="AG97"/>
      <c r="AH97"/>
    </row>
    <row r="98" spans="1:34">
      <c r="A98" s="682"/>
      <c r="B98" s="4323" t="s">
        <v>61</v>
      </c>
      <c r="C98" s="4324"/>
      <c r="D98" s="4324"/>
      <c r="E98" s="4324"/>
      <c r="F98" s="4324"/>
      <c r="G98" s="4324"/>
      <c r="H98" s="4325"/>
      <c r="I98" s="459"/>
      <c r="J98" s="458"/>
      <c r="K98" s="458"/>
      <c r="L98" s="458"/>
      <c r="M98" s="460"/>
      <c r="N98" s="754"/>
      <c r="O98" s="680"/>
      <c r="P98" s="680"/>
      <c r="Q98" s="680"/>
      <c r="R98" s="755"/>
      <c r="S98" s="690"/>
      <c r="T98" s="690"/>
      <c r="U98" s="690"/>
      <c r="V98" s="690"/>
      <c r="W98" s="690"/>
      <c r="X98" s="682"/>
      <c r="Y98" s="682"/>
      <c r="Z98" s="682"/>
      <c r="AA98"/>
      <c r="AB98"/>
      <c r="AC98"/>
      <c r="AD98"/>
      <c r="AE98"/>
      <c r="AF98"/>
      <c r="AG98"/>
      <c r="AH98"/>
    </row>
    <row r="99" spans="1:34">
      <c r="A99" s="682"/>
      <c r="B99" s="4323" t="s">
        <v>1325</v>
      </c>
      <c r="C99" s="4324"/>
      <c r="D99" s="4324"/>
      <c r="E99" s="4324"/>
      <c r="F99" s="4324"/>
      <c r="G99" s="4324"/>
      <c r="H99" s="4325"/>
      <c r="I99" s="459"/>
      <c r="J99" s="458"/>
      <c r="K99" s="458"/>
      <c r="L99" s="458"/>
      <c r="M99" s="460"/>
      <c r="N99" s="754"/>
      <c r="O99" s="680"/>
      <c r="P99" s="680"/>
      <c r="Q99" s="680"/>
      <c r="R99" s="755"/>
      <c r="S99" s="690"/>
      <c r="T99" s="690"/>
      <c r="U99" s="690"/>
      <c r="V99" s="690"/>
      <c r="W99" s="690"/>
      <c r="X99" s="682"/>
      <c r="Y99" s="682"/>
      <c r="Z99" s="682"/>
      <c r="AA99" s="1172"/>
      <c r="AB99" s="1172"/>
      <c r="AC99" s="1172"/>
      <c r="AD99" s="1172"/>
      <c r="AE99" s="1172"/>
      <c r="AF99" s="1172"/>
      <c r="AG99" s="1172"/>
      <c r="AH99" s="1172"/>
    </row>
    <row r="100" spans="1:34">
      <c r="A100" s="682"/>
      <c r="B100" s="2835"/>
      <c r="C100" s="2836"/>
      <c r="D100" s="2836"/>
      <c r="E100" s="2836"/>
      <c r="F100" s="2836"/>
      <c r="G100" s="2836"/>
      <c r="H100" s="2837" t="s">
        <v>1326</v>
      </c>
      <c r="I100" s="459"/>
      <c r="J100" s="458"/>
      <c r="K100" s="458"/>
      <c r="L100" s="458"/>
      <c r="M100" s="460"/>
      <c r="N100" s="754"/>
      <c r="O100" s="680"/>
      <c r="P100" s="680"/>
      <c r="Q100" s="680"/>
      <c r="R100" s="755"/>
      <c r="S100" s="690"/>
      <c r="T100" s="690"/>
      <c r="U100" s="690"/>
      <c r="V100" s="690"/>
      <c r="W100" s="690"/>
      <c r="X100" s="682"/>
      <c r="Y100" s="682"/>
      <c r="Z100" s="682"/>
      <c r="AA100" s="1172"/>
      <c r="AB100" s="1172"/>
      <c r="AC100" s="1172"/>
      <c r="AD100" s="1172"/>
      <c r="AE100" s="1172"/>
      <c r="AF100" s="1172"/>
      <c r="AG100" s="1172"/>
      <c r="AH100" s="1172"/>
    </row>
    <row r="101" spans="1:34">
      <c r="A101" s="682"/>
      <c r="B101" s="2835"/>
      <c r="C101" s="2836"/>
      <c r="D101" s="2836"/>
      <c r="E101" s="2836"/>
      <c r="F101" s="2836"/>
      <c r="G101" s="2836"/>
      <c r="H101" s="2837" t="s">
        <v>1327</v>
      </c>
      <c r="I101" s="459"/>
      <c r="J101" s="458"/>
      <c r="K101" s="458"/>
      <c r="L101" s="458"/>
      <c r="M101" s="460"/>
      <c r="N101" s="754"/>
      <c r="O101" s="680"/>
      <c r="P101" s="680"/>
      <c r="Q101" s="680"/>
      <c r="R101" s="755"/>
      <c r="S101" s="690"/>
      <c r="T101" s="690"/>
      <c r="U101" s="690"/>
      <c r="V101" s="690"/>
      <c r="W101" s="690"/>
      <c r="X101" s="682"/>
      <c r="Y101" s="682"/>
      <c r="Z101" s="682"/>
      <c r="AA101" s="1172"/>
      <c r="AB101" s="1172"/>
      <c r="AC101" s="1172"/>
      <c r="AD101" s="1172"/>
      <c r="AE101" s="1172"/>
      <c r="AF101" s="1172"/>
      <c r="AG101" s="1172"/>
      <c r="AH101" s="1172"/>
    </row>
    <row r="102" spans="1:34">
      <c r="A102" s="682"/>
      <c r="B102" s="2835"/>
      <c r="C102" s="2836"/>
      <c r="D102" s="2836"/>
      <c r="E102" s="2836"/>
      <c r="F102" s="2836"/>
      <c r="G102" s="2836"/>
      <c r="H102" s="2837" t="s">
        <v>1413</v>
      </c>
      <c r="I102" s="459"/>
      <c r="J102" s="458"/>
      <c r="K102" s="458"/>
      <c r="L102" s="458"/>
      <c r="M102" s="460"/>
      <c r="N102" s="754"/>
      <c r="O102" s="680"/>
      <c r="P102" s="680"/>
      <c r="Q102" s="680"/>
      <c r="R102" s="755"/>
      <c r="S102" s="690"/>
      <c r="T102" s="690"/>
      <c r="U102" s="690"/>
      <c r="V102" s="690"/>
      <c r="W102" s="690"/>
      <c r="X102" s="682"/>
      <c r="Y102" s="682"/>
      <c r="Z102" s="682"/>
      <c r="AA102"/>
      <c r="AB102"/>
      <c r="AC102"/>
      <c r="AD102"/>
      <c r="AE102"/>
      <c r="AF102"/>
      <c r="AG102"/>
      <c r="AH102"/>
    </row>
    <row r="103" spans="1:34" ht="13.5" thickBot="1">
      <c r="A103" s="682"/>
      <c r="B103" s="4311" t="s">
        <v>509</v>
      </c>
      <c r="C103" s="4312"/>
      <c r="D103" s="4312"/>
      <c r="E103" s="4312"/>
      <c r="F103" s="4312"/>
      <c r="G103" s="4312"/>
      <c r="H103" s="4313"/>
      <c r="I103" s="459"/>
      <c r="J103" s="458"/>
      <c r="K103" s="458"/>
      <c r="L103" s="458"/>
      <c r="M103" s="460"/>
      <c r="N103" s="754"/>
      <c r="O103" s="680"/>
      <c r="P103" s="680"/>
      <c r="Q103" s="680"/>
      <c r="R103" s="755"/>
      <c r="S103" s="690"/>
      <c r="T103" s="690"/>
      <c r="U103" s="690"/>
      <c r="V103" s="690"/>
      <c r="W103" s="690"/>
      <c r="X103" s="682"/>
      <c r="Y103" s="682"/>
      <c r="Z103" s="682"/>
      <c r="AA103"/>
      <c r="AB103"/>
      <c r="AC103"/>
      <c r="AD103"/>
      <c r="AE103"/>
      <c r="AF103"/>
      <c r="AG103"/>
      <c r="AH103"/>
    </row>
    <row r="104" spans="1:34" s="1485" customFormat="1" ht="13.5" thickBot="1">
      <c r="A104" s="1484"/>
      <c r="B104" s="4314" t="s">
        <v>63</v>
      </c>
      <c r="C104" s="4315"/>
      <c r="D104" s="4315"/>
      <c r="E104" s="4315"/>
      <c r="F104" s="4315"/>
      <c r="G104" s="4315"/>
      <c r="H104" s="4326"/>
      <c r="I104" s="1486"/>
      <c r="J104" s="1487"/>
      <c r="K104" s="1487"/>
      <c r="L104" s="1487"/>
      <c r="M104" s="1488"/>
      <c r="N104" s="1489"/>
      <c r="O104" s="1490"/>
      <c r="P104" s="1490"/>
      <c r="Q104" s="1490"/>
      <c r="R104" s="1491"/>
      <c r="S104" s="1492"/>
      <c r="T104" s="1492"/>
      <c r="U104" s="1492"/>
      <c r="V104" s="1492"/>
      <c r="W104" s="1492"/>
      <c r="X104" s="1484"/>
      <c r="Y104" s="1484"/>
      <c r="Z104" s="1484"/>
      <c r="AA104"/>
      <c r="AB104"/>
      <c r="AC104"/>
      <c r="AD104"/>
      <c r="AE104"/>
      <c r="AF104"/>
      <c r="AG104"/>
      <c r="AH104"/>
    </row>
    <row r="105" spans="1:34" s="69" customFormat="1" ht="28.5" customHeight="1" thickBot="1">
      <c r="A105" s="314"/>
      <c r="B105" s="4317" t="s">
        <v>121</v>
      </c>
      <c r="C105" s="4318"/>
      <c r="D105" s="4318"/>
      <c r="E105" s="4318"/>
      <c r="F105" s="4318"/>
      <c r="G105" s="4318"/>
      <c r="H105" s="4327"/>
      <c r="I105" s="664"/>
      <c r="J105" s="264"/>
      <c r="K105" s="264"/>
      <c r="L105" s="264"/>
      <c r="M105" s="264"/>
      <c r="N105" s="264"/>
      <c r="O105" s="264"/>
      <c r="P105" s="264"/>
      <c r="Q105" s="264"/>
      <c r="R105" s="406"/>
      <c r="S105" s="242"/>
      <c r="T105" s="242"/>
      <c r="U105" s="242"/>
      <c r="V105" s="242"/>
      <c r="W105" s="242"/>
      <c r="X105" s="242"/>
      <c r="Y105" s="242"/>
      <c r="Z105" s="242"/>
      <c r="AA105"/>
      <c r="AB105"/>
      <c r="AC105"/>
      <c r="AD105"/>
      <c r="AE105"/>
      <c r="AF105"/>
      <c r="AG105"/>
      <c r="AH105"/>
    </row>
    <row r="106" spans="1:34" ht="60" customHeight="1" thickBot="1">
      <c r="A106" s="682"/>
      <c r="B106" s="682"/>
      <c r="C106" s="682"/>
      <c r="D106" s="682"/>
      <c r="E106" s="682"/>
      <c r="F106" s="682"/>
      <c r="G106" s="682"/>
      <c r="H106" s="682"/>
      <c r="I106" s="682"/>
      <c r="J106" s="682"/>
      <c r="K106" s="682"/>
      <c r="L106" s="682"/>
      <c r="M106" s="682"/>
      <c r="N106" s="685"/>
      <c r="O106" s="682"/>
      <c r="P106" s="682"/>
      <c r="Q106" s="682"/>
      <c r="R106" s="682"/>
      <c r="S106" s="691"/>
      <c r="T106" s="691"/>
      <c r="U106" s="691"/>
      <c r="V106" s="691"/>
      <c r="W106" s="682"/>
      <c r="X106" s="682"/>
      <c r="Y106" s="682"/>
      <c r="Z106" s="682"/>
      <c r="AA106" s="682"/>
      <c r="AB106" s="682"/>
      <c r="AC106" s="682"/>
      <c r="AD106" s="682"/>
      <c r="AE106" s="682"/>
      <c r="AF106" s="685"/>
      <c r="AG106" s="682"/>
      <c r="AH106" s="682"/>
    </row>
    <row r="107" spans="1:34" s="78" customFormat="1" ht="24.75" customHeight="1" thickBot="1">
      <c r="A107" s="262"/>
      <c r="B107" s="1258" t="s">
        <v>501</v>
      </c>
      <c r="C107" s="1259"/>
      <c r="D107" s="1259"/>
      <c r="E107" s="1259"/>
      <c r="F107" s="1259"/>
      <c r="G107" s="1259"/>
      <c r="H107" s="1259"/>
      <c r="I107" s="1259"/>
      <c r="J107" s="1259"/>
      <c r="K107" s="1259"/>
      <c r="L107" s="1259"/>
      <c r="M107" s="1259"/>
      <c r="N107" s="1259"/>
      <c r="O107" s="1259"/>
      <c r="P107" s="1259"/>
      <c r="Q107" s="1259"/>
      <c r="R107" s="1259"/>
      <c r="S107" s="1259"/>
      <c r="T107" s="1259"/>
      <c r="U107" s="1259"/>
      <c r="V107" s="1259"/>
      <c r="W107" s="1260"/>
      <c r="X107" s="262"/>
      <c r="Y107" s="262"/>
      <c r="Z107" s="262"/>
      <c r="AA107" s="1258"/>
      <c r="AB107" s="1259"/>
      <c r="AC107" s="1259"/>
      <c r="AD107" s="1259"/>
      <c r="AE107" s="1259"/>
      <c r="AF107" s="1259"/>
      <c r="AG107" s="1259"/>
      <c r="AH107" s="1260"/>
    </row>
    <row r="108" spans="1:34" ht="15.75" customHeight="1">
      <c r="A108" s="682"/>
      <c r="B108" s="1175"/>
      <c r="C108" s="1176"/>
      <c r="D108" s="1176"/>
      <c r="E108" s="1176"/>
      <c r="F108" s="1176"/>
      <c r="G108" s="1176"/>
      <c r="H108" s="1757"/>
      <c r="I108" s="4073" t="s">
        <v>36</v>
      </c>
      <c r="J108" s="3997"/>
      <c r="K108" s="3997"/>
      <c r="L108" s="3997"/>
      <c r="M108" s="3997"/>
      <c r="N108" s="4074" t="s">
        <v>37</v>
      </c>
      <c r="O108" s="4075"/>
      <c r="P108" s="4075"/>
      <c r="Q108" s="4075"/>
      <c r="R108" s="4075"/>
      <c r="S108" s="3960" t="s">
        <v>73</v>
      </c>
      <c r="T108" s="3960"/>
      <c r="U108" s="3960"/>
      <c r="V108" s="3960"/>
      <c r="W108" s="4099"/>
      <c r="X108" s="682"/>
      <c r="Y108" s="682"/>
      <c r="Z108" s="682"/>
      <c r="AA108" s="4073" t="s">
        <v>36</v>
      </c>
      <c r="AB108" s="3997"/>
      <c r="AC108" s="3997"/>
      <c r="AD108" s="3997"/>
      <c r="AE108" s="3997"/>
      <c r="AF108" s="4074" t="s">
        <v>37</v>
      </c>
      <c r="AG108" s="4075"/>
      <c r="AH108" s="4082"/>
    </row>
    <row r="109" spans="1:34" ht="15" customHeight="1">
      <c r="A109" s="682"/>
      <c r="B109" s="1177"/>
      <c r="C109" s="1178"/>
      <c r="D109" s="1178"/>
      <c r="E109" s="1178"/>
      <c r="F109" s="1178"/>
      <c r="G109" s="1178"/>
      <c r="H109" s="1758"/>
      <c r="I109" s="3985" t="s">
        <v>543</v>
      </c>
      <c r="J109" s="3986"/>
      <c r="K109" s="3986"/>
      <c r="L109" s="3986"/>
      <c r="M109" s="3986"/>
      <c r="N109" s="3986"/>
      <c r="O109" s="3986"/>
      <c r="P109" s="3987"/>
      <c r="Q109" s="3988" t="str">
        <f>CONCATENATE("$0's, real ",dms_DollarReal)</f>
        <v>$0's, real December 2017</v>
      </c>
      <c r="R109" s="3989"/>
      <c r="S109" s="3989"/>
      <c r="T109" s="3989"/>
      <c r="U109" s="3989"/>
      <c r="V109" s="3989"/>
      <c r="W109" s="3990"/>
      <c r="X109" s="682"/>
      <c r="Y109" s="682"/>
      <c r="Z109" s="682"/>
      <c r="AA109" s="3985" t="s">
        <v>543</v>
      </c>
      <c r="AB109" s="3986"/>
      <c r="AC109" s="3986"/>
      <c r="AD109" s="3986"/>
      <c r="AE109" s="3986"/>
      <c r="AF109" s="3986"/>
      <c r="AG109" s="3986"/>
      <c r="AH109" s="4030"/>
    </row>
    <row r="110" spans="1:34" ht="15">
      <c r="A110" s="682"/>
      <c r="B110" s="1177"/>
      <c r="C110" s="1178"/>
      <c r="D110" s="1178"/>
      <c r="E110" s="1178"/>
      <c r="F110" s="1178"/>
      <c r="G110" s="1178"/>
      <c r="H110" s="1758"/>
      <c r="I110" s="3985" t="s">
        <v>54</v>
      </c>
      <c r="J110" s="3986"/>
      <c r="K110" s="3986"/>
      <c r="L110" s="3986"/>
      <c r="M110" s="3986"/>
      <c r="N110" s="3986"/>
      <c r="O110" s="3986"/>
      <c r="P110" s="3987"/>
      <c r="Q110" s="3988" t="s">
        <v>55</v>
      </c>
      <c r="R110" s="3989"/>
      <c r="S110" s="3989"/>
      <c r="T110" s="3989"/>
      <c r="U110" s="3989"/>
      <c r="V110" s="3989"/>
      <c r="W110" s="3990"/>
      <c r="X110" s="682"/>
      <c r="Y110" s="682"/>
      <c r="Z110" s="682"/>
      <c r="AA110" s="3985" t="s">
        <v>54</v>
      </c>
      <c r="AB110" s="3986"/>
      <c r="AC110" s="3986"/>
      <c r="AD110" s="3986"/>
      <c r="AE110" s="3986"/>
      <c r="AF110" s="3986"/>
      <c r="AG110" s="3986"/>
      <c r="AH110" s="4030"/>
    </row>
    <row r="111" spans="1:34" ht="25.5" customHeight="1" thickBot="1">
      <c r="A111" s="682"/>
      <c r="B111" s="1177"/>
      <c r="C111" s="1178"/>
      <c r="D111" s="1178"/>
      <c r="E111" s="1178"/>
      <c r="F111" s="1178"/>
      <c r="G111" s="1178"/>
      <c r="H111" s="1758"/>
      <c r="I111" s="1438">
        <f t="array" ref="I111:M111">PRCP</f>
        <v>2008</v>
      </c>
      <c r="J111" s="342">
        <v>2009</v>
      </c>
      <c r="K111" s="342">
        <v>2010</v>
      </c>
      <c r="L111" s="342">
        <v>2011</v>
      </c>
      <c r="M111" s="342">
        <v>2012</v>
      </c>
      <c r="N111" s="344">
        <f>CRCP_y1</f>
        <v>2013</v>
      </c>
      <c r="O111" s="344">
        <f>CRCP_y2</f>
        <v>2014</v>
      </c>
      <c r="P111" s="344">
        <f>CRCP_y3</f>
        <v>2015</v>
      </c>
      <c r="Q111" s="344">
        <f>CRCP_y4</f>
        <v>2016</v>
      </c>
      <c r="R111" s="344">
        <f>CRCP_y5</f>
        <v>2017</v>
      </c>
      <c r="S111" s="342" t="str">
        <f t="array" ref="S111:W111">FRCP</f>
        <v>2018</v>
      </c>
      <c r="T111" s="342">
        <v>2019</v>
      </c>
      <c r="U111" s="342">
        <v>2020</v>
      </c>
      <c r="V111" s="342">
        <v>2021</v>
      </c>
      <c r="W111" s="443">
        <v>2022</v>
      </c>
      <c r="X111" s="682"/>
      <c r="Y111" s="682"/>
      <c r="Z111" s="682"/>
      <c r="AA111" s="1438">
        <f t="array" ref="AA111:AE111">PRCP</f>
        <v>2008</v>
      </c>
      <c r="AB111" s="342">
        <v>2009</v>
      </c>
      <c r="AC111" s="342">
        <v>2010</v>
      </c>
      <c r="AD111" s="342">
        <v>2011</v>
      </c>
      <c r="AE111" s="342">
        <v>2012</v>
      </c>
      <c r="AF111" s="344">
        <f>CRCP_y1</f>
        <v>2013</v>
      </c>
      <c r="AG111" s="344">
        <f>CRCP_y2</f>
        <v>2014</v>
      </c>
      <c r="AH111" s="542">
        <f>CRCP_y3</f>
        <v>2015</v>
      </c>
    </row>
    <row r="112" spans="1:34">
      <c r="A112" s="682"/>
      <c r="B112" s="4320" t="s">
        <v>1321</v>
      </c>
      <c r="C112" s="4321"/>
      <c r="D112" s="4321"/>
      <c r="E112" s="4321"/>
      <c r="F112" s="4321"/>
      <c r="G112" s="4321"/>
      <c r="H112" s="4322"/>
      <c r="I112" s="408">
        <v>0</v>
      </c>
      <c r="J112" s="409">
        <v>550.51977628711779</v>
      </c>
      <c r="K112" s="409">
        <v>70.810709630459485</v>
      </c>
      <c r="L112" s="409">
        <v>1375.1397368226476</v>
      </c>
      <c r="M112" s="505">
        <v>5264.3080843612215</v>
      </c>
      <c r="N112" s="408">
        <v>11200.461551077884</v>
      </c>
      <c r="O112" s="409">
        <v>696.71086192043447</v>
      </c>
      <c r="P112" s="409">
        <v>0</v>
      </c>
      <c r="Q112" s="779">
        <v>0</v>
      </c>
      <c r="R112" s="779">
        <v>0</v>
      </c>
      <c r="S112" s="778">
        <v>0</v>
      </c>
      <c r="T112" s="779">
        <v>0</v>
      </c>
      <c r="U112" s="779">
        <v>0</v>
      </c>
      <c r="V112" s="779">
        <v>0</v>
      </c>
      <c r="W112" s="780">
        <v>0</v>
      </c>
      <c r="X112" s="682"/>
      <c r="Y112" s="682"/>
      <c r="Z112" s="682"/>
      <c r="AA112" s="1749"/>
      <c r="AB112" s="1750"/>
      <c r="AC112" s="1750"/>
      <c r="AD112" s="1750"/>
      <c r="AE112" s="1751"/>
      <c r="AF112" s="1749"/>
      <c r="AG112" s="1750"/>
      <c r="AH112" s="1751"/>
    </row>
    <row r="113" spans="1:40">
      <c r="A113" s="682"/>
      <c r="B113" s="4323" t="s">
        <v>1322</v>
      </c>
      <c r="C113" s="4324"/>
      <c r="D113" s="4324"/>
      <c r="E113" s="4324"/>
      <c r="F113" s="4324"/>
      <c r="G113" s="4324"/>
      <c r="H113" s="4325"/>
      <c r="I113" s="459">
        <v>374243.08406679856</v>
      </c>
      <c r="J113" s="458">
        <v>263918.27282014425</v>
      </c>
      <c r="K113" s="458">
        <v>332541.01216329326</v>
      </c>
      <c r="L113" s="458">
        <v>3381966.8947916189</v>
      </c>
      <c r="M113" s="460">
        <v>1563123.3702064115</v>
      </c>
      <c r="N113" s="459">
        <v>808634.75180541468</v>
      </c>
      <c r="O113" s="458">
        <v>68054.693793298764</v>
      </c>
      <c r="P113" s="458">
        <v>0</v>
      </c>
      <c r="Q113" s="678">
        <v>0</v>
      </c>
      <c r="R113" s="678">
        <v>0</v>
      </c>
      <c r="S113" s="781">
        <v>0</v>
      </c>
      <c r="T113" s="678">
        <v>0</v>
      </c>
      <c r="U113" s="678">
        <v>0</v>
      </c>
      <c r="V113" s="678">
        <v>0</v>
      </c>
      <c r="W113" s="782">
        <v>0</v>
      </c>
      <c r="X113" s="682"/>
      <c r="Y113" s="682"/>
      <c r="Z113" s="682"/>
      <c r="AA113" s="1752"/>
      <c r="AB113" s="1753"/>
      <c r="AC113" s="1753"/>
      <c r="AD113" s="1753"/>
      <c r="AE113" s="1754"/>
      <c r="AF113" s="1752"/>
      <c r="AG113" s="1753"/>
      <c r="AH113" s="1754"/>
    </row>
    <row r="114" spans="1:40">
      <c r="A114" s="682"/>
      <c r="B114" s="4323" t="s">
        <v>1323</v>
      </c>
      <c r="C114" s="4324"/>
      <c r="D114" s="4324"/>
      <c r="E114" s="4324"/>
      <c r="F114" s="4324"/>
      <c r="G114" s="4324"/>
      <c r="H114" s="4325"/>
      <c r="I114" s="459">
        <v>351113.77466941869</v>
      </c>
      <c r="J114" s="458">
        <v>304287.2873627696</v>
      </c>
      <c r="K114" s="458">
        <v>237280.82591764533</v>
      </c>
      <c r="L114" s="458">
        <v>280031.98225399374</v>
      </c>
      <c r="M114" s="460">
        <v>304184.93014939991</v>
      </c>
      <c r="N114" s="459">
        <v>1193229.745010497</v>
      </c>
      <c r="O114" s="458">
        <v>61176.045945031554</v>
      </c>
      <c r="P114" s="458">
        <v>0</v>
      </c>
      <c r="Q114" s="678">
        <v>0</v>
      </c>
      <c r="R114" s="678">
        <v>0</v>
      </c>
      <c r="S114" s="781">
        <v>0</v>
      </c>
      <c r="T114" s="678">
        <v>0</v>
      </c>
      <c r="U114" s="678">
        <v>0</v>
      </c>
      <c r="V114" s="678">
        <v>0</v>
      </c>
      <c r="W114" s="782">
        <v>0</v>
      </c>
      <c r="X114" s="682"/>
      <c r="Y114" s="682"/>
      <c r="Z114" s="682"/>
      <c r="AA114" s="1752"/>
      <c r="AB114" s="1753"/>
      <c r="AC114" s="1753"/>
      <c r="AD114" s="1753"/>
      <c r="AE114" s="1754"/>
      <c r="AF114" s="1752"/>
      <c r="AG114" s="1753"/>
      <c r="AH114" s="1754"/>
    </row>
    <row r="115" spans="1:40">
      <c r="A115" s="682"/>
      <c r="B115" s="4323" t="s">
        <v>1324</v>
      </c>
      <c r="C115" s="4324"/>
      <c r="D115" s="4324"/>
      <c r="E115" s="4324"/>
      <c r="F115" s="4324"/>
      <c r="G115" s="4324"/>
      <c r="H115" s="4325"/>
      <c r="I115" s="459">
        <v>3088.5717912647519</v>
      </c>
      <c r="J115" s="458">
        <v>6682.9936595102463</v>
      </c>
      <c r="K115" s="458">
        <v>0</v>
      </c>
      <c r="L115" s="458">
        <v>9365.2606584252189</v>
      </c>
      <c r="M115" s="460">
        <v>56974.604780672482</v>
      </c>
      <c r="N115" s="459">
        <v>149174.89929222042</v>
      </c>
      <c r="O115" s="458">
        <v>145445.9742435354</v>
      </c>
      <c r="P115" s="458">
        <v>0</v>
      </c>
      <c r="Q115" s="678">
        <v>0</v>
      </c>
      <c r="R115" s="678">
        <v>0</v>
      </c>
      <c r="S115" s="781">
        <v>0</v>
      </c>
      <c r="T115" s="678">
        <v>0</v>
      </c>
      <c r="U115" s="678">
        <v>0</v>
      </c>
      <c r="V115" s="678">
        <v>0</v>
      </c>
      <c r="W115" s="782">
        <v>0</v>
      </c>
      <c r="X115" s="682"/>
      <c r="Y115" s="682"/>
      <c r="Z115" s="682"/>
      <c r="AA115" s="1752"/>
      <c r="AB115" s="1753"/>
      <c r="AC115" s="1753"/>
      <c r="AD115" s="1753"/>
      <c r="AE115" s="1754"/>
      <c r="AF115" s="1752"/>
      <c r="AG115" s="1753"/>
      <c r="AH115" s="1754"/>
    </row>
    <row r="116" spans="1:40">
      <c r="A116" s="682"/>
      <c r="B116" s="4323" t="s">
        <v>1412</v>
      </c>
      <c r="C116" s="4324"/>
      <c r="D116" s="4324"/>
      <c r="E116" s="4324"/>
      <c r="F116" s="4324"/>
      <c r="G116" s="4324"/>
      <c r="H116" s="4325"/>
      <c r="I116" s="459">
        <v>25722.732359526257</v>
      </c>
      <c r="J116" s="458">
        <v>15095.190937902402</v>
      </c>
      <c r="K116" s="458">
        <v>4097.7902266875062</v>
      </c>
      <c r="L116" s="458">
        <v>56659.112274833264</v>
      </c>
      <c r="M116" s="460">
        <v>865076.36716600007</v>
      </c>
      <c r="N116" s="459">
        <v>1810722.0650878891</v>
      </c>
      <c r="O116" s="458">
        <v>1697974.9084116246</v>
      </c>
      <c r="P116" s="458">
        <v>0</v>
      </c>
      <c r="Q116" s="678">
        <v>0</v>
      </c>
      <c r="R116" s="678">
        <v>0</v>
      </c>
      <c r="S116" s="781">
        <v>0</v>
      </c>
      <c r="T116" s="678">
        <v>0</v>
      </c>
      <c r="U116" s="678">
        <v>0</v>
      </c>
      <c r="V116" s="678">
        <v>0</v>
      </c>
      <c r="W116" s="782">
        <v>0</v>
      </c>
      <c r="X116" s="682"/>
      <c r="Y116" s="682"/>
      <c r="Z116" s="682"/>
      <c r="AA116" s="1752"/>
      <c r="AB116" s="1753"/>
      <c r="AC116" s="1753"/>
      <c r="AD116" s="1753"/>
      <c r="AE116" s="1754"/>
      <c r="AF116" s="1752"/>
      <c r="AG116" s="1753"/>
      <c r="AH116" s="1754"/>
    </row>
    <row r="117" spans="1:40">
      <c r="A117" s="682"/>
      <c r="B117" s="4323" t="s">
        <v>61</v>
      </c>
      <c r="C117" s="4324"/>
      <c r="D117" s="4324"/>
      <c r="E117" s="4324"/>
      <c r="F117" s="4324"/>
      <c r="G117" s="4324"/>
      <c r="H117" s="4325"/>
      <c r="I117" s="459">
        <v>147811.46808508688</v>
      </c>
      <c r="J117" s="458">
        <v>68978.408488208879</v>
      </c>
      <c r="K117" s="458">
        <v>79114.961601074654</v>
      </c>
      <c r="L117" s="458">
        <v>90252.052300937503</v>
      </c>
      <c r="M117" s="460">
        <v>101785.90349948592</v>
      </c>
      <c r="N117" s="459">
        <v>159403.52765077498</v>
      </c>
      <c r="O117" s="458">
        <v>16964.125901696989</v>
      </c>
      <c r="P117" s="458">
        <v>0</v>
      </c>
      <c r="Q117" s="678">
        <v>0</v>
      </c>
      <c r="R117" s="678">
        <v>0</v>
      </c>
      <c r="S117" s="781">
        <v>0</v>
      </c>
      <c r="T117" s="678">
        <v>0</v>
      </c>
      <c r="U117" s="678">
        <v>0</v>
      </c>
      <c r="V117" s="678">
        <v>0</v>
      </c>
      <c r="W117" s="782">
        <v>0</v>
      </c>
      <c r="X117" s="682"/>
      <c r="Y117" s="682"/>
      <c r="Z117" s="682"/>
      <c r="AA117" s="1752"/>
      <c r="AB117" s="1753"/>
      <c r="AC117" s="1753"/>
      <c r="AD117" s="1753"/>
      <c r="AE117" s="1754"/>
      <c r="AF117" s="1752"/>
      <c r="AG117" s="1753"/>
      <c r="AH117" s="1754"/>
    </row>
    <row r="118" spans="1:40">
      <c r="A118" s="682"/>
      <c r="B118" s="4323" t="s">
        <v>1325</v>
      </c>
      <c r="C118" s="4324"/>
      <c r="D118" s="4324"/>
      <c r="E118" s="4324"/>
      <c r="F118" s="4324"/>
      <c r="G118" s="4324"/>
      <c r="H118" s="4325"/>
      <c r="I118" s="459">
        <v>206.94982025545198</v>
      </c>
      <c r="J118" s="458">
        <v>17599.403348039552</v>
      </c>
      <c r="K118" s="458">
        <v>8706.0646593387155</v>
      </c>
      <c r="L118" s="458">
        <v>9010.5870968277486</v>
      </c>
      <c r="M118" s="460">
        <v>35042.665037306302</v>
      </c>
      <c r="N118" s="459">
        <v>79043.260935467217</v>
      </c>
      <c r="O118" s="458">
        <v>13315.443243793303</v>
      </c>
      <c r="P118" s="458">
        <v>0</v>
      </c>
      <c r="Q118" s="678">
        <v>0</v>
      </c>
      <c r="R118" s="678">
        <v>0</v>
      </c>
      <c r="S118" s="781">
        <v>0</v>
      </c>
      <c r="T118" s="678">
        <v>0</v>
      </c>
      <c r="U118" s="678">
        <v>0</v>
      </c>
      <c r="V118" s="678">
        <v>0</v>
      </c>
      <c r="W118" s="782">
        <v>0</v>
      </c>
      <c r="X118" s="682"/>
      <c r="Y118" s="682"/>
      <c r="Z118" s="682"/>
      <c r="AA118" s="1752"/>
      <c r="AB118" s="1753"/>
      <c r="AC118" s="1753"/>
      <c r="AD118" s="1753"/>
      <c r="AE118" s="1754"/>
      <c r="AF118" s="1752"/>
      <c r="AG118" s="1753"/>
      <c r="AH118" s="1754"/>
    </row>
    <row r="119" spans="1:40">
      <c r="A119" s="682"/>
      <c r="B119" s="2835"/>
      <c r="C119" s="2836"/>
      <c r="D119" s="2836"/>
      <c r="E119" s="2836"/>
      <c r="F119" s="2836"/>
      <c r="G119" s="2836"/>
      <c r="H119" s="2837" t="s">
        <v>1326</v>
      </c>
      <c r="I119" s="459">
        <v>0</v>
      </c>
      <c r="J119" s="458">
        <v>0</v>
      </c>
      <c r="K119" s="458">
        <v>0</v>
      </c>
      <c r="L119" s="458">
        <v>0</v>
      </c>
      <c r="M119" s="460">
        <v>0</v>
      </c>
      <c r="N119" s="459">
        <v>0</v>
      </c>
      <c r="O119" s="458">
        <v>0</v>
      </c>
      <c r="P119" s="458">
        <v>0</v>
      </c>
      <c r="Q119" s="678">
        <v>0</v>
      </c>
      <c r="R119" s="678">
        <v>0</v>
      </c>
      <c r="S119" s="781">
        <v>0</v>
      </c>
      <c r="T119" s="678">
        <v>0</v>
      </c>
      <c r="U119" s="678">
        <v>0</v>
      </c>
      <c r="V119" s="678">
        <v>0</v>
      </c>
      <c r="W119" s="782">
        <v>0</v>
      </c>
      <c r="X119" s="682"/>
      <c r="Y119" s="682"/>
      <c r="Z119" s="682"/>
      <c r="AA119" s="1752"/>
      <c r="AB119" s="1753"/>
      <c r="AC119" s="1753"/>
      <c r="AD119" s="1753"/>
      <c r="AE119" s="1754"/>
      <c r="AF119" s="1752"/>
      <c r="AG119" s="1753"/>
      <c r="AH119" s="1754"/>
    </row>
    <row r="120" spans="1:40">
      <c r="A120" s="682"/>
      <c r="B120" s="2835"/>
      <c r="C120" s="2836"/>
      <c r="D120" s="2836"/>
      <c r="E120" s="2836"/>
      <c r="F120" s="2836"/>
      <c r="G120" s="2836"/>
      <c r="H120" s="2837" t="s">
        <v>1327</v>
      </c>
      <c r="I120" s="459">
        <v>0</v>
      </c>
      <c r="J120" s="458">
        <v>3115866.1827189894</v>
      </c>
      <c r="K120" s="458">
        <v>2767664.5096836295</v>
      </c>
      <c r="L120" s="458">
        <v>5881756.2939921413</v>
      </c>
      <c r="M120" s="460">
        <v>1947674.6702083189</v>
      </c>
      <c r="N120" s="459">
        <v>1510765.8341242857</v>
      </c>
      <c r="O120" s="458">
        <v>382884.19784603961</v>
      </c>
      <c r="P120" s="458">
        <v>0</v>
      </c>
      <c r="Q120" s="678">
        <v>0</v>
      </c>
      <c r="R120" s="678">
        <v>0</v>
      </c>
      <c r="S120" s="781">
        <v>0</v>
      </c>
      <c r="T120" s="678">
        <v>0</v>
      </c>
      <c r="U120" s="678">
        <v>0</v>
      </c>
      <c r="V120" s="678">
        <v>0</v>
      </c>
      <c r="W120" s="782">
        <v>0</v>
      </c>
      <c r="X120" s="682"/>
      <c r="Y120" s="682"/>
      <c r="Z120" s="682"/>
      <c r="AA120" s="1752"/>
      <c r="AB120" s="1753"/>
      <c r="AC120" s="1753"/>
      <c r="AD120" s="1753"/>
      <c r="AE120" s="1754"/>
      <c r="AF120" s="1752"/>
      <c r="AG120" s="1753"/>
      <c r="AH120" s="1754"/>
    </row>
    <row r="121" spans="1:40">
      <c r="A121" s="682"/>
      <c r="B121" s="2835"/>
      <c r="C121" s="2836"/>
      <c r="D121" s="2836"/>
      <c r="E121" s="2836"/>
      <c r="F121" s="2836"/>
      <c r="G121" s="2836"/>
      <c r="H121" s="2837" t="s">
        <v>1413</v>
      </c>
      <c r="I121" s="459">
        <v>0</v>
      </c>
      <c r="J121" s="458">
        <v>0</v>
      </c>
      <c r="K121" s="458">
        <v>0</v>
      </c>
      <c r="L121" s="458">
        <v>0</v>
      </c>
      <c r="M121" s="460">
        <v>0</v>
      </c>
      <c r="N121" s="459">
        <v>0</v>
      </c>
      <c r="O121" s="458">
        <v>0</v>
      </c>
      <c r="P121" s="458">
        <v>0</v>
      </c>
      <c r="Q121" s="678">
        <v>0</v>
      </c>
      <c r="R121" s="678">
        <v>0</v>
      </c>
      <c r="S121" s="781">
        <v>0</v>
      </c>
      <c r="T121" s="678">
        <v>0</v>
      </c>
      <c r="U121" s="678">
        <v>0</v>
      </c>
      <c r="V121" s="678">
        <v>0</v>
      </c>
      <c r="W121" s="782">
        <v>0</v>
      </c>
      <c r="X121" s="682"/>
      <c r="Y121" s="682"/>
      <c r="Z121" s="682"/>
      <c r="AA121" s="1752"/>
      <c r="AB121" s="1753"/>
      <c r="AC121" s="1753"/>
      <c r="AD121" s="1753"/>
      <c r="AE121" s="1754"/>
      <c r="AF121" s="1752"/>
      <c r="AG121" s="1753"/>
      <c r="AH121" s="1754"/>
    </row>
    <row r="122" spans="1:40" ht="13.5" thickBot="1">
      <c r="A122" s="682"/>
      <c r="B122" s="4311" t="s">
        <v>509</v>
      </c>
      <c r="C122" s="4312"/>
      <c r="D122" s="4312"/>
      <c r="E122" s="4312"/>
      <c r="F122" s="4312"/>
      <c r="G122" s="4312"/>
      <c r="H122" s="4313"/>
      <c r="I122" s="459">
        <v>0</v>
      </c>
      <c r="J122" s="458">
        <v>0</v>
      </c>
      <c r="K122" s="458">
        <v>0</v>
      </c>
      <c r="L122" s="458">
        <v>0</v>
      </c>
      <c r="M122" s="460">
        <v>0</v>
      </c>
      <c r="N122" s="459">
        <v>0</v>
      </c>
      <c r="O122" s="458">
        <v>0</v>
      </c>
      <c r="P122" s="458">
        <v>0</v>
      </c>
      <c r="Q122" s="678">
        <v>0</v>
      </c>
      <c r="R122" s="678">
        <v>0</v>
      </c>
      <c r="S122" s="781">
        <v>0</v>
      </c>
      <c r="T122" s="678">
        <v>0</v>
      </c>
      <c r="U122" s="678">
        <v>0</v>
      </c>
      <c r="V122" s="678">
        <v>0</v>
      </c>
      <c r="W122" s="782">
        <v>0</v>
      </c>
      <c r="X122" s="682"/>
      <c r="Y122" s="682"/>
      <c r="Z122" s="682"/>
      <c r="AA122" s="1752"/>
      <c r="AB122" s="1753"/>
      <c r="AC122" s="1753"/>
      <c r="AD122" s="1753"/>
      <c r="AE122" s="1754"/>
      <c r="AF122" s="1752"/>
      <c r="AG122" s="1753"/>
      <c r="AH122" s="1754"/>
    </row>
    <row r="123" spans="1:40" s="1485" customFormat="1" ht="13.5" thickBot="1">
      <c r="A123" s="1484"/>
      <c r="B123" s="4314" t="s">
        <v>63</v>
      </c>
      <c r="C123" s="4315"/>
      <c r="D123" s="4315"/>
      <c r="E123" s="4315"/>
      <c r="F123" s="4315"/>
      <c r="G123" s="4315"/>
      <c r="H123" s="4316"/>
      <c r="I123" s="1221"/>
      <c r="J123" s="1222"/>
      <c r="K123" s="1222"/>
      <c r="L123" s="1222"/>
      <c r="M123" s="1223"/>
      <c r="N123" s="1221"/>
      <c r="O123" s="1222"/>
      <c r="P123" s="1222"/>
      <c r="Q123" s="1222"/>
      <c r="R123" s="1222"/>
      <c r="S123" s="1221"/>
      <c r="T123" s="1222"/>
      <c r="U123" s="1222"/>
      <c r="V123" s="1222"/>
      <c r="W123" s="1223"/>
      <c r="X123" s="1484"/>
      <c r="Y123" s="1484"/>
      <c r="Z123" s="1484"/>
      <c r="AA123" s="1748"/>
      <c r="AB123" s="1222"/>
      <c r="AC123" s="1222"/>
      <c r="AD123" s="1222"/>
      <c r="AE123" s="1223"/>
      <c r="AF123" s="1748"/>
      <c r="AG123" s="1222"/>
      <c r="AH123" s="1223"/>
    </row>
    <row r="124" spans="1:40" s="69" customFormat="1" ht="28.5" customHeight="1" thickBot="1">
      <c r="A124" s="314"/>
      <c r="B124" s="4317" t="s">
        <v>121</v>
      </c>
      <c r="C124" s="4318"/>
      <c r="D124" s="4318"/>
      <c r="E124" s="4318"/>
      <c r="F124" s="4318"/>
      <c r="G124" s="4318"/>
      <c r="H124" s="4319"/>
      <c r="I124" s="263" t="s">
        <v>1568</v>
      </c>
      <c r="J124" s="264"/>
      <c r="K124" s="264"/>
      <c r="L124" s="264"/>
      <c r="M124" s="264"/>
      <c r="N124" s="264"/>
      <c r="O124" s="264"/>
      <c r="P124" s="264"/>
      <c r="Q124" s="264"/>
      <c r="R124" s="264"/>
      <c r="S124" s="264"/>
      <c r="T124" s="264"/>
      <c r="U124" s="264"/>
      <c r="V124" s="264"/>
      <c r="W124" s="406"/>
      <c r="X124" s="242"/>
      <c r="Y124" s="242"/>
      <c r="Z124" s="242"/>
      <c r="AA124" s="1663"/>
      <c r="AB124" s="1644"/>
      <c r="AC124" s="1644"/>
      <c r="AD124" s="1644"/>
      <c r="AE124" s="1644"/>
      <c r="AF124" s="1644"/>
      <c r="AG124" s="1644"/>
      <c r="AH124" s="1647"/>
    </row>
    <row r="125" spans="1:40" ht="63.75" customHeight="1" thickBot="1">
      <c r="A125" s="682"/>
      <c r="B125" s="682"/>
      <c r="C125" s="682"/>
      <c r="D125" s="682"/>
      <c r="E125" s="682"/>
      <c r="F125" s="682"/>
      <c r="G125" s="682"/>
      <c r="H125" s="682"/>
      <c r="I125" s="682"/>
      <c r="J125" s="682"/>
      <c r="K125" s="682"/>
      <c r="L125" s="682"/>
      <c r="M125" s="682"/>
      <c r="N125" s="685"/>
      <c r="O125" s="682"/>
      <c r="P125" s="682"/>
      <c r="Q125" s="682"/>
      <c r="R125" s="682"/>
      <c r="S125" s="691"/>
      <c r="T125" s="691"/>
      <c r="U125" s="691"/>
      <c r="V125" s="691"/>
      <c r="W125" s="682"/>
      <c r="X125" s="682"/>
      <c r="Y125" s="682"/>
      <c r="Z125" s="682"/>
      <c r="AA125" s="682"/>
      <c r="AB125" s="682"/>
      <c r="AD125"/>
      <c r="AE125"/>
      <c r="AF125"/>
      <c r="AG125" s="682"/>
      <c r="AH125" s="682"/>
      <c r="AI125" s="682"/>
      <c r="AJ125" s="682"/>
      <c r="AK125" s="682"/>
      <c r="AL125" s="685"/>
      <c r="AM125" s="682"/>
      <c r="AN125" s="682"/>
    </row>
    <row r="126" spans="1:40" s="78" customFormat="1" ht="24.75" customHeight="1" thickBot="1">
      <c r="A126" s="262"/>
      <c r="B126" s="1258" t="s">
        <v>502</v>
      </c>
      <c r="C126" s="1259"/>
      <c r="D126" s="1259"/>
      <c r="E126" s="1259"/>
      <c r="F126" s="1259"/>
      <c r="G126" s="1259"/>
      <c r="H126" s="1259"/>
      <c r="I126" s="1259"/>
      <c r="J126" s="1259"/>
      <c r="K126" s="1259"/>
      <c r="L126" s="1259"/>
      <c r="M126" s="1259"/>
      <c r="N126" s="1259"/>
      <c r="O126" s="1259"/>
      <c r="P126" s="1259"/>
      <c r="Q126" s="1259"/>
      <c r="R126" s="1260"/>
      <c r="S126" s="262"/>
      <c r="T126" s="262"/>
      <c r="U126" s="262"/>
      <c r="V126" s="262"/>
      <c r="W126" s="262"/>
      <c r="Y126"/>
      <c r="Z126"/>
      <c r="AA126"/>
      <c r="AB126"/>
      <c r="AC126"/>
      <c r="AD126"/>
      <c r="AE126"/>
      <c r="AG126"/>
      <c r="AH126"/>
      <c r="AI126"/>
      <c r="AJ126"/>
      <c r="AK126"/>
      <c r="AL126"/>
      <c r="AM126"/>
      <c r="AN126"/>
    </row>
    <row r="127" spans="1:40" ht="18">
      <c r="A127" s="682"/>
      <c r="B127" s="1175"/>
      <c r="C127" s="1176"/>
      <c r="D127" s="1176"/>
      <c r="E127" s="1176"/>
      <c r="F127" s="1176"/>
      <c r="G127" s="1176"/>
      <c r="H127" s="1757"/>
      <c r="I127" s="4098" t="s">
        <v>36</v>
      </c>
      <c r="J127" s="3997"/>
      <c r="K127" s="3997"/>
      <c r="L127" s="3997"/>
      <c r="M127" s="3997"/>
      <c r="N127" s="4074" t="s">
        <v>37</v>
      </c>
      <c r="O127" s="4075"/>
      <c r="P127" s="4075"/>
      <c r="Q127" s="4075"/>
      <c r="R127" s="4082"/>
      <c r="S127" s="682"/>
      <c r="T127" s="682"/>
      <c r="U127" s="682"/>
      <c r="V127" s="682"/>
      <c r="W127" s="682"/>
      <c r="X127" s="682"/>
      <c r="Y127" s="682"/>
      <c r="Z127" s="682"/>
      <c r="AA127" s="682"/>
      <c r="AB127" s="682"/>
      <c r="AD127"/>
      <c r="AE127"/>
      <c r="AF127"/>
      <c r="AG127"/>
      <c r="AH127"/>
      <c r="AI127"/>
      <c r="AJ127"/>
      <c r="AK127"/>
      <c r="AL127"/>
      <c r="AM127"/>
      <c r="AN127"/>
    </row>
    <row r="128" spans="1:40" ht="15" customHeight="1">
      <c r="A128" s="682"/>
      <c r="B128" s="1177"/>
      <c r="C128" s="1178"/>
      <c r="D128" s="1178"/>
      <c r="E128" s="1178"/>
      <c r="F128" s="1178"/>
      <c r="G128" s="1178"/>
      <c r="H128" s="1758"/>
      <c r="I128" s="3985" t="str">
        <f>CONCATENATE("$0's, real ",dms_DollarReal)</f>
        <v>$0's, real December 2017</v>
      </c>
      <c r="J128" s="3986"/>
      <c r="K128" s="3986"/>
      <c r="L128" s="3986"/>
      <c r="M128" s="3986"/>
      <c r="N128" s="3986"/>
      <c r="O128" s="3986"/>
      <c r="P128" s="3986"/>
      <c r="Q128" s="3986"/>
      <c r="R128" s="4030"/>
      <c r="S128" s="682"/>
      <c r="T128" s="682"/>
      <c r="U128" s="682"/>
      <c r="V128" s="682"/>
      <c r="W128" s="682"/>
      <c r="X128" s="682"/>
      <c r="Y128" s="682"/>
      <c r="Z128" s="682"/>
      <c r="AA128" s="682"/>
      <c r="AB128" s="682"/>
      <c r="AD128"/>
      <c r="AE128"/>
      <c r="AF128"/>
      <c r="AG128"/>
      <c r="AH128"/>
      <c r="AI128"/>
      <c r="AJ128"/>
      <c r="AK128"/>
      <c r="AL128"/>
      <c r="AM128"/>
      <c r="AN128"/>
    </row>
    <row r="129" spans="1:40" ht="15">
      <c r="A129" s="682"/>
      <c r="B129" s="1177"/>
      <c r="C129" s="1178"/>
      <c r="D129" s="1178"/>
      <c r="E129" s="1178"/>
      <c r="F129" s="1178"/>
      <c r="G129" s="1178"/>
      <c r="H129" s="1758"/>
      <c r="I129" s="3985" t="s">
        <v>74</v>
      </c>
      <c r="J129" s="3986"/>
      <c r="K129" s="3986"/>
      <c r="L129" s="3986"/>
      <c r="M129" s="3986"/>
      <c r="N129" s="3986"/>
      <c r="O129" s="3986"/>
      <c r="P129" s="3986"/>
      <c r="Q129" s="3986"/>
      <c r="R129" s="4030"/>
      <c r="S129" s="682"/>
      <c r="T129" s="682"/>
      <c r="U129" s="682"/>
      <c r="V129" s="682"/>
      <c r="W129" s="682"/>
      <c r="X129" s="682"/>
      <c r="Y129" s="682"/>
      <c r="Z129" s="682"/>
      <c r="AA129" s="682"/>
      <c r="AB129" s="682"/>
      <c r="AD129"/>
      <c r="AE129"/>
      <c r="AF129"/>
      <c r="AG129"/>
      <c r="AH129"/>
      <c r="AI129"/>
      <c r="AJ129"/>
      <c r="AK129"/>
      <c r="AL129"/>
      <c r="AM129"/>
      <c r="AN129"/>
    </row>
    <row r="130" spans="1:40" ht="25.5" customHeight="1" thickBot="1">
      <c r="A130" s="682"/>
      <c r="B130" s="1177"/>
      <c r="C130" s="1178"/>
      <c r="D130" s="1178"/>
      <c r="E130" s="1178"/>
      <c r="F130" s="1178"/>
      <c r="G130" s="1178"/>
      <c r="H130" s="1758"/>
      <c r="I130" s="343">
        <f t="array" ref="I130:M130">PRCP</f>
        <v>2008</v>
      </c>
      <c r="J130" s="342">
        <v>2009</v>
      </c>
      <c r="K130" s="342">
        <v>2010</v>
      </c>
      <c r="L130" s="342">
        <v>2011</v>
      </c>
      <c r="M130" s="342">
        <v>2012</v>
      </c>
      <c r="N130" s="344">
        <f>CRCP_y1</f>
        <v>2013</v>
      </c>
      <c r="O130" s="344">
        <f>CRCP_y2</f>
        <v>2014</v>
      </c>
      <c r="P130" s="344">
        <f>CRCP_y3</f>
        <v>2015</v>
      </c>
      <c r="Q130" s="344">
        <f>CRCP_y4</f>
        <v>2016</v>
      </c>
      <c r="R130" s="542">
        <f>CRCP_y5</f>
        <v>2017</v>
      </c>
      <c r="S130" s="682"/>
      <c r="T130" s="682"/>
      <c r="U130" s="682"/>
      <c r="V130" s="682"/>
      <c r="W130" s="682"/>
      <c r="X130" s="682"/>
      <c r="Y130" s="682"/>
      <c r="Z130" s="682"/>
      <c r="AA130" s="682"/>
      <c r="AB130" s="682"/>
      <c r="AD130"/>
      <c r="AE130"/>
      <c r="AF130"/>
      <c r="AG130"/>
      <c r="AH130"/>
      <c r="AI130"/>
      <c r="AJ130"/>
      <c r="AK130"/>
      <c r="AL130"/>
      <c r="AM130"/>
      <c r="AN130"/>
    </row>
    <row r="131" spans="1:40">
      <c r="A131" s="682"/>
      <c r="B131" s="4320" t="s">
        <v>1321</v>
      </c>
      <c r="C131" s="4321"/>
      <c r="D131" s="4321"/>
      <c r="E131" s="4321"/>
      <c r="F131" s="4321"/>
      <c r="G131" s="4321"/>
      <c r="H131" s="4322"/>
      <c r="I131" s="778"/>
      <c r="J131" s="779"/>
      <c r="K131" s="779"/>
      <c r="L131" s="779"/>
      <c r="M131" s="780"/>
      <c r="N131" s="783"/>
      <c r="O131" s="784"/>
      <c r="P131" s="784"/>
      <c r="Q131" s="784"/>
      <c r="R131" s="785"/>
      <c r="S131" s="682"/>
      <c r="T131" s="682"/>
      <c r="U131" s="682"/>
      <c r="V131" s="682"/>
      <c r="W131" s="682"/>
      <c r="X131" s="682"/>
      <c r="Y131" s="682"/>
      <c r="Z131" s="682"/>
      <c r="AA131" s="682"/>
      <c r="AB131" s="682"/>
      <c r="AD131"/>
      <c r="AE131"/>
      <c r="AF131"/>
      <c r="AG131"/>
      <c r="AH131"/>
      <c r="AI131"/>
      <c r="AJ131"/>
      <c r="AK131"/>
      <c r="AL131"/>
      <c r="AM131"/>
      <c r="AN131"/>
    </row>
    <row r="132" spans="1:40">
      <c r="A132" s="682"/>
      <c r="B132" s="4323" t="s">
        <v>1322</v>
      </c>
      <c r="C132" s="4324"/>
      <c r="D132" s="4324"/>
      <c r="E132" s="4324"/>
      <c r="F132" s="4324"/>
      <c r="G132" s="4324"/>
      <c r="H132" s="4325"/>
      <c r="I132" s="781"/>
      <c r="J132" s="678"/>
      <c r="K132" s="678"/>
      <c r="L132" s="678"/>
      <c r="M132" s="782"/>
      <c r="N132" s="786"/>
      <c r="O132" s="679"/>
      <c r="P132" s="679"/>
      <c r="Q132" s="679"/>
      <c r="R132" s="787"/>
      <c r="S132" s="682"/>
      <c r="T132" s="682"/>
      <c r="U132" s="682"/>
      <c r="V132" s="682"/>
      <c r="W132" s="682"/>
      <c r="X132" s="682"/>
      <c r="Y132" s="682"/>
      <c r="Z132" s="682"/>
      <c r="AA132" s="682"/>
      <c r="AB132" s="682"/>
      <c r="AD132"/>
      <c r="AE132"/>
      <c r="AF132"/>
      <c r="AG132"/>
      <c r="AH132"/>
      <c r="AI132"/>
      <c r="AJ132"/>
      <c r="AK132"/>
      <c r="AL132"/>
      <c r="AM132"/>
      <c r="AN132"/>
    </row>
    <row r="133" spans="1:40">
      <c r="A133" s="682"/>
      <c r="B133" s="4323" t="s">
        <v>1323</v>
      </c>
      <c r="C133" s="4324"/>
      <c r="D133" s="4324"/>
      <c r="E133" s="4324"/>
      <c r="F133" s="4324"/>
      <c r="G133" s="4324"/>
      <c r="H133" s="4325"/>
      <c r="I133" s="781"/>
      <c r="J133" s="678"/>
      <c r="K133" s="678"/>
      <c r="L133" s="678"/>
      <c r="M133" s="782"/>
      <c r="N133" s="786"/>
      <c r="O133" s="679"/>
      <c r="P133" s="679"/>
      <c r="Q133" s="679"/>
      <c r="R133" s="787"/>
      <c r="S133" s="682"/>
      <c r="T133" s="682"/>
      <c r="U133" s="682"/>
      <c r="V133" s="682"/>
      <c r="W133" s="682"/>
      <c r="X133" s="682"/>
      <c r="Y133" s="682"/>
      <c r="Z133" s="682"/>
      <c r="AA133" s="682"/>
      <c r="AB133" s="682"/>
      <c r="AD133"/>
      <c r="AE133"/>
      <c r="AF133"/>
      <c r="AG133"/>
      <c r="AH133"/>
      <c r="AI133"/>
      <c r="AJ133"/>
      <c r="AK133"/>
      <c r="AL133"/>
      <c r="AM133"/>
      <c r="AN133"/>
    </row>
    <row r="134" spans="1:40">
      <c r="A134" s="682"/>
      <c r="B134" s="4323" t="s">
        <v>1324</v>
      </c>
      <c r="C134" s="4324"/>
      <c r="D134" s="4324"/>
      <c r="E134" s="4324"/>
      <c r="F134" s="4324"/>
      <c r="G134" s="4324"/>
      <c r="H134" s="4325"/>
      <c r="I134" s="781"/>
      <c r="J134" s="678"/>
      <c r="K134" s="678"/>
      <c r="L134" s="678"/>
      <c r="M134" s="782"/>
      <c r="N134" s="786"/>
      <c r="O134" s="679"/>
      <c r="P134" s="679"/>
      <c r="Q134" s="679"/>
      <c r="R134" s="787"/>
      <c r="S134" s="682"/>
      <c r="T134" s="682"/>
      <c r="U134" s="682"/>
      <c r="V134" s="682"/>
      <c r="W134" s="682"/>
      <c r="X134" s="682"/>
      <c r="Y134" s="682"/>
      <c r="Z134" s="682"/>
      <c r="AA134" s="682"/>
      <c r="AB134" s="682"/>
      <c r="AD134"/>
      <c r="AE134"/>
      <c r="AF134"/>
      <c r="AG134"/>
      <c r="AH134"/>
      <c r="AI134"/>
      <c r="AJ134"/>
      <c r="AK134"/>
      <c r="AL134"/>
      <c r="AM134"/>
      <c r="AN134"/>
    </row>
    <row r="135" spans="1:40">
      <c r="A135" s="682"/>
      <c r="B135" s="4323" t="s">
        <v>1412</v>
      </c>
      <c r="C135" s="4324"/>
      <c r="D135" s="4324"/>
      <c r="E135" s="4324"/>
      <c r="F135" s="4324"/>
      <c r="G135" s="4324"/>
      <c r="H135" s="4325"/>
      <c r="I135" s="781"/>
      <c r="J135" s="678"/>
      <c r="K135" s="678"/>
      <c r="L135" s="678"/>
      <c r="M135" s="782"/>
      <c r="N135" s="786"/>
      <c r="O135" s="679"/>
      <c r="P135" s="679"/>
      <c r="Q135" s="679"/>
      <c r="R135" s="787"/>
      <c r="S135" s="682"/>
      <c r="T135" s="682"/>
      <c r="U135" s="682"/>
      <c r="V135" s="682"/>
      <c r="W135" s="682"/>
      <c r="X135" s="682"/>
      <c r="Y135" s="682"/>
      <c r="Z135" s="682"/>
      <c r="AA135" s="682"/>
      <c r="AB135" s="682"/>
      <c r="AD135" s="1172"/>
      <c r="AE135" s="1172"/>
      <c r="AF135" s="1172"/>
      <c r="AG135" s="1172"/>
      <c r="AH135" s="1172"/>
      <c r="AI135" s="1172"/>
      <c r="AJ135" s="1172"/>
      <c r="AK135" s="1172"/>
      <c r="AL135" s="1172"/>
      <c r="AM135" s="1172"/>
      <c r="AN135" s="1172"/>
    </row>
    <row r="136" spans="1:40">
      <c r="A136" s="682"/>
      <c r="B136" s="4323" t="s">
        <v>61</v>
      </c>
      <c r="C136" s="4324"/>
      <c r="D136" s="4324"/>
      <c r="E136" s="4324"/>
      <c r="F136" s="4324"/>
      <c r="G136" s="4324"/>
      <c r="H136" s="4325"/>
      <c r="I136" s="781"/>
      <c r="J136" s="678"/>
      <c r="K136" s="678"/>
      <c r="L136" s="678"/>
      <c r="M136" s="782"/>
      <c r="N136" s="786"/>
      <c r="O136" s="679"/>
      <c r="P136" s="679"/>
      <c r="Q136" s="679"/>
      <c r="R136" s="787"/>
      <c r="S136" s="682"/>
      <c r="T136" s="682"/>
      <c r="U136" s="682"/>
      <c r="V136" s="682"/>
      <c r="W136" s="682"/>
      <c r="X136" s="682"/>
      <c r="Y136" s="682"/>
      <c r="Z136" s="682"/>
      <c r="AA136" s="682"/>
      <c r="AB136" s="682"/>
      <c r="AD136" s="1172"/>
      <c r="AE136" s="1172"/>
      <c r="AF136" s="1172"/>
      <c r="AG136" s="1172"/>
      <c r="AH136" s="1172"/>
      <c r="AI136" s="1172"/>
      <c r="AJ136" s="1172"/>
      <c r="AK136" s="1172"/>
      <c r="AL136" s="1172"/>
      <c r="AM136" s="1172"/>
      <c r="AN136" s="1172"/>
    </row>
    <row r="137" spans="1:40">
      <c r="A137" s="682"/>
      <c r="B137" s="4323" t="s">
        <v>1325</v>
      </c>
      <c r="C137" s="4324"/>
      <c r="D137" s="4324"/>
      <c r="E137" s="4324"/>
      <c r="F137" s="4324"/>
      <c r="G137" s="4324"/>
      <c r="H137" s="4325"/>
      <c r="I137" s="781"/>
      <c r="J137" s="678"/>
      <c r="K137" s="678"/>
      <c r="L137" s="678"/>
      <c r="M137" s="782"/>
      <c r="N137" s="786"/>
      <c r="O137" s="679"/>
      <c r="P137" s="679"/>
      <c r="Q137" s="679"/>
      <c r="R137" s="787"/>
      <c r="S137" s="682"/>
      <c r="T137" s="682"/>
      <c r="U137" s="682"/>
      <c r="V137" s="682"/>
      <c r="W137" s="682"/>
      <c r="X137" s="682"/>
      <c r="Y137" s="682"/>
      <c r="Z137" s="682"/>
      <c r="AA137" s="682"/>
      <c r="AB137" s="682"/>
      <c r="AD137" s="1172"/>
      <c r="AE137" s="1172"/>
      <c r="AF137" s="1172"/>
      <c r="AG137" s="1172"/>
      <c r="AH137" s="1172"/>
      <c r="AI137" s="1172"/>
      <c r="AJ137" s="1172"/>
      <c r="AK137" s="1172"/>
      <c r="AL137" s="1172"/>
      <c r="AM137" s="1172"/>
      <c r="AN137" s="1172"/>
    </row>
    <row r="138" spans="1:40">
      <c r="A138" s="682"/>
      <c r="B138" s="2835"/>
      <c r="C138" s="2836"/>
      <c r="D138" s="2836"/>
      <c r="E138" s="2836"/>
      <c r="F138" s="2836"/>
      <c r="G138" s="2836"/>
      <c r="H138" s="2837" t="s">
        <v>1326</v>
      </c>
      <c r="I138" s="781"/>
      <c r="J138" s="678"/>
      <c r="K138" s="678"/>
      <c r="L138" s="678"/>
      <c r="M138" s="782"/>
      <c r="N138" s="786"/>
      <c r="O138" s="679"/>
      <c r="P138" s="679"/>
      <c r="Q138" s="679"/>
      <c r="R138" s="787"/>
      <c r="S138" s="682"/>
      <c r="T138" s="682"/>
      <c r="U138" s="682"/>
      <c r="V138" s="682"/>
      <c r="W138" s="682"/>
      <c r="X138" s="682"/>
      <c r="Y138" s="682"/>
      <c r="Z138" s="682"/>
      <c r="AA138" s="682"/>
      <c r="AB138" s="682"/>
      <c r="AD138" s="1172"/>
      <c r="AE138" s="1172"/>
      <c r="AF138" s="1172"/>
      <c r="AG138" s="1172"/>
      <c r="AH138" s="1172"/>
      <c r="AI138" s="1172"/>
      <c r="AJ138" s="1172"/>
      <c r="AK138" s="1172"/>
      <c r="AL138" s="1172"/>
      <c r="AM138" s="1172"/>
      <c r="AN138" s="1172"/>
    </row>
    <row r="139" spans="1:40">
      <c r="A139" s="682"/>
      <c r="B139" s="2835"/>
      <c r="C139" s="2836"/>
      <c r="D139" s="2836"/>
      <c r="E139" s="2836"/>
      <c r="F139" s="2836"/>
      <c r="G139" s="2836"/>
      <c r="H139" s="2837" t="s">
        <v>1327</v>
      </c>
      <c r="I139" s="781"/>
      <c r="J139" s="678"/>
      <c r="K139" s="678"/>
      <c r="L139" s="678"/>
      <c r="M139" s="782"/>
      <c r="N139" s="786"/>
      <c r="O139" s="679"/>
      <c r="P139" s="679"/>
      <c r="Q139" s="679"/>
      <c r="R139" s="787"/>
      <c r="S139" s="682"/>
      <c r="T139" s="682"/>
      <c r="U139" s="682"/>
      <c r="V139" s="682"/>
      <c r="W139" s="682"/>
      <c r="X139" s="682"/>
      <c r="Y139" s="682"/>
      <c r="Z139" s="682"/>
      <c r="AA139" s="682"/>
      <c r="AB139" s="682"/>
      <c r="AD139"/>
      <c r="AE139"/>
      <c r="AF139"/>
      <c r="AG139"/>
      <c r="AH139"/>
      <c r="AI139"/>
      <c r="AJ139"/>
      <c r="AK139"/>
      <c r="AL139"/>
      <c r="AM139"/>
      <c r="AN139"/>
    </row>
    <row r="140" spans="1:40">
      <c r="A140" s="682"/>
      <c r="B140" s="2835"/>
      <c r="C140" s="2836"/>
      <c r="D140" s="2836"/>
      <c r="E140" s="2836"/>
      <c r="F140" s="2836"/>
      <c r="G140" s="2836"/>
      <c r="H140" s="2837" t="s">
        <v>1413</v>
      </c>
      <c r="I140" s="781"/>
      <c r="J140" s="678"/>
      <c r="K140" s="678"/>
      <c r="L140" s="678"/>
      <c r="M140" s="782"/>
      <c r="N140" s="786"/>
      <c r="O140" s="679"/>
      <c r="P140" s="679"/>
      <c r="Q140" s="679"/>
      <c r="R140" s="787"/>
      <c r="S140" s="682"/>
      <c r="T140" s="682"/>
      <c r="U140" s="682"/>
      <c r="V140" s="682"/>
      <c r="W140" s="682"/>
      <c r="X140" s="682"/>
      <c r="Y140" s="682"/>
      <c r="Z140" s="682"/>
      <c r="AA140" s="682"/>
      <c r="AB140" s="682"/>
      <c r="AD140"/>
      <c r="AE140"/>
      <c r="AF140"/>
      <c r="AG140"/>
      <c r="AH140"/>
      <c r="AI140"/>
      <c r="AJ140"/>
      <c r="AK140"/>
      <c r="AL140"/>
      <c r="AM140"/>
      <c r="AN140"/>
    </row>
    <row r="141" spans="1:40" ht="13.5" thickBot="1">
      <c r="A141" s="682"/>
      <c r="B141" s="4311" t="s">
        <v>509</v>
      </c>
      <c r="C141" s="4312"/>
      <c r="D141" s="4312"/>
      <c r="E141" s="4312"/>
      <c r="F141" s="4312"/>
      <c r="G141" s="4312"/>
      <c r="H141" s="4313"/>
      <c r="I141" s="781"/>
      <c r="J141" s="678"/>
      <c r="K141" s="678"/>
      <c r="L141" s="678"/>
      <c r="M141" s="782"/>
      <c r="N141" s="786"/>
      <c r="O141" s="679"/>
      <c r="P141" s="679"/>
      <c r="Q141" s="679"/>
      <c r="R141" s="787"/>
      <c r="S141" s="682"/>
      <c r="T141" s="682"/>
      <c r="U141" s="682"/>
      <c r="V141" s="682"/>
      <c r="W141" s="682"/>
      <c r="X141" s="682"/>
      <c r="Y141" s="682"/>
      <c r="Z141" s="682"/>
      <c r="AA141" s="682"/>
      <c r="AB141" s="682"/>
      <c r="AD141"/>
      <c r="AE141"/>
      <c r="AF141"/>
      <c r="AG141"/>
      <c r="AH141"/>
      <c r="AI141"/>
      <c r="AJ141"/>
      <c r="AK141"/>
      <c r="AL141"/>
      <c r="AM141"/>
      <c r="AN141"/>
    </row>
    <row r="142" spans="1:40" ht="13.5" thickBot="1">
      <c r="A142" s="682"/>
      <c r="B142" s="4314" t="s">
        <v>63</v>
      </c>
      <c r="C142" s="4315"/>
      <c r="D142" s="4315"/>
      <c r="E142" s="4315"/>
      <c r="F142" s="4315"/>
      <c r="G142" s="4315"/>
      <c r="H142" s="4316"/>
      <c r="I142" s="1481"/>
      <c r="J142" s="1482"/>
      <c r="K142" s="1482"/>
      <c r="L142" s="1482"/>
      <c r="M142" s="1483"/>
      <c r="N142" s="1221"/>
      <c r="O142" s="1222"/>
      <c r="P142" s="1222"/>
      <c r="Q142" s="1222"/>
      <c r="R142" s="1223"/>
      <c r="S142" s="682"/>
      <c r="T142" s="682"/>
      <c r="U142" s="682"/>
      <c r="V142" s="682"/>
      <c r="W142" s="682"/>
      <c r="X142" s="682"/>
      <c r="Y142" s="682"/>
      <c r="Z142" s="682"/>
      <c r="AA142" s="682"/>
      <c r="AB142" s="682"/>
      <c r="AD142"/>
      <c r="AE142"/>
      <c r="AF142"/>
      <c r="AG142"/>
      <c r="AH142"/>
      <c r="AI142"/>
      <c r="AJ142"/>
      <c r="AK142"/>
      <c r="AL142"/>
      <c r="AM142"/>
      <c r="AN142"/>
    </row>
    <row r="143" spans="1:40" s="69" customFormat="1" ht="28.5" customHeight="1" thickBot="1">
      <c r="A143" s="314"/>
      <c r="B143" s="4317" t="s">
        <v>121</v>
      </c>
      <c r="C143" s="4318"/>
      <c r="D143" s="4318"/>
      <c r="E143" s="4318"/>
      <c r="F143" s="4318"/>
      <c r="G143" s="4318"/>
      <c r="H143" s="4319"/>
      <c r="I143" s="664"/>
      <c r="J143" s="264"/>
      <c r="K143" s="264"/>
      <c r="L143" s="264"/>
      <c r="M143" s="264"/>
      <c r="N143" s="264"/>
      <c r="O143" s="264"/>
      <c r="P143" s="264"/>
      <c r="Q143" s="264"/>
      <c r="R143" s="406"/>
      <c r="S143" s="242"/>
      <c r="T143" s="242"/>
      <c r="U143" s="242"/>
      <c r="V143" s="242"/>
      <c r="W143" s="242"/>
      <c r="X143" s="242"/>
      <c r="Y143" s="242"/>
      <c r="Z143" s="242"/>
      <c r="AA143" s="242"/>
      <c r="AB143" s="242"/>
      <c r="AC143"/>
      <c r="AD143"/>
      <c r="AE143"/>
      <c r="AF143"/>
      <c r="AG143"/>
      <c r="AH143"/>
      <c r="AI143"/>
      <c r="AJ143"/>
      <c r="AK143"/>
      <c r="AL143"/>
      <c r="AM143"/>
      <c r="AN143"/>
    </row>
  </sheetData>
  <mergeCells count="127">
    <mergeCell ref="AA13:AE13"/>
    <mergeCell ref="AF13:AH13"/>
    <mergeCell ref="AA14:AH14"/>
    <mergeCell ref="AA15:AH15"/>
    <mergeCell ref="AA28:AE28"/>
    <mergeCell ref="AF28:AH28"/>
    <mergeCell ref="AA29:AH29"/>
    <mergeCell ref="AA30:AH30"/>
    <mergeCell ref="AA109:AH109"/>
    <mergeCell ref="AA110:AH110"/>
    <mergeCell ref="AA108:AE108"/>
    <mergeCell ref="AF108:AH108"/>
    <mergeCell ref="AA59:AH59"/>
    <mergeCell ref="AA60:AH60"/>
    <mergeCell ref="AA43:AE43"/>
    <mergeCell ref="AF43:AH43"/>
    <mergeCell ref="AA44:AH44"/>
    <mergeCell ref="AA45:AH45"/>
    <mergeCell ref="AA58:AE58"/>
    <mergeCell ref="AF58:AH58"/>
    <mergeCell ref="I72:W72"/>
    <mergeCell ref="S108:W108"/>
    <mergeCell ref="S71:W71"/>
    <mergeCell ref="G28:G31"/>
    <mergeCell ref="I28:M28"/>
    <mergeCell ref="N28:R28"/>
    <mergeCell ref="I59:R59"/>
    <mergeCell ref="I73:P73"/>
    <mergeCell ref="Q73:W73"/>
    <mergeCell ref="B53:H53"/>
    <mergeCell ref="B54:H54"/>
    <mergeCell ref="B55:H55"/>
    <mergeCell ref="B75:H75"/>
    <mergeCell ref="B76:H76"/>
    <mergeCell ref="B77:H77"/>
    <mergeCell ref="B80:H80"/>
    <mergeCell ref="B81:H81"/>
    <mergeCell ref="B85:H85"/>
    <mergeCell ref="B86:H86"/>
    <mergeCell ref="B78:H78"/>
    <mergeCell ref="B96:H96"/>
    <mergeCell ref="B99:H99"/>
    <mergeCell ref="B50:H50"/>
    <mergeCell ref="S13:W13"/>
    <mergeCell ref="I14:P14"/>
    <mergeCell ref="Q14:W14"/>
    <mergeCell ref="I15:P15"/>
    <mergeCell ref="Q15:W15"/>
    <mergeCell ref="S28:W28"/>
    <mergeCell ref="I29:P29"/>
    <mergeCell ref="Q29:W29"/>
    <mergeCell ref="Q30:W30"/>
    <mergeCell ref="B13:B16"/>
    <mergeCell ref="C13:C16"/>
    <mergeCell ref="D13:D16"/>
    <mergeCell ref="E13:E16"/>
    <mergeCell ref="F13:F16"/>
    <mergeCell ref="G13:G16"/>
    <mergeCell ref="I13:M13"/>
    <mergeCell ref="B28:B31"/>
    <mergeCell ref="C28:C31"/>
    <mergeCell ref="D28:D31"/>
    <mergeCell ref="E28:E31"/>
    <mergeCell ref="F28:F31"/>
    <mergeCell ref="I30:P30"/>
    <mergeCell ref="N13:R13"/>
    <mergeCell ref="I129:R129"/>
    <mergeCell ref="I110:P110"/>
    <mergeCell ref="Q110:W110"/>
    <mergeCell ref="I128:R128"/>
    <mergeCell ref="I109:P109"/>
    <mergeCell ref="N43:R43"/>
    <mergeCell ref="I43:M43"/>
    <mergeCell ref="S43:W43"/>
    <mergeCell ref="B58:B61"/>
    <mergeCell ref="I58:M58"/>
    <mergeCell ref="N58:R58"/>
    <mergeCell ref="Q45:W45"/>
    <mergeCell ref="I44:P44"/>
    <mergeCell ref="I45:P45"/>
    <mergeCell ref="I60:R60"/>
    <mergeCell ref="B47:H47"/>
    <mergeCell ref="B48:H48"/>
    <mergeCell ref="B49:H49"/>
    <mergeCell ref="B51:H51"/>
    <mergeCell ref="B52:H52"/>
    <mergeCell ref="I71:M71"/>
    <mergeCell ref="N71:R71"/>
    <mergeCell ref="Q44:W44"/>
    <mergeCell ref="B79:H79"/>
    <mergeCell ref="I127:M127"/>
    <mergeCell ref="I89:M89"/>
    <mergeCell ref="I108:M108"/>
    <mergeCell ref="I91:R91"/>
    <mergeCell ref="I90:R90"/>
    <mergeCell ref="N108:R108"/>
    <mergeCell ref="N127:R127"/>
    <mergeCell ref="N89:R89"/>
    <mergeCell ref="B97:H97"/>
    <mergeCell ref="B98:H98"/>
    <mergeCell ref="B103:H103"/>
    <mergeCell ref="B104:H104"/>
    <mergeCell ref="B93:H93"/>
    <mergeCell ref="B94:H94"/>
    <mergeCell ref="B95:H95"/>
    <mergeCell ref="B122:H122"/>
    <mergeCell ref="B123:H123"/>
    <mergeCell ref="B124:H124"/>
    <mergeCell ref="B105:H105"/>
    <mergeCell ref="B112:H112"/>
    <mergeCell ref="B113:H113"/>
    <mergeCell ref="B114:H114"/>
    <mergeCell ref="Q109:W109"/>
    <mergeCell ref="B141:H141"/>
    <mergeCell ref="B142:H142"/>
    <mergeCell ref="B143:H143"/>
    <mergeCell ref="B131:H131"/>
    <mergeCell ref="B132:H132"/>
    <mergeCell ref="B133:H133"/>
    <mergeCell ref="B134:H134"/>
    <mergeCell ref="B115:H115"/>
    <mergeCell ref="B116:H116"/>
    <mergeCell ref="B117:H117"/>
    <mergeCell ref="B118:H118"/>
    <mergeCell ref="B135:H135"/>
    <mergeCell ref="B136:H136"/>
    <mergeCell ref="B137:H137"/>
  </mergeCells>
  <pageMargins left="0.75" right="0.75" top="1" bottom="1" header="0.5" footer="0.5"/>
  <pageSetup paperSize="9" orientation="portrait" r:id="rId1"/>
  <headerFooter alignWithMargins="0"/>
  <customProperties>
    <customPr name="_pios_id" r:id="rId2"/>
  </customPropertie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autoPageBreaks="0"/>
  </sheetPr>
  <dimension ref="A1:AD177"/>
  <sheetViews>
    <sheetView showGridLines="0" topLeftCell="A134" zoomScale="85" zoomScaleNormal="85" workbookViewId="0">
      <selection activeCell="L172" sqref="L172"/>
    </sheetView>
  </sheetViews>
  <sheetFormatPr defaultColWidth="9.140625" defaultRowHeight="12.75" outlineLevelRow="2"/>
  <cols>
    <col min="1" max="1" width="16.5703125" style="95" customWidth="1"/>
    <col min="2" max="2" width="46" style="77" customWidth="1"/>
    <col min="3" max="17" width="15.7109375" style="95" customWidth="1"/>
    <col min="18" max="18" width="14.28515625" customWidth="1"/>
    <col min="19" max="19" width="15.7109375" customWidth="1"/>
    <col min="20" max="20" width="8.7109375"/>
    <col min="21" max="28" width="15.7109375" style="1172" customWidth="1"/>
    <col min="29" max="30" width="8.7109375" customWidth="1"/>
    <col min="31" max="16384" width="9.140625" style="95"/>
  </cols>
  <sheetData>
    <row r="1" spans="1:30" s="177" customFormat="1" ht="24" customHeight="1">
      <c r="B1" s="2522" t="str">
        <f>IF(dms_DataQuality="backcast",INDEX(dms_Worksheet_List,MATCH(dms_Model,dms_Model_List))&amp;" BACKCAST",INDEX(dms_Worksheet_List,MATCH(dms_Model,dms_Model_List)))</f>
        <v>REGULATORY REPORTING STATEMENT</v>
      </c>
      <c r="C1" s="491"/>
      <c r="D1" s="491"/>
      <c r="E1" s="491"/>
      <c r="F1" s="491"/>
      <c r="G1" s="491"/>
      <c r="H1" s="179"/>
      <c r="I1" s="179"/>
      <c r="J1" s="179"/>
      <c r="K1" s="179"/>
      <c r="L1" s="179"/>
      <c r="M1" s="179"/>
      <c r="N1" s="179"/>
      <c r="O1" s="179"/>
      <c r="P1" s="179"/>
      <c r="Q1" s="179"/>
      <c r="R1" s="179"/>
      <c r="S1" s="179"/>
      <c r="T1" s="179"/>
      <c r="U1" s="491"/>
      <c r="V1" s="491"/>
      <c r="W1" s="491"/>
      <c r="X1" s="491"/>
      <c r="Y1" s="491"/>
      <c r="Z1" s="179"/>
      <c r="AA1" s="179"/>
      <c r="AB1" s="179"/>
      <c r="AC1"/>
      <c r="AD1"/>
    </row>
    <row r="2" spans="1:30" s="177" customFormat="1" ht="24" customHeight="1">
      <c r="B2" s="2526" t="str">
        <f>INDEX(dms_TradingNameFull_List,MATCH(dms_TradingName,dms_TradingName_List))</f>
        <v>AusNet Gas Services</v>
      </c>
      <c r="C2" s="180"/>
      <c r="D2" s="180"/>
      <c r="E2" s="180"/>
      <c r="F2" s="180"/>
      <c r="G2" s="180"/>
      <c r="H2" s="179"/>
      <c r="I2" s="179"/>
      <c r="J2" s="179"/>
      <c r="K2" s="179"/>
      <c r="L2" s="179"/>
      <c r="M2" s="179"/>
      <c r="N2" s="179"/>
      <c r="O2" s="179"/>
      <c r="P2" s="179"/>
      <c r="Q2" s="179"/>
      <c r="R2" s="179"/>
      <c r="S2" s="179"/>
      <c r="T2" s="179"/>
      <c r="U2" s="1173"/>
      <c r="V2" s="1173"/>
      <c r="W2" s="1173"/>
      <c r="X2" s="1173"/>
      <c r="Y2" s="1173"/>
      <c r="Z2" s="179"/>
      <c r="AA2" s="179"/>
      <c r="AB2" s="179"/>
      <c r="AC2"/>
      <c r="AD2"/>
    </row>
    <row r="3" spans="1:30" s="177" customFormat="1" ht="24" customHeight="1">
      <c r="B3" s="2526" t="str">
        <f ca="1">IF(SUM(dms_SingleYear_Model)&gt;0,CRY,CONCATENATE(FRCP_y1," to ",dms_MultiYear_FinalYear_Result))</f>
        <v>2018 to 2022</v>
      </c>
      <c r="C3" s="181"/>
      <c r="D3" s="181"/>
      <c r="E3" s="181"/>
      <c r="F3" s="181"/>
      <c r="G3" s="181"/>
      <c r="H3" s="182" t="str">
        <f>CONCATENATE(LEFT(FRCP_y1,4),"-",LEFT(FRCP_y5,2),RIGHT(FRCP_y5,2))</f>
        <v>2018-2022</v>
      </c>
      <c r="I3" s="182" t="str">
        <f>CONCATENATE(LEFT(FRCP_y1,4),"-",LEFT(FRCP_y5,2),RIGHT(FRCP_y5,2))</f>
        <v>2018-2022</v>
      </c>
      <c r="J3" s="181"/>
      <c r="K3" s="181"/>
      <c r="L3" s="181"/>
      <c r="M3" s="181"/>
      <c r="N3" s="181"/>
      <c r="O3" s="181"/>
      <c r="P3" s="181"/>
      <c r="Q3" s="181"/>
      <c r="R3" s="1171"/>
      <c r="S3" s="1171"/>
      <c r="T3" s="1171"/>
      <c r="U3" s="1171"/>
      <c r="V3" s="1171"/>
      <c r="W3" s="1171"/>
      <c r="X3" s="1171"/>
      <c r="Y3" s="1171"/>
      <c r="Z3" s="182" t="str">
        <f>CONCATENATE(LEFT(FRCP_y1,4),"-",LEFT(FRCP_y5,2),RIGHT(FRCP_y5,2))</f>
        <v>2018-2022</v>
      </c>
      <c r="AA3" s="182" t="str">
        <f>CONCATENATE(LEFT(FRCP_y1,4),"-",LEFT(FRCP_y5,2),RIGHT(FRCP_y5,2))</f>
        <v>2018-2022</v>
      </c>
      <c r="AB3" s="1171"/>
      <c r="AC3"/>
      <c r="AD3"/>
    </row>
    <row r="4" spans="1:30" s="159" customFormat="1" ht="24" customHeight="1">
      <c r="B4" s="10" t="s">
        <v>354</v>
      </c>
      <c r="C4" s="12"/>
      <c r="D4" s="12"/>
      <c r="E4" s="12"/>
      <c r="F4" s="12"/>
      <c r="G4" s="12"/>
      <c r="H4" s="12"/>
      <c r="I4" s="12"/>
      <c r="J4" s="12"/>
      <c r="K4" s="12"/>
      <c r="L4" s="12"/>
      <c r="M4" s="12"/>
      <c r="N4" s="12"/>
      <c r="O4" s="12"/>
      <c r="P4" s="12"/>
      <c r="Q4" s="12"/>
      <c r="R4" s="12"/>
      <c r="S4" s="12"/>
      <c r="T4" s="12"/>
      <c r="U4" s="12"/>
      <c r="V4" s="12"/>
      <c r="W4" s="12"/>
      <c r="X4" s="12"/>
      <c r="Y4" s="12"/>
      <c r="Z4" s="12"/>
      <c r="AA4" s="12"/>
      <c r="AB4" s="12"/>
      <c r="AC4"/>
      <c r="AD4"/>
    </row>
    <row r="5" spans="1:30">
      <c r="A5" s="360"/>
      <c r="B5" s="262"/>
      <c r="C5" s="1174"/>
      <c r="D5" s="1174"/>
      <c r="E5" s="1174"/>
      <c r="F5" s="1174"/>
      <c r="G5" s="1174"/>
      <c r="H5" s="1174"/>
      <c r="I5" s="1174"/>
      <c r="J5" s="1174"/>
      <c r="K5" s="1174"/>
      <c r="L5" s="1174"/>
      <c r="M5" s="1174"/>
      <c r="N5" s="1174"/>
      <c r="O5" s="1174"/>
      <c r="P5" s="1174"/>
      <c r="Q5" s="1174"/>
      <c r="U5" s="1174"/>
      <c r="V5" s="1174"/>
      <c r="W5" s="1174"/>
      <c r="X5" s="1174"/>
      <c r="Y5" s="1174"/>
      <c r="Z5" s="1174"/>
      <c r="AA5" s="1174"/>
      <c r="AB5" s="1174"/>
    </row>
    <row r="6" spans="1:30">
      <c r="A6" s="696"/>
      <c r="B6" s="262"/>
      <c r="C6" s="1174"/>
      <c r="D6" s="1174"/>
      <c r="E6" s="1174"/>
      <c r="F6" s="1174"/>
      <c r="G6" s="1174"/>
      <c r="H6" s="1174"/>
      <c r="I6" s="1174"/>
      <c r="J6" s="1174"/>
      <c r="K6" s="1174"/>
      <c r="L6" s="1174"/>
      <c r="M6" s="1174"/>
      <c r="N6" s="1174"/>
      <c r="O6" s="1174"/>
      <c r="P6" s="1174"/>
      <c r="Q6" s="1174"/>
      <c r="U6"/>
      <c r="V6"/>
      <c r="W6"/>
      <c r="X6"/>
      <c r="Y6"/>
      <c r="Z6"/>
      <c r="AA6" s="1174"/>
      <c r="AB6" s="1174"/>
    </row>
    <row r="7" spans="1:30" s="920" customFormat="1">
      <c r="A7" s="917"/>
      <c r="B7" s="918" t="s">
        <v>59</v>
      </c>
      <c r="C7" s="919"/>
      <c r="D7" s="919"/>
      <c r="E7" s="919"/>
      <c r="F7"/>
      <c r="G7"/>
      <c r="H7"/>
      <c r="I7"/>
      <c r="J7"/>
      <c r="K7"/>
      <c r="L7"/>
      <c r="M7" s="917"/>
      <c r="N7" s="917"/>
      <c r="O7" s="917"/>
      <c r="P7" s="917"/>
      <c r="Q7" s="917"/>
      <c r="R7"/>
      <c r="S7"/>
      <c r="T7"/>
      <c r="U7"/>
      <c r="V7"/>
      <c r="W7"/>
      <c r="X7"/>
      <c r="Y7"/>
      <c r="Z7"/>
      <c r="AA7" s="1172"/>
      <c r="AB7" s="1172"/>
      <c r="AC7"/>
      <c r="AD7"/>
    </row>
    <row r="8" spans="1:30" s="920" customFormat="1" ht="25.5" customHeight="1">
      <c r="A8" s="917"/>
      <c r="B8" s="4355" t="s">
        <v>1418</v>
      </c>
      <c r="C8" s="4355"/>
      <c r="D8" s="4355"/>
      <c r="E8" s="4355"/>
      <c r="F8"/>
      <c r="G8"/>
      <c r="H8"/>
      <c r="I8"/>
      <c r="J8"/>
      <c r="K8"/>
      <c r="L8"/>
      <c r="M8" s="917"/>
      <c r="N8" s="917"/>
      <c r="O8" s="917"/>
      <c r="P8" s="917"/>
      <c r="Q8" s="917"/>
      <c r="R8"/>
      <c r="S8"/>
      <c r="T8"/>
      <c r="U8"/>
      <c r="V8"/>
      <c r="W8"/>
      <c r="X8"/>
      <c r="Y8"/>
      <c r="Z8"/>
      <c r="AA8" s="1172"/>
      <c r="AB8" s="1172"/>
      <c r="AC8"/>
      <c r="AD8"/>
    </row>
    <row r="9" spans="1:30" s="920" customFormat="1" ht="16.5" customHeight="1">
      <c r="A9" s="917"/>
      <c r="B9" s="4355" t="s">
        <v>94</v>
      </c>
      <c r="C9" s="4355"/>
      <c r="D9" s="4355"/>
      <c r="E9" s="4355"/>
      <c r="F9"/>
      <c r="G9"/>
      <c r="H9"/>
      <c r="I9"/>
      <c r="J9"/>
      <c r="K9"/>
      <c r="L9"/>
      <c r="M9" s="917"/>
      <c r="N9" s="917"/>
      <c r="O9" s="921"/>
      <c r="P9" s="917"/>
      <c r="Q9" s="917"/>
      <c r="R9"/>
      <c r="S9"/>
      <c r="T9"/>
      <c r="U9"/>
      <c r="V9"/>
      <c r="W9"/>
      <c r="X9"/>
      <c r="Y9"/>
      <c r="Z9"/>
      <c r="AA9" s="1172"/>
      <c r="AB9" s="1172"/>
      <c r="AC9"/>
      <c r="AD9"/>
    </row>
    <row r="10" spans="1:30" s="920" customFormat="1" ht="16.5" customHeight="1">
      <c r="A10" s="917"/>
      <c r="B10" s="4355" t="s">
        <v>237</v>
      </c>
      <c r="C10" s="4355"/>
      <c r="D10" s="4355"/>
      <c r="E10" s="4355"/>
      <c r="F10"/>
      <c r="G10"/>
      <c r="H10"/>
      <c r="I10"/>
      <c r="J10"/>
      <c r="K10"/>
      <c r="L10"/>
      <c r="M10" s="917"/>
      <c r="N10" s="917"/>
      <c r="O10" s="917"/>
      <c r="P10" s="917"/>
      <c r="Q10" s="917"/>
      <c r="R10"/>
      <c r="S10"/>
      <c r="T10"/>
      <c r="U10"/>
      <c r="V10"/>
      <c r="W10"/>
      <c r="X10" s="1172"/>
      <c r="Y10" s="1172"/>
      <c r="Z10" s="1172"/>
      <c r="AA10" s="1172"/>
      <c r="AB10" s="1172"/>
      <c r="AC10"/>
      <c r="AD10"/>
    </row>
    <row r="11" spans="1:30" s="920" customFormat="1" ht="16.5" customHeight="1">
      <c r="A11" s="917"/>
      <c r="B11" s="4355" t="s">
        <v>228</v>
      </c>
      <c r="C11" s="4355"/>
      <c r="D11" s="4355"/>
      <c r="E11" s="4355"/>
      <c r="F11"/>
      <c r="G11"/>
      <c r="H11"/>
      <c r="I11"/>
      <c r="J11"/>
      <c r="K11"/>
      <c r="L11"/>
      <c r="M11" s="917"/>
      <c r="N11" s="917"/>
      <c r="O11" s="917"/>
      <c r="P11" s="917"/>
      <c r="Q11" s="917"/>
      <c r="R11"/>
      <c r="S11"/>
      <c r="T11"/>
      <c r="U11"/>
      <c r="V11"/>
      <c r="W11"/>
      <c r="X11" s="1172"/>
      <c r="Y11" s="1172"/>
      <c r="Z11" s="1172"/>
      <c r="AA11" s="1172"/>
      <c r="AB11" s="1172"/>
      <c r="AC11"/>
      <c r="AD11"/>
    </row>
    <row r="12" spans="1:30" ht="12" customHeight="1">
      <c r="A12" s="696"/>
      <c r="D12" s="696"/>
      <c r="E12" s="696"/>
      <c r="F12" s="696"/>
      <c r="G12" s="696"/>
      <c r="H12" s="696"/>
      <c r="I12" s="696"/>
      <c r="J12" s="696"/>
      <c r="K12" s="696"/>
      <c r="L12" s="696"/>
      <c r="M12" s="696"/>
      <c r="N12" s="696"/>
      <c r="O12" s="696"/>
      <c r="P12" s="696"/>
      <c r="Q12" s="696"/>
      <c r="V12" s="1174"/>
      <c r="W12" s="1174"/>
      <c r="X12" s="1174"/>
      <c r="Y12" s="1174"/>
      <c r="Z12" s="1174"/>
      <c r="AA12" s="1174"/>
      <c r="AB12" s="1174"/>
    </row>
    <row r="13" spans="1:30" ht="37.5" customHeight="1" thickBot="1">
      <c r="A13" s="696"/>
      <c r="B13" s="262"/>
      <c r="C13" s="696"/>
      <c r="D13" s="696"/>
      <c r="E13" s="696"/>
      <c r="F13" s="696"/>
      <c r="G13" s="696"/>
      <c r="H13" s="696"/>
      <c r="I13" s="696"/>
      <c r="J13" s="696"/>
      <c r="K13" s="696"/>
      <c r="L13" s="696"/>
      <c r="M13" s="696"/>
      <c r="N13" s="696"/>
      <c r="O13" s="696"/>
      <c r="P13" s="696"/>
      <c r="Q13" s="696"/>
      <c r="U13" s="1174"/>
      <c r="V13" s="1174"/>
      <c r="W13" s="1174"/>
      <c r="X13" s="1174"/>
      <c r="Y13" s="1174"/>
      <c r="Z13" s="1174"/>
      <c r="AA13" s="1174"/>
      <c r="AB13" s="1174"/>
    </row>
    <row r="14" spans="1:30" s="183" customFormat="1" ht="24.75" customHeight="1" thickBot="1">
      <c r="A14" s="262"/>
      <c r="B14" s="735" t="s">
        <v>504</v>
      </c>
      <c r="C14" s="736"/>
      <c r="D14" s="736"/>
      <c r="E14" s="736"/>
      <c r="F14" s="735"/>
      <c r="G14" s="736"/>
      <c r="H14" s="736"/>
      <c r="I14" s="736"/>
      <c r="J14" s="735"/>
      <c r="K14" s="736"/>
      <c r="L14" s="736"/>
      <c r="M14" s="735"/>
      <c r="N14" s="736"/>
      <c r="O14" s="736"/>
      <c r="P14" s="736"/>
      <c r="Q14" s="735"/>
      <c r="R14" s="1172"/>
      <c r="S14" s="1172"/>
      <c r="T14" s="1172"/>
      <c r="U14" s="735" t="s">
        <v>642</v>
      </c>
      <c r="V14" s="736"/>
      <c r="W14" s="736"/>
      <c r="X14" s="735"/>
      <c r="Y14" s="736"/>
      <c r="Z14" s="736"/>
      <c r="AA14" s="736"/>
      <c r="AB14" s="1201"/>
      <c r="AC14" s="1172"/>
      <c r="AD14" s="1172"/>
    </row>
    <row r="15" spans="1:30" s="78" customFormat="1" ht="24.75" customHeight="1" thickBot="1">
      <c r="A15" s="262"/>
      <c r="B15" s="1258" t="s">
        <v>360</v>
      </c>
      <c r="C15" s="1280"/>
      <c r="D15" s="1280"/>
      <c r="E15" s="1280"/>
      <c r="F15" s="1259"/>
      <c r="G15" s="1280"/>
      <c r="H15" s="1280"/>
      <c r="I15" s="1280"/>
      <c r="J15" s="1259"/>
      <c r="K15" s="1280"/>
      <c r="L15" s="1280"/>
      <c r="M15" s="1259"/>
      <c r="N15" s="1280"/>
      <c r="O15" s="1280"/>
      <c r="P15" s="1280"/>
      <c r="Q15" s="1260"/>
      <c r="R15"/>
      <c r="S15"/>
      <c r="T15"/>
      <c r="U15" s="1770"/>
      <c r="V15" s="1280"/>
      <c r="W15" s="1280"/>
      <c r="X15" s="1259"/>
      <c r="Y15" s="1280"/>
      <c r="Z15" s="1280"/>
      <c r="AA15" s="1280"/>
      <c r="AB15" s="1260"/>
      <c r="AC15"/>
      <c r="AD15"/>
    </row>
    <row r="16" spans="1:30" s="124" customFormat="1" ht="17.25" customHeight="1">
      <c r="A16" s="682"/>
      <c r="B16" s="4356"/>
      <c r="C16" s="4098" t="s">
        <v>36</v>
      </c>
      <c r="D16" s="3997"/>
      <c r="E16" s="3997"/>
      <c r="F16" s="3997"/>
      <c r="G16" s="3997"/>
      <c r="H16" s="4074" t="s">
        <v>37</v>
      </c>
      <c r="I16" s="4075"/>
      <c r="J16" s="4075"/>
      <c r="K16" s="4075"/>
      <c r="L16" s="4075"/>
      <c r="M16" s="3960" t="s">
        <v>73</v>
      </c>
      <c r="N16" s="3960"/>
      <c r="O16" s="3960"/>
      <c r="P16" s="3960"/>
      <c r="Q16" s="4287"/>
      <c r="R16"/>
      <c r="S16"/>
      <c r="T16"/>
      <c r="U16" s="4073" t="s">
        <v>36</v>
      </c>
      <c r="V16" s="3997"/>
      <c r="W16" s="3997"/>
      <c r="X16" s="3997"/>
      <c r="Y16" s="3997"/>
      <c r="Z16" s="4074" t="s">
        <v>37</v>
      </c>
      <c r="AA16" s="4075"/>
      <c r="AB16" s="4082"/>
      <c r="AC16"/>
      <c r="AD16"/>
    </row>
    <row r="17" spans="1:30" s="124" customFormat="1" ht="17.25" customHeight="1">
      <c r="A17" s="682"/>
      <c r="B17" s="4357"/>
      <c r="C17" s="3985" t="s">
        <v>543</v>
      </c>
      <c r="D17" s="3986"/>
      <c r="E17" s="3986"/>
      <c r="F17" s="3986"/>
      <c r="G17" s="3986"/>
      <c r="H17" s="3986"/>
      <c r="I17" s="3986"/>
      <c r="J17" s="3987"/>
      <c r="K17" s="3988" t="str">
        <f>CONCATENATE("$0's, real ",dms_DollarReal)</f>
        <v>$0's, real December 2017</v>
      </c>
      <c r="L17" s="3989"/>
      <c r="M17" s="3989"/>
      <c r="N17" s="3989"/>
      <c r="O17" s="3989"/>
      <c r="P17" s="3989"/>
      <c r="Q17" s="4199"/>
      <c r="R17"/>
      <c r="S17"/>
      <c r="T17"/>
      <c r="U17" s="4083" t="str">
        <f>CONCATENATE("$0's, real ",dms_DollarReal)</f>
        <v>$0's, real December 2017</v>
      </c>
      <c r="V17" s="3989"/>
      <c r="W17" s="3989"/>
      <c r="X17" s="3989"/>
      <c r="Y17" s="3989"/>
      <c r="Z17" s="3989"/>
      <c r="AA17" s="3989"/>
      <c r="AB17" s="3990"/>
      <c r="AC17"/>
      <c r="AD17"/>
    </row>
    <row r="18" spans="1:30" s="124" customFormat="1" ht="17.25" customHeight="1">
      <c r="A18" s="682"/>
      <c r="B18" s="4357"/>
      <c r="C18" s="3985" t="s">
        <v>54</v>
      </c>
      <c r="D18" s="3986"/>
      <c r="E18" s="3986"/>
      <c r="F18" s="3986"/>
      <c r="G18" s="3986"/>
      <c r="H18" s="3986"/>
      <c r="I18" s="3986"/>
      <c r="J18" s="3987"/>
      <c r="K18" s="3988" t="s">
        <v>55</v>
      </c>
      <c r="L18" s="3989"/>
      <c r="M18" s="3989"/>
      <c r="N18" s="3989"/>
      <c r="O18" s="3989"/>
      <c r="P18" s="3989"/>
      <c r="Q18" s="4199"/>
      <c r="R18"/>
      <c r="S18"/>
      <c r="T18"/>
      <c r="U18" s="3985" t="s">
        <v>54</v>
      </c>
      <c r="V18" s="3986"/>
      <c r="W18" s="3986"/>
      <c r="X18" s="3986"/>
      <c r="Y18" s="3986"/>
      <c r="Z18" s="3986"/>
      <c r="AA18" s="3986"/>
      <c r="AB18" s="4030"/>
      <c r="AC18"/>
      <c r="AD18"/>
    </row>
    <row r="19" spans="1:30" s="124" customFormat="1" ht="17.25" customHeight="1" thickBot="1">
      <c r="A19" s="682"/>
      <c r="B19" s="4358"/>
      <c r="C19" s="343">
        <f t="array" ref="C19:G19">PRCP</f>
        <v>2008</v>
      </c>
      <c r="D19" s="342">
        <v>2009</v>
      </c>
      <c r="E19" s="342">
        <v>2010</v>
      </c>
      <c r="F19" s="342">
        <v>2011</v>
      </c>
      <c r="G19" s="342">
        <v>2012</v>
      </c>
      <c r="H19" s="344">
        <f>CRCP_y1</f>
        <v>2013</v>
      </c>
      <c r="I19" s="344">
        <f>CRCP_y2</f>
        <v>2014</v>
      </c>
      <c r="J19" s="344">
        <f>CRCP_y3</f>
        <v>2015</v>
      </c>
      <c r="K19" s="344">
        <f>CRCP_y4</f>
        <v>2016</v>
      </c>
      <c r="L19" s="344">
        <f>CRCP_y5</f>
        <v>2017</v>
      </c>
      <c r="M19" s="342" t="str">
        <f t="array" ref="M19:Q19">FRCP</f>
        <v>2018</v>
      </c>
      <c r="N19" s="342">
        <v>2019</v>
      </c>
      <c r="O19" s="342">
        <v>2020</v>
      </c>
      <c r="P19" s="342">
        <v>2021</v>
      </c>
      <c r="Q19" s="686">
        <v>2022</v>
      </c>
      <c r="R19"/>
      <c r="S19"/>
      <c r="T19"/>
      <c r="U19" s="1438">
        <f t="array" ref="U19:Y19">PRCP</f>
        <v>2008</v>
      </c>
      <c r="V19" s="342">
        <v>2009</v>
      </c>
      <c r="W19" s="342">
        <v>2010</v>
      </c>
      <c r="X19" s="342">
        <v>2011</v>
      </c>
      <c r="Y19" s="342">
        <v>2012</v>
      </c>
      <c r="Z19" s="344">
        <f>CRCP_y1</f>
        <v>2013</v>
      </c>
      <c r="AA19" s="344">
        <f>CRCP_y2</f>
        <v>2014</v>
      </c>
      <c r="AB19" s="542">
        <f>CRCP_y3</f>
        <v>2015</v>
      </c>
      <c r="AC19"/>
      <c r="AD19"/>
    </row>
    <row r="20" spans="1:30" s="474" customFormat="1" ht="24.75" customHeight="1" thickBot="1">
      <c r="A20" s="262"/>
      <c r="B20" s="660" t="str">
        <f>CONCATENATE("Table 16.1.1 - ",'17. Gross Capex '!B21)</f>
        <v>Table 16.1.1 - Transmission pipelines</v>
      </c>
      <c r="C20" s="269"/>
      <c r="D20" s="269"/>
      <c r="E20" s="269"/>
      <c r="F20" s="269"/>
      <c r="G20" s="269"/>
      <c r="H20" s="269"/>
      <c r="I20" s="269"/>
      <c r="J20" s="269"/>
      <c r="K20" s="269"/>
      <c r="L20" s="269"/>
      <c r="M20" s="269"/>
      <c r="N20" s="269"/>
      <c r="O20" s="269"/>
      <c r="P20" s="269"/>
      <c r="Q20" s="669"/>
      <c r="R20"/>
      <c r="S20"/>
      <c r="T20"/>
      <c r="U20" s="252"/>
      <c r="V20" s="269"/>
      <c r="W20" s="269"/>
      <c r="X20" s="269"/>
      <c r="Y20" s="269"/>
      <c r="Z20" s="269"/>
      <c r="AA20" s="269"/>
      <c r="AB20" s="270"/>
      <c r="AC20"/>
      <c r="AD20"/>
    </row>
    <row r="21" spans="1:30" outlineLevel="2">
      <c r="A21" s="696"/>
      <c r="B21" s="1838" t="s">
        <v>1408</v>
      </c>
      <c r="C21" s="2984"/>
      <c r="D21" s="2985"/>
      <c r="E21" s="2985"/>
      <c r="F21" s="2985"/>
      <c r="G21" s="2986"/>
      <c r="H21" s="2984"/>
      <c r="I21" s="2985">
        <v>104466.22283016512</v>
      </c>
      <c r="J21" s="2985"/>
      <c r="K21" s="2985"/>
      <c r="L21" s="2985">
        <v>0</v>
      </c>
      <c r="M21" s="2984">
        <v>0</v>
      </c>
      <c r="N21" s="2985">
        <v>0</v>
      </c>
      <c r="O21" s="2985">
        <v>0</v>
      </c>
      <c r="P21" s="2985">
        <v>0</v>
      </c>
      <c r="Q21" s="2986">
        <v>0</v>
      </c>
      <c r="U21" s="1760"/>
      <c r="V21" s="1761"/>
      <c r="W21" s="1761"/>
      <c r="X21" s="1761"/>
      <c r="Y21" s="1762"/>
      <c r="Z21" s="1760"/>
      <c r="AA21" s="1761"/>
      <c r="AB21" s="1762"/>
    </row>
    <row r="22" spans="1:30" outlineLevel="2">
      <c r="A22" s="696"/>
      <c r="B22" s="1838" t="s">
        <v>446</v>
      </c>
      <c r="C22" s="2987"/>
      <c r="D22" s="2988"/>
      <c r="E22" s="2988"/>
      <c r="F22" s="2988"/>
      <c r="G22" s="2989">
        <v>321772.70384304802</v>
      </c>
      <c r="H22" s="2987">
        <v>173365.82277432582</v>
      </c>
      <c r="I22" s="2988">
        <v>25397.301038323872</v>
      </c>
      <c r="J22" s="2988">
        <v>468062.52901434997</v>
      </c>
      <c r="K22" s="2988">
        <v>102471.67556020581</v>
      </c>
      <c r="L22" s="2988">
        <v>1531230.8935008484</v>
      </c>
      <c r="M22" s="2987">
        <v>1540257.6794605642</v>
      </c>
      <c r="N22" s="2988">
        <v>517199.87159007613</v>
      </c>
      <c r="O22" s="2988">
        <v>0</v>
      </c>
      <c r="P22" s="2988">
        <v>0</v>
      </c>
      <c r="Q22" s="2989">
        <v>1071051.9420095519</v>
      </c>
      <c r="U22" s="1763"/>
      <c r="V22" s="1764"/>
      <c r="W22" s="1764"/>
      <c r="X22" s="1764"/>
      <c r="Y22" s="1765"/>
      <c r="Z22" s="1763"/>
      <c r="AA22" s="1764"/>
      <c r="AB22" s="1765"/>
    </row>
    <row r="23" spans="1:30" outlineLevel="2">
      <c r="A23" s="696"/>
      <c r="B23" s="1838" t="s">
        <v>447</v>
      </c>
      <c r="C23" s="2987"/>
      <c r="D23" s="2988"/>
      <c r="E23" s="2988"/>
      <c r="F23" s="2988"/>
      <c r="G23" s="2989"/>
      <c r="H23" s="2987"/>
      <c r="I23" s="2988">
        <v>0</v>
      </c>
      <c r="J23" s="2988"/>
      <c r="K23" s="2988"/>
      <c r="L23" s="2988">
        <v>0</v>
      </c>
      <c r="M23" s="2987">
        <v>0</v>
      </c>
      <c r="N23" s="2988">
        <v>0</v>
      </c>
      <c r="O23" s="2988">
        <v>0</v>
      </c>
      <c r="P23" s="2988">
        <v>0</v>
      </c>
      <c r="Q23" s="2989">
        <v>0</v>
      </c>
      <c r="U23" s="1763"/>
      <c r="V23" s="1764"/>
      <c r="W23" s="1764"/>
      <c r="X23" s="1764"/>
      <c r="Y23" s="1765"/>
      <c r="Z23" s="1763"/>
      <c r="AA23" s="1764"/>
      <c r="AB23" s="1765"/>
    </row>
    <row r="24" spans="1:30" outlineLevel="2">
      <c r="A24" s="696"/>
      <c r="B24" s="1838" t="s">
        <v>448</v>
      </c>
      <c r="C24" s="2987"/>
      <c r="D24" s="2988"/>
      <c r="E24" s="2988"/>
      <c r="F24" s="2988"/>
      <c r="G24" s="2989"/>
      <c r="H24" s="2987"/>
      <c r="I24" s="2988">
        <v>0</v>
      </c>
      <c r="J24" s="2988"/>
      <c r="K24" s="2988"/>
      <c r="L24" s="2988">
        <v>0</v>
      </c>
      <c r="M24" s="2987">
        <v>0</v>
      </c>
      <c r="N24" s="2988">
        <v>0</v>
      </c>
      <c r="O24" s="2988">
        <v>0</v>
      </c>
      <c r="P24" s="2988">
        <v>0</v>
      </c>
      <c r="Q24" s="2989">
        <v>0</v>
      </c>
      <c r="U24" s="1763"/>
      <c r="V24" s="1764"/>
      <c r="W24" s="1764"/>
      <c r="X24" s="1764"/>
      <c r="Y24" s="1765"/>
      <c r="Z24" s="1763"/>
      <c r="AA24" s="1764"/>
      <c r="AB24" s="1765"/>
    </row>
    <row r="25" spans="1:30" outlineLevel="2">
      <c r="A25" s="696"/>
      <c r="B25" s="1838" t="s">
        <v>449</v>
      </c>
      <c r="C25" s="2987"/>
      <c r="D25" s="2988"/>
      <c r="E25" s="2988"/>
      <c r="F25" s="2988"/>
      <c r="G25" s="2989"/>
      <c r="H25" s="2987"/>
      <c r="I25" s="2988">
        <v>0</v>
      </c>
      <c r="J25" s="2988"/>
      <c r="K25" s="2988"/>
      <c r="L25" s="2988">
        <v>0</v>
      </c>
      <c r="M25" s="2987">
        <v>0</v>
      </c>
      <c r="N25" s="2988">
        <v>0</v>
      </c>
      <c r="O25" s="2988">
        <v>0</v>
      </c>
      <c r="P25" s="2988">
        <v>0</v>
      </c>
      <c r="Q25" s="2989">
        <v>0</v>
      </c>
      <c r="U25" s="1763"/>
      <c r="V25" s="1764"/>
      <c r="W25" s="1764"/>
      <c r="X25" s="1764"/>
      <c r="Y25" s="1765"/>
      <c r="Z25" s="1763"/>
      <c r="AA25" s="1764"/>
      <c r="AB25" s="1765"/>
    </row>
    <row r="26" spans="1:30" outlineLevel="2">
      <c r="A26" s="696"/>
      <c r="B26" s="1838" t="s">
        <v>1409</v>
      </c>
      <c r="C26" s="2987"/>
      <c r="D26" s="2988">
        <v>122854.39736030932</v>
      </c>
      <c r="E26" s="2988">
        <v>5357.8223519158391</v>
      </c>
      <c r="F26" s="2988">
        <v>555259.98244730697</v>
      </c>
      <c r="G26" s="2989">
        <v>132685.16934488199</v>
      </c>
      <c r="H26" s="2987">
        <v>1761826.3838356866</v>
      </c>
      <c r="I26" s="2988">
        <v>19987667.457168143</v>
      </c>
      <c r="J26" s="2988">
        <v>46747.993807133564</v>
      </c>
      <c r="K26" s="2988">
        <v>1868386.5841550666</v>
      </c>
      <c r="L26" s="2988">
        <v>1892864.4314647999</v>
      </c>
      <c r="M26" s="2987">
        <v>1901273.8236658594</v>
      </c>
      <c r="N26" s="2988">
        <v>1911788.5163067887</v>
      </c>
      <c r="O26" s="2988">
        <v>1925336.4620858843</v>
      </c>
      <c r="P26" s="2988">
        <v>1943159.4195187618</v>
      </c>
      <c r="Q26" s="2989">
        <v>1962572.7357985047</v>
      </c>
      <c r="U26" s="1763"/>
      <c r="V26" s="1764"/>
      <c r="W26" s="1764"/>
      <c r="X26" s="1764"/>
      <c r="Y26" s="1765"/>
      <c r="Z26" s="1763"/>
      <c r="AA26" s="1764"/>
      <c r="AB26" s="1765"/>
    </row>
    <row r="27" spans="1:30" outlineLevel="2">
      <c r="A27" s="696"/>
      <c r="B27" s="1838" t="s">
        <v>56</v>
      </c>
      <c r="C27" s="2990"/>
      <c r="D27" s="2991"/>
      <c r="E27" s="2991"/>
      <c r="F27" s="2991"/>
      <c r="G27" s="2992"/>
      <c r="H27" s="2990"/>
      <c r="I27" s="2991"/>
      <c r="J27" s="2991"/>
      <c r="K27" s="2991"/>
      <c r="L27" s="2991">
        <v>0</v>
      </c>
      <c r="M27" s="2990">
        <v>0</v>
      </c>
      <c r="N27" s="2991">
        <v>0</v>
      </c>
      <c r="O27" s="2991">
        <v>0</v>
      </c>
      <c r="P27" s="2991">
        <v>0</v>
      </c>
      <c r="Q27" s="2992">
        <v>0</v>
      </c>
      <c r="U27" s="1766"/>
      <c r="V27" s="1767"/>
      <c r="W27" s="1767"/>
      <c r="X27" s="1767"/>
      <c r="Y27" s="1768"/>
      <c r="Z27" s="1766"/>
      <c r="AA27" s="1767"/>
      <c r="AB27" s="1768"/>
    </row>
    <row r="28" spans="1:30" outlineLevel="2">
      <c r="A28" s="696"/>
      <c r="B28" s="1838" t="s">
        <v>86</v>
      </c>
      <c r="C28" s="2990">
        <v>0</v>
      </c>
      <c r="D28" s="2991">
        <v>35670.040265223135</v>
      </c>
      <c r="E28" s="2991">
        <v>923.78240856172556</v>
      </c>
      <c r="F28" s="2991">
        <v>106301.22861098478</v>
      </c>
      <c r="G28" s="2992">
        <v>82131.466082332161</v>
      </c>
      <c r="H28" s="2990">
        <v>240377.59683550728</v>
      </c>
      <c r="I28" s="2991">
        <v>337733.09122946672</v>
      </c>
      <c r="J28" s="2991">
        <v>139702.20819833642</v>
      </c>
      <c r="K28" s="2991">
        <v>75265.363914739326</v>
      </c>
      <c r="L28" s="2991">
        <v>256766.06309402143</v>
      </c>
      <c r="M28" s="2990">
        <v>239491.70297022679</v>
      </c>
      <c r="N28" s="2991">
        <v>179579.10952529477</v>
      </c>
      <c r="O28" s="2991">
        <v>144546.48204059564</v>
      </c>
      <c r="P28" s="2991">
        <v>155594.65540203641</v>
      </c>
      <c r="Q28" s="2992">
        <v>246388.86241390283</v>
      </c>
      <c r="U28" s="1766"/>
      <c r="V28" s="1767"/>
      <c r="W28" s="1767"/>
      <c r="X28" s="1767"/>
      <c r="Y28" s="1768"/>
      <c r="Z28" s="1766"/>
      <c r="AA28" s="1767"/>
      <c r="AB28" s="1768"/>
    </row>
    <row r="29" spans="1:30" ht="13.5" outlineLevel="2" thickBot="1">
      <c r="A29" s="696"/>
      <c r="B29" s="788" t="s">
        <v>1410</v>
      </c>
      <c r="C29" s="2990"/>
      <c r="D29" s="2991"/>
      <c r="E29" s="2991"/>
      <c r="F29" s="2991"/>
      <c r="G29" s="2992"/>
      <c r="H29" s="2990"/>
      <c r="I29" s="2991"/>
      <c r="J29" s="2991"/>
      <c r="K29" s="2991"/>
      <c r="L29" s="2991"/>
      <c r="M29" s="2990"/>
      <c r="N29" s="2991"/>
      <c r="O29" s="2991"/>
      <c r="P29" s="2991"/>
      <c r="Q29" s="2992"/>
      <c r="U29" s="1766"/>
      <c r="V29" s="1767"/>
      <c r="W29" s="1767"/>
      <c r="X29" s="1767"/>
      <c r="Y29" s="1768"/>
      <c r="Z29" s="1766"/>
      <c r="AA29" s="1767"/>
      <c r="AB29" s="1768"/>
    </row>
    <row r="30" spans="1:30" ht="13.5" outlineLevel="1" thickBot="1">
      <c r="A30" s="696"/>
      <c r="B30" s="698" t="s">
        <v>63</v>
      </c>
      <c r="C30" s="2993">
        <v>0</v>
      </c>
      <c r="D30" s="2993">
        <v>158524.43762553245</v>
      </c>
      <c r="E30" s="2993">
        <v>6281.6047604775649</v>
      </c>
      <c r="F30" s="2993">
        <v>661561.21105829172</v>
      </c>
      <c r="G30" s="2993">
        <v>536589.33927026216</v>
      </c>
      <c r="H30" s="2993">
        <v>2175569.8034455194</v>
      </c>
      <c r="I30" s="2993">
        <v>20455264.072266102</v>
      </c>
      <c r="J30" s="2993">
        <v>654512.73101981997</v>
      </c>
      <c r="K30" s="2993">
        <v>2046123.6236300117</v>
      </c>
      <c r="L30" s="2993">
        <v>3680861.3880596696</v>
      </c>
      <c r="M30" s="2993">
        <v>3681023.2060966506</v>
      </c>
      <c r="N30" s="2993">
        <v>2608567.4974221596</v>
      </c>
      <c r="O30" s="2993">
        <v>2069882.94412648</v>
      </c>
      <c r="P30" s="2993">
        <v>2098754.0749207982</v>
      </c>
      <c r="Q30" s="2994">
        <v>3280013.5402219594</v>
      </c>
      <c r="U30" s="698">
        <f t="shared" ref="U30:AB30" si="0">SUM(U21:U29)</f>
        <v>0</v>
      </c>
      <c r="V30" s="699">
        <f t="shared" si="0"/>
        <v>0</v>
      </c>
      <c r="W30" s="699">
        <f t="shared" si="0"/>
        <v>0</v>
      </c>
      <c r="X30" s="699">
        <f t="shared" si="0"/>
        <v>0</v>
      </c>
      <c r="Y30" s="699">
        <f t="shared" si="0"/>
        <v>0</v>
      </c>
      <c r="Z30" s="699">
        <f t="shared" si="0"/>
        <v>0</v>
      </c>
      <c r="AA30" s="699">
        <f t="shared" si="0"/>
        <v>0</v>
      </c>
      <c r="AB30" s="700">
        <f t="shared" si="0"/>
        <v>0</v>
      </c>
    </row>
    <row r="31" spans="1:30" s="242" customFormat="1" ht="23.25" customHeight="1" outlineLevel="1" thickBot="1">
      <c r="C31" s="2995"/>
      <c r="D31" s="2995"/>
      <c r="E31" s="2995"/>
      <c r="F31" s="2995"/>
      <c r="G31" s="2995"/>
      <c r="H31" s="2995"/>
      <c r="I31" s="2995"/>
      <c r="J31" s="2995"/>
      <c r="K31" s="2995"/>
      <c r="L31" s="2995"/>
      <c r="M31" s="2995"/>
      <c r="N31" s="2995"/>
      <c r="O31" s="2995"/>
      <c r="P31" s="2995"/>
      <c r="Q31" s="2995"/>
      <c r="R31"/>
      <c r="S31"/>
      <c r="T31"/>
      <c r="U31" s="1174"/>
      <c r="V31" s="1174"/>
      <c r="W31" s="1174"/>
      <c r="X31" s="1174"/>
      <c r="Y31" s="1174"/>
      <c r="Z31" s="1174"/>
      <c r="AA31" s="1174"/>
      <c r="AB31" s="1174"/>
      <c r="AC31"/>
      <c r="AD31"/>
    </row>
    <row r="32" spans="1:30" s="474" customFormat="1" ht="24.75" customHeight="1" thickBot="1">
      <c r="A32" s="262"/>
      <c r="B32" s="660" t="str">
        <f>CONCATENATE("Table 16.1.2 - ",'17. Gross Capex '!B22)</f>
        <v>Table 16.1.2 - Distribution pipelines</v>
      </c>
      <c r="C32" s="2996"/>
      <c r="D32" s="2996"/>
      <c r="E32" s="2996"/>
      <c r="F32" s="2996"/>
      <c r="G32" s="2996"/>
      <c r="H32" s="2996"/>
      <c r="I32" s="2996"/>
      <c r="J32" s="2996"/>
      <c r="K32" s="2996"/>
      <c r="L32" s="2996"/>
      <c r="M32" s="2996"/>
      <c r="N32" s="2996"/>
      <c r="O32" s="2996"/>
      <c r="P32" s="2996"/>
      <c r="Q32" s="2997"/>
      <c r="R32"/>
      <c r="S32"/>
      <c r="T32"/>
      <c r="U32" s="252"/>
      <c r="V32" s="269"/>
      <c r="W32" s="269"/>
      <c r="X32" s="269"/>
      <c r="Y32" s="269"/>
      <c r="Z32" s="269"/>
      <c r="AA32" s="269"/>
      <c r="AB32" s="270"/>
      <c r="AC32"/>
      <c r="AD32"/>
    </row>
    <row r="33" spans="1:30" outlineLevel="2">
      <c r="A33" s="696"/>
      <c r="B33" s="1838" t="s">
        <v>1408</v>
      </c>
      <c r="C33" s="2984">
        <v>17163307.87837394</v>
      </c>
      <c r="D33" s="2985">
        <v>15438220.954370527</v>
      </c>
      <c r="E33" s="2985">
        <v>14059611.007385554</v>
      </c>
      <c r="F33" s="2985">
        <v>16282082.992392806</v>
      </c>
      <c r="G33" s="2986">
        <v>12317505.749162739</v>
      </c>
      <c r="H33" s="2984">
        <v>8872767.6096153632</v>
      </c>
      <c r="I33" s="2985">
        <v>7967680.6994237388</v>
      </c>
      <c r="J33" s="2985">
        <v>13103472.609048035</v>
      </c>
      <c r="K33" s="2985">
        <v>10808464.328009691</v>
      </c>
      <c r="L33" s="2985">
        <v>10622383.320678607</v>
      </c>
      <c r="M33" s="2984">
        <v>8836760.5453565028</v>
      </c>
      <c r="N33" s="2985">
        <v>9014007.924087137</v>
      </c>
      <c r="O33" s="2985">
        <v>9236536.2973240428</v>
      </c>
      <c r="P33" s="2985">
        <v>9506903.4547342323</v>
      </c>
      <c r="Q33" s="2986">
        <v>9402547.1908323932</v>
      </c>
      <c r="U33" s="1760"/>
      <c r="V33" s="1761"/>
      <c r="W33" s="1761"/>
      <c r="X33" s="1761"/>
      <c r="Y33" s="1762"/>
      <c r="Z33" s="1760"/>
      <c r="AA33" s="1761"/>
      <c r="AB33" s="1762"/>
    </row>
    <row r="34" spans="1:30" outlineLevel="2">
      <c r="A34" s="696"/>
      <c r="B34" s="1838" t="s">
        <v>446</v>
      </c>
      <c r="C34" s="2987">
        <v>1881539.0989661275</v>
      </c>
      <c r="D34" s="2988">
        <v>347250.58288489457</v>
      </c>
      <c r="E34" s="2988">
        <v>436500.35503583652</v>
      </c>
      <c r="F34" s="2988">
        <v>3750622.712078874</v>
      </c>
      <c r="G34" s="2989">
        <v>1319293.9911494544</v>
      </c>
      <c r="H34" s="2987">
        <v>467220.43239778781</v>
      </c>
      <c r="I34" s="2988">
        <v>2533393.6473205602</v>
      </c>
      <c r="J34" s="2988">
        <v>3782326.5883615389</v>
      </c>
      <c r="K34" s="2988">
        <v>222741.07875424999</v>
      </c>
      <c r="L34" s="2988">
        <v>408328.23826689291</v>
      </c>
      <c r="M34" s="2987">
        <v>2145065.5282620792</v>
      </c>
      <c r="N34" s="2988">
        <v>444791.8895674654</v>
      </c>
      <c r="O34" s="2988">
        <v>375898.16002153867</v>
      </c>
      <c r="P34" s="2988">
        <v>1596138.026037029</v>
      </c>
      <c r="Q34" s="2989">
        <v>2238498.5587999634</v>
      </c>
      <c r="U34" s="1763"/>
      <c r="V34" s="1764"/>
      <c r="W34" s="1764"/>
      <c r="X34" s="1764"/>
      <c r="Y34" s="1765"/>
      <c r="Z34" s="1763"/>
      <c r="AA34" s="1764"/>
      <c r="AB34" s="1765"/>
    </row>
    <row r="35" spans="1:30" outlineLevel="2">
      <c r="A35" s="696"/>
      <c r="B35" s="1838" t="s">
        <v>447</v>
      </c>
      <c r="C35" s="2987">
        <v>4397125.9679671321</v>
      </c>
      <c r="D35" s="2988">
        <v>4072048.3901837235</v>
      </c>
      <c r="E35" s="2988">
        <v>12053765.692809738</v>
      </c>
      <c r="F35" s="2988">
        <v>12711402.925574804</v>
      </c>
      <c r="G35" s="2989">
        <v>18448544.611437429</v>
      </c>
      <c r="H35" s="2987">
        <v>16286118.484877089</v>
      </c>
      <c r="I35" s="2988">
        <v>12730245.112258345</v>
      </c>
      <c r="J35" s="2988">
        <v>15440423.797077302</v>
      </c>
      <c r="K35" s="2988">
        <v>7114945.0530087436</v>
      </c>
      <c r="L35" s="2988">
        <v>13323086.881261533</v>
      </c>
      <c r="M35" s="2987">
        <v>15339915.011063743</v>
      </c>
      <c r="N35" s="2988">
        <v>14091714.550631773</v>
      </c>
      <c r="O35" s="2988">
        <v>14886754.046831185</v>
      </c>
      <c r="P35" s="2988">
        <v>10808121.778348368</v>
      </c>
      <c r="Q35" s="2989">
        <v>10278331.739179224</v>
      </c>
      <c r="U35" s="1763"/>
      <c r="V35" s="1764"/>
      <c r="W35" s="1764"/>
      <c r="X35" s="1764"/>
      <c r="Y35" s="1765"/>
      <c r="Z35" s="1763"/>
      <c r="AA35" s="1764"/>
      <c r="AB35" s="1765"/>
    </row>
    <row r="36" spans="1:30" outlineLevel="2">
      <c r="A36" s="696"/>
      <c r="B36" s="1838" t="s">
        <v>448</v>
      </c>
      <c r="C36" s="2987">
        <v>0</v>
      </c>
      <c r="D36" s="2988">
        <v>0</v>
      </c>
      <c r="E36" s="2988">
        <v>0</v>
      </c>
      <c r="F36" s="2988">
        <v>0</v>
      </c>
      <c r="G36" s="2989">
        <v>0</v>
      </c>
      <c r="H36" s="2987"/>
      <c r="I36" s="2988">
        <v>0</v>
      </c>
      <c r="J36" s="2988">
        <v>0</v>
      </c>
      <c r="K36" s="2988"/>
      <c r="L36" s="2988">
        <v>0</v>
      </c>
      <c r="M36" s="2987">
        <v>0</v>
      </c>
      <c r="N36" s="2988">
        <v>0</v>
      </c>
      <c r="O36" s="2988">
        <v>0</v>
      </c>
      <c r="P36" s="2988">
        <v>0</v>
      </c>
      <c r="Q36" s="2989">
        <v>0</v>
      </c>
      <c r="U36" s="1763"/>
      <c r="V36" s="1764"/>
      <c r="W36" s="1764"/>
      <c r="X36" s="1764"/>
      <c r="Y36" s="1765"/>
      <c r="Z36" s="1763"/>
      <c r="AA36" s="1764"/>
      <c r="AB36" s="1765"/>
    </row>
    <row r="37" spans="1:30" outlineLevel="2">
      <c r="A37" s="696"/>
      <c r="B37" s="1838" t="s">
        <v>449</v>
      </c>
      <c r="C37" s="2987">
        <v>0</v>
      </c>
      <c r="D37" s="2988">
        <v>0</v>
      </c>
      <c r="E37" s="2988">
        <v>0</v>
      </c>
      <c r="F37" s="2988">
        <v>0</v>
      </c>
      <c r="G37" s="2989">
        <v>0</v>
      </c>
      <c r="H37" s="2987"/>
      <c r="I37" s="2988">
        <v>-5474.326593853878</v>
      </c>
      <c r="J37" s="2988">
        <v>0</v>
      </c>
      <c r="K37" s="2988"/>
      <c r="L37" s="2988">
        <v>0</v>
      </c>
      <c r="M37" s="2987">
        <v>0</v>
      </c>
      <c r="N37" s="2988">
        <v>0</v>
      </c>
      <c r="O37" s="2988">
        <v>0</v>
      </c>
      <c r="P37" s="2988">
        <v>0</v>
      </c>
      <c r="Q37" s="2989">
        <v>0</v>
      </c>
      <c r="U37" s="1763"/>
      <c r="V37" s="1764"/>
      <c r="W37" s="1764"/>
      <c r="X37" s="1764"/>
      <c r="Y37" s="1765"/>
      <c r="Z37" s="1763"/>
      <c r="AA37" s="1764"/>
      <c r="AB37" s="1765"/>
    </row>
    <row r="38" spans="1:30" outlineLevel="2">
      <c r="A38" s="696"/>
      <c r="B38" s="1838" t="s">
        <v>1409</v>
      </c>
      <c r="C38" s="2987">
        <v>236948.42809279752</v>
      </c>
      <c r="D38" s="2988">
        <v>701948.89945096639</v>
      </c>
      <c r="E38" s="2988">
        <v>1022551.1529105037</v>
      </c>
      <c r="F38" s="2988">
        <v>723405.78599825141</v>
      </c>
      <c r="G38" s="2989">
        <v>500890.19887595304</v>
      </c>
      <c r="H38" s="2987">
        <v>3819788.0387050356</v>
      </c>
      <c r="I38" s="2988">
        <v>4191135.0278304671</v>
      </c>
      <c r="J38" s="2988">
        <v>75413.05772152188</v>
      </c>
      <c r="K38" s="2988">
        <v>329715.27955677646</v>
      </c>
      <c r="L38" s="2988">
        <v>334034.8996702588</v>
      </c>
      <c r="M38" s="2987">
        <v>335518.9100586811</v>
      </c>
      <c r="N38" s="2988">
        <v>337374.4440541392</v>
      </c>
      <c r="O38" s="2988">
        <v>339765.25801515603</v>
      </c>
      <c r="P38" s="2988">
        <v>342910.48579742853</v>
      </c>
      <c r="Q38" s="2989">
        <v>346336.36514091259</v>
      </c>
      <c r="U38" s="1763"/>
      <c r="V38" s="1764"/>
      <c r="W38" s="1764"/>
      <c r="X38" s="1764"/>
      <c r="Y38" s="1765"/>
      <c r="Z38" s="1763"/>
      <c r="AA38" s="1764"/>
      <c r="AB38" s="1765"/>
    </row>
    <row r="39" spans="1:30" outlineLevel="2">
      <c r="A39" s="696"/>
      <c r="B39" s="1838" t="s">
        <v>56</v>
      </c>
      <c r="C39" s="2990"/>
      <c r="D39" s="2991"/>
      <c r="E39" s="2991"/>
      <c r="F39" s="2991"/>
      <c r="G39" s="2992"/>
      <c r="H39" s="2990"/>
      <c r="I39" s="2991">
        <v>0</v>
      </c>
      <c r="J39" s="2991"/>
      <c r="K39" s="2991"/>
      <c r="L39" s="2991">
        <v>0</v>
      </c>
      <c r="M39" s="2990">
        <v>0</v>
      </c>
      <c r="N39" s="2991">
        <v>0</v>
      </c>
      <c r="O39" s="2991">
        <v>0</v>
      </c>
      <c r="P39" s="2991">
        <v>0</v>
      </c>
      <c r="Q39" s="2992">
        <v>0</v>
      </c>
      <c r="U39" s="1766"/>
      <c r="V39" s="1767"/>
      <c r="W39" s="1767"/>
      <c r="X39" s="1767"/>
      <c r="Y39" s="1768"/>
      <c r="Z39" s="1766"/>
      <c r="AA39" s="1767"/>
      <c r="AB39" s="1768"/>
    </row>
    <row r="40" spans="1:30" outlineLevel="2">
      <c r="A40" s="696"/>
      <c r="B40" s="1838" t="s">
        <v>86</v>
      </c>
      <c r="C40" s="2990">
        <v>4641062.0004296741</v>
      </c>
      <c r="D40" s="2991">
        <v>3830698.6599676954</v>
      </c>
      <c r="E40" s="2991">
        <v>4845267.7768644374</v>
      </c>
      <c r="F40" s="2991">
        <v>5801590.946035007</v>
      </c>
      <c r="G40" s="2992">
        <v>6107964.9302853029</v>
      </c>
      <c r="H40" s="2990">
        <v>4406164.9361935267</v>
      </c>
      <c r="I40" s="2991">
        <v>2558947.9646712011</v>
      </c>
      <c r="J40" s="2991">
        <v>2312218.2891262672</v>
      </c>
      <c r="K40" s="2991">
        <v>1889161.0968594379</v>
      </c>
      <c r="L40" s="2991">
        <v>1851291.2671510435</v>
      </c>
      <c r="M40" s="2990">
        <v>1855044.0858844814</v>
      </c>
      <c r="N40" s="2991">
        <v>1766070.9593478655</v>
      </c>
      <c r="O40" s="2991">
        <v>1864808.3058199491</v>
      </c>
      <c r="P40" s="2991">
        <v>1781951.0569516025</v>
      </c>
      <c r="Q40" s="2992">
        <v>1808405.3572319057</v>
      </c>
      <c r="U40" s="1766"/>
      <c r="V40" s="1767"/>
      <c r="W40" s="1767"/>
      <c r="X40" s="1767"/>
      <c r="Y40" s="1768"/>
      <c r="Z40" s="1766"/>
      <c r="AA40" s="1767"/>
      <c r="AB40" s="1768"/>
    </row>
    <row r="41" spans="1:30" ht="13.5" outlineLevel="2" thickBot="1">
      <c r="A41" s="696"/>
      <c r="B41" s="788" t="s">
        <v>1410</v>
      </c>
      <c r="C41" s="2990"/>
      <c r="D41" s="2991"/>
      <c r="E41" s="2991"/>
      <c r="F41" s="2991"/>
      <c r="G41" s="2992"/>
      <c r="H41" s="2990"/>
      <c r="I41" s="2991">
        <v>0</v>
      </c>
      <c r="J41" s="2991"/>
      <c r="K41" s="2991"/>
      <c r="L41" s="2991"/>
      <c r="M41" s="2990"/>
      <c r="N41" s="2991"/>
      <c r="O41" s="2991"/>
      <c r="P41" s="2991"/>
      <c r="Q41" s="2992"/>
      <c r="U41" s="1766"/>
      <c r="V41" s="1767"/>
      <c r="W41" s="1767"/>
      <c r="X41" s="1767"/>
      <c r="Y41" s="1768"/>
      <c r="Z41" s="1766"/>
      <c r="AA41" s="1767"/>
      <c r="AB41" s="1768"/>
    </row>
    <row r="42" spans="1:30" ht="13.5" outlineLevel="1" thickBot="1">
      <c r="A42" s="696"/>
      <c r="B42" s="698" t="s">
        <v>63</v>
      </c>
      <c r="C42" s="2993">
        <v>28319983.373829674</v>
      </c>
      <c r="D42" s="2993">
        <v>24390167.486857805</v>
      </c>
      <c r="E42" s="2993">
        <v>32417695.985006072</v>
      </c>
      <c r="F42" s="2993">
        <v>39269105.362079747</v>
      </c>
      <c r="G42" s="2993">
        <v>38694199.480910875</v>
      </c>
      <c r="H42" s="2993">
        <v>33852059.501788802</v>
      </c>
      <c r="I42" s="2993">
        <v>29975928.124910459</v>
      </c>
      <c r="J42" s="2993">
        <v>34713854.341334663</v>
      </c>
      <c r="K42" s="2993">
        <v>20365026.836188897</v>
      </c>
      <c r="L42" s="2993">
        <v>26539124.607028335</v>
      </c>
      <c r="M42" s="2993">
        <v>28512304.080625486</v>
      </c>
      <c r="N42" s="2993">
        <v>25653959.767688379</v>
      </c>
      <c r="O42" s="2993">
        <v>26703762.068011872</v>
      </c>
      <c r="P42" s="2993">
        <v>24036024.801868659</v>
      </c>
      <c r="Q42" s="2994">
        <v>24074119.211184397</v>
      </c>
      <c r="U42" s="698">
        <f t="shared" ref="U42:AB42" si="1">SUM(U33:U41)</f>
        <v>0</v>
      </c>
      <c r="V42" s="699">
        <f t="shared" si="1"/>
        <v>0</v>
      </c>
      <c r="W42" s="699">
        <f t="shared" si="1"/>
        <v>0</v>
      </c>
      <c r="X42" s="699">
        <f t="shared" si="1"/>
        <v>0</v>
      </c>
      <c r="Y42" s="699">
        <f t="shared" si="1"/>
        <v>0</v>
      </c>
      <c r="Z42" s="699">
        <f t="shared" si="1"/>
        <v>0</v>
      </c>
      <c r="AA42" s="699">
        <f t="shared" si="1"/>
        <v>0</v>
      </c>
      <c r="AB42" s="700">
        <f t="shared" si="1"/>
        <v>0</v>
      </c>
    </row>
    <row r="43" spans="1:30" s="1174" customFormat="1" ht="23.25" customHeight="1" outlineLevel="1" thickBot="1">
      <c r="C43" s="2995"/>
      <c r="D43" s="2995"/>
      <c r="E43" s="2995"/>
      <c r="F43" s="2995"/>
      <c r="G43" s="2995"/>
      <c r="H43" s="2995"/>
      <c r="I43" s="2995"/>
      <c r="J43" s="2995"/>
      <c r="K43" s="2995"/>
      <c r="L43" s="2995"/>
      <c r="M43" s="2995"/>
      <c r="N43" s="2995"/>
      <c r="O43" s="2995"/>
      <c r="P43" s="2995"/>
      <c r="Q43" s="2995"/>
      <c r="R43" s="1172"/>
      <c r="S43" s="1172"/>
      <c r="T43" s="1172"/>
      <c r="AC43" s="1172"/>
      <c r="AD43" s="1172"/>
    </row>
    <row r="44" spans="1:30" s="474" customFormat="1" ht="24.75" customHeight="1" thickBot="1">
      <c r="A44" s="262"/>
      <c r="B44" s="660" t="str">
        <f>CONCATENATE("Table 16.1.3 - ",'17. Gross Capex '!B23)</f>
        <v>Table 16.1.3 - Service pipes</v>
      </c>
      <c r="C44" s="2996"/>
      <c r="D44" s="2996"/>
      <c r="E44" s="2996"/>
      <c r="F44" s="2996"/>
      <c r="G44" s="2996"/>
      <c r="H44" s="2996"/>
      <c r="I44" s="2996"/>
      <c r="J44" s="2996"/>
      <c r="K44" s="2996"/>
      <c r="L44" s="2996"/>
      <c r="M44" s="2996"/>
      <c r="N44" s="2996"/>
      <c r="O44" s="2996"/>
      <c r="P44" s="2996"/>
      <c r="Q44" s="2997"/>
      <c r="R44"/>
      <c r="S44"/>
      <c r="T44"/>
      <c r="U44" s="252"/>
      <c r="V44" s="269"/>
      <c r="W44" s="269"/>
      <c r="X44" s="269"/>
      <c r="Y44" s="269"/>
      <c r="Z44" s="269"/>
      <c r="AA44" s="269"/>
      <c r="AB44" s="270"/>
      <c r="AC44"/>
      <c r="AD44"/>
    </row>
    <row r="45" spans="1:30" outlineLevel="2">
      <c r="A45" s="696"/>
      <c r="B45" s="1838" t="s">
        <v>1408</v>
      </c>
      <c r="C45" s="3752">
        <v>14345893.031866277</v>
      </c>
      <c r="D45" s="2985">
        <v>16153541.033195639</v>
      </c>
      <c r="E45" s="2985">
        <v>17254953.752648402</v>
      </c>
      <c r="F45" s="2985">
        <v>17917460.337220568</v>
      </c>
      <c r="G45" s="2986">
        <v>20060240.903001245</v>
      </c>
      <c r="H45" s="3752">
        <v>17349723.654912617</v>
      </c>
      <c r="I45" s="2985">
        <v>16849149.686451115</v>
      </c>
      <c r="J45" s="2985">
        <v>23450818.834898666</v>
      </c>
      <c r="K45" s="2985">
        <v>23127408.261473078</v>
      </c>
      <c r="L45" s="2985">
        <v>20686071.822925404</v>
      </c>
      <c r="M45" s="2984">
        <v>21380796.753149211</v>
      </c>
      <c r="N45" s="2985">
        <v>21849932.370350145</v>
      </c>
      <c r="O45" s="2985">
        <v>22435093.341329437</v>
      </c>
      <c r="P45" s="2985">
        <v>23147276.769063596</v>
      </c>
      <c r="Q45" s="2986">
        <v>22805862.518147234</v>
      </c>
      <c r="U45" s="1760"/>
      <c r="V45" s="1761"/>
      <c r="W45" s="1761"/>
      <c r="X45" s="1761"/>
      <c r="Y45" s="1762"/>
      <c r="Z45" s="1760"/>
      <c r="AA45" s="1761"/>
      <c r="AB45" s="1762"/>
    </row>
    <row r="46" spans="1:30" outlineLevel="2">
      <c r="A46" s="696"/>
      <c r="B46" s="1838" t="s">
        <v>446</v>
      </c>
      <c r="C46" s="2987">
        <v>0</v>
      </c>
      <c r="D46" s="2988">
        <v>0</v>
      </c>
      <c r="E46" s="2988">
        <v>0</v>
      </c>
      <c r="F46" s="2988">
        <v>0</v>
      </c>
      <c r="G46" s="2989">
        <v>0</v>
      </c>
      <c r="H46" s="2987">
        <v>0</v>
      </c>
      <c r="I46" s="2988">
        <v>996.23233823324017</v>
      </c>
      <c r="J46" s="2988">
        <v>0</v>
      </c>
      <c r="K46" s="2988">
        <v>0</v>
      </c>
      <c r="L46" s="2988">
        <v>0</v>
      </c>
      <c r="M46" s="2987">
        <v>0</v>
      </c>
      <c r="N46" s="2988">
        <v>0</v>
      </c>
      <c r="O46" s="2988">
        <v>0</v>
      </c>
      <c r="P46" s="2988">
        <v>0</v>
      </c>
      <c r="Q46" s="2989">
        <v>0</v>
      </c>
      <c r="U46" s="1763"/>
      <c r="V46" s="1764"/>
      <c r="W46" s="1764"/>
      <c r="X46" s="1764"/>
      <c r="Y46" s="1765"/>
      <c r="Z46" s="1763"/>
      <c r="AA46" s="1764"/>
      <c r="AB46" s="1765"/>
    </row>
    <row r="47" spans="1:30" outlineLevel="2">
      <c r="A47" s="696"/>
      <c r="B47" s="1838" t="s">
        <v>447</v>
      </c>
      <c r="C47" s="2987">
        <v>4583026.6697399113</v>
      </c>
      <c r="D47" s="2988">
        <v>4143473.3505223016</v>
      </c>
      <c r="E47" s="2988">
        <v>0</v>
      </c>
      <c r="F47" s="2988">
        <v>0</v>
      </c>
      <c r="G47" s="2989">
        <v>740216.21729088982</v>
      </c>
      <c r="H47" s="2987">
        <v>570811.1820705221</v>
      </c>
      <c r="I47" s="2988">
        <v>13067640.051468754</v>
      </c>
      <c r="J47" s="2988">
        <v>9403917.3475577235</v>
      </c>
      <c r="K47" s="2988">
        <v>9274227.7907353211</v>
      </c>
      <c r="L47" s="2988">
        <v>13734542.020615527</v>
      </c>
      <c r="M47" s="2987">
        <v>15755808.261256462</v>
      </c>
      <c r="N47" s="2988">
        <v>14510670.297705572</v>
      </c>
      <c r="O47" s="2988">
        <v>15309663.553028148</v>
      </c>
      <c r="P47" s="2988">
        <v>11236249.39603013</v>
      </c>
      <c r="Q47" s="2989">
        <v>10712125.476914983</v>
      </c>
      <c r="U47" s="1763"/>
      <c r="V47" s="1764"/>
      <c r="W47" s="1764"/>
      <c r="X47" s="1764"/>
      <c r="Y47" s="1765"/>
      <c r="Z47" s="1763"/>
      <c r="AA47" s="1764"/>
      <c r="AB47" s="1765"/>
    </row>
    <row r="48" spans="1:30" outlineLevel="2">
      <c r="A48" s="696"/>
      <c r="B48" s="1838" t="s">
        <v>448</v>
      </c>
      <c r="C48" s="2987">
        <v>0</v>
      </c>
      <c r="D48" s="2988">
        <v>0</v>
      </c>
      <c r="E48" s="2988">
        <v>0</v>
      </c>
      <c r="F48" s="2988">
        <v>0</v>
      </c>
      <c r="G48" s="2989">
        <v>0</v>
      </c>
      <c r="H48" s="2987"/>
      <c r="I48" s="2988">
        <v>0</v>
      </c>
      <c r="J48" s="2988"/>
      <c r="K48" s="2988"/>
      <c r="L48" s="2988">
        <v>0</v>
      </c>
      <c r="M48" s="2987">
        <v>0</v>
      </c>
      <c r="N48" s="2988">
        <v>0</v>
      </c>
      <c r="O48" s="2988">
        <v>0</v>
      </c>
      <c r="P48" s="2988">
        <v>0</v>
      </c>
      <c r="Q48" s="2989">
        <v>0</v>
      </c>
      <c r="U48" s="1763"/>
      <c r="V48" s="1764"/>
      <c r="W48" s="1764"/>
      <c r="X48" s="1764"/>
      <c r="Y48" s="1765"/>
      <c r="Z48" s="1763"/>
      <c r="AA48" s="1764"/>
      <c r="AB48" s="1765"/>
    </row>
    <row r="49" spans="1:30" outlineLevel="2">
      <c r="A49" s="696"/>
      <c r="B49" s="1838" t="s">
        <v>449</v>
      </c>
      <c r="C49" s="2987">
        <v>0</v>
      </c>
      <c r="D49" s="2988">
        <v>0</v>
      </c>
      <c r="E49" s="2988">
        <v>0</v>
      </c>
      <c r="F49" s="2988">
        <v>0</v>
      </c>
      <c r="G49" s="2989">
        <v>0</v>
      </c>
      <c r="H49" s="2987"/>
      <c r="I49" s="2988">
        <v>-12490.064150942932</v>
      </c>
      <c r="J49" s="2988"/>
      <c r="K49" s="2988"/>
      <c r="L49" s="2988">
        <v>0</v>
      </c>
      <c r="M49" s="2987">
        <v>0</v>
      </c>
      <c r="N49" s="2988">
        <v>0</v>
      </c>
      <c r="O49" s="2988">
        <v>0</v>
      </c>
      <c r="P49" s="2988">
        <v>0</v>
      </c>
      <c r="Q49" s="2989">
        <v>0</v>
      </c>
      <c r="U49" s="1763"/>
      <c r="V49" s="1764"/>
      <c r="W49" s="1764"/>
      <c r="X49" s="1764"/>
      <c r="Y49" s="1765"/>
      <c r="Z49" s="1763"/>
      <c r="AA49" s="1764"/>
      <c r="AB49" s="1765"/>
    </row>
    <row r="50" spans="1:30" outlineLevel="2">
      <c r="A50" s="696"/>
      <c r="B50" s="1838" t="s">
        <v>1409</v>
      </c>
      <c r="C50" s="2987">
        <v>732753.76669381117</v>
      </c>
      <c r="D50" s="2988">
        <v>646569.39716309891</v>
      </c>
      <c r="E50" s="2988">
        <v>652526.84785925085</v>
      </c>
      <c r="F50" s="2988">
        <v>652205.36896261072</v>
      </c>
      <c r="G50" s="2989">
        <v>109113.06675695724</v>
      </c>
      <c r="H50" s="2987">
        <v>51173.569215754789</v>
      </c>
      <c r="I50" s="2988">
        <v>411453.25196176092</v>
      </c>
      <c r="J50" s="2988"/>
      <c r="K50" s="2988"/>
      <c r="L50" s="2988">
        <v>0</v>
      </c>
      <c r="M50" s="2987">
        <v>0</v>
      </c>
      <c r="N50" s="2988">
        <v>0</v>
      </c>
      <c r="O50" s="2988">
        <v>0</v>
      </c>
      <c r="P50" s="2988">
        <v>0</v>
      </c>
      <c r="Q50" s="2989">
        <v>0</v>
      </c>
      <c r="U50" s="1763"/>
      <c r="V50" s="1764"/>
      <c r="W50" s="1764"/>
      <c r="X50" s="1764"/>
      <c r="Y50" s="1765"/>
      <c r="Z50" s="1763"/>
      <c r="AA50" s="1764"/>
      <c r="AB50" s="1765"/>
    </row>
    <row r="51" spans="1:30" outlineLevel="2">
      <c r="A51" s="696"/>
      <c r="B51" s="1838" t="s">
        <v>56</v>
      </c>
      <c r="C51" s="2990">
        <v>0</v>
      </c>
      <c r="D51" s="2991">
        <v>0</v>
      </c>
      <c r="E51" s="2991">
        <v>0</v>
      </c>
      <c r="F51" s="2991">
        <v>0</v>
      </c>
      <c r="G51" s="2992"/>
      <c r="H51" s="2990"/>
      <c r="I51" s="2991">
        <v>0</v>
      </c>
      <c r="J51" s="2991"/>
      <c r="K51" s="2991"/>
      <c r="L51" s="2991">
        <v>0</v>
      </c>
      <c r="M51" s="2990">
        <v>0</v>
      </c>
      <c r="N51" s="2991">
        <v>0</v>
      </c>
      <c r="O51" s="2991">
        <v>0</v>
      </c>
      <c r="P51" s="2991">
        <v>0</v>
      </c>
      <c r="Q51" s="2992">
        <v>0</v>
      </c>
      <c r="U51" s="1766"/>
      <c r="V51" s="1767"/>
      <c r="W51" s="1767"/>
      <c r="X51" s="1767"/>
      <c r="Y51" s="1768"/>
      <c r="Z51" s="1766"/>
      <c r="AA51" s="1767"/>
      <c r="AB51" s="1768"/>
    </row>
    <row r="52" spans="1:30" outlineLevel="2">
      <c r="A52" s="696"/>
      <c r="B52" s="1838" t="s">
        <v>86</v>
      </c>
      <c r="C52" s="2990">
        <v>4204620.6384118758</v>
      </c>
      <c r="D52" s="2991">
        <v>4880263.9975435641</v>
      </c>
      <c r="E52" s="2991">
        <v>3595915.6039393046</v>
      </c>
      <c r="F52" s="2991">
        <v>3869858.0834534317</v>
      </c>
      <c r="G52" s="2992">
        <v>5930090.4911598265</v>
      </c>
      <c r="H52" s="2990">
        <v>6554394.7740618456</v>
      </c>
      <c r="I52" s="2991">
        <v>7319582.0064694835</v>
      </c>
      <c r="J52" s="2991">
        <v>4676388.2257762877</v>
      </c>
      <c r="K52" s="2991">
        <v>3138983.3904733728</v>
      </c>
      <c r="L52" s="2991">
        <v>2581133.0197047736</v>
      </c>
      <c r="M52" s="2990">
        <v>2584288.0417494075</v>
      </c>
      <c r="N52" s="2991">
        <v>2688199.1818698421</v>
      </c>
      <c r="O52" s="2991">
        <v>2833723.8139375392</v>
      </c>
      <c r="P52" s="2991">
        <v>2753192.973062674</v>
      </c>
      <c r="Q52" s="2992">
        <v>2722307.6674742713</v>
      </c>
      <c r="U52" s="1766"/>
      <c r="V52" s="1767"/>
      <c r="W52" s="1767"/>
      <c r="X52" s="1767"/>
      <c r="Y52" s="1768"/>
      <c r="Z52" s="1766"/>
      <c r="AA52" s="1767"/>
      <c r="AB52" s="1768"/>
    </row>
    <row r="53" spans="1:30" ht="13.5" outlineLevel="2" thickBot="1">
      <c r="A53" s="696"/>
      <c r="B53" s="788" t="s">
        <v>1410</v>
      </c>
      <c r="C53" s="2990">
        <v>0</v>
      </c>
      <c r="D53" s="2991">
        <v>0</v>
      </c>
      <c r="E53" s="2991">
        <v>0</v>
      </c>
      <c r="F53" s="2991">
        <v>0</v>
      </c>
      <c r="G53" s="2992"/>
      <c r="H53" s="2990"/>
      <c r="I53" s="2991">
        <v>0</v>
      </c>
      <c r="J53" s="2991"/>
      <c r="K53" s="2991"/>
      <c r="L53" s="2991"/>
      <c r="M53" s="2990"/>
      <c r="N53" s="2991"/>
      <c r="O53" s="2991"/>
      <c r="P53" s="2991"/>
      <c r="Q53" s="2992"/>
      <c r="U53" s="1766"/>
      <c r="V53" s="1767"/>
      <c r="W53" s="1767"/>
      <c r="X53" s="1767"/>
      <c r="Y53" s="1768"/>
      <c r="Z53" s="1766"/>
      <c r="AA53" s="1767"/>
      <c r="AB53" s="1768"/>
    </row>
    <row r="54" spans="1:30" ht="13.5" outlineLevel="1" thickBot="1">
      <c r="A54" s="696"/>
      <c r="B54" s="698" t="s">
        <v>63</v>
      </c>
      <c r="C54" s="2993">
        <f>SUM(C45:C53)</f>
        <v>23866294.106711876</v>
      </c>
      <c r="D54" s="2993">
        <f t="shared" ref="D54:J54" si="2">SUM(D45:D53)</f>
        <v>25823847.778424606</v>
      </c>
      <c r="E54" s="2993">
        <f t="shared" si="2"/>
        <v>21503396.20444696</v>
      </c>
      <c r="F54" s="2993">
        <f t="shared" si="2"/>
        <v>22439523.789636612</v>
      </c>
      <c r="G54" s="2993">
        <f t="shared" si="2"/>
        <v>26839660.678208917</v>
      </c>
      <c r="H54" s="2993">
        <f t="shared" si="2"/>
        <v>24526103.18026074</v>
      </c>
      <c r="I54" s="2993">
        <f t="shared" si="2"/>
        <v>37636331.164538398</v>
      </c>
      <c r="J54" s="2993">
        <f t="shared" si="2"/>
        <v>37531124.408232674</v>
      </c>
      <c r="K54" s="2993">
        <v>35540619.442681774</v>
      </c>
      <c r="L54" s="2993">
        <v>37001746.863245703</v>
      </c>
      <c r="M54" s="2993">
        <v>39720893.056155086</v>
      </c>
      <c r="N54" s="2993">
        <v>39048801.849925555</v>
      </c>
      <c r="O54" s="2993">
        <v>40578480.708295122</v>
      </c>
      <c r="P54" s="2993">
        <v>37136719.138156399</v>
      </c>
      <c r="Q54" s="2994">
        <v>36240295.662536487</v>
      </c>
      <c r="U54" s="698">
        <f t="shared" ref="U54:AB54" si="3">SUM(U45:U53)</f>
        <v>0</v>
      </c>
      <c r="V54" s="699">
        <f t="shared" si="3"/>
        <v>0</v>
      </c>
      <c r="W54" s="699">
        <f t="shared" si="3"/>
        <v>0</v>
      </c>
      <c r="X54" s="699">
        <f t="shared" si="3"/>
        <v>0</v>
      </c>
      <c r="Y54" s="699">
        <f t="shared" si="3"/>
        <v>0</v>
      </c>
      <c r="Z54" s="699">
        <f t="shared" si="3"/>
        <v>0</v>
      </c>
      <c r="AA54" s="699">
        <f t="shared" si="3"/>
        <v>0</v>
      </c>
      <c r="AB54" s="700">
        <f t="shared" si="3"/>
        <v>0</v>
      </c>
    </row>
    <row r="55" spans="1:30" s="1174" customFormat="1" ht="23.25" customHeight="1" outlineLevel="1" thickBot="1">
      <c r="C55" s="2995"/>
      <c r="D55" s="2995">
        <v>25461</v>
      </c>
      <c r="E55" s="2995"/>
      <c r="F55" s="2995"/>
      <c r="G55" s="2995"/>
      <c r="H55" s="2995"/>
      <c r="I55" s="2995"/>
      <c r="J55" s="2995"/>
      <c r="K55" s="2995"/>
      <c r="L55" s="2995"/>
      <c r="M55" s="2995"/>
      <c r="N55" s="2995"/>
      <c r="O55" s="2995"/>
      <c r="P55" s="2995"/>
      <c r="Q55" s="2995"/>
      <c r="R55" s="1172"/>
      <c r="S55" s="1172"/>
      <c r="T55" s="1172"/>
      <c r="AC55" s="1172"/>
      <c r="AD55" s="1172"/>
    </row>
    <row r="56" spans="1:30" s="474" customFormat="1" ht="24.75" customHeight="1" thickBot="1">
      <c r="A56" s="262"/>
      <c r="B56" s="660" t="str">
        <f>CONCATENATE("Table 16.1.4 - ",'17. Gross Capex '!B24)</f>
        <v>Table 16.1.4 - Cathodic protection</v>
      </c>
      <c r="C56" s="2996"/>
      <c r="D56" s="2996"/>
      <c r="E56" s="2996"/>
      <c r="F56" s="2996"/>
      <c r="G56" s="2996"/>
      <c r="H56" s="2996"/>
      <c r="I56" s="2996"/>
      <c r="J56" s="2996"/>
      <c r="K56" s="2996"/>
      <c r="L56" s="2996"/>
      <c r="M56" s="2996"/>
      <c r="N56" s="2996"/>
      <c r="O56" s="2996"/>
      <c r="P56" s="2996"/>
      <c r="Q56" s="2997"/>
      <c r="R56"/>
      <c r="S56"/>
      <c r="T56"/>
      <c r="U56" s="252"/>
      <c r="V56" s="269"/>
      <c r="W56" s="269"/>
      <c r="X56" s="269"/>
      <c r="Y56" s="269"/>
      <c r="Z56" s="269"/>
      <c r="AA56" s="269"/>
      <c r="AB56" s="270"/>
      <c r="AC56"/>
      <c r="AD56"/>
    </row>
    <row r="57" spans="1:30" outlineLevel="2">
      <c r="A57" s="696"/>
      <c r="B57" s="1838" t="s">
        <v>1408</v>
      </c>
      <c r="C57" s="2984"/>
      <c r="D57" s="2985"/>
      <c r="E57" s="2985"/>
      <c r="F57" s="2985"/>
      <c r="G57" s="2986"/>
      <c r="H57" s="2984"/>
      <c r="I57" s="2985"/>
      <c r="J57" s="2985"/>
      <c r="K57" s="2985"/>
      <c r="L57" s="2985">
        <v>0</v>
      </c>
      <c r="M57" s="2984"/>
      <c r="N57" s="2985"/>
      <c r="O57" s="2985"/>
      <c r="P57" s="2985"/>
      <c r="Q57" s="2986"/>
      <c r="U57" s="1760"/>
      <c r="V57" s="1761"/>
      <c r="W57" s="1761"/>
      <c r="X57" s="1761"/>
      <c r="Y57" s="1762"/>
      <c r="Z57" s="1760"/>
      <c r="AA57" s="1761"/>
      <c r="AB57" s="1762"/>
    </row>
    <row r="58" spans="1:30" outlineLevel="2">
      <c r="A58" s="696"/>
      <c r="B58" s="1838" t="s">
        <v>446</v>
      </c>
      <c r="C58" s="2987"/>
      <c r="D58" s="2988"/>
      <c r="E58" s="2988"/>
      <c r="F58" s="2988"/>
      <c r="G58" s="2989"/>
      <c r="H58" s="2987"/>
      <c r="I58" s="2988"/>
      <c r="J58" s="2988"/>
      <c r="K58" s="2988"/>
      <c r="L58" s="2988">
        <v>0</v>
      </c>
      <c r="M58" s="2987"/>
      <c r="N58" s="2988"/>
      <c r="O58" s="2988"/>
      <c r="P58" s="2988"/>
      <c r="Q58" s="2989"/>
      <c r="U58" s="1763"/>
      <c r="V58" s="1764"/>
      <c r="W58" s="1764"/>
      <c r="X58" s="1764"/>
      <c r="Y58" s="1765"/>
      <c r="Z58" s="1763"/>
      <c r="AA58" s="1764"/>
      <c r="AB58" s="1765"/>
    </row>
    <row r="59" spans="1:30" outlineLevel="2">
      <c r="A59" s="696"/>
      <c r="B59" s="1838" t="s">
        <v>447</v>
      </c>
      <c r="C59" s="2987"/>
      <c r="D59" s="2988"/>
      <c r="E59" s="2988"/>
      <c r="F59" s="2988"/>
      <c r="G59" s="2989"/>
      <c r="H59" s="2987"/>
      <c r="I59" s="2988"/>
      <c r="J59" s="2988"/>
      <c r="K59" s="2988"/>
      <c r="L59" s="2988">
        <v>0</v>
      </c>
      <c r="M59" s="2987"/>
      <c r="N59" s="2988"/>
      <c r="O59" s="2988"/>
      <c r="P59" s="2988"/>
      <c r="Q59" s="2989"/>
      <c r="U59" s="1763"/>
      <c r="V59" s="1764"/>
      <c r="W59" s="1764"/>
      <c r="X59" s="1764"/>
      <c r="Y59" s="1765"/>
      <c r="Z59" s="1763"/>
      <c r="AA59" s="1764"/>
      <c r="AB59" s="1765"/>
    </row>
    <row r="60" spans="1:30" outlineLevel="2">
      <c r="A60" s="696"/>
      <c r="B60" s="1838" t="s">
        <v>448</v>
      </c>
      <c r="C60" s="2987"/>
      <c r="D60" s="2988"/>
      <c r="E60" s="2988"/>
      <c r="F60" s="2988"/>
      <c r="G60" s="2989"/>
      <c r="H60" s="2987"/>
      <c r="I60" s="2988"/>
      <c r="J60" s="2988"/>
      <c r="K60" s="2988"/>
      <c r="L60" s="2988">
        <v>0</v>
      </c>
      <c r="M60" s="2987"/>
      <c r="N60" s="2988"/>
      <c r="O60" s="2988"/>
      <c r="P60" s="2988"/>
      <c r="Q60" s="2989"/>
      <c r="U60" s="1763"/>
      <c r="V60" s="1764"/>
      <c r="W60" s="1764"/>
      <c r="X60" s="1764"/>
      <c r="Y60" s="1765"/>
      <c r="Z60" s="1763"/>
      <c r="AA60" s="1764"/>
      <c r="AB60" s="1765"/>
    </row>
    <row r="61" spans="1:30" outlineLevel="2">
      <c r="A61" s="696"/>
      <c r="B61" s="1838" t="s">
        <v>449</v>
      </c>
      <c r="C61" s="2987"/>
      <c r="D61" s="2988"/>
      <c r="E61" s="2988"/>
      <c r="F61" s="2988"/>
      <c r="G61" s="2989"/>
      <c r="H61" s="2987"/>
      <c r="I61" s="2988"/>
      <c r="J61" s="2988"/>
      <c r="K61" s="2988"/>
      <c r="L61" s="2988">
        <v>0</v>
      </c>
      <c r="M61" s="2987"/>
      <c r="N61" s="2988"/>
      <c r="O61" s="2988"/>
      <c r="P61" s="2988"/>
      <c r="Q61" s="2989"/>
      <c r="U61" s="1763"/>
      <c r="V61" s="1764"/>
      <c r="W61" s="1764"/>
      <c r="X61" s="1764"/>
      <c r="Y61" s="1765"/>
      <c r="Z61" s="1763"/>
      <c r="AA61" s="1764"/>
      <c r="AB61" s="1765"/>
    </row>
    <row r="62" spans="1:30" outlineLevel="2">
      <c r="A62" s="696"/>
      <c r="B62" s="1838" t="s">
        <v>1409</v>
      </c>
      <c r="C62" s="2987">
        <v>175697.13199999998</v>
      </c>
      <c r="D62" s="2988">
        <v>483360.00726705248</v>
      </c>
      <c r="E62" s="2988">
        <v>0</v>
      </c>
      <c r="F62" s="2988">
        <v>462554.81191678206</v>
      </c>
      <c r="G62" s="2989">
        <v>324451.05362453283</v>
      </c>
      <c r="H62" s="2987">
        <v>548891.05107365281</v>
      </c>
      <c r="I62" s="2988">
        <v>325947.23000000004</v>
      </c>
      <c r="J62" s="2988">
        <v>198443.86</v>
      </c>
      <c r="K62" s="2988">
        <v>327579.91274184122</v>
      </c>
      <c r="L62" s="2988">
        <v>296037.97274349735</v>
      </c>
      <c r="M62" s="2987">
        <v>403034.09279218095</v>
      </c>
      <c r="N62" s="2988">
        <v>406001.89919820975</v>
      </c>
      <c r="O62" s="2988">
        <v>411921.73369026947</v>
      </c>
      <c r="P62" s="2988">
        <v>417004.2723653033</v>
      </c>
      <c r="Q62" s="2989">
        <v>422529.99112276814</v>
      </c>
      <c r="U62" s="1763"/>
      <c r="V62" s="1764"/>
      <c r="W62" s="1764"/>
      <c r="X62" s="1764"/>
      <c r="Y62" s="1765"/>
      <c r="Z62" s="1763"/>
      <c r="AA62" s="1764"/>
      <c r="AB62" s="1765"/>
    </row>
    <row r="63" spans="1:30" outlineLevel="2">
      <c r="A63" s="696"/>
      <c r="B63" s="1838" t="s">
        <v>56</v>
      </c>
      <c r="C63" s="2990"/>
      <c r="D63" s="2991"/>
      <c r="E63" s="2991"/>
      <c r="F63" s="2991"/>
      <c r="G63" s="2992"/>
      <c r="H63" s="2990"/>
      <c r="I63" s="2991"/>
      <c r="J63" s="2991"/>
      <c r="K63" s="2991"/>
      <c r="L63" s="2991">
        <v>0</v>
      </c>
      <c r="M63" s="2990"/>
      <c r="N63" s="2991"/>
      <c r="O63" s="2991"/>
      <c r="P63" s="2991"/>
      <c r="Q63" s="2992"/>
      <c r="U63" s="1766"/>
      <c r="V63" s="1767"/>
      <c r="W63" s="1767"/>
      <c r="X63" s="1767"/>
      <c r="Y63" s="1768"/>
      <c r="Z63" s="1766"/>
      <c r="AA63" s="1767"/>
      <c r="AB63" s="1768"/>
    </row>
    <row r="64" spans="1:30" outlineLevel="2">
      <c r="A64" s="696"/>
      <c r="B64" s="1838" t="s">
        <v>86</v>
      </c>
      <c r="C64" s="2990">
        <v>32959.001972835264</v>
      </c>
      <c r="D64" s="2991">
        <v>75837.216316263715</v>
      </c>
      <c r="E64" s="2991">
        <v>0</v>
      </c>
      <c r="F64" s="2991">
        <v>72316.74752734018</v>
      </c>
      <c r="G64" s="2992">
        <v>56484.023935358673</v>
      </c>
      <c r="H64" s="2990">
        <v>62589.048772154812</v>
      </c>
      <c r="I64" s="2991">
        <v>29292.600000000002</v>
      </c>
      <c r="J64" s="2991">
        <v>11920.660054836409</v>
      </c>
      <c r="K64" s="2991">
        <v>30273.128231630744</v>
      </c>
      <c r="L64" s="2991">
        <v>22199.295747832512</v>
      </c>
      <c r="M64" s="2990">
        <v>28046.618533107743</v>
      </c>
      <c r="N64" s="2991">
        <v>30016.388668997097</v>
      </c>
      <c r="O64" s="2991">
        <v>30925.419350592245</v>
      </c>
      <c r="P64" s="2991">
        <v>33390.794089311094</v>
      </c>
      <c r="Q64" s="2992">
        <v>34317.588662193215</v>
      </c>
      <c r="U64" s="1766"/>
      <c r="V64" s="1767"/>
      <c r="W64" s="1767"/>
      <c r="X64" s="1767"/>
      <c r="Y64" s="1768"/>
      <c r="Z64" s="1766"/>
      <c r="AA64" s="1767"/>
      <c r="AB64" s="1768"/>
    </row>
    <row r="65" spans="1:30" ht="13.5" outlineLevel="2" thickBot="1">
      <c r="A65" s="696"/>
      <c r="B65" s="788" t="s">
        <v>1410</v>
      </c>
      <c r="C65" s="2990"/>
      <c r="D65" s="2991"/>
      <c r="E65" s="2991"/>
      <c r="F65" s="2991"/>
      <c r="G65" s="2992"/>
      <c r="H65" s="2990"/>
      <c r="I65" s="2991"/>
      <c r="J65" s="2991"/>
      <c r="K65" s="2991"/>
      <c r="L65" s="2991"/>
      <c r="M65" s="2990"/>
      <c r="N65" s="2991"/>
      <c r="O65" s="2991"/>
      <c r="P65" s="2991"/>
      <c r="Q65" s="2992"/>
      <c r="U65" s="1766"/>
      <c r="V65" s="1767"/>
      <c r="W65" s="1767"/>
      <c r="X65" s="1767"/>
      <c r="Y65" s="1768"/>
      <c r="Z65" s="1766"/>
      <c r="AA65" s="1767"/>
      <c r="AB65" s="1768"/>
    </row>
    <row r="66" spans="1:30" ht="13.5" outlineLevel="1" thickBot="1">
      <c r="A66" s="696"/>
      <c r="B66" s="698" t="s">
        <v>63</v>
      </c>
      <c r="C66" s="2993">
        <v>208656.13397283526</v>
      </c>
      <c r="D66" s="2993">
        <v>559197.2235833162</v>
      </c>
      <c r="E66" s="2993">
        <v>0</v>
      </c>
      <c r="F66" s="2993">
        <v>534871.55944412225</v>
      </c>
      <c r="G66" s="2993">
        <v>380935.07755989151</v>
      </c>
      <c r="H66" s="2993">
        <v>611480.09984580765</v>
      </c>
      <c r="I66" s="2993">
        <v>355239.83</v>
      </c>
      <c r="J66" s="2993">
        <v>210364.52005483641</v>
      </c>
      <c r="K66" s="2993">
        <v>357853.04097347194</v>
      </c>
      <c r="L66" s="2993">
        <v>318237.26849132986</v>
      </c>
      <c r="M66" s="2993">
        <v>431080.71132528869</v>
      </c>
      <c r="N66" s="2993">
        <v>436018.28786720685</v>
      </c>
      <c r="O66" s="2993">
        <v>442847.15304086171</v>
      </c>
      <c r="P66" s="2993">
        <v>450395.0664546144</v>
      </c>
      <c r="Q66" s="2994">
        <v>456847.57978496136</v>
      </c>
      <c r="U66" s="698">
        <f t="shared" ref="U66:AB66" si="4">SUM(U57:U65)</f>
        <v>0</v>
      </c>
      <c r="V66" s="699">
        <f t="shared" si="4"/>
        <v>0</v>
      </c>
      <c r="W66" s="699">
        <f t="shared" si="4"/>
        <v>0</v>
      </c>
      <c r="X66" s="699">
        <f t="shared" si="4"/>
        <v>0</v>
      </c>
      <c r="Y66" s="699">
        <f t="shared" si="4"/>
        <v>0</v>
      </c>
      <c r="Z66" s="699">
        <f t="shared" si="4"/>
        <v>0</v>
      </c>
      <c r="AA66" s="699">
        <f t="shared" si="4"/>
        <v>0</v>
      </c>
      <c r="AB66" s="700">
        <f t="shared" si="4"/>
        <v>0</v>
      </c>
    </row>
    <row r="67" spans="1:30" s="1174" customFormat="1" ht="23.25" customHeight="1" outlineLevel="1" thickBot="1">
      <c r="C67" s="2995"/>
      <c r="D67" s="2995"/>
      <c r="E67" s="2995"/>
      <c r="F67" s="2995"/>
      <c r="G67" s="2995"/>
      <c r="H67" s="2995"/>
      <c r="I67" s="2995"/>
      <c r="J67" s="2995"/>
      <c r="K67" s="2995"/>
      <c r="L67" s="2995"/>
      <c r="M67" s="2995"/>
      <c r="N67" s="2995"/>
      <c r="O67" s="2995"/>
      <c r="P67" s="2995"/>
      <c r="Q67" s="2995"/>
      <c r="R67" s="1172"/>
      <c r="S67" s="1172"/>
      <c r="T67" s="1172"/>
      <c r="AC67" s="1172"/>
      <c r="AD67" s="1172"/>
    </row>
    <row r="68" spans="1:30" s="474" customFormat="1" ht="24.75" customHeight="1" thickBot="1">
      <c r="A68" s="262"/>
      <c r="B68" s="660" t="str">
        <f>CONCATENATE("Table 16.1.5 - ",'17. Gross Capex '!B25)</f>
        <v>Table 16.1.5 - Supply regulators/Valve stations</v>
      </c>
      <c r="C68" s="2996"/>
      <c r="D68" s="2996"/>
      <c r="E68" s="2996"/>
      <c r="F68" s="2996"/>
      <c r="G68" s="2996"/>
      <c r="H68" s="2996"/>
      <c r="I68" s="2996"/>
      <c r="J68" s="2996"/>
      <c r="K68" s="2996"/>
      <c r="L68" s="2996"/>
      <c r="M68" s="2996"/>
      <c r="N68" s="2996"/>
      <c r="O68" s="2996"/>
      <c r="P68" s="2996"/>
      <c r="Q68" s="2997"/>
      <c r="R68"/>
      <c r="S68"/>
      <c r="T68"/>
      <c r="U68" s="252"/>
      <c r="V68" s="269"/>
      <c r="W68" s="269"/>
      <c r="X68" s="269"/>
      <c r="Y68" s="269"/>
      <c r="Z68" s="269"/>
      <c r="AA68" s="269"/>
      <c r="AB68" s="270"/>
      <c r="AC68"/>
      <c r="AD68"/>
    </row>
    <row r="69" spans="1:30" outlineLevel="2">
      <c r="A69" s="696"/>
      <c r="B69" s="1838" t="s">
        <v>1408</v>
      </c>
      <c r="C69" s="2984"/>
      <c r="D69" s="2985"/>
      <c r="E69" s="2985"/>
      <c r="F69" s="2985"/>
      <c r="G69" s="2986">
        <v>333323.898262428</v>
      </c>
      <c r="H69" s="2984">
        <v>116190.35695120278</v>
      </c>
      <c r="I69" s="2985">
        <v>30746.590235480282</v>
      </c>
      <c r="J69" s="2985"/>
      <c r="K69" s="2985">
        <v>70601.99018258533</v>
      </c>
      <c r="L69" s="2985">
        <v>139686.5382596149</v>
      </c>
      <c r="M69" s="2984">
        <v>0</v>
      </c>
      <c r="N69" s="2985">
        <v>0</v>
      </c>
      <c r="O69" s="2985">
        <v>0</v>
      </c>
      <c r="P69" s="2985">
        <v>0</v>
      </c>
      <c r="Q69" s="2986">
        <v>0</v>
      </c>
      <c r="U69" s="1760"/>
      <c r="V69" s="1761"/>
      <c r="W69" s="1761"/>
      <c r="X69" s="1761"/>
      <c r="Y69" s="1762"/>
      <c r="Z69" s="1760"/>
      <c r="AA69" s="1761"/>
      <c r="AB69" s="1762"/>
    </row>
    <row r="70" spans="1:30" outlineLevel="2">
      <c r="A70" s="696"/>
      <c r="B70" s="1838" t="s">
        <v>446</v>
      </c>
      <c r="C70" s="2987">
        <v>744101.84410909086</v>
      </c>
      <c r="D70" s="2988">
        <v>584043.71051178942</v>
      </c>
      <c r="E70" s="2988">
        <v>172649.60865419189</v>
      </c>
      <c r="F70" s="2988">
        <v>12492.723997209265</v>
      </c>
      <c r="G70" s="2989">
        <v>639828.51268075791</v>
      </c>
      <c r="H70" s="2987">
        <v>518036.09506282763</v>
      </c>
      <c r="I70" s="2988">
        <v>1417060.7838841202</v>
      </c>
      <c r="J70" s="2988"/>
      <c r="K70" s="2988">
        <v>183788.10799955262</v>
      </c>
      <c r="L70" s="2988">
        <v>2297107.9707250213</v>
      </c>
      <c r="M70" s="2987">
        <v>3025078.2931300541</v>
      </c>
      <c r="N70" s="2988">
        <v>1959130.3493737073</v>
      </c>
      <c r="O70" s="2988">
        <v>207688.5191677805</v>
      </c>
      <c r="P70" s="2988">
        <v>419242.08675763983</v>
      </c>
      <c r="Q70" s="2989">
        <v>0</v>
      </c>
      <c r="U70" s="1763"/>
      <c r="V70" s="1764"/>
      <c r="W70" s="1764"/>
      <c r="X70" s="1764"/>
      <c r="Y70" s="1765"/>
      <c r="Z70" s="1763"/>
      <c r="AA70" s="1764"/>
      <c r="AB70" s="1765"/>
    </row>
    <row r="71" spans="1:30" outlineLevel="2">
      <c r="A71" s="696"/>
      <c r="B71" s="1838" t="s">
        <v>447</v>
      </c>
      <c r="C71" s="2987"/>
      <c r="D71" s="2988"/>
      <c r="E71" s="2988"/>
      <c r="F71" s="2988"/>
      <c r="G71" s="2989">
        <v>0</v>
      </c>
      <c r="H71" s="2987"/>
      <c r="I71" s="2988">
        <v>0</v>
      </c>
      <c r="J71" s="2988"/>
      <c r="K71" s="2988">
        <v>0</v>
      </c>
      <c r="L71" s="2988">
        <v>0</v>
      </c>
      <c r="M71" s="2987">
        <v>0</v>
      </c>
      <c r="N71" s="2988">
        <v>0</v>
      </c>
      <c r="O71" s="2988">
        <v>0</v>
      </c>
      <c r="P71" s="2988">
        <v>0</v>
      </c>
      <c r="Q71" s="2989">
        <v>0</v>
      </c>
      <c r="U71" s="1763"/>
      <c r="V71" s="1764"/>
      <c r="W71" s="1764"/>
      <c r="X71" s="1764"/>
      <c r="Y71" s="1765"/>
      <c r="Z71" s="1763"/>
      <c r="AA71" s="1764"/>
      <c r="AB71" s="1765"/>
    </row>
    <row r="72" spans="1:30" outlineLevel="2">
      <c r="A72" s="696"/>
      <c r="B72" s="1838" t="s">
        <v>448</v>
      </c>
      <c r="C72" s="2987"/>
      <c r="D72" s="2988"/>
      <c r="E72" s="2988"/>
      <c r="F72" s="2988"/>
      <c r="G72" s="2989">
        <v>0</v>
      </c>
      <c r="H72" s="2987"/>
      <c r="I72" s="2988">
        <v>0</v>
      </c>
      <c r="J72" s="2988"/>
      <c r="K72" s="2988">
        <v>0</v>
      </c>
      <c r="L72" s="2988">
        <v>0</v>
      </c>
      <c r="M72" s="2987">
        <v>0</v>
      </c>
      <c r="N72" s="2988">
        <v>0</v>
      </c>
      <c r="O72" s="2988">
        <v>0</v>
      </c>
      <c r="P72" s="2988">
        <v>0</v>
      </c>
      <c r="Q72" s="2989">
        <v>0</v>
      </c>
      <c r="U72" s="1763"/>
      <c r="V72" s="1764"/>
      <c r="W72" s="1764"/>
      <c r="X72" s="1764"/>
      <c r="Y72" s="1765"/>
      <c r="Z72" s="1763"/>
      <c r="AA72" s="1764"/>
      <c r="AB72" s="1765"/>
    </row>
    <row r="73" spans="1:30" outlineLevel="2">
      <c r="A73" s="696"/>
      <c r="B73" s="1838" t="s">
        <v>449</v>
      </c>
      <c r="C73" s="2987"/>
      <c r="D73" s="2988"/>
      <c r="E73" s="2988"/>
      <c r="F73" s="2988"/>
      <c r="G73" s="2989">
        <v>0</v>
      </c>
      <c r="H73" s="2987"/>
      <c r="I73" s="2988">
        <v>0</v>
      </c>
      <c r="J73" s="2988"/>
      <c r="K73" s="2988">
        <v>0</v>
      </c>
      <c r="L73" s="2988">
        <v>0</v>
      </c>
      <c r="M73" s="2987">
        <v>0</v>
      </c>
      <c r="N73" s="2988">
        <v>0</v>
      </c>
      <c r="O73" s="2988">
        <v>0</v>
      </c>
      <c r="P73" s="2988">
        <v>0</v>
      </c>
      <c r="Q73" s="2989">
        <v>0</v>
      </c>
      <c r="U73" s="1763"/>
      <c r="V73" s="1764"/>
      <c r="W73" s="1764"/>
      <c r="X73" s="1764"/>
      <c r="Y73" s="1765"/>
      <c r="Z73" s="1763"/>
      <c r="AA73" s="1764"/>
      <c r="AB73" s="1765"/>
    </row>
    <row r="74" spans="1:30" outlineLevel="2">
      <c r="A74" s="696"/>
      <c r="B74" s="1838" t="s">
        <v>1409</v>
      </c>
      <c r="C74" s="2987">
        <v>620084.87009090907</v>
      </c>
      <c r="D74" s="2988">
        <v>466735.78575087449</v>
      </c>
      <c r="E74" s="2988">
        <v>135411.45776799362</v>
      </c>
      <c r="F74" s="2988">
        <v>972766.77524936129</v>
      </c>
      <c r="G74" s="2989">
        <v>1251627.190278128</v>
      </c>
      <c r="H74" s="2987">
        <v>2308715.8461178266</v>
      </c>
      <c r="I74" s="2988">
        <v>4247487.853171479</v>
      </c>
      <c r="J74" s="2988">
        <v>3852008.5962630524</v>
      </c>
      <c r="K74" s="2988">
        <v>1725376.9066425355</v>
      </c>
      <c r="L74" s="2988">
        <v>3840683.4792052424</v>
      </c>
      <c r="M74" s="2987">
        <v>4434317.6744560571</v>
      </c>
      <c r="N74" s="2988">
        <v>4687462.5014243815</v>
      </c>
      <c r="O74" s="2988">
        <v>4135223.2206323892</v>
      </c>
      <c r="P74" s="2988">
        <v>3779172.5615110062</v>
      </c>
      <c r="Q74" s="2989">
        <v>3789926.4114890075</v>
      </c>
      <c r="U74" s="1763"/>
      <c r="V74" s="1764"/>
      <c r="W74" s="1764"/>
      <c r="X74" s="1764"/>
      <c r="Y74" s="1765"/>
      <c r="Z74" s="1763"/>
      <c r="AA74" s="1764"/>
      <c r="AB74" s="1765"/>
    </row>
    <row r="75" spans="1:30" outlineLevel="2">
      <c r="A75" s="696"/>
      <c r="B75" s="1838" t="s">
        <v>56</v>
      </c>
      <c r="C75" s="2990"/>
      <c r="D75" s="2991"/>
      <c r="E75" s="2991"/>
      <c r="F75" s="2991"/>
      <c r="G75" s="2992"/>
      <c r="H75" s="2990"/>
      <c r="I75" s="2991">
        <v>0</v>
      </c>
      <c r="J75" s="2991"/>
      <c r="K75" s="2991"/>
      <c r="L75" s="2991">
        <v>0</v>
      </c>
      <c r="M75" s="2990">
        <v>0</v>
      </c>
      <c r="N75" s="2991">
        <v>0</v>
      </c>
      <c r="O75" s="2991">
        <v>0</v>
      </c>
      <c r="P75" s="2991">
        <v>0</v>
      </c>
      <c r="Q75" s="2992">
        <v>0</v>
      </c>
      <c r="U75" s="1766"/>
      <c r="V75" s="1767"/>
      <c r="W75" s="1767"/>
      <c r="X75" s="1767"/>
      <c r="Y75" s="1768"/>
      <c r="Z75" s="1766"/>
      <c r="AA75" s="1767"/>
      <c r="AB75" s="1768"/>
    </row>
    <row r="76" spans="1:30" outlineLevel="2">
      <c r="A76" s="696"/>
      <c r="B76" s="1838" t="s">
        <v>86</v>
      </c>
      <c r="C76" s="2990">
        <v>373576.32065529661</v>
      </c>
      <c r="D76" s="2991">
        <v>212305.47613182667</v>
      </c>
      <c r="E76" s="2991">
        <v>55453.135451117334</v>
      </c>
      <c r="F76" s="2991">
        <v>197378.75747696767</v>
      </c>
      <c r="G76" s="2992">
        <v>480793.05238348001</v>
      </c>
      <c r="H76" s="2990">
        <v>375374.9343709423</v>
      </c>
      <c r="I76" s="2991">
        <v>473484.37994525908</v>
      </c>
      <c r="J76" s="2991">
        <v>236448.89765740262</v>
      </c>
      <c r="K76" s="2991">
        <v>37199.070595568359</v>
      </c>
      <c r="L76" s="2991">
        <v>470735.52463176922</v>
      </c>
      <c r="M76" s="2990">
        <v>519089.66742961545</v>
      </c>
      <c r="N76" s="2991">
        <v>491393.54945907259</v>
      </c>
      <c r="O76" s="2991">
        <v>326048.26541373425</v>
      </c>
      <c r="P76" s="2991">
        <v>336179.76676046679</v>
      </c>
      <c r="Q76" s="2992">
        <v>307815.15722435864</v>
      </c>
      <c r="U76" s="1766"/>
      <c r="V76" s="1767"/>
      <c r="W76" s="1767"/>
      <c r="X76" s="1767"/>
      <c r="Y76" s="1768"/>
      <c r="Z76" s="1766"/>
      <c r="AA76" s="1767"/>
      <c r="AB76" s="1768"/>
    </row>
    <row r="77" spans="1:30" ht="13.5" outlineLevel="2" thickBot="1">
      <c r="A77" s="696"/>
      <c r="B77" s="788" t="s">
        <v>1410</v>
      </c>
      <c r="C77" s="2990"/>
      <c r="D77" s="2991"/>
      <c r="E77" s="2991"/>
      <c r="F77" s="2991"/>
      <c r="G77" s="2992"/>
      <c r="H77" s="2990"/>
      <c r="I77" s="2991">
        <v>0</v>
      </c>
      <c r="J77" s="2991"/>
      <c r="K77" s="2991"/>
      <c r="L77" s="2991"/>
      <c r="M77" s="2990"/>
      <c r="N77" s="2991"/>
      <c r="O77" s="2991"/>
      <c r="P77" s="2991"/>
      <c r="Q77" s="2992"/>
      <c r="U77" s="1766"/>
      <c r="V77" s="1767"/>
      <c r="W77" s="1767"/>
      <c r="X77" s="1767"/>
      <c r="Y77" s="1768"/>
      <c r="Z77" s="1766"/>
      <c r="AA77" s="1767"/>
      <c r="AB77" s="1768"/>
    </row>
    <row r="78" spans="1:30" ht="13.5" outlineLevel="1" thickBot="1">
      <c r="A78" s="696"/>
      <c r="B78" s="698" t="s">
        <v>63</v>
      </c>
      <c r="C78" s="2993">
        <v>1737763.0348552964</v>
      </c>
      <c r="D78" s="2993">
        <v>1263084.9723944906</v>
      </c>
      <c r="E78" s="2993">
        <v>363514.20187330287</v>
      </c>
      <c r="F78" s="2993">
        <v>1182638.2567235383</v>
      </c>
      <c r="G78" s="2993">
        <v>2705572.6536047938</v>
      </c>
      <c r="H78" s="2993">
        <v>3318317.2325027995</v>
      </c>
      <c r="I78" s="2993">
        <v>6168779.6072363388</v>
      </c>
      <c r="J78" s="2993">
        <v>4088457.4939204552</v>
      </c>
      <c r="K78" s="2993">
        <v>2016966.0754202416</v>
      </c>
      <c r="L78" s="2993">
        <v>6748213.5128216473</v>
      </c>
      <c r="M78" s="2993">
        <v>7978485.635015727</v>
      </c>
      <c r="N78" s="2993">
        <v>7137986.4002571618</v>
      </c>
      <c r="O78" s="2993">
        <v>4668960.0052139042</v>
      </c>
      <c r="P78" s="2993">
        <v>4534594.4150291122</v>
      </c>
      <c r="Q78" s="2994">
        <v>4097741.5687133661</v>
      </c>
      <c r="U78" s="698" t="e">
        <f>SUM(U71:U77)-#REF!</f>
        <v>#REF!</v>
      </c>
      <c r="V78" s="699" t="e">
        <f>SUM(V71:V77)-#REF!</f>
        <v>#REF!</v>
      </c>
      <c r="W78" s="699" t="e">
        <f>SUM(W71:W77)-#REF!</f>
        <v>#REF!</v>
      </c>
      <c r="X78" s="699" t="e">
        <f>SUM(X71:X77)-#REF!</f>
        <v>#REF!</v>
      </c>
      <c r="Y78" s="699" t="e">
        <f>SUM(Y71:Y77)-#REF!</f>
        <v>#REF!</v>
      </c>
      <c r="Z78" s="699" t="e">
        <f>SUM(Z71:Z77)-#REF!</f>
        <v>#REF!</v>
      </c>
      <c r="AA78" s="699" t="e">
        <f>SUM(AA71:AA77)-#REF!</f>
        <v>#REF!</v>
      </c>
      <c r="AB78" s="700" t="e">
        <f>SUM(AB71:AB77)-#REF!</f>
        <v>#REF!</v>
      </c>
    </row>
    <row r="79" spans="1:30" s="1174" customFormat="1" ht="23.25" customHeight="1" outlineLevel="1" thickBot="1">
      <c r="C79" s="2995"/>
      <c r="D79" s="2995"/>
      <c r="E79" s="2995"/>
      <c r="F79" s="2995"/>
      <c r="G79" s="2995"/>
      <c r="H79" s="2995"/>
      <c r="I79" s="2995"/>
      <c r="J79" s="2995"/>
      <c r="K79" s="2995"/>
      <c r="L79" s="2995"/>
      <c r="M79" s="2995"/>
      <c r="N79" s="2995"/>
      <c r="O79" s="2995"/>
      <c r="P79" s="2995"/>
      <c r="Q79" s="2995"/>
      <c r="R79" s="1172"/>
      <c r="S79" s="1172"/>
      <c r="T79" s="1172"/>
      <c r="AC79" s="1172"/>
      <c r="AD79" s="1172"/>
    </row>
    <row r="80" spans="1:30" s="474" customFormat="1" ht="24.75" customHeight="1" thickBot="1">
      <c r="A80" s="262"/>
      <c r="B80" s="660" t="str">
        <f>CONCATENATE("Table 16.1.6 - ",'17. Gross Capex '!B26)</f>
        <v>Table 16.1.6 - Meters</v>
      </c>
      <c r="C80" s="2996"/>
      <c r="D80" s="2996"/>
      <c r="E80" s="2996"/>
      <c r="F80" s="2996"/>
      <c r="G80" s="2996"/>
      <c r="H80" s="2996"/>
      <c r="I80" s="2996"/>
      <c r="J80" s="2996"/>
      <c r="K80" s="2996"/>
      <c r="L80" s="2996"/>
      <c r="M80" s="2996"/>
      <c r="N80" s="2996"/>
      <c r="O80" s="2996"/>
      <c r="P80" s="2996"/>
      <c r="Q80" s="2997"/>
      <c r="R80"/>
      <c r="S80"/>
      <c r="T80"/>
      <c r="U80" s="252"/>
      <c r="V80" s="269"/>
      <c r="W80" s="269"/>
      <c r="X80" s="269"/>
      <c r="Y80" s="269"/>
      <c r="Z80" s="269"/>
      <c r="AA80" s="269"/>
      <c r="AB80" s="270"/>
      <c r="AC80"/>
      <c r="AD80"/>
    </row>
    <row r="81" spans="1:30" outlineLevel="2">
      <c r="A81" s="696"/>
      <c r="B81" s="1838" t="s">
        <v>1408</v>
      </c>
      <c r="C81" s="2984">
        <v>3501363.8660946419</v>
      </c>
      <c r="D81" s="2985">
        <v>3243670.461264913</v>
      </c>
      <c r="E81" s="2985">
        <v>4306500.761829216</v>
      </c>
      <c r="F81" s="2985">
        <v>4057988.8494113414</v>
      </c>
      <c r="G81" s="2986">
        <v>3551966.5409816671</v>
      </c>
      <c r="H81" s="2984">
        <v>5543586.8296556585</v>
      </c>
      <c r="I81" s="2985">
        <v>5128013.3606964722</v>
      </c>
      <c r="J81" s="2985">
        <v>2272884.8187399418</v>
      </c>
      <c r="K81" s="2985">
        <v>9668294.0039088074</v>
      </c>
      <c r="L81" s="2985">
        <v>7449537.70282155</v>
      </c>
      <c r="M81" s="2984">
        <v>7870543.7076108102</v>
      </c>
      <c r="N81" s="2985">
        <v>8037916.7785413899</v>
      </c>
      <c r="O81" s="2985">
        <v>8247519.6669147294</v>
      </c>
      <c r="P81" s="2985">
        <v>8501923.975146804</v>
      </c>
      <c r="Q81" s="2986">
        <v>8389012.7228396572</v>
      </c>
      <c r="U81" s="1760"/>
      <c r="V81" s="1761"/>
      <c r="W81" s="1761"/>
      <c r="X81" s="1761"/>
      <c r="Y81" s="1762"/>
      <c r="Z81" s="1760"/>
      <c r="AA81" s="1761"/>
      <c r="AB81" s="1762"/>
    </row>
    <row r="82" spans="1:30" outlineLevel="2">
      <c r="A82" s="696"/>
      <c r="B82" s="1838" t="s">
        <v>446</v>
      </c>
      <c r="C82" s="2987">
        <v>0</v>
      </c>
      <c r="D82" s="2988">
        <v>0</v>
      </c>
      <c r="E82" s="2988">
        <v>0</v>
      </c>
      <c r="F82" s="2988">
        <v>0</v>
      </c>
      <c r="G82" s="2989">
        <v>0</v>
      </c>
      <c r="H82" s="2987"/>
      <c r="I82" s="2988">
        <v>1185.0213388422753</v>
      </c>
      <c r="J82" s="2988"/>
      <c r="K82" s="2988">
        <v>0</v>
      </c>
      <c r="L82" s="2988">
        <v>0</v>
      </c>
      <c r="M82" s="2987">
        <v>0</v>
      </c>
      <c r="N82" s="2988">
        <v>0</v>
      </c>
      <c r="O82" s="2988">
        <v>0</v>
      </c>
      <c r="P82" s="2988">
        <v>0</v>
      </c>
      <c r="Q82" s="2989">
        <v>0</v>
      </c>
      <c r="U82" s="1763"/>
      <c r="V82" s="1764"/>
      <c r="W82" s="1764"/>
      <c r="X82" s="1764"/>
      <c r="Y82" s="1765"/>
      <c r="Z82" s="1763"/>
      <c r="AA82" s="1764"/>
      <c r="AB82" s="1765"/>
    </row>
    <row r="83" spans="1:30" outlineLevel="2">
      <c r="A83" s="696"/>
      <c r="B83" s="1838" t="s">
        <v>447</v>
      </c>
      <c r="C83" s="2987">
        <v>0</v>
      </c>
      <c r="D83" s="2988">
        <v>0</v>
      </c>
      <c r="E83" s="2988">
        <v>0</v>
      </c>
      <c r="F83" s="2988">
        <v>0</v>
      </c>
      <c r="G83" s="2989">
        <v>0</v>
      </c>
      <c r="H83" s="2987"/>
      <c r="I83" s="2988">
        <v>5995.2838340544495</v>
      </c>
      <c r="J83" s="2988"/>
      <c r="K83" s="2988">
        <v>0</v>
      </c>
      <c r="L83" s="2988">
        <v>0</v>
      </c>
      <c r="M83" s="2987">
        <v>0</v>
      </c>
      <c r="N83" s="2988">
        <v>0</v>
      </c>
      <c r="O83" s="2988">
        <v>0</v>
      </c>
      <c r="P83" s="2988">
        <v>0</v>
      </c>
      <c r="Q83" s="2989">
        <v>0</v>
      </c>
      <c r="U83" s="1763"/>
      <c r="V83" s="1764"/>
      <c r="W83" s="1764"/>
      <c r="X83" s="1764"/>
      <c r="Y83" s="1765"/>
      <c r="Z83" s="1763"/>
      <c r="AA83" s="1764"/>
      <c r="AB83" s="1765"/>
    </row>
    <row r="84" spans="1:30" outlineLevel="2">
      <c r="A84" s="696"/>
      <c r="B84" s="1838" t="s">
        <v>448</v>
      </c>
      <c r="C84" s="2987">
        <v>0</v>
      </c>
      <c r="D84" s="2988">
        <v>0</v>
      </c>
      <c r="E84" s="2988">
        <v>0</v>
      </c>
      <c r="F84" s="2988">
        <v>0</v>
      </c>
      <c r="G84" s="2989">
        <v>0</v>
      </c>
      <c r="H84" s="2987"/>
      <c r="I84" s="2988">
        <v>0</v>
      </c>
      <c r="J84" s="2988"/>
      <c r="K84" s="2988">
        <v>0</v>
      </c>
      <c r="L84" s="2988">
        <v>0</v>
      </c>
      <c r="M84" s="2987">
        <v>0</v>
      </c>
      <c r="N84" s="2988">
        <v>0</v>
      </c>
      <c r="O84" s="2988">
        <v>0</v>
      </c>
      <c r="P84" s="2988">
        <v>0</v>
      </c>
      <c r="Q84" s="2989">
        <v>0</v>
      </c>
      <c r="U84" s="1763"/>
      <c r="V84" s="1764"/>
      <c r="W84" s="1764"/>
      <c r="X84" s="1764"/>
      <c r="Y84" s="1765"/>
      <c r="Z84" s="1763"/>
      <c r="AA84" s="1764"/>
      <c r="AB84" s="1765"/>
    </row>
    <row r="85" spans="1:30" outlineLevel="2">
      <c r="A85" s="696"/>
      <c r="B85" s="1838" t="s">
        <v>449</v>
      </c>
      <c r="C85" s="2987">
        <v>4348850.0837462135</v>
      </c>
      <c r="D85" s="2988">
        <v>1371598.4723098152</v>
      </c>
      <c r="E85" s="2988">
        <v>1406468.3104812677</v>
      </c>
      <c r="F85" s="2988">
        <v>1867043.5394111886</v>
      </c>
      <c r="G85" s="2989">
        <v>3271365.7518821587</v>
      </c>
      <c r="H85" s="2987">
        <v>4445621.3832941428</v>
      </c>
      <c r="I85" s="2988">
        <v>3500084.191782929</v>
      </c>
      <c r="J85" s="2988">
        <v>5516127.3378569055</v>
      </c>
      <c r="K85" s="2988">
        <v>5447607.7588672908</v>
      </c>
      <c r="L85" s="2988">
        <v>5702461.9346650066</v>
      </c>
      <c r="M85" s="2987">
        <v>6243983.6694135023</v>
      </c>
      <c r="N85" s="2988">
        <v>6765361.105634206</v>
      </c>
      <c r="O85" s="2988">
        <v>6425948.8726915084</v>
      </c>
      <c r="P85" s="2988">
        <v>6762707.6567980265</v>
      </c>
      <c r="Q85" s="2989">
        <v>6672303.4976405893</v>
      </c>
      <c r="U85" s="1763"/>
      <c r="V85" s="1764"/>
      <c r="W85" s="1764"/>
      <c r="X85" s="1764"/>
      <c r="Y85" s="1765"/>
      <c r="Z85" s="1763"/>
      <c r="AA85" s="1764"/>
      <c r="AB85" s="1765"/>
    </row>
    <row r="86" spans="1:30" outlineLevel="2">
      <c r="A86" s="696"/>
      <c r="B86" s="1838" t="s">
        <v>1409</v>
      </c>
      <c r="C86" s="2987">
        <v>910652.89225914259</v>
      </c>
      <c r="D86" s="2988">
        <v>813739.83439505496</v>
      </c>
      <c r="E86" s="2988">
        <v>338897.63704422943</v>
      </c>
      <c r="F86" s="2988">
        <v>475758.15625804616</v>
      </c>
      <c r="G86" s="2989">
        <v>399888.35595084645</v>
      </c>
      <c r="H86" s="2987">
        <v>30269.26233282527</v>
      </c>
      <c r="I86" s="2988">
        <v>217565.74571181062</v>
      </c>
      <c r="J86" s="2988"/>
      <c r="K86" s="2988"/>
      <c r="L86" s="2988">
        <v>0</v>
      </c>
      <c r="M86" s="2987">
        <v>0</v>
      </c>
      <c r="N86" s="2988">
        <v>0</v>
      </c>
      <c r="O86" s="2988">
        <v>0</v>
      </c>
      <c r="P86" s="2988">
        <v>0</v>
      </c>
      <c r="Q86" s="2989">
        <v>0</v>
      </c>
      <c r="U86" s="1763"/>
      <c r="V86" s="1764"/>
      <c r="W86" s="1764"/>
      <c r="X86" s="1764"/>
      <c r="Y86" s="1765"/>
      <c r="Z86" s="1763"/>
      <c r="AA86" s="1764"/>
      <c r="AB86" s="1765"/>
    </row>
    <row r="87" spans="1:30" outlineLevel="2">
      <c r="A87" s="696"/>
      <c r="B87" s="1838" t="s">
        <v>56</v>
      </c>
      <c r="C87" s="2990"/>
      <c r="D87" s="2991"/>
      <c r="E87" s="2991"/>
      <c r="F87" s="2991"/>
      <c r="G87" s="2992">
        <v>0</v>
      </c>
      <c r="H87" s="2990"/>
      <c r="I87" s="2991">
        <v>0</v>
      </c>
      <c r="J87" s="2991"/>
      <c r="K87" s="2991"/>
      <c r="L87" s="2991">
        <v>0</v>
      </c>
      <c r="M87" s="2990">
        <v>0</v>
      </c>
      <c r="N87" s="2991">
        <v>0</v>
      </c>
      <c r="O87" s="2991">
        <v>0</v>
      </c>
      <c r="P87" s="2991">
        <v>0</v>
      </c>
      <c r="Q87" s="2992">
        <v>0</v>
      </c>
      <c r="U87" s="1766"/>
      <c r="V87" s="1767"/>
      <c r="W87" s="1767"/>
      <c r="X87" s="1767"/>
      <c r="Y87" s="1768"/>
      <c r="Z87" s="1766"/>
      <c r="AA87" s="1767"/>
      <c r="AB87" s="1768"/>
    </row>
    <row r="88" spans="1:30" outlineLevel="2">
      <c r="A88" s="696"/>
      <c r="B88" s="1838" t="s">
        <v>86</v>
      </c>
      <c r="C88" s="2990">
        <v>1652709.4897213259</v>
      </c>
      <c r="D88" s="2991">
        <v>679814.89826123451</v>
      </c>
      <c r="E88" s="2991">
        <v>997171.38856786722</v>
      </c>
      <c r="F88" s="2991">
        <v>910387.93707540724</v>
      </c>
      <c r="G88" s="2992">
        <v>1432010.2483974635</v>
      </c>
      <c r="H88" s="2990">
        <v>2192006.4709476628</v>
      </c>
      <c r="I88" s="2991">
        <v>2127985.056451695</v>
      </c>
      <c r="J88" s="2991">
        <v>1085547.706078148</v>
      </c>
      <c r="K88" s="2991">
        <v>1152902.6434260348</v>
      </c>
      <c r="L88" s="2991">
        <v>986242.15982225933</v>
      </c>
      <c r="M88" s="2990">
        <v>982211.60988142318</v>
      </c>
      <c r="N88" s="2991">
        <v>1094430.6995215714</v>
      </c>
      <c r="O88" s="2991">
        <v>1101624.7281971583</v>
      </c>
      <c r="P88" s="2991">
        <v>1222285.2508929442</v>
      </c>
      <c r="Q88" s="2992">
        <v>1223269.5089695556</v>
      </c>
      <c r="U88" s="1766"/>
      <c r="V88" s="1767"/>
      <c r="W88" s="1767"/>
      <c r="X88" s="1767"/>
      <c r="Y88" s="1768"/>
      <c r="Z88" s="1766"/>
      <c r="AA88" s="1767"/>
      <c r="AB88" s="1768"/>
    </row>
    <row r="89" spans="1:30" ht="13.5" outlineLevel="2" thickBot="1">
      <c r="A89" s="696"/>
      <c r="B89" s="788" t="s">
        <v>1410</v>
      </c>
      <c r="C89" s="2990"/>
      <c r="D89" s="2991"/>
      <c r="E89" s="2991"/>
      <c r="F89" s="2991"/>
      <c r="G89" s="2992"/>
      <c r="H89" s="2990"/>
      <c r="I89" s="2991"/>
      <c r="J89" s="2991"/>
      <c r="K89" s="2991"/>
      <c r="L89" s="2991"/>
      <c r="M89" s="2990"/>
      <c r="N89" s="2991"/>
      <c r="O89" s="2991"/>
      <c r="P89" s="2991"/>
      <c r="Q89" s="2992"/>
      <c r="U89" s="1766"/>
      <c r="V89" s="1767"/>
      <c r="W89" s="1767"/>
      <c r="X89" s="1767"/>
      <c r="Y89" s="1768"/>
      <c r="Z89" s="1766"/>
      <c r="AA89" s="1767"/>
      <c r="AB89" s="1768"/>
    </row>
    <row r="90" spans="1:30" ht="13.5" outlineLevel="1" thickBot="1">
      <c r="A90" s="696"/>
      <c r="B90" s="698" t="s">
        <v>63</v>
      </c>
      <c r="C90" s="2993">
        <f t="shared" ref="C90:I90" si="5">SUM(C81:C89)</f>
        <v>10413576.331821324</v>
      </c>
      <c r="D90" s="2993">
        <f t="shared" si="5"/>
        <v>6108823.6662310176</v>
      </c>
      <c r="E90" s="2993">
        <f t="shared" si="5"/>
        <v>7049038.0979225803</v>
      </c>
      <c r="F90" s="2993">
        <f t="shared" si="5"/>
        <v>7311178.4821559833</v>
      </c>
      <c r="G90" s="2993">
        <f t="shared" si="5"/>
        <v>8655230.8972121347</v>
      </c>
      <c r="H90" s="2993">
        <f t="shared" si="5"/>
        <v>12211483.946230289</v>
      </c>
      <c r="I90" s="2993">
        <f t="shared" si="5"/>
        <v>10980828.659815803</v>
      </c>
      <c r="J90" s="2993">
        <f>SUM(J81:J89)</f>
        <v>8874559.8626749944</v>
      </c>
      <c r="K90" s="2993">
        <v>16268804.406202134</v>
      </c>
      <c r="L90" s="2993">
        <v>14138241.797308816</v>
      </c>
      <c r="M90" s="2993">
        <v>15096738.986905735</v>
      </c>
      <c r="N90" s="2993">
        <v>15897708.583697166</v>
      </c>
      <c r="O90" s="2993">
        <v>15775093.267803397</v>
      </c>
      <c r="P90" s="2993">
        <v>16486916.882837776</v>
      </c>
      <c r="Q90" s="2994">
        <v>16284585.729449801</v>
      </c>
      <c r="U90" s="698">
        <f t="shared" ref="U90:AB90" si="6">SUM(U81:U89)</f>
        <v>0</v>
      </c>
      <c r="V90" s="699">
        <f t="shared" si="6"/>
        <v>0</v>
      </c>
      <c r="W90" s="699">
        <f t="shared" si="6"/>
        <v>0</v>
      </c>
      <c r="X90" s="699">
        <f t="shared" si="6"/>
        <v>0</v>
      </c>
      <c r="Y90" s="699">
        <f t="shared" si="6"/>
        <v>0</v>
      </c>
      <c r="Z90" s="699">
        <f t="shared" si="6"/>
        <v>0</v>
      </c>
      <c r="AA90" s="699">
        <f t="shared" si="6"/>
        <v>0</v>
      </c>
      <c r="AB90" s="700">
        <f t="shared" si="6"/>
        <v>0</v>
      </c>
    </row>
    <row r="91" spans="1:30" s="1174" customFormat="1" ht="23.25" customHeight="1" outlineLevel="1" thickBot="1">
      <c r="C91" s="2995"/>
      <c r="D91" s="2995"/>
      <c r="E91" s="2995"/>
      <c r="F91" s="2995"/>
      <c r="G91" s="2995"/>
      <c r="H91" s="2995"/>
      <c r="I91" s="2995"/>
      <c r="J91" s="2995"/>
      <c r="K91" s="2995"/>
      <c r="L91" s="2995"/>
      <c r="M91" s="2995"/>
      <c r="N91" s="2995"/>
      <c r="O91" s="2995"/>
      <c r="P91" s="2995"/>
      <c r="Q91" s="2995"/>
      <c r="R91" s="1172"/>
      <c r="S91" s="1172"/>
      <c r="T91" s="1172"/>
      <c r="AC91" s="1172"/>
      <c r="AD91" s="1172"/>
    </row>
    <row r="92" spans="1:30" s="474" customFormat="1" ht="24.75" customHeight="1" thickBot="1">
      <c r="A92" s="262"/>
      <c r="B92" s="660" t="str">
        <f>CONCATENATE("Table 16.1.7 - ",'17. Gross Capex '!B27)</f>
        <v>Table 16.1.7 - SCADA and remote control</v>
      </c>
      <c r="C92" s="2996"/>
      <c r="D92" s="2996"/>
      <c r="E92" s="2996"/>
      <c r="F92" s="2996"/>
      <c r="G92" s="2996"/>
      <c r="H92" s="2996"/>
      <c r="I92" s="2996"/>
      <c r="J92" s="2996"/>
      <c r="K92" s="2996"/>
      <c r="L92" s="2996"/>
      <c r="M92" s="2996"/>
      <c r="N92" s="2996"/>
      <c r="O92" s="2996"/>
      <c r="P92" s="2996"/>
      <c r="Q92" s="2997"/>
      <c r="R92" s="1172"/>
      <c r="S92" s="1172"/>
      <c r="T92" s="1172"/>
      <c r="U92" s="252"/>
      <c r="V92" s="269"/>
      <c r="W92" s="269"/>
      <c r="X92" s="269"/>
      <c r="Y92" s="269"/>
      <c r="Z92" s="269"/>
      <c r="AA92" s="269"/>
      <c r="AB92" s="270"/>
      <c r="AC92" s="1172"/>
      <c r="AD92" s="1172"/>
    </row>
    <row r="93" spans="1:30" s="1172" customFormat="1" outlineLevel="2">
      <c r="A93" s="1174"/>
      <c r="B93" s="1838" t="s">
        <v>1408</v>
      </c>
      <c r="C93" s="3752"/>
      <c r="D93" s="2985"/>
      <c r="E93" s="2985"/>
      <c r="F93" s="2985"/>
      <c r="G93" s="2986"/>
      <c r="H93" s="3752"/>
      <c r="I93" s="2985"/>
      <c r="J93" s="2985"/>
      <c r="K93" s="2985"/>
      <c r="L93" s="2985">
        <v>0</v>
      </c>
      <c r="M93" s="2984"/>
      <c r="N93" s="2985"/>
      <c r="O93" s="2985"/>
      <c r="P93" s="2985"/>
      <c r="Q93" s="2986"/>
      <c r="U93" s="1760"/>
      <c r="V93" s="1761"/>
      <c r="W93" s="1761"/>
      <c r="X93" s="1761"/>
      <c r="Y93" s="1762"/>
      <c r="Z93" s="1760"/>
      <c r="AA93" s="1761"/>
      <c r="AB93" s="1762"/>
    </row>
    <row r="94" spans="1:30" s="1172" customFormat="1" outlineLevel="2">
      <c r="A94" s="1174"/>
      <c r="B94" s="1838" t="s">
        <v>446</v>
      </c>
      <c r="C94" s="2987"/>
      <c r="D94" s="2988"/>
      <c r="E94" s="2988"/>
      <c r="F94" s="2988"/>
      <c r="G94" s="2989"/>
      <c r="H94" s="2987"/>
      <c r="I94" s="2988">
        <v>3702.2940649530333</v>
      </c>
      <c r="J94" s="2988"/>
      <c r="K94" s="2988"/>
      <c r="L94" s="2988">
        <v>0</v>
      </c>
      <c r="M94" s="2987"/>
      <c r="N94" s="2988"/>
      <c r="O94" s="2988"/>
      <c r="P94" s="2988"/>
      <c r="Q94" s="2989"/>
      <c r="U94" s="1763"/>
      <c r="V94" s="1764"/>
      <c r="W94" s="1764"/>
      <c r="X94" s="1764"/>
      <c r="Y94" s="1765"/>
      <c r="Z94" s="1763"/>
      <c r="AA94" s="1764"/>
      <c r="AB94" s="1765"/>
    </row>
    <row r="95" spans="1:30" s="1172" customFormat="1" outlineLevel="2">
      <c r="A95" s="1174"/>
      <c r="B95" s="1838" t="s">
        <v>447</v>
      </c>
      <c r="C95" s="2987"/>
      <c r="D95" s="2988"/>
      <c r="E95" s="2988"/>
      <c r="F95" s="2988"/>
      <c r="G95" s="2989"/>
      <c r="H95" s="2987"/>
      <c r="I95" s="2988">
        <v>0</v>
      </c>
      <c r="J95" s="2988"/>
      <c r="K95" s="2988"/>
      <c r="L95" s="2988">
        <v>0</v>
      </c>
      <c r="M95" s="2987"/>
      <c r="N95" s="2988"/>
      <c r="O95" s="2988"/>
      <c r="P95" s="2988"/>
      <c r="Q95" s="2989"/>
      <c r="U95" s="1763"/>
      <c r="V95" s="1764"/>
      <c r="W95" s="1764"/>
      <c r="X95" s="1764"/>
      <c r="Y95" s="1765"/>
      <c r="Z95" s="1763"/>
      <c r="AA95" s="1764"/>
      <c r="AB95" s="1765"/>
    </row>
    <row r="96" spans="1:30" s="1172" customFormat="1" outlineLevel="2">
      <c r="A96" s="1174"/>
      <c r="B96" s="1838" t="s">
        <v>448</v>
      </c>
      <c r="C96" s="2987">
        <v>-20576.82</v>
      </c>
      <c r="D96" s="2988">
        <v>1291205.653369037</v>
      </c>
      <c r="E96" s="2988">
        <v>649974.40017190645</v>
      </c>
      <c r="F96" s="2988">
        <v>629368.46</v>
      </c>
      <c r="G96" s="2989">
        <v>276896.428740178</v>
      </c>
      <c r="H96" s="2987">
        <v>604715.77926980704</v>
      </c>
      <c r="I96" s="2988">
        <v>263975.33593504701</v>
      </c>
      <c r="J96" s="2988">
        <v>298353.43141752644</v>
      </c>
      <c r="K96" s="2988">
        <v>399975.52098518965</v>
      </c>
      <c r="L96" s="2988">
        <v>439002.85662744858</v>
      </c>
      <c r="M96" s="2987">
        <v>403616.2003721004</v>
      </c>
      <c r="N96" s="2988">
        <v>362197.83226479188</v>
      </c>
      <c r="O96" s="2988">
        <v>329809.36843843543</v>
      </c>
      <c r="P96" s="2988">
        <v>1319197.6312437584</v>
      </c>
      <c r="Q96" s="2989">
        <v>1422401.8446578321</v>
      </c>
      <c r="U96" s="1763"/>
      <c r="V96" s="1764"/>
      <c r="W96" s="1764"/>
      <c r="X96" s="1764"/>
      <c r="Y96" s="1765"/>
      <c r="Z96" s="1763"/>
      <c r="AA96" s="1764"/>
      <c r="AB96" s="1765"/>
    </row>
    <row r="97" spans="1:30" s="1172" customFormat="1" outlineLevel="2">
      <c r="A97" s="1174"/>
      <c r="B97" s="1838" t="s">
        <v>449</v>
      </c>
      <c r="C97" s="2987"/>
      <c r="D97" s="2988"/>
      <c r="E97" s="2988"/>
      <c r="F97" s="2988"/>
      <c r="G97" s="2989"/>
      <c r="H97" s="2987"/>
      <c r="I97" s="2988"/>
      <c r="J97" s="2988"/>
      <c r="K97" s="2988"/>
      <c r="L97" s="2988">
        <v>0</v>
      </c>
      <c r="M97" s="2987"/>
      <c r="N97" s="2988"/>
      <c r="O97" s="2988"/>
      <c r="P97" s="2988"/>
      <c r="Q97" s="2989"/>
      <c r="U97" s="1763"/>
      <c r="V97" s="1764"/>
      <c r="W97" s="1764"/>
      <c r="X97" s="1764"/>
      <c r="Y97" s="1765"/>
      <c r="Z97" s="1763"/>
      <c r="AA97" s="1764"/>
      <c r="AB97" s="1765"/>
    </row>
    <row r="98" spans="1:30" s="1172" customFormat="1" outlineLevel="2">
      <c r="A98" s="1174"/>
      <c r="B98" s="1838" t="s">
        <v>1409</v>
      </c>
      <c r="C98" s="2987"/>
      <c r="D98" s="2988"/>
      <c r="E98" s="2988"/>
      <c r="F98" s="2988"/>
      <c r="G98" s="2989"/>
      <c r="H98" s="2987"/>
      <c r="I98" s="2988"/>
      <c r="J98" s="2988"/>
      <c r="K98" s="2988"/>
      <c r="L98" s="2988">
        <v>0</v>
      </c>
      <c r="M98" s="2987"/>
      <c r="N98" s="2988"/>
      <c r="O98" s="2988"/>
      <c r="P98" s="2988"/>
      <c r="Q98" s="2989"/>
      <c r="U98" s="1763"/>
      <c r="V98" s="1764"/>
      <c r="W98" s="1764"/>
      <c r="X98" s="1764"/>
      <c r="Y98" s="1765"/>
      <c r="Z98" s="1763"/>
      <c r="AA98" s="1764"/>
      <c r="AB98" s="1765"/>
    </row>
    <row r="99" spans="1:30" s="1172" customFormat="1" outlineLevel="2">
      <c r="A99" s="1174"/>
      <c r="B99" s="1838" t="s">
        <v>56</v>
      </c>
      <c r="C99" s="2990"/>
      <c r="D99" s="2991"/>
      <c r="E99" s="2991"/>
      <c r="F99" s="2991"/>
      <c r="G99" s="2992"/>
      <c r="H99" s="2990"/>
      <c r="I99" s="2991"/>
      <c r="J99" s="2991"/>
      <c r="K99" s="2991"/>
      <c r="L99" s="2991">
        <v>0</v>
      </c>
      <c r="M99" s="2990"/>
      <c r="N99" s="2991"/>
      <c r="O99" s="2991"/>
      <c r="P99" s="2991"/>
      <c r="Q99" s="2992"/>
      <c r="U99" s="1766"/>
      <c r="V99" s="1767"/>
      <c r="W99" s="1767"/>
      <c r="X99" s="1767"/>
      <c r="Y99" s="1768"/>
      <c r="Z99" s="1766"/>
      <c r="AA99" s="1767"/>
      <c r="AB99" s="1768"/>
    </row>
    <row r="100" spans="1:30" s="1172" customFormat="1" outlineLevel="2">
      <c r="A100" s="1174"/>
      <c r="B100" s="1838" t="s">
        <v>86</v>
      </c>
      <c r="C100" s="2990">
        <v>-1442.1711910083013</v>
      </c>
      <c r="D100" s="2991">
        <v>181418.441514192</v>
      </c>
      <c r="E100" s="2991">
        <v>122338.96167023078</v>
      </c>
      <c r="F100" s="2991">
        <v>98549.968590964825</v>
      </c>
      <c r="G100" s="2992">
        <v>47549.28313964705</v>
      </c>
      <c r="H100" s="2990">
        <v>67271.387524031335</v>
      </c>
      <c r="I100" s="2991">
        <v>24072.51123288196</v>
      </c>
      <c r="J100" s="2991">
        <v>185554.27134502516</v>
      </c>
      <c r="K100" s="2991">
        <v>36926.164668974045</v>
      </c>
      <c r="L100" s="2991">
        <v>32919.946580164193</v>
      </c>
      <c r="M100" s="2990">
        <v>28087.126642796793</v>
      </c>
      <c r="N100" s="2991">
        <v>26777.881901041488</v>
      </c>
      <c r="O100" s="2991">
        <v>24760.754751488217</v>
      </c>
      <c r="P100" s="2991">
        <v>105632.14668788691</v>
      </c>
      <c r="Q100" s="2992">
        <v>115526.47727467306</v>
      </c>
      <c r="U100" s="1766"/>
      <c r="V100" s="1767"/>
      <c r="W100" s="1767"/>
      <c r="X100" s="1767"/>
      <c r="Y100" s="1768"/>
      <c r="Z100" s="1766"/>
      <c r="AA100" s="1767"/>
      <c r="AB100" s="1768"/>
    </row>
    <row r="101" spans="1:30" s="1172" customFormat="1" ht="13.5" outlineLevel="2" thickBot="1">
      <c r="A101" s="1174"/>
      <c r="B101" s="788" t="s">
        <v>1410</v>
      </c>
      <c r="C101" s="2990"/>
      <c r="D101" s="2991"/>
      <c r="E101" s="2991"/>
      <c r="F101" s="2991"/>
      <c r="G101" s="2992"/>
      <c r="H101" s="2990"/>
      <c r="I101" s="2991"/>
      <c r="J101" s="2991"/>
      <c r="K101" s="2991"/>
      <c r="L101" s="2991"/>
      <c r="M101" s="2990"/>
      <c r="N101" s="2991"/>
      <c r="O101" s="2991"/>
      <c r="P101" s="2991"/>
      <c r="Q101" s="2992"/>
      <c r="U101" s="1766"/>
      <c r="V101" s="1767"/>
      <c r="W101" s="1767"/>
      <c r="X101" s="1767"/>
      <c r="Y101" s="1768"/>
      <c r="Z101" s="1766"/>
      <c r="AA101" s="1767"/>
      <c r="AB101" s="1768"/>
    </row>
    <row r="102" spans="1:30" s="1172" customFormat="1" ht="13.5" outlineLevel="1" thickBot="1">
      <c r="A102" s="1174"/>
      <c r="B102" s="698" t="s">
        <v>63</v>
      </c>
      <c r="C102" s="2993">
        <v>-22018.991191008303</v>
      </c>
      <c r="D102" s="2993">
        <v>1472624.0948832289</v>
      </c>
      <c r="E102" s="2993">
        <v>772313.3618421373</v>
      </c>
      <c r="F102" s="2993">
        <v>727918.42859096476</v>
      </c>
      <c r="G102" s="2993">
        <v>324445.71187982504</v>
      </c>
      <c r="H102" s="2993">
        <v>671987.16679383838</v>
      </c>
      <c r="I102" s="2993">
        <v>291750.14123288204</v>
      </c>
      <c r="J102" s="2993">
        <v>483907.70276255161</v>
      </c>
      <c r="K102" s="2993">
        <v>436901.68565416371</v>
      </c>
      <c r="L102" s="2993">
        <v>471922.80320761277</v>
      </c>
      <c r="M102" s="2993">
        <v>431703.32701489719</v>
      </c>
      <c r="N102" s="2993">
        <v>388975.71416583337</v>
      </c>
      <c r="O102" s="2993">
        <v>354570.12318992364</v>
      </c>
      <c r="P102" s="2993">
        <v>1424829.7779316453</v>
      </c>
      <c r="Q102" s="2994">
        <v>1537928.3219325051</v>
      </c>
      <c r="U102" s="698">
        <f t="shared" ref="U102:AB102" si="7">SUM(U93:U101)</f>
        <v>0</v>
      </c>
      <c r="V102" s="699">
        <f t="shared" si="7"/>
        <v>0</v>
      </c>
      <c r="W102" s="699">
        <f t="shared" si="7"/>
        <v>0</v>
      </c>
      <c r="X102" s="699">
        <f t="shared" si="7"/>
        <v>0</v>
      </c>
      <c r="Y102" s="699">
        <f t="shared" si="7"/>
        <v>0</v>
      </c>
      <c r="Z102" s="699">
        <f t="shared" si="7"/>
        <v>0</v>
      </c>
      <c r="AA102" s="699">
        <f t="shared" si="7"/>
        <v>0</v>
      </c>
      <c r="AB102" s="700">
        <f t="shared" si="7"/>
        <v>0</v>
      </c>
    </row>
    <row r="103" spans="1:30" s="1174" customFormat="1" ht="23.25" customHeight="1" outlineLevel="1" thickBot="1">
      <c r="C103" s="2995"/>
      <c r="D103" s="2995"/>
      <c r="E103" s="2995"/>
      <c r="F103" s="2995"/>
      <c r="G103" s="2995"/>
      <c r="H103" s="2995"/>
      <c r="I103" s="2995"/>
      <c r="J103" s="2995"/>
      <c r="K103" s="2995"/>
      <c r="L103" s="2995"/>
      <c r="M103" s="2995"/>
      <c r="N103" s="2995"/>
      <c r="O103" s="2995"/>
      <c r="P103" s="2995"/>
      <c r="Q103" s="2995"/>
      <c r="R103" s="1172"/>
      <c r="S103" s="1172"/>
      <c r="T103" s="1172"/>
      <c r="AC103" s="1172"/>
      <c r="AD103" s="1172"/>
    </row>
    <row r="104" spans="1:30" s="474" customFormat="1" ht="24.75" customHeight="1" thickBot="1">
      <c r="A104" s="262"/>
      <c r="B104" s="660" t="str">
        <f>CONCATENATE("Table 16.1.8 - ",'17. Gross Capex '!B28)</f>
        <v>Table 16.1.8 - Buildings</v>
      </c>
      <c r="C104" s="2996"/>
      <c r="D104" s="2996"/>
      <c r="E104" s="2996"/>
      <c r="F104" s="2996"/>
      <c r="G104" s="2996"/>
      <c r="H104" s="2996"/>
      <c r="I104" s="2996"/>
      <c r="J104" s="2996"/>
      <c r="K104" s="2996"/>
      <c r="L104" s="2996"/>
      <c r="M104" s="2996"/>
      <c r="N104" s="2996"/>
      <c r="O104" s="2996"/>
      <c r="P104" s="2996"/>
      <c r="Q104" s="2997"/>
      <c r="R104" s="1172"/>
      <c r="S104" s="1172"/>
      <c r="T104" s="1172"/>
      <c r="U104" s="252"/>
      <c r="V104" s="269"/>
      <c r="W104" s="269"/>
      <c r="X104" s="269"/>
      <c r="Y104" s="269"/>
      <c r="Z104" s="269"/>
      <c r="AA104" s="269"/>
      <c r="AB104" s="270"/>
      <c r="AC104" s="1172"/>
      <c r="AD104" s="1172"/>
    </row>
    <row r="105" spans="1:30" s="1172" customFormat="1" outlineLevel="2">
      <c r="A105" s="1174"/>
      <c r="B105" s="1838" t="s">
        <v>1408</v>
      </c>
      <c r="C105" s="2984"/>
      <c r="D105" s="2985"/>
      <c r="E105" s="2985"/>
      <c r="F105" s="2985"/>
      <c r="G105" s="2986"/>
      <c r="H105" s="2984"/>
      <c r="I105" s="2985"/>
      <c r="J105" s="2985"/>
      <c r="K105" s="2985"/>
      <c r="L105" s="2985"/>
      <c r="M105" s="2984"/>
      <c r="N105" s="2985"/>
      <c r="O105" s="2985"/>
      <c r="P105" s="2985"/>
      <c r="Q105" s="2986"/>
      <c r="U105" s="1760"/>
      <c r="V105" s="1761"/>
      <c r="W105" s="1761"/>
      <c r="X105" s="1761"/>
      <c r="Y105" s="1762"/>
      <c r="Z105" s="1760"/>
      <c r="AA105" s="1761"/>
      <c r="AB105" s="1762"/>
    </row>
    <row r="106" spans="1:30" s="1172" customFormat="1" outlineLevel="2">
      <c r="A106" s="1174"/>
      <c r="B106" s="1838" t="s">
        <v>446</v>
      </c>
      <c r="C106" s="2987"/>
      <c r="D106" s="2988"/>
      <c r="E106" s="2988"/>
      <c r="F106" s="2988"/>
      <c r="G106" s="2989"/>
      <c r="H106" s="2987"/>
      <c r="I106" s="2988"/>
      <c r="J106" s="2988"/>
      <c r="K106" s="2988"/>
      <c r="L106" s="2988"/>
      <c r="M106" s="2987"/>
      <c r="N106" s="2988"/>
      <c r="O106" s="2988"/>
      <c r="P106" s="2988"/>
      <c r="Q106" s="2989"/>
      <c r="U106" s="1763"/>
      <c r="V106" s="1764"/>
      <c r="W106" s="1764"/>
      <c r="X106" s="1764"/>
      <c r="Y106" s="1765"/>
      <c r="Z106" s="1763"/>
      <c r="AA106" s="1764"/>
      <c r="AB106" s="1765"/>
    </row>
    <row r="107" spans="1:30" s="1172" customFormat="1" outlineLevel="2">
      <c r="A107" s="1174"/>
      <c r="B107" s="1838" t="s">
        <v>447</v>
      </c>
      <c r="C107" s="2987"/>
      <c r="D107" s="2988"/>
      <c r="E107" s="2988"/>
      <c r="F107" s="2988"/>
      <c r="G107" s="2989"/>
      <c r="H107" s="2987"/>
      <c r="I107" s="2988"/>
      <c r="J107" s="2988"/>
      <c r="K107" s="2988"/>
      <c r="L107" s="2988"/>
      <c r="M107" s="2987"/>
      <c r="N107" s="2988"/>
      <c r="O107" s="2988"/>
      <c r="P107" s="2988"/>
      <c r="Q107" s="2989"/>
      <c r="U107" s="1763"/>
      <c r="V107" s="1764"/>
      <c r="W107" s="1764"/>
      <c r="X107" s="1764"/>
      <c r="Y107" s="1765"/>
      <c r="Z107" s="1763"/>
      <c r="AA107" s="1764"/>
      <c r="AB107" s="1765"/>
    </row>
    <row r="108" spans="1:30" s="1172" customFormat="1" outlineLevel="2">
      <c r="A108" s="1174"/>
      <c r="B108" s="1838" t="s">
        <v>448</v>
      </c>
      <c r="C108" s="2987"/>
      <c r="D108" s="2988"/>
      <c r="E108" s="2988"/>
      <c r="F108" s="2988"/>
      <c r="G108" s="2989"/>
      <c r="H108" s="2987"/>
      <c r="I108" s="2988"/>
      <c r="J108" s="2988"/>
      <c r="K108" s="2988"/>
      <c r="L108" s="2988"/>
      <c r="M108" s="2987"/>
      <c r="N108" s="2988"/>
      <c r="O108" s="2988"/>
      <c r="P108" s="2988"/>
      <c r="Q108" s="2989"/>
      <c r="U108" s="1763"/>
      <c r="V108" s="1764"/>
      <c r="W108" s="1764"/>
      <c r="X108" s="1764"/>
      <c r="Y108" s="1765"/>
      <c r="Z108" s="1763"/>
      <c r="AA108" s="1764"/>
      <c r="AB108" s="1765"/>
    </row>
    <row r="109" spans="1:30" s="1172" customFormat="1" outlineLevel="2">
      <c r="A109" s="1174"/>
      <c r="B109" s="1838" t="s">
        <v>449</v>
      </c>
      <c r="C109" s="2987"/>
      <c r="D109" s="2988"/>
      <c r="E109" s="2988"/>
      <c r="F109" s="2988"/>
      <c r="G109" s="2989"/>
      <c r="H109" s="2987"/>
      <c r="I109" s="2988"/>
      <c r="J109" s="2988"/>
      <c r="K109" s="2988"/>
      <c r="L109" s="2988"/>
      <c r="M109" s="2987"/>
      <c r="N109" s="2988"/>
      <c r="O109" s="2988"/>
      <c r="P109" s="2988"/>
      <c r="Q109" s="2989"/>
      <c r="U109" s="1763"/>
      <c r="V109" s="1764"/>
      <c r="W109" s="1764"/>
      <c r="X109" s="1764"/>
      <c r="Y109" s="1765"/>
      <c r="Z109" s="1763"/>
      <c r="AA109" s="1764"/>
      <c r="AB109" s="1765"/>
    </row>
    <row r="110" spans="1:30" s="1172" customFormat="1" outlineLevel="2">
      <c r="A110" s="1174"/>
      <c r="B110" s="1838" t="s">
        <v>1409</v>
      </c>
      <c r="C110" s="2987"/>
      <c r="D110" s="2988"/>
      <c r="E110" s="2988"/>
      <c r="F110" s="2988"/>
      <c r="G110" s="2989"/>
      <c r="H110" s="2987"/>
      <c r="I110" s="2988"/>
      <c r="J110" s="2988"/>
      <c r="K110" s="2988"/>
      <c r="L110" s="2988"/>
      <c r="M110" s="2987"/>
      <c r="N110" s="2988"/>
      <c r="O110" s="2988"/>
      <c r="P110" s="2988"/>
      <c r="Q110" s="2989"/>
      <c r="U110" s="1763"/>
      <c r="V110" s="1764"/>
      <c r="W110" s="1764"/>
      <c r="X110" s="1764"/>
      <c r="Y110" s="1765"/>
      <c r="Z110" s="1763"/>
      <c r="AA110" s="1764"/>
      <c r="AB110" s="1765"/>
    </row>
    <row r="111" spans="1:30" s="1172" customFormat="1" outlineLevel="2">
      <c r="A111" s="1174"/>
      <c r="B111" s="1838" t="s">
        <v>56</v>
      </c>
      <c r="C111" s="2990"/>
      <c r="D111" s="2991"/>
      <c r="E111" s="2991"/>
      <c r="F111" s="2991"/>
      <c r="G111" s="2992"/>
      <c r="H111" s="2990"/>
      <c r="I111" s="2991"/>
      <c r="J111" s="2991"/>
      <c r="K111" s="2991"/>
      <c r="L111" s="2991"/>
      <c r="M111" s="2990"/>
      <c r="N111" s="2991"/>
      <c r="O111" s="2991"/>
      <c r="P111" s="2991"/>
      <c r="Q111" s="2992"/>
      <c r="U111" s="1766"/>
      <c r="V111" s="1767"/>
      <c r="W111" s="1767"/>
      <c r="X111" s="1767"/>
      <c r="Y111" s="1768"/>
      <c r="Z111" s="1766"/>
      <c r="AA111" s="1767"/>
      <c r="AB111" s="1768"/>
    </row>
    <row r="112" spans="1:30" s="1172" customFormat="1" outlineLevel="2">
      <c r="A112" s="1174"/>
      <c r="B112" s="1838" t="s">
        <v>86</v>
      </c>
      <c r="C112" s="2990"/>
      <c r="D112" s="2991"/>
      <c r="E112" s="2991"/>
      <c r="F112" s="2991"/>
      <c r="G112" s="2992"/>
      <c r="H112" s="2990"/>
      <c r="I112" s="2991"/>
      <c r="J112" s="2991"/>
      <c r="K112" s="2991"/>
      <c r="L112" s="2991"/>
      <c r="M112" s="2990"/>
      <c r="N112" s="2991"/>
      <c r="O112" s="2991"/>
      <c r="P112" s="2991"/>
      <c r="Q112" s="2992"/>
      <c r="U112" s="1766"/>
      <c r="V112" s="1767"/>
      <c r="W112" s="1767"/>
      <c r="X112" s="1767"/>
      <c r="Y112" s="1768"/>
      <c r="Z112" s="1766"/>
      <c r="AA112" s="1767"/>
      <c r="AB112" s="1768"/>
    </row>
    <row r="113" spans="1:30" s="1172" customFormat="1" ht="13.5" outlineLevel="2" thickBot="1">
      <c r="A113" s="1174"/>
      <c r="B113" s="788" t="s">
        <v>1410</v>
      </c>
      <c r="C113" s="2990"/>
      <c r="D113" s="2991"/>
      <c r="E113" s="2991"/>
      <c r="F113" s="2991"/>
      <c r="G113" s="2992"/>
      <c r="H113" s="2990"/>
      <c r="I113" s="2991"/>
      <c r="J113" s="2991"/>
      <c r="K113" s="2991"/>
      <c r="L113" s="2991"/>
      <c r="M113" s="2990"/>
      <c r="N113" s="2991"/>
      <c r="O113" s="2991"/>
      <c r="P113" s="2991"/>
      <c r="Q113" s="2992"/>
      <c r="U113" s="1766"/>
      <c r="V113" s="1767"/>
      <c r="W113" s="1767"/>
      <c r="X113" s="1767"/>
      <c r="Y113" s="1768"/>
      <c r="Z113" s="1766"/>
      <c r="AA113" s="1767"/>
      <c r="AB113" s="1768"/>
    </row>
    <row r="114" spans="1:30" s="1172" customFormat="1" ht="13.5" outlineLevel="1" thickBot="1">
      <c r="A114" s="1174"/>
      <c r="B114" s="698" t="s">
        <v>63</v>
      </c>
      <c r="C114" s="2993">
        <v>0</v>
      </c>
      <c r="D114" s="2993">
        <v>0</v>
      </c>
      <c r="E114" s="2993">
        <v>0</v>
      </c>
      <c r="F114" s="2993">
        <v>0</v>
      </c>
      <c r="G114" s="2993">
        <v>0</v>
      </c>
      <c r="H114" s="2993">
        <v>0</v>
      </c>
      <c r="I114" s="2993">
        <v>0</v>
      </c>
      <c r="J114" s="2993">
        <v>0</v>
      </c>
      <c r="K114" s="2993">
        <v>0</v>
      </c>
      <c r="L114" s="2993">
        <v>0</v>
      </c>
      <c r="M114" s="2993">
        <v>0</v>
      </c>
      <c r="N114" s="2993">
        <v>0</v>
      </c>
      <c r="O114" s="2993">
        <v>0</v>
      </c>
      <c r="P114" s="2993">
        <v>0</v>
      </c>
      <c r="Q114" s="2994">
        <v>0</v>
      </c>
      <c r="U114" s="698">
        <f t="shared" ref="U114:AB114" si="8">SUM(U105:U113)</f>
        <v>0</v>
      </c>
      <c r="V114" s="699">
        <f t="shared" si="8"/>
        <v>0</v>
      </c>
      <c r="W114" s="699">
        <f t="shared" si="8"/>
        <v>0</v>
      </c>
      <c r="X114" s="699">
        <f t="shared" si="8"/>
        <v>0</v>
      </c>
      <c r="Y114" s="699">
        <f t="shared" si="8"/>
        <v>0</v>
      </c>
      <c r="Z114" s="699">
        <f t="shared" si="8"/>
        <v>0</v>
      </c>
      <c r="AA114" s="699">
        <f t="shared" si="8"/>
        <v>0</v>
      </c>
      <c r="AB114" s="700">
        <f t="shared" si="8"/>
        <v>0</v>
      </c>
    </row>
    <row r="115" spans="1:30" s="1174" customFormat="1" ht="23.25" customHeight="1" outlineLevel="1" thickBot="1">
      <c r="C115" s="2995"/>
      <c r="D115" s="2995"/>
      <c r="E115" s="2995"/>
      <c r="F115" s="2995"/>
      <c r="G115" s="2995"/>
      <c r="H115" s="2995"/>
      <c r="I115" s="2995"/>
      <c r="J115" s="2995"/>
      <c r="K115" s="2995"/>
      <c r="L115" s="2995"/>
      <c r="M115" s="2995"/>
      <c r="N115" s="2995"/>
      <c r="O115" s="2995"/>
      <c r="P115" s="2995"/>
      <c r="Q115" s="2995"/>
      <c r="R115" s="1172"/>
      <c r="S115" s="1172"/>
      <c r="T115" s="1172"/>
      <c r="AC115" s="1172"/>
      <c r="AD115" s="1172"/>
    </row>
    <row r="116" spans="1:30" s="474" customFormat="1" ht="24.75" customHeight="1" thickBot="1">
      <c r="A116" s="262"/>
      <c r="B116" s="660" t="str">
        <f>CONCATENATE("Table 16.1.9 - ",'17. Gross Capex '!B29)</f>
        <v>Table 16.1.9 - Other - IT</v>
      </c>
      <c r="C116" s="2996"/>
      <c r="D116" s="2996"/>
      <c r="E116" s="2996"/>
      <c r="F116" s="2996"/>
      <c r="G116" s="2996"/>
      <c r="H116" s="2996"/>
      <c r="I116" s="2996"/>
      <c r="J116" s="2996"/>
      <c r="K116" s="2996"/>
      <c r="L116" s="2996"/>
      <c r="M116" s="2996"/>
      <c r="N116" s="2996"/>
      <c r="O116" s="2996"/>
      <c r="P116" s="2996"/>
      <c r="Q116" s="2997"/>
      <c r="R116" s="1172"/>
      <c r="S116" s="1172"/>
      <c r="T116" s="1172"/>
      <c r="U116" s="252"/>
      <c r="V116" s="269"/>
      <c r="W116" s="269"/>
      <c r="X116" s="269"/>
      <c r="Y116" s="269"/>
      <c r="Z116" s="269"/>
      <c r="AA116" s="269"/>
      <c r="AB116" s="270"/>
      <c r="AC116" s="1172"/>
      <c r="AD116" s="1172"/>
    </row>
    <row r="117" spans="1:30" s="1172" customFormat="1" outlineLevel="2">
      <c r="A117" s="1174"/>
      <c r="B117" s="1838" t="s">
        <v>1408</v>
      </c>
      <c r="C117" s="2984"/>
      <c r="D117" s="2985"/>
      <c r="E117" s="2985"/>
      <c r="F117" s="2985"/>
      <c r="G117" s="2986"/>
      <c r="H117" s="2984"/>
      <c r="I117" s="2985"/>
      <c r="J117" s="2985"/>
      <c r="K117" s="2985"/>
      <c r="L117" s="2985"/>
      <c r="M117" s="2984"/>
      <c r="N117" s="2985"/>
      <c r="O117" s="2985"/>
      <c r="P117" s="2985"/>
      <c r="Q117" s="2986"/>
      <c r="U117" s="1760"/>
      <c r="V117" s="1761"/>
      <c r="W117" s="1761"/>
      <c r="X117" s="1761"/>
      <c r="Y117" s="1762"/>
      <c r="Z117" s="1760"/>
      <c r="AA117" s="1761"/>
      <c r="AB117" s="1762"/>
    </row>
    <row r="118" spans="1:30" s="1172" customFormat="1" outlineLevel="2">
      <c r="A118" s="1174"/>
      <c r="B118" s="1838" t="s">
        <v>446</v>
      </c>
      <c r="C118" s="2987"/>
      <c r="D118" s="2988"/>
      <c r="E118" s="2988"/>
      <c r="F118" s="2988"/>
      <c r="G118" s="2989"/>
      <c r="H118" s="2987"/>
      <c r="I118" s="2988"/>
      <c r="J118" s="2988"/>
      <c r="K118" s="2988"/>
      <c r="L118" s="2988"/>
      <c r="M118" s="2987"/>
      <c r="N118" s="2988"/>
      <c r="O118" s="2988"/>
      <c r="P118" s="2988"/>
      <c r="Q118" s="2989"/>
      <c r="U118" s="1763"/>
      <c r="V118" s="1764"/>
      <c r="W118" s="1764"/>
      <c r="X118" s="1764"/>
      <c r="Y118" s="1765"/>
      <c r="Z118" s="1763"/>
      <c r="AA118" s="1764"/>
      <c r="AB118" s="1765"/>
    </row>
    <row r="119" spans="1:30" s="1172" customFormat="1" outlineLevel="2">
      <c r="A119" s="1174"/>
      <c r="B119" s="1838" t="s">
        <v>447</v>
      </c>
      <c r="C119" s="2987"/>
      <c r="D119" s="2988"/>
      <c r="E119" s="2988"/>
      <c r="F119" s="2988"/>
      <c r="G119" s="2989"/>
      <c r="H119" s="2987"/>
      <c r="I119" s="2988"/>
      <c r="J119" s="2988"/>
      <c r="K119" s="2988"/>
      <c r="L119" s="2988"/>
      <c r="M119" s="2987"/>
      <c r="N119" s="2988"/>
      <c r="O119" s="2988"/>
      <c r="P119" s="2988"/>
      <c r="Q119" s="2989"/>
      <c r="U119" s="1763"/>
      <c r="V119" s="1764"/>
      <c r="W119" s="1764"/>
      <c r="X119" s="1764"/>
      <c r="Y119" s="1765"/>
      <c r="Z119" s="1763"/>
      <c r="AA119" s="1764"/>
      <c r="AB119" s="1765"/>
    </row>
    <row r="120" spans="1:30" s="1172" customFormat="1" outlineLevel="2">
      <c r="A120" s="1174"/>
      <c r="B120" s="1838" t="s">
        <v>448</v>
      </c>
      <c r="C120" s="2987"/>
      <c r="D120" s="2988"/>
      <c r="E120" s="2988"/>
      <c r="F120" s="2988"/>
      <c r="G120" s="2989"/>
      <c r="H120" s="2987"/>
      <c r="I120" s="2988"/>
      <c r="J120" s="2988"/>
      <c r="K120" s="2988"/>
      <c r="L120" s="2988"/>
      <c r="M120" s="2987"/>
      <c r="N120" s="2988"/>
      <c r="O120" s="2988"/>
      <c r="P120" s="2988"/>
      <c r="Q120" s="2989"/>
      <c r="U120" s="1763"/>
      <c r="V120" s="1764"/>
      <c r="W120" s="1764"/>
      <c r="X120" s="1764"/>
      <c r="Y120" s="1765"/>
      <c r="Z120" s="1763"/>
      <c r="AA120" s="1764"/>
      <c r="AB120" s="1765"/>
    </row>
    <row r="121" spans="1:30" s="1172" customFormat="1" outlineLevel="2">
      <c r="A121" s="1174"/>
      <c r="B121" s="1838" t="s">
        <v>449</v>
      </c>
      <c r="C121" s="2987"/>
      <c r="D121" s="2988"/>
      <c r="E121" s="2988"/>
      <c r="F121" s="2988"/>
      <c r="G121" s="2989"/>
      <c r="H121" s="2987"/>
      <c r="I121" s="2988"/>
      <c r="J121" s="2988"/>
      <c r="K121" s="2988"/>
      <c r="L121" s="2988"/>
      <c r="M121" s="2987"/>
      <c r="N121" s="2988"/>
      <c r="O121" s="2988"/>
      <c r="P121" s="2988"/>
      <c r="Q121" s="2989"/>
      <c r="U121" s="1763"/>
      <c r="V121" s="1764"/>
      <c r="W121" s="1764"/>
      <c r="X121" s="1764"/>
      <c r="Y121" s="1765"/>
      <c r="Z121" s="1763"/>
      <c r="AA121" s="1764"/>
      <c r="AB121" s="1765"/>
    </row>
    <row r="122" spans="1:30" s="1172" customFormat="1" outlineLevel="2">
      <c r="A122" s="1174"/>
      <c r="B122" s="1838" t="s">
        <v>1409</v>
      </c>
      <c r="C122" s="2987"/>
      <c r="D122" s="2988"/>
      <c r="E122" s="2988"/>
      <c r="F122" s="2988"/>
      <c r="G122" s="2989"/>
      <c r="H122" s="2987"/>
      <c r="I122" s="2988"/>
      <c r="J122" s="2988"/>
      <c r="K122" s="2988"/>
      <c r="L122" s="2988"/>
      <c r="M122" s="2987"/>
      <c r="N122" s="2988"/>
      <c r="O122" s="2988"/>
      <c r="P122" s="2988"/>
      <c r="Q122" s="2989"/>
      <c r="U122" s="1763"/>
      <c r="V122" s="1764"/>
      <c r="W122" s="1764"/>
      <c r="X122" s="1764"/>
      <c r="Y122" s="1765"/>
      <c r="Z122" s="1763"/>
      <c r="AA122" s="1764"/>
      <c r="AB122" s="1765"/>
    </row>
    <row r="123" spans="1:30" s="1172" customFormat="1" outlineLevel="2">
      <c r="A123" s="1174"/>
      <c r="B123" s="1838" t="s">
        <v>56</v>
      </c>
      <c r="C123" s="2990">
        <v>1662162.1229999999</v>
      </c>
      <c r="D123" s="2991">
        <v>9615629.3632639106</v>
      </c>
      <c r="E123" s="2991">
        <v>9269994.677036548</v>
      </c>
      <c r="F123" s="2991">
        <v>9668588.4747268856</v>
      </c>
      <c r="G123" s="2992">
        <v>13843099.37632001</v>
      </c>
      <c r="H123" s="3755">
        <f>16019970.3318979-H124</f>
        <v>15272025.3318979</v>
      </c>
      <c r="I123" s="2991">
        <v>12316156.837897776</v>
      </c>
      <c r="J123" s="2991">
        <v>8235685.1301151197</v>
      </c>
      <c r="K123" s="2991">
        <f>'12. IT'!O300+'12. IT'!O303</f>
        <v>6311110</v>
      </c>
      <c r="L123" s="2991">
        <f>'12. IT'!P300+'12. IT'!P303</f>
        <v>12617754.141540874</v>
      </c>
      <c r="M123" s="2990">
        <f>'12. IT'!Q300+'12. IT'!Q303</f>
        <v>13351553.324024737</v>
      </c>
      <c r="N123" s="2991">
        <f>'12. IT'!R300+'12. IT'!R303</f>
        <v>14530954.609655634</v>
      </c>
      <c r="O123" s="2991">
        <f>'12. IT'!S300+'12. IT'!S303</f>
        <v>12505866.33296836</v>
      </c>
      <c r="P123" s="2991">
        <f>'12. IT'!T300+'12. IT'!T303</f>
        <v>10681709.370290713</v>
      </c>
      <c r="Q123" s="2992">
        <f>'12. IT'!U300+'12. IT'!U303</f>
        <v>6805653.2291445797</v>
      </c>
      <c r="U123" s="1766"/>
      <c r="V123" s="1767"/>
      <c r="W123" s="1767"/>
      <c r="X123" s="1767"/>
      <c r="Y123" s="1768"/>
      <c r="Z123" s="1766"/>
      <c r="AA123" s="1767"/>
      <c r="AB123" s="1768"/>
    </row>
    <row r="124" spans="1:30" s="1172" customFormat="1" outlineLevel="2">
      <c r="A124" s="1174"/>
      <c r="B124" s="1838" t="s">
        <v>86</v>
      </c>
      <c r="C124" s="2990">
        <v>162231.42599999998</v>
      </c>
      <c r="D124" s="2991">
        <v>404511.53443588305</v>
      </c>
      <c r="E124" s="2991">
        <v>329081.98491980275</v>
      </c>
      <c r="F124" s="2991">
        <v>444469.13931567833</v>
      </c>
      <c r="G124" s="2992">
        <v>651731.33193571796</v>
      </c>
      <c r="H124" s="3754">
        <v>747945</v>
      </c>
      <c r="I124" s="2991">
        <v>917749.77334582142</v>
      </c>
      <c r="J124" s="2991">
        <v>549788.5958371982</v>
      </c>
      <c r="K124" s="2991">
        <f>'12. IT'!O301</f>
        <v>605743.37796397437</v>
      </c>
      <c r="L124" s="2991">
        <f>'12. IT'!P301</f>
        <v>739651.50900448137</v>
      </c>
      <c r="M124" s="2990">
        <f>'12. IT'!Q301</f>
        <v>739651.54177686817</v>
      </c>
      <c r="N124" s="2991">
        <f>'12. IT'!R301</f>
        <v>739651.65135789453</v>
      </c>
      <c r="O124" s="2991">
        <f>'12. IT'!S301</f>
        <v>739651.6440606697</v>
      </c>
      <c r="P124" s="2991">
        <f>'12. IT'!T301</f>
        <v>739651.85155221971</v>
      </c>
      <c r="Q124" s="2992">
        <f>'12. IT'!U301</f>
        <v>739651.47932340158</v>
      </c>
      <c r="U124" s="1766"/>
      <c r="V124" s="1767"/>
      <c r="W124" s="1767"/>
      <c r="X124" s="1767"/>
      <c r="Y124" s="1768"/>
      <c r="Z124" s="1766"/>
      <c r="AA124" s="1767"/>
      <c r="AB124" s="1768"/>
    </row>
    <row r="125" spans="1:30" s="1172" customFormat="1" ht="13.5" outlineLevel="2" thickBot="1">
      <c r="A125" s="1174"/>
      <c r="B125" s="788" t="s">
        <v>1410</v>
      </c>
      <c r="C125" s="2990"/>
      <c r="D125" s="2991"/>
      <c r="E125" s="2991"/>
      <c r="F125" s="2991"/>
      <c r="G125" s="2992"/>
      <c r="H125" s="2990"/>
      <c r="I125" s="2991"/>
      <c r="J125" s="2991"/>
      <c r="K125" s="2991"/>
      <c r="L125" s="2991"/>
      <c r="M125" s="2990"/>
      <c r="N125" s="2991"/>
      <c r="O125" s="2991"/>
      <c r="P125" s="2991"/>
      <c r="Q125" s="2992"/>
      <c r="U125" s="1766"/>
      <c r="V125" s="1767"/>
      <c r="W125" s="1767"/>
      <c r="X125" s="1767"/>
      <c r="Y125" s="1768"/>
      <c r="Z125" s="1766"/>
      <c r="AA125" s="1767"/>
      <c r="AB125" s="1768"/>
    </row>
    <row r="126" spans="1:30" s="1172" customFormat="1" ht="13.5" outlineLevel="1" thickBot="1">
      <c r="A126" s="1174"/>
      <c r="B126" s="698" t="s">
        <v>63</v>
      </c>
      <c r="C126" s="2993">
        <v>1824393.5489999999</v>
      </c>
      <c r="D126" s="2993">
        <v>10020140.897699794</v>
      </c>
      <c r="E126" s="2993">
        <v>9599076.6619563513</v>
      </c>
      <c r="F126" s="2993">
        <v>10113057.614042563</v>
      </c>
      <c r="G126" s="2993">
        <v>14494830.708255729</v>
      </c>
      <c r="H126" s="2993">
        <v>16019970.331897907</v>
      </c>
      <c r="I126" s="2993">
        <v>13233906.611243596</v>
      </c>
      <c r="J126" s="2993">
        <v>8785473.7259523179</v>
      </c>
      <c r="K126" s="2993">
        <v>6916852.0674862722</v>
      </c>
      <c r="L126" s="2993">
        <v>13024844.331656948</v>
      </c>
      <c r="M126" s="2993">
        <v>14091147.096097752</v>
      </c>
      <c r="N126" s="2993">
        <v>15270541.715668358</v>
      </c>
      <c r="O126" s="2993">
        <v>13245462.489525035</v>
      </c>
      <c r="P126" s="2993">
        <v>11421310.400092039</v>
      </c>
      <c r="Q126" s="2994">
        <v>7545275.1873244364</v>
      </c>
      <c r="U126" s="698" t="e">
        <f>SUM(U119:U125)-#REF!</f>
        <v>#REF!</v>
      </c>
      <c r="V126" s="699" t="e">
        <f>SUM(V119:V125)-#REF!</f>
        <v>#REF!</v>
      </c>
      <c r="W126" s="699" t="e">
        <f>SUM(W119:W125)-#REF!</f>
        <v>#REF!</v>
      </c>
      <c r="X126" s="699" t="e">
        <f>SUM(X119:X125)-#REF!</f>
        <v>#REF!</v>
      </c>
      <c r="Y126" s="699" t="e">
        <f>SUM(Y119:Y125)-#REF!</f>
        <v>#REF!</v>
      </c>
      <c r="Z126" s="699" t="e">
        <f>SUM(Z119:Z125)-#REF!</f>
        <v>#REF!</v>
      </c>
      <c r="AA126" s="699" t="e">
        <f>SUM(AA119:AA125)-#REF!</f>
        <v>#REF!</v>
      </c>
      <c r="AB126" s="700" t="e">
        <f>SUM(AB119:AB125)-#REF!</f>
        <v>#REF!</v>
      </c>
    </row>
    <row r="127" spans="1:30" s="1174" customFormat="1" ht="23.25" customHeight="1" outlineLevel="1" thickBot="1">
      <c r="C127" s="2995"/>
      <c r="D127" s="2995"/>
      <c r="E127" s="2995"/>
      <c r="F127" s="2995"/>
      <c r="G127" s="2995"/>
      <c r="H127" s="2995"/>
      <c r="K127" s="2995"/>
      <c r="L127" s="2995"/>
      <c r="M127" s="2995"/>
      <c r="N127" s="2995"/>
      <c r="O127" s="2995"/>
      <c r="P127" s="2995"/>
      <c r="Q127" s="2995"/>
      <c r="R127" s="1172"/>
      <c r="S127" s="1172"/>
      <c r="T127" s="1172"/>
      <c r="AC127" s="1172"/>
      <c r="AD127" s="1172"/>
    </row>
    <row r="128" spans="1:30" s="474" customFormat="1" ht="24.75" customHeight="1" thickBot="1">
      <c r="A128" s="262"/>
      <c r="B128" s="660" t="str">
        <f>CONCATENATE("Table 16.1.10 - ",'17. Gross Capex '!B30)</f>
        <v>Table 16.1.10 - Other - Non IT</v>
      </c>
      <c r="C128" s="2996"/>
      <c r="D128" s="2996"/>
      <c r="E128" s="2996"/>
      <c r="F128" s="2996"/>
      <c r="G128" s="2996"/>
      <c r="H128" s="2996"/>
      <c r="I128" s="2996"/>
      <c r="J128" s="2996"/>
      <c r="K128" s="2996"/>
      <c r="L128" s="2996"/>
      <c r="M128" s="2996"/>
      <c r="N128" s="2996"/>
      <c r="O128" s="2996"/>
      <c r="P128" s="2996"/>
      <c r="Q128" s="2997"/>
      <c r="R128" s="1172"/>
      <c r="S128" s="1172"/>
      <c r="T128" s="1172"/>
      <c r="U128" s="252"/>
      <c r="V128" s="269"/>
      <c r="W128" s="269"/>
      <c r="X128" s="269"/>
      <c r="Y128" s="269"/>
      <c r="Z128" s="269"/>
      <c r="AA128" s="269"/>
      <c r="AB128" s="270"/>
      <c r="AC128" s="1172"/>
      <c r="AD128" s="1172"/>
    </row>
    <row r="129" spans="1:30" s="1172" customFormat="1" outlineLevel="2">
      <c r="A129" s="1174"/>
      <c r="B129" s="1838" t="s">
        <v>1408</v>
      </c>
      <c r="C129" s="2984"/>
      <c r="D129" s="2985"/>
      <c r="E129" s="2985"/>
      <c r="F129" s="2985"/>
      <c r="G129" s="2986"/>
      <c r="H129" s="2984"/>
      <c r="I129" s="2985"/>
      <c r="J129" s="2985"/>
      <c r="K129" s="2985"/>
      <c r="L129" s="2985"/>
      <c r="M129" s="2984"/>
      <c r="N129" s="2985"/>
      <c r="O129" s="2985"/>
      <c r="P129" s="2985"/>
      <c r="Q129" s="2986"/>
      <c r="U129" s="1760"/>
      <c r="V129" s="1761"/>
      <c r="W129" s="1761"/>
      <c r="X129" s="1761"/>
      <c r="Y129" s="1762"/>
      <c r="Z129" s="1760"/>
      <c r="AA129" s="1761"/>
      <c r="AB129" s="1762"/>
    </row>
    <row r="130" spans="1:30" s="1172" customFormat="1" outlineLevel="2">
      <c r="A130" s="1174"/>
      <c r="B130" s="1838" t="s">
        <v>446</v>
      </c>
      <c r="C130" s="2987"/>
      <c r="D130" s="2988"/>
      <c r="E130" s="2988"/>
      <c r="F130" s="2988"/>
      <c r="G130" s="2989"/>
      <c r="H130" s="2987"/>
      <c r="I130" s="2988"/>
      <c r="J130" s="2988"/>
      <c r="K130" s="2988"/>
      <c r="L130" s="2988"/>
      <c r="M130" s="2987"/>
      <c r="N130" s="2988"/>
      <c r="O130" s="2988"/>
      <c r="P130" s="2988"/>
      <c r="Q130" s="2989"/>
      <c r="U130" s="1763"/>
      <c r="V130" s="1764"/>
      <c r="W130" s="1764"/>
      <c r="X130" s="1764"/>
      <c r="Y130" s="1765"/>
      <c r="Z130" s="1763"/>
      <c r="AA130" s="1764"/>
      <c r="AB130" s="1765"/>
    </row>
    <row r="131" spans="1:30" s="1172" customFormat="1" outlineLevel="2">
      <c r="A131" s="1174"/>
      <c r="B131" s="1838" t="s">
        <v>447</v>
      </c>
      <c r="C131" s="2987"/>
      <c r="D131" s="2988"/>
      <c r="E131" s="2988"/>
      <c r="F131" s="2988"/>
      <c r="G131" s="2989"/>
      <c r="H131" s="2987"/>
      <c r="I131" s="2988"/>
      <c r="J131" s="2988"/>
      <c r="K131" s="2988"/>
      <c r="L131" s="2988"/>
      <c r="M131" s="2987"/>
      <c r="N131" s="2988"/>
      <c r="O131" s="2988"/>
      <c r="P131" s="2988"/>
      <c r="Q131" s="2989"/>
      <c r="U131" s="1763"/>
      <c r="V131" s="1764"/>
      <c r="W131" s="1764"/>
      <c r="X131" s="1764"/>
      <c r="Y131" s="1765"/>
      <c r="Z131" s="1763"/>
      <c r="AA131" s="1764"/>
      <c r="AB131" s="1765"/>
    </row>
    <row r="132" spans="1:30" s="1172" customFormat="1" outlineLevel="2">
      <c r="A132" s="1174"/>
      <c r="B132" s="1838" t="s">
        <v>448</v>
      </c>
      <c r="C132" s="2987"/>
      <c r="D132" s="2988"/>
      <c r="E132" s="2988"/>
      <c r="F132" s="2988"/>
      <c r="G132" s="2989"/>
      <c r="H132" s="2987"/>
      <c r="I132" s="2988"/>
      <c r="J132" s="2988"/>
      <c r="K132" s="2988"/>
      <c r="L132" s="2988"/>
      <c r="M132" s="2987"/>
      <c r="N132" s="2988"/>
      <c r="O132" s="2988"/>
      <c r="P132" s="2988"/>
      <c r="Q132" s="2989"/>
      <c r="U132" s="1763"/>
      <c r="V132" s="1764"/>
      <c r="W132" s="1764"/>
      <c r="X132" s="1764"/>
      <c r="Y132" s="1765"/>
      <c r="Z132" s="1763"/>
      <c r="AA132" s="1764"/>
      <c r="AB132" s="1765"/>
    </row>
    <row r="133" spans="1:30" s="1172" customFormat="1" outlineLevel="2">
      <c r="A133" s="1174"/>
      <c r="B133" s="1838" t="s">
        <v>449</v>
      </c>
      <c r="C133" s="2987"/>
      <c r="D133" s="2988"/>
      <c r="E133" s="2988"/>
      <c r="F133" s="2988"/>
      <c r="G133" s="2989"/>
      <c r="H133" s="2987"/>
      <c r="I133" s="2988"/>
      <c r="J133" s="2988"/>
      <c r="K133" s="2988"/>
      <c r="L133" s="2988"/>
      <c r="M133" s="2987"/>
      <c r="N133" s="2988"/>
      <c r="O133" s="2988"/>
      <c r="P133" s="2988"/>
      <c r="Q133" s="2989"/>
      <c r="U133" s="1763"/>
      <c r="V133" s="1764"/>
      <c r="W133" s="1764"/>
      <c r="X133" s="1764"/>
      <c r="Y133" s="1765"/>
      <c r="Z133" s="1763"/>
      <c r="AA133" s="1764"/>
      <c r="AB133" s="1765"/>
    </row>
    <row r="134" spans="1:30" s="1172" customFormat="1" outlineLevel="2">
      <c r="A134" s="1174"/>
      <c r="B134" s="1838" t="s">
        <v>1409</v>
      </c>
      <c r="C134" s="2987">
        <v>292717.04352506052</v>
      </c>
      <c r="D134" s="2988">
        <v>309652.93045029161</v>
      </c>
      <c r="E134" s="2988">
        <v>351948.06169740605</v>
      </c>
      <c r="F134" s="2988">
        <v>641206.71393028833</v>
      </c>
      <c r="G134" s="2989">
        <v>247307.11483951868</v>
      </c>
      <c r="H134" s="2987">
        <v>466215.27485103533</v>
      </c>
      <c r="I134" s="2988">
        <v>52350.210103999998</v>
      </c>
      <c r="J134" s="2988">
        <v>358318.83703008946</v>
      </c>
      <c r="K134" s="2988">
        <v>180239.0905067368</v>
      </c>
      <c r="L134" s="2988">
        <v>360914.01009034616</v>
      </c>
      <c r="M134" s="2987">
        <v>361358.76730482717</v>
      </c>
      <c r="N134" s="2988">
        <v>361894.38911896548</v>
      </c>
      <c r="O134" s="2988">
        <v>362574.19659318496</v>
      </c>
      <c r="P134" s="2988">
        <v>363446.01291519118</v>
      </c>
      <c r="Q134" s="2989">
        <v>364411.70301263226</v>
      </c>
      <c r="U134" s="1763"/>
      <c r="V134" s="1764"/>
      <c r="W134" s="1764"/>
      <c r="X134" s="1764"/>
      <c r="Y134" s="1765"/>
      <c r="Z134" s="1763"/>
      <c r="AA134" s="1764"/>
      <c r="AB134" s="1765"/>
    </row>
    <row r="135" spans="1:30" s="1172" customFormat="1" outlineLevel="2">
      <c r="A135" s="1174"/>
      <c r="B135" s="1838" t="s">
        <v>56</v>
      </c>
      <c r="C135" s="2990"/>
      <c r="D135" s="2991"/>
      <c r="E135" s="2991"/>
      <c r="F135" s="2991"/>
      <c r="G135" s="2992"/>
      <c r="H135" s="2990"/>
      <c r="I135" s="2991"/>
      <c r="J135" s="2991"/>
      <c r="K135" s="2991"/>
      <c r="L135" s="2991"/>
      <c r="M135" s="2990"/>
      <c r="N135" s="2991"/>
      <c r="O135" s="2991"/>
      <c r="P135" s="2991"/>
      <c r="Q135" s="2992"/>
      <c r="U135" s="1766"/>
      <c r="V135" s="1767"/>
      <c r="W135" s="1767"/>
      <c r="X135" s="1767"/>
      <c r="Y135" s="1768"/>
      <c r="Z135" s="1766"/>
      <c r="AA135" s="1767"/>
      <c r="AB135" s="1768"/>
    </row>
    <row r="136" spans="1:30" s="1172" customFormat="1" outlineLevel="2">
      <c r="A136" s="1174"/>
      <c r="B136" s="1838" t="s">
        <v>86</v>
      </c>
      <c r="C136" s="2990">
        <v>4320</v>
      </c>
      <c r="D136" s="2991">
        <v>0</v>
      </c>
      <c r="E136" s="2991">
        <v>0</v>
      </c>
      <c r="F136" s="2991">
        <v>-25.2</v>
      </c>
      <c r="G136" s="2992">
        <v>0</v>
      </c>
      <c r="H136" s="2990">
        <v>5781.2412943334984</v>
      </c>
      <c r="I136" s="2991">
        <v>0</v>
      </c>
      <c r="J136" s="2991">
        <v>25258.600346189458</v>
      </c>
      <c r="K136" s="2991">
        <v>7924.8094972554136</v>
      </c>
      <c r="L136" s="2991"/>
      <c r="M136" s="2990"/>
      <c r="N136" s="2991"/>
      <c r="O136" s="2991"/>
      <c r="P136" s="2991"/>
      <c r="Q136" s="2992"/>
      <c r="U136" s="1766"/>
      <c r="V136" s="1767"/>
      <c r="W136" s="1767"/>
      <c r="X136" s="1767"/>
      <c r="Y136" s="1768"/>
      <c r="Z136" s="1766"/>
      <c r="AA136" s="1767"/>
      <c r="AB136" s="1768"/>
    </row>
    <row r="137" spans="1:30" s="1172" customFormat="1" ht="13.5" outlineLevel="2" thickBot="1">
      <c r="A137" s="1174"/>
      <c r="B137" s="788" t="s">
        <v>1410</v>
      </c>
      <c r="C137" s="2990"/>
      <c r="D137" s="2991"/>
      <c r="E137" s="2991"/>
      <c r="F137" s="2991"/>
      <c r="G137" s="2992"/>
      <c r="H137" s="2990"/>
      <c r="I137" s="2991"/>
      <c r="J137" s="2991"/>
      <c r="K137" s="2991"/>
      <c r="L137" s="2991"/>
      <c r="M137" s="2990"/>
      <c r="N137" s="2991"/>
      <c r="O137" s="2991"/>
      <c r="P137" s="2991"/>
      <c r="Q137" s="2992"/>
      <c r="U137" s="1766"/>
      <c r="V137" s="1767"/>
      <c r="W137" s="1767"/>
      <c r="X137" s="1767"/>
      <c r="Y137" s="1768"/>
      <c r="Z137" s="1766"/>
      <c r="AA137" s="1767"/>
      <c r="AB137" s="1768"/>
    </row>
    <row r="138" spans="1:30" s="1172" customFormat="1" ht="13.5" outlineLevel="1" thickBot="1">
      <c r="A138" s="1174"/>
      <c r="B138" s="698" t="s">
        <v>63</v>
      </c>
      <c r="C138" s="2993">
        <v>297037.04352506052</v>
      </c>
      <c r="D138" s="2993">
        <v>309652.93045029161</v>
      </c>
      <c r="E138" s="2993">
        <v>351948.06169740605</v>
      </c>
      <c r="F138" s="2993">
        <v>641181.51393028838</v>
      </c>
      <c r="G138" s="2993">
        <v>247307.11483951868</v>
      </c>
      <c r="H138" s="2993">
        <v>471996.51614536881</v>
      </c>
      <c r="I138" s="2993">
        <v>52350.210103999998</v>
      </c>
      <c r="J138" s="2993">
        <v>383577.43737627892</v>
      </c>
      <c r="K138" s="2993">
        <v>188163.90000399222</v>
      </c>
      <c r="L138" s="2993">
        <v>360914.01009034616</v>
      </c>
      <c r="M138" s="2993">
        <v>361358.76730482717</v>
      </c>
      <c r="N138" s="2993">
        <v>361894.38911896548</v>
      </c>
      <c r="O138" s="2993">
        <v>362574.19659318496</v>
      </c>
      <c r="P138" s="2993">
        <v>363446.01291519118</v>
      </c>
      <c r="Q138" s="2994">
        <v>364411.70301263226</v>
      </c>
      <c r="U138" s="698">
        <f t="shared" ref="U138:AB138" si="9">SUM(U129:U137)</f>
        <v>0</v>
      </c>
      <c r="V138" s="699">
        <f t="shared" si="9"/>
        <v>0</v>
      </c>
      <c r="W138" s="699">
        <f t="shared" si="9"/>
        <v>0</v>
      </c>
      <c r="X138" s="699">
        <f t="shared" si="9"/>
        <v>0</v>
      </c>
      <c r="Y138" s="699">
        <f t="shared" si="9"/>
        <v>0</v>
      </c>
      <c r="Z138" s="699">
        <f t="shared" si="9"/>
        <v>0</v>
      </c>
      <c r="AA138" s="699">
        <f t="shared" si="9"/>
        <v>0</v>
      </c>
      <c r="AB138" s="700">
        <f t="shared" si="9"/>
        <v>0</v>
      </c>
    </row>
    <row r="139" spans="1:30" s="1174" customFormat="1" ht="23.25" customHeight="1" outlineLevel="1" thickBot="1">
      <c r="C139" s="2995"/>
      <c r="D139" s="2995"/>
      <c r="E139" s="2995"/>
      <c r="F139" s="2995"/>
      <c r="G139" s="2995"/>
      <c r="H139" s="2995"/>
      <c r="I139" s="2995"/>
      <c r="J139" s="2995"/>
      <c r="K139" s="2995"/>
      <c r="L139" s="2995"/>
      <c r="M139" s="2995"/>
      <c r="N139" s="2995"/>
      <c r="O139" s="2995"/>
      <c r="P139" s="2995"/>
      <c r="Q139" s="2995"/>
      <c r="R139" s="1172"/>
      <c r="S139" s="1172"/>
      <c r="T139" s="1172"/>
      <c r="AC139" s="1172"/>
      <c r="AD139" s="1172"/>
    </row>
    <row r="140" spans="1:30" s="474" customFormat="1" ht="24.75" customHeight="1" thickBot="1">
      <c r="A140" s="262"/>
      <c r="B140" s="660" t="str">
        <f>CONCATENATE("Table 16.1.11 - ",'17. Gross Capex '!B31)</f>
        <v>Table 16.1.11 - Land</v>
      </c>
      <c r="C140" s="2996"/>
      <c r="D140" s="2996"/>
      <c r="E140" s="2996"/>
      <c r="F140" s="2996"/>
      <c r="G140" s="2996"/>
      <c r="H140" s="2996"/>
      <c r="I140" s="2996"/>
      <c r="J140" s="2996"/>
      <c r="K140" s="2996"/>
      <c r="L140" s="2996"/>
      <c r="M140" s="2996"/>
      <c r="N140" s="2996"/>
      <c r="O140" s="2996"/>
      <c r="P140" s="2996"/>
      <c r="Q140" s="2997"/>
      <c r="R140"/>
      <c r="S140"/>
      <c r="T140"/>
      <c r="U140" s="252"/>
      <c r="V140" s="269"/>
      <c r="W140" s="269"/>
      <c r="X140" s="269"/>
      <c r="Y140" s="269"/>
      <c r="Z140" s="269"/>
      <c r="AA140" s="269"/>
      <c r="AB140" s="270"/>
      <c r="AC140"/>
      <c r="AD140"/>
    </row>
    <row r="141" spans="1:30" outlineLevel="2">
      <c r="A141" s="696"/>
      <c r="B141" s="1838" t="s">
        <v>1408</v>
      </c>
      <c r="C141" s="2984"/>
      <c r="D141" s="2985"/>
      <c r="E141" s="2985"/>
      <c r="F141" s="2985"/>
      <c r="G141" s="2986"/>
      <c r="H141" s="2984"/>
      <c r="I141" s="2985"/>
      <c r="J141" s="2985"/>
      <c r="K141" s="2985"/>
      <c r="L141" s="2985"/>
      <c r="M141" s="2984"/>
      <c r="N141" s="2985"/>
      <c r="O141" s="2985"/>
      <c r="P141" s="2985"/>
      <c r="Q141" s="2986"/>
      <c r="U141" s="1760"/>
      <c r="V141" s="1761"/>
      <c r="W141" s="1761"/>
      <c r="X141" s="1761"/>
      <c r="Y141" s="1762"/>
      <c r="Z141" s="1760"/>
      <c r="AA141" s="1761"/>
      <c r="AB141" s="1762"/>
    </row>
    <row r="142" spans="1:30" outlineLevel="2">
      <c r="A142" s="696"/>
      <c r="B142" s="1838" t="s">
        <v>446</v>
      </c>
      <c r="C142" s="2987"/>
      <c r="D142" s="2988"/>
      <c r="E142" s="2988"/>
      <c r="F142" s="2988"/>
      <c r="G142" s="2989"/>
      <c r="H142" s="2987"/>
      <c r="I142" s="2988"/>
      <c r="J142" s="2988"/>
      <c r="K142" s="2988"/>
      <c r="L142" s="2988"/>
      <c r="M142" s="2987"/>
      <c r="N142" s="2988"/>
      <c r="O142" s="2988"/>
      <c r="P142" s="2988"/>
      <c r="Q142" s="2989"/>
      <c r="U142" s="1763"/>
      <c r="V142" s="1764"/>
      <c r="W142" s="1764"/>
      <c r="X142" s="1764"/>
      <c r="Y142" s="1765"/>
      <c r="Z142" s="1763"/>
      <c r="AA142" s="1764"/>
      <c r="AB142" s="1765"/>
    </row>
    <row r="143" spans="1:30" outlineLevel="2">
      <c r="A143" s="696"/>
      <c r="B143" s="1838" t="s">
        <v>447</v>
      </c>
      <c r="C143" s="2987"/>
      <c r="D143" s="2988"/>
      <c r="E143" s="2988"/>
      <c r="F143" s="2988"/>
      <c r="G143" s="2989"/>
      <c r="H143" s="2987"/>
      <c r="I143" s="2988"/>
      <c r="J143" s="2988"/>
      <c r="K143" s="2988"/>
      <c r="L143" s="2988"/>
      <c r="M143" s="2987"/>
      <c r="N143" s="2988"/>
      <c r="O143" s="2988"/>
      <c r="P143" s="2988"/>
      <c r="Q143" s="2989"/>
      <c r="U143" s="1763"/>
      <c r="V143" s="1764"/>
      <c r="W143" s="1764"/>
      <c r="X143" s="1764"/>
      <c r="Y143" s="1765"/>
      <c r="Z143" s="1763"/>
      <c r="AA143" s="1764"/>
      <c r="AB143" s="1765"/>
    </row>
    <row r="144" spans="1:30" outlineLevel="2">
      <c r="A144" s="696"/>
      <c r="B144" s="1838" t="s">
        <v>448</v>
      </c>
      <c r="C144" s="2987"/>
      <c r="D144" s="2988"/>
      <c r="E144" s="2988"/>
      <c r="F144" s="2988"/>
      <c r="G144" s="2989"/>
      <c r="H144" s="2987"/>
      <c r="I144" s="2988"/>
      <c r="J144" s="2988"/>
      <c r="K144" s="2988"/>
      <c r="L144" s="2988"/>
      <c r="M144" s="2987"/>
      <c r="N144" s="2988"/>
      <c r="O144" s="2988"/>
      <c r="P144" s="2988"/>
      <c r="Q144" s="2989"/>
      <c r="U144" s="1763"/>
      <c r="V144" s="1764"/>
      <c r="W144" s="1764"/>
      <c r="X144" s="1764"/>
      <c r="Y144" s="1765"/>
      <c r="Z144" s="1763"/>
      <c r="AA144" s="1764"/>
      <c r="AB144" s="1765"/>
    </row>
    <row r="145" spans="1:30" outlineLevel="2">
      <c r="A145" s="696"/>
      <c r="B145" s="1838" t="s">
        <v>449</v>
      </c>
      <c r="C145" s="2987"/>
      <c r="D145" s="2988"/>
      <c r="E145" s="2988"/>
      <c r="F145" s="2988"/>
      <c r="G145" s="2989"/>
      <c r="H145" s="2987"/>
      <c r="I145" s="2988"/>
      <c r="J145" s="2988"/>
      <c r="K145" s="2988"/>
      <c r="L145" s="2988"/>
      <c r="M145" s="2987"/>
      <c r="N145" s="2988"/>
      <c r="O145" s="2988"/>
      <c r="P145" s="2988"/>
      <c r="Q145" s="2989"/>
      <c r="U145" s="1763"/>
      <c r="V145" s="1764"/>
      <c r="W145" s="1764"/>
      <c r="X145" s="1764"/>
      <c r="Y145" s="1765"/>
      <c r="Z145" s="1763"/>
      <c r="AA145" s="1764"/>
      <c r="AB145" s="1765"/>
    </row>
    <row r="146" spans="1:30" outlineLevel="2">
      <c r="A146" s="696"/>
      <c r="B146" s="1838" t="s">
        <v>1409</v>
      </c>
      <c r="C146" s="2987"/>
      <c r="D146" s="2988"/>
      <c r="E146" s="2988"/>
      <c r="F146" s="2988"/>
      <c r="G146" s="2989"/>
      <c r="H146" s="2987"/>
      <c r="I146" s="2988"/>
      <c r="J146" s="2988"/>
      <c r="K146" s="2988"/>
      <c r="L146" s="2988"/>
      <c r="M146" s="2987"/>
      <c r="N146" s="2988"/>
      <c r="O146" s="2988"/>
      <c r="P146" s="2988"/>
      <c r="Q146" s="2989"/>
      <c r="U146" s="1763"/>
      <c r="V146" s="1764"/>
      <c r="W146" s="1764"/>
      <c r="X146" s="1764"/>
      <c r="Y146" s="1765"/>
      <c r="Z146" s="1763"/>
      <c r="AA146" s="1764"/>
      <c r="AB146" s="1765"/>
    </row>
    <row r="147" spans="1:30" outlineLevel="2">
      <c r="A147" s="696"/>
      <c r="B147" s="1838" t="s">
        <v>56</v>
      </c>
      <c r="C147" s="2990"/>
      <c r="D147" s="2991"/>
      <c r="E147" s="2991"/>
      <c r="F147" s="2991"/>
      <c r="G147" s="2992"/>
      <c r="H147" s="2990"/>
      <c r="I147" s="2991"/>
      <c r="J147" s="2991"/>
      <c r="K147" s="2991"/>
      <c r="L147" s="2991"/>
      <c r="M147" s="2990"/>
      <c r="N147" s="2991"/>
      <c r="O147" s="2991"/>
      <c r="P147" s="2991"/>
      <c r="Q147" s="2992"/>
      <c r="U147" s="1766"/>
      <c r="V147" s="1767"/>
      <c r="W147" s="1767"/>
      <c r="X147" s="1767"/>
      <c r="Y147" s="1768"/>
      <c r="Z147" s="1766"/>
      <c r="AA147" s="1767"/>
      <c r="AB147" s="1768"/>
    </row>
    <row r="148" spans="1:30" outlineLevel="2">
      <c r="A148" s="696"/>
      <c r="B148" s="1838" t="s">
        <v>86</v>
      </c>
      <c r="C148" s="2990"/>
      <c r="D148" s="2991"/>
      <c r="E148" s="2991"/>
      <c r="F148" s="2991"/>
      <c r="G148" s="2992"/>
      <c r="H148" s="2990"/>
      <c r="I148" s="2991"/>
      <c r="J148" s="2991"/>
      <c r="K148" s="2991"/>
      <c r="L148" s="2991"/>
      <c r="M148" s="2990"/>
      <c r="N148" s="2991"/>
      <c r="O148" s="2991"/>
      <c r="P148" s="2991"/>
      <c r="Q148" s="2992"/>
      <c r="U148" s="1766"/>
      <c r="V148" s="1767"/>
      <c r="W148" s="1767"/>
      <c r="X148" s="1767"/>
      <c r="Y148" s="1768"/>
      <c r="Z148" s="1766"/>
      <c r="AA148" s="1767"/>
      <c r="AB148" s="1768"/>
    </row>
    <row r="149" spans="1:30" ht="13.5" outlineLevel="2" thickBot="1">
      <c r="A149" s="696"/>
      <c r="B149" s="788" t="s">
        <v>1410</v>
      </c>
      <c r="C149" s="2990"/>
      <c r="D149" s="2991"/>
      <c r="E149" s="2991"/>
      <c r="F149" s="2991"/>
      <c r="G149" s="2992"/>
      <c r="H149" s="2990"/>
      <c r="I149" s="2991"/>
      <c r="J149" s="2991"/>
      <c r="K149" s="2991"/>
      <c r="L149" s="2991"/>
      <c r="M149" s="2990"/>
      <c r="N149" s="2991"/>
      <c r="O149" s="2991"/>
      <c r="P149" s="2991"/>
      <c r="Q149" s="2992"/>
      <c r="U149" s="1766"/>
      <c r="V149" s="1767"/>
      <c r="W149" s="1767"/>
      <c r="X149" s="1767"/>
      <c r="Y149" s="1768"/>
      <c r="Z149" s="1766"/>
      <c r="AA149" s="1767"/>
      <c r="AB149" s="1768"/>
    </row>
    <row r="150" spans="1:30" ht="13.5" outlineLevel="1" thickBot="1">
      <c r="A150" s="696"/>
      <c r="B150" s="698" t="s">
        <v>63</v>
      </c>
      <c r="C150" s="2993">
        <v>0</v>
      </c>
      <c r="D150" s="2993">
        <v>0</v>
      </c>
      <c r="E150" s="2993">
        <v>0</v>
      </c>
      <c r="F150" s="2993">
        <v>0</v>
      </c>
      <c r="G150" s="2993">
        <v>0</v>
      </c>
      <c r="H150" s="2993">
        <v>0</v>
      </c>
      <c r="I150" s="2993">
        <v>0</v>
      </c>
      <c r="J150" s="2993">
        <v>0</v>
      </c>
      <c r="K150" s="2993">
        <v>0</v>
      </c>
      <c r="L150" s="2993">
        <v>0</v>
      </c>
      <c r="M150" s="2993">
        <v>0</v>
      </c>
      <c r="N150" s="2993">
        <v>0</v>
      </c>
      <c r="O150" s="2993">
        <v>0</v>
      </c>
      <c r="P150" s="2993">
        <v>0</v>
      </c>
      <c r="Q150" s="2994">
        <v>0</v>
      </c>
      <c r="U150" s="698">
        <f t="shared" ref="U150:AB150" si="10">SUM(U141:U149)</f>
        <v>0</v>
      </c>
      <c r="V150" s="699">
        <f t="shared" si="10"/>
        <v>0</v>
      </c>
      <c r="W150" s="699">
        <f t="shared" si="10"/>
        <v>0</v>
      </c>
      <c r="X150" s="699">
        <f t="shared" si="10"/>
        <v>0</v>
      </c>
      <c r="Y150" s="699">
        <f t="shared" si="10"/>
        <v>0</v>
      </c>
      <c r="Z150" s="699">
        <f t="shared" si="10"/>
        <v>0</v>
      </c>
      <c r="AA150" s="699">
        <f t="shared" si="10"/>
        <v>0</v>
      </c>
      <c r="AB150" s="700">
        <f t="shared" si="10"/>
        <v>0</v>
      </c>
    </row>
    <row r="151" spans="1:30" s="69" customFormat="1" ht="28.5" customHeight="1" thickBot="1">
      <c r="A151" s="314"/>
      <c r="B151" s="1371" t="s">
        <v>121</v>
      </c>
      <c r="C151" s="2998" t="s">
        <v>1566</v>
      </c>
      <c r="D151" s="2983"/>
      <c r="E151" s="2983"/>
      <c r="F151" s="2983"/>
      <c r="G151" s="2983"/>
      <c r="H151" s="2983"/>
      <c r="I151" s="2983"/>
      <c r="J151" s="4353" t="s">
        <v>2095</v>
      </c>
      <c r="K151" s="4353"/>
      <c r="L151" s="4353"/>
      <c r="M151" s="4353"/>
      <c r="N151" s="4353"/>
      <c r="O151" s="4353"/>
      <c r="P151" s="4353"/>
      <c r="Q151" s="4354"/>
      <c r="R151"/>
      <c r="S151"/>
      <c r="T151"/>
      <c r="U151" s="1663"/>
      <c r="V151" s="1644"/>
      <c r="W151" s="1644"/>
      <c r="X151" s="1644"/>
      <c r="Y151" s="1644"/>
      <c r="Z151" s="1644"/>
      <c r="AA151" s="1644"/>
      <c r="AB151" s="1647"/>
      <c r="AC151"/>
      <c r="AD151"/>
    </row>
    <row r="153" spans="1:30">
      <c r="A153" s="1178"/>
      <c r="B153" s="3570"/>
      <c r="C153" s="3504"/>
      <c r="D153" s="3504"/>
      <c r="E153" s="3504"/>
      <c r="F153" s="3504"/>
      <c r="G153" s="3504"/>
      <c r="H153" s="3504"/>
      <c r="I153" s="3504"/>
      <c r="J153" s="3504"/>
      <c r="K153" s="3504"/>
      <c r="L153" s="3504"/>
      <c r="M153" s="1178"/>
      <c r="N153" s="1178"/>
      <c r="O153" s="1178"/>
      <c r="P153" s="1178"/>
      <c r="Q153" s="1178"/>
    </row>
    <row r="154" spans="1:30">
      <c r="A154" s="1178"/>
      <c r="B154" s="3570"/>
      <c r="C154" s="3504"/>
      <c r="D154" s="3504"/>
      <c r="E154" s="3504"/>
      <c r="F154" s="3504"/>
      <c r="G154" s="3504"/>
      <c r="H154" s="3504"/>
      <c r="I154" s="3504"/>
      <c r="J154" s="3504"/>
      <c r="K154" s="3504"/>
      <c r="L154" s="3504"/>
      <c r="M154" s="3504"/>
      <c r="N154" s="3504"/>
      <c r="O154" s="3504"/>
      <c r="P154" s="3504"/>
      <c r="Q154" s="3504"/>
    </row>
    <row r="155" spans="1:30">
      <c r="A155" s="1178"/>
      <c r="B155" s="3570"/>
      <c r="C155" s="3504"/>
      <c r="D155" s="3504"/>
      <c r="E155" s="3504"/>
      <c r="F155" s="3504"/>
      <c r="G155" s="3504"/>
      <c r="H155" s="3504"/>
      <c r="I155" s="3504"/>
      <c r="J155" s="3504"/>
      <c r="K155" s="3504"/>
      <c r="L155" s="3504"/>
      <c r="M155" s="3504"/>
      <c r="N155" s="3504"/>
      <c r="O155" s="3504"/>
      <c r="P155" s="3504"/>
      <c r="Q155" s="3504"/>
    </row>
    <row r="156" spans="1:30">
      <c r="A156" s="1178"/>
      <c r="B156" s="3570"/>
      <c r="C156" s="3504"/>
      <c r="D156" s="3504"/>
      <c r="E156" s="3504"/>
      <c r="F156" s="3504"/>
      <c r="G156" s="3504"/>
      <c r="H156" s="3504"/>
      <c r="I156" s="3504"/>
      <c r="J156" s="3504"/>
      <c r="K156" s="3504"/>
      <c r="L156" s="3504"/>
      <c r="M156" s="3504"/>
      <c r="N156" s="3504"/>
      <c r="O156" s="3504"/>
      <c r="P156" s="3504"/>
      <c r="Q156" s="3504"/>
    </row>
    <row r="157" spans="1:30">
      <c r="A157" s="1178"/>
      <c r="B157" s="3570"/>
      <c r="C157" s="3504"/>
      <c r="D157" s="3504"/>
      <c r="E157" s="3504"/>
      <c r="F157" s="3504"/>
      <c r="G157" s="3504"/>
      <c r="H157" s="3504"/>
      <c r="I157" s="3504"/>
      <c r="J157" s="3504"/>
      <c r="K157" s="3504"/>
      <c r="L157" s="3504"/>
      <c r="M157" s="3504"/>
      <c r="N157" s="3504"/>
      <c r="O157" s="3504"/>
      <c r="P157" s="3504"/>
      <c r="Q157" s="3504"/>
    </row>
    <row r="158" spans="1:30">
      <c r="A158" s="1178"/>
      <c r="B158" s="3570"/>
      <c r="C158" s="3504"/>
      <c r="D158" s="3504"/>
      <c r="E158" s="3504"/>
      <c r="F158" s="3504"/>
      <c r="G158" s="3504"/>
      <c r="H158" s="3504"/>
      <c r="I158" s="3504"/>
      <c r="J158" s="3504"/>
      <c r="K158" s="3504"/>
      <c r="L158" s="3504"/>
      <c r="M158" s="3504"/>
      <c r="N158" s="3504"/>
      <c r="O158" s="3504"/>
      <c r="P158" s="3504"/>
      <c r="Q158" s="3504"/>
    </row>
    <row r="159" spans="1:30">
      <c r="A159" s="1178"/>
      <c r="B159" s="3570"/>
      <c r="C159" s="3753"/>
      <c r="D159" s="3753"/>
      <c r="E159" s="3753"/>
      <c r="F159" s="3753"/>
      <c r="G159" s="3753"/>
      <c r="H159" s="3753"/>
      <c r="I159" s="3753"/>
      <c r="J159" s="3753"/>
      <c r="K159" s="3753"/>
      <c r="L159" s="3753"/>
      <c r="M159" s="3753"/>
      <c r="N159" s="3753"/>
      <c r="O159" s="3753"/>
      <c r="P159" s="3753"/>
      <c r="Q159" s="3753"/>
    </row>
    <row r="160" spans="1:30">
      <c r="A160" s="1178"/>
      <c r="B160" s="3571"/>
      <c r="C160" s="3753"/>
      <c r="D160" s="3753"/>
      <c r="E160" s="3753"/>
      <c r="F160" s="3753"/>
      <c r="G160" s="3753"/>
      <c r="H160" s="3753"/>
      <c r="I160" s="3753"/>
      <c r="J160" s="3753"/>
      <c r="K160" s="3753"/>
      <c r="L160" s="3753"/>
      <c r="M160" s="3753"/>
      <c r="N160" s="3753"/>
      <c r="O160" s="3753"/>
      <c r="P160" s="3753"/>
      <c r="Q160" s="3753"/>
    </row>
    <row r="161" spans="1:17">
      <c r="A161" s="1178"/>
      <c r="B161" s="3571"/>
      <c r="C161" s="3753"/>
      <c r="D161" s="3753"/>
      <c r="E161" s="3753"/>
      <c r="F161" s="3753"/>
      <c r="G161" s="3753"/>
      <c r="H161" s="3753"/>
      <c r="I161" s="3753"/>
      <c r="J161" s="3753"/>
      <c r="K161" s="3753"/>
      <c r="L161" s="3753"/>
      <c r="M161" s="3753"/>
      <c r="N161" s="3753"/>
      <c r="O161" s="3753"/>
      <c r="P161" s="3753"/>
      <c r="Q161" s="3753"/>
    </row>
    <row r="162" spans="1:17">
      <c r="A162" s="1178"/>
      <c r="B162" s="3571"/>
      <c r="C162" s="3753"/>
      <c r="D162" s="3753"/>
      <c r="E162" s="3753"/>
      <c r="F162" s="3753"/>
      <c r="G162" s="3753"/>
      <c r="H162" s="3753"/>
      <c r="I162" s="3753"/>
      <c r="J162" s="3753"/>
      <c r="K162" s="3753"/>
      <c r="L162" s="3753"/>
      <c r="M162" s="3753"/>
      <c r="N162" s="3753"/>
      <c r="O162" s="3753"/>
      <c r="P162" s="3753"/>
      <c r="Q162" s="3753"/>
    </row>
    <row r="163" spans="1:17">
      <c r="A163" s="1178"/>
      <c r="B163" s="3571"/>
      <c r="C163" s="3753"/>
      <c r="D163" s="3753"/>
      <c r="E163" s="3753"/>
      <c r="F163" s="3753"/>
      <c r="G163" s="3753"/>
      <c r="H163" s="3753"/>
      <c r="I163" s="3753"/>
      <c r="J163" s="3753"/>
      <c r="K163" s="3753"/>
      <c r="L163" s="3753"/>
      <c r="M163" s="3753"/>
      <c r="N163" s="3753"/>
      <c r="O163" s="3753"/>
      <c r="P163" s="3753"/>
      <c r="Q163" s="3753"/>
    </row>
    <row r="164" spans="1:17">
      <c r="A164" s="1178"/>
      <c r="B164" s="3571"/>
      <c r="C164" s="3753"/>
      <c r="D164" s="3753"/>
      <c r="E164" s="3753"/>
      <c r="F164" s="3753"/>
      <c r="G164" s="3753"/>
      <c r="H164" s="3753"/>
      <c r="I164" s="3753"/>
      <c r="J164" s="3753"/>
      <c r="K164" s="3753"/>
      <c r="L164" s="3753"/>
      <c r="M164" s="3753"/>
      <c r="N164" s="3753"/>
      <c r="O164" s="3753"/>
      <c r="P164" s="3753"/>
      <c r="Q164" s="3753"/>
    </row>
    <row r="165" spans="1:17">
      <c r="A165" s="1178"/>
      <c r="B165" s="3571"/>
      <c r="C165" s="3753"/>
      <c r="D165" s="3753"/>
      <c r="E165" s="3753"/>
      <c r="F165" s="3753"/>
      <c r="G165" s="3753"/>
      <c r="H165" s="3753"/>
      <c r="I165" s="3753"/>
      <c r="J165" s="3753"/>
      <c r="K165" s="3753"/>
      <c r="L165" s="3753"/>
      <c r="M165" s="3753"/>
      <c r="N165" s="3753"/>
      <c r="O165" s="3753"/>
      <c r="P165" s="3753"/>
      <c r="Q165" s="3753"/>
    </row>
    <row r="166" spans="1:17">
      <c r="A166" s="1178"/>
      <c r="B166" s="3571"/>
      <c r="C166" s="3753"/>
      <c r="D166" s="3753"/>
      <c r="E166" s="3753"/>
      <c r="F166" s="3753"/>
      <c r="G166" s="3753"/>
      <c r="H166" s="3753"/>
      <c r="I166" s="3753"/>
      <c r="J166" s="3753"/>
      <c r="K166" s="3753"/>
      <c r="L166" s="3753"/>
      <c r="M166" s="3753"/>
      <c r="N166" s="3753"/>
      <c r="O166" s="3753"/>
      <c r="P166" s="3753"/>
      <c r="Q166" s="3753"/>
    </row>
    <row r="167" spans="1:17">
      <c r="A167" s="1178"/>
      <c r="B167" s="3571"/>
      <c r="C167" s="3753"/>
      <c r="D167" s="3753"/>
      <c r="E167" s="3753"/>
      <c r="F167" s="3753"/>
      <c r="G167" s="3753"/>
      <c r="H167" s="3753"/>
      <c r="I167" s="3753"/>
      <c r="J167" s="3753"/>
      <c r="K167" s="3753"/>
      <c r="L167" s="3753"/>
      <c r="M167" s="3753"/>
      <c r="N167" s="3753"/>
      <c r="O167" s="3753"/>
      <c r="P167" s="3753"/>
      <c r="Q167" s="3753"/>
    </row>
    <row r="168" spans="1:17">
      <c r="A168" s="1178"/>
      <c r="B168" s="3571"/>
      <c r="C168" s="3753"/>
      <c r="D168" s="3753"/>
      <c r="E168" s="3753"/>
      <c r="F168" s="3753"/>
      <c r="G168" s="3753"/>
      <c r="H168" s="3753"/>
      <c r="I168" s="3753"/>
      <c r="J168" s="3753"/>
      <c r="K168" s="3753"/>
      <c r="L168" s="3753"/>
      <c r="M168" s="3753"/>
      <c r="N168" s="3753"/>
      <c r="O168" s="3753"/>
      <c r="P168" s="3753"/>
      <c r="Q168" s="3753"/>
    </row>
    <row r="169" spans="1:17">
      <c r="A169" s="1178"/>
      <c r="B169" s="3570"/>
      <c r="C169" s="3753"/>
      <c r="D169" s="3753"/>
      <c r="E169" s="3753"/>
      <c r="F169" s="3753"/>
      <c r="G169" s="3753"/>
      <c r="H169" s="3753"/>
      <c r="I169" s="3753"/>
      <c r="J169" s="3753"/>
      <c r="K169" s="3753"/>
      <c r="L169" s="3753"/>
      <c r="M169" s="3753"/>
      <c r="N169" s="3753"/>
      <c r="O169" s="3753"/>
      <c r="P169" s="3753"/>
      <c r="Q169" s="3753"/>
    </row>
    <row r="170" spans="1:17">
      <c r="A170" s="1178"/>
      <c r="B170" s="3570"/>
      <c r="C170" s="1178"/>
      <c r="D170" s="1178"/>
      <c r="E170" s="1178"/>
      <c r="F170" s="1178"/>
      <c r="G170" s="1178"/>
      <c r="H170" s="1178"/>
      <c r="I170" s="1178"/>
      <c r="J170" s="1178"/>
      <c r="K170" s="1178"/>
      <c r="L170" s="1178"/>
      <c r="M170" s="1178"/>
      <c r="N170" s="1178"/>
      <c r="O170" s="1178"/>
      <c r="P170" s="1178"/>
      <c r="Q170" s="1178"/>
    </row>
    <row r="171" spans="1:17">
      <c r="A171" s="1178"/>
      <c r="B171" s="3570"/>
      <c r="C171" s="3753"/>
      <c r="D171" s="3753"/>
      <c r="E171" s="3753"/>
      <c r="F171" s="3753"/>
      <c r="G171" s="3753"/>
      <c r="H171" s="3753"/>
      <c r="I171" s="3753"/>
      <c r="J171" s="3753"/>
      <c r="K171" s="3753"/>
      <c r="L171" s="3753"/>
      <c r="M171" s="3753"/>
      <c r="N171" s="3753"/>
      <c r="O171" s="3753"/>
      <c r="P171" s="3753"/>
      <c r="Q171" s="3753"/>
    </row>
    <row r="172" spans="1:17">
      <c r="C172" s="1172"/>
      <c r="D172" s="1172"/>
      <c r="E172" s="1172"/>
      <c r="F172" s="1172"/>
      <c r="G172" s="1172"/>
      <c r="H172" s="1172"/>
      <c r="I172" s="1172"/>
      <c r="J172" s="1172"/>
      <c r="K172" s="1172"/>
      <c r="L172" s="1172"/>
      <c r="M172" s="1172"/>
      <c r="N172" s="1172"/>
      <c r="O172" s="1172"/>
      <c r="P172" s="1172"/>
      <c r="Q172" s="1172"/>
    </row>
    <row r="173" spans="1:17">
      <c r="C173" s="1172"/>
      <c r="D173" s="1172"/>
      <c r="E173" s="1172"/>
      <c r="F173" s="1172"/>
      <c r="G173" s="1172"/>
      <c r="H173" s="1172"/>
      <c r="I173" s="1172"/>
      <c r="J173" s="1172"/>
      <c r="K173" s="1172"/>
      <c r="L173" s="1172"/>
      <c r="M173" s="1172"/>
      <c r="N173" s="1172"/>
      <c r="O173" s="1172"/>
      <c r="P173" s="1172"/>
      <c r="Q173" s="1172"/>
    </row>
    <row r="174" spans="1:17">
      <c r="C174" s="1172"/>
      <c r="D174" s="1172"/>
      <c r="E174" s="1172"/>
      <c r="F174" s="1172"/>
      <c r="G174" s="1172"/>
      <c r="H174" s="1172"/>
      <c r="I174" s="1172"/>
      <c r="J174" s="1172"/>
      <c r="K174" s="1172"/>
      <c r="L174" s="1172"/>
      <c r="M174" s="1172"/>
      <c r="N174" s="1172"/>
      <c r="O174" s="1172"/>
      <c r="P174" s="1172"/>
      <c r="Q174" s="1172"/>
    </row>
    <row r="175" spans="1:17">
      <c r="C175" s="1172"/>
      <c r="D175" s="1172"/>
      <c r="E175" s="1172"/>
      <c r="F175" s="1172"/>
      <c r="G175" s="1172"/>
      <c r="H175" s="1172"/>
      <c r="I175" s="1172"/>
      <c r="J175" s="1172"/>
      <c r="K175" s="1172"/>
      <c r="L175" s="1172"/>
      <c r="M175" s="1172"/>
      <c r="N175" s="1172"/>
      <c r="O175" s="1172"/>
      <c r="P175" s="1172"/>
      <c r="Q175" s="1172"/>
    </row>
    <row r="176" spans="1:17">
      <c r="C176" s="1172"/>
      <c r="D176" s="1172"/>
      <c r="E176" s="1172"/>
      <c r="F176" s="1172"/>
      <c r="G176" s="1172"/>
      <c r="H176" s="1172"/>
      <c r="I176" s="1172"/>
      <c r="J176" s="1172"/>
      <c r="K176" s="1172"/>
      <c r="L176" s="1172"/>
      <c r="M176" s="1172"/>
      <c r="N176" s="1172"/>
      <c r="O176" s="1172"/>
      <c r="P176" s="1172"/>
      <c r="Q176" s="1172"/>
    </row>
    <row r="177" spans="3:17">
      <c r="C177" s="3504"/>
      <c r="D177" s="3504"/>
      <c r="E177" s="3504"/>
      <c r="F177" s="3504"/>
      <c r="G177" s="3504"/>
      <c r="H177" s="3504"/>
      <c r="I177" s="3504"/>
      <c r="J177" s="3504"/>
      <c r="K177" s="3504"/>
      <c r="L177" s="3504"/>
      <c r="M177" s="3504"/>
      <c r="N177" s="1172"/>
      <c r="O177" s="1172"/>
      <c r="P177" s="1172"/>
      <c r="Q177" s="1172"/>
    </row>
  </sheetData>
  <mergeCells count="17">
    <mergeCell ref="B8:E8"/>
    <mergeCell ref="B9:E9"/>
    <mergeCell ref="B10:E10"/>
    <mergeCell ref="B11:E11"/>
    <mergeCell ref="B16:B19"/>
    <mergeCell ref="C16:G16"/>
    <mergeCell ref="C17:J17"/>
    <mergeCell ref="C18:J18"/>
    <mergeCell ref="J151:Q151"/>
    <mergeCell ref="U16:Y16"/>
    <mergeCell ref="Z16:AB16"/>
    <mergeCell ref="U17:AB17"/>
    <mergeCell ref="U18:AB18"/>
    <mergeCell ref="H16:L16"/>
    <mergeCell ref="M16:Q16"/>
    <mergeCell ref="K17:Q17"/>
    <mergeCell ref="K18:Q18"/>
  </mergeCells>
  <pageMargins left="0.75" right="0.75" top="1" bottom="1" header="0.5" footer="0.5"/>
  <pageSetup paperSize="9" orientation="portrait" r:id="rId1"/>
  <headerFooter alignWithMargins="0"/>
  <customProperties>
    <customPr name="_pios_id" r:id="rId2"/>
  </customPropertie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autoPageBreaks="0" fitToPage="1"/>
  </sheetPr>
  <dimension ref="A1:AE117"/>
  <sheetViews>
    <sheetView showGridLines="0" topLeftCell="A7" zoomScale="70" zoomScaleNormal="70" zoomScaleSheetLayoutView="40" workbookViewId="0">
      <selection activeCell="L46" sqref="L46"/>
    </sheetView>
  </sheetViews>
  <sheetFormatPr defaultColWidth="9.140625" defaultRowHeight="12.75"/>
  <cols>
    <col min="1" max="1" width="16.28515625" style="69" bestFit="1" customWidth="1"/>
    <col min="2" max="2" width="52" style="69" customWidth="1"/>
    <col min="3" max="11" width="15.7109375" style="69" customWidth="1"/>
    <col min="12" max="12" width="19.7109375" style="69" customWidth="1"/>
    <col min="13" max="17" width="15.7109375" style="69" customWidth="1"/>
    <col min="18" max="18" width="12.42578125" bestFit="1" customWidth="1"/>
    <col min="19" max="20" width="8.7109375"/>
    <col min="21" max="28" width="15.7109375" style="1172" customWidth="1"/>
    <col min="29" max="29" width="8.7109375" customWidth="1"/>
    <col min="30" max="16384" width="9.140625" style="69"/>
  </cols>
  <sheetData>
    <row r="1" spans="1:31" s="177" customFormat="1" ht="24" customHeight="1">
      <c r="B1" s="2522" t="str">
        <f>IF(dms_DataQuality="backcast",INDEX(dms_Worksheet_List,MATCH(dms_Model,dms_Model_List))&amp;" BACKCAST",INDEX(dms_Worksheet_List,MATCH(dms_Model,dms_Model_List)))</f>
        <v>REGULATORY REPORTING STATEMENT</v>
      </c>
      <c r="C1" s="491"/>
      <c r="D1" s="491"/>
      <c r="E1" s="491"/>
      <c r="F1" s="491"/>
      <c r="G1" s="491"/>
      <c r="H1" s="179"/>
      <c r="I1" s="179"/>
      <c r="J1" s="179"/>
      <c r="K1" s="179"/>
      <c r="L1" s="179"/>
      <c r="M1" s="179" t="s">
        <v>381</v>
      </c>
      <c r="N1" s="179"/>
      <c r="O1" s="179"/>
      <c r="P1" s="179"/>
      <c r="Q1" s="179"/>
      <c r="R1" s="179"/>
      <c r="S1" s="179"/>
      <c r="T1" s="179"/>
      <c r="U1" s="491"/>
      <c r="V1" s="491"/>
      <c r="W1" s="491"/>
      <c r="X1" s="491"/>
      <c r="Y1" s="491"/>
      <c r="Z1" s="179"/>
      <c r="AA1" s="179"/>
      <c r="AB1" s="179"/>
      <c r="AC1"/>
    </row>
    <row r="2" spans="1:31" s="177" customFormat="1" ht="24" customHeight="1">
      <c r="B2" s="2526" t="str">
        <f>INDEX(dms_TradingNameFull_List,MATCH(dms_TradingName,dms_TradingName_List))</f>
        <v>AusNet Gas Services</v>
      </c>
      <c r="C2" s="180"/>
      <c r="D2" s="180"/>
      <c r="E2" s="180"/>
      <c r="F2" s="180"/>
      <c r="G2" s="180"/>
      <c r="H2" s="179"/>
      <c r="I2" s="179"/>
      <c r="J2" s="179"/>
      <c r="K2" s="179"/>
      <c r="L2" s="179"/>
      <c r="M2" s="179"/>
      <c r="N2" s="179"/>
      <c r="O2" s="179"/>
      <c r="P2" s="179"/>
      <c r="Q2" s="179"/>
      <c r="R2" s="179"/>
      <c r="S2" s="179"/>
      <c r="T2" s="179"/>
      <c r="U2" s="1173"/>
      <c r="V2" s="1173"/>
      <c r="W2" s="1173"/>
      <c r="X2" s="1173"/>
      <c r="Y2" s="1173"/>
      <c r="Z2" s="179"/>
      <c r="AA2" s="179"/>
      <c r="AB2" s="179"/>
      <c r="AC2"/>
    </row>
    <row r="3" spans="1:31" s="177" customFormat="1" ht="24" customHeight="1">
      <c r="B3" s="2526" t="str">
        <f ca="1">IF(SUM(dms_SingleYear_Model)&gt;0,CRY,CONCATENATE(FRCP_y1," to ",dms_MultiYear_FinalYear_Result))</f>
        <v>2018 to 2022</v>
      </c>
      <c r="C3" s="181"/>
      <c r="D3" s="181"/>
      <c r="E3" s="181"/>
      <c r="F3" s="181"/>
      <c r="G3" s="181"/>
      <c r="H3" s="182" t="str">
        <f>CONCATENATE(LEFT(FRCP_y1,4),"-",LEFT(FRCP_y5,2),RIGHT(FRCP_y5,2))</f>
        <v>2018-2022</v>
      </c>
      <c r="I3" s="182" t="str">
        <f>CONCATENATE(LEFT(FRCP_y1,4),"-",LEFT(FRCP_y5,2),RIGHT(FRCP_y5,2))</f>
        <v>2018-2022</v>
      </c>
      <c r="J3" s="181"/>
      <c r="K3" s="181"/>
      <c r="L3" s="181"/>
      <c r="M3" s="181"/>
      <c r="N3" s="181"/>
      <c r="O3" s="181"/>
      <c r="P3" s="181"/>
      <c r="Q3" s="181"/>
      <c r="R3" s="1171"/>
      <c r="S3" s="1171"/>
      <c r="T3" s="1171"/>
      <c r="U3" s="1171"/>
      <c r="V3" s="1171"/>
      <c r="W3" s="1171"/>
      <c r="X3" s="1171"/>
      <c r="Y3" s="1171"/>
      <c r="Z3" s="182"/>
      <c r="AA3" s="182"/>
      <c r="AB3" s="1171"/>
      <c r="AC3"/>
    </row>
    <row r="4" spans="1:31" s="159" customFormat="1" ht="24" customHeight="1">
      <c r="B4" s="10" t="s">
        <v>351</v>
      </c>
      <c r="C4" s="12"/>
      <c r="D4" s="12"/>
      <c r="E4" s="12"/>
      <c r="F4" s="12"/>
      <c r="G4" s="12"/>
      <c r="H4" s="12"/>
      <c r="I4" s="12"/>
      <c r="J4" s="12"/>
      <c r="K4" s="12"/>
      <c r="L4" s="12"/>
      <c r="M4" s="12"/>
      <c r="N4" s="12"/>
      <c r="O4" s="12"/>
      <c r="P4" s="12"/>
      <c r="Q4" s="12"/>
      <c r="R4" s="12"/>
      <c r="S4" s="12"/>
      <c r="T4" s="12"/>
      <c r="U4" s="12"/>
      <c r="V4" s="12"/>
      <c r="W4" s="12"/>
      <c r="X4" s="12"/>
      <c r="Y4" s="12"/>
      <c r="Z4" s="12"/>
      <c r="AA4" s="12"/>
      <c r="AB4" s="12"/>
      <c r="AC4"/>
    </row>
    <row r="5" spans="1:31" customFormat="1"/>
    <row r="6" spans="1:31" customFormat="1"/>
    <row r="7" spans="1:31">
      <c r="A7" s="701"/>
      <c r="B7" s="14" t="s">
        <v>59</v>
      </c>
      <c r="C7" s="14"/>
      <c r="D7" s="14"/>
      <c r="E7" s="14"/>
      <c r="F7" s="14"/>
      <c r="G7" s="14"/>
      <c r="H7" s="14"/>
      <c r="I7" s="14"/>
      <c r="J7" s="704"/>
      <c r="K7" s="704"/>
      <c r="L7" s="704"/>
      <c r="M7" s="361"/>
      <c r="N7" s="361"/>
      <c r="O7" s="361"/>
      <c r="P7" s="361"/>
      <c r="Q7" s="361"/>
      <c r="U7"/>
      <c r="V7"/>
      <c r="W7"/>
      <c r="X7"/>
      <c r="Y7"/>
      <c r="Z7"/>
      <c r="AA7"/>
      <c r="AB7"/>
    </row>
    <row r="8" spans="1:31">
      <c r="A8" s="701"/>
      <c r="B8" s="73" t="s">
        <v>221</v>
      </c>
      <c r="C8" s="73"/>
      <c r="D8" s="73"/>
      <c r="E8" s="73"/>
      <c r="F8" s="73"/>
      <c r="G8" s="73"/>
      <c r="H8" s="73"/>
      <c r="I8" s="73"/>
      <c r="J8" s="704"/>
      <c r="K8" s="704"/>
      <c r="L8" s="704"/>
      <c r="M8" s="361"/>
      <c r="N8" s="361"/>
      <c r="O8" s="361"/>
      <c r="P8" s="361"/>
      <c r="Q8" s="361"/>
      <c r="U8"/>
      <c r="V8"/>
      <c r="W8"/>
      <c r="X8"/>
      <c r="Y8"/>
      <c r="Z8"/>
      <c r="AA8"/>
      <c r="AB8"/>
    </row>
    <row r="9" spans="1:31">
      <c r="A9" s="701"/>
      <c r="B9" s="73"/>
      <c r="C9" s="73"/>
      <c r="D9" s="73"/>
      <c r="E9" s="73"/>
      <c r="F9" s="73"/>
      <c r="G9" s="73"/>
      <c r="H9" s="73"/>
      <c r="I9" s="73"/>
      <c r="J9" s="704"/>
      <c r="K9" s="704"/>
      <c r="L9" s="704"/>
      <c r="M9" s="361"/>
      <c r="N9" s="361"/>
      <c r="O9" s="361"/>
      <c r="P9" s="361"/>
      <c r="Q9" s="361"/>
      <c r="U9"/>
      <c r="V9"/>
      <c r="W9"/>
      <c r="X9"/>
      <c r="Y9"/>
      <c r="Z9"/>
      <c r="AA9"/>
      <c r="AB9"/>
    </row>
    <row r="10" spans="1:31">
      <c r="A10" s="361"/>
      <c r="B10" s="73" t="s">
        <v>229</v>
      </c>
      <c r="C10" s="73"/>
      <c r="D10" s="73"/>
      <c r="E10" s="73"/>
      <c r="F10" s="73"/>
      <c r="G10" s="73"/>
      <c r="H10" s="73"/>
      <c r="I10" s="73"/>
      <c r="J10" s="704"/>
      <c r="K10" s="704"/>
      <c r="L10" s="704"/>
      <c r="M10" s="701"/>
      <c r="N10" s="701"/>
      <c r="O10" s="701"/>
      <c r="P10" s="701"/>
      <c r="Q10" s="701"/>
      <c r="U10"/>
      <c r="V10"/>
      <c r="W10"/>
      <c r="X10"/>
      <c r="Y10"/>
      <c r="Z10"/>
      <c r="AA10"/>
      <c r="AB10"/>
    </row>
    <row r="11" spans="1:31" ht="12.75" customHeight="1">
      <c r="A11" s="361"/>
      <c r="B11" s="107"/>
      <c r="C11" s="107"/>
      <c r="D11" s="107"/>
      <c r="E11" s="107"/>
      <c r="F11" s="107"/>
      <c r="G11" s="107"/>
      <c r="H11" s="107"/>
      <c r="I11" s="107"/>
      <c r="J11" s="703"/>
      <c r="K11" s="703"/>
      <c r="L11" s="703"/>
      <c r="M11" s="701"/>
      <c r="N11" s="701"/>
      <c r="O11" s="701"/>
      <c r="P11" s="701"/>
      <c r="Q11" s="701"/>
      <c r="U11"/>
      <c r="V11"/>
      <c r="W11"/>
      <c r="X11"/>
      <c r="Y11"/>
      <c r="Z11"/>
      <c r="AA11"/>
      <c r="AB11"/>
    </row>
    <row r="12" spans="1:31" s="95" customFormat="1" ht="12.75" customHeight="1">
      <c r="A12" s="696"/>
      <c r="B12" s="4077" t="str">
        <f>CONCATENATE("For years ", PRCP_y1," to ", PRCP_y5," provide amounts approved by the jurisdictional regulator.")</f>
        <v>For years 2008 to 2012 provide amounts approved by the jurisdictional regulator.</v>
      </c>
      <c r="C12" s="4077"/>
      <c r="D12" s="4077"/>
      <c r="E12" s="4077"/>
      <c r="F12" s="4077"/>
      <c r="G12" s="4077"/>
      <c r="H12" s="4077"/>
      <c r="I12" s="4077"/>
      <c r="J12" s="703"/>
      <c r="K12" s="703"/>
      <c r="L12" s="701"/>
      <c r="M12" s="701"/>
      <c r="N12" s="701"/>
      <c r="O12" s="701"/>
      <c r="P12" s="701"/>
      <c r="Q12" s="701"/>
      <c r="R12"/>
      <c r="S12"/>
      <c r="T12"/>
      <c r="U12"/>
      <c r="V12"/>
      <c r="W12"/>
      <c r="X12"/>
      <c r="Y12"/>
      <c r="Z12"/>
      <c r="AA12"/>
      <c r="AB12"/>
      <c r="AC12"/>
    </row>
    <row r="13" spans="1:31">
      <c r="A13" s="361"/>
      <c r="B13" s="701"/>
      <c r="C13" s="701"/>
      <c r="D13" s="701"/>
      <c r="E13" s="701"/>
      <c r="F13" s="701"/>
      <c r="G13" s="701"/>
      <c r="H13" s="701"/>
      <c r="I13" s="703"/>
      <c r="J13" s="703"/>
      <c r="K13" s="703"/>
      <c r="L13" s="701"/>
      <c r="M13" s="701"/>
      <c r="N13" s="701"/>
      <c r="O13" s="701"/>
      <c r="P13" s="701"/>
      <c r="Q13" s="701"/>
      <c r="U13" s="1174"/>
      <c r="V13" s="1174"/>
      <c r="W13" s="1174"/>
      <c r="X13" s="1174"/>
      <c r="Y13" s="1174"/>
      <c r="Z13" s="1174"/>
      <c r="AA13" s="703"/>
      <c r="AB13" s="703"/>
    </row>
    <row r="14" spans="1:31" ht="13.5" thickBot="1">
      <c r="A14" s="361"/>
      <c r="B14" s="361"/>
      <c r="C14" s="361"/>
      <c r="D14" s="361"/>
      <c r="E14" s="361"/>
      <c r="F14" s="361"/>
      <c r="G14" s="361"/>
      <c r="H14" s="361"/>
      <c r="I14" s="361"/>
      <c r="J14" s="361"/>
      <c r="K14" s="361"/>
      <c r="L14" s="361"/>
      <c r="M14" s="361"/>
      <c r="N14" s="361"/>
      <c r="O14" s="361"/>
      <c r="P14" s="361"/>
      <c r="Q14" s="361"/>
      <c r="U14" s="1174"/>
      <c r="V14" s="1174"/>
      <c r="W14" s="1174"/>
      <c r="X14" s="1174"/>
      <c r="Y14" s="1174"/>
      <c r="Z14" s="1174"/>
      <c r="AA14" s="1174"/>
      <c r="AB14" s="1174"/>
    </row>
    <row r="15" spans="1:31" s="183" customFormat="1" ht="24.75" customHeight="1" thickBot="1">
      <c r="A15" s="262"/>
      <c r="B15" s="735" t="s">
        <v>505</v>
      </c>
      <c r="C15" s="736"/>
      <c r="D15" s="736"/>
      <c r="E15" s="736"/>
      <c r="F15" s="735"/>
      <c r="G15" s="736"/>
      <c r="H15" s="736"/>
      <c r="I15" s="736"/>
      <c r="J15" s="735"/>
      <c r="K15" s="736"/>
      <c r="L15" s="736"/>
      <c r="M15" s="735"/>
      <c r="N15" s="736"/>
      <c r="O15" s="736"/>
      <c r="P15" s="736"/>
      <c r="Q15" s="735"/>
      <c r="R15" s="1172"/>
      <c r="S15" s="1172"/>
      <c r="T15" s="1172"/>
      <c r="U15" s="735" t="s">
        <v>642</v>
      </c>
      <c r="V15" s="736"/>
      <c r="W15" s="736"/>
      <c r="X15" s="735"/>
      <c r="Y15" s="736"/>
      <c r="Z15" s="736"/>
      <c r="AA15" s="736"/>
      <c r="AB15" s="1201"/>
      <c r="AC15" s="1172"/>
      <c r="AD15" s="1172"/>
      <c r="AE15" s="1172"/>
    </row>
    <row r="16" spans="1:31" s="78" customFormat="1" ht="24.75" customHeight="1" thickBot="1">
      <c r="A16" s="262"/>
      <c r="B16" s="1258" t="s">
        <v>550</v>
      </c>
      <c r="C16" s="1280"/>
      <c r="D16" s="1280"/>
      <c r="E16" s="1280"/>
      <c r="F16" s="1259"/>
      <c r="G16" s="1280"/>
      <c r="H16" s="1280"/>
      <c r="I16" s="1280"/>
      <c r="J16" s="1259"/>
      <c r="K16" s="1280"/>
      <c r="L16" s="1280"/>
      <c r="M16" s="1259"/>
      <c r="N16" s="1280"/>
      <c r="O16" s="1280"/>
      <c r="P16" s="1280"/>
      <c r="Q16" s="1260"/>
      <c r="R16"/>
      <c r="S16"/>
      <c r="T16"/>
      <c r="U16" s="1770"/>
      <c r="V16" s="1280"/>
      <c r="W16" s="1280"/>
      <c r="X16" s="1259"/>
      <c r="Y16" s="1280"/>
      <c r="Z16" s="1280"/>
      <c r="AA16" s="1280"/>
      <c r="AB16" s="1260"/>
      <c r="AC16"/>
      <c r="AD16"/>
      <c r="AE16"/>
    </row>
    <row r="17" spans="1:31" s="72" customFormat="1" ht="16.5" customHeight="1">
      <c r="A17" s="702"/>
      <c r="B17" s="4362"/>
      <c r="C17" s="4073" t="s">
        <v>36</v>
      </c>
      <c r="D17" s="3997"/>
      <c r="E17" s="3997"/>
      <c r="F17" s="3997"/>
      <c r="G17" s="3997"/>
      <c r="H17" s="4074" t="s">
        <v>37</v>
      </c>
      <c r="I17" s="4075"/>
      <c r="J17" s="4075"/>
      <c r="K17" s="4075"/>
      <c r="L17" s="4075"/>
      <c r="M17" s="3960" t="s">
        <v>73</v>
      </c>
      <c r="N17" s="3960"/>
      <c r="O17" s="3960"/>
      <c r="P17" s="3960"/>
      <c r="Q17" s="4099"/>
      <c r="R17"/>
      <c r="S17"/>
      <c r="T17"/>
      <c r="U17" s="4073" t="s">
        <v>36</v>
      </c>
      <c r="V17" s="3997"/>
      <c r="W17" s="3997"/>
      <c r="X17" s="3997"/>
      <c r="Y17" s="3997"/>
      <c r="Z17" s="4074" t="s">
        <v>37</v>
      </c>
      <c r="AA17" s="4075"/>
      <c r="AB17" s="4082"/>
      <c r="AC17"/>
      <c r="AD17"/>
      <c r="AE17"/>
    </row>
    <row r="18" spans="1:31" ht="15" customHeight="1">
      <c r="A18" s="314"/>
      <c r="B18" s="4207"/>
      <c r="C18" s="3985" t="s">
        <v>543</v>
      </c>
      <c r="D18" s="3986"/>
      <c r="E18" s="3986"/>
      <c r="F18" s="3986"/>
      <c r="G18" s="3986"/>
      <c r="H18" s="3986"/>
      <c r="I18" s="3986"/>
      <c r="J18" s="3987"/>
      <c r="K18" s="3988" t="str">
        <f>CONCATENATE("$0's, real ",dms_DollarReal)</f>
        <v>$0's, real December 2017</v>
      </c>
      <c r="L18" s="3989"/>
      <c r="M18" s="3989"/>
      <c r="N18" s="3989"/>
      <c r="O18" s="3989"/>
      <c r="P18" s="3989"/>
      <c r="Q18" s="3990"/>
      <c r="U18" s="3985" t="str">
        <f>CONCATENATE("$0's, real ",dms_DollarReal)</f>
        <v>$0's, real December 2017</v>
      </c>
      <c r="V18" s="3986"/>
      <c r="W18" s="3986"/>
      <c r="X18" s="3986"/>
      <c r="Y18" s="3986"/>
      <c r="Z18" s="3986"/>
      <c r="AA18" s="3986"/>
      <c r="AB18" s="4030"/>
    </row>
    <row r="19" spans="1:31" s="72" customFormat="1" ht="16.5" customHeight="1">
      <c r="A19" s="702"/>
      <c r="B19" s="4207"/>
      <c r="C19" s="3985" t="s">
        <v>54</v>
      </c>
      <c r="D19" s="3986"/>
      <c r="E19" s="3986"/>
      <c r="F19" s="3986"/>
      <c r="G19" s="3986"/>
      <c r="H19" s="3986"/>
      <c r="I19" s="3986"/>
      <c r="J19" s="3987"/>
      <c r="K19" s="3988" t="s">
        <v>55</v>
      </c>
      <c r="L19" s="3989"/>
      <c r="M19" s="3989"/>
      <c r="N19" s="3989"/>
      <c r="O19" s="3989"/>
      <c r="P19" s="3989"/>
      <c r="Q19" s="3990"/>
      <c r="R19"/>
      <c r="S19"/>
      <c r="T19"/>
      <c r="U19" s="3985" t="s">
        <v>54</v>
      </c>
      <c r="V19" s="3986"/>
      <c r="W19" s="3986"/>
      <c r="X19" s="3986"/>
      <c r="Y19" s="3986"/>
      <c r="Z19" s="3986"/>
      <c r="AA19" s="3986"/>
      <c r="AB19" s="4030"/>
      <c r="AC19"/>
    </row>
    <row r="20" spans="1:31" ht="12.75" customHeight="1" thickBot="1">
      <c r="A20" s="361"/>
      <c r="B20" s="4363"/>
      <c r="C20" s="1438">
        <f t="array" ref="C20:G20">PRCP</f>
        <v>2008</v>
      </c>
      <c r="D20" s="342">
        <v>2009</v>
      </c>
      <c r="E20" s="342">
        <v>2010</v>
      </c>
      <c r="F20" s="342">
        <v>2011</v>
      </c>
      <c r="G20" s="342">
        <v>2012</v>
      </c>
      <c r="H20" s="344">
        <f>CRCP_y1</f>
        <v>2013</v>
      </c>
      <c r="I20" s="344">
        <f>CRCP_y2</f>
        <v>2014</v>
      </c>
      <c r="J20" s="344">
        <f>CRCP_y3</f>
        <v>2015</v>
      </c>
      <c r="K20" s="344">
        <f>CRCP_y4</f>
        <v>2016</v>
      </c>
      <c r="L20" s="344">
        <f>CRCP_y5</f>
        <v>2017</v>
      </c>
      <c r="M20" s="342" t="str">
        <f t="array" ref="M20:Q20">FRCP</f>
        <v>2018</v>
      </c>
      <c r="N20" s="342">
        <v>2019</v>
      </c>
      <c r="O20" s="342">
        <v>2020</v>
      </c>
      <c r="P20" s="342">
        <v>2021</v>
      </c>
      <c r="Q20" s="443">
        <v>2022</v>
      </c>
      <c r="U20" s="1438">
        <f t="array" ref="U20:Y20">PRCP</f>
        <v>2008</v>
      </c>
      <c r="V20" s="342">
        <v>2009</v>
      </c>
      <c r="W20" s="342">
        <v>2010</v>
      </c>
      <c r="X20" s="342">
        <v>2011</v>
      </c>
      <c r="Y20" s="342">
        <v>2012</v>
      </c>
      <c r="Z20" s="344">
        <f>CRCP_y1</f>
        <v>2013</v>
      </c>
      <c r="AA20" s="344">
        <f>CRCP_y2</f>
        <v>2014</v>
      </c>
      <c r="AB20" s="542">
        <f>CRCP_y3</f>
        <v>2015</v>
      </c>
    </row>
    <row r="21" spans="1:31">
      <c r="A21" s="361"/>
      <c r="B21" s="1218" t="s">
        <v>1321</v>
      </c>
      <c r="C21" s="2962">
        <v>0</v>
      </c>
      <c r="D21" s="2963">
        <v>158524.43762553245</v>
      </c>
      <c r="E21" s="2963">
        <v>6281.6047604775649</v>
      </c>
      <c r="F21" s="2963">
        <v>661561.21105829172</v>
      </c>
      <c r="G21" s="2964">
        <v>536590.83293460798</v>
      </c>
      <c r="H21" s="2962">
        <v>2175569.8034455199</v>
      </c>
      <c r="I21" s="2963">
        <v>20455264.072266102</v>
      </c>
      <c r="J21" s="2963">
        <v>654512.73101981997</v>
      </c>
      <c r="K21" s="2963">
        <v>1327738.0658386622</v>
      </c>
      <c r="L21" s="2964">
        <v>3566039.6071106638</v>
      </c>
      <c r="M21" s="2962">
        <v>3573843.5704927077</v>
      </c>
      <c r="N21" s="2963">
        <v>2570335.4565530047</v>
      </c>
      <c r="O21" s="2963">
        <v>2069902.230373757</v>
      </c>
      <c r="P21" s="2963">
        <v>2098813.078287337</v>
      </c>
      <c r="Q21" s="2964">
        <v>3193065.2203370482</v>
      </c>
      <c r="U21" s="1775"/>
      <c r="V21" s="1771"/>
      <c r="W21" s="1771"/>
      <c r="X21" s="1771"/>
      <c r="Y21" s="1776"/>
      <c r="Z21" s="1775"/>
      <c r="AA21" s="1771"/>
      <c r="AB21" s="1776"/>
    </row>
    <row r="22" spans="1:31">
      <c r="A22" s="361"/>
      <c r="B22" s="1219" t="s">
        <v>1322</v>
      </c>
      <c r="C22" s="2965">
        <v>28319983.373829674</v>
      </c>
      <c r="D22" s="2966">
        <v>24390167.486857805</v>
      </c>
      <c r="E22" s="2966">
        <v>32417695.985006072</v>
      </c>
      <c r="F22" s="2966">
        <v>39269105.362079702</v>
      </c>
      <c r="G22" s="2967">
        <v>38694199.480910882</v>
      </c>
      <c r="H22" s="2965">
        <v>33852059.501788802</v>
      </c>
      <c r="I22" s="2966">
        <v>29975928.124910459</v>
      </c>
      <c r="J22" s="2966">
        <v>34713854.341334663</v>
      </c>
      <c r="K22" s="2966">
        <v>19721161.317108344</v>
      </c>
      <c r="L22" s="2967">
        <v>24106040.622312784</v>
      </c>
      <c r="M22" s="2965">
        <v>28368704.630472858</v>
      </c>
      <c r="N22" s="2966">
        <v>25626815.782095421</v>
      </c>
      <c r="O22" s="2966">
        <v>26681519.920896426</v>
      </c>
      <c r="P22" s="2966">
        <v>23914676.023897205</v>
      </c>
      <c r="Q22" s="2967">
        <v>23898647.682026684</v>
      </c>
      <c r="U22" s="1772"/>
      <c r="V22" s="1773"/>
      <c r="W22" s="1773"/>
      <c r="X22" s="1773"/>
      <c r="Y22" s="1777"/>
      <c r="Z22" s="1772"/>
      <c r="AA22" s="1773"/>
      <c r="AB22" s="1777"/>
    </row>
    <row r="23" spans="1:31">
      <c r="A23" s="361"/>
      <c r="B23" s="1219" t="s">
        <v>1323</v>
      </c>
      <c r="C23" s="2965">
        <v>23866294.106711876</v>
      </c>
      <c r="D23" s="2966">
        <v>25823847.778424606</v>
      </c>
      <c r="E23" s="2966">
        <v>21503396.20444696</v>
      </c>
      <c r="F23" s="2966">
        <v>22439523.789636612</v>
      </c>
      <c r="G23" s="2967">
        <v>26839660.678208917</v>
      </c>
      <c r="H23" s="2965">
        <v>24526103.180260744</v>
      </c>
      <c r="I23" s="2966">
        <v>37636331.164538398</v>
      </c>
      <c r="J23" s="2966">
        <v>37531124.408232681</v>
      </c>
      <c r="K23" s="2966">
        <v>36811367.56555666</v>
      </c>
      <c r="L23" s="2967">
        <v>36551209.463994466</v>
      </c>
      <c r="M23" s="2965">
        <v>39715378.867159612</v>
      </c>
      <c r="N23" s="2966">
        <v>39043230.463193551</v>
      </c>
      <c r="O23" s="2966">
        <v>40573125.080980688</v>
      </c>
      <c r="P23" s="2966">
        <v>37131931.628943741</v>
      </c>
      <c r="Q23" s="2967">
        <v>36235097.407012679</v>
      </c>
      <c r="U23" s="1772"/>
      <c r="V23" s="1773"/>
      <c r="W23" s="1773"/>
      <c r="X23" s="1773"/>
      <c r="Y23" s="1777"/>
      <c r="Z23" s="1772"/>
      <c r="AA23" s="1773"/>
      <c r="AB23" s="1777"/>
    </row>
    <row r="24" spans="1:31">
      <c r="A24" s="361"/>
      <c r="B24" s="1219" t="s">
        <v>1324</v>
      </c>
      <c r="C24" s="2965">
        <v>208656.13397283526</v>
      </c>
      <c r="D24" s="2966">
        <v>559197.2235833162</v>
      </c>
      <c r="E24" s="2966">
        <v>0</v>
      </c>
      <c r="F24" s="2966">
        <v>534871.55944412225</v>
      </c>
      <c r="G24" s="2967">
        <v>380935.07755989151</v>
      </c>
      <c r="H24" s="2965">
        <v>611480.09984580765</v>
      </c>
      <c r="I24" s="2966">
        <v>355239.83</v>
      </c>
      <c r="J24" s="2966">
        <v>210364.52005483641</v>
      </c>
      <c r="K24" s="2966">
        <v>357853.04097347194</v>
      </c>
      <c r="L24" s="2967">
        <v>318237.60671106225</v>
      </c>
      <c r="M24" s="2965">
        <v>431081.74872298707</v>
      </c>
      <c r="N24" s="2966">
        <v>436019.43399926275</v>
      </c>
      <c r="O24" s="2966">
        <v>442851.27929337457</v>
      </c>
      <c r="P24" s="2966">
        <v>450407.72864572622</v>
      </c>
      <c r="Q24" s="2967">
        <v>456856.571631375</v>
      </c>
      <c r="U24" s="1772"/>
      <c r="V24" s="1773"/>
      <c r="W24" s="1773"/>
      <c r="X24" s="1773"/>
      <c r="Y24" s="1777"/>
      <c r="Z24" s="1772"/>
      <c r="AA24" s="1773"/>
      <c r="AB24" s="1777"/>
    </row>
    <row r="25" spans="1:31">
      <c r="A25" s="361"/>
      <c r="B25" s="1219" t="s">
        <v>1411</v>
      </c>
      <c r="C25" s="2965">
        <v>1737763.0348552966</v>
      </c>
      <c r="D25" s="2966">
        <v>1263084.9723944906</v>
      </c>
      <c r="E25" s="2966">
        <v>363514.20187330287</v>
      </c>
      <c r="F25" s="2966">
        <v>1182638.2567235383</v>
      </c>
      <c r="G25" s="2967">
        <v>2705572.6536047938</v>
      </c>
      <c r="H25" s="2965">
        <v>3318317.232502799</v>
      </c>
      <c r="I25" s="2966">
        <v>6168779.6072363388</v>
      </c>
      <c r="J25" s="2966">
        <v>4088457.4939204552</v>
      </c>
      <c r="K25" s="2966">
        <v>1645956.9584861239</v>
      </c>
      <c r="L25" s="2967">
        <v>5845552.2066326942</v>
      </c>
      <c r="M25" s="2965">
        <v>7751522.1072127977</v>
      </c>
      <c r="N25" s="2966">
        <v>6970975.0877386061</v>
      </c>
      <c r="O25" s="2966">
        <v>4631018.8034528727</v>
      </c>
      <c r="P25" s="2966">
        <v>4478401.1345964922</v>
      </c>
      <c r="Q25" s="2967">
        <v>4074795.316804545</v>
      </c>
      <c r="U25" s="1772"/>
      <c r="V25" s="1773"/>
      <c r="W25" s="1773"/>
      <c r="X25" s="1773"/>
      <c r="Y25" s="1777"/>
      <c r="Z25" s="1772"/>
      <c r="AA25" s="1773"/>
      <c r="AB25" s="1777"/>
    </row>
    <row r="26" spans="1:31">
      <c r="A26" s="361"/>
      <c r="B26" s="1219" t="s">
        <v>61</v>
      </c>
      <c r="C26" s="2965">
        <v>10413576.331821324</v>
      </c>
      <c r="D26" s="2966">
        <v>6108823.6662310176</v>
      </c>
      <c r="E26" s="2966">
        <v>7049038.0979225803</v>
      </c>
      <c r="F26" s="2966">
        <v>7311178.4821559833</v>
      </c>
      <c r="G26" s="2967">
        <v>8655230.8972121365</v>
      </c>
      <c r="H26" s="2965">
        <v>12211483.946230289</v>
      </c>
      <c r="I26" s="2966">
        <v>10980828.659815803</v>
      </c>
      <c r="J26" s="2966">
        <v>8874559.8626749944</v>
      </c>
      <c r="K26" s="2966">
        <v>15974223.977955002</v>
      </c>
      <c r="L26" s="2967">
        <v>14136902.422258325</v>
      </c>
      <c r="M26" s="2965">
        <v>15093230.02560279</v>
      </c>
      <c r="N26" s="2966">
        <v>15894269.22607157</v>
      </c>
      <c r="O26" s="2966">
        <v>15763154.219176395</v>
      </c>
      <c r="P26" s="2966">
        <v>16454715.824502189</v>
      </c>
      <c r="Q26" s="2967">
        <v>16262385.566234041</v>
      </c>
      <c r="U26" s="1772"/>
      <c r="V26" s="1773"/>
      <c r="W26" s="1773"/>
      <c r="X26" s="1773"/>
      <c r="Y26" s="1777"/>
      <c r="Z26" s="1772"/>
      <c r="AA26" s="1773"/>
      <c r="AB26" s="1777"/>
    </row>
    <row r="27" spans="1:31" s="1172" customFormat="1">
      <c r="A27" s="1174"/>
      <c r="B27" s="2729" t="s">
        <v>1325</v>
      </c>
      <c r="C27" s="3333">
        <v>-22018.991191008303</v>
      </c>
      <c r="D27" s="3334">
        <v>1472624.0948832289</v>
      </c>
      <c r="E27" s="3334">
        <v>772313.3618421373</v>
      </c>
      <c r="F27" s="3334">
        <v>727918.42859096476</v>
      </c>
      <c r="G27" s="3335">
        <v>324445.71187982504</v>
      </c>
      <c r="H27" s="3333">
        <v>671987.16679383838</v>
      </c>
      <c r="I27" s="3334">
        <v>291750.14123288204</v>
      </c>
      <c r="J27" s="3334">
        <v>483907.70276255161</v>
      </c>
      <c r="K27" s="3334">
        <v>436901.68565416371</v>
      </c>
      <c r="L27" s="3335">
        <v>471923.30476296163</v>
      </c>
      <c r="M27" s="3333">
        <v>431704.36591092305</v>
      </c>
      <c r="N27" s="3334">
        <v>388976.73664022807</v>
      </c>
      <c r="O27" s="3334">
        <v>354573.42691639392</v>
      </c>
      <c r="P27" s="3334">
        <v>1424869.8349133793</v>
      </c>
      <c r="Q27" s="3335">
        <v>1537958.5920179295</v>
      </c>
      <c r="U27" s="1816"/>
      <c r="V27" s="1817"/>
      <c r="W27" s="1817"/>
      <c r="X27" s="1817"/>
      <c r="Y27" s="1818"/>
      <c r="Z27" s="1816"/>
      <c r="AA27" s="1817"/>
      <c r="AB27" s="1818"/>
    </row>
    <row r="28" spans="1:31" s="1172" customFormat="1">
      <c r="A28" s="1174"/>
      <c r="B28" s="2729" t="s">
        <v>1326</v>
      </c>
      <c r="C28" s="3333">
        <v>0</v>
      </c>
      <c r="D28" s="3334">
        <v>0</v>
      </c>
      <c r="E28" s="3334">
        <v>0</v>
      </c>
      <c r="F28" s="3334">
        <v>0</v>
      </c>
      <c r="G28" s="3335">
        <v>0</v>
      </c>
      <c r="H28" s="3333">
        <v>0</v>
      </c>
      <c r="I28" s="3334">
        <v>0</v>
      </c>
      <c r="J28" s="3334">
        <v>0</v>
      </c>
      <c r="K28" s="3334">
        <v>0</v>
      </c>
      <c r="L28" s="3335">
        <v>0</v>
      </c>
      <c r="M28" s="3333">
        <v>0</v>
      </c>
      <c r="N28" s="3334">
        <v>0</v>
      </c>
      <c r="O28" s="3334">
        <v>0</v>
      </c>
      <c r="P28" s="3334">
        <v>0</v>
      </c>
      <c r="Q28" s="3335">
        <v>0</v>
      </c>
      <c r="U28" s="1816"/>
      <c r="V28" s="1817"/>
      <c r="W28" s="1817"/>
      <c r="X28" s="1817"/>
      <c r="Y28" s="1818"/>
      <c r="Z28" s="1816"/>
      <c r="AA28" s="1817"/>
      <c r="AB28" s="1818"/>
    </row>
    <row r="29" spans="1:31" s="1172" customFormat="1">
      <c r="A29" s="1174"/>
      <c r="B29" s="2729" t="s">
        <v>1327</v>
      </c>
      <c r="C29" s="3333">
        <v>1824393.5489999999</v>
      </c>
      <c r="D29" s="3334">
        <v>10020140.897699794</v>
      </c>
      <c r="E29" s="3334">
        <v>9599076.6619563513</v>
      </c>
      <c r="F29" s="3334">
        <v>10113057.614042563</v>
      </c>
      <c r="G29" s="3335">
        <v>14494830.708255729</v>
      </c>
      <c r="H29" s="3333">
        <v>16019970.331897907</v>
      </c>
      <c r="I29" s="3334">
        <v>13233906.611243596</v>
      </c>
      <c r="J29" s="3334">
        <v>8785473.7259523179</v>
      </c>
      <c r="K29" s="3334">
        <v>6916852.0674862722</v>
      </c>
      <c r="L29" s="3335">
        <v>13024844.331656948</v>
      </c>
      <c r="M29" s="3333">
        <v>14091147.096097752</v>
      </c>
      <c r="N29" s="3334">
        <v>15270541.715668358</v>
      </c>
      <c r="O29" s="3334">
        <v>13245462.489525035</v>
      </c>
      <c r="P29" s="3334">
        <v>11421310.400092039</v>
      </c>
      <c r="Q29" s="3335">
        <v>7545275.1873244364</v>
      </c>
      <c r="U29" s="1816"/>
      <c r="V29" s="1817"/>
      <c r="W29" s="1817"/>
      <c r="X29" s="1817"/>
      <c r="Y29" s="1818"/>
      <c r="Z29" s="1816"/>
      <c r="AA29" s="1817"/>
      <c r="AB29" s="1818"/>
    </row>
    <row r="30" spans="1:31" s="1172" customFormat="1">
      <c r="A30" s="1174"/>
      <c r="B30" s="2729" t="s">
        <v>1328</v>
      </c>
      <c r="C30" s="3333">
        <v>297037.04352506052</v>
      </c>
      <c r="D30" s="3334">
        <v>309652.93045029161</v>
      </c>
      <c r="E30" s="3334">
        <v>351948.06169740605</v>
      </c>
      <c r="F30" s="3334">
        <v>641181.51393028838</v>
      </c>
      <c r="G30" s="3335">
        <v>247307.11483951868</v>
      </c>
      <c r="H30" s="3333">
        <v>471996.51614536881</v>
      </c>
      <c r="I30" s="3334">
        <v>52350.210103999998</v>
      </c>
      <c r="J30" s="3334">
        <v>383577.43737627892</v>
      </c>
      <c r="K30" s="3334">
        <v>188898.47677702026</v>
      </c>
      <c r="L30" s="3335">
        <v>360914.01009034616</v>
      </c>
      <c r="M30" s="3333">
        <v>377822.44339173759</v>
      </c>
      <c r="N30" s="3334">
        <v>384077.2028420287</v>
      </c>
      <c r="O30" s="3334">
        <v>384964.40638063266</v>
      </c>
      <c r="P30" s="3334">
        <v>386184.06396095792</v>
      </c>
      <c r="Q30" s="3335">
        <v>387438.60821690509</v>
      </c>
      <c r="U30" s="1816"/>
      <c r="V30" s="1817"/>
      <c r="W30" s="1817"/>
      <c r="X30" s="1817"/>
      <c r="Y30" s="1818"/>
      <c r="Z30" s="1816"/>
      <c r="AA30" s="1817"/>
      <c r="AB30" s="1818"/>
    </row>
    <row r="31" spans="1:31" ht="13.5" thickBot="1">
      <c r="A31" s="361"/>
      <c r="B31" s="1220" t="s">
        <v>509</v>
      </c>
      <c r="C31" s="3336">
        <v>0</v>
      </c>
      <c r="D31" s="3337">
        <v>0</v>
      </c>
      <c r="E31" s="3337">
        <v>0</v>
      </c>
      <c r="F31" s="3337">
        <v>0</v>
      </c>
      <c r="G31" s="3338">
        <v>0</v>
      </c>
      <c r="H31" s="3336">
        <v>0</v>
      </c>
      <c r="I31" s="3337">
        <v>0</v>
      </c>
      <c r="J31" s="3337">
        <v>0</v>
      </c>
      <c r="K31" s="3337">
        <v>0</v>
      </c>
      <c r="L31" s="3338">
        <v>0</v>
      </c>
      <c r="M31" s="3336">
        <v>0</v>
      </c>
      <c r="N31" s="3337">
        <v>0</v>
      </c>
      <c r="O31" s="3337">
        <v>0</v>
      </c>
      <c r="P31" s="3337">
        <v>0</v>
      </c>
      <c r="Q31" s="3338">
        <v>0</v>
      </c>
      <c r="U31" s="1778"/>
      <c r="V31" s="1774"/>
      <c r="W31" s="1774"/>
      <c r="X31" s="1774"/>
      <c r="Y31" s="1779"/>
      <c r="Z31" s="1778"/>
      <c r="AA31" s="1774"/>
      <c r="AB31" s="1779"/>
    </row>
    <row r="32" spans="1:31" ht="44.25" customHeight="1" thickBot="1">
      <c r="A32" s="361"/>
      <c r="B32" s="70"/>
      <c r="C32" s="70"/>
      <c r="D32" s="70"/>
      <c r="E32" s="70"/>
      <c r="F32" s="3551"/>
      <c r="G32" s="70"/>
      <c r="H32" s="70"/>
      <c r="I32" s="70"/>
      <c r="J32" s="70"/>
      <c r="K32" s="70"/>
      <c r="L32" s="70"/>
      <c r="M32" s="361"/>
      <c r="N32" s="361"/>
      <c r="O32" s="361"/>
      <c r="P32" s="361"/>
      <c r="Q32" s="361"/>
      <c r="U32" s="70"/>
      <c r="V32" s="70"/>
      <c r="W32" s="70"/>
      <c r="X32" s="70"/>
      <c r="Y32" s="70"/>
      <c r="Z32" s="70"/>
      <c r="AA32" s="70"/>
      <c r="AB32" s="70"/>
    </row>
    <row r="33" spans="1:29" s="78" customFormat="1" ht="24.75" customHeight="1" thickBot="1">
      <c r="A33" s="262"/>
      <c r="B33" s="1258" t="s">
        <v>350</v>
      </c>
      <c r="C33" s="1280"/>
      <c r="D33" s="1280"/>
      <c r="E33" s="1280"/>
      <c r="F33" s="1259"/>
      <c r="G33" s="1280"/>
      <c r="H33" s="1280"/>
      <c r="I33" s="1280"/>
      <c r="J33" s="1259"/>
      <c r="K33" s="1280"/>
      <c r="L33" s="1282"/>
      <c r="M33" s="262"/>
      <c r="N33" s="242"/>
      <c r="O33" s="242"/>
      <c r="P33" s="242"/>
      <c r="Q33" s="242"/>
      <c r="R33"/>
      <c r="S33"/>
      <c r="T33"/>
      <c r="U33"/>
      <c r="V33"/>
      <c r="W33"/>
      <c r="X33"/>
      <c r="Y33"/>
      <c r="Z33"/>
      <c r="AA33"/>
      <c r="AB33"/>
      <c r="AC33"/>
    </row>
    <row r="34" spans="1:29" ht="15" customHeight="1">
      <c r="A34" s="361"/>
      <c r="B34" s="4359"/>
      <c r="C34" s="4098" t="s">
        <v>36</v>
      </c>
      <c r="D34" s="3997"/>
      <c r="E34" s="3997"/>
      <c r="F34" s="3997"/>
      <c r="G34" s="3997"/>
      <c r="H34" s="4074" t="s">
        <v>37</v>
      </c>
      <c r="I34" s="4075"/>
      <c r="J34" s="4075"/>
      <c r="K34" s="4075"/>
      <c r="L34" s="4082"/>
      <c r="M34" s="361"/>
      <c r="N34" s="361"/>
      <c r="O34" s="361"/>
      <c r="P34" s="361"/>
      <c r="Q34" s="361"/>
      <c r="U34"/>
      <c r="V34"/>
      <c r="W34"/>
      <c r="X34"/>
      <c r="Y34"/>
      <c r="Z34"/>
      <c r="AA34"/>
      <c r="AB34"/>
    </row>
    <row r="35" spans="1:29" ht="12.75" customHeight="1">
      <c r="A35" s="361"/>
      <c r="B35" s="4360"/>
      <c r="C35" s="3985" t="str">
        <f>CONCATENATE("$0's, real ",dms_DollarReal)</f>
        <v>$0's, real December 2017</v>
      </c>
      <c r="D35" s="3986"/>
      <c r="E35" s="3986"/>
      <c r="F35" s="3986"/>
      <c r="G35" s="3986"/>
      <c r="H35" s="3986"/>
      <c r="I35" s="3986"/>
      <c r="J35" s="3986"/>
      <c r="K35" s="3986"/>
      <c r="L35" s="4030"/>
      <c r="M35" s="361"/>
      <c r="N35" s="361"/>
      <c r="O35" s="361"/>
      <c r="P35" s="361"/>
      <c r="Q35" s="361"/>
      <c r="U35"/>
      <c r="V35"/>
      <c r="W35"/>
      <c r="X35"/>
      <c r="Y35"/>
      <c r="Z35"/>
      <c r="AA35"/>
      <c r="AB35"/>
    </row>
    <row r="36" spans="1:29" ht="12.75" customHeight="1">
      <c r="A36" s="361"/>
      <c r="B36" s="4360"/>
      <c r="C36" s="3985" t="s">
        <v>74</v>
      </c>
      <c r="D36" s="3986"/>
      <c r="E36" s="3986"/>
      <c r="F36" s="3986"/>
      <c r="G36" s="3986"/>
      <c r="H36" s="3986"/>
      <c r="I36" s="3986"/>
      <c r="J36" s="3986"/>
      <c r="K36" s="3986"/>
      <c r="L36" s="4030"/>
      <c r="M36" s="361"/>
      <c r="N36" s="361"/>
      <c r="O36" s="361"/>
      <c r="P36" s="361"/>
      <c r="Q36" s="361"/>
      <c r="U36"/>
      <c r="V36"/>
      <c r="W36"/>
      <c r="X36"/>
      <c r="Y36"/>
      <c r="Z36"/>
      <c r="AA36"/>
      <c r="AB36"/>
    </row>
    <row r="37" spans="1:29" ht="12.75" customHeight="1" thickBot="1">
      <c r="A37" s="361"/>
      <c r="B37" s="4361"/>
      <c r="C37" s="343">
        <f t="array" ref="C37:G37">PRCP</f>
        <v>2008</v>
      </c>
      <c r="D37" s="342">
        <v>2009</v>
      </c>
      <c r="E37" s="342">
        <v>2010</v>
      </c>
      <c r="F37" s="342">
        <v>2011</v>
      </c>
      <c r="G37" s="342">
        <v>2012</v>
      </c>
      <c r="H37" s="344">
        <f>CRCP_y1</f>
        <v>2013</v>
      </c>
      <c r="I37" s="344">
        <f>CRCP_y2</f>
        <v>2014</v>
      </c>
      <c r="J37" s="344">
        <f>CRCP_y3</f>
        <v>2015</v>
      </c>
      <c r="K37" s="344">
        <f>CRCP_y4</f>
        <v>2016</v>
      </c>
      <c r="L37" s="542">
        <f>CRCP_y5</f>
        <v>2017</v>
      </c>
      <c r="M37" s="361"/>
      <c r="N37" s="361"/>
      <c r="O37" s="361"/>
      <c r="P37" s="361"/>
      <c r="Q37" s="361"/>
      <c r="U37"/>
      <c r="V37"/>
      <c r="W37"/>
      <c r="X37"/>
      <c r="Y37"/>
      <c r="Z37"/>
      <c r="AA37"/>
      <c r="AB37"/>
    </row>
    <row r="38" spans="1:29">
      <c r="A38" s="361"/>
      <c r="B38" s="1218" t="str">
        <f>B21</f>
        <v>Transmission pipelines</v>
      </c>
      <c r="C38" s="2962">
        <v>0</v>
      </c>
      <c r="D38" s="2963">
        <v>0</v>
      </c>
      <c r="E38" s="2963">
        <v>0</v>
      </c>
      <c r="F38" s="2963">
        <v>0</v>
      </c>
      <c r="G38" s="2964">
        <v>0</v>
      </c>
      <c r="H38" s="3339">
        <v>0</v>
      </c>
      <c r="I38" s="2963">
        <v>3360.4815281999922</v>
      </c>
      <c r="J38" s="2963">
        <v>0</v>
      </c>
      <c r="K38" s="2963">
        <v>0</v>
      </c>
      <c r="L38" s="2964">
        <v>0</v>
      </c>
      <c r="M38" s="361"/>
      <c r="N38" s="361"/>
      <c r="O38" s="361"/>
      <c r="P38" s="361"/>
      <c r="Q38" s="361"/>
      <c r="U38"/>
      <c r="V38"/>
      <c r="W38"/>
      <c r="X38"/>
      <c r="Y38"/>
      <c r="Z38"/>
      <c r="AA38"/>
      <c r="AB38"/>
    </row>
    <row r="39" spans="1:29">
      <c r="A39" s="361"/>
      <c r="B39" s="1219" t="str">
        <f t="shared" ref="B39:B48" si="0">B22</f>
        <v>Distribution pipelines</v>
      </c>
      <c r="C39" s="2965">
        <v>35518112.794420257</v>
      </c>
      <c r="D39" s="2966">
        <v>36133920.019622162</v>
      </c>
      <c r="E39" s="2966">
        <v>24730460.068587497</v>
      </c>
      <c r="F39" s="2966">
        <v>30001693.369961433</v>
      </c>
      <c r="G39" s="2967">
        <v>32756189.255587395</v>
      </c>
      <c r="H39" s="3340">
        <v>56942.224244696787</v>
      </c>
      <c r="I39" s="2966">
        <v>53362.113665633413</v>
      </c>
      <c r="J39" s="2966">
        <v>58419.128390281614</v>
      </c>
      <c r="K39" s="2966">
        <v>49806.779688561321</v>
      </c>
      <c r="L39" s="2967">
        <v>42836.57547022021</v>
      </c>
      <c r="M39" s="361"/>
      <c r="N39" s="361"/>
      <c r="O39" s="361"/>
      <c r="P39" s="361"/>
      <c r="Q39" s="361"/>
      <c r="U39"/>
      <c r="V39"/>
      <c r="W39"/>
      <c r="X39"/>
      <c r="Y39"/>
      <c r="Z39"/>
      <c r="AA39"/>
      <c r="AB39"/>
    </row>
    <row r="40" spans="1:29">
      <c r="A40" s="361"/>
      <c r="B40" s="1219" t="str">
        <f t="shared" si="0"/>
        <v>Service pipes</v>
      </c>
      <c r="C40" s="2965">
        <v>27961142.671264019</v>
      </c>
      <c r="D40" s="2966">
        <v>28445928.385570627</v>
      </c>
      <c r="E40" s="2966">
        <v>19468712.380811039</v>
      </c>
      <c r="F40" s="2966">
        <v>23618417.835217647</v>
      </c>
      <c r="G40" s="2967">
        <v>25786856.594652425</v>
      </c>
      <c r="H40" s="3340">
        <v>22701.962397739655</v>
      </c>
      <c r="I40" s="2966">
        <v>23225.504713107428</v>
      </c>
      <c r="J40" s="2966">
        <v>23898.064334558596</v>
      </c>
      <c r="K40" s="2966">
        <v>23333.719827303827</v>
      </c>
      <c r="L40" s="2967">
        <v>22714.635711576677</v>
      </c>
      <c r="M40" s="361"/>
      <c r="N40" s="361"/>
      <c r="O40" s="361"/>
      <c r="P40" s="361"/>
      <c r="Q40" s="361"/>
      <c r="U40"/>
      <c r="V40"/>
      <c r="W40"/>
      <c r="X40"/>
      <c r="Y40"/>
      <c r="Z40"/>
      <c r="AA40"/>
      <c r="AB40"/>
    </row>
    <row r="41" spans="1:29">
      <c r="A41" s="361"/>
      <c r="B41" s="1219" t="str">
        <f t="shared" si="0"/>
        <v>Cathodic protection</v>
      </c>
      <c r="C41" s="2965">
        <v>158248.8479196931</v>
      </c>
      <c r="D41" s="2966">
        <v>160992.54053908621</v>
      </c>
      <c r="E41" s="2966">
        <v>110185.10012144421</v>
      </c>
      <c r="F41" s="2966">
        <v>133670.76789570134</v>
      </c>
      <c r="G41" s="2967">
        <v>145943.26117322483</v>
      </c>
      <c r="H41" s="3340">
        <v>364.29606383751081</v>
      </c>
      <c r="I41" s="2966">
        <v>353.14068719657706</v>
      </c>
      <c r="J41" s="2966">
        <v>362.59602467634784</v>
      </c>
      <c r="K41" s="2966">
        <v>343.50231015970479</v>
      </c>
      <c r="L41" s="2967">
        <v>324.89402548948715</v>
      </c>
      <c r="M41" s="361"/>
      <c r="N41" s="361"/>
      <c r="O41" s="361"/>
      <c r="P41" s="361"/>
      <c r="Q41" s="361"/>
      <c r="U41"/>
      <c r="V41"/>
      <c r="W41"/>
      <c r="X41"/>
      <c r="Y41"/>
      <c r="Z41"/>
      <c r="AA41"/>
      <c r="AB41"/>
    </row>
    <row r="42" spans="1:29">
      <c r="A42" s="361"/>
      <c r="B42" s="1219" t="str">
        <f t="shared" si="0"/>
        <v>Supply regulators/Valve stations</v>
      </c>
      <c r="C42" s="2965">
        <v>2147136.2827064469</v>
      </c>
      <c r="D42" s="2966">
        <v>2184362.9800829892</v>
      </c>
      <c r="E42" s="2966">
        <v>1495002.519098619</v>
      </c>
      <c r="F42" s="2966">
        <v>1813658.4212716783</v>
      </c>
      <c r="G42" s="2967">
        <v>1980172.8442317361</v>
      </c>
      <c r="H42" s="3340">
        <v>3841.6951224267677</v>
      </c>
      <c r="I42" s="2966">
        <v>5889.6689172648976</v>
      </c>
      <c r="J42" s="2966">
        <v>8216.2992373855959</v>
      </c>
      <c r="K42" s="2966">
        <v>5044.9080510090525</v>
      </c>
      <c r="L42" s="2967">
        <v>2948.6453572336218</v>
      </c>
      <c r="M42" s="361"/>
      <c r="N42" s="361"/>
      <c r="O42" s="361"/>
      <c r="P42" s="361"/>
      <c r="Q42" s="361"/>
      <c r="U42"/>
      <c r="V42"/>
      <c r="W42"/>
      <c r="X42"/>
      <c r="Y42"/>
      <c r="Z42"/>
      <c r="AA42"/>
      <c r="AB42"/>
    </row>
    <row r="43" spans="1:29">
      <c r="A43" s="361"/>
      <c r="B43" s="1219" t="str">
        <f t="shared" si="0"/>
        <v>Meters</v>
      </c>
      <c r="C43" s="2965">
        <v>18763333.481655318</v>
      </c>
      <c r="D43" s="2966">
        <v>15538661.578119054</v>
      </c>
      <c r="E43" s="2966">
        <v>20076477.124675747</v>
      </c>
      <c r="F43" s="2966">
        <v>12364791.167225404</v>
      </c>
      <c r="G43" s="2967">
        <v>14624811.035170197</v>
      </c>
      <c r="H43" s="3340">
        <v>11834.847683840911</v>
      </c>
      <c r="I43" s="2966">
        <v>12485.359033137303</v>
      </c>
      <c r="J43" s="2966">
        <v>11831.491291247437</v>
      </c>
      <c r="K43" s="2966">
        <v>11703.022565221872</v>
      </c>
      <c r="L43" s="2967">
        <v>11481.060378396933</v>
      </c>
      <c r="M43" s="361"/>
      <c r="N43" s="361"/>
      <c r="O43" s="361"/>
      <c r="P43" s="361"/>
      <c r="Q43" s="361"/>
      <c r="U43"/>
      <c r="V43"/>
      <c r="W43"/>
      <c r="X43"/>
      <c r="Y43"/>
      <c r="Z43"/>
      <c r="AA43"/>
      <c r="AB43"/>
    </row>
    <row r="44" spans="1:29" s="1172" customFormat="1">
      <c r="A44" s="1174"/>
      <c r="B44" s="2729" t="str">
        <f t="shared" si="0"/>
        <v>SCADA and remote control</v>
      </c>
      <c r="C44" s="3333">
        <v>769811.20542597014</v>
      </c>
      <c r="D44" s="3334">
        <v>7079193.910168835</v>
      </c>
      <c r="E44" s="3334">
        <v>2873638.0241166651</v>
      </c>
      <c r="F44" s="3334">
        <v>1090059.9658731197</v>
      </c>
      <c r="G44" s="3335">
        <v>428552.91220097709</v>
      </c>
      <c r="H44" s="3341">
        <v>1106.1113802081925</v>
      </c>
      <c r="I44" s="3334">
        <v>1086.1424508585671</v>
      </c>
      <c r="J44" s="3334">
        <v>1084.6031070118602</v>
      </c>
      <c r="K44" s="3334">
        <v>981.35632527355187</v>
      </c>
      <c r="L44" s="3335">
        <v>1037.5622434828663</v>
      </c>
      <c r="M44" s="1174"/>
      <c r="N44" s="1174"/>
      <c r="O44" s="1174"/>
      <c r="P44" s="1174"/>
      <c r="Q44" s="1174"/>
    </row>
    <row r="45" spans="1:29" s="1172" customFormat="1">
      <c r="A45" s="1174"/>
      <c r="B45" s="2729" t="str">
        <f t="shared" si="0"/>
        <v>Buildings</v>
      </c>
      <c r="C45" s="3333"/>
      <c r="D45" s="3334"/>
      <c r="E45" s="3334"/>
      <c r="F45" s="3334"/>
      <c r="G45" s="3335"/>
      <c r="H45" s="3341"/>
      <c r="I45" s="3334"/>
      <c r="J45" s="3334"/>
      <c r="K45" s="3334"/>
      <c r="L45" s="3335"/>
      <c r="M45" s="1174"/>
      <c r="N45" s="1174"/>
      <c r="O45" s="1174"/>
      <c r="P45" s="1174"/>
      <c r="Q45" s="1174"/>
    </row>
    <row r="46" spans="1:29" s="1172" customFormat="1">
      <c r="A46" s="1174"/>
      <c r="B46" s="2729" t="str">
        <f t="shared" si="0"/>
        <v>Other - IT</v>
      </c>
      <c r="C46" s="3333">
        <v>1642677.5851325362</v>
      </c>
      <c r="D46" s="3334">
        <v>8317110.2682617949</v>
      </c>
      <c r="E46" s="3334">
        <v>16256471.369091423</v>
      </c>
      <c r="F46" s="3334">
        <v>11793594.233738162</v>
      </c>
      <c r="G46" s="3335">
        <v>3740705.1250576698</v>
      </c>
      <c r="H46" s="3341">
        <v>16908.886294115928</v>
      </c>
      <c r="I46" s="3334">
        <v>16108.536041816358</v>
      </c>
      <c r="J46" s="3334">
        <v>8539.1637017094745</v>
      </c>
      <c r="K46" s="3334">
        <v>9492.1433196482194</v>
      </c>
      <c r="L46" s="3335">
        <v>9712.8168927778552</v>
      </c>
      <c r="M46" s="1174"/>
      <c r="N46" s="1174"/>
      <c r="O46" s="1174"/>
      <c r="P46" s="1174"/>
      <c r="Q46" s="1174"/>
    </row>
    <row r="47" spans="1:29" s="1172" customFormat="1">
      <c r="A47" s="1174"/>
      <c r="B47" s="2729" t="str">
        <f t="shared" si="0"/>
        <v>Other - Non IT</v>
      </c>
      <c r="C47" s="3333">
        <v>3642282.6455531288</v>
      </c>
      <c r="D47" s="3334">
        <v>2562552.2424112768</v>
      </c>
      <c r="E47" s="3334">
        <v>1537905.4194009639</v>
      </c>
      <c r="F47" s="3334">
        <v>2067204.0076112903</v>
      </c>
      <c r="G47" s="3335">
        <v>1575911.7816525996</v>
      </c>
      <c r="H47" s="3341">
        <v>423.14437960873693</v>
      </c>
      <c r="I47" s="3334">
        <v>422.63613356710175</v>
      </c>
      <c r="J47" s="3334">
        <v>424.68276601419501</v>
      </c>
      <c r="K47" s="3334">
        <v>430.73790651283684</v>
      </c>
      <c r="L47" s="3335">
        <v>437.1257241432736</v>
      </c>
      <c r="M47" s="1174"/>
      <c r="N47" s="1174"/>
      <c r="O47" s="1174"/>
      <c r="P47" s="1174"/>
      <c r="Q47" s="1174"/>
    </row>
    <row r="48" spans="1:29" ht="13.5" thickBot="1">
      <c r="A48" s="361"/>
      <c r="B48" s="1220" t="str">
        <f t="shared" si="0"/>
        <v>Land</v>
      </c>
      <c r="C48" s="3336"/>
      <c r="D48" s="3337"/>
      <c r="E48" s="3337"/>
      <c r="F48" s="3337"/>
      <c r="G48" s="3338"/>
      <c r="H48" s="3342"/>
      <c r="I48" s="3337"/>
      <c r="J48" s="3337"/>
      <c r="K48" s="3337"/>
      <c r="L48" s="3338"/>
      <c r="M48" s="361"/>
      <c r="N48" s="361"/>
      <c r="O48" s="361"/>
      <c r="P48" s="361"/>
      <c r="Q48" s="361"/>
      <c r="U48"/>
      <c r="V48"/>
      <c r="W48"/>
      <c r="X48"/>
      <c r="Y48"/>
      <c r="Z48"/>
      <c r="AA48"/>
      <c r="AB48"/>
    </row>
    <row r="49" spans="1:31">
      <c r="A49" s="361"/>
      <c r="M49" s="361"/>
      <c r="N49" s="361"/>
      <c r="O49" s="361"/>
      <c r="P49" s="361"/>
      <c r="Q49" s="361"/>
      <c r="U49"/>
      <c r="V49"/>
      <c r="W49"/>
      <c r="X49"/>
      <c r="Y49"/>
      <c r="Z49"/>
      <c r="AA49"/>
      <c r="AB49"/>
    </row>
    <row r="50" spans="1:31" ht="13.5" thickBot="1">
      <c r="A50" s="361"/>
      <c r="M50" s="361"/>
      <c r="N50" s="361"/>
      <c r="O50" s="361"/>
      <c r="P50" s="361"/>
      <c r="Q50" s="361"/>
    </row>
    <row r="51" spans="1:31" s="78" customFormat="1" ht="24.75" customHeight="1" thickBot="1">
      <c r="A51" s="262"/>
      <c r="B51" s="1258" t="s">
        <v>551</v>
      </c>
      <c r="C51" s="1280"/>
      <c r="D51" s="1280"/>
      <c r="E51" s="1280"/>
      <c r="F51" s="1259"/>
      <c r="G51" s="1280"/>
      <c r="H51" s="1280"/>
      <c r="I51" s="1280"/>
      <c r="J51" s="1259"/>
      <c r="K51" s="1280"/>
      <c r="L51" s="1280"/>
      <c r="M51" s="1259"/>
      <c r="N51" s="1280"/>
      <c r="O51" s="1280"/>
      <c r="P51" s="1280"/>
      <c r="Q51" s="1260"/>
      <c r="R51"/>
      <c r="S51"/>
      <c r="T51"/>
      <c r="U51" s="1770"/>
      <c r="V51" s="1280"/>
      <c r="W51" s="1280"/>
      <c r="X51" s="1259"/>
      <c r="Y51" s="1280"/>
      <c r="Z51" s="1280"/>
      <c r="AA51" s="1280"/>
      <c r="AB51" s="1260"/>
      <c r="AC51"/>
      <c r="AD51" s="65"/>
      <c r="AE51" s="65"/>
    </row>
    <row r="52" spans="1:31" s="72" customFormat="1" ht="16.5" customHeight="1">
      <c r="A52" s="702"/>
      <c r="B52" s="4362"/>
      <c r="C52" s="4073" t="s">
        <v>36</v>
      </c>
      <c r="D52" s="3997"/>
      <c r="E52" s="3997"/>
      <c r="F52" s="3997"/>
      <c r="G52" s="3997"/>
      <c r="H52" s="4074" t="s">
        <v>37</v>
      </c>
      <c r="I52" s="4075"/>
      <c r="J52" s="4075"/>
      <c r="K52" s="4075"/>
      <c r="L52" s="4075"/>
      <c r="M52" s="3960" t="s">
        <v>73</v>
      </c>
      <c r="N52" s="3960"/>
      <c r="O52" s="3960"/>
      <c r="P52" s="3960"/>
      <c r="Q52" s="4099"/>
      <c r="R52"/>
      <c r="S52"/>
      <c r="T52"/>
      <c r="U52" s="4073" t="s">
        <v>36</v>
      </c>
      <c r="V52" s="3997"/>
      <c r="W52" s="3997"/>
      <c r="X52" s="3997"/>
      <c r="Y52" s="3997"/>
      <c r="Z52" s="4074" t="s">
        <v>37</v>
      </c>
      <c r="AA52" s="4075"/>
      <c r="AB52" s="4082"/>
      <c r="AC52"/>
      <c r="AD52" s="65"/>
      <c r="AE52" s="65"/>
    </row>
    <row r="53" spans="1:31" ht="15" customHeight="1">
      <c r="A53" s="314"/>
      <c r="B53" s="4207"/>
      <c r="C53" s="3985" t="s">
        <v>543</v>
      </c>
      <c r="D53" s="3986"/>
      <c r="E53" s="3986"/>
      <c r="F53" s="3986"/>
      <c r="G53" s="3986"/>
      <c r="H53" s="3986"/>
      <c r="I53" s="3986"/>
      <c r="J53" s="3987"/>
      <c r="K53" s="3988" t="str">
        <f>CONCATENATE("$0's, real ",dms_DollarReal)</f>
        <v>$0's, real December 2017</v>
      </c>
      <c r="L53" s="3989"/>
      <c r="M53" s="3989"/>
      <c r="N53" s="3989"/>
      <c r="O53" s="3989"/>
      <c r="P53" s="3989"/>
      <c r="Q53" s="3990"/>
      <c r="U53" s="3985" t="str">
        <f>CONCATENATE("$0's, real ",dms_DollarReal)</f>
        <v>$0's, real December 2017</v>
      </c>
      <c r="V53" s="3986"/>
      <c r="W53" s="3986"/>
      <c r="X53" s="3986"/>
      <c r="Y53" s="3986"/>
      <c r="Z53" s="3986"/>
      <c r="AA53" s="3986"/>
      <c r="AB53" s="4030"/>
    </row>
    <row r="54" spans="1:31" s="72" customFormat="1" ht="16.5" customHeight="1">
      <c r="A54" s="702"/>
      <c r="B54" s="4207"/>
      <c r="C54" s="3985" t="s">
        <v>54</v>
      </c>
      <c r="D54" s="3986"/>
      <c r="E54" s="3986"/>
      <c r="F54" s="3986"/>
      <c r="G54" s="3986"/>
      <c r="H54" s="3986"/>
      <c r="I54" s="3986"/>
      <c r="J54" s="3987"/>
      <c r="K54" s="3988" t="s">
        <v>55</v>
      </c>
      <c r="L54" s="3989"/>
      <c r="M54" s="3989"/>
      <c r="N54" s="3989"/>
      <c r="O54" s="3989"/>
      <c r="P54" s="3989"/>
      <c r="Q54" s="3990"/>
      <c r="R54"/>
      <c r="S54"/>
      <c r="T54"/>
      <c r="U54" s="3985" t="s">
        <v>54</v>
      </c>
      <c r="V54" s="3986"/>
      <c r="W54" s="3986"/>
      <c r="X54" s="3986"/>
      <c r="Y54" s="3986"/>
      <c r="Z54" s="3986"/>
      <c r="AA54" s="3986"/>
      <c r="AB54" s="4030"/>
      <c r="AC54"/>
    </row>
    <row r="55" spans="1:31" ht="12.75" customHeight="1" thickBot="1">
      <c r="A55" s="361"/>
      <c r="B55" s="4363"/>
      <c r="C55" s="1438">
        <f t="array" ref="C55:G55">PRCP</f>
        <v>2008</v>
      </c>
      <c r="D55" s="342">
        <v>2009</v>
      </c>
      <c r="E55" s="342">
        <v>2010</v>
      </c>
      <c r="F55" s="342">
        <v>2011</v>
      </c>
      <c r="G55" s="342">
        <v>2012</v>
      </c>
      <c r="H55" s="344">
        <f>CRCP_y1</f>
        <v>2013</v>
      </c>
      <c r="I55" s="344">
        <f>CRCP_y2</f>
        <v>2014</v>
      </c>
      <c r="J55" s="344">
        <f>CRCP_y3</f>
        <v>2015</v>
      </c>
      <c r="K55" s="344">
        <f>CRCP_y4</f>
        <v>2016</v>
      </c>
      <c r="L55" s="344">
        <f>CRCP_y5</f>
        <v>2017</v>
      </c>
      <c r="M55" s="342" t="str">
        <f t="array" ref="M55:Q55">FRCP</f>
        <v>2018</v>
      </c>
      <c r="N55" s="342">
        <v>2019</v>
      </c>
      <c r="O55" s="342">
        <v>2020</v>
      </c>
      <c r="P55" s="342">
        <v>2021</v>
      </c>
      <c r="Q55" s="443">
        <v>2022</v>
      </c>
      <c r="U55" s="1438">
        <f t="array" ref="U55:Y55">PRCP</f>
        <v>2008</v>
      </c>
      <c r="V55" s="342">
        <v>2009</v>
      </c>
      <c r="W55" s="342">
        <v>2010</v>
      </c>
      <c r="X55" s="342">
        <v>2011</v>
      </c>
      <c r="Y55" s="342">
        <v>2012</v>
      </c>
      <c r="Z55" s="344">
        <f>CRCP_y1</f>
        <v>2013</v>
      </c>
      <c r="AA55" s="344">
        <f>CRCP_y2</f>
        <v>2014</v>
      </c>
      <c r="AB55" s="542">
        <f>CRCP_y3</f>
        <v>2015</v>
      </c>
    </row>
    <row r="56" spans="1:31">
      <c r="A56" s="361"/>
      <c r="B56" s="1218" t="str">
        <f>B21</f>
        <v>Transmission pipelines</v>
      </c>
      <c r="C56" s="2962">
        <v>0</v>
      </c>
      <c r="D56" s="2963">
        <v>158524.43762553245</v>
      </c>
      <c r="E56" s="2963">
        <v>6281.6047604775649</v>
      </c>
      <c r="F56" s="2963">
        <v>661561.21105829172</v>
      </c>
      <c r="G56" s="3343">
        <v>536590.83293460798</v>
      </c>
      <c r="H56" s="2962">
        <v>2175569.8034455199</v>
      </c>
      <c r="I56" s="2963">
        <v>20455264.072266102</v>
      </c>
      <c r="J56" s="2963">
        <v>654512.73101981997</v>
      </c>
      <c r="K56" s="2963">
        <v>1327738.0658386622</v>
      </c>
      <c r="L56" s="2964">
        <v>3566039.6071106638</v>
      </c>
      <c r="M56" s="2962">
        <v>3573843.5704927077</v>
      </c>
      <c r="N56" s="2963">
        <v>2570335.4565530047</v>
      </c>
      <c r="O56" s="2963">
        <v>2069902.230373757</v>
      </c>
      <c r="P56" s="2963">
        <v>2098813.078287337</v>
      </c>
      <c r="Q56" s="2964">
        <v>3193065.2203370482</v>
      </c>
      <c r="U56" s="1775"/>
      <c r="V56" s="1771"/>
      <c r="W56" s="1771"/>
      <c r="X56" s="1771"/>
      <c r="Y56" s="1776"/>
      <c r="Z56" s="1775"/>
      <c r="AA56" s="1771"/>
      <c r="AB56" s="1776"/>
    </row>
    <row r="57" spans="1:31">
      <c r="A57" s="361"/>
      <c r="B57" s="1219" t="str">
        <f t="shared" ref="B57:B66" si="1">B22</f>
        <v>Distribution pipelines</v>
      </c>
      <c r="C57" s="2965">
        <v>28319983.373829674</v>
      </c>
      <c r="D57" s="2966">
        <v>24390167.486857805</v>
      </c>
      <c r="E57" s="2966">
        <v>32417695.985006072</v>
      </c>
      <c r="F57" s="2966">
        <v>39106329.77742514</v>
      </c>
      <c r="G57" s="3344">
        <v>38694199.480910882</v>
      </c>
      <c r="H57" s="2965">
        <v>33852059.501788802</v>
      </c>
      <c r="I57" s="2966">
        <v>29975928.124910459</v>
      </c>
      <c r="J57" s="2966">
        <v>34713854.341334663</v>
      </c>
      <c r="K57" s="2966">
        <v>19721161.317108344</v>
      </c>
      <c r="L57" s="2967">
        <v>24106040.622312784</v>
      </c>
      <c r="M57" s="2965">
        <v>28368704.630472858</v>
      </c>
      <c r="N57" s="2966">
        <v>25626815.782095421</v>
      </c>
      <c r="O57" s="2966">
        <v>26681519.920896426</v>
      </c>
      <c r="P57" s="2966">
        <v>23914676.023897205</v>
      </c>
      <c r="Q57" s="2967">
        <v>23898647.682026684</v>
      </c>
      <c r="U57" s="1772"/>
      <c r="V57" s="1773"/>
      <c r="W57" s="1773"/>
      <c r="X57" s="1773"/>
      <c r="Y57" s="1777"/>
      <c r="Z57" s="1772"/>
      <c r="AA57" s="1773"/>
      <c r="AB57" s="1777"/>
    </row>
    <row r="58" spans="1:31">
      <c r="A58" s="361"/>
      <c r="B58" s="1219" t="str">
        <f t="shared" si="1"/>
        <v>Service pipes</v>
      </c>
      <c r="C58" s="2965">
        <v>23866294.106711876</v>
      </c>
      <c r="D58" s="2966">
        <v>25823847.778424606</v>
      </c>
      <c r="E58" s="2966">
        <v>21503396.20444696</v>
      </c>
      <c r="F58" s="2966">
        <v>22428723.410888426</v>
      </c>
      <c r="G58" s="3344">
        <v>26839660.678208917</v>
      </c>
      <c r="H58" s="2965">
        <v>24526103.180260744</v>
      </c>
      <c r="I58" s="2966">
        <v>37636331.164538398</v>
      </c>
      <c r="J58" s="2966">
        <v>37531124.408232681</v>
      </c>
      <c r="K58" s="2966">
        <v>36811367.56555666</v>
      </c>
      <c r="L58" s="2967">
        <v>36551209.463994466</v>
      </c>
      <c r="M58" s="2965">
        <v>39715378.867159612</v>
      </c>
      <c r="N58" s="2966">
        <v>39043230.463193551</v>
      </c>
      <c r="O58" s="2966">
        <v>40573125.080980688</v>
      </c>
      <c r="P58" s="2966">
        <v>37131931.628943741</v>
      </c>
      <c r="Q58" s="2967">
        <v>36235097.407012679</v>
      </c>
      <c r="U58" s="1772"/>
      <c r="V58" s="1773"/>
      <c r="W58" s="1773"/>
      <c r="X58" s="1773"/>
      <c r="Y58" s="1777"/>
      <c r="Z58" s="1772"/>
      <c r="AA58" s="1773"/>
      <c r="AB58" s="1777"/>
    </row>
    <row r="59" spans="1:31">
      <c r="A59" s="361"/>
      <c r="B59" s="1219" t="str">
        <f t="shared" si="1"/>
        <v>Cathodic protection</v>
      </c>
      <c r="C59" s="2965">
        <v>208656.13397283526</v>
      </c>
      <c r="D59" s="2966">
        <v>559197.2235833162</v>
      </c>
      <c r="E59" s="2966">
        <v>0</v>
      </c>
      <c r="F59" s="2966">
        <v>534871.55944412225</v>
      </c>
      <c r="G59" s="3344">
        <v>380935.07755989151</v>
      </c>
      <c r="H59" s="2965">
        <v>611480.09984580765</v>
      </c>
      <c r="I59" s="2966">
        <v>355239.83</v>
      </c>
      <c r="J59" s="2966">
        <v>210364.52005483641</v>
      </c>
      <c r="K59" s="2966">
        <v>357853.04097347194</v>
      </c>
      <c r="L59" s="2967">
        <v>318237.60671106225</v>
      </c>
      <c r="M59" s="2965">
        <v>431081.74872298707</v>
      </c>
      <c r="N59" s="2966">
        <v>436019.43399926275</v>
      </c>
      <c r="O59" s="2966">
        <v>442851.27929337457</v>
      </c>
      <c r="P59" s="2966">
        <v>450407.72864572622</v>
      </c>
      <c r="Q59" s="2967">
        <v>456856.571631375</v>
      </c>
      <c r="U59" s="1772"/>
      <c r="V59" s="1773"/>
      <c r="W59" s="1773"/>
      <c r="X59" s="1773"/>
      <c r="Y59" s="1777"/>
      <c r="Z59" s="1772"/>
      <c r="AA59" s="1773"/>
      <c r="AB59" s="1777"/>
    </row>
    <row r="60" spans="1:31">
      <c r="A60" s="361"/>
      <c r="B60" s="1219" t="str">
        <f t="shared" si="1"/>
        <v>Supply regulators/Valve stations</v>
      </c>
      <c r="C60" s="2965">
        <v>1737763.0348552966</v>
      </c>
      <c r="D60" s="2966">
        <v>1263084.9723944906</v>
      </c>
      <c r="E60" s="2966">
        <v>363514.20187330287</v>
      </c>
      <c r="F60" s="2966">
        <v>1180149.0973399533</v>
      </c>
      <c r="G60" s="3344">
        <v>2705572.6536047938</v>
      </c>
      <c r="H60" s="2965">
        <v>3318317.232502799</v>
      </c>
      <c r="I60" s="2966">
        <v>6168779.6072363388</v>
      </c>
      <c r="J60" s="2966">
        <v>4088457.4939204552</v>
      </c>
      <c r="K60" s="2966">
        <v>1645956.9584861239</v>
      </c>
      <c r="L60" s="2967">
        <v>5845552.2066326942</v>
      </c>
      <c r="M60" s="2965">
        <v>7751522.1072127977</v>
      </c>
      <c r="N60" s="2966">
        <v>6970975.0877386061</v>
      </c>
      <c r="O60" s="2966">
        <v>4631018.8034528727</v>
      </c>
      <c r="P60" s="2966">
        <v>4478401.1345964922</v>
      </c>
      <c r="Q60" s="2967">
        <v>4074795.316804545</v>
      </c>
      <c r="U60" s="1772"/>
      <c r="V60" s="1773"/>
      <c r="W60" s="1773"/>
      <c r="X60" s="1773"/>
      <c r="Y60" s="1777"/>
      <c r="Z60" s="1772"/>
      <c r="AA60" s="1773"/>
      <c r="AB60" s="1777"/>
    </row>
    <row r="61" spans="1:31">
      <c r="A61" s="361"/>
      <c r="B61" s="1219" t="str">
        <f t="shared" si="1"/>
        <v>Meters</v>
      </c>
      <c r="C61" s="2965">
        <v>10413576.331821324</v>
      </c>
      <c r="D61" s="2966">
        <v>6108823.6662310176</v>
      </c>
      <c r="E61" s="2966">
        <v>7049038.0979225803</v>
      </c>
      <c r="F61" s="2966">
        <v>7311178.4821559833</v>
      </c>
      <c r="G61" s="3344">
        <v>8655230.8972121365</v>
      </c>
      <c r="H61" s="2965">
        <v>12211483.946230289</v>
      </c>
      <c r="I61" s="2966">
        <v>10980828.659815803</v>
      </c>
      <c r="J61" s="2966">
        <v>8874559.8626749944</v>
      </c>
      <c r="K61" s="2966">
        <v>15974223.977955002</v>
      </c>
      <c r="L61" s="2967">
        <v>14136902.422258325</v>
      </c>
      <c r="M61" s="2965">
        <v>15093230.02560279</v>
      </c>
      <c r="N61" s="2966">
        <v>15894269.22607157</v>
      </c>
      <c r="O61" s="2966">
        <v>15763154.219176395</v>
      </c>
      <c r="P61" s="2966">
        <v>16454715.824502189</v>
      </c>
      <c r="Q61" s="2967">
        <v>16262385.566234041</v>
      </c>
      <c r="U61" s="1772"/>
      <c r="V61" s="1773"/>
      <c r="W61" s="1773"/>
      <c r="X61" s="1773"/>
      <c r="Y61" s="1777"/>
      <c r="Z61" s="1772"/>
      <c r="AA61" s="1773"/>
      <c r="AB61" s="1777"/>
    </row>
    <row r="62" spans="1:31" s="1172" customFormat="1">
      <c r="A62" s="1174"/>
      <c r="B62" s="2729" t="str">
        <f t="shared" si="1"/>
        <v>SCADA and remote control</v>
      </c>
      <c r="C62" s="3333">
        <v>-22018.991191008303</v>
      </c>
      <c r="D62" s="3334">
        <v>1472624.0948832289</v>
      </c>
      <c r="E62" s="3334">
        <v>772313.3618421373</v>
      </c>
      <c r="F62" s="3334">
        <v>727918.42859096476</v>
      </c>
      <c r="G62" s="3345">
        <v>324445.71187982504</v>
      </c>
      <c r="H62" s="3333">
        <v>671987.16679383838</v>
      </c>
      <c r="I62" s="3334">
        <v>291750.14123288204</v>
      </c>
      <c r="J62" s="3334">
        <v>483907.70276255161</v>
      </c>
      <c r="K62" s="3334">
        <v>436901.68565416371</v>
      </c>
      <c r="L62" s="3335">
        <v>471923.30476296163</v>
      </c>
      <c r="M62" s="3333">
        <v>431704.36591092305</v>
      </c>
      <c r="N62" s="3334">
        <v>388976.73664022807</v>
      </c>
      <c r="O62" s="3334">
        <v>354573.42691639392</v>
      </c>
      <c r="P62" s="3334">
        <v>1424869.8349133793</v>
      </c>
      <c r="Q62" s="3335">
        <v>1537958.5920179295</v>
      </c>
      <c r="U62" s="1816"/>
      <c r="V62" s="1817"/>
      <c r="W62" s="1817"/>
      <c r="X62" s="1817"/>
      <c r="Y62" s="1818"/>
      <c r="Z62" s="1816"/>
      <c r="AA62" s="1817"/>
      <c r="AB62" s="1818"/>
    </row>
    <row r="63" spans="1:31" s="1172" customFormat="1">
      <c r="A63" s="1174"/>
      <c r="B63" s="2729" t="str">
        <f t="shared" si="1"/>
        <v>Buildings</v>
      </c>
      <c r="C63" s="3333">
        <v>0</v>
      </c>
      <c r="D63" s="3334">
        <v>0</v>
      </c>
      <c r="E63" s="3334">
        <v>0</v>
      </c>
      <c r="F63" s="3334">
        <v>0</v>
      </c>
      <c r="G63" s="3345">
        <v>0</v>
      </c>
      <c r="H63" s="3333">
        <v>0</v>
      </c>
      <c r="I63" s="3334">
        <v>0</v>
      </c>
      <c r="J63" s="3334">
        <v>0</v>
      </c>
      <c r="K63" s="3334">
        <v>0</v>
      </c>
      <c r="L63" s="3335">
        <v>0</v>
      </c>
      <c r="M63" s="3333">
        <v>0</v>
      </c>
      <c r="N63" s="3334">
        <v>0</v>
      </c>
      <c r="O63" s="3334">
        <v>0</v>
      </c>
      <c r="P63" s="3334">
        <v>0</v>
      </c>
      <c r="Q63" s="3335">
        <v>0</v>
      </c>
      <c r="U63" s="1816"/>
      <c r="V63" s="1817"/>
      <c r="W63" s="1817"/>
      <c r="X63" s="1817"/>
      <c r="Y63" s="1818"/>
      <c r="Z63" s="1816"/>
      <c r="AA63" s="1817"/>
      <c r="AB63" s="1818"/>
    </row>
    <row r="64" spans="1:31" s="1172" customFormat="1">
      <c r="A64" s="1174"/>
      <c r="B64" s="2729" t="str">
        <f t="shared" si="1"/>
        <v>Other - IT</v>
      </c>
      <c r="C64" s="3333">
        <v>1824393.5489999999</v>
      </c>
      <c r="D64" s="3334">
        <v>10020140.897699794</v>
      </c>
      <c r="E64" s="3334">
        <v>9599076.6619563513</v>
      </c>
      <c r="F64" s="3334">
        <v>10113057.614042563</v>
      </c>
      <c r="G64" s="3345">
        <v>14494830.708255729</v>
      </c>
      <c r="H64" s="3333">
        <v>16019970.331897907</v>
      </c>
      <c r="I64" s="3334">
        <v>13233906.611243596</v>
      </c>
      <c r="J64" s="3334">
        <v>8785473.7259523179</v>
      </c>
      <c r="K64" s="3334">
        <v>6916852.0674862722</v>
      </c>
      <c r="L64" s="3335">
        <v>13024844.331656948</v>
      </c>
      <c r="M64" s="3333">
        <v>14091147.096097752</v>
      </c>
      <c r="N64" s="3334">
        <v>15270541.715668358</v>
      </c>
      <c r="O64" s="3334">
        <v>13245462.489525035</v>
      </c>
      <c r="P64" s="3334">
        <v>11421310.400092039</v>
      </c>
      <c r="Q64" s="3335">
        <v>7545275.1873244364</v>
      </c>
      <c r="U64" s="1816"/>
      <c r="V64" s="1817"/>
      <c r="W64" s="1817"/>
      <c r="X64" s="1817"/>
      <c r="Y64" s="1818"/>
      <c r="Z64" s="1816"/>
      <c r="AA64" s="1817"/>
      <c r="AB64" s="1818"/>
    </row>
    <row r="65" spans="1:29" s="1172" customFormat="1">
      <c r="A65" s="1174"/>
      <c r="B65" s="2729" t="str">
        <f t="shared" si="1"/>
        <v>Other - Non IT</v>
      </c>
      <c r="C65" s="3333">
        <v>297037.04352506052</v>
      </c>
      <c r="D65" s="3334">
        <v>309652.93045029161</v>
      </c>
      <c r="E65" s="3334">
        <v>351948.06169740605</v>
      </c>
      <c r="F65" s="3334">
        <v>638660.32921330724</v>
      </c>
      <c r="G65" s="3345">
        <v>247307.11483951868</v>
      </c>
      <c r="H65" s="3333">
        <v>471996.51614536881</v>
      </c>
      <c r="I65" s="3334">
        <v>52350.210103999998</v>
      </c>
      <c r="J65" s="3334">
        <v>383577.43737627892</v>
      </c>
      <c r="K65" s="3334">
        <v>188898.47677702026</v>
      </c>
      <c r="L65" s="3335">
        <v>360914.01009034616</v>
      </c>
      <c r="M65" s="3333">
        <v>377822.44339173759</v>
      </c>
      <c r="N65" s="3334">
        <v>384077.2028420287</v>
      </c>
      <c r="O65" s="3334">
        <v>384964.40638063266</v>
      </c>
      <c r="P65" s="3334">
        <v>386184.06396095792</v>
      </c>
      <c r="Q65" s="3335">
        <v>387438.60821690509</v>
      </c>
      <c r="U65" s="1816"/>
      <c r="V65" s="1817"/>
      <c r="W65" s="1817"/>
      <c r="X65" s="1817"/>
      <c r="Y65" s="1818"/>
      <c r="Z65" s="1816"/>
      <c r="AA65" s="1817"/>
      <c r="AB65" s="1818"/>
    </row>
    <row r="66" spans="1:29" ht="13.5" thickBot="1">
      <c r="A66" s="361"/>
      <c r="B66" s="1220" t="str">
        <f t="shared" si="1"/>
        <v>Land</v>
      </c>
      <c r="C66" s="3336">
        <v>0</v>
      </c>
      <c r="D66" s="3337">
        <v>0</v>
      </c>
      <c r="E66" s="3337">
        <v>0</v>
      </c>
      <c r="F66" s="3337">
        <v>0</v>
      </c>
      <c r="G66" s="3346">
        <v>0</v>
      </c>
      <c r="H66" s="3336">
        <v>0</v>
      </c>
      <c r="I66" s="3337">
        <v>0</v>
      </c>
      <c r="J66" s="3337">
        <v>0</v>
      </c>
      <c r="K66" s="3337">
        <v>0</v>
      </c>
      <c r="L66" s="3338">
        <v>0</v>
      </c>
      <c r="M66" s="3336">
        <v>0</v>
      </c>
      <c r="N66" s="3337">
        <v>0</v>
      </c>
      <c r="O66" s="3337">
        <v>0</v>
      </c>
      <c r="P66" s="3337">
        <v>0</v>
      </c>
      <c r="Q66" s="3338">
        <v>0</v>
      </c>
      <c r="U66" s="1778"/>
      <c r="V66" s="1774"/>
      <c r="W66" s="1774"/>
      <c r="X66" s="1774"/>
      <c r="Y66" s="1779"/>
      <c r="Z66" s="1778"/>
      <c r="AA66" s="1774"/>
      <c r="AB66" s="1779"/>
    </row>
    <row r="67" spans="1:29" ht="44.25" customHeight="1" thickBot="1">
      <c r="A67" s="361"/>
      <c r="B67" s="70"/>
      <c r="C67" s="70"/>
      <c r="D67" s="70"/>
      <c r="E67" s="70"/>
      <c r="F67" s="3551"/>
      <c r="G67" s="3551"/>
      <c r="H67" s="70"/>
      <c r="I67" s="70"/>
      <c r="J67" s="3351"/>
      <c r="K67" s="70"/>
      <c r="L67" s="70"/>
      <c r="M67" s="361"/>
      <c r="N67" s="361"/>
      <c r="O67" s="361"/>
      <c r="P67" s="361"/>
      <c r="Q67" s="361"/>
      <c r="U67" s="70"/>
      <c r="V67" s="70"/>
      <c r="W67" s="70"/>
      <c r="X67" s="70"/>
      <c r="Y67" s="70"/>
      <c r="Z67" s="70"/>
      <c r="AA67" s="70"/>
      <c r="AB67" s="70"/>
    </row>
    <row r="68" spans="1:29" s="78" customFormat="1" ht="24.75" customHeight="1" thickBot="1">
      <c r="A68" s="262"/>
      <c r="B68" s="1258" t="s">
        <v>352</v>
      </c>
      <c r="C68" s="1280"/>
      <c r="D68" s="1280"/>
      <c r="E68" s="1280"/>
      <c r="F68" s="1259"/>
      <c r="G68" s="1280"/>
      <c r="H68" s="1280"/>
      <c r="I68" s="1280"/>
      <c r="J68" s="1259"/>
      <c r="K68" s="1280"/>
      <c r="L68" s="1282"/>
      <c r="M68" s="262"/>
      <c r="N68" s="242"/>
      <c r="O68" s="242"/>
      <c r="P68" s="242"/>
      <c r="Q68" s="242"/>
      <c r="R68"/>
      <c r="S68"/>
      <c r="T68"/>
      <c r="U68"/>
      <c r="V68"/>
      <c r="W68"/>
      <c r="X68"/>
      <c r="Y68"/>
      <c r="Z68"/>
      <c r="AA68"/>
      <c r="AB68"/>
      <c r="AC68"/>
    </row>
    <row r="69" spans="1:29" ht="15" customHeight="1">
      <c r="A69" s="361"/>
      <c r="B69" s="4359"/>
      <c r="C69" s="4098" t="s">
        <v>36</v>
      </c>
      <c r="D69" s="3997"/>
      <c r="E69" s="3997"/>
      <c r="F69" s="3997"/>
      <c r="G69" s="3997"/>
      <c r="H69" s="4074" t="s">
        <v>37</v>
      </c>
      <c r="I69" s="4075"/>
      <c r="J69" s="4075"/>
      <c r="K69" s="4075"/>
      <c r="L69" s="4082"/>
      <c r="M69" s="361"/>
      <c r="N69" s="361"/>
      <c r="O69" s="361"/>
      <c r="P69" s="361"/>
      <c r="Q69" s="361"/>
      <c r="U69"/>
      <c r="V69"/>
      <c r="W69"/>
      <c r="X69"/>
      <c r="Y69"/>
      <c r="Z69"/>
      <c r="AA69"/>
      <c r="AB69"/>
    </row>
    <row r="70" spans="1:29" ht="15" customHeight="1">
      <c r="A70" s="361"/>
      <c r="B70" s="4360"/>
      <c r="C70" s="3985" t="str">
        <f>CONCATENATE("$0's, real ",dms_DollarReal)</f>
        <v>$0's, real December 2017</v>
      </c>
      <c r="D70" s="3986"/>
      <c r="E70" s="3986"/>
      <c r="F70" s="3986"/>
      <c r="G70" s="3986"/>
      <c r="H70" s="3986"/>
      <c r="I70" s="3986"/>
      <c r="J70" s="3986"/>
      <c r="K70" s="3986"/>
      <c r="L70" s="4030"/>
      <c r="M70" s="361"/>
      <c r="N70" s="361"/>
      <c r="O70" s="361"/>
      <c r="P70" s="361"/>
      <c r="Q70" s="361"/>
      <c r="U70"/>
      <c r="V70"/>
      <c r="W70"/>
      <c r="X70"/>
      <c r="Y70"/>
      <c r="Z70"/>
      <c r="AA70"/>
      <c r="AB70"/>
    </row>
    <row r="71" spans="1:29" ht="12.75" customHeight="1">
      <c r="A71" s="361"/>
      <c r="B71" s="4360"/>
      <c r="C71" s="3985" t="s">
        <v>74</v>
      </c>
      <c r="D71" s="3986"/>
      <c r="E71" s="3986"/>
      <c r="F71" s="3986"/>
      <c r="G71" s="3986"/>
      <c r="H71" s="3986"/>
      <c r="I71" s="3986"/>
      <c r="J71" s="3986"/>
      <c r="K71" s="3986"/>
      <c r="L71" s="4030"/>
      <c r="M71" s="361"/>
      <c r="N71" s="361"/>
      <c r="O71" s="361"/>
      <c r="P71" s="361"/>
      <c r="Q71" s="361"/>
      <c r="U71"/>
      <c r="V71"/>
      <c r="W71"/>
      <c r="X71"/>
      <c r="Y71"/>
      <c r="Z71"/>
      <c r="AA71"/>
      <c r="AB71"/>
    </row>
    <row r="72" spans="1:29" ht="12.75" customHeight="1" thickBot="1">
      <c r="A72" s="361"/>
      <c r="B72" s="4361"/>
      <c r="C72" s="343">
        <f t="array" ref="C72:G72">PRCP</f>
        <v>2008</v>
      </c>
      <c r="D72" s="342">
        <v>2009</v>
      </c>
      <c r="E72" s="342">
        <v>2010</v>
      </c>
      <c r="F72" s="342">
        <v>2011</v>
      </c>
      <c r="G72" s="342">
        <v>2012</v>
      </c>
      <c r="H72" s="344">
        <f>CRCP_y1</f>
        <v>2013</v>
      </c>
      <c r="I72" s="344">
        <f>CRCP_y2</f>
        <v>2014</v>
      </c>
      <c r="J72" s="344">
        <f>CRCP_y3</f>
        <v>2015</v>
      </c>
      <c r="K72" s="344">
        <f>CRCP_y4</f>
        <v>2016</v>
      </c>
      <c r="L72" s="542">
        <f>CRCP_y5</f>
        <v>2017</v>
      </c>
      <c r="M72" s="361"/>
      <c r="N72" s="361"/>
      <c r="O72" s="361"/>
      <c r="P72" s="361"/>
      <c r="Q72" s="361"/>
      <c r="U72"/>
      <c r="V72"/>
      <c r="W72"/>
      <c r="X72"/>
      <c r="Y72"/>
      <c r="Z72"/>
      <c r="AA72"/>
      <c r="AB72"/>
    </row>
    <row r="73" spans="1:29">
      <c r="A73" s="361"/>
      <c r="B73" s="706" t="str">
        <f>B21</f>
        <v>Transmission pipelines</v>
      </c>
      <c r="C73" s="2962">
        <v>0</v>
      </c>
      <c r="D73" s="2963">
        <v>0</v>
      </c>
      <c r="E73" s="2963">
        <v>0</v>
      </c>
      <c r="F73" s="2963">
        <v>0</v>
      </c>
      <c r="G73" s="3347">
        <v>0</v>
      </c>
      <c r="H73" s="3339">
        <v>0</v>
      </c>
      <c r="I73" s="2963">
        <v>3360.4815281999922</v>
      </c>
      <c r="J73" s="2963">
        <v>0</v>
      </c>
      <c r="K73" s="2963">
        <v>0</v>
      </c>
      <c r="L73" s="2964">
        <v>0</v>
      </c>
      <c r="M73" s="361"/>
      <c r="N73" s="361"/>
      <c r="O73" s="361"/>
      <c r="P73" s="361"/>
      <c r="Q73" s="361"/>
      <c r="U73"/>
      <c r="V73"/>
      <c r="W73"/>
      <c r="X73"/>
      <c r="Y73"/>
      <c r="Z73"/>
      <c r="AA73"/>
      <c r="AB73"/>
    </row>
    <row r="74" spans="1:29">
      <c r="A74" s="361"/>
      <c r="B74" s="1250" t="str">
        <f t="shared" ref="B74:B83" si="2">B22</f>
        <v>Distribution pipelines</v>
      </c>
      <c r="C74" s="2965">
        <v>35518112.794420257</v>
      </c>
      <c r="D74" s="2966">
        <v>36133920.019622162</v>
      </c>
      <c r="E74" s="2966">
        <v>24730460.068587497</v>
      </c>
      <c r="F74" s="2966">
        <v>30001693.369961433</v>
      </c>
      <c r="G74" s="3348">
        <v>32756189.255587395</v>
      </c>
      <c r="H74" s="3340">
        <v>56942.224244696787</v>
      </c>
      <c r="I74" s="2966">
        <v>53362.113665633413</v>
      </c>
      <c r="J74" s="2966">
        <v>58419.128390281614</v>
      </c>
      <c r="K74" s="2966">
        <v>49806.779688561321</v>
      </c>
      <c r="L74" s="2967">
        <v>42836.57547022021</v>
      </c>
      <c r="M74" s="361"/>
      <c r="N74" s="361"/>
      <c r="O74" s="361"/>
      <c r="P74" s="361"/>
      <c r="Q74" s="361"/>
      <c r="U74"/>
      <c r="V74"/>
      <c r="W74"/>
      <c r="X74"/>
      <c r="Y74"/>
      <c r="Z74"/>
      <c r="AA74"/>
      <c r="AB74"/>
    </row>
    <row r="75" spans="1:29">
      <c r="A75" s="361"/>
      <c r="B75" s="1250" t="str">
        <f t="shared" si="2"/>
        <v>Service pipes</v>
      </c>
      <c r="C75" s="2965">
        <v>27961142.671264019</v>
      </c>
      <c r="D75" s="2966">
        <v>28445928.385570627</v>
      </c>
      <c r="E75" s="2966">
        <v>19468712.380811039</v>
      </c>
      <c r="F75" s="2966">
        <v>23618417.835217647</v>
      </c>
      <c r="G75" s="3348">
        <v>25786856.594652425</v>
      </c>
      <c r="H75" s="3340">
        <v>22701.962397739655</v>
      </c>
      <c r="I75" s="2966">
        <v>23225.504713107428</v>
      </c>
      <c r="J75" s="2966">
        <v>23898.064334558596</v>
      </c>
      <c r="K75" s="2966">
        <v>23333.719827303827</v>
      </c>
      <c r="L75" s="2967">
        <v>22714.635711576677</v>
      </c>
      <c r="M75" s="361"/>
      <c r="N75" s="361"/>
      <c r="O75" s="361"/>
      <c r="P75" s="361"/>
      <c r="Q75" s="361"/>
      <c r="U75"/>
      <c r="V75"/>
      <c r="W75"/>
      <c r="X75"/>
      <c r="Y75"/>
      <c r="Z75"/>
      <c r="AA75"/>
      <c r="AB75"/>
    </row>
    <row r="76" spans="1:29">
      <c r="A76" s="361"/>
      <c r="B76" s="1250" t="str">
        <f t="shared" si="2"/>
        <v>Cathodic protection</v>
      </c>
      <c r="C76" s="2965">
        <v>158248.8479196931</v>
      </c>
      <c r="D76" s="2966">
        <v>160992.54053908621</v>
      </c>
      <c r="E76" s="2966">
        <v>110185.10012144421</v>
      </c>
      <c r="F76" s="2966">
        <v>133670.76789570134</v>
      </c>
      <c r="G76" s="3348">
        <v>145943.26117322483</v>
      </c>
      <c r="H76" s="3340">
        <v>364.29606383751081</v>
      </c>
      <c r="I76" s="2966">
        <v>353.14068719657706</v>
      </c>
      <c r="J76" s="2966">
        <v>362.59602467634784</v>
      </c>
      <c r="K76" s="2966">
        <v>343.50231015970479</v>
      </c>
      <c r="L76" s="2967">
        <v>324.89402548948715</v>
      </c>
      <c r="M76" s="361"/>
      <c r="N76" s="361"/>
      <c r="O76" s="361"/>
      <c r="P76" s="361"/>
      <c r="Q76" s="361"/>
      <c r="U76"/>
      <c r="V76"/>
      <c r="W76"/>
      <c r="X76"/>
      <c r="Y76"/>
      <c r="Z76"/>
      <c r="AA76"/>
      <c r="AB76"/>
    </row>
    <row r="77" spans="1:29">
      <c r="A77" s="361"/>
      <c r="B77" s="1250" t="str">
        <f t="shared" si="2"/>
        <v>Supply regulators/Valve stations</v>
      </c>
      <c r="C77" s="2965">
        <v>2147136.2827064469</v>
      </c>
      <c r="D77" s="2966">
        <v>2184362.9800829892</v>
      </c>
      <c r="E77" s="2966">
        <v>1495002.519098619</v>
      </c>
      <c r="F77" s="2966">
        <v>1813658.4212716783</v>
      </c>
      <c r="G77" s="3348">
        <v>1980172.8442317361</v>
      </c>
      <c r="H77" s="3340">
        <v>3841.6951224267677</v>
      </c>
      <c r="I77" s="2966">
        <v>5889.6689172648976</v>
      </c>
      <c r="J77" s="2966">
        <v>8216.2992373855959</v>
      </c>
      <c r="K77" s="2966">
        <v>5044.9080510090525</v>
      </c>
      <c r="L77" s="2967">
        <v>2948.6453572336218</v>
      </c>
      <c r="M77" s="361"/>
      <c r="N77" s="361"/>
      <c r="O77" s="361"/>
      <c r="P77" s="361"/>
      <c r="Q77" s="361"/>
      <c r="U77"/>
      <c r="V77"/>
      <c r="W77"/>
      <c r="X77"/>
      <c r="Y77"/>
      <c r="Z77"/>
      <c r="AA77"/>
      <c r="AB77"/>
    </row>
    <row r="78" spans="1:29">
      <c r="A78" s="361"/>
      <c r="B78" s="1250" t="str">
        <f t="shared" si="2"/>
        <v>Meters</v>
      </c>
      <c r="C78" s="2965">
        <v>18763333.481655318</v>
      </c>
      <c r="D78" s="2966">
        <v>15538661.578119054</v>
      </c>
      <c r="E78" s="2966">
        <v>20076477.124675747</v>
      </c>
      <c r="F78" s="2966">
        <v>12364791.167225404</v>
      </c>
      <c r="G78" s="3348">
        <v>14624811.035170197</v>
      </c>
      <c r="H78" s="3340">
        <v>11834.847683840911</v>
      </c>
      <c r="I78" s="2966">
        <v>12485.359033137303</v>
      </c>
      <c r="J78" s="2966">
        <v>11831.491291247437</v>
      </c>
      <c r="K78" s="2966">
        <v>11703.022565221872</v>
      </c>
      <c r="L78" s="2967">
        <v>11481.060378396933</v>
      </c>
      <c r="M78" s="361"/>
      <c r="N78" s="361"/>
      <c r="O78" s="361"/>
      <c r="P78" s="361"/>
      <c r="Q78" s="361"/>
      <c r="U78"/>
      <c r="V78"/>
      <c r="W78"/>
      <c r="X78"/>
      <c r="Y78"/>
      <c r="Z78"/>
      <c r="AA78"/>
      <c r="AB78"/>
    </row>
    <row r="79" spans="1:29" s="1172" customFormat="1">
      <c r="A79" s="1174"/>
      <c r="B79" s="788" t="str">
        <f t="shared" si="2"/>
        <v>SCADA and remote control</v>
      </c>
      <c r="C79" s="3333">
        <v>769811.20542597014</v>
      </c>
      <c r="D79" s="3334">
        <v>7079193.910168835</v>
      </c>
      <c r="E79" s="3334">
        <v>2873638.0241166651</v>
      </c>
      <c r="F79" s="3334">
        <v>1090059.9658731197</v>
      </c>
      <c r="G79" s="3349">
        <v>428552.91220097709</v>
      </c>
      <c r="H79" s="3341">
        <v>1106.1113802081925</v>
      </c>
      <c r="I79" s="3334">
        <v>1086.1424508585671</v>
      </c>
      <c r="J79" s="3334">
        <v>1084.6031070118602</v>
      </c>
      <c r="K79" s="3334">
        <v>981.35632527355187</v>
      </c>
      <c r="L79" s="3335">
        <v>1037.5622434828663</v>
      </c>
      <c r="M79" s="1174"/>
      <c r="N79" s="1174"/>
      <c r="O79" s="1174"/>
      <c r="P79" s="1174"/>
      <c r="Q79" s="1174"/>
    </row>
    <row r="80" spans="1:29" s="1172" customFormat="1">
      <c r="A80" s="1174"/>
      <c r="B80" s="788" t="str">
        <f t="shared" si="2"/>
        <v>Buildings</v>
      </c>
      <c r="C80" s="3333"/>
      <c r="D80" s="3334"/>
      <c r="E80" s="3334"/>
      <c r="F80" s="3334"/>
      <c r="G80" s="3349"/>
      <c r="H80" s="3341"/>
      <c r="I80" s="3334"/>
      <c r="J80" s="3334"/>
      <c r="K80" s="3334"/>
      <c r="L80" s="3335"/>
      <c r="M80" s="1174"/>
      <c r="N80" s="1174"/>
      <c r="O80" s="1174"/>
      <c r="P80" s="1174"/>
      <c r="Q80" s="1174"/>
    </row>
    <row r="81" spans="1:28" s="1172" customFormat="1">
      <c r="A81" s="1174"/>
      <c r="B81" s="788" t="str">
        <f t="shared" si="2"/>
        <v>Other - IT</v>
      </c>
      <c r="C81" s="3333">
        <v>1642677.5851325362</v>
      </c>
      <c r="D81" s="3334">
        <v>8317110.2682617949</v>
      </c>
      <c r="E81" s="3334">
        <v>16256471.369091423</v>
      </c>
      <c r="F81" s="3334">
        <v>11793594.233738162</v>
      </c>
      <c r="G81" s="3349">
        <v>3740705.1250576698</v>
      </c>
      <c r="H81" s="3341">
        <v>16908.886294115928</v>
      </c>
      <c r="I81" s="3334">
        <v>16108.536041816358</v>
      </c>
      <c r="J81" s="3334">
        <v>8539.1637017094745</v>
      </c>
      <c r="K81" s="3334">
        <v>9492.1433196482194</v>
      </c>
      <c r="L81" s="3335">
        <v>9712.8168927778552</v>
      </c>
      <c r="M81" s="1174"/>
      <c r="N81" s="1174"/>
      <c r="O81" s="1174"/>
      <c r="P81" s="1174"/>
      <c r="Q81" s="1174"/>
    </row>
    <row r="82" spans="1:28" s="1172" customFormat="1">
      <c r="A82" s="1174"/>
      <c r="B82" s="788" t="str">
        <f t="shared" si="2"/>
        <v>Other - Non IT</v>
      </c>
      <c r="C82" s="3333">
        <v>3642282.6455531288</v>
      </c>
      <c r="D82" s="3334">
        <v>2562552.2424112768</v>
      </c>
      <c r="E82" s="3334">
        <v>1537905.4194009639</v>
      </c>
      <c r="F82" s="3334">
        <v>2067204.0076112903</v>
      </c>
      <c r="G82" s="3349">
        <v>1575911.7816525996</v>
      </c>
      <c r="H82" s="3341">
        <v>423.14437960873693</v>
      </c>
      <c r="I82" s="3334">
        <v>422.63613356710175</v>
      </c>
      <c r="J82" s="3334">
        <v>424.68276601419501</v>
      </c>
      <c r="K82" s="3334">
        <v>430.73790651283684</v>
      </c>
      <c r="L82" s="3335">
        <v>437.1257241432736</v>
      </c>
      <c r="M82" s="1174"/>
      <c r="N82" s="1174"/>
      <c r="O82" s="1174"/>
      <c r="P82" s="1174"/>
      <c r="Q82" s="1174"/>
    </row>
    <row r="83" spans="1:28" ht="13.5" thickBot="1">
      <c r="A83" s="361"/>
      <c r="B83" s="707" t="str">
        <f t="shared" si="2"/>
        <v>Land</v>
      </c>
      <c r="C83" s="3336"/>
      <c r="D83" s="3337"/>
      <c r="E83" s="3337"/>
      <c r="F83" s="3337"/>
      <c r="G83" s="3350"/>
      <c r="H83" s="3342"/>
      <c r="I83" s="3337"/>
      <c r="J83" s="3337"/>
      <c r="K83" s="3337"/>
      <c r="L83" s="3338"/>
      <c r="M83" s="361"/>
      <c r="N83" s="361"/>
      <c r="O83" s="361"/>
      <c r="P83" s="361"/>
      <c r="Q83" s="361"/>
      <c r="U83"/>
      <c r="V83"/>
      <c r="W83"/>
      <c r="X83"/>
      <c r="Y83"/>
      <c r="Z83"/>
      <c r="AA83"/>
      <c r="AB83"/>
    </row>
    <row r="117" spans="2:2" ht="15.75">
      <c r="B117" s="87" t="s">
        <v>168</v>
      </c>
    </row>
  </sheetData>
  <mergeCells count="35">
    <mergeCell ref="M52:Q52"/>
    <mergeCell ref="C35:L35"/>
    <mergeCell ref="C36:L36"/>
    <mergeCell ref="B69:B72"/>
    <mergeCell ref="C69:G69"/>
    <mergeCell ref="H69:L69"/>
    <mergeCell ref="B52:B55"/>
    <mergeCell ref="C52:G52"/>
    <mergeCell ref="H52:L52"/>
    <mergeCell ref="C70:L70"/>
    <mergeCell ref="C71:L71"/>
    <mergeCell ref="B12:I12"/>
    <mergeCell ref="K19:Q19"/>
    <mergeCell ref="C53:J53"/>
    <mergeCell ref="K53:Q53"/>
    <mergeCell ref="C54:J54"/>
    <mergeCell ref="K54:Q54"/>
    <mergeCell ref="M17:Q17"/>
    <mergeCell ref="B34:B37"/>
    <mergeCell ref="C34:G34"/>
    <mergeCell ref="H34:L34"/>
    <mergeCell ref="B17:B20"/>
    <mergeCell ref="C17:G17"/>
    <mergeCell ref="H17:L17"/>
    <mergeCell ref="C18:J18"/>
    <mergeCell ref="K18:Q18"/>
    <mergeCell ref="C19:J19"/>
    <mergeCell ref="U54:AB54"/>
    <mergeCell ref="U52:Y52"/>
    <mergeCell ref="Z52:AB52"/>
    <mergeCell ref="U53:AB53"/>
    <mergeCell ref="U17:Y17"/>
    <mergeCell ref="Z17:AB17"/>
    <mergeCell ref="U18:AB18"/>
    <mergeCell ref="U19:AB19"/>
  </mergeCells>
  <pageMargins left="0.74803149606299213" right="0.74803149606299213" top="0.98425196850393704" bottom="0.98425196850393704" header="0.51181102362204722" footer="0.51181102362204722"/>
  <pageSetup paperSize="9" scale="42" fitToHeight="3" orientation="landscape" r:id="rId1"/>
  <headerFooter alignWithMargins="0">
    <oddFooter>&amp;L&amp;D&amp;C&amp; Pro Forma: &amp;A
&amp;F&amp;R&amp;P o&amp;Of &amp;N</oddFooter>
  </headerFooter>
  <customProperties>
    <customPr name="_pios_id" r:id="rId2"/>
  </customProperties>
  <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pageSetUpPr autoPageBreaks="0" fitToPage="1"/>
  </sheetPr>
  <dimension ref="A1:AC105"/>
  <sheetViews>
    <sheetView showGridLines="0" topLeftCell="A10" zoomScaleNormal="100" workbookViewId="0">
      <selection activeCell="C43" sqref="C43"/>
    </sheetView>
  </sheetViews>
  <sheetFormatPr defaultColWidth="9.140625" defaultRowHeight="12.75" outlineLevelRow="2"/>
  <cols>
    <col min="1" max="1" width="15.42578125" style="95" customWidth="1"/>
    <col min="2" max="2" width="54.140625" style="95" customWidth="1"/>
    <col min="3" max="6" width="15.7109375" style="95" customWidth="1"/>
    <col min="7" max="7" width="23" style="95" customWidth="1"/>
    <col min="8" max="10" width="8.7109375"/>
    <col min="11" max="13" width="18.28515625" style="1172" customWidth="1"/>
    <col min="14" max="29" width="8.7109375" customWidth="1"/>
    <col min="30" max="16384" width="9.140625" style="95"/>
  </cols>
  <sheetData>
    <row r="1" spans="1:29" s="177" customFormat="1" ht="24" customHeight="1">
      <c r="B1" s="2522" t="str">
        <f>IF(dms_DataQuality="backcast",INDEX(dms_Worksheet_List,MATCH(dms_Model,dms_Model_List))&amp;" BACKCAST",INDEX(dms_Worksheet_List,MATCH(dms_Model,dms_Model_List)))</f>
        <v>REGULATORY REPORTING STATEMENT</v>
      </c>
      <c r="C1" s="491"/>
      <c r="D1" s="491"/>
      <c r="E1" s="491"/>
      <c r="F1" s="491"/>
      <c r="G1" s="491"/>
      <c r="H1" s="491"/>
      <c r="I1" s="491"/>
      <c r="J1" s="491"/>
      <c r="K1" s="491"/>
      <c r="L1" s="491"/>
      <c r="M1" s="491"/>
      <c r="N1"/>
      <c r="O1"/>
      <c r="P1"/>
      <c r="Q1"/>
      <c r="R1"/>
      <c r="S1"/>
      <c r="T1"/>
      <c r="U1"/>
      <c r="V1"/>
      <c r="W1"/>
      <c r="X1"/>
      <c r="Y1"/>
      <c r="Z1"/>
      <c r="AA1"/>
      <c r="AB1"/>
      <c r="AC1"/>
    </row>
    <row r="2" spans="1:29" s="177" customFormat="1" ht="24" customHeight="1">
      <c r="B2" s="2526" t="str">
        <f>INDEX(dms_TradingNameFull_List,MATCH(dms_TradingName,dms_TradingName_List))</f>
        <v>AusNet Gas Services</v>
      </c>
      <c r="C2" s="180"/>
      <c r="D2" s="180"/>
      <c r="E2" s="180"/>
      <c r="F2" s="180"/>
      <c r="G2" s="180"/>
      <c r="H2" s="1173"/>
      <c r="I2" s="1173"/>
      <c r="J2" s="1173"/>
      <c r="K2" s="1173"/>
      <c r="L2" s="1173"/>
      <c r="M2" s="1173"/>
      <c r="N2"/>
      <c r="O2"/>
      <c r="P2"/>
      <c r="Q2"/>
      <c r="R2"/>
      <c r="S2"/>
      <c r="T2"/>
      <c r="U2"/>
      <c r="V2"/>
      <c r="W2"/>
      <c r="X2"/>
      <c r="Y2"/>
      <c r="Z2"/>
      <c r="AA2"/>
      <c r="AB2"/>
      <c r="AC2"/>
    </row>
    <row r="3" spans="1:29" s="177" customFormat="1" ht="24" customHeight="1">
      <c r="B3" s="2526" t="str">
        <f ca="1">IF(SUM(dms_SingleYear_Model)&gt;0,CRY,CONCATENATE(FRCP_y1," to ",dms_MultiYear_FinalYear_Result))</f>
        <v>2018 to 2022</v>
      </c>
      <c r="C3" s="181"/>
      <c r="D3" s="181"/>
      <c r="E3" s="181"/>
      <c r="F3" s="181"/>
      <c r="G3" s="181"/>
      <c r="H3" s="1171"/>
      <c r="I3" s="1171"/>
      <c r="J3" s="1171"/>
      <c r="K3" s="1171"/>
      <c r="L3" s="1171"/>
      <c r="M3" s="1171"/>
      <c r="N3"/>
      <c r="O3"/>
      <c r="P3"/>
      <c r="Q3"/>
      <c r="R3"/>
      <c r="S3"/>
      <c r="T3"/>
      <c r="U3"/>
      <c r="V3"/>
      <c r="W3"/>
      <c r="X3"/>
      <c r="Y3"/>
      <c r="Z3"/>
      <c r="AA3"/>
      <c r="AB3"/>
      <c r="AC3"/>
    </row>
    <row r="4" spans="1:29" s="159" customFormat="1" ht="24" customHeight="1">
      <c r="B4" s="10" t="s">
        <v>355</v>
      </c>
      <c r="C4" s="12"/>
      <c r="D4" s="12"/>
      <c r="E4" s="12"/>
      <c r="F4" s="12"/>
      <c r="G4" s="12"/>
      <c r="H4" s="12"/>
      <c r="I4" s="12"/>
      <c r="J4" s="12"/>
      <c r="K4" s="12"/>
      <c r="L4" s="12"/>
      <c r="M4" s="12"/>
      <c r="N4"/>
      <c r="O4"/>
      <c r="P4"/>
      <c r="Q4"/>
      <c r="R4"/>
      <c r="S4"/>
      <c r="T4"/>
      <c r="U4"/>
      <c r="V4"/>
      <c r="W4"/>
      <c r="X4"/>
      <c r="Y4"/>
      <c r="Z4"/>
      <c r="AA4"/>
      <c r="AB4"/>
      <c r="AC4"/>
    </row>
    <row r="5" spans="1:29" customFormat="1" ht="12.75" customHeight="1"/>
    <row r="6" spans="1:29" customFormat="1"/>
    <row r="7" spans="1:29">
      <c r="A7" s="696"/>
      <c r="B7" s="103" t="s">
        <v>59</v>
      </c>
      <c r="C7" s="109"/>
      <c r="D7" s="109"/>
      <c r="E7" s="109"/>
      <c r="F7" s="109"/>
      <c r="G7" s="696"/>
      <c r="K7"/>
      <c r="L7"/>
      <c r="M7"/>
    </row>
    <row r="8" spans="1:29">
      <c r="A8" s="696"/>
      <c r="B8" s="104" t="s">
        <v>5</v>
      </c>
      <c r="C8" s="109"/>
      <c r="D8" s="109"/>
      <c r="E8" s="109"/>
      <c r="F8" s="109"/>
      <c r="G8" s="696"/>
      <c r="K8"/>
      <c r="L8"/>
      <c r="M8"/>
    </row>
    <row r="9" spans="1:29" s="77" customFormat="1" ht="30.75" customHeight="1">
      <c r="A9" s="262"/>
      <c r="B9" s="4284" t="s">
        <v>230</v>
      </c>
      <c r="C9" s="4284"/>
      <c r="D9" s="4284"/>
      <c r="E9" s="4284"/>
      <c r="F9" s="4284"/>
      <c r="G9" s="262"/>
      <c r="H9"/>
      <c r="I9"/>
      <c r="J9"/>
      <c r="K9"/>
      <c r="L9"/>
      <c r="M9"/>
      <c r="N9"/>
      <c r="O9"/>
      <c r="P9"/>
      <c r="Q9"/>
      <c r="R9"/>
      <c r="S9"/>
      <c r="T9"/>
      <c r="U9"/>
      <c r="V9"/>
      <c r="W9"/>
      <c r="X9"/>
      <c r="Y9"/>
      <c r="Z9"/>
      <c r="AA9"/>
      <c r="AB9"/>
      <c r="AC9"/>
    </row>
    <row r="10" spans="1:29" s="77" customFormat="1">
      <c r="A10" s="262"/>
      <c r="B10" s="111" t="s">
        <v>13</v>
      </c>
      <c r="C10" s="104"/>
      <c r="D10" s="104"/>
      <c r="E10" s="109"/>
      <c r="F10" s="109"/>
      <c r="G10" s="262"/>
      <c r="H10"/>
      <c r="I10"/>
      <c r="J10"/>
      <c r="K10"/>
      <c r="L10"/>
      <c r="M10"/>
      <c r="N10"/>
      <c r="O10"/>
      <c r="P10"/>
      <c r="Q10"/>
      <c r="R10"/>
      <c r="S10"/>
      <c r="T10"/>
      <c r="U10"/>
      <c r="V10"/>
      <c r="W10"/>
      <c r="X10"/>
      <c r="Y10"/>
      <c r="Z10"/>
      <c r="AA10"/>
      <c r="AB10"/>
      <c r="AC10"/>
    </row>
    <row r="11" spans="1:29">
      <c r="A11" s="696"/>
      <c r="B11" s="696"/>
      <c r="C11" s="696"/>
      <c r="D11" s="696"/>
      <c r="E11" s="696"/>
      <c r="F11" s="696"/>
      <c r="G11" s="696"/>
      <c r="K11"/>
      <c r="L11"/>
      <c r="M11"/>
    </row>
    <row r="12" spans="1:29" s="78" customFormat="1" ht="26.25" customHeight="1" thickBot="1">
      <c r="A12" s="489"/>
      <c r="B12" s="80"/>
      <c r="C12" s="489"/>
      <c r="D12" s="489"/>
      <c r="E12" s="489"/>
      <c r="F12" s="489"/>
      <c r="G12" s="489"/>
      <c r="H12"/>
      <c r="I12"/>
      <c r="J12"/>
      <c r="K12" s="489"/>
      <c r="L12" s="489"/>
      <c r="M12" s="489"/>
      <c r="N12"/>
      <c r="O12"/>
      <c r="P12"/>
      <c r="Q12"/>
      <c r="R12"/>
      <c r="S12"/>
      <c r="T12"/>
      <c r="U12"/>
      <c r="V12"/>
      <c r="W12"/>
      <c r="X12"/>
      <c r="Y12"/>
      <c r="Z12"/>
      <c r="AA12"/>
      <c r="AB12"/>
      <c r="AC12"/>
    </row>
    <row r="13" spans="1:29" s="136" customFormat="1" ht="18.75" thickBot="1">
      <c r="A13" s="1174"/>
      <c r="B13" s="735" t="s">
        <v>506</v>
      </c>
      <c r="C13" s="736"/>
      <c r="D13" s="736"/>
      <c r="E13" s="736"/>
      <c r="F13" s="736"/>
      <c r="G13" s="1281"/>
      <c r="H13" s="1283"/>
      <c r="I13" s="1284"/>
      <c r="J13" s="1284"/>
      <c r="K13" s="735" t="s">
        <v>642</v>
      </c>
      <c r="L13" s="736"/>
      <c r="M13" s="1281"/>
    </row>
    <row r="14" spans="1:29" s="136" customFormat="1" ht="18.75" thickBot="1">
      <c r="A14" s="1174"/>
      <c r="B14" s="1258" t="s">
        <v>507</v>
      </c>
      <c r="C14" s="1280"/>
      <c r="D14" s="1280"/>
      <c r="E14" s="1280"/>
      <c r="F14" s="1280"/>
      <c r="G14" s="1282"/>
      <c r="H14" s="1283"/>
      <c r="I14" s="1284"/>
      <c r="J14" s="1284"/>
      <c r="K14" s="1770"/>
      <c r="L14" s="1280"/>
      <c r="M14" s="1282"/>
    </row>
    <row r="15" spans="1:29" ht="15.75" customHeight="1">
      <c r="A15" s="696"/>
      <c r="B15" s="675"/>
      <c r="C15" s="4373" t="s">
        <v>37</v>
      </c>
      <c r="D15" s="4365"/>
      <c r="E15" s="4365"/>
      <c r="F15" s="4365"/>
      <c r="G15" s="4366"/>
      <c r="K15" s="4364" t="s">
        <v>37</v>
      </c>
      <c r="L15" s="4365"/>
      <c r="M15" s="4366"/>
    </row>
    <row r="16" spans="1:29" ht="15" customHeight="1">
      <c r="A16" s="696"/>
      <c r="B16" s="524"/>
      <c r="C16" s="4367" t="s">
        <v>543</v>
      </c>
      <c r="D16" s="4368"/>
      <c r="E16" s="4370"/>
      <c r="F16" s="4371" t="str">
        <f>CONCATENATE("$0's, real ",dms_DollarReal)</f>
        <v>$0's, real December 2017</v>
      </c>
      <c r="G16" s="4374"/>
      <c r="K16" s="4367" t="str">
        <f>CONCATENATE("$0's, real ",dms_DollarReal)</f>
        <v>$0's, real December 2017</v>
      </c>
      <c r="L16" s="4368"/>
      <c r="M16" s="4369"/>
    </row>
    <row r="17" spans="1:13" ht="12.75" customHeight="1">
      <c r="A17" s="696"/>
      <c r="B17" s="524"/>
      <c r="C17" s="4367" t="s">
        <v>54</v>
      </c>
      <c r="D17" s="4368"/>
      <c r="E17" s="4370"/>
      <c r="F17" s="4371" t="s">
        <v>55</v>
      </c>
      <c r="G17" s="4374"/>
      <c r="K17" s="4367" t="s">
        <v>54</v>
      </c>
      <c r="L17" s="4368"/>
      <c r="M17" s="4369"/>
    </row>
    <row r="18" spans="1:13" ht="15.75" outlineLevel="1" thickBot="1">
      <c r="A18" s="696"/>
      <c r="B18" s="525"/>
      <c r="C18" s="343">
        <f>CRCP_y1</f>
        <v>2013</v>
      </c>
      <c r="D18" s="342">
        <f>CRCP_y2</f>
        <v>2014</v>
      </c>
      <c r="E18" s="342">
        <f>CRCP_y3</f>
        <v>2015</v>
      </c>
      <c r="F18" s="342">
        <f>CRCP_y4</f>
        <v>2016</v>
      </c>
      <c r="G18" s="443">
        <f>CRCP_y5</f>
        <v>2017</v>
      </c>
      <c r="K18" s="1438">
        <f>CRCP_y1</f>
        <v>2013</v>
      </c>
      <c r="L18" s="342">
        <f>CRCP_y2</f>
        <v>2014</v>
      </c>
      <c r="M18" s="443">
        <f>CRCP_y3</f>
        <v>2015</v>
      </c>
    </row>
    <row r="19" spans="1:13" s="1172" customFormat="1" ht="30" customHeight="1">
      <c r="A19" s="1174"/>
      <c r="B19" s="1286" t="s">
        <v>357</v>
      </c>
      <c r="C19" s="1287"/>
      <c r="D19" s="1287"/>
      <c r="E19" s="1287"/>
      <c r="F19" s="1287"/>
      <c r="G19" s="1294"/>
      <c r="H19" s="1174"/>
      <c r="K19" s="1286"/>
      <c r="L19" s="1287"/>
      <c r="M19" s="1294"/>
    </row>
    <row r="20" spans="1:13" outlineLevel="2">
      <c r="A20" s="696"/>
      <c r="B20" s="731" t="s">
        <v>49</v>
      </c>
      <c r="C20" s="1288">
        <f>SUM(C51,C59,C67,C75,C83,C91)</f>
        <v>35995651.42916093</v>
      </c>
      <c r="D20" s="1289">
        <f>SUM(D51,D59,D67,D75,D83,D91)</f>
        <v>43651949.358385898</v>
      </c>
      <c r="E20" s="1289">
        <f>SUM(E51,E59,E67,E75,E83,E91,E99)</f>
        <v>44616289.661201522</v>
      </c>
      <c r="F20" s="1289"/>
      <c r="G20" s="1295"/>
      <c r="K20" s="1288">
        <f t="shared" ref="K20:M20" si="0">SUM(K51,K59,K67,K75,K83,K91)</f>
        <v>0</v>
      </c>
      <c r="L20" s="1289">
        <f t="shared" si="0"/>
        <v>0</v>
      </c>
      <c r="M20" s="1295">
        <f t="shared" si="0"/>
        <v>0</v>
      </c>
    </row>
    <row r="21" spans="1:13" ht="15" customHeight="1" outlineLevel="2">
      <c r="A21" s="696"/>
      <c r="B21" s="1290" t="s">
        <v>176</v>
      </c>
      <c r="C21" s="1291">
        <f t="shared" ref="C21:C26" si="1">SUM(C52,C60,C68,C76,C84,C92)</f>
        <v>-5312535.2433268493</v>
      </c>
      <c r="D21" s="683">
        <f>SUM(D52,D60,D68,D76,D84,D92,D100)</f>
        <v>-3841991.1101738857</v>
      </c>
      <c r="E21" s="683">
        <f>SUM(E52,E60,E68,E76,E84,E92,E100)</f>
        <v>-1726296.6285600238</v>
      </c>
      <c r="F21" s="683"/>
      <c r="G21" s="1296"/>
      <c r="K21" s="1291">
        <f t="shared" ref="K21:M21" si="2">SUM(K52,K60,K68,K76,K84,K92)</f>
        <v>0</v>
      </c>
      <c r="L21" s="683">
        <f t="shared" si="2"/>
        <v>0</v>
      </c>
      <c r="M21" s="1296">
        <f t="shared" si="2"/>
        <v>0</v>
      </c>
    </row>
    <row r="22" spans="1:13" ht="15" customHeight="1" outlineLevel="2">
      <c r="A22" s="696"/>
      <c r="B22" s="1290" t="s">
        <v>177</v>
      </c>
      <c r="C22" s="1291">
        <f t="shared" si="1"/>
        <v>-188144.12920340322</v>
      </c>
      <c r="D22" s="683">
        <f t="shared" ref="D22:E22" si="3">SUM(D53,D61,D69,D77,D85,D93)</f>
        <v>-110470.18630656794</v>
      </c>
      <c r="E22" s="683">
        <f t="shared" si="3"/>
        <v>-27397.734561303874</v>
      </c>
      <c r="F22" s="683"/>
      <c r="G22" s="1296"/>
      <c r="K22" s="1291">
        <f t="shared" ref="K22:M22" si="4">SUM(K53,K61,K69,K77,K85,K93)</f>
        <v>0</v>
      </c>
      <c r="L22" s="683">
        <f t="shared" si="4"/>
        <v>0</v>
      </c>
      <c r="M22" s="1296">
        <f t="shared" si="4"/>
        <v>0</v>
      </c>
    </row>
    <row r="23" spans="1:13" ht="15" customHeight="1" outlineLevel="2">
      <c r="A23" s="696"/>
      <c r="B23" s="1290" t="s">
        <v>178</v>
      </c>
      <c r="C23" s="1291">
        <f t="shared" si="1"/>
        <v>13681148.962060962</v>
      </c>
      <c r="D23" s="683">
        <f>SUM(D54,D62,D70,D78,D86,D94,D102)</f>
        <v>4360234.9556052061</v>
      </c>
      <c r="E23" s="683">
        <f>SUM(E54,E62,E70,E78,E86,E94)</f>
        <v>5688174.7484760759</v>
      </c>
      <c r="F23" s="683"/>
      <c r="G23" s="1296"/>
      <c r="K23" s="1291">
        <f t="shared" ref="K23:M23" si="5">SUM(K54,K62,K70,K78,K86,K94)</f>
        <v>0</v>
      </c>
      <c r="L23" s="683">
        <f t="shared" si="5"/>
        <v>0</v>
      </c>
      <c r="M23" s="1296">
        <f t="shared" si="5"/>
        <v>0</v>
      </c>
    </row>
    <row r="24" spans="1:13" ht="15" customHeight="1" outlineLevel="2">
      <c r="A24" s="696"/>
      <c r="B24" s="1290" t="s">
        <v>179</v>
      </c>
      <c r="C24" s="1291">
        <f t="shared" si="1"/>
        <v>216582.93415912811</v>
      </c>
      <c r="D24" s="683">
        <f t="shared" ref="D24:E24" si="6">SUM(D55,D63,D71,D79,D87,D95)</f>
        <v>120602.81712954969</v>
      </c>
      <c r="E24" s="683">
        <f t="shared" si="6"/>
        <v>93271.32316877268</v>
      </c>
      <c r="F24" s="683"/>
      <c r="G24" s="1296"/>
      <c r="K24" s="1291">
        <f t="shared" ref="K24:M24" si="7">SUM(K55,K63,K71,K79,K87,K95)</f>
        <v>0</v>
      </c>
      <c r="L24" s="683">
        <f t="shared" si="7"/>
        <v>0</v>
      </c>
      <c r="M24" s="1296">
        <f t="shared" si="7"/>
        <v>0</v>
      </c>
    </row>
    <row r="25" spans="1:13" outlineLevel="2">
      <c r="A25" s="696"/>
      <c r="B25" s="1290" t="s">
        <v>50</v>
      </c>
      <c r="C25" s="1291">
        <f t="shared" si="1"/>
        <v>-740754.59446486726</v>
      </c>
      <c r="D25" s="683">
        <f t="shared" ref="D25" si="8">SUM(D56,D64,D72,D80,D88,D96)</f>
        <v>435963.82656133437</v>
      </c>
      <c r="E25" s="683">
        <f>SUM(E56,E64,E72,E80,E88,E96)</f>
        <v>-1157744.8505010169</v>
      </c>
      <c r="F25" s="683"/>
      <c r="G25" s="1296"/>
      <c r="K25" s="1291">
        <f t="shared" ref="K25:M25" si="9">SUM(K56,K64,K72,K80,K88,K96)</f>
        <v>0</v>
      </c>
      <c r="L25" s="683">
        <f t="shared" si="9"/>
        <v>0</v>
      </c>
      <c r="M25" s="1296">
        <f t="shared" si="9"/>
        <v>0</v>
      </c>
    </row>
    <row r="26" spans="1:13" outlineLevel="2">
      <c r="A26" s="696"/>
      <c r="B26" s="1250" t="s">
        <v>51</v>
      </c>
      <c r="C26" s="1291">
        <f t="shared" si="1"/>
        <v>43651949.358385898</v>
      </c>
      <c r="D26" s="683">
        <f>SUM(D57,D65,D73,D81,D89,D97,D105)</f>
        <v>44616289.661201522</v>
      </c>
      <c r="E26" s="683">
        <f t="shared" ref="E26" si="10">SUM(E57,E65,E73,E81,E89,E97)</f>
        <v>47486116.619327158</v>
      </c>
      <c r="F26" s="683"/>
      <c r="G26" s="1296"/>
      <c r="K26" s="1291">
        <f t="shared" ref="K26:M26" si="11">SUM(K57,K65,K73,K81,K89,K97)</f>
        <v>0</v>
      </c>
      <c r="L26" s="683">
        <f t="shared" si="11"/>
        <v>0</v>
      </c>
      <c r="M26" s="1296">
        <f t="shared" si="11"/>
        <v>0</v>
      </c>
    </row>
    <row r="27" spans="1:13" ht="13.5" outlineLevel="1" thickBot="1">
      <c r="A27" s="696"/>
      <c r="B27" s="1264" t="s">
        <v>52</v>
      </c>
      <c r="C27" s="1292">
        <f>SUM(C21:C25)</f>
        <v>7656297.9292249708</v>
      </c>
      <c r="D27" s="710">
        <f t="shared" ref="D27:G27" si="12">SUM(D21:D25)</f>
        <v>964340.30281563662</v>
      </c>
      <c r="E27" s="710">
        <f t="shared" si="12"/>
        <v>2870006.8580225036</v>
      </c>
      <c r="F27" s="710">
        <f t="shared" si="12"/>
        <v>0</v>
      </c>
      <c r="G27" s="1297">
        <f t="shared" si="12"/>
        <v>0</v>
      </c>
      <c r="K27" s="1780">
        <f t="shared" ref="K27:M27" si="13">SUM(K21:K25)</f>
        <v>0</v>
      </c>
      <c r="L27" s="710">
        <f t="shared" si="13"/>
        <v>0</v>
      </c>
      <c r="M27" s="1297">
        <f t="shared" si="13"/>
        <v>0</v>
      </c>
    </row>
    <row r="28" spans="1:13" s="1172" customFormat="1" ht="30" customHeight="1">
      <c r="A28" s="1174"/>
      <c r="B28" s="1286" t="s">
        <v>508</v>
      </c>
      <c r="C28" s="1287"/>
      <c r="D28" s="1287"/>
      <c r="E28" s="1287"/>
      <c r="F28" s="1287"/>
      <c r="G28" s="1294"/>
      <c r="H28" s="1174"/>
      <c r="K28" s="1286"/>
      <c r="L28" s="1287"/>
      <c r="M28" s="1294"/>
    </row>
    <row r="29" spans="1:13" outlineLevel="1">
      <c r="A29" s="696"/>
      <c r="B29" s="1293" t="s">
        <v>358</v>
      </c>
      <c r="C29" s="1291">
        <f>SUM(C21,C23)</f>
        <v>8368613.7187341126</v>
      </c>
      <c r="D29" s="683">
        <f t="shared" ref="D29:G29" si="14">SUM(D21,D23)</f>
        <v>518243.84543132037</v>
      </c>
      <c r="E29" s="683">
        <f t="shared" si="14"/>
        <v>3961878.1199160521</v>
      </c>
      <c r="F29" s="683">
        <f t="shared" si="14"/>
        <v>0</v>
      </c>
      <c r="G29" s="1296">
        <f t="shared" si="14"/>
        <v>0</v>
      </c>
      <c r="K29" s="1291">
        <f t="shared" ref="K29:M29" si="15">SUM(K21,K23)</f>
        <v>0</v>
      </c>
      <c r="L29" s="683">
        <f t="shared" si="15"/>
        <v>0</v>
      </c>
      <c r="M29" s="1296">
        <f t="shared" si="15"/>
        <v>0</v>
      </c>
    </row>
    <row r="30" spans="1:13" ht="13.5" outlineLevel="1" thickBot="1">
      <c r="A30" s="696"/>
      <c r="B30" s="855" t="s">
        <v>38</v>
      </c>
      <c r="C30" s="1291">
        <f t="shared" ref="C30:G30" si="16">SUM(C22,C24)</f>
        <v>28438.804955724889</v>
      </c>
      <c r="D30" s="683">
        <f t="shared" si="16"/>
        <v>10132.630822981751</v>
      </c>
      <c r="E30" s="683">
        <f t="shared" si="16"/>
        <v>65873.588607468802</v>
      </c>
      <c r="F30" s="683">
        <f t="shared" si="16"/>
        <v>0</v>
      </c>
      <c r="G30" s="1296">
        <f t="shared" si="16"/>
        <v>0</v>
      </c>
      <c r="K30" s="1291">
        <f t="shared" ref="K30:M30" si="17">SUM(K22,K24)</f>
        <v>0</v>
      </c>
      <c r="L30" s="683">
        <f t="shared" si="17"/>
        <v>0</v>
      </c>
      <c r="M30" s="1296">
        <f t="shared" si="17"/>
        <v>0</v>
      </c>
    </row>
    <row r="31" spans="1:13" s="1172" customFormat="1" ht="30" customHeight="1">
      <c r="A31" s="1174"/>
      <c r="B31" s="1286" t="s">
        <v>510</v>
      </c>
      <c r="C31" s="1287"/>
      <c r="D31" s="1287"/>
      <c r="E31" s="1287"/>
      <c r="F31" s="1287"/>
      <c r="G31" s="1294"/>
      <c r="H31" s="1174"/>
      <c r="K31" s="1286"/>
      <c r="L31" s="1287"/>
      <c r="M31" s="1294"/>
    </row>
    <row r="32" spans="1:13" outlineLevel="2">
      <c r="A32" s="696"/>
      <c r="B32" s="1302" t="str">
        <f>'17. Gross Capex '!B21</f>
        <v>Transmission pipelines</v>
      </c>
      <c r="C32" s="732">
        <v>268.8331576492929</v>
      </c>
      <c r="D32" s="733">
        <v>46.208052804653931</v>
      </c>
      <c r="E32" s="733">
        <v>-86.478836067375951</v>
      </c>
      <c r="F32" s="733"/>
      <c r="G32" s="1298"/>
      <c r="K32" s="1781"/>
      <c r="L32" s="1782"/>
      <c r="M32" s="1794"/>
    </row>
    <row r="33" spans="1:29" outlineLevel="2">
      <c r="A33" s="696"/>
      <c r="B33" s="1300" t="str">
        <f>'17. Gross Capex '!B22</f>
        <v>Distribution pipelines</v>
      </c>
      <c r="C33" s="732">
        <v>9445.9922032945233</v>
      </c>
      <c r="D33" s="733">
        <v>2737.1324086630775</v>
      </c>
      <c r="E33" s="733">
        <v>23705.504809736434</v>
      </c>
      <c r="F33" s="709"/>
      <c r="G33" s="1299"/>
      <c r="K33" s="1783"/>
      <c r="L33" s="1784"/>
      <c r="M33" s="1793"/>
    </row>
    <row r="34" spans="1:29" ht="15" customHeight="1" outlineLevel="2">
      <c r="A34" s="696"/>
      <c r="B34" s="1300" t="str">
        <f>'17. Gross Capex '!B23</f>
        <v>Service pipes</v>
      </c>
      <c r="C34" s="732">
        <v>7793.3567021552053</v>
      </c>
      <c r="D34" s="733">
        <v>4057.3875274687207</v>
      </c>
      <c r="E34" s="733">
        <v>25952.322095908359</v>
      </c>
      <c r="F34" s="709"/>
      <c r="G34" s="1299"/>
      <c r="K34" s="1783"/>
      <c r="L34" s="1784"/>
      <c r="M34" s="1793"/>
    </row>
    <row r="35" spans="1:29" outlineLevel="2">
      <c r="A35" s="696"/>
      <c r="B35" s="1300" t="str">
        <f>'17. Gross Capex '!B24</f>
        <v>Cathodic protection</v>
      </c>
      <c r="C35" s="732">
        <v>206.7990483085197</v>
      </c>
      <c r="D35" s="733">
        <v>39.525557386221848</v>
      </c>
      <c r="E35" s="733">
        <v>154.6638011101407</v>
      </c>
      <c r="F35" s="709"/>
      <c r="G35" s="1299"/>
      <c r="K35" s="1783"/>
      <c r="L35" s="1784"/>
      <c r="M35" s="1793"/>
    </row>
    <row r="36" spans="1:29" outlineLevel="2">
      <c r="A36" s="696"/>
      <c r="B36" s="1300" t="str">
        <f>'17. Gross Capex '!B25</f>
        <v>Supply regulators/Valve stations</v>
      </c>
      <c r="C36" s="732">
        <v>1096.6182720843119</v>
      </c>
      <c r="D36" s="733">
        <v>616.51394834260759</v>
      </c>
      <c r="E36" s="733">
        <v>2991.2030676286658</v>
      </c>
      <c r="F36" s="709"/>
      <c r="G36" s="1299"/>
      <c r="K36" s="1783"/>
      <c r="L36" s="1784"/>
      <c r="M36" s="1793"/>
    </row>
    <row r="37" spans="1:29" outlineLevel="2">
      <c r="A37" s="696"/>
      <c r="B37" s="1300" t="str">
        <f>'17. Gross Capex '!B26</f>
        <v>Meters</v>
      </c>
      <c r="C37" s="732">
        <v>3825.9989093637146</v>
      </c>
      <c r="D37" s="733">
        <v>1125.1141159041269</v>
      </c>
      <c r="E37" s="733">
        <v>6059.3436671336303</v>
      </c>
      <c r="F37" s="709"/>
      <c r="G37" s="1299"/>
      <c r="K37" s="1783"/>
      <c r="L37" s="1784"/>
      <c r="M37" s="1793"/>
    </row>
    <row r="38" spans="1:29" outlineLevel="2">
      <c r="A38" s="696"/>
      <c r="B38" s="1304" t="str">
        <f>'17. Gross Capex '!B27</f>
        <v>SCADA and remote control</v>
      </c>
      <c r="C38" s="732">
        <v>227.21228437331351</v>
      </c>
      <c r="D38" s="733">
        <v>32.461413321075533</v>
      </c>
      <c r="E38" s="733">
        <v>355.77769804633778</v>
      </c>
      <c r="F38" s="1303"/>
      <c r="G38" s="1301"/>
      <c r="K38" s="1785"/>
      <c r="L38" s="1786"/>
      <c r="M38" s="1795"/>
    </row>
    <row r="39" spans="1:29" outlineLevel="2">
      <c r="A39" s="696"/>
      <c r="B39" s="1302" t="str">
        <f>'17. Gross Capex '!B28</f>
        <v>Buildings</v>
      </c>
      <c r="C39" s="732">
        <v>5417.861708668197</v>
      </c>
      <c r="D39" s="733">
        <v>1472.4630827759643</v>
      </c>
      <c r="E39" s="733">
        <v>6459.2392322377091</v>
      </c>
      <c r="F39" s="733"/>
      <c r="G39" s="1298"/>
      <c r="K39" s="1781"/>
      <c r="L39" s="1782"/>
      <c r="M39" s="1794"/>
    </row>
    <row r="40" spans="1:29" outlineLevel="2">
      <c r="A40" s="696"/>
      <c r="B40" s="1300" t="str">
        <f>'17. Gross Capex '!B29</f>
        <v>Other - IT</v>
      </c>
      <c r="C40" s="732">
        <v>156.13266982778475</v>
      </c>
      <c r="D40" s="733">
        <v>5.8247163153028838</v>
      </c>
      <c r="E40" s="733">
        <v>282.01307173489926</v>
      </c>
      <c r="F40" s="709"/>
      <c r="G40" s="1299"/>
      <c r="K40" s="1783"/>
      <c r="L40" s="1784"/>
      <c r="M40" s="1793"/>
    </row>
    <row r="41" spans="1:29" outlineLevel="2">
      <c r="A41" s="696"/>
      <c r="B41" s="1300" t="str">
        <f>'17. Gross Capex '!B30</f>
        <v>Other - Non IT</v>
      </c>
      <c r="C41" s="732">
        <v>0</v>
      </c>
      <c r="D41" s="733">
        <v>0</v>
      </c>
      <c r="E41" s="733">
        <v>0</v>
      </c>
      <c r="F41" s="709"/>
      <c r="G41" s="1299"/>
      <c r="K41" s="1783"/>
      <c r="L41" s="1784"/>
      <c r="M41" s="1793"/>
    </row>
    <row r="42" spans="1:29" ht="13.5" outlineLevel="2" thickBot="1">
      <c r="A42" s="696"/>
      <c r="B42" s="1300" t="str">
        <f>'17. Gross Capex '!B31</f>
        <v>Land</v>
      </c>
      <c r="C42" s="732">
        <v>0</v>
      </c>
      <c r="D42" s="733">
        <v>0</v>
      </c>
      <c r="E42" s="733">
        <v>0</v>
      </c>
      <c r="F42" s="709"/>
      <c r="G42" s="1299"/>
      <c r="K42" s="1783"/>
      <c r="L42" s="1784"/>
      <c r="M42" s="1793"/>
    </row>
    <row r="43" spans="1:29" s="69" customFormat="1" ht="33.75" customHeight="1" outlineLevel="1" thickBot="1">
      <c r="A43" s="314"/>
      <c r="B43" s="1371" t="s">
        <v>121</v>
      </c>
      <c r="C43" s="263" t="s">
        <v>1566</v>
      </c>
      <c r="D43" s="264"/>
      <c r="E43" s="264"/>
      <c r="F43" s="264"/>
      <c r="G43" s="406"/>
      <c r="H43"/>
      <c r="I43"/>
      <c r="J43"/>
      <c r="K43" s="1663"/>
      <c r="L43" s="1644"/>
      <c r="M43" s="1647"/>
      <c r="N43"/>
      <c r="O43"/>
      <c r="P43"/>
      <c r="Q43"/>
      <c r="R43"/>
      <c r="S43"/>
      <c r="T43"/>
      <c r="U43"/>
      <c r="V43"/>
      <c r="W43"/>
      <c r="X43"/>
      <c r="Y43"/>
      <c r="Z43"/>
      <c r="AA43"/>
      <c r="AB43"/>
      <c r="AC43"/>
    </row>
    <row r="44" spans="1:29" ht="42" customHeight="1" thickBot="1">
      <c r="A44" s="696"/>
      <c r="B44" s="740"/>
      <c r="C44" s="740"/>
      <c r="D44" s="740"/>
      <c r="E44" s="740"/>
      <c r="F44" s="740"/>
      <c r="G44" s="740"/>
      <c r="K44" s="740"/>
      <c r="L44" s="740"/>
      <c r="M44" s="740"/>
    </row>
    <row r="45" spans="1:29" s="96" customFormat="1" ht="18.75" thickBot="1">
      <c r="A45" s="696"/>
      <c r="B45" s="735" t="s">
        <v>356</v>
      </c>
      <c r="C45" s="736"/>
      <c r="D45" s="736"/>
      <c r="E45" s="736"/>
      <c r="F45" s="736"/>
      <c r="G45" s="736"/>
      <c r="H45"/>
      <c r="I45"/>
      <c r="J45"/>
      <c r="K45" s="1769"/>
      <c r="L45" s="736"/>
      <c r="M45" s="1281"/>
      <c r="N45"/>
      <c r="O45"/>
      <c r="P45"/>
      <c r="Q45"/>
      <c r="R45"/>
      <c r="S45"/>
      <c r="T45"/>
      <c r="U45"/>
      <c r="V45"/>
      <c r="W45"/>
      <c r="X45"/>
      <c r="Y45"/>
      <c r="Z45"/>
      <c r="AA45"/>
      <c r="AB45"/>
      <c r="AC45"/>
    </row>
    <row r="46" spans="1:29" ht="15.75" customHeight="1">
      <c r="A46" s="696"/>
      <c r="B46" s="675"/>
      <c r="C46" s="4373" t="s">
        <v>37</v>
      </c>
      <c r="D46" s="4365"/>
      <c r="E46" s="4365"/>
      <c r="F46" s="4365"/>
      <c r="G46" s="4365"/>
      <c r="K46" s="4364" t="s">
        <v>37</v>
      </c>
      <c r="L46" s="4365"/>
      <c r="M46" s="4366"/>
    </row>
    <row r="47" spans="1:29" ht="15" customHeight="1">
      <c r="A47" s="696"/>
      <c r="B47" s="524"/>
      <c r="C47" s="4367" t="s">
        <v>543</v>
      </c>
      <c r="D47" s="4368"/>
      <c r="E47" s="4370"/>
      <c r="F47" s="4371" t="str">
        <f>CONCATENATE("$0's, real ",dms_DollarReal)</f>
        <v>$0's, real December 2017</v>
      </c>
      <c r="G47" s="4372"/>
      <c r="K47" s="4367" t="str">
        <f>CONCATENATE("$0's, real ",dms_DollarReal)</f>
        <v>$0's, real December 2017</v>
      </c>
      <c r="L47" s="4368"/>
      <c r="M47" s="4369"/>
    </row>
    <row r="48" spans="1:29" ht="12.75" customHeight="1">
      <c r="A48" s="696"/>
      <c r="B48" s="524"/>
      <c r="C48" s="4367" t="s">
        <v>54</v>
      </c>
      <c r="D48" s="4368"/>
      <c r="E48" s="4370"/>
      <c r="F48" s="4371" t="s">
        <v>55</v>
      </c>
      <c r="G48" s="4372"/>
      <c r="K48" s="4367" t="s">
        <v>54</v>
      </c>
      <c r="L48" s="4368"/>
      <c r="M48" s="4369"/>
    </row>
    <row r="49" spans="1:29" ht="15.75" outlineLevel="1" thickBot="1">
      <c r="A49" s="696"/>
      <c r="B49" s="525"/>
      <c r="C49" s="343">
        <f>CRCP_y1</f>
        <v>2013</v>
      </c>
      <c r="D49" s="342">
        <f>CRCP_y2</f>
        <v>2014</v>
      </c>
      <c r="E49" s="342">
        <f>CRCP_y3</f>
        <v>2015</v>
      </c>
      <c r="F49" s="342">
        <f>CRCP_y4</f>
        <v>2016</v>
      </c>
      <c r="G49" s="342">
        <f>CRCP_y5</f>
        <v>2017</v>
      </c>
      <c r="K49" s="1438">
        <f>CRCP_y1</f>
        <v>2013</v>
      </c>
      <c r="L49" s="342">
        <f>CRCP_y2</f>
        <v>2014</v>
      </c>
      <c r="M49" s="443">
        <f>CRCP_y3</f>
        <v>2015</v>
      </c>
    </row>
    <row r="50" spans="1:29" s="96" customFormat="1" ht="24.75" customHeight="1" outlineLevel="1">
      <c r="A50" s="696"/>
      <c r="B50" s="2919" t="s">
        <v>1432</v>
      </c>
      <c r="C50" s="2920"/>
      <c r="D50" s="2921"/>
      <c r="E50" s="2921"/>
      <c r="F50" s="2921"/>
      <c r="G50" s="2921"/>
      <c r="H50"/>
      <c r="I50"/>
      <c r="J50"/>
      <c r="K50" s="1787"/>
      <c r="L50" s="734"/>
      <c r="M50" s="1788"/>
      <c r="N50"/>
      <c r="O50"/>
      <c r="P50"/>
      <c r="Q50"/>
      <c r="R50"/>
      <c r="S50"/>
      <c r="T50"/>
      <c r="U50"/>
      <c r="V50"/>
      <c r="W50"/>
      <c r="X50"/>
      <c r="Y50"/>
      <c r="Z50"/>
      <c r="AA50"/>
      <c r="AB50"/>
      <c r="AC50"/>
    </row>
    <row r="51" spans="1:29" ht="12.75" customHeight="1" outlineLevel="2">
      <c r="A51" s="696"/>
      <c r="B51" s="2922" t="s">
        <v>49</v>
      </c>
      <c r="C51" s="2923">
        <v>623.86504245462083</v>
      </c>
      <c r="D51" s="2924">
        <v>1042.5269143269163</v>
      </c>
      <c r="E51" s="2924">
        <v>721.90204364709962</v>
      </c>
      <c r="F51" s="2924"/>
      <c r="G51" s="2924"/>
      <c r="K51" s="1783"/>
      <c r="L51" s="1791">
        <f>K57</f>
        <v>0</v>
      </c>
      <c r="M51" s="1792">
        <f>K57</f>
        <v>0</v>
      </c>
    </row>
    <row r="52" spans="1:29" ht="15" customHeight="1" outlineLevel="2">
      <c r="A52" s="696"/>
      <c r="B52" s="2925" t="s">
        <v>176</v>
      </c>
      <c r="C52" s="2923">
        <v>0</v>
      </c>
      <c r="D52" s="2923">
        <v>0</v>
      </c>
      <c r="E52" s="2923">
        <v>0</v>
      </c>
      <c r="F52" s="2923"/>
      <c r="G52" s="2923"/>
      <c r="K52" s="1783"/>
      <c r="L52" s="1784"/>
      <c r="M52" s="1793"/>
    </row>
    <row r="53" spans="1:29" ht="15" customHeight="1" outlineLevel="2">
      <c r="A53" s="696"/>
      <c r="B53" s="2925" t="s">
        <v>177</v>
      </c>
      <c r="C53" s="2923">
        <v>0</v>
      </c>
      <c r="D53" s="2923">
        <v>0</v>
      </c>
      <c r="E53" s="2923">
        <v>0</v>
      </c>
      <c r="F53" s="2923"/>
      <c r="G53" s="2923"/>
      <c r="K53" s="1783"/>
      <c r="L53" s="1784"/>
      <c r="M53" s="1793"/>
    </row>
    <row r="54" spans="1:29" ht="15" customHeight="1" outlineLevel="2">
      <c r="A54" s="696"/>
      <c r="B54" s="2925" t="s">
        <v>178</v>
      </c>
      <c r="C54" s="2923">
        <v>418.66187187229554</v>
      </c>
      <c r="D54" s="2923">
        <v>-320.62487067981675</v>
      </c>
      <c r="E54" s="2923">
        <v>0</v>
      </c>
      <c r="F54" s="2923"/>
      <c r="G54" s="2923"/>
      <c r="K54" s="1783"/>
      <c r="L54" s="1784"/>
      <c r="M54" s="1793"/>
    </row>
    <row r="55" spans="1:29" ht="15" customHeight="1" outlineLevel="2">
      <c r="A55" s="696"/>
      <c r="B55" s="2925" t="s">
        <v>179</v>
      </c>
      <c r="C55" s="2923">
        <v>0</v>
      </c>
      <c r="D55" s="2923">
        <v>0</v>
      </c>
      <c r="E55" s="2923">
        <v>0</v>
      </c>
      <c r="F55" s="2923"/>
      <c r="G55" s="2923"/>
      <c r="K55" s="1783"/>
      <c r="L55" s="1784"/>
      <c r="M55" s="1793"/>
    </row>
    <row r="56" spans="1:29" outlineLevel="2">
      <c r="A56" s="696"/>
      <c r="B56" s="2925" t="s">
        <v>50</v>
      </c>
      <c r="C56" s="2923">
        <v>0</v>
      </c>
      <c r="D56" s="2923">
        <v>0</v>
      </c>
      <c r="E56" s="2923">
        <v>0</v>
      </c>
      <c r="F56" s="2923"/>
      <c r="G56" s="2923"/>
      <c r="K56" s="1783"/>
      <c r="L56" s="1784"/>
      <c r="M56" s="1793"/>
    </row>
    <row r="57" spans="1:29" s="844" customFormat="1" ht="13.5" outlineLevel="1" thickBot="1">
      <c r="A57" s="843"/>
      <c r="B57" s="2926" t="s">
        <v>51</v>
      </c>
      <c r="C57" s="2927">
        <v>1042.5269143269163</v>
      </c>
      <c r="D57" s="2927">
        <v>721.90204364709962</v>
      </c>
      <c r="E57" s="2927">
        <v>721.90204364709962</v>
      </c>
      <c r="F57" s="2927"/>
      <c r="G57" s="2927"/>
      <c r="K57" s="1789">
        <f t="shared" ref="K57:M57" si="18">K51+SUM(K52:K56)</f>
        <v>0</v>
      </c>
      <c r="L57" s="1493">
        <f t="shared" si="18"/>
        <v>0</v>
      </c>
      <c r="M57" s="1790">
        <f t="shared" si="18"/>
        <v>0</v>
      </c>
    </row>
    <row r="58" spans="1:29" s="96" customFormat="1" ht="24.75" customHeight="1" outlineLevel="1">
      <c r="A58" s="696"/>
      <c r="B58" s="2919" t="s">
        <v>1433</v>
      </c>
      <c r="C58" s="2920"/>
      <c r="D58" s="2921"/>
      <c r="E58" s="2921"/>
      <c r="F58" s="2921"/>
      <c r="G58" s="2921"/>
      <c r="H58"/>
      <c r="I58"/>
      <c r="J58"/>
      <c r="K58" s="1787"/>
      <c r="L58" s="734"/>
      <c r="M58" s="1788"/>
      <c r="N58"/>
      <c r="O58"/>
      <c r="P58"/>
      <c r="Q58"/>
      <c r="R58"/>
      <c r="S58"/>
      <c r="T58"/>
      <c r="U58"/>
      <c r="V58"/>
      <c r="W58"/>
      <c r="X58"/>
      <c r="Y58"/>
      <c r="Z58"/>
      <c r="AA58"/>
      <c r="AB58"/>
      <c r="AC58"/>
    </row>
    <row r="59" spans="1:29" ht="12.75" customHeight="1" outlineLevel="2">
      <c r="A59" s="696"/>
      <c r="B59" s="2922" t="s">
        <v>49</v>
      </c>
      <c r="C59" s="2923">
        <v>8276178.8298990326</v>
      </c>
      <c r="D59" s="2924">
        <v>8733200.1468990315</v>
      </c>
      <c r="E59" s="2924">
        <v>9272518.4808559064</v>
      </c>
      <c r="F59" s="2924"/>
      <c r="G59" s="2924"/>
      <c r="K59" s="1783"/>
      <c r="L59" s="1791">
        <f>K65</f>
        <v>0</v>
      </c>
      <c r="M59" s="1792">
        <f>K65</f>
        <v>0</v>
      </c>
    </row>
    <row r="60" spans="1:29" ht="15" customHeight="1" outlineLevel="2">
      <c r="A60" s="696"/>
      <c r="B60" s="2925" t="s">
        <v>176</v>
      </c>
      <c r="C60" s="2923">
        <v>-2526593.3040538081</v>
      </c>
      <c r="D60" s="2923">
        <v>-2558026.1716929721</v>
      </c>
      <c r="E60" s="2923">
        <v>-774650.9092926553</v>
      </c>
      <c r="F60" s="2923"/>
      <c r="G60" s="2923"/>
      <c r="K60" s="1783"/>
      <c r="L60" s="1784"/>
      <c r="M60" s="1793"/>
    </row>
    <row r="61" spans="1:29" ht="15" customHeight="1" outlineLevel="2">
      <c r="A61" s="696"/>
      <c r="B61" s="2925" t="s">
        <v>177</v>
      </c>
      <c r="C61" s="2923">
        <v>-174919.59294619254</v>
      </c>
      <c r="D61" s="2923">
        <v>-105434.39733791062</v>
      </c>
      <c r="E61" s="2923">
        <v>-23144.42310372572</v>
      </c>
      <c r="F61" s="2923"/>
      <c r="G61" s="2923"/>
      <c r="K61" s="1783"/>
      <c r="L61" s="1784"/>
      <c r="M61" s="1793"/>
    </row>
    <row r="62" spans="1:29" ht="15" customHeight="1" outlineLevel="2">
      <c r="A62" s="696"/>
      <c r="B62" s="2925" t="s">
        <v>178</v>
      </c>
      <c r="C62" s="2923">
        <v>2954023.0604041624</v>
      </c>
      <c r="D62" s="2923">
        <v>2740179.8318362911</v>
      </c>
      <c r="E62" s="2923">
        <v>3647324.264655408</v>
      </c>
      <c r="F62" s="2923"/>
      <c r="G62" s="2923"/>
      <c r="K62" s="1783"/>
      <c r="L62" s="1784"/>
      <c r="M62" s="1793"/>
    </row>
    <row r="63" spans="1:29" ht="15" customHeight="1" outlineLevel="2">
      <c r="A63" s="696"/>
      <c r="B63" s="2925" t="s">
        <v>179</v>
      </c>
      <c r="C63" s="2923">
        <v>204511.15359583718</v>
      </c>
      <c r="D63" s="2923">
        <v>112942.24131254629</v>
      </c>
      <c r="E63" s="2923">
        <v>91056.890855055113</v>
      </c>
      <c r="F63" s="2923"/>
      <c r="G63" s="2923"/>
      <c r="K63" s="1783"/>
      <c r="L63" s="1784"/>
      <c r="M63" s="1793"/>
    </row>
    <row r="64" spans="1:29" outlineLevel="2">
      <c r="A64" s="696"/>
      <c r="B64" s="2925" t="s">
        <v>50</v>
      </c>
      <c r="C64" s="2923">
        <v>0</v>
      </c>
      <c r="D64" s="2923">
        <v>349656.82983892079</v>
      </c>
      <c r="E64" s="2923">
        <v>0</v>
      </c>
      <c r="F64" s="2923"/>
      <c r="G64" s="2923"/>
      <c r="K64" s="1783"/>
      <c r="L64" s="1784"/>
      <c r="M64" s="1793"/>
    </row>
    <row r="65" spans="1:29" s="844" customFormat="1" ht="13.5" outlineLevel="1" thickBot="1">
      <c r="A65" s="843"/>
      <c r="B65" s="2926" t="s">
        <v>51</v>
      </c>
      <c r="C65" s="2927">
        <v>8733200.1468990315</v>
      </c>
      <c r="D65" s="2927">
        <v>9272518.4808559064</v>
      </c>
      <c r="E65" s="2927">
        <v>12213104.303969989</v>
      </c>
      <c r="F65" s="2927"/>
      <c r="G65" s="2927"/>
      <c r="K65" s="1789">
        <f t="shared" ref="K65:M65" si="19">K59+SUM(K60:K64)</f>
        <v>0</v>
      </c>
      <c r="L65" s="1493">
        <f t="shared" si="19"/>
        <v>0</v>
      </c>
      <c r="M65" s="1790">
        <f t="shared" si="19"/>
        <v>0</v>
      </c>
    </row>
    <row r="66" spans="1:29" s="96" customFormat="1" ht="24.75" customHeight="1" outlineLevel="1">
      <c r="A66" s="696"/>
      <c r="B66" s="2919" t="s">
        <v>1434</v>
      </c>
      <c r="C66" s="2920"/>
      <c r="D66" s="2921"/>
      <c r="E66" s="2921"/>
      <c r="F66" s="2921"/>
      <c r="G66" s="2921"/>
      <c r="H66"/>
      <c r="I66"/>
      <c r="J66"/>
      <c r="K66" s="1787"/>
      <c r="L66" s="734"/>
      <c r="M66" s="1788"/>
      <c r="N66"/>
      <c r="O66"/>
      <c r="P66"/>
      <c r="Q66"/>
      <c r="R66"/>
      <c r="S66"/>
      <c r="T66"/>
      <c r="U66"/>
      <c r="V66"/>
      <c r="W66"/>
      <c r="X66"/>
      <c r="Y66"/>
      <c r="Z66"/>
      <c r="AA66"/>
      <c r="AB66"/>
      <c r="AC66"/>
    </row>
    <row r="67" spans="1:29" ht="12.75" customHeight="1" outlineLevel="2">
      <c r="A67" s="696"/>
      <c r="B67" s="2922" t="s">
        <v>49</v>
      </c>
      <c r="C67" s="2923">
        <v>1415341.865</v>
      </c>
      <c r="D67" s="2924">
        <v>393001.29739999992</v>
      </c>
      <c r="E67" s="2924">
        <v>808291.21739999985</v>
      </c>
      <c r="F67" s="2924"/>
      <c r="G67" s="2924"/>
      <c r="K67" s="1783"/>
      <c r="L67" s="1791">
        <f>K73</f>
        <v>0</v>
      </c>
      <c r="M67" s="1792">
        <f>K73</f>
        <v>0</v>
      </c>
    </row>
    <row r="68" spans="1:29" ht="15" customHeight="1" outlineLevel="2">
      <c r="A68" s="696"/>
      <c r="B68" s="2925" t="s">
        <v>176</v>
      </c>
      <c r="C68" s="2923">
        <v>-41093.101794000002</v>
      </c>
      <c r="D68" s="2923">
        <v>-57056.173180000013</v>
      </c>
      <c r="E68" s="2923">
        <v>-719178.00400800002</v>
      </c>
      <c r="F68" s="2923"/>
      <c r="G68" s="2923"/>
      <c r="K68" s="1783"/>
      <c r="L68" s="1784"/>
      <c r="M68" s="1793"/>
    </row>
    <row r="69" spans="1:29" ht="15" customHeight="1" outlineLevel="2">
      <c r="A69" s="696"/>
      <c r="B69" s="2925" t="s">
        <v>177</v>
      </c>
      <c r="C69" s="2923">
        <v>0</v>
      </c>
      <c r="D69" s="2923">
        <v>0</v>
      </c>
      <c r="E69" s="2923">
        <v>0</v>
      </c>
      <c r="F69" s="2923"/>
      <c r="G69" s="2923"/>
      <c r="K69" s="1783"/>
      <c r="L69" s="1784"/>
      <c r="M69" s="1793"/>
    </row>
    <row r="70" spans="1:29" ht="15" customHeight="1" outlineLevel="2">
      <c r="A70" s="696"/>
      <c r="B70" s="2925" t="s">
        <v>178</v>
      </c>
      <c r="C70" s="2923">
        <v>-981247.46580600005</v>
      </c>
      <c r="D70" s="2923">
        <v>472346.09317999991</v>
      </c>
      <c r="E70" s="2923">
        <v>3216.5720499999998</v>
      </c>
      <c r="F70" s="2923"/>
      <c r="G70" s="2923"/>
      <c r="K70" s="1783"/>
      <c r="L70" s="1784"/>
      <c r="M70" s="1793"/>
    </row>
    <row r="71" spans="1:29" ht="15" customHeight="1" outlineLevel="2">
      <c r="A71" s="696"/>
      <c r="B71" s="2925" t="s">
        <v>179</v>
      </c>
      <c r="C71" s="2923">
        <v>0</v>
      </c>
      <c r="D71" s="2923">
        <v>0</v>
      </c>
      <c r="E71" s="2923">
        <v>0</v>
      </c>
      <c r="F71" s="2923"/>
      <c r="G71" s="2923"/>
      <c r="K71" s="1783"/>
      <c r="L71" s="1784"/>
      <c r="M71" s="1793"/>
    </row>
    <row r="72" spans="1:29" outlineLevel="2">
      <c r="A72" s="696"/>
      <c r="B72" s="2925" t="s">
        <v>50</v>
      </c>
      <c r="C72" s="2923">
        <v>0</v>
      </c>
      <c r="D72" s="2923">
        <v>0</v>
      </c>
      <c r="E72" s="2923">
        <v>-4.0035699999999999</v>
      </c>
      <c r="F72" s="2923"/>
      <c r="G72" s="2923"/>
      <c r="K72" s="1783"/>
      <c r="L72" s="1784"/>
      <c r="M72" s="1793"/>
    </row>
    <row r="73" spans="1:29" s="844" customFormat="1" ht="13.5" outlineLevel="1" thickBot="1">
      <c r="A73" s="843"/>
      <c r="B73" s="2926" t="s">
        <v>51</v>
      </c>
      <c r="C73" s="2927">
        <v>393001.29739999992</v>
      </c>
      <c r="D73" s="2927">
        <v>808291.21739999985</v>
      </c>
      <c r="E73" s="2927">
        <v>92325.781871999847</v>
      </c>
      <c r="F73" s="2927"/>
      <c r="G73" s="2927"/>
      <c r="K73" s="1789">
        <f t="shared" ref="K73:M73" si="20">K67+SUM(K68:K72)</f>
        <v>0</v>
      </c>
      <c r="L73" s="1493">
        <f t="shared" si="20"/>
        <v>0</v>
      </c>
      <c r="M73" s="1790">
        <f t="shared" si="20"/>
        <v>0</v>
      </c>
    </row>
    <row r="74" spans="1:29" s="96" customFormat="1" ht="24.75" customHeight="1" outlineLevel="1">
      <c r="A74" s="696"/>
      <c r="B74" s="2919" t="s">
        <v>1435</v>
      </c>
      <c r="C74" s="2920"/>
      <c r="D74" s="2921"/>
      <c r="E74" s="2921"/>
      <c r="F74" s="2921"/>
      <c r="G74" s="2921"/>
      <c r="H74"/>
      <c r="I74"/>
      <c r="J74"/>
      <c r="K74" s="1787"/>
      <c r="L74" s="734"/>
      <c r="M74" s="1788"/>
      <c r="N74"/>
      <c r="O74"/>
      <c r="P74"/>
      <c r="Q74"/>
      <c r="R74"/>
      <c r="S74"/>
      <c r="T74"/>
      <c r="U74"/>
      <c r="V74"/>
      <c r="W74"/>
      <c r="X74"/>
      <c r="Y74"/>
      <c r="Z74"/>
      <c r="AA74"/>
      <c r="AB74"/>
      <c r="AC74"/>
    </row>
    <row r="75" spans="1:29" ht="12.75" customHeight="1" outlineLevel="2">
      <c r="A75" s="696"/>
      <c r="B75" s="2922" t="s">
        <v>49</v>
      </c>
      <c r="C75" s="2923">
        <v>17803326.949999999</v>
      </c>
      <c r="D75" s="2924">
        <v>26387252.671862312</v>
      </c>
      <c r="E75" s="2924">
        <v>27942420.567886416</v>
      </c>
      <c r="F75" s="2924"/>
      <c r="G75" s="2924"/>
      <c r="K75" s="1783"/>
      <c r="L75" s="1791">
        <f>K81</f>
        <v>0</v>
      </c>
      <c r="M75" s="1792">
        <f>K81</f>
        <v>0</v>
      </c>
    </row>
    <row r="76" spans="1:29" ht="15" customHeight="1" outlineLevel="2">
      <c r="A76" s="696"/>
      <c r="B76" s="2925" t="s">
        <v>176</v>
      </c>
      <c r="C76" s="2923">
        <v>-142739.5</v>
      </c>
      <c r="D76" s="2923">
        <v>-41603</v>
      </c>
      <c r="E76" s="2923">
        <v>-58947.28</v>
      </c>
      <c r="F76" s="2923"/>
      <c r="G76" s="2923"/>
      <c r="K76" s="1783"/>
      <c r="L76" s="1784"/>
      <c r="M76" s="1793"/>
    </row>
    <row r="77" spans="1:29" ht="15" customHeight="1" outlineLevel="2">
      <c r="A77" s="696"/>
      <c r="B77" s="2925" t="s">
        <v>177</v>
      </c>
      <c r="C77" s="2923">
        <v>0</v>
      </c>
      <c r="D77" s="2923">
        <v>0</v>
      </c>
      <c r="E77" s="2923">
        <v>0</v>
      </c>
      <c r="F77" s="2923"/>
      <c r="G77" s="2923"/>
      <c r="K77" s="1783"/>
      <c r="L77" s="1784"/>
      <c r="M77" s="1793"/>
    </row>
    <row r="78" spans="1:29" ht="15" customHeight="1" outlineLevel="2">
      <c r="A78" s="696"/>
      <c r="B78" s="2925" t="s">
        <v>178</v>
      </c>
      <c r="C78" s="2923">
        <v>8335516.6318623107</v>
      </c>
      <c r="D78" s="2923">
        <v>1596771.5760241037</v>
      </c>
      <c r="E78" s="2923">
        <v>2311613.6</v>
      </c>
      <c r="F78" s="2923"/>
      <c r="G78" s="2923"/>
      <c r="K78" s="1783"/>
      <c r="L78" s="1784"/>
      <c r="M78" s="1793"/>
    </row>
    <row r="79" spans="1:29" ht="15" customHeight="1" outlineLevel="2">
      <c r="A79" s="696"/>
      <c r="B79" s="2925" t="s">
        <v>179</v>
      </c>
      <c r="C79" s="2923">
        <v>0</v>
      </c>
      <c r="D79" s="2923">
        <v>0</v>
      </c>
      <c r="E79" s="2923">
        <v>0</v>
      </c>
      <c r="F79" s="2923"/>
      <c r="G79" s="2923"/>
      <c r="K79" s="1783"/>
      <c r="L79" s="1784"/>
      <c r="M79" s="1793"/>
    </row>
    <row r="80" spans="1:29" outlineLevel="2">
      <c r="A80" s="696"/>
      <c r="B80" s="2925" t="s">
        <v>50</v>
      </c>
      <c r="C80" s="2923">
        <v>391148.5900000002</v>
      </c>
      <c r="D80" s="2923">
        <v>-0.68000000000001393</v>
      </c>
      <c r="E80" s="2923">
        <v>0</v>
      </c>
      <c r="F80" s="2923"/>
      <c r="G80" s="2923"/>
      <c r="K80" s="1783"/>
      <c r="L80" s="1784"/>
      <c r="M80" s="1793"/>
    </row>
    <row r="81" spans="1:29" s="844" customFormat="1" ht="13.5" outlineLevel="1" thickBot="1">
      <c r="A81" s="843"/>
      <c r="B81" s="2926" t="s">
        <v>51</v>
      </c>
      <c r="C81" s="2927">
        <v>26387252.671862312</v>
      </c>
      <c r="D81" s="2927">
        <v>27942420.567886416</v>
      </c>
      <c r="E81" s="2927">
        <v>30195086.887886416</v>
      </c>
      <c r="F81" s="2927"/>
      <c r="G81" s="2927"/>
      <c r="K81" s="1789">
        <f t="shared" ref="K81:M81" si="21">K75+SUM(K76:K80)</f>
        <v>0</v>
      </c>
      <c r="L81" s="1493">
        <f t="shared" si="21"/>
        <v>0</v>
      </c>
      <c r="M81" s="1790">
        <f t="shared" si="21"/>
        <v>0</v>
      </c>
    </row>
    <row r="82" spans="1:29" s="96" customFormat="1" ht="24.75" customHeight="1" outlineLevel="1">
      <c r="A82" s="696"/>
      <c r="B82" s="2919" t="s">
        <v>1436</v>
      </c>
      <c r="C82" s="2920"/>
      <c r="D82" s="2921"/>
      <c r="E82" s="2921"/>
      <c r="F82" s="2921"/>
      <c r="G82" s="2921"/>
      <c r="H82"/>
      <c r="I82"/>
      <c r="J82"/>
      <c r="K82" s="1787"/>
      <c r="L82" s="734"/>
      <c r="M82" s="1788"/>
      <c r="N82"/>
      <c r="O82"/>
      <c r="P82"/>
      <c r="Q82"/>
      <c r="R82"/>
      <c r="S82"/>
      <c r="T82"/>
      <c r="U82"/>
      <c r="V82"/>
      <c r="W82"/>
      <c r="X82"/>
      <c r="Y82"/>
      <c r="Z82"/>
      <c r="AA82"/>
      <c r="AB82"/>
      <c r="AC82"/>
    </row>
    <row r="83" spans="1:29" ht="12.75" customHeight="1" outlineLevel="2">
      <c r="A83" s="696"/>
      <c r="B83" s="2922" t="s">
        <v>49</v>
      </c>
      <c r="C83" s="2923">
        <v>6891053.9192194398</v>
      </c>
      <c r="D83" s="2924">
        <v>5741347.2153102281</v>
      </c>
      <c r="E83" s="2924">
        <v>5893961.6804166529</v>
      </c>
      <c r="F83" s="2924"/>
      <c r="G83" s="2924"/>
      <c r="K83" s="1783"/>
      <c r="L83" s="1791">
        <f>K89</f>
        <v>0</v>
      </c>
      <c r="M83" s="1792">
        <f>K89</f>
        <v>0</v>
      </c>
    </row>
    <row r="84" spans="1:29" ht="15" customHeight="1" outlineLevel="2">
      <c r="A84" s="696"/>
      <c r="B84" s="2925" t="s">
        <v>176</v>
      </c>
      <c r="C84" s="2923">
        <v>-191019.33747904163</v>
      </c>
      <c r="D84" s="2923">
        <v>-122177.20499376681</v>
      </c>
      <c r="E84" s="2923">
        <v>-167931.57255733927</v>
      </c>
      <c r="F84" s="2923"/>
      <c r="G84" s="2923"/>
      <c r="K84" s="1783"/>
      <c r="L84" s="1784"/>
      <c r="M84" s="1793"/>
    </row>
    <row r="85" spans="1:29" ht="15" customHeight="1" outlineLevel="2">
      <c r="A85" s="696"/>
      <c r="B85" s="2925" t="s">
        <v>177</v>
      </c>
      <c r="C85" s="2923">
        <v>-13224.536257210691</v>
      </c>
      <c r="D85" s="2923">
        <v>-5035.7889686573126</v>
      </c>
      <c r="E85" s="2923">
        <v>-4253.3114575781547</v>
      </c>
      <c r="F85" s="2923"/>
      <c r="G85" s="2923"/>
      <c r="K85" s="1783"/>
      <c r="L85" s="1784"/>
      <c r="M85" s="1793"/>
    </row>
    <row r="86" spans="1:29" ht="15" customHeight="1" outlineLevel="2">
      <c r="A86" s="696"/>
      <c r="B86" s="2925" t="s">
        <v>178</v>
      </c>
      <c r="C86" s="2923">
        <v>174368.57372861676</v>
      </c>
      <c r="D86" s="2923">
        <v>185859.20652943227</v>
      </c>
      <c r="E86" s="2923">
        <v>51127.361770667034</v>
      </c>
      <c r="F86" s="2923"/>
      <c r="G86" s="2923"/>
      <c r="K86" s="1783"/>
      <c r="L86" s="1784"/>
      <c r="M86" s="1793"/>
    </row>
    <row r="87" spans="1:29" ht="15" customHeight="1" outlineLevel="2">
      <c r="A87" s="696"/>
      <c r="B87" s="2925" t="s">
        <v>179</v>
      </c>
      <c r="C87" s="2923">
        <v>12071.780563290944</v>
      </c>
      <c r="D87" s="2923">
        <v>7660.5758170033923</v>
      </c>
      <c r="E87" s="2923">
        <v>2214.4323137175652</v>
      </c>
      <c r="F87" s="2923"/>
      <c r="G87" s="2923"/>
      <c r="K87" s="1783"/>
      <c r="L87" s="1784"/>
      <c r="M87" s="1793"/>
    </row>
    <row r="88" spans="1:29" outlineLevel="2">
      <c r="A88" s="696"/>
      <c r="B88" s="2925" t="s">
        <v>50</v>
      </c>
      <c r="C88" s="2923">
        <v>-1131903.1844648675</v>
      </c>
      <c r="D88" s="2923">
        <v>86307.676722413584</v>
      </c>
      <c r="E88" s="2923">
        <v>-1157740.846931017</v>
      </c>
      <c r="F88" s="2923"/>
      <c r="G88" s="2923"/>
      <c r="K88" s="1783"/>
      <c r="L88" s="1784"/>
      <c r="M88" s="1793"/>
    </row>
    <row r="89" spans="1:29" s="844" customFormat="1" ht="13.5" outlineLevel="1" thickBot="1">
      <c r="A89" s="843"/>
      <c r="B89" s="2926" t="s">
        <v>51</v>
      </c>
      <c r="C89" s="2927">
        <v>5741347.2153102281</v>
      </c>
      <c r="D89" s="2927">
        <v>5893961.6804166529</v>
      </c>
      <c r="E89" s="2927">
        <v>4617377.7435551034</v>
      </c>
      <c r="F89" s="2927"/>
      <c r="G89" s="2927"/>
      <c r="K89" s="1789">
        <f t="shared" ref="K89:M89" si="22">K83+SUM(K84:K88)</f>
        <v>0</v>
      </c>
      <c r="L89" s="1493">
        <f t="shared" si="22"/>
        <v>0</v>
      </c>
      <c r="M89" s="1790">
        <f t="shared" si="22"/>
        <v>0</v>
      </c>
    </row>
    <row r="90" spans="1:29" s="96" customFormat="1" ht="24.75" customHeight="1" outlineLevel="1">
      <c r="A90" s="696"/>
      <c r="B90" s="2919" t="s">
        <v>1437</v>
      </c>
      <c r="C90" s="2920"/>
      <c r="D90" s="2921"/>
      <c r="E90" s="2921"/>
      <c r="F90" s="2921"/>
      <c r="G90" s="2921"/>
      <c r="H90"/>
      <c r="I90"/>
      <c r="J90"/>
      <c r="K90" s="1787"/>
      <c r="L90" s="734"/>
      <c r="M90" s="1788"/>
      <c r="N90"/>
      <c r="O90"/>
      <c r="P90"/>
      <c r="Q90"/>
      <c r="R90"/>
      <c r="S90"/>
      <c r="T90"/>
      <c r="U90"/>
      <c r="V90"/>
      <c r="W90"/>
      <c r="X90"/>
      <c r="Y90"/>
      <c r="Z90"/>
      <c r="AA90"/>
      <c r="AB90"/>
      <c r="AC90"/>
    </row>
    <row r="91" spans="1:29" ht="12.75" customHeight="1" outlineLevel="2">
      <c r="A91" s="696"/>
      <c r="B91" s="2922" t="s">
        <v>49</v>
      </c>
      <c r="C91" s="2923">
        <v>1609126</v>
      </c>
      <c r="D91" s="2924">
        <v>2396105.5</v>
      </c>
      <c r="E91" s="2924">
        <v>692607.04999999981</v>
      </c>
      <c r="F91" s="2924"/>
      <c r="G91" s="2924"/>
      <c r="K91" s="1783"/>
      <c r="L91" s="1791">
        <f>K97</f>
        <v>0</v>
      </c>
      <c r="M91" s="1792">
        <f>K97</f>
        <v>0</v>
      </c>
    </row>
    <row r="92" spans="1:29" ht="15" customHeight="1" outlineLevel="2">
      <c r="A92" s="696"/>
      <c r="B92" s="2925" t="s">
        <v>176</v>
      </c>
      <c r="C92" s="2923">
        <v>-2411090</v>
      </c>
      <c r="D92" s="2923">
        <v>-787221</v>
      </c>
      <c r="E92" s="2923">
        <v>0</v>
      </c>
      <c r="F92" s="2923"/>
      <c r="G92" s="2923"/>
      <c r="K92" s="1783"/>
      <c r="L92" s="1784"/>
      <c r="M92" s="1793"/>
    </row>
    <row r="93" spans="1:29" ht="15" customHeight="1" outlineLevel="2">
      <c r="A93" s="696"/>
      <c r="B93" s="2925" t="s">
        <v>177</v>
      </c>
      <c r="C93" s="2923">
        <v>0</v>
      </c>
      <c r="D93" s="2923">
        <v>0</v>
      </c>
      <c r="E93" s="2923">
        <v>0</v>
      </c>
      <c r="F93" s="2923"/>
      <c r="G93" s="2923"/>
      <c r="K93" s="1783"/>
      <c r="L93" s="1784"/>
      <c r="M93" s="1793"/>
    </row>
    <row r="94" spans="1:29" ht="15" customHeight="1" outlineLevel="2">
      <c r="A94" s="696"/>
      <c r="B94" s="2925" t="s">
        <v>178</v>
      </c>
      <c r="C94" s="2923">
        <v>3198069.5</v>
      </c>
      <c r="D94" s="2923">
        <v>-916277.45000000019</v>
      </c>
      <c r="E94" s="2923">
        <v>-325107.05000000005</v>
      </c>
      <c r="F94" s="2923"/>
      <c r="G94" s="2923"/>
      <c r="K94" s="1783"/>
      <c r="L94" s="1784"/>
      <c r="M94" s="1793"/>
    </row>
    <row r="95" spans="1:29" ht="15" customHeight="1" outlineLevel="2">
      <c r="A95" s="696"/>
      <c r="B95" s="2925" t="s">
        <v>179</v>
      </c>
      <c r="C95" s="2923">
        <v>0</v>
      </c>
      <c r="D95" s="2923">
        <v>0</v>
      </c>
      <c r="E95" s="2923">
        <v>0</v>
      </c>
      <c r="F95" s="2923"/>
      <c r="G95" s="2923"/>
      <c r="K95" s="1783"/>
      <c r="L95" s="1784"/>
      <c r="M95" s="1793"/>
    </row>
    <row r="96" spans="1:29" outlineLevel="2">
      <c r="A96" s="696"/>
      <c r="B96" s="2925" t="s">
        <v>50</v>
      </c>
      <c r="C96" s="2923">
        <v>0</v>
      </c>
      <c r="D96" s="2923">
        <v>0</v>
      </c>
      <c r="E96" s="2923">
        <v>0</v>
      </c>
      <c r="F96" s="2923"/>
      <c r="G96" s="2923"/>
      <c r="K96" s="1783"/>
      <c r="L96" s="1784"/>
      <c r="M96" s="1793"/>
    </row>
    <row r="97" spans="1:13" s="844" customFormat="1" ht="13.5" outlineLevel="1" thickBot="1">
      <c r="A97" s="843"/>
      <c r="B97" s="2926" t="s">
        <v>51</v>
      </c>
      <c r="C97" s="2927">
        <v>2396105.5</v>
      </c>
      <c r="D97" s="2927">
        <v>692607.04999999981</v>
      </c>
      <c r="E97" s="2927">
        <v>367499.99999999977</v>
      </c>
      <c r="F97" s="2927"/>
      <c r="G97" s="2927"/>
      <c r="K97" s="1789">
        <f t="shared" ref="K97:M97" si="23">K91+SUM(K92:K96)</f>
        <v>0</v>
      </c>
      <c r="L97" s="1493">
        <f t="shared" si="23"/>
        <v>0</v>
      </c>
      <c r="M97" s="1790">
        <f t="shared" si="23"/>
        <v>0</v>
      </c>
    </row>
    <row r="98" spans="1:13">
      <c r="B98" s="2919" t="s">
        <v>1438</v>
      </c>
      <c r="C98" s="2920"/>
      <c r="D98" s="2921"/>
      <c r="E98" s="2921"/>
      <c r="F98" s="2921"/>
      <c r="G98" s="2921"/>
    </row>
    <row r="99" spans="1:13">
      <c r="B99" s="2922" t="s">
        <v>49</v>
      </c>
      <c r="C99" s="2923">
        <v>0</v>
      </c>
      <c r="D99" s="2924">
        <v>0</v>
      </c>
      <c r="E99" s="2924">
        <v>5768.7625989127555</v>
      </c>
      <c r="F99" s="2924"/>
      <c r="G99" s="2924"/>
    </row>
    <row r="100" spans="1:13">
      <c r="B100" s="2925" t="s">
        <v>176</v>
      </c>
      <c r="C100" s="2923">
        <v>0</v>
      </c>
      <c r="D100" s="2923">
        <v>-275907.56030714686</v>
      </c>
      <c r="E100" s="2923">
        <v>-5588.8627020292915</v>
      </c>
      <c r="F100" s="2923"/>
      <c r="G100" s="2923"/>
    </row>
    <row r="101" spans="1:13">
      <c r="B101" s="2925" t="s">
        <v>177</v>
      </c>
      <c r="C101" s="2923">
        <v>0</v>
      </c>
      <c r="D101" s="2923">
        <v>0</v>
      </c>
      <c r="E101" s="2923">
        <v>0</v>
      </c>
      <c r="F101" s="2923"/>
      <c r="G101" s="2923"/>
    </row>
    <row r="102" spans="1:13">
      <c r="B102" s="2925" t="s">
        <v>178</v>
      </c>
      <c r="C102" s="2923">
        <v>0</v>
      </c>
      <c r="D102" s="2923">
        <v>281676.32290605962</v>
      </c>
      <c r="E102" s="2923">
        <v>0</v>
      </c>
      <c r="F102" s="2923"/>
      <c r="G102" s="2923"/>
    </row>
    <row r="103" spans="1:13">
      <c r="B103" s="2925" t="s">
        <v>179</v>
      </c>
      <c r="C103" s="2923">
        <v>0</v>
      </c>
      <c r="D103" s="2923">
        <v>0</v>
      </c>
      <c r="E103" s="2923">
        <v>0</v>
      </c>
      <c r="F103" s="2923"/>
      <c r="G103" s="2923"/>
    </row>
    <row r="104" spans="1:13">
      <c r="B104" s="2925" t="s">
        <v>50</v>
      </c>
      <c r="C104" s="2923">
        <v>0</v>
      </c>
      <c r="D104" s="2923">
        <v>0</v>
      </c>
      <c r="E104" s="2923">
        <v>0</v>
      </c>
      <c r="F104" s="2923"/>
      <c r="G104" s="2923"/>
    </row>
    <row r="105" spans="1:13" ht="13.5" thickBot="1">
      <c r="B105" s="2926" t="s">
        <v>51</v>
      </c>
      <c r="C105" s="2927">
        <f>C99+SUM(C100:C104)</f>
        <v>0</v>
      </c>
      <c r="D105" s="2927">
        <f>D99+SUM(D100:D104)</f>
        <v>5768.7625989127555</v>
      </c>
      <c r="E105" s="2927">
        <f>E99+SUM(E100:E104)</f>
        <v>179.89989688346395</v>
      </c>
      <c r="F105" s="2927"/>
      <c r="G105" s="2927"/>
    </row>
  </sheetData>
  <mergeCells count="17">
    <mergeCell ref="C47:E47"/>
    <mergeCell ref="F47:G47"/>
    <mergeCell ref="C48:E48"/>
    <mergeCell ref="F48:G48"/>
    <mergeCell ref="B9:F9"/>
    <mergeCell ref="C15:G15"/>
    <mergeCell ref="C46:G46"/>
    <mergeCell ref="F16:G16"/>
    <mergeCell ref="F17:G17"/>
    <mergeCell ref="C16:E16"/>
    <mergeCell ref="C17:E17"/>
    <mergeCell ref="K46:M46"/>
    <mergeCell ref="K47:M47"/>
    <mergeCell ref="K48:M48"/>
    <mergeCell ref="K15:M15"/>
    <mergeCell ref="K16:M16"/>
    <mergeCell ref="K17:M17"/>
  </mergeCells>
  <pageMargins left="0.75" right="0.75" top="1" bottom="1" header="0.5" footer="0.5"/>
  <pageSetup paperSize="8" scale="80" fitToHeight="0" orientation="portrait" r:id="rId1"/>
  <headerFooter alignWithMargins="0"/>
  <customProperties>
    <customPr name="_pios_id" r:id="rId2"/>
  </customProperties>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V60"/>
  <sheetViews>
    <sheetView showGridLines="0" topLeftCell="A10" zoomScaleNormal="100" workbookViewId="0">
      <selection activeCell="C10" sqref="C10"/>
    </sheetView>
  </sheetViews>
  <sheetFormatPr defaultColWidth="9.140625" defaultRowHeight="12.75"/>
  <cols>
    <col min="1" max="1" width="41.7109375" style="24" customWidth="1"/>
    <col min="2" max="2" width="8.7109375" style="24" customWidth="1"/>
    <col min="3" max="3" width="5.28515625" style="24" customWidth="1"/>
    <col min="4" max="4" width="19.7109375" style="24" customWidth="1"/>
    <col min="5" max="5" width="15.7109375" style="24" customWidth="1"/>
    <col min="6" max="6" width="5.7109375" style="24" customWidth="1"/>
    <col min="7" max="7" width="15.7109375" style="24" customWidth="1"/>
    <col min="8" max="8" width="20.28515625" style="24" customWidth="1"/>
    <col min="9" max="9" width="15.7109375" style="24" customWidth="1"/>
    <col min="10" max="10" width="5.7109375" style="24" customWidth="1"/>
    <col min="11" max="11" width="15.7109375" style="24" customWidth="1"/>
    <col min="12" max="12" width="19.5703125" style="24" customWidth="1"/>
    <col min="13" max="13" width="8.140625" style="24" customWidth="1"/>
    <col min="14" max="14" width="8.7109375" style="24" customWidth="1"/>
    <col min="15" max="21" width="10.7109375" style="24" customWidth="1"/>
    <col min="22" max="22" width="11.28515625" style="24" customWidth="1"/>
    <col min="23" max="16384" width="9.140625" style="24"/>
  </cols>
  <sheetData>
    <row r="1" spans="1:22">
      <c r="A1" s="880" t="s">
        <v>75</v>
      </c>
      <c r="B1" s="880"/>
      <c r="C1" s="880"/>
      <c r="D1" s="880"/>
      <c r="E1" s="880"/>
      <c r="F1" s="880"/>
      <c r="G1" s="881"/>
      <c r="H1" s="881"/>
      <c r="I1" s="881"/>
      <c r="J1" s="881"/>
      <c r="K1" s="881"/>
      <c r="L1" s="881"/>
      <c r="M1" s="881"/>
      <c r="N1" s="881"/>
      <c r="O1" s="881"/>
      <c r="P1" s="881"/>
      <c r="Q1" s="26"/>
      <c r="R1" s="26"/>
      <c r="S1" s="26"/>
      <c r="T1" s="26"/>
      <c r="U1" s="26"/>
      <c r="V1" s="26"/>
    </row>
    <row r="2" spans="1:22" ht="13.5" thickBot="1">
      <c r="A2" s="880"/>
      <c r="B2" s="880"/>
      <c r="C2" s="880"/>
      <c r="D2" s="880"/>
      <c r="E2" s="880"/>
      <c r="F2" s="880"/>
      <c r="G2" s="881"/>
      <c r="H2" s="881"/>
      <c r="I2" s="881"/>
      <c r="J2" s="881"/>
      <c r="K2" s="881"/>
      <c r="L2" s="881"/>
      <c r="M2" s="881"/>
      <c r="N2" s="881"/>
      <c r="O2" s="881"/>
      <c r="P2" s="881"/>
      <c r="Q2" s="26"/>
      <c r="R2" s="26"/>
      <c r="S2" s="26"/>
      <c r="T2" s="26"/>
      <c r="U2" s="26"/>
      <c r="V2" s="26"/>
    </row>
    <row r="3" spans="1:22" ht="11.25" customHeight="1" thickTop="1">
      <c r="A3" s="880"/>
      <c r="B3" s="27"/>
      <c r="C3" s="28"/>
      <c r="D3" s="28"/>
      <c r="E3" s="28"/>
      <c r="F3" s="28"/>
      <c r="G3" s="28"/>
      <c r="H3" s="28"/>
      <c r="I3" s="28"/>
      <c r="J3" s="28"/>
      <c r="K3" s="28"/>
      <c r="L3" s="28"/>
      <c r="M3" s="28"/>
      <c r="N3" s="29"/>
      <c r="O3" s="881"/>
      <c r="P3" s="881"/>
      <c r="Q3" s="26"/>
      <c r="R3" s="26"/>
      <c r="S3" s="26"/>
      <c r="T3" s="26"/>
      <c r="U3" s="26"/>
      <c r="V3" s="26"/>
    </row>
    <row r="4" spans="1:22" ht="26.25">
      <c r="A4" s="880"/>
      <c r="B4" s="30"/>
      <c r="C4" s="711"/>
      <c r="D4" s="711"/>
      <c r="E4" s="711"/>
      <c r="F4" s="711"/>
      <c r="G4" s="711"/>
      <c r="H4" s="711" t="s">
        <v>78</v>
      </c>
      <c r="I4" s="711"/>
      <c r="J4" s="711"/>
      <c r="K4" s="711"/>
      <c r="L4" s="711"/>
      <c r="M4" s="31"/>
      <c r="N4" s="32"/>
      <c r="O4" s="882"/>
      <c r="P4" s="882"/>
      <c r="Q4" s="33"/>
      <c r="R4" s="33"/>
      <c r="S4" s="33"/>
      <c r="T4" s="33"/>
      <c r="U4" s="33"/>
      <c r="V4" s="34"/>
    </row>
    <row r="5" spans="1:22" ht="26.25">
      <c r="A5" s="880"/>
      <c r="B5" s="30"/>
      <c r="C5" s="711"/>
      <c r="D5" s="711"/>
      <c r="E5" s="711"/>
      <c r="F5" s="711"/>
      <c r="G5" s="711"/>
      <c r="H5" s="711" t="s">
        <v>76</v>
      </c>
      <c r="I5" s="711"/>
      <c r="J5" s="711"/>
      <c r="K5" s="711"/>
      <c r="L5" s="711"/>
      <c r="M5" s="35"/>
      <c r="N5" s="36"/>
      <c r="O5" s="883"/>
      <c r="P5" s="883"/>
      <c r="Q5" s="37"/>
      <c r="R5" s="37"/>
      <c r="S5" s="37"/>
      <c r="T5" s="37"/>
      <c r="U5" s="37"/>
      <c r="V5" s="38"/>
    </row>
    <row r="6" spans="1:22" ht="23.25">
      <c r="A6" s="880"/>
      <c r="B6" s="30"/>
      <c r="C6" s="712"/>
      <c r="D6" s="712"/>
      <c r="E6" s="712"/>
      <c r="F6" s="712"/>
      <c r="G6" s="712"/>
      <c r="H6" s="712"/>
      <c r="I6" s="712"/>
      <c r="J6" s="712"/>
      <c r="K6" s="712"/>
      <c r="L6" s="712"/>
      <c r="M6" s="712"/>
      <c r="N6" s="713"/>
      <c r="O6" s="884"/>
      <c r="P6" s="884"/>
      <c r="Q6" s="714"/>
      <c r="R6" s="714"/>
      <c r="S6" s="714"/>
      <c r="T6" s="714"/>
      <c r="U6" s="714"/>
      <c r="V6" s="714"/>
    </row>
    <row r="7" spans="1:22" s="1172" customFormat="1" ht="23.25">
      <c r="A7" s="1174"/>
      <c r="B7" s="30"/>
      <c r="C7" s="712"/>
      <c r="D7" s="712"/>
      <c r="E7" s="712"/>
      <c r="F7" s="712"/>
      <c r="G7" s="712"/>
      <c r="H7" s="715" t="str">
        <f>CONCATENATE("For ",dms_TradingName)</f>
        <v>For AusNet (Gas)</v>
      </c>
      <c r="I7" s="712"/>
      <c r="J7" s="712"/>
      <c r="K7" s="712"/>
      <c r="L7" s="712"/>
      <c r="M7" s="712"/>
      <c r="N7" s="713"/>
      <c r="O7" s="884"/>
      <c r="P7" s="884"/>
      <c r="Q7" s="714"/>
      <c r="R7" s="714"/>
      <c r="S7" s="714"/>
      <c r="T7" s="714"/>
      <c r="U7" s="714"/>
      <c r="V7" s="714"/>
    </row>
    <row r="8" spans="1:22" ht="23.25">
      <c r="A8" s="880"/>
      <c r="B8" s="30"/>
      <c r="C8" s="39"/>
      <c r="D8" s="39"/>
      <c r="E8" s="39"/>
      <c r="F8" s="39"/>
      <c r="G8" s="39"/>
      <c r="H8" s="715" t="s">
        <v>77</v>
      </c>
      <c r="I8" s="39"/>
      <c r="J8" s="39"/>
      <c r="K8" s="39"/>
      <c r="L8" s="39"/>
      <c r="M8" s="39"/>
      <c r="N8" s="40"/>
      <c r="O8" s="885"/>
      <c r="P8" s="885"/>
      <c r="Q8" s="41"/>
      <c r="R8" s="41"/>
      <c r="S8" s="41"/>
      <c r="T8" s="41"/>
      <c r="U8" s="41"/>
      <c r="V8" s="41"/>
    </row>
    <row r="9" spans="1:22" ht="20.25">
      <c r="A9" s="880"/>
      <c r="B9" s="716"/>
      <c r="C9" s="717"/>
      <c r="D9" s="42"/>
      <c r="E9" s="718"/>
      <c r="F9" s="42"/>
      <c r="G9" s="39"/>
      <c r="H9" s="719" t="str">
        <f>CONCATENATE(FRCP_y1," to ",FRCP_y5)</f>
        <v>2018 to 2022</v>
      </c>
      <c r="I9" s="39"/>
      <c r="J9" s="39"/>
      <c r="K9" s="42"/>
      <c r="L9" s="42"/>
      <c r="M9" s="42"/>
      <c r="N9" s="43"/>
      <c r="O9" s="886"/>
      <c r="P9" s="886"/>
      <c r="Q9" s="720"/>
      <c r="R9" s="720"/>
      <c r="S9" s="720"/>
      <c r="T9" s="720"/>
      <c r="U9" s="720"/>
      <c r="V9" s="720"/>
    </row>
    <row r="10" spans="1:22" ht="49.5" customHeight="1">
      <c r="A10" s="2756"/>
      <c r="B10" s="30"/>
      <c r="C10" s="44"/>
      <c r="D10" s="44"/>
      <c r="E10" s="44"/>
      <c r="F10" s="44"/>
      <c r="G10" s="44"/>
      <c r="H10" s="721" t="s">
        <v>552</v>
      </c>
      <c r="I10" s="44"/>
      <c r="J10" s="44"/>
      <c r="K10" s="44"/>
      <c r="L10" s="44"/>
      <c r="M10" s="45"/>
      <c r="N10" s="46"/>
      <c r="O10" s="887"/>
      <c r="P10" s="887"/>
      <c r="Q10" s="47"/>
      <c r="R10" s="47"/>
      <c r="S10" s="47"/>
      <c r="T10" s="47"/>
      <c r="U10" s="47"/>
      <c r="V10" s="48"/>
    </row>
    <row r="11" spans="1:22">
      <c r="A11" s="2758"/>
      <c r="B11" s="50"/>
      <c r="C11" s="53"/>
      <c r="D11" s="53"/>
      <c r="E11" s="53"/>
      <c r="F11" s="53"/>
      <c r="G11" s="53"/>
      <c r="H11" s="53"/>
      <c r="I11" s="53"/>
      <c r="J11" s="53"/>
      <c r="K11" s="53"/>
      <c r="L11" s="53"/>
      <c r="M11" s="53"/>
      <c r="N11" s="56"/>
      <c r="O11" s="881"/>
      <c r="P11" s="881"/>
      <c r="Q11" s="26"/>
      <c r="R11" s="26"/>
      <c r="S11" s="26"/>
      <c r="T11" s="26"/>
      <c r="U11" s="26"/>
      <c r="V11" s="49"/>
    </row>
    <row r="12" spans="1:22">
      <c r="A12" s="2758"/>
      <c r="B12" s="50"/>
      <c r="C12" s="53"/>
      <c r="D12" s="53"/>
      <c r="E12" s="53"/>
      <c r="F12" s="53"/>
      <c r="G12" s="53"/>
      <c r="H12" s="53"/>
      <c r="I12" s="53"/>
      <c r="J12" s="53"/>
      <c r="K12" s="53"/>
      <c r="L12" s="53"/>
      <c r="M12" s="53"/>
      <c r="N12" s="56"/>
      <c r="O12" s="881"/>
      <c r="P12" s="881"/>
      <c r="Q12" s="26"/>
      <c r="R12" s="26"/>
      <c r="S12" s="26"/>
      <c r="T12" s="26"/>
      <c r="U12" s="26"/>
      <c r="V12" s="49"/>
    </row>
    <row r="13" spans="1:22" ht="12.75" customHeight="1">
      <c r="A13" s="2758"/>
      <c r="B13" s="51"/>
      <c r="C13" s="53"/>
      <c r="D13" s="53"/>
      <c r="E13" s="53"/>
      <c r="F13" s="53"/>
      <c r="G13" s="53"/>
      <c r="H13" s="53"/>
      <c r="I13" s="53"/>
      <c r="J13" s="53"/>
      <c r="K13" s="53"/>
      <c r="L13" s="53"/>
      <c r="M13" s="53"/>
      <c r="N13" s="56"/>
      <c r="O13" s="881"/>
      <c r="P13" s="881"/>
      <c r="Q13" s="26"/>
      <c r="R13" s="26"/>
      <c r="S13" s="26"/>
      <c r="T13" s="26"/>
      <c r="U13" s="26"/>
      <c r="V13" s="49"/>
    </row>
    <row r="14" spans="1:22">
      <c r="A14" s="2758"/>
      <c r="B14" s="50"/>
      <c r="C14" s="53"/>
      <c r="D14" s="53"/>
      <c r="E14" s="53"/>
      <c r="F14" s="53"/>
      <c r="G14" s="53"/>
      <c r="H14" s="53"/>
      <c r="I14" s="53"/>
      <c r="J14" s="53"/>
      <c r="K14" s="53"/>
      <c r="L14" s="53"/>
      <c r="M14" s="53"/>
      <c r="N14" s="56"/>
      <c r="O14" s="881"/>
      <c r="P14" s="881"/>
      <c r="Q14" s="26"/>
      <c r="R14" s="26"/>
      <c r="S14" s="26"/>
      <c r="T14" s="26"/>
      <c r="U14" s="26"/>
      <c r="V14" s="49"/>
    </row>
    <row r="15" spans="1:22">
      <c r="A15" s="2758"/>
      <c r="B15" s="50"/>
      <c r="C15" s="53"/>
      <c r="D15" s="53"/>
      <c r="E15" s="53"/>
      <c r="F15" s="53"/>
      <c r="G15" s="53"/>
      <c r="H15" s="53"/>
      <c r="I15" s="53"/>
      <c r="J15" s="53"/>
      <c r="K15" s="53"/>
      <c r="L15" s="53"/>
      <c r="M15" s="53"/>
      <c r="N15" s="56"/>
      <c r="O15" s="881"/>
      <c r="P15" s="881"/>
      <c r="Q15" s="26"/>
      <c r="R15" s="26"/>
      <c r="S15" s="26"/>
      <c r="T15" s="26"/>
      <c r="U15" s="26"/>
      <c r="V15" s="49"/>
    </row>
    <row r="16" spans="1:22">
      <c r="A16" s="2758"/>
      <c r="B16" s="50"/>
      <c r="C16" s="53"/>
      <c r="D16" s="53"/>
      <c r="E16" s="53"/>
      <c r="F16" s="53"/>
      <c r="G16" s="53"/>
      <c r="H16" s="53"/>
      <c r="I16" s="53"/>
      <c r="J16" s="53"/>
      <c r="K16" s="53"/>
      <c r="L16" s="53"/>
      <c r="M16" s="53"/>
      <c r="N16" s="56"/>
      <c r="O16" s="881"/>
      <c r="P16" s="881"/>
      <c r="Q16" s="26"/>
      <c r="R16" s="26"/>
      <c r="S16" s="26"/>
      <c r="T16" s="26"/>
      <c r="U16" s="26"/>
      <c r="V16" s="49"/>
    </row>
    <row r="17" spans="1:22">
      <c r="A17" s="2758"/>
      <c r="B17" s="50"/>
      <c r="C17" s="53"/>
      <c r="D17" s="53"/>
      <c r="E17" s="53"/>
      <c r="F17" s="53"/>
      <c r="G17" s="53"/>
      <c r="H17" s="53"/>
      <c r="I17" s="53"/>
      <c r="J17" s="53"/>
      <c r="K17" s="53"/>
      <c r="L17" s="53"/>
      <c r="M17" s="53"/>
      <c r="N17" s="56"/>
      <c r="O17" s="881"/>
      <c r="P17" s="881"/>
      <c r="Q17" s="26"/>
      <c r="R17" s="26"/>
      <c r="S17" s="26"/>
      <c r="T17" s="26"/>
      <c r="U17" s="26"/>
      <c r="V17" s="49"/>
    </row>
    <row r="18" spans="1:22" ht="12.75" customHeight="1">
      <c r="A18" s="2758"/>
      <c r="B18" s="50"/>
      <c r="C18" s="53"/>
      <c r="D18" s="53"/>
      <c r="E18" s="53"/>
      <c r="F18" s="53"/>
      <c r="G18" s="53"/>
      <c r="H18" s="53"/>
      <c r="I18" s="53"/>
      <c r="J18" s="53"/>
      <c r="K18" s="53"/>
      <c r="L18" s="53"/>
      <c r="M18" s="53"/>
      <c r="N18" s="56"/>
      <c r="O18" s="881"/>
      <c r="P18" s="881"/>
      <c r="Q18" s="26"/>
      <c r="R18" s="26"/>
      <c r="S18" s="26"/>
      <c r="T18" s="26"/>
      <c r="U18" s="26"/>
      <c r="V18" s="49"/>
    </row>
    <row r="19" spans="1:22">
      <c r="A19" s="2758"/>
      <c r="B19" s="50"/>
      <c r="C19" s="53"/>
      <c r="D19" s="53"/>
      <c r="E19" s="53"/>
      <c r="F19" s="53"/>
      <c r="G19" s="53"/>
      <c r="H19" s="53"/>
      <c r="I19" s="53"/>
      <c r="J19" s="53"/>
      <c r="K19" s="53"/>
      <c r="L19" s="53"/>
      <c r="M19" s="53"/>
      <c r="N19" s="56"/>
      <c r="O19" s="881"/>
      <c r="P19" s="881"/>
      <c r="Q19" s="26"/>
      <c r="R19" s="26"/>
      <c r="S19" s="26"/>
      <c r="T19" s="26"/>
      <c r="U19" s="26"/>
      <c r="V19" s="49"/>
    </row>
    <row r="20" spans="1:22">
      <c r="A20" s="2758"/>
      <c r="B20" s="50"/>
      <c r="C20" s="53"/>
      <c r="D20" s="53"/>
      <c r="E20" s="53"/>
      <c r="F20" s="53"/>
      <c r="G20" s="53"/>
      <c r="H20" s="53"/>
      <c r="I20" s="53"/>
      <c r="J20" s="53"/>
      <c r="K20" s="53"/>
      <c r="L20" s="53"/>
      <c r="M20" s="53"/>
      <c r="N20" s="56"/>
      <c r="O20" s="881"/>
      <c r="P20" s="881"/>
      <c r="Q20" s="26"/>
      <c r="R20" s="26"/>
      <c r="S20" s="26"/>
      <c r="T20" s="26"/>
      <c r="U20" s="26"/>
      <c r="V20" s="49"/>
    </row>
    <row r="21" spans="1:22">
      <c r="A21" s="2758"/>
      <c r="B21" s="50"/>
      <c r="C21" s="53"/>
      <c r="D21" s="53"/>
      <c r="E21" s="53"/>
      <c r="F21" s="53"/>
      <c r="G21" s="53"/>
      <c r="H21" s="53"/>
      <c r="I21" s="53"/>
      <c r="J21" s="53"/>
      <c r="K21" s="53"/>
      <c r="L21" s="53"/>
      <c r="M21" s="53"/>
      <c r="N21" s="56"/>
      <c r="O21" s="881"/>
      <c r="P21" s="881"/>
      <c r="Q21" s="26"/>
      <c r="R21" s="26"/>
      <c r="S21" s="26"/>
      <c r="T21" s="26"/>
      <c r="U21" s="26"/>
      <c r="V21" s="49"/>
    </row>
    <row r="22" spans="1:22">
      <c r="A22" s="2758"/>
      <c r="B22" s="50"/>
      <c r="C22" s="53"/>
      <c r="D22" s="53"/>
      <c r="E22" s="53"/>
      <c r="F22" s="53"/>
      <c r="G22" s="53"/>
      <c r="H22" s="53"/>
      <c r="I22" s="53"/>
      <c r="J22" s="53"/>
      <c r="K22" s="53"/>
      <c r="L22" s="53"/>
      <c r="M22" s="53"/>
      <c r="N22" s="56"/>
      <c r="O22" s="881"/>
      <c r="P22" s="881"/>
      <c r="Q22" s="26"/>
      <c r="R22" s="26"/>
      <c r="S22" s="26"/>
      <c r="T22" s="26"/>
      <c r="U22" s="26"/>
      <c r="V22" s="49"/>
    </row>
    <row r="23" spans="1:22">
      <c r="A23" s="2758"/>
      <c r="B23" s="50"/>
      <c r="C23" s="53"/>
      <c r="D23" s="53"/>
      <c r="E23" s="53"/>
      <c r="F23" s="53"/>
      <c r="G23" s="53"/>
      <c r="H23" s="53"/>
      <c r="I23" s="53"/>
      <c r="J23" s="53"/>
      <c r="K23" s="53"/>
      <c r="L23" s="53"/>
      <c r="M23" s="53"/>
      <c r="N23" s="56"/>
      <c r="O23" s="881"/>
      <c r="P23" s="881"/>
      <c r="Q23" s="26"/>
      <c r="R23" s="26"/>
      <c r="S23" s="26"/>
      <c r="T23" s="26"/>
      <c r="U23" s="26"/>
      <c r="V23" s="49"/>
    </row>
    <row r="24" spans="1:22">
      <c r="A24" s="2758"/>
      <c r="B24" s="50"/>
      <c r="C24" s="53"/>
      <c r="D24" s="53"/>
      <c r="E24" s="53"/>
      <c r="F24" s="53"/>
      <c r="G24" s="53"/>
      <c r="H24" s="53"/>
      <c r="I24" s="53"/>
      <c r="J24" s="53"/>
      <c r="K24" s="53"/>
      <c r="L24" s="53"/>
      <c r="M24" s="53"/>
      <c r="N24" s="56"/>
      <c r="O24" s="881"/>
      <c r="P24" s="881"/>
      <c r="Q24" s="26"/>
      <c r="R24" s="26"/>
      <c r="S24" s="26"/>
      <c r="T24" s="26"/>
      <c r="U24" s="26"/>
      <c r="V24" s="49"/>
    </row>
    <row r="25" spans="1:22">
      <c r="A25" s="2758"/>
      <c r="B25" s="50"/>
      <c r="C25" s="53"/>
      <c r="D25" s="53"/>
      <c r="E25" s="53"/>
      <c r="F25" s="53"/>
      <c r="G25" s="53"/>
      <c r="H25" s="53"/>
      <c r="I25" s="53"/>
      <c r="J25" s="53"/>
      <c r="K25" s="53"/>
      <c r="L25" s="53"/>
      <c r="M25" s="53"/>
      <c r="N25" s="56"/>
      <c r="O25" s="881"/>
      <c r="P25" s="881"/>
      <c r="Q25" s="26"/>
      <c r="R25" s="26"/>
      <c r="S25" s="26"/>
      <c r="T25" s="26"/>
      <c r="U25" s="26"/>
      <c r="V25" s="49"/>
    </row>
    <row r="26" spans="1:22">
      <c r="A26" s="2758"/>
      <c r="B26" s="50"/>
      <c r="C26" s="53"/>
      <c r="D26" s="53"/>
      <c r="E26" s="53"/>
      <c r="F26" s="53"/>
      <c r="G26" s="53"/>
      <c r="H26" s="53"/>
      <c r="I26" s="53"/>
      <c r="J26" s="53"/>
      <c r="K26" s="53"/>
      <c r="L26" s="53"/>
      <c r="M26" s="53"/>
      <c r="N26" s="56"/>
      <c r="O26" s="881"/>
      <c r="P26" s="881"/>
      <c r="Q26" s="26"/>
      <c r="R26" s="26"/>
      <c r="S26" s="26"/>
      <c r="T26" s="26"/>
      <c r="U26" s="26"/>
      <c r="V26" s="49"/>
    </row>
    <row r="27" spans="1:22">
      <c r="A27" s="2758"/>
      <c r="B27" s="50"/>
      <c r="C27" s="53"/>
      <c r="D27" s="53"/>
      <c r="E27" s="53"/>
      <c r="F27" s="53"/>
      <c r="G27" s="53"/>
      <c r="H27" s="53"/>
      <c r="I27" s="53"/>
      <c r="J27" s="53"/>
      <c r="K27" s="53"/>
      <c r="L27" s="53"/>
      <c r="M27" s="53"/>
      <c r="N27" s="56"/>
      <c r="O27" s="881"/>
      <c r="P27" s="881"/>
      <c r="Q27" s="26"/>
      <c r="R27" s="26"/>
      <c r="S27" s="26"/>
      <c r="T27" s="26"/>
      <c r="U27" s="26"/>
      <c r="V27" s="49"/>
    </row>
    <row r="28" spans="1:22">
      <c r="A28" s="2758"/>
      <c r="B28" s="50"/>
      <c r="C28" s="53"/>
      <c r="D28" s="53"/>
      <c r="E28" s="53"/>
      <c r="F28" s="53"/>
      <c r="G28" s="53"/>
      <c r="H28" s="53"/>
      <c r="I28" s="53"/>
      <c r="J28" s="53"/>
      <c r="K28" s="53"/>
      <c r="L28" s="53"/>
      <c r="M28" s="53"/>
      <c r="N28" s="56"/>
      <c r="O28" s="881"/>
      <c r="P28" s="881"/>
      <c r="Q28" s="26"/>
      <c r="R28" s="26"/>
      <c r="S28" s="26"/>
      <c r="T28" s="26"/>
      <c r="U28" s="26"/>
      <c r="V28" s="49"/>
    </row>
    <row r="29" spans="1:22">
      <c r="A29" s="2758"/>
      <c r="B29" s="50"/>
      <c r="C29" s="53"/>
      <c r="D29" s="53"/>
      <c r="E29" s="53"/>
      <c r="F29" s="53"/>
      <c r="G29" s="53"/>
      <c r="H29" s="53"/>
      <c r="I29" s="53"/>
      <c r="J29" s="53"/>
      <c r="K29" s="53"/>
      <c r="L29" s="53"/>
      <c r="M29" s="53"/>
      <c r="N29" s="56"/>
      <c r="O29" s="881"/>
      <c r="P29" s="881"/>
      <c r="Q29" s="26"/>
      <c r="R29" s="26"/>
      <c r="S29" s="26"/>
      <c r="T29" s="26"/>
      <c r="U29" s="26"/>
      <c r="V29" s="49"/>
    </row>
    <row r="30" spans="1:22" ht="12.75" customHeight="1">
      <c r="A30" s="2758"/>
      <c r="B30" s="50"/>
      <c r="C30" s="53"/>
      <c r="D30" s="53"/>
      <c r="E30" s="53"/>
      <c r="F30" s="53"/>
      <c r="G30" s="53"/>
      <c r="H30" s="53"/>
      <c r="I30" s="53"/>
      <c r="J30" s="53"/>
      <c r="K30" s="53"/>
      <c r="L30" s="53"/>
      <c r="M30" s="53"/>
      <c r="N30" s="56"/>
      <c r="O30" s="881"/>
      <c r="P30" s="881"/>
      <c r="Q30" s="26"/>
      <c r="R30" s="26"/>
      <c r="S30" s="26"/>
      <c r="T30" s="26"/>
      <c r="U30" s="26"/>
      <c r="V30" s="49"/>
    </row>
    <row r="31" spans="1:22">
      <c r="A31" s="2758"/>
      <c r="B31" s="50"/>
      <c r="C31" s="53"/>
      <c r="D31" s="53"/>
      <c r="E31" s="53"/>
      <c r="F31" s="53"/>
      <c r="G31" s="53"/>
      <c r="H31" s="53"/>
      <c r="I31" s="53"/>
      <c r="J31" s="53"/>
      <c r="K31" s="53"/>
      <c r="L31" s="53"/>
      <c r="M31" s="53"/>
      <c r="N31" s="56"/>
      <c r="O31" s="881"/>
      <c r="P31" s="881"/>
      <c r="Q31" s="26"/>
      <c r="R31" s="26"/>
      <c r="S31" s="26"/>
      <c r="T31" s="26"/>
      <c r="U31" s="26"/>
      <c r="V31" s="49"/>
    </row>
    <row r="32" spans="1:22">
      <c r="A32" s="2758"/>
      <c r="B32" s="50"/>
      <c r="C32" s="53"/>
      <c r="D32" s="53"/>
      <c r="E32" s="53"/>
      <c r="F32" s="53"/>
      <c r="G32" s="53"/>
      <c r="H32" s="53"/>
      <c r="I32" s="53"/>
      <c r="J32" s="53"/>
      <c r="K32" s="53"/>
      <c r="L32" s="53"/>
      <c r="M32" s="53"/>
      <c r="N32" s="56"/>
      <c r="O32" s="881"/>
      <c r="P32" s="881"/>
      <c r="Q32" s="26"/>
      <c r="R32" s="26"/>
      <c r="S32" s="26"/>
      <c r="T32" s="26"/>
      <c r="U32" s="26"/>
      <c r="V32" s="49"/>
    </row>
    <row r="33" spans="1:22">
      <c r="A33" s="2758"/>
      <c r="B33" s="50"/>
      <c r="C33" s="53"/>
      <c r="D33" s="53"/>
      <c r="E33" s="53"/>
      <c r="F33" s="53"/>
      <c r="G33" s="53"/>
      <c r="H33" s="53"/>
      <c r="I33" s="53"/>
      <c r="J33" s="53"/>
      <c r="K33" s="53"/>
      <c r="L33" s="53"/>
      <c r="M33" s="53"/>
      <c r="N33" s="56"/>
      <c r="O33" s="881"/>
      <c r="P33" s="881"/>
      <c r="Q33" s="26"/>
      <c r="R33" s="26"/>
      <c r="S33" s="26"/>
      <c r="T33" s="26"/>
      <c r="U33" s="26"/>
      <c r="V33" s="49"/>
    </row>
    <row r="34" spans="1:22" ht="12.75" customHeight="1">
      <c r="A34" s="2758"/>
      <c r="B34" s="50"/>
      <c r="C34" s="53"/>
      <c r="D34" s="53"/>
      <c r="E34" s="53"/>
      <c r="F34" s="53"/>
      <c r="G34" s="53"/>
      <c r="H34" s="53"/>
      <c r="I34" s="53"/>
      <c r="J34" s="53"/>
      <c r="K34" s="53"/>
      <c r="L34" s="53"/>
      <c r="M34" s="53"/>
      <c r="N34" s="56"/>
      <c r="O34" s="881"/>
      <c r="P34" s="881"/>
      <c r="Q34" s="26"/>
      <c r="R34" s="26"/>
      <c r="S34" s="26"/>
      <c r="T34" s="26"/>
      <c r="U34" s="26"/>
      <c r="V34" s="49"/>
    </row>
    <row r="35" spans="1:22">
      <c r="A35" s="2758"/>
      <c r="B35" s="50"/>
      <c r="C35" s="53"/>
      <c r="D35" s="53"/>
      <c r="E35" s="53"/>
      <c r="F35" s="53"/>
      <c r="G35" s="53"/>
      <c r="H35" s="53"/>
      <c r="I35" s="53"/>
      <c r="J35" s="53"/>
      <c r="K35" s="53"/>
      <c r="L35" s="53"/>
      <c r="M35" s="53"/>
      <c r="N35" s="56"/>
      <c r="O35" s="881"/>
      <c r="P35" s="881"/>
      <c r="Q35" s="26"/>
      <c r="R35" s="26"/>
      <c r="S35" s="26"/>
      <c r="T35" s="26"/>
      <c r="U35" s="26"/>
      <c r="V35" s="49"/>
    </row>
    <row r="36" spans="1:22">
      <c r="A36" s="2758"/>
      <c r="B36" s="50"/>
      <c r="C36" s="53"/>
      <c r="D36" s="53"/>
      <c r="E36" s="53"/>
      <c r="F36" s="53"/>
      <c r="G36" s="53"/>
      <c r="H36" s="53"/>
      <c r="I36" s="53"/>
      <c r="J36" s="53"/>
      <c r="K36" s="53"/>
      <c r="L36" s="53"/>
      <c r="M36" s="53"/>
      <c r="N36" s="56"/>
      <c r="O36" s="881"/>
      <c r="P36" s="881"/>
      <c r="Q36" s="26"/>
      <c r="R36" s="26"/>
      <c r="S36" s="26"/>
      <c r="T36" s="26"/>
      <c r="U36" s="26"/>
      <c r="V36" s="49"/>
    </row>
    <row r="37" spans="1:22">
      <c r="A37" s="2758"/>
      <c r="B37" s="50"/>
      <c r="C37" s="57"/>
      <c r="D37" s="57"/>
      <c r="E37" s="57"/>
      <c r="F37" s="57"/>
      <c r="G37" s="57"/>
      <c r="H37" s="57"/>
      <c r="I37" s="57"/>
      <c r="J37" s="57"/>
      <c r="K37" s="57"/>
      <c r="L37" s="57"/>
      <c r="M37" s="57"/>
      <c r="N37" s="56"/>
      <c r="O37" s="881"/>
      <c r="P37" s="881"/>
      <c r="Q37" s="26"/>
      <c r="R37" s="26"/>
      <c r="S37" s="26"/>
      <c r="T37" s="26"/>
      <c r="U37" s="26"/>
      <c r="V37" s="49"/>
    </row>
    <row r="38" spans="1:22">
      <c r="A38" s="2758"/>
      <c r="B38" s="50"/>
      <c r="C38" s="58"/>
      <c r="D38" s="58"/>
      <c r="E38" s="58"/>
      <c r="F38" s="58"/>
      <c r="G38" s="58"/>
      <c r="H38" s="58"/>
      <c r="I38" s="58"/>
      <c r="J38" s="53"/>
      <c r="K38" s="53"/>
      <c r="L38" s="53"/>
      <c r="M38" s="53"/>
      <c r="N38" s="56"/>
      <c r="O38" s="881"/>
      <c r="P38" s="881"/>
      <c r="Q38" s="26"/>
      <c r="R38" s="26"/>
      <c r="S38" s="26"/>
      <c r="T38" s="26"/>
      <c r="U38" s="26"/>
      <c r="V38" s="49"/>
    </row>
    <row r="39" spans="1:22">
      <c r="A39" s="2758"/>
      <c r="B39" s="50"/>
      <c r="C39" s="59"/>
      <c r="D39" s="59"/>
      <c r="E39" s="59"/>
      <c r="F39" s="59"/>
      <c r="G39" s="59"/>
      <c r="H39" s="59"/>
      <c r="I39" s="60"/>
      <c r="J39" s="57"/>
      <c r="K39" s="53"/>
      <c r="L39" s="53"/>
      <c r="M39" s="53"/>
      <c r="N39" s="56"/>
      <c r="O39" s="881"/>
      <c r="P39" s="881"/>
      <c r="Q39" s="26"/>
      <c r="R39" s="26"/>
      <c r="S39" s="26"/>
      <c r="T39" s="26"/>
      <c r="U39" s="26"/>
      <c r="V39" s="49"/>
    </row>
    <row r="40" spans="1:22">
      <c r="A40" s="2758"/>
      <c r="B40" s="50"/>
      <c r="C40" s="59"/>
      <c r="D40" s="59"/>
      <c r="E40" s="59"/>
      <c r="F40" s="59"/>
      <c r="G40" s="59"/>
      <c r="H40" s="59"/>
      <c r="I40" s="60"/>
      <c r="J40" s="57"/>
      <c r="K40" s="53"/>
      <c r="L40" s="53"/>
      <c r="M40" s="53"/>
      <c r="N40" s="56"/>
      <c r="O40" s="881"/>
      <c r="P40" s="881"/>
      <c r="Q40" s="26"/>
      <c r="R40" s="26"/>
      <c r="S40" s="26"/>
      <c r="T40" s="26"/>
      <c r="U40" s="26"/>
      <c r="V40" s="49"/>
    </row>
    <row r="41" spans="1:22">
      <c r="A41" s="2758"/>
      <c r="B41" s="50"/>
      <c r="C41" s="61"/>
      <c r="D41" s="61"/>
      <c r="E41" s="61"/>
      <c r="F41" s="61"/>
      <c r="G41" s="61"/>
      <c r="H41" s="61"/>
      <c r="I41" s="61"/>
      <c r="J41" s="57"/>
      <c r="K41" s="53"/>
      <c r="L41" s="53"/>
      <c r="M41" s="53"/>
      <c r="N41" s="56"/>
      <c r="O41" s="881"/>
      <c r="P41" s="881"/>
      <c r="Q41" s="26"/>
      <c r="R41" s="26"/>
      <c r="S41" s="26"/>
      <c r="T41" s="26"/>
      <c r="U41" s="26"/>
      <c r="V41" s="49"/>
    </row>
    <row r="42" spans="1:22">
      <c r="A42" s="2758"/>
      <c r="B42" s="50"/>
      <c r="C42" s="61"/>
      <c r="D42" s="61"/>
      <c r="E42" s="61"/>
      <c r="F42" s="61"/>
      <c r="G42" s="61"/>
      <c r="H42" s="61"/>
      <c r="I42" s="61"/>
      <c r="J42" s="57"/>
      <c r="K42" s="53"/>
      <c r="L42" s="53"/>
      <c r="M42" s="53"/>
      <c r="N42" s="56"/>
      <c r="O42" s="881"/>
      <c r="P42" s="881"/>
      <c r="Q42" s="26"/>
      <c r="R42" s="26"/>
      <c r="S42" s="26"/>
      <c r="T42" s="26"/>
      <c r="U42" s="26"/>
      <c r="V42" s="49"/>
    </row>
    <row r="43" spans="1:22">
      <c r="A43" s="2758"/>
      <c r="B43" s="50"/>
      <c r="C43" s="61"/>
      <c r="D43" s="61"/>
      <c r="E43" s="61"/>
      <c r="F43" s="61"/>
      <c r="G43" s="61"/>
      <c r="H43" s="61"/>
      <c r="I43" s="61"/>
      <c r="J43" s="57"/>
      <c r="K43" s="53"/>
      <c r="L43" s="53"/>
      <c r="M43" s="53"/>
      <c r="N43" s="56"/>
      <c r="O43" s="881"/>
      <c r="P43" s="881"/>
      <c r="Q43" s="26"/>
      <c r="R43" s="26"/>
      <c r="S43" s="26"/>
      <c r="T43" s="26"/>
      <c r="U43" s="26"/>
      <c r="V43" s="49"/>
    </row>
    <row r="44" spans="1:22">
      <c r="A44" s="2758"/>
      <c r="B44" s="50"/>
      <c r="C44" s="61"/>
      <c r="D44" s="61"/>
      <c r="E44" s="61"/>
      <c r="F44" s="61"/>
      <c r="G44" s="61"/>
      <c r="H44" s="61"/>
      <c r="I44" s="61"/>
      <c r="J44" s="57"/>
      <c r="K44" s="62"/>
      <c r="L44" s="62"/>
      <c r="M44" s="62"/>
      <c r="N44" s="56"/>
      <c r="O44" s="888"/>
      <c r="P44" s="888"/>
      <c r="Q44" s="49"/>
      <c r="R44" s="49"/>
      <c r="S44" s="49"/>
      <c r="T44" s="49"/>
      <c r="U44" s="49"/>
      <c r="V44" s="49"/>
    </row>
    <row r="45" spans="1:22">
      <c r="A45" s="2757"/>
      <c r="B45" s="50"/>
      <c r="C45" s="63"/>
      <c r="D45" s="63"/>
      <c r="E45" s="63"/>
      <c r="F45" s="63"/>
      <c r="G45" s="63"/>
      <c r="H45" s="63"/>
      <c r="I45" s="63"/>
      <c r="J45" s="57"/>
      <c r="K45" s="53"/>
      <c r="L45" s="53"/>
      <c r="M45" s="53"/>
      <c r="N45" s="56"/>
      <c r="O45" s="881"/>
      <c r="P45" s="881"/>
      <c r="Q45" s="26"/>
      <c r="R45" s="26"/>
      <c r="S45" s="26"/>
      <c r="T45" s="26"/>
      <c r="U45" s="26"/>
      <c r="V45" s="26"/>
    </row>
    <row r="46" spans="1:22" ht="13.5" thickBot="1">
      <c r="A46" s="880"/>
      <c r="B46" s="52"/>
      <c r="C46" s="54"/>
      <c r="D46" s="54"/>
      <c r="E46" s="54"/>
      <c r="F46" s="54"/>
      <c r="G46" s="54"/>
      <c r="H46" s="54"/>
      <c r="I46" s="54"/>
      <c r="J46" s="54"/>
      <c r="K46" s="54"/>
      <c r="L46" s="54"/>
      <c r="M46" s="54"/>
      <c r="N46" s="55"/>
      <c r="O46" s="881"/>
      <c r="P46" s="881"/>
      <c r="Q46" s="26"/>
      <c r="R46" s="26"/>
      <c r="S46" s="25"/>
    </row>
    <row r="47" spans="1:22" ht="13.5" thickTop="1">
      <c r="A47" s="880"/>
      <c r="B47" s="242"/>
      <c r="C47" s="242"/>
      <c r="D47" s="242"/>
      <c r="E47" s="242"/>
      <c r="F47" s="242"/>
      <c r="G47" s="242"/>
      <c r="H47" s="242"/>
      <c r="I47" s="242"/>
      <c r="J47" s="880"/>
      <c r="K47" s="881"/>
      <c r="L47" s="881"/>
      <c r="M47" s="880"/>
      <c r="N47" s="880"/>
      <c r="O47" s="880"/>
      <c r="P47" s="880"/>
    </row>
    <row r="48" spans="1:22">
      <c r="A48" s="880"/>
      <c r="B48" s="242"/>
      <c r="C48" s="242"/>
      <c r="D48" s="242"/>
      <c r="E48" s="242"/>
      <c r="F48" s="242"/>
      <c r="G48" s="242"/>
      <c r="H48" s="242"/>
      <c r="I48" s="242"/>
      <c r="J48" s="880"/>
      <c r="K48" s="881"/>
      <c r="L48" s="881"/>
      <c r="M48" s="880"/>
      <c r="N48" s="880"/>
      <c r="O48" s="880"/>
      <c r="P48" s="880"/>
    </row>
    <row r="49" spans="1:16">
      <c r="A49" s="880"/>
      <c r="B49" s="242"/>
      <c r="C49" s="242"/>
      <c r="D49" s="242"/>
      <c r="E49" s="242"/>
      <c r="F49" s="242"/>
      <c r="G49" s="242"/>
      <c r="H49" s="242"/>
      <c r="I49" s="242"/>
      <c r="J49" s="880"/>
      <c r="K49" s="881"/>
      <c r="L49" s="881"/>
      <c r="M49" s="880"/>
      <c r="N49" s="880"/>
      <c r="O49" s="880"/>
      <c r="P49" s="880"/>
    </row>
    <row r="50" spans="1:16">
      <c r="A50" s="880"/>
      <c r="B50" s="242"/>
      <c r="C50" s="242"/>
      <c r="D50" s="242"/>
      <c r="E50" s="242"/>
      <c r="F50" s="242"/>
      <c r="G50" s="242"/>
      <c r="H50" s="242"/>
      <c r="I50" s="242"/>
      <c r="J50" s="880"/>
      <c r="K50" s="881"/>
      <c r="L50" s="881"/>
      <c r="M50" s="880"/>
      <c r="N50" s="880"/>
      <c r="O50" s="880"/>
      <c r="P50" s="880"/>
    </row>
    <row r="51" spans="1:16">
      <c r="B51"/>
      <c r="C51"/>
      <c r="D51"/>
      <c r="E51"/>
      <c r="F51"/>
      <c r="G51"/>
      <c r="H51"/>
      <c r="I51"/>
      <c r="K51" s="26"/>
      <c r="L51" s="26"/>
    </row>
    <row r="52" spans="1:16">
      <c r="B52"/>
      <c r="C52"/>
      <c r="D52"/>
      <c r="E52"/>
      <c r="F52"/>
      <c r="G52"/>
      <c r="H52"/>
      <c r="I52"/>
      <c r="K52" s="26"/>
      <c r="L52" s="26"/>
    </row>
    <row r="53" spans="1:16">
      <c r="B53"/>
      <c r="C53"/>
      <c r="D53"/>
      <c r="E53"/>
      <c r="F53"/>
      <c r="G53"/>
      <c r="H53"/>
      <c r="I53"/>
      <c r="K53" s="26"/>
      <c r="L53" s="26"/>
    </row>
    <row r="54" spans="1:16">
      <c r="B54"/>
      <c r="C54"/>
      <c r="D54"/>
      <c r="E54"/>
      <c r="F54"/>
      <c r="G54"/>
      <c r="H54"/>
      <c r="I54"/>
      <c r="K54" s="26"/>
      <c r="L54" s="26"/>
    </row>
    <row r="55" spans="1:16">
      <c r="B55"/>
      <c r="C55"/>
      <c r="D55"/>
      <c r="E55"/>
      <c r="F55"/>
      <c r="G55"/>
      <c r="H55"/>
      <c r="I55"/>
      <c r="J55"/>
      <c r="K55" s="26"/>
      <c r="L55" s="26"/>
    </row>
    <row r="56" spans="1:16">
      <c r="B56"/>
      <c r="C56"/>
      <c r="D56"/>
      <c r="E56"/>
      <c r="F56"/>
      <c r="G56"/>
      <c r="H56"/>
      <c r="I56"/>
      <c r="J56"/>
    </row>
    <row r="57" spans="1:16">
      <c r="B57"/>
      <c r="C57"/>
      <c r="D57"/>
      <c r="E57"/>
      <c r="F57"/>
      <c r="G57"/>
      <c r="H57"/>
      <c r="I57"/>
      <c r="J57"/>
    </row>
    <row r="58" spans="1:16">
      <c r="B58"/>
      <c r="C58"/>
      <c r="D58"/>
      <c r="E58"/>
      <c r="F58"/>
      <c r="G58"/>
      <c r="H58"/>
      <c r="I58"/>
      <c r="J58"/>
    </row>
    <row r="59" spans="1:16">
      <c r="B59"/>
      <c r="C59"/>
      <c r="D59"/>
      <c r="E59"/>
      <c r="F59"/>
      <c r="G59"/>
      <c r="H59"/>
      <c r="I59"/>
      <c r="J59"/>
    </row>
    <row r="60" spans="1:16">
      <c r="B60"/>
      <c r="C60"/>
      <c r="D60"/>
      <c r="E60"/>
      <c r="F60"/>
      <c r="G60"/>
      <c r="H60"/>
      <c r="I60"/>
      <c r="J60"/>
    </row>
  </sheetData>
  <phoneticPr fontId="11" type="noConversion"/>
  <pageMargins left="0.74803149606299213" right="0.74803149606299213" top="0.98425196850393704" bottom="0.98425196850393704" header="0.51181102362204722" footer="0.51181102362204722"/>
  <pageSetup paperSize="9" scale="66" orientation="landscape" r:id="rId1"/>
  <headerFooter alignWithMargins="0">
    <oddFooter>&amp;L&amp;D&amp;C&amp; Pro Forma: &amp;A
&amp;F&amp;R&amp;P o&amp;Of &amp;N</oddFooter>
  </headerFooter>
  <customProperties>
    <customPr name="_pios_id" r:id="rId2"/>
  </customProperties>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autoPageBreaks="0"/>
  </sheetPr>
  <dimension ref="A1:AE88"/>
  <sheetViews>
    <sheetView showGridLines="0" topLeftCell="B7" zoomScaleNormal="100" workbookViewId="0"/>
  </sheetViews>
  <sheetFormatPr defaultRowHeight="12.75"/>
  <cols>
    <col min="1" max="1" width="17.7109375" style="65" hidden="1" customWidth="1"/>
    <col min="2" max="2" width="16.140625" customWidth="1"/>
    <col min="3" max="3" width="56.140625" customWidth="1"/>
    <col min="4" max="4" width="21.28515625" customWidth="1"/>
    <col min="5" max="5" width="25" customWidth="1"/>
    <col min="6" max="10" width="18.7109375" customWidth="1"/>
    <col min="11" max="11" width="15.42578125" customWidth="1"/>
    <col min="12" max="12" width="20.42578125" customWidth="1"/>
  </cols>
  <sheetData>
    <row r="1" spans="1:31" s="177" customFormat="1" ht="24" customHeight="1">
      <c r="C1" s="2522" t="str">
        <f>IF(dms_DataQuality="backcast",INDEX(dms_Worksheet_List,MATCH(dms_Model,dms_Model_List))&amp;" BACKCAST",INDEX(dms_Worksheet_List,MATCH(dms_Model,dms_Model_List)))</f>
        <v>REGULATORY REPORTING STATEMENT</v>
      </c>
      <c r="D1" s="491"/>
      <c r="E1" s="491"/>
      <c r="F1" s="491"/>
      <c r="G1" s="491"/>
      <c r="H1" s="491"/>
      <c r="I1" s="491"/>
      <c r="J1" s="491"/>
      <c r="K1" s="491"/>
      <c r="L1" s="491"/>
      <c r="M1"/>
      <c r="N1"/>
      <c r="O1"/>
      <c r="P1"/>
      <c r="Q1"/>
      <c r="R1"/>
      <c r="S1"/>
      <c r="T1"/>
      <c r="U1"/>
      <c r="V1"/>
      <c r="W1"/>
      <c r="X1"/>
      <c r="Y1"/>
      <c r="Z1"/>
      <c r="AA1"/>
      <c r="AB1"/>
      <c r="AC1"/>
      <c r="AD1"/>
      <c r="AE1"/>
    </row>
    <row r="2" spans="1:31" s="177" customFormat="1" ht="24" customHeight="1">
      <c r="C2" s="2526" t="str">
        <f>INDEX(dms_TradingNameFull_List,MATCH(dms_TradingName,dms_TradingName_List))</f>
        <v>AusNet Gas Services</v>
      </c>
      <c r="D2" s="180"/>
      <c r="E2" s="180"/>
      <c r="F2" s="180"/>
      <c r="G2" s="180"/>
      <c r="H2" s="180"/>
      <c r="I2" s="180"/>
      <c r="J2" s="180"/>
      <c r="K2" s="180"/>
      <c r="L2" s="180"/>
      <c r="M2"/>
      <c r="N2"/>
      <c r="O2"/>
      <c r="P2"/>
      <c r="Q2"/>
      <c r="R2"/>
      <c r="S2"/>
      <c r="T2"/>
      <c r="U2"/>
      <c r="V2"/>
      <c r="W2"/>
      <c r="X2"/>
      <c r="Y2"/>
      <c r="Z2"/>
      <c r="AA2"/>
      <c r="AB2"/>
      <c r="AC2"/>
      <c r="AD2"/>
      <c r="AE2"/>
    </row>
    <row r="3" spans="1:31" s="177" customFormat="1" ht="24" customHeight="1">
      <c r="C3" s="2526" t="str">
        <f ca="1">IF(SUM(dms_SingleYear_Model)&gt;0,CRY,CONCATENATE(FRCP_y1," to ",dms_MultiYear_FinalYear_Result))</f>
        <v>2018 to 2022</v>
      </c>
      <c r="D3" s="181"/>
      <c r="E3" s="181"/>
      <c r="F3" s="181"/>
      <c r="G3" s="181"/>
      <c r="H3" s="181"/>
      <c r="I3" s="181"/>
      <c r="J3" s="181"/>
      <c r="K3" s="181"/>
      <c r="L3" s="181"/>
      <c r="M3"/>
      <c r="N3"/>
      <c r="O3"/>
      <c r="P3"/>
      <c r="Q3"/>
      <c r="R3"/>
      <c r="S3"/>
      <c r="T3"/>
      <c r="U3"/>
      <c r="V3"/>
      <c r="W3"/>
      <c r="X3"/>
      <c r="Y3"/>
      <c r="Z3"/>
      <c r="AA3"/>
      <c r="AB3"/>
      <c r="AC3"/>
      <c r="AD3"/>
      <c r="AE3"/>
    </row>
    <row r="4" spans="1:31" s="159" customFormat="1" ht="24" customHeight="1">
      <c r="B4"/>
      <c r="C4" s="12" t="s">
        <v>361</v>
      </c>
      <c r="D4" s="12"/>
      <c r="E4" s="12"/>
      <c r="F4" s="12"/>
      <c r="G4" s="12"/>
      <c r="H4" s="12"/>
      <c r="I4" s="12"/>
      <c r="J4" s="12"/>
      <c r="K4" s="12"/>
      <c r="L4" s="12"/>
      <c r="M4"/>
      <c r="N4"/>
      <c r="O4"/>
      <c r="P4"/>
      <c r="Q4"/>
      <c r="R4"/>
      <c r="S4"/>
      <c r="T4"/>
      <c r="U4"/>
      <c r="V4"/>
      <c r="W4"/>
      <c r="X4"/>
      <c r="Y4"/>
      <c r="Z4"/>
      <c r="AA4"/>
      <c r="AB4"/>
      <c r="AC4"/>
      <c r="AD4"/>
      <c r="AE4"/>
    </row>
    <row r="5" spans="1:31">
      <c r="A5" s="242"/>
      <c r="B5" s="242"/>
      <c r="C5" s="242"/>
      <c r="D5" s="242"/>
      <c r="E5" s="242"/>
      <c r="F5" s="242"/>
      <c r="G5" s="242"/>
      <c r="H5" s="242"/>
      <c r="I5" s="242"/>
      <c r="J5" s="242"/>
      <c r="K5" s="242"/>
      <c r="L5" s="242"/>
    </row>
    <row r="6" spans="1:31" s="65" customFormat="1" ht="12.75" customHeight="1">
      <c r="A6" s="242"/>
      <c r="B6" s="242"/>
      <c r="C6" s="242"/>
      <c r="D6" s="242"/>
      <c r="E6" s="242"/>
      <c r="F6" s="242"/>
      <c r="G6" s="242"/>
      <c r="H6" s="242"/>
      <c r="I6" s="242"/>
      <c r="J6" s="242"/>
      <c r="K6" s="242"/>
      <c r="L6" s="242"/>
      <c r="M6"/>
      <c r="N6"/>
      <c r="O6"/>
      <c r="P6"/>
      <c r="Q6"/>
      <c r="R6"/>
      <c r="S6"/>
      <c r="T6"/>
      <c r="U6"/>
      <c r="V6"/>
      <c r="W6"/>
      <c r="X6"/>
      <c r="Y6"/>
      <c r="Z6"/>
      <c r="AA6"/>
      <c r="AB6"/>
      <c r="AC6"/>
      <c r="AD6"/>
      <c r="AE6"/>
    </row>
    <row r="7" spans="1:31" s="65" customFormat="1" ht="12.75" customHeight="1">
      <c r="A7" s="242"/>
      <c r="B7" s="242"/>
      <c r="C7" s="85" t="s">
        <v>59</v>
      </c>
      <c r="D7" s="85"/>
      <c r="E7" s="85"/>
      <c r="F7" s="85"/>
      <c r="G7" s="149"/>
      <c r="H7" s="149"/>
      <c r="I7" s="242"/>
      <c r="J7" s="242"/>
      <c r="K7" s="242"/>
      <c r="L7" s="242"/>
      <c r="M7"/>
      <c r="N7"/>
      <c r="O7"/>
      <c r="P7"/>
      <c r="Q7"/>
      <c r="R7"/>
      <c r="S7"/>
      <c r="T7"/>
      <c r="U7"/>
      <c r="V7"/>
      <c r="W7"/>
      <c r="X7"/>
      <c r="Y7"/>
      <c r="Z7"/>
      <c r="AA7"/>
      <c r="AB7"/>
      <c r="AC7"/>
      <c r="AD7"/>
      <c r="AE7"/>
    </row>
    <row r="8" spans="1:31" s="65" customFormat="1" ht="30.75" customHeight="1">
      <c r="A8" s="242"/>
      <c r="B8" s="242"/>
      <c r="C8" s="4375" t="s">
        <v>220</v>
      </c>
      <c r="D8" s="4376"/>
      <c r="E8" s="4376"/>
      <c r="F8" s="4376"/>
      <c r="G8" s="4376"/>
      <c r="H8" s="4376"/>
      <c r="I8" s="242"/>
      <c r="J8" s="242"/>
      <c r="K8" s="242"/>
      <c r="L8" s="242"/>
      <c r="M8"/>
      <c r="N8"/>
      <c r="O8"/>
      <c r="P8"/>
      <c r="Q8"/>
      <c r="R8"/>
      <c r="S8"/>
      <c r="T8"/>
      <c r="U8"/>
      <c r="V8"/>
      <c r="W8"/>
      <c r="X8"/>
      <c r="Y8"/>
      <c r="Z8"/>
      <c r="AA8"/>
      <c r="AB8"/>
      <c r="AC8"/>
      <c r="AD8"/>
      <c r="AE8"/>
    </row>
    <row r="9" spans="1:31" s="65" customFormat="1" ht="12.75" customHeight="1">
      <c r="A9" s="242"/>
      <c r="B9" s="242"/>
      <c r="C9" s="111"/>
      <c r="D9" s="85"/>
      <c r="E9" s="85"/>
      <c r="F9" s="85"/>
      <c r="G9" s="149"/>
      <c r="H9" s="149"/>
      <c r="I9" s="242"/>
      <c r="J9" s="242"/>
      <c r="K9" s="242"/>
      <c r="L9" s="242"/>
      <c r="M9"/>
      <c r="N9"/>
      <c r="O9"/>
      <c r="P9"/>
      <c r="Q9"/>
      <c r="R9"/>
      <c r="S9"/>
      <c r="T9"/>
      <c r="U9"/>
      <c r="V9"/>
      <c r="W9"/>
      <c r="X9"/>
      <c r="Y9"/>
      <c r="Z9"/>
      <c r="AA9"/>
      <c r="AB9"/>
      <c r="AC9"/>
      <c r="AD9"/>
      <c r="AE9"/>
    </row>
    <row r="10" spans="1:31" s="65" customFormat="1" ht="12.75" customHeight="1">
      <c r="A10" s="242"/>
      <c r="B10" s="242"/>
      <c r="C10" s="148" t="s">
        <v>2</v>
      </c>
      <c r="D10" s="148"/>
      <c r="E10" s="85"/>
      <c r="F10" s="85"/>
      <c r="G10" s="149"/>
      <c r="H10" s="149"/>
      <c r="I10" s="242"/>
      <c r="J10" s="242"/>
      <c r="K10" s="242"/>
      <c r="L10" s="242"/>
      <c r="M10"/>
      <c r="N10"/>
      <c r="O10"/>
      <c r="P10"/>
      <c r="Q10"/>
      <c r="R10"/>
      <c r="S10"/>
      <c r="T10"/>
      <c r="U10"/>
      <c r="V10"/>
      <c r="W10"/>
      <c r="X10"/>
      <c r="Y10"/>
      <c r="Z10"/>
      <c r="AA10"/>
      <c r="AB10"/>
      <c r="AC10"/>
      <c r="AD10"/>
      <c r="AE10"/>
    </row>
    <row r="11" spans="1:31" s="65" customFormat="1" ht="12.75" customHeight="1">
      <c r="A11" s="242"/>
      <c r="B11" s="242"/>
      <c r="C11" s="148"/>
      <c r="D11" s="148"/>
      <c r="E11" s="85"/>
      <c r="F11" s="85"/>
      <c r="G11" s="149"/>
      <c r="H11" s="149"/>
      <c r="I11" s="242"/>
      <c r="J11" s="242"/>
      <c r="K11" s="242"/>
      <c r="L11" s="242"/>
      <c r="M11"/>
      <c r="N11"/>
      <c r="O11"/>
      <c r="P11"/>
      <c r="Q11"/>
      <c r="R11"/>
      <c r="S11"/>
      <c r="T11"/>
      <c r="U11"/>
      <c r="V11"/>
      <c r="W11"/>
      <c r="X11"/>
      <c r="Y11"/>
      <c r="Z11"/>
      <c r="AA11"/>
      <c r="AB11"/>
      <c r="AC11"/>
      <c r="AD11"/>
      <c r="AE11"/>
    </row>
    <row r="12" spans="1:31" s="65" customFormat="1" ht="12.75" customHeight="1">
      <c r="A12" s="242"/>
      <c r="B12" s="242"/>
      <c r="C12" s="111" t="s">
        <v>222</v>
      </c>
      <c r="D12" s="111"/>
      <c r="E12" s="85"/>
      <c r="F12" s="85"/>
      <c r="G12" s="149"/>
      <c r="H12" s="149"/>
      <c r="I12" s="242"/>
      <c r="J12" s="242"/>
      <c r="K12" s="242"/>
      <c r="L12" s="242"/>
      <c r="M12"/>
      <c r="N12"/>
      <c r="O12"/>
      <c r="P12"/>
      <c r="Q12"/>
      <c r="R12"/>
      <c r="S12"/>
      <c r="T12"/>
      <c r="U12"/>
      <c r="V12"/>
      <c r="W12"/>
      <c r="X12"/>
      <c r="Y12"/>
      <c r="Z12"/>
      <c r="AA12"/>
      <c r="AB12"/>
      <c r="AC12"/>
      <c r="AD12"/>
      <c r="AE12"/>
    </row>
    <row r="13" spans="1:31" s="65" customFormat="1" ht="12.75" customHeight="1">
      <c r="A13" s="242"/>
      <c r="B13" s="242"/>
      <c r="C13" s="111"/>
      <c r="D13" s="111"/>
      <c r="E13" s="85"/>
      <c r="F13" s="85"/>
      <c r="G13" s="149"/>
      <c r="H13" s="149"/>
      <c r="I13" s="242"/>
      <c r="J13" s="242"/>
      <c r="K13" s="242"/>
      <c r="L13" s="242"/>
      <c r="M13"/>
      <c r="N13"/>
      <c r="O13"/>
      <c r="P13"/>
      <c r="Q13"/>
      <c r="R13"/>
      <c r="S13"/>
      <c r="T13"/>
      <c r="U13"/>
      <c r="V13"/>
      <c r="W13"/>
      <c r="X13"/>
      <c r="Y13"/>
      <c r="Z13"/>
      <c r="AA13"/>
      <c r="AB13"/>
      <c r="AC13"/>
      <c r="AD13"/>
      <c r="AE13"/>
    </row>
    <row r="14" spans="1:31" s="65" customFormat="1" ht="12.75" customHeight="1">
      <c r="A14" s="242"/>
      <c r="B14" s="242"/>
      <c r="C14" s="543"/>
      <c r="D14" s="543"/>
      <c r="E14" s="1202"/>
      <c r="F14" s="1202"/>
      <c r="G14" s="242"/>
      <c r="H14" s="242"/>
      <c r="I14" s="242"/>
      <c r="J14" s="242"/>
      <c r="K14" s="242"/>
      <c r="L14" s="242"/>
      <c r="M14"/>
      <c r="N14"/>
      <c r="O14"/>
      <c r="P14"/>
      <c r="Q14"/>
      <c r="R14"/>
      <c r="S14"/>
      <c r="T14"/>
      <c r="U14"/>
      <c r="V14"/>
      <c r="W14"/>
      <c r="X14"/>
      <c r="Y14"/>
      <c r="Z14"/>
      <c r="AA14"/>
      <c r="AB14"/>
      <c r="AC14"/>
      <c r="AD14"/>
      <c r="AE14"/>
    </row>
    <row r="15" spans="1:31" s="65" customFormat="1" ht="12.75" customHeight="1">
      <c r="A15" s="242"/>
      <c r="B15" s="242"/>
      <c r="C15" s="543"/>
      <c r="D15" s="543"/>
      <c r="E15" s="1202"/>
      <c r="F15" s="1202"/>
      <c r="G15" s="242"/>
      <c r="H15" s="242"/>
      <c r="I15" s="242"/>
      <c r="J15" s="242"/>
      <c r="K15" s="242"/>
      <c r="L15" s="242"/>
      <c r="M15"/>
      <c r="N15"/>
      <c r="O15"/>
      <c r="P15"/>
      <c r="Q15"/>
      <c r="R15"/>
      <c r="S15"/>
      <c r="T15"/>
      <c r="U15"/>
      <c r="V15"/>
      <c r="W15"/>
      <c r="X15"/>
      <c r="Y15"/>
      <c r="Z15"/>
      <c r="AA15"/>
      <c r="AB15"/>
      <c r="AC15"/>
      <c r="AD15"/>
      <c r="AE15"/>
    </row>
    <row r="16" spans="1:31" s="65" customFormat="1" ht="12.75" customHeight="1">
      <c r="A16" s="242"/>
      <c r="B16" s="242"/>
      <c r="C16" s="242"/>
      <c r="D16" s="242"/>
      <c r="E16" s="242"/>
      <c r="F16" s="242"/>
      <c r="G16" s="242"/>
      <c r="H16" s="242"/>
      <c r="I16" s="242"/>
      <c r="J16" s="242"/>
      <c r="K16" s="242"/>
      <c r="L16" s="242"/>
      <c r="M16"/>
      <c r="N16"/>
      <c r="O16"/>
      <c r="P16"/>
      <c r="Q16"/>
      <c r="R16"/>
      <c r="S16"/>
      <c r="T16"/>
      <c r="U16"/>
      <c r="V16"/>
      <c r="W16"/>
      <c r="X16"/>
      <c r="Y16"/>
      <c r="Z16"/>
      <c r="AA16"/>
      <c r="AB16"/>
      <c r="AC16"/>
      <c r="AD16"/>
      <c r="AE16"/>
    </row>
    <row r="17" spans="1:31" s="96" customFormat="1" ht="18">
      <c r="A17" s="696"/>
      <c r="B17" s="696"/>
      <c r="C17" s="804" t="s">
        <v>1421</v>
      </c>
      <c r="D17" s="805"/>
      <c r="E17" s="805"/>
      <c r="F17" s="805"/>
      <c r="G17" s="805"/>
      <c r="H17" s="805"/>
      <c r="I17" s="805"/>
      <c r="J17" s="805"/>
      <c r="K17" s="805"/>
      <c r="L17" s="805"/>
      <c r="M17"/>
      <c r="N17"/>
      <c r="O17"/>
      <c r="P17"/>
      <c r="Q17"/>
      <c r="R17"/>
      <c r="S17"/>
      <c r="T17"/>
      <c r="U17"/>
      <c r="V17"/>
      <c r="W17"/>
      <c r="X17"/>
      <c r="Y17"/>
      <c r="Z17"/>
      <c r="AA17"/>
      <c r="AB17"/>
      <c r="AC17"/>
      <c r="AD17"/>
      <c r="AE17"/>
    </row>
    <row r="18" spans="1:31" s="171" customFormat="1" ht="13.5" thickBot="1">
      <c r="A18" s="741"/>
      <c r="B18" s="741"/>
      <c r="C18" s="741"/>
      <c r="D18" s="741"/>
      <c r="E18" s="741"/>
      <c r="F18" s="741"/>
      <c r="G18" s="741"/>
      <c r="H18" s="741"/>
      <c r="I18" s="741"/>
      <c r="J18" s="741"/>
      <c r="K18" s="741"/>
      <c r="L18" s="741"/>
    </row>
    <row r="19" spans="1:31" s="1178" customFormat="1" ht="15.75" thickBot="1">
      <c r="A19" s="881"/>
      <c r="B19" s="881"/>
      <c r="C19" s="790" t="s">
        <v>370</v>
      </c>
      <c r="D19" s="791"/>
      <c r="E19" s="792"/>
      <c r="F19" s="881"/>
      <c r="G19" s="881"/>
      <c r="H19" s="881"/>
      <c r="I19" s="881"/>
      <c r="J19" s="881"/>
      <c r="K19" s="881"/>
      <c r="L19" s="881"/>
    </row>
    <row r="20" spans="1:31" s="1178" customFormat="1" ht="27" customHeight="1" thickBot="1">
      <c r="A20" s="881"/>
      <c r="B20" s="881"/>
      <c r="C20" s="793" t="s">
        <v>702</v>
      </c>
      <c r="D20" s="794" t="s">
        <v>703</v>
      </c>
      <c r="E20" s="796" t="s">
        <v>1422</v>
      </c>
      <c r="F20" s="881"/>
      <c r="G20" s="881"/>
      <c r="H20" s="881"/>
      <c r="I20" s="881"/>
      <c r="J20" s="881"/>
      <c r="K20" s="881"/>
      <c r="L20" s="881"/>
    </row>
    <row r="21" spans="1:31" ht="40.5" customHeight="1" thickBot="1">
      <c r="A21" s="242"/>
      <c r="B21" s="242"/>
      <c r="C21" s="726" t="s">
        <v>219</v>
      </c>
      <c r="D21" s="3558">
        <v>0.33</v>
      </c>
      <c r="E21" s="3572">
        <v>0.33</v>
      </c>
      <c r="F21" s="571"/>
      <c r="G21" s="571"/>
      <c r="H21" s="571"/>
      <c r="I21" s="571"/>
      <c r="J21" s="242"/>
      <c r="K21" s="242"/>
      <c r="L21" s="242"/>
    </row>
    <row r="22" spans="1:31" s="1172" customFormat="1" ht="23.25" customHeight="1" thickBot="1">
      <c r="A22" s="1174"/>
      <c r="B22" s="1174"/>
      <c r="C22" s="800" t="s">
        <v>121</v>
      </c>
      <c r="D22" s="3559" t="s">
        <v>2070</v>
      </c>
      <c r="E22" s="150"/>
      <c r="F22" s="881"/>
      <c r="G22" s="881"/>
      <c r="H22" s="881"/>
      <c r="I22" s="881"/>
      <c r="J22" s="1174"/>
      <c r="K22" s="1174"/>
      <c r="L22" s="1174"/>
    </row>
    <row r="23" spans="1:31" ht="15.75" thickBot="1">
      <c r="A23" s="242"/>
      <c r="B23" s="242"/>
      <c r="C23" s="789"/>
      <c r="D23" s="141"/>
      <c r="E23" s="141"/>
      <c r="F23" s="571"/>
      <c r="G23" s="571"/>
      <c r="H23" s="571"/>
      <c r="I23" s="571"/>
      <c r="J23" s="242"/>
      <c r="K23" s="242"/>
      <c r="L23" s="242"/>
    </row>
    <row r="24" spans="1:31" s="95" customFormat="1" ht="20.25" customHeight="1" thickBot="1">
      <c r="A24" s="696"/>
      <c r="B24" s="696"/>
      <c r="C24" s="790" t="s">
        <v>704</v>
      </c>
      <c r="D24" s="791"/>
      <c r="E24" s="792"/>
      <c r="F24" s="242"/>
      <c r="G24" s="242"/>
      <c r="H24" s="242"/>
      <c r="I24" s="242"/>
      <c r="J24" s="696"/>
      <c r="K24" s="696"/>
      <c r="L24" s="696"/>
      <c r="M24"/>
      <c r="N24"/>
      <c r="O24"/>
      <c r="P24"/>
      <c r="Q24"/>
      <c r="R24"/>
      <c r="S24"/>
      <c r="T24"/>
      <c r="U24"/>
      <c r="V24"/>
      <c r="W24"/>
      <c r="X24"/>
      <c r="Y24"/>
      <c r="Z24"/>
      <c r="AA24"/>
      <c r="AB24"/>
      <c r="AC24"/>
      <c r="AD24"/>
      <c r="AE24"/>
    </row>
    <row r="25" spans="1:31" ht="31.5" customHeight="1">
      <c r="A25" s="242"/>
      <c r="B25" s="242"/>
      <c r="C25" s="793" t="s">
        <v>213</v>
      </c>
      <c r="D25" s="794" t="s">
        <v>214</v>
      </c>
      <c r="E25" s="796" t="str">
        <f>CONCATENATE("Annual bill amount 
($",CRCP_y5,")")</f>
        <v>Annual bill amount 
($2017)</v>
      </c>
      <c r="F25" s="571"/>
      <c r="G25" s="571"/>
      <c r="H25" s="571"/>
      <c r="I25" s="571"/>
      <c r="J25" s="242"/>
      <c r="K25" s="242"/>
      <c r="L25" s="242"/>
    </row>
    <row r="26" spans="1:31" s="65" customFormat="1">
      <c r="A26" s="242"/>
      <c r="B26" s="242"/>
      <c r="C26" s="799" t="s">
        <v>2071</v>
      </c>
      <c r="D26" s="795" t="s">
        <v>2072</v>
      </c>
      <c r="E26" s="797">
        <v>311.50500849007904</v>
      </c>
      <c r="F26" s="571"/>
      <c r="G26" s="571"/>
      <c r="H26" s="571"/>
      <c r="I26" s="571"/>
      <c r="J26" s="242"/>
      <c r="K26" s="242"/>
      <c r="L26" s="242"/>
      <c r="M26"/>
      <c r="N26"/>
      <c r="O26"/>
      <c r="P26"/>
      <c r="Q26"/>
      <c r="R26"/>
      <c r="S26"/>
      <c r="T26"/>
      <c r="U26"/>
      <c r="V26"/>
      <c r="W26"/>
      <c r="X26"/>
      <c r="Y26"/>
      <c r="Z26"/>
      <c r="AA26"/>
      <c r="AB26"/>
      <c r="AC26"/>
      <c r="AD26"/>
      <c r="AE26"/>
    </row>
    <row r="27" spans="1:31" s="65" customFormat="1">
      <c r="A27" s="242"/>
      <c r="B27" s="242"/>
      <c r="C27" s="799" t="s">
        <v>2073</v>
      </c>
      <c r="D27" s="795" t="s">
        <v>2072</v>
      </c>
      <c r="E27" s="798">
        <v>248.05915954680754</v>
      </c>
      <c r="F27" s="571"/>
      <c r="G27" s="571"/>
      <c r="H27" s="571"/>
      <c r="I27" s="571"/>
      <c r="J27" s="242"/>
      <c r="K27" s="242"/>
      <c r="L27" s="242"/>
      <c r="M27"/>
      <c r="N27"/>
      <c r="O27"/>
      <c r="P27"/>
      <c r="Q27"/>
      <c r="R27"/>
      <c r="S27"/>
      <c r="T27"/>
      <c r="U27"/>
      <c r="V27"/>
      <c r="W27"/>
      <c r="X27"/>
      <c r="Y27"/>
      <c r="Z27"/>
      <c r="AA27"/>
      <c r="AB27"/>
      <c r="AC27"/>
      <c r="AD27"/>
      <c r="AE27"/>
    </row>
    <row r="28" spans="1:31" s="65" customFormat="1">
      <c r="A28" s="242"/>
      <c r="B28" s="242"/>
      <c r="C28" s="799" t="s">
        <v>2074</v>
      </c>
      <c r="D28" s="795" t="s">
        <v>2072</v>
      </c>
      <c r="E28" s="798">
        <v>405.45608789796432</v>
      </c>
      <c r="F28" s="571"/>
      <c r="G28" s="571"/>
      <c r="H28" s="571"/>
      <c r="I28" s="571"/>
      <c r="J28" s="242"/>
      <c r="K28" s="242"/>
      <c r="L28" s="242"/>
      <c r="M28"/>
      <c r="N28"/>
      <c r="O28"/>
      <c r="P28"/>
      <c r="Q28"/>
      <c r="R28"/>
      <c r="S28"/>
      <c r="T28"/>
      <c r="U28"/>
      <c r="V28"/>
      <c r="W28"/>
      <c r="X28"/>
      <c r="Y28"/>
      <c r="Z28"/>
      <c r="AA28"/>
      <c r="AB28"/>
      <c r="AC28"/>
      <c r="AD28"/>
      <c r="AE28"/>
    </row>
    <row r="29" spans="1:31" s="65" customFormat="1" ht="13.5" thickBot="1">
      <c r="A29" s="242"/>
      <c r="B29" s="242"/>
      <c r="C29" s="799" t="s">
        <v>2075</v>
      </c>
      <c r="D29" s="795" t="s">
        <v>2072</v>
      </c>
      <c r="E29" s="798">
        <v>428.94299568011667</v>
      </c>
      <c r="F29" s="571"/>
      <c r="G29" s="571"/>
      <c r="H29" s="571"/>
      <c r="I29" s="571"/>
      <c r="J29" s="242"/>
      <c r="K29" s="242"/>
      <c r="L29" s="242"/>
      <c r="M29"/>
      <c r="N29"/>
      <c r="O29"/>
      <c r="P29"/>
      <c r="Q29"/>
      <c r="R29"/>
      <c r="S29"/>
      <c r="T29"/>
      <c r="U29"/>
      <c r="V29"/>
      <c r="W29"/>
      <c r="X29"/>
      <c r="Y29"/>
      <c r="Z29"/>
      <c r="AA29"/>
      <c r="AB29"/>
      <c r="AC29"/>
      <c r="AD29"/>
      <c r="AE29"/>
    </row>
    <row r="30" spans="1:31" s="65" customFormat="1" ht="23.25" customHeight="1" thickBot="1">
      <c r="A30" s="242"/>
      <c r="B30" s="242"/>
      <c r="C30" s="800" t="s">
        <v>121</v>
      </c>
      <c r="D30" s="801" t="s">
        <v>2108</v>
      </c>
      <c r="E30" s="802" t="s">
        <v>2108</v>
      </c>
      <c r="F30" s="571"/>
      <c r="G30" s="571"/>
      <c r="H30" s="571"/>
      <c r="I30" s="571"/>
      <c r="J30" s="242"/>
      <c r="K30" s="242"/>
      <c r="L30" s="242"/>
      <c r="M30"/>
      <c r="N30"/>
      <c r="O30"/>
      <c r="P30"/>
      <c r="Q30"/>
      <c r="R30"/>
      <c r="S30"/>
      <c r="T30"/>
      <c r="U30"/>
      <c r="V30"/>
      <c r="W30"/>
      <c r="X30"/>
      <c r="Y30"/>
      <c r="Z30"/>
      <c r="AA30"/>
      <c r="AB30"/>
      <c r="AC30"/>
      <c r="AD30"/>
      <c r="AE30"/>
    </row>
    <row r="31" spans="1:31" ht="36" customHeight="1" thickBot="1">
      <c r="A31" s="242"/>
      <c r="B31" s="242"/>
      <c r="C31" s="141"/>
      <c r="D31" s="141"/>
      <c r="E31" s="141"/>
      <c r="F31" s="571"/>
      <c r="G31" s="571"/>
      <c r="H31" s="571"/>
      <c r="I31" s="571"/>
      <c r="J31" s="242"/>
      <c r="K31" s="242"/>
      <c r="L31" s="242"/>
    </row>
    <row r="32" spans="1:31" s="95" customFormat="1" ht="20.25" customHeight="1" thickBot="1">
      <c r="A32" s="696"/>
      <c r="B32" s="696"/>
      <c r="C32" s="790" t="s">
        <v>1423</v>
      </c>
      <c r="D32" s="791"/>
      <c r="E32" s="792"/>
      <c r="F32" s="242"/>
      <c r="G32" s="242"/>
      <c r="H32" s="242"/>
      <c r="I32" s="242"/>
      <c r="J32" s="696"/>
      <c r="K32" s="696"/>
      <c r="L32" s="696"/>
      <c r="M32"/>
      <c r="N32"/>
      <c r="O32"/>
      <c r="P32"/>
      <c r="Q32"/>
      <c r="R32"/>
      <c r="S32"/>
      <c r="T32"/>
      <c r="U32"/>
      <c r="V32"/>
      <c r="W32"/>
      <c r="X32"/>
      <c r="Y32"/>
      <c r="Z32"/>
      <c r="AA32"/>
      <c r="AB32"/>
      <c r="AC32"/>
      <c r="AD32"/>
      <c r="AE32"/>
    </row>
    <row r="33" spans="1:31" s="65" customFormat="1" ht="31.5" customHeight="1">
      <c r="A33" s="242"/>
      <c r="B33" s="242"/>
      <c r="C33" s="793" t="s">
        <v>213</v>
      </c>
      <c r="D33" s="794" t="s">
        <v>214</v>
      </c>
      <c r="E33" s="796" t="str">
        <f>CONCATENATE("Annual bill amount 
($",CRCP_y5,")")</f>
        <v>Annual bill amount 
($2017)</v>
      </c>
      <c r="F33" s="571"/>
      <c r="G33" s="571"/>
      <c r="H33" s="571"/>
      <c r="I33" s="571"/>
      <c r="J33" s="242"/>
      <c r="K33" s="242"/>
      <c r="L33" s="242"/>
      <c r="M33"/>
      <c r="N33"/>
      <c r="O33"/>
      <c r="P33"/>
      <c r="Q33"/>
      <c r="R33"/>
      <c r="S33"/>
      <c r="T33"/>
      <c r="U33"/>
      <c r="V33"/>
      <c r="W33"/>
      <c r="X33"/>
      <c r="Y33"/>
      <c r="Z33"/>
      <c r="AA33"/>
      <c r="AB33"/>
      <c r="AC33"/>
      <c r="AD33"/>
      <c r="AE33"/>
    </row>
    <row r="34" spans="1:31" s="65" customFormat="1">
      <c r="A34" s="242"/>
      <c r="B34" s="242"/>
      <c r="C34" s="799" t="s">
        <v>2076</v>
      </c>
      <c r="D34" s="795" t="s">
        <v>2072</v>
      </c>
      <c r="E34" s="798">
        <v>570.81640858548019</v>
      </c>
      <c r="F34" s="571"/>
      <c r="G34" s="571"/>
      <c r="H34" s="571"/>
      <c r="I34" s="571"/>
      <c r="J34" s="242"/>
      <c r="K34" s="242"/>
      <c r="L34" s="242"/>
      <c r="M34"/>
      <c r="N34"/>
      <c r="O34"/>
      <c r="P34"/>
      <c r="Q34"/>
      <c r="R34"/>
      <c r="S34"/>
      <c r="T34"/>
      <c r="U34"/>
      <c r="V34"/>
      <c r="W34"/>
      <c r="X34"/>
      <c r="Y34"/>
      <c r="Z34"/>
      <c r="AA34"/>
      <c r="AB34"/>
      <c r="AC34"/>
      <c r="AD34"/>
      <c r="AE34"/>
    </row>
    <row r="35" spans="1:31" s="1172" customFormat="1">
      <c r="A35" s="1174"/>
      <c r="B35" s="1174"/>
      <c r="C35" s="799" t="s">
        <v>2077</v>
      </c>
      <c r="D35" s="795" t="s">
        <v>2072</v>
      </c>
      <c r="E35" s="798">
        <v>308.35369101053158</v>
      </c>
      <c r="F35" s="881"/>
      <c r="G35" s="881"/>
      <c r="H35" s="881"/>
      <c r="I35" s="881"/>
      <c r="J35" s="1174"/>
      <c r="K35" s="1174"/>
      <c r="L35" s="1174"/>
    </row>
    <row r="36" spans="1:31" s="1172" customFormat="1">
      <c r="A36" s="1174"/>
      <c r="B36" s="1174"/>
      <c r="C36" s="799" t="s">
        <v>2078</v>
      </c>
      <c r="D36" s="795" t="s">
        <v>2072</v>
      </c>
      <c r="E36" s="798">
        <v>1702.0995876604618</v>
      </c>
      <c r="F36" s="881"/>
      <c r="G36" s="881"/>
      <c r="H36" s="881"/>
      <c r="I36" s="881"/>
      <c r="J36" s="1174"/>
      <c r="K36" s="1174"/>
      <c r="L36" s="1174"/>
    </row>
    <row r="37" spans="1:31" s="1172" customFormat="1">
      <c r="A37" s="1174"/>
      <c r="B37" s="1174"/>
      <c r="C37" s="799" t="s">
        <v>2079</v>
      </c>
      <c r="D37" s="795" t="s">
        <v>2072</v>
      </c>
      <c r="E37" s="798">
        <v>1942.7632943382648</v>
      </c>
      <c r="F37" s="881"/>
      <c r="G37" s="881"/>
      <c r="H37" s="881"/>
      <c r="I37" s="881"/>
      <c r="J37" s="1174"/>
      <c r="K37" s="1174"/>
      <c r="L37" s="1174"/>
    </row>
    <row r="38" spans="1:31" s="65" customFormat="1">
      <c r="A38" s="242"/>
      <c r="B38" s="242"/>
      <c r="C38" s="799" t="s">
        <v>1589</v>
      </c>
      <c r="D38" s="795" t="s">
        <v>2080</v>
      </c>
      <c r="E38" s="798">
        <v>6952.4004545396028</v>
      </c>
      <c r="F38" s="571"/>
      <c r="G38" s="571"/>
      <c r="H38" s="571"/>
      <c r="I38" s="571"/>
      <c r="J38" s="242"/>
      <c r="K38" s="242"/>
      <c r="L38" s="242"/>
      <c r="M38"/>
      <c r="N38"/>
      <c r="O38"/>
      <c r="P38"/>
      <c r="Q38"/>
      <c r="R38"/>
      <c r="S38"/>
      <c r="T38"/>
      <c r="U38"/>
      <c r="V38"/>
      <c r="W38"/>
      <c r="X38"/>
      <c r="Y38"/>
      <c r="Z38"/>
      <c r="AA38"/>
      <c r="AB38"/>
      <c r="AC38"/>
      <c r="AD38"/>
      <c r="AE38"/>
    </row>
    <row r="39" spans="1:31" s="65" customFormat="1" ht="13.5" thickBot="1">
      <c r="A39" s="242"/>
      <c r="B39" s="242"/>
      <c r="C39" s="799" t="s">
        <v>1588</v>
      </c>
      <c r="D39" s="795" t="s">
        <v>2080</v>
      </c>
      <c r="E39" s="798">
        <v>9250.821912779782</v>
      </c>
      <c r="F39" s="571"/>
      <c r="G39" s="571"/>
      <c r="H39" s="571"/>
      <c r="I39" s="571"/>
      <c r="J39" s="242"/>
      <c r="K39" s="242"/>
      <c r="L39" s="242"/>
      <c r="M39"/>
      <c r="N39"/>
      <c r="O39"/>
      <c r="P39"/>
      <c r="Q39"/>
      <c r="R39"/>
      <c r="S39"/>
      <c r="T39"/>
      <c r="U39"/>
      <c r="V39"/>
      <c r="W39"/>
      <c r="X39"/>
      <c r="Y39"/>
      <c r="Z39"/>
      <c r="AA39"/>
      <c r="AB39"/>
      <c r="AC39"/>
      <c r="AD39"/>
      <c r="AE39"/>
    </row>
    <row r="40" spans="1:31" s="65" customFormat="1" ht="23.25" customHeight="1" thickBot="1">
      <c r="A40" s="242"/>
      <c r="B40" s="242"/>
      <c r="C40" s="1494" t="s">
        <v>121</v>
      </c>
      <c r="D40" s="801" t="s">
        <v>2108</v>
      </c>
      <c r="E40" s="802" t="s">
        <v>2108</v>
      </c>
      <c r="F40" s="571"/>
      <c r="G40" s="571"/>
      <c r="H40" s="571"/>
      <c r="I40" s="571"/>
      <c r="J40" s="242"/>
      <c r="K40" s="242"/>
      <c r="L40" s="242"/>
      <c r="M40"/>
      <c r="N40"/>
      <c r="O40"/>
      <c r="P40"/>
      <c r="Q40"/>
      <c r="R40"/>
      <c r="S40"/>
      <c r="T40"/>
      <c r="U40"/>
      <c r="V40"/>
      <c r="W40"/>
      <c r="X40"/>
      <c r="Y40"/>
      <c r="Z40"/>
      <c r="AA40"/>
      <c r="AB40"/>
      <c r="AC40"/>
      <c r="AD40"/>
      <c r="AE40"/>
    </row>
    <row r="41" spans="1:31" ht="50.25" customHeight="1" thickBot="1">
      <c r="A41" s="242"/>
      <c r="B41" s="242"/>
      <c r="C41" s="141"/>
      <c r="D41" s="141"/>
      <c r="E41" s="141"/>
      <c r="F41" s="571"/>
      <c r="G41" s="571"/>
      <c r="H41" s="571"/>
      <c r="I41" s="571"/>
      <c r="J41" s="242"/>
      <c r="K41" s="242"/>
      <c r="L41" s="242"/>
    </row>
    <row r="42" spans="1:31" ht="15.75" thickBot="1">
      <c r="B42" s="1174"/>
      <c r="C42" s="737" t="s">
        <v>705</v>
      </c>
      <c r="D42" s="2852"/>
      <c r="E42" s="738"/>
      <c r="F42" s="738"/>
      <c r="G42" s="738"/>
      <c r="H42" s="738"/>
      <c r="I42" s="738"/>
      <c r="J42" s="739"/>
      <c r="K42" s="1174"/>
      <c r="L42" s="1172"/>
      <c r="M42" s="1172"/>
    </row>
    <row r="43" spans="1:31">
      <c r="B43" s="1174"/>
      <c r="C43" s="2853"/>
      <c r="D43" s="2854">
        <f>CRCP_y5</f>
        <v>2017</v>
      </c>
      <c r="E43" s="794" t="str">
        <f>FRCP_y1</f>
        <v>2018</v>
      </c>
      <c r="F43" s="794">
        <f>FRCP_y2</f>
        <v>2019</v>
      </c>
      <c r="G43" s="794">
        <f>FRCP_y3</f>
        <v>2020</v>
      </c>
      <c r="H43" s="794">
        <f>FRCP_y4</f>
        <v>2021</v>
      </c>
      <c r="I43" s="794">
        <f>FRCP_y5</f>
        <v>2022</v>
      </c>
      <c r="J43" s="2855" t="s">
        <v>215</v>
      </c>
      <c r="K43" s="1174"/>
      <c r="L43" s="1172"/>
      <c r="M43" s="1172"/>
    </row>
    <row r="44" spans="1:31">
      <c r="B44" s="1174"/>
      <c r="C44" s="818" t="s">
        <v>1424</v>
      </c>
      <c r="D44" s="2856"/>
      <c r="E44" s="2857">
        <v>1.6500000000000001E-2</v>
      </c>
      <c r="F44" s="2857">
        <v>1.6500000000000001E-2</v>
      </c>
      <c r="G44" s="2857">
        <v>1.6500000000000001E-2</v>
      </c>
      <c r="H44" s="2857">
        <v>1.6500000000000001E-2</v>
      </c>
      <c r="I44" s="2857">
        <v>1.6500000000000001E-2</v>
      </c>
      <c r="J44" s="2858"/>
      <c r="K44" s="1174"/>
      <c r="L44" s="1172"/>
      <c r="M44" s="1172"/>
    </row>
    <row r="45" spans="1:31">
      <c r="B45" s="1174"/>
      <c r="C45" s="818" t="s">
        <v>1425</v>
      </c>
      <c r="D45" s="2856"/>
      <c r="E45" s="2857">
        <v>0.05</v>
      </c>
      <c r="F45" s="2857">
        <v>-2.0601402173472491E-2</v>
      </c>
      <c r="G45" s="2857">
        <v>-2.0601402173472491E-2</v>
      </c>
      <c r="H45" s="2857">
        <v>-2.0601402173472491E-2</v>
      </c>
      <c r="I45" s="2857">
        <v>-2.0601402173472491E-2</v>
      </c>
      <c r="J45" s="2858"/>
      <c r="K45" s="1174"/>
      <c r="L45" s="1172"/>
      <c r="M45" s="1172"/>
    </row>
    <row r="46" spans="1:31">
      <c r="B46" s="1174"/>
      <c r="C46" s="2859"/>
      <c r="D46" s="2856"/>
      <c r="E46" s="803"/>
      <c r="F46" s="803"/>
      <c r="G46" s="803"/>
      <c r="H46" s="803"/>
      <c r="I46" s="803"/>
      <c r="J46" s="2858"/>
      <c r="K46" s="1174"/>
      <c r="L46" s="1172"/>
      <c r="M46" s="1172"/>
    </row>
    <row r="47" spans="1:31" ht="13.5" thickBot="1">
      <c r="B47" s="1174"/>
      <c r="C47" s="2860" t="s">
        <v>216</v>
      </c>
      <c r="D47" s="2861"/>
      <c r="E47" s="2838">
        <f>(1+E44)*(1-E45)-1</f>
        <v>-3.432500000000005E-2</v>
      </c>
      <c r="F47" s="2838">
        <f t="shared" ref="F47:I47" si="0">(1+F44)*(1-F45)-1</f>
        <v>3.7441325309334639E-2</v>
      </c>
      <c r="G47" s="2838">
        <f t="shared" si="0"/>
        <v>3.7441325309334639E-2</v>
      </c>
      <c r="H47" s="2838">
        <f t="shared" si="0"/>
        <v>3.7441325309334639E-2</v>
      </c>
      <c r="I47" s="2838">
        <f t="shared" si="0"/>
        <v>3.7441325309334639E-2</v>
      </c>
      <c r="J47" s="2862">
        <f>+AVERAGE(E47:I47)</f>
        <v>2.30880602474677E-2</v>
      </c>
      <c r="K47" s="1174"/>
      <c r="L47" s="1172"/>
      <c r="M47" s="1172"/>
    </row>
    <row r="48" spans="1:31">
      <c r="B48" s="1174"/>
      <c r="C48" s="136"/>
      <c r="D48" s="136"/>
      <c r="E48" s="136"/>
      <c r="F48" s="136"/>
      <c r="G48" s="136"/>
      <c r="H48" s="136"/>
      <c r="I48" s="136"/>
      <c r="J48" s="136"/>
      <c r="K48" s="1174"/>
      <c r="L48" s="1174"/>
      <c r="M48" s="1172"/>
    </row>
    <row r="49" spans="2:13" ht="13.5" thickBot="1">
      <c r="B49" s="1174"/>
      <c r="C49" s="136"/>
      <c r="D49" s="136"/>
      <c r="E49" s="136"/>
      <c r="F49" s="136"/>
      <c r="G49" s="136"/>
      <c r="H49" s="136"/>
      <c r="I49" s="136"/>
      <c r="J49" s="136"/>
      <c r="K49" s="1174"/>
      <c r="L49" s="1174"/>
      <c r="M49" s="1172"/>
    </row>
    <row r="50" spans="2:13" ht="15.75" thickBot="1">
      <c r="B50" s="1174"/>
      <c r="C50" s="737" t="s">
        <v>706</v>
      </c>
      <c r="D50" s="791"/>
      <c r="E50" s="791"/>
      <c r="F50" s="791"/>
      <c r="G50" s="791"/>
      <c r="H50" s="791"/>
      <c r="I50" s="791"/>
      <c r="J50" s="791"/>
      <c r="K50" s="738"/>
      <c r="L50" s="739"/>
      <c r="M50" s="1172"/>
    </row>
    <row r="51" spans="2:13" ht="15.75" thickBot="1">
      <c r="B51" s="1174"/>
      <c r="C51" s="2863" t="s">
        <v>213</v>
      </c>
      <c r="D51" s="4377" t="s">
        <v>543</v>
      </c>
      <c r="E51" s="4378"/>
      <c r="F51" s="4378"/>
      <c r="G51" s="4378"/>
      <c r="H51" s="4378"/>
      <c r="I51" s="4378"/>
      <c r="J51" s="4379"/>
      <c r="K51" s="4380" t="s">
        <v>215</v>
      </c>
      <c r="L51" s="4382" t="s">
        <v>217</v>
      </c>
      <c r="M51" s="1172"/>
    </row>
    <row r="52" spans="2:13" ht="13.5" thickBot="1">
      <c r="B52" s="1174"/>
      <c r="C52" s="2864"/>
      <c r="D52" s="2865">
        <f>CRCP_y5</f>
        <v>2017</v>
      </c>
      <c r="E52" s="2866" t="str">
        <f>FRCP_y1</f>
        <v>2018</v>
      </c>
      <c r="F52" s="2866">
        <f>FRCP_y2</f>
        <v>2019</v>
      </c>
      <c r="G52" s="2866">
        <f>FRCP_y3</f>
        <v>2020</v>
      </c>
      <c r="H52" s="2866">
        <f>FRCP_y4</f>
        <v>2021</v>
      </c>
      <c r="I52" s="2866">
        <f>FRCP_y5</f>
        <v>2022</v>
      </c>
      <c r="J52" s="2867" t="str">
        <f>"Total "&amp;D52&amp;"-"&amp;RIGHT(I52,2)</f>
        <v>Total 2017-22</v>
      </c>
      <c r="K52" s="4381"/>
      <c r="L52" s="4383"/>
      <c r="M52" s="1172"/>
    </row>
    <row r="53" spans="2:13">
      <c r="B53" s="1174"/>
      <c r="C53" s="2868" t="str">
        <f>+C26</f>
        <v>Tariff V - Central - Residential</v>
      </c>
      <c r="D53" s="2840">
        <f>E26*$D$21</f>
        <v>102.79665280172608</v>
      </c>
      <c r="E53" s="2839">
        <f>D53*(1+E$47)</f>
        <v>99.268157694306836</v>
      </c>
      <c r="F53" s="2839">
        <f t="shared" ref="F53:I53" si="1">E53*(1+F$47)</f>
        <v>102.9848890793977</v>
      </c>
      <c r="G53" s="2839">
        <f t="shared" si="1"/>
        <v>106.84077981336517</v>
      </c>
      <c r="H53" s="2839">
        <f t="shared" si="1"/>
        <v>110.84104020666037</v>
      </c>
      <c r="I53" s="2839">
        <f t="shared" si="1"/>
        <v>114.99107565066298</v>
      </c>
      <c r="J53" s="2869"/>
      <c r="K53" s="2840"/>
      <c r="L53" s="2849"/>
      <c r="M53" s="1172"/>
    </row>
    <row r="54" spans="2:13">
      <c r="B54" s="1495"/>
      <c r="C54" s="2870" t="s">
        <v>218</v>
      </c>
      <c r="D54" s="2842"/>
      <c r="E54" s="2841">
        <f>+E53-D53</f>
        <v>-3.5284951074192463</v>
      </c>
      <c r="F54" s="2841">
        <f>+F53-E53</f>
        <v>3.716731385090867</v>
      </c>
      <c r="G54" s="2841">
        <f>+G53-F53</f>
        <v>3.8558907339674704</v>
      </c>
      <c r="H54" s="2841">
        <f>+H53-G53</f>
        <v>4.0002603932951928</v>
      </c>
      <c r="I54" s="2841">
        <f>+I53-H53</f>
        <v>4.1500354440026115</v>
      </c>
      <c r="J54" s="2871">
        <f>+SUM(E54:I54)</f>
        <v>12.194422848936895</v>
      </c>
      <c r="K54" s="2842">
        <f>+AVERAGE(E54:I54)</f>
        <v>2.4388845697873789</v>
      </c>
      <c r="L54" s="3647">
        <f>(I53/D53)^(1/5)-1</f>
        <v>2.2673570903528395E-2</v>
      </c>
      <c r="M54" s="3651"/>
    </row>
    <row r="55" spans="2:13">
      <c r="B55" s="1174"/>
      <c r="C55" s="2872"/>
      <c r="D55" s="2850"/>
      <c r="E55" s="2843"/>
      <c r="F55" s="2843"/>
      <c r="G55" s="2843"/>
      <c r="H55" s="2843"/>
      <c r="I55" s="2843"/>
      <c r="J55" s="2873"/>
      <c r="K55" s="2844"/>
      <c r="L55" s="3648"/>
      <c r="M55" s="1172"/>
    </row>
    <row r="56" spans="2:13">
      <c r="B56" s="1174"/>
      <c r="C56" s="2874" t="str">
        <f>+C27</f>
        <v>Tariff V - West - Residential</v>
      </c>
      <c r="D56" s="2846">
        <f>E27*$D$21</f>
        <v>81.859522650446493</v>
      </c>
      <c r="E56" s="2845">
        <f>D56*(1+E$47)</f>
        <v>79.049694535469911</v>
      </c>
      <c r="F56" s="2845">
        <f t="shared" ref="F56:I56" si="2">E56*(1+F$47)</f>
        <v>82.009419864175968</v>
      </c>
      <c r="G56" s="2845">
        <f t="shared" si="2"/>
        <v>85.079961231740384</v>
      </c>
      <c r="H56" s="2845">
        <f t="shared" si="2"/>
        <v>88.265467737523551</v>
      </c>
      <c r="I56" s="2845">
        <f t="shared" si="2"/>
        <v>91.570243828664758</v>
      </c>
      <c r="J56" s="2875"/>
      <c r="K56" s="2846"/>
      <c r="L56" s="3649"/>
      <c r="M56" s="1172"/>
    </row>
    <row r="57" spans="2:13">
      <c r="B57" s="1495"/>
      <c r="C57" s="2870" t="s">
        <v>218</v>
      </c>
      <c r="D57" s="2842"/>
      <c r="E57" s="2841">
        <f t="shared" ref="E57" si="3">+E56-D56</f>
        <v>-2.8098281149765825</v>
      </c>
      <c r="F57" s="2841">
        <f>+F56-E56</f>
        <v>2.9597253287060568</v>
      </c>
      <c r="G57" s="2841">
        <f>+G56-F56</f>
        <v>3.0705413675644166</v>
      </c>
      <c r="H57" s="2841">
        <f>+H56-G56</f>
        <v>3.1855065057831666</v>
      </c>
      <c r="I57" s="2841">
        <f>+I56-H56</f>
        <v>3.304776091141207</v>
      </c>
      <c r="J57" s="2871">
        <f>+SUM(E57:I57)</f>
        <v>9.7107211782182645</v>
      </c>
      <c r="K57" s="2842">
        <f>+AVERAGE(E57:I57)</f>
        <v>1.9421442356436529</v>
      </c>
      <c r="L57" s="3647">
        <f>(I56/D56)^(1/5)-1</f>
        <v>2.2673570903528395E-2</v>
      </c>
      <c r="M57" s="1496"/>
    </row>
    <row r="58" spans="2:13">
      <c r="B58" s="1174"/>
      <c r="C58" s="2872"/>
      <c r="D58" s="2850"/>
      <c r="E58" s="2843"/>
      <c r="F58" s="2843"/>
      <c r="G58" s="2843"/>
      <c r="H58" s="2843"/>
      <c r="I58" s="2843"/>
      <c r="J58" s="2873"/>
      <c r="K58" s="2844"/>
      <c r="L58" s="3648"/>
      <c r="M58" s="1172"/>
    </row>
    <row r="59" spans="2:13">
      <c r="B59" s="1174"/>
      <c r="C59" s="2874" t="str">
        <f>+C28</f>
        <v>Tariff V - Adjoining Central - Residential</v>
      </c>
      <c r="D59" s="2846">
        <f>E28*$D$21</f>
        <v>133.80050900632824</v>
      </c>
      <c r="E59" s="2845">
        <f>D59*(1+E$47)</f>
        <v>129.20780653468603</v>
      </c>
      <c r="F59" s="2845">
        <f t="shared" ref="F59:I59" si="4">E59*(1+F$47)</f>
        <v>134.04551805165679</v>
      </c>
      <c r="G59" s="2845">
        <f t="shared" si="4"/>
        <v>139.06435989928715</v>
      </c>
      <c r="H59" s="2845">
        <f t="shared" si="4"/>
        <v>144.27111383721075</v>
      </c>
      <c r="I59" s="2845">
        <f t="shared" si="4"/>
        <v>149.67281554312981</v>
      </c>
      <c r="J59" s="2875"/>
      <c r="K59" s="2846"/>
      <c r="L59" s="3649"/>
      <c r="M59" s="1172"/>
    </row>
    <row r="60" spans="2:13">
      <c r="B60" s="1495"/>
      <c r="C60" s="2870" t="s">
        <v>218</v>
      </c>
      <c r="D60" s="2842"/>
      <c r="E60" s="2841">
        <f t="shared" ref="E60" si="5">+E59-D59</f>
        <v>-4.5927024716422125</v>
      </c>
      <c r="F60" s="2841">
        <f>+F59-E59</f>
        <v>4.8377115169707565</v>
      </c>
      <c r="G60" s="2841">
        <f>+G59-F59</f>
        <v>5.0188418476303696</v>
      </c>
      <c r="H60" s="2841">
        <f>+H59-G59</f>
        <v>5.2067539379235939</v>
      </c>
      <c r="I60" s="2841">
        <f>+I59-H59</f>
        <v>5.4017017059190664</v>
      </c>
      <c r="J60" s="2871">
        <f>+SUM(E60:I60)</f>
        <v>15.872306536801574</v>
      </c>
      <c r="K60" s="2842">
        <f>+AVERAGE(E60:I60)</f>
        <v>3.174461307360315</v>
      </c>
      <c r="L60" s="3647">
        <f>(I59/D59)^(1/5)-1</f>
        <v>2.2673570903528395E-2</v>
      </c>
      <c r="M60" s="1496"/>
    </row>
    <row r="61" spans="2:13">
      <c r="B61" s="1174"/>
      <c r="C61" s="2872"/>
      <c r="D61" s="2850"/>
      <c r="E61" s="2843"/>
      <c r="F61" s="2843"/>
      <c r="G61" s="2843"/>
      <c r="H61" s="2843"/>
      <c r="I61" s="2843"/>
      <c r="J61" s="2873"/>
      <c r="K61" s="2844"/>
      <c r="L61" s="3648"/>
      <c r="M61" s="1172"/>
    </row>
    <row r="62" spans="2:13">
      <c r="B62" s="1174"/>
      <c r="C62" s="2874" t="str">
        <f>+C29</f>
        <v>Tariff V - Adjoining West - Residential</v>
      </c>
      <c r="D62" s="2846">
        <f>E29*$D$21</f>
        <v>141.5511885744385</v>
      </c>
      <c r="E62" s="2845">
        <f>D62*(1+E$47)</f>
        <v>136.69244402662088</v>
      </c>
      <c r="F62" s="2845">
        <f t="shared" ref="F62:I62" si="6">E62*(1+F$47)</f>
        <v>141.81039029074961</v>
      </c>
      <c r="G62" s="2845">
        <f t="shared" si="6"/>
        <v>147.11995924586927</v>
      </c>
      <c r="H62" s="2845">
        <f t="shared" si="6"/>
        <v>152.6283254994899</v>
      </c>
      <c r="I62" s="2845">
        <f t="shared" si="6"/>
        <v>158.34293228593532</v>
      </c>
      <c r="J62" s="2875"/>
      <c r="K62" s="2846"/>
      <c r="L62" s="3649"/>
      <c r="M62" s="1172"/>
    </row>
    <row r="63" spans="2:13" ht="13.5" thickBot="1">
      <c r="B63" s="1495"/>
      <c r="C63" s="2876" t="s">
        <v>218</v>
      </c>
      <c r="D63" s="2848"/>
      <c r="E63" s="2847">
        <f t="shared" ref="E63" si="7">+E62-D62</f>
        <v>-4.8587445478176221</v>
      </c>
      <c r="F63" s="2847">
        <f>+F62-E62</f>
        <v>5.117946264128733</v>
      </c>
      <c r="G63" s="2847">
        <f>+G62-F62</f>
        <v>5.3095689551196585</v>
      </c>
      <c r="H63" s="2847">
        <f>+H62-G62</f>
        <v>5.5083662536206361</v>
      </c>
      <c r="I63" s="2847">
        <f>+I62-H62</f>
        <v>5.7146067864454153</v>
      </c>
      <c r="J63" s="2877">
        <f>+SUM(E63:I63)</f>
        <v>16.791743711496821</v>
      </c>
      <c r="K63" s="2848">
        <f>+AVERAGE(E63:I63)</f>
        <v>3.3583487422993641</v>
      </c>
      <c r="L63" s="3650">
        <f>(I62/D62)^(1/5)-1</f>
        <v>2.2673570903528395E-2</v>
      </c>
      <c r="M63" s="1496"/>
    </row>
    <row r="64" spans="2:13">
      <c r="B64" s="1174"/>
      <c r="C64" s="1174"/>
      <c r="D64" s="1174"/>
      <c r="E64" s="1174"/>
      <c r="F64" s="1174"/>
      <c r="G64" s="1174"/>
      <c r="H64" s="1174"/>
      <c r="I64" s="1174"/>
      <c r="J64" s="1174"/>
      <c r="K64" s="1174"/>
      <c r="L64" s="1174"/>
      <c r="M64" s="1172"/>
    </row>
    <row r="65" spans="2:13" ht="13.5" thickBot="1">
      <c r="B65" s="1174"/>
      <c r="C65" s="1174"/>
      <c r="D65" s="1174"/>
      <c r="E65" s="1174"/>
      <c r="F65" s="1174"/>
      <c r="G65" s="1174"/>
      <c r="H65" s="1174"/>
      <c r="I65" s="1174"/>
      <c r="J65" s="1174"/>
      <c r="K65" s="1174"/>
      <c r="L65" s="1174"/>
      <c r="M65" s="1172"/>
    </row>
    <row r="66" spans="2:13" ht="15.75" thickBot="1">
      <c r="B66" s="1174"/>
      <c r="C66" s="737" t="s">
        <v>1426</v>
      </c>
      <c r="D66" s="738"/>
      <c r="E66" s="738"/>
      <c r="F66" s="738"/>
      <c r="G66" s="738"/>
      <c r="H66" s="738"/>
      <c r="I66" s="738"/>
      <c r="J66" s="738"/>
      <c r="K66" s="738"/>
      <c r="L66" s="739"/>
      <c r="M66" s="1172"/>
    </row>
    <row r="67" spans="2:13" ht="15.75" thickBot="1">
      <c r="B67" s="1174"/>
      <c r="C67" s="2863" t="s">
        <v>213</v>
      </c>
      <c r="D67" s="4377" t="s">
        <v>543</v>
      </c>
      <c r="E67" s="4378"/>
      <c r="F67" s="4378"/>
      <c r="G67" s="4378"/>
      <c r="H67" s="4378"/>
      <c r="I67" s="4378"/>
      <c r="J67" s="4379"/>
      <c r="K67" s="4380" t="s">
        <v>215</v>
      </c>
      <c r="L67" s="4382" t="s">
        <v>217</v>
      </c>
      <c r="M67" s="1172"/>
    </row>
    <row r="68" spans="2:13" ht="13.5" thickBot="1">
      <c r="B68" s="1174"/>
      <c r="C68" s="2864"/>
      <c r="D68" s="2865">
        <f>CRCP_y5</f>
        <v>2017</v>
      </c>
      <c r="E68" s="2866" t="str">
        <f>FRCP_y1</f>
        <v>2018</v>
      </c>
      <c r="F68" s="2866">
        <f>FRCP_y2</f>
        <v>2019</v>
      </c>
      <c r="G68" s="2866">
        <f>FRCP_y3</f>
        <v>2020</v>
      </c>
      <c r="H68" s="2866">
        <f>FRCP_y4</f>
        <v>2021</v>
      </c>
      <c r="I68" s="2866">
        <f>FRCP_y5</f>
        <v>2022</v>
      </c>
      <c r="J68" s="2867" t="str">
        <f>"Total "&amp;D68&amp;"-"&amp;RIGHT(I68,2)</f>
        <v>Total 2017-22</v>
      </c>
      <c r="K68" s="4381"/>
      <c r="L68" s="4383"/>
      <c r="M68" s="1172"/>
    </row>
    <row r="69" spans="2:13">
      <c r="B69" s="1174"/>
      <c r="C69" s="2868" t="str">
        <f>+C34</f>
        <v>Tariff V - SP AusNet Central - Non Residential</v>
      </c>
      <c r="D69" s="2840">
        <f>E34*$E$21</f>
        <v>188.36941483320848</v>
      </c>
      <c r="E69" s="2839">
        <f>D69*(1+E$47)</f>
        <v>181.90363466905859</v>
      </c>
      <c r="F69" s="2839">
        <f t="shared" ref="F69:I69" si="8">E69*(1+F$47)</f>
        <v>188.71434782965318</v>
      </c>
      <c r="G69" s="2839">
        <f t="shared" si="8"/>
        <v>195.78006311728214</v>
      </c>
      <c r="H69" s="2839">
        <f t="shared" si="8"/>
        <v>203.11032814953836</v>
      </c>
      <c r="I69" s="2839">
        <f t="shared" si="8"/>
        <v>210.71504801947094</v>
      </c>
      <c r="J69" s="2869"/>
      <c r="K69" s="2840"/>
      <c r="L69" s="2849"/>
      <c r="M69" s="1172"/>
    </row>
    <row r="70" spans="2:13">
      <c r="B70" s="1174"/>
      <c r="C70" s="2870" t="s">
        <v>218</v>
      </c>
      <c r="D70" s="2842"/>
      <c r="E70" s="2841">
        <f>+E69-D69</f>
        <v>-6.4657801641498907</v>
      </c>
      <c r="F70" s="2841">
        <f>+F69-E69</f>
        <v>6.8107131605945881</v>
      </c>
      <c r="G70" s="2841">
        <f>+G69-F69</f>
        <v>7.0657152876289615</v>
      </c>
      <c r="H70" s="2841">
        <f>+H69-G69</f>
        <v>7.3302650322562215</v>
      </c>
      <c r="I70" s="2841">
        <f>+I69-H69</f>
        <v>7.6047198699325804</v>
      </c>
      <c r="J70" s="2871">
        <f>+SUM(E70:I70)</f>
        <v>22.345633186262461</v>
      </c>
      <c r="K70" s="2846">
        <f t="shared" ref="K70" si="9">+AVERAGE(E70:I70)</f>
        <v>4.4691266372524918</v>
      </c>
      <c r="L70" s="3649">
        <f>(I69/D69)^(1/5)-1</f>
        <v>2.2673570903528395E-2</v>
      </c>
      <c r="M70" s="1172"/>
    </row>
    <row r="71" spans="2:13" s="1172" customFormat="1">
      <c r="B71" s="1174"/>
      <c r="C71" s="2872"/>
      <c r="D71" s="2842"/>
      <c r="E71" s="2841"/>
      <c r="F71" s="2841"/>
      <c r="G71" s="2841"/>
      <c r="H71" s="2841"/>
      <c r="I71" s="2841"/>
      <c r="J71" s="2871"/>
      <c r="K71" s="2846"/>
      <c r="L71" s="774"/>
    </row>
    <row r="72" spans="2:13" s="1172" customFormat="1">
      <c r="B72" s="1174"/>
      <c r="C72" s="3645" t="str">
        <f>C35</f>
        <v>Tariff V - SP AusNet West - Non Residential</v>
      </c>
      <c r="D72" s="2842">
        <f>E35*$E$21</f>
        <v>101.75671803347542</v>
      </c>
      <c r="E72" s="2841">
        <f t="shared" ref="E72:I72" si="10">D72*(1+E$47)</f>
        <v>98.263918686976368</v>
      </c>
      <c r="F72" s="2841">
        <f t="shared" si="10"/>
        <v>101.94305003270546</v>
      </c>
      <c r="G72" s="2841">
        <f t="shared" si="10"/>
        <v>105.75993293200575</v>
      </c>
      <c r="H72" s="2841">
        <f t="shared" si="10"/>
        <v>109.71972498560639</v>
      </c>
      <c r="I72" s="2841">
        <f t="shared" si="10"/>
        <v>113.8277769016432</v>
      </c>
      <c r="J72" s="2871"/>
      <c r="K72" s="2846"/>
      <c r="L72" s="774"/>
    </row>
    <row r="73" spans="2:13" s="1172" customFormat="1">
      <c r="B73" s="1174"/>
      <c r="C73" s="2870" t="s">
        <v>218</v>
      </c>
      <c r="D73" s="2842"/>
      <c r="E73" s="2841">
        <f t="shared" ref="E73" si="11">+E72-D72</f>
        <v>-3.492799346499055</v>
      </c>
      <c r="F73" s="2841">
        <f>+F72-E72</f>
        <v>3.6791313457290897</v>
      </c>
      <c r="G73" s="2841">
        <f>+G72-F72</f>
        <v>3.8168828993002961</v>
      </c>
      <c r="H73" s="2841">
        <f>+H72-G72</f>
        <v>3.959792053600637</v>
      </c>
      <c r="I73" s="2841">
        <f>+I72-H72</f>
        <v>4.1080519160368141</v>
      </c>
      <c r="J73" s="2871">
        <f>+SUM(E73:I73)</f>
        <v>12.071058868167782</v>
      </c>
      <c r="K73" s="2846">
        <f t="shared" ref="K73" si="12">+AVERAGE(E73:I73)</f>
        <v>2.4142117736335562</v>
      </c>
      <c r="L73" s="3649">
        <f>(I72/D72)^(1/5)-1</f>
        <v>2.2673570903528395E-2</v>
      </c>
    </row>
    <row r="74" spans="2:13" s="1172" customFormat="1">
      <c r="B74" s="1174"/>
      <c r="C74" s="2872"/>
      <c r="D74" s="2842"/>
      <c r="E74" s="2841"/>
      <c r="F74" s="2841"/>
      <c r="G74" s="2841"/>
      <c r="H74" s="2841"/>
      <c r="I74" s="2841"/>
      <c r="J74" s="2871"/>
      <c r="K74" s="2846"/>
      <c r="L74" s="774"/>
    </row>
    <row r="75" spans="2:13" s="1172" customFormat="1">
      <c r="B75" s="1174"/>
      <c r="C75" s="3645" t="str">
        <f>C36</f>
        <v>Tariff V - Adjoining Central - Non Residential</v>
      </c>
      <c r="D75" s="2842">
        <f>E36*$E$21</f>
        <v>561.69286392795243</v>
      </c>
      <c r="E75" s="2841">
        <f t="shared" ref="E75:I75" si="13">D75*(1+E$47)</f>
        <v>542.41275637362548</v>
      </c>
      <c r="F75" s="2841">
        <f t="shared" si="13"/>
        <v>562.72140883694328</v>
      </c>
      <c r="G75" s="2841">
        <f t="shared" si="13"/>
        <v>583.79044416373438</v>
      </c>
      <c r="H75" s="2841">
        <f t="shared" si="13"/>
        <v>605.64833209614972</v>
      </c>
      <c r="I75" s="2841">
        <f t="shared" si="13"/>
        <v>628.32460832121762</v>
      </c>
      <c r="J75" s="2871"/>
      <c r="K75" s="2846"/>
      <c r="L75" s="774"/>
    </row>
    <row r="76" spans="2:13" s="1172" customFormat="1">
      <c r="B76" s="1174"/>
      <c r="C76" s="2870" t="s">
        <v>218</v>
      </c>
      <c r="D76" s="2842"/>
      <c r="E76" s="2841">
        <f t="shared" ref="E76" si="14">+E75-D75</f>
        <v>-19.280107554326946</v>
      </c>
      <c r="F76" s="2841">
        <f>+F75-E75</f>
        <v>20.308652463317799</v>
      </c>
      <c r="G76" s="2841">
        <f>+G75-F75</f>
        <v>21.069035326791095</v>
      </c>
      <c r="H76" s="2841">
        <f>+H75-G75</f>
        <v>21.857887932415338</v>
      </c>
      <c r="I76" s="2841">
        <f>+I75-H75</f>
        <v>22.676276225067909</v>
      </c>
      <c r="J76" s="2871">
        <f>+SUM(E76:I76)</f>
        <v>66.631744393265194</v>
      </c>
      <c r="K76" s="2846">
        <f t="shared" ref="K76" si="15">+AVERAGE(E76:I76)</f>
        <v>13.32634887865304</v>
      </c>
      <c r="L76" s="3649">
        <f>(I75/D75)^(1/5)-1</f>
        <v>2.2673570903528395E-2</v>
      </c>
    </row>
    <row r="77" spans="2:13" s="1172" customFormat="1">
      <c r="B77" s="1174"/>
      <c r="C77" s="2872"/>
      <c r="D77" s="2842"/>
      <c r="E77" s="2841"/>
      <c r="F77" s="2841"/>
      <c r="G77" s="2841"/>
      <c r="H77" s="2841"/>
      <c r="I77" s="2841"/>
      <c r="J77" s="2871"/>
      <c r="K77" s="2846"/>
      <c r="L77" s="774"/>
    </row>
    <row r="78" spans="2:13" s="1172" customFormat="1">
      <c r="B78" s="1174"/>
      <c r="C78" s="3645" t="str">
        <f>C37</f>
        <v>Tariff V - Adjoining West - Non Residential</v>
      </c>
      <c r="D78" s="2842">
        <f>E37*$E$21</f>
        <v>641.11188713162744</v>
      </c>
      <c r="E78" s="2841">
        <f t="shared" ref="E78:I78" si="16">D78*(1+E$47)</f>
        <v>619.10572160583433</v>
      </c>
      <c r="F78" s="2841">
        <f t="shared" si="16"/>
        <v>642.28586032934879</v>
      </c>
      <c r="G78" s="2841">
        <f t="shared" si="16"/>
        <v>666.33389416752584</v>
      </c>
      <c r="H78" s="2841">
        <f t="shared" si="16"/>
        <v>691.2823182636879</v>
      </c>
      <c r="I78" s="2841">
        <f t="shared" si="16"/>
        <v>717.16484442238959</v>
      </c>
      <c r="J78" s="2871"/>
      <c r="K78" s="2846"/>
      <c r="L78" s="774"/>
    </row>
    <row r="79" spans="2:13" s="1172" customFormat="1">
      <c r="B79" s="1174"/>
      <c r="C79" s="2870" t="s">
        <v>218</v>
      </c>
      <c r="D79" s="2842"/>
      <c r="E79" s="2841">
        <f t="shared" ref="E79" si="17">+E78-D78</f>
        <v>-22.006165525793108</v>
      </c>
      <c r="F79" s="2841">
        <f>+F78-E78</f>
        <v>23.18013872351446</v>
      </c>
      <c r="G79" s="2841">
        <f>+G78-F78</f>
        <v>24.048033838177048</v>
      </c>
      <c r="H79" s="2841">
        <f>+H78-G78</f>
        <v>24.948424096162057</v>
      </c>
      <c r="I79" s="2841">
        <f>+I78-H78</f>
        <v>25.882526158701694</v>
      </c>
      <c r="J79" s="2871">
        <f>+SUM(E79:I79)</f>
        <v>76.052957290762151</v>
      </c>
      <c r="K79" s="2846">
        <f t="shared" ref="K79" si="18">+AVERAGE(E79:I79)</f>
        <v>15.210591458152431</v>
      </c>
      <c r="L79" s="3649">
        <f>(I78/D78)^(1/5)-1</f>
        <v>2.2673570903528395E-2</v>
      </c>
    </row>
    <row r="80" spans="2:13">
      <c r="B80" s="1174"/>
      <c r="C80" s="2872"/>
      <c r="D80" s="2850"/>
      <c r="E80" s="2843"/>
      <c r="F80" s="2843"/>
      <c r="G80" s="2843"/>
      <c r="H80" s="2843"/>
      <c r="I80" s="2843"/>
      <c r="J80" s="2873"/>
      <c r="K80" s="2844"/>
      <c r="L80" s="3646"/>
      <c r="M80" s="1172"/>
    </row>
    <row r="81" spans="2:13">
      <c r="B81" s="1174"/>
      <c r="C81" s="2874" t="str">
        <f>+C38</f>
        <v>Tariff M</v>
      </c>
      <c r="D81" s="2846">
        <f>E38*$E$21</f>
        <v>2294.2921499980689</v>
      </c>
      <c r="E81" s="2845">
        <f>D81*(1+E$47)</f>
        <v>2215.5405719493851</v>
      </c>
      <c r="F81" s="2845">
        <f t="shared" ref="F81:I81" si="19">E81*(1+F$47)</f>
        <v>2298.4933472397715</v>
      </c>
      <c r="G81" s="2845">
        <f t="shared" si="19"/>
        <v>2384.5519843751172</v>
      </c>
      <c r="H81" s="2845">
        <f t="shared" si="19"/>
        <v>2473.8327709391256</v>
      </c>
      <c r="I81" s="2845">
        <f t="shared" si="19"/>
        <v>2566.45634847675</v>
      </c>
      <c r="J81" s="2875"/>
      <c r="K81" s="2846"/>
      <c r="L81" s="774"/>
      <c r="M81" s="1172"/>
    </row>
    <row r="82" spans="2:13">
      <c r="B82" s="1174"/>
      <c r="C82" s="2870" t="s">
        <v>218</v>
      </c>
      <c r="D82" s="2842"/>
      <c r="E82" s="2841">
        <f t="shared" ref="E82" si="20">+E81-D81</f>
        <v>-78.751578048683768</v>
      </c>
      <c r="F82" s="2841">
        <f>+F81-E81</f>
        <v>82.952775290386398</v>
      </c>
      <c r="G82" s="2841">
        <f>+G81-F81</f>
        <v>86.058637135345634</v>
      </c>
      <c r="H82" s="2841">
        <f>+H81-G81</f>
        <v>89.280786564008395</v>
      </c>
      <c r="I82" s="2841">
        <f>+I81-H81</f>
        <v>92.623577537624442</v>
      </c>
      <c r="J82" s="2871">
        <f>+SUM(E82:I82)</f>
        <v>272.1641984786811</v>
      </c>
      <c r="K82" s="2846">
        <f t="shared" ref="K82" si="21">+AVERAGE(E82:I82)</f>
        <v>54.43283969573622</v>
      </c>
      <c r="L82" s="3649">
        <f>(I81/D81)^(1/5)-1</f>
        <v>2.2673570903528395E-2</v>
      </c>
      <c r="M82" s="1172"/>
    </row>
    <row r="83" spans="2:13">
      <c r="B83" s="1174"/>
      <c r="C83" s="2872"/>
      <c r="D83" s="2850"/>
      <c r="E83" s="2843"/>
      <c r="F83" s="2843"/>
      <c r="G83" s="2843"/>
      <c r="H83" s="2843"/>
      <c r="I83" s="2843"/>
      <c r="J83" s="2873"/>
      <c r="K83" s="2844"/>
      <c r="L83" s="3646"/>
      <c r="M83" s="1172"/>
    </row>
    <row r="84" spans="2:13">
      <c r="B84" s="1174"/>
      <c r="C84" s="2874" t="str">
        <f>+C39</f>
        <v>Tariff D</v>
      </c>
      <c r="D84" s="2846">
        <f>E39*$E$21</f>
        <v>3052.771231217328</v>
      </c>
      <c r="E84" s="2845">
        <f>D84*(1+E$47)</f>
        <v>2947.9848587057932</v>
      </c>
      <c r="F84" s="2845">
        <f t="shared" ref="F84:I84" si="22">E84*(1+F$47)</f>
        <v>3058.3613188075897</v>
      </c>
      <c r="G84" s="2845">
        <f t="shared" si="22"/>
        <v>3172.8704198585501</v>
      </c>
      <c r="H84" s="2845">
        <f t="shared" si="22"/>
        <v>3291.6668934128393</v>
      </c>
      <c r="I84" s="2845">
        <f t="shared" si="22"/>
        <v>3414.9112643790763</v>
      </c>
      <c r="J84" s="2875"/>
      <c r="K84" s="2846"/>
      <c r="L84" s="774"/>
      <c r="M84" s="1172"/>
    </row>
    <row r="85" spans="2:13" ht="13.5" thickBot="1">
      <c r="B85" s="1174"/>
      <c r="C85" s="2876" t="s">
        <v>218</v>
      </c>
      <c r="D85" s="2848"/>
      <c r="E85" s="2847">
        <f t="shared" ref="E85" si="23">+E84-D84</f>
        <v>-104.78637251153486</v>
      </c>
      <c r="F85" s="2847">
        <f>+F84-E84</f>
        <v>110.37646010179651</v>
      </c>
      <c r="G85" s="2847">
        <f>+G84-F84</f>
        <v>114.50910105096045</v>
      </c>
      <c r="H85" s="2847">
        <f>+H84-G84</f>
        <v>118.79647355428915</v>
      </c>
      <c r="I85" s="2847">
        <f>+I84-H84</f>
        <v>123.24437096623706</v>
      </c>
      <c r="J85" s="2877">
        <f>+SUM(E85:I85)</f>
        <v>362.14003316174831</v>
      </c>
      <c r="K85" s="2851">
        <f t="shared" ref="K85" si="24">+AVERAGE(E85:I85)</f>
        <v>72.428006632349664</v>
      </c>
      <c r="L85" s="3652">
        <f>(I84/D84)^(1/5)-1</f>
        <v>2.2673570903528395E-2</v>
      </c>
      <c r="M85" s="1172"/>
    </row>
    <row r="86" spans="2:13">
      <c r="B86" s="1172"/>
      <c r="C86" s="1172"/>
      <c r="D86" s="1174"/>
      <c r="E86" s="1174"/>
      <c r="F86" s="1174"/>
      <c r="G86" s="1174"/>
      <c r="H86" s="1174"/>
      <c r="I86" s="1174"/>
      <c r="J86" s="1174"/>
      <c r="K86" s="1172"/>
      <c r="L86" s="1172"/>
      <c r="M86" s="1172"/>
    </row>
    <row r="87" spans="2:13">
      <c r="B87" s="1172"/>
      <c r="C87" s="1172"/>
      <c r="D87" s="1174"/>
      <c r="E87" s="1174"/>
      <c r="F87" s="1174"/>
      <c r="G87" s="1174"/>
      <c r="H87" s="1174"/>
      <c r="I87" s="1174"/>
      <c r="J87" s="1174"/>
      <c r="K87" s="1172"/>
      <c r="L87" s="1172"/>
      <c r="M87" s="1172"/>
    </row>
    <row r="88" spans="2:13">
      <c r="B88" s="1172"/>
      <c r="C88" s="1172"/>
      <c r="D88" s="1174"/>
      <c r="E88" s="1174"/>
      <c r="F88" s="1174"/>
      <c r="G88" s="1174"/>
      <c r="H88" s="1174"/>
      <c r="I88" s="1174"/>
      <c r="J88" s="1174"/>
      <c r="K88" s="1172"/>
      <c r="L88" s="1172"/>
      <c r="M88" s="1172"/>
    </row>
  </sheetData>
  <mergeCells count="7">
    <mergeCell ref="C8:H8"/>
    <mergeCell ref="D51:J51"/>
    <mergeCell ref="K51:K52"/>
    <mergeCell ref="L51:L52"/>
    <mergeCell ref="D67:J67"/>
    <mergeCell ref="K67:K68"/>
    <mergeCell ref="L67:L68"/>
  </mergeCells>
  <hyperlinks>
    <hyperlink ref="D22" r:id="rId1"/>
  </hyperlinks>
  <pageMargins left="0.7" right="0.7" top="0.75" bottom="0.75" header="0.3" footer="0.3"/>
  <pageSetup paperSize="9" orientation="portrait" r:id="rId2"/>
  <customProperties>
    <customPr name="_pios_id" r:id="rId3"/>
  </customProperties>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pageSetUpPr autoPageBreaks="0"/>
  </sheetPr>
  <dimension ref="A1:AD53"/>
  <sheetViews>
    <sheetView showGridLines="0" zoomScaleNormal="100" workbookViewId="0">
      <selection activeCell="E28" sqref="E28:E29"/>
    </sheetView>
  </sheetViews>
  <sheetFormatPr defaultColWidth="9.140625" defaultRowHeight="12.75"/>
  <cols>
    <col min="1" max="1" width="18.5703125" style="20" customWidth="1"/>
    <col min="2" max="2" width="64.85546875" style="20" bestFit="1" customWidth="1"/>
    <col min="3" max="3" width="24.42578125" style="20" customWidth="1"/>
    <col min="4" max="4" width="22.7109375" customWidth="1"/>
    <col min="5" max="5" width="14.28515625" customWidth="1"/>
    <col min="6" max="30" width="8.7109375" customWidth="1"/>
    <col min="31" max="16384" width="9.140625" style="20"/>
  </cols>
  <sheetData>
    <row r="1" spans="1:30" s="177" customFormat="1" ht="24" customHeight="1">
      <c r="B1" s="2522" t="str">
        <f>IF(dms_DataQuality="backcast",INDEX(dms_Worksheet_List,MATCH(dms_Model,dms_Model_List))&amp;" BACKCAST",INDEX(dms_Worksheet_List,MATCH(dms_Model,dms_Model_List)))</f>
        <v>REGULATORY REPORTING STATEMENT</v>
      </c>
      <c r="C1" s="491"/>
      <c r="D1" s="491"/>
      <c r="E1" s="491"/>
      <c r="F1"/>
      <c r="G1"/>
      <c r="H1"/>
      <c r="I1"/>
      <c r="J1"/>
      <c r="K1"/>
      <c r="L1"/>
      <c r="M1"/>
      <c r="N1"/>
      <c r="O1"/>
      <c r="P1"/>
      <c r="Q1"/>
      <c r="R1"/>
      <c r="S1"/>
      <c r="T1"/>
      <c r="U1"/>
      <c r="V1"/>
      <c r="W1"/>
      <c r="X1"/>
      <c r="Y1"/>
      <c r="Z1"/>
      <c r="AA1"/>
      <c r="AB1"/>
      <c r="AC1"/>
      <c r="AD1"/>
    </row>
    <row r="2" spans="1:30" s="177" customFormat="1" ht="24" customHeight="1">
      <c r="B2" s="2526" t="str">
        <f>INDEX(dms_TradingNameFull_List,MATCH(dms_TradingName,dms_TradingName_List))</f>
        <v>AusNet Gas Services</v>
      </c>
      <c r="C2" s="180"/>
      <c r="D2" s="1173"/>
      <c r="E2" s="1173"/>
      <c r="F2"/>
      <c r="G2"/>
      <c r="H2"/>
      <c r="I2"/>
      <c r="J2"/>
      <c r="K2"/>
      <c r="L2"/>
      <c r="M2"/>
      <c r="N2"/>
      <c r="O2"/>
      <c r="P2"/>
      <c r="Q2"/>
      <c r="R2"/>
      <c r="S2"/>
      <c r="T2"/>
      <c r="U2"/>
      <c r="V2"/>
      <c r="W2"/>
      <c r="X2"/>
      <c r="Y2"/>
      <c r="Z2"/>
      <c r="AA2"/>
      <c r="AB2"/>
      <c r="AC2"/>
      <c r="AD2"/>
    </row>
    <row r="3" spans="1:30" s="177" customFormat="1" ht="24" customHeight="1">
      <c r="B3" s="2526" t="str">
        <f ca="1">IF(SUM(dms_SingleYear_Model)&gt;0,CRY,CONCATENATE(FRCP_y1," to ",dms_MultiYear_FinalYear_Result))</f>
        <v>2018 to 2022</v>
      </c>
      <c r="C3" s="181"/>
      <c r="D3" s="1171"/>
      <c r="E3" s="1171"/>
      <c r="F3"/>
      <c r="G3"/>
      <c r="H3"/>
      <c r="I3"/>
      <c r="J3"/>
      <c r="K3"/>
      <c r="L3"/>
      <c r="M3"/>
      <c r="N3"/>
      <c r="O3"/>
      <c r="P3"/>
      <c r="Q3"/>
      <c r="R3"/>
      <c r="S3"/>
      <c r="T3"/>
      <c r="U3"/>
      <c r="V3"/>
      <c r="W3"/>
      <c r="X3"/>
      <c r="Y3"/>
      <c r="Z3"/>
      <c r="AA3"/>
      <c r="AB3"/>
      <c r="AC3"/>
      <c r="AD3"/>
    </row>
    <row r="4" spans="1:30" s="159" customFormat="1" ht="24" customHeight="1">
      <c r="B4" s="10" t="s">
        <v>362</v>
      </c>
      <c r="C4" s="12"/>
      <c r="D4" s="12"/>
      <c r="E4" s="12"/>
      <c r="F4"/>
      <c r="G4"/>
      <c r="H4"/>
      <c r="I4"/>
      <c r="J4"/>
      <c r="K4"/>
      <c r="L4"/>
      <c r="M4"/>
      <c r="N4"/>
      <c r="O4"/>
      <c r="P4"/>
      <c r="Q4"/>
      <c r="R4"/>
      <c r="S4"/>
      <c r="T4"/>
      <c r="U4"/>
      <c r="V4"/>
      <c r="W4"/>
      <c r="X4"/>
      <c r="Y4"/>
      <c r="Z4"/>
      <c r="AA4"/>
      <c r="AB4"/>
      <c r="AC4"/>
      <c r="AD4"/>
    </row>
    <row r="5" spans="1:30">
      <c r="A5" s="360"/>
      <c r="B5" s="881"/>
      <c r="C5" s="881"/>
      <c r="D5" s="1174"/>
      <c r="E5" s="1174"/>
    </row>
    <row r="6" spans="1:30">
      <c r="A6" s="571"/>
      <c r="B6" s="881"/>
      <c r="C6" s="881"/>
      <c r="D6" s="1174"/>
      <c r="E6" s="1174"/>
    </row>
    <row r="7" spans="1:30">
      <c r="A7" s="571"/>
      <c r="B7" s="67" t="s">
        <v>59</v>
      </c>
      <c r="C7" s="66"/>
    </row>
    <row r="8" spans="1:30" s="810" customFormat="1" ht="27" customHeight="1">
      <c r="A8" s="809"/>
      <c r="B8" s="4384" t="s">
        <v>374</v>
      </c>
      <c r="C8" s="4384"/>
      <c r="D8"/>
      <c r="E8"/>
      <c r="F8"/>
      <c r="G8"/>
      <c r="H8"/>
      <c r="I8"/>
      <c r="J8"/>
      <c r="K8"/>
      <c r="L8"/>
      <c r="M8"/>
      <c r="N8"/>
      <c r="O8"/>
      <c r="P8"/>
      <c r="Q8"/>
      <c r="R8"/>
      <c r="S8"/>
      <c r="T8"/>
      <c r="U8"/>
      <c r="V8"/>
      <c r="W8"/>
      <c r="X8"/>
      <c r="Y8"/>
      <c r="Z8"/>
      <c r="AA8"/>
      <c r="AB8"/>
      <c r="AC8"/>
      <c r="AD8"/>
    </row>
    <row r="9" spans="1:30" ht="29.25" customHeight="1">
      <c r="A9" s="571"/>
      <c r="B9" s="4089" t="str">
        <f>CONCATENATE("Where ",dms_TradingName," intends to apply the Rate of return guideline, in tables 22.1 to 22.4 enter the relevant value or formula used for each item.")</f>
        <v>Where AusNet (Gas) intends to apply the Rate of return guideline, in tables 22.1 to 22.4 enter the relevant value or formula used for each item.</v>
      </c>
      <c r="C9" s="4089"/>
    </row>
    <row r="10" spans="1:30" ht="29.25" customHeight="1">
      <c r="A10" s="571"/>
      <c r="B10" s="4089" t="str">
        <f>CONCATENATE("Where ", dms_TradingName," does not intend to apply the Rate of return guideline, ", dms_TradingName," should provide a separate model, which shows the build-up of its forecast rate of return.")</f>
        <v>Where AusNet (Gas) does not intend to apply the Rate of return guideline, AusNet (Gas) should provide a separate model, which shows the build-up of its forecast rate of return.</v>
      </c>
      <c r="C10" s="4089"/>
    </row>
    <row r="11" spans="1:30" ht="33" customHeight="1">
      <c r="A11" s="571"/>
    </row>
    <row r="12" spans="1:30" s="136" customFormat="1" ht="18.75" thickBot="1">
      <c r="A12" s="1174"/>
      <c r="B12" s="804" t="s">
        <v>511</v>
      </c>
      <c r="C12" s="805"/>
      <c r="D12" s="1172"/>
      <c r="E12" s="1172"/>
      <c r="F12" s="1172"/>
      <c r="G12" s="1172"/>
      <c r="H12" s="1172"/>
      <c r="I12" s="1172"/>
      <c r="J12" s="1172"/>
      <c r="K12" s="1172"/>
      <c r="L12" s="1172"/>
      <c r="M12" s="1172"/>
      <c r="N12" s="1172"/>
      <c r="O12" s="1172"/>
      <c r="P12" s="1172"/>
      <c r="Q12" s="1172"/>
      <c r="R12" s="1172"/>
      <c r="S12" s="1172"/>
      <c r="T12" s="1172"/>
      <c r="U12" s="1172"/>
      <c r="V12" s="1172"/>
      <c r="W12" s="1172"/>
      <c r="X12" s="1172"/>
      <c r="Y12" s="1172"/>
      <c r="Z12" s="1172"/>
      <c r="AA12" s="1172"/>
      <c r="AB12" s="1172"/>
      <c r="AC12" s="1172"/>
      <c r="AD12" s="1172"/>
    </row>
    <row r="13" spans="1:30" s="96" customFormat="1" ht="18.75" thickBot="1">
      <c r="A13" s="696"/>
      <c r="B13" s="1258" t="s">
        <v>372</v>
      </c>
      <c r="C13" s="1282"/>
      <c r="D13"/>
      <c r="E13"/>
      <c r="F13"/>
      <c r="G13"/>
      <c r="H13"/>
      <c r="I13"/>
      <c r="J13"/>
      <c r="K13"/>
      <c r="L13"/>
      <c r="M13"/>
      <c r="N13"/>
      <c r="O13"/>
      <c r="P13"/>
      <c r="Q13"/>
      <c r="R13"/>
      <c r="S13"/>
      <c r="T13"/>
      <c r="U13"/>
      <c r="V13"/>
      <c r="W13"/>
      <c r="X13"/>
      <c r="Y13"/>
      <c r="Z13"/>
      <c r="AA13"/>
      <c r="AB13"/>
      <c r="AC13"/>
      <c r="AD13"/>
    </row>
    <row r="14" spans="1:30">
      <c r="A14" s="571"/>
      <c r="B14" s="806" t="s">
        <v>1385</v>
      </c>
      <c r="C14" s="3451" t="s">
        <v>2107</v>
      </c>
    </row>
    <row r="15" spans="1:30">
      <c r="A15" s="571"/>
      <c r="B15" s="2765"/>
      <c r="C15" s="2766"/>
    </row>
    <row r="16" spans="1:30">
      <c r="A16" s="571"/>
      <c r="B16" s="2765" t="s">
        <v>1394</v>
      </c>
      <c r="C16" s="3877"/>
    </row>
    <row r="17" spans="1:30">
      <c r="A17" s="571"/>
      <c r="B17" s="807" t="s">
        <v>39</v>
      </c>
      <c r="C17" s="3452">
        <v>2.0373381869359598E-2</v>
      </c>
    </row>
    <row r="18" spans="1:30">
      <c r="A18" s="571"/>
      <c r="B18" s="807" t="s">
        <v>133</v>
      </c>
      <c r="C18" s="811">
        <v>10</v>
      </c>
    </row>
    <row r="19" spans="1:30">
      <c r="A19" s="571"/>
      <c r="B19" s="807" t="s">
        <v>40</v>
      </c>
      <c r="C19" s="3452">
        <v>1.6500000000000001E-2</v>
      </c>
    </row>
    <row r="20" spans="1:30">
      <c r="A20" s="571"/>
      <c r="B20" s="807" t="s">
        <v>42</v>
      </c>
      <c r="C20" s="3637">
        <v>7.4999999999999997E-2</v>
      </c>
    </row>
    <row r="21" spans="1:30">
      <c r="A21" s="571"/>
      <c r="B21" s="807" t="s">
        <v>71</v>
      </c>
      <c r="C21" s="3637">
        <v>0.7</v>
      </c>
    </row>
    <row r="22" spans="1:30" s="96" customFormat="1" ht="13.5" thickBot="1">
      <c r="A22" s="696"/>
      <c r="B22" s="808" t="s">
        <v>1393</v>
      </c>
      <c r="C22" s="3638">
        <v>5.2499999999999998E-2</v>
      </c>
      <c r="D22"/>
      <c r="E22"/>
      <c r="F22"/>
      <c r="G22"/>
      <c r="H22"/>
      <c r="I22"/>
      <c r="J22"/>
      <c r="K22"/>
      <c r="L22"/>
      <c r="M22"/>
      <c r="N22"/>
      <c r="O22"/>
      <c r="P22"/>
      <c r="Q22"/>
      <c r="R22"/>
      <c r="S22"/>
      <c r="T22"/>
      <c r="U22"/>
      <c r="V22"/>
      <c r="W22"/>
      <c r="X22"/>
      <c r="Y22"/>
      <c r="Z22"/>
      <c r="AA22"/>
      <c r="AB22"/>
      <c r="AC22"/>
      <c r="AD22"/>
    </row>
    <row r="23" spans="1:30" ht="16.5" thickBot="1">
      <c r="A23" s="571"/>
      <c r="B23" s="68"/>
    </row>
    <row r="24" spans="1:30" ht="18.75" thickBot="1">
      <c r="A24" s="571"/>
      <c r="B24" s="1258" t="s">
        <v>371</v>
      </c>
      <c r="C24" s="1282"/>
    </row>
    <row r="25" spans="1:30">
      <c r="A25" s="571"/>
      <c r="B25" s="2764" t="s">
        <v>1391</v>
      </c>
      <c r="C25" s="3451" t="s">
        <v>2107</v>
      </c>
    </row>
    <row r="26" spans="1:30">
      <c r="A26" s="571"/>
      <c r="B26" s="2764"/>
      <c r="C26" s="2766"/>
    </row>
    <row r="27" spans="1:30">
      <c r="A27" s="571"/>
      <c r="B27" s="2764" t="s">
        <v>1386</v>
      </c>
      <c r="C27" s="3877"/>
    </row>
    <row r="28" spans="1:30" s="96" customFormat="1">
      <c r="A28" s="696"/>
      <c r="B28" s="2764" t="s">
        <v>1387</v>
      </c>
      <c r="C28" s="3877"/>
      <c r="D28"/>
      <c r="E28"/>
      <c r="F28"/>
      <c r="G28"/>
      <c r="H28"/>
      <c r="I28"/>
      <c r="J28"/>
      <c r="K28"/>
      <c r="L28"/>
      <c r="M28"/>
      <c r="N28"/>
      <c r="O28"/>
      <c r="P28"/>
      <c r="Q28"/>
      <c r="R28"/>
      <c r="S28"/>
      <c r="T28"/>
      <c r="U28"/>
      <c r="V28"/>
      <c r="W28"/>
      <c r="X28"/>
      <c r="Y28"/>
      <c r="Z28"/>
      <c r="AA28"/>
      <c r="AB28"/>
      <c r="AC28"/>
      <c r="AD28"/>
    </row>
    <row r="29" spans="1:30">
      <c r="A29" s="571"/>
      <c r="B29" s="2764" t="s">
        <v>1388</v>
      </c>
      <c r="C29" s="3877"/>
    </row>
    <row r="30" spans="1:30">
      <c r="A30" s="571"/>
      <c r="B30" s="2764" t="s">
        <v>1389</v>
      </c>
      <c r="C30" s="3877"/>
    </row>
    <row r="31" spans="1:30" s="1178" customFormat="1">
      <c r="A31" s="881"/>
      <c r="B31" s="2764" t="s">
        <v>1390</v>
      </c>
      <c r="C31" s="3877"/>
      <c r="D31" s="1172"/>
      <c r="E31" s="1172"/>
      <c r="F31" s="1172"/>
      <c r="G31" s="1172"/>
      <c r="H31" s="1172"/>
      <c r="I31" s="1172"/>
      <c r="J31" s="1172"/>
      <c r="K31" s="1172"/>
      <c r="L31" s="1172"/>
      <c r="M31" s="1172"/>
      <c r="N31" s="1172"/>
      <c r="O31" s="1172"/>
      <c r="P31" s="1172"/>
      <c r="Q31" s="1172"/>
      <c r="R31" s="1172"/>
      <c r="S31" s="1172"/>
      <c r="T31" s="1172"/>
      <c r="U31" s="1172"/>
      <c r="V31" s="1172"/>
      <c r="W31" s="1172"/>
      <c r="X31" s="1172"/>
      <c r="Y31" s="1172"/>
      <c r="Z31" s="1172"/>
      <c r="AA31" s="1172"/>
      <c r="AB31" s="1172"/>
      <c r="AC31" s="1172"/>
      <c r="AD31" s="1172"/>
    </row>
    <row r="32" spans="1:30">
      <c r="A32" s="571"/>
      <c r="B32" s="807" t="s">
        <v>41</v>
      </c>
      <c r="C32" s="811" t="s">
        <v>2066</v>
      </c>
    </row>
    <row r="33" spans="1:30">
      <c r="A33" s="571"/>
      <c r="B33" s="807" t="s">
        <v>132</v>
      </c>
      <c r="C33" s="811">
        <v>10</v>
      </c>
    </row>
    <row r="34" spans="1:30" s="96" customFormat="1">
      <c r="A34" s="696"/>
      <c r="B34" s="2767" t="s">
        <v>1392</v>
      </c>
      <c r="C34" s="2768" t="s">
        <v>2067</v>
      </c>
      <c r="D34"/>
      <c r="E34"/>
      <c r="F34"/>
      <c r="G34"/>
      <c r="H34"/>
      <c r="I34"/>
      <c r="J34"/>
      <c r="K34"/>
      <c r="L34"/>
      <c r="M34"/>
      <c r="N34"/>
      <c r="O34"/>
      <c r="P34"/>
      <c r="Q34"/>
      <c r="R34"/>
      <c r="S34"/>
      <c r="T34"/>
      <c r="U34"/>
      <c r="V34"/>
      <c r="W34"/>
      <c r="X34"/>
      <c r="Y34"/>
      <c r="Z34"/>
      <c r="AA34"/>
      <c r="AB34"/>
      <c r="AC34"/>
      <c r="AD34"/>
    </row>
    <row r="35" spans="1:30" s="136" customFormat="1" ht="25.5">
      <c r="A35" s="1174"/>
      <c r="B35" s="2767" t="s">
        <v>2117</v>
      </c>
      <c r="C35" s="3758" t="s">
        <v>2116</v>
      </c>
      <c r="D35" s="1172"/>
      <c r="E35" s="1172"/>
      <c r="F35" s="1172"/>
      <c r="G35" s="1172"/>
      <c r="H35" s="1172"/>
      <c r="I35" s="1172"/>
      <c r="J35" s="1172"/>
      <c r="K35" s="1172"/>
      <c r="L35" s="1172"/>
      <c r="M35" s="1172"/>
      <c r="N35" s="1172"/>
      <c r="O35" s="1172"/>
      <c r="P35" s="1172"/>
      <c r="Q35" s="1172"/>
      <c r="R35" s="1172"/>
      <c r="S35" s="1172"/>
      <c r="T35" s="1172"/>
      <c r="U35" s="1172"/>
      <c r="V35" s="1172"/>
      <c r="W35" s="1172"/>
      <c r="X35" s="1172"/>
      <c r="Y35" s="1172"/>
      <c r="Z35" s="1172"/>
      <c r="AA35" s="1172"/>
      <c r="AB35" s="1172"/>
      <c r="AC35" s="1172"/>
      <c r="AD35" s="1172"/>
    </row>
    <row r="36" spans="1:30" s="136" customFormat="1" ht="15.75">
      <c r="A36" s="1174"/>
      <c r="B36" s="2767">
        <v>2019</v>
      </c>
      <c r="C36" s="3758" t="s">
        <v>2119</v>
      </c>
      <c r="D36" s="1172"/>
      <c r="E36" s="1172"/>
      <c r="F36" s="1172"/>
      <c r="G36" s="1172"/>
      <c r="H36" s="1172"/>
      <c r="I36" s="1172"/>
      <c r="J36" s="1172"/>
      <c r="K36" s="1172"/>
      <c r="L36" s="1172"/>
      <c r="M36" s="1172"/>
      <c r="N36" s="1172"/>
      <c r="O36" s="1172"/>
      <c r="P36" s="1172"/>
      <c r="Q36" s="1172"/>
      <c r="R36" s="1172"/>
      <c r="S36" s="1172"/>
      <c r="T36" s="1172"/>
      <c r="U36" s="1172"/>
      <c r="V36" s="1172"/>
      <c r="W36" s="1172"/>
      <c r="X36" s="1172"/>
      <c r="Y36" s="1172"/>
      <c r="Z36" s="1172"/>
      <c r="AA36" s="1172"/>
      <c r="AB36" s="1172"/>
      <c r="AC36" s="1172"/>
      <c r="AD36" s="1172"/>
    </row>
    <row r="37" spans="1:30" s="136" customFormat="1" ht="15.75">
      <c r="A37" s="1174"/>
      <c r="B37" s="2767">
        <v>2020</v>
      </c>
      <c r="C37" s="3758" t="s">
        <v>2118</v>
      </c>
      <c r="D37" s="1172"/>
      <c r="E37" s="1172"/>
      <c r="F37" s="1172"/>
      <c r="G37" s="1172"/>
      <c r="H37" s="1172"/>
      <c r="I37" s="1172"/>
      <c r="J37" s="1172"/>
      <c r="K37" s="1172"/>
      <c r="L37" s="1172"/>
      <c r="M37" s="1172"/>
      <c r="N37" s="1172"/>
      <c r="O37" s="1172"/>
      <c r="P37" s="1172"/>
      <c r="Q37" s="1172"/>
      <c r="R37" s="1172"/>
      <c r="S37" s="1172"/>
      <c r="T37" s="1172"/>
      <c r="U37" s="1172"/>
      <c r="V37" s="1172"/>
      <c r="W37" s="1172"/>
      <c r="X37" s="1172"/>
      <c r="Y37" s="1172"/>
      <c r="Z37" s="1172"/>
      <c r="AA37" s="1172"/>
      <c r="AB37" s="1172"/>
      <c r="AC37" s="1172"/>
      <c r="AD37" s="1172"/>
    </row>
    <row r="38" spans="1:30" s="136" customFormat="1" ht="15.75">
      <c r="A38" s="1174"/>
      <c r="B38" s="2767">
        <v>2021</v>
      </c>
      <c r="C38" s="3758" t="s">
        <v>2120</v>
      </c>
      <c r="D38" s="1172"/>
      <c r="E38" s="1172"/>
      <c r="F38" s="1172"/>
      <c r="G38" s="1172"/>
      <c r="H38" s="1172"/>
      <c r="I38" s="1172"/>
      <c r="J38" s="1172"/>
      <c r="K38" s="1172"/>
      <c r="L38" s="1172"/>
      <c r="M38" s="1172"/>
      <c r="N38" s="1172"/>
      <c r="O38" s="1172"/>
      <c r="P38" s="1172"/>
      <c r="Q38" s="1172"/>
      <c r="R38" s="1172"/>
      <c r="S38" s="1172"/>
      <c r="T38" s="1172"/>
      <c r="U38" s="1172"/>
      <c r="V38" s="1172"/>
      <c r="W38" s="1172"/>
      <c r="X38" s="1172"/>
      <c r="Y38" s="1172"/>
      <c r="Z38" s="1172"/>
      <c r="AA38" s="1172"/>
      <c r="AB38" s="1172"/>
      <c r="AC38" s="1172"/>
      <c r="AD38" s="1172"/>
    </row>
    <row r="39" spans="1:30" ht="16.5" thickBot="1">
      <c r="A39" s="571"/>
      <c r="B39" s="808">
        <v>2022</v>
      </c>
      <c r="C39" s="3638" t="s">
        <v>2121</v>
      </c>
      <c r="D39" s="1172"/>
    </row>
    <row r="40" spans="1:30" ht="13.5" thickBot="1">
      <c r="A40" s="571"/>
    </row>
    <row r="41" spans="1:30" ht="18.75" thickBot="1">
      <c r="A41" s="571"/>
      <c r="B41" s="1258" t="s">
        <v>373</v>
      </c>
      <c r="C41" s="1282"/>
    </row>
    <row r="42" spans="1:30">
      <c r="A42" s="571"/>
      <c r="B42" s="806" t="s">
        <v>43</v>
      </c>
      <c r="C42" s="3639">
        <v>0.3</v>
      </c>
    </row>
    <row r="43" spans="1:30">
      <c r="B43" s="807" t="s">
        <v>1403</v>
      </c>
      <c r="C43" s="3637">
        <v>0.25</v>
      </c>
    </row>
    <row r="44" spans="1:30" s="1178" customFormat="1" ht="13.5" thickBot="1">
      <c r="B44" s="808" t="s">
        <v>44</v>
      </c>
      <c r="C44" s="3638">
        <f>0.6/0.4</f>
        <v>1.4999999999999998</v>
      </c>
      <c r="D44" s="1172"/>
      <c r="E44" s="1172"/>
      <c r="F44" s="1172"/>
      <c r="G44" s="1172"/>
      <c r="H44" s="1172"/>
      <c r="I44" s="1172"/>
      <c r="J44" s="1172"/>
      <c r="K44" s="1172"/>
      <c r="L44" s="1172"/>
      <c r="M44" s="1172"/>
      <c r="N44" s="1172"/>
      <c r="O44" s="1172"/>
      <c r="P44" s="1172"/>
      <c r="Q44" s="1172"/>
      <c r="R44" s="1172"/>
      <c r="S44" s="1172"/>
      <c r="T44" s="1172"/>
      <c r="U44" s="1172"/>
      <c r="V44" s="1172"/>
      <c r="W44" s="1172"/>
      <c r="X44" s="1172"/>
      <c r="Y44" s="1172"/>
      <c r="Z44" s="1172"/>
      <c r="AA44" s="1172"/>
      <c r="AB44" s="1172"/>
      <c r="AC44" s="1172"/>
      <c r="AD44" s="1172"/>
    </row>
    <row r="45" spans="1:30" ht="13.5" thickBot="1">
      <c r="C45" s="3570"/>
    </row>
    <row r="46" spans="1:30" ht="18.75" thickBot="1">
      <c r="B46" s="1258" t="s">
        <v>626</v>
      </c>
      <c r="C46" s="1282"/>
    </row>
    <row r="47" spans="1:30">
      <c r="B47" s="806" t="s">
        <v>597</v>
      </c>
      <c r="C47" s="3640">
        <v>0.4345524973209049</v>
      </c>
    </row>
    <row r="48" spans="1:30" ht="13.5" thickBot="1">
      <c r="B48" s="808" t="s">
        <v>627</v>
      </c>
      <c r="C48" s="3641">
        <v>4.0985056114588589</v>
      </c>
    </row>
    <row r="49" spans="2:3" ht="13.5" thickBot="1">
      <c r="B49" s="571"/>
      <c r="C49" s="483"/>
    </row>
    <row r="50" spans="2:3" ht="18.75" thickBot="1">
      <c r="B50" s="2760" t="s">
        <v>1383</v>
      </c>
      <c r="C50" s="1282"/>
    </row>
    <row r="51" spans="2:3">
      <c r="B51" s="2759" t="s">
        <v>1401</v>
      </c>
      <c r="C51" s="3642">
        <f>ROUND(C17+(C20*C21),3)</f>
        <v>7.2999999999999995E-2</v>
      </c>
    </row>
    <row r="52" spans="2:3">
      <c r="B52" s="2761" t="s">
        <v>1402</v>
      </c>
      <c r="C52" s="3643">
        <v>4.5190000000000001E-2</v>
      </c>
    </row>
    <row r="53" spans="2:3" ht="13.5" thickBot="1">
      <c r="B53" s="808" t="s">
        <v>1384</v>
      </c>
      <c r="C53" s="3644">
        <f>0.6*C52+0.4*C51</f>
        <v>5.6314000000000003E-2</v>
      </c>
    </row>
  </sheetData>
  <mergeCells count="3">
    <mergeCell ref="B8:C8"/>
    <mergeCell ref="B9:C9"/>
    <mergeCell ref="B10:C10"/>
  </mergeCells>
  <phoneticPr fontId="13" type="noConversion"/>
  <pageMargins left="0.75" right="0.75" top="1" bottom="1" header="0.5" footer="0.5"/>
  <pageSetup paperSize="9" orientation="portrait" r:id="rId1"/>
  <headerFooter alignWithMargins="0"/>
  <customProperties>
    <customPr name="_pios_id" r:id="rId2"/>
  </customProperties>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autoPageBreaks="0"/>
  </sheetPr>
  <dimension ref="A1:AE122"/>
  <sheetViews>
    <sheetView showGridLines="0" topLeftCell="A16" zoomScale="60" zoomScaleNormal="60" workbookViewId="0">
      <selection activeCell="C60" sqref="C60:L60"/>
    </sheetView>
  </sheetViews>
  <sheetFormatPr defaultColWidth="9.140625" defaultRowHeight="20.100000000000001" customHeight="1" outlineLevelRow="1"/>
  <cols>
    <col min="1" max="1" width="22.42578125" style="95" customWidth="1"/>
    <col min="2" max="2" width="95.7109375" style="76" customWidth="1"/>
    <col min="3" max="3" width="15.7109375" style="76" customWidth="1"/>
    <col min="4" max="8" width="15.7109375" style="95" customWidth="1"/>
    <col min="9" max="9" width="16.42578125" style="95" bestFit="1" customWidth="1"/>
    <col min="10" max="11" width="16.7109375" style="95" bestFit="1" customWidth="1"/>
    <col min="12" max="12" width="17.7109375" style="95" customWidth="1"/>
    <col min="13" max="17" width="15.7109375" style="95" customWidth="1"/>
    <col min="18" max="18" width="13" customWidth="1"/>
    <col min="19" max="19" width="11.5703125" bestFit="1" customWidth="1"/>
    <col min="20" max="20" width="8.7109375"/>
    <col min="21" max="21" width="15.7109375" style="76" customWidth="1"/>
    <col min="22" max="26" width="15.7109375" style="1172" customWidth="1"/>
    <col min="27" max="27" width="12.5703125" style="1172" customWidth="1"/>
    <col min="28" max="28" width="13.140625" style="1172" customWidth="1"/>
    <col min="29" max="16384" width="9.140625" style="95"/>
  </cols>
  <sheetData>
    <row r="1" spans="1:28" s="177" customFormat="1" ht="23.1" customHeight="1">
      <c r="B1" s="2522" t="str">
        <f>IF(dms_DataQuality="backcast",INDEX(dms_Worksheet_List,MATCH(dms_Model,dms_Model_List))&amp;" BACKCAST",INDEX(dms_Worksheet_List,MATCH(dms_Model,dms_Model_List)))</f>
        <v>REGULATORY REPORTING STATEMENT</v>
      </c>
      <c r="C1" s="491"/>
      <c r="D1" s="491"/>
      <c r="E1" s="491"/>
      <c r="F1" s="491"/>
      <c r="G1" s="491"/>
      <c r="H1" s="491"/>
      <c r="I1" s="491"/>
      <c r="J1" s="491"/>
      <c r="K1" s="491"/>
      <c r="L1" s="491"/>
      <c r="M1" s="491"/>
      <c r="N1" s="491"/>
      <c r="O1" s="491"/>
      <c r="P1" s="491"/>
      <c r="Q1" s="491"/>
      <c r="R1" s="491"/>
      <c r="S1" s="491"/>
      <c r="T1" s="491"/>
      <c r="U1" s="491"/>
      <c r="V1" s="491"/>
      <c r="W1" s="491"/>
      <c r="X1" s="491"/>
      <c r="Y1" s="491"/>
      <c r="Z1" s="491"/>
      <c r="AA1" s="491"/>
      <c r="AB1" s="491"/>
    </row>
    <row r="2" spans="1:28" s="177" customFormat="1" ht="23.1" customHeight="1">
      <c r="B2" s="2526" t="str">
        <f>INDEX(dms_TradingNameFull_List,MATCH(dms_TradingName,dms_TradingName_List))</f>
        <v>AusNet Gas Services</v>
      </c>
      <c r="C2" s="180"/>
      <c r="D2" s="180"/>
      <c r="E2" s="180"/>
      <c r="F2" s="180"/>
      <c r="G2" s="180"/>
      <c r="H2" s="180"/>
      <c r="I2" s="180"/>
      <c r="J2" s="180"/>
      <c r="K2" s="180"/>
      <c r="L2" s="180"/>
      <c r="M2" s="180"/>
      <c r="N2" s="180"/>
      <c r="O2" s="180"/>
      <c r="P2" s="180"/>
      <c r="Q2" s="180"/>
      <c r="R2" s="1173"/>
      <c r="S2" s="1173"/>
      <c r="T2" s="1173"/>
      <c r="U2" s="1173"/>
      <c r="V2" s="1173"/>
      <c r="W2" s="1173"/>
      <c r="X2" s="1173"/>
      <c r="Y2" s="1173"/>
      <c r="Z2" s="1173"/>
      <c r="AA2" s="1173"/>
      <c r="AB2" s="1173"/>
    </row>
    <row r="3" spans="1:28" s="177" customFormat="1" ht="23.1" customHeight="1">
      <c r="B3" s="2526" t="str">
        <f ca="1">IF(SUM(dms_SingleYear_Model)&gt;0,CRY,CONCATENATE(FRCP_y1," to ",dms_MultiYear_FinalYear_Result))</f>
        <v>2018 to 2022</v>
      </c>
      <c r="C3" s="181"/>
      <c r="D3" s="181"/>
      <c r="E3" s="181"/>
      <c r="F3" s="181"/>
      <c r="G3" s="181"/>
      <c r="H3" s="181"/>
      <c r="I3" s="181"/>
      <c r="J3" s="181"/>
      <c r="K3" s="181"/>
      <c r="L3" s="181"/>
      <c r="M3" s="181"/>
      <c r="N3" s="181"/>
      <c r="O3" s="181"/>
      <c r="P3" s="181"/>
      <c r="Q3" s="181"/>
      <c r="R3" s="1171"/>
      <c r="S3" s="1171"/>
      <c r="T3" s="1171"/>
      <c r="U3" s="1171"/>
      <c r="V3" s="1171"/>
      <c r="W3" s="1171"/>
      <c r="X3" s="1171"/>
      <c r="Y3" s="1171"/>
      <c r="Z3" s="1171"/>
      <c r="AA3" s="1171"/>
      <c r="AB3" s="1171"/>
    </row>
    <row r="4" spans="1:28" s="1181" customFormat="1" ht="24" customHeight="1">
      <c r="B4" s="3" t="s">
        <v>465</v>
      </c>
      <c r="C4" s="4"/>
      <c r="D4" s="4"/>
      <c r="E4" s="4"/>
      <c r="F4" s="4"/>
      <c r="G4" s="4"/>
      <c r="H4" s="4"/>
      <c r="I4" s="4"/>
      <c r="J4" s="4"/>
      <c r="K4" s="4"/>
      <c r="L4" s="4"/>
      <c r="M4" s="4"/>
      <c r="N4" s="4"/>
      <c r="O4" s="4"/>
      <c r="P4" s="4"/>
      <c r="Q4" s="4"/>
      <c r="R4" s="4"/>
      <c r="S4" s="4"/>
      <c r="T4" s="4"/>
      <c r="U4" s="4"/>
      <c r="V4" s="4"/>
      <c r="W4" s="4"/>
      <c r="X4" s="4"/>
      <c r="Y4" s="4"/>
      <c r="Z4" s="4"/>
      <c r="AA4" s="4"/>
      <c r="AB4" s="4"/>
    </row>
    <row r="5" spans="1:28" customFormat="1" ht="36.75" customHeight="1"/>
    <row r="6" spans="1:28" s="96" customFormat="1" ht="25.5">
      <c r="A6" s="696"/>
      <c r="B6" s="116" t="s">
        <v>59</v>
      </c>
      <c r="C6" s="812"/>
      <c r="D6" s="812"/>
      <c r="E6" s="812"/>
      <c r="F6" s="812"/>
      <c r="G6" s="812"/>
      <c r="H6" s="812"/>
      <c r="I6" s="812"/>
      <c r="J6" s="812"/>
      <c r="K6" s="812"/>
      <c r="L6" s="812"/>
      <c r="M6" s="812"/>
      <c r="N6" s="812"/>
      <c r="O6" s="812"/>
      <c r="P6" s="812"/>
      <c r="Q6" s="812"/>
      <c r="R6"/>
      <c r="S6"/>
      <c r="T6"/>
      <c r="U6" s="812"/>
      <c r="V6" s="812"/>
      <c r="W6" s="812"/>
      <c r="X6" s="812"/>
      <c r="Y6" s="812"/>
      <c r="Z6" s="812"/>
      <c r="AA6" s="812"/>
      <c r="AB6" s="812"/>
    </row>
    <row r="7" spans="1:28" s="96" customFormat="1" ht="25.5">
      <c r="A7" s="696"/>
      <c r="B7" s="117" t="s">
        <v>6</v>
      </c>
      <c r="C7" s="812"/>
      <c r="D7" s="812"/>
      <c r="E7" s="812"/>
      <c r="F7" s="812"/>
      <c r="G7" s="812"/>
      <c r="H7" s="812"/>
      <c r="I7" s="812"/>
      <c r="J7" s="812"/>
      <c r="K7" s="812"/>
      <c r="L7" s="812"/>
      <c r="M7" s="812"/>
      <c r="N7" s="812"/>
      <c r="O7" s="812"/>
      <c r="P7" s="812"/>
      <c r="Q7" s="812"/>
      <c r="R7"/>
      <c r="S7"/>
      <c r="T7"/>
      <c r="U7" s="812"/>
      <c r="V7" s="812"/>
      <c r="W7" s="812"/>
      <c r="X7" s="812"/>
      <c r="Y7" s="812"/>
      <c r="Z7" s="812"/>
      <c r="AA7" s="812"/>
      <c r="AB7" s="812"/>
    </row>
    <row r="8" spans="1:28" s="100" customFormat="1" ht="25.5">
      <c r="A8" s="816"/>
      <c r="B8" s="102" t="s">
        <v>1396</v>
      </c>
      <c r="C8" s="812"/>
      <c r="D8" s="812"/>
      <c r="E8" s="812"/>
      <c r="F8" s="813"/>
      <c r="G8" s="813"/>
      <c r="H8" s="813"/>
      <c r="I8" s="813"/>
      <c r="J8" s="813"/>
      <c r="K8" s="813"/>
      <c r="L8" s="813"/>
      <c r="M8" s="813"/>
      <c r="N8" s="813"/>
      <c r="O8" s="813"/>
      <c r="P8" s="813"/>
      <c r="Q8" s="813"/>
      <c r="R8"/>
      <c r="S8"/>
      <c r="T8"/>
      <c r="U8" s="812"/>
      <c r="V8" s="812"/>
      <c r="W8" s="812"/>
      <c r="X8" s="813"/>
      <c r="Y8" s="813"/>
      <c r="Z8" s="813"/>
      <c r="AA8" s="813"/>
      <c r="AB8" s="813"/>
    </row>
    <row r="9" spans="1:28" s="100" customFormat="1" ht="33" customHeight="1">
      <c r="A9" s="816"/>
      <c r="B9" s="102" t="s">
        <v>454</v>
      </c>
      <c r="C9" s="812"/>
      <c r="D9" s="812"/>
      <c r="E9" s="1322"/>
      <c r="F9" s="813"/>
      <c r="G9" s="813"/>
      <c r="H9" s="813"/>
      <c r="I9" s="813"/>
      <c r="J9" s="813"/>
      <c r="K9" s="813"/>
      <c r="L9" s="813"/>
      <c r="M9" s="813"/>
      <c r="N9" s="813"/>
      <c r="O9" s="813"/>
      <c r="P9" s="813"/>
      <c r="Q9" s="813"/>
      <c r="R9"/>
      <c r="S9"/>
      <c r="T9"/>
      <c r="U9" s="812"/>
      <c r="V9" s="812"/>
      <c r="W9" s="1322"/>
      <c r="X9" s="813"/>
      <c r="Y9" s="813"/>
      <c r="Z9" s="813"/>
      <c r="AA9" s="813"/>
      <c r="AB9" s="813"/>
    </row>
    <row r="10" spans="1:28" s="100" customFormat="1" ht="33" customHeight="1">
      <c r="A10" s="816"/>
      <c r="B10" s="102" t="str">
        <f>CONCATENATE("If ",dms_TradingName," intends to treat expenditure on meter replacement as operating expenditure, separate meter replacement expenditure into new and refurbished.")</f>
        <v>If AusNet (Gas) intends to treat expenditure on meter replacement as operating expenditure, separate meter replacement expenditure into new and refurbished.</v>
      </c>
      <c r="C10" s="812"/>
      <c r="D10" s="812"/>
      <c r="E10" s="812"/>
      <c r="F10" s="813"/>
      <c r="G10" s="813"/>
      <c r="H10" s="813"/>
      <c r="I10" s="813"/>
      <c r="J10" s="813"/>
      <c r="K10" s="813"/>
      <c r="L10" s="813"/>
      <c r="M10" s="813"/>
      <c r="N10" s="813"/>
      <c r="O10" s="813"/>
      <c r="P10" s="813"/>
      <c r="Q10" s="813"/>
      <c r="R10"/>
      <c r="S10"/>
      <c r="T10"/>
      <c r="U10" s="812"/>
      <c r="V10" s="812"/>
      <c r="W10" s="812"/>
      <c r="X10" s="813"/>
      <c r="Y10" s="813"/>
      <c r="Z10" s="813"/>
      <c r="AA10" s="813"/>
      <c r="AB10" s="813"/>
    </row>
    <row r="11" spans="1:28" s="100" customFormat="1" ht="20.100000000000001" customHeight="1">
      <c r="A11" s="816"/>
      <c r="B11" s="102" t="s">
        <v>466</v>
      </c>
      <c r="C11" s="813"/>
      <c r="D11" s="813"/>
      <c r="E11" s="813"/>
      <c r="F11" s="813"/>
      <c r="G11" s="813"/>
      <c r="H11" s="813"/>
      <c r="I11" s="813"/>
      <c r="J11" s="813"/>
      <c r="K11" s="813"/>
      <c r="L11" s="813"/>
      <c r="M11" s="813"/>
      <c r="N11" s="813"/>
      <c r="O11" s="813"/>
      <c r="P11" s="813"/>
      <c r="Q11" s="813"/>
      <c r="R11"/>
      <c r="S11"/>
      <c r="T11"/>
      <c r="U11" s="813"/>
      <c r="V11" s="813"/>
      <c r="W11" s="813"/>
      <c r="X11" s="813"/>
      <c r="Y11" s="813"/>
      <c r="Z11" s="813"/>
      <c r="AA11" s="813"/>
      <c r="AB11" s="813"/>
    </row>
    <row r="12" spans="1:28" s="100" customFormat="1" ht="20.100000000000001" customHeight="1">
      <c r="A12" s="816"/>
      <c r="B12" s="102"/>
      <c r="C12" s="812"/>
      <c r="D12" s="812"/>
      <c r="E12" s="812"/>
      <c r="F12" s="813"/>
      <c r="G12" s="813"/>
      <c r="H12" s="813"/>
      <c r="I12" s="813"/>
      <c r="J12" s="813"/>
      <c r="K12" s="813"/>
      <c r="L12" s="813"/>
      <c r="M12" s="813"/>
      <c r="N12" s="813"/>
      <c r="O12" s="813"/>
      <c r="P12" s="813"/>
      <c r="Q12" s="813"/>
      <c r="R12"/>
      <c r="S12"/>
      <c r="T12"/>
      <c r="U12" s="812"/>
      <c r="V12" s="812"/>
      <c r="W12" s="812"/>
      <c r="X12" s="813"/>
      <c r="Y12" s="813"/>
      <c r="Z12" s="813"/>
      <c r="AA12" s="813"/>
      <c r="AB12" s="813"/>
    </row>
    <row r="13" spans="1:28" s="96" customFormat="1" ht="20.100000000000001" customHeight="1">
      <c r="A13" s="741"/>
      <c r="B13" s="97"/>
      <c r="C13" s="741"/>
      <c r="D13" s="741"/>
      <c r="E13" s="741"/>
      <c r="F13" s="812"/>
      <c r="G13" s="741"/>
      <c r="H13" s="741"/>
      <c r="I13" s="741"/>
      <c r="J13" s="741"/>
      <c r="K13" s="741"/>
      <c r="L13" s="741"/>
      <c r="M13" s="812"/>
      <c r="N13" s="812"/>
      <c r="O13" s="812"/>
      <c r="P13" s="812"/>
      <c r="Q13" s="812"/>
      <c r="R13"/>
      <c r="S13"/>
      <c r="T13"/>
      <c r="U13" s="881"/>
      <c r="V13" s="881"/>
      <c r="W13" s="881"/>
      <c r="X13" s="812"/>
      <c r="Y13" s="881"/>
      <c r="Z13" s="881"/>
      <c r="AA13" s="881"/>
      <c r="AB13" s="881"/>
    </row>
    <row r="14" spans="1:28" s="69" customFormat="1" ht="20.100000000000001" customHeight="1" thickBot="1">
      <c r="A14" s="361"/>
      <c r="C14" s="361"/>
      <c r="D14" s="361"/>
      <c r="E14" s="361"/>
      <c r="F14" s="361"/>
      <c r="G14" s="361"/>
      <c r="H14" s="361"/>
      <c r="I14" s="361"/>
      <c r="J14" s="361"/>
      <c r="K14" s="361"/>
      <c r="L14" s="361"/>
      <c r="M14" s="361"/>
      <c r="N14" s="361"/>
      <c r="O14" s="361"/>
      <c r="P14" s="361"/>
      <c r="Q14" s="361"/>
      <c r="R14"/>
      <c r="S14"/>
      <c r="T14"/>
      <c r="U14" s="1174"/>
      <c r="V14" s="1174"/>
      <c r="W14" s="1174"/>
      <c r="X14" s="1174"/>
      <c r="Y14" s="1174"/>
      <c r="Z14" s="1174"/>
      <c r="AA14" s="1174"/>
      <c r="AB14" s="1174"/>
    </row>
    <row r="15" spans="1:28" s="136" customFormat="1" ht="27.75" customHeight="1" thickBot="1">
      <c r="A15" s="1174"/>
      <c r="B15" s="815" t="s">
        <v>512</v>
      </c>
      <c r="C15" s="830"/>
      <c r="D15" s="830"/>
      <c r="E15" s="830"/>
      <c r="F15" s="830"/>
      <c r="G15" s="830"/>
      <c r="H15" s="830"/>
      <c r="I15" s="830"/>
      <c r="J15" s="830"/>
      <c r="K15" s="830"/>
      <c r="L15" s="830"/>
      <c r="M15" s="830"/>
      <c r="N15" s="830"/>
      <c r="O15" s="830"/>
      <c r="P15" s="830"/>
      <c r="Q15" s="831"/>
      <c r="R15"/>
      <c r="S15" s="1174"/>
      <c r="U15" s="735" t="s">
        <v>642</v>
      </c>
      <c r="V15" s="830"/>
      <c r="W15" s="830"/>
      <c r="X15" s="830"/>
      <c r="Y15" s="830"/>
      <c r="Z15" s="830"/>
      <c r="AA15" s="830"/>
      <c r="AB15" s="831"/>
    </row>
    <row r="16" spans="1:28" s="136" customFormat="1" ht="29.25" customHeight="1" thickBot="1">
      <c r="A16" s="1174"/>
      <c r="B16" s="1258" t="s">
        <v>514</v>
      </c>
      <c r="C16" s="1259"/>
      <c r="D16" s="1259"/>
      <c r="E16" s="1259"/>
      <c r="F16" s="1259"/>
      <c r="G16" s="1259"/>
      <c r="H16" s="1259"/>
      <c r="I16" s="1259"/>
      <c r="J16" s="1259"/>
      <c r="K16" s="1259"/>
      <c r="L16" s="1259"/>
      <c r="M16" s="1259"/>
      <c r="N16" s="1259"/>
      <c r="O16" s="1259"/>
      <c r="P16" s="1259"/>
      <c r="Q16" s="1260"/>
      <c r="R16" s="1172"/>
      <c r="S16" s="1174"/>
      <c r="U16" s="1258"/>
      <c r="V16" s="1259"/>
      <c r="W16" s="1259"/>
      <c r="X16" s="1259"/>
      <c r="Y16" s="1259"/>
      <c r="Z16" s="1259"/>
      <c r="AA16" s="1259"/>
      <c r="AB16" s="1260"/>
    </row>
    <row r="17" spans="1:31" s="72" customFormat="1" ht="16.5" customHeight="1">
      <c r="A17" s="702"/>
      <c r="B17" s="4362"/>
      <c r="C17" s="4098" t="s">
        <v>36</v>
      </c>
      <c r="D17" s="3997"/>
      <c r="E17" s="3997"/>
      <c r="F17" s="3997"/>
      <c r="G17" s="3997"/>
      <c r="H17" s="4074" t="s">
        <v>37</v>
      </c>
      <c r="I17" s="4075"/>
      <c r="J17" s="4075"/>
      <c r="K17" s="4075"/>
      <c r="L17" s="4075"/>
      <c r="M17" s="3960" t="s">
        <v>73</v>
      </c>
      <c r="N17" s="3960"/>
      <c r="O17" s="3960"/>
      <c r="P17" s="3960"/>
      <c r="Q17" s="4287"/>
      <c r="R17"/>
      <c r="S17"/>
      <c r="T17"/>
      <c r="U17" s="4073" t="s">
        <v>36</v>
      </c>
      <c r="V17" s="3997"/>
      <c r="W17" s="3997"/>
      <c r="X17" s="3997"/>
      <c r="Y17" s="3997"/>
      <c r="Z17" s="4074" t="s">
        <v>37</v>
      </c>
      <c r="AA17" s="4075"/>
      <c r="AB17" s="4082"/>
      <c r="AC17" s="65"/>
      <c r="AD17" s="65"/>
      <c r="AE17" s="65"/>
    </row>
    <row r="18" spans="1:31" s="69" customFormat="1" ht="15" customHeight="1">
      <c r="A18" s="314"/>
      <c r="B18" s="4207"/>
      <c r="C18" s="3985" t="s">
        <v>543</v>
      </c>
      <c r="D18" s="3986"/>
      <c r="E18" s="3986"/>
      <c r="F18" s="3986"/>
      <c r="G18" s="3986"/>
      <c r="H18" s="3986"/>
      <c r="I18" s="3986"/>
      <c r="J18" s="3987"/>
      <c r="K18" s="3988" t="str">
        <f>CONCATENATE("$0's, real ",dms_DollarReal)</f>
        <v>$0's, real December 2017</v>
      </c>
      <c r="L18" s="3989"/>
      <c r="M18" s="3989"/>
      <c r="N18" s="3989"/>
      <c r="O18" s="3989"/>
      <c r="P18" s="3989"/>
      <c r="Q18" s="4199"/>
      <c r="R18"/>
      <c r="S18"/>
      <c r="T18"/>
      <c r="U18" s="3985" t="str">
        <f>CONCATENATE("$0's, real ",dms_DollarReal)</f>
        <v>$0's, real December 2017</v>
      </c>
      <c r="V18" s="3986"/>
      <c r="W18" s="3986"/>
      <c r="X18" s="3986"/>
      <c r="Y18" s="3986"/>
      <c r="Z18" s="3986"/>
      <c r="AA18" s="3986"/>
      <c r="AB18" s="4030"/>
    </row>
    <row r="19" spans="1:31" s="72" customFormat="1" ht="16.5" customHeight="1">
      <c r="A19"/>
      <c r="B19" s="4207"/>
      <c r="C19" s="3985" t="s">
        <v>54</v>
      </c>
      <c r="D19" s="3986"/>
      <c r="E19" s="3986"/>
      <c r="F19" s="3986"/>
      <c r="G19" s="3986"/>
      <c r="H19" s="3986"/>
      <c r="I19" s="3986"/>
      <c r="J19" s="3987"/>
      <c r="K19" s="3988" t="s">
        <v>55</v>
      </c>
      <c r="L19" s="3989"/>
      <c r="M19" s="3989"/>
      <c r="N19" s="3989"/>
      <c r="O19" s="3989"/>
      <c r="P19" s="3989"/>
      <c r="Q19" s="4199"/>
      <c r="R19"/>
      <c r="S19"/>
      <c r="T19"/>
      <c r="U19" s="3985" t="s">
        <v>54</v>
      </c>
      <c r="V19" s="3986"/>
      <c r="W19" s="3986"/>
      <c r="X19" s="3986"/>
      <c r="Y19" s="3986"/>
      <c r="Z19" s="3986"/>
      <c r="AA19" s="3986"/>
      <c r="AB19" s="4030"/>
    </row>
    <row r="20" spans="1:31" s="69" customFormat="1" ht="12.75" customHeight="1" thickBot="1">
      <c r="A20"/>
      <c r="B20" s="4363"/>
      <c r="C20" s="343">
        <f t="array" ref="C20:G20">PRCP</f>
        <v>2008</v>
      </c>
      <c r="D20" s="342">
        <v>2009</v>
      </c>
      <c r="E20" s="342">
        <v>2010</v>
      </c>
      <c r="F20" s="342">
        <v>2011</v>
      </c>
      <c r="G20" s="342">
        <v>2012</v>
      </c>
      <c r="H20" s="344">
        <f>CRCP_y1</f>
        <v>2013</v>
      </c>
      <c r="I20" s="344">
        <f>CRCP_y2</f>
        <v>2014</v>
      </c>
      <c r="J20" s="344">
        <f>CRCP_y3</f>
        <v>2015</v>
      </c>
      <c r="K20" s="344">
        <f>CRCP_y4</f>
        <v>2016</v>
      </c>
      <c r="L20" s="344">
        <f>CRCP_y5</f>
        <v>2017</v>
      </c>
      <c r="M20" s="342" t="str">
        <f t="array" ref="M20:Q20">FRCP</f>
        <v>2018</v>
      </c>
      <c r="N20" s="342">
        <v>2019</v>
      </c>
      <c r="O20" s="342">
        <v>2020</v>
      </c>
      <c r="P20" s="342">
        <v>2021</v>
      </c>
      <c r="Q20" s="686">
        <v>2022</v>
      </c>
      <c r="R20"/>
      <c r="S20"/>
      <c r="T20"/>
      <c r="U20" s="1438">
        <f t="array" ref="U20:Y20">PRCP</f>
        <v>2008</v>
      </c>
      <c r="V20" s="342">
        <v>2009</v>
      </c>
      <c r="W20" s="342">
        <v>2010</v>
      </c>
      <c r="X20" s="342">
        <v>2011</v>
      </c>
      <c r="Y20" s="342">
        <v>2012</v>
      </c>
      <c r="Z20" s="344">
        <f>CRCP_y1</f>
        <v>2013</v>
      </c>
      <c r="AA20" s="344">
        <f>CRCP_y2</f>
        <v>2014</v>
      </c>
      <c r="AB20" s="542">
        <f>CRCP_y3</f>
        <v>2015</v>
      </c>
    </row>
    <row r="21" spans="1:31" s="136" customFormat="1" ht="21.75" customHeight="1" thickBot="1">
      <c r="A21" s="474"/>
      <c r="B21" s="737" t="s">
        <v>513</v>
      </c>
      <c r="C21" s="1254"/>
      <c r="D21" s="1254"/>
      <c r="E21" s="1254"/>
      <c r="F21" s="1254"/>
      <c r="G21" s="1254"/>
      <c r="H21" s="1254"/>
      <c r="I21" s="1254"/>
      <c r="J21" s="1254"/>
      <c r="K21" s="1254"/>
      <c r="L21" s="1254"/>
      <c r="M21" s="1254"/>
      <c r="N21" s="1254"/>
      <c r="O21" s="1254"/>
      <c r="P21" s="1254"/>
      <c r="Q21" s="1255"/>
      <c r="R21" s="1172"/>
      <c r="S21" s="1174"/>
      <c r="U21" s="1253"/>
      <c r="V21" s="1254"/>
      <c r="W21" s="1254"/>
      <c r="X21" s="1254"/>
      <c r="Y21" s="1254"/>
      <c r="Z21" s="1254"/>
      <c r="AA21" s="1254"/>
      <c r="AB21" s="1255"/>
    </row>
    <row r="22" spans="1:31" s="136" customFormat="1" ht="21.75" customHeight="1">
      <c r="A22" s="474"/>
      <c r="B22" s="2739" t="s">
        <v>1354</v>
      </c>
      <c r="C22" s="2740"/>
      <c r="D22" s="2740"/>
      <c r="E22" s="2740"/>
      <c r="F22" s="2740"/>
      <c r="G22" s="2740"/>
      <c r="H22" s="2740"/>
      <c r="I22" s="2740"/>
      <c r="J22" s="2740"/>
      <c r="K22" s="2740"/>
      <c r="L22" s="2740"/>
      <c r="M22" s="2740"/>
      <c r="N22" s="2740"/>
      <c r="O22" s="2740"/>
      <c r="P22" s="2740"/>
      <c r="Q22" s="2741"/>
      <c r="R22" s="1172"/>
      <c r="S22" s="1174"/>
      <c r="U22" s="1797"/>
      <c r="V22" s="1319"/>
      <c r="W22" s="1319"/>
      <c r="X22" s="1319"/>
      <c r="Y22" s="1319"/>
      <c r="Z22" s="1319"/>
      <c r="AA22" s="1319"/>
      <c r="AB22" s="1320"/>
    </row>
    <row r="23" spans="1:31" s="1172" customFormat="1" ht="20.100000000000001" customHeight="1" outlineLevel="1">
      <c r="A23"/>
      <c r="B23" s="2732" t="s">
        <v>1329</v>
      </c>
      <c r="C23" s="2733"/>
      <c r="D23" s="2734"/>
      <c r="E23" s="2734"/>
      <c r="F23" s="2734"/>
      <c r="G23" s="2735"/>
      <c r="H23" s="2733"/>
      <c r="I23" s="2734"/>
      <c r="J23" s="2734"/>
      <c r="K23" s="2734"/>
      <c r="L23" s="2734"/>
      <c r="M23" s="2733"/>
      <c r="N23" s="2734"/>
      <c r="O23" s="2734"/>
      <c r="P23" s="2734"/>
      <c r="Q23" s="2735"/>
      <c r="U23" s="1798"/>
      <c r="V23" s="1799"/>
      <c r="W23" s="1799"/>
      <c r="X23" s="1799"/>
      <c r="Y23" s="1800"/>
      <c r="Z23" s="1798"/>
      <c r="AA23" s="1799"/>
      <c r="AB23" s="1800"/>
    </row>
    <row r="24" spans="1:31" s="1172" customFormat="1" ht="20.100000000000001" customHeight="1" outlineLevel="1">
      <c r="B24" s="1321" t="s">
        <v>1330</v>
      </c>
      <c r="C24" s="3352">
        <v>14576000</v>
      </c>
      <c r="D24" s="3353">
        <v>12759343.774275027</v>
      </c>
      <c r="E24" s="3353">
        <v>9996478.9827017579</v>
      </c>
      <c r="F24" s="3353">
        <v>13280362.263266832</v>
      </c>
      <c r="G24" s="3354">
        <v>12689829.916576251</v>
      </c>
      <c r="H24" s="3352">
        <v>12121132.927683653</v>
      </c>
      <c r="I24" s="3353">
        <v>14989625.355250867</v>
      </c>
      <c r="J24" s="3353">
        <v>16807227.189814646</v>
      </c>
      <c r="K24" s="1306"/>
      <c r="L24" s="1306"/>
      <c r="M24" s="1305"/>
      <c r="N24" s="1306"/>
      <c r="O24" s="1306"/>
      <c r="P24" s="1306"/>
      <c r="Q24" s="1307"/>
      <c r="U24" s="1798"/>
      <c r="V24" s="1799"/>
      <c r="W24" s="1799"/>
      <c r="X24" s="1799"/>
      <c r="Y24" s="1800"/>
      <c r="Z24" s="1798"/>
      <c r="AA24" s="1799"/>
      <c r="AB24" s="1800"/>
    </row>
    <row r="25" spans="1:31" s="1172" customFormat="1" ht="20.100000000000001" customHeight="1" outlineLevel="1">
      <c r="B25" s="1321" t="s">
        <v>1331</v>
      </c>
      <c r="C25" s="3352">
        <v>135000</v>
      </c>
      <c r="D25" s="3353">
        <v>326025.4705973721</v>
      </c>
      <c r="E25" s="3353">
        <v>780149.06883464346</v>
      </c>
      <c r="F25" s="3353">
        <v>1068405.6078550015</v>
      </c>
      <c r="G25" s="3354">
        <v>777524.16154766351</v>
      </c>
      <c r="H25" s="3352">
        <v>2109008.654968841</v>
      </c>
      <c r="I25" s="3353">
        <v>1962817.0815967289</v>
      </c>
      <c r="J25" s="3353">
        <v>1672236.0376962591</v>
      </c>
      <c r="K25" s="1306"/>
      <c r="L25" s="1306"/>
      <c r="M25" s="1305"/>
      <c r="N25" s="1306"/>
      <c r="O25" s="1306"/>
      <c r="P25" s="1306"/>
      <c r="Q25" s="1307"/>
      <c r="U25" s="1798"/>
      <c r="V25" s="1799"/>
      <c r="W25" s="1799"/>
      <c r="X25" s="1799"/>
      <c r="Y25" s="1800"/>
      <c r="Z25" s="1798"/>
      <c r="AA25" s="1799"/>
      <c r="AB25" s="1800"/>
    </row>
    <row r="26" spans="1:31" s="1172" customFormat="1" ht="20.100000000000001" customHeight="1" outlineLevel="1">
      <c r="B26" s="1321" t="s">
        <v>1332</v>
      </c>
      <c r="C26" s="3352">
        <v>4203000</v>
      </c>
      <c r="D26" s="3353">
        <v>5101136.1869733669</v>
      </c>
      <c r="E26" s="3353">
        <v>5321160.9151507234</v>
      </c>
      <c r="F26" s="3353">
        <v>4371413.1816968471</v>
      </c>
      <c r="G26" s="3354">
        <v>4021809.8132584584</v>
      </c>
      <c r="H26" s="3744">
        <v>4424357.6796379611</v>
      </c>
      <c r="I26" s="3745">
        <v>3311112.6098534926</v>
      </c>
      <c r="J26" s="3745">
        <v>2679340.8293734821</v>
      </c>
      <c r="K26" s="1306"/>
      <c r="L26" s="1306"/>
      <c r="M26" s="1305"/>
      <c r="N26" s="1306"/>
      <c r="O26" s="1306"/>
      <c r="P26" s="1306"/>
      <c r="Q26" s="1307"/>
      <c r="U26" s="1798"/>
      <c r="V26" s="1799"/>
      <c r="W26" s="1799"/>
      <c r="X26" s="1799"/>
      <c r="Y26" s="1800"/>
      <c r="Z26" s="1798"/>
      <c r="AA26" s="1799"/>
      <c r="AB26" s="1800"/>
    </row>
    <row r="27" spans="1:31" s="1172" customFormat="1" ht="20.100000000000001" customHeight="1" outlineLevel="1">
      <c r="B27" s="1321" t="s">
        <v>1333</v>
      </c>
      <c r="C27" s="3352">
        <v>251000</v>
      </c>
      <c r="D27" s="3353">
        <v>266709.79854365112</v>
      </c>
      <c r="E27" s="3353">
        <v>164387.79252498451</v>
      </c>
      <c r="F27" s="3353">
        <v>228650.68560078857</v>
      </c>
      <c r="G27" s="3354">
        <v>178234.3338433165</v>
      </c>
      <c r="H27" s="3352">
        <v>173348.61314456866</v>
      </c>
      <c r="I27" s="3353">
        <v>57349.615383812677</v>
      </c>
      <c r="J27" s="3353">
        <v>17998.952680803508</v>
      </c>
      <c r="K27" s="1306"/>
      <c r="L27" s="1306"/>
      <c r="M27" s="1305"/>
      <c r="N27" s="1306"/>
      <c r="O27" s="1306"/>
      <c r="P27" s="1306"/>
      <c r="Q27" s="1307"/>
      <c r="U27" s="1798"/>
      <c r="V27" s="1799"/>
      <c r="W27" s="1799"/>
      <c r="X27" s="1799"/>
      <c r="Y27" s="1800"/>
      <c r="Z27" s="1798"/>
      <c r="AA27" s="1799"/>
      <c r="AB27" s="1800"/>
    </row>
    <row r="28" spans="1:31" s="1172" customFormat="1" ht="20.100000000000001" customHeight="1" outlineLevel="1">
      <c r="B28" s="1321" t="s">
        <v>1334</v>
      </c>
      <c r="C28" s="3352">
        <v>778000</v>
      </c>
      <c r="D28" s="3353">
        <v>932801.11812320375</v>
      </c>
      <c r="E28" s="3353">
        <v>242234.32281128888</v>
      </c>
      <c r="F28" s="3353">
        <v>320090.50396854256</v>
      </c>
      <c r="G28" s="3354">
        <v>60653.222356561077</v>
      </c>
      <c r="H28" s="3352">
        <v>128212.31059100521</v>
      </c>
      <c r="I28" s="3353">
        <v>115666.34738950079</v>
      </c>
      <c r="J28" s="3353">
        <v>155142.8396890999</v>
      </c>
      <c r="K28" s="1306"/>
      <c r="L28" s="1306"/>
      <c r="M28" s="1305"/>
      <c r="N28" s="1306"/>
      <c r="O28" s="1306"/>
      <c r="P28" s="1306"/>
      <c r="Q28" s="1307"/>
      <c r="U28" s="1798"/>
      <c r="V28" s="1799"/>
      <c r="W28" s="1799"/>
      <c r="X28" s="1799"/>
      <c r="Y28" s="1800"/>
      <c r="Z28" s="1798"/>
      <c r="AA28" s="1799"/>
      <c r="AB28" s="1800"/>
    </row>
    <row r="29" spans="1:31" s="1172" customFormat="1" ht="20.100000000000001" customHeight="1" outlineLevel="1">
      <c r="B29" s="1321" t="s">
        <v>256</v>
      </c>
      <c r="C29" s="3352">
        <v>1720000</v>
      </c>
      <c r="D29" s="3353">
        <v>790418.39011273324</v>
      </c>
      <c r="E29" s="3353">
        <v>721230.66036751599</v>
      </c>
      <c r="F29" s="3353">
        <v>1953367.7120311395</v>
      </c>
      <c r="G29" s="3354">
        <v>2364592.9979785262</v>
      </c>
      <c r="H29" s="3352">
        <v>1315846.7624019065</v>
      </c>
      <c r="I29" s="3353">
        <v>1132233.0889714253</v>
      </c>
      <c r="J29" s="3353">
        <v>572225.032839905</v>
      </c>
      <c r="K29" s="1306"/>
      <c r="L29" s="1306"/>
      <c r="M29" s="1305"/>
      <c r="N29" s="1306"/>
      <c r="O29" s="1306"/>
      <c r="P29" s="1306"/>
      <c r="Q29" s="1307"/>
      <c r="U29" s="1798"/>
      <c r="V29" s="1799"/>
      <c r="W29" s="1799"/>
      <c r="X29" s="1799"/>
      <c r="Y29" s="1800"/>
      <c r="Z29" s="1798"/>
      <c r="AA29" s="1799"/>
      <c r="AB29" s="1800"/>
    </row>
    <row r="30" spans="1:31" s="1172" customFormat="1" ht="20.100000000000001" customHeight="1" outlineLevel="1">
      <c r="B30" s="1321" t="s">
        <v>1335</v>
      </c>
      <c r="C30" s="3352">
        <v>0</v>
      </c>
      <c r="D30" s="3353">
        <v>0</v>
      </c>
      <c r="E30" s="3353">
        <v>0</v>
      </c>
      <c r="F30" s="3353">
        <v>0</v>
      </c>
      <c r="G30" s="3354">
        <v>0</v>
      </c>
      <c r="H30" s="3352">
        <v>0</v>
      </c>
      <c r="I30" s="3353">
        <v>0</v>
      </c>
      <c r="J30" s="3353">
        <v>0</v>
      </c>
      <c r="K30" s="1306"/>
      <c r="L30" s="1306"/>
      <c r="M30" s="1305"/>
      <c r="N30" s="1306"/>
      <c r="O30" s="1306"/>
      <c r="P30" s="1306"/>
      <c r="Q30" s="1307"/>
      <c r="U30" s="1798"/>
      <c r="V30" s="1799"/>
      <c r="W30" s="1799"/>
      <c r="X30" s="1799"/>
      <c r="Y30" s="1800"/>
      <c r="Z30" s="1798"/>
      <c r="AA30" s="1799"/>
      <c r="AB30" s="1800"/>
    </row>
    <row r="31" spans="1:31" s="1172" customFormat="1" ht="20.100000000000001" customHeight="1" outlineLevel="1">
      <c r="B31" s="1321" t="s">
        <v>1336</v>
      </c>
      <c r="C31" s="3352">
        <v>0</v>
      </c>
      <c r="D31" s="3353">
        <v>0</v>
      </c>
      <c r="E31" s="3353">
        <v>0</v>
      </c>
      <c r="F31" s="3353">
        <v>0</v>
      </c>
      <c r="G31" s="3354">
        <v>0</v>
      </c>
      <c r="H31" s="3352">
        <v>50756.749999999993</v>
      </c>
      <c r="I31" s="3353">
        <v>20081.778685503741</v>
      </c>
      <c r="J31" s="3353">
        <v>5697.6356057286157</v>
      </c>
      <c r="K31" s="1306"/>
      <c r="L31" s="1306"/>
      <c r="M31" s="1305"/>
      <c r="N31" s="1306"/>
      <c r="O31" s="1306"/>
      <c r="P31" s="1306"/>
      <c r="Q31" s="1307"/>
      <c r="U31" s="1798"/>
      <c r="V31" s="1799"/>
      <c r="W31" s="1799"/>
      <c r="X31" s="1799"/>
      <c r="Y31" s="1800"/>
      <c r="Z31" s="1798"/>
      <c r="AA31" s="1799"/>
      <c r="AB31" s="1800"/>
    </row>
    <row r="32" spans="1:31" s="1172" customFormat="1" ht="20.100000000000001" customHeight="1" outlineLevel="1">
      <c r="B32" s="1321" t="s">
        <v>1337</v>
      </c>
      <c r="C32" s="3352">
        <v>0</v>
      </c>
      <c r="D32" s="3353">
        <v>0</v>
      </c>
      <c r="E32" s="3353">
        <v>0</v>
      </c>
      <c r="F32" s="3353">
        <v>0</v>
      </c>
      <c r="G32" s="3354">
        <v>0</v>
      </c>
      <c r="H32" s="3352">
        <v>1470538.0300000005</v>
      </c>
      <c r="I32" s="3353">
        <v>2708102.68</v>
      </c>
      <c r="J32" s="3353">
        <v>3178831.3799999994</v>
      </c>
      <c r="K32" s="1306"/>
      <c r="L32" s="1306"/>
      <c r="M32" s="1305"/>
      <c r="N32" s="1306"/>
      <c r="O32" s="1306"/>
      <c r="P32" s="1306"/>
      <c r="Q32" s="1307"/>
      <c r="U32" s="1798"/>
      <c r="V32" s="1799"/>
      <c r="W32" s="1799"/>
      <c r="X32" s="1799"/>
      <c r="Y32" s="1800"/>
      <c r="Z32" s="1798"/>
      <c r="AA32" s="1799"/>
      <c r="AB32" s="1800"/>
    </row>
    <row r="33" spans="1:28" s="1172" customFormat="1" ht="20.100000000000001" customHeight="1" outlineLevel="1">
      <c r="B33" s="1321" t="s">
        <v>1338</v>
      </c>
      <c r="C33" s="3352">
        <v>0</v>
      </c>
      <c r="D33" s="3353">
        <v>0</v>
      </c>
      <c r="E33" s="3353">
        <v>0</v>
      </c>
      <c r="F33" s="3353">
        <v>0</v>
      </c>
      <c r="G33" s="3354">
        <v>0</v>
      </c>
      <c r="H33" s="3352">
        <v>0</v>
      </c>
      <c r="I33" s="3353">
        <v>0</v>
      </c>
      <c r="J33" s="3353">
        <v>1124996.5179034232</v>
      </c>
      <c r="K33" s="1306"/>
      <c r="L33" s="1306"/>
      <c r="M33" s="1305"/>
      <c r="N33" s="1306"/>
      <c r="O33" s="1306"/>
      <c r="P33" s="1306"/>
      <c r="Q33" s="1307"/>
      <c r="U33" s="1798"/>
      <c r="V33" s="1799"/>
      <c r="W33" s="1799"/>
      <c r="X33" s="1799"/>
      <c r="Y33" s="1800"/>
      <c r="Z33" s="1798"/>
      <c r="AA33" s="1799"/>
      <c r="AB33" s="1800"/>
    </row>
    <row r="34" spans="1:28" s="1172" customFormat="1" ht="20.100000000000001" customHeight="1" outlineLevel="1">
      <c r="B34" s="1321" t="s">
        <v>131</v>
      </c>
      <c r="C34" s="3352">
        <v>0</v>
      </c>
      <c r="D34" s="3353">
        <v>0</v>
      </c>
      <c r="E34" s="3353">
        <v>0</v>
      </c>
      <c r="F34" s="3353">
        <v>0</v>
      </c>
      <c r="G34" s="3354">
        <v>0</v>
      </c>
      <c r="H34" s="3352">
        <v>0</v>
      </c>
      <c r="I34" s="3353">
        <v>0</v>
      </c>
      <c r="J34" s="3353">
        <v>0</v>
      </c>
      <c r="K34" s="1306"/>
      <c r="L34" s="1306"/>
      <c r="M34" s="1305"/>
      <c r="N34" s="1306"/>
      <c r="O34" s="1306"/>
      <c r="P34" s="1306"/>
      <c r="Q34" s="1307"/>
      <c r="U34" s="1798"/>
      <c r="V34" s="1799"/>
      <c r="W34" s="1799"/>
      <c r="X34" s="1799"/>
      <c r="Y34" s="1800"/>
      <c r="Z34" s="1798"/>
      <c r="AA34" s="1799"/>
      <c r="AB34" s="1800"/>
    </row>
    <row r="35" spans="1:28" s="1172" customFormat="1" ht="20.100000000000001" customHeight="1" outlineLevel="1">
      <c r="B35" s="1321" t="s">
        <v>1339</v>
      </c>
      <c r="C35" s="3352">
        <v>6750374.628896541</v>
      </c>
      <c r="D35" s="3353">
        <v>5948585.2909548087</v>
      </c>
      <c r="E35" s="3353">
        <v>5034942.0535098221</v>
      </c>
      <c r="F35" s="3353">
        <v>6819123.4746497376</v>
      </c>
      <c r="G35" s="3354">
        <v>7034075.4337030221</v>
      </c>
      <c r="H35" s="3352">
        <v>10932346.269269068</v>
      </c>
      <c r="I35" s="3353">
        <v>12724492.175127586</v>
      </c>
      <c r="J35" s="3353">
        <v>9767067.3456242885</v>
      </c>
      <c r="K35" s="1306"/>
      <c r="L35" s="1306"/>
      <c r="M35" s="1305"/>
      <c r="N35" s="1306"/>
      <c r="O35" s="1306"/>
      <c r="P35" s="1306"/>
      <c r="Q35" s="1307"/>
      <c r="U35" s="1798"/>
      <c r="V35" s="1799"/>
      <c r="W35" s="1799"/>
      <c r="X35" s="1799"/>
      <c r="Y35" s="1800"/>
      <c r="Z35" s="1798"/>
      <c r="AA35" s="1799"/>
      <c r="AB35" s="1800"/>
    </row>
    <row r="36" spans="1:28" s="1172" customFormat="1" ht="20.100000000000001" customHeight="1" outlineLevel="1">
      <c r="B36" s="1321" t="s">
        <v>1340</v>
      </c>
      <c r="C36" s="3352">
        <v>-1427622.27</v>
      </c>
      <c r="D36" s="3355">
        <v>0</v>
      </c>
      <c r="E36" s="3355">
        <v>36579.15</v>
      </c>
      <c r="F36" s="3355">
        <v>0</v>
      </c>
      <c r="G36" s="3354">
        <v>7100000</v>
      </c>
      <c r="H36" s="3352">
        <v>8335516.6299999999</v>
      </c>
      <c r="I36" s="3355">
        <v>-427074.8200000003</v>
      </c>
      <c r="J36" s="3355">
        <v>8395.3699999999862</v>
      </c>
      <c r="K36" s="2746"/>
      <c r="L36" s="1306"/>
      <c r="M36" s="1305"/>
      <c r="N36" s="2746"/>
      <c r="O36" s="2746"/>
      <c r="P36" s="2746"/>
      <c r="Q36" s="1307"/>
      <c r="U36" s="1798"/>
      <c r="V36" s="1799"/>
      <c r="W36" s="1799"/>
      <c r="X36" s="1799"/>
      <c r="Y36" s="1800"/>
      <c r="Z36" s="1798"/>
      <c r="AA36" s="1799"/>
      <c r="AB36" s="1800"/>
    </row>
    <row r="37" spans="1:28" s="1172" customFormat="1" ht="20.100000000000001" customHeight="1" outlineLevel="1">
      <c r="B37" s="2738" t="s">
        <v>1356</v>
      </c>
      <c r="C37" s="3356">
        <f>SUM(C24:C36)</f>
        <v>26985752.358896542</v>
      </c>
      <c r="D37" s="837">
        <f t="shared" ref="D37:P37" si="0">SUM(D24:D36)</f>
        <v>26125020.029580161</v>
      </c>
      <c r="E37" s="837">
        <f t="shared" si="0"/>
        <v>22297162.945900731</v>
      </c>
      <c r="F37" s="837">
        <f>SUM(F24:F36)</f>
        <v>28041413.429068889</v>
      </c>
      <c r="G37" s="3357">
        <f t="shared" si="0"/>
        <v>34226719.879263803</v>
      </c>
      <c r="H37" s="3356">
        <f t="shared" si="0"/>
        <v>41061064.627697006</v>
      </c>
      <c r="I37" s="837">
        <f t="shared" si="0"/>
        <v>36594405.912258916</v>
      </c>
      <c r="J37" s="837">
        <f t="shared" si="0"/>
        <v>35989159.131227635</v>
      </c>
      <c r="K37" s="2737">
        <f t="shared" si="0"/>
        <v>0</v>
      </c>
      <c r="L37" s="2735">
        <f t="shared" si="0"/>
        <v>0</v>
      </c>
      <c r="M37" s="2733">
        <f t="shared" si="0"/>
        <v>0</v>
      </c>
      <c r="N37" s="2737">
        <f t="shared" si="0"/>
        <v>0</v>
      </c>
      <c r="O37" s="2737">
        <f t="shared" si="0"/>
        <v>0</v>
      </c>
      <c r="P37" s="2737">
        <f t="shared" si="0"/>
        <v>0</v>
      </c>
      <c r="Q37" s="2735">
        <f>SUM(Q24:Q36)</f>
        <v>0</v>
      </c>
      <c r="U37" s="1798"/>
      <c r="V37" s="1799"/>
      <c r="W37" s="1799"/>
      <c r="X37" s="1799"/>
      <c r="Y37" s="1800"/>
      <c r="Z37" s="1798"/>
      <c r="AA37" s="1799"/>
      <c r="AB37" s="1800"/>
    </row>
    <row r="38" spans="1:28" s="1172" customFormat="1" ht="20.100000000000001" customHeight="1" outlineLevel="1">
      <c r="B38" s="2732" t="s">
        <v>1341</v>
      </c>
      <c r="C38" s="3356"/>
      <c r="D38" s="837"/>
      <c r="E38" s="837"/>
      <c r="F38" s="837"/>
      <c r="G38" s="3357"/>
      <c r="H38" s="3356"/>
      <c r="I38" s="837"/>
      <c r="J38" s="837"/>
      <c r="K38" s="2737"/>
      <c r="L38" s="2735"/>
      <c r="M38" s="2733"/>
      <c r="N38" s="2737"/>
      <c r="O38" s="2737"/>
      <c r="P38" s="2737"/>
      <c r="Q38" s="2735"/>
      <c r="U38" s="1798"/>
      <c r="V38" s="1799"/>
      <c r="W38" s="1799"/>
      <c r="X38" s="1799"/>
      <c r="Y38" s="1800"/>
      <c r="Z38" s="1798"/>
      <c r="AA38" s="1799"/>
      <c r="AB38" s="1800"/>
    </row>
    <row r="39" spans="1:28" s="1172" customFormat="1" ht="20.100000000000001" customHeight="1" outlineLevel="1">
      <c r="B39" s="1321" t="s">
        <v>1342</v>
      </c>
      <c r="C39" s="3352">
        <v>861900</v>
      </c>
      <c r="D39" s="3355">
        <v>1501567.5546308777</v>
      </c>
      <c r="E39" s="3355">
        <v>901325.80000000016</v>
      </c>
      <c r="F39" s="3355">
        <v>604869.02541999985</v>
      </c>
      <c r="G39" s="3354">
        <v>1240078.49611147</v>
      </c>
      <c r="H39" s="3352">
        <v>1104653.8500000003</v>
      </c>
      <c r="I39" s="3355">
        <v>967117.34350697801</v>
      </c>
      <c r="J39" s="3355">
        <v>672277.11236230866</v>
      </c>
      <c r="K39" s="1306"/>
      <c r="L39" s="1306"/>
      <c r="M39" s="1305"/>
      <c r="N39" s="1306"/>
      <c r="O39" s="1306"/>
      <c r="P39" s="1306"/>
      <c r="Q39" s="1307"/>
      <c r="U39" s="1798"/>
      <c r="V39" s="1799"/>
      <c r="W39" s="1799"/>
      <c r="X39" s="1799"/>
      <c r="Y39" s="1800"/>
      <c r="Z39" s="1798"/>
      <c r="AA39" s="1799"/>
      <c r="AB39" s="1800"/>
    </row>
    <row r="40" spans="1:28" s="1172" customFormat="1" ht="20.100000000000001" customHeight="1" outlineLevel="1">
      <c r="B40" s="1321" t="s">
        <v>1343</v>
      </c>
      <c r="C40" s="3352">
        <v>3425000</v>
      </c>
      <c r="D40" s="3353">
        <v>4235945.0446942886</v>
      </c>
      <c r="E40" s="3353">
        <v>5187042.0548124043</v>
      </c>
      <c r="F40" s="3353">
        <v>3871207.4143017596</v>
      </c>
      <c r="G40" s="3354">
        <v>4529411.8708858993</v>
      </c>
      <c r="H40" s="3352">
        <v>3280709.4141046773</v>
      </c>
      <c r="I40" s="3353">
        <v>2417932.6513391207</v>
      </c>
      <c r="J40" s="3353">
        <v>3112797.2006189981</v>
      </c>
      <c r="K40" s="1306"/>
      <c r="L40" s="1306"/>
      <c r="M40" s="1305"/>
      <c r="N40" s="1306"/>
      <c r="O40" s="1306"/>
      <c r="P40" s="1306"/>
      <c r="Q40" s="1307"/>
      <c r="U40" s="1798"/>
      <c r="V40" s="1799"/>
      <c r="W40" s="1799"/>
      <c r="X40" s="1799"/>
      <c r="Y40" s="1800"/>
      <c r="Z40" s="1798"/>
      <c r="AA40" s="1799"/>
      <c r="AB40" s="1800"/>
    </row>
    <row r="41" spans="1:28" s="1172" customFormat="1" ht="20.100000000000001" customHeight="1" outlineLevel="1">
      <c r="B41" s="1321" t="s">
        <v>60</v>
      </c>
      <c r="C41" s="3352">
        <v>1956000</v>
      </c>
      <c r="D41" s="3353">
        <v>2900250.5815201723</v>
      </c>
      <c r="E41" s="3353">
        <v>2411040.1253573745</v>
      </c>
      <c r="F41" s="3353">
        <v>2393797.5625867457</v>
      </c>
      <c r="G41" s="3354">
        <v>2385937.5067110001</v>
      </c>
      <c r="H41" s="3352">
        <v>2671368.8093737946</v>
      </c>
      <c r="I41" s="3353">
        <v>2765178.1354442425</v>
      </c>
      <c r="J41" s="3353">
        <v>3361536.4167592889</v>
      </c>
      <c r="K41" s="1306"/>
      <c r="L41" s="1306"/>
      <c r="M41" s="1305"/>
      <c r="N41" s="1306"/>
      <c r="O41" s="1306"/>
      <c r="P41" s="1306"/>
      <c r="Q41" s="1307"/>
      <c r="U41" s="1798"/>
      <c r="V41" s="1799"/>
      <c r="W41" s="1799"/>
      <c r="X41" s="1799"/>
      <c r="Y41" s="1800"/>
      <c r="Z41" s="1798"/>
      <c r="AA41" s="1799"/>
      <c r="AB41" s="1800"/>
    </row>
    <row r="42" spans="1:28" s="1172" customFormat="1" ht="20.100000000000001" customHeight="1" outlineLevel="1">
      <c r="B42" s="1321" t="s">
        <v>1344</v>
      </c>
      <c r="C42" s="3352">
        <v>592000</v>
      </c>
      <c r="D42" s="3353">
        <v>725767.92257935705</v>
      </c>
      <c r="E42" s="3353">
        <v>579475.04999999981</v>
      </c>
      <c r="F42" s="3353">
        <v>562563.80624914309</v>
      </c>
      <c r="G42" s="3354">
        <v>769735.33019564138</v>
      </c>
      <c r="H42" s="3352">
        <v>21262.33</v>
      </c>
      <c r="I42" s="3353">
        <v>121122.53000000003</v>
      </c>
      <c r="J42" s="3353">
        <v>363892.00999999989</v>
      </c>
      <c r="K42" s="1306"/>
      <c r="L42" s="1306"/>
      <c r="M42" s="1305"/>
      <c r="N42" s="1306"/>
      <c r="O42" s="1306"/>
      <c r="P42" s="1306"/>
      <c r="Q42" s="1307"/>
      <c r="U42" s="1798"/>
      <c r="V42" s="1799"/>
      <c r="W42" s="1799"/>
      <c r="X42" s="1799"/>
      <c r="Y42" s="1800"/>
      <c r="Z42" s="1798"/>
      <c r="AA42" s="1799"/>
      <c r="AB42" s="1800"/>
    </row>
    <row r="43" spans="1:28" s="1172" customFormat="1" ht="20.100000000000001" customHeight="1" outlineLevel="1">
      <c r="B43" s="1321" t="s">
        <v>1345</v>
      </c>
      <c r="C43" s="3352">
        <v>796000</v>
      </c>
      <c r="D43" s="3353">
        <v>958187.99290451093</v>
      </c>
      <c r="E43" s="3353">
        <v>1031245.4899999998</v>
      </c>
      <c r="F43" s="3353">
        <v>986042.77553325065</v>
      </c>
      <c r="G43" s="3354">
        <v>1404711.7637688217</v>
      </c>
      <c r="H43" s="3352">
        <v>1232855.93</v>
      </c>
      <c r="I43" s="3353">
        <v>1213385.635720938</v>
      </c>
      <c r="J43" s="3353">
        <v>1082394.5812299757</v>
      </c>
      <c r="K43" s="1306"/>
      <c r="L43" s="1306"/>
      <c r="M43" s="1305"/>
      <c r="N43" s="1306"/>
      <c r="O43" s="1306"/>
      <c r="P43" s="1306"/>
      <c r="Q43" s="1307"/>
      <c r="U43" s="1798"/>
      <c r="V43" s="1799"/>
      <c r="W43" s="1799"/>
      <c r="X43" s="1799"/>
      <c r="Y43" s="1800"/>
      <c r="Z43" s="1798"/>
      <c r="AA43" s="1799"/>
      <c r="AB43" s="1800"/>
    </row>
    <row r="44" spans="1:28" s="1172" customFormat="1" ht="20.100000000000001" customHeight="1" outlineLevel="1">
      <c r="B44" s="1321" t="s">
        <v>61</v>
      </c>
      <c r="C44" s="3352">
        <v>1576000</v>
      </c>
      <c r="D44" s="3353">
        <v>2539637.193099028</v>
      </c>
      <c r="E44" s="3353">
        <v>2723781.1964098322</v>
      </c>
      <c r="F44" s="3353">
        <v>2592171.6832581344</v>
      </c>
      <c r="G44" s="3354">
        <v>3580265.2677969541</v>
      </c>
      <c r="H44" s="3352">
        <v>1884485.0165215218</v>
      </c>
      <c r="I44" s="3353">
        <v>2507699.857073646</v>
      </c>
      <c r="J44" s="3353">
        <v>2199644.4005450592</v>
      </c>
      <c r="K44" s="1306"/>
      <c r="L44" s="1306"/>
      <c r="M44" s="1305"/>
      <c r="N44" s="1306"/>
      <c r="O44" s="1306"/>
      <c r="P44" s="1306"/>
      <c r="Q44" s="1307"/>
      <c r="U44" s="1798"/>
      <c r="V44" s="1799"/>
      <c r="W44" s="1799"/>
      <c r="X44" s="1799"/>
      <c r="Y44" s="1800"/>
      <c r="Z44" s="1798"/>
      <c r="AA44" s="1799"/>
      <c r="AB44" s="1800"/>
    </row>
    <row r="45" spans="1:28" s="1172" customFormat="1" ht="20.100000000000001" customHeight="1" outlineLevel="1">
      <c r="B45" s="1321" t="s">
        <v>1346</v>
      </c>
      <c r="C45" s="3352">
        <v>502000</v>
      </c>
      <c r="D45" s="3353">
        <v>234836.79999999993</v>
      </c>
      <c r="E45" s="3353">
        <v>22275</v>
      </c>
      <c r="F45" s="3353">
        <v>61309.101777106385</v>
      </c>
      <c r="G45" s="3354">
        <v>0</v>
      </c>
      <c r="H45" s="3352">
        <v>0</v>
      </c>
      <c r="I45" s="3353">
        <v>0</v>
      </c>
      <c r="J45" s="3353">
        <v>253072.21000000005</v>
      </c>
      <c r="K45" s="1306"/>
      <c r="L45" s="1306"/>
      <c r="M45" s="1305"/>
      <c r="N45" s="1306"/>
      <c r="O45" s="1306"/>
      <c r="P45" s="1306"/>
      <c r="Q45" s="1307"/>
      <c r="U45" s="1798"/>
      <c r="V45" s="1799"/>
      <c r="W45" s="1799"/>
      <c r="X45" s="1799"/>
      <c r="Y45" s="1800"/>
      <c r="Z45" s="1798"/>
      <c r="AA45" s="1799"/>
      <c r="AB45" s="1800"/>
    </row>
    <row r="46" spans="1:28" s="1172" customFormat="1" ht="20.100000000000001" customHeight="1" outlineLevel="1">
      <c r="B46" s="1321" t="s">
        <v>62</v>
      </c>
      <c r="C46" s="3352">
        <v>0</v>
      </c>
      <c r="D46" s="3353">
        <v>0</v>
      </c>
      <c r="E46" s="3353">
        <v>1436</v>
      </c>
      <c r="F46" s="3353">
        <v>0</v>
      </c>
      <c r="G46" s="3354">
        <v>6484.0300000000007</v>
      </c>
      <c r="H46" s="1306">
        <v>0</v>
      </c>
      <c r="I46" s="1306">
        <v>0</v>
      </c>
      <c r="J46" s="1306">
        <v>1204019.6111039668</v>
      </c>
      <c r="K46" s="1306"/>
      <c r="L46" s="1306"/>
      <c r="M46" s="1305"/>
      <c r="N46" s="1306"/>
      <c r="O46" s="1306"/>
      <c r="P46" s="1306"/>
      <c r="Q46" s="1307"/>
      <c r="U46" s="1798"/>
      <c r="V46" s="1799"/>
      <c r="W46" s="1799"/>
      <c r="X46" s="1799"/>
      <c r="Y46" s="1800"/>
      <c r="Z46" s="1798"/>
      <c r="AA46" s="1799"/>
      <c r="AB46" s="1800"/>
    </row>
    <row r="47" spans="1:28" s="1172" customFormat="1" ht="20.100000000000001" customHeight="1" outlineLevel="1">
      <c r="B47" s="2736" t="s">
        <v>1347</v>
      </c>
      <c r="C47" s="3356">
        <f>SUM(C39:C46)</f>
        <v>9708900</v>
      </c>
      <c r="D47" s="837">
        <f>SUM(D39:D46)</f>
        <v>13096193.089428235</v>
      </c>
      <c r="E47" s="837">
        <f t="shared" ref="E47:F47" si="1">SUM(E39:E46)</f>
        <v>12857620.71657961</v>
      </c>
      <c r="F47" s="837">
        <f t="shared" si="1"/>
        <v>11071961.369126141</v>
      </c>
      <c r="G47" s="3357">
        <f>SUM(G39:G46)</f>
        <v>13916624.265469786</v>
      </c>
      <c r="H47" s="3356">
        <f>SUM(H39:H46)</f>
        <v>10195335.349999994</v>
      </c>
      <c r="I47" s="837">
        <f>SUM(I39:I46)</f>
        <v>9992436.1530849244</v>
      </c>
      <c r="J47" s="837">
        <f t="shared" ref="J47" si="2">SUM(J39:J46)</f>
        <v>12249633.542619597</v>
      </c>
      <c r="K47" s="2737">
        <f t="shared" ref="K47" si="3">SUM(K39:K46)</f>
        <v>0</v>
      </c>
      <c r="L47" s="2735">
        <f>SUM(L39:L46)</f>
        <v>0</v>
      </c>
      <c r="M47" s="2733">
        <f>SUM(M39:M46)</f>
        <v>0</v>
      </c>
      <c r="N47" s="2737">
        <f>SUM(N39:N46)</f>
        <v>0</v>
      </c>
      <c r="O47" s="2737">
        <f t="shared" ref="O47" si="4">SUM(O39:O46)</f>
        <v>0</v>
      </c>
      <c r="P47" s="2737">
        <f>SUM(P39:P46)</f>
        <v>0</v>
      </c>
      <c r="Q47" s="2735">
        <f>SUM(Q39:Q46)</f>
        <v>0</v>
      </c>
      <c r="U47" s="1798"/>
      <c r="V47" s="1799"/>
      <c r="W47" s="1799"/>
      <c r="X47" s="1799"/>
      <c r="Y47" s="1800"/>
      <c r="Z47" s="1798"/>
      <c r="AA47" s="1799"/>
      <c r="AB47" s="1800"/>
    </row>
    <row r="48" spans="1:28" ht="20.100000000000001" customHeight="1" outlineLevel="1" thickBot="1">
      <c r="A48"/>
      <c r="B48" s="2742" t="s">
        <v>1355</v>
      </c>
      <c r="C48" s="3358">
        <f t="shared" ref="C48:J48" si="5">C37+C47</f>
        <v>36694652.358896539</v>
      </c>
      <c r="D48" s="3359">
        <f t="shared" si="5"/>
        <v>39221213.119008392</v>
      </c>
      <c r="E48" s="3359">
        <f t="shared" si="5"/>
        <v>35154783.662480339</v>
      </c>
      <c r="F48" s="3359">
        <f t="shared" si="5"/>
        <v>39113374.798195034</v>
      </c>
      <c r="G48" s="3360">
        <f t="shared" si="5"/>
        <v>48143344.144733593</v>
      </c>
      <c r="H48" s="3358">
        <f t="shared" si="5"/>
        <v>51256399.977697</v>
      </c>
      <c r="I48" s="3359">
        <f t="shared" si="5"/>
        <v>46586842.065343842</v>
      </c>
      <c r="J48" s="3359">
        <f t="shared" si="5"/>
        <v>48238792.673847228</v>
      </c>
      <c r="K48" s="1311">
        <v>52753241.429169871</v>
      </c>
      <c r="L48" s="1312">
        <v>53423752.262954302</v>
      </c>
      <c r="M48" s="1310">
        <v>58360130.894719005</v>
      </c>
      <c r="N48" s="1311">
        <v>59550960.957311682</v>
      </c>
      <c r="O48" s="1311">
        <v>60831360.74991414</v>
      </c>
      <c r="P48" s="1311">
        <v>62584150.93491634</v>
      </c>
      <c r="Q48" s="1312">
        <v>63398313.865798578</v>
      </c>
      <c r="U48" s="1796">
        <f t="shared" ref="U48:AB48" si="6">SUM(U23:U47)</f>
        <v>0</v>
      </c>
      <c r="V48" s="1308">
        <f t="shared" si="6"/>
        <v>0</v>
      </c>
      <c r="W48" s="1308">
        <f t="shared" si="6"/>
        <v>0</v>
      </c>
      <c r="X48" s="1308">
        <f t="shared" si="6"/>
        <v>0</v>
      </c>
      <c r="Y48" s="1309">
        <f t="shared" si="6"/>
        <v>0</v>
      </c>
      <c r="Z48" s="1796">
        <f t="shared" si="6"/>
        <v>0</v>
      </c>
      <c r="AA48" s="1308">
        <f t="shared" si="6"/>
        <v>0</v>
      </c>
      <c r="AB48" s="1309">
        <f t="shared" si="6"/>
        <v>0</v>
      </c>
    </row>
    <row r="49" spans="1:31" ht="20.100000000000001" customHeight="1" outlineLevel="1" thickBot="1">
      <c r="A49"/>
      <c r="B49" s="2739" t="s">
        <v>1363</v>
      </c>
      <c r="C49" s="3361"/>
      <c r="D49" s="3361"/>
      <c r="E49" s="3361"/>
      <c r="F49" s="3361"/>
      <c r="G49" s="3361"/>
      <c r="H49" s="3361"/>
      <c r="I49" s="3361"/>
      <c r="J49" s="3361"/>
      <c r="K49" s="2740"/>
      <c r="L49" s="2740"/>
      <c r="M49" s="2740"/>
      <c r="N49" s="2740"/>
      <c r="O49" s="2740"/>
      <c r="P49" s="2740"/>
      <c r="Q49" s="2741"/>
      <c r="U49" s="821" t="e">
        <f>#REF!+U48</f>
        <v>#REF!</v>
      </c>
      <c r="V49" s="817" t="e">
        <f>#REF!+V48</f>
        <v>#REF!</v>
      </c>
      <c r="W49" s="817" t="e">
        <f>#REF!+W48</f>
        <v>#REF!</v>
      </c>
      <c r="X49" s="817" t="e">
        <f>#REF!+X48</f>
        <v>#REF!</v>
      </c>
      <c r="Y49" s="822" t="e">
        <f>#REF!+Y48</f>
        <v>#REF!</v>
      </c>
      <c r="Z49" s="821" t="e">
        <f>#REF!+Z48</f>
        <v>#REF!</v>
      </c>
      <c r="AA49" s="817" t="e">
        <f>#REF!+AA48</f>
        <v>#REF!</v>
      </c>
      <c r="AB49" s="822" t="e">
        <f>#REF!+AB48</f>
        <v>#REF!</v>
      </c>
    </row>
    <row r="50" spans="1:31" s="136" customFormat="1" ht="21.75" customHeight="1">
      <c r="A50" s="474"/>
      <c r="B50" s="1321" t="s">
        <v>1350</v>
      </c>
      <c r="C50" s="3352">
        <v>77483.448964677998</v>
      </c>
      <c r="D50" s="3353">
        <v>22940.441929471282</v>
      </c>
      <c r="E50" s="3353">
        <v>27421.00911385315</v>
      </c>
      <c r="F50" s="3353">
        <v>12432.094604606642</v>
      </c>
      <c r="G50" s="3354">
        <v>34624.657211478028</v>
      </c>
      <c r="H50" s="3352">
        <v>46861.98044900925</v>
      </c>
      <c r="I50" s="3353">
        <v>4670.8773918344459</v>
      </c>
      <c r="J50" s="3353">
        <v>0</v>
      </c>
      <c r="K50" s="814"/>
      <c r="L50" s="814"/>
      <c r="M50" s="819"/>
      <c r="N50" s="814"/>
      <c r="O50" s="814"/>
      <c r="P50" s="814"/>
      <c r="Q50" s="820"/>
      <c r="R50" s="1172"/>
      <c r="S50" s="1174"/>
      <c r="U50" s="1797"/>
      <c r="V50" s="1319"/>
      <c r="W50" s="1319"/>
      <c r="X50" s="1319"/>
      <c r="Y50" s="1319"/>
      <c r="Z50" s="1319"/>
      <c r="AA50" s="1319"/>
      <c r="AB50" s="1320"/>
    </row>
    <row r="51" spans="1:31" ht="20.100000000000001" customHeight="1" outlineLevel="1">
      <c r="A51"/>
      <c r="B51" s="1321" t="s">
        <v>1351</v>
      </c>
      <c r="C51" s="3352">
        <v>1211946.2661217402</v>
      </c>
      <c r="D51" s="3353">
        <v>864727.32612947631</v>
      </c>
      <c r="E51" s="3353">
        <v>866783.70565723046</v>
      </c>
      <c r="F51" s="3353">
        <v>880718.3876534726</v>
      </c>
      <c r="G51" s="3354">
        <v>704873.91615115898</v>
      </c>
      <c r="H51" s="3352">
        <v>871298.01460269035</v>
      </c>
      <c r="I51" s="3353">
        <v>1163286.2239244671</v>
      </c>
      <c r="J51" s="3353">
        <v>1140158.6729853756</v>
      </c>
      <c r="K51" s="814"/>
      <c r="L51" s="814"/>
      <c r="M51" s="819"/>
      <c r="N51" s="814"/>
      <c r="O51" s="814"/>
      <c r="P51" s="814"/>
      <c r="Q51" s="820"/>
      <c r="U51" s="1772"/>
      <c r="V51" s="1773"/>
      <c r="W51" s="1773"/>
      <c r="X51" s="1773"/>
      <c r="Y51" s="1777"/>
      <c r="Z51" s="1772"/>
      <c r="AA51" s="1773"/>
      <c r="AB51" s="1777"/>
    </row>
    <row r="52" spans="1:31" ht="20.100000000000001" customHeight="1" outlineLevel="1">
      <c r="A52"/>
      <c r="B52" s="1321" t="s">
        <v>1352</v>
      </c>
      <c r="C52" s="3352">
        <v>667211.09491358197</v>
      </c>
      <c r="D52" s="3353">
        <v>410930.82251281693</v>
      </c>
      <c r="E52" s="3353">
        <v>554354.08864930412</v>
      </c>
      <c r="F52" s="3353">
        <v>590231.87774192041</v>
      </c>
      <c r="G52" s="3354">
        <v>499622.89240273437</v>
      </c>
      <c r="H52" s="3352">
        <v>526641.50494829717</v>
      </c>
      <c r="I52" s="3353">
        <v>596962.21115413774</v>
      </c>
      <c r="J52" s="3353">
        <v>557681.95439502329</v>
      </c>
      <c r="K52" s="814"/>
      <c r="L52" s="814"/>
      <c r="M52" s="819"/>
      <c r="N52" s="814"/>
      <c r="O52" s="814"/>
      <c r="P52" s="814"/>
      <c r="Q52" s="820"/>
      <c r="U52" s="1313"/>
      <c r="V52" s="1314"/>
      <c r="W52" s="1314"/>
      <c r="X52" s="1314"/>
      <c r="Y52" s="1315"/>
      <c r="Z52" s="1772"/>
      <c r="AA52" s="1773"/>
      <c r="AB52" s="1777"/>
    </row>
    <row r="53" spans="1:31" s="1172" customFormat="1" ht="20.100000000000001" customHeight="1" outlineLevel="1">
      <c r="B53" s="1321" t="s">
        <v>1353</v>
      </c>
      <c r="C53" s="3352">
        <v>622238.82000000007</v>
      </c>
      <c r="D53" s="3353">
        <v>893028.77</v>
      </c>
      <c r="E53" s="3353">
        <v>445261.92</v>
      </c>
      <c r="F53" s="3353">
        <v>1025537.28</v>
      </c>
      <c r="G53" s="3354">
        <v>1259122.8600000001</v>
      </c>
      <c r="H53" s="3352">
        <v>853236.15</v>
      </c>
      <c r="I53" s="3353">
        <v>883103.70999999985</v>
      </c>
      <c r="J53" s="3353">
        <v>878855.69000000006</v>
      </c>
      <c r="K53" s="814"/>
      <c r="L53" s="814"/>
      <c r="M53" s="819"/>
      <c r="N53" s="814"/>
      <c r="O53" s="814"/>
      <c r="P53" s="814"/>
      <c r="Q53" s="820"/>
      <c r="U53" s="1313"/>
      <c r="V53" s="1314"/>
      <c r="W53" s="1314"/>
      <c r="X53" s="1314"/>
      <c r="Y53" s="1315"/>
      <c r="Z53" s="1772"/>
      <c r="AA53" s="1773"/>
      <c r="AB53" s="1777"/>
    </row>
    <row r="54" spans="1:31" ht="20.100000000000001" customHeight="1" outlineLevel="1">
      <c r="A54"/>
      <c r="B54" s="3623" t="s">
        <v>2096</v>
      </c>
      <c r="C54" s="3352">
        <v>1465954.5599999998</v>
      </c>
      <c r="D54" s="3353">
        <v>1399333.76</v>
      </c>
      <c r="E54" s="3353">
        <v>1491765.36</v>
      </c>
      <c r="F54" s="3353">
        <v>1588067.9005939378</v>
      </c>
      <c r="G54" s="3354">
        <v>1583989.6297876367</v>
      </c>
      <c r="H54" s="3352">
        <v>1004943.6500000001</v>
      </c>
      <c r="I54" s="3353">
        <v>830795.62444462313</v>
      </c>
      <c r="J54" s="3353">
        <v>787669.41000000085</v>
      </c>
      <c r="K54" s="814"/>
      <c r="L54" s="814"/>
      <c r="M54" s="819"/>
      <c r="N54" s="814"/>
      <c r="O54" s="814"/>
      <c r="P54" s="814"/>
      <c r="Q54" s="820"/>
      <c r="U54" s="1313"/>
      <c r="V54" s="1314"/>
      <c r="W54" s="1314"/>
      <c r="X54" s="1314"/>
      <c r="Y54" s="1315"/>
      <c r="Z54" s="1772"/>
      <c r="AA54" s="1773"/>
      <c r="AB54" s="1777"/>
    </row>
    <row r="55" spans="1:31" ht="20.100000000000001" customHeight="1" outlineLevel="1" thickBot="1">
      <c r="A55"/>
      <c r="B55" s="2750" t="s">
        <v>1348</v>
      </c>
      <c r="C55" s="3362">
        <f>SUM(C50:C54)</f>
        <v>4044834.1899999995</v>
      </c>
      <c r="D55" s="3363">
        <f t="shared" ref="D55:J55" si="7">SUM(D50:D54)</f>
        <v>3590961.1205717642</v>
      </c>
      <c r="E55" s="3363">
        <f t="shared" si="7"/>
        <v>3385586.0834203875</v>
      </c>
      <c r="F55" s="3363">
        <f t="shared" si="7"/>
        <v>4096987.5405939375</v>
      </c>
      <c r="G55" s="3364">
        <f t="shared" si="7"/>
        <v>4082233.9555530082</v>
      </c>
      <c r="H55" s="3362">
        <f t="shared" si="7"/>
        <v>3302981.299999997</v>
      </c>
      <c r="I55" s="3363">
        <f t="shared" si="7"/>
        <v>3478818.6469150623</v>
      </c>
      <c r="J55" s="3363">
        <f t="shared" si="7"/>
        <v>3364365.7273803996</v>
      </c>
      <c r="K55" s="3622">
        <f>'[9]23.1 Opex incl. RPM'!K55*1000</f>
        <v>2246828.5763207972</v>
      </c>
      <c r="L55" s="3622">
        <f>'[9]23.1 Opex incl. RPM'!L55*1000</f>
        <v>2218075.7426201655</v>
      </c>
      <c r="M55" s="3622">
        <f>'[9]23.1 Opex incl. RPM'!M55*1000</f>
        <v>2182071.5618496472</v>
      </c>
      <c r="N55" s="3622">
        <f>'[9]23.1 Opex incl. RPM'!N55*1000</f>
        <v>2146651.8070335928</v>
      </c>
      <c r="O55" s="3622">
        <f>'[9]23.1 Opex incl. RPM'!O55*1000</f>
        <v>2111806.9916710211</v>
      </c>
      <c r="P55" s="3622">
        <f>'[9]23.1 Opex incl. RPM'!P55*1000</f>
        <v>2077527.7832474385</v>
      </c>
      <c r="Q55" s="3622">
        <f>'[9]23.1 Opex incl. RPM'!Q55*1000</f>
        <v>2043805.0007353059</v>
      </c>
      <c r="U55" s="1772"/>
      <c r="V55" s="1773"/>
      <c r="W55" s="1773"/>
      <c r="X55" s="1773"/>
      <c r="Y55" s="1777"/>
      <c r="Z55" s="1772"/>
      <c r="AA55" s="1773"/>
      <c r="AB55" s="1777"/>
    </row>
    <row r="56" spans="1:31" s="69" customFormat="1" ht="20.100000000000001" customHeight="1" thickBot="1">
      <c r="A56"/>
      <c r="B56" s="2731" t="s">
        <v>1349</v>
      </c>
      <c r="C56" s="3365">
        <f t="shared" ref="C56:Q56" si="8">C55+C48</f>
        <v>40739486.548896536</v>
      </c>
      <c r="D56" s="3366">
        <f t="shared" si="8"/>
        <v>42812174.239580154</v>
      </c>
      <c r="E56" s="3366">
        <f t="shared" si="8"/>
        <v>38540369.745900728</v>
      </c>
      <c r="F56" s="3366">
        <f t="shared" si="8"/>
        <v>43210362.338788971</v>
      </c>
      <c r="G56" s="3367">
        <f t="shared" si="8"/>
        <v>52225578.100286603</v>
      </c>
      <c r="H56" s="3368">
        <f t="shared" si="8"/>
        <v>54559381.277696997</v>
      </c>
      <c r="I56" s="3366">
        <f t="shared" si="8"/>
        <v>50065660.712258905</v>
      </c>
      <c r="J56" s="3366">
        <f t="shared" si="8"/>
        <v>51603158.401227631</v>
      </c>
      <c r="K56" s="2744">
        <f t="shared" si="8"/>
        <v>55000070.005490668</v>
      </c>
      <c r="L56" s="2744">
        <f t="shared" si="8"/>
        <v>55641828.005574465</v>
      </c>
      <c r="M56" s="2743">
        <f t="shared" si="8"/>
        <v>60542202.456568651</v>
      </c>
      <c r="N56" s="2744">
        <f t="shared" si="8"/>
        <v>61697612.764345273</v>
      </c>
      <c r="O56" s="2744">
        <f t="shared" si="8"/>
        <v>62943167.741585158</v>
      </c>
      <c r="P56" s="2744">
        <f t="shared" si="8"/>
        <v>64661678.718163781</v>
      </c>
      <c r="Q56" s="2745">
        <f t="shared" si="8"/>
        <v>65442118.866533883</v>
      </c>
      <c r="R56"/>
      <c r="S56"/>
      <c r="T56"/>
      <c r="U56" s="1203">
        <f t="shared" ref="U56:AB56" si="9">SUM(U51:U55)</f>
        <v>0</v>
      </c>
      <c r="V56" s="1204">
        <f t="shared" si="9"/>
        <v>0</v>
      </c>
      <c r="W56" s="1204">
        <f t="shared" si="9"/>
        <v>0</v>
      </c>
      <c r="X56" s="1204">
        <f t="shared" si="9"/>
        <v>0</v>
      </c>
      <c r="Y56" s="1205">
        <f t="shared" si="9"/>
        <v>0</v>
      </c>
      <c r="Z56" s="1203">
        <f t="shared" si="9"/>
        <v>0</v>
      </c>
      <c r="AA56" s="1204">
        <f t="shared" si="9"/>
        <v>0</v>
      </c>
      <c r="AB56" s="1205">
        <f t="shared" si="9"/>
        <v>0</v>
      </c>
    </row>
    <row r="57" spans="1:31" s="69" customFormat="1" ht="30" customHeight="1" thickBot="1">
      <c r="A57"/>
      <c r="B57" s="1494" t="s">
        <v>121</v>
      </c>
      <c r="C57" s="4386" t="s">
        <v>1566</v>
      </c>
      <c r="D57" s="4387"/>
      <c r="E57" s="4387"/>
      <c r="F57" s="4387"/>
      <c r="G57" s="4387"/>
      <c r="H57" s="4387"/>
      <c r="I57" s="4387"/>
      <c r="J57" s="4387"/>
      <c r="K57" s="4387"/>
      <c r="L57" s="4387"/>
      <c r="M57" s="4387"/>
      <c r="N57" s="4387"/>
      <c r="O57" s="4387"/>
      <c r="P57" s="4387"/>
      <c r="Q57" s="4388"/>
      <c r="R57"/>
      <c r="S57"/>
      <c r="T57"/>
      <c r="U57" s="1316" t="e">
        <f t="shared" ref="U57:AB57" si="10">U56+U49</f>
        <v>#REF!</v>
      </c>
      <c r="V57" s="1317" t="e">
        <f t="shared" si="10"/>
        <v>#REF!</v>
      </c>
      <c r="W57" s="1317" t="e">
        <f t="shared" si="10"/>
        <v>#REF!</v>
      </c>
      <c r="X57" s="1317" t="e">
        <f t="shared" si="10"/>
        <v>#REF!</v>
      </c>
      <c r="Y57" s="1318" t="e">
        <f t="shared" si="10"/>
        <v>#REF!</v>
      </c>
      <c r="Z57" s="1316" t="e">
        <f t="shared" si="10"/>
        <v>#REF!</v>
      </c>
      <c r="AA57" s="1317" t="e">
        <f t="shared" si="10"/>
        <v>#REF!</v>
      </c>
      <c r="AB57" s="1318" t="e">
        <f t="shared" si="10"/>
        <v>#REF!</v>
      </c>
    </row>
    <row r="58" spans="1:31" s="96" customFormat="1" ht="39" customHeight="1" thickBot="1">
      <c r="A58"/>
      <c r="B58" s="242"/>
      <c r="C58" s="242"/>
      <c r="D58" s="242"/>
      <c r="E58" s="242"/>
      <c r="F58" s="242"/>
      <c r="G58" s="242"/>
      <c r="H58" s="242"/>
      <c r="I58" s="242"/>
      <c r="J58" s="242"/>
      <c r="K58" s="242"/>
      <c r="L58" s="242"/>
      <c r="M58" s="242"/>
      <c r="N58" s="242"/>
      <c r="O58" s="242"/>
      <c r="P58" s="242"/>
      <c r="Q58" s="242"/>
      <c r="R58"/>
      <c r="S58"/>
      <c r="T58"/>
      <c r="U58"/>
      <c r="V58"/>
      <c r="W58"/>
      <c r="X58"/>
      <c r="Y58"/>
      <c r="Z58"/>
      <c r="AA58"/>
      <c r="AB58"/>
    </row>
    <row r="59" spans="1:31" customFormat="1" ht="42.75" customHeight="1">
      <c r="B59" s="4362"/>
      <c r="C59" s="4047" t="s">
        <v>36</v>
      </c>
      <c r="D59" s="4048"/>
      <c r="E59" s="4048"/>
      <c r="F59" s="4048"/>
      <c r="G59" s="4049"/>
      <c r="H59" s="4050" t="s">
        <v>37</v>
      </c>
      <c r="I59" s="4051"/>
      <c r="J59" s="4051"/>
      <c r="K59" s="4051"/>
      <c r="L59" s="4052"/>
      <c r="U59" s="1174"/>
      <c r="V59" s="1174"/>
      <c r="W59" s="1174"/>
      <c r="X59" s="1174"/>
      <c r="Y59" s="1174"/>
      <c r="Z59" s="1174"/>
      <c r="AA59" s="1174"/>
      <c r="AB59" s="1174"/>
    </row>
    <row r="60" spans="1:31" s="72" customFormat="1" ht="16.5" customHeight="1">
      <c r="A60"/>
      <c r="B60" s="4206"/>
      <c r="C60" s="3985" t="str">
        <f>CONCATENATE("$0's, real ",dms_DollarReal)</f>
        <v>$0's, real December 2017</v>
      </c>
      <c r="D60" s="3986"/>
      <c r="E60" s="3986"/>
      <c r="F60" s="3986"/>
      <c r="G60" s="3986"/>
      <c r="H60" s="3986"/>
      <c r="I60" s="3986"/>
      <c r="J60" s="3986"/>
      <c r="K60" s="3986"/>
      <c r="L60" s="4030"/>
      <c r="M60"/>
      <c r="N60"/>
      <c r="O60"/>
      <c r="P60"/>
      <c r="Q60"/>
      <c r="R60"/>
      <c r="S60"/>
      <c r="T60"/>
      <c r="U60"/>
      <c r="V60"/>
      <c r="W60"/>
      <c r="X60"/>
      <c r="Y60"/>
      <c r="Z60"/>
      <c r="AA60"/>
      <c r="AB60"/>
      <c r="AC60" s="65"/>
      <c r="AD60" s="65"/>
      <c r="AE60" s="65"/>
    </row>
    <row r="61" spans="1:31" s="69" customFormat="1" ht="15" customHeight="1">
      <c r="A61"/>
      <c r="B61" s="4206"/>
      <c r="C61" s="3985" t="s">
        <v>74</v>
      </c>
      <c r="D61" s="3986"/>
      <c r="E61" s="3986"/>
      <c r="F61" s="3986"/>
      <c r="G61" s="3986"/>
      <c r="H61" s="3986"/>
      <c r="I61" s="3986"/>
      <c r="J61" s="3986"/>
      <c r="K61" s="3986"/>
      <c r="L61" s="4030"/>
      <c r="M61"/>
      <c r="N61"/>
      <c r="O61"/>
      <c r="P61"/>
      <c r="Q61"/>
      <c r="R61"/>
      <c r="S61"/>
      <c r="T61"/>
      <c r="U61"/>
      <c r="V61"/>
      <c r="W61"/>
      <c r="X61"/>
      <c r="Y61"/>
      <c r="Z61"/>
      <c r="AA61"/>
      <c r="AB61"/>
    </row>
    <row r="62" spans="1:31" s="72" customFormat="1" ht="16.5" customHeight="1" thickBot="1">
      <c r="A62"/>
      <c r="B62" s="4385"/>
      <c r="C62" s="343">
        <f t="array" ref="C62:G62">PRCP</f>
        <v>2008</v>
      </c>
      <c r="D62" s="342">
        <v>2009</v>
      </c>
      <c r="E62" s="342">
        <v>2010</v>
      </c>
      <c r="F62" s="342">
        <v>2011</v>
      </c>
      <c r="G62" s="342">
        <v>2012</v>
      </c>
      <c r="H62" s="344">
        <f>CRCP_y1</f>
        <v>2013</v>
      </c>
      <c r="I62" s="344">
        <f>CRCP_y2</f>
        <v>2014</v>
      </c>
      <c r="J62" s="344">
        <f>CRCP_y3</f>
        <v>2015</v>
      </c>
      <c r="K62" s="344">
        <f>CRCP_y4</f>
        <v>2016</v>
      </c>
      <c r="L62" s="542">
        <f>CRCP_y5</f>
        <v>2017</v>
      </c>
      <c r="M62"/>
      <c r="N62"/>
      <c r="O62"/>
      <c r="P62"/>
      <c r="Q62"/>
      <c r="R62"/>
      <c r="S62"/>
      <c r="T62"/>
      <c r="U62"/>
      <c r="V62"/>
      <c r="W62"/>
      <c r="X62"/>
      <c r="Y62"/>
      <c r="Z62"/>
      <c r="AA62"/>
      <c r="AB62"/>
    </row>
    <row r="63" spans="1:31" s="69" customFormat="1" ht="16.5" thickBot="1">
      <c r="A63"/>
      <c r="B63" s="737" t="s">
        <v>515</v>
      </c>
      <c r="C63" s="1254"/>
      <c r="D63" s="1254"/>
      <c r="E63" s="1254"/>
      <c r="F63" s="1254"/>
      <c r="G63" s="1254"/>
      <c r="H63" s="1254"/>
      <c r="I63" s="1254"/>
      <c r="J63" s="1254"/>
      <c r="K63" s="1254"/>
      <c r="L63" s="1255"/>
      <c r="M63"/>
      <c r="N63"/>
      <c r="O63"/>
      <c r="P63"/>
      <c r="Q63"/>
      <c r="R63"/>
      <c r="S63"/>
      <c r="T63"/>
      <c r="U63"/>
      <c r="V63"/>
      <c r="W63"/>
      <c r="X63"/>
      <c r="Y63"/>
      <c r="Z63"/>
      <c r="AA63"/>
      <c r="AB63"/>
    </row>
    <row r="64" spans="1:31" s="136" customFormat="1" ht="21.75" customHeight="1">
      <c r="A64" s="474"/>
      <c r="B64" s="2739" t="s">
        <v>1357</v>
      </c>
      <c r="C64" s="2740"/>
      <c r="D64" s="2740"/>
      <c r="E64" s="2740"/>
      <c r="F64" s="2740"/>
      <c r="G64" s="2740"/>
      <c r="H64" s="2740"/>
      <c r="I64" s="2740"/>
      <c r="J64" s="2740"/>
      <c r="K64" s="2740"/>
      <c r="L64" s="2741"/>
      <c r="M64"/>
      <c r="N64"/>
      <c r="O64"/>
      <c r="P64"/>
      <c r="Q64"/>
      <c r="R64" s="1172"/>
      <c r="S64" s="1174"/>
      <c r="U64"/>
      <c r="V64"/>
      <c r="W64"/>
      <c r="X64"/>
      <c r="Y64"/>
      <c r="Z64"/>
      <c r="AA64"/>
      <c r="AB64"/>
    </row>
    <row r="65" spans="1:28" ht="20.100000000000001" customHeight="1" outlineLevel="1">
      <c r="A65"/>
      <c r="B65" s="2732" t="s">
        <v>1329</v>
      </c>
      <c r="C65" s="2733"/>
      <c r="D65" s="2734"/>
      <c r="E65" s="2734"/>
      <c r="F65" s="2734"/>
      <c r="G65" s="2735"/>
      <c r="H65" s="2733"/>
      <c r="I65" s="2734"/>
      <c r="J65" s="2734"/>
      <c r="K65" s="2734"/>
      <c r="L65" s="2735"/>
      <c r="M65"/>
      <c r="N65"/>
      <c r="O65"/>
      <c r="P65"/>
      <c r="Q65"/>
      <c r="U65"/>
      <c r="V65"/>
      <c r="W65"/>
      <c r="X65"/>
      <c r="Y65"/>
      <c r="Z65"/>
      <c r="AA65"/>
      <c r="AB65"/>
    </row>
    <row r="66" spans="1:28" ht="20.100000000000001" customHeight="1" outlineLevel="1">
      <c r="A66"/>
      <c r="B66" s="1321" t="s">
        <v>1330</v>
      </c>
      <c r="C66" s="1305"/>
      <c r="D66" s="1306"/>
      <c r="E66" s="1306"/>
      <c r="F66" s="1306"/>
      <c r="G66" s="1307"/>
      <c r="H66" s="1305"/>
      <c r="I66" s="1306"/>
      <c r="J66" s="1306"/>
      <c r="K66" s="1306"/>
      <c r="L66" s="1307"/>
      <c r="M66"/>
      <c r="N66"/>
      <c r="O66"/>
      <c r="P66"/>
      <c r="Q66"/>
      <c r="U66"/>
      <c r="V66"/>
      <c r="W66"/>
      <c r="X66"/>
      <c r="Y66"/>
      <c r="Z66"/>
      <c r="AA66"/>
      <c r="AB66"/>
    </row>
    <row r="67" spans="1:28" ht="20.100000000000001" customHeight="1" outlineLevel="1">
      <c r="A67"/>
      <c r="B67" s="1321" t="s">
        <v>1331</v>
      </c>
      <c r="C67" s="1305"/>
      <c r="D67" s="1306"/>
      <c r="E67" s="1306"/>
      <c r="F67" s="1306"/>
      <c r="G67" s="1307"/>
      <c r="H67" s="1305"/>
      <c r="I67" s="1306"/>
      <c r="J67" s="1306"/>
      <c r="K67" s="1306"/>
      <c r="L67" s="1307"/>
      <c r="M67"/>
      <c r="N67"/>
      <c r="O67"/>
      <c r="P67"/>
      <c r="Q67"/>
      <c r="U67"/>
      <c r="V67"/>
      <c r="W67"/>
      <c r="X67"/>
      <c r="Y67"/>
      <c r="Z67"/>
      <c r="AA67"/>
      <c r="AB67"/>
    </row>
    <row r="68" spans="1:28" ht="20.100000000000001" customHeight="1" outlineLevel="1">
      <c r="A68"/>
      <c r="B68" s="1321" t="s">
        <v>1332</v>
      </c>
      <c r="C68" s="1305"/>
      <c r="D68" s="1306"/>
      <c r="E68" s="1306"/>
      <c r="F68" s="1306"/>
      <c r="G68" s="1307"/>
      <c r="H68" s="1305"/>
      <c r="I68" s="1306"/>
      <c r="J68" s="1306"/>
      <c r="K68" s="1306"/>
      <c r="L68" s="1307"/>
      <c r="M68"/>
      <c r="N68"/>
      <c r="O68"/>
      <c r="P68"/>
      <c r="Q68"/>
      <c r="U68"/>
      <c r="V68"/>
      <c r="W68"/>
      <c r="X68"/>
      <c r="Y68"/>
      <c r="Z68"/>
      <c r="AA68"/>
      <c r="AB68"/>
    </row>
    <row r="69" spans="1:28" ht="20.100000000000001" customHeight="1" outlineLevel="1">
      <c r="A69"/>
      <c r="B69" s="1321" t="s">
        <v>1333</v>
      </c>
      <c r="C69" s="1305"/>
      <c r="D69" s="1306"/>
      <c r="E69" s="1306"/>
      <c r="F69" s="1306"/>
      <c r="G69" s="1307"/>
      <c r="H69" s="1305"/>
      <c r="I69" s="1306"/>
      <c r="J69" s="1306"/>
      <c r="K69" s="1306"/>
      <c r="L69" s="1307"/>
      <c r="M69"/>
      <c r="N69"/>
      <c r="O69"/>
      <c r="P69"/>
      <c r="Q69"/>
      <c r="U69"/>
      <c r="V69"/>
      <c r="W69"/>
      <c r="X69"/>
      <c r="Y69"/>
      <c r="Z69"/>
      <c r="AA69"/>
      <c r="AB69"/>
    </row>
    <row r="70" spans="1:28" ht="20.100000000000001" customHeight="1" outlineLevel="1">
      <c r="A70"/>
      <c r="B70" s="1321" t="s">
        <v>1334</v>
      </c>
      <c r="C70" s="1305"/>
      <c r="D70" s="1306"/>
      <c r="E70" s="1306"/>
      <c r="F70" s="1306"/>
      <c r="G70" s="1307"/>
      <c r="H70" s="1305"/>
      <c r="I70" s="1306"/>
      <c r="J70" s="1306"/>
      <c r="K70" s="1306"/>
      <c r="L70" s="1307"/>
      <c r="M70"/>
      <c r="N70"/>
      <c r="O70"/>
      <c r="P70"/>
      <c r="Q70"/>
      <c r="U70"/>
      <c r="V70"/>
      <c r="W70"/>
      <c r="X70"/>
      <c r="Y70"/>
      <c r="Z70"/>
      <c r="AA70"/>
      <c r="AB70"/>
    </row>
    <row r="71" spans="1:28" ht="20.100000000000001" customHeight="1" outlineLevel="1">
      <c r="A71"/>
      <c r="B71" s="1321" t="s">
        <v>256</v>
      </c>
      <c r="C71" s="1305"/>
      <c r="D71" s="1306"/>
      <c r="E71" s="1306"/>
      <c r="F71" s="1306"/>
      <c r="G71" s="1307"/>
      <c r="H71" s="1305"/>
      <c r="I71" s="1306"/>
      <c r="J71" s="1306"/>
      <c r="K71" s="1306"/>
      <c r="L71" s="1307"/>
      <c r="M71"/>
      <c r="N71"/>
      <c r="O71"/>
      <c r="P71"/>
      <c r="Q71"/>
      <c r="U71"/>
      <c r="V71"/>
      <c r="W71"/>
      <c r="X71"/>
      <c r="Y71"/>
      <c r="Z71"/>
      <c r="AA71"/>
      <c r="AB71"/>
    </row>
    <row r="72" spans="1:28" ht="20.100000000000001" customHeight="1" outlineLevel="1">
      <c r="A72"/>
      <c r="B72" s="1321" t="s">
        <v>1335</v>
      </c>
      <c r="C72" s="1305"/>
      <c r="D72" s="1306"/>
      <c r="E72" s="1306"/>
      <c r="F72" s="1306"/>
      <c r="G72" s="1307"/>
      <c r="H72" s="1305"/>
      <c r="I72" s="1306"/>
      <c r="J72" s="1306"/>
      <c r="K72" s="1306"/>
      <c r="L72" s="1307"/>
      <c r="M72"/>
      <c r="N72"/>
      <c r="O72"/>
      <c r="P72"/>
      <c r="Q72"/>
      <c r="U72"/>
      <c r="V72"/>
      <c r="W72"/>
      <c r="X72"/>
      <c r="Y72"/>
      <c r="Z72"/>
      <c r="AA72"/>
      <c r="AB72"/>
    </row>
    <row r="73" spans="1:28" ht="20.100000000000001" customHeight="1" outlineLevel="1">
      <c r="A73"/>
      <c r="B73" s="1321" t="s">
        <v>1336</v>
      </c>
      <c r="C73" s="1305"/>
      <c r="D73" s="1306"/>
      <c r="E73" s="1306"/>
      <c r="F73" s="1306"/>
      <c r="G73" s="1307"/>
      <c r="H73" s="1305"/>
      <c r="I73" s="1306"/>
      <c r="J73" s="1306"/>
      <c r="K73" s="1306"/>
      <c r="L73" s="1307"/>
      <c r="M73"/>
      <c r="N73"/>
      <c r="O73"/>
      <c r="P73"/>
      <c r="Q73"/>
      <c r="U73"/>
      <c r="V73"/>
      <c r="W73"/>
      <c r="X73"/>
      <c r="Y73"/>
      <c r="Z73"/>
      <c r="AA73"/>
      <c r="AB73"/>
    </row>
    <row r="74" spans="1:28" s="136" customFormat="1" ht="21.75" customHeight="1">
      <c r="A74" s="474"/>
      <c r="B74" s="1321" t="s">
        <v>1337</v>
      </c>
      <c r="C74" s="1305"/>
      <c r="D74" s="1306"/>
      <c r="E74" s="1306"/>
      <c r="F74" s="1306"/>
      <c r="G74" s="1307"/>
      <c r="H74" s="1305"/>
      <c r="I74" s="1306"/>
      <c r="J74" s="1306"/>
      <c r="K74" s="1306"/>
      <c r="L74" s="1307"/>
      <c r="M74"/>
      <c r="N74"/>
      <c r="O74"/>
      <c r="P74"/>
      <c r="Q74"/>
      <c r="R74" s="1172"/>
      <c r="S74" s="1174"/>
      <c r="U74"/>
      <c r="V74"/>
      <c r="W74"/>
      <c r="X74"/>
      <c r="Y74"/>
      <c r="Z74"/>
      <c r="AA74"/>
      <c r="AB74"/>
    </row>
    <row r="75" spans="1:28" s="1172" customFormat="1" ht="20.100000000000001" customHeight="1" outlineLevel="1">
      <c r="B75" s="1321" t="s">
        <v>1338</v>
      </c>
      <c r="C75" s="1305"/>
      <c r="D75" s="1306"/>
      <c r="E75" s="1306"/>
      <c r="F75" s="1306"/>
      <c r="G75" s="1307"/>
      <c r="H75" s="1305"/>
      <c r="I75" s="1306"/>
      <c r="J75" s="1306"/>
      <c r="K75" s="1306"/>
      <c r="L75" s="1307"/>
      <c r="M75"/>
      <c r="N75"/>
      <c r="O75"/>
      <c r="P75"/>
      <c r="Q75"/>
      <c r="U75"/>
      <c r="V75"/>
      <c r="W75"/>
      <c r="X75"/>
      <c r="Y75"/>
      <c r="Z75"/>
      <c r="AA75"/>
      <c r="AB75"/>
    </row>
    <row r="76" spans="1:28" ht="20.100000000000001" customHeight="1" outlineLevel="1">
      <c r="A76"/>
      <c r="B76" s="1321" t="s">
        <v>131</v>
      </c>
      <c r="C76" s="1305"/>
      <c r="D76" s="1306"/>
      <c r="E76" s="1306"/>
      <c r="F76" s="1306"/>
      <c r="G76" s="1307"/>
      <c r="H76" s="1305"/>
      <c r="I76" s="1306"/>
      <c r="J76" s="1306"/>
      <c r="K76" s="1306"/>
      <c r="L76" s="1307"/>
      <c r="M76"/>
      <c r="N76"/>
      <c r="O76"/>
      <c r="P76"/>
      <c r="Q76"/>
      <c r="U76"/>
      <c r="V76"/>
      <c r="W76"/>
      <c r="X76"/>
      <c r="Y76"/>
      <c r="Z76"/>
      <c r="AA76"/>
      <c r="AB76"/>
    </row>
    <row r="77" spans="1:28" ht="20.100000000000001" customHeight="1" outlineLevel="1">
      <c r="A77"/>
      <c r="B77" s="1321" t="s">
        <v>1339</v>
      </c>
      <c r="C77" s="1305"/>
      <c r="D77" s="1306"/>
      <c r="E77" s="1306"/>
      <c r="F77" s="1306"/>
      <c r="G77" s="1307"/>
      <c r="H77" s="1305"/>
      <c r="I77" s="1306"/>
      <c r="J77" s="1306"/>
      <c r="K77" s="1306"/>
      <c r="L77" s="1307"/>
      <c r="M77"/>
      <c r="N77"/>
      <c r="O77"/>
      <c r="P77"/>
      <c r="Q77"/>
      <c r="U77"/>
      <c r="V77"/>
      <c r="W77"/>
      <c r="X77"/>
      <c r="Y77"/>
      <c r="Z77"/>
      <c r="AA77"/>
      <c r="AB77"/>
    </row>
    <row r="78" spans="1:28" ht="20.100000000000001" customHeight="1" outlineLevel="1">
      <c r="A78"/>
      <c r="B78" s="1321" t="s">
        <v>1340</v>
      </c>
      <c r="C78" s="1305"/>
      <c r="D78" s="2746"/>
      <c r="E78" s="2746"/>
      <c r="F78" s="2746"/>
      <c r="G78" s="1307"/>
      <c r="H78" s="1305"/>
      <c r="I78" s="2746"/>
      <c r="J78" s="2746"/>
      <c r="K78" s="2746"/>
      <c r="L78" s="1307"/>
      <c r="M78"/>
      <c r="N78"/>
      <c r="O78"/>
      <c r="P78"/>
      <c r="Q78"/>
      <c r="U78"/>
      <c r="V78"/>
      <c r="W78"/>
      <c r="X78"/>
      <c r="Y78"/>
      <c r="Z78"/>
      <c r="AA78"/>
      <c r="AB78"/>
    </row>
    <row r="79" spans="1:28" ht="20.100000000000001" customHeight="1" outlineLevel="1">
      <c r="A79"/>
      <c r="B79" s="2738" t="s">
        <v>1356</v>
      </c>
      <c r="C79" s="2733">
        <f>SUM(C66:C78)</f>
        <v>0</v>
      </c>
      <c r="D79" s="2737">
        <f t="shared" ref="D79" si="11">SUM(D66:D78)</f>
        <v>0</v>
      </c>
      <c r="E79" s="2737">
        <f t="shared" ref="E79" si="12">SUM(E66:E78)</f>
        <v>0</v>
      </c>
      <c r="F79" s="2737">
        <f>SUM(F66:F78)</f>
        <v>0</v>
      </c>
      <c r="G79" s="2735">
        <f t="shared" ref="G79" si="13">SUM(G66:G78)</f>
        <v>0</v>
      </c>
      <c r="H79" s="2733">
        <f t="shared" ref="H79" si="14">SUM(H66:H78)</f>
        <v>0</v>
      </c>
      <c r="I79" s="2737">
        <f t="shared" ref="I79" si="15">SUM(I66:I78)</f>
        <v>0</v>
      </c>
      <c r="J79" s="2737">
        <f t="shared" ref="J79" si="16">SUM(J66:J78)</f>
        <v>0</v>
      </c>
      <c r="K79" s="2737">
        <f t="shared" ref="K79" si="17">SUM(K66:K78)</f>
        <v>0</v>
      </c>
      <c r="L79" s="2735">
        <f t="shared" ref="L79" si="18">SUM(L66:L78)</f>
        <v>0</v>
      </c>
      <c r="M79"/>
      <c r="N79"/>
      <c r="O79"/>
      <c r="P79"/>
      <c r="Q79"/>
      <c r="U79"/>
      <c r="V79"/>
      <c r="W79"/>
      <c r="X79"/>
      <c r="Y79"/>
      <c r="Z79"/>
      <c r="AA79"/>
      <c r="AB79"/>
    </row>
    <row r="80" spans="1:28" ht="20.100000000000001" customHeight="1" outlineLevel="1">
      <c r="A80"/>
      <c r="B80" s="2732" t="s">
        <v>1341</v>
      </c>
      <c r="C80" s="2733"/>
      <c r="D80" s="2737"/>
      <c r="E80" s="2737"/>
      <c r="F80" s="2737"/>
      <c r="G80" s="2735"/>
      <c r="H80" s="2733"/>
      <c r="I80" s="2737"/>
      <c r="J80" s="2737"/>
      <c r="K80" s="2737"/>
      <c r="L80" s="2735"/>
      <c r="M80"/>
      <c r="N80"/>
      <c r="O80"/>
      <c r="P80"/>
      <c r="Q80"/>
      <c r="U80"/>
      <c r="V80"/>
      <c r="W80"/>
      <c r="X80"/>
      <c r="Y80"/>
      <c r="Z80"/>
      <c r="AA80"/>
      <c r="AB80"/>
    </row>
    <row r="81" spans="1:28" ht="20.100000000000001" customHeight="1" outlineLevel="1">
      <c r="A81"/>
      <c r="B81" s="1321" t="s">
        <v>1342</v>
      </c>
      <c r="C81" s="1305"/>
      <c r="D81" s="1306"/>
      <c r="E81" s="1306"/>
      <c r="F81" s="1306"/>
      <c r="G81" s="1307"/>
      <c r="H81" s="1305"/>
      <c r="I81" s="1306"/>
      <c r="J81" s="1306"/>
      <c r="K81" s="1306"/>
      <c r="L81" s="1307"/>
      <c r="M81"/>
      <c r="N81"/>
      <c r="O81"/>
      <c r="P81"/>
      <c r="Q81"/>
      <c r="U81"/>
      <c r="V81"/>
      <c r="W81"/>
      <c r="X81"/>
      <c r="Y81"/>
      <c r="Z81"/>
      <c r="AA81"/>
      <c r="AB81"/>
    </row>
    <row r="82" spans="1:28" ht="20.100000000000001" customHeight="1" outlineLevel="1">
      <c r="A82"/>
      <c r="B82" s="1321" t="s">
        <v>1343</v>
      </c>
      <c r="C82" s="1305"/>
      <c r="D82" s="1306"/>
      <c r="E82" s="1306"/>
      <c r="F82" s="1306"/>
      <c r="G82" s="1307"/>
      <c r="H82" s="1305"/>
      <c r="I82" s="1306"/>
      <c r="J82" s="1306"/>
      <c r="K82" s="1306"/>
      <c r="L82" s="1307"/>
      <c r="M82"/>
      <c r="N82"/>
      <c r="O82"/>
      <c r="P82"/>
      <c r="Q82"/>
      <c r="U82"/>
      <c r="V82"/>
      <c r="W82"/>
      <c r="X82"/>
      <c r="Y82"/>
      <c r="Z82"/>
      <c r="AA82"/>
      <c r="AB82"/>
    </row>
    <row r="83" spans="1:28" ht="20.100000000000001" customHeight="1" outlineLevel="1">
      <c r="A83"/>
      <c r="B83" s="1321" t="s">
        <v>60</v>
      </c>
      <c r="C83" s="1305"/>
      <c r="D83" s="1306"/>
      <c r="E83" s="1306"/>
      <c r="F83" s="1306"/>
      <c r="G83" s="1307"/>
      <c r="H83" s="1305"/>
      <c r="I83" s="1306"/>
      <c r="J83" s="1306"/>
      <c r="K83" s="1306"/>
      <c r="L83" s="1307"/>
      <c r="M83"/>
      <c r="N83"/>
      <c r="O83"/>
      <c r="P83"/>
      <c r="Q83"/>
      <c r="U83"/>
      <c r="V83"/>
      <c r="W83"/>
      <c r="X83"/>
      <c r="Y83"/>
      <c r="Z83"/>
      <c r="AA83"/>
      <c r="AB83"/>
    </row>
    <row r="84" spans="1:28" ht="20.100000000000001" customHeight="1" outlineLevel="1">
      <c r="A84"/>
      <c r="B84" s="1321" t="s">
        <v>1344</v>
      </c>
      <c r="C84" s="1305"/>
      <c r="D84" s="1306"/>
      <c r="E84" s="1306"/>
      <c r="F84" s="1306"/>
      <c r="G84" s="1307"/>
      <c r="H84" s="1305"/>
      <c r="I84" s="1306"/>
      <c r="J84" s="1306"/>
      <c r="K84" s="1306"/>
      <c r="L84" s="1307"/>
      <c r="M84"/>
      <c r="N84"/>
      <c r="O84"/>
      <c r="P84"/>
      <c r="Q84"/>
      <c r="U84"/>
      <c r="V84"/>
      <c r="W84"/>
      <c r="X84"/>
      <c r="Y84"/>
      <c r="Z84"/>
      <c r="AA84"/>
      <c r="AB84"/>
    </row>
    <row r="85" spans="1:28" ht="20.100000000000001" customHeight="1" outlineLevel="1">
      <c r="A85"/>
      <c r="B85" s="1321" t="s">
        <v>1345</v>
      </c>
      <c r="C85" s="1305"/>
      <c r="D85" s="1306"/>
      <c r="E85" s="1306"/>
      <c r="F85" s="1306"/>
      <c r="G85" s="1307"/>
      <c r="H85" s="1305"/>
      <c r="I85" s="1306"/>
      <c r="J85" s="1306"/>
      <c r="K85" s="1306"/>
      <c r="L85" s="1307"/>
      <c r="M85"/>
      <c r="N85"/>
      <c r="O85"/>
      <c r="P85"/>
      <c r="Q85"/>
      <c r="U85"/>
      <c r="V85"/>
      <c r="W85"/>
      <c r="X85"/>
      <c r="Y85"/>
      <c r="Z85"/>
      <c r="AA85"/>
      <c r="AB85"/>
    </row>
    <row r="86" spans="1:28" ht="20.100000000000001" customHeight="1" outlineLevel="1">
      <c r="A86"/>
      <c r="B86" s="1321" t="s">
        <v>61</v>
      </c>
      <c r="C86" s="1305"/>
      <c r="D86" s="1306"/>
      <c r="E86" s="1306"/>
      <c r="F86" s="1306"/>
      <c r="G86" s="1307"/>
      <c r="H86" s="1305"/>
      <c r="I86" s="1306"/>
      <c r="J86" s="1306"/>
      <c r="K86" s="1306"/>
      <c r="L86" s="1307"/>
      <c r="M86"/>
      <c r="N86"/>
      <c r="O86"/>
      <c r="P86"/>
      <c r="Q86"/>
      <c r="U86"/>
      <c r="V86"/>
      <c r="W86"/>
      <c r="X86"/>
      <c r="Y86"/>
      <c r="Z86"/>
      <c r="AA86"/>
      <c r="AB86"/>
    </row>
    <row r="87" spans="1:28" ht="20.100000000000001" customHeight="1" outlineLevel="1">
      <c r="A87"/>
      <c r="B87" s="1321" t="s">
        <v>1346</v>
      </c>
      <c r="C87" s="1305"/>
      <c r="D87" s="1306"/>
      <c r="E87" s="1306"/>
      <c r="F87" s="1306"/>
      <c r="G87" s="1307"/>
      <c r="H87" s="1305"/>
      <c r="I87" s="1306"/>
      <c r="J87" s="1306"/>
      <c r="K87" s="1306"/>
      <c r="L87" s="1307"/>
      <c r="M87"/>
      <c r="N87"/>
      <c r="O87"/>
      <c r="P87"/>
      <c r="Q87"/>
      <c r="U87"/>
      <c r="V87"/>
      <c r="W87"/>
      <c r="X87"/>
      <c r="Y87"/>
      <c r="Z87"/>
      <c r="AA87"/>
      <c r="AB87"/>
    </row>
    <row r="88" spans="1:28" ht="20.100000000000001" customHeight="1" outlineLevel="1">
      <c r="A88"/>
      <c r="B88" s="1321" t="s">
        <v>62</v>
      </c>
      <c r="C88" s="1305"/>
      <c r="D88" s="1306"/>
      <c r="E88" s="1306"/>
      <c r="F88" s="1306"/>
      <c r="G88" s="1307"/>
      <c r="H88" s="1305"/>
      <c r="I88" s="1306"/>
      <c r="J88" s="1306"/>
      <c r="K88" s="1306"/>
      <c r="L88" s="1307"/>
      <c r="M88"/>
      <c r="N88"/>
      <c r="O88"/>
      <c r="P88"/>
      <c r="Q88"/>
      <c r="U88"/>
      <c r="V88"/>
      <c r="W88"/>
      <c r="X88"/>
      <c r="Y88"/>
      <c r="Z88"/>
      <c r="AA88"/>
      <c r="AB88"/>
    </row>
    <row r="89" spans="1:28" ht="20.100000000000001" customHeight="1" outlineLevel="1">
      <c r="A89"/>
      <c r="B89" s="2736" t="s">
        <v>1347</v>
      </c>
      <c r="C89" s="2733">
        <f>SUM(C81:C88)</f>
        <v>0</v>
      </c>
      <c r="D89" s="2737">
        <f>SUM(D81:D88)</f>
        <v>0</v>
      </c>
      <c r="E89" s="2737">
        <f t="shared" ref="E89" si="19">SUM(E81:E88)</f>
        <v>0</v>
      </c>
      <c r="F89" s="2737">
        <f t="shared" ref="F89" si="20">SUM(F81:F88)</f>
        <v>0</v>
      </c>
      <c r="G89" s="2735">
        <f>SUM(G81:G88)</f>
        <v>0</v>
      </c>
      <c r="H89" s="2733">
        <f>SUM(H81:H88)</f>
        <v>0</v>
      </c>
      <c r="I89" s="2737">
        <f>SUM(I81:I88)</f>
        <v>0</v>
      </c>
      <c r="J89" s="2737">
        <f t="shared" ref="J89" si="21">SUM(J81:J88)</f>
        <v>0</v>
      </c>
      <c r="K89" s="2737">
        <f t="shared" ref="K89" si="22">SUM(K81:K88)</f>
        <v>0</v>
      </c>
      <c r="L89" s="2735">
        <f>SUM(L81:L88)</f>
        <v>0</v>
      </c>
      <c r="M89"/>
      <c r="N89"/>
      <c r="O89"/>
      <c r="P89"/>
      <c r="Q89"/>
      <c r="U89"/>
      <c r="V89"/>
      <c r="W89"/>
      <c r="X89"/>
      <c r="Y89"/>
      <c r="Z89"/>
      <c r="AA89"/>
      <c r="AB89"/>
    </row>
    <row r="90" spans="1:28" ht="20.100000000000001" customHeight="1" outlineLevel="1" thickBot="1">
      <c r="A90"/>
      <c r="B90" s="2742" t="s">
        <v>1355</v>
      </c>
      <c r="C90" s="1310">
        <f>'[10]23.1 Opex incl. RPM'!C90*1000</f>
        <v>56401047.860123098</v>
      </c>
      <c r="D90" s="1311">
        <f>'[10]23.1 Opex incl. RPM'!D90*1000</f>
        <v>56634835.883826301</v>
      </c>
      <c r="E90" s="1311">
        <f>'[10]23.1 Opex incl. RPM'!E90*1000</f>
        <v>57613477.158376001</v>
      </c>
      <c r="F90" s="1311">
        <f>'[10]23.1 Opex incl. RPM'!F90*1000</f>
        <v>58609244.655230299</v>
      </c>
      <c r="G90" s="1312">
        <f>'[10]23.1 Opex incl. RPM'!G90*1000</f>
        <v>60068433.287116505</v>
      </c>
      <c r="H90" s="1310">
        <f>'[10]23.1 Opex incl. RPM'!H90*1000</f>
        <v>67098279.48557011</v>
      </c>
      <c r="I90" s="1311">
        <f>'[10]23.1 Opex incl. RPM'!I90*1000</f>
        <v>58272295.399353601</v>
      </c>
      <c r="J90" s="1311">
        <f>'[10]23.1 Opex incl. RPM'!J90*1000</f>
        <v>62330447.995296299</v>
      </c>
      <c r="K90" s="1311">
        <f>'[10]23.1 Opex incl. RPM'!K90*1000</f>
        <v>55846560.673647404</v>
      </c>
      <c r="L90" s="1312">
        <f>'[10]23.1 Opex incl. RPM'!L90*1000</f>
        <v>58651468.223030001</v>
      </c>
      <c r="M90"/>
      <c r="N90"/>
      <c r="O90"/>
      <c r="P90"/>
      <c r="Q90"/>
      <c r="U90"/>
      <c r="V90"/>
      <c r="W90"/>
      <c r="X90"/>
      <c r="Y90"/>
      <c r="Z90"/>
      <c r="AA90"/>
      <c r="AB90"/>
    </row>
    <row r="91" spans="1:28" ht="20.100000000000001" customHeight="1" outlineLevel="1">
      <c r="A91"/>
      <c r="B91" s="2739" t="s">
        <v>1364</v>
      </c>
      <c r="C91" s="2740"/>
      <c r="D91" s="2740"/>
      <c r="E91" s="2740"/>
      <c r="F91" s="2740"/>
      <c r="G91" s="2740"/>
      <c r="H91" s="2740"/>
      <c r="I91" s="2740"/>
      <c r="J91" s="2740"/>
      <c r="K91" s="2740"/>
      <c r="L91" s="2741"/>
      <c r="M91"/>
      <c r="N91"/>
      <c r="O91"/>
      <c r="P91"/>
      <c r="Q91"/>
      <c r="U91"/>
      <c r="V91"/>
      <c r="W91"/>
      <c r="X91"/>
      <c r="Y91"/>
      <c r="Z91"/>
      <c r="AA91"/>
      <c r="AB91"/>
    </row>
    <row r="92" spans="1:28" ht="20.100000000000001" customHeight="1" outlineLevel="1">
      <c r="A92"/>
      <c r="B92" s="1321" t="s">
        <v>1350</v>
      </c>
      <c r="C92" s="2965">
        <v>12412.423415452286</v>
      </c>
      <c r="D92" s="2966">
        <v>12709.370478380348</v>
      </c>
      <c r="E92" s="2966">
        <v>13013.421517319402</v>
      </c>
      <c r="F92" s="2966">
        <v>13324.746483353207</v>
      </c>
      <c r="G92" s="2967">
        <v>13643.519393369075</v>
      </c>
      <c r="H92" s="2965">
        <v>7866.2765531062114</v>
      </c>
      <c r="I92" s="2966">
        <v>7866.2765531062114</v>
      </c>
      <c r="J92" s="2966">
        <v>7866.2765531062114</v>
      </c>
      <c r="K92" s="2966">
        <v>7866.2765531062114</v>
      </c>
      <c r="L92" s="2967">
        <v>7866.2765531062114</v>
      </c>
      <c r="M92"/>
      <c r="N92"/>
      <c r="O92"/>
      <c r="P92"/>
      <c r="Q92"/>
      <c r="U92"/>
      <c r="V92"/>
      <c r="W92"/>
      <c r="X92"/>
      <c r="Y92"/>
      <c r="Z92"/>
      <c r="AA92"/>
      <c r="AB92"/>
    </row>
    <row r="93" spans="1:28" ht="20.100000000000001" customHeight="1" outlineLevel="1">
      <c r="A93"/>
      <c r="B93" s="1321" t="s">
        <v>1351</v>
      </c>
      <c r="C93" s="2965">
        <v>302637.40127414226</v>
      </c>
      <c r="D93" s="2966">
        <v>309877.50938459096</v>
      </c>
      <c r="E93" s="2966">
        <v>317290.82531809882</v>
      </c>
      <c r="F93" s="2966">
        <v>324881.49279041041</v>
      </c>
      <c r="G93" s="2967">
        <v>332653.75464893662</v>
      </c>
      <c r="H93" s="2965">
        <v>570704.06412825652</v>
      </c>
      <c r="I93" s="2966">
        <v>570704.06412825652</v>
      </c>
      <c r="J93" s="2966">
        <v>570704.06412825652</v>
      </c>
      <c r="K93" s="2966">
        <v>570704.06412825652</v>
      </c>
      <c r="L93" s="2967">
        <v>570704.06412825652</v>
      </c>
      <c r="M93"/>
      <c r="N93"/>
      <c r="O93"/>
      <c r="P93"/>
      <c r="Q93"/>
      <c r="U93"/>
      <c r="V93"/>
      <c r="W93"/>
      <c r="X93"/>
      <c r="Y93"/>
      <c r="Z93"/>
      <c r="AA93"/>
      <c r="AB93"/>
    </row>
    <row r="94" spans="1:28" ht="20.100000000000001" customHeight="1" outlineLevel="1">
      <c r="A94"/>
      <c r="B94" s="1321" t="s">
        <v>1352</v>
      </c>
      <c r="C94" s="2965">
        <v>71479.43652076897</v>
      </c>
      <c r="D94" s="2966">
        <v>73189.465902152442</v>
      </c>
      <c r="E94" s="2966">
        <v>74940.404958087471</v>
      </c>
      <c r="F94" s="2966">
        <v>76733.232386069081</v>
      </c>
      <c r="G94" s="2967">
        <v>78568.950297339659</v>
      </c>
      <c r="H94" s="2965">
        <v>388183.64729458914</v>
      </c>
      <c r="I94" s="2966">
        <v>388183.64729458914</v>
      </c>
      <c r="J94" s="2966">
        <v>388183.64729458914</v>
      </c>
      <c r="K94" s="2966">
        <v>388183.64729458914</v>
      </c>
      <c r="L94" s="2967">
        <v>388183.64729458914</v>
      </c>
      <c r="M94"/>
      <c r="N94"/>
      <c r="O94"/>
      <c r="P94"/>
      <c r="Q94"/>
      <c r="U94"/>
      <c r="V94"/>
      <c r="W94"/>
      <c r="X94"/>
      <c r="Y94"/>
      <c r="Z94"/>
      <c r="AA94"/>
      <c r="AB94"/>
    </row>
    <row r="95" spans="1:28" ht="20.100000000000001" customHeight="1" outlineLevel="1">
      <c r="A95"/>
      <c r="B95" s="1321" t="s">
        <v>1353</v>
      </c>
      <c r="C95" s="2965">
        <v>949945.13972386112</v>
      </c>
      <c r="D95" s="2966">
        <v>972925.03322254191</v>
      </c>
      <c r="E95" s="2966">
        <v>996733.57459448464</v>
      </c>
      <c r="F95" s="1306">
        <v>1020340.8357074342</v>
      </c>
      <c r="G95" s="2967">
        <v>1042985.9683543165</v>
      </c>
      <c r="H95" s="2965">
        <v>1359927.8176318156</v>
      </c>
      <c r="I95" s="2966">
        <v>1393567.6864098567</v>
      </c>
      <c r="J95" s="2966">
        <v>1428283.9042077551</v>
      </c>
      <c r="K95" s="2966">
        <v>1463949.0319186063</v>
      </c>
      <c r="L95" s="2967">
        <v>1494950.0784270107</v>
      </c>
      <c r="M95"/>
      <c r="N95"/>
      <c r="O95"/>
      <c r="P95"/>
      <c r="Q95"/>
      <c r="U95"/>
      <c r="V95"/>
      <c r="W95"/>
      <c r="X95"/>
      <c r="Y95"/>
      <c r="Z95"/>
      <c r="AA95"/>
      <c r="AB95"/>
    </row>
    <row r="96" spans="1:28" ht="20.100000000000001" customHeight="1" outlineLevel="1" thickBot="1">
      <c r="A96"/>
      <c r="B96" s="2750" t="s">
        <v>1348</v>
      </c>
      <c r="C96" s="2747">
        <f t="shared" ref="C96:L96" si="23">SUM(C92:C95)</f>
        <v>1336474.4009342247</v>
      </c>
      <c r="D96" s="2748">
        <f t="shared" si="23"/>
        <v>1368701.3789876658</v>
      </c>
      <c r="E96" s="2748">
        <f t="shared" si="23"/>
        <v>1401978.2263879904</v>
      </c>
      <c r="F96" s="2748">
        <f t="shared" si="23"/>
        <v>1435280.3073672669</v>
      </c>
      <c r="G96" s="2749">
        <f t="shared" si="23"/>
        <v>1467852.1926939618</v>
      </c>
      <c r="H96" s="2747">
        <f t="shared" si="23"/>
        <v>2326681.8056077678</v>
      </c>
      <c r="I96" s="2748">
        <f t="shared" si="23"/>
        <v>2360321.6743858084</v>
      </c>
      <c r="J96" s="2748">
        <f t="shared" si="23"/>
        <v>2395037.8921837071</v>
      </c>
      <c r="K96" s="2748">
        <f t="shared" si="23"/>
        <v>2430703.019894558</v>
      </c>
      <c r="L96" s="2749">
        <f t="shared" si="23"/>
        <v>2461704.0664029624</v>
      </c>
      <c r="M96"/>
      <c r="N96"/>
      <c r="O96"/>
      <c r="P96"/>
      <c r="Q96"/>
      <c r="U96"/>
      <c r="V96"/>
      <c r="W96"/>
      <c r="X96"/>
      <c r="Y96"/>
      <c r="Z96"/>
      <c r="AA96"/>
      <c r="AB96"/>
    </row>
    <row r="97" spans="1:28" s="1172" customFormat="1" ht="20.100000000000001" customHeight="1" outlineLevel="1" thickBot="1">
      <c r="B97" s="2731" t="s">
        <v>1349</v>
      </c>
      <c r="C97" s="2751">
        <f t="shared" ref="C97:L97" si="24">C96+C90</f>
        <v>57737522.261057325</v>
      </c>
      <c r="D97" s="2744">
        <f t="shared" si="24"/>
        <v>58003537.262813963</v>
      </c>
      <c r="E97" s="2744">
        <f t="shared" si="24"/>
        <v>59015455.384763993</v>
      </c>
      <c r="F97" s="2744">
        <f t="shared" si="24"/>
        <v>60044524.962597564</v>
      </c>
      <c r="G97" s="2745">
        <f t="shared" si="24"/>
        <v>61536285.479810469</v>
      </c>
      <c r="H97" s="2743">
        <f t="shared" si="24"/>
        <v>69424961.291177884</v>
      </c>
      <c r="I97" s="2744">
        <f t="shared" si="24"/>
        <v>60632617.073739409</v>
      </c>
      <c r="J97" s="2744">
        <f t="shared" si="24"/>
        <v>64725485.887480006</v>
      </c>
      <c r="K97" s="2744">
        <f t="shared" si="24"/>
        <v>58277263.693541959</v>
      </c>
      <c r="L97" s="2745">
        <f t="shared" si="24"/>
        <v>61113172.289432965</v>
      </c>
      <c r="M97"/>
      <c r="N97"/>
      <c r="O97"/>
      <c r="P97"/>
      <c r="Q97"/>
      <c r="U97"/>
      <c r="V97"/>
      <c r="W97"/>
      <c r="X97"/>
      <c r="Y97"/>
      <c r="Z97"/>
      <c r="AA97"/>
      <c r="AB97"/>
    </row>
    <row r="98" spans="1:28" s="96" customFormat="1" ht="20.100000000000001" customHeight="1" thickBot="1">
      <c r="A98"/>
      <c r="B98" s="2730" t="s">
        <v>121</v>
      </c>
      <c r="C98" s="263" t="s">
        <v>1735</v>
      </c>
      <c r="D98" s="264"/>
      <c r="E98" s="264"/>
      <c r="F98" s="264"/>
      <c r="G98" s="264"/>
      <c r="H98" s="264"/>
      <c r="I98" s="264"/>
      <c r="J98" s="264"/>
      <c r="K98" s="264"/>
      <c r="L98" s="406"/>
      <c r="M98"/>
      <c r="N98"/>
      <c r="O98"/>
      <c r="P98"/>
      <c r="Q98"/>
      <c r="R98"/>
      <c r="S98"/>
      <c r="T98"/>
      <c r="U98"/>
      <c r="V98"/>
      <c r="W98"/>
      <c r="X98"/>
      <c r="Y98"/>
      <c r="Z98"/>
      <c r="AA98"/>
      <c r="AB98"/>
    </row>
    <row r="99" spans="1:28" s="69" customFormat="1" ht="41.25" customHeight="1">
      <c r="A99"/>
      <c r="B99" s="823"/>
      <c r="C99" s="823"/>
      <c r="D99" s="361"/>
      <c r="E99" s="696"/>
      <c r="F99" s="696"/>
      <c r="G99" s="696"/>
      <c r="H99" s="696"/>
      <c r="I99"/>
      <c r="J99"/>
      <c r="K99"/>
      <c r="L99"/>
      <c r="M99"/>
      <c r="N99"/>
      <c r="O99"/>
      <c r="P99"/>
      <c r="Q99"/>
      <c r="R99"/>
      <c r="S99"/>
    </row>
    <row r="100" spans="1:28" s="69" customFormat="1" ht="37.5" customHeight="1">
      <c r="A100"/>
      <c r="B100" s="136"/>
      <c r="C100" s="136"/>
      <c r="D100" s="136"/>
      <c r="E100" s="136"/>
      <c r="F100" s="136"/>
      <c r="G100" s="136"/>
      <c r="H100" s="136"/>
      <c r="I100"/>
      <c r="J100"/>
      <c r="K100"/>
      <c r="L100"/>
      <c r="M100"/>
      <c r="N100"/>
      <c r="O100"/>
      <c r="P100"/>
      <c r="Q100"/>
      <c r="R100"/>
      <c r="S100"/>
    </row>
    <row r="101" spans="1:28" s="21" customFormat="1" ht="38.25" customHeight="1">
      <c r="A101"/>
      <c r="B101" s="824"/>
      <c r="C101" s="824"/>
      <c r="D101" s="824"/>
      <c r="E101" s="824"/>
      <c r="F101" s="824"/>
      <c r="G101" s="824"/>
      <c r="H101" s="824"/>
      <c r="I101"/>
      <c r="J101"/>
      <c r="K101"/>
      <c r="L101"/>
      <c r="M101"/>
      <c r="N101"/>
      <c r="O101"/>
      <c r="P101"/>
      <c r="Q101"/>
      <c r="R101"/>
      <c r="S101"/>
    </row>
    <row r="102" spans="1:28" s="96" customFormat="1" ht="20.100000000000001" customHeight="1">
      <c r="A102"/>
      <c r="B102" s="824"/>
      <c r="C102" s="824"/>
      <c r="D102" s="824"/>
      <c r="E102" s="696"/>
      <c r="F102" s="696"/>
      <c r="G102" s="696"/>
      <c r="H102" s="696"/>
      <c r="I102"/>
      <c r="J102"/>
      <c r="K102"/>
      <c r="L102"/>
      <c r="M102"/>
      <c r="N102"/>
      <c r="O102"/>
      <c r="P102"/>
      <c r="Q102"/>
      <c r="R102"/>
      <c r="S102"/>
    </row>
    <row r="103" spans="1:28" s="136" customFormat="1" ht="21.75" customHeight="1">
      <c r="A103"/>
      <c r="B103" s="824"/>
      <c r="C103" s="824"/>
      <c r="D103" s="824"/>
      <c r="E103" s="696"/>
      <c r="F103" s="696"/>
      <c r="G103" s="696"/>
      <c r="H103" s="696"/>
      <c r="L103"/>
      <c r="M103"/>
      <c r="N103"/>
      <c r="O103"/>
      <c r="P103"/>
      <c r="Q103"/>
      <c r="R103"/>
      <c r="S103"/>
    </row>
    <row r="104" spans="1:28" s="96" customFormat="1" ht="20.100000000000001" customHeight="1">
      <c r="A104"/>
      <c r="B104" s="824"/>
      <c r="C104" s="824"/>
      <c r="D104" s="824"/>
      <c r="E104" s="696"/>
      <c r="F104" s="696"/>
      <c r="G104" s="696"/>
      <c r="H104" s="696"/>
      <c r="I104"/>
      <c r="J104"/>
      <c r="K104"/>
      <c r="L104"/>
      <c r="M104"/>
      <c r="N104"/>
      <c r="O104"/>
      <c r="P104"/>
      <c r="Q104"/>
      <c r="R104"/>
      <c r="S104"/>
    </row>
    <row r="105" spans="1:28" s="96" customFormat="1" ht="20.100000000000001" customHeight="1">
      <c r="A105"/>
      <c r="B105" s="824"/>
      <c r="C105" s="824"/>
      <c r="D105" s="696"/>
      <c r="E105" s="696"/>
      <c r="F105" s="696"/>
      <c r="G105" s="696"/>
      <c r="H105" s="824"/>
      <c r="I105"/>
      <c r="J105"/>
      <c r="K105"/>
      <c r="L105"/>
      <c r="M105"/>
      <c r="N105"/>
      <c r="O105"/>
      <c r="P105"/>
      <c r="Q105"/>
      <c r="R105"/>
      <c r="S105"/>
    </row>
    <row r="106" spans="1:28" s="96" customFormat="1" ht="20.100000000000001" customHeight="1">
      <c r="A106"/>
      <c r="B106" s="741"/>
      <c r="C106" s="741"/>
      <c r="D106" s="696"/>
      <c r="E106" s="696"/>
      <c r="F106" s="696"/>
      <c r="G106" s="696"/>
      <c r="H106" s="696"/>
      <c r="I106"/>
      <c r="J106"/>
      <c r="K106"/>
      <c r="L106"/>
      <c r="M106"/>
      <c r="N106"/>
      <c r="O106"/>
      <c r="P106"/>
      <c r="Q106"/>
      <c r="R106"/>
      <c r="S106"/>
    </row>
    <row r="107" spans="1:28" ht="20.100000000000001" customHeight="1">
      <c r="A107"/>
      <c r="B107" s="741"/>
      <c r="C107" s="741"/>
      <c r="D107" s="696"/>
      <c r="E107" s="696"/>
      <c r="F107" s="696"/>
      <c r="G107" s="696"/>
      <c r="H107" s="696"/>
      <c r="I107"/>
      <c r="J107"/>
      <c r="K107"/>
      <c r="L107"/>
      <c r="M107"/>
      <c r="N107"/>
      <c r="O107"/>
      <c r="P107"/>
      <c r="Q107"/>
      <c r="T107" s="95"/>
      <c r="U107" s="95"/>
      <c r="V107" s="95"/>
      <c r="W107" s="95"/>
      <c r="X107" s="95"/>
      <c r="Y107" s="95"/>
      <c r="Z107" s="95"/>
      <c r="AA107" s="95"/>
      <c r="AB107" s="95"/>
    </row>
    <row r="108" spans="1:28" ht="20.100000000000001" customHeight="1">
      <c r="A108"/>
      <c r="B108" s="741"/>
      <c r="C108" s="741"/>
      <c r="D108" s="696"/>
      <c r="E108" s="696"/>
      <c r="F108" s="696"/>
      <c r="G108" s="696"/>
      <c r="H108" s="696"/>
      <c r="I108"/>
      <c r="J108"/>
      <c r="K108"/>
      <c r="L108"/>
      <c r="M108"/>
      <c r="N108"/>
      <c r="O108"/>
      <c r="P108"/>
      <c r="Q108"/>
      <c r="T108" s="95"/>
      <c r="U108" s="95"/>
      <c r="V108" s="95"/>
      <c r="W108" s="95"/>
      <c r="X108" s="95"/>
      <c r="Y108" s="95"/>
      <c r="Z108" s="95"/>
      <c r="AA108" s="95"/>
      <c r="AB108" s="95"/>
    </row>
    <row r="109" spans="1:28" ht="20.100000000000001" customHeight="1">
      <c r="A109"/>
      <c r="B109" s="741"/>
      <c r="C109" s="741"/>
      <c r="D109" s="696"/>
      <c r="E109" s="696"/>
      <c r="F109" s="696"/>
      <c r="G109" s="696"/>
      <c r="H109" s="696"/>
      <c r="I109"/>
      <c r="J109"/>
      <c r="K109"/>
      <c r="L109"/>
      <c r="M109"/>
      <c r="N109"/>
      <c r="O109"/>
      <c r="P109"/>
      <c r="Q109"/>
      <c r="T109" s="95"/>
      <c r="U109" s="95"/>
      <c r="V109" s="95"/>
      <c r="W109" s="95"/>
      <c r="X109" s="95"/>
      <c r="Y109" s="95"/>
      <c r="Z109" s="95"/>
      <c r="AA109" s="95"/>
      <c r="AB109" s="95"/>
    </row>
    <row r="110" spans="1:28" ht="20.100000000000001" customHeight="1">
      <c r="A110"/>
      <c r="B110" s="741"/>
      <c r="C110" s="741"/>
      <c r="D110" s="696"/>
      <c r="E110" s="696"/>
      <c r="F110" s="696"/>
      <c r="G110" s="696"/>
      <c r="H110" s="696"/>
      <c r="I110"/>
      <c r="J110"/>
      <c r="K110"/>
      <c r="L110"/>
      <c r="M110"/>
      <c r="N110"/>
      <c r="O110"/>
      <c r="P110"/>
      <c r="Q110"/>
      <c r="T110" s="95"/>
      <c r="U110" s="95"/>
      <c r="V110" s="95"/>
      <c r="W110" s="95"/>
      <c r="X110" s="95"/>
      <c r="Y110" s="95"/>
      <c r="Z110" s="95"/>
      <c r="AA110" s="95"/>
      <c r="AB110" s="95"/>
    </row>
    <row r="111" spans="1:28" ht="20.100000000000001" customHeight="1">
      <c r="A111"/>
      <c r="B111" s="741"/>
      <c r="C111" s="741"/>
      <c r="D111" s="696"/>
      <c r="E111" s="696"/>
      <c r="F111" s="696"/>
      <c r="G111" s="696"/>
      <c r="H111" s="696"/>
      <c r="I111"/>
      <c r="J111"/>
      <c r="K111"/>
      <c r="L111"/>
      <c r="M111"/>
      <c r="N111"/>
      <c r="O111"/>
      <c r="P111"/>
      <c r="Q111"/>
      <c r="T111" s="95"/>
      <c r="U111" s="95"/>
      <c r="V111" s="95"/>
      <c r="W111" s="95"/>
      <c r="X111" s="95"/>
      <c r="Y111" s="95"/>
      <c r="Z111" s="95"/>
      <c r="AA111" s="95"/>
      <c r="AB111" s="95"/>
    </row>
    <row r="112" spans="1:28" ht="20.100000000000001" customHeight="1">
      <c r="A112"/>
      <c r="B112" s="741"/>
      <c r="C112" s="741"/>
      <c r="D112" s="696"/>
      <c r="E112" s="696"/>
      <c r="F112" s="696"/>
      <c r="G112" s="696"/>
      <c r="H112" s="696"/>
      <c r="I112"/>
      <c r="J112"/>
      <c r="K112"/>
      <c r="L112"/>
      <c r="M112"/>
      <c r="N112"/>
      <c r="O112"/>
      <c r="P112"/>
      <c r="Q112"/>
      <c r="T112" s="95"/>
      <c r="U112" s="95"/>
      <c r="V112" s="95"/>
      <c r="W112" s="95"/>
      <c r="X112" s="95"/>
      <c r="Y112" s="95"/>
      <c r="Z112" s="95"/>
      <c r="AA112" s="95"/>
      <c r="AB112" s="95"/>
    </row>
    <row r="113" spans="1:28" ht="20.100000000000001" customHeight="1">
      <c r="A113"/>
      <c r="B113" s="741"/>
      <c r="C113" s="741"/>
      <c r="D113" s="696"/>
      <c r="E113" s="696"/>
      <c r="F113" s="696"/>
      <c r="G113" s="696"/>
      <c r="H113" s="696"/>
      <c r="I113"/>
      <c r="J113"/>
      <c r="K113"/>
      <c r="L113"/>
      <c r="M113"/>
      <c r="N113"/>
      <c r="O113"/>
      <c r="P113"/>
      <c r="Q113"/>
      <c r="T113" s="95"/>
      <c r="U113" s="95"/>
      <c r="V113" s="95"/>
      <c r="W113" s="95"/>
      <c r="X113" s="95"/>
      <c r="Y113" s="95"/>
      <c r="Z113" s="95"/>
      <c r="AA113" s="95"/>
      <c r="AB113" s="95"/>
    </row>
    <row r="114" spans="1:28" ht="20.100000000000001" customHeight="1">
      <c r="A114"/>
      <c r="B114" s="741"/>
      <c r="C114" s="741"/>
      <c r="D114" s="696"/>
      <c r="E114" s="696"/>
      <c r="F114" s="696"/>
      <c r="G114" s="696"/>
      <c r="H114" s="696"/>
      <c r="I114"/>
      <c r="J114"/>
      <c r="K114"/>
      <c r="L114"/>
      <c r="M114"/>
      <c r="N114"/>
      <c r="O114"/>
      <c r="P114"/>
      <c r="Q114"/>
      <c r="T114" s="95"/>
      <c r="U114" s="95"/>
      <c r="V114" s="95"/>
      <c r="W114" s="95"/>
      <c r="X114" s="95"/>
      <c r="Y114" s="95"/>
      <c r="Z114" s="95"/>
      <c r="AA114" s="95"/>
      <c r="AB114" s="95"/>
    </row>
    <row r="115" spans="1:28" ht="20.100000000000001" customHeight="1">
      <c r="A115" s="696"/>
      <c r="B115" s="741"/>
      <c r="C115" s="741"/>
      <c r="D115" s="696"/>
      <c r="E115" s="696"/>
      <c r="F115" s="696"/>
      <c r="G115" s="696"/>
      <c r="H115" s="696"/>
      <c r="I115"/>
      <c r="J115"/>
      <c r="K115"/>
      <c r="L115"/>
      <c r="M115"/>
      <c r="N115"/>
      <c r="O115"/>
      <c r="P115"/>
      <c r="Q115"/>
      <c r="T115" s="95"/>
      <c r="U115" s="95"/>
      <c r="V115" s="95"/>
      <c r="W115" s="95"/>
      <c r="X115" s="95"/>
      <c r="Y115" s="95"/>
      <c r="Z115" s="95"/>
      <c r="AA115" s="95"/>
      <c r="AB115" s="95"/>
    </row>
    <row r="116" spans="1:28" ht="20.100000000000001" customHeight="1">
      <c r="A116" s="696"/>
      <c r="B116" s="741"/>
      <c r="C116" s="741"/>
      <c r="D116" s="696"/>
      <c r="E116" s="696"/>
      <c r="F116" s="696"/>
      <c r="G116" s="696"/>
      <c r="H116" s="696"/>
      <c r="I116"/>
      <c r="J116"/>
      <c r="K116"/>
      <c r="L116"/>
      <c r="M116"/>
      <c r="N116"/>
      <c r="O116"/>
      <c r="P116"/>
      <c r="Q116"/>
      <c r="T116" s="95"/>
      <c r="U116" s="95"/>
      <c r="V116" s="95"/>
      <c r="W116" s="95"/>
      <c r="X116" s="95"/>
      <c r="Y116" s="95"/>
      <c r="Z116" s="95"/>
      <c r="AA116" s="95"/>
      <c r="AB116" s="95"/>
    </row>
    <row r="117" spans="1:28" ht="20.100000000000001" customHeight="1">
      <c r="A117" s="696"/>
      <c r="B117" s="741"/>
      <c r="C117" s="741"/>
      <c r="D117" s="696"/>
      <c r="E117" s="696"/>
      <c r="F117" s="696"/>
      <c r="G117" s="696"/>
      <c r="H117" s="696"/>
      <c r="I117"/>
      <c r="J117"/>
      <c r="K117"/>
      <c r="L117"/>
      <c r="M117"/>
      <c r="N117"/>
      <c r="O117"/>
      <c r="P117"/>
      <c r="Q117"/>
      <c r="T117" s="95"/>
      <c r="U117" s="95"/>
      <c r="V117" s="95"/>
      <c r="W117" s="95"/>
      <c r="X117" s="95"/>
      <c r="Y117" s="95"/>
      <c r="Z117" s="95"/>
      <c r="AA117" s="95"/>
      <c r="AB117" s="95"/>
    </row>
    <row r="118" spans="1:28" ht="20.100000000000001" customHeight="1">
      <c r="A118" s="696"/>
      <c r="B118" s="741"/>
      <c r="C118" s="741"/>
      <c r="D118" s="696"/>
      <c r="E118" s="696"/>
      <c r="F118" s="696"/>
      <c r="G118" s="696"/>
      <c r="H118" s="696"/>
      <c r="I118"/>
      <c r="J118"/>
      <c r="K118"/>
      <c r="L118"/>
      <c r="M118"/>
      <c r="N118"/>
      <c r="O118"/>
      <c r="P118"/>
      <c r="Q118"/>
      <c r="T118" s="95"/>
      <c r="U118" s="95"/>
      <c r="V118" s="95"/>
      <c r="W118" s="95"/>
      <c r="X118" s="95"/>
      <c r="Y118" s="95"/>
      <c r="Z118" s="95"/>
      <c r="AA118" s="95"/>
      <c r="AB118" s="95"/>
    </row>
    <row r="119" spans="1:28" ht="20.100000000000001" customHeight="1">
      <c r="A119" s="314"/>
      <c r="B119" s="705"/>
      <c r="C119" s="705"/>
      <c r="D119" s="705"/>
      <c r="E119" s="705"/>
      <c r="F119" s="705"/>
      <c r="G119" s="705"/>
      <c r="H119" s="705"/>
      <c r="I119"/>
      <c r="J119"/>
      <c r="K119"/>
      <c r="L119"/>
      <c r="M119"/>
      <c r="N119"/>
      <c r="O119"/>
      <c r="P119"/>
      <c r="Q119"/>
      <c r="T119" s="95"/>
      <c r="U119" s="95"/>
      <c r="V119" s="95"/>
      <c r="W119" s="95"/>
      <c r="X119" s="95"/>
      <c r="Y119" s="95"/>
      <c r="Z119" s="95"/>
      <c r="AA119" s="95"/>
      <c r="AB119" s="95"/>
    </row>
    <row r="120" spans="1:28" s="69" customFormat="1" ht="20.100000000000001" customHeight="1">
      <c r="A120" s="314"/>
      <c r="B120" s="110"/>
      <c r="C120" s="110"/>
      <c r="D120" s="110"/>
      <c r="E120" s="95"/>
      <c r="F120" s="95"/>
      <c r="G120" s="95"/>
      <c r="H120" s="95"/>
      <c r="I120"/>
      <c r="J120"/>
      <c r="K120"/>
      <c r="L120"/>
      <c r="M120"/>
      <c r="N120"/>
      <c r="O120"/>
      <c r="P120"/>
      <c r="Q120"/>
      <c r="R120"/>
      <c r="S120"/>
    </row>
    <row r="121" spans="1:28" s="69" customFormat="1" ht="20.100000000000001" customHeight="1">
      <c r="A121" s="705"/>
      <c r="B121" s="110"/>
      <c r="C121" s="110"/>
      <c r="D121" s="110"/>
      <c r="E121" s="95"/>
      <c r="F121" s="95"/>
      <c r="G121" s="95"/>
      <c r="H121" s="95"/>
      <c r="I121"/>
      <c r="J121"/>
      <c r="K121"/>
      <c r="L121" s="76"/>
      <c r="M121" s="1172"/>
      <c r="N121" s="1172"/>
      <c r="O121" s="1172"/>
      <c r="P121" s="1172"/>
      <c r="Q121" s="1172"/>
      <c r="R121" s="1178"/>
      <c r="S121" s="1178"/>
    </row>
    <row r="122" spans="1:28" s="21" customFormat="1" ht="38.25" customHeight="1">
      <c r="A122" s="95"/>
      <c r="B122" s="76"/>
      <c r="C122" s="76"/>
      <c r="D122" s="95"/>
      <c r="E122" s="95"/>
      <c r="F122" s="95"/>
      <c r="G122" s="95"/>
      <c r="H122" s="95"/>
      <c r="I122" s="95"/>
      <c r="J122" s="95"/>
      <c r="K122" s="95"/>
      <c r="L122" s="95"/>
      <c r="M122" s="95"/>
      <c r="N122" s="95"/>
      <c r="O122" s="95"/>
      <c r="P122" s="95"/>
      <c r="Q122" s="95"/>
      <c r="R122"/>
      <c r="S122"/>
      <c r="T122"/>
      <c r="U122" s="76"/>
      <c r="V122" s="1172"/>
      <c r="W122" s="1172"/>
      <c r="X122" s="1172"/>
      <c r="Y122" s="1172"/>
      <c r="Z122" s="1172"/>
      <c r="AA122" s="1178"/>
      <c r="AB122" s="1178"/>
    </row>
  </sheetData>
  <mergeCells count="18">
    <mergeCell ref="B59:B62"/>
    <mergeCell ref="C59:G59"/>
    <mergeCell ref="H59:L59"/>
    <mergeCell ref="C18:J18"/>
    <mergeCell ref="K18:Q18"/>
    <mergeCell ref="C19:J19"/>
    <mergeCell ref="K19:Q19"/>
    <mergeCell ref="C57:Q57"/>
    <mergeCell ref="C60:L60"/>
    <mergeCell ref="C61:L61"/>
    <mergeCell ref="U17:Y17"/>
    <mergeCell ref="Z17:AB17"/>
    <mergeCell ref="U18:AB18"/>
    <mergeCell ref="U19:AB19"/>
    <mergeCell ref="B17:B20"/>
    <mergeCell ref="C17:G17"/>
    <mergeCell ref="H17:L17"/>
    <mergeCell ref="M17:Q17"/>
  </mergeCells>
  <pageMargins left="0.75" right="0.75" top="1" bottom="1" header="0.5" footer="0.5"/>
  <pageSetup paperSize="9" orientation="portrait" r:id="rId1"/>
  <headerFooter alignWithMargins="0"/>
  <customProperties>
    <customPr name="_pios_id" r:id="rId2"/>
  </customProperties>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autoPageBreaks="0"/>
  </sheetPr>
  <dimension ref="A1:AG123"/>
  <sheetViews>
    <sheetView showGridLines="0" topLeftCell="A8" zoomScale="50" zoomScaleNormal="50" workbookViewId="0">
      <selection activeCell="I54" sqref="I54"/>
    </sheetView>
  </sheetViews>
  <sheetFormatPr defaultColWidth="9.140625" defaultRowHeight="20.100000000000001" customHeight="1" outlineLevelRow="1"/>
  <cols>
    <col min="1" max="1" width="17" style="1172" customWidth="1"/>
    <col min="2" max="2" width="140.28515625" style="76" bestFit="1" customWidth="1"/>
    <col min="3" max="3" width="15.7109375" style="76" customWidth="1"/>
    <col min="4" max="8" width="15.7109375" style="1172" customWidth="1"/>
    <col min="9" max="9" width="17.28515625" style="1172" customWidth="1"/>
    <col min="10" max="10" width="16.7109375" style="1172" customWidth="1"/>
    <col min="11" max="11" width="17.5703125" style="1172" customWidth="1"/>
    <col min="12" max="12" width="17.7109375" style="1172" customWidth="1"/>
    <col min="13" max="17" width="15.7109375" style="1172" customWidth="1"/>
    <col min="18" max="18" width="13" style="1172" customWidth="1"/>
    <col min="19" max="19" width="11.5703125" style="1172" bestFit="1" customWidth="1"/>
    <col min="20" max="20" width="9.140625" style="1172"/>
    <col min="21" max="21" width="15.7109375" style="76" customWidth="1"/>
    <col min="22" max="26" width="15.7109375" style="1172" customWidth="1"/>
    <col min="27" max="27" width="12.5703125" style="1172" customWidth="1"/>
    <col min="28" max="28" width="13.140625" style="1172" customWidth="1"/>
    <col min="29" max="16384" width="9.140625" style="1172"/>
  </cols>
  <sheetData>
    <row r="1" spans="1:30" s="1180" customFormat="1" ht="23.1" customHeight="1">
      <c r="B1" s="2522" t="str">
        <f>IF(dms_DataQuality="backcast",INDEX(dms_Worksheet_List,MATCH(dms_Model,dms_Model_List))&amp;" BACKCAST",INDEX(dms_Worksheet_List,MATCH(dms_Model,dms_Model_List)))</f>
        <v>REGULATORY REPORTING STATEMENT</v>
      </c>
      <c r="C1" s="491"/>
      <c r="D1" s="491"/>
      <c r="E1" s="491"/>
      <c r="F1" s="491"/>
      <c r="G1" s="491"/>
      <c r="H1" s="491"/>
      <c r="I1" s="491"/>
      <c r="J1" s="491"/>
      <c r="K1" s="491"/>
      <c r="L1" s="491"/>
      <c r="M1" s="491"/>
      <c r="N1" s="491"/>
      <c r="O1" s="491"/>
      <c r="P1" s="491"/>
      <c r="Q1" s="491"/>
      <c r="R1" s="491"/>
      <c r="S1" s="491"/>
      <c r="T1" s="491"/>
      <c r="U1" s="491"/>
      <c r="V1" s="491"/>
      <c r="W1" s="491"/>
      <c r="X1" s="491"/>
      <c r="Y1" s="491"/>
      <c r="Z1" s="491"/>
      <c r="AA1" s="491"/>
      <c r="AB1" s="491"/>
      <c r="AC1" s="1172"/>
      <c r="AD1" s="1172"/>
    </row>
    <row r="2" spans="1:30" s="1180" customFormat="1" ht="23.1" customHeight="1">
      <c r="B2" s="2526" t="str">
        <f>INDEX(dms_TradingNameFull_List,MATCH(dms_TradingName,dms_TradingName_List))</f>
        <v>AusNet Gas Services</v>
      </c>
      <c r="C2" s="1173"/>
      <c r="D2" s="1173"/>
      <c r="E2" s="1173"/>
      <c r="F2" s="1173"/>
      <c r="G2" s="1173"/>
      <c r="H2" s="1173"/>
      <c r="I2" s="1173"/>
      <c r="J2" s="1173"/>
      <c r="K2" s="1173"/>
      <c r="L2" s="1173"/>
      <c r="M2" s="1173"/>
      <c r="N2" s="1173"/>
      <c r="O2" s="1173"/>
      <c r="P2" s="1173"/>
      <c r="Q2" s="1173"/>
      <c r="R2" s="1173"/>
      <c r="S2" s="1173"/>
      <c r="T2" s="1173"/>
      <c r="U2" s="1173"/>
      <c r="V2" s="1173"/>
      <c r="W2" s="1173"/>
      <c r="X2" s="1173"/>
      <c r="Y2" s="1173"/>
      <c r="Z2" s="1173"/>
      <c r="AA2" s="1173"/>
      <c r="AB2" s="1173"/>
      <c r="AC2" s="1172"/>
      <c r="AD2" s="1172"/>
    </row>
    <row r="3" spans="1:30" s="1180" customFormat="1" ht="23.1" customHeight="1">
      <c r="B3" s="2526" t="str">
        <f ca="1">IF(SUM(dms_SingleYear_Model)&gt;0,CRY,CONCATENATE(FRCP_y1," to ",dms_MultiYear_FinalYear_Result))</f>
        <v>2018 to 2022</v>
      </c>
      <c r="C3" s="1171"/>
      <c r="D3" s="1171"/>
      <c r="E3" s="1171"/>
      <c r="F3" s="1171"/>
      <c r="G3" s="1171"/>
      <c r="H3" s="1171"/>
      <c r="I3" s="1171"/>
      <c r="J3" s="1171"/>
      <c r="K3" s="1171"/>
      <c r="L3" s="1171"/>
      <c r="M3" s="1171"/>
      <c r="N3" s="1171"/>
      <c r="O3" s="1171"/>
      <c r="P3" s="1171"/>
      <c r="Q3" s="1171"/>
      <c r="R3" s="1171"/>
      <c r="S3" s="1171"/>
      <c r="T3" s="1171"/>
      <c r="U3" s="1171"/>
      <c r="V3" s="1171"/>
      <c r="W3" s="1171"/>
      <c r="X3" s="1171"/>
      <c r="Y3" s="1171"/>
      <c r="Z3" s="1171"/>
      <c r="AA3" s="1171"/>
      <c r="AB3" s="1171"/>
      <c r="AC3" s="1172"/>
      <c r="AD3" s="1172"/>
    </row>
    <row r="4" spans="1:30" s="1181" customFormat="1" ht="24" customHeight="1">
      <c r="B4" s="3" t="s">
        <v>464</v>
      </c>
      <c r="C4" s="4"/>
      <c r="D4" s="4"/>
      <c r="E4" s="4"/>
      <c r="F4" s="4"/>
      <c r="G4" s="4"/>
      <c r="H4" s="4"/>
      <c r="I4" s="4"/>
      <c r="J4" s="4"/>
      <c r="K4" s="4"/>
      <c r="L4" s="4"/>
      <c r="M4" s="4"/>
      <c r="N4" s="4"/>
      <c r="O4" s="4"/>
      <c r="P4" s="4"/>
      <c r="Q4" s="4"/>
      <c r="R4" s="4"/>
      <c r="S4" s="4"/>
      <c r="T4" s="4"/>
      <c r="U4" s="4"/>
      <c r="V4" s="4"/>
      <c r="W4" s="4"/>
      <c r="X4" s="4"/>
      <c r="Y4" s="4"/>
      <c r="Z4" s="4"/>
      <c r="AA4" s="4"/>
      <c r="AB4" s="4"/>
      <c r="AC4" s="1178"/>
      <c r="AD4" s="1178"/>
    </row>
    <row r="5" spans="1:30" s="136" customFormat="1" ht="36.75" customHeight="1">
      <c r="A5" s="1174"/>
      <c r="B5" s="730"/>
      <c r="C5" s="812"/>
      <c r="D5" s="812"/>
      <c r="E5" s="812"/>
      <c r="F5" s="812"/>
      <c r="G5" s="812"/>
      <c r="H5" s="812"/>
      <c r="I5" s="812"/>
      <c r="J5" s="812"/>
      <c r="K5" s="812"/>
      <c r="L5" s="812"/>
      <c r="M5" s="812"/>
      <c r="N5" s="812"/>
      <c r="O5"/>
      <c r="P5"/>
      <c r="Q5"/>
      <c r="R5"/>
      <c r="S5"/>
      <c r="T5"/>
      <c r="U5"/>
      <c r="V5"/>
      <c r="W5"/>
      <c r="X5"/>
      <c r="Y5"/>
      <c r="Z5"/>
      <c r="AA5"/>
      <c r="AB5"/>
      <c r="AC5" s="1172"/>
      <c r="AD5" s="1172"/>
    </row>
    <row r="6" spans="1:30" s="136" customFormat="1" ht="25.5">
      <c r="A6" s="1174"/>
      <c r="B6" s="116" t="s">
        <v>59</v>
      </c>
      <c r="C6" s="812"/>
      <c r="D6" s="812"/>
      <c r="E6" s="812"/>
      <c r="F6" s="812"/>
      <c r="G6" s="812"/>
      <c r="H6" s="812"/>
      <c r="I6" s="812"/>
      <c r="J6" s="812"/>
      <c r="K6" s="812"/>
      <c r="L6" s="812"/>
      <c r="M6" s="812"/>
      <c r="N6" s="812"/>
      <c r="O6" s="812"/>
      <c r="P6" s="812"/>
      <c r="Q6" s="812"/>
      <c r="R6" s="1172"/>
      <c r="S6" s="1172"/>
      <c r="T6" s="1172"/>
      <c r="U6" s="812"/>
      <c r="V6" s="812"/>
      <c r="W6" s="812"/>
      <c r="X6" s="812"/>
      <c r="Y6" s="812"/>
      <c r="Z6" s="812"/>
      <c r="AA6" s="812"/>
      <c r="AB6" s="812"/>
      <c r="AC6" s="1172"/>
      <c r="AD6" s="1172"/>
    </row>
    <row r="7" spans="1:30" s="136" customFormat="1" ht="25.5">
      <c r="A7" s="1174"/>
      <c r="B7" s="152" t="s">
        <v>6</v>
      </c>
      <c r="C7" s="812"/>
      <c r="D7" s="812"/>
      <c r="E7" s="812"/>
      <c r="F7" s="812"/>
      <c r="G7" s="812"/>
      <c r="H7" s="812"/>
      <c r="I7" s="812"/>
      <c r="J7" s="812"/>
      <c r="K7" s="812"/>
      <c r="L7" s="812"/>
      <c r="M7" s="812"/>
      <c r="N7" s="812"/>
      <c r="O7" s="812"/>
      <c r="P7" s="812"/>
      <c r="Q7" s="812"/>
      <c r="R7" s="1172"/>
      <c r="S7" s="1172"/>
      <c r="T7" s="1172"/>
      <c r="U7" s="812"/>
      <c r="V7" s="812"/>
      <c r="W7" s="812"/>
      <c r="X7" s="812"/>
      <c r="Y7" s="812"/>
      <c r="Z7" s="812"/>
      <c r="AA7" s="812"/>
      <c r="AB7" s="812"/>
      <c r="AC7" s="1172"/>
      <c r="AD7" s="1172"/>
    </row>
    <row r="8" spans="1:30" s="100" customFormat="1" ht="33" customHeight="1">
      <c r="A8" s="816"/>
      <c r="B8" s="1251" t="s">
        <v>467</v>
      </c>
      <c r="C8" s="812"/>
      <c r="D8" s="812"/>
      <c r="E8" s="812"/>
      <c r="F8" s="813"/>
      <c r="G8" s="813"/>
      <c r="H8" s="813"/>
      <c r="I8" s="813"/>
      <c r="J8" s="813"/>
      <c r="K8" s="813"/>
      <c r="L8" s="813"/>
      <c r="M8" s="813"/>
      <c r="N8" s="813"/>
      <c r="O8" s="813"/>
      <c r="P8" s="813"/>
      <c r="Q8" s="813"/>
      <c r="R8" s="1172"/>
      <c r="S8" s="1172"/>
      <c r="T8" s="1172"/>
      <c r="U8" s="812"/>
      <c r="V8" s="812"/>
      <c r="W8" s="812"/>
      <c r="X8" s="813"/>
      <c r="Y8" s="813"/>
      <c r="Z8" s="813"/>
      <c r="AA8" s="813"/>
      <c r="AB8" s="813"/>
      <c r="AC8" s="1172"/>
      <c r="AD8" s="1172"/>
    </row>
    <row r="9" spans="1:30" s="100" customFormat="1" ht="33" customHeight="1">
      <c r="A9" s="816"/>
      <c r="B9" s="1251" t="s">
        <v>1365</v>
      </c>
      <c r="C9" s="812"/>
      <c r="D9" s="812"/>
      <c r="E9" s="1322"/>
      <c r="G9" s="813"/>
      <c r="H9" s="813"/>
      <c r="I9" s="813"/>
      <c r="J9" s="813"/>
      <c r="K9" s="813"/>
      <c r="L9" s="813"/>
      <c r="M9" s="813"/>
      <c r="N9" s="813"/>
      <c r="O9" s="813"/>
      <c r="P9" s="813"/>
      <c r="Q9" s="813"/>
      <c r="R9" s="1172"/>
      <c r="S9" s="1172"/>
      <c r="T9" s="1172"/>
      <c r="U9" s="812"/>
      <c r="V9" s="812"/>
      <c r="W9" s="1322"/>
      <c r="X9" s="813"/>
      <c r="Y9" s="813"/>
      <c r="Z9" s="813"/>
      <c r="AA9" s="813"/>
      <c r="AB9" s="813"/>
      <c r="AC9" s="1172"/>
      <c r="AD9" s="1172"/>
    </row>
    <row r="10" spans="1:30" s="100" customFormat="1" ht="33" customHeight="1">
      <c r="A10" s="816"/>
      <c r="B10" s="1251" t="str">
        <f>CONCATENATE("If ",dms_TradingName," intends to treat expenditure on meter replacement as operating expenditure, separate meter replacement expenditure into new and refurbished.")</f>
        <v>If AusNet (Gas) intends to treat expenditure on meter replacement as operating expenditure, separate meter replacement expenditure into new and refurbished.</v>
      </c>
      <c r="C10" s="812"/>
      <c r="D10" s="812"/>
      <c r="E10" s="812"/>
      <c r="F10" s="813"/>
      <c r="G10" s="813"/>
      <c r="H10" s="813"/>
      <c r="I10" s="813"/>
      <c r="J10" s="813"/>
      <c r="K10" s="813"/>
      <c r="L10" s="813"/>
      <c r="M10" s="813"/>
      <c r="N10" s="813"/>
      <c r="O10" s="813"/>
      <c r="P10" s="813"/>
      <c r="Q10" s="813"/>
      <c r="R10" s="1172"/>
      <c r="S10" s="1172"/>
      <c r="T10" s="1172"/>
      <c r="U10" s="812"/>
      <c r="V10" s="812"/>
      <c r="W10" s="812"/>
      <c r="X10" s="813"/>
      <c r="Y10" s="813"/>
      <c r="Z10" s="813"/>
      <c r="AA10" s="813"/>
      <c r="AB10" s="813"/>
      <c r="AC10" s="1172"/>
      <c r="AD10" s="1172"/>
    </row>
    <row r="11" spans="1:30" s="100" customFormat="1" ht="20.100000000000001" customHeight="1">
      <c r="A11" s="816"/>
      <c r="B11" s="1251" t="s">
        <v>468</v>
      </c>
      <c r="C11" s="813"/>
      <c r="D11" s="813"/>
      <c r="E11" s="813"/>
      <c r="F11" s="813"/>
      <c r="G11" s="813"/>
      <c r="H11" s="813"/>
      <c r="I11" s="813"/>
      <c r="J11" s="813"/>
      <c r="K11" s="813"/>
      <c r="L11" s="813"/>
      <c r="M11" s="813"/>
      <c r="N11" s="813"/>
      <c r="O11" s="813"/>
      <c r="P11" s="813"/>
      <c r="Q11" s="813"/>
      <c r="R11" s="1172"/>
      <c r="S11" s="1172"/>
      <c r="T11" s="1172"/>
      <c r="U11" s="813"/>
      <c r="V11" s="813"/>
      <c r="W11" s="813"/>
      <c r="X11" s="813"/>
      <c r="Y11" s="813"/>
      <c r="Z11" s="813"/>
      <c r="AA11" s="813"/>
      <c r="AB11" s="813"/>
      <c r="AC11" s="1172"/>
      <c r="AD11" s="1172"/>
    </row>
    <row r="12" spans="1:30" s="100" customFormat="1" ht="20.100000000000001" customHeight="1">
      <c r="A12" s="816"/>
      <c r="B12" s="1251"/>
      <c r="C12" s="812"/>
      <c r="D12" s="812"/>
      <c r="E12" s="812"/>
      <c r="F12" s="813"/>
      <c r="G12" s="813"/>
      <c r="H12" s="813"/>
      <c r="I12" s="813"/>
      <c r="J12" s="813"/>
      <c r="K12" s="813"/>
      <c r="L12" s="813"/>
      <c r="M12" s="813"/>
      <c r="N12" s="813"/>
      <c r="O12" s="813"/>
      <c r="P12" s="813"/>
      <c r="Q12" s="813"/>
      <c r="R12" s="1172"/>
      <c r="S12" s="1172"/>
      <c r="T12" s="1172"/>
      <c r="U12" s="812"/>
      <c r="V12" s="812"/>
      <c r="W12" s="812"/>
      <c r="X12" s="813"/>
      <c r="Y12" s="813"/>
      <c r="Z12" s="813"/>
      <c r="AA12" s="813"/>
      <c r="AB12" s="813"/>
      <c r="AC12" s="1172"/>
      <c r="AD12" s="1172"/>
    </row>
    <row r="13" spans="1:30" s="136" customFormat="1" ht="20.100000000000001" customHeight="1">
      <c r="A13" s="881"/>
      <c r="B13" s="515"/>
      <c r="C13" s="881"/>
      <c r="D13" s="881"/>
      <c r="E13" s="881"/>
      <c r="F13" s="812"/>
      <c r="G13" s="881"/>
      <c r="H13" s="881"/>
      <c r="I13" s="881"/>
      <c r="J13" s="881"/>
      <c r="K13" s="881"/>
      <c r="L13" s="881"/>
      <c r="M13" s="812"/>
      <c r="N13" s="812"/>
      <c r="O13" s="812"/>
      <c r="P13" s="812"/>
      <c r="Q13" s="812"/>
      <c r="R13" s="1172"/>
      <c r="S13" s="1172"/>
      <c r="T13" s="1172"/>
      <c r="U13" s="881"/>
      <c r="V13" s="881"/>
      <c r="W13" s="881"/>
      <c r="X13" s="812"/>
      <c r="Y13" s="881"/>
      <c r="Z13" s="881"/>
      <c r="AA13" s="881"/>
      <c r="AB13" s="881"/>
      <c r="AC13" s="1172"/>
      <c r="AD13" s="1172"/>
    </row>
    <row r="14" spans="1:30" ht="20.100000000000001" customHeight="1" thickBot="1">
      <c r="A14" s="1174"/>
      <c r="B14" s="1172"/>
      <c r="C14" s="1174"/>
      <c r="D14" s="1174"/>
      <c r="E14" s="1174"/>
      <c r="F14" s="1174"/>
      <c r="G14" s="1174"/>
      <c r="H14" s="1174"/>
      <c r="I14" s="1174"/>
      <c r="J14" s="1174"/>
      <c r="K14" s="1174"/>
      <c r="L14" s="1174"/>
      <c r="M14" s="1174"/>
      <c r="N14" s="1174"/>
      <c r="O14" s="1174"/>
      <c r="P14" s="1174"/>
      <c r="Q14" s="1174"/>
      <c r="U14" s="1174"/>
      <c r="V14" s="1174"/>
      <c r="W14" s="1174"/>
      <c r="X14" s="1174"/>
      <c r="Y14" s="1174"/>
      <c r="Z14" s="1174"/>
      <c r="AA14" s="1174"/>
      <c r="AB14" s="1174"/>
    </row>
    <row r="15" spans="1:30" s="136" customFormat="1" ht="27.75" customHeight="1" thickBot="1">
      <c r="A15" s="1174"/>
      <c r="B15" s="815" t="s">
        <v>512</v>
      </c>
      <c r="C15" s="830"/>
      <c r="D15" s="830"/>
      <c r="E15" s="830"/>
      <c r="F15" s="830"/>
      <c r="G15" s="830"/>
      <c r="H15" s="830"/>
      <c r="I15" s="830"/>
      <c r="J15" s="830"/>
      <c r="K15" s="830"/>
      <c r="L15" s="830"/>
      <c r="M15" s="830"/>
      <c r="N15" s="830"/>
      <c r="O15" s="830"/>
      <c r="P15" s="830"/>
      <c r="Q15" s="831"/>
      <c r="R15" s="1172"/>
      <c r="S15" s="1174"/>
      <c r="U15" s="735" t="s">
        <v>642</v>
      </c>
      <c r="V15" s="830"/>
      <c r="W15" s="830"/>
      <c r="X15" s="830"/>
      <c r="Y15" s="830"/>
      <c r="Z15" s="830"/>
      <c r="AA15" s="830"/>
      <c r="AB15" s="831"/>
    </row>
    <row r="16" spans="1:30" s="136" customFormat="1" ht="29.25" customHeight="1" thickBot="1">
      <c r="A16" s="1174"/>
      <c r="B16" s="1258" t="s">
        <v>516</v>
      </c>
      <c r="C16" s="1259"/>
      <c r="D16" s="1259"/>
      <c r="E16" s="1259"/>
      <c r="F16" s="1259"/>
      <c r="G16" s="1259"/>
      <c r="H16" s="1259"/>
      <c r="I16" s="1259"/>
      <c r="J16" s="1259"/>
      <c r="K16" s="1259"/>
      <c r="L16" s="1259"/>
      <c r="M16" s="1259"/>
      <c r="N16" s="1259"/>
      <c r="O16" s="1259"/>
      <c r="P16" s="1259"/>
      <c r="Q16" s="1260"/>
      <c r="R16" s="1172"/>
      <c r="S16" s="1174"/>
      <c r="U16" s="1258"/>
      <c r="V16" s="1259"/>
      <c r="W16" s="1259"/>
      <c r="X16" s="1259"/>
      <c r="Y16" s="1259"/>
      <c r="Z16" s="1259"/>
      <c r="AA16" s="1259"/>
      <c r="AB16" s="1260"/>
    </row>
    <row r="17" spans="1:33" s="72" customFormat="1" ht="16.5" customHeight="1">
      <c r="A17" s="702"/>
      <c r="B17" s="4362"/>
      <c r="C17" s="4098" t="s">
        <v>36</v>
      </c>
      <c r="D17" s="3997"/>
      <c r="E17" s="3997"/>
      <c r="F17" s="3997"/>
      <c r="G17" s="3997"/>
      <c r="H17" s="4074" t="s">
        <v>37</v>
      </c>
      <c r="I17" s="4075"/>
      <c r="J17" s="4075"/>
      <c r="K17" s="4075"/>
      <c r="L17" s="4075"/>
      <c r="M17" s="3960" t="s">
        <v>73</v>
      </c>
      <c r="N17" s="3960"/>
      <c r="O17" s="3960"/>
      <c r="P17" s="3960"/>
      <c r="Q17" s="4287"/>
      <c r="R17" s="1172"/>
      <c r="S17" s="1172"/>
      <c r="T17" s="1172"/>
      <c r="U17" s="4073" t="s">
        <v>36</v>
      </c>
      <c r="V17" s="3997"/>
      <c r="W17" s="3997"/>
      <c r="X17" s="3997"/>
      <c r="Y17" s="3997"/>
      <c r="Z17" s="4074" t="s">
        <v>37</v>
      </c>
      <c r="AA17" s="4075"/>
      <c r="AB17" s="4082"/>
      <c r="AC17" s="1172"/>
      <c r="AD17" s="1172"/>
      <c r="AE17" s="1172"/>
      <c r="AF17" s="1172"/>
      <c r="AG17" s="1172"/>
    </row>
    <row r="18" spans="1:33" ht="15" customHeight="1">
      <c r="A18" s="881"/>
      <c r="B18" s="4207"/>
      <c r="C18" s="3985" t="s">
        <v>543</v>
      </c>
      <c r="D18" s="3986"/>
      <c r="E18" s="3986"/>
      <c r="F18" s="3986"/>
      <c r="G18" s="3986"/>
      <c r="H18" s="3986"/>
      <c r="I18" s="3986"/>
      <c r="J18" s="3987"/>
      <c r="K18" s="3988" t="str">
        <f>CONCATENATE("$0's, real ",dms_DollarReal)</f>
        <v>$0's, real December 2017</v>
      </c>
      <c r="L18" s="3989"/>
      <c r="M18" s="3989"/>
      <c r="N18" s="3989"/>
      <c r="O18" s="3989"/>
      <c r="P18" s="3989"/>
      <c r="Q18" s="4199"/>
      <c r="U18" s="3985" t="str">
        <f>CONCATENATE("$0's, real ",dms_DollarReal)</f>
        <v>$0's, real December 2017</v>
      </c>
      <c r="V18" s="3986"/>
      <c r="W18" s="3986"/>
      <c r="X18" s="3986"/>
      <c r="Y18" s="3986"/>
      <c r="Z18" s="3986"/>
      <c r="AA18" s="3986"/>
      <c r="AB18" s="4030"/>
    </row>
    <row r="19" spans="1:33" s="72" customFormat="1" ht="16.5" customHeight="1">
      <c r="A19" s="1172"/>
      <c r="B19" s="4207"/>
      <c r="C19" s="3985" t="s">
        <v>54</v>
      </c>
      <c r="D19" s="3986"/>
      <c r="E19" s="3986"/>
      <c r="F19" s="3986"/>
      <c r="G19" s="3986"/>
      <c r="H19" s="3986"/>
      <c r="I19" s="3986"/>
      <c r="J19" s="3987"/>
      <c r="K19" s="3988" t="s">
        <v>55</v>
      </c>
      <c r="L19" s="3989"/>
      <c r="M19" s="3989"/>
      <c r="N19" s="3989"/>
      <c r="O19" s="3989"/>
      <c r="P19" s="3989"/>
      <c r="Q19" s="4199"/>
      <c r="R19" s="1172"/>
      <c r="S19" s="1172"/>
      <c r="T19" s="1172"/>
      <c r="U19" s="3985" t="s">
        <v>54</v>
      </c>
      <c r="V19" s="3986"/>
      <c r="W19" s="3986"/>
      <c r="X19" s="3986"/>
      <c r="Y19" s="3986"/>
      <c r="Z19" s="3986"/>
      <c r="AA19" s="3986"/>
      <c r="AB19" s="4030"/>
      <c r="AC19" s="1172"/>
      <c r="AD19" s="1172"/>
    </row>
    <row r="20" spans="1:33" ht="12.75" customHeight="1" thickBot="1">
      <c r="B20" s="4363"/>
      <c r="C20" s="343">
        <f t="array" ref="C20:G20">PRCP</f>
        <v>2008</v>
      </c>
      <c r="D20" s="342">
        <v>2009</v>
      </c>
      <c r="E20" s="342">
        <v>2010</v>
      </c>
      <c r="F20" s="342">
        <v>2011</v>
      </c>
      <c r="G20" s="342">
        <v>2012</v>
      </c>
      <c r="H20" s="344">
        <f>CRCP_y1</f>
        <v>2013</v>
      </c>
      <c r="I20" s="344">
        <f>CRCP_y2</f>
        <v>2014</v>
      </c>
      <c r="J20" s="344">
        <f>CRCP_y3</f>
        <v>2015</v>
      </c>
      <c r="K20" s="344">
        <f>CRCP_y4</f>
        <v>2016</v>
      </c>
      <c r="L20" s="344">
        <f>CRCP_y5</f>
        <v>2017</v>
      </c>
      <c r="M20" s="342" t="str">
        <f t="array" ref="M20:Q20">FRCP</f>
        <v>2018</v>
      </c>
      <c r="N20" s="342">
        <v>2019</v>
      </c>
      <c r="O20" s="342">
        <v>2020</v>
      </c>
      <c r="P20" s="342">
        <v>2021</v>
      </c>
      <c r="Q20" s="686">
        <v>2022</v>
      </c>
      <c r="U20" s="1438">
        <f t="array" ref="U20:Y20">PRCP</f>
        <v>2008</v>
      </c>
      <c r="V20" s="342">
        <v>2009</v>
      </c>
      <c r="W20" s="342">
        <v>2010</v>
      </c>
      <c r="X20" s="342">
        <v>2011</v>
      </c>
      <c r="Y20" s="342">
        <v>2012</v>
      </c>
      <c r="Z20" s="344">
        <f>CRCP_y1</f>
        <v>2013</v>
      </c>
      <c r="AA20" s="344">
        <f>CRCP_y2</f>
        <v>2014</v>
      </c>
      <c r="AB20" s="542">
        <f>CRCP_y3</f>
        <v>2015</v>
      </c>
    </row>
    <row r="21" spans="1:33" s="136" customFormat="1" ht="21.75" customHeight="1" thickBot="1">
      <c r="A21" s="474"/>
      <c r="B21" s="737" t="s">
        <v>517</v>
      </c>
      <c r="C21" s="1254"/>
      <c r="D21" s="1254"/>
      <c r="E21" s="1254"/>
      <c r="F21" s="1254"/>
      <c r="G21" s="1254"/>
      <c r="H21" s="1254"/>
      <c r="I21" s="1254"/>
      <c r="J21" s="1254"/>
      <c r="K21" s="1254"/>
      <c r="L21" s="1254"/>
      <c r="M21" s="1254"/>
      <c r="N21" s="1254"/>
      <c r="O21" s="1254"/>
      <c r="P21" s="1254"/>
      <c r="Q21" s="1255"/>
      <c r="R21" s="1172"/>
      <c r="S21" s="1174"/>
      <c r="U21" s="1253"/>
      <c r="V21" s="1254"/>
      <c r="W21" s="1254"/>
      <c r="X21" s="1254"/>
      <c r="Y21" s="1254"/>
      <c r="Z21" s="1254"/>
      <c r="AA21" s="1254"/>
      <c r="AB21" s="1255"/>
    </row>
    <row r="22" spans="1:33" s="136" customFormat="1" ht="21.75" customHeight="1">
      <c r="A22" s="474"/>
      <c r="B22" s="2739" t="s">
        <v>1360</v>
      </c>
      <c r="C22" s="2740"/>
      <c r="D22" s="2740"/>
      <c r="E22" s="2740"/>
      <c r="F22" s="2740"/>
      <c r="G22" s="2740"/>
      <c r="H22" s="2740"/>
      <c r="I22" s="2740"/>
      <c r="J22" s="2740"/>
      <c r="K22" s="2740"/>
      <c r="L22" s="2740"/>
      <c r="M22" s="2740"/>
      <c r="N22" s="2740"/>
      <c r="O22" s="2740"/>
      <c r="P22" s="2740"/>
      <c r="Q22" s="2741"/>
      <c r="R22" s="1172"/>
      <c r="S22" s="1174"/>
      <c r="U22" s="1797"/>
      <c r="V22" s="1319"/>
      <c r="W22" s="1319"/>
      <c r="X22" s="1319"/>
      <c r="Y22" s="1319"/>
      <c r="Z22" s="1319"/>
      <c r="AA22" s="1319"/>
      <c r="AB22" s="1320"/>
    </row>
    <row r="23" spans="1:33" ht="20.100000000000001" customHeight="1" outlineLevel="1">
      <c r="B23" s="2732" t="s">
        <v>1329</v>
      </c>
      <c r="C23" s="2733"/>
      <c r="D23" s="2734"/>
      <c r="E23" s="2734"/>
      <c r="F23" s="2734"/>
      <c r="G23" s="2735"/>
      <c r="H23" s="2733"/>
      <c r="I23" s="2734"/>
      <c r="J23" s="2734"/>
      <c r="K23" s="2734"/>
      <c r="L23" s="2734"/>
      <c r="M23" s="2733"/>
      <c r="N23" s="2734"/>
      <c r="O23" s="2734"/>
      <c r="P23" s="2734"/>
      <c r="Q23" s="2735"/>
      <c r="U23" s="1798"/>
      <c r="V23" s="1799"/>
      <c r="W23" s="1799"/>
      <c r="X23" s="1799"/>
      <c r="Y23" s="1800"/>
      <c r="Z23" s="1798"/>
      <c r="AA23" s="1799"/>
      <c r="AB23" s="1800"/>
    </row>
    <row r="24" spans="1:33" ht="20.100000000000001" customHeight="1" outlineLevel="1">
      <c r="B24" s="1321" t="s">
        <v>1330</v>
      </c>
      <c r="C24" s="3352">
        <v>14576000</v>
      </c>
      <c r="D24" s="3353">
        <v>12759343.774275027</v>
      </c>
      <c r="E24" s="3353">
        <v>9996478.9827017579</v>
      </c>
      <c r="F24" s="3353">
        <v>13280362.263266832</v>
      </c>
      <c r="G24" s="3354">
        <v>12689829.916576251</v>
      </c>
      <c r="H24" s="3352">
        <v>12121132.927683653</v>
      </c>
      <c r="I24" s="3353">
        <v>14989625.355250867</v>
      </c>
      <c r="J24" s="3353">
        <v>16807227.189814646</v>
      </c>
      <c r="K24" s="1306"/>
      <c r="L24" s="1306"/>
      <c r="M24" s="1305"/>
      <c r="N24" s="1306"/>
      <c r="O24" s="1306"/>
      <c r="P24" s="1306"/>
      <c r="Q24" s="1307"/>
      <c r="U24" s="1798"/>
      <c r="V24" s="1799"/>
      <c r="W24" s="1799"/>
      <c r="X24" s="1799"/>
      <c r="Y24" s="1800"/>
      <c r="Z24" s="1798"/>
      <c r="AA24" s="1799"/>
      <c r="AB24" s="1800"/>
    </row>
    <row r="25" spans="1:33" ht="20.100000000000001" customHeight="1" outlineLevel="1">
      <c r="B25" s="1321" t="s">
        <v>1331</v>
      </c>
      <c r="C25" s="3352">
        <v>135000</v>
      </c>
      <c r="D25" s="3353">
        <v>326025.4705973721</v>
      </c>
      <c r="E25" s="3353">
        <v>780149.06883464346</v>
      </c>
      <c r="F25" s="3353">
        <v>1068405.6078550015</v>
      </c>
      <c r="G25" s="3354">
        <v>777524.16154766351</v>
      </c>
      <c r="H25" s="3352">
        <v>2109008.654968841</v>
      </c>
      <c r="I25" s="3353">
        <v>1962817.0815967289</v>
      </c>
      <c r="J25" s="3353">
        <v>1672236.0376962591</v>
      </c>
      <c r="K25" s="1306"/>
      <c r="L25" s="1306"/>
      <c r="M25" s="1305"/>
      <c r="N25" s="1306"/>
      <c r="O25" s="1306"/>
      <c r="P25" s="1306"/>
      <c r="Q25" s="1307"/>
      <c r="U25" s="1798"/>
      <c r="V25" s="1799"/>
      <c r="W25" s="1799"/>
      <c r="X25" s="1799"/>
      <c r="Y25" s="1800"/>
      <c r="Z25" s="1798"/>
      <c r="AA25" s="1799"/>
      <c r="AB25" s="1800"/>
    </row>
    <row r="26" spans="1:33" ht="20.100000000000001" customHeight="1" outlineLevel="1">
      <c r="B26" s="1321" t="s">
        <v>1332</v>
      </c>
      <c r="C26" s="3352">
        <v>4203000</v>
      </c>
      <c r="D26" s="3353">
        <v>5101136.1869733669</v>
      </c>
      <c r="E26" s="3353">
        <v>5321160.9151507234</v>
      </c>
      <c r="F26" s="3353">
        <v>4371413.1816968471</v>
      </c>
      <c r="G26" s="3354">
        <v>4021809.8132584584</v>
      </c>
      <c r="H26" s="3744">
        <v>4424357.6796379611</v>
      </c>
      <c r="I26" s="3745">
        <v>3311112.6098534926</v>
      </c>
      <c r="J26" s="3745">
        <v>2679340.8293734821</v>
      </c>
      <c r="K26" s="1306"/>
      <c r="L26" s="1306"/>
      <c r="M26" s="1305"/>
      <c r="N26" s="1306"/>
      <c r="O26" s="1306"/>
      <c r="P26" s="1306"/>
      <c r="Q26" s="1307"/>
      <c r="U26" s="1798"/>
      <c r="V26" s="1799"/>
      <c r="W26" s="1799"/>
      <c r="X26" s="1799"/>
      <c r="Y26" s="1800"/>
      <c r="Z26" s="1798"/>
      <c r="AA26" s="1799"/>
      <c r="AB26" s="1800"/>
    </row>
    <row r="27" spans="1:33" ht="20.100000000000001" customHeight="1" outlineLevel="1">
      <c r="B27" s="1321" t="s">
        <v>1333</v>
      </c>
      <c r="C27" s="3352">
        <v>251000</v>
      </c>
      <c r="D27" s="3353">
        <v>266709.79854365112</v>
      </c>
      <c r="E27" s="3353">
        <v>164387.79252498451</v>
      </c>
      <c r="F27" s="3353">
        <v>228650.68560078857</v>
      </c>
      <c r="G27" s="3354">
        <v>178234.3338433165</v>
      </c>
      <c r="H27" s="3352">
        <v>173348.61314456866</v>
      </c>
      <c r="I27" s="3353">
        <v>57349.615383812677</v>
      </c>
      <c r="J27" s="3353">
        <v>17998.952680803508</v>
      </c>
      <c r="K27" s="1306"/>
      <c r="L27" s="1306"/>
      <c r="M27" s="1305"/>
      <c r="N27" s="1306"/>
      <c r="O27" s="1306"/>
      <c r="P27" s="1306"/>
      <c r="Q27" s="1307"/>
      <c r="U27" s="1798"/>
      <c r="V27" s="1799"/>
      <c r="W27" s="1799"/>
      <c r="X27" s="1799"/>
      <c r="Y27" s="1800"/>
      <c r="Z27" s="1798"/>
      <c r="AA27" s="1799"/>
      <c r="AB27" s="1800"/>
    </row>
    <row r="28" spans="1:33" ht="20.100000000000001" customHeight="1" outlineLevel="1">
      <c r="B28" s="1321" t="s">
        <v>1334</v>
      </c>
      <c r="C28" s="3352">
        <v>778000</v>
      </c>
      <c r="D28" s="3353">
        <v>932801.11812320375</v>
      </c>
      <c r="E28" s="3353">
        <v>242234.32281128888</v>
      </c>
      <c r="F28" s="3353">
        <v>320090.50396854256</v>
      </c>
      <c r="G28" s="3354">
        <v>60653.222356561077</v>
      </c>
      <c r="H28" s="3352">
        <v>128212.31059100521</v>
      </c>
      <c r="I28" s="3353">
        <v>115666.34738950079</v>
      </c>
      <c r="J28" s="3353">
        <v>155142.8396890999</v>
      </c>
      <c r="K28" s="1306"/>
      <c r="L28" s="1306"/>
      <c r="M28" s="1305"/>
      <c r="N28" s="1306"/>
      <c r="O28" s="1306"/>
      <c r="P28" s="1306"/>
      <c r="Q28" s="1307"/>
      <c r="U28" s="1798"/>
      <c r="V28" s="1799"/>
      <c r="W28" s="1799"/>
      <c r="X28" s="1799"/>
      <c r="Y28" s="1800"/>
      <c r="Z28" s="1798"/>
      <c r="AA28" s="1799"/>
      <c r="AB28" s="1800"/>
    </row>
    <row r="29" spans="1:33" ht="20.100000000000001" customHeight="1" outlineLevel="1">
      <c r="B29" s="1321" t="s">
        <v>256</v>
      </c>
      <c r="C29" s="3352">
        <v>1720000</v>
      </c>
      <c r="D29" s="3353">
        <v>790418.39011273324</v>
      </c>
      <c r="E29" s="3353">
        <v>721230.66036751599</v>
      </c>
      <c r="F29" s="3353">
        <v>1953367.7120311395</v>
      </c>
      <c r="G29" s="3354">
        <v>2364592.9979785262</v>
      </c>
      <c r="H29" s="3352">
        <v>1315846.7624019065</v>
      </c>
      <c r="I29" s="3353">
        <v>1132233.0889714253</v>
      </c>
      <c r="J29" s="3353">
        <v>572225.032839905</v>
      </c>
      <c r="K29" s="1306"/>
      <c r="L29" s="1306"/>
      <c r="M29" s="1305"/>
      <c r="N29" s="1306"/>
      <c r="O29" s="1306"/>
      <c r="P29" s="1306"/>
      <c r="Q29" s="1307"/>
      <c r="U29" s="1798"/>
      <c r="V29" s="1799"/>
      <c r="W29" s="1799"/>
      <c r="X29" s="1799"/>
      <c r="Y29" s="1800"/>
      <c r="Z29" s="1798"/>
      <c r="AA29" s="1799"/>
      <c r="AB29" s="1800"/>
    </row>
    <row r="30" spans="1:33" ht="20.100000000000001" customHeight="1" outlineLevel="1">
      <c r="B30" s="1321" t="s">
        <v>1335</v>
      </c>
      <c r="C30" s="3352">
        <v>0</v>
      </c>
      <c r="D30" s="3353">
        <v>0</v>
      </c>
      <c r="E30" s="3353">
        <v>0</v>
      </c>
      <c r="F30" s="3353">
        <v>0</v>
      </c>
      <c r="G30" s="3354">
        <v>0</v>
      </c>
      <c r="H30" s="3352">
        <v>0</v>
      </c>
      <c r="I30" s="3353">
        <v>0</v>
      </c>
      <c r="J30" s="3353">
        <v>0</v>
      </c>
      <c r="K30" s="1306"/>
      <c r="L30" s="1306"/>
      <c r="M30" s="1305"/>
      <c r="N30" s="1306"/>
      <c r="O30" s="1306"/>
      <c r="P30" s="1306"/>
      <c r="Q30" s="1307"/>
      <c r="U30" s="1798"/>
      <c r="V30" s="1799"/>
      <c r="W30" s="1799"/>
      <c r="X30" s="1799"/>
      <c r="Y30" s="1800"/>
      <c r="Z30" s="1798"/>
      <c r="AA30" s="1799"/>
      <c r="AB30" s="1800"/>
    </row>
    <row r="31" spans="1:33" ht="20.100000000000001" customHeight="1" outlineLevel="1">
      <c r="B31" s="1321" t="s">
        <v>1336</v>
      </c>
      <c r="C31" s="3352">
        <v>0</v>
      </c>
      <c r="D31" s="3353">
        <v>0</v>
      </c>
      <c r="E31" s="3353">
        <v>0</v>
      </c>
      <c r="F31" s="3353">
        <v>0</v>
      </c>
      <c r="G31" s="3354">
        <v>0</v>
      </c>
      <c r="H31" s="3352">
        <v>50756.749999999993</v>
      </c>
      <c r="I31" s="3353">
        <v>20081.778685503741</v>
      </c>
      <c r="J31" s="3353">
        <v>5697.6356057286157</v>
      </c>
      <c r="K31" s="1306"/>
      <c r="L31" s="1306"/>
      <c r="M31" s="1305"/>
      <c r="N31" s="1306"/>
      <c r="O31" s="1306"/>
      <c r="P31" s="1306"/>
      <c r="Q31" s="1307"/>
      <c r="U31" s="1798"/>
      <c r="V31" s="1799"/>
      <c r="W31" s="1799"/>
      <c r="X31" s="1799"/>
      <c r="Y31" s="1800"/>
      <c r="Z31" s="1798"/>
      <c r="AA31" s="1799"/>
      <c r="AB31" s="1800"/>
    </row>
    <row r="32" spans="1:33" ht="20.100000000000001" customHeight="1" outlineLevel="1">
      <c r="B32" s="1321" t="s">
        <v>1337</v>
      </c>
      <c r="C32" s="3352">
        <v>0</v>
      </c>
      <c r="D32" s="3353">
        <v>0</v>
      </c>
      <c r="E32" s="3353">
        <v>0</v>
      </c>
      <c r="F32" s="3353">
        <v>0</v>
      </c>
      <c r="G32" s="3354">
        <v>0</v>
      </c>
      <c r="H32" s="3352">
        <v>1470538.0300000005</v>
      </c>
      <c r="I32" s="3353">
        <v>2708102.68</v>
      </c>
      <c r="J32" s="3353">
        <v>3178831.3799999994</v>
      </c>
      <c r="K32" s="1306"/>
      <c r="L32" s="1306"/>
      <c r="M32" s="1305"/>
      <c r="N32" s="1306"/>
      <c r="O32" s="1306"/>
      <c r="P32" s="1306"/>
      <c r="Q32" s="1307"/>
      <c r="U32" s="1798"/>
      <c r="V32" s="1799"/>
      <c r="W32" s="1799"/>
      <c r="X32" s="1799"/>
      <c r="Y32" s="1800"/>
      <c r="Z32" s="1798"/>
      <c r="AA32" s="1799"/>
      <c r="AB32" s="1800"/>
    </row>
    <row r="33" spans="2:28" ht="20.100000000000001" customHeight="1" outlineLevel="1">
      <c r="B33" s="1321" t="s">
        <v>1338</v>
      </c>
      <c r="C33" s="3352">
        <v>0</v>
      </c>
      <c r="D33" s="3353">
        <v>0</v>
      </c>
      <c r="E33" s="3353">
        <v>0</v>
      </c>
      <c r="F33" s="3353">
        <v>0</v>
      </c>
      <c r="G33" s="3354">
        <v>0</v>
      </c>
      <c r="H33" s="3352">
        <v>0</v>
      </c>
      <c r="I33" s="3353">
        <v>0</v>
      </c>
      <c r="J33" s="3353">
        <v>1124996.5179034232</v>
      </c>
      <c r="K33" s="1306"/>
      <c r="L33" s="1306"/>
      <c r="M33" s="1305"/>
      <c r="N33" s="1306"/>
      <c r="O33" s="1306"/>
      <c r="P33" s="1306"/>
      <c r="Q33" s="1307"/>
      <c r="U33" s="1798"/>
      <c r="V33" s="1799"/>
      <c r="W33" s="1799"/>
      <c r="X33" s="1799"/>
      <c r="Y33" s="1800"/>
      <c r="Z33" s="1798"/>
      <c r="AA33" s="1799"/>
      <c r="AB33" s="1800"/>
    </row>
    <row r="34" spans="2:28" ht="20.100000000000001" customHeight="1" outlineLevel="1">
      <c r="B34" s="1321" t="s">
        <v>131</v>
      </c>
      <c r="C34" s="3352">
        <v>0</v>
      </c>
      <c r="D34" s="3353">
        <v>0</v>
      </c>
      <c r="E34" s="3353">
        <v>0</v>
      </c>
      <c r="F34" s="3353">
        <v>0</v>
      </c>
      <c r="G34" s="3354">
        <v>0</v>
      </c>
      <c r="H34" s="3352">
        <v>0</v>
      </c>
      <c r="I34" s="3353">
        <v>0</v>
      </c>
      <c r="J34" s="3353">
        <v>0</v>
      </c>
      <c r="K34" s="1306"/>
      <c r="L34" s="1306"/>
      <c r="M34" s="1305"/>
      <c r="N34" s="1306"/>
      <c r="O34" s="1306"/>
      <c r="P34" s="1306"/>
      <c r="Q34" s="1307"/>
      <c r="U34" s="1798"/>
      <c r="V34" s="1799"/>
      <c r="W34" s="1799"/>
      <c r="X34" s="1799"/>
      <c r="Y34" s="1800"/>
      <c r="Z34" s="1798"/>
      <c r="AA34" s="1799"/>
      <c r="AB34" s="1800"/>
    </row>
    <row r="35" spans="2:28" ht="20.100000000000001" customHeight="1" outlineLevel="1">
      <c r="B35" s="1321" t="s">
        <v>1339</v>
      </c>
      <c r="C35" s="3352">
        <v>6750374.628896541</v>
      </c>
      <c r="D35" s="3353">
        <v>5948585.2909548087</v>
      </c>
      <c r="E35" s="3353">
        <v>5034942.0535098221</v>
      </c>
      <c r="F35" s="3353">
        <v>6819123.4746497376</v>
      </c>
      <c r="G35" s="3354">
        <v>7034075.4337030221</v>
      </c>
      <c r="H35" s="3352">
        <v>10932346.269269068</v>
      </c>
      <c r="I35" s="3353">
        <v>12724492.175127586</v>
      </c>
      <c r="J35" s="3353">
        <v>9767067.3456242885</v>
      </c>
      <c r="K35" s="1306"/>
      <c r="L35" s="1306"/>
      <c r="M35" s="1305"/>
      <c r="N35" s="1306"/>
      <c r="O35" s="1306"/>
      <c r="P35" s="1306"/>
      <c r="Q35" s="1307"/>
      <c r="U35" s="1798"/>
      <c r="V35" s="1799"/>
      <c r="W35" s="1799"/>
      <c r="X35" s="1799"/>
      <c r="Y35" s="1800"/>
      <c r="Z35" s="1798"/>
      <c r="AA35" s="1799"/>
      <c r="AB35" s="1800"/>
    </row>
    <row r="36" spans="2:28" ht="20.100000000000001" customHeight="1" outlineLevel="1">
      <c r="B36" s="1321" t="s">
        <v>1340</v>
      </c>
      <c r="C36" s="3352">
        <v>-1427622.27</v>
      </c>
      <c r="D36" s="3355">
        <v>0</v>
      </c>
      <c r="E36" s="3355">
        <v>36579.15</v>
      </c>
      <c r="F36" s="3355">
        <v>0</v>
      </c>
      <c r="G36" s="3354">
        <v>7100000</v>
      </c>
      <c r="H36" s="3352">
        <v>8335516.6299999999</v>
      </c>
      <c r="I36" s="3355">
        <v>-427074.8200000003</v>
      </c>
      <c r="J36" s="3355">
        <v>8395.3699999999862</v>
      </c>
      <c r="K36" s="2746"/>
      <c r="L36" s="1306"/>
      <c r="M36" s="1305"/>
      <c r="N36" s="2746"/>
      <c r="O36" s="2746"/>
      <c r="P36" s="2746"/>
      <c r="Q36" s="1307"/>
      <c r="U36" s="1798"/>
      <c r="V36" s="1799"/>
      <c r="W36" s="1799"/>
      <c r="X36" s="1799"/>
      <c r="Y36" s="1800"/>
      <c r="Z36" s="1798"/>
      <c r="AA36" s="1799"/>
      <c r="AB36" s="1800"/>
    </row>
    <row r="37" spans="2:28" ht="20.100000000000001" customHeight="1" outlineLevel="1">
      <c r="B37" s="2738" t="s">
        <v>1356</v>
      </c>
      <c r="C37" s="3356">
        <v>26985752.358896542</v>
      </c>
      <c r="D37" s="837">
        <v>26125020.029580161</v>
      </c>
      <c r="E37" s="837">
        <v>22297162.945900731</v>
      </c>
      <c r="F37" s="837">
        <v>28041413.429068889</v>
      </c>
      <c r="G37" s="3357">
        <v>34226719.879263803</v>
      </c>
      <c r="H37" s="3356">
        <v>41061064.627697006</v>
      </c>
      <c r="I37" s="837">
        <v>36594405.912258916</v>
      </c>
      <c r="J37" s="837">
        <v>35989159.131227635</v>
      </c>
      <c r="K37" s="2737">
        <f t="shared" ref="K37:P37" si="0">SUM(K24:K36)</f>
        <v>0</v>
      </c>
      <c r="L37" s="2735">
        <f t="shared" si="0"/>
        <v>0</v>
      </c>
      <c r="M37" s="2733">
        <f t="shared" si="0"/>
        <v>0</v>
      </c>
      <c r="N37" s="2737">
        <f t="shared" si="0"/>
        <v>0</v>
      </c>
      <c r="O37" s="2737">
        <f t="shared" si="0"/>
        <v>0</v>
      </c>
      <c r="P37" s="2737">
        <f t="shared" si="0"/>
        <v>0</v>
      </c>
      <c r="Q37" s="2735">
        <f>SUM(Q24:Q36)</f>
        <v>0</v>
      </c>
      <c r="U37" s="1798"/>
      <c r="V37" s="1799"/>
      <c r="W37" s="1799"/>
      <c r="X37" s="1799"/>
      <c r="Y37" s="1800"/>
      <c r="Z37" s="1798"/>
      <c r="AA37" s="1799"/>
      <c r="AB37" s="1800"/>
    </row>
    <row r="38" spans="2:28" ht="20.100000000000001" customHeight="1" outlineLevel="1">
      <c r="B38" s="2732" t="s">
        <v>1341</v>
      </c>
      <c r="C38" s="3356"/>
      <c r="D38" s="837"/>
      <c r="E38" s="837"/>
      <c r="F38" s="837"/>
      <c r="G38" s="3357"/>
      <c r="H38" s="3356"/>
      <c r="I38" s="837"/>
      <c r="J38" s="837"/>
      <c r="K38" s="2737"/>
      <c r="L38" s="2735"/>
      <c r="M38" s="2733"/>
      <c r="N38" s="2737"/>
      <c r="O38" s="2737"/>
      <c r="P38" s="2737"/>
      <c r="Q38" s="2735"/>
      <c r="U38" s="1798"/>
      <c r="V38" s="1799"/>
      <c r="W38" s="1799"/>
      <c r="X38" s="1799"/>
      <c r="Y38" s="1800"/>
      <c r="Z38" s="1798"/>
      <c r="AA38" s="1799"/>
      <c r="AB38" s="1800"/>
    </row>
    <row r="39" spans="2:28" ht="20.100000000000001" customHeight="1" outlineLevel="1">
      <c r="B39" s="1321" t="s">
        <v>1342</v>
      </c>
      <c r="C39" s="3352">
        <v>861900</v>
      </c>
      <c r="D39" s="3353">
        <v>1501567.5546308777</v>
      </c>
      <c r="E39" s="3353">
        <v>901325.80000000016</v>
      </c>
      <c r="F39" s="3353">
        <v>604869.02541999985</v>
      </c>
      <c r="G39" s="3354">
        <v>1240078.49611147</v>
      </c>
      <c r="H39" s="3352">
        <v>1104653.8500000003</v>
      </c>
      <c r="I39" s="3353">
        <v>967117.34350697801</v>
      </c>
      <c r="J39" s="3353">
        <v>672277.11236230866</v>
      </c>
      <c r="K39" s="1306"/>
      <c r="L39" s="1306"/>
      <c r="M39" s="1305"/>
      <c r="N39" s="1306"/>
      <c r="O39" s="1306"/>
      <c r="P39" s="1306"/>
      <c r="Q39" s="1307"/>
      <c r="U39" s="1798"/>
      <c r="V39" s="1799"/>
      <c r="W39" s="1799"/>
      <c r="X39" s="1799"/>
      <c r="Y39" s="1800"/>
      <c r="Z39" s="1798"/>
      <c r="AA39" s="1799"/>
      <c r="AB39" s="1800"/>
    </row>
    <row r="40" spans="2:28" ht="20.100000000000001" customHeight="1" outlineLevel="1">
      <c r="B40" s="1321" t="s">
        <v>1343</v>
      </c>
      <c r="C40" s="3352">
        <v>3425000</v>
      </c>
      <c r="D40" s="3353">
        <v>4235945.0446942886</v>
      </c>
      <c r="E40" s="3353">
        <v>5187042.0548124043</v>
      </c>
      <c r="F40" s="3353">
        <v>3871207.4143017596</v>
      </c>
      <c r="G40" s="3354">
        <v>4529411.8708858993</v>
      </c>
      <c r="H40" s="3352">
        <v>3280709.4141046773</v>
      </c>
      <c r="I40" s="3353">
        <v>2417932.6513391207</v>
      </c>
      <c r="J40" s="3353">
        <v>3112797.2006189981</v>
      </c>
      <c r="K40" s="1306"/>
      <c r="L40" s="1306"/>
      <c r="M40" s="1305"/>
      <c r="N40" s="1306"/>
      <c r="O40" s="1306"/>
      <c r="P40" s="1306"/>
      <c r="Q40" s="1307"/>
      <c r="U40" s="1798"/>
      <c r="V40" s="1799"/>
      <c r="W40" s="1799"/>
      <c r="X40" s="1799"/>
      <c r="Y40" s="1800"/>
      <c r="Z40" s="1798"/>
      <c r="AA40" s="1799"/>
      <c r="AB40" s="1800"/>
    </row>
    <row r="41" spans="2:28" ht="20.100000000000001" customHeight="1" outlineLevel="1">
      <c r="B41" s="1321" t="s">
        <v>60</v>
      </c>
      <c r="C41" s="3352">
        <v>1956000</v>
      </c>
      <c r="D41" s="3353">
        <v>2900250.5815201723</v>
      </c>
      <c r="E41" s="3353">
        <v>2411040.1253573745</v>
      </c>
      <c r="F41" s="3353">
        <v>2393797.5625867457</v>
      </c>
      <c r="G41" s="3354">
        <v>2385937.5067110001</v>
      </c>
      <c r="H41" s="3352">
        <v>2671368.8093737946</v>
      </c>
      <c r="I41" s="3353">
        <v>2765178.1354442425</v>
      </c>
      <c r="J41" s="3353">
        <v>3361536.4167592889</v>
      </c>
      <c r="K41" s="1306"/>
      <c r="L41" s="1306"/>
      <c r="M41" s="1305"/>
      <c r="N41" s="1306"/>
      <c r="O41" s="1306"/>
      <c r="P41" s="1306"/>
      <c r="Q41" s="1307"/>
      <c r="U41" s="1798"/>
      <c r="V41" s="1799"/>
      <c r="W41" s="1799"/>
      <c r="X41" s="1799"/>
      <c r="Y41" s="1800"/>
      <c r="Z41" s="1798"/>
      <c r="AA41" s="1799"/>
      <c r="AB41" s="1800"/>
    </row>
    <row r="42" spans="2:28" ht="20.100000000000001" customHeight="1" outlineLevel="1">
      <c r="B42" s="1321" t="s">
        <v>1344</v>
      </c>
      <c r="C42" s="3352">
        <v>592000</v>
      </c>
      <c r="D42" s="3353">
        <v>725767.92257935705</v>
      </c>
      <c r="E42" s="3353">
        <v>579475.04999999981</v>
      </c>
      <c r="F42" s="3353">
        <v>562563.80624914309</v>
      </c>
      <c r="G42" s="3354">
        <v>769735.33019564138</v>
      </c>
      <c r="H42" s="3352">
        <v>21262.33</v>
      </c>
      <c r="I42" s="3353">
        <v>121122.53000000003</v>
      </c>
      <c r="J42" s="3353">
        <v>363892.00999999989</v>
      </c>
      <c r="K42" s="1306"/>
      <c r="L42" s="1306"/>
      <c r="M42" s="1305"/>
      <c r="N42" s="1306"/>
      <c r="O42" s="1306"/>
      <c r="P42" s="1306"/>
      <c r="Q42" s="1307"/>
      <c r="U42" s="1798"/>
      <c r="V42" s="1799"/>
      <c r="W42" s="1799"/>
      <c r="X42" s="1799"/>
      <c r="Y42" s="1800"/>
      <c r="Z42" s="1798"/>
      <c r="AA42" s="1799"/>
      <c r="AB42" s="1800"/>
    </row>
    <row r="43" spans="2:28" ht="20.100000000000001" customHeight="1" outlineLevel="1">
      <c r="B43" s="1321" t="s">
        <v>1345</v>
      </c>
      <c r="C43" s="3352">
        <v>796000</v>
      </c>
      <c r="D43" s="3353">
        <v>958187.99290451093</v>
      </c>
      <c r="E43" s="3353">
        <v>1031245.4899999998</v>
      </c>
      <c r="F43" s="3353">
        <v>986042.77553325065</v>
      </c>
      <c r="G43" s="3354">
        <v>1404711.7637688217</v>
      </c>
      <c r="H43" s="3352">
        <v>1232855.93</v>
      </c>
      <c r="I43" s="3353">
        <v>1213385.635720938</v>
      </c>
      <c r="J43" s="3353">
        <v>1082394.5812299757</v>
      </c>
      <c r="K43" s="1306"/>
      <c r="L43" s="1306"/>
      <c r="M43" s="1305"/>
      <c r="N43" s="1306"/>
      <c r="O43" s="1306"/>
      <c r="P43" s="1306"/>
      <c r="Q43" s="1307"/>
      <c r="U43" s="1798"/>
      <c r="V43" s="1799"/>
      <c r="W43" s="1799"/>
      <c r="X43" s="1799"/>
      <c r="Y43" s="1800"/>
      <c r="Z43" s="1798"/>
      <c r="AA43" s="1799"/>
      <c r="AB43" s="1800"/>
    </row>
    <row r="44" spans="2:28" ht="20.100000000000001" customHeight="1" outlineLevel="1">
      <c r="B44" s="1321" t="s">
        <v>61</v>
      </c>
      <c r="C44" s="3352">
        <v>1576000</v>
      </c>
      <c r="D44" s="3353">
        <v>2539637.193099028</v>
      </c>
      <c r="E44" s="3353">
        <v>2723781.1964098322</v>
      </c>
      <c r="F44" s="3353">
        <v>2592171.6832581344</v>
      </c>
      <c r="G44" s="3354">
        <v>3580265.2677969541</v>
      </c>
      <c r="H44" s="3352">
        <v>1884485.0165215218</v>
      </c>
      <c r="I44" s="3353">
        <v>2507699.857073646</v>
      </c>
      <c r="J44" s="3353">
        <v>2199644.4005450592</v>
      </c>
      <c r="K44" s="1306"/>
      <c r="L44" s="1306"/>
      <c r="M44" s="1305"/>
      <c r="N44" s="1306"/>
      <c r="O44" s="1306"/>
      <c r="P44" s="1306"/>
      <c r="Q44" s="1307"/>
      <c r="U44" s="1798"/>
      <c r="V44" s="1799"/>
      <c r="W44" s="1799"/>
      <c r="X44" s="1799"/>
      <c r="Y44" s="1800"/>
      <c r="Z44" s="1798"/>
      <c r="AA44" s="1799"/>
      <c r="AB44" s="1800"/>
    </row>
    <row r="45" spans="2:28" ht="20.100000000000001" customHeight="1" outlineLevel="1">
      <c r="B45" s="1321" t="s">
        <v>1346</v>
      </c>
      <c r="C45" s="3352">
        <v>502000</v>
      </c>
      <c r="D45" s="3353">
        <v>234836.79999999993</v>
      </c>
      <c r="E45" s="3353">
        <v>22275</v>
      </c>
      <c r="F45" s="3353">
        <v>61309.101777106385</v>
      </c>
      <c r="G45" s="3354">
        <v>0</v>
      </c>
      <c r="H45" s="3352">
        <v>0</v>
      </c>
      <c r="I45" s="3353">
        <v>0</v>
      </c>
      <c r="J45" s="3353">
        <v>253072.21000000005</v>
      </c>
      <c r="K45" s="1306"/>
      <c r="L45" s="1306"/>
      <c r="M45" s="1305"/>
      <c r="N45" s="1306"/>
      <c r="O45" s="1306"/>
      <c r="P45" s="1306"/>
      <c r="Q45" s="1307"/>
      <c r="U45" s="1798"/>
      <c r="V45" s="1799"/>
      <c r="W45" s="1799"/>
      <c r="X45" s="1799"/>
      <c r="Y45" s="1800"/>
      <c r="Z45" s="1798"/>
      <c r="AA45" s="1799"/>
      <c r="AB45" s="1800"/>
    </row>
    <row r="46" spans="2:28" ht="20.100000000000001" customHeight="1" outlineLevel="1">
      <c r="B46" s="1321" t="s">
        <v>62</v>
      </c>
      <c r="C46" s="3352">
        <v>0</v>
      </c>
      <c r="D46" s="3353">
        <v>0</v>
      </c>
      <c r="E46" s="3353">
        <v>1436</v>
      </c>
      <c r="F46" s="3353">
        <v>0</v>
      </c>
      <c r="G46" s="3354">
        <v>6484.0300000000007</v>
      </c>
      <c r="H46" s="3744">
        <v>0</v>
      </c>
      <c r="I46" s="3745">
        <v>0</v>
      </c>
      <c r="J46" s="3745">
        <v>1204019.6111039668</v>
      </c>
      <c r="K46" s="1306"/>
      <c r="L46" s="1306"/>
      <c r="M46" s="1305"/>
      <c r="N46" s="1306"/>
      <c r="O46" s="1306"/>
      <c r="P46" s="1306"/>
      <c r="Q46" s="1307"/>
      <c r="U46" s="1798"/>
      <c r="V46" s="1799"/>
      <c r="W46" s="1799"/>
      <c r="X46" s="1799"/>
      <c r="Y46" s="1800"/>
      <c r="Z46" s="1798"/>
      <c r="AA46" s="1799"/>
      <c r="AB46" s="1800"/>
    </row>
    <row r="47" spans="2:28" ht="20.100000000000001" customHeight="1" outlineLevel="1">
      <c r="B47" s="2736" t="s">
        <v>1347</v>
      </c>
      <c r="C47" s="3356">
        <v>9708900</v>
      </c>
      <c r="D47" s="837">
        <v>13096193.089428235</v>
      </c>
      <c r="E47" s="837">
        <v>12857620.71657961</v>
      </c>
      <c r="F47" s="837">
        <v>11071961.369126141</v>
      </c>
      <c r="G47" s="3357">
        <v>13916624.265469786</v>
      </c>
      <c r="H47" s="3356">
        <v>10195335.349999994</v>
      </c>
      <c r="I47" s="837">
        <v>9992436.1530849244</v>
      </c>
      <c r="J47" s="837">
        <v>12249633.542619597</v>
      </c>
      <c r="K47" s="2737">
        <f t="shared" ref="K47" si="1">SUM(K39:K46)</f>
        <v>0</v>
      </c>
      <c r="L47" s="2735">
        <f>SUM(L39:L46)</f>
        <v>0</v>
      </c>
      <c r="M47" s="2733">
        <f>SUM(M39:M46)</f>
        <v>0</v>
      </c>
      <c r="N47" s="2737">
        <f>SUM(N39:N46)</f>
        <v>0</v>
      </c>
      <c r="O47" s="2737">
        <f t="shared" ref="O47" si="2">SUM(O39:O46)</f>
        <v>0</v>
      </c>
      <c r="P47" s="2737">
        <f>SUM(P39:P46)</f>
        <v>0</v>
      </c>
      <c r="Q47" s="2735">
        <f>SUM(Q39:Q46)</f>
        <v>0</v>
      </c>
      <c r="U47" s="1798"/>
      <c r="V47" s="1799"/>
      <c r="W47" s="1799"/>
      <c r="X47" s="1799"/>
      <c r="Y47" s="1800"/>
      <c r="Z47" s="1798"/>
      <c r="AA47" s="1799"/>
      <c r="AB47" s="1800"/>
    </row>
    <row r="48" spans="2:28" ht="20.100000000000001" customHeight="1" outlineLevel="1" thickBot="1">
      <c r="B48" s="2742" t="s">
        <v>1355</v>
      </c>
      <c r="C48" s="3358">
        <v>36694652.358896539</v>
      </c>
      <c r="D48" s="3359">
        <v>39221213.119008392</v>
      </c>
      <c r="E48" s="3359">
        <v>35154783.662480339</v>
      </c>
      <c r="F48" s="3359">
        <v>39113374.798195034</v>
      </c>
      <c r="G48" s="3360">
        <v>48143344.144733593</v>
      </c>
      <c r="H48" s="3358">
        <v>51256399.977697</v>
      </c>
      <c r="I48" s="3359">
        <v>46586842.065343842</v>
      </c>
      <c r="J48" s="3359">
        <v>48238792.673847228</v>
      </c>
      <c r="K48" s="1311">
        <v>52753241.429169871</v>
      </c>
      <c r="L48" s="1312">
        <v>53423752.262954302</v>
      </c>
      <c r="M48" s="1310">
        <v>58360130.894719005</v>
      </c>
      <c r="N48" s="1311">
        <v>59550960.957311682</v>
      </c>
      <c r="O48" s="1311">
        <v>60831360.74991414</v>
      </c>
      <c r="P48" s="1311">
        <v>62584150.93491634</v>
      </c>
      <c r="Q48" s="1312">
        <v>63398313.865798578</v>
      </c>
      <c r="U48" s="1796">
        <f t="shared" ref="U48:AB48" si="3">SUM(U23:U47)</f>
        <v>0</v>
      </c>
      <c r="V48" s="1308">
        <f t="shared" si="3"/>
        <v>0</v>
      </c>
      <c r="W48" s="1308">
        <f t="shared" si="3"/>
        <v>0</v>
      </c>
      <c r="X48" s="1308">
        <f t="shared" si="3"/>
        <v>0</v>
      </c>
      <c r="Y48" s="1309">
        <f t="shared" si="3"/>
        <v>0</v>
      </c>
      <c r="Z48" s="1796">
        <f t="shared" si="3"/>
        <v>0</v>
      </c>
      <c r="AA48" s="1308">
        <f t="shared" si="3"/>
        <v>0</v>
      </c>
      <c r="AB48" s="1309">
        <f t="shared" si="3"/>
        <v>0</v>
      </c>
    </row>
    <row r="49" spans="1:33" ht="20.100000000000001" customHeight="1" outlineLevel="1" thickBot="1">
      <c r="B49" s="2739" t="s">
        <v>1361</v>
      </c>
      <c r="C49" s="3361"/>
      <c r="D49" s="3361"/>
      <c r="E49" s="3361"/>
      <c r="F49" s="3361"/>
      <c r="G49" s="3361"/>
      <c r="H49" s="3361"/>
      <c r="I49" s="3361"/>
      <c r="J49" s="3361"/>
      <c r="K49" s="2740"/>
      <c r="L49" s="2740"/>
      <c r="M49" s="2740"/>
      <c r="N49" s="2740"/>
      <c r="O49" s="2740"/>
      <c r="P49" s="2740"/>
      <c r="Q49" s="2741"/>
      <c r="U49" s="821" t="e">
        <f>#REF!+U48</f>
        <v>#REF!</v>
      </c>
      <c r="V49" s="817" t="e">
        <f>#REF!+V48</f>
        <v>#REF!</v>
      </c>
      <c r="W49" s="817" t="e">
        <f>#REF!+W48</f>
        <v>#REF!</v>
      </c>
      <c r="X49" s="817" t="e">
        <f>#REF!+X48</f>
        <v>#REF!</v>
      </c>
      <c r="Y49" s="822" t="e">
        <f>#REF!+Y48</f>
        <v>#REF!</v>
      </c>
      <c r="Z49" s="821" t="e">
        <f>#REF!+Z48</f>
        <v>#REF!</v>
      </c>
      <c r="AA49" s="817" t="e">
        <f>#REF!+AA48</f>
        <v>#REF!</v>
      </c>
      <c r="AB49" s="822" t="e">
        <f>#REF!+AB48</f>
        <v>#REF!</v>
      </c>
    </row>
    <row r="50" spans="1:33" s="136" customFormat="1" ht="21.75" customHeight="1">
      <c r="A50" s="474"/>
      <c r="B50" s="1321" t="s">
        <v>1350</v>
      </c>
      <c r="C50" s="3352">
        <v>77483.448964677998</v>
      </c>
      <c r="D50" s="3353">
        <v>22940.441929471282</v>
      </c>
      <c r="E50" s="3353">
        <v>27421.00911385315</v>
      </c>
      <c r="F50" s="3353">
        <v>12432.094604606642</v>
      </c>
      <c r="G50" s="3354">
        <v>34624.657211478028</v>
      </c>
      <c r="H50" s="3352">
        <v>46861.98044900925</v>
      </c>
      <c r="I50" s="3353">
        <v>4670.8773918344459</v>
      </c>
      <c r="J50" s="3353">
        <v>0</v>
      </c>
      <c r="K50" s="814"/>
      <c r="L50" s="814"/>
      <c r="M50" s="819"/>
      <c r="N50" s="814"/>
      <c r="O50" s="814"/>
      <c r="P50" s="814"/>
      <c r="Q50" s="820"/>
      <c r="R50" s="1172"/>
      <c r="S50" s="1174"/>
      <c r="U50" s="1797"/>
      <c r="V50" s="1319"/>
      <c r="W50" s="1319"/>
      <c r="X50" s="1319"/>
      <c r="Y50" s="1319"/>
      <c r="Z50" s="1319"/>
      <c r="AA50" s="1319"/>
      <c r="AB50" s="1320"/>
    </row>
    <row r="51" spans="1:33" ht="20.100000000000001" customHeight="1" outlineLevel="1">
      <c r="B51" s="1321" t="s">
        <v>1351</v>
      </c>
      <c r="C51" s="3352">
        <v>1211946.2661217402</v>
      </c>
      <c r="D51" s="3353">
        <v>864727.32612947631</v>
      </c>
      <c r="E51" s="3353">
        <v>866783.70565723046</v>
      </c>
      <c r="F51" s="3353">
        <v>880718.3876534726</v>
      </c>
      <c r="G51" s="3354">
        <v>704873.91615115898</v>
      </c>
      <c r="H51" s="3352">
        <v>871298.01460269035</v>
      </c>
      <c r="I51" s="3353">
        <v>1163286.2239244671</v>
      </c>
      <c r="J51" s="3353">
        <v>1140158.6729853756</v>
      </c>
      <c r="K51" s="814"/>
      <c r="L51" s="814"/>
      <c r="M51" s="819"/>
      <c r="N51" s="814"/>
      <c r="O51" s="814"/>
      <c r="P51" s="814"/>
      <c r="Q51" s="820"/>
      <c r="U51" s="1772"/>
      <c r="V51" s="1773"/>
      <c r="W51" s="1773"/>
      <c r="X51" s="1773"/>
      <c r="Y51" s="1777"/>
      <c r="Z51" s="1772"/>
      <c r="AA51" s="1773"/>
      <c r="AB51" s="1777"/>
    </row>
    <row r="52" spans="1:33" ht="20.100000000000001" customHeight="1" outlineLevel="1">
      <c r="B52" s="1321" t="s">
        <v>1352</v>
      </c>
      <c r="C52" s="3352">
        <v>667211.09491358197</v>
      </c>
      <c r="D52" s="3353">
        <v>410930.82251281693</v>
      </c>
      <c r="E52" s="3353">
        <v>554354.08864930412</v>
      </c>
      <c r="F52" s="3353">
        <v>590231.87774192041</v>
      </c>
      <c r="G52" s="3354">
        <v>499622.89240273437</v>
      </c>
      <c r="H52" s="3352">
        <v>526641.50494829717</v>
      </c>
      <c r="I52" s="3353">
        <v>596962.21115413774</v>
      </c>
      <c r="J52" s="3353">
        <v>557681.95439502329</v>
      </c>
      <c r="K52" s="814"/>
      <c r="L52" s="814"/>
      <c r="M52" s="819"/>
      <c r="N52" s="814"/>
      <c r="O52" s="814"/>
      <c r="P52" s="814"/>
      <c r="Q52" s="820"/>
      <c r="U52" s="1313"/>
      <c r="V52" s="1314"/>
      <c r="W52" s="1314"/>
      <c r="X52" s="1314"/>
      <c r="Y52" s="1315"/>
      <c r="Z52" s="1772"/>
      <c r="AA52" s="1773"/>
      <c r="AB52" s="1777"/>
    </row>
    <row r="53" spans="1:33" ht="20.100000000000001" customHeight="1" outlineLevel="1">
      <c r="B53" s="1321" t="s">
        <v>1353</v>
      </c>
      <c r="C53" s="3352">
        <v>622238.82000000007</v>
      </c>
      <c r="D53" s="3353">
        <v>893028.77</v>
      </c>
      <c r="E53" s="3353">
        <v>445261.92</v>
      </c>
      <c r="F53" s="3353">
        <v>1025537.28</v>
      </c>
      <c r="G53" s="3354">
        <v>1259122.8600000001</v>
      </c>
      <c r="H53" s="3352">
        <v>853236.15</v>
      </c>
      <c r="I53" s="3353">
        <v>883103.70999999985</v>
      </c>
      <c r="J53" s="3353">
        <v>878855.69000000006</v>
      </c>
      <c r="K53" s="814"/>
      <c r="L53" s="814"/>
      <c r="M53" s="819"/>
      <c r="N53" s="814"/>
      <c r="O53" s="814"/>
      <c r="P53" s="814"/>
      <c r="Q53" s="820"/>
      <c r="U53" s="1313"/>
      <c r="V53" s="1314"/>
      <c r="W53" s="1314"/>
      <c r="X53" s="1314"/>
      <c r="Y53" s="1315"/>
      <c r="Z53" s="1772"/>
      <c r="AA53" s="1773"/>
      <c r="AB53" s="1777"/>
    </row>
    <row r="54" spans="1:33" ht="20.100000000000001" customHeight="1" outlineLevel="1">
      <c r="B54" s="3623" t="s">
        <v>2096</v>
      </c>
      <c r="C54" s="3624">
        <v>1465954.5599999998</v>
      </c>
      <c r="D54" s="3355">
        <v>1399333.76</v>
      </c>
      <c r="E54" s="3355">
        <v>1491765.36</v>
      </c>
      <c r="F54" s="3355">
        <v>1588067.9005939378</v>
      </c>
      <c r="G54" s="3625">
        <v>1583989.6297876367</v>
      </c>
      <c r="H54" s="3624">
        <v>1004943.6500000001</v>
      </c>
      <c r="I54" s="3355">
        <v>830795.62444462313</v>
      </c>
      <c r="J54" s="3355">
        <v>787669.41000000085</v>
      </c>
      <c r="K54" s="3626"/>
      <c r="L54" s="3626"/>
      <c r="M54" s="3627"/>
      <c r="N54" s="3626"/>
      <c r="O54" s="3626"/>
      <c r="P54" s="3626"/>
      <c r="Q54" s="3628"/>
      <c r="U54" s="1313"/>
      <c r="V54" s="1314"/>
      <c r="W54" s="1314"/>
      <c r="X54" s="1314"/>
      <c r="Y54" s="1315"/>
      <c r="Z54" s="1772"/>
      <c r="AA54" s="1773"/>
      <c r="AB54" s="1777"/>
    </row>
    <row r="55" spans="1:33" ht="20.100000000000001" customHeight="1" outlineLevel="1" thickBot="1">
      <c r="B55" s="2750" t="s">
        <v>1348</v>
      </c>
      <c r="C55" s="2747">
        <f>SUM(C50:C54)</f>
        <v>4044834.1899999995</v>
      </c>
      <c r="D55" s="2748">
        <f t="shared" ref="D55:J55" si="4">SUM(D50:D54)</f>
        <v>3590961.1205717642</v>
      </c>
      <c r="E55" s="2748">
        <f t="shared" si="4"/>
        <v>3385586.0834203875</v>
      </c>
      <c r="F55" s="2748">
        <f t="shared" si="4"/>
        <v>4096987.5405939375</v>
      </c>
      <c r="G55" s="2749">
        <f t="shared" si="4"/>
        <v>4082233.9555530082</v>
      </c>
      <c r="H55" s="2747">
        <f t="shared" si="4"/>
        <v>3302981.299999997</v>
      </c>
      <c r="I55" s="2748">
        <f t="shared" si="4"/>
        <v>3478818.6469150623</v>
      </c>
      <c r="J55" s="2748">
        <f t="shared" si="4"/>
        <v>3364365.7273803996</v>
      </c>
      <c r="K55" s="2748">
        <v>2246828.5763207972</v>
      </c>
      <c r="L55" s="2748">
        <v>2218075.7426201655</v>
      </c>
      <c r="M55" s="2747">
        <v>2182071.5618496472</v>
      </c>
      <c r="N55" s="2748">
        <v>2146651.8070335928</v>
      </c>
      <c r="O55" s="2748">
        <v>2111806.9916710211</v>
      </c>
      <c r="P55" s="2748">
        <v>2077527.7832474385</v>
      </c>
      <c r="Q55" s="2749">
        <v>2043805.0007353059</v>
      </c>
      <c r="U55" s="1772"/>
      <c r="V55" s="1773"/>
      <c r="W55" s="1773"/>
      <c r="X55" s="1773"/>
      <c r="Y55" s="1777"/>
      <c r="Z55" s="1772"/>
      <c r="AA55" s="1773"/>
      <c r="AB55" s="1777"/>
    </row>
    <row r="56" spans="1:33" ht="20.100000000000001" customHeight="1" thickBot="1">
      <c r="B56" s="2731" t="s">
        <v>1358</v>
      </c>
      <c r="C56" s="2751">
        <f t="shared" ref="C56:Q56" si="5">C55+C48</f>
        <v>40739486.548896536</v>
      </c>
      <c r="D56" s="2744">
        <f t="shared" si="5"/>
        <v>42812174.239580154</v>
      </c>
      <c r="E56" s="2744">
        <f t="shared" si="5"/>
        <v>38540369.745900728</v>
      </c>
      <c r="F56" s="2744">
        <f t="shared" si="5"/>
        <v>43210362.338788971</v>
      </c>
      <c r="G56" s="2745">
        <f t="shared" si="5"/>
        <v>52225578.100286603</v>
      </c>
      <c r="H56" s="2743">
        <f t="shared" si="5"/>
        <v>54559381.277696997</v>
      </c>
      <c r="I56" s="2744">
        <f t="shared" si="5"/>
        <v>50065660.712258905</v>
      </c>
      <c r="J56" s="2744">
        <f t="shared" si="5"/>
        <v>51603158.401227631</v>
      </c>
      <c r="K56" s="2744">
        <f t="shared" si="5"/>
        <v>55000070.005490668</v>
      </c>
      <c r="L56" s="2744">
        <f t="shared" si="5"/>
        <v>55641828.005574465</v>
      </c>
      <c r="M56" s="2743">
        <f t="shared" si="5"/>
        <v>60542202.456568651</v>
      </c>
      <c r="N56" s="2744">
        <f t="shared" si="5"/>
        <v>61697612.764345273</v>
      </c>
      <c r="O56" s="2744">
        <f t="shared" si="5"/>
        <v>62943167.741585158</v>
      </c>
      <c r="P56" s="2744">
        <f t="shared" si="5"/>
        <v>64661678.718163781</v>
      </c>
      <c r="Q56" s="2745">
        <f t="shared" si="5"/>
        <v>65442118.866533883</v>
      </c>
      <c r="U56" s="1203">
        <f t="shared" ref="U56:AB56" si="6">SUM(U51:U55)</f>
        <v>0</v>
      </c>
      <c r="V56" s="1204">
        <f t="shared" si="6"/>
        <v>0</v>
      </c>
      <c r="W56" s="1204">
        <f t="shared" si="6"/>
        <v>0</v>
      </c>
      <c r="X56" s="1204">
        <f t="shared" si="6"/>
        <v>0</v>
      </c>
      <c r="Y56" s="1205">
        <f t="shared" si="6"/>
        <v>0</v>
      </c>
      <c r="Z56" s="1203">
        <f t="shared" si="6"/>
        <v>0</v>
      </c>
      <c r="AA56" s="1204">
        <f t="shared" si="6"/>
        <v>0</v>
      </c>
      <c r="AB56" s="1205">
        <f t="shared" si="6"/>
        <v>0</v>
      </c>
    </row>
    <row r="57" spans="1:33" ht="30" customHeight="1" thickBot="1">
      <c r="B57" s="1494" t="s">
        <v>121</v>
      </c>
      <c r="C57" s="4386" t="s">
        <v>1566</v>
      </c>
      <c r="D57" s="4387"/>
      <c r="E57" s="4387"/>
      <c r="F57" s="4387"/>
      <c r="G57" s="4387"/>
      <c r="H57" s="4387"/>
      <c r="I57" s="4387"/>
      <c r="J57" s="4387"/>
      <c r="K57" s="4387"/>
      <c r="L57" s="4387"/>
      <c r="M57" s="4387"/>
      <c r="N57" s="4387"/>
      <c r="O57" s="4387"/>
      <c r="P57" s="4387"/>
      <c r="Q57" s="4388"/>
      <c r="U57" s="1316" t="e">
        <f t="shared" ref="U57:AB57" si="7">U56+U49</f>
        <v>#REF!</v>
      </c>
      <c r="V57" s="1317" t="e">
        <f t="shared" si="7"/>
        <v>#REF!</v>
      </c>
      <c r="W57" s="1317" t="e">
        <f t="shared" si="7"/>
        <v>#REF!</v>
      </c>
      <c r="X57" s="1317" t="e">
        <f t="shared" si="7"/>
        <v>#REF!</v>
      </c>
      <c r="Y57" s="1318" t="e">
        <f t="shared" si="7"/>
        <v>#REF!</v>
      </c>
      <c r="Z57" s="1316" t="e">
        <f t="shared" si="7"/>
        <v>#REF!</v>
      </c>
      <c r="AA57" s="1317" t="e">
        <f t="shared" si="7"/>
        <v>#REF!</v>
      </c>
      <c r="AB57" s="1318" t="e">
        <f t="shared" si="7"/>
        <v>#REF!</v>
      </c>
    </row>
    <row r="58" spans="1:33" s="136" customFormat="1" ht="39" customHeight="1" thickBot="1">
      <c r="A58" s="1172"/>
      <c r="B58" s="1174"/>
      <c r="C58" s="1174"/>
      <c r="D58" s="1174"/>
      <c r="E58" s="1174"/>
      <c r="F58" s="1174"/>
      <c r="G58" s="1174"/>
      <c r="H58" s="1174"/>
      <c r="I58" s="1174"/>
      <c r="J58" s="1174"/>
      <c r="K58" s="1174"/>
      <c r="L58" s="1174"/>
      <c r="M58" s="1174"/>
      <c r="N58" s="1174"/>
      <c r="O58" s="1174"/>
      <c r="P58" s="1174"/>
      <c r="Q58" s="1174"/>
      <c r="R58" s="1172"/>
      <c r="S58" s="1172"/>
      <c r="T58" s="1172"/>
      <c r="U58" s="1172"/>
      <c r="V58" s="1172"/>
      <c r="W58" s="1172"/>
      <c r="X58" s="1172"/>
      <c r="Y58" s="1172"/>
      <c r="Z58" s="1172"/>
      <c r="AA58" s="1172"/>
      <c r="AB58" s="1172"/>
    </row>
    <row r="59" spans="1:33" s="72" customFormat="1" ht="16.5" customHeight="1">
      <c r="A59" s="1172"/>
      <c r="B59" s="4362"/>
      <c r="C59" s="4047" t="s">
        <v>36</v>
      </c>
      <c r="D59" s="4048"/>
      <c r="E59" s="4048"/>
      <c r="F59" s="4048"/>
      <c r="G59" s="4049"/>
      <c r="H59" s="4050" t="s">
        <v>37</v>
      </c>
      <c r="I59" s="4051"/>
      <c r="J59" s="4051"/>
      <c r="K59" s="4051"/>
      <c r="L59" s="4052"/>
      <c r="M59" s="1172"/>
      <c r="N59" s="1172"/>
      <c r="O59" s="1172"/>
      <c r="P59" s="1172"/>
      <c r="Q59" s="1172"/>
      <c r="R59" s="1172"/>
      <c r="S59" s="1172"/>
      <c r="T59" s="1172"/>
      <c r="U59" s="1172"/>
      <c r="V59" s="1172"/>
      <c r="W59" s="1172"/>
      <c r="X59" s="1172"/>
      <c r="Y59" s="1172"/>
      <c r="Z59" s="1172"/>
      <c r="AA59" s="1172"/>
      <c r="AB59" s="1172"/>
      <c r="AC59" s="1172"/>
      <c r="AD59" s="1172"/>
      <c r="AE59" s="1172"/>
      <c r="AF59" s="1172"/>
      <c r="AG59" s="1172"/>
    </row>
    <row r="60" spans="1:33" ht="15" customHeight="1">
      <c r="B60" s="4206"/>
      <c r="C60" s="3985" t="str">
        <f>CONCATENATE("$0's, real ",dms_DollarReal)</f>
        <v>$0's, real December 2017</v>
      </c>
      <c r="D60" s="3986"/>
      <c r="E60" s="3986"/>
      <c r="F60" s="3986"/>
      <c r="G60" s="3986"/>
      <c r="H60" s="3986"/>
      <c r="I60" s="3986"/>
      <c r="J60" s="3986"/>
      <c r="K60" s="3986"/>
      <c r="L60" s="4030"/>
      <c r="U60" s="1172"/>
    </row>
    <row r="61" spans="1:33" s="72" customFormat="1" ht="16.5" customHeight="1">
      <c r="A61" s="1172"/>
      <c r="B61" s="4206"/>
      <c r="C61" s="3985" t="s">
        <v>74</v>
      </c>
      <c r="D61" s="3986"/>
      <c r="E61" s="3986"/>
      <c r="F61" s="3986"/>
      <c r="G61" s="3986"/>
      <c r="H61" s="3986"/>
      <c r="I61" s="3986"/>
      <c r="J61" s="3986"/>
      <c r="K61" s="3986"/>
      <c r="L61" s="4030"/>
      <c r="M61" s="1172"/>
      <c r="N61" s="1172"/>
      <c r="O61" s="1172"/>
      <c r="P61" s="1172"/>
      <c r="Q61" s="1172"/>
      <c r="R61" s="1172"/>
      <c r="S61" s="1172"/>
      <c r="T61" s="1172"/>
      <c r="U61" s="1172"/>
      <c r="V61" s="1172"/>
      <c r="W61" s="1172"/>
      <c r="X61" s="1172"/>
      <c r="Y61" s="1172"/>
      <c r="Z61" s="1172"/>
      <c r="AA61" s="1172"/>
      <c r="AB61" s="1172"/>
      <c r="AC61" s="1172"/>
      <c r="AD61" s="1172"/>
    </row>
    <row r="62" spans="1:33" ht="12.75" customHeight="1" thickBot="1">
      <c r="B62" s="4385"/>
      <c r="C62" s="343">
        <f t="array" ref="C62:G62">PRCP</f>
        <v>2008</v>
      </c>
      <c r="D62" s="342">
        <v>2009</v>
      </c>
      <c r="E62" s="342">
        <v>2010</v>
      </c>
      <c r="F62" s="342">
        <v>2011</v>
      </c>
      <c r="G62" s="342">
        <v>2012</v>
      </c>
      <c r="H62" s="344">
        <f>CRCP_y1</f>
        <v>2013</v>
      </c>
      <c r="I62" s="344">
        <f>CRCP_y2</f>
        <v>2014</v>
      </c>
      <c r="J62" s="344">
        <f>CRCP_y3</f>
        <v>2015</v>
      </c>
      <c r="K62" s="344">
        <f>CRCP_y4</f>
        <v>2016</v>
      </c>
      <c r="L62" s="542">
        <f>CRCP_y5</f>
        <v>2017</v>
      </c>
      <c r="U62" s="1172"/>
    </row>
    <row r="63" spans="1:33" s="136" customFormat="1" ht="21.75" customHeight="1" thickBot="1">
      <c r="A63" s="474"/>
      <c r="B63" s="737" t="s">
        <v>518</v>
      </c>
      <c r="C63" s="1254"/>
      <c r="D63" s="1254"/>
      <c r="E63" s="1254"/>
      <c r="F63" s="1254"/>
      <c r="G63" s="1254"/>
      <c r="H63" s="1254"/>
      <c r="I63" s="1254"/>
      <c r="J63" s="1254"/>
      <c r="K63" s="1254"/>
      <c r="L63" s="1255"/>
      <c r="M63" s="1172"/>
      <c r="N63" s="1172"/>
      <c r="O63" s="1172"/>
      <c r="P63" s="1172"/>
      <c r="Q63" s="1172"/>
      <c r="R63" s="1172"/>
      <c r="S63" s="1174"/>
      <c r="U63" s="1172"/>
      <c r="V63" s="1172"/>
      <c r="W63" s="1172"/>
      <c r="X63" s="1172"/>
      <c r="Y63" s="1172"/>
      <c r="Z63" s="1172"/>
      <c r="AA63" s="1172"/>
      <c r="AB63" s="1172"/>
    </row>
    <row r="64" spans="1:33" s="136" customFormat="1" ht="21.75" customHeight="1">
      <c r="A64" s="474"/>
      <c r="B64" s="2739" t="s">
        <v>1359</v>
      </c>
      <c r="C64" s="2740"/>
      <c r="D64" s="2740"/>
      <c r="E64" s="2740"/>
      <c r="F64" s="2740"/>
      <c r="G64" s="2740"/>
      <c r="H64" s="2740"/>
      <c r="I64" s="2740"/>
      <c r="J64" s="2740"/>
      <c r="K64" s="2740"/>
      <c r="L64" s="2741"/>
      <c r="M64" s="1172"/>
      <c r="N64" s="1172"/>
      <c r="O64" s="1172"/>
      <c r="P64" s="1172"/>
      <c r="Q64" s="1172"/>
      <c r="R64" s="1172"/>
      <c r="S64" s="1174"/>
      <c r="U64" s="1172"/>
      <c r="V64" s="1172"/>
      <c r="W64" s="1172"/>
      <c r="X64" s="1172"/>
      <c r="Y64" s="1172"/>
      <c r="Z64" s="1172"/>
      <c r="AA64" s="1172"/>
      <c r="AB64" s="1172"/>
    </row>
    <row r="65" spans="1:28" ht="20.100000000000001" customHeight="1" outlineLevel="1">
      <c r="B65" s="2732" t="s">
        <v>1329</v>
      </c>
      <c r="C65" s="2733"/>
      <c r="D65" s="2734"/>
      <c r="E65" s="2734"/>
      <c r="F65" s="2734"/>
      <c r="G65" s="2735"/>
      <c r="H65" s="2733"/>
      <c r="I65" s="2734"/>
      <c r="J65" s="2734"/>
      <c r="K65" s="2734"/>
      <c r="L65" s="2735"/>
      <c r="U65" s="1172"/>
    </row>
    <row r="66" spans="1:28" ht="20.100000000000001" customHeight="1" outlineLevel="1">
      <c r="B66" s="1321" t="s">
        <v>1330</v>
      </c>
      <c r="C66" s="1305"/>
      <c r="D66" s="1306"/>
      <c r="E66" s="1306"/>
      <c r="F66" s="1306"/>
      <c r="G66" s="1307"/>
      <c r="H66" s="1305"/>
      <c r="I66" s="1306"/>
      <c r="J66" s="1306"/>
      <c r="K66" s="1306"/>
      <c r="L66" s="1307"/>
      <c r="U66" s="1172"/>
    </row>
    <row r="67" spans="1:28" ht="20.100000000000001" customHeight="1" outlineLevel="1">
      <c r="B67" s="1321" t="s">
        <v>1331</v>
      </c>
      <c r="C67" s="1305"/>
      <c r="D67" s="1306"/>
      <c r="E67" s="1306"/>
      <c r="F67" s="1306"/>
      <c r="G67" s="1307"/>
      <c r="H67" s="1305"/>
      <c r="I67" s="1306"/>
      <c r="J67" s="1306"/>
      <c r="K67" s="1306"/>
      <c r="L67" s="1307"/>
      <c r="U67" s="1172"/>
    </row>
    <row r="68" spans="1:28" ht="20.100000000000001" customHeight="1" outlineLevel="1">
      <c r="B68" s="1321" t="s">
        <v>1332</v>
      </c>
      <c r="C68" s="1305"/>
      <c r="D68" s="1306"/>
      <c r="E68" s="1306"/>
      <c r="F68" s="1306"/>
      <c r="G68" s="1307"/>
      <c r="H68" s="1305"/>
      <c r="I68" s="1306"/>
      <c r="J68" s="1306"/>
      <c r="K68" s="1306"/>
      <c r="L68" s="1307"/>
      <c r="U68" s="1172"/>
    </row>
    <row r="69" spans="1:28" ht="20.100000000000001" customHeight="1" outlineLevel="1">
      <c r="B69" s="1321" t="s">
        <v>1333</v>
      </c>
      <c r="C69" s="1305"/>
      <c r="D69" s="1306"/>
      <c r="E69" s="1306"/>
      <c r="F69" s="1306"/>
      <c r="G69" s="1307"/>
      <c r="H69" s="1305"/>
      <c r="I69" s="1306"/>
      <c r="J69" s="1306"/>
      <c r="K69" s="1306"/>
      <c r="L69" s="1307"/>
      <c r="U69" s="1172"/>
    </row>
    <row r="70" spans="1:28" ht="20.100000000000001" customHeight="1" outlineLevel="1">
      <c r="B70" s="1321" t="s">
        <v>1334</v>
      </c>
      <c r="C70" s="1305"/>
      <c r="D70" s="1306"/>
      <c r="E70" s="1306"/>
      <c r="F70" s="1306"/>
      <c r="G70" s="1307"/>
      <c r="H70" s="1305"/>
      <c r="I70" s="1306"/>
      <c r="J70" s="1306"/>
      <c r="K70" s="1306"/>
      <c r="L70" s="1307"/>
      <c r="U70" s="1172"/>
    </row>
    <row r="71" spans="1:28" ht="20.100000000000001" customHeight="1" outlineLevel="1">
      <c r="B71" s="1321" t="s">
        <v>256</v>
      </c>
      <c r="C71" s="1305"/>
      <c r="D71" s="1306"/>
      <c r="E71" s="1306"/>
      <c r="F71" s="1306"/>
      <c r="G71" s="1307"/>
      <c r="H71" s="1305"/>
      <c r="I71" s="1306"/>
      <c r="J71" s="1306"/>
      <c r="K71" s="1306"/>
      <c r="L71" s="1307"/>
      <c r="U71" s="1172"/>
    </row>
    <row r="72" spans="1:28" ht="20.100000000000001" customHeight="1" outlineLevel="1">
      <c r="B72" s="1321" t="s">
        <v>1335</v>
      </c>
      <c r="C72" s="1305"/>
      <c r="D72" s="1306"/>
      <c r="E72" s="1306"/>
      <c r="F72" s="1306"/>
      <c r="G72" s="1307"/>
      <c r="H72" s="1305"/>
      <c r="I72" s="1306"/>
      <c r="J72" s="1306"/>
      <c r="K72" s="1306"/>
      <c r="L72" s="1307"/>
      <c r="U72" s="1172"/>
    </row>
    <row r="73" spans="1:28" ht="20.100000000000001" customHeight="1" outlineLevel="1">
      <c r="B73" s="1321" t="s">
        <v>1336</v>
      </c>
      <c r="C73" s="1305"/>
      <c r="D73" s="1306"/>
      <c r="E73" s="1306"/>
      <c r="F73" s="1306"/>
      <c r="G73" s="1307"/>
      <c r="H73" s="1305"/>
      <c r="I73" s="1306"/>
      <c r="J73" s="1306"/>
      <c r="K73" s="1306"/>
      <c r="L73" s="1307"/>
      <c r="U73" s="1172"/>
    </row>
    <row r="74" spans="1:28" s="136" customFormat="1" ht="21.75" customHeight="1">
      <c r="A74" s="474"/>
      <c r="B74" s="1321" t="s">
        <v>1337</v>
      </c>
      <c r="C74" s="1305"/>
      <c r="D74" s="1306"/>
      <c r="E74" s="1306"/>
      <c r="F74" s="1306"/>
      <c r="G74" s="1307"/>
      <c r="H74" s="1305"/>
      <c r="I74" s="1306"/>
      <c r="J74" s="1306"/>
      <c r="K74" s="1306"/>
      <c r="L74" s="1307"/>
      <c r="M74" s="1172"/>
      <c r="N74" s="1172"/>
      <c r="O74" s="1172"/>
      <c r="P74" s="1172"/>
      <c r="Q74" s="1172"/>
      <c r="R74" s="1172"/>
      <c r="S74" s="1174"/>
      <c r="U74" s="1172"/>
      <c r="V74" s="1172"/>
      <c r="W74" s="1172"/>
      <c r="X74" s="1172"/>
      <c r="Y74" s="1172"/>
      <c r="Z74" s="1172"/>
      <c r="AA74" s="1172"/>
      <c r="AB74" s="1172"/>
    </row>
    <row r="75" spans="1:28" ht="20.100000000000001" customHeight="1" outlineLevel="1">
      <c r="B75" s="1321" t="s">
        <v>1338</v>
      </c>
      <c r="C75" s="1305"/>
      <c r="D75" s="1306"/>
      <c r="E75" s="1306"/>
      <c r="F75" s="1306"/>
      <c r="G75" s="1307"/>
      <c r="H75" s="1305"/>
      <c r="I75" s="1306"/>
      <c r="J75" s="1306"/>
      <c r="K75" s="1306"/>
      <c r="L75" s="1307"/>
      <c r="U75" s="1172"/>
    </row>
    <row r="76" spans="1:28" ht="20.100000000000001" customHeight="1" outlineLevel="1">
      <c r="B76" s="1321" t="s">
        <v>131</v>
      </c>
      <c r="C76" s="1305"/>
      <c r="D76" s="1306"/>
      <c r="E76" s="1306"/>
      <c r="F76" s="1306"/>
      <c r="G76" s="1307"/>
      <c r="H76" s="1305"/>
      <c r="I76" s="1306"/>
      <c r="J76" s="1306"/>
      <c r="K76" s="1306"/>
      <c r="L76" s="1307"/>
      <c r="U76" s="1172"/>
    </row>
    <row r="77" spans="1:28" ht="20.100000000000001" customHeight="1" outlineLevel="1">
      <c r="B77" s="1321" t="s">
        <v>1339</v>
      </c>
      <c r="C77" s="1305"/>
      <c r="D77" s="1306"/>
      <c r="E77" s="1306"/>
      <c r="F77" s="1306"/>
      <c r="G77" s="1307"/>
      <c r="H77" s="1305"/>
      <c r="I77" s="1306"/>
      <c r="J77" s="1306"/>
      <c r="K77" s="1306"/>
      <c r="L77" s="1307"/>
      <c r="U77" s="1172"/>
    </row>
    <row r="78" spans="1:28" ht="20.100000000000001" customHeight="1" outlineLevel="1">
      <c r="B78" s="1321" t="s">
        <v>1340</v>
      </c>
      <c r="C78" s="1305"/>
      <c r="D78" s="2746"/>
      <c r="E78" s="2746"/>
      <c r="F78" s="2746"/>
      <c r="G78" s="1307"/>
      <c r="H78" s="1305"/>
      <c r="I78" s="2746"/>
      <c r="J78" s="2746"/>
      <c r="K78" s="2746"/>
      <c r="L78" s="1307"/>
      <c r="U78" s="1172"/>
    </row>
    <row r="79" spans="1:28" ht="20.100000000000001" customHeight="1" outlineLevel="1">
      <c r="B79" s="2738" t="s">
        <v>1356</v>
      </c>
      <c r="C79" s="2733">
        <f>SUM(C66:C78)</f>
        <v>0</v>
      </c>
      <c r="D79" s="2737">
        <f>SUM(D66:D78)</f>
        <v>0</v>
      </c>
      <c r="E79" s="2737">
        <f t="shared" ref="E79" si="8">SUM(E66:E78)</f>
        <v>0</v>
      </c>
      <c r="F79" s="2737">
        <f>SUM(F66:F78)</f>
        <v>0</v>
      </c>
      <c r="G79" s="2735">
        <f t="shared" ref="G79:L79" si="9">SUM(G66:G78)</f>
        <v>0</v>
      </c>
      <c r="H79" s="2733">
        <f t="shared" si="9"/>
        <v>0</v>
      </c>
      <c r="I79" s="2737">
        <f t="shared" si="9"/>
        <v>0</v>
      </c>
      <c r="J79" s="2737">
        <f t="shared" si="9"/>
        <v>0</v>
      </c>
      <c r="K79" s="2737">
        <f t="shared" si="9"/>
        <v>0</v>
      </c>
      <c r="L79" s="2735">
        <f t="shared" si="9"/>
        <v>0</v>
      </c>
      <c r="U79" s="1172"/>
    </row>
    <row r="80" spans="1:28" ht="20.100000000000001" customHeight="1" outlineLevel="1">
      <c r="B80" s="2732" t="s">
        <v>1341</v>
      </c>
      <c r="C80" s="2733"/>
      <c r="D80" s="2737"/>
      <c r="E80" s="2737"/>
      <c r="F80" s="2737"/>
      <c r="G80" s="2735"/>
      <c r="H80" s="2733"/>
      <c r="I80" s="2737"/>
      <c r="J80" s="2737"/>
      <c r="K80" s="2737"/>
      <c r="L80" s="2735"/>
      <c r="U80" s="1172"/>
    </row>
    <row r="81" spans="2:21" ht="20.100000000000001" customHeight="1" outlineLevel="1">
      <c r="B81" s="1321" t="s">
        <v>1342</v>
      </c>
      <c r="C81" s="1305"/>
      <c r="D81" s="1306"/>
      <c r="E81" s="1306"/>
      <c r="F81" s="1306"/>
      <c r="G81" s="1307"/>
      <c r="H81" s="1305"/>
      <c r="I81" s="1306"/>
      <c r="J81" s="1306"/>
      <c r="K81" s="1306"/>
      <c r="L81" s="1307"/>
      <c r="U81" s="1172"/>
    </row>
    <row r="82" spans="2:21" ht="20.100000000000001" customHeight="1" outlineLevel="1">
      <c r="B82" s="1321" t="s">
        <v>1343</v>
      </c>
      <c r="C82" s="1305"/>
      <c r="D82" s="1306"/>
      <c r="E82" s="1306"/>
      <c r="F82" s="1306"/>
      <c r="G82" s="1307"/>
      <c r="H82" s="1305"/>
      <c r="I82" s="1306"/>
      <c r="J82" s="1306"/>
      <c r="K82" s="1306"/>
      <c r="L82" s="1307"/>
      <c r="U82" s="1172"/>
    </row>
    <row r="83" spans="2:21" ht="20.100000000000001" customHeight="1" outlineLevel="1">
      <c r="B83" s="1321" t="s">
        <v>60</v>
      </c>
      <c r="C83" s="1305"/>
      <c r="D83" s="1306"/>
      <c r="E83" s="1306"/>
      <c r="F83" s="1306"/>
      <c r="G83" s="1307"/>
      <c r="H83" s="1305"/>
      <c r="I83" s="1306"/>
      <c r="J83" s="1306"/>
      <c r="K83" s="1306"/>
      <c r="L83" s="1307"/>
      <c r="U83" s="1172"/>
    </row>
    <row r="84" spans="2:21" ht="20.100000000000001" customHeight="1" outlineLevel="1">
      <c r="B84" s="1321" t="s">
        <v>1344</v>
      </c>
      <c r="C84" s="1305"/>
      <c r="D84" s="1306"/>
      <c r="E84" s="1306"/>
      <c r="F84" s="1306"/>
      <c r="G84" s="1307"/>
      <c r="H84" s="1305"/>
      <c r="I84" s="1306"/>
      <c r="J84" s="1306"/>
      <c r="K84" s="1306"/>
      <c r="L84" s="1307"/>
      <c r="U84" s="1172"/>
    </row>
    <row r="85" spans="2:21" ht="20.100000000000001" customHeight="1" outlineLevel="1">
      <c r="B85" s="1321" t="s">
        <v>1345</v>
      </c>
      <c r="C85" s="1305"/>
      <c r="D85" s="1306"/>
      <c r="E85" s="1306"/>
      <c r="F85" s="1306"/>
      <c r="G85" s="1307"/>
      <c r="H85" s="1305"/>
      <c r="I85" s="1306"/>
      <c r="J85" s="1306"/>
      <c r="K85" s="1306"/>
      <c r="L85" s="1307"/>
      <c r="U85" s="1172"/>
    </row>
    <row r="86" spans="2:21" ht="20.100000000000001" customHeight="1" outlineLevel="1">
      <c r="B86" s="1321" t="s">
        <v>61</v>
      </c>
      <c r="C86" s="1305"/>
      <c r="D86" s="1306"/>
      <c r="E86" s="1306"/>
      <c r="F86" s="1306"/>
      <c r="G86" s="1307"/>
      <c r="H86" s="1305"/>
      <c r="I86" s="1306"/>
      <c r="J86" s="1306"/>
      <c r="K86" s="1306"/>
      <c r="L86" s="1307"/>
      <c r="U86" s="1172"/>
    </row>
    <row r="87" spans="2:21" ht="20.100000000000001" customHeight="1" outlineLevel="1">
      <c r="B87" s="1321" t="s">
        <v>1346</v>
      </c>
      <c r="C87" s="1305"/>
      <c r="D87" s="1306"/>
      <c r="E87" s="1306"/>
      <c r="F87" s="1306"/>
      <c r="G87" s="1307"/>
      <c r="H87" s="1305"/>
      <c r="I87" s="1306"/>
      <c r="J87" s="1306"/>
      <c r="K87" s="1306"/>
      <c r="L87" s="1307"/>
      <c r="U87" s="1172"/>
    </row>
    <row r="88" spans="2:21" ht="20.100000000000001" customHeight="1" outlineLevel="1">
      <c r="B88" s="1321" t="s">
        <v>62</v>
      </c>
      <c r="C88" s="1305"/>
      <c r="D88" s="1306"/>
      <c r="E88" s="1306"/>
      <c r="F88" s="1306"/>
      <c r="G88" s="1307"/>
      <c r="H88" s="1305"/>
      <c r="I88" s="1306"/>
      <c r="J88" s="1306"/>
      <c r="K88" s="1306"/>
      <c r="L88" s="1307"/>
      <c r="U88" s="1172"/>
    </row>
    <row r="89" spans="2:21" ht="20.100000000000001" customHeight="1" outlineLevel="1">
      <c r="B89" s="2736" t="s">
        <v>1347</v>
      </c>
      <c r="C89" s="2733">
        <f>SUM(C81:C88)</f>
        <v>0</v>
      </c>
      <c r="D89" s="2737">
        <f>SUM(D81:D88)</f>
        <v>0</v>
      </c>
      <c r="E89" s="2737">
        <f t="shared" ref="E89:F89" si="10">SUM(E81:E88)</f>
        <v>0</v>
      </c>
      <c r="F89" s="2737">
        <f t="shared" si="10"/>
        <v>0</v>
      </c>
      <c r="G89" s="2735">
        <f>SUM(G81:G88)</f>
        <v>0</v>
      </c>
      <c r="H89" s="2733">
        <f>SUM(H81:H88)</f>
        <v>0</v>
      </c>
      <c r="I89" s="2737">
        <f>SUM(I81:I88)</f>
        <v>0</v>
      </c>
      <c r="J89" s="2737">
        <f t="shared" ref="J89:K89" si="11">SUM(J81:J88)</f>
        <v>0</v>
      </c>
      <c r="K89" s="2737">
        <f t="shared" si="11"/>
        <v>0</v>
      </c>
      <c r="L89" s="2735">
        <f>SUM(L81:L88)</f>
        <v>0</v>
      </c>
      <c r="U89" s="1172"/>
    </row>
    <row r="90" spans="2:21" ht="20.100000000000001" customHeight="1" outlineLevel="1" thickBot="1">
      <c r="B90" s="2742" t="s">
        <v>1355</v>
      </c>
      <c r="C90" s="1310">
        <v>56401047.860123098</v>
      </c>
      <c r="D90" s="1311">
        <v>56634835.883826301</v>
      </c>
      <c r="E90" s="1311">
        <v>57613477.158376001</v>
      </c>
      <c r="F90" s="1311">
        <v>58609244.655230299</v>
      </c>
      <c r="G90" s="1312">
        <v>60068433.287116505</v>
      </c>
      <c r="H90" s="1310">
        <v>67098279.48557011</v>
      </c>
      <c r="I90" s="1311">
        <v>58272295.399353601</v>
      </c>
      <c r="J90" s="1311">
        <v>62330447.995296299</v>
      </c>
      <c r="K90" s="1311">
        <v>55846560.673647404</v>
      </c>
      <c r="L90" s="1312">
        <v>58651468.223030001</v>
      </c>
      <c r="U90" s="1172"/>
    </row>
    <row r="91" spans="2:21" ht="20.100000000000001" customHeight="1" outlineLevel="1">
      <c r="B91" s="2739" t="s">
        <v>1362</v>
      </c>
      <c r="C91" s="2740"/>
      <c r="D91" s="2740"/>
      <c r="E91" s="2740"/>
      <c r="F91" s="2740"/>
      <c r="G91" s="2740"/>
      <c r="H91" s="2740"/>
      <c r="I91" s="2740"/>
      <c r="J91" s="2740"/>
      <c r="K91" s="2740"/>
      <c r="L91" s="2741"/>
      <c r="U91" s="1172"/>
    </row>
    <row r="92" spans="2:21" ht="20.100000000000001" customHeight="1" outlineLevel="1">
      <c r="B92" s="1321" t="s">
        <v>1350</v>
      </c>
      <c r="C92" s="2965">
        <v>12412.423415452286</v>
      </c>
      <c r="D92" s="2966">
        <v>12709.370478380348</v>
      </c>
      <c r="E92" s="2966">
        <v>13013.421517319402</v>
      </c>
      <c r="F92" s="2966">
        <v>13324.746483353207</v>
      </c>
      <c r="G92" s="2967">
        <v>13643.519393369075</v>
      </c>
      <c r="H92" s="2965">
        <v>7866.2765531062114</v>
      </c>
      <c r="I92" s="2966">
        <v>7866.2765531062114</v>
      </c>
      <c r="J92" s="2966">
        <v>7866.2765531062114</v>
      </c>
      <c r="K92" s="2966">
        <v>7866.2765531062114</v>
      </c>
      <c r="L92" s="2967">
        <v>7866.2765531062114</v>
      </c>
      <c r="U92" s="1172"/>
    </row>
    <row r="93" spans="2:21" ht="20.100000000000001" customHeight="1" outlineLevel="1">
      <c r="B93" s="1321" t="s">
        <v>1351</v>
      </c>
      <c r="C93" s="3352">
        <v>302637.40127414226</v>
      </c>
      <c r="D93" s="3353">
        <v>309877.50938459096</v>
      </c>
      <c r="E93" s="3353">
        <v>317290.82531809882</v>
      </c>
      <c r="F93" s="3353">
        <v>324881.49279041041</v>
      </c>
      <c r="G93" s="3354">
        <v>332653.75464893662</v>
      </c>
      <c r="H93" s="2965">
        <v>570704.06412825652</v>
      </c>
      <c r="I93" s="2966">
        <v>570704.06412825652</v>
      </c>
      <c r="J93" s="2966">
        <v>570704.06412825652</v>
      </c>
      <c r="K93" s="2966">
        <v>570704.06412825652</v>
      </c>
      <c r="L93" s="2967">
        <v>570704.06412825652</v>
      </c>
      <c r="U93" s="1172"/>
    </row>
    <row r="94" spans="2:21" ht="20.100000000000001" customHeight="1" outlineLevel="1">
      <c r="B94" s="1321" t="s">
        <v>1352</v>
      </c>
      <c r="C94" s="3352">
        <v>71479.43652076897</v>
      </c>
      <c r="D94" s="3353">
        <v>73189.465902152442</v>
      </c>
      <c r="E94" s="3353">
        <v>74940.404958087471</v>
      </c>
      <c r="F94" s="3353">
        <v>76733.232386069081</v>
      </c>
      <c r="G94" s="3354">
        <v>78568.950297339659</v>
      </c>
      <c r="H94" s="2965">
        <v>388183.64729458914</v>
      </c>
      <c r="I94" s="2966">
        <v>388183.64729458914</v>
      </c>
      <c r="J94" s="2966">
        <v>388183.64729458914</v>
      </c>
      <c r="K94" s="2966">
        <v>388183.64729458914</v>
      </c>
      <c r="L94" s="2967">
        <v>388183.64729458914</v>
      </c>
      <c r="U94" s="1172"/>
    </row>
    <row r="95" spans="2:21" ht="20.100000000000001" customHeight="1" outlineLevel="1">
      <c r="B95" s="1321" t="s">
        <v>1353</v>
      </c>
      <c r="C95" s="3352">
        <v>949945.13972386112</v>
      </c>
      <c r="D95" s="3353">
        <v>972925.03322254191</v>
      </c>
      <c r="E95" s="3353">
        <v>996733.57459448464</v>
      </c>
      <c r="F95" s="3353">
        <v>1020340.8357074342</v>
      </c>
      <c r="G95" s="3354">
        <v>1042985.9683543165</v>
      </c>
      <c r="H95" s="2965">
        <v>1359927.8176318156</v>
      </c>
      <c r="I95" s="2966">
        <v>1393567.6864098567</v>
      </c>
      <c r="J95" s="2966">
        <v>1428283.9042077551</v>
      </c>
      <c r="K95" s="2966">
        <v>1463949.0319186063</v>
      </c>
      <c r="L95" s="2967">
        <v>1494950.0784270107</v>
      </c>
      <c r="U95" s="1172"/>
    </row>
    <row r="96" spans="2:21" ht="20.100000000000001" customHeight="1" outlineLevel="1" thickBot="1">
      <c r="B96" s="2750" t="s">
        <v>1348</v>
      </c>
      <c r="C96" s="3362">
        <v>1336474.4009342247</v>
      </c>
      <c r="D96" s="3363">
        <v>1368701.3789876658</v>
      </c>
      <c r="E96" s="3363">
        <v>1401978.2263879904</v>
      </c>
      <c r="F96" s="3363">
        <v>1435280.3073672669</v>
      </c>
      <c r="G96" s="3364">
        <v>1467852.1926939618</v>
      </c>
      <c r="H96" s="3362">
        <v>2326681.8056077678</v>
      </c>
      <c r="I96" s="3363">
        <v>2360321.6743858084</v>
      </c>
      <c r="J96" s="3363">
        <v>2395037.8921837071</v>
      </c>
      <c r="K96" s="3363">
        <v>2430703.019894558</v>
      </c>
      <c r="L96" s="3364">
        <v>2461704.0664029624</v>
      </c>
      <c r="U96" s="1172"/>
    </row>
    <row r="97" spans="1:28" ht="20.100000000000001" customHeight="1" outlineLevel="1" thickBot="1">
      <c r="B97" s="2731" t="s">
        <v>1358</v>
      </c>
      <c r="C97" s="3365">
        <f t="shared" ref="C97:L97" si="12">C96+C90</f>
        <v>57737522.261057325</v>
      </c>
      <c r="D97" s="3366">
        <f t="shared" si="12"/>
        <v>58003537.262813963</v>
      </c>
      <c r="E97" s="3366">
        <f t="shared" si="12"/>
        <v>59015455.384763993</v>
      </c>
      <c r="F97" s="3366">
        <f t="shared" si="12"/>
        <v>60044524.962597564</v>
      </c>
      <c r="G97" s="3367">
        <f t="shared" si="12"/>
        <v>61536285.479810469</v>
      </c>
      <c r="H97" s="3368">
        <f t="shared" si="12"/>
        <v>69424961.291177884</v>
      </c>
      <c r="I97" s="3366">
        <f t="shared" si="12"/>
        <v>60632617.073739409</v>
      </c>
      <c r="J97" s="3366">
        <f t="shared" si="12"/>
        <v>64725485.887480006</v>
      </c>
      <c r="K97" s="3366">
        <f t="shared" si="12"/>
        <v>58277263.693541959</v>
      </c>
      <c r="L97" s="3367">
        <f t="shared" si="12"/>
        <v>61113172.289432965</v>
      </c>
      <c r="U97" s="1172"/>
    </row>
    <row r="98" spans="1:28" s="136" customFormat="1" ht="20.100000000000001" customHeight="1" thickBot="1">
      <c r="A98" s="1172"/>
      <c r="B98" s="2730" t="s">
        <v>121</v>
      </c>
      <c r="C98" s="263" t="s">
        <v>1736</v>
      </c>
      <c r="D98" s="264"/>
      <c r="E98" s="264"/>
      <c r="F98" s="264"/>
      <c r="G98" s="264"/>
      <c r="H98" s="264"/>
      <c r="I98" s="264"/>
      <c r="J98" s="264"/>
      <c r="K98" s="264"/>
      <c r="L98" s="406"/>
      <c r="M98" s="1172"/>
      <c r="N98" s="1172"/>
      <c r="O98" s="1172"/>
      <c r="P98" s="1172"/>
      <c r="Q98" s="1172"/>
      <c r="R98" s="1172"/>
      <c r="S98" s="1172"/>
      <c r="T98" s="1172"/>
      <c r="U98" s="1172"/>
      <c r="V98" s="1172"/>
      <c r="W98" s="1172"/>
      <c r="X98" s="1172"/>
      <c r="Y98" s="1172"/>
      <c r="Z98" s="1172"/>
      <c r="AA98" s="1172"/>
      <c r="AB98" s="1172"/>
    </row>
    <row r="99" spans="1:28" ht="37.5" customHeight="1">
      <c r="B99" s="136"/>
      <c r="C99" s="118"/>
      <c r="D99" s="118"/>
      <c r="E99" s="118"/>
      <c r="F99" s="118"/>
      <c r="G99" s="118"/>
      <c r="H99" s="118"/>
      <c r="I99" s="823"/>
      <c r="J99" s="823"/>
      <c r="K99" s="823"/>
      <c r="L99" s="823"/>
      <c r="M99" s="1174"/>
      <c r="N99" s="1174"/>
      <c r="O99" s="1174"/>
      <c r="P99" s="1174"/>
      <c r="Q99" s="1174"/>
      <c r="U99" s="1172"/>
    </row>
    <row r="100" spans="1:28" ht="38.25" customHeight="1">
      <c r="B100" s="1172"/>
      <c r="C100" s="1174"/>
      <c r="D100" s="136"/>
      <c r="E100" s="136"/>
      <c r="F100" s="136"/>
      <c r="G100" s="136"/>
      <c r="H100" s="136"/>
      <c r="I100" s="136"/>
      <c r="J100" s="136"/>
      <c r="U100" s="1172"/>
    </row>
    <row r="101" spans="1:28" s="136" customFormat="1" ht="20.100000000000001" customHeight="1">
      <c r="A101" s="1172"/>
      <c r="B101" s="824"/>
      <c r="C101" s="824"/>
      <c r="D101" s="824"/>
      <c r="E101" s="824"/>
      <c r="F101" s="824"/>
      <c r="G101" s="824"/>
      <c r="H101" s="824"/>
      <c r="I101" s="824"/>
      <c r="J101" s="824"/>
      <c r="K101" s="1172"/>
      <c r="L101" s="1172"/>
      <c r="M101" s="1172"/>
      <c r="N101" s="1172"/>
      <c r="O101" s="1172"/>
      <c r="P101" s="1172"/>
      <c r="Q101" s="1172"/>
      <c r="R101" s="1172"/>
      <c r="S101" s="1172"/>
      <c r="T101" s="1172"/>
      <c r="U101" s="1172"/>
      <c r="V101" s="1172"/>
      <c r="W101" s="1172"/>
    </row>
    <row r="102" spans="1:28" s="136" customFormat="1" ht="21.75" customHeight="1">
      <c r="A102" s="1172"/>
      <c r="B102" s="824"/>
      <c r="C102" s="824"/>
      <c r="D102" s="824"/>
      <c r="E102" s="824"/>
      <c r="F102" s="824"/>
      <c r="G102" s="1174"/>
      <c r="H102" s="1174"/>
      <c r="I102" s="1174"/>
      <c r="J102" s="1174"/>
      <c r="N102" s="1172"/>
      <c r="O102" s="1172"/>
      <c r="P102" s="1172"/>
      <c r="Q102" s="1172"/>
      <c r="R102" s="1172"/>
      <c r="S102" s="1172"/>
      <c r="T102" s="1172"/>
      <c r="U102" s="1172"/>
    </row>
    <row r="103" spans="1:28" s="136" customFormat="1" ht="20.100000000000001" customHeight="1">
      <c r="A103" s="1172"/>
      <c r="B103" s="824"/>
      <c r="C103" s="824"/>
      <c r="D103" s="824"/>
      <c r="E103" s="824"/>
      <c r="F103" s="824"/>
      <c r="G103" s="1174"/>
      <c r="H103" s="1174"/>
      <c r="I103" s="1174"/>
      <c r="J103" s="1174"/>
      <c r="K103" s="1172"/>
      <c r="L103" s="1172"/>
      <c r="M103" s="1172"/>
      <c r="N103" s="1172"/>
      <c r="O103" s="1172"/>
      <c r="P103" s="1172"/>
      <c r="Q103" s="1172"/>
      <c r="R103" s="1172"/>
      <c r="S103" s="1172"/>
      <c r="T103" s="1172"/>
      <c r="U103" s="1172"/>
      <c r="V103" s="1172"/>
      <c r="W103" s="1172"/>
    </row>
    <row r="104" spans="1:28" s="136" customFormat="1" ht="20.100000000000001" customHeight="1">
      <c r="A104" s="1172"/>
      <c r="B104" s="1174"/>
      <c r="C104" s="824"/>
      <c r="D104" s="824"/>
      <c r="E104" s="824"/>
      <c r="F104" s="824"/>
      <c r="G104" s="1174"/>
      <c r="H104" s="1174"/>
      <c r="I104" s="1174"/>
      <c r="J104" s="1174"/>
      <c r="K104" s="1172"/>
      <c r="L104" s="1172"/>
      <c r="M104" s="1172"/>
      <c r="N104" s="1172"/>
      <c r="O104" s="1172"/>
      <c r="P104" s="1172"/>
      <c r="Q104" s="1172"/>
      <c r="R104" s="1172"/>
      <c r="S104" s="1172"/>
      <c r="T104" s="1172"/>
      <c r="U104" s="1172"/>
      <c r="V104" s="1172"/>
      <c r="W104" s="1172"/>
    </row>
    <row r="105" spans="1:28" ht="20.100000000000001" customHeight="1">
      <c r="B105" s="881"/>
      <c r="C105" s="881"/>
      <c r="D105" s="881"/>
      <c r="E105" s="881"/>
      <c r="F105" s="1174"/>
      <c r="G105" s="1174"/>
      <c r="H105" s="1174"/>
      <c r="I105" s="1174"/>
      <c r="J105" s="1174"/>
      <c r="U105" s="1172"/>
    </row>
    <row r="106" spans="1:28" ht="20.100000000000001" customHeight="1">
      <c r="B106" s="881"/>
      <c r="C106" s="881"/>
      <c r="D106" s="881"/>
      <c r="E106" s="881"/>
      <c r="F106" s="1174"/>
      <c r="G106" s="1174"/>
      <c r="H106" s="1174"/>
      <c r="I106" s="1174"/>
      <c r="J106" s="1174"/>
      <c r="U106" s="1172"/>
    </row>
    <row r="107" spans="1:28" ht="20.100000000000001" customHeight="1">
      <c r="B107" s="881"/>
      <c r="C107" s="881"/>
      <c r="D107" s="881"/>
      <c r="E107" s="881"/>
      <c r="F107" s="1174"/>
      <c r="G107" s="1174"/>
      <c r="H107" s="1174"/>
      <c r="I107" s="1174"/>
      <c r="J107" s="1174"/>
      <c r="U107" s="1172"/>
    </row>
    <row r="108" spans="1:28" ht="20.100000000000001" customHeight="1">
      <c r="B108" s="881"/>
      <c r="C108" s="881"/>
      <c r="D108" s="881"/>
      <c r="E108" s="881"/>
      <c r="F108" s="1174"/>
      <c r="G108" s="1174"/>
      <c r="H108" s="1174"/>
      <c r="I108" s="1174"/>
      <c r="J108" s="1174"/>
      <c r="U108" s="1172"/>
    </row>
    <row r="109" spans="1:28" ht="20.100000000000001" customHeight="1">
      <c r="B109" s="881"/>
      <c r="C109" s="881"/>
      <c r="D109" s="881"/>
      <c r="E109" s="881"/>
      <c r="F109" s="1174"/>
      <c r="G109" s="1174"/>
      <c r="H109" s="1174"/>
      <c r="I109" s="1174"/>
      <c r="J109" s="1174"/>
      <c r="U109" s="1172"/>
    </row>
    <row r="110" spans="1:28" ht="20.100000000000001" customHeight="1">
      <c r="B110" s="881"/>
      <c r="C110" s="881"/>
      <c r="D110" s="881"/>
      <c r="E110" s="881"/>
      <c r="F110" s="1174"/>
      <c r="G110" s="1174"/>
      <c r="H110" s="1174"/>
      <c r="I110" s="1174"/>
      <c r="J110" s="1174"/>
      <c r="U110" s="1172"/>
    </row>
    <row r="111" spans="1:28" ht="20.100000000000001" customHeight="1">
      <c r="B111" s="881"/>
      <c r="C111" s="881"/>
      <c r="D111" s="881"/>
      <c r="E111" s="881"/>
      <c r="F111" s="1174"/>
      <c r="G111" s="1174"/>
      <c r="H111" s="1174"/>
      <c r="I111" s="1174"/>
      <c r="J111" s="1174"/>
      <c r="U111" s="1172"/>
    </row>
    <row r="112" spans="1:28" ht="20.100000000000001" customHeight="1">
      <c r="B112" s="881"/>
      <c r="C112" s="881"/>
      <c r="D112" s="881"/>
      <c r="E112" s="881"/>
      <c r="F112" s="1174"/>
      <c r="G112" s="1174"/>
      <c r="H112" s="1174"/>
      <c r="I112" s="1174"/>
      <c r="J112" s="1174"/>
      <c r="U112" s="1172"/>
    </row>
    <row r="113" spans="1:21" ht="20.100000000000001" customHeight="1">
      <c r="A113" s="1174"/>
      <c r="B113" s="881"/>
      <c r="C113" s="881"/>
      <c r="D113" s="881"/>
      <c r="E113" s="881"/>
      <c r="F113" s="1174"/>
      <c r="G113" s="1174"/>
      <c r="H113" s="1174"/>
      <c r="I113" s="1174"/>
      <c r="J113" s="1174"/>
      <c r="U113" s="1172"/>
    </row>
    <row r="114" spans="1:21" ht="20.100000000000001" customHeight="1">
      <c r="A114" s="1174"/>
      <c r="B114" s="881"/>
      <c r="C114" s="881"/>
      <c r="D114" s="881"/>
      <c r="E114" s="881"/>
      <c r="F114" s="1174"/>
      <c r="G114" s="1174"/>
      <c r="H114" s="1174"/>
      <c r="I114" s="1174"/>
      <c r="J114" s="1174"/>
      <c r="U114" s="1172"/>
    </row>
    <row r="115" spans="1:21" ht="20.100000000000001" customHeight="1">
      <c r="A115" s="1174"/>
      <c r="B115" s="881"/>
      <c r="C115" s="881"/>
      <c r="D115" s="881"/>
      <c r="E115" s="881"/>
      <c r="F115" s="1174"/>
      <c r="G115" s="1174"/>
      <c r="H115" s="1174"/>
      <c r="I115" s="1174"/>
      <c r="J115" s="1174"/>
      <c r="U115" s="1172"/>
    </row>
    <row r="116" spans="1:21" ht="20.100000000000001" customHeight="1">
      <c r="A116" s="1174"/>
      <c r="B116" s="881"/>
      <c r="C116" s="881"/>
      <c r="D116" s="881"/>
      <c r="E116" s="881"/>
      <c r="F116" s="1174"/>
      <c r="G116" s="1174"/>
      <c r="H116" s="1174"/>
      <c r="I116" s="1174"/>
      <c r="J116" s="1174"/>
      <c r="U116" s="1172"/>
    </row>
    <row r="117" spans="1:21" ht="20.100000000000001" customHeight="1">
      <c r="A117" s="881"/>
      <c r="B117" s="881"/>
      <c r="C117" s="881"/>
      <c r="D117" s="881"/>
      <c r="E117" s="881"/>
      <c r="F117" s="1174"/>
      <c r="G117" s="1174"/>
      <c r="H117" s="1174"/>
      <c r="I117" s="1174"/>
      <c r="J117" s="1174"/>
      <c r="U117" s="1172"/>
    </row>
    <row r="118" spans="1:21" ht="20.100000000000001" customHeight="1">
      <c r="A118" s="881"/>
      <c r="B118" s="1174"/>
      <c r="C118" s="1174"/>
      <c r="D118" s="1174"/>
      <c r="E118" s="1174"/>
      <c r="F118" s="1174"/>
      <c r="G118" s="1174"/>
      <c r="H118" s="1174"/>
      <c r="I118" s="1174"/>
      <c r="J118" s="1174"/>
      <c r="U118" s="1172"/>
    </row>
    <row r="119" spans="1:21" ht="20.100000000000001" customHeight="1">
      <c r="A119" s="1174"/>
      <c r="B119" s="1178"/>
      <c r="C119" s="1178"/>
      <c r="D119" s="1178"/>
      <c r="E119" s="1178"/>
      <c r="F119" s="1178"/>
      <c r="U119" s="1172"/>
    </row>
    <row r="120" spans="1:21" ht="38.25" customHeight="1">
      <c r="B120" s="1178"/>
      <c r="C120" s="1178"/>
      <c r="D120" s="1178"/>
      <c r="E120" s="1178"/>
      <c r="F120" s="1178"/>
      <c r="N120" s="76"/>
      <c r="T120" s="1178"/>
      <c r="U120" s="1178"/>
    </row>
    <row r="121" spans="1:21" ht="20.100000000000001" customHeight="1">
      <c r="B121" s="1172"/>
      <c r="C121" s="1172"/>
      <c r="N121" s="76"/>
      <c r="T121" s="1178"/>
      <c r="U121" s="1178"/>
    </row>
    <row r="122" spans="1:21" ht="20.100000000000001" customHeight="1">
      <c r="B122" s="1172"/>
      <c r="C122" s="1172"/>
      <c r="N122" s="76"/>
      <c r="U122" s="1172"/>
    </row>
    <row r="123" spans="1:21" ht="20.100000000000001" customHeight="1">
      <c r="B123" s="1172"/>
      <c r="C123" s="1172"/>
      <c r="N123" s="76"/>
      <c r="U123" s="1172"/>
    </row>
  </sheetData>
  <mergeCells count="18">
    <mergeCell ref="C57:Q57"/>
    <mergeCell ref="B59:B62"/>
    <mergeCell ref="C59:G59"/>
    <mergeCell ref="H59:L59"/>
    <mergeCell ref="C60:L60"/>
    <mergeCell ref="C61:L61"/>
    <mergeCell ref="U17:Y17"/>
    <mergeCell ref="Z17:AB17"/>
    <mergeCell ref="U18:AB18"/>
    <mergeCell ref="U19:AB19"/>
    <mergeCell ref="B17:B20"/>
    <mergeCell ref="C17:G17"/>
    <mergeCell ref="H17:L17"/>
    <mergeCell ref="M17:Q17"/>
    <mergeCell ref="C18:J18"/>
    <mergeCell ref="K18:Q18"/>
    <mergeCell ref="C19:J19"/>
    <mergeCell ref="K19:Q19"/>
  </mergeCells>
  <pageMargins left="0.75" right="0.75" top="1" bottom="1" header="0.5" footer="0.5"/>
  <pageSetup paperSize="9" orientation="portrait" r:id="rId1"/>
  <headerFooter alignWithMargins="0"/>
  <customProperties>
    <customPr name="_pios_id" r:id="rId2"/>
  </customProperties>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E63"/>
  <sheetViews>
    <sheetView showGridLines="0" topLeftCell="A13" zoomScale="85" zoomScaleNormal="85" workbookViewId="0">
      <selection activeCell="E64" sqref="E64"/>
    </sheetView>
  </sheetViews>
  <sheetFormatPr defaultColWidth="9.140625" defaultRowHeight="12.75"/>
  <cols>
    <col min="1" max="1" width="13.42578125" style="2524" customWidth="1"/>
    <col min="2" max="2" width="81.28515625" style="2794" bestFit="1" customWidth="1"/>
    <col min="3" max="3" width="21.140625" style="2794" customWidth="1"/>
    <col min="4" max="4" width="17.7109375" style="2524" customWidth="1"/>
    <col min="5" max="10" width="15.7109375" style="2524" customWidth="1"/>
    <col min="11" max="12" width="17.7109375" style="2524" customWidth="1"/>
    <col min="13" max="15" width="15.7109375" style="2524" customWidth="1"/>
    <col min="16" max="17" width="17.7109375" style="2524" customWidth="1"/>
    <col min="18" max="19" width="11.5703125" style="2524" bestFit="1" customWidth="1"/>
    <col min="20" max="23" width="9.140625" style="2524"/>
    <col min="24" max="24" width="15.28515625" style="2524" customWidth="1"/>
    <col min="25" max="31" width="8.7109375" style="2524" customWidth="1"/>
    <col min="32" max="16384" width="9.140625" style="2524"/>
  </cols>
  <sheetData>
    <row r="1" spans="1:31" s="2525" customFormat="1" ht="24.95" customHeight="1">
      <c r="B1" s="2522" t="str">
        <f>IF(dms_DataQuality="backcast",INDEX(dms_Worksheet_List,MATCH(dms_Model,dms_Model_List))&amp;" BACKCAST",INDEX(dms_Worksheet_List,MATCH(dms_Model,dms_Model_List)))</f>
        <v>REGULATORY REPORTING STATEMENT</v>
      </c>
      <c r="C1" s="2769"/>
      <c r="D1" s="2769"/>
      <c r="E1" s="2769"/>
      <c r="F1" s="2769"/>
      <c r="G1" s="2769"/>
      <c r="H1" s="2769"/>
      <c r="I1" s="2769"/>
      <c r="J1" s="2524"/>
      <c r="K1" s="2524"/>
      <c r="L1" s="2524"/>
      <c r="M1" s="2524"/>
      <c r="N1" s="2524"/>
      <c r="O1" s="2524"/>
      <c r="P1" s="2524"/>
      <c r="Q1" s="2524"/>
      <c r="R1" s="2524"/>
      <c r="S1" s="2524"/>
      <c r="T1" s="2524"/>
      <c r="U1" s="2524"/>
      <c r="V1" s="2524"/>
      <c r="W1" s="2524"/>
      <c r="X1" s="2524"/>
      <c r="Y1" s="2524"/>
      <c r="Z1" s="2524"/>
      <c r="AA1" s="2524"/>
      <c r="AB1" s="2524"/>
      <c r="AC1" s="2524"/>
      <c r="AD1" s="2524"/>
      <c r="AE1" s="2524"/>
    </row>
    <row r="2" spans="1:31" s="2525" customFormat="1" ht="24.95" customHeight="1">
      <c r="B2" s="2526" t="str">
        <f>INDEX(dms_TradingNameFull_List,MATCH(dms_TradingName,dms_TradingName_List))</f>
        <v>AusNet Gas Services</v>
      </c>
      <c r="C2" s="2526"/>
      <c r="D2" s="2526"/>
      <c r="E2" s="2526"/>
      <c r="F2" s="2526"/>
      <c r="G2" s="2526"/>
      <c r="H2" s="2526"/>
      <c r="I2" s="2526"/>
      <c r="J2" s="2524"/>
      <c r="K2" s="2524"/>
      <c r="L2" s="2524"/>
      <c r="M2" s="2524"/>
      <c r="N2" s="2524"/>
      <c r="O2" s="2524"/>
      <c r="P2" s="2524"/>
      <c r="Q2" s="2524"/>
      <c r="R2" s="2524"/>
      <c r="S2" s="2524"/>
      <c r="T2" s="2524"/>
      <c r="U2" s="2524"/>
      <c r="V2" s="2524"/>
      <c r="W2" s="2524"/>
      <c r="X2" s="2524"/>
      <c r="Y2" s="2524"/>
      <c r="Z2" s="2524"/>
      <c r="AA2" s="2524"/>
      <c r="AB2" s="2524"/>
      <c r="AC2" s="2524"/>
      <c r="AD2" s="2524"/>
      <c r="AE2" s="2524"/>
    </row>
    <row r="3" spans="1:31" s="2525" customFormat="1" ht="24.95" customHeight="1">
      <c r="B3" s="2526" t="str">
        <f>IF(SUM(dms_SingleYear_Model)&gt;0,CRY,CONCATENATE(FRCP_y1," to ",dms_MultiYear_FinalYear_Result))</f>
        <v>2018 to 2022</v>
      </c>
      <c r="C3" s="2526"/>
      <c r="D3" s="2528"/>
      <c r="E3" s="2528"/>
      <c r="F3" s="2528"/>
      <c r="G3" s="2528"/>
      <c r="H3" s="2528"/>
      <c r="I3" s="2528"/>
      <c r="J3" s="2524"/>
      <c r="K3" s="2524"/>
      <c r="L3" s="2524"/>
      <c r="M3" s="2524"/>
      <c r="N3" s="2524"/>
      <c r="O3" s="2524"/>
      <c r="P3" s="2524"/>
      <c r="Q3" s="2524"/>
      <c r="R3" s="2524"/>
      <c r="S3" s="2524"/>
      <c r="T3" s="2524"/>
      <c r="U3" s="2524"/>
      <c r="V3" s="2524"/>
      <c r="W3" s="2524"/>
      <c r="X3" s="2524"/>
      <c r="Y3" s="2524"/>
      <c r="Z3" s="2524"/>
      <c r="AA3" s="2524"/>
      <c r="AB3" s="2524"/>
      <c r="AC3" s="2524"/>
      <c r="AD3" s="2524"/>
      <c r="AE3" s="2524"/>
    </row>
    <row r="4" spans="1:31" s="2525" customFormat="1" ht="24" customHeight="1">
      <c r="B4" s="2529" t="s">
        <v>1417</v>
      </c>
      <c r="C4" s="2529"/>
      <c r="D4" s="2770"/>
      <c r="E4" s="2770"/>
      <c r="F4" s="2770"/>
      <c r="G4" s="2770"/>
      <c r="H4" s="2770"/>
      <c r="I4" s="2770"/>
      <c r="J4" s="2524"/>
      <c r="K4" s="2524"/>
      <c r="L4" s="2524"/>
      <c r="M4" s="2524"/>
      <c r="N4" s="2524"/>
      <c r="O4" s="2524"/>
      <c r="P4" s="2524"/>
      <c r="Q4" s="2524"/>
      <c r="R4" s="2524"/>
      <c r="S4" s="2524"/>
      <c r="T4" s="2524"/>
      <c r="U4" s="2524"/>
      <c r="V4" s="2524"/>
      <c r="W4" s="2524"/>
      <c r="X4" s="2524"/>
      <c r="Y4" s="2524"/>
      <c r="Z4" s="2524"/>
      <c r="AA4" s="2524"/>
      <c r="AB4" s="2524"/>
      <c r="AC4" s="2524"/>
      <c r="AD4" s="2524"/>
      <c r="AE4" s="2524"/>
    </row>
    <row r="5" spans="1:31" ht="12.75" customHeight="1">
      <c r="A5" s="2771"/>
      <c r="B5" s="2771"/>
      <c r="C5" s="2771"/>
      <c r="D5" s="2771"/>
      <c r="E5" s="2771"/>
      <c r="F5" s="2771"/>
      <c r="G5" s="2771"/>
      <c r="H5" s="2771"/>
      <c r="I5" s="2771"/>
    </row>
    <row r="6" spans="1:31" ht="12.75" customHeight="1">
      <c r="A6" s="2771"/>
      <c r="B6" s="2771"/>
      <c r="C6" s="2771"/>
      <c r="D6" s="2771"/>
      <c r="E6" s="2771"/>
      <c r="F6" s="2771"/>
      <c r="G6" s="2771"/>
      <c r="H6" s="2771"/>
      <c r="I6" s="2771"/>
    </row>
    <row r="7" spans="1:31" s="2619" customFormat="1" ht="12.75" customHeight="1">
      <c r="A7" s="2771"/>
      <c r="B7" s="2772"/>
      <c r="C7" s="2772"/>
      <c r="D7" s="2772"/>
      <c r="E7" s="2772"/>
      <c r="F7" s="2772"/>
      <c r="G7" s="2772"/>
      <c r="H7" s="2772"/>
      <c r="I7" s="2772"/>
      <c r="J7" s="2524"/>
      <c r="K7" s="2524"/>
      <c r="L7" s="2524"/>
      <c r="M7" s="2524"/>
      <c r="N7" s="2524"/>
      <c r="O7" s="2524"/>
      <c r="P7" s="2524"/>
      <c r="Q7" s="2524"/>
      <c r="R7" s="2524"/>
      <c r="S7" s="2524"/>
      <c r="T7" s="2524"/>
      <c r="U7" s="2524"/>
      <c r="V7" s="2524"/>
      <c r="W7" s="2524"/>
      <c r="X7" s="2524"/>
      <c r="Y7" s="2524"/>
      <c r="Z7" s="2524"/>
      <c r="AA7" s="2524"/>
      <c r="AB7" s="2524"/>
      <c r="AC7" s="2524"/>
      <c r="AD7" s="2524"/>
      <c r="AE7" s="2524"/>
    </row>
    <row r="8" spans="1:31" s="2619" customFormat="1" ht="12.75" customHeight="1">
      <c r="A8" s="2771"/>
      <c r="B8" s="2773" t="s">
        <v>59</v>
      </c>
      <c r="C8" s="2773"/>
      <c r="D8" s="2772"/>
      <c r="E8" s="2772"/>
      <c r="F8" s="2772"/>
      <c r="G8" s="2772"/>
      <c r="H8" s="2772"/>
      <c r="I8" s="2772"/>
      <c r="J8" s="2524"/>
      <c r="K8" s="2524"/>
      <c r="L8" s="2524"/>
      <c r="M8" s="2524"/>
      <c r="N8" s="2524"/>
      <c r="O8" s="2524"/>
      <c r="P8" s="2524"/>
      <c r="Q8" s="2524"/>
      <c r="R8" s="2524"/>
      <c r="S8" s="2524"/>
      <c r="T8" s="2524"/>
      <c r="U8" s="2524"/>
      <c r="V8" s="2524"/>
      <c r="W8" s="2524"/>
      <c r="X8" s="2524"/>
      <c r="Y8" s="2524"/>
      <c r="Z8" s="2524"/>
      <c r="AA8" s="2524"/>
      <c r="AB8" s="2524"/>
      <c r="AC8" s="2524"/>
      <c r="AD8" s="2524"/>
      <c r="AE8" s="2524"/>
    </row>
    <row r="9" spans="1:31" s="2777" customFormat="1" ht="35.25" customHeight="1">
      <c r="A9" s="2774"/>
      <c r="B9" s="2775" t="str">
        <f>CONCATENATE("This template asks for information relating to a base-step-trend approach to forecasting ",dms_TradingName, "'s operating expenditure.")</f>
        <v>This template asks for information relating to a base-step-trend approach to forecasting AusNet (Gas)'s operating expenditure.</v>
      </c>
      <c r="C9" s="2775"/>
      <c r="D9" s="2776"/>
      <c r="E9" s="2776"/>
      <c r="F9" s="2776"/>
      <c r="G9" s="2776"/>
      <c r="H9" s="2776"/>
      <c r="I9" s="2776"/>
      <c r="J9" s="2693"/>
      <c r="K9" s="2693"/>
      <c r="L9" s="2693"/>
      <c r="M9" s="2693"/>
      <c r="N9" s="2693"/>
      <c r="O9" s="2693"/>
      <c r="P9" s="2693"/>
      <c r="Q9" s="2693"/>
      <c r="R9" s="2693"/>
      <c r="S9" s="2693"/>
      <c r="T9" s="2693"/>
      <c r="U9" s="2693"/>
      <c r="V9" s="2693"/>
      <c r="W9" s="2693"/>
      <c r="X9" s="2693"/>
      <c r="Y9" s="2693"/>
      <c r="Z9" s="2693"/>
      <c r="AA9" s="2693"/>
      <c r="AB9" s="2693"/>
      <c r="AC9" s="2693"/>
      <c r="AD9" s="2693"/>
      <c r="AE9" s="2693"/>
    </row>
    <row r="10" spans="1:31" s="2777" customFormat="1" ht="40.5" customHeight="1">
      <c r="A10" s="2778"/>
      <c r="B10" s="2775" t="s">
        <v>454</v>
      </c>
      <c r="C10" s="2775"/>
      <c r="D10" s="2776"/>
      <c r="E10" s="2776"/>
      <c r="F10" s="2776"/>
      <c r="G10" s="2776"/>
      <c r="H10" s="2776"/>
      <c r="I10" s="2776"/>
      <c r="J10" s="2693"/>
      <c r="K10" s="2693"/>
      <c r="L10" s="2693"/>
      <c r="M10" s="2693"/>
      <c r="N10" s="2693"/>
      <c r="O10" s="2693"/>
      <c r="P10" s="2693"/>
      <c r="Q10" s="2693"/>
      <c r="R10" s="2693"/>
      <c r="S10" s="2693"/>
      <c r="T10" s="2693"/>
      <c r="U10" s="2693"/>
      <c r="V10" s="2693"/>
      <c r="W10" s="2693"/>
      <c r="X10" s="2693"/>
      <c r="Y10" s="2693"/>
      <c r="Z10" s="2693"/>
      <c r="AA10" s="2693"/>
      <c r="AB10" s="2693"/>
      <c r="AC10" s="2693"/>
      <c r="AD10" s="2693"/>
      <c r="AE10" s="2693"/>
    </row>
    <row r="11" spans="1:31" s="2777" customFormat="1" ht="13.5" customHeight="1">
      <c r="A11" s="2778"/>
      <c r="B11" s="2775" t="s">
        <v>80</v>
      </c>
      <c r="C11" s="2775"/>
      <c r="D11" s="2776"/>
      <c r="E11" s="2776"/>
      <c r="F11" s="2776"/>
      <c r="G11" s="2776"/>
      <c r="H11" s="2776"/>
      <c r="I11" s="2776"/>
      <c r="J11" s="2693"/>
      <c r="K11" s="2693"/>
      <c r="L11" s="2693"/>
      <c r="M11" s="2693"/>
      <c r="N11" s="2693"/>
      <c r="O11" s="2693"/>
      <c r="P11" s="2693"/>
      <c r="Q11" s="2693"/>
      <c r="R11" s="2693"/>
      <c r="S11" s="2693"/>
      <c r="T11" s="2693"/>
      <c r="U11" s="2693"/>
      <c r="V11" s="2693"/>
      <c r="W11" s="2693"/>
      <c r="X11" s="2693"/>
      <c r="Y11" s="2693"/>
      <c r="Z11" s="2693"/>
      <c r="AA11" s="2693"/>
      <c r="AB11" s="2693"/>
      <c r="AC11" s="2693"/>
      <c r="AD11" s="2693"/>
      <c r="AE11" s="2693"/>
    </row>
    <row r="12" spans="1:31" s="2619" customFormat="1" ht="14.25" customHeight="1">
      <c r="A12" s="2779"/>
      <c r="B12" s="2779"/>
      <c r="C12" s="2779"/>
      <c r="D12" s="2779"/>
      <c r="E12" s="2779"/>
      <c r="F12" s="2779"/>
      <c r="G12" s="2779"/>
      <c r="H12" s="2779"/>
      <c r="I12" s="2779"/>
      <c r="J12" s="2524"/>
      <c r="K12" s="2524"/>
      <c r="L12" s="2524"/>
      <c r="M12" s="2524"/>
      <c r="N12" s="2524"/>
      <c r="O12" s="2524"/>
      <c r="P12" s="2524"/>
      <c r="Q12" s="2524"/>
      <c r="R12" s="2524"/>
      <c r="S12" s="2524"/>
      <c r="T12" s="2524"/>
      <c r="U12" s="2524"/>
      <c r="V12" s="2524"/>
      <c r="W12" s="2524"/>
      <c r="X12" s="2524"/>
      <c r="Y12" s="2524"/>
      <c r="Z12" s="2524"/>
      <c r="AA12" s="2524"/>
      <c r="AB12" s="2524"/>
      <c r="AC12" s="2524"/>
      <c r="AD12" s="2524"/>
      <c r="AE12" s="2524"/>
    </row>
    <row r="13" spans="1:31" ht="37.5" customHeight="1" thickBot="1">
      <c r="A13" s="2771"/>
      <c r="B13" s="2524"/>
      <c r="C13" s="2524"/>
      <c r="D13" s="2771"/>
      <c r="E13" s="2771"/>
      <c r="F13" s="2771"/>
      <c r="G13" s="2771"/>
      <c r="H13" s="2771"/>
      <c r="I13" s="2771"/>
    </row>
    <row r="14" spans="1:31" ht="20.25" customHeight="1" thickBot="1">
      <c r="A14" s="2771"/>
      <c r="B14" s="2780" t="s">
        <v>519</v>
      </c>
      <c r="C14" s="2781"/>
      <c r="D14" s="2781"/>
      <c r="E14" s="2781"/>
      <c r="F14" s="2781"/>
      <c r="G14" s="2781"/>
      <c r="H14" s="2781"/>
      <c r="I14" s="2782"/>
    </row>
    <row r="15" spans="1:31" ht="25.5" customHeight="1" thickBot="1">
      <c r="A15" s="2771"/>
      <c r="B15" s="2783" t="s">
        <v>469</v>
      </c>
      <c r="C15" s="2784"/>
      <c r="D15" s="2784"/>
      <c r="E15" s="2784"/>
      <c r="F15" s="2784"/>
      <c r="G15" s="2784"/>
      <c r="H15" s="2784"/>
      <c r="I15" s="2785"/>
    </row>
    <row r="16" spans="1:31" ht="42" customHeight="1">
      <c r="A16" s="2771"/>
      <c r="B16" s="4392"/>
      <c r="C16" s="4404" t="s">
        <v>37</v>
      </c>
      <c r="D16" s="4405"/>
      <c r="E16" s="4395" t="s">
        <v>73</v>
      </c>
      <c r="F16" s="4395"/>
      <c r="G16" s="4395"/>
      <c r="H16" s="4395"/>
      <c r="I16" s="4396"/>
    </row>
    <row r="17" spans="1:29" ht="12.75" customHeight="1">
      <c r="A17" s="2771"/>
      <c r="B17" s="4393"/>
      <c r="C17" s="4397" t="str">
        <f>CONCATENATE("$0's, real ",dms_DollarReal)</f>
        <v>$0's, real December 2017</v>
      </c>
      <c r="D17" s="4398"/>
      <c r="E17" s="4398"/>
      <c r="F17" s="4398"/>
      <c r="G17" s="4398"/>
      <c r="H17" s="4398"/>
      <c r="I17" s="4399"/>
    </row>
    <row r="18" spans="1:29" ht="12.75" customHeight="1">
      <c r="A18" s="2771"/>
      <c r="B18" s="4393"/>
      <c r="C18" s="4400" t="s">
        <v>55</v>
      </c>
      <c r="D18" s="4401"/>
      <c r="E18" s="4401"/>
      <c r="F18" s="4401"/>
      <c r="G18" s="4401"/>
      <c r="H18" s="4401"/>
      <c r="I18" s="4402"/>
    </row>
    <row r="19" spans="1:29" ht="13.5" customHeight="1" thickBot="1">
      <c r="A19" s="2771"/>
      <c r="B19" s="4394"/>
      <c r="C19" s="2786">
        <v>2016</v>
      </c>
      <c r="D19" s="2787">
        <f>CRCP_y5</f>
        <v>2017</v>
      </c>
      <c r="E19" s="2788" t="str">
        <f t="array" ref="E19:I19">FRCP</f>
        <v>2018</v>
      </c>
      <c r="F19" s="2788">
        <v>2019</v>
      </c>
      <c r="G19" s="2788">
        <v>2020</v>
      </c>
      <c r="H19" s="2788">
        <v>2021</v>
      </c>
      <c r="I19" s="2789">
        <v>2022</v>
      </c>
    </row>
    <row r="20" spans="1:29">
      <c r="A20" s="2771"/>
      <c r="B20" s="2790" t="s">
        <v>1405</v>
      </c>
      <c r="C20" s="3369">
        <v>51496711.467968583</v>
      </c>
      <c r="D20" s="3378">
        <v>51496711.467968583</v>
      </c>
      <c r="E20" s="1524">
        <v>51496711.467968583</v>
      </c>
      <c r="F20" s="3370">
        <v>51496711.467968583</v>
      </c>
      <c r="G20" s="3370">
        <v>51496711.467968583</v>
      </c>
      <c r="H20" s="3370">
        <v>51496711.467968583</v>
      </c>
      <c r="I20" s="3371">
        <v>51496711.467968583</v>
      </c>
    </row>
    <row r="21" spans="1:29">
      <c r="A21" s="2771"/>
      <c r="B21" s="2790" t="s">
        <v>1407</v>
      </c>
      <c r="C21" s="3379">
        <v>380682.86438855162</v>
      </c>
      <c r="D21" s="3380">
        <v>500640.16370419995</v>
      </c>
      <c r="E21" s="472">
        <v>848042.32655566197</v>
      </c>
      <c r="F21" s="467">
        <v>1246929.1876818496</v>
      </c>
      <c r="G21" s="467">
        <v>1741882.7972824157</v>
      </c>
      <c r="H21" s="467">
        <v>2352739.3635716923</v>
      </c>
      <c r="I21" s="480">
        <v>3041235.07513795</v>
      </c>
    </row>
    <row r="22" spans="1:29">
      <c r="A22" s="2771"/>
      <c r="B22" s="2790" t="s">
        <v>455</v>
      </c>
      <c r="C22" s="3379">
        <v>-290373.11450892297</v>
      </c>
      <c r="D22" s="3380">
        <v>260180.41995985727</v>
      </c>
      <c r="E22" s="472">
        <v>853999.32119967218</v>
      </c>
      <c r="F22" s="467">
        <v>1632677.9161395929</v>
      </c>
      <c r="G22" s="467">
        <v>2401307.0838663327</v>
      </c>
      <c r="H22" s="467">
        <v>3120089.3888954804</v>
      </c>
      <c r="I22" s="480">
        <v>3645405.7610333655</v>
      </c>
    </row>
    <row r="23" spans="1:29">
      <c r="A23" s="2771"/>
      <c r="B23" s="2790" t="s">
        <v>456</v>
      </c>
      <c r="C23" s="3379">
        <v>0</v>
      </c>
      <c r="D23" s="3380">
        <v>0</v>
      </c>
      <c r="E23" s="472">
        <v>0</v>
      </c>
      <c r="F23" s="467">
        <v>0</v>
      </c>
      <c r="G23" s="467">
        <v>0</v>
      </c>
      <c r="H23" s="467">
        <v>0</v>
      </c>
      <c r="I23" s="480">
        <v>0</v>
      </c>
    </row>
    <row r="24" spans="1:29">
      <c r="A24" s="2771"/>
      <c r="B24" s="2790" t="s">
        <v>1406</v>
      </c>
      <c r="C24" s="3381">
        <v>1166220.2113216619</v>
      </c>
      <c r="D24" s="3382">
        <v>1166220.2113216619</v>
      </c>
      <c r="E24" s="3372">
        <v>791377.77899509191</v>
      </c>
      <c r="F24" s="3373">
        <v>804642.38552166102</v>
      </c>
      <c r="G24" s="3373">
        <v>821459.400796804</v>
      </c>
      <c r="H24" s="3373">
        <v>835610.71448057808</v>
      </c>
      <c r="I24" s="3374">
        <v>844961.56165867497</v>
      </c>
    </row>
    <row r="25" spans="1:29" ht="13.5" thickBot="1">
      <c r="A25" s="2771"/>
      <c r="B25" s="2790" t="s">
        <v>1404</v>
      </c>
      <c r="C25" s="3381">
        <v>0</v>
      </c>
      <c r="D25" s="3383">
        <v>0</v>
      </c>
      <c r="E25" s="3375">
        <v>4370000</v>
      </c>
      <c r="F25" s="3376">
        <v>4370000</v>
      </c>
      <c r="G25" s="3376">
        <v>4370000</v>
      </c>
      <c r="H25" s="3376">
        <v>4779000</v>
      </c>
      <c r="I25" s="3377">
        <v>4370000</v>
      </c>
    </row>
    <row r="26" spans="1:29" ht="13.5" thickBot="1">
      <c r="A26" s="2771"/>
      <c r="B26" s="2791" t="s">
        <v>199</v>
      </c>
      <c r="C26" s="2829">
        <f>SUM(C20:C25)</f>
        <v>52753241.429169878</v>
      </c>
      <c r="D26" s="2828">
        <f>SUM(D20:D25)</f>
        <v>53423752.262954302</v>
      </c>
      <c r="E26" s="2792">
        <f t="shared" ref="E26:I26" si="0">SUM(E20:E25)</f>
        <v>58360130.894719005</v>
      </c>
      <c r="F26" s="2792">
        <f t="shared" si="0"/>
        <v>59550960.957311682</v>
      </c>
      <c r="G26" s="2792">
        <f t="shared" si="0"/>
        <v>60831360.749914132</v>
      </c>
      <c r="H26" s="2792">
        <f t="shared" si="0"/>
        <v>62584150.934916332</v>
      </c>
      <c r="I26" s="2793">
        <f t="shared" si="0"/>
        <v>63398313.86579857</v>
      </c>
    </row>
    <row r="27" spans="1:29" ht="13.5" thickBot="1"/>
    <row r="28" spans="1:29" ht="37.5" customHeight="1" thickBot="1">
      <c r="B28" s="2783" t="s">
        <v>1395</v>
      </c>
      <c r="C28" s="2784"/>
      <c r="D28" s="2795"/>
      <c r="E28" s="2795"/>
      <c r="F28" s="2795"/>
      <c r="G28" s="2795"/>
      <c r="H28" s="2795"/>
      <c r="I28" s="2796"/>
      <c r="K28" s="2771"/>
      <c r="L28" s="2619"/>
      <c r="M28" s="2619"/>
      <c r="N28" s="2619"/>
      <c r="O28" s="2619"/>
      <c r="P28" s="2619"/>
      <c r="Q28" s="2619"/>
      <c r="R28" s="2619"/>
    </row>
    <row r="29" spans="1:29" ht="38.25" customHeight="1">
      <c r="B29" s="2797"/>
      <c r="C29" s="2798"/>
      <c r="D29" s="2799"/>
      <c r="E29" s="4403" t="s">
        <v>73</v>
      </c>
      <c r="F29" s="4395"/>
      <c r="G29" s="4395"/>
      <c r="H29" s="4395"/>
      <c r="I29" s="4396"/>
      <c r="J29" s="2800"/>
      <c r="K29" s="2800"/>
      <c r="L29" s="2800"/>
      <c r="M29" s="2800"/>
      <c r="N29" s="2800"/>
      <c r="O29" s="2800"/>
      <c r="P29" s="2800"/>
      <c r="Q29" s="2800"/>
      <c r="R29" s="2800"/>
    </row>
    <row r="30" spans="1:29" s="2619" customFormat="1" ht="20.100000000000001" customHeight="1">
      <c r="A30" s="2524"/>
      <c r="B30" s="2801"/>
      <c r="C30" s="2802"/>
      <c r="D30" s="2803"/>
      <c r="E30" s="4389" t="str">
        <f>CONCATENATE("$0's, real ",dms_DollarReal)</f>
        <v>$0's, real December 2017</v>
      </c>
      <c r="F30" s="4390"/>
      <c r="G30" s="4390"/>
      <c r="H30" s="4390"/>
      <c r="I30" s="4391"/>
      <c r="J30" s="2800"/>
      <c r="K30" s="2800"/>
      <c r="L30" s="2800"/>
      <c r="M30" s="2800"/>
      <c r="N30" s="2800"/>
      <c r="O30" s="2771"/>
      <c r="P30" s="2771"/>
      <c r="Q30" s="2771"/>
      <c r="R30" s="2771"/>
      <c r="S30" s="2524"/>
      <c r="T30" s="2524"/>
      <c r="U30" s="2524"/>
      <c r="V30" s="2524"/>
      <c r="W30" s="2524"/>
      <c r="X30" s="2524"/>
      <c r="Y30" s="2524"/>
      <c r="Z30" s="2524"/>
      <c r="AA30" s="2524"/>
      <c r="AB30" s="2524"/>
      <c r="AC30" s="2524"/>
    </row>
    <row r="31" spans="1:29" s="2619" customFormat="1" ht="21.75" customHeight="1">
      <c r="A31" s="2524"/>
      <c r="B31" s="2801"/>
      <c r="C31" s="2802"/>
      <c r="D31" s="2803"/>
      <c r="E31" s="4389" t="s">
        <v>55</v>
      </c>
      <c r="F31" s="4390"/>
      <c r="G31" s="4390"/>
      <c r="H31" s="4390"/>
      <c r="I31" s="4391"/>
      <c r="J31" s="2800"/>
      <c r="K31" s="2800"/>
      <c r="L31" s="2800"/>
      <c r="M31" s="2800"/>
      <c r="N31" s="2800"/>
      <c r="O31" s="2771"/>
      <c r="P31" s="2771"/>
      <c r="Q31" s="2771"/>
      <c r="R31" s="2771"/>
      <c r="V31" s="2524"/>
      <c r="W31" s="2524"/>
      <c r="X31" s="2524"/>
      <c r="Y31" s="2524"/>
      <c r="Z31" s="2524"/>
      <c r="AA31" s="2524"/>
      <c r="AB31" s="2524"/>
      <c r="AC31" s="2524"/>
    </row>
    <row r="32" spans="1:29" s="2619" customFormat="1" ht="20.100000000000001" customHeight="1" thickBot="1">
      <c r="A32" s="2524"/>
      <c r="B32" s="2804"/>
      <c r="C32" s="2805"/>
      <c r="D32" s="2806"/>
      <c r="E32" s="2807" t="str">
        <f t="array" ref="E32:I32">FRCP</f>
        <v>2018</v>
      </c>
      <c r="F32" s="2808">
        <v>2019</v>
      </c>
      <c r="G32" s="2808">
        <v>2020</v>
      </c>
      <c r="H32" s="2808">
        <v>2021</v>
      </c>
      <c r="I32" s="2809">
        <v>2022</v>
      </c>
      <c r="J32" s="2771"/>
      <c r="K32" s="2800"/>
      <c r="L32" s="2800"/>
      <c r="M32" s="2800"/>
      <c r="N32" s="2800"/>
      <c r="O32" s="2771"/>
      <c r="P32" s="2771"/>
      <c r="Q32" s="2771"/>
      <c r="R32" s="2771"/>
      <c r="S32" s="2524"/>
      <c r="T32" s="2524"/>
      <c r="U32" s="2524"/>
      <c r="V32" s="2524"/>
      <c r="W32" s="2524"/>
      <c r="X32" s="2524"/>
      <c r="Y32" s="2524"/>
      <c r="Z32" s="2524"/>
      <c r="AA32" s="2524"/>
      <c r="AB32" s="2524"/>
      <c r="AC32" s="2524"/>
    </row>
    <row r="33" spans="1:29" s="2619" customFormat="1" ht="20.100000000000001" customHeight="1">
      <c r="A33" s="2524"/>
      <c r="B33" s="2810" t="s">
        <v>45</v>
      </c>
      <c r="C33" s="2811" t="s">
        <v>20</v>
      </c>
      <c r="D33" s="2811"/>
      <c r="E33" s="2812"/>
      <c r="F33" s="2813"/>
      <c r="G33" s="2813"/>
      <c r="H33" s="2813"/>
      <c r="I33" s="2814"/>
      <c r="J33" s="2800"/>
      <c r="K33" s="2800"/>
      <c r="L33" s="2800"/>
      <c r="M33" s="2800"/>
      <c r="N33" s="2771"/>
      <c r="O33" s="2771"/>
      <c r="P33" s="2771"/>
      <c r="Q33" s="2771"/>
      <c r="R33" s="2800"/>
      <c r="S33" s="2524"/>
      <c r="T33" s="2524"/>
      <c r="U33" s="2524"/>
      <c r="V33" s="2524"/>
      <c r="W33" s="2524"/>
      <c r="X33" s="2524"/>
      <c r="Y33" s="2524"/>
      <c r="Z33" s="2524"/>
      <c r="AA33" s="2524"/>
      <c r="AB33" s="2524"/>
      <c r="AC33" s="2524"/>
    </row>
    <row r="34" spans="1:29" s="2619" customFormat="1" ht="20.100000000000001" customHeight="1">
      <c r="A34" s="2524"/>
      <c r="B34" s="2815" t="s">
        <v>1737</v>
      </c>
      <c r="C34" s="2816" t="s">
        <v>1318</v>
      </c>
      <c r="D34" s="2817"/>
      <c r="E34" s="459">
        <f>'[10]23.3 Opex base-step-trend'!E34*1000</f>
        <v>4370000</v>
      </c>
      <c r="F34" s="458">
        <f>'[10]23.3 Opex base-step-trend'!F34*1000</f>
        <v>4370000</v>
      </c>
      <c r="G34" s="458">
        <f>'[10]23.3 Opex base-step-trend'!G34*1000</f>
        <v>4370000</v>
      </c>
      <c r="H34" s="458">
        <f>'[10]23.3 Opex base-step-trend'!H34*1000</f>
        <v>4370000</v>
      </c>
      <c r="I34" s="460">
        <f>'[10]23.3 Opex base-step-trend'!I34*1000</f>
        <v>4370000</v>
      </c>
      <c r="J34" s="2779"/>
      <c r="K34" s="2779"/>
      <c r="L34" s="2779"/>
      <c r="M34" s="2779"/>
      <c r="N34" s="2771"/>
      <c r="O34" s="2771"/>
      <c r="P34" s="2771"/>
      <c r="Q34" s="2771"/>
      <c r="R34" s="2771"/>
      <c r="S34" s="2524"/>
      <c r="T34" s="2524"/>
      <c r="U34" s="2524"/>
      <c r="V34" s="2524"/>
      <c r="W34" s="2524"/>
      <c r="X34" s="2524"/>
      <c r="Y34" s="2524"/>
      <c r="Z34" s="2524"/>
      <c r="AA34" s="2524"/>
      <c r="AB34" s="2524"/>
      <c r="AC34" s="2524"/>
    </row>
    <row r="35" spans="1:29" ht="20.100000000000001" customHeight="1">
      <c r="B35" s="2815" t="s">
        <v>1738</v>
      </c>
      <c r="C35" s="2816" t="s">
        <v>1739</v>
      </c>
      <c r="D35" s="2817"/>
      <c r="E35" s="459">
        <f>'[10]23.3 Opex base-step-trend'!E35*1000</f>
        <v>0</v>
      </c>
      <c r="F35" s="458">
        <f>'[10]23.3 Opex base-step-trend'!F35*1000</f>
        <v>0</v>
      </c>
      <c r="G35" s="458">
        <f>'[10]23.3 Opex base-step-trend'!G35*1000</f>
        <v>0</v>
      </c>
      <c r="H35" s="458">
        <f>'[10]23.3 Opex base-step-trend'!H35*1000</f>
        <v>409000</v>
      </c>
      <c r="I35" s="460">
        <f>'[10]23.3 Opex base-step-trend'!I35*1000</f>
        <v>0</v>
      </c>
      <c r="J35" s="2779"/>
      <c r="K35" s="2779"/>
      <c r="L35" s="2779"/>
      <c r="M35" s="2779"/>
      <c r="N35" s="2771"/>
      <c r="O35" s="2771"/>
      <c r="P35" s="2771"/>
      <c r="Q35" s="2771"/>
      <c r="R35" s="2771"/>
    </row>
    <row r="36" spans="1:29" ht="20.100000000000001" hidden="1" customHeight="1">
      <c r="B36" s="2815" t="s">
        <v>87</v>
      </c>
      <c r="C36" s="2816" t="s">
        <v>11</v>
      </c>
      <c r="D36" s="2817"/>
      <c r="E36" s="2818"/>
      <c r="F36" s="2819"/>
      <c r="G36" s="2819"/>
      <c r="H36" s="2819"/>
      <c r="I36" s="2820"/>
      <c r="J36" s="2779"/>
      <c r="K36" s="2779"/>
      <c r="L36" s="2779"/>
      <c r="M36" s="2779"/>
      <c r="N36" s="2771"/>
      <c r="O36" s="2771"/>
      <c r="P36" s="2771"/>
      <c r="Q36" s="2771"/>
      <c r="R36" s="2771"/>
    </row>
    <row r="37" spans="1:29" ht="20.100000000000001" hidden="1" customHeight="1">
      <c r="B37" s="2815" t="s">
        <v>87</v>
      </c>
      <c r="C37" s="2816" t="s">
        <v>11</v>
      </c>
      <c r="D37" s="2817"/>
      <c r="E37" s="2818"/>
      <c r="F37" s="2819"/>
      <c r="G37" s="2819"/>
      <c r="H37" s="2819"/>
      <c r="I37" s="2820"/>
      <c r="J37" s="2779"/>
      <c r="K37" s="2779"/>
      <c r="L37" s="2779"/>
      <c r="M37" s="2779"/>
      <c r="N37" s="2771"/>
      <c r="O37" s="2771"/>
      <c r="P37" s="2771"/>
      <c r="Q37" s="2771"/>
      <c r="R37" s="2771"/>
    </row>
    <row r="38" spans="1:29" ht="20.100000000000001" hidden="1" customHeight="1">
      <c r="B38" s="2815" t="s">
        <v>87</v>
      </c>
      <c r="C38" s="2816" t="s">
        <v>11</v>
      </c>
      <c r="D38" s="2817"/>
      <c r="E38" s="2818"/>
      <c r="F38" s="2819"/>
      <c r="G38" s="2819"/>
      <c r="H38" s="2819"/>
      <c r="I38" s="2820"/>
      <c r="J38" s="2779"/>
      <c r="K38" s="2779"/>
      <c r="L38" s="2779"/>
      <c r="M38" s="2779"/>
      <c r="N38" s="2771"/>
      <c r="O38" s="2771"/>
      <c r="P38" s="2771"/>
      <c r="Q38" s="2771"/>
      <c r="R38" s="2771"/>
    </row>
    <row r="39" spans="1:29" ht="20.100000000000001" hidden="1" customHeight="1">
      <c r="B39" s="2815" t="s">
        <v>87</v>
      </c>
      <c r="C39" s="2816" t="s">
        <v>11</v>
      </c>
      <c r="D39" s="2817"/>
      <c r="E39" s="2818"/>
      <c r="F39" s="2819"/>
      <c r="G39" s="2819"/>
      <c r="H39" s="2819"/>
      <c r="I39" s="2820"/>
      <c r="J39" s="2779"/>
      <c r="K39" s="2779"/>
      <c r="L39" s="2779"/>
      <c r="M39" s="2779"/>
      <c r="N39" s="2771"/>
      <c r="O39" s="2771"/>
      <c r="P39" s="2771"/>
      <c r="Q39" s="2771"/>
      <c r="R39" s="2771"/>
    </row>
    <row r="40" spans="1:29" ht="20.100000000000001" hidden="1" customHeight="1">
      <c r="B40" s="2815" t="s">
        <v>87</v>
      </c>
      <c r="C40" s="2816" t="s">
        <v>11</v>
      </c>
      <c r="D40" s="2817"/>
      <c r="E40" s="2818"/>
      <c r="F40" s="2819"/>
      <c r="G40" s="2819"/>
      <c r="H40" s="2819"/>
      <c r="I40" s="2820"/>
      <c r="J40" s="2779"/>
      <c r="K40" s="2779"/>
      <c r="L40" s="2779"/>
      <c r="M40" s="2779"/>
      <c r="N40" s="2771"/>
      <c r="O40" s="2771"/>
      <c r="P40" s="2771"/>
      <c r="Q40" s="2771"/>
      <c r="R40" s="2771"/>
    </row>
    <row r="41" spans="1:29" ht="20.100000000000001" hidden="1" customHeight="1">
      <c r="B41" s="2815" t="s">
        <v>87</v>
      </c>
      <c r="C41" s="2816" t="s">
        <v>11</v>
      </c>
      <c r="D41" s="2817"/>
      <c r="E41" s="2818"/>
      <c r="F41" s="2819"/>
      <c r="G41" s="2819"/>
      <c r="H41" s="2819"/>
      <c r="I41" s="2820"/>
      <c r="J41" s="2779"/>
      <c r="K41" s="2779"/>
      <c r="L41" s="2779"/>
      <c r="M41" s="2779"/>
      <c r="N41" s="2771"/>
      <c r="O41" s="2771"/>
      <c r="P41" s="2771"/>
      <c r="Q41" s="2771"/>
      <c r="R41" s="2771"/>
    </row>
    <row r="42" spans="1:29" ht="20.100000000000001" hidden="1" customHeight="1">
      <c r="B42" s="2815" t="s">
        <v>87</v>
      </c>
      <c r="C42" s="2816" t="s">
        <v>11</v>
      </c>
      <c r="D42" s="2817"/>
      <c r="E42" s="2818"/>
      <c r="F42" s="2819"/>
      <c r="G42" s="2819"/>
      <c r="H42" s="2819"/>
      <c r="I42" s="2820"/>
      <c r="J42" s="2779"/>
      <c r="K42" s="2779"/>
      <c r="L42" s="2779"/>
      <c r="M42" s="2779"/>
      <c r="N42" s="2771"/>
      <c r="O42" s="2771"/>
      <c r="P42" s="2771"/>
      <c r="Q42" s="2771"/>
      <c r="R42" s="2771"/>
    </row>
    <row r="43" spans="1:29" ht="20.100000000000001" hidden="1" customHeight="1">
      <c r="A43" s="2771"/>
      <c r="B43" s="2815" t="s">
        <v>87</v>
      </c>
      <c r="C43" s="2816" t="s">
        <v>11</v>
      </c>
      <c r="D43" s="2817"/>
      <c r="E43" s="2818"/>
      <c r="F43" s="2819"/>
      <c r="G43" s="2819"/>
      <c r="H43" s="2819"/>
      <c r="I43" s="2820"/>
      <c r="J43" s="2779"/>
      <c r="K43" s="2779"/>
      <c r="L43" s="2779"/>
      <c r="M43" s="2779"/>
      <c r="N43" s="2771"/>
      <c r="O43" s="2771"/>
      <c r="P43" s="2771"/>
      <c r="Q43" s="2771"/>
      <c r="R43" s="2771"/>
    </row>
    <row r="44" spans="1:29" ht="20.100000000000001" hidden="1" customHeight="1">
      <c r="A44" s="2771"/>
      <c r="B44" s="2815" t="s">
        <v>87</v>
      </c>
      <c r="C44" s="2816" t="s">
        <v>11</v>
      </c>
      <c r="D44" s="2817"/>
      <c r="E44" s="2818"/>
      <c r="F44" s="2819"/>
      <c r="G44" s="2819"/>
      <c r="H44" s="2819"/>
      <c r="I44" s="2820"/>
      <c r="J44" s="2779"/>
      <c r="K44" s="2779"/>
      <c r="L44" s="2779"/>
      <c r="M44" s="2779"/>
      <c r="N44" s="2771"/>
      <c r="O44" s="2771"/>
      <c r="P44" s="2771"/>
      <c r="Q44" s="2771"/>
      <c r="R44" s="2771"/>
    </row>
    <row r="45" spans="1:29" ht="20.100000000000001" hidden="1" customHeight="1">
      <c r="A45" s="2771"/>
      <c r="B45" s="2815" t="s">
        <v>87</v>
      </c>
      <c r="C45" s="2816" t="s">
        <v>11</v>
      </c>
      <c r="D45" s="2817"/>
      <c r="E45" s="2818"/>
      <c r="F45" s="2819"/>
      <c r="G45" s="2819"/>
      <c r="H45" s="2819"/>
      <c r="I45" s="2820"/>
      <c r="J45" s="2779"/>
      <c r="K45" s="2779"/>
      <c r="L45" s="2779"/>
      <c r="M45" s="2779"/>
      <c r="N45" s="2771"/>
      <c r="O45" s="2771"/>
      <c r="P45" s="2771"/>
      <c r="Q45" s="2771"/>
      <c r="R45" s="2771"/>
    </row>
    <row r="46" spans="1:29" ht="20.100000000000001" customHeight="1" thickBot="1">
      <c r="A46" s="2771"/>
      <c r="B46" s="2821" t="s">
        <v>46</v>
      </c>
      <c r="C46" s="2822"/>
      <c r="D46" s="2822"/>
      <c r="E46" s="2823">
        <f>SUM(E34:E45)</f>
        <v>4370000</v>
      </c>
      <c r="F46" s="2824">
        <f>SUM(F34:F45)</f>
        <v>4370000</v>
      </c>
      <c r="G46" s="2824">
        <f>SUM(G34:G45)</f>
        <v>4370000</v>
      </c>
      <c r="H46" s="2824">
        <f>SUM(H34:H45)</f>
        <v>4779000</v>
      </c>
      <c r="I46" s="2825">
        <f>SUM(I34:I45)</f>
        <v>4370000</v>
      </c>
      <c r="J46" s="2779"/>
      <c r="K46" s="2779"/>
      <c r="L46" s="2779"/>
      <c r="M46" s="2779"/>
      <c r="N46" s="2771"/>
      <c r="O46" s="2771"/>
      <c r="P46" s="2771"/>
      <c r="Q46" s="2771"/>
      <c r="R46" s="2771"/>
    </row>
    <row r="47" spans="1:29" ht="20.100000000000001" customHeight="1" thickBot="1">
      <c r="A47" s="2779"/>
      <c r="B47" s="2826" t="s">
        <v>121</v>
      </c>
      <c r="C47" s="2827"/>
      <c r="D47" s="2827"/>
      <c r="E47" s="4406" t="s">
        <v>2099</v>
      </c>
      <c r="F47" s="4407"/>
      <c r="G47" s="4407"/>
      <c r="H47" s="4407"/>
      <c r="I47" s="4408"/>
      <c r="J47" s="2771"/>
      <c r="K47" s="2771"/>
      <c r="L47" s="2771"/>
      <c r="M47" s="2771"/>
      <c r="N47" s="2771"/>
      <c r="O47" s="2771"/>
      <c r="P47" s="2771"/>
      <c r="Q47" s="2771"/>
      <c r="R47" s="2771"/>
    </row>
    <row r="48" spans="1:29" ht="13.5" thickBot="1"/>
    <row r="49" spans="2:9" ht="16.5" thickBot="1">
      <c r="B49" s="2783" t="s">
        <v>1400</v>
      </c>
      <c r="C49" s="2784"/>
      <c r="D49" s="2795"/>
      <c r="E49" s="2795"/>
      <c r="F49" s="2795"/>
      <c r="G49" s="2795"/>
      <c r="H49" s="2795"/>
      <c r="I49" s="2796"/>
    </row>
    <row r="50" spans="2:9" ht="20.25">
      <c r="B50" s="2797"/>
      <c r="C50" s="2798"/>
      <c r="D50" s="2799"/>
      <c r="E50" s="4403" t="s">
        <v>73</v>
      </c>
      <c r="F50" s="4395"/>
      <c r="G50" s="4395"/>
      <c r="H50" s="4395"/>
      <c r="I50" s="4396"/>
    </row>
    <row r="51" spans="2:9">
      <c r="B51" s="2801"/>
      <c r="C51" s="2802"/>
      <c r="D51" s="2803"/>
      <c r="E51" s="4389" t="str">
        <f>CONCATENATE("$0's, real ",dms_DollarReal)</f>
        <v>$0's, real December 2017</v>
      </c>
      <c r="F51" s="4390"/>
      <c r="G51" s="4390"/>
      <c r="H51" s="4390"/>
      <c r="I51" s="4391"/>
    </row>
    <row r="52" spans="2:9">
      <c r="B52" s="2801"/>
      <c r="C52" s="2802"/>
      <c r="D52" s="2803"/>
      <c r="E52" s="4389" t="s">
        <v>55</v>
      </c>
      <c r="F52" s="4390"/>
      <c r="G52" s="4390"/>
      <c r="H52" s="4390"/>
      <c r="I52" s="4391"/>
    </row>
    <row r="53" spans="2:9" ht="21" thickBot="1">
      <c r="B53" s="2804"/>
      <c r="C53" s="2805"/>
      <c r="D53" s="2806"/>
      <c r="E53" s="2807" t="str">
        <f t="array" ref="E53:I53">FRCP</f>
        <v>2018</v>
      </c>
      <c r="F53" s="2808">
        <v>2019</v>
      </c>
      <c r="G53" s="2808">
        <v>2020</v>
      </c>
      <c r="H53" s="2808">
        <v>2021</v>
      </c>
      <c r="I53" s="2809">
        <v>2022</v>
      </c>
    </row>
    <row r="54" spans="2:9">
      <c r="B54" s="2810" t="s">
        <v>1397</v>
      </c>
      <c r="C54" s="2811"/>
      <c r="D54" s="2811"/>
      <c r="E54" s="2812"/>
      <c r="F54" s="2813"/>
      <c r="G54" s="2813"/>
      <c r="H54" s="2813"/>
      <c r="I54" s="2814"/>
    </row>
    <row r="55" spans="2:9">
      <c r="B55" s="2830" t="s">
        <v>1740</v>
      </c>
      <c r="C55" s="2833"/>
      <c r="D55" s="2832"/>
      <c r="E55" s="459">
        <f>'[10]23.3 Opex base-step-trend'!E45*1000</f>
        <v>791377.77899509191</v>
      </c>
      <c r="F55" s="458">
        <f>'[10]23.3 Opex base-step-trend'!F45*1000</f>
        <v>804642.38552166102</v>
      </c>
      <c r="G55" s="458">
        <f>'[10]23.3 Opex base-step-trend'!G45*1000</f>
        <v>821459.400796804</v>
      </c>
      <c r="H55" s="458">
        <f>'[10]23.3 Opex base-step-trend'!H45*1000</f>
        <v>835610.71448057808</v>
      </c>
      <c r="I55" s="460">
        <f>'[10]23.3 Opex base-step-trend'!I45*1000</f>
        <v>844961.56165867497</v>
      </c>
    </row>
    <row r="56" spans="2:9" hidden="1">
      <c r="B56" s="2830" t="s">
        <v>1398</v>
      </c>
      <c r="C56" s="2833"/>
      <c r="D56" s="2832"/>
      <c r="E56" s="2818"/>
      <c r="F56" s="2819"/>
      <c r="G56" s="2819"/>
      <c r="H56" s="2819"/>
      <c r="I56" s="2820"/>
    </row>
    <row r="57" spans="2:9" hidden="1">
      <c r="B57" s="2830" t="s">
        <v>1398</v>
      </c>
      <c r="C57" s="2833"/>
      <c r="D57" s="2832"/>
      <c r="E57" s="2818"/>
      <c r="F57" s="2819"/>
      <c r="G57" s="2819"/>
      <c r="H57" s="2819"/>
      <c r="I57" s="2820"/>
    </row>
    <row r="58" spans="2:9" hidden="1">
      <c r="B58" s="2830" t="s">
        <v>1398</v>
      </c>
      <c r="C58" s="2833"/>
      <c r="D58" s="2832"/>
      <c r="E58" s="2818"/>
      <c r="F58" s="2819"/>
      <c r="G58" s="2819"/>
      <c r="H58" s="2819"/>
      <c r="I58" s="2820"/>
    </row>
    <row r="59" spans="2:9" hidden="1">
      <c r="B59" s="2830" t="s">
        <v>1398</v>
      </c>
      <c r="C59" s="2833"/>
      <c r="D59" s="2832"/>
      <c r="E59" s="2818"/>
      <c r="F59" s="2819"/>
      <c r="G59" s="2819"/>
      <c r="H59" s="2819"/>
      <c r="I59" s="2820"/>
    </row>
    <row r="60" spans="2:9" hidden="1">
      <c r="B60" s="2830" t="s">
        <v>1398</v>
      </c>
      <c r="C60" s="2833"/>
      <c r="D60" s="2832"/>
      <c r="E60" s="2818"/>
      <c r="F60" s="2819"/>
      <c r="G60" s="2819"/>
      <c r="H60" s="2819"/>
      <c r="I60" s="2820"/>
    </row>
    <row r="61" spans="2:9" hidden="1">
      <c r="B61" s="2830" t="s">
        <v>1398</v>
      </c>
      <c r="C61" s="2833"/>
      <c r="D61" s="2832"/>
      <c r="E61" s="2818"/>
      <c r="F61" s="2819"/>
      <c r="G61" s="2819"/>
      <c r="H61" s="2819"/>
      <c r="I61" s="2820"/>
    </row>
    <row r="62" spans="2:9" ht="13.5" thickBot="1">
      <c r="B62" s="2831" t="s">
        <v>1399</v>
      </c>
      <c r="C62" s="2834"/>
      <c r="D62" s="2832"/>
      <c r="E62" s="2823">
        <f>SUM(E55:E61)</f>
        <v>791377.77899509191</v>
      </c>
      <c r="F62" s="2824">
        <f>SUM(F55:F61)</f>
        <v>804642.38552166102</v>
      </c>
      <c r="G62" s="2824">
        <f>SUM(G55:G61)</f>
        <v>821459.400796804</v>
      </c>
      <c r="H62" s="2824">
        <f>SUM(H55:H61)</f>
        <v>835610.71448057808</v>
      </c>
      <c r="I62" s="2825">
        <f>SUM(I55:I61)</f>
        <v>844961.56165867497</v>
      </c>
    </row>
    <row r="63" spans="2:9" ht="13.5" thickBot="1">
      <c r="B63" s="2826" t="s">
        <v>121</v>
      </c>
      <c r="C63" s="2827"/>
      <c r="D63" s="2827"/>
      <c r="E63" s="4406" t="s">
        <v>2100</v>
      </c>
      <c r="F63" s="4407"/>
      <c r="G63" s="4407"/>
      <c r="H63" s="4407"/>
      <c r="I63" s="4408"/>
    </row>
  </sheetData>
  <mergeCells count="13">
    <mergeCell ref="E50:I50"/>
    <mergeCell ref="E51:I51"/>
    <mergeCell ref="E52:I52"/>
    <mergeCell ref="E63:I63"/>
    <mergeCell ref="E31:I31"/>
    <mergeCell ref="E47:I47"/>
    <mergeCell ref="E30:I30"/>
    <mergeCell ref="B16:B19"/>
    <mergeCell ref="E16:I16"/>
    <mergeCell ref="C17:I17"/>
    <mergeCell ref="C18:I18"/>
    <mergeCell ref="E29:I29"/>
    <mergeCell ref="C16:D16"/>
  </mergeCells>
  <dataValidations count="1">
    <dataValidation type="list" allowBlank="1" showInputMessage="1" showErrorMessage="1" sqref="C34:D45">
      <formula1>"yes,no,select"</formula1>
    </dataValidation>
  </dataValidations>
  <pageMargins left="0.75" right="0.75" top="1" bottom="1" header="0.5" footer="0.5"/>
  <pageSetup paperSize="9" orientation="portrait" r:id="rId1"/>
  <headerFooter alignWithMargins="0"/>
  <customProperties>
    <customPr name="_pios_id"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AH81"/>
  <sheetViews>
    <sheetView showGridLines="0" topLeftCell="B16" zoomScale="89" zoomScaleNormal="89" zoomScalePageLayoutView="85" workbookViewId="0">
      <selection activeCell="B8" sqref="B8"/>
    </sheetView>
  </sheetViews>
  <sheetFormatPr defaultColWidth="9.140625" defaultRowHeight="15"/>
  <cols>
    <col min="1" max="1" width="22.42578125" style="1839" hidden="1" customWidth="1"/>
    <col min="2" max="2" width="20.85546875" style="1848" customWidth="1"/>
    <col min="3" max="3" width="85.85546875" style="1843" customWidth="1"/>
    <col min="4" max="10" width="15.28515625" style="1843" customWidth="1"/>
    <col min="11" max="11" width="24.85546875" style="1843" customWidth="1"/>
    <col min="12" max="23" width="15.28515625" style="1843" customWidth="1"/>
    <col min="24" max="24" width="15.85546875" style="1843" customWidth="1"/>
    <col min="25" max="25" width="11" style="1832" bestFit="1" customWidth="1"/>
    <col min="26" max="26" width="10.5703125" style="1832" bestFit="1" customWidth="1"/>
    <col min="27" max="27" width="10.7109375" style="1832" bestFit="1" customWidth="1"/>
    <col min="28" max="28" width="11" style="1832" bestFit="1" customWidth="1"/>
    <col min="29" max="29" width="9.28515625" style="1832" customWidth="1"/>
    <col min="30" max="30" width="11" style="1832" bestFit="1" customWidth="1"/>
    <col min="31" max="32" width="10.5703125" style="1832" bestFit="1" customWidth="1"/>
    <col min="33" max="33" width="9.85546875" style="1832" customWidth="1"/>
    <col min="34" max="16384" width="9.140625" style="1843"/>
  </cols>
  <sheetData>
    <row r="1" spans="1:34" ht="22.5" customHeight="1">
      <c r="B1" s="1840"/>
      <c r="C1" s="2522" t="str">
        <f>IF(dms_DataQuality="backcast",INDEX(dms_Worksheet_List,MATCH(dms_Model,dms_Model_List))&amp;" BACKCAST",INDEX(dms_Worksheet_List,MATCH(dms_Model,dms_Model_List)))</f>
        <v>REGULATORY REPORTING STATEMENT</v>
      </c>
      <c r="D1" s="1834"/>
      <c r="E1" s="1834"/>
      <c r="F1" s="1834"/>
      <c r="G1" s="1834"/>
      <c r="H1" s="1834"/>
      <c r="I1" s="1841"/>
      <c r="J1" s="1841"/>
      <c r="K1" s="1841"/>
      <c r="L1" s="1841"/>
      <c r="M1" s="1841"/>
      <c r="N1" s="1841"/>
      <c r="O1" s="1841"/>
      <c r="P1" s="1841"/>
      <c r="Q1" s="1841"/>
      <c r="R1" s="1841"/>
      <c r="S1" s="1841"/>
      <c r="T1" s="1841"/>
      <c r="U1" s="1841"/>
      <c r="V1" s="1841"/>
      <c r="W1" s="1841"/>
      <c r="X1" s="1841"/>
      <c r="AH1" s="1842"/>
    </row>
    <row r="2" spans="1:34" ht="24" customHeight="1">
      <c r="B2" s="1840"/>
      <c r="C2" s="2526" t="str">
        <f>INDEX(dms_TradingNameFull_List,MATCH(dms_TradingName,dms_TradingName_List))</f>
        <v>AusNet Gas Services</v>
      </c>
      <c r="D2" s="1833"/>
      <c r="E2" s="1833"/>
      <c r="F2" s="1833"/>
      <c r="G2" s="1833"/>
      <c r="H2" s="1833"/>
      <c r="I2" s="1841"/>
      <c r="J2" s="1841"/>
      <c r="K2" s="1841"/>
      <c r="L2" s="1841"/>
      <c r="M2" s="1841"/>
      <c r="N2" s="1841"/>
      <c r="O2" s="1841"/>
      <c r="P2" s="1841"/>
      <c r="Q2" s="1841"/>
      <c r="R2" s="1841"/>
      <c r="S2" s="1841"/>
      <c r="T2" s="1841"/>
      <c r="U2" s="1841"/>
      <c r="V2" s="1841"/>
      <c r="W2" s="1841"/>
      <c r="X2" s="1841"/>
      <c r="AH2" s="1842"/>
    </row>
    <row r="3" spans="1:34" ht="27" customHeight="1">
      <c r="B3" s="1840"/>
      <c r="C3" s="2526" t="str">
        <f ca="1">IF(SUM(dms_SingleYear_Model)&gt;0,CRY,CONCATENATE(FRCP_y1," to ",dms_MultiYear_FinalYear_Result))</f>
        <v>2018 to 2022</v>
      </c>
      <c r="D3" s="1834"/>
      <c r="E3" s="1834"/>
      <c r="F3" s="1834"/>
      <c r="G3" s="1834"/>
      <c r="H3" s="1834"/>
      <c r="I3" s="1841"/>
      <c r="J3" s="1841"/>
      <c r="K3" s="1841"/>
      <c r="L3" s="1841"/>
      <c r="M3" s="1841"/>
      <c r="N3" s="1841"/>
      <c r="O3" s="1841"/>
      <c r="P3" s="1841"/>
      <c r="Q3" s="1841"/>
      <c r="R3" s="1841"/>
      <c r="S3" s="1841"/>
      <c r="T3" s="1841"/>
      <c r="U3" s="1841"/>
      <c r="V3" s="1841"/>
      <c r="W3" s="1841"/>
      <c r="X3" s="1841"/>
      <c r="AH3" s="1842"/>
    </row>
    <row r="4" spans="1:34" s="1835" customFormat="1" ht="24" customHeight="1">
      <c r="B4" s="1832"/>
      <c r="C4" s="1844" t="s">
        <v>1382</v>
      </c>
      <c r="D4" s="1844"/>
      <c r="E4" s="1844"/>
      <c r="F4" s="1844"/>
      <c r="G4" s="1844"/>
      <c r="H4" s="1844"/>
      <c r="I4" s="1844"/>
      <c r="J4" s="1844"/>
      <c r="K4" s="1844"/>
      <c r="L4" s="1844"/>
      <c r="M4" s="1844"/>
      <c r="N4" s="1844"/>
      <c r="O4" s="1844"/>
      <c r="P4" s="1844"/>
      <c r="Q4" s="1844"/>
      <c r="R4" s="1844"/>
      <c r="S4" s="1844"/>
      <c r="T4" s="1844"/>
      <c r="U4" s="1844"/>
      <c r="V4" s="1844"/>
      <c r="W4" s="1844"/>
      <c r="X4" s="1844"/>
      <c r="Y4" s="1832"/>
      <c r="Z4" s="1832"/>
      <c r="AA4" s="1832"/>
      <c r="AB4" s="1832"/>
      <c r="AC4" s="1832"/>
      <c r="AD4" s="1832"/>
      <c r="AE4" s="1832"/>
    </row>
    <row r="5" spans="1:34" ht="24" customHeight="1">
      <c r="B5" s="1840"/>
      <c r="C5" s="1845"/>
      <c r="D5" s="1845"/>
      <c r="E5" s="1845"/>
      <c r="F5" s="1845"/>
      <c r="G5" s="1845"/>
      <c r="H5" s="1845"/>
    </row>
    <row r="6" spans="1:34">
      <c r="B6" s="1840"/>
      <c r="C6" s="1846"/>
      <c r="D6" s="1846"/>
      <c r="E6" s="1846"/>
      <c r="F6" s="1846"/>
      <c r="G6" s="1846"/>
      <c r="H6" s="1846"/>
      <c r="I6" s="1846"/>
      <c r="J6" s="1846"/>
      <c r="K6" s="1846"/>
      <c r="L6" s="1846"/>
      <c r="M6" s="1846"/>
      <c r="N6" s="1846"/>
      <c r="O6" s="1846"/>
      <c r="P6" s="1846"/>
      <c r="Q6" s="1846"/>
      <c r="R6" s="1846"/>
      <c r="S6" s="1846"/>
      <c r="T6" s="1847"/>
      <c r="U6" s="1847"/>
      <c r="V6" s="1847"/>
      <c r="W6" s="1847"/>
      <c r="X6" s="1847"/>
      <c r="AH6" s="1847"/>
    </row>
    <row r="7" spans="1:34" ht="25.5" customHeight="1">
      <c r="C7" s="1849" t="s">
        <v>59</v>
      </c>
      <c r="D7" s="1849"/>
      <c r="E7" s="1849"/>
      <c r="F7" s="1849"/>
      <c r="G7" s="1849"/>
      <c r="H7" s="1849"/>
      <c r="I7" s="1849"/>
      <c r="J7" s="1849"/>
      <c r="K7" s="1849"/>
      <c r="L7" s="1849"/>
      <c r="M7" s="1850"/>
      <c r="N7" s="1850"/>
      <c r="O7" s="1850"/>
      <c r="P7" s="1850"/>
      <c r="Q7" s="1850"/>
      <c r="R7" s="1850"/>
      <c r="S7" s="1850"/>
      <c r="T7" s="1850"/>
      <c r="U7" s="1850"/>
      <c r="V7" s="1850"/>
      <c r="W7" s="1850"/>
      <c r="X7" s="1850"/>
      <c r="AH7" s="1851"/>
    </row>
    <row r="8" spans="1:34" ht="212.25" customHeight="1">
      <c r="C8" s="4419" t="s">
        <v>1372</v>
      </c>
      <c r="D8" s="4419"/>
      <c r="E8" s="4419"/>
      <c r="F8" s="4419"/>
      <c r="G8" s="4419"/>
      <c r="H8" s="4419"/>
      <c r="I8" s="4419"/>
      <c r="J8" s="4419"/>
      <c r="K8" s="4419"/>
      <c r="L8" s="4419"/>
      <c r="M8" s="1852"/>
      <c r="N8" s="1852"/>
      <c r="O8" s="1852"/>
      <c r="P8" s="1852"/>
      <c r="Q8" s="1852"/>
      <c r="R8" s="1852"/>
      <c r="S8" s="1852"/>
      <c r="T8" s="1853"/>
      <c r="U8" s="1853"/>
      <c r="V8" s="1853"/>
      <c r="W8" s="1853"/>
      <c r="X8" s="1853"/>
      <c r="AH8" s="1854"/>
    </row>
    <row r="9" spans="1:34">
      <c r="C9" s="1853"/>
      <c r="D9" s="1853"/>
      <c r="E9" s="1853"/>
      <c r="F9" s="1853"/>
      <c r="G9" s="1853"/>
      <c r="H9" s="1853"/>
      <c r="I9" s="1853"/>
      <c r="J9" s="1853"/>
      <c r="K9" s="1853"/>
      <c r="L9" s="1853"/>
      <c r="M9" s="1853"/>
      <c r="N9" s="1853"/>
      <c r="O9" s="1853"/>
      <c r="P9" s="1853"/>
      <c r="Q9" s="1853"/>
      <c r="R9" s="1853"/>
      <c r="S9" s="1853"/>
      <c r="T9" s="1853"/>
      <c r="U9" s="1853"/>
      <c r="V9" s="1853"/>
      <c r="W9" s="1853"/>
      <c r="X9" s="1853"/>
      <c r="AH9" s="1855"/>
    </row>
    <row r="10" spans="1:34" ht="15.75" thickBot="1">
      <c r="C10" s="1856"/>
      <c r="D10" s="1857"/>
      <c r="E10" s="1857"/>
      <c r="F10" s="1857"/>
      <c r="G10" s="1857"/>
      <c r="H10" s="1857"/>
      <c r="I10" s="1858"/>
      <c r="J10" s="1832"/>
      <c r="K10" s="1832"/>
      <c r="L10" s="1832"/>
      <c r="M10" s="1832"/>
      <c r="N10" s="1832"/>
      <c r="O10" s="1832"/>
      <c r="P10" s="1832"/>
      <c r="Q10" s="1832"/>
      <c r="R10" s="1832"/>
      <c r="S10" s="1832"/>
      <c r="T10" s="1832"/>
      <c r="U10" s="1832"/>
      <c r="V10" s="1832"/>
      <c r="W10" s="1832"/>
      <c r="X10" s="1832"/>
      <c r="AH10" s="1855"/>
    </row>
    <row r="11" spans="1:34" s="1860" customFormat="1" ht="24.75" customHeight="1" thickBot="1">
      <c r="A11" s="1859"/>
      <c r="C11" s="1861" t="s">
        <v>389</v>
      </c>
      <c r="D11" s="1862"/>
      <c r="E11" s="1862"/>
      <c r="F11" s="1862"/>
      <c r="G11" s="1862"/>
      <c r="H11" s="1862"/>
      <c r="I11" s="1862"/>
      <c r="J11" s="1863"/>
      <c r="K11" s="1863"/>
      <c r="L11" s="1863"/>
      <c r="M11" s="1863"/>
      <c r="N11" s="1863"/>
      <c r="O11" s="1863"/>
      <c r="P11" s="1863"/>
      <c r="Q11" s="1863"/>
      <c r="R11" s="1864"/>
      <c r="U11" s="1832"/>
      <c r="V11" s="1832"/>
      <c r="W11" s="1832"/>
      <c r="X11" s="1832"/>
      <c r="Y11" s="1832"/>
      <c r="Z11" s="1832"/>
      <c r="AA11" s="1832"/>
      <c r="AB11" s="1832"/>
      <c r="AC11" s="1832"/>
      <c r="AD11" s="1832"/>
      <c r="AE11" s="1832"/>
      <c r="AF11" s="1832"/>
    </row>
    <row r="12" spans="1:34" s="1860" customFormat="1" ht="18.75" thickBot="1">
      <c r="A12" s="1859"/>
      <c r="C12" s="1865"/>
      <c r="D12" s="4420" t="s">
        <v>54</v>
      </c>
      <c r="E12" s="4421"/>
      <c r="F12" s="4421"/>
      <c r="G12" s="4421"/>
      <c r="H12" s="4422"/>
      <c r="I12" s="4423" t="s">
        <v>390</v>
      </c>
      <c r="J12" s="4424"/>
      <c r="K12" s="1866"/>
      <c r="L12" s="4420" t="s">
        <v>54</v>
      </c>
      <c r="M12" s="4421"/>
      <c r="N12" s="4421"/>
      <c r="O12" s="4421"/>
      <c r="P12" s="4422"/>
      <c r="Q12" s="4425" t="s">
        <v>390</v>
      </c>
      <c r="R12" s="4426"/>
      <c r="U12" s="1832"/>
      <c r="V12" s="1832"/>
      <c r="W12" s="1832"/>
      <c r="X12" s="1832"/>
      <c r="Y12" s="1832"/>
      <c r="Z12" s="1832"/>
      <c r="AA12" s="1832"/>
      <c r="AB12" s="1832"/>
      <c r="AC12" s="1832"/>
      <c r="AD12" s="1832"/>
      <c r="AE12" s="1832"/>
      <c r="AF12" s="1832"/>
    </row>
    <row r="13" spans="1:34" s="1860" customFormat="1" ht="18.75" thickBot="1">
      <c r="A13" s="1859"/>
      <c r="C13" s="1865"/>
      <c r="D13" s="1867">
        <f>PRCP_y4</f>
        <v>2011</v>
      </c>
      <c r="E13" s="2130">
        <f>PRCP_y5</f>
        <v>2012</v>
      </c>
      <c r="F13" s="2131">
        <f>CRCP_y1</f>
        <v>2013</v>
      </c>
      <c r="G13" s="1871">
        <f>CRCP_y2</f>
        <v>2014</v>
      </c>
      <c r="H13" s="1871">
        <f>CRCP_y3</f>
        <v>2015</v>
      </c>
      <c r="I13" s="1868">
        <f>CRCP_y4</f>
        <v>2016</v>
      </c>
      <c r="J13" s="2132">
        <f>CRCP_y5</f>
        <v>2017</v>
      </c>
      <c r="K13" s="1869"/>
      <c r="L13" s="1870">
        <f>PRCP_y4</f>
        <v>2011</v>
      </c>
      <c r="M13" s="2133">
        <f>PRCP_y5</f>
        <v>2012</v>
      </c>
      <c r="N13" s="2131">
        <f>CRCP_y1</f>
        <v>2013</v>
      </c>
      <c r="O13" s="1871">
        <f>CRCP_y2</f>
        <v>2014</v>
      </c>
      <c r="P13" s="1871">
        <f>CRCP_y3</f>
        <v>2015</v>
      </c>
      <c r="Q13" s="1871">
        <f>CRCP_y4</f>
        <v>2016</v>
      </c>
      <c r="R13" s="1872">
        <f>CRCP_y5</f>
        <v>2017</v>
      </c>
      <c r="U13" s="1832"/>
      <c r="V13" s="1832"/>
      <c r="W13" s="1832"/>
      <c r="X13" s="1832"/>
      <c r="Y13" s="1832"/>
      <c r="Z13" s="1832"/>
      <c r="AA13" s="1832"/>
      <c r="AB13" s="1832"/>
      <c r="AC13" s="1832"/>
      <c r="AD13" s="1832"/>
      <c r="AE13" s="1832"/>
      <c r="AF13" s="1832"/>
    </row>
    <row r="14" spans="1:34" ht="15" customHeight="1">
      <c r="A14" s="1839" t="s">
        <v>391</v>
      </c>
      <c r="C14" s="1873" t="s">
        <v>709</v>
      </c>
      <c r="D14" s="1874">
        <v>179.4</v>
      </c>
      <c r="E14" s="1875"/>
      <c r="F14" s="1875"/>
      <c r="G14" s="1875"/>
      <c r="H14" s="1876"/>
      <c r="I14" s="1876"/>
      <c r="J14" s="1877"/>
      <c r="K14" s="1878" t="s">
        <v>710</v>
      </c>
      <c r="L14" s="1879"/>
      <c r="M14" s="1880">
        <f t="shared" ref="M14:Q14" si="0">E15/D15-1</f>
        <v>2.2044088176352838E-2</v>
      </c>
      <c r="N14" s="1880">
        <f t="shared" si="0"/>
        <v>2.7450980392156765E-2</v>
      </c>
      <c r="O14" s="1880">
        <f t="shared" si="0"/>
        <v>1.7175572519083859E-2</v>
      </c>
      <c r="P14" s="1880">
        <f t="shared" si="0"/>
        <v>1.6885553470919357E-2</v>
      </c>
      <c r="Q14" s="1880">
        <f t="shared" si="0"/>
        <v>1.4999999999999902E-2</v>
      </c>
      <c r="R14" s="1881">
        <f>J15/I15-1</f>
        <v>2.0000000000000018E-2</v>
      </c>
      <c r="X14" s="1832"/>
      <c r="AG14" s="1843"/>
    </row>
    <row r="15" spans="1:34" ht="15.75" customHeight="1" thickBot="1">
      <c r="A15" s="1839" t="s">
        <v>392</v>
      </c>
      <c r="C15" s="1882" t="s">
        <v>711</v>
      </c>
      <c r="D15" s="1883">
        <v>99.8</v>
      </c>
      <c r="E15" s="1884">
        <v>102</v>
      </c>
      <c r="F15" s="1884">
        <v>104.8</v>
      </c>
      <c r="G15" s="1884">
        <v>106.6</v>
      </c>
      <c r="H15" s="1884">
        <v>108.4</v>
      </c>
      <c r="I15" s="1884">
        <f>H15*1.015</f>
        <v>110.026</v>
      </c>
      <c r="J15" s="1885">
        <f>I15*1.02</f>
        <v>112.22651999999999</v>
      </c>
      <c r="K15" s="1886" t="str">
        <f>CONCATENATE("Cumulative index (",CRCP_y5,"=1)")</f>
        <v>Cumulative index (2017=1)</v>
      </c>
      <c r="L15" s="1887">
        <f t="shared" ref="L15:Q15" si="1">M15/(1+M14)</f>
        <v>0.88927287418339263</v>
      </c>
      <c r="M15" s="1888">
        <f t="shared" si="1"/>
        <v>0.90887608383473006</v>
      </c>
      <c r="N15" s="1889">
        <f t="shared" si="1"/>
        <v>0.93382562339097752</v>
      </c>
      <c r="O15" s="1889">
        <f t="shared" si="1"/>
        <v>0.94986461310570791</v>
      </c>
      <c r="P15" s="1889">
        <f t="shared" si="1"/>
        <v>0.96590360282043852</v>
      </c>
      <c r="Q15" s="1889">
        <f t="shared" si="1"/>
        <v>0.98039215686274506</v>
      </c>
      <c r="R15" s="1890">
        <v>1</v>
      </c>
      <c r="X15" s="1832"/>
      <c r="AG15" s="1843"/>
    </row>
    <row r="16" spans="1:34" s="1896" customFormat="1">
      <c r="A16" s="1891"/>
      <c r="B16" s="1892"/>
      <c r="C16" s="1893"/>
      <c r="D16" s="1894"/>
      <c r="E16" s="1895"/>
      <c r="F16" s="1895"/>
      <c r="G16" s="1895"/>
      <c r="H16" s="1895"/>
      <c r="I16" s="1895"/>
      <c r="M16" s="1897"/>
      <c r="N16" s="1897"/>
      <c r="O16" s="1897"/>
      <c r="P16" s="1897"/>
      <c r="Q16" s="1897"/>
      <c r="R16" s="1897"/>
      <c r="T16" s="1898"/>
      <c r="U16" s="1898"/>
      <c r="V16" s="1898"/>
      <c r="W16" s="1898"/>
      <c r="X16" s="1898"/>
      <c r="Y16" s="1832"/>
      <c r="Z16" s="1832"/>
      <c r="AA16" s="1832"/>
      <c r="AB16" s="1832"/>
      <c r="AC16" s="1832"/>
      <c r="AD16" s="1832"/>
      <c r="AE16" s="1832"/>
      <c r="AF16" s="1832"/>
      <c r="AG16" s="1832"/>
    </row>
    <row r="17" spans="1:34" s="1832" customFormat="1">
      <c r="A17" s="1899"/>
    </row>
    <row r="18" spans="1:34" s="1832" customFormat="1">
      <c r="A18" s="1899"/>
    </row>
    <row r="19" spans="1:34" s="1832" customFormat="1">
      <c r="A19" s="1899"/>
    </row>
    <row r="20" spans="1:34" ht="17.25" customHeight="1">
      <c r="A20" s="1900"/>
      <c r="B20" s="1901"/>
      <c r="C20" s="1902" t="str">
        <f ca="1">CONCATENATE("TABLE 23.4.1 - The carryover amounts that arise from applying the Incentive Mechanism during the ", dms_Reg_Year_Span, " regulatory control period")</f>
        <v>TABLE 23.4.1 - The carryover amounts that arise from applying the Incentive Mechanism during the 2018 to 2022 regulatory control period</v>
      </c>
      <c r="D20" s="1902"/>
      <c r="E20" s="1902"/>
      <c r="F20" s="1902"/>
      <c r="G20" s="1902"/>
      <c r="H20" s="1902"/>
      <c r="I20" s="1902"/>
      <c r="J20" s="1902"/>
      <c r="K20" s="1902"/>
      <c r="L20" s="1902"/>
      <c r="M20" s="1902"/>
      <c r="N20" s="1902"/>
      <c r="O20" s="1902"/>
      <c r="P20" s="1902"/>
      <c r="Q20" s="1902"/>
      <c r="R20" s="1902"/>
      <c r="S20" s="1902"/>
      <c r="T20" s="1902"/>
      <c r="U20" s="1902"/>
      <c r="V20" s="1902"/>
      <c r="W20" s="1902"/>
      <c r="X20" s="1832"/>
      <c r="AH20" s="1903"/>
    </row>
    <row r="21" spans="1:34" s="1860" customFormat="1" ht="15.75" thickBot="1">
      <c r="A21" s="1859"/>
      <c r="C21" s="1904"/>
      <c r="D21" s="1904"/>
      <c r="E21" s="1904"/>
      <c r="F21" s="1904"/>
      <c r="G21" s="1904"/>
      <c r="H21" s="1904"/>
      <c r="I21" s="1904"/>
      <c r="J21" s="1904"/>
      <c r="K21" s="1904"/>
      <c r="L21" s="1904"/>
      <c r="M21" s="1904"/>
      <c r="N21" s="1904"/>
      <c r="O21" s="1904"/>
      <c r="P21" s="1904"/>
      <c r="Q21" s="1904"/>
      <c r="R21" s="1904"/>
      <c r="S21" s="1904"/>
      <c r="T21" s="1904"/>
      <c r="U21" s="1904"/>
      <c r="V21" s="1904"/>
      <c r="W21" s="1904"/>
      <c r="X21" s="1832"/>
      <c r="Y21" s="1832"/>
      <c r="Z21" s="1832"/>
      <c r="AA21" s="1832"/>
      <c r="AB21" s="1832"/>
      <c r="AC21" s="1832"/>
      <c r="AD21" s="1832"/>
      <c r="AE21" s="1832"/>
    </row>
    <row r="22" spans="1:34" s="1906" customFormat="1" ht="24.75" customHeight="1" thickBot="1">
      <c r="A22" s="1905"/>
      <c r="C22" s="1907" t="s">
        <v>1369</v>
      </c>
      <c r="D22" s="1908"/>
      <c r="E22" s="1908"/>
      <c r="F22" s="1908"/>
      <c r="G22" s="1908"/>
      <c r="H22" s="1908"/>
      <c r="I22" s="1908"/>
      <c r="J22" s="1908"/>
      <c r="K22" s="1908"/>
      <c r="L22" s="1908"/>
      <c r="M22" s="1908"/>
      <c r="N22" s="1908"/>
      <c r="O22" s="1908"/>
      <c r="P22" s="1908"/>
      <c r="Q22" s="1908"/>
      <c r="R22" s="1908"/>
      <c r="S22" s="1908"/>
      <c r="T22" s="1908"/>
      <c r="U22" s="1908"/>
      <c r="V22" s="1908"/>
      <c r="W22" s="1908"/>
      <c r="X22" s="1832"/>
      <c r="Y22" s="1832"/>
      <c r="Z22" s="1832"/>
      <c r="AA22" s="1832"/>
      <c r="AB22" s="1832"/>
      <c r="AC22" s="1832"/>
      <c r="AD22" s="1832"/>
      <c r="AE22" s="1832"/>
    </row>
    <row r="23" spans="1:34" s="1860" customFormat="1" ht="15.75">
      <c r="A23" s="1859"/>
      <c r="C23" s="1909"/>
      <c r="D23" s="4414" t="s">
        <v>393</v>
      </c>
      <c r="E23" s="4415"/>
      <c r="F23" s="4411" t="s">
        <v>298</v>
      </c>
      <c r="G23" s="4412"/>
      <c r="H23" s="4412"/>
      <c r="I23" s="4412"/>
      <c r="J23" s="4413"/>
      <c r="K23" s="1832"/>
      <c r="L23" s="4414" t="s">
        <v>393</v>
      </c>
      <c r="M23" s="4415"/>
      <c r="N23" s="4411" t="s">
        <v>298</v>
      </c>
      <c r="O23" s="4412"/>
      <c r="P23" s="4412"/>
      <c r="Q23" s="4412"/>
      <c r="R23" s="4413"/>
      <c r="S23" s="4427" t="s">
        <v>294</v>
      </c>
      <c r="T23" s="4428"/>
      <c r="U23" s="4428"/>
      <c r="V23" s="4428"/>
      <c r="W23" s="4429"/>
      <c r="Y23" s="1832"/>
      <c r="Z23" s="1832"/>
      <c r="AA23" s="1832"/>
      <c r="AB23" s="1832"/>
      <c r="AC23" s="1832"/>
      <c r="AD23" s="1832"/>
      <c r="AE23" s="1832"/>
    </row>
    <row r="24" spans="1:34" s="1860" customFormat="1" ht="15.75" thickBot="1">
      <c r="A24" s="1859"/>
      <c r="C24" s="1910"/>
      <c r="D24" s="4430" t="str">
        <f>CONCATENATE("$m, real ", (PRCP_y5))</f>
        <v>$m, real 2012</v>
      </c>
      <c r="E24" s="4431"/>
      <c r="F24" s="4432" t="str">
        <f>CONCATENATE("$m, real ", PRCP_y5)</f>
        <v>$m, real 2012</v>
      </c>
      <c r="G24" s="4433"/>
      <c r="H24" s="4433"/>
      <c r="I24" s="4433"/>
      <c r="J24" s="4434"/>
      <c r="K24" s="1832"/>
      <c r="L24" s="4435" t="str">
        <f>CONCATENATE("$m, real ", (CRCP_y5))</f>
        <v>$m, real 2017</v>
      </c>
      <c r="M24" s="4436"/>
      <c r="N24" s="4432" t="str">
        <f>CONCATENATE("$m, real ", dms_DollarReal)</f>
        <v>$m, real December 2017</v>
      </c>
      <c r="O24" s="4433"/>
      <c r="P24" s="4433"/>
      <c r="Q24" s="4433"/>
      <c r="R24" s="4434"/>
      <c r="S24" s="1911"/>
      <c r="T24" s="1912"/>
      <c r="U24" s="1912"/>
      <c r="V24" s="1912"/>
      <c r="W24" s="1913"/>
      <c r="Y24" s="1832"/>
      <c r="Z24" s="1832"/>
      <c r="AA24" s="1832"/>
      <c r="AB24" s="1832"/>
      <c r="AC24" s="1832"/>
      <c r="AD24" s="1832"/>
      <c r="AE24" s="1832"/>
    </row>
    <row r="25" spans="1:34" s="1860" customFormat="1" ht="15.75" thickBot="1">
      <c r="A25" s="1859"/>
      <c r="C25" s="1910"/>
      <c r="D25" s="1914">
        <f>PRCP_y4</f>
        <v>2011</v>
      </c>
      <c r="E25" s="1915">
        <f>PRCP_y5</f>
        <v>2012</v>
      </c>
      <c r="F25" s="1916">
        <f>CRCP_y1</f>
        <v>2013</v>
      </c>
      <c r="G25" s="1917">
        <f>CRCP_y2</f>
        <v>2014</v>
      </c>
      <c r="H25" s="1917">
        <f>CRCP_y3</f>
        <v>2015</v>
      </c>
      <c r="I25" s="1917">
        <f>CRCP_y4</f>
        <v>2016</v>
      </c>
      <c r="J25" s="1918">
        <f>CRCP_y5</f>
        <v>2017</v>
      </c>
      <c r="K25" s="1832"/>
      <c r="L25" s="1914">
        <f>PRCP_y4</f>
        <v>2011</v>
      </c>
      <c r="M25" s="1915">
        <f>PRCP_y5</f>
        <v>2012</v>
      </c>
      <c r="N25" s="1916">
        <f>CRCP_y1</f>
        <v>2013</v>
      </c>
      <c r="O25" s="1917">
        <f>CRCP_y2</f>
        <v>2014</v>
      </c>
      <c r="P25" s="1917">
        <f>CRCP_y3</f>
        <v>2015</v>
      </c>
      <c r="Q25" s="1917">
        <f>CRCP_y4</f>
        <v>2016</v>
      </c>
      <c r="R25" s="1918">
        <f>CRCP_y5</f>
        <v>2017</v>
      </c>
      <c r="S25" s="1921" t="str">
        <f t="array" ref="S25:W25">FRCP</f>
        <v>2018</v>
      </c>
      <c r="T25" s="1922">
        <v>2019</v>
      </c>
      <c r="U25" s="1922">
        <v>2020</v>
      </c>
      <c r="V25" s="1922">
        <v>2021</v>
      </c>
      <c r="W25" s="1923">
        <v>2022</v>
      </c>
      <c r="Y25" s="1832"/>
      <c r="Z25" s="1832"/>
      <c r="AA25" s="1832"/>
      <c r="AB25" s="1832"/>
      <c r="AC25" s="1832"/>
      <c r="AD25" s="1832"/>
      <c r="AE25" s="1832"/>
    </row>
    <row r="26" spans="1:34">
      <c r="A26" s="1839" t="s">
        <v>394</v>
      </c>
      <c r="C26" s="1924" t="s">
        <v>395</v>
      </c>
      <c r="D26" s="1925"/>
      <c r="E26" s="1926"/>
      <c r="F26" s="1925"/>
      <c r="G26" s="1926"/>
      <c r="H26" s="1926"/>
      <c r="I26" s="1926"/>
      <c r="J26" s="1927"/>
      <c r="K26" s="1832"/>
      <c r="L26" s="1928">
        <f t="shared" ref="L26:M26" si="2">+D26/$M$15</f>
        <v>0</v>
      </c>
      <c r="M26" s="1929">
        <f t="shared" si="2"/>
        <v>0</v>
      </c>
      <c r="N26" s="1928">
        <f>+F26/$M$15</f>
        <v>0</v>
      </c>
      <c r="O26" s="1929">
        <f>+G26/$M$15</f>
        <v>0</v>
      </c>
      <c r="P26" s="1929">
        <f>+H26/$M$15</f>
        <v>0</v>
      </c>
      <c r="Q26" s="1929">
        <f>+I26/$M$15</f>
        <v>0</v>
      </c>
      <c r="R26" s="1930">
        <f>+J26/$M$15</f>
        <v>0</v>
      </c>
      <c r="S26" s="1931"/>
      <c r="T26" s="1931"/>
      <c r="U26" s="1931"/>
      <c r="V26" s="1931"/>
      <c r="W26" s="1932"/>
      <c r="X26" s="1933"/>
    </row>
    <row r="27" spans="1:34">
      <c r="C27" s="1934" t="s">
        <v>708</v>
      </c>
      <c r="D27" s="1935"/>
      <c r="E27" s="1936"/>
      <c r="F27" s="1935"/>
      <c r="G27" s="1936"/>
      <c r="H27" s="1936"/>
      <c r="I27" s="1936"/>
      <c r="J27" s="1937"/>
      <c r="K27" s="1832"/>
      <c r="L27" s="1938"/>
      <c r="M27" s="1939"/>
      <c r="N27" s="1938"/>
      <c r="O27" s="1939"/>
      <c r="P27" s="1939"/>
      <c r="Q27" s="1939"/>
      <c r="R27" s="1940"/>
      <c r="S27" s="1931"/>
      <c r="T27" s="1931"/>
      <c r="U27" s="1931"/>
      <c r="V27" s="1931"/>
      <c r="W27" s="1932"/>
      <c r="X27" s="1933"/>
    </row>
    <row r="28" spans="1:34">
      <c r="C28" s="1941" t="s">
        <v>1375</v>
      </c>
      <c r="D28" s="1942"/>
      <c r="E28" s="1943"/>
      <c r="F28" s="1942"/>
      <c r="G28" s="1943"/>
      <c r="H28" s="1943"/>
      <c r="I28" s="1943"/>
      <c r="J28" s="1944"/>
      <c r="K28" s="1832"/>
      <c r="L28" s="1945">
        <f t="shared" ref="L28:R31" si="3">-D28/$M$15</f>
        <v>0</v>
      </c>
      <c r="M28" s="1946">
        <f t="shared" si="3"/>
        <v>0</v>
      </c>
      <c r="N28" s="1945">
        <f t="shared" si="3"/>
        <v>0</v>
      </c>
      <c r="O28" s="1946">
        <f t="shared" si="3"/>
        <v>0</v>
      </c>
      <c r="P28" s="1946">
        <f t="shared" si="3"/>
        <v>0</v>
      </c>
      <c r="Q28" s="1946">
        <f t="shared" si="3"/>
        <v>0</v>
      </c>
      <c r="R28" s="1947">
        <f t="shared" si="3"/>
        <v>0</v>
      </c>
      <c r="S28" s="1931"/>
      <c r="T28" s="1931"/>
      <c r="U28" s="1931"/>
      <c r="V28" s="1931"/>
      <c r="W28" s="1932"/>
      <c r="X28" s="1948"/>
    </row>
    <row r="29" spans="1:34">
      <c r="C29" s="1941" t="s">
        <v>1374</v>
      </c>
      <c r="D29" s="1942"/>
      <c r="E29" s="1943"/>
      <c r="F29" s="1942"/>
      <c r="G29" s="1943"/>
      <c r="H29" s="1943"/>
      <c r="I29" s="1943"/>
      <c r="J29" s="1944"/>
      <c r="K29" s="1832"/>
      <c r="L29" s="1945">
        <f t="shared" si="3"/>
        <v>0</v>
      </c>
      <c r="M29" s="1946">
        <f t="shared" si="3"/>
        <v>0</v>
      </c>
      <c r="N29" s="1945">
        <f t="shared" si="3"/>
        <v>0</v>
      </c>
      <c r="O29" s="1946">
        <f t="shared" si="3"/>
        <v>0</v>
      </c>
      <c r="P29" s="1946">
        <f t="shared" si="3"/>
        <v>0</v>
      </c>
      <c r="Q29" s="1946">
        <f t="shared" si="3"/>
        <v>0</v>
      </c>
      <c r="R29" s="1947">
        <f t="shared" si="3"/>
        <v>0</v>
      </c>
      <c r="S29" s="1931"/>
      <c r="T29" s="1931"/>
      <c r="U29" s="1931"/>
      <c r="V29" s="1931"/>
      <c r="W29" s="1932"/>
      <c r="X29" s="1948"/>
    </row>
    <row r="30" spans="1:34">
      <c r="C30" s="1941" t="s">
        <v>1377</v>
      </c>
      <c r="D30" s="1942"/>
      <c r="E30" s="1943"/>
      <c r="F30" s="1942"/>
      <c r="G30" s="1943"/>
      <c r="H30" s="1943"/>
      <c r="I30" s="1943"/>
      <c r="J30" s="1944"/>
      <c r="K30" s="1832"/>
      <c r="L30" s="1945">
        <f t="shared" si="3"/>
        <v>0</v>
      </c>
      <c r="M30" s="1946">
        <f t="shared" si="3"/>
        <v>0</v>
      </c>
      <c r="N30" s="1945">
        <f t="shared" si="3"/>
        <v>0</v>
      </c>
      <c r="O30" s="1946">
        <f t="shared" si="3"/>
        <v>0</v>
      </c>
      <c r="P30" s="1946">
        <f t="shared" si="3"/>
        <v>0</v>
      </c>
      <c r="Q30" s="1946">
        <f t="shared" si="3"/>
        <v>0</v>
      </c>
      <c r="R30" s="1947">
        <f t="shared" si="3"/>
        <v>0</v>
      </c>
      <c r="S30" s="1931"/>
      <c r="T30" s="1931"/>
      <c r="U30" s="1931"/>
      <c r="V30" s="1931"/>
      <c r="W30" s="1932"/>
      <c r="X30" s="1948"/>
    </row>
    <row r="31" spans="1:34" ht="25.5">
      <c r="C31" s="2755" t="s">
        <v>1379</v>
      </c>
      <c r="D31" s="1942"/>
      <c r="E31" s="1943"/>
      <c r="F31" s="1942"/>
      <c r="G31" s="1943"/>
      <c r="H31" s="1943"/>
      <c r="I31" s="1943"/>
      <c r="J31" s="1944"/>
      <c r="K31" s="1832"/>
      <c r="L31" s="1945">
        <f t="shared" si="3"/>
        <v>0</v>
      </c>
      <c r="M31" s="1946">
        <f t="shared" si="3"/>
        <v>0</v>
      </c>
      <c r="N31" s="1945">
        <f t="shared" si="3"/>
        <v>0</v>
      </c>
      <c r="O31" s="1946">
        <f t="shared" si="3"/>
        <v>0</v>
      </c>
      <c r="P31" s="1946">
        <f t="shared" si="3"/>
        <v>0</v>
      </c>
      <c r="Q31" s="1946">
        <f t="shared" si="3"/>
        <v>0</v>
      </c>
      <c r="R31" s="1947">
        <f t="shared" si="3"/>
        <v>0</v>
      </c>
      <c r="S31" s="1931"/>
      <c r="T31" s="1931"/>
      <c r="U31" s="1931"/>
      <c r="V31" s="1931"/>
      <c r="W31" s="1932"/>
      <c r="X31" s="1948"/>
    </row>
    <row r="32" spans="1:34">
      <c r="A32" s="1839" t="s">
        <v>396</v>
      </c>
      <c r="C32" s="1949" t="s">
        <v>1380</v>
      </c>
      <c r="D32" s="1942"/>
      <c r="E32" s="1943"/>
      <c r="F32" s="1942"/>
      <c r="G32" s="1943"/>
      <c r="H32" s="1943"/>
      <c r="I32" s="1943"/>
      <c r="J32" s="1944"/>
      <c r="K32" s="1832"/>
      <c r="L32" s="1945">
        <f>D32/$M$15</f>
        <v>0</v>
      </c>
      <c r="M32" s="1946">
        <f t="shared" ref="M32:R33" si="4">E32/$M$15</f>
        <v>0</v>
      </c>
      <c r="N32" s="1945">
        <f t="shared" si="4"/>
        <v>0</v>
      </c>
      <c r="O32" s="1946">
        <f t="shared" si="4"/>
        <v>0</v>
      </c>
      <c r="P32" s="1946">
        <f t="shared" si="4"/>
        <v>0</v>
      </c>
      <c r="Q32" s="1946">
        <f t="shared" si="4"/>
        <v>0</v>
      </c>
      <c r="R32" s="1947">
        <f t="shared" si="4"/>
        <v>0</v>
      </c>
      <c r="S32" s="1931"/>
      <c r="T32" s="1931"/>
      <c r="U32" s="1931"/>
      <c r="V32" s="1931"/>
      <c r="W32" s="1932"/>
      <c r="X32" s="1948"/>
    </row>
    <row r="33" spans="1:31" ht="15.75" thickBot="1">
      <c r="C33" s="1950" t="s">
        <v>1381</v>
      </c>
      <c r="D33" s="1951"/>
      <c r="E33" s="1952"/>
      <c r="F33" s="1951"/>
      <c r="G33" s="1952"/>
      <c r="H33" s="1952"/>
      <c r="I33" s="1952"/>
      <c r="J33" s="1953"/>
      <c r="K33" s="1832"/>
      <c r="L33" s="1945">
        <f>D33/$M$15</f>
        <v>0</v>
      </c>
      <c r="M33" s="1946">
        <f t="shared" si="4"/>
        <v>0</v>
      </c>
      <c r="N33" s="1945">
        <f t="shared" si="4"/>
        <v>0</v>
      </c>
      <c r="O33" s="1946">
        <f t="shared" si="4"/>
        <v>0</v>
      </c>
      <c r="P33" s="1946">
        <f t="shared" si="4"/>
        <v>0</v>
      </c>
      <c r="Q33" s="1946">
        <f t="shared" si="4"/>
        <v>0</v>
      </c>
      <c r="R33" s="1947">
        <f t="shared" si="4"/>
        <v>0</v>
      </c>
      <c r="S33" s="1931"/>
      <c r="T33" s="1931"/>
      <c r="U33" s="1931"/>
      <c r="V33" s="1931"/>
      <c r="W33" s="1932"/>
      <c r="X33" s="1948"/>
    </row>
    <row r="34" spans="1:31" ht="15.75" thickBot="1">
      <c r="A34" s="1839" t="s">
        <v>397</v>
      </c>
      <c r="C34" s="1954" t="s">
        <v>1367</v>
      </c>
      <c r="D34" s="1955">
        <f t="shared" ref="D34:J34" si="5">D26-SUM(D28:D31)+D32+D33</f>
        <v>0</v>
      </c>
      <c r="E34" s="1956">
        <f t="shared" si="5"/>
        <v>0</v>
      </c>
      <c r="F34" s="1955">
        <f t="shared" si="5"/>
        <v>0</v>
      </c>
      <c r="G34" s="1956">
        <f t="shared" si="5"/>
        <v>0</v>
      </c>
      <c r="H34" s="1956">
        <f t="shared" si="5"/>
        <v>0</v>
      </c>
      <c r="I34" s="1956">
        <f t="shared" si="5"/>
        <v>0</v>
      </c>
      <c r="J34" s="1957">
        <f t="shared" si="5"/>
        <v>0</v>
      </c>
      <c r="K34" s="1832"/>
      <c r="L34" s="1958">
        <f t="shared" ref="L34:R34" si="6">+SUM(L26:L33)</f>
        <v>0</v>
      </c>
      <c r="M34" s="1959">
        <f t="shared" si="6"/>
        <v>0</v>
      </c>
      <c r="N34" s="1960">
        <f t="shared" si="6"/>
        <v>0</v>
      </c>
      <c r="O34" s="1959">
        <f t="shared" si="6"/>
        <v>0</v>
      </c>
      <c r="P34" s="1959">
        <f t="shared" si="6"/>
        <v>0</v>
      </c>
      <c r="Q34" s="1959">
        <f t="shared" si="6"/>
        <v>0</v>
      </c>
      <c r="R34" s="1961">
        <f t="shared" si="6"/>
        <v>0</v>
      </c>
      <c r="S34" s="1962"/>
      <c r="T34" s="1962"/>
      <c r="U34" s="1962"/>
      <c r="V34" s="1962"/>
      <c r="W34" s="1963"/>
      <c r="X34" s="1948"/>
    </row>
    <row r="35" spans="1:31" ht="15.75" thickBot="1">
      <c r="C35" s="1964"/>
      <c r="D35" s="1965"/>
      <c r="E35" s="1965"/>
      <c r="F35" s="1966"/>
      <c r="G35" s="1966"/>
      <c r="H35" s="1966"/>
      <c r="I35" s="1966"/>
      <c r="J35" s="1967"/>
      <c r="K35" s="1968"/>
      <c r="L35" s="1832"/>
      <c r="M35" s="1965"/>
      <c r="N35" s="1965"/>
      <c r="O35" s="1965"/>
      <c r="P35" s="1965"/>
      <c r="Q35" s="1965"/>
      <c r="R35" s="1965"/>
      <c r="S35" s="1969"/>
      <c r="T35" s="1969"/>
      <c r="U35" s="1969"/>
      <c r="V35" s="1969"/>
      <c r="W35" s="1970"/>
      <c r="X35" s="1948"/>
    </row>
    <row r="36" spans="1:31" s="1906" customFormat="1" ht="25.5" customHeight="1" thickBot="1">
      <c r="A36" s="1905"/>
      <c r="C36" s="1907" t="s">
        <v>1370</v>
      </c>
      <c r="D36" s="1908"/>
      <c r="E36" s="1908"/>
      <c r="F36" s="1908"/>
      <c r="G36" s="1908"/>
      <c r="H36" s="1908"/>
      <c r="I36" s="1908"/>
      <c r="J36" s="1908"/>
      <c r="K36" s="1908"/>
      <c r="L36" s="1908"/>
      <c r="M36" s="1908"/>
      <c r="N36" s="1908"/>
      <c r="O36" s="1908"/>
      <c r="P36" s="1908"/>
      <c r="Q36" s="1908"/>
      <c r="R36" s="1908"/>
      <c r="S36" s="1908"/>
      <c r="T36" s="1908"/>
      <c r="U36" s="1908"/>
      <c r="V36" s="1908"/>
      <c r="W36" s="1971"/>
      <c r="X36" s="1860"/>
      <c r="Y36" s="1832"/>
      <c r="Z36" s="1832"/>
      <c r="AA36" s="1832"/>
      <c r="AB36" s="1832"/>
      <c r="AC36" s="1832"/>
      <c r="AD36" s="1832"/>
      <c r="AE36" s="1832"/>
    </row>
    <row r="37" spans="1:31" s="1906" customFormat="1" ht="25.5" customHeight="1">
      <c r="A37" s="1905"/>
      <c r="C37" s="1972"/>
      <c r="D37" s="4409" t="s">
        <v>393</v>
      </c>
      <c r="E37" s="4410"/>
      <c r="F37" s="4411" t="s">
        <v>298</v>
      </c>
      <c r="G37" s="4412"/>
      <c r="H37" s="4412"/>
      <c r="I37" s="4412"/>
      <c r="J37" s="4413"/>
      <c r="K37" s="1973"/>
      <c r="L37" s="4414" t="s">
        <v>393</v>
      </c>
      <c r="M37" s="4415"/>
      <c r="N37" s="4416" t="s">
        <v>298</v>
      </c>
      <c r="O37" s="4417"/>
      <c r="P37" s="4417"/>
      <c r="Q37" s="4417"/>
      <c r="R37" s="4418"/>
      <c r="S37" s="1974"/>
      <c r="T37" s="1975"/>
      <c r="U37" s="1975"/>
      <c r="V37" s="1975"/>
      <c r="W37" s="1976"/>
      <c r="X37" s="1860"/>
      <c r="Y37" s="1832"/>
      <c r="Z37" s="1832"/>
      <c r="AA37" s="1832"/>
      <c r="AB37" s="1832"/>
      <c r="AC37" s="1832"/>
      <c r="AD37" s="1832"/>
      <c r="AE37" s="1832"/>
    </row>
    <row r="38" spans="1:31" s="1860" customFormat="1" ht="15.75" thickBot="1">
      <c r="A38" s="1859"/>
      <c r="C38" s="1972"/>
      <c r="D38" s="4430" t="s">
        <v>398</v>
      </c>
      <c r="E38" s="4431"/>
      <c r="F38" s="4432" t="s">
        <v>398</v>
      </c>
      <c r="G38" s="4433"/>
      <c r="H38" s="4433"/>
      <c r="I38" s="4433"/>
      <c r="J38" s="4434"/>
      <c r="K38" s="1977"/>
      <c r="L38" s="4435" t="str">
        <f>CONCATENATE("$m, real ", (CRCP_y5))</f>
        <v>$m, real 2017</v>
      </c>
      <c r="M38" s="4436"/>
      <c r="N38" s="4432" t="str">
        <f>CONCATENATE("$m, real ", dms_DollarReal)</f>
        <v>$m, real December 2017</v>
      </c>
      <c r="O38" s="4433"/>
      <c r="P38" s="4433"/>
      <c r="Q38" s="4433"/>
      <c r="R38" s="4434"/>
      <c r="S38" s="1978"/>
      <c r="T38" s="1979"/>
      <c r="U38" s="1979"/>
      <c r="V38" s="1979"/>
      <c r="W38" s="1980"/>
      <c r="Y38" s="1832"/>
      <c r="Z38" s="1832"/>
      <c r="AA38" s="1832"/>
      <c r="AB38" s="1832"/>
      <c r="AC38" s="1832"/>
      <c r="AD38" s="1832"/>
      <c r="AE38" s="1832"/>
    </row>
    <row r="39" spans="1:31" s="1860" customFormat="1" ht="15.75" thickBot="1">
      <c r="A39" s="1859"/>
      <c r="C39" s="1869"/>
      <c r="D39" s="1914">
        <f>PRCP_y4</f>
        <v>2011</v>
      </c>
      <c r="E39" s="1915">
        <f>PRCP_y5</f>
        <v>2012</v>
      </c>
      <c r="F39" s="1916">
        <f>CRCP_y1</f>
        <v>2013</v>
      </c>
      <c r="G39" s="1917">
        <f>CRCP_y2</f>
        <v>2014</v>
      </c>
      <c r="H39" s="1917">
        <f>CRCP_y3</f>
        <v>2015</v>
      </c>
      <c r="I39" s="1917">
        <f>CRCP_y4</f>
        <v>2016</v>
      </c>
      <c r="J39" s="1918">
        <f>CRCP_y5</f>
        <v>2017</v>
      </c>
      <c r="K39" s="1977"/>
      <c r="L39" s="1919">
        <f>PRCP_y4</f>
        <v>2011</v>
      </c>
      <c r="M39" s="1920">
        <f>PRCP_y5</f>
        <v>2012</v>
      </c>
      <c r="N39" s="1916">
        <f>CRCP_y1</f>
        <v>2013</v>
      </c>
      <c r="O39" s="1917">
        <f>CRCP_y2</f>
        <v>2014</v>
      </c>
      <c r="P39" s="1917">
        <f>CRCP_y3</f>
        <v>2015</v>
      </c>
      <c r="Q39" s="1917">
        <f>CRCP_y4</f>
        <v>2016</v>
      </c>
      <c r="R39" s="1918">
        <f>CRCP_y5</f>
        <v>2017</v>
      </c>
      <c r="S39" s="1978"/>
      <c r="T39" s="1979"/>
      <c r="U39" s="1979"/>
      <c r="V39" s="1979"/>
      <c r="W39" s="1980"/>
      <c r="Y39" s="1832"/>
      <c r="Z39" s="1832"/>
      <c r="AA39" s="1832"/>
      <c r="AB39" s="1832"/>
      <c r="AC39" s="1832"/>
      <c r="AD39" s="1832"/>
      <c r="AE39" s="1832"/>
    </row>
    <row r="40" spans="1:31">
      <c r="A40" s="1839" t="s">
        <v>399</v>
      </c>
      <c r="C40" s="1924" t="s">
        <v>400</v>
      </c>
      <c r="D40" s="1925">
        <v>43.210362338788997</v>
      </c>
      <c r="E40" s="1926">
        <v>52.224532489263801</v>
      </c>
      <c r="F40" s="1925">
        <v>54.561181277697003</v>
      </c>
      <c r="G40" s="1926">
        <v>50.067360712258903</v>
      </c>
      <c r="H40" s="1926">
        <v>51.603158401227603</v>
      </c>
      <c r="I40" s="1981">
        <v>52.28</v>
      </c>
      <c r="J40" s="1982"/>
      <c r="K40" s="1832"/>
      <c r="L40" s="1983">
        <f t="shared" ref="L40:M40" si="7">+D40/L$15*(1+L$14)^0.5</f>
        <v>48.590667266746998</v>
      </c>
      <c r="M40" s="1984">
        <f t="shared" si="7"/>
        <v>58.090444624633541</v>
      </c>
      <c r="N40" s="1983">
        <f>+F40/N$15*(1+N$14)^0.5</f>
        <v>59.224108697109934</v>
      </c>
      <c r="O40" s="1984">
        <f>+G40/O$15*(1+O$14)^0.5</f>
        <v>53.160731812802268</v>
      </c>
      <c r="P40" s="1984">
        <f>+H40/P$15*(1+P$14)^0.5</f>
        <v>53.873914965373721</v>
      </c>
      <c r="Q40" s="1985">
        <f>+I40/Q$15*(1+Q$14)^0.5</f>
        <v>53.724053361510244</v>
      </c>
      <c r="R40" s="1986"/>
      <c r="S40" s="1987"/>
      <c r="T40" s="1987"/>
      <c r="U40" s="1987"/>
      <c r="V40" s="1987"/>
      <c r="W40" s="1988"/>
    </row>
    <row r="41" spans="1:31">
      <c r="C41" s="1989" t="s">
        <v>401</v>
      </c>
      <c r="D41" s="1990"/>
      <c r="E41" s="1991"/>
      <c r="F41" s="1990"/>
      <c r="G41" s="1991"/>
      <c r="H41" s="1991"/>
      <c r="I41" s="1992"/>
      <c r="J41" s="1993"/>
      <c r="K41" s="1832"/>
      <c r="L41" s="1994"/>
      <c r="M41" s="1995"/>
      <c r="N41" s="1994"/>
      <c r="O41" s="1995"/>
      <c r="P41" s="1995"/>
      <c r="Q41" s="1996"/>
      <c r="R41" s="1997"/>
      <c r="S41" s="1987"/>
      <c r="T41" s="1987"/>
      <c r="U41" s="1987"/>
      <c r="V41" s="1987"/>
      <c r="W41" s="1988"/>
      <c r="X41" s="1933"/>
    </row>
    <row r="42" spans="1:31">
      <c r="A42" s="1839" t="s">
        <v>402</v>
      </c>
      <c r="C42" s="1941" t="s">
        <v>1373</v>
      </c>
      <c r="D42" s="1942">
        <v>0</v>
      </c>
      <c r="E42" s="1943">
        <v>0</v>
      </c>
      <c r="F42" s="1942">
        <v>0</v>
      </c>
      <c r="G42" s="1943">
        <v>0</v>
      </c>
      <c r="H42" s="1943">
        <v>0</v>
      </c>
      <c r="I42" s="1998">
        <v>0</v>
      </c>
      <c r="J42" s="1993"/>
      <c r="K42" s="1832"/>
      <c r="L42" s="1999">
        <f t="shared" ref="L42:Q48" si="8">-D42/L$15*(1+L$14)^0.5</f>
        <v>0</v>
      </c>
      <c r="M42" s="2000">
        <f t="shared" si="8"/>
        <v>0</v>
      </c>
      <c r="N42" s="1999">
        <f t="shared" si="8"/>
        <v>0</v>
      </c>
      <c r="O42" s="2000">
        <f t="shared" si="8"/>
        <v>0</v>
      </c>
      <c r="P42" s="2000">
        <f t="shared" si="8"/>
        <v>0</v>
      </c>
      <c r="Q42" s="2001">
        <f t="shared" si="8"/>
        <v>0</v>
      </c>
      <c r="R42" s="2002"/>
      <c r="S42" s="1987"/>
      <c r="T42" s="1987"/>
      <c r="U42" s="1987"/>
      <c r="V42" s="1987"/>
      <c r="W42" s="1988"/>
      <c r="X42" s="2003"/>
    </row>
    <row r="43" spans="1:31">
      <c r="A43" s="1839" t="s">
        <v>403</v>
      </c>
      <c r="C43" s="1941" t="s">
        <v>1376</v>
      </c>
      <c r="D43" s="1942">
        <v>0</v>
      </c>
      <c r="E43" s="1943">
        <v>0</v>
      </c>
      <c r="F43" s="1942">
        <v>0</v>
      </c>
      <c r="G43" s="1943">
        <v>0</v>
      </c>
      <c r="H43" s="1943">
        <v>0</v>
      </c>
      <c r="I43" s="1998">
        <v>0</v>
      </c>
      <c r="J43" s="1993"/>
      <c r="K43" s="1832"/>
      <c r="L43" s="1999">
        <f t="shared" si="8"/>
        <v>0</v>
      </c>
      <c r="M43" s="2000">
        <f t="shared" si="8"/>
        <v>0</v>
      </c>
      <c r="N43" s="1999">
        <f t="shared" si="8"/>
        <v>0</v>
      </c>
      <c r="O43" s="2000">
        <f t="shared" si="8"/>
        <v>0</v>
      </c>
      <c r="P43" s="2000">
        <f t="shared" si="8"/>
        <v>0</v>
      </c>
      <c r="Q43" s="2001">
        <f t="shared" si="8"/>
        <v>0</v>
      </c>
      <c r="R43" s="2002"/>
      <c r="S43" s="1987"/>
      <c r="T43" s="1987"/>
      <c r="U43" s="1987"/>
      <c r="V43" s="1987"/>
      <c r="W43" s="1988"/>
      <c r="X43" s="2004"/>
    </row>
    <row r="44" spans="1:31">
      <c r="C44" s="1941" t="str">
        <f>C28</f>
        <v>unaccounted for gas expenses (clause 6.4(b)(8)(c))</v>
      </c>
      <c r="D44" s="1942">
        <v>0</v>
      </c>
      <c r="E44" s="1943">
        <v>0</v>
      </c>
      <c r="F44" s="1942">
        <v>0</v>
      </c>
      <c r="G44" s="1943">
        <v>0</v>
      </c>
      <c r="H44" s="1943">
        <v>0</v>
      </c>
      <c r="I44" s="1998">
        <v>0</v>
      </c>
      <c r="J44" s="1993"/>
      <c r="K44" s="1832"/>
      <c r="L44" s="1999">
        <f t="shared" si="8"/>
        <v>0</v>
      </c>
      <c r="M44" s="2000">
        <f t="shared" si="8"/>
        <v>0</v>
      </c>
      <c r="N44" s="1999">
        <f t="shared" si="8"/>
        <v>0</v>
      </c>
      <c r="O44" s="2000">
        <f t="shared" si="8"/>
        <v>0</v>
      </c>
      <c r="P44" s="2000">
        <f t="shared" si="8"/>
        <v>0</v>
      </c>
      <c r="Q44" s="2001">
        <f t="shared" si="8"/>
        <v>0</v>
      </c>
      <c r="R44" s="2005"/>
      <c r="S44" s="1987"/>
      <c r="T44" s="1987"/>
      <c r="U44" s="1987"/>
      <c r="V44" s="1987"/>
      <c r="W44" s="1988"/>
      <c r="X44" s="2004"/>
    </row>
    <row r="45" spans="1:31">
      <c r="A45" s="1839" t="s">
        <v>404</v>
      </c>
      <c r="C45" s="1941" t="str">
        <f>C29</f>
        <v>licence fees (clause 6.4(b)(8)(d))</v>
      </c>
      <c r="D45" s="1942">
        <v>0</v>
      </c>
      <c r="E45" s="1943">
        <v>0</v>
      </c>
      <c r="F45" s="1942">
        <v>0</v>
      </c>
      <c r="G45" s="1943">
        <v>0</v>
      </c>
      <c r="H45" s="1943">
        <v>0</v>
      </c>
      <c r="I45" s="1998">
        <v>0</v>
      </c>
      <c r="J45" s="1993"/>
      <c r="K45" s="1832"/>
      <c r="L45" s="1999">
        <f t="shared" si="8"/>
        <v>0</v>
      </c>
      <c r="M45" s="2000">
        <f t="shared" si="8"/>
        <v>0</v>
      </c>
      <c r="N45" s="1999">
        <f t="shared" si="8"/>
        <v>0</v>
      </c>
      <c r="O45" s="2000">
        <f t="shared" si="8"/>
        <v>0</v>
      </c>
      <c r="P45" s="2000">
        <f t="shared" si="8"/>
        <v>0</v>
      </c>
      <c r="Q45" s="2001">
        <f t="shared" si="8"/>
        <v>0</v>
      </c>
      <c r="R45" s="2005"/>
      <c r="S45" s="1987"/>
      <c r="T45" s="1987"/>
      <c r="U45" s="1987"/>
      <c r="V45" s="1987"/>
      <c r="W45" s="1988"/>
      <c r="X45" s="2004"/>
    </row>
    <row r="46" spans="1:31">
      <c r="C46" s="1941" t="str">
        <f>C30</f>
        <v>debt raising costs (clause 6.4(b)(8)(e))</v>
      </c>
      <c r="D46" s="2006"/>
      <c r="E46" s="2007"/>
      <c r="F46" s="2006">
        <v>1.8240000000000001</v>
      </c>
      <c r="G46" s="2007">
        <v>1.712</v>
      </c>
      <c r="H46" s="2007">
        <v>1.12499651790342</v>
      </c>
      <c r="I46" s="2008">
        <v>1.12499651790342</v>
      </c>
      <c r="J46" s="1993"/>
      <c r="K46" s="1832"/>
      <c r="L46" s="2009">
        <f t="shared" si="8"/>
        <v>0</v>
      </c>
      <c r="M46" s="2010">
        <f t="shared" si="8"/>
        <v>0</v>
      </c>
      <c r="N46" s="2009">
        <f t="shared" si="8"/>
        <v>-1.9798833480844349</v>
      </c>
      <c r="O46" s="2010">
        <f t="shared" si="8"/>
        <v>-1.8177745255350271</v>
      </c>
      <c r="P46" s="2010">
        <f t="shared" si="8"/>
        <v>-1.174501108452086</v>
      </c>
      <c r="Q46" s="2011">
        <f t="shared" si="8"/>
        <v>-1.1560706380902173</v>
      </c>
      <c r="R46" s="2005"/>
      <c r="S46" s="1987"/>
      <c r="T46" s="1987"/>
      <c r="U46" s="1987"/>
      <c r="V46" s="1987"/>
      <c r="W46" s="1988"/>
      <c r="X46" s="2004"/>
    </row>
    <row r="47" spans="1:31">
      <c r="C47" s="1941" t="s">
        <v>1378</v>
      </c>
      <c r="D47" s="2006"/>
      <c r="E47" s="2007">
        <v>7.1</v>
      </c>
      <c r="F47" s="2006">
        <v>8.3355166300000008</v>
      </c>
      <c r="G47" s="2007">
        <v>-0.42707482000000002</v>
      </c>
      <c r="H47" s="2007">
        <v>0</v>
      </c>
      <c r="I47" s="2008">
        <v>0</v>
      </c>
      <c r="J47" s="1993"/>
      <c r="K47" s="1832"/>
      <c r="L47" s="2009">
        <f t="shared" si="8"/>
        <v>0</v>
      </c>
      <c r="M47" s="2010">
        <f t="shared" si="8"/>
        <v>-7.8974791573229881</v>
      </c>
      <c r="N47" s="2009">
        <f t="shared" si="8"/>
        <v>-9.0478895687598051</v>
      </c>
      <c r="O47" s="2010">
        <f t="shared" si="8"/>
        <v>0.45346128989103807</v>
      </c>
      <c r="P47" s="2010">
        <f t="shared" si="8"/>
        <v>0</v>
      </c>
      <c r="Q47" s="2011">
        <f t="shared" si="8"/>
        <v>0</v>
      </c>
      <c r="R47" s="2005"/>
      <c r="S47" s="1987"/>
      <c r="T47" s="1987"/>
      <c r="U47" s="1987"/>
      <c r="V47" s="1987"/>
      <c r="W47" s="1988"/>
      <c r="X47" s="2004"/>
    </row>
    <row r="48" spans="1:31" ht="26.25" thickBot="1">
      <c r="C48" s="2755" t="str">
        <f t="shared" ref="C48" si="9">C31</f>
        <v>any other activity that the Service Provider and the Regulator agree to exclude from the operation of the efficiency carryover mechanism (clause 6.4(b)(8)(g))</v>
      </c>
      <c r="D48" s="1951">
        <v>0</v>
      </c>
      <c r="E48" s="1952">
        <v>0</v>
      </c>
      <c r="F48" s="1951">
        <v>0</v>
      </c>
      <c r="G48" s="1952">
        <v>0</v>
      </c>
      <c r="H48" s="1952">
        <v>0</v>
      </c>
      <c r="I48" s="2012">
        <v>0</v>
      </c>
      <c r="J48" s="1993"/>
      <c r="K48" s="1832"/>
      <c r="L48" s="2009">
        <f t="shared" si="8"/>
        <v>0</v>
      </c>
      <c r="M48" s="2010">
        <f t="shared" si="8"/>
        <v>0</v>
      </c>
      <c r="N48" s="2009">
        <f t="shared" si="8"/>
        <v>0</v>
      </c>
      <c r="O48" s="2010">
        <f t="shared" si="8"/>
        <v>0</v>
      </c>
      <c r="P48" s="2010">
        <f t="shared" si="8"/>
        <v>0</v>
      </c>
      <c r="Q48" s="2011">
        <f t="shared" si="8"/>
        <v>0</v>
      </c>
      <c r="R48" s="2005"/>
      <c r="S48" s="1987"/>
      <c r="T48" s="1987"/>
      <c r="U48" s="1987"/>
      <c r="V48" s="1987"/>
      <c r="W48" s="1988"/>
      <c r="X48" s="2004"/>
    </row>
    <row r="49" spans="1:33" ht="15.75" thickBot="1">
      <c r="A49" s="1839" t="s">
        <v>405</v>
      </c>
      <c r="C49" s="1954" t="s">
        <v>1368</v>
      </c>
      <c r="D49" s="2013">
        <f t="shared" ref="D49:I49" si="10">+D40-SUM(D42:D48)</f>
        <v>43.210362338788997</v>
      </c>
      <c r="E49" s="2014">
        <f t="shared" si="10"/>
        <v>45.1245324892638</v>
      </c>
      <c r="F49" s="2015">
        <f t="shared" si="10"/>
        <v>44.401664647697004</v>
      </c>
      <c r="G49" s="2014">
        <f t="shared" si="10"/>
        <v>48.782435532258901</v>
      </c>
      <c r="H49" s="2014">
        <f t="shared" si="10"/>
        <v>50.478161883324184</v>
      </c>
      <c r="I49" s="2016">
        <f t="shared" si="10"/>
        <v>51.155003482096582</v>
      </c>
      <c r="J49" s="2017"/>
      <c r="K49" s="1832"/>
      <c r="L49" s="2018">
        <f t="shared" ref="L49:Q49" si="11">L40+SUM(L42:L48)</f>
        <v>48.590667266746998</v>
      </c>
      <c r="M49" s="2019">
        <f t="shared" si="11"/>
        <v>50.19296546731055</v>
      </c>
      <c r="N49" s="2018">
        <f t="shared" si="11"/>
        <v>48.196335780265692</v>
      </c>
      <c r="O49" s="2019">
        <f t="shared" si="11"/>
        <v>51.796418577158278</v>
      </c>
      <c r="P49" s="2019">
        <f t="shared" si="11"/>
        <v>52.699413856921637</v>
      </c>
      <c r="Q49" s="2020">
        <f t="shared" si="11"/>
        <v>52.567982723420023</v>
      </c>
      <c r="R49" s="2021">
        <f>+Q49+R34-Q34</f>
        <v>52.567982723420023</v>
      </c>
      <c r="S49" s="2022"/>
      <c r="T49" s="2022"/>
      <c r="U49" s="2022"/>
      <c r="V49" s="2022"/>
      <c r="W49" s="2023"/>
      <c r="X49" s="1933"/>
    </row>
    <row r="50" spans="1:33" ht="39.950000000000003" customHeight="1" thickBot="1">
      <c r="C50" s="1835"/>
      <c r="D50" s="1835"/>
      <c r="E50" s="2024"/>
      <c r="F50" s="1835"/>
      <c r="G50" s="1835"/>
      <c r="H50" s="1835"/>
      <c r="I50" s="1835"/>
      <c r="J50" s="1835"/>
      <c r="K50" s="1832"/>
      <c r="L50" s="1835"/>
      <c r="M50" s="1835"/>
      <c r="N50" s="1835"/>
      <c r="O50" s="1835"/>
      <c r="P50" s="1835"/>
      <c r="Q50" s="2025"/>
      <c r="R50" s="2026"/>
      <c r="S50" s="2027"/>
      <c r="T50" s="2027"/>
      <c r="U50" s="2027"/>
      <c r="V50" s="2027"/>
      <c r="W50" s="2027"/>
      <c r="X50" s="2027"/>
    </row>
    <row r="51" spans="1:33" s="1860" customFormat="1" ht="18.75" thickBot="1">
      <c r="A51" s="1859"/>
      <c r="C51" s="2028"/>
      <c r="D51" s="2028"/>
      <c r="E51" s="2028"/>
      <c r="F51" s="2028"/>
      <c r="G51" s="2028"/>
      <c r="H51" s="2028"/>
      <c r="I51" s="2028"/>
      <c r="J51" s="2029"/>
      <c r="L51" s="2030" t="str">
        <f>CONCATENATE("Incremental gain ($m, ",CRCP_y5,")")</f>
        <v>Incremental gain ($m, 2017)</v>
      </c>
      <c r="M51" s="2031"/>
      <c r="N51" s="2032"/>
      <c r="O51" s="2032"/>
      <c r="P51" s="2032"/>
      <c r="Q51" s="2032"/>
      <c r="R51" s="2032"/>
      <c r="S51" s="2032"/>
      <c r="T51" s="2032"/>
      <c r="U51" s="2032"/>
      <c r="V51" s="2032"/>
      <c r="W51" s="2033"/>
      <c r="X51" s="1845"/>
      <c r="Y51" s="1832"/>
      <c r="Z51" s="1832"/>
      <c r="AA51" s="1832"/>
      <c r="AB51" s="1832"/>
      <c r="AC51" s="1832"/>
      <c r="AD51" s="1832"/>
      <c r="AE51" s="1832"/>
    </row>
    <row r="52" spans="1:33" ht="15.75" thickBot="1">
      <c r="C52" s="1835"/>
      <c r="D52" s="1835"/>
      <c r="E52" s="1835"/>
      <c r="F52" s="1835"/>
      <c r="G52" s="1835"/>
      <c r="H52" s="1835"/>
      <c r="I52" s="1835"/>
      <c r="J52" s="1835"/>
      <c r="K52" s="1832"/>
      <c r="L52" s="2034"/>
      <c r="M52" s="2035"/>
      <c r="N52" s="2036">
        <f>(N34-N49)-(M34-M49)+(L34-L49)</f>
        <v>-46.594037579702139</v>
      </c>
      <c r="O52" s="2037">
        <f>(O34-O49)-(N34-N49)</f>
        <v>-3.6000827968925861</v>
      </c>
      <c r="P52" s="2037">
        <f>(P34-P49)-(O34-O49)</f>
        <v>-0.9029952797633598</v>
      </c>
      <c r="Q52" s="2037">
        <f>(Q34-Q49)-(P34-P49)</f>
        <v>0.13143113350161428</v>
      </c>
      <c r="R52" s="2038">
        <f>(R34-R49)-(Q34-Q49)</f>
        <v>0</v>
      </c>
      <c r="S52" s="2039"/>
      <c r="T52" s="2040"/>
      <c r="U52" s="2040"/>
      <c r="V52" s="2040"/>
      <c r="W52" s="2041"/>
      <c r="X52" s="1933"/>
    </row>
    <row r="53" spans="1:33" ht="39.950000000000003" customHeight="1" thickBot="1">
      <c r="F53" s="1835"/>
      <c r="G53" s="1835"/>
      <c r="H53" s="1835"/>
      <c r="I53" s="1835"/>
      <c r="J53" s="1835"/>
      <c r="K53" s="1832"/>
      <c r="L53" s="2042"/>
      <c r="M53" s="2042"/>
      <c r="N53" s="2043"/>
      <c r="O53" s="2042"/>
      <c r="P53" s="2042"/>
      <c r="Q53" s="2042"/>
      <c r="R53" s="2042"/>
      <c r="S53" s="2042"/>
      <c r="T53" s="2042"/>
      <c r="U53" s="2042"/>
      <c r="V53" s="2042"/>
      <c r="W53" s="2042"/>
      <c r="X53" s="1896"/>
    </row>
    <row r="54" spans="1:33" s="1860" customFormat="1" ht="18.75" thickBot="1">
      <c r="A54" s="1859"/>
      <c r="C54" s="2028"/>
      <c r="D54" s="2028"/>
      <c r="E54" s="2028"/>
      <c r="F54" s="2028"/>
      <c r="G54" s="2028"/>
      <c r="H54" s="2028"/>
      <c r="I54" s="2028"/>
      <c r="J54" s="2044"/>
      <c r="L54" s="2045" t="s">
        <v>406</v>
      </c>
      <c r="M54" s="2032"/>
      <c r="N54" s="4440" t="str">
        <f>CONCATENATE("$m, real ", CRCP_y5)</f>
        <v>$m, real 2017</v>
      </c>
      <c r="O54" s="4441"/>
      <c r="P54" s="4441"/>
      <c r="Q54" s="4441"/>
      <c r="R54" s="4441"/>
      <c r="S54" s="4441"/>
      <c r="T54" s="4441"/>
      <c r="U54" s="4441"/>
      <c r="V54" s="4441"/>
      <c r="W54" s="4442"/>
      <c r="X54" s="2046" t="s">
        <v>376</v>
      </c>
      <c r="Y54" s="2047"/>
      <c r="Z54" s="1832"/>
      <c r="AA54" s="1832"/>
      <c r="AB54" s="1832"/>
      <c r="AC54" s="1832"/>
      <c r="AD54" s="1832"/>
      <c r="AE54" s="1832"/>
      <c r="AF54" s="1832"/>
    </row>
    <row r="55" spans="1:33" ht="15.75" thickBot="1">
      <c r="C55" s="1835"/>
      <c r="D55" s="1835"/>
      <c r="E55" s="1835"/>
      <c r="F55" s="1835"/>
      <c r="G55" s="1835"/>
      <c r="H55" s="1835"/>
      <c r="I55" s="1835"/>
      <c r="J55" s="1835"/>
      <c r="K55" s="1832"/>
      <c r="L55" s="4443">
        <f>CRCP_y1</f>
        <v>2013</v>
      </c>
      <c r="M55" s="4444"/>
      <c r="N55" s="2048"/>
      <c r="O55" s="2049">
        <f>$N$52</f>
        <v>-46.594037579702139</v>
      </c>
      <c r="P55" s="1984">
        <f>$N$52</f>
        <v>-46.594037579702139</v>
      </c>
      <c r="Q55" s="2050">
        <f>$N$52</f>
        <v>-46.594037579702139</v>
      </c>
      <c r="R55" s="1984">
        <f>$N$52</f>
        <v>-46.594037579702139</v>
      </c>
      <c r="S55" s="2051">
        <f>$N$52</f>
        <v>-46.594037579702139</v>
      </c>
      <c r="T55" s="2052"/>
      <c r="U55" s="2052"/>
      <c r="V55" s="2052"/>
      <c r="W55" s="2053"/>
      <c r="X55" s="2054"/>
    </row>
    <row r="56" spans="1:33" ht="15.75" thickBot="1">
      <c r="C56" s="1835"/>
      <c r="D56" s="1835"/>
      <c r="E56" s="1835"/>
      <c r="F56" s="1835"/>
      <c r="G56" s="1835"/>
      <c r="H56" s="1835"/>
      <c r="I56" s="1835"/>
      <c r="J56" s="1835"/>
      <c r="K56" s="1832"/>
      <c r="L56" s="4445">
        <f>CRCP_y2</f>
        <v>2014</v>
      </c>
      <c r="M56" s="4446"/>
      <c r="N56" s="2055"/>
      <c r="O56" s="2056"/>
      <c r="P56" s="2057">
        <f>$O$52</f>
        <v>-3.6000827968925861</v>
      </c>
      <c r="Q56" s="2058">
        <f>$O$52</f>
        <v>-3.6000827968925861</v>
      </c>
      <c r="R56" s="2000">
        <f>$O$52</f>
        <v>-3.6000827968925861</v>
      </c>
      <c r="S56" s="2058">
        <f>$O$52</f>
        <v>-3.6000827968925861</v>
      </c>
      <c r="T56" s="2059">
        <f>$O$52</f>
        <v>-3.6000827968925861</v>
      </c>
      <c r="U56" s="2060"/>
      <c r="V56" s="2060"/>
      <c r="W56" s="2061"/>
      <c r="X56" s="2054"/>
    </row>
    <row r="57" spans="1:33" ht="15.75" thickBot="1">
      <c r="C57" s="1835"/>
      <c r="D57" s="1835"/>
      <c r="E57" s="1835"/>
      <c r="F57" s="1835"/>
      <c r="G57" s="1835"/>
      <c r="H57" s="1835"/>
      <c r="I57" s="1835"/>
      <c r="J57" s="1835"/>
      <c r="K57" s="1832"/>
      <c r="L57" s="4445">
        <f>CRCP_y3</f>
        <v>2015</v>
      </c>
      <c r="M57" s="4446"/>
      <c r="N57" s="2055"/>
      <c r="O57" s="2060"/>
      <c r="P57" s="2056"/>
      <c r="Q57" s="2062">
        <f>$P$52</f>
        <v>-0.9029952797633598</v>
      </c>
      <c r="R57" s="2000">
        <f>$P$52</f>
        <v>-0.9029952797633598</v>
      </c>
      <c r="S57" s="2058">
        <f>$P$52</f>
        <v>-0.9029952797633598</v>
      </c>
      <c r="T57" s="2000">
        <f>$P$52</f>
        <v>-0.9029952797633598</v>
      </c>
      <c r="U57" s="2051">
        <f>$P$52</f>
        <v>-0.9029952797633598</v>
      </c>
      <c r="V57" s="2060"/>
      <c r="W57" s="2061"/>
      <c r="X57" s="2054"/>
    </row>
    <row r="58" spans="1:33" ht="15.75" thickBot="1">
      <c r="C58" s="1835"/>
      <c r="D58" s="1835"/>
      <c r="E58" s="1835"/>
      <c r="F58" s="1835"/>
      <c r="G58" s="1835"/>
      <c r="H58" s="1835"/>
      <c r="I58" s="1835"/>
      <c r="J58" s="1835"/>
      <c r="K58" s="1832"/>
      <c r="L58" s="4445">
        <f>CRCP_y4</f>
        <v>2016</v>
      </c>
      <c r="M58" s="4446"/>
      <c r="N58" s="2055"/>
      <c r="O58" s="2060"/>
      <c r="P58" s="2060"/>
      <c r="Q58" s="2056"/>
      <c r="R58" s="2057">
        <f>$Q$52</f>
        <v>0.13143113350161428</v>
      </c>
      <c r="S58" s="2000">
        <f>$Q$52</f>
        <v>0.13143113350161428</v>
      </c>
      <c r="T58" s="2010">
        <f>$Q$52</f>
        <v>0.13143113350161428</v>
      </c>
      <c r="U58" s="2058">
        <f>$Q$52</f>
        <v>0.13143113350161428</v>
      </c>
      <c r="V58" s="2059">
        <f>$Q$52</f>
        <v>0.13143113350161428</v>
      </c>
      <c r="W58" s="2063"/>
      <c r="X58" s="2054"/>
    </row>
    <row r="59" spans="1:33" ht="15.75" thickBot="1">
      <c r="C59" s="2064"/>
      <c r="D59" s="2064"/>
      <c r="E59" s="2064"/>
      <c r="F59" s="2064"/>
      <c r="G59" s="2065"/>
      <c r="H59" s="2065"/>
      <c r="I59" s="2065"/>
      <c r="J59" s="2065"/>
      <c r="K59" s="1832"/>
      <c r="L59" s="4445">
        <f>CRCP_y5</f>
        <v>2017</v>
      </c>
      <c r="M59" s="4446"/>
      <c r="N59" s="2066"/>
      <c r="O59" s="2067"/>
      <c r="P59" s="2067"/>
      <c r="Q59" s="2067"/>
      <c r="R59" s="2068"/>
      <c r="S59" s="2062">
        <f>+$R$52</f>
        <v>0</v>
      </c>
      <c r="T59" s="2069">
        <f>+$R$52</f>
        <v>0</v>
      </c>
      <c r="U59" s="2070">
        <f>+$R$52</f>
        <v>0</v>
      </c>
      <c r="V59" s="2071">
        <f>+$R$52</f>
        <v>0</v>
      </c>
      <c r="W59" s="2072">
        <f>+$R$52</f>
        <v>0</v>
      </c>
      <c r="X59" s="2073"/>
    </row>
    <row r="60" spans="1:33" ht="15.75" customHeight="1" thickBot="1">
      <c r="C60" s="2064"/>
      <c r="D60" s="2064"/>
      <c r="E60" s="2064"/>
      <c r="F60" s="2064"/>
      <c r="G60" s="2065"/>
      <c r="H60" s="2065"/>
      <c r="I60" s="2065"/>
      <c r="J60" s="2065"/>
      <c r="K60" s="1832"/>
      <c r="L60" s="2074" t="s">
        <v>407</v>
      </c>
      <c r="M60" s="2075"/>
      <c r="N60" s="2075"/>
      <c r="O60" s="2076"/>
      <c r="P60" s="2076"/>
      <c r="Q60" s="2076"/>
      <c r="R60" s="2077"/>
      <c r="S60" s="2078">
        <f>+SUM(S55:S59)</f>
        <v>-50.965684522856471</v>
      </c>
      <c r="T60" s="2079">
        <f>+SUM(T55:T59)</f>
        <v>-4.3716469431543317</v>
      </c>
      <c r="U60" s="2080">
        <f>+SUM(U55:U59)</f>
        <v>-0.77156414626174552</v>
      </c>
      <c r="V60" s="2081">
        <f>+SUM(V55:V59)</f>
        <v>0.13143113350161428</v>
      </c>
      <c r="W60" s="2082">
        <f>+SUM(W55:W59)</f>
        <v>0</v>
      </c>
      <c r="X60" s="2083">
        <f>+SUM(S60:W60)</f>
        <v>-55.977464478770933</v>
      </c>
    </row>
    <row r="61" spans="1:33" ht="15.75" thickBot="1">
      <c r="C61" s="2064"/>
      <c r="D61" s="2064"/>
      <c r="E61" s="2064"/>
      <c r="F61" s="2064"/>
      <c r="G61" s="2065"/>
      <c r="H61" s="2065"/>
      <c r="I61" s="2065"/>
      <c r="J61" s="2065"/>
      <c r="K61" s="1832"/>
      <c r="L61" s="2084"/>
      <c r="M61" s="2084"/>
      <c r="N61" s="2084"/>
      <c r="O61" s="2084"/>
      <c r="P61" s="2084"/>
      <c r="Q61" s="2084"/>
      <c r="R61" s="2084"/>
      <c r="S61" s="2085"/>
      <c r="T61" s="2085"/>
      <c r="U61" s="2085"/>
      <c r="V61" s="2085"/>
      <c r="W61" s="2085"/>
      <c r="X61" s="2004"/>
    </row>
    <row r="62" spans="1:33" ht="15.75" thickBot="1">
      <c r="C62" s="2064"/>
      <c r="D62" s="2064"/>
      <c r="E62" s="2064"/>
      <c r="F62" s="2064"/>
      <c r="G62" s="2064"/>
      <c r="H62" s="2064"/>
      <c r="I62" s="2064"/>
      <c r="J62" s="2064"/>
      <c r="K62" s="1832"/>
      <c r="L62" s="2086" t="s">
        <v>408</v>
      </c>
      <c r="M62" s="2087"/>
      <c r="N62" s="2087"/>
      <c r="O62" s="2088"/>
      <c r="P62" s="2088"/>
      <c r="Q62" s="2088"/>
      <c r="R62" s="2089"/>
      <c r="S62" s="2090">
        <f>S60</f>
        <v>-50.965684522856471</v>
      </c>
      <c r="T62" s="2091">
        <f>T60</f>
        <v>-4.3716469431543317</v>
      </c>
      <c r="U62" s="2091">
        <f>U60</f>
        <v>-0.77156414626174552</v>
      </c>
      <c r="V62" s="2091">
        <f>V60</f>
        <v>0.13143113350161428</v>
      </c>
      <c r="W62" s="2091">
        <f>W60</f>
        <v>0</v>
      </c>
      <c r="X62" s="2092">
        <f>+SUM(S62:W62)</f>
        <v>-55.977464478770933</v>
      </c>
    </row>
    <row r="63" spans="1:33" ht="15.75" thickBot="1">
      <c r="C63" s="2093"/>
      <c r="D63" s="2093"/>
      <c r="E63" s="2093"/>
      <c r="F63" s="2093"/>
      <c r="G63" s="2093"/>
      <c r="H63" s="2093"/>
      <c r="I63" s="2093"/>
      <c r="J63" s="1832"/>
      <c r="K63" s="2094"/>
      <c r="L63" s="2094"/>
      <c r="M63" s="2094"/>
      <c r="N63" s="2094"/>
      <c r="O63" s="2094"/>
      <c r="P63" s="2095"/>
      <c r="Q63" s="2094"/>
      <c r="R63" s="2094"/>
      <c r="S63" s="2094"/>
      <c r="T63" s="2095"/>
      <c r="U63" s="2095"/>
      <c r="V63" s="2095"/>
      <c r="W63" s="2096"/>
      <c r="X63" s="1832"/>
      <c r="AG63" s="1843"/>
    </row>
    <row r="64" spans="1:33" s="2101" customFormat="1" ht="33" customHeight="1" thickBot="1">
      <c r="A64" s="2097"/>
      <c r="B64" s="2098"/>
      <c r="C64" s="1907" t="s">
        <v>1371</v>
      </c>
      <c r="D64" s="2753"/>
      <c r="E64" s="2753"/>
      <c r="F64" s="2753"/>
      <c r="G64" s="2753"/>
      <c r="H64" s="2753"/>
      <c r="I64" s="2754"/>
      <c r="J64" s="1832"/>
      <c r="K64" s="1851"/>
      <c r="L64" s="1851"/>
      <c r="M64" s="1851"/>
      <c r="N64" s="1851"/>
      <c r="O64" s="1851"/>
      <c r="P64" s="2099"/>
      <c r="Q64" s="2099" t="s">
        <v>381</v>
      </c>
      <c r="R64" s="2099"/>
      <c r="S64" s="2099"/>
      <c r="T64" s="2099"/>
      <c r="U64" s="2099"/>
      <c r="V64" s="2099"/>
      <c r="W64" s="2099"/>
      <c r="X64" s="1832"/>
      <c r="Y64" s="1832"/>
      <c r="Z64" s="1832"/>
      <c r="AA64" s="1832"/>
      <c r="AB64" s="1832"/>
      <c r="AC64" s="1832"/>
      <c r="AD64" s="1832"/>
      <c r="AE64" s="1832"/>
      <c r="AF64" s="1832"/>
      <c r="AG64" s="2100"/>
    </row>
    <row r="65" spans="1:33" s="1860" customFormat="1" ht="18" customHeight="1">
      <c r="A65" s="1839"/>
      <c r="B65" s="1839"/>
      <c r="C65" s="1910"/>
      <c r="D65" s="4447" t="s">
        <v>294</v>
      </c>
      <c r="E65" s="4448"/>
      <c r="F65" s="4448"/>
      <c r="G65" s="4448"/>
      <c r="H65" s="4449"/>
      <c r="I65" s="2102"/>
      <c r="J65" s="2103"/>
      <c r="K65" s="2104"/>
      <c r="L65" s="2104"/>
      <c r="M65" s="2103"/>
      <c r="N65" s="2103"/>
      <c r="O65" s="2103"/>
      <c r="P65" s="2105"/>
      <c r="Q65" s="2105"/>
      <c r="R65" s="2106"/>
      <c r="S65" s="2106"/>
      <c r="T65" s="2106"/>
      <c r="U65" s="2106"/>
      <c r="V65" s="2106"/>
      <c r="W65" s="2106"/>
      <c r="X65" s="1832"/>
      <c r="Y65" s="1832"/>
      <c r="Z65" s="1832"/>
      <c r="AA65" s="1832"/>
      <c r="AB65" s="1832"/>
      <c r="AC65" s="1832"/>
      <c r="AD65" s="1832"/>
    </row>
    <row r="66" spans="1:33" s="1860" customFormat="1" ht="18" customHeight="1" thickBot="1">
      <c r="A66" s="2107"/>
      <c r="B66" s="2107"/>
      <c r="C66" s="1910"/>
      <c r="D66" s="4437" t="str">
        <f>CONCATENATE("$m, real ", dms_DollarReal)</f>
        <v>$m, real December 2017</v>
      </c>
      <c r="E66" s="4438"/>
      <c r="F66" s="4438"/>
      <c r="G66" s="4438"/>
      <c r="H66" s="4439"/>
      <c r="I66" s="2108"/>
      <c r="J66" s="2109"/>
      <c r="K66" s="2103"/>
      <c r="L66" s="2103"/>
      <c r="M66" s="2109"/>
      <c r="N66" s="2109"/>
      <c r="O66" s="2109"/>
      <c r="P66" s="2105"/>
      <c r="Q66" s="2105"/>
      <c r="R66" s="2106"/>
      <c r="S66" s="2106"/>
      <c r="T66" s="2106"/>
      <c r="U66" s="2106"/>
      <c r="V66" s="2106"/>
      <c r="W66" s="2106"/>
      <c r="X66" s="1832"/>
      <c r="Y66" s="1832"/>
      <c r="Z66" s="1832"/>
      <c r="AA66" s="1832"/>
      <c r="AB66" s="1832"/>
      <c r="AC66" s="1832"/>
      <c r="AD66" s="1832"/>
    </row>
    <row r="67" spans="1:33" s="1860" customFormat="1" ht="15.75" thickBot="1">
      <c r="A67" s="1839"/>
      <c r="B67" s="1839"/>
      <c r="C67" s="1910"/>
      <c r="D67" s="2110" t="str">
        <f t="array" ref="D67:H67">FRCP</f>
        <v>2018</v>
      </c>
      <c r="E67" s="2111">
        <v>2019</v>
      </c>
      <c r="F67" s="2111">
        <v>2020</v>
      </c>
      <c r="G67" s="2111">
        <v>2021</v>
      </c>
      <c r="H67" s="2112">
        <v>2022</v>
      </c>
      <c r="I67" s="2108" t="s">
        <v>63</v>
      </c>
      <c r="J67" s="2109"/>
      <c r="K67" s="2103"/>
      <c r="L67" s="2103"/>
      <c r="M67" s="2109"/>
      <c r="N67" s="2109"/>
      <c r="O67" s="2109"/>
      <c r="P67" s="2105"/>
      <c r="Q67" s="2105"/>
      <c r="R67" s="2106"/>
      <c r="S67" s="2106"/>
      <c r="T67" s="2106"/>
      <c r="U67" s="2106"/>
      <c r="V67" s="2106"/>
      <c r="W67" s="2106"/>
      <c r="X67" s="1832"/>
      <c r="Y67" s="1832"/>
      <c r="Z67" s="1832"/>
      <c r="AA67" s="1832"/>
      <c r="AB67" s="1832"/>
      <c r="AC67" s="1832"/>
      <c r="AD67" s="1832"/>
    </row>
    <row r="68" spans="1:33">
      <c r="A68" s="1839" t="s">
        <v>409</v>
      </c>
      <c r="C68" s="2113" t="s">
        <v>712</v>
      </c>
      <c r="D68" s="2114">
        <v>58.360130894719006</v>
      </c>
      <c r="E68" s="2114">
        <v>59.55096095731168</v>
      </c>
      <c r="F68" s="2114">
        <v>60.83136074991414</v>
      </c>
      <c r="G68" s="2114">
        <v>62.584150934916337</v>
      </c>
      <c r="H68" s="2114">
        <v>63.398313865798578</v>
      </c>
      <c r="I68" s="2115">
        <f>+SUM(D68:H68)</f>
        <v>304.72491740265974</v>
      </c>
      <c r="J68" s="1832"/>
      <c r="K68" s="2116"/>
      <c r="L68" s="2116"/>
      <c r="M68" s="2094"/>
      <c r="N68" s="2094"/>
      <c r="O68" s="2094"/>
      <c r="P68" s="2116"/>
      <c r="Q68" s="2116"/>
      <c r="R68" s="2116"/>
      <c r="S68" s="2096"/>
      <c r="T68" s="2096"/>
      <c r="U68" s="2093"/>
      <c r="V68" s="2093"/>
      <c r="W68" s="2093"/>
      <c r="X68" s="1832"/>
      <c r="AG68" s="1843"/>
    </row>
    <row r="69" spans="1:33">
      <c r="C69" s="2117" t="s">
        <v>410</v>
      </c>
      <c r="D69" s="2118"/>
      <c r="E69" s="2118"/>
      <c r="F69" s="2118"/>
      <c r="G69" s="2118"/>
      <c r="H69" s="2118"/>
      <c r="I69" s="2119"/>
      <c r="J69" s="1832"/>
      <c r="K69" s="2120"/>
      <c r="L69" s="2120"/>
      <c r="M69" s="2094"/>
      <c r="N69" s="2094"/>
      <c r="O69" s="2094"/>
      <c r="P69" s="2120"/>
      <c r="Q69" s="2120"/>
      <c r="R69" s="2120"/>
      <c r="S69" s="2121"/>
      <c r="T69" s="2096"/>
      <c r="U69" s="2093"/>
      <c r="V69" s="2093"/>
      <c r="W69" s="2093"/>
      <c r="X69" s="1832"/>
      <c r="AG69" s="1843"/>
    </row>
    <row r="70" spans="1:33">
      <c r="A70" s="1839" t="s">
        <v>411</v>
      </c>
      <c r="C70" s="2122" t="s">
        <v>1338</v>
      </c>
      <c r="D70" s="2123">
        <v>0.79137777899509198</v>
      </c>
      <c r="E70" s="2123">
        <v>0.80464238552166101</v>
      </c>
      <c r="F70" s="2123">
        <v>0.82145940079680391</v>
      </c>
      <c r="G70" s="2123">
        <v>0.835610714480578</v>
      </c>
      <c r="H70" s="2123">
        <v>0.84496156165867498</v>
      </c>
      <c r="I70" s="2124">
        <f t="shared" ref="I70:I79" si="12">+SUM(D70:H70)</f>
        <v>4.0980518414528095</v>
      </c>
      <c r="J70" s="1832"/>
      <c r="K70" s="2094"/>
      <c r="L70" s="2094"/>
      <c r="M70" s="2094"/>
      <c r="N70" s="2094"/>
      <c r="O70" s="2094"/>
      <c r="P70" s="2094"/>
      <c r="Q70" s="2094"/>
      <c r="R70" s="2094"/>
      <c r="S70" s="2096"/>
      <c r="T70" s="2121"/>
      <c r="U70" s="2093"/>
      <c r="V70" s="2093"/>
      <c r="W70" s="2093"/>
      <c r="X70" s="1832"/>
      <c r="AG70" s="1843"/>
    </row>
    <row r="71" spans="1:33" hidden="1">
      <c r="A71" s="1839" t="s">
        <v>412</v>
      </c>
      <c r="C71" s="2125" t="s">
        <v>413</v>
      </c>
      <c r="D71" s="2123"/>
      <c r="E71" s="2123"/>
      <c r="F71" s="2123"/>
      <c r="G71" s="2123"/>
      <c r="H71" s="2123"/>
      <c r="I71" s="2124">
        <f t="shared" si="12"/>
        <v>0</v>
      </c>
      <c r="J71" s="1832"/>
      <c r="K71" s="2094"/>
      <c r="L71" s="2094"/>
      <c r="P71" s="2094"/>
      <c r="Q71" s="2094"/>
      <c r="R71" s="2094"/>
      <c r="S71" s="2096"/>
      <c r="T71" s="2096"/>
      <c r="U71" s="2093"/>
      <c r="V71" s="2093"/>
      <c r="W71" s="2093"/>
      <c r="X71" s="1832"/>
      <c r="AG71" s="1843"/>
    </row>
    <row r="72" spans="1:33" hidden="1">
      <c r="A72" s="1839" t="s">
        <v>414</v>
      </c>
      <c r="C72" s="2125" t="s">
        <v>413</v>
      </c>
      <c r="D72" s="2123"/>
      <c r="E72" s="2123"/>
      <c r="F72" s="2123"/>
      <c r="G72" s="2123"/>
      <c r="H72" s="2123"/>
      <c r="I72" s="2124">
        <f t="shared" si="12"/>
        <v>0</v>
      </c>
      <c r="J72" s="1832"/>
      <c r="K72" s="2094"/>
      <c r="L72" s="2094"/>
      <c r="P72" s="2094"/>
      <c r="Q72" s="2094"/>
      <c r="R72" s="2094"/>
      <c r="S72" s="2096"/>
      <c r="T72" s="2096"/>
      <c r="U72" s="2093"/>
      <c r="V72" s="2093"/>
      <c r="W72" s="2093"/>
      <c r="X72" s="1832"/>
      <c r="AG72" s="1843"/>
    </row>
    <row r="73" spans="1:33" hidden="1">
      <c r="A73" s="1839" t="s">
        <v>415</v>
      </c>
      <c r="C73" s="2125" t="s">
        <v>413</v>
      </c>
      <c r="D73" s="2123"/>
      <c r="E73" s="2123"/>
      <c r="F73" s="2123"/>
      <c r="G73" s="2123"/>
      <c r="H73" s="2123"/>
      <c r="I73" s="2124">
        <f t="shared" si="12"/>
        <v>0</v>
      </c>
      <c r="J73" s="1832"/>
      <c r="T73" s="2096"/>
      <c r="U73" s="2093"/>
      <c r="V73" s="2093"/>
      <c r="W73" s="2093"/>
      <c r="X73" s="1832"/>
      <c r="AG73" s="1843"/>
    </row>
    <row r="74" spans="1:33" hidden="1">
      <c r="A74" s="1839" t="s">
        <v>416</v>
      </c>
      <c r="C74" s="2125" t="s">
        <v>413</v>
      </c>
      <c r="D74" s="2123"/>
      <c r="E74" s="2123"/>
      <c r="F74" s="2123"/>
      <c r="G74" s="2123"/>
      <c r="H74" s="2123"/>
      <c r="I74" s="2124">
        <f t="shared" si="12"/>
        <v>0</v>
      </c>
      <c r="J74" s="1832"/>
      <c r="X74" s="1832"/>
      <c r="AG74" s="1843"/>
    </row>
    <row r="75" spans="1:33" hidden="1">
      <c r="A75" s="1839" t="s">
        <v>417</v>
      </c>
      <c r="C75" s="2125" t="s">
        <v>413</v>
      </c>
      <c r="D75" s="2123"/>
      <c r="E75" s="2123"/>
      <c r="F75" s="2123"/>
      <c r="G75" s="2123"/>
      <c r="H75" s="2123"/>
      <c r="I75" s="2124">
        <f t="shared" si="12"/>
        <v>0</v>
      </c>
      <c r="J75" s="1832"/>
      <c r="X75" s="1832"/>
      <c r="AG75" s="1843"/>
    </row>
    <row r="76" spans="1:33" hidden="1">
      <c r="A76" s="1839" t="s">
        <v>418</v>
      </c>
      <c r="C76" s="2125" t="s">
        <v>413</v>
      </c>
      <c r="D76" s="2123"/>
      <c r="E76" s="2123"/>
      <c r="F76" s="2123"/>
      <c r="G76" s="2123"/>
      <c r="H76" s="2123"/>
      <c r="I76" s="2124">
        <f t="shared" si="12"/>
        <v>0</v>
      </c>
      <c r="J76" s="1832"/>
      <c r="X76" s="1832"/>
      <c r="AG76" s="1843"/>
    </row>
    <row r="77" spans="1:33" hidden="1">
      <c r="A77" s="1839" t="s">
        <v>419</v>
      </c>
      <c r="C77" s="2125" t="s">
        <v>413</v>
      </c>
      <c r="D77" s="2123"/>
      <c r="E77" s="2123"/>
      <c r="F77" s="2123"/>
      <c r="G77" s="2123"/>
      <c r="H77" s="2123"/>
      <c r="I77" s="2124">
        <f t="shared" si="12"/>
        <v>0</v>
      </c>
      <c r="J77" s="1832"/>
      <c r="X77" s="1832"/>
      <c r="AG77" s="1843"/>
    </row>
    <row r="78" spans="1:33" hidden="1">
      <c r="A78" s="1839" t="s">
        <v>420</v>
      </c>
      <c r="C78" s="2125" t="s">
        <v>413</v>
      </c>
      <c r="D78" s="2123"/>
      <c r="E78" s="2123"/>
      <c r="F78" s="2123"/>
      <c r="G78" s="2123"/>
      <c r="H78" s="2123"/>
      <c r="I78" s="2124">
        <f t="shared" si="12"/>
        <v>0</v>
      </c>
      <c r="J78" s="1832"/>
      <c r="X78" s="1832"/>
      <c r="AG78" s="1843"/>
    </row>
    <row r="79" spans="1:33" ht="15.75" hidden="1" thickBot="1">
      <c r="A79" s="1839" t="s">
        <v>421</v>
      </c>
      <c r="C79" s="2126" t="s">
        <v>413</v>
      </c>
      <c r="D79" s="2123"/>
      <c r="E79" s="2123"/>
      <c r="F79" s="2123"/>
      <c r="G79" s="2123"/>
      <c r="H79" s="2123"/>
      <c r="I79" s="2124">
        <f t="shared" si="12"/>
        <v>0</v>
      </c>
      <c r="J79" s="1832"/>
      <c r="X79" s="1832"/>
      <c r="AG79" s="1843"/>
    </row>
    <row r="80" spans="1:33" ht="15.75" thickBot="1">
      <c r="A80" s="1839" t="s">
        <v>422</v>
      </c>
      <c r="C80" s="2127" t="s">
        <v>423</v>
      </c>
      <c r="D80" s="2128">
        <f t="shared" ref="D80:I80" si="13">+D68-SUM(D70:D79)</f>
        <v>57.568753115723915</v>
      </c>
      <c r="E80" s="2128">
        <f t="shared" si="13"/>
        <v>58.74631857179002</v>
      </c>
      <c r="F80" s="2128">
        <f t="shared" si="13"/>
        <v>60.009901349117335</v>
      </c>
      <c r="G80" s="2128">
        <f t="shared" si="13"/>
        <v>61.748540220435757</v>
      </c>
      <c r="H80" s="2128">
        <f t="shared" si="13"/>
        <v>62.553352304139899</v>
      </c>
      <c r="I80" s="2129">
        <f t="shared" si="13"/>
        <v>300.62686556120696</v>
      </c>
      <c r="J80" s="1832"/>
      <c r="X80" s="1832"/>
      <c r="AG80" s="1843"/>
    </row>
    <row r="81" spans="24:33">
      <c r="X81" s="1832"/>
      <c r="AG81" s="1843"/>
    </row>
  </sheetData>
  <mergeCells count="30">
    <mergeCell ref="D66:H66"/>
    <mergeCell ref="D38:E38"/>
    <mergeCell ref="F38:J38"/>
    <mergeCell ref="L38:M38"/>
    <mergeCell ref="N38:R38"/>
    <mergeCell ref="N54:W54"/>
    <mergeCell ref="L55:M55"/>
    <mergeCell ref="L56:M56"/>
    <mergeCell ref="L57:M57"/>
    <mergeCell ref="L58:M58"/>
    <mergeCell ref="L59:M59"/>
    <mergeCell ref="D65:H65"/>
    <mergeCell ref="S23:W23"/>
    <mergeCell ref="D24:E24"/>
    <mergeCell ref="F24:J24"/>
    <mergeCell ref="L24:M24"/>
    <mergeCell ref="N24:R24"/>
    <mergeCell ref="D37:E37"/>
    <mergeCell ref="F37:J37"/>
    <mergeCell ref="L37:M37"/>
    <mergeCell ref="N37:R37"/>
    <mergeCell ref="C8:L8"/>
    <mergeCell ref="D12:H12"/>
    <mergeCell ref="I12:J12"/>
    <mergeCell ref="L12:P12"/>
    <mergeCell ref="Q12:R12"/>
    <mergeCell ref="D23:E23"/>
    <mergeCell ref="F23:J23"/>
    <mergeCell ref="L23:M23"/>
    <mergeCell ref="N23:R23"/>
  </mergeCells>
  <dataValidations count="5">
    <dataValidation type="custom" allowBlank="1" showInputMessage="1" showErrorMessage="1" error="Must be a number" promptTitle="Excluded costs" prompt="Enter value in $million." sqref="D70:H79">
      <formula1>ISNUMBER(D70)</formula1>
    </dataValidation>
    <dataValidation type="textLength" operator="lessThanOrEqual" allowBlank="1" showInputMessage="1" showErrorMessage="1" prompt="Enter category proposed for exclusion." sqref="C71:C79">
      <formula1>150</formula1>
    </dataValidation>
    <dataValidation type="custom" allowBlank="1" showInputMessage="1" showErrorMessage="1" error="Must be a number" promptTitle="Actual opex" prompt="Enter value._x000a_As set out in the regulatory accounts for the current regulatory control period." sqref="F40:I40">
      <formula1>ISNUMBER(F40)</formula1>
    </dataValidation>
    <dataValidation type="custom" allowBlank="1" showInputMessage="1" showErrorMessage="1" error="Must be a number" promptTitle="Opex allowance" prompt="Enter value. _x000a__x000a_As set out in the approved PTRM for the current regulatory control period." sqref="F26:K26">
      <formula1>ISNUMBER(F26)</formula1>
    </dataValidation>
    <dataValidation type="custom" allowBlank="1" showInputMessage="1" showErrorMessage="1" error="Must be a number" prompt="Enter value" sqref="F28:K33">
      <formula1>ISNUMBER(F28)</formula1>
    </dataValidation>
  </dataValidations>
  <pageMargins left="0.7" right="0.7" top="0.75" bottom="0.75" header="0.3" footer="0.3"/>
  <pageSetup paperSize="8" scale="45" fitToWidth="0" orientation="landscape" r:id="rId1"/>
  <rowBreaks count="1" manualBreakCount="1">
    <brk id="49" min="2" max="26" man="1"/>
  </rowBreaks>
  <colBreaks count="1" manualBreakCount="1">
    <brk id="33" max="1048575" man="1"/>
  </colBreaks>
  <customProperties>
    <customPr name="_pios_id" r:id="rId2"/>
  </customPropertie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autoPageBreaks="0"/>
  </sheetPr>
  <dimension ref="A1:AE28"/>
  <sheetViews>
    <sheetView showGridLines="0" zoomScale="70" zoomScaleNormal="70" workbookViewId="0">
      <selection activeCell="L30" sqref="L30"/>
    </sheetView>
  </sheetViews>
  <sheetFormatPr defaultColWidth="9.140625" defaultRowHeight="12.75"/>
  <cols>
    <col min="1" max="1" width="16.28515625" style="112" bestFit="1" customWidth="1"/>
    <col min="2" max="2" width="55.85546875" style="112" customWidth="1"/>
    <col min="3" max="17" width="15.7109375" style="112" customWidth="1"/>
    <col min="18" max="20" width="8.7109375"/>
    <col min="21" max="28" width="15.7109375" style="187" customWidth="1"/>
    <col min="29" max="31" width="8.7109375" customWidth="1"/>
    <col min="32" max="16384" width="9.140625" style="112"/>
  </cols>
  <sheetData>
    <row r="1" spans="1:31" s="177" customFormat="1" ht="24.95" customHeight="1">
      <c r="B1" s="2522" t="str">
        <f>IF(dms_DataQuality="backcast",INDEX(dms_Worksheet_List,MATCH(dms_Model,dms_Model_List))&amp;" BACKCAST",INDEX(dms_Worksheet_List,MATCH(dms_Model,dms_Model_List)))</f>
        <v>REGULATORY REPORTING STATEMENT</v>
      </c>
      <c r="C1" s="491"/>
      <c r="D1" s="491"/>
      <c r="E1" s="491"/>
      <c r="F1" s="491"/>
      <c r="G1" s="491"/>
      <c r="H1" s="491"/>
      <c r="I1" s="491"/>
      <c r="J1" s="491"/>
      <c r="K1" s="491"/>
      <c r="L1" s="491"/>
      <c r="M1" s="491"/>
      <c r="N1" s="491"/>
      <c r="O1" s="491"/>
      <c r="P1" s="491"/>
      <c r="Q1" s="491"/>
      <c r="R1" s="491"/>
      <c r="S1" s="491"/>
      <c r="T1" s="491"/>
      <c r="U1" s="491"/>
      <c r="V1" s="491"/>
      <c r="W1" s="491"/>
      <c r="X1" s="491"/>
      <c r="Y1" s="491"/>
      <c r="Z1" s="491"/>
      <c r="AA1" s="491"/>
      <c r="AB1" s="491"/>
      <c r="AC1"/>
      <c r="AD1"/>
      <c r="AE1"/>
    </row>
    <row r="2" spans="1:31" s="177" customFormat="1" ht="24.95" customHeight="1">
      <c r="B2" s="2526" t="str">
        <f>INDEX(dms_TradingNameFull_List,MATCH(dms_TradingName,dms_TradingName_List))</f>
        <v>AusNet Gas Services</v>
      </c>
      <c r="C2" s="180"/>
      <c r="D2" s="180"/>
      <c r="E2" s="180"/>
      <c r="F2" s="180"/>
      <c r="G2" s="180"/>
      <c r="H2" s="180"/>
      <c r="I2" s="180"/>
      <c r="J2" s="180"/>
      <c r="K2" s="180"/>
      <c r="L2" s="180"/>
      <c r="M2" s="180"/>
      <c r="N2" s="180"/>
      <c r="O2" s="180"/>
      <c r="P2" s="180"/>
      <c r="Q2" s="180"/>
      <c r="R2" s="1173"/>
      <c r="S2" s="1173"/>
      <c r="T2" s="1173"/>
      <c r="U2" s="1173"/>
      <c r="V2" s="1173"/>
      <c r="W2" s="1173"/>
      <c r="X2" s="1173"/>
      <c r="Y2" s="1173"/>
      <c r="Z2" s="1173"/>
      <c r="AA2" s="1173"/>
      <c r="AB2" s="1173"/>
      <c r="AC2"/>
      <c r="AD2"/>
      <c r="AE2"/>
    </row>
    <row r="3" spans="1:31" s="177" customFormat="1" ht="24.95" customHeight="1">
      <c r="B3" s="2526" t="str">
        <f ca="1">IF(SUM(dms_SingleYear_Model)&gt;0,CRY,CONCATENATE(FRCP_y1," to ",dms_MultiYear_FinalYear_Result))</f>
        <v>2018 to 2022</v>
      </c>
      <c r="C3" s="181"/>
      <c r="D3" s="181"/>
      <c r="E3" s="181"/>
      <c r="F3" s="181"/>
      <c r="G3" s="181"/>
      <c r="H3" s="181"/>
      <c r="I3" s="181"/>
      <c r="J3" s="181"/>
      <c r="K3" s="181"/>
      <c r="L3" s="181"/>
      <c r="M3" s="181"/>
      <c r="N3" s="181"/>
      <c r="O3" s="181"/>
      <c r="P3" s="181"/>
      <c r="Q3" s="181"/>
      <c r="R3" s="1171"/>
      <c r="S3" s="1171"/>
      <c r="T3" s="1171"/>
      <c r="U3" s="1171"/>
      <c r="V3" s="1171"/>
      <c r="W3" s="1171"/>
      <c r="X3" s="1171"/>
      <c r="Y3" s="1171"/>
      <c r="Z3" s="1171"/>
      <c r="AA3" s="1171"/>
      <c r="AB3" s="1171"/>
      <c r="AC3"/>
      <c r="AD3"/>
      <c r="AE3"/>
    </row>
    <row r="4" spans="1:31" s="159" customFormat="1" ht="24" customHeight="1">
      <c r="B4" s="10" t="s">
        <v>363</v>
      </c>
      <c r="C4" s="12"/>
      <c r="D4" s="12"/>
      <c r="E4" s="12"/>
      <c r="F4" s="12"/>
      <c r="G4" s="12"/>
      <c r="H4" s="12"/>
      <c r="I4" s="12"/>
      <c r="J4" s="12"/>
      <c r="K4" s="12"/>
      <c r="L4" s="12"/>
      <c r="M4" s="12"/>
      <c r="N4" s="12"/>
      <c r="O4" s="12"/>
      <c r="P4" s="12"/>
      <c r="Q4" s="12"/>
      <c r="R4" s="12"/>
      <c r="S4" s="12"/>
      <c r="T4" s="12"/>
      <c r="U4" s="12"/>
      <c r="V4" s="12"/>
      <c r="W4" s="12"/>
      <c r="X4" s="12"/>
      <c r="Y4" s="12"/>
      <c r="Z4" s="12"/>
      <c r="AA4" s="12"/>
      <c r="AB4" s="12"/>
      <c r="AC4"/>
      <c r="AD4"/>
      <c r="AE4"/>
    </row>
    <row r="5" spans="1:31" customFormat="1"/>
    <row r="6" spans="1:31" customFormat="1"/>
    <row r="7" spans="1:31">
      <c r="A7" s="832"/>
      <c r="B7" s="116" t="s">
        <v>59</v>
      </c>
      <c r="C7" s="113"/>
      <c r="D7" s="119"/>
      <c r="E7" s="832"/>
      <c r="F7" s="832"/>
      <c r="G7" s="832"/>
      <c r="H7" s="832"/>
      <c r="I7" s="832"/>
      <c r="J7" s="832"/>
      <c r="K7" s="832"/>
      <c r="L7" s="832"/>
      <c r="M7" s="832"/>
      <c r="N7" s="832"/>
      <c r="O7" s="832"/>
      <c r="P7" s="832"/>
      <c r="Q7" s="832"/>
      <c r="U7"/>
      <c r="V7"/>
      <c r="W7" s="832"/>
      <c r="X7" s="832"/>
      <c r="Y7" s="832"/>
      <c r="Z7" s="832"/>
      <c r="AA7" s="832"/>
      <c r="AB7" s="832"/>
    </row>
    <row r="8" spans="1:31" s="829" customFormat="1" ht="36" customHeight="1">
      <c r="A8" s="833"/>
      <c r="B8" s="4450" t="s">
        <v>253</v>
      </c>
      <c r="C8" s="4091"/>
      <c r="D8" s="4091"/>
      <c r="E8" s="833"/>
      <c r="F8" s="833"/>
      <c r="G8" s="833"/>
      <c r="H8" s="833"/>
      <c r="I8" s="833"/>
      <c r="J8" s="833"/>
      <c r="K8" s="833"/>
      <c r="L8" s="833"/>
      <c r="M8" s="833"/>
      <c r="N8" s="833"/>
      <c r="O8" s="833"/>
      <c r="P8" s="833"/>
      <c r="Q8" s="833"/>
      <c r="R8"/>
      <c r="S8"/>
      <c r="T8"/>
      <c r="U8"/>
      <c r="V8"/>
      <c r="W8" s="833"/>
      <c r="X8" s="833"/>
      <c r="Y8" s="833"/>
      <c r="Z8" s="833"/>
      <c r="AA8" s="833"/>
      <c r="AB8" s="833"/>
      <c r="AC8"/>
      <c r="AD8"/>
      <c r="AE8"/>
    </row>
    <row r="9" spans="1:31" ht="38.25" customHeight="1">
      <c r="A9" s="832"/>
      <c r="C9" s="832"/>
      <c r="D9" s="832"/>
      <c r="E9" s="832"/>
      <c r="F9" s="832"/>
      <c r="G9" s="832"/>
      <c r="H9" s="832"/>
      <c r="I9" s="832"/>
      <c r="J9" s="832"/>
      <c r="K9" s="832"/>
      <c r="L9" s="832"/>
      <c r="M9" s="832"/>
      <c r="N9" s="832"/>
      <c r="O9" s="832"/>
      <c r="P9" s="832"/>
      <c r="Q9" s="832"/>
      <c r="U9" s="832"/>
      <c r="V9" s="832"/>
      <c r="W9" s="832"/>
      <c r="X9" s="832"/>
      <c r="Y9" s="832"/>
      <c r="Z9" s="832"/>
      <c r="AA9" s="832"/>
      <c r="AB9" s="832"/>
    </row>
    <row r="10" spans="1:31" ht="20.25" customHeight="1" thickBot="1">
      <c r="A10" s="832"/>
      <c r="C10" s="832"/>
      <c r="D10" s="832"/>
      <c r="E10" s="832"/>
      <c r="F10" s="832"/>
      <c r="G10" s="832"/>
      <c r="H10" s="832"/>
      <c r="I10" s="832"/>
      <c r="J10" s="832"/>
      <c r="K10" s="832"/>
      <c r="L10" s="832"/>
      <c r="M10" s="832"/>
      <c r="N10" s="832"/>
      <c r="O10" s="832"/>
      <c r="P10" s="832"/>
      <c r="Q10" s="832"/>
      <c r="U10" s="832"/>
      <c r="V10" s="832"/>
      <c r="W10" s="832"/>
      <c r="X10" s="832"/>
      <c r="Y10" s="832"/>
      <c r="Z10" s="832"/>
      <c r="AA10" s="832"/>
      <c r="AB10" s="832"/>
    </row>
    <row r="11" spans="1:31" s="69" customFormat="1" ht="26.25" customHeight="1" thickBot="1">
      <c r="A11" s="361"/>
      <c r="B11" s="815" t="s">
        <v>520</v>
      </c>
      <c r="C11" s="830"/>
      <c r="D11" s="830"/>
      <c r="E11" s="830"/>
      <c r="F11" s="830"/>
      <c r="G11" s="830"/>
      <c r="H11" s="830"/>
      <c r="I11" s="830"/>
      <c r="J11" s="830"/>
      <c r="K11" s="830"/>
      <c r="L11" s="830"/>
      <c r="M11" s="830"/>
      <c r="N11" s="830"/>
      <c r="O11" s="830"/>
      <c r="P11" s="830"/>
      <c r="Q11" s="831"/>
      <c r="R11"/>
      <c r="S11"/>
      <c r="T11"/>
      <c r="U11" s="735" t="s">
        <v>642</v>
      </c>
      <c r="V11" s="830"/>
      <c r="W11" s="830"/>
      <c r="X11" s="830"/>
      <c r="Y11" s="830"/>
      <c r="Z11" s="830"/>
      <c r="AA11" s="830"/>
      <c r="AB11" s="831"/>
      <c r="AC11"/>
      <c r="AD11"/>
      <c r="AE11"/>
    </row>
    <row r="12" spans="1:31" s="72" customFormat="1" ht="16.5" customHeight="1">
      <c r="A12" s="702"/>
      <c r="B12" s="4362"/>
      <c r="C12" s="4098" t="s">
        <v>36</v>
      </c>
      <c r="D12" s="3997"/>
      <c r="E12" s="3997"/>
      <c r="F12" s="3997"/>
      <c r="G12" s="3997"/>
      <c r="H12" s="4074" t="s">
        <v>37</v>
      </c>
      <c r="I12" s="4075"/>
      <c r="J12" s="4075"/>
      <c r="K12" s="4075"/>
      <c r="L12" s="4075"/>
      <c r="M12" s="3960" t="s">
        <v>73</v>
      </c>
      <c r="N12" s="3960"/>
      <c r="O12" s="3960"/>
      <c r="P12" s="3960"/>
      <c r="Q12" s="4099"/>
      <c r="R12"/>
      <c r="S12"/>
      <c r="T12"/>
      <c r="U12" s="4073" t="s">
        <v>36</v>
      </c>
      <c r="V12" s="3997"/>
      <c r="W12" s="3997"/>
      <c r="X12" s="3997"/>
      <c r="Y12" s="3997"/>
      <c r="Z12" s="4074" t="s">
        <v>37</v>
      </c>
      <c r="AA12" s="4075"/>
      <c r="AB12" s="4082"/>
      <c r="AC12"/>
      <c r="AD12"/>
      <c r="AE12"/>
    </row>
    <row r="13" spans="1:31" s="69" customFormat="1" ht="15" customHeight="1">
      <c r="A13" s="314"/>
      <c r="B13" s="4207"/>
      <c r="C13" s="3985" t="s">
        <v>543</v>
      </c>
      <c r="D13" s="3986"/>
      <c r="E13" s="3986"/>
      <c r="F13" s="3986"/>
      <c r="G13" s="3986"/>
      <c r="H13" s="3986"/>
      <c r="I13" s="3986"/>
      <c r="J13" s="3987"/>
      <c r="K13" s="3988" t="str">
        <f>CONCATENATE("$0's, real ",dms_DollarReal)</f>
        <v>$0's, real December 2017</v>
      </c>
      <c r="L13" s="3989"/>
      <c r="M13" s="3989"/>
      <c r="N13" s="3989"/>
      <c r="O13" s="3989"/>
      <c r="P13" s="3989"/>
      <c r="Q13" s="3990"/>
      <c r="R13"/>
      <c r="S13"/>
      <c r="T13"/>
      <c r="U13" s="3985" t="str">
        <f>CONCATENATE("$0's, real ",dms_DollarReal)</f>
        <v>$0's, real December 2017</v>
      </c>
      <c r="V13" s="3986"/>
      <c r="W13" s="3986"/>
      <c r="X13" s="3986"/>
      <c r="Y13" s="3986"/>
      <c r="Z13" s="3986"/>
      <c r="AA13" s="3986"/>
      <c r="AB13" s="4030"/>
      <c r="AC13"/>
      <c r="AD13"/>
      <c r="AE13"/>
    </row>
    <row r="14" spans="1:31" s="72" customFormat="1" ht="16.5" customHeight="1">
      <c r="A14" s="702"/>
      <c r="B14" s="4207"/>
      <c r="C14" s="3985" t="s">
        <v>54</v>
      </c>
      <c r="D14" s="3986"/>
      <c r="E14" s="3986"/>
      <c r="F14" s="3986"/>
      <c r="G14" s="3986"/>
      <c r="H14" s="3986"/>
      <c r="I14" s="3986"/>
      <c r="J14" s="3987"/>
      <c r="K14" s="3988" t="s">
        <v>55</v>
      </c>
      <c r="L14" s="3989"/>
      <c r="M14" s="3989"/>
      <c r="N14" s="3989"/>
      <c r="O14" s="3989"/>
      <c r="P14" s="3989"/>
      <c r="Q14" s="3990"/>
      <c r="R14"/>
      <c r="S14"/>
      <c r="T14"/>
      <c r="U14" s="3985" t="s">
        <v>54</v>
      </c>
      <c r="V14" s="3986"/>
      <c r="W14" s="3986"/>
      <c r="X14" s="3986"/>
      <c r="Y14" s="3986"/>
      <c r="Z14" s="3986"/>
      <c r="AA14" s="3986"/>
      <c r="AB14" s="4030"/>
      <c r="AC14"/>
      <c r="AD14"/>
      <c r="AE14"/>
    </row>
    <row r="15" spans="1:31" s="69" customFormat="1" ht="12.75" customHeight="1" thickBot="1">
      <c r="A15" s="361"/>
      <c r="B15" s="4363"/>
      <c r="C15" s="343">
        <f t="array" ref="C15:G15">PRCP</f>
        <v>2008</v>
      </c>
      <c r="D15" s="342">
        <v>2009</v>
      </c>
      <c r="E15" s="342">
        <v>2010</v>
      </c>
      <c r="F15" s="342">
        <v>2011</v>
      </c>
      <c r="G15" s="342">
        <v>2012</v>
      </c>
      <c r="H15" s="344">
        <f>CRCP_y1</f>
        <v>2013</v>
      </c>
      <c r="I15" s="344">
        <f>CRCP_y2</f>
        <v>2014</v>
      </c>
      <c r="J15" s="344">
        <f>CRCP_y3</f>
        <v>2015</v>
      </c>
      <c r="K15" s="344">
        <f>CRCP_y4</f>
        <v>2016</v>
      </c>
      <c r="L15" s="344">
        <f>CRCP_y5</f>
        <v>2017</v>
      </c>
      <c r="M15" s="342" t="str">
        <f t="array" ref="M15:Q15">FRCP</f>
        <v>2018</v>
      </c>
      <c r="N15" s="342">
        <v>2019</v>
      </c>
      <c r="O15" s="342">
        <v>2020</v>
      </c>
      <c r="P15" s="342">
        <v>2021</v>
      </c>
      <c r="Q15" s="443">
        <v>2022</v>
      </c>
      <c r="R15"/>
      <c r="S15"/>
      <c r="T15"/>
      <c r="U15" s="1438">
        <f t="array" ref="U15:Y15">PRCP</f>
        <v>2008</v>
      </c>
      <c r="V15" s="342">
        <v>2009</v>
      </c>
      <c r="W15" s="342">
        <v>2010</v>
      </c>
      <c r="X15" s="342">
        <v>2011</v>
      </c>
      <c r="Y15" s="342">
        <v>2012</v>
      </c>
      <c r="Z15" s="344">
        <f>CRCP_y1</f>
        <v>2013</v>
      </c>
      <c r="AA15" s="344">
        <f>CRCP_y2</f>
        <v>2014</v>
      </c>
      <c r="AB15" s="542">
        <f>CRCP_y3</f>
        <v>2015</v>
      </c>
      <c r="AC15"/>
      <c r="AD15"/>
      <c r="AE15"/>
    </row>
    <row r="16" spans="1:31" ht="15.75" thickBot="1">
      <c r="A16" s="832"/>
      <c r="B16" s="737" t="s">
        <v>521</v>
      </c>
      <c r="C16" s="738"/>
      <c r="D16" s="738"/>
      <c r="E16" s="738"/>
      <c r="F16" s="738"/>
      <c r="G16" s="738"/>
      <c r="H16" s="738"/>
      <c r="I16" s="738"/>
      <c r="J16" s="738"/>
      <c r="K16" s="738"/>
      <c r="L16" s="738"/>
      <c r="M16" s="738"/>
      <c r="N16" s="738"/>
      <c r="O16" s="738"/>
      <c r="P16" s="738"/>
      <c r="Q16" s="739"/>
      <c r="U16" s="737"/>
      <c r="V16" s="738"/>
      <c r="W16" s="738"/>
      <c r="X16" s="738"/>
      <c r="Y16" s="738"/>
      <c r="Z16" s="738"/>
      <c r="AA16" s="738"/>
      <c r="AB16" s="739"/>
    </row>
    <row r="17" spans="1:31">
      <c r="A17" s="832"/>
      <c r="B17" s="1250" t="s">
        <v>629</v>
      </c>
      <c r="C17" s="3384">
        <v>1464266.2666536667</v>
      </c>
      <c r="D17" s="3385">
        <v>1680601.4385807146</v>
      </c>
      <c r="E17" s="3385">
        <v>1872982.864328732</v>
      </c>
      <c r="F17" s="3385">
        <v>2060917.8346107304</v>
      </c>
      <c r="G17" s="3386">
        <v>1107116.5016501506</v>
      </c>
      <c r="H17" s="3384">
        <v>1979923.6939339594</v>
      </c>
      <c r="I17" s="3385">
        <v>2248370.8276040144</v>
      </c>
      <c r="J17" s="3385">
        <v>2787672.2399999998</v>
      </c>
      <c r="K17" s="3385">
        <v>6948628.920066962</v>
      </c>
      <c r="L17" s="3387">
        <v>9092203.3572940864</v>
      </c>
      <c r="M17" s="3388">
        <v>8427977.870539492</v>
      </c>
      <c r="N17" s="3385">
        <v>9698325.8180515505</v>
      </c>
      <c r="O17" s="3385">
        <v>9391799.4879207015</v>
      </c>
      <c r="P17" s="3385">
        <v>7172330.4124843571</v>
      </c>
      <c r="Q17" s="3387">
        <v>6455986.1704160655</v>
      </c>
      <c r="U17" s="1812"/>
      <c r="V17" s="1801"/>
      <c r="W17" s="1801"/>
      <c r="X17" s="1801"/>
      <c r="Y17" s="1802"/>
      <c r="Z17" s="1812"/>
      <c r="AA17" s="1801"/>
      <c r="AB17" s="1803"/>
    </row>
    <row r="18" spans="1:31">
      <c r="A18" s="832"/>
      <c r="B18" s="1250" t="s">
        <v>601</v>
      </c>
      <c r="C18" s="3389">
        <v>42402502.68363481</v>
      </c>
      <c r="D18" s="3390">
        <v>48667177.980133265</v>
      </c>
      <c r="E18" s="3390">
        <v>54238196.112104774</v>
      </c>
      <c r="F18" s="3390">
        <v>59680452.936024413</v>
      </c>
      <c r="G18" s="3391">
        <v>32060091.461097881</v>
      </c>
      <c r="H18" s="3389">
        <v>60549607.699061729</v>
      </c>
      <c r="I18" s="3390">
        <v>70185441.667425007</v>
      </c>
      <c r="J18" s="3390">
        <v>71678554.930000022</v>
      </c>
      <c r="K18" s="3390">
        <v>53143977.834930025</v>
      </c>
      <c r="L18" s="3392">
        <v>63906449.616436251</v>
      </c>
      <c r="M18" s="3393">
        <v>68648303.066694185</v>
      </c>
      <c r="N18" s="3390">
        <v>64868230.852686048</v>
      </c>
      <c r="O18" s="3390">
        <v>64810560.768746644</v>
      </c>
      <c r="P18" s="3390">
        <v>61014505.168349706</v>
      </c>
      <c r="Q18" s="3392">
        <v>60983185.79441978</v>
      </c>
      <c r="U18" s="1804"/>
      <c r="V18" s="1805"/>
      <c r="W18" s="1805"/>
      <c r="X18" s="1805"/>
      <c r="Y18" s="1806"/>
      <c r="Z18" s="1804"/>
      <c r="AA18" s="1805"/>
      <c r="AB18" s="1807"/>
    </row>
    <row r="19" spans="1:31" ht="13.5" thickBot="1">
      <c r="A19" s="832"/>
      <c r="B19" s="1250" t="s">
        <v>602</v>
      </c>
      <c r="C19" s="3389">
        <v>19168115.56223657</v>
      </c>
      <c r="D19" s="3390">
        <v>16639137.319436086</v>
      </c>
      <c r="E19" s="3390">
        <v>12549016.613071784</v>
      </c>
      <c r="F19" s="3390">
        <v>17638125.867026936</v>
      </c>
      <c r="G19" s="3391">
        <v>56175147.972658277</v>
      </c>
      <c r="H19" s="3389">
        <v>21560620.065915383</v>
      </c>
      <c r="I19" s="3390">
        <v>18634202.456318554</v>
      </c>
      <c r="J19" s="3390">
        <v>15131117.213328544</v>
      </c>
      <c r="K19" s="3390">
        <v>25065218.221833386</v>
      </c>
      <c r="L19" s="3392">
        <v>29616700.665011059</v>
      </c>
      <c r="M19" s="3393">
        <v>33225139.306459948</v>
      </c>
      <c r="N19" s="3390">
        <v>32234656.04598093</v>
      </c>
      <c r="O19" s="3390">
        <v>29988030.775989696</v>
      </c>
      <c r="P19" s="3390">
        <v>29735912.91820579</v>
      </c>
      <c r="Q19" s="3392">
        <v>26421217.980867635</v>
      </c>
      <c r="U19" s="1804"/>
      <c r="V19" s="1805"/>
      <c r="W19" s="1805"/>
      <c r="X19" s="1805"/>
      <c r="Y19" s="1806"/>
      <c r="Z19" s="1804"/>
      <c r="AA19" s="1805"/>
      <c r="AB19" s="1807"/>
    </row>
    <row r="20" spans="1:31" ht="15.75" thickBot="1">
      <c r="A20" s="832"/>
      <c r="B20" s="737" t="s">
        <v>522</v>
      </c>
      <c r="C20" s="3394"/>
      <c r="D20" s="3395"/>
      <c r="E20" s="3395"/>
      <c r="F20" s="3395"/>
      <c r="G20" s="3395"/>
      <c r="H20" s="3394"/>
      <c r="I20" s="3395"/>
      <c r="J20" s="3395"/>
      <c r="K20" s="3395"/>
      <c r="L20" s="3396"/>
      <c r="M20" s="3395"/>
      <c r="N20" s="3395"/>
      <c r="O20" s="3395"/>
      <c r="P20" s="3395"/>
      <c r="Q20" s="3396"/>
      <c r="U20" s="737"/>
      <c r="V20" s="738"/>
      <c r="W20" s="738"/>
      <c r="X20" s="738"/>
      <c r="Y20" s="738"/>
      <c r="Z20" s="737"/>
      <c r="AA20" s="738"/>
      <c r="AB20" s="739"/>
    </row>
    <row r="21" spans="1:31">
      <c r="A21" s="832"/>
      <c r="B21" s="1352" t="s">
        <v>629</v>
      </c>
      <c r="C21" s="3389">
        <v>9930067.5047366079</v>
      </c>
      <c r="D21" s="3390">
        <v>11270643.896364292</v>
      </c>
      <c r="E21" s="3390">
        <v>11031926.158206193</v>
      </c>
      <c r="F21" s="3390">
        <v>11771910.363694353</v>
      </c>
      <c r="G21" s="3391">
        <v>12333458.839237565</v>
      </c>
      <c r="H21" s="3389">
        <v>15620660.235782191</v>
      </c>
      <c r="I21" s="3390">
        <v>12265974.698013645</v>
      </c>
      <c r="J21" s="3390">
        <v>16860165.063159019</v>
      </c>
      <c r="K21" s="3390">
        <v>17235928.684770651</v>
      </c>
      <c r="L21" s="3392">
        <v>17455002.936899625</v>
      </c>
      <c r="M21" s="3393">
        <v>19067853.024459846</v>
      </c>
      <c r="N21" s="3390">
        <v>19456929.81819747</v>
      </c>
      <c r="O21" s="3390">
        <v>19875271.495702203</v>
      </c>
      <c r="P21" s="3390">
        <v>20447956.051373105</v>
      </c>
      <c r="Q21" s="3392">
        <v>20713965.377706379</v>
      </c>
      <c r="U21" s="1804"/>
      <c r="V21" s="1805"/>
      <c r="W21" s="1805"/>
      <c r="X21" s="1805"/>
      <c r="Y21" s="1806"/>
      <c r="Z21" s="1804"/>
      <c r="AA21" s="1805"/>
      <c r="AB21" s="1807"/>
    </row>
    <row r="22" spans="1:31">
      <c r="A22" s="832"/>
      <c r="B22" s="1250" t="s">
        <v>601</v>
      </c>
      <c r="C22" s="3389">
        <v>18420456.418281902</v>
      </c>
      <c r="D22" s="3390">
        <v>20907250.086660933</v>
      </c>
      <c r="E22" s="3390">
        <v>20464424.326421678</v>
      </c>
      <c r="F22" s="3390">
        <v>21837108.530321576</v>
      </c>
      <c r="G22" s="3391">
        <v>22878791.199201956</v>
      </c>
      <c r="H22" s="3389">
        <v>27372898.993693493</v>
      </c>
      <c r="I22" s="3390">
        <v>29807032.757186405</v>
      </c>
      <c r="J22" s="3390">
        <v>25725091.412465367</v>
      </c>
      <c r="K22" s="3390">
        <v>26298428.238008112</v>
      </c>
      <c r="L22" s="3392">
        <v>26632689.803124685</v>
      </c>
      <c r="M22" s="3393">
        <v>29093562.266808357</v>
      </c>
      <c r="N22" s="3390">
        <v>29687212.21316861</v>
      </c>
      <c r="O22" s="3390">
        <v>30325514.26152572</v>
      </c>
      <c r="P22" s="3390">
        <v>31199311.314517364</v>
      </c>
      <c r="Q22" s="3392">
        <v>31605186.002627306</v>
      </c>
      <c r="U22" s="1804"/>
      <c r="V22" s="1805"/>
      <c r="W22" s="1805"/>
      <c r="X22" s="1805"/>
      <c r="Y22" s="1806"/>
      <c r="Z22" s="1804"/>
      <c r="AA22" s="1805"/>
      <c r="AB22" s="1807"/>
    </row>
    <row r="23" spans="1:31">
      <c r="A23" s="832"/>
      <c r="B23" s="788" t="s">
        <v>602</v>
      </c>
      <c r="C23" s="3397">
        <v>12388104.522177193</v>
      </c>
      <c r="D23" s="3398">
        <v>10634280.256554933</v>
      </c>
      <c r="E23" s="3398">
        <v>7044019.2612728607</v>
      </c>
      <c r="F23" s="3398">
        <v>9601343.4447730351</v>
      </c>
      <c r="G23" s="3399">
        <v>17012282.450824264</v>
      </c>
      <c r="H23" s="3397">
        <v>11565822.048221314</v>
      </c>
      <c r="I23" s="3398">
        <v>7992653.2570588458</v>
      </c>
      <c r="J23" s="3398">
        <v>9017901.9256032407</v>
      </c>
      <c r="K23" s="3398">
        <v>9218884.5063911118</v>
      </c>
      <c r="L23" s="3400">
        <v>9336059.5229299944</v>
      </c>
      <c r="M23" s="3401">
        <v>10198715.603450805</v>
      </c>
      <c r="N23" s="3398">
        <v>10406818.925945602</v>
      </c>
      <c r="O23" s="3398">
        <v>10630574.992686218</v>
      </c>
      <c r="P23" s="3398">
        <v>10936883.569025874</v>
      </c>
      <c r="Q23" s="3400">
        <v>11079162.485464893</v>
      </c>
      <c r="U23" s="1808"/>
      <c r="V23" s="1809"/>
      <c r="W23" s="1809"/>
      <c r="X23" s="1809"/>
      <c r="Y23" s="1810"/>
      <c r="Z23" s="1808"/>
      <c r="AA23" s="1809"/>
      <c r="AB23" s="1811"/>
    </row>
    <row r="24" spans="1:31" ht="13.5" thickBot="1">
      <c r="A24" s="832"/>
      <c r="B24" s="1326" t="s">
        <v>628</v>
      </c>
      <c r="C24" s="3402">
        <f>C17+C18+C19+C21+C22+C23</f>
        <v>103773512.95772074</v>
      </c>
      <c r="D24" s="3403">
        <f t="shared" ref="D24:Q24" si="0">D17+D18+D19+D21+D22+D23</f>
        <v>109799090.97773023</v>
      </c>
      <c r="E24" s="3403">
        <f t="shared" si="0"/>
        <v>107200565.33540602</v>
      </c>
      <c r="F24" s="3403">
        <f t="shared" si="0"/>
        <v>122589858.97645105</v>
      </c>
      <c r="G24" s="3404">
        <f t="shared" si="0"/>
        <v>141566888.4246701</v>
      </c>
      <c r="H24" s="3402">
        <f t="shared" si="0"/>
        <v>138649532.73660806</v>
      </c>
      <c r="I24" s="3403">
        <f t="shared" si="0"/>
        <v>141133675.66360649</v>
      </c>
      <c r="J24" s="3403">
        <f t="shared" ref="J24" si="1">J17+J18+J19+J21+J22+J23</f>
        <v>141200502.78455618</v>
      </c>
      <c r="K24" s="3403">
        <f t="shared" si="0"/>
        <v>137911066.40600023</v>
      </c>
      <c r="L24" s="3405">
        <f t="shared" si="0"/>
        <v>156039105.90169573</v>
      </c>
      <c r="M24" s="3406">
        <f t="shared" si="0"/>
        <v>168661551.13841262</v>
      </c>
      <c r="N24" s="3403">
        <f t="shared" si="0"/>
        <v>166352173.67403021</v>
      </c>
      <c r="O24" s="3403">
        <f t="shared" si="0"/>
        <v>165021751.7825712</v>
      </c>
      <c r="P24" s="3403">
        <f t="shared" si="0"/>
        <v>160506899.43395621</v>
      </c>
      <c r="Q24" s="3405">
        <f t="shared" si="0"/>
        <v>157258703.81150207</v>
      </c>
      <c r="U24" s="1323">
        <f>U17+U18+U19+U21+U22+U23</f>
        <v>0</v>
      </c>
      <c r="V24" s="1324">
        <f t="shared" ref="V24:AB24" si="2">V17+V18+V19+V21+V22+V23</f>
        <v>0</v>
      </c>
      <c r="W24" s="1324">
        <f t="shared" si="2"/>
        <v>0</v>
      </c>
      <c r="X24" s="1324">
        <f t="shared" si="2"/>
        <v>0</v>
      </c>
      <c r="Y24" s="1327">
        <f t="shared" si="2"/>
        <v>0</v>
      </c>
      <c r="Z24" s="1323">
        <f t="shared" si="2"/>
        <v>0</v>
      </c>
      <c r="AA24" s="1324">
        <f t="shared" si="2"/>
        <v>0</v>
      </c>
      <c r="AB24" s="1325">
        <f t="shared" si="2"/>
        <v>0</v>
      </c>
    </row>
    <row r="25" spans="1:31" s="69" customFormat="1" ht="33" customHeight="1" thickBot="1">
      <c r="A25" s="314"/>
      <c r="B25" s="1382" t="s">
        <v>121</v>
      </c>
      <c r="C25" s="2961" t="s">
        <v>2104</v>
      </c>
      <c r="D25" s="1160"/>
      <c r="E25" s="1160"/>
      <c r="F25" s="1160"/>
      <c r="G25" s="1160"/>
      <c r="H25" s="2961" t="s">
        <v>2103</v>
      </c>
      <c r="I25" s="1160"/>
      <c r="J25" s="1160"/>
      <c r="K25" s="3629" t="s">
        <v>2102</v>
      </c>
      <c r="L25" s="1160"/>
      <c r="M25" s="1160"/>
      <c r="N25" s="1160"/>
      <c r="O25" s="1160"/>
      <c r="P25" s="1160"/>
      <c r="Q25" s="1189"/>
      <c r="R25"/>
      <c r="S25"/>
      <c r="T25"/>
      <c r="U25" s="1663"/>
      <c r="V25" s="1644"/>
      <c r="W25" s="1644"/>
      <c r="X25" s="1644"/>
      <c r="Y25" s="1644"/>
      <c r="Z25" s="1644"/>
      <c r="AA25" s="1644"/>
      <c r="AB25" s="1647"/>
      <c r="AC25"/>
      <c r="AD25"/>
      <c r="AE25"/>
    </row>
    <row r="26" spans="1:31">
      <c r="A26" s="832"/>
      <c r="L26" s="112" t="s">
        <v>24</v>
      </c>
    </row>
    <row r="27" spans="1:31">
      <c r="A27" s="832"/>
    </row>
    <row r="28" spans="1:31">
      <c r="A28" s="832"/>
    </row>
  </sheetData>
  <mergeCells count="13">
    <mergeCell ref="U12:Y12"/>
    <mergeCell ref="Z12:AB12"/>
    <mergeCell ref="U13:AB13"/>
    <mergeCell ref="U14:AB14"/>
    <mergeCell ref="B8:D8"/>
    <mergeCell ref="B12:B15"/>
    <mergeCell ref="C12:G12"/>
    <mergeCell ref="H12:L12"/>
    <mergeCell ref="M12:Q12"/>
    <mergeCell ref="C13:J13"/>
    <mergeCell ref="K13:Q13"/>
    <mergeCell ref="C14:J14"/>
    <mergeCell ref="K14:Q14"/>
  </mergeCells>
  <pageMargins left="0.7" right="0.7" top="0.75" bottom="0.75" header="0.3" footer="0.3"/>
  <pageSetup paperSize="9" orientation="portrait" r:id="rId1"/>
  <customProperties>
    <customPr name="_pios_id" r:id="rId2"/>
  </customProperties>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autoPageBreaks="0"/>
  </sheetPr>
  <dimension ref="A1:AE45"/>
  <sheetViews>
    <sheetView showGridLines="0" topLeftCell="A6" zoomScale="70" zoomScaleNormal="70" workbookViewId="0">
      <selection activeCell="H44" sqref="H44"/>
    </sheetView>
  </sheetViews>
  <sheetFormatPr defaultColWidth="9.140625" defaultRowHeight="12.75"/>
  <cols>
    <col min="1" max="1" width="16.28515625" style="95" bestFit="1" customWidth="1"/>
    <col min="2" max="2" width="40" style="95" bestFit="1" customWidth="1"/>
    <col min="3" max="17" width="12.7109375" style="95" customWidth="1"/>
    <col min="18" max="20" width="8.7109375"/>
    <col min="21" max="28" width="12.7109375" style="1172" customWidth="1"/>
    <col min="29" max="31" width="8.7109375" customWidth="1"/>
    <col min="32" max="16384" width="9.140625" style="95"/>
  </cols>
  <sheetData>
    <row r="1" spans="1:31" s="177" customFormat="1" ht="24.95" customHeight="1">
      <c r="B1" s="2522" t="str">
        <f>IF(dms_DataQuality="backcast",INDEX(dms_Worksheet_List,MATCH(dms_Model,dms_Model_List))&amp;" BACKCAST",INDEX(dms_Worksheet_List,MATCH(dms_Model,dms_Model_List)))</f>
        <v>REGULATORY REPORTING STATEMENT</v>
      </c>
      <c r="C1" s="491"/>
      <c r="D1" s="491"/>
      <c r="E1" s="491"/>
      <c r="F1" s="491"/>
      <c r="G1" s="491"/>
      <c r="H1" s="491"/>
      <c r="I1" s="491"/>
      <c r="J1" s="491"/>
      <c r="K1" s="491"/>
      <c r="L1" s="491"/>
      <c r="M1" s="491"/>
      <c r="N1" s="491"/>
      <c r="O1" s="491"/>
      <c r="P1" s="491"/>
      <c r="Q1" s="491"/>
      <c r="R1" s="491"/>
      <c r="S1" s="491"/>
      <c r="T1" s="491"/>
      <c r="U1" s="491"/>
      <c r="V1" s="491"/>
      <c r="W1" s="491"/>
      <c r="X1" s="491"/>
      <c r="Y1" s="491"/>
      <c r="Z1" s="491"/>
      <c r="AA1" s="491"/>
      <c r="AB1" s="491"/>
      <c r="AC1"/>
      <c r="AD1"/>
      <c r="AE1"/>
    </row>
    <row r="2" spans="1:31" s="177" customFormat="1" ht="24.95" customHeight="1">
      <c r="B2" s="2526" t="str">
        <f>INDEX(dms_TradingNameFull_List,MATCH(dms_TradingName,dms_TradingName_List))</f>
        <v>AusNet Gas Services</v>
      </c>
      <c r="C2" s="180"/>
      <c r="D2" s="180"/>
      <c r="E2" s="180"/>
      <c r="F2" s="180"/>
      <c r="G2" s="180"/>
      <c r="H2" s="180"/>
      <c r="I2" s="180"/>
      <c r="J2" s="180"/>
      <c r="K2" s="180"/>
      <c r="L2" s="180"/>
      <c r="M2" s="180"/>
      <c r="N2" s="180"/>
      <c r="O2" s="180"/>
      <c r="P2" s="180"/>
      <c r="Q2" s="180"/>
      <c r="R2" s="1173"/>
      <c r="S2" s="1173"/>
      <c r="T2" s="1173"/>
      <c r="U2" s="1173"/>
      <c r="V2" s="1173"/>
      <c r="W2" s="1173"/>
      <c r="X2" s="1173"/>
      <c r="Y2" s="1173"/>
      <c r="Z2" s="1173"/>
      <c r="AA2" s="1173"/>
      <c r="AB2" s="1173"/>
      <c r="AC2"/>
      <c r="AD2"/>
      <c r="AE2"/>
    </row>
    <row r="3" spans="1:31" s="177" customFormat="1" ht="24.95" customHeight="1">
      <c r="B3" s="2526" t="str">
        <f ca="1">IF(SUM(dms_SingleYear_Model)&gt;0,CRY,CONCATENATE(FRCP_y1," to ",dms_MultiYear_FinalYear_Result))</f>
        <v>2018 to 2022</v>
      </c>
      <c r="C3" s="181"/>
      <c r="D3" s="181"/>
      <c r="E3" s="181"/>
      <c r="F3" s="181"/>
      <c r="G3" s="181"/>
      <c r="H3" s="181"/>
      <c r="I3" s="181"/>
      <c r="J3" s="181"/>
      <c r="K3" s="181"/>
      <c r="L3" s="181"/>
      <c r="M3" s="181"/>
      <c r="N3" s="181"/>
      <c r="O3" s="181"/>
      <c r="P3" s="181"/>
      <c r="Q3" s="181"/>
      <c r="R3" s="1171"/>
      <c r="S3" s="1171"/>
      <c r="T3" s="1171"/>
      <c r="U3" s="1171"/>
      <c r="V3" s="1171"/>
      <c r="W3" s="1171"/>
      <c r="X3" s="1171"/>
      <c r="Y3" s="1171"/>
      <c r="Z3" s="1171"/>
      <c r="AA3" s="1171"/>
      <c r="AB3" s="1171"/>
      <c r="AC3"/>
      <c r="AD3"/>
      <c r="AE3"/>
    </row>
    <row r="4" spans="1:31" s="159" customFormat="1" ht="24" customHeight="1">
      <c r="B4" s="10" t="s">
        <v>364</v>
      </c>
      <c r="C4" s="12"/>
      <c r="D4" s="12"/>
      <c r="E4" s="12"/>
      <c r="F4" s="12"/>
      <c r="G4" s="12"/>
      <c r="H4" s="12"/>
      <c r="I4" s="12"/>
      <c r="J4" s="12"/>
      <c r="K4" s="12"/>
      <c r="L4" s="12"/>
      <c r="M4" s="12"/>
      <c r="N4" s="12"/>
      <c r="O4" s="12"/>
      <c r="P4" s="12"/>
      <c r="Q4" s="12"/>
      <c r="R4" s="12"/>
      <c r="S4" s="12"/>
      <c r="T4" s="12"/>
      <c r="U4" s="12"/>
      <c r="V4" s="12"/>
      <c r="W4" s="12"/>
      <c r="X4" s="12"/>
      <c r="Y4" s="12"/>
      <c r="Z4" s="12"/>
      <c r="AA4" s="12"/>
      <c r="AB4" s="12"/>
      <c r="AC4"/>
      <c r="AD4"/>
      <c r="AE4"/>
    </row>
    <row r="5" spans="1:31" customFormat="1" ht="12.75" customHeight="1"/>
    <row r="6" spans="1:31" customFormat="1"/>
    <row r="7" spans="1:31">
      <c r="A7" s="696"/>
      <c r="B7" s="85" t="s">
        <v>59</v>
      </c>
      <c r="C7" s="85"/>
      <c r="D7" s="85"/>
      <c r="E7" s="85"/>
      <c r="F7" s="85"/>
      <c r="G7" s="85"/>
      <c r="H7" s="85"/>
      <c r="I7" s="262"/>
      <c r="J7" s="262"/>
      <c r="K7" s="262"/>
      <c r="L7" s="262"/>
      <c r="M7" s="696"/>
      <c r="N7" s="696"/>
      <c r="O7" s="696"/>
      <c r="P7" s="696"/>
      <c r="Q7" s="696"/>
      <c r="U7"/>
      <c r="V7"/>
      <c r="W7"/>
      <c r="X7"/>
      <c r="Y7"/>
      <c r="Z7"/>
      <c r="AA7"/>
      <c r="AB7"/>
    </row>
    <row r="8" spans="1:31">
      <c r="A8" s="696"/>
      <c r="B8" s="111" t="s">
        <v>7</v>
      </c>
      <c r="C8" s="111"/>
      <c r="D8" s="111"/>
      <c r="E8" s="111"/>
      <c r="F8" s="111"/>
      <c r="G8" s="111"/>
      <c r="H8" s="85"/>
      <c r="I8" s="262"/>
      <c r="J8" s="262"/>
      <c r="K8" s="262"/>
      <c r="L8" s="262"/>
      <c r="M8" s="696"/>
      <c r="N8" s="696"/>
      <c r="O8" s="696"/>
      <c r="P8" s="696"/>
      <c r="Q8" s="696"/>
      <c r="U8"/>
      <c r="V8"/>
      <c r="W8"/>
      <c r="X8"/>
      <c r="Y8"/>
      <c r="Z8"/>
      <c r="AA8"/>
      <c r="AB8"/>
    </row>
    <row r="9" spans="1:31">
      <c r="A9" s="696"/>
      <c r="B9" s="111" t="s">
        <v>238</v>
      </c>
      <c r="C9" s="120"/>
      <c r="D9" s="120"/>
      <c r="E9" s="120"/>
      <c r="F9" s="120"/>
      <c r="G9" s="120"/>
      <c r="H9" s="85"/>
      <c r="I9" s="262"/>
      <c r="J9" s="262"/>
      <c r="K9" s="262"/>
      <c r="L9" s="262"/>
      <c r="M9" s="696"/>
      <c r="N9" s="696"/>
      <c r="O9" s="696"/>
      <c r="P9" s="696"/>
      <c r="Q9" s="696"/>
      <c r="U9"/>
      <c r="V9"/>
      <c r="W9"/>
      <c r="X9"/>
      <c r="Y9"/>
      <c r="Z9"/>
      <c r="AA9"/>
      <c r="AB9"/>
    </row>
    <row r="10" spans="1:31" s="69" customFormat="1">
      <c r="A10" s="361"/>
      <c r="B10" s="86" t="str">
        <f>CONCATENATE("Ancillary reference services listed are those used in ", dms_TradingName,"'s past access arrangements")</f>
        <v>Ancillary reference services listed are those used in AusNet (Gas)'s past access arrangements</v>
      </c>
      <c r="C10" s="102"/>
      <c r="D10" s="102"/>
      <c r="E10" s="102"/>
      <c r="F10" s="102"/>
      <c r="G10" s="102"/>
      <c r="H10" s="85"/>
      <c r="I10" s="484"/>
      <c r="J10" s="484"/>
      <c r="K10" s="484"/>
      <c r="L10" s="484"/>
      <c r="M10" s="361"/>
      <c r="N10" s="361"/>
      <c r="O10" s="361"/>
      <c r="P10" s="361"/>
      <c r="Q10" s="361"/>
      <c r="R10"/>
      <c r="S10"/>
      <c r="T10"/>
      <c r="U10"/>
      <c r="V10"/>
      <c r="W10"/>
      <c r="X10"/>
      <c r="Y10"/>
      <c r="Z10"/>
      <c r="AA10"/>
      <c r="AB10"/>
      <c r="AC10"/>
      <c r="AD10"/>
      <c r="AE10"/>
    </row>
    <row r="11" spans="1:31" ht="36.75" customHeight="1" thickBot="1">
      <c r="A11" s="696"/>
      <c r="B11" s="696"/>
      <c r="C11" s="696"/>
      <c r="D11" s="262"/>
      <c r="E11" s="834"/>
      <c r="F11" s="834"/>
      <c r="G11" s="315"/>
      <c r="H11" s="262"/>
      <c r="I11" s="262"/>
      <c r="J11" s="262"/>
      <c r="K11" s="696"/>
      <c r="L11" s="696"/>
      <c r="M11" s="696"/>
      <c r="N11" s="696"/>
      <c r="O11" s="696"/>
      <c r="P11" s="696"/>
      <c r="Q11" s="696"/>
      <c r="U11"/>
      <c r="V11"/>
      <c r="W11"/>
      <c r="X11"/>
      <c r="Y11"/>
      <c r="Z11"/>
      <c r="AA11"/>
      <c r="AB11"/>
    </row>
    <row r="12" spans="1:31" s="1172" customFormat="1" ht="16.5" thickBot="1">
      <c r="A12" s="1174"/>
      <c r="B12" s="815" t="s">
        <v>523</v>
      </c>
      <c r="C12" s="830"/>
      <c r="D12" s="830"/>
      <c r="E12" s="830"/>
      <c r="F12" s="830"/>
      <c r="G12" s="830"/>
      <c r="H12" s="830"/>
      <c r="I12" s="830"/>
      <c r="J12" s="830"/>
      <c r="K12" s="830"/>
      <c r="L12" s="830"/>
      <c r="M12" s="830"/>
      <c r="N12" s="830"/>
      <c r="O12" s="830"/>
      <c r="P12" s="830"/>
      <c r="Q12" s="830"/>
      <c r="T12"/>
      <c r="U12"/>
      <c r="V12"/>
      <c r="W12"/>
      <c r="X12"/>
      <c r="Y12"/>
      <c r="Z12"/>
      <c r="AA12"/>
      <c r="AB12"/>
      <c r="AC12"/>
    </row>
    <row r="13" spans="1:31" s="69" customFormat="1" ht="16.5" thickBot="1">
      <c r="A13" s="361"/>
      <c r="B13" s="1253" t="s">
        <v>524</v>
      </c>
      <c r="C13" s="1254"/>
      <c r="D13" s="1254"/>
      <c r="E13" s="1254"/>
      <c r="F13" s="1254"/>
      <c r="G13" s="1254"/>
      <c r="H13" s="1254"/>
      <c r="I13" s="1254"/>
      <c r="J13" s="1254"/>
      <c r="K13" s="1254"/>
      <c r="L13" s="1254"/>
      <c r="M13" s="1254"/>
      <c r="N13" s="1254"/>
      <c r="O13" s="1254"/>
      <c r="P13" s="1254"/>
      <c r="Q13" s="1255"/>
      <c r="R13"/>
      <c r="S13"/>
      <c r="T13"/>
      <c r="U13"/>
      <c r="V13"/>
      <c r="W13"/>
      <c r="X13"/>
      <c r="Y13"/>
      <c r="Z13"/>
      <c r="AA13"/>
      <c r="AB13"/>
      <c r="AC13"/>
      <c r="AD13"/>
      <c r="AE13"/>
    </row>
    <row r="14" spans="1:31" s="72" customFormat="1" ht="16.5" customHeight="1">
      <c r="A14" s="702"/>
      <c r="B14" s="4451"/>
      <c r="C14" s="4457" t="s">
        <v>36</v>
      </c>
      <c r="D14" s="4308"/>
      <c r="E14" s="4308"/>
      <c r="F14" s="4308"/>
      <c r="G14" s="4308"/>
      <c r="H14" s="4458" t="s">
        <v>37</v>
      </c>
      <c r="I14" s="4459"/>
      <c r="J14" s="4459"/>
      <c r="K14" s="4459"/>
      <c r="L14" s="4459"/>
      <c r="M14" s="4460" t="s">
        <v>73</v>
      </c>
      <c r="N14" s="4460"/>
      <c r="O14" s="4460"/>
      <c r="P14" s="4460"/>
      <c r="Q14" s="4461"/>
      <c r="R14"/>
      <c r="S14"/>
      <c r="T14"/>
      <c r="U14"/>
      <c r="V14"/>
      <c r="W14"/>
      <c r="X14"/>
      <c r="Y14"/>
      <c r="Z14"/>
      <c r="AA14"/>
      <c r="AB14"/>
      <c r="AC14"/>
      <c r="AD14"/>
      <c r="AE14"/>
    </row>
    <row r="15" spans="1:31" s="72" customFormat="1" ht="16.5" customHeight="1">
      <c r="A15" s="702"/>
      <c r="B15" s="4452"/>
      <c r="C15" s="4462" t="s">
        <v>337</v>
      </c>
      <c r="D15" s="4463"/>
      <c r="E15" s="4463"/>
      <c r="F15" s="4463"/>
      <c r="G15" s="4463"/>
      <c r="H15" s="4463"/>
      <c r="I15" s="4463"/>
      <c r="J15" s="4463"/>
      <c r="K15" s="4463"/>
      <c r="L15" s="4463"/>
      <c r="M15" s="4463"/>
      <c r="N15" s="4463"/>
      <c r="O15" s="4463"/>
      <c r="P15" s="4463"/>
      <c r="Q15" s="4464"/>
      <c r="R15" s="1172"/>
      <c r="S15" s="1172"/>
      <c r="T15" s="1172"/>
      <c r="U15" s="1172"/>
      <c r="V15" s="1172"/>
      <c r="W15" s="1172"/>
      <c r="X15" s="1172"/>
      <c r="Y15" s="1172"/>
      <c r="Z15" s="1172"/>
      <c r="AA15" s="1172"/>
      <c r="AB15" s="1172"/>
      <c r="AC15" s="1172"/>
      <c r="AD15" s="1172"/>
      <c r="AE15" s="1172"/>
    </row>
    <row r="16" spans="1:31" s="72" customFormat="1" ht="16.5" customHeight="1">
      <c r="A16" s="702"/>
      <c r="B16" s="4452"/>
      <c r="C16" s="3985" t="s">
        <v>54</v>
      </c>
      <c r="D16" s="3986"/>
      <c r="E16" s="3986"/>
      <c r="F16" s="3986"/>
      <c r="G16" s="3986"/>
      <c r="H16" s="3986"/>
      <c r="I16" s="3986"/>
      <c r="J16" s="3987"/>
      <c r="K16" s="3988" t="s">
        <v>55</v>
      </c>
      <c r="L16" s="3989"/>
      <c r="M16" s="3989"/>
      <c r="N16" s="3989"/>
      <c r="O16" s="3989"/>
      <c r="P16" s="3989"/>
      <c r="Q16" s="4199"/>
      <c r="R16"/>
      <c r="S16"/>
      <c r="T16"/>
      <c r="U16"/>
      <c r="V16"/>
      <c r="W16"/>
      <c r="X16"/>
      <c r="Y16"/>
      <c r="Z16"/>
      <c r="AA16"/>
      <c r="AB16"/>
      <c r="AC16"/>
      <c r="AD16"/>
      <c r="AE16"/>
    </row>
    <row r="17" spans="1:31" s="69" customFormat="1" ht="12.75" customHeight="1" thickBot="1">
      <c r="A17" s="361"/>
      <c r="B17" s="4453"/>
      <c r="C17" s="343">
        <f t="array" ref="C17:G17">PRCP</f>
        <v>2008</v>
      </c>
      <c r="D17" s="342">
        <v>2009</v>
      </c>
      <c r="E17" s="342">
        <v>2010</v>
      </c>
      <c r="F17" s="342">
        <v>2011</v>
      </c>
      <c r="G17" s="342">
        <v>2012</v>
      </c>
      <c r="H17" s="344">
        <f>CRCP_y1</f>
        <v>2013</v>
      </c>
      <c r="I17" s="344">
        <f>CRCP_y2</f>
        <v>2014</v>
      </c>
      <c r="J17" s="344">
        <f>CRCP_y3</f>
        <v>2015</v>
      </c>
      <c r="K17" s="344">
        <f>CRCP_y4</f>
        <v>2016</v>
      </c>
      <c r="L17" s="344">
        <f>CRCP_y5</f>
        <v>2017</v>
      </c>
      <c r="M17" s="342" t="str">
        <f t="array" ref="M17:Q17">FRCP</f>
        <v>2018</v>
      </c>
      <c r="N17" s="342">
        <v>2019</v>
      </c>
      <c r="O17" s="342">
        <v>2020</v>
      </c>
      <c r="P17" s="342">
        <v>2021</v>
      </c>
      <c r="Q17" s="686">
        <v>2022</v>
      </c>
      <c r="R17"/>
      <c r="S17"/>
      <c r="T17"/>
      <c r="U17"/>
      <c r="V17"/>
      <c r="W17"/>
      <c r="X17"/>
      <c r="Y17"/>
      <c r="Z17"/>
      <c r="AA17"/>
      <c r="AB17"/>
      <c r="AC17"/>
      <c r="AD17"/>
      <c r="AE17"/>
    </row>
    <row r="18" spans="1:31" ht="12.75" customHeight="1">
      <c r="A18" s="696"/>
      <c r="B18" s="1352" t="s">
        <v>1350</v>
      </c>
      <c r="C18" s="2962">
        <v>78</v>
      </c>
      <c r="D18" s="2963">
        <v>64</v>
      </c>
      <c r="E18" s="2963">
        <v>81</v>
      </c>
      <c r="F18" s="2963">
        <v>46</v>
      </c>
      <c r="G18" s="2964">
        <v>84</v>
      </c>
      <c r="H18" s="2962">
        <v>107</v>
      </c>
      <c r="I18" s="2963">
        <v>8</v>
      </c>
      <c r="J18" s="2963">
        <v>0</v>
      </c>
      <c r="K18" s="2963">
        <v>50</v>
      </c>
      <c r="L18" s="2963">
        <v>50</v>
      </c>
      <c r="M18" s="2962">
        <v>50</v>
      </c>
      <c r="N18" s="2963">
        <v>50</v>
      </c>
      <c r="O18" s="2963">
        <v>50</v>
      </c>
      <c r="P18" s="2963">
        <v>50</v>
      </c>
      <c r="Q18" s="2964">
        <v>50</v>
      </c>
      <c r="U18"/>
      <c r="V18"/>
      <c r="W18"/>
      <c r="X18"/>
      <c r="Y18"/>
      <c r="Z18"/>
      <c r="AA18"/>
      <c r="AB18"/>
    </row>
    <row r="19" spans="1:31" ht="12.75" customHeight="1">
      <c r="A19" s="696"/>
      <c r="B19" s="1352" t="s">
        <v>1351</v>
      </c>
      <c r="C19" s="2965">
        <v>4297</v>
      </c>
      <c r="D19" s="2966">
        <v>6021</v>
      </c>
      <c r="E19" s="2966">
        <v>7761</v>
      </c>
      <c r="F19" s="2966">
        <v>10012</v>
      </c>
      <c r="G19" s="2966">
        <v>10388</v>
      </c>
      <c r="H19" s="2965">
        <v>11339</v>
      </c>
      <c r="I19" s="2966">
        <v>11678</v>
      </c>
      <c r="J19" s="2966">
        <v>13223</v>
      </c>
      <c r="K19" s="2966">
        <v>11657</v>
      </c>
      <c r="L19" s="2966">
        <v>11657</v>
      </c>
      <c r="M19" s="2965">
        <v>11657</v>
      </c>
      <c r="N19" s="2966">
        <v>11657</v>
      </c>
      <c r="O19" s="2966">
        <v>11657</v>
      </c>
      <c r="P19" s="2966">
        <v>11657</v>
      </c>
      <c r="Q19" s="2967">
        <v>11657</v>
      </c>
      <c r="U19"/>
      <c r="V19"/>
      <c r="W19"/>
      <c r="X19"/>
      <c r="Y19"/>
      <c r="Z19"/>
      <c r="AA19"/>
      <c r="AB19"/>
    </row>
    <row r="20" spans="1:31">
      <c r="A20" s="696"/>
      <c r="B20" s="1352" t="s">
        <v>1352</v>
      </c>
      <c r="C20" s="2965">
        <v>2796</v>
      </c>
      <c r="D20" s="2966">
        <v>3366</v>
      </c>
      <c r="E20" s="2966">
        <v>5026</v>
      </c>
      <c r="F20" s="2966">
        <v>6810</v>
      </c>
      <c r="G20" s="2966">
        <v>7376</v>
      </c>
      <c r="H20" s="2965">
        <v>6858</v>
      </c>
      <c r="I20" s="2966">
        <v>5991</v>
      </c>
      <c r="J20" s="2966">
        <v>5842</v>
      </c>
      <c r="K20" s="2966">
        <v>6517</v>
      </c>
      <c r="L20" s="2966">
        <v>6517</v>
      </c>
      <c r="M20" s="2965">
        <v>6517</v>
      </c>
      <c r="N20" s="2966">
        <v>6517</v>
      </c>
      <c r="O20" s="2966">
        <v>6517</v>
      </c>
      <c r="P20" s="2966">
        <v>6517</v>
      </c>
      <c r="Q20" s="2967">
        <v>6517</v>
      </c>
      <c r="U20"/>
      <c r="V20"/>
      <c r="W20"/>
      <c r="X20"/>
      <c r="Y20"/>
      <c r="Z20"/>
      <c r="AA20"/>
      <c r="AB20"/>
    </row>
    <row r="21" spans="1:31">
      <c r="A21" s="696"/>
      <c r="B21" s="1352" t="s">
        <v>1353</v>
      </c>
      <c r="C21" s="2965">
        <v>130611</v>
      </c>
      <c r="D21" s="2966">
        <v>157489</v>
      </c>
      <c r="E21" s="2966">
        <v>150274</v>
      </c>
      <c r="F21" s="2966">
        <v>146503</v>
      </c>
      <c r="G21" s="2966">
        <v>159465</v>
      </c>
      <c r="H21" s="2965">
        <v>191747</v>
      </c>
      <c r="I21" s="2966">
        <v>187300</v>
      </c>
      <c r="J21" s="2966">
        <v>199962</v>
      </c>
      <c r="K21" s="2966">
        <v>184619</v>
      </c>
      <c r="L21" s="2966">
        <v>184618.5</v>
      </c>
      <c r="M21" s="2965">
        <v>188569.20850000001</v>
      </c>
      <c r="N21" s="2966">
        <v>192575.6569</v>
      </c>
      <c r="O21" s="2966">
        <v>196651.50709999999</v>
      </c>
      <c r="P21" s="2966">
        <v>200807.41529999999</v>
      </c>
      <c r="Q21" s="2967">
        <v>204819.0552</v>
      </c>
      <c r="U21"/>
      <c r="V21"/>
      <c r="W21"/>
      <c r="X21"/>
      <c r="Y21"/>
      <c r="Z21"/>
      <c r="AA21"/>
      <c r="AB21"/>
    </row>
    <row r="22" spans="1:31" s="844" customFormat="1" ht="13.5" thickBot="1">
      <c r="A22" s="843"/>
      <c r="B22" s="1193" t="s">
        <v>630</v>
      </c>
      <c r="C22" s="1149">
        <f t="shared" ref="C22:Q22" si="0">SUM(C18:C21)</f>
        <v>137782</v>
      </c>
      <c r="D22" s="1150">
        <f t="shared" si="0"/>
        <v>166940</v>
      </c>
      <c r="E22" s="1150">
        <f t="shared" si="0"/>
        <v>163142</v>
      </c>
      <c r="F22" s="1150">
        <f t="shared" si="0"/>
        <v>163371</v>
      </c>
      <c r="G22" s="1151">
        <f t="shared" si="0"/>
        <v>177313</v>
      </c>
      <c r="H22" s="1149">
        <f t="shared" si="0"/>
        <v>210051</v>
      </c>
      <c r="I22" s="1150">
        <f t="shared" si="0"/>
        <v>204977</v>
      </c>
      <c r="J22" s="1150">
        <f t="shared" si="0"/>
        <v>219027</v>
      </c>
      <c r="K22" s="1150">
        <f t="shared" si="0"/>
        <v>202843</v>
      </c>
      <c r="L22" s="1150">
        <f t="shared" si="0"/>
        <v>202842.5</v>
      </c>
      <c r="M22" s="1149">
        <f t="shared" si="0"/>
        <v>206793.20850000001</v>
      </c>
      <c r="N22" s="1150">
        <f t="shared" si="0"/>
        <v>210799.6569</v>
      </c>
      <c r="O22" s="1150">
        <f t="shared" si="0"/>
        <v>214875.50709999999</v>
      </c>
      <c r="P22" s="1150">
        <f t="shared" si="0"/>
        <v>219031.41529999999</v>
      </c>
      <c r="Q22" s="1151">
        <f t="shared" si="0"/>
        <v>223043.0552</v>
      </c>
      <c r="T22"/>
      <c r="U22"/>
      <c r="V22"/>
      <c r="W22"/>
      <c r="X22"/>
      <c r="Y22"/>
      <c r="Z22"/>
      <c r="AA22"/>
      <c r="AB22"/>
      <c r="AC22"/>
    </row>
    <row r="23" spans="1:31" s="69" customFormat="1" ht="28.5" customHeight="1" thickBot="1">
      <c r="A23" s="314"/>
      <c r="B23" s="1383" t="s">
        <v>121</v>
      </c>
      <c r="C23" s="2961" t="s">
        <v>1446</v>
      </c>
      <c r="D23" s="1160"/>
      <c r="E23" s="1160"/>
      <c r="F23" s="1160"/>
      <c r="G23" s="1160"/>
      <c r="H23" s="1160"/>
      <c r="I23" s="1160"/>
      <c r="J23" s="1160"/>
      <c r="K23" s="1160"/>
      <c r="L23" s="1160"/>
      <c r="M23" s="1160"/>
      <c r="N23" s="1160"/>
      <c r="O23" s="1160"/>
      <c r="P23" s="1160"/>
      <c r="Q23" s="1189"/>
      <c r="R23"/>
      <c r="S23"/>
      <c r="T23"/>
      <c r="U23"/>
      <c r="V23"/>
      <c r="W23"/>
      <c r="X23"/>
      <c r="Y23"/>
      <c r="Z23"/>
      <c r="AA23"/>
      <c r="AB23"/>
      <c r="AC23"/>
      <c r="AD23"/>
      <c r="AE23"/>
    </row>
    <row r="24" spans="1:31" s="96" customFormat="1" ht="36.75" customHeight="1" thickBot="1">
      <c r="A24" s="696"/>
      <c r="B24" s="98"/>
      <c r="C24" s="121"/>
      <c r="D24" s="121"/>
      <c r="E24" s="121"/>
      <c r="F24" s="121"/>
      <c r="G24" s="121"/>
      <c r="H24" s="121"/>
      <c r="I24" s="121"/>
      <c r="J24" s="121"/>
      <c r="K24" s="121"/>
      <c r="L24" s="121"/>
      <c r="R24"/>
      <c r="S24"/>
      <c r="T24"/>
      <c r="U24" s="1172"/>
      <c r="V24" s="1172"/>
      <c r="W24" s="1172"/>
      <c r="X24" s="1172"/>
      <c r="Y24" s="1172"/>
      <c r="Z24" s="1172"/>
      <c r="AA24" s="1172"/>
      <c r="AB24" s="1172"/>
      <c r="AC24"/>
      <c r="AD24"/>
      <c r="AE24"/>
    </row>
    <row r="25" spans="1:31" s="69" customFormat="1" ht="16.5" thickBot="1">
      <c r="A25" s="361"/>
      <c r="B25" s="1253" t="s">
        <v>525</v>
      </c>
      <c r="C25" s="1254"/>
      <c r="D25" s="1254"/>
      <c r="E25" s="1254"/>
      <c r="F25" s="1254"/>
      <c r="G25" s="1254"/>
      <c r="H25" s="1254"/>
      <c r="I25" s="1254"/>
      <c r="J25" s="1254"/>
      <c r="K25" s="1254"/>
      <c r="L25" s="1254"/>
      <c r="M25" s="1254"/>
      <c r="N25" s="1254"/>
      <c r="O25" s="1254"/>
      <c r="P25" s="1254"/>
      <c r="Q25" s="1255"/>
      <c r="R25"/>
      <c r="S25"/>
      <c r="T25"/>
      <c r="U25" s="1172"/>
      <c r="V25" s="1172"/>
      <c r="W25" s="1172"/>
      <c r="X25" s="1172"/>
      <c r="Y25" s="1172"/>
      <c r="Z25" s="1172"/>
      <c r="AA25" s="1172"/>
      <c r="AB25" s="1172"/>
      <c r="AC25"/>
      <c r="AD25"/>
      <c r="AE25"/>
    </row>
    <row r="26" spans="1:31" s="96" customFormat="1" ht="12.75" customHeight="1">
      <c r="A26" s="696"/>
      <c r="B26" s="4451"/>
      <c r="C26" s="4457" t="s">
        <v>36</v>
      </c>
      <c r="D26" s="4308"/>
      <c r="E26" s="4308"/>
      <c r="F26" s="4308"/>
      <c r="G26" s="4308"/>
      <c r="H26" s="4458" t="s">
        <v>37</v>
      </c>
      <c r="I26" s="4459"/>
      <c r="J26" s="4459"/>
      <c r="K26" s="4459"/>
      <c r="L26" s="4459"/>
      <c r="M26" s="4460" t="s">
        <v>73</v>
      </c>
      <c r="N26" s="4460"/>
      <c r="O26" s="4460"/>
      <c r="P26" s="4460"/>
      <c r="Q26" s="4461"/>
      <c r="R26"/>
      <c r="S26"/>
      <c r="T26"/>
      <c r="U26" s="1172"/>
      <c r="V26" s="1172"/>
      <c r="W26" s="1172"/>
      <c r="X26" s="1172"/>
      <c r="Y26" s="1172"/>
      <c r="Z26" s="1172"/>
      <c r="AA26" s="1172"/>
      <c r="AB26" s="1172"/>
      <c r="AC26"/>
      <c r="AD26"/>
      <c r="AE26"/>
    </row>
    <row r="27" spans="1:31" s="96" customFormat="1" ht="12.75" customHeight="1">
      <c r="A27" s="696"/>
      <c r="B27" s="4452"/>
      <c r="C27" s="3985" t="s">
        <v>543</v>
      </c>
      <c r="D27" s="3986"/>
      <c r="E27" s="3986"/>
      <c r="F27" s="3986"/>
      <c r="G27" s="3986"/>
      <c r="H27" s="3986"/>
      <c r="I27" s="3986"/>
      <c r="J27" s="3986"/>
      <c r="K27" s="3987"/>
      <c r="L27" s="3988" t="str">
        <f>CONCATENATE("$0's, real ",dms_DollarReal)</f>
        <v>$0's, real December 2017</v>
      </c>
      <c r="M27" s="3989"/>
      <c r="N27" s="3989"/>
      <c r="O27" s="3989"/>
      <c r="P27" s="3989"/>
      <c r="Q27" s="4199"/>
      <c r="R27"/>
      <c r="S27"/>
      <c r="T27"/>
      <c r="U27" s="1172"/>
      <c r="V27" s="1172"/>
      <c r="W27" s="1172"/>
      <c r="X27" s="1172"/>
      <c r="Y27" s="1172"/>
      <c r="Z27" s="1172"/>
      <c r="AA27" s="1172"/>
      <c r="AB27" s="1172"/>
      <c r="AC27"/>
      <c r="AD27"/>
      <c r="AE27"/>
    </row>
    <row r="28" spans="1:31" ht="12.75" customHeight="1">
      <c r="A28" s="696"/>
      <c r="B28" s="4452"/>
      <c r="C28" s="3985" t="s">
        <v>54</v>
      </c>
      <c r="D28" s="3986"/>
      <c r="E28" s="3986"/>
      <c r="F28" s="3986"/>
      <c r="G28" s="3986"/>
      <c r="H28" s="3986"/>
      <c r="I28" s="3986"/>
      <c r="J28" s="3987"/>
      <c r="K28" s="3988" t="s">
        <v>55</v>
      </c>
      <c r="L28" s="3989"/>
      <c r="M28" s="3989"/>
      <c r="N28" s="3989"/>
      <c r="O28" s="3989"/>
      <c r="P28" s="3989"/>
      <c r="Q28" s="4199"/>
    </row>
    <row r="29" spans="1:31" ht="12.75" customHeight="1" thickBot="1">
      <c r="A29" s="696"/>
      <c r="B29" s="4453"/>
      <c r="C29" s="343">
        <f t="array" ref="C29:G29">PRCP</f>
        <v>2008</v>
      </c>
      <c r="D29" s="342">
        <v>2009</v>
      </c>
      <c r="E29" s="342">
        <v>2010</v>
      </c>
      <c r="F29" s="342">
        <v>2011</v>
      </c>
      <c r="G29" s="342">
        <v>2012</v>
      </c>
      <c r="H29" s="344">
        <f>CRCP_y1</f>
        <v>2013</v>
      </c>
      <c r="I29" s="344">
        <f>CRCP_y2</f>
        <v>2014</v>
      </c>
      <c r="J29" s="344">
        <f>CRCP_y3</f>
        <v>2015</v>
      </c>
      <c r="K29" s="344">
        <f>CRCP_y4</f>
        <v>2016</v>
      </c>
      <c r="L29" s="344">
        <f>CRCP_y5</f>
        <v>2017</v>
      </c>
      <c r="M29" s="342" t="str">
        <f t="array" ref="M29:Q29">FRCP</f>
        <v>2018</v>
      </c>
      <c r="N29" s="342">
        <v>2019</v>
      </c>
      <c r="O29" s="342">
        <v>2020</v>
      </c>
      <c r="P29" s="342">
        <v>2021</v>
      </c>
      <c r="Q29" s="686">
        <v>2022</v>
      </c>
    </row>
    <row r="30" spans="1:31" ht="12.75" customHeight="1">
      <c r="A30" s="696"/>
      <c r="B30" s="1352" t="s">
        <v>1350</v>
      </c>
      <c r="C30" s="2962">
        <v>12707</v>
      </c>
      <c r="D30" s="2963">
        <v>9080</v>
      </c>
      <c r="E30" s="2963">
        <v>12225</v>
      </c>
      <c r="F30" s="2963">
        <v>7229</v>
      </c>
      <c r="G30" s="2964">
        <v>26529</v>
      </c>
      <c r="H30" s="2962">
        <v>32642</v>
      </c>
      <c r="I30" s="2963">
        <v>2541</v>
      </c>
      <c r="J30" s="2963">
        <v>0</v>
      </c>
      <c r="K30" s="2963">
        <v>8398.7950000000001</v>
      </c>
      <c r="L30" s="2963">
        <v>8507.75</v>
      </c>
      <c r="M30" s="2962">
        <v>8507.75</v>
      </c>
      <c r="N30" s="2963">
        <v>8507.75</v>
      </c>
      <c r="O30" s="2963">
        <v>8507.75</v>
      </c>
      <c r="P30" s="2963">
        <v>8507.75</v>
      </c>
      <c r="Q30" s="2964">
        <v>8507.75</v>
      </c>
    </row>
    <row r="31" spans="1:31" ht="12.75" customHeight="1">
      <c r="A31" s="696"/>
      <c r="B31" s="1352" t="s">
        <v>1351</v>
      </c>
      <c r="C31" s="2965">
        <v>198755</v>
      </c>
      <c r="D31" s="2966">
        <v>342266</v>
      </c>
      <c r="E31" s="2966">
        <v>386435</v>
      </c>
      <c r="F31" s="2966">
        <v>512119</v>
      </c>
      <c r="G31" s="2966">
        <v>540066</v>
      </c>
      <c r="H31" s="2965">
        <v>606902</v>
      </c>
      <c r="I31" s="2966">
        <v>632838</v>
      </c>
      <c r="J31" s="2966">
        <v>733072</v>
      </c>
      <c r="K31" s="2966">
        <v>655939.39</v>
      </c>
      <c r="L31" s="2966">
        <v>664449</v>
      </c>
      <c r="M31" s="2965">
        <v>664449</v>
      </c>
      <c r="N31" s="2966">
        <v>664449</v>
      </c>
      <c r="O31" s="2966">
        <v>664449</v>
      </c>
      <c r="P31" s="2966">
        <v>664449</v>
      </c>
      <c r="Q31" s="2967">
        <v>664449</v>
      </c>
    </row>
    <row r="32" spans="1:31" ht="12.75" customHeight="1">
      <c r="A32" s="696"/>
      <c r="B32" s="1352" t="s">
        <v>1352</v>
      </c>
      <c r="C32" s="2965">
        <v>109420</v>
      </c>
      <c r="D32" s="2966">
        <v>162650</v>
      </c>
      <c r="E32" s="2966">
        <v>247145</v>
      </c>
      <c r="F32" s="2966">
        <v>343207</v>
      </c>
      <c r="G32" s="2966">
        <v>382805</v>
      </c>
      <c r="H32" s="2965">
        <v>366832</v>
      </c>
      <c r="I32" s="2966">
        <v>324753</v>
      </c>
      <c r="J32" s="2966">
        <v>323813</v>
      </c>
      <c r="K32" s="2966">
        <v>366697.52250000002</v>
      </c>
      <c r="L32" s="2966">
        <v>371454.75</v>
      </c>
      <c r="M32" s="2965">
        <v>371454.75</v>
      </c>
      <c r="N32" s="2966">
        <v>371454.75</v>
      </c>
      <c r="O32" s="2966">
        <v>371454.75</v>
      </c>
      <c r="P32" s="2966">
        <v>371454.75</v>
      </c>
      <c r="Q32" s="2967">
        <v>371454.75</v>
      </c>
    </row>
    <row r="33" spans="1:31" ht="12.75" customHeight="1">
      <c r="A33" s="696"/>
      <c r="B33" s="1352" t="s">
        <v>1353</v>
      </c>
      <c r="C33" s="2965">
        <v>921182</v>
      </c>
      <c r="D33" s="2966">
        <v>1063600</v>
      </c>
      <c r="E33" s="2966">
        <v>1138530</v>
      </c>
      <c r="F33" s="2966">
        <v>1181825</v>
      </c>
      <c r="G33" s="2966">
        <v>1284960</v>
      </c>
      <c r="H33" s="2965">
        <v>1581508</v>
      </c>
      <c r="I33" s="2966">
        <v>1573660</v>
      </c>
      <c r="J33" s="2966">
        <v>1716468</v>
      </c>
      <c r="K33" s="2966">
        <v>1609873.32</v>
      </c>
      <c r="L33" s="2966">
        <v>1630181.36</v>
      </c>
      <c r="M33" s="2965">
        <v>1665066.11</v>
      </c>
      <c r="N33" s="2966">
        <v>1700443.05</v>
      </c>
      <c r="O33" s="2966">
        <v>1736432.81</v>
      </c>
      <c r="P33" s="2966">
        <v>1773129.48</v>
      </c>
      <c r="Q33" s="2967">
        <v>1808552.26</v>
      </c>
    </row>
    <row r="34" spans="1:31" s="844" customFormat="1" ht="12.75" customHeight="1" thickBot="1">
      <c r="A34" s="843"/>
      <c r="B34" s="1193" t="s">
        <v>208</v>
      </c>
      <c r="C34" s="1149">
        <f t="shared" ref="C34:Q34" si="1">SUM(C30:C33)</f>
        <v>1242064</v>
      </c>
      <c r="D34" s="1150">
        <f t="shared" si="1"/>
        <v>1577596</v>
      </c>
      <c r="E34" s="1150">
        <f t="shared" si="1"/>
        <v>1784335</v>
      </c>
      <c r="F34" s="1150">
        <f t="shared" si="1"/>
        <v>2044380</v>
      </c>
      <c r="G34" s="1151">
        <f t="shared" si="1"/>
        <v>2234360</v>
      </c>
      <c r="H34" s="1149">
        <f t="shared" si="1"/>
        <v>2587884</v>
      </c>
      <c r="I34" s="1150">
        <f t="shared" si="1"/>
        <v>2533792</v>
      </c>
      <c r="J34" s="1150">
        <f t="shared" si="1"/>
        <v>2773353</v>
      </c>
      <c r="K34" s="1150">
        <f t="shared" si="1"/>
        <v>2640909.0274999999</v>
      </c>
      <c r="L34" s="1150">
        <f t="shared" si="1"/>
        <v>2674592.8600000003</v>
      </c>
      <c r="M34" s="1149">
        <f t="shared" si="1"/>
        <v>2709477.6100000003</v>
      </c>
      <c r="N34" s="1150">
        <f t="shared" si="1"/>
        <v>2744854.55</v>
      </c>
      <c r="O34" s="1150">
        <f t="shared" si="1"/>
        <v>2780844.31</v>
      </c>
      <c r="P34" s="1150">
        <f t="shared" si="1"/>
        <v>2817540.98</v>
      </c>
      <c r="Q34" s="1151">
        <f t="shared" si="1"/>
        <v>2852963.76</v>
      </c>
      <c r="U34" s="1172"/>
      <c r="V34" s="1172"/>
      <c r="W34" s="1172"/>
      <c r="X34" s="1172"/>
      <c r="Y34" s="1172"/>
      <c r="Z34" s="1172"/>
      <c r="AA34" s="1172"/>
      <c r="AB34" s="1172"/>
    </row>
    <row r="35" spans="1:31" s="1172" customFormat="1" ht="28.5" customHeight="1" thickBot="1">
      <c r="A35" s="881"/>
      <c r="B35" s="1383" t="s">
        <v>121</v>
      </c>
      <c r="C35" s="4465" t="s">
        <v>1446</v>
      </c>
      <c r="D35" s="4387"/>
      <c r="E35" s="4387"/>
      <c r="F35" s="4387"/>
      <c r="G35" s="4387"/>
      <c r="H35" s="1160"/>
      <c r="I35" s="1160"/>
      <c r="J35" s="1160"/>
      <c r="K35" s="1160"/>
      <c r="L35" s="1160"/>
      <c r="M35" s="1160"/>
      <c r="N35" s="1160"/>
      <c r="O35" s="1160"/>
      <c r="P35" s="1160"/>
      <c r="Q35" s="1189"/>
    </row>
    <row r="36" spans="1:31" s="96" customFormat="1" ht="43.5" customHeight="1" thickBot="1">
      <c r="A36" s="696"/>
      <c r="B36" s="122"/>
      <c r="C36" s="123"/>
      <c r="D36" s="123"/>
      <c r="E36" s="123"/>
      <c r="F36" s="123"/>
      <c r="G36" s="123"/>
      <c r="R36"/>
      <c r="S36"/>
      <c r="T36"/>
      <c r="U36" s="1172"/>
      <c r="V36" s="1172"/>
      <c r="W36" s="1172"/>
      <c r="X36" s="1172"/>
      <c r="Y36" s="1172"/>
      <c r="Z36" s="1172"/>
      <c r="AA36" s="1172"/>
      <c r="AB36" s="1172"/>
      <c r="AC36"/>
      <c r="AD36"/>
      <c r="AE36"/>
    </row>
    <row r="37" spans="1:31" s="69" customFormat="1" ht="16.5" thickBot="1">
      <c r="A37" s="361"/>
      <c r="B37" s="1253" t="s">
        <v>375</v>
      </c>
      <c r="C37" s="1254"/>
      <c r="D37" s="1254"/>
      <c r="E37" s="1254"/>
      <c r="F37" s="1254"/>
      <c r="G37" s="1254"/>
      <c r="H37" s="1254"/>
      <c r="I37" s="1254"/>
      <c r="J37" s="1254"/>
      <c r="K37" s="1254"/>
      <c r="L37" s="1254"/>
      <c r="M37" s="1254"/>
      <c r="N37" s="1254"/>
      <c r="O37" s="1254"/>
      <c r="P37" s="1254"/>
      <c r="Q37" s="1255"/>
      <c r="R37"/>
      <c r="S37"/>
      <c r="T37"/>
      <c r="U37" s="1172"/>
      <c r="V37" s="1172"/>
      <c r="W37" s="1172"/>
      <c r="X37" s="1172"/>
      <c r="Y37" s="1172"/>
      <c r="Z37" s="1172"/>
      <c r="AA37" s="1172"/>
      <c r="AB37" s="1172"/>
      <c r="AC37"/>
      <c r="AD37"/>
      <c r="AE37"/>
    </row>
    <row r="38" spans="1:31" ht="12.75" customHeight="1">
      <c r="A38" s="696"/>
      <c r="B38" s="4454"/>
      <c r="C38" s="4457" t="s">
        <v>36</v>
      </c>
      <c r="D38" s="4308"/>
      <c r="E38" s="4308"/>
      <c r="F38" s="4308"/>
      <c r="G38" s="4308"/>
      <c r="H38" s="4458" t="s">
        <v>37</v>
      </c>
      <c r="I38" s="4459"/>
      <c r="J38" s="4459"/>
      <c r="K38" s="4459"/>
      <c r="L38" s="4459"/>
      <c r="M38" s="4460" t="s">
        <v>73</v>
      </c>
      <c r="N38" s="4460"/>
      <c r="O38" s="4460"/>
      <c r="P38" s="4460"/>
      <c r="Q38" s="4461"/>
    </row>
    <row r="39" spans="1:31" ht="12.75" customHeight="1">
      <c r="A39" s="696"/>
      <c r="B39" s="4455"/>
      <c r="C39" s="3985" t="s">
        <v>543</v>
      </c>
      <c r="D39" s="3986"/>
      <c r="E39" s="3986"/>
      <c r="F39" s="3986"/>
      <c r="G39" s="3986"/>
      <c r="H39" s="3986"/>
      <c r="I39" s="3986"/>
      <c r="J39" s="3986"/>
      <c r="K39" s="3987"/>
      <c r="L39" s="3988" t="str">
        <f>CONCATENATE("$0's, real ",dms_DollarReal)</f>
        <v>$0's, real December 2017</v>
      </c>
      <c r="M39" s="3989"/>
      <c r="N39" s="3989"/>
      <c r="O39" s="3989"/>
      <c r="P39" s="3989"/>
      <c r="Q39" s="4199"/>
    </row>
    <row r="40" spans="1:31" ht="12.75" customHeight="1">
      <c r="A40" s="696"/>
      <c r="B40" s="4455"/>
      <c r="C40" s="3985" t="s">
        <v>54</v>
      </c>
      <c r="D40" s="3986"/>
      <c r="E40" s="3986"/>
      <c r="F40" s="3986"/>
      <c r="G40" s="3986"/>
      <c r="H40" s="3986"/>
      <c r="I40" s="3986"/>
      <c r="J40" s="3987"/>
      <c r="K40" s="3988" t="s">
        <v>55</v>
      </c>
      <c r="L40" s="3989"/>
      <c r="M40" s="3989"/>
      <c r="N40" s="3989"/>
      <c r="O40" s="3989"/>
      <c r="P40" s="3989"/>
      <c r="Q40" s="4199"/>
    </row>
    <row r="41" spans="1:31" ht="12.75" customHeight="1" thickBot="1">
      <c r="A41" s="696"/>
      <c r="B41" s="4456"/>
      <c r="C41" s="343">
        <f t="array" ref="C41:G41">PRCP</f>
        <v>2008</v>
      </c>
      <c r="D41" s="342">
        <v>2009</v>
      </c>
      <c r="E41" s="342">
        <v>2010</v>
      </c>
      <c r="F41" s="342">
        <v>2011</v>
      </c>
      <c r="G41" s="342">
        <v>2012</v>
      </c>
      <c r="H41" s="344">
        <f>CRCP_y1</f>
        <v>2013</v>
      </c>
      <c r="I41" s="344">
        <f>CRCP_y2</f>
        <v>2014</v>
      </c>
      <c r="J41" s="344">
        <f>CRCP_y3</f>
        <v>2015</v>
      </c>
      <c r="K41" s="344">
        <f>CRCP_y4</f>
        <v>2016</v>
      </c>
      <c r="L41" s="344">
        <f>CRCP_y5</f>
        <v>2017</v>
      </c>
      <c r="M41" s="342" t="str">
        <f t="array" ref="M41:Q41">FRCP</f>
        <v>2018</v>
      </c>
      <c r="N41" s="342">
        <v>2019</v>
      </c>
      <c r="O41" s="342">
        <v>2020</v>
      </c>
      <c r="P41" s="342">
        <v>2021</v>
      </c>
      <c r="Q41" s="686">
        <v>2022</v>
      </c>
    </row>
    <row r="42" spans="1:31" ht="12.75" customHeight="1">
      <c r="A42" s="696"/>
      <c r="B42" s="706" t="s">
        <v>1350</v>
      </c>
      <c r="C42" s="1330">
        <f>C30/C18</f>
        <v>162.91025641025641</v>
      </c>
      <c r="D42" s="835">
        <f t="shared" ref="D42:Q42" si="2">D30/D18</f>
        <v>141.875</v>
      </c>
      <c r="E42" s="835">
        <f t="shared" si="2"/>
        <v>150.92592592592592</v>
      </c>
      <c r="F42" s="835">
        <f t="shared" si="2"/>
        <v>157.15217391304347</v>
      </c>
      <c r="G42" s="1331">
        <f t="shared" si="2"/>
        <v>315.82142857142856</v>
      </c>
      <c r="H42" s="1330">
        <f t="shared" si="2"/>
        <v>305.06542056074767</v>
      </c>
      <c r="I42" s="835">
        <f t="shared" si="2"/>
        <v>317.625</v>
      </c>
      <c r="J42" s="835" t="e">
        <f>J30/J18</f>
        <v>#DIV/0!</v>
      </c>
      <c r="K42" s="835">
        <f t="shared" si="2"/>
        <v>167.9759</v>
      </c>
      <c r="L42" s="1331">
        <f t="shared" si="2"/>
        <v>170.155</v>
      </c>
      <c r="M42" s="1328">
        <f t="shared" si="2"/>
        <v>170.155</v>
      </c>
      <c r="N42" s="835">
        <f t="shared" si="2"/>
        <v>170.155</v>
      </c>
      <c r="O42" s="835">
        <f t="shared" si="2"/>
        <v>170.155</v>
      </c>
      <c r="P42" s="835">
        <f t="shared" si="2"/>
        <v>170.155</v>
      </c>
      <c r="Q42" s="836">
        <f t="shared" si="2"/>
        <v>170.155</v>
      </c>
    </row>
    <row r="43" spans="1:31" ht="12.75" customHeight="1">
      <c r="A43" s="696"/>
      <c r="B43" s="1352" t="s">
        <v>1351</v>
      </c>
      <c r="C43" s="1332">
        <f>C31/C19</f>
        <v>46.254363509425183</v>
      </c>
      <c r="D43" s="837">
        <f t="shared" ref="D43:Q43" si="3">D31/D19</f>
        <v>56.845374522504571</v>
      </c>
      <c r="E43" s="837">
        <f t="shared" si="3"/>
        <v>49.791908259244941</v>
      </c>
      <c r="F43" s="837">
        <f t="shared" si="3"/>
        <v>51.150519376747901</v>
      </c>
      <c r="G43" s="1333">
        <f t="shared" si="3"/>
        <v>51.989410858683094</v>
      </c>
      <c r="H43" s="1332">
        <f t="shared" si="3"/>
        <v>53.523414763206631</v>
      </c>
      <c r="I43" s="837">
        <f t="shared" si="3"/>
        <v>54.190614831306732</v>
      </c>
      <c r="J43" s="837">
        <f t="shared" si="3"/>
        <v>55.439159041064812</v>
      </c>
      <c r="K43" s="837">
        <f t="shared" si="3"/>
        <v>56.27</v>
      </c>
      <c r="L43" s="1333">
        <f t="shared" si="3"/>
        <v>57</v>
      </c>
      <c r="M43" s="1329">
        <f t="shared" si="3"/>
        <v>57</v>
      </c>
      <c r="N43" s="837">
        <f t="shared" si="3"/>
        <v>57</v>
      </c>
      <c r="O43" s="837">
        <f t="shared" si="3"/>
        <v>57</v>
      </c>
      <c r="P43" s="837">
        <f t="shared" si="3"/>
        <v>57</v>
      </c>
      <c r="Q43" s="838">
        <f t="shared" si="3"/>
        <v>57</v>
      </c>
    </row>
    <row r="44" spans="1:31" ht="12.75" customHeight="1">
      <c r="A44" s="696"/>
      <c r="B44" s="1352" t="s">
        <v>1352</v>
      </c>
      <c r="C44" s="1332">
        <f t="shared" ref="C44:Q44" si="4">C32/C20</f>
        <v>39.134477825464948</v>
      </c>
      <c r="D44" s="837">
        <f t="shared" si="4"/>
        <v>48.321449792038024</v>
      </c>
      <c r="E44" s="837">
        <f t="shared" si="4"/>
        <v>49.173298846000797</v>
      </c>
      <c r="F44" s="837">
        <f t="shared" si="4"/>
        <v>50.397503671071952</v>
      </c>
      <c r="G44" s="1333">
        <f t="shared" si="4"/>
        <v>51.898725596529282</v>
      </c>
      <c r="H44" s="1332">
        <f t="shared" si="4"/>
        <v>53.489647127442403</v>
      </c>
      <c r="I44" s="837">
        <f t="shared" si="4"/>
        <v>54.206810215322982</v>
      </c>
      <c r="J44" s="837">
        <f t="shared" si="4"/>
        <v>55.428449161246149</v>
      </c>
      <c r="K44" s="837">
        <f t="shared" si="4"/>
        <v>56.267841414761399</v>
      </c>
      <c r="L44" s="1333">
        <f t="shared" si="4"/>
        <v>56.997813411078717</v>
      </c>
      <c r="M44" s="1329">
        <f t="shared" si="4"/>
        <v>56.997813411078717</v>
      </c>
      <c r="N44" s="837">
        <f t="shared" si="4"/>
        <v>56.997813411078717</v>
      </c>
      <c r="O44" s="837">
        <f t="shared" si="4"/>
        <v>56.997813411078717</v>
      </c>
      <c r="P44" s="837">
        <f t="shared" si="4"/>
        <v>56.997813411078717</v>
      </c>
      <c r="Q44" s="838">
        <f t="shared" si="4"/>
        <v>56.997813411078717</v>
      </c>
    </row>
    <row r="45" spans="1:31" ht="12.75" customHeight="1" thickBot="1">
      <c r="A45" s="696"/>
      <c r="B45" s="707" t="s">
        <v>1353</v>
      </c>
      <c r="C45" s="1813">
        <f t="shared" ref="C45:Q45" si="5">C33/C21</f>
        <v>7.0528669101377375</v>
      </c>
      <c r="D45" s="839">
        <f t="shared" si="5"/>
        <v>6.7534875451618843</v>
      </c>
      <c r="E45" s="839">
        <f t="shared" si="5"/>
        <v>7.5763605147929782</v>
      </c>
      <c r="F45" s="839">
        <f t="shared" si="5"/>
        <v>8.0668996539320013</v>
      </c>
      <c r="G45" s="1334">
        <f t="shared" si="5"/>
        <v>8.0579437494120967</v>
      </c>
      <c r="H45" s="1813">
        <f t="shared" si="5"/>
        <v>8.2478891455928913</v>
      </c>
      <c r="I45" s="839">
        <f t="shared" si="5"/>
        <v>8.4018152696209292</v>
      </c>
      <c r="J45" s="839">
        <f t="shared" si="5"/>
        <v>8.5839709544813516</v>
      </c>
      <c r="K45" s="839">
        <f t="shared" si="5"/>
        <v>8.7199763837958173</v>
      </c>
      <c r="L45" s="1334">
        <f t="shared" si="5"/>
        <v>8.8300000270828765</v>
      </c>
      <c r="M45" s="2762">
        <f t="shared" si="5"/>
        <v>8.8299999944052381</v>
      </c>
      <c r="N45" s="839">
        <f t="shared" si="5"/>
        <v>8.8299999977826893</v>
      </c>
      <c r="O45" s="839">
        <f t="shared" si="5"/>
        <v>8.8300000117314141</v>
      </c>
      <c r="P45" s="839">
        <f t="shared" si="5"/>
        <v>8.8300000144466786</v>
      </c>
      <c r="Q45" s="2763">
        <f t="shared" si="5"/>
        <v>8.8300000126160132</v>
      </c>
    </row>
  </sheetData>
  <mergeCells count="24">
    <mergeCell ref="C15:Q15"/>
    <mergeCell ref="C40:J40"/>
    <mergeCell ref="K40:Q40"/>
    <mergeCell ref="C16:J16"/>
    <mergeCell ref="K16:Q16"/>
    <mergeCell ref="C27:K27"/>
    <mergeCell ref="L27:Q27"/>
    <mergeCell ref="C35:G35"/>
    <mergeCell ref="B14:B17"/>
    <mergeCell ref="B38:B41"/>
    <mergeCell ref="C38:G38"/>
    <mergeCell ref="H38:L38"/>
    <mergeCell ref="M38:Q38"/>
    <mergeCell ref="B26:B29"/>
    <mergeCell ref="C26:G26"/>
    <mergeCell ref="H26:L26"/>
    <mergeCell ref="M26:Q26"/>
    <mergeCell ref="C14:G14"/>
    <mergeCell ref="H14:L14"/>
    <mergeCell ref="M14:Q14"/>
    <mergeCell ref="C39:K39"/>
    <mergeCell ref="L39:Q39"/>
    <mergeCell ref="C28:J28"/>
    <mergeCell ref="K28:Q28"/>
  </mergeCells>
  <pageMargins left="0.75" right="0.75" top="1" bottom="1" header="0.5" footer="0.5"/>
  <pageSetup paperSize="9" orientation="portrait" r:id="rId1"/>
  <headerFooter alignWithMargins="0"/>
  <customProperties>
    <customPr name="_pios_id" r:id="rId2"/>
  </customProperties>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F70"/>
  <sheetViews>
    <sheetView showGridLines="0" topLeftCell="A29" zoomScale="85" zoomScaleNormal="85" workbookViewId="0">
      <selection activeCell="A21" sqref="A21"/>
    </sheetView>
  </sheetViews>
  <sheetFormatPr defaultColWidth="9.140625" defaultRowHeight="12.75"/>
  <cols>
    <col min="1" max="1" width="20.7109375" style="1172" customWidth="1"/>
    <col min="2" max="2" width="45.7109375" style="1172" customWidth="1"/>
    <col min="3" max="3" width="30.42578125" style="1172" customWidth="1"/>
    <col min="4" max="4" width="20.140625" style="1172" bestFit="1" customWidth="1"/>
    <col min="5" max="5" width="18.7109375" style="1172" customWidth="1"/>
    <col min="6" max="14" width="15.140625" style="1172" customWidth="1"/>
    <col min="15" max="15" width="15.140625" style="13" customWidth="1"/>
    <col min="16" max="16" width="14" style="1172" customWidth="1"/>
    <col min="17" max="16384" width="9.140625" style="1172"/>
  </cols>
  <sheetData>
    <row r="1" spans="1:32" s="1180" customFormat="1" ht="25.5" customHeight="1">
      <c r="B1" s="2522" t="str">
        <f>IF(dms_DataQuality="backcast",INDEX(dms_Worksheet_List,MATCH(dms_Model,dms_Model_List))&amp;" BACKCAST",INDEX(dms_Worksheet_List,MATCH(dms_Model,dms_Model_List)))</f>
        <v>REGULATORY REPORTING STATEMENT</v>
      </c>
      <c r="C1" s="491"/>
      <c r="D1" s="491"/>
      <c r="E1" s="491"/>
      <c r="F1" s="491"/>
      <c r="G1" s="491"/>
      <c r="H1" s="491"/>
      <c r="I1" s="491"/>
      <c r="J1" s="491"/>
      <c r="K1" s="491"/>
      <c r="L1" s="1172"/>
      <c r="M1" s="1172"/>
      <c r="N1" s="1172"/>
      <c r="O1" s="13"/>
      <c r="P1" s="1172"/>
      <c r="Q1" s="1172"/>
      <c r="R1" s="1172"/>
      <c r="S1" s="1172"/>
      <c r="T1" s="1172"/>
      <c r="U1" s="1172"/>
      <c r="V1" s="1172"/>
      <c r="W1" s="1172"/>
      <c r="X1" s="1172"/>
      <c r="Y1" s="1172"/>
      <c r="Z1" s="1172"/>
      <c r="AA1" s="1172"/>
      <c r="AB1" s="1172"/>
      <c r="AC1" s="1172"/>
      <c r="AD1" s="1172"/>
      <c r="AE1" s="1172"/>
      <c r="AF1" s="1172"/>
    </row>
    <row r="2" spans="1:32" s="1180" customFormat="1" ht="25.5" customHeight="1">
      <c r="B2" s="2526" t="str">
        <f>INDEX(dms_TradingNameFull_List,MATCH(dms_TradingName,dms_TradingName_List))</f>
        <v>AusNet Gas Services</v>
      </c>
      <c r="C2" s="1173"/>
      <c r="D2" s="1173"/>
      <c r="E2" s="1173"/>
      <c r="F2" s="1173"/>
      <c r="G2" s="1173"/>
      <c r="H2" s="1173"/>
      <c r="I2" s="1173"/>
      <c r="J2" s="1173"/>
      <c r="K2" s="1173"/>
      <c r="L2" s="1172"/>
      <c r="M2" s="1172"/>
      <c r="N2" s="1172"/>
      <c r="O2" s="13"/>
      <c r="P2" s="1172"/>
      <c r="Q2" s="1172"/>
      <c r="R2" s="1172"/>
      <c r="S2" s="1172"/>
      <c r="T2" s="1172"/>
      <c r="U2" s="1172"/>
      <c r="V2" s="1172"/>
      <c r="W2" s="1172"/>
      <c r="X2" s="1172"/>
      <c r="Y2" s="1172"/>
      <c r="Z2" s="1172"/>
      <c r="AA2" s="1172"/>
      <c r="AB2" s="1172"/>
      <c r="AC2" s="1172"/>
      <c r="AD2" s="1172"/>
      <c r="AE2" s="1172"/>
      <c r="AF2" s="1172"/>
    </row>
    <row r="3" spans="1:32" s="1180" customFormat="1" ht="25.5" customHeight="1">
      <c r="B3" s="2526" t="str">
        <f ca="1">IF(SUM(dms_SingleYear_Model)&gt;0,CRY,CONCATENATE(FRCP_y1," to ",dms_MultiYear_FinalYear_Result))</f>
        <v>2018 to 2022</v>
      </c>
      <c r="C3" s="1171"/>
      <c r="D3" s="1171"/>
      <c r="E3" s="1171"/>
      <c r="F3" s="1171"/>
      <c r="G3" s="1171"/>
      <c r="H3" s="1171"/>
      <c r="I3" s="1171"/>
      <c r="J3" s="1171"/>
      <c r="K3" s="1171"/>
      <c r="L3" s="1172"/>
      <c r="M3" s="1172"/>
      <c r="N3" s="1172"/>
      <c r="O3" s="13"/>
      <c r="P3" s="1172"/>
      <c r="Q3" s="1172"/>
      <c r="R3" s="1172"/>
      <c r="S3" s="1172"/>
      <c r="T3" s="1172"/>
      <c r="U3" s="1172"/>
      <c r="V3" s="1172"/>
      <c r="W3" s="1172"/>
      <c r="X3" s="1172"/>
      <c r="Y3" s="1172"/>
      <c r="Z3" s="1172"/>
      <c r="AA3" s="1172"/>
      <c r="AB3" s="1172"/>
      <c r="AC3" s="1172"/>
      <c r="AD3" s="1172"/>
      <c r="AE3" s="1172"/>
      <c r="AF3" s="1172"/>
    </row>
    <row r="4" spans="1:32" s="1180" customFormat="1" ht="24" customHeight="1">
      <c r="B4" s="10" t="s">
        <v>365</v>
      </c>
      <c r="C4" s="12"/>
      <c r="D4" s="12"/>
      <c r="E4" s="12"/>
      <c r="F4" s="12"/>
      <c r="G4" s="12"/>
      <c r="H4" s="12"/>
      <c r="I4" s="12"/>
      <c r="J4" s="12"/>
      <c r="K4" s="12"/>
      <c r="L4" s="1172"/>
      <c r="M4" s="1172"/>
      <c r="N4" s="1172"/>
      <c r="O4" s="13"/>
      <c r="P4" s="1172"/>
      <c r="Q4" s="1172"/>
      <c r="R4" s="1172"/>
      <c r="S4" s="1172"/>
      <c r="T4" s="1172"/>
      <c r="U4" s="1172"/>
      <c r="V4" s="1172"/>
      <c r="W4" s="1172"/>
      <c r="X4" s="1172"/>
      <c r="Y4" s="1172"/>
      <c r="Z4" s="1172"/>
      <c r="AA4" s="1172"/>
      <c r="AB4" s="1172"/>
      <c r="AC4" s="1172"/>
      <c r="AD4" s="1172"/>
      <c r="AE4" s="1172"/>
      <c r="AF4" s="1172"/>
    </row>
    <row r="5" spans="1:32">
      <c r="A5" s="1174"/>
      <c r="B5" s="1174"/>
      <c r="C5" s="1174"/>
      <c r="D5" s="1174"/>
      <c r="E5" s="1174"/>
      <c r="F5" s="1174"/>
      <c r="G5" s="1174"/>
      <c r="H5" s="1174"/>
      <c r="I5" s="1174"/>
    </row>
    <row r="6" spans="1:32">
      <c r="A6" s="1174"/>
      <c r="B6" s="1174"/>
      <c r="C6" s="1174"/>
      <c r="D6" s="1174"/>
      <c r="E6" s="1174"/>
      <c r="F6" s="1174"/>
      <c r="G6" s="1174"/>
      <c r="H6" s="1174"/>
      <c r="I6" s="1174"/>
      <c r="J6" s="1174"/>
    </row>
    <row r="7" spans="1:32" s="1837" customFormat="1" ht="27" customHeight="1">
      <c r="A7" s="697"/>
      <c r="B7" s="1336" t="s">
        <v>59</v>
      </c>
      <c r="C7" s="1252"/>
      <c r="D7" s="1252"/>
      <c r="E7" s="1252"/>
      <c r="F7" s="1252"/>
      <c r="G7" s="697"/>
      <c r="H7" s="697"/>
      <c r="I7" s="697"/>
      <c r="J7" s="697"/>
      <c r="O7" s="1335"/>
    </row>
    <row r="8" spans="1:32" s="1837" customFormat="1" ht="18" customHeight="1">
      <c r="A8" s="697"/>
      <c r="B8" s="4024" t="s">
        <v>126</v>
      </c>
      <c r="C8" s="4024"/>
      <c r="D8" s="4024"/>
      <c r="E8" s="1252"/>
      <c r="F8" s="1252"/>
      <c r="G8" s="697"/>
      <c r="H8" s="697"/>
      <c r="I8" s="697"/>
      <c r="J8" s="697"/>
      <c r="O8" s="1335"/>
    </row>
    <row r="9" spans="1:32" s="2752" customFormat="1" ht="30.75" customHeight="1">
      <c r="A9" s="697"/>
      <c r="B9" s="4024" t="s">
        <v>231</v>
      </c>
      <c r="C9" s="4024"/>
      <c r="D9" s="4024"/>
      <c r="E9" s="4024"/>
      <c r="F9" s="4024"/>
      <c r="G9" s="697"/>
      <c r="H9" s="697"/>
      <c r="I9" s="697"/>
      <c r="J9" s="697"/>
      <c r="O9" s="1335"/>
    </row>
    <row r="10" spans="1:32" s="2752" customFormat="1" ht="29.25" customHeight="1">
      <c r="A10" s="697"/>
      <c r="B10" s="4024" t="s">
        <v>1366</v>
      </c>
      <c r="C10" s="4024"/>
      <c r="D10" s="4024"/>
      <c r="E10" s="4024"/>
      <c r="F10" s="4024"/>
      <c r="G10" s="697"/>
      <c r="H10" s="697"/>
      <c r="I10" s="697"/>
      <c r="J10" s="697"/>
      <c r="O10" s="1335"/>
    </row>
    <row r="11" spans="1:32" s="1837" customFormat="1" ht="21.75" customHeight="1">
      <c r="A11" s="697"/>
      <c r="B11" s="4469" t="str">
        <f>CONCATENATE(dms_TradingName, " may add to and/or change the line items if necessary.")</f>
        <v>AusNet (Gas) may add to and/or change the line items if necessary.</v>
      </c>
      <c r="C11" s="4469"/>
      <c r="D11" s="4469"/>
      <c r="E11" s="4469"/>
      <c r="F11" s="4469"/>
      <c r="G11" s="697"/>
      <c r="H11" s="697"/>
      <c r="I11" s="697"/>
      <c r="J11" s="697"/>
      <c r="O11" s="1335"/>
    </row>
    <row r="12" spans="1:32" ht="28.5" customHeight="1" thickBot="1">
      <c r="A12" s="1174"/>
      <c r="G12" s="1174"/>
      <c r="H12" s="1174"/>
      <c r="I12" s="1174"/>
      <c r="J12" s="1174"/>
    </row>
    <row r="13" spans="1:32" ht="16.5" thickBot="1">
      <c r="A13" s="1174"/>
      <c r="B13" s="815" t="s">
        <v>526</v>
      </c>
      <c r="C13" s="815"/>
      <c r="D13" s="830"/>
      <c r="E13" s="830"/>
      <c r="F13" s="830"/>
      <c r="G13" s="830"/>
      <c r="H13" s="830"/>
      <c r="I13" s="830"/>
      <c r="J13" s="830"/>
      <c r="K13" s="830"/>
      <c r="L13" s="830"/>
      <c r="M13" s="830"/>
      <c r="N13" s="830"/>
      <c r="O13" s="830"/>
      <c r="P13" s="831"/>
      <c r="U13" s="13"/>
    </row>
    <row r="14" spans="1:32" ht="25.5" customHeight="1">
      <c r="A14" s="1174"/>
      <c r="B14" s="4470"/>
      <c r="C14" s="4471"/>
      <c r="D14" s="4476" t="s">
        <v>3</v>
      </c>
      <c r="E14" s="4479" t="s">
        <v>4</v>
      </c>
      <c r="F14" s="4488" t="s">
        <v>37</v>
      </c>
      <c r="G14" s="4489"/>
      <c r="H14" s="4489"/>
      <c r="I14" s="4489"/>
      <c r="J14" s="4490"/>
      <c r="K14" s="4491" t="s">
        <v>73</v>
      </c>
      <c r="L14" s="4365"/>
      <c r="M14" s="4365"/>
      <c r="N14" s="4365"/>
      <c r="O14" s="4492"/>
      <c r="P14" s="4483" t="s">
        <v>63</v>
      </c>
      <c r="U14" s="13"/>
    </row>
    <row r="15" spans="1:32" ht="12.75" customHeight="1">
      <c r="A15" s="1174"/>
      <c r="B15" s="4472"/>
      <c r="C15" s="4473"/>
      <c r="D15" s="4477"/>
      <c r="E15" s="4480"/>
      <c r="F15" s="4367" t="s">
        <v>543</v>
      </c>
      <c r="G15" s="4368"/>
      <c r="H15" s="4368"/>
      <c r="I15" s="4368"/>
      <c r="J15" s="4493" t="str">
        <f>CONCATENATE("$0's, real ",dms_DollarReal)</f>
        <v>$0's, real December 2017</v>
      </c>
      <c r="K15" s="4493"/>
      <c r="L15" s="4493"/>
      <c r="M15" s="4493"/>
      <c r="N15" s="4493"/>
      <c r="O15" s="4374"/>
      <c r="P15" s="4484"/>
      <c r="U15" s="13"/>
    </row>
    <row r="16" spans="1:32" ht="12.75" customHeight="1">
      <c r="A16" s="1174"/>
      <c r="B16" s="4472"/>
      <c r="C16" s="4473"/>
      <c r="D16" s="4477"/>
      <c r="E16" s="4481"/>
      <c r="F16" s="4367" t="s">
        <v>54</v>
      </c>
      <c r="G16" s="4368"/>
      <c r="H16" s="4368"/>
      <c r="I16" s="4493" t="s">
        <v>55</v>
      </c>
      <c r="J16" s="4493"/>
      <c r="K16" s="4493"/>
      <c r="L16" s="4493"/>
      <c r="M16" s="4493"/>
      <c r="N16" s="4493"/>
      <c r="O16" s="4374"/>
      <c r="P16" s="4484"/>
      <c r="U16" s="13"/>
    </row>
    <row r="17" spans="1:21" ht="15.75" customHeight="1" thickBot="1">
      <c r="A17" s="1174"/>
      <c r="B17" s="4474"/>
      <c r="C17" s="4475"/>
      <c r="D17" s="4478"/>
      <c r="E17" s="4482"/>
      <c r="F17" s="1438">
        <f>CRCP_y1</f>
        <v>2013</v>
      </c>
      <c r="G17" s="342">
        <f>CRCP_y2</f>
        <v>2014</v>
      </c>
      <c r="H17" s="342">
        <f>CRCP_y3</f>
        <v>2015</v>
      </c>
      <c r="I17" s="344">
        <f>CRCP_y4</f>
        <v>2016</v>
      </c>
      <c r="J17" s="840">
        <f>CRCP_y5</f>
        <v>2017</v>
      </c>
      <c r="K17" s="342" t="str">
        <f t="array" ref="K17:O17">FRCP</f>
        <v>2018</v>
      </c>
      <c r="L17" s="342">
        <v>2019</v>
      </c>
      <c r="M17" s="342">
        <v>2020</v>
      </c>
      <c r="N17" s="342">
        <v>2021</v>
      </c>
      <c r="O17" s="686">
        <v>2022</v>
      </c>
      <c r="P17" s="4485"/>
      <c r="U17" s="13"/>
    </row>
    <row r="18" spans="1:21" ht="13.5" thickBot="1">
      <c r="O18" s="1172"/>
      <c r="U18" s="13"/>
    </row>
    <row r="19" spans="1:21" ht="20.25" customHeight="1" thickBot="1">
      <c r="A19" s="1174"/>
      <c r="B19" s="737" t="s">
        <v>527</v>
      </c>
      <c r="C19" s="738"/>
      <c r="D19" s="738"/>
      <c r="E19" s="738"/>
      <c r="F19" s="738"/>
      <c r="G19" s="738"/>
      <c r="H19" s="738"/>
      <c r="I19" s="738"/>
      <c r="J19" s="738"/>
      <c r="K19" s="738"/>
      <c r="L19" s="738"/>
      <c r="M19" s="738"/>
      <c r="N19" s="738"/>
      <c r="O19" s="738"/>
      <c r="P19" s="739"/>
      <c r="U19" s="13"/>
    </row>
    <row r="20" spans="1:21" ht="25.5">
      <c r="A20" s="1174"/>
      <c r="B20" s="4486" t="s">
        <v>1758</v>
      </c>
      <c r="C20" s="1508" t="s">
        <v>1743</v>
      </c>
      <c r="D20" s="3552">
        <v>1929</v>
      </c>
      <c r="E20" s="3553">
        <v>651</v>
      </c>
      <c r="F20" s="3584">
        <v>135081725.20409998</v>
      </c>
      <c r="G20" s="3585">
        <v>120438884.9522</v>
      </c>
      <c r="H20" s="3585">
        <v>134808675.13050002</v>
      </c>
      <c r="I20" s="3585">
        <v>145070060.67838085</v>
      </c>
      <c r="J20" s="3586">
        <v>157610496.69551367</v>
      </c>
      <c r="K20" s="3584">
        <v>151468494.25517014</v>
      </c>
      <c r="L20" s="3585">
        <v>156775436.62732416</v>
      </c>
      <c r="M20" s="3585">
        <v>162255575.28055346</v>
      </c>
      <c r="N20" s="3585">
        <v>167800487.7468141</v>
      </c>
      <c r="O20" s="3586">
        <v>172693787.78223598</v>
      </c>
      <c r="P20" s="3587">
        <f t="shared" ref="P20:P66" si="0">SUM(K20:O20)</f>
        <v>810993781.6920979</v>
      </c>
      <c r="U20" s="13"/>
    </row>
    <row r="21" spans="1:21" ht="25.5">
      <c r="A21" s="1174"/>
      <c r="B21" s="4467"/>
      <c r="C21" s="1501" t="s">
        <v>1744</v>
      </c>
      <c r="D21" s="3554">
        <v>14915</v>
      </c>
      <c r="E21" s="3555">
        <v>1180</v>
      </c>
      <c r="F21" s="3588">
        <v>8458268.3060999997</v>
      </c>
      <c r="G21" s="3589">
        <v>7480604.2253999999</v>
      </c>
      <c r="H21" s="3589">
        <v>6683687.3263999997</v>
      </c>
      <c r="I21" s="3589">
        <v>7230296.5557562308</v>
      </c>
      <c r="J21" s="3590">
        <v>5824758.8852523044</v>
      </c>
      <c r="K21" s="3588">
        <v>5524728.055736172</v>
      </c>
      <c r="L21" s="3589">
        <v>5714574.2776234122</v>
      </c>
      <c r="M21" s="3589">
        <v>5904178.1346546412</v>
      </c>
      <c r="N21" s="3589">
        <v>6078966.3478808794</v>
      </c>
      <c r="O21" s="3590">
        <v>6267141.1050147349</v>
      </c>
      <c r="P21" s="3591">
        <f t="shared" si="0"/>
        <v>29489587.920909837</v>
      </c>
      <c r="U21" s="13"/>
    </row>
    <row r="22" spans="1:21" ht="25.5">
      <c r="A22" s="1174"/>
      <c r="B22" s="4467"/>
      <c r="C22" s="3453" t="s">
        <v>1745</v>
      </c>
      <c r="D22" s="3556">
        <v>1935</v>
      </c>
      <c r="E22" s="3557">
        <v>518</v>
      </c>
      <c r="F22" s="3592">
        <v>32110318.657400005</v>
      </c>
      <c r="G22" s="3593">
        <v>29524791.759500001</v>
      </c>
      <c r="H22" s="3593">
        <v>31041230.078000002</v>
      </c>
      <c r="I22" s="3593">
        <v>32007982.808118444</v>
      </c>
      <c r="J22" s="3594">
        <v>35005070.814576082</v>
      </c>
      <c r="K22" s="3592">
        <v>33790757.508581579</v>
      </c>
      <c r="L22" s="3593">
        <v>35107715.874479048</v>
      </c>
      <c r="M22" s="3593">
        <v>36464291.512955554</v>
      </c>
      <c r="N22" s="3593">
        <v>37842328.133663759</v>
      </c>
      <c r="O22" s="3594">
        <v>39083053.386386976</v>
      </c>
      <c r="P22" s="3591">
        <f t="shared" si="0"/>
        <v>182288146.41606694</v>
      </c>
      <c r="U22" s="13"/>
    </row>
    <row r="23" spans="1:21" ht="25.5">
      <c r="A23" s="1174"/>
      <c r="B23" s="4467"/>
      <c r="C23" s="3453" t="s">
        <v>1746</v>
      </c>
      <c r="D23" s="3556">
        <v>8871</v>
      </c>
      <c r="E23" s="3557">
        <v>635</v>
      </c>
      <c r="F23" s="3592">
        <v>3143219.3180999998</v>
      </c>
      <c r="G23" s="3593">
        <v>2176665.5842999998</v>
      </c>
      <c r="H23" s="3593">
        <v>2061443.5451000005</v>
      </c>
      <c r="I23" s="3593">
        <v>2057237.3712675539</v>
      </c>
      <c r="J23" s="3594">
        <v>1904175.3967220136</v>
      </c>
      <c r="K23" s="3592">
        <v>1802039.7640384226</v>
      </c>
      <c r="L23" s="3593">
        <v>1852867.3636731512</v>
      </c>
      <c r="M23" s="3593">
        <v>1903346.7904670925</v>
      </c>
      <c r="N23" s="3593">
        <v>1950135.9360478541</v>
      </c>
      <c r="O23" s="3594">
        <v>2002466.1732118696</v>
      </c>
      <c r="P23" s="3591">
        <f t="shared" si="0"/>
        <v>9510856.0274383891</v>
      </c>
      <c r="U23" s="13"/>
    </row>
    <row r="24" spans="1:21" ht="25.5">
      <c r="A24" s="1174"/>
      <c r="B24" s="4467"/>
      <c r="C24" s="3453" t="s">
        <v>1747</v>
      </c>
      <c r="D24" s="3556">
        <v>1441</v>
      </c>
      <c r="E24" s="3557">
        <v>797</v>
      </c>
      <c r="F24" s="3592">
        <v>268307.19740000006</v>
      </c>
      <c r="G24" s="3593">
        <v>263968.33510000003</v>
      </c>
      <c r="H24" s="3593">
        <v>326391.42420000001</v>
      </c>
      <c r="I24" s="3593">
        <v>546988.88669912843</v>
      </c>
      <c r="J24" s="3594">
        <v>637107.40456425305</v>
      </c>
      <c r="K24" s="3592">
        <v>721648.61199059663</v>
      </c>
      <c r="L24" s="3593">
        <v>827858.61930497445</v>
      </c>
      <c r="M24" s="3593">
        <v>915764.39194662042</v>
      </c>
      <c r="N24" s="3593">
        <v>989343.18192061561</v>
      </c>
      <c r="O24" s="3594">
        <v>1040020.7352864655</v>
      </c>
      <c r="P24" s="3591">
        <f t="shared" si="0"/>
        <v>4494635.5404492728</v>
      </c>
      <c r="U24" s="13"/>
    </row>
    <row r="25" spans="1:21" ht="25.5">
      <c r="A25" s="1174"/>
      <c r="B25" s="4467"/>
      <c r="C25" s="3453" t="s">
        <v>1748</v>
      </c>
      <c r="D25" s="3556">
        <v>9283</v>
      </c>
      <c r="E25" s="3557">
        <v>3015</v>
      </c>
      <c r="F25" s="3592">
        <v>7965.7349000000013</v>
      </c>
      <c r="G25" s="3593">
        <v>7207.9477000000006</v>
      </c>
      <c r="H25" s="3593">
        <v>6446.3560000000007</v>
      </c>
      <c r="I25" s="3593">
        <v>18315.164738138181</v>
      </c>
      <c r="J25" s="3594">
        <v>19740.228094480866</v>
      </c>
      <c r="K25" s="3592">
        <v>23500.671866648318</v>
      </c>
      <c r="L25" s="3593">
        <v>27951.123607160938</v>
      </c>
      <c r="M25" s="3593">
        <v>31595.984377119039</v>
      </c>
      <c r="N25" s="3593">
        <v>34519.262135247969</v>
      </c>
      <c r="O25" s="3594">
        <v>36490.883500503231</v>
      </c>
      <c r="P25" s="3591">
        <f t="shared" si="0"/>
        <v>154057.92548667948</v>
      </c>
      <c r="U25" s="13"/>
    </row>
    <row r="26" spans="1:21" ht="25.5">
      <c r="A26" s="1174"/>
      <c r="B26" s="4467"/>
      <c r="C26" s="3453" t="s">
        <v>1749</v>
      </c>
      <c r="D26" s="3556">
        <v>2051</v>
      </c>
      <c r="E26" s="3557">
        <v>909</v>
      </c>
      <c r="F26" s="3592">
        <v>2018025.5343000002</v>
      </c>
      <c r="G26" s="3593">
        <v>1922153.3673999999</v>
      </c>
      <c r="H26" s="3593">
        <v>2199175.2032999997</v>
      </c>
      <c r="I26" s="3593">
        <v>4342255.5985358907</v>
      </c>
      <c r="J26" s="3594">
        <v>4455509.3862144072</v>
      </c>
      <c r="K26" s="3592">
        <v>4381083.5093324929</v>
      </c>
      <c r="L26" s="3593">
        <v>4614634.7132873507</v>
      </c>
      <c r="M26" s="3593">
        <v>4839348.7897945717</v>
      </c>
      <c r="N26" s="3593">
        <v>5057116.7943235161</v>
      </c>
      <c r="O26" s="3594">
        <v>5230471.2140525393</v>
      </c>
      <c r="P26" s="3591">
        <f t="shared" si="0"/>
        <v>24122655.020790469</v>
      </c>
      <c r="U26" s="13"/>
    </row>
    <row r="27" spans="1:21" ht="25.5">
      <c r="A27" s="1174"/>
      <c r="B27" s="4467"/>
      <c r="C27" s="3453" t="s">
        <v>1750</v>
      </c>
      <c r="D27" s="3556">
        <v>13227</v>
      </c>
      <c r="E27" s="3557">
        <v>4014</v>
      </c>
      <c r="F27" s="3592">
        <v>179808.51490000001</v>
      </c>
      <c r="G27" s="3593">
        <v>139635.70369999998</v>
      </c>
      <c r="H27" s="3593">
        <v>153976.42550000001</v>
      </c>
      <c r="I27" s="3593">
        <v>491058.70939831488</v>
      </c>
      <c r="J27" s="3594">
        <v>477808.17948151717</v>
      </c>
      <c r="K27" s="3592">
        <v>455218.0176342887</v>
      </c>
      <c r="L27" s="3593">
        <v>473233.40638214815</v>
      </c>
      <c r="M27" s="3593">
        <v>490378.2116372934</v>
      </c>
      <c r="N27" s="3593">
        <v>505594.07948072208</v>
      </c>
      <c r="O27" s="3594">
        <v>521599.96604163153</v>
      </c>
      <c r="P27" s="3591">
        <f t="shared" si="0"/>
        <v>2446023.6811760841</v>
      </c>
      <c r="U27" s="13"/>
    </row>
    <row r="28" spans="1:21" ht="25.5">
      <c r="A28" s="1174"/>
      <c r="B28" s="4467"/>
      <c r="C28" s="3453" t="s">
        <v>1751</v>
      </c>
      <c r="D28" s="3454" t="s">
        <v>2068</v>
      </c>
      <c r="E28" s="3455" t="s">
        <v>2069</v>
      </c>
      <c r="F28" s="3592">
        <v>5621486.4695947953</v>
      </c>
      <c r="G28" s="3593">
        <v>5308768.268722618</v>
      </c>
      <c r="H28" s="3593">
        <v>4720594.5100000165</v>
      </c>
      <c r="I28" s="3593">
        <v>3264032.8844485558</v>
      </c>
      <c r="J28" s="3594">
        <v>2273915.4880670952</v>
      </c>
      <c r="K28" s="3592">
        <v>1937952.3120674849</v>
      </c>
      <c r="L28" s="3593">
        <v>1968200.9170428682</v>
      </c>
      <c r="M28" s="3593">
        <v>2007111.5399260512</v>
      </c>
      <c r="N28" s="3593">
        <v>2041230.3652129367</v>
      </c>
      <c r="O28" s="3594">
        <v>2062083.3934960226</v>
      </c>
      <c r="P28" s="3591">
        <f t="shared" si="0"/>
        <v>10016578.527745364</v>
      </c>
      <c r="U28" s="13"/>
    </row>
    <row r="29" spans="1:21" ht="25.5">
      <c r="A29" s="1174"/>
      <c r="B29" s="4467"/>
      <c r="C29" s="3453" t="s">
        <v>1752</v>
      </c>
      <c r="D29" s="3454" t="s">
        <v>2068</v>
      </c>
      <c r="E29" s="3455" t="s">
        <v>2069</v>
      </c>
      <c r="F29" s="3592">
        <v>49585.040405203748</v>
      </c>
      <c r="G29" s="3593">
        <v>69071.161277382125</v>
      </c>
      <c r="H29" s="3593">
        <v>65774.940000000192</v>
      </c>
      <c r="I29" s="3593">
        <v>29413.606556046805</v>
      </c>
      <c r="J29" s="3594">
        <v>20288.346302291098</v>
      </c>
      <c r="K29" s="3592">
        <v>17290.813062701964</v>
      </c>
      <c r="L29" s="3593">
        <v>17560.697399266923</v>
      </c>
      <c r="M29" s="3593">
        <v>17907.866058803571</v>
      </c>
      <c r="N29" s="3593">
        <v>18212.281304875931</v>
      </c>
      <c r="O29" s="3594">
        <v>18398.336354625535</v>
      </c>
      <c r="P29" s="3591">
        <f t="shared" si="0"/>
        <v>89369.994180273934</v>
      </c>
      <c r="U29" s="13"/>
    </row>
    <row r="30" spans="1:21" ht="25.5">
      <c r="A30" s="1174"/>
      <c r="B30" s="4467"/>
      <c r="C30" s="3453" t="s">
        <v>1753</v>
      </c>
      <c r="D30" s="3454" t="s">
        <v>2068</v>
      </c>
      <c r="E30" s="3455" t="s">
        <v>2069</v>
      </c>
      <c r="F30" s="3592">
        <v>313982.17976122227</v>
      </c>
      <c r="G30" s="3593">
        <v>-479601.94767622196</v>
      </c>
      <c r="H30" s="3593">
        <v>225198.9599999999</v>
      </c>
      <c r="I30" s="3593">
        <v>231827.12633943337</v>
      </c>
      <c r="J30" s="3594">
        <v>159905.21045441087</v>
      </c>
      <c r="K30" s="3592">
        <v>136279.76674506013</v>
      </c>
      <c r="L30" s="3593">
        <v>138406.89485071041</v>
      </c>
      <c r="M30" s="3593">
        <v>141143.14928659381</v>
      </c>
      <c r="N30" s="3593">
        <v>143542.43719618727</v>
      </c>
      <c r="O30" s="3594">
        <v>145008.85399739086</v>
      </c>
      <c r="P30" s="3591">
        <f t="shared" si="0"/>
        <v>704381.10207594244</v>
      </c>
      <c r="U30" s="13"/>
    </row>
    <row r="31" spans="1:21" ht="26.25" thickBot="1">
      <c r="A31" s="1174"/>
      <c r="B31" s="4468"/>
      <c r="C31" s="1511" t="s">
        <v>1754</v>
      </c>
      <c r="D31" s="1512" t="s">
        <v>2068</v>
      </c>
      <c r="E31" s="1513" t="s">
        <v>2069</v>
      </c>
      <c r="F31" s="3595">
        <v>1246.650238777798</v>
      </c>
      <c r="G31" s="3596">
        <v>666.20767622182473</v>
      </c>
      <c r="H31" s="3596">
        <v>0</v>
      </c>
      <c r="I31" s="3596">
        <v>0</v>
      </c>
      <c r="J31" s="3597">
        <v>0</v>
      </c>
      <c r="K31" s="3595">
        <v>0</v>
      </c>
      <c r="L31" s="3596">
        <v>0</v>
      </c>
      <c r="M31" s="3596">
        <v>0</v>
      </c>
      <c r="N31" s="3596">
        <v>0</v>
      </c>
      <c r="O31" s="3597">
        <v>0</v>
      </c>
      <c r="P31" s="3598">
        <f t="shared" si="0"/>
        <v>0</v>
      </c>
      <c r="U31" s="13"/>
    </row>
    <row r="32" spans="1:21" hidden="1">
      <c r="A32" s="1174"/>
      <c r="B32" s="4466" t="s">
        <v>124</v>
      </c>
      <c r="C32" s="1514" t="s">
        <v>125</v>
      </c>
      <c r="D32" s="1515"/>
      <c r="E32" s="1516"/>
      <c r="F32" s="3599"/>
      <c r="G32" s="3600"/>
      <c r="H32" s="3600"/>
      <c r="I32" s="3600"/>
      <c r="J32" s="3601"/>
      <c r="K32" s="3599"/>
      <c r="L32" s="3600"/>
      <c r="M32" s="3600"/>
      <c r="N32" s="3600"/>
      <c r="O32" s="3601"/>
      <c r="P32" s="3602">
        <f t="shared" ref="P32:P34" si="1">SUM(K32:O32)</f>
        <v>0</v>
      </c>
      <c r="U32" s="13"/>
    </row>
    <row r="33" spans="1:21" hidden="1">
      <c r="A33" s="1174"/>
      <c r="B33" s="4467"/>
      <c r="C33" s="1501" t="s">
        <v>125</v>
      </c>
      <c r="D33" s="1497"/>
      <c r="E33" s="1498"/>
      <c r="F33" s="3588"/>
      <c r="G33" s="3589"/>
      <c r="H33" s="3589"/>
      <c r="I33" s="3589"/>
      <c r="J33" s="3590"/>
      <c r="K33" s="3588"/>
      <c r="L33" s="3589"/>
      <c r="M33" s="3589"/>
      <c r="N33" s="3589"/>
      <c r="O33" s="3590"/>
      <c r="P33" s="3591">
        <f t="shared" si="1"/>
        <v>0</v>
      </c>
      <c r="U33" s="13"/>
    </row>
    <row r="34" spans="1:21" hidden="1">
      <c r="A34" s="1174"/>
      <c r="B34" s="4468"/>
      <c r="C34" s="1511" t="s">
        <v>125</v>
      </c>
      <c r="D34" s="1512"/>
      <c r="E34" s="1513"/>
      <c r="F34" s="3595"/>
      <c r="G34" s="3596"/>
      <c r="H34" s="3596"/>
      <c r="I34" s="3596"/>
      <c r="J34" s="3597"/>
      <c r="K34" s="3595"/>
      <c r="L34" s="3596"/>
      <c r="M34" s="3596"/>
      <c r="N34" s="3596"/>
      <c r="O34" s="3597"/>
      <c r="P34" s="3598">
        <f t="shared" si="1"/>
        <v>0</v>
      </c>
      <c r="U34" s="13"/>
    </row>
    <row r="35" spans="1:21" hidden="1">
      <c r="A35" s="1174"/>
      <c r="B35" s="4467" t="s">
        <v>124</v>
      </c>
      <c r="C35" s="1505" t="s">
        <v>125</v>
      </c>
      <c r="D35" s="1506"/>
      <c r="E35" s="1507"/>
      <c r="F35" s="3603"/>
      <c r="G35" s="3604"/>
      <c r="H35" s="3604"/>
      <c r="I35" s="3604"/>
      <c r="J35" s="3605"/>
      <c r="K35" s="3603"/>
      <c r="L35" s="3604"/>
      <c r="M35" s="3604"/>
      <c r="N35" s="3604"/>
      <c r="O35" s="3605"/>
      <c r="P35" s="3602">
        <f t="shared" si="0"/>
        <v>0</v>
      </c>
      <c r="U35" s="13"/>
    </row>
    <row r="36" spans="1:21" hidden="1">
      <c r="A36" s="1174"/>
      <c r="B36" s="4467"/>
      <c r="C36" s="1501" t="s">
        <v>125</v>
      </c>
      <c r="D36" s="1497"/>
      <c r="E36" s="1498"/>
      <c r="F36" s="3588"/>
      <c r="G36" s="3589"/>
      <c r="H36" s="3589"/>
      <c r="I36" s="3589"/>
      <c r="J36" s="3590"/>
      <c r="K36" s="3588"/>
      <c r="L36" s="3589"/>
      <c r="M36" s="3589"/>
      <c r="N36" s="3589"/>
      <c r="O36" s="3590"/>
      <c r="P36" s="3591">
        <f t="shared" si="0"/>
        <v>0</v>
      </c>
      <c r="U36" s="13"/>
    </row>
    <row r="37" spans="1:21" ht="13.5" hidden="1" thickBot="1">
      <c r="A37" s="1174"/>
      <c r="B37" s="4487"/>
      <c r="C37" s="1502" t="s">
        <v>125</v>
      </c>
      <c r="D37" s="1499"/>
      <c r="E37" s="1500"/>
      <c r="F37" s="3606"/>
      <c r="G37" s="3607"/>
      <c r="H37" s="3607"/>
      <c r="I37" s="3607"/>
      <c r="J37" s="3608"/>
      <c r="K37" s="3606"/>
      <c r="L37" s="3607"/>
      <c r="M37" s="3607"/>
      <c r="N37" s="3607"/>
      <c r="O37" s="3608"/>
      <c r="P37" s="3609">
        <f t="shared" si="0"/>
        <v>0</v>
      </c>
      <c r="U37" s="13"/>
    </row>
    <row r="38" spans="1:21" ht="13.5" thickBot="1">
      <c r="A38" s="1174"/>
      <c r="B38" s="4494" t="s">
        <v>690</v>
      </c>
      <c r="C38" s="4495"/>
      <c r="D38" s="1519"/>
      <c r="E38" s="1520"/>
      <c r="F38" s="3610">
        <f t="shared" ref="F38:O38" si="2">SUM(F20:F37)</f>
        <v>187253938.80720004</v>
      </c>
      <c r="G38" s="3611">
        <f t="shared" si="2"/>
        <v>166852815.56530002</v>
      </c>
      <c r="H38" s="3611">
        <f t="shared" si="2"/>
        <v>182292593.89900008</v>
      </c>
      <c r="I38" s="3611">
        <f t="shared" si="2"/>
        <v>195289469.39023864</v>
      </c>
      <c r="J38" s="3612">
        <f t="shared" si="2"/>
        <v>208388776.03524253</v>
      </c>
      <c r="K38" s="3610">
        <f t="shared" si="2"/>
        <v>200258993.28622562</v>
      </c>
      <c r="L38" s="3611">
        <f t="shared" si="2"/>
        <v>207518440.51497427</v>
      </c>
      <c r="M38" s="3611">
        <f t="shared" si="2"/>
        <v>214970641.65165776</v>
      </c>
      <c r="N38" s="3611">
        <f t="shared" si="2"/>
        <v>222461476.56598067</v>
      </c>
      <c r="O38" s="3612">
        <f t="shared" si="2"/>
        <v>229100521.82957876</v>
      </c>
      <c r="P38" s="3613"/>
      <c r="U38" s="13"/>
    </row>
    <row r="39" spans="1:21" ht="13.5" thickBot="1">
      <c r="D39" s="474"/>
      <c r="E39" s="474"/>
      <c r="F39" s="145"/>
      <c r="G39" s="145"/>
      <c r="H39" s="145"/>
      <c r="I39" s="145"/>
      <c r="J39" s="145"/>
      <c r="K39" s="145"/>
      <c r="L39" s="145"/>
      <c r="M39" s="145"/>
      <c r="N39" s="145"/>
      <c r="O39" s="145"/>
      <c r="P39" s="3614"/>
      <c r="U39" s="13"/>
    </row>
    <row r="40" spans="1:21" ht="20.25" customHeight="1" thickBot="1">
      <c r="A40" s="1174"/>
      <c r="B40" s="737" t="s">
        <v>528</v>
      </c>
      <c r="C40" s="738"/>
      <c r="D40" s="738"/>
      <c r="E40" s="738"/>
      <c r="F40" s="3394"/>
      <c r="G40" s="3395"/>
      <c r="H40" s="3395"/>
      <c r="I40" s="3395"/>
      <c r="J40" s="3615"/>
      <c r="K40" s="3395"/>
      <c r="L40" s="3395"/>
      <c r="M40" s="3395"/>
      <c r="N40" s="3395"/>
      <c r="O40" s="3395"/>
      <c r="P40" s="3396"/>
      <c r="U40" s="13"/>
    </row>
    <row r="41" spans="1:21">
      <c r="A41" s="1174"/>
      <c r="B41" s="4486" t="s">
        <v>1755</v>
      </c>
      <c r="C41" s="1508" t="s">
        <v>125</v>
      </c>
      <c r="D41" s="1509"/>
      <c r="E41" s="1510"/>
      <c r="F41" s="3584">
        <v>32641.7</v>
      </c>
      <c r="G41" s="3585">
        <v>2541</v>
      </c>
      <c r="H41" s="3585">
        <v>0</v>
      </c>
      <c r="I41" s="3585">
        <v>8398.7950000000001</v>
      </c>
      <c r="J41" s="3586">
        <v>8507.7474999999995</v>
      </c>
      <c r="K41" s="3584">
        <v>8507.7474999999995</v>
      </c>
      <c r="L41" s="3585">
        <v>8507.7474999999995</v>
      </c>
      <c r="M41" s="3585">
        <v>8507.7474999999995</v>
      </c>
      <c r="N41" s="3585">
        <v>8507.7474999999995</v>
      </c>
      <c r="O41" s="3586">
        <v>8507.7474999999995</v>
      </c>
      <c r="P41" s="3587">
        <f t="shared" ref="P41:P52" si="3">SUM(K41:O41)</f>
        <v>42538.737499999996</v>
      </c>
      <c r="U41" s="13"/>
    </row>
    <row r="42" spans="1:21">
      <c r="A42" s="1174"/>
      <c r="B42" s="4467"/>
      <c r="C42" s="1501" t="s">
        <v>125</v>
      </c>
      <c r="D42" s="1497"/>
      <c r="E42" s="1498"/>
      <c r="F42" s="3588"/>
      <c r="G42" s="3589"/>
      <c r="H42" s="3589"/>
      <c r="I42" s="3589"/>
      <c r="J42" s="3590"/>
      <c r="K42" s="3588"/>
      <c r="L42" s="3589"/>
      <c r="M42" s="3589"/>
      <c r="N42" s="3589"/>
      <c r="O42" s="3590"/>
      <c r="P42" s="3591">
        <f t="shared" si="3"/>
        <v>0</v>
      </c>
      <c r="U42" s="13"/>
    </row>
    <row r="43" spans="1:21">
      <c r="A43" s="1174"/>
      <c r="B43" s="4468"/>
      <c r="C43" s="1511" t="s">
        <v>125</v>
      </c>
      <c r="D43" s="1512"/>
      <c r="E43" s="1513"/>
      <c r="F43" s="3595"/>
      <c r="G43" s="3596"/>
      <c r="H43" s="3596"/>
      <c r="I43" s="3596"/>
      <c r="J43" s="3597"/>
      <c r="K43" s="3595"/>
      <c r="L43" s="3596"/>
      <c r="M43" s="3596"/>
      <c r="N43" s="3596"/>
      <c r="O43" s="3597"/>
      <c r="P43" s="3598">
        <f t="shared" si="3"/>
        <v>0</v>
      </c>
      <c r="U43" s="13"/>
    </row>
    <row r="44" spans="1:21">
      <c r="A44" s="1174"/>
      <c r="B44" s="4466" t="s">
        <v>1351</v>
      </c>
      <c r="C44" s="1514" t="s">
        <v>125</v>
      </c>
      <c r="D44" s="1515"/>
      <c r="E44" s="1516"/>
      <c r="F44" s="3599">
        <v>606902.39999999676</v>
      </c>
      <c r="G44" s="3600">
        <v>632838.3400000066</v>
      </c>
      <c r="H44" s="3600">
        <v>733071.87000001292</v>
      </c>
      <c r="I44" s="3600">
        <v>655939.39</v>
      </c>
      <c r="J44" s="3601">
        <v>664449</v>
      </c>
      <c r="K44" s="3599">
        <v>664449</v>
      </c>
      <c r="L44" s="3600">
        <v>664449</v>
      </c>
      <c r="M44" s="3600">
        <v>664449</v>
      </c>
      <c r="N44" s="3600">
        <v>664449</v>
      </c>
      <c r="O44" s="3601">
        <v>664449</v>
      </c>
      <c r="P44" s="3602">
        <f t="shared" ref="P44:P46" si="4">SUM(K44:O44)</f>
        <v>3322245</v>
      </c>
      <c r="U44" s="13"/>
    </row>
    <row r="45" spans="1:21">
      <c r="A45" s="1174"/>
      <c r="B45" s="4467"/>
      <c r="C45" s="1501" t="s">
        <v>125</v>
      </c>
      <c r="D45" s="1497"/>
      <c r="E45" s="1498"/>
      <c r="F45" s="3588"/>
      <c r="G45" s="3589"/>
      <c r="H45" s="3589"/>
      <c r="I45" s="3589"/>
      <c r="J45" s="3590"/>
      <c r="K45" s="3588"/>
      <c r="L45" s="3589"/>
      <c r="M45" s="3589"/>
      <c r="N45" s="3589"/>
      <c r="O45" s="3590"/>
      <c r="P45" s="3591">
        <f t="shared" si="4"/>
        <v>0</v>
      </c>
      <c r="U45" s="13"/>
    </row>
    <row r="46" spans="1:21">
      <c r="A46" s="1174"/>
      <c r="B46" s="4468"/>
      <c r="C46" s="1511" t="s">
        <v>125</v>
      </c>
      <c r="D46" s="1512"/>
      <c r="E46" s="1513"/>
      <c r="F46" s="3595"/>
      <c r="G46" s="3596"/>
      <c r="H46" s="3596"/>
      <c r="I46" s="3596"/>
      <c r="J46" s="3597"/>
      <c r="K46" s="3595"/>
      <c r="L46" s="3596"/>
      <c r="M46" s="3596"/>
      <c r="N46" s="3596"/>
      <c r="O46" s="3597"/>
      <c r="P46" s="3598">
        <f t="shared" si="4"/>
        <v>0</v>
      </c>
      <c r="U46" s="13"/>
    </row>
    <row r="47" spans="1:21">
      <c r="A47" s="1174"/>
      <c r="B47" s="4466" t="s">
        <v>1352</v>
      </c>
      <c r="C47" s="1514" t="s">
        <v>125</v>
      </c>
      <c r="D47" s="1515"/>
      <c r="E47" s="1516"/>
      <c r="F47" s="3599">
        <v>366831.99999999726</v>
      </c>
      <c r="G47" s="3600">
        <v>324752.89999999816</v>
      </c>
      <c r="H47" s="3600">
        <v>323813.31999999861</v>
      </c>
      <c r="I47" s="3600">
        <v>366697.52250000002</v>
      </c>
      <c r="J47" s="3601">
        <v>371454.75</v>
      </c>
      <c r="K47" s="3599">
        <v>371454.75</v>
      </c>
      <c r="L47" s="3600">
        <v>371454.75</v>
      </c>
      <c r="M47" s="3600">
        <v>371454.75</v>
      </c>
      <c r="N47" s="3600">
        <v>371454.75</v>
      </c>
      <c r="O47" s="3601">
        <v>371454.75</v>
      </c>
      <c r="P47" s="3602">
        <f t="shared" si="3"/>
        <v>1857273.75</v>
      </c>
      <c r="U47" s="13"/>
    </row>
    <row r="48" spans="1:21">
      <c r="A48" s="1174"/>
      <c r="B48" s="4467"/>
      <c r="C48" s="1501" t="s">
        <v>125</v>
      </c>
      <c r="D48" s="1497"/>
      <c r="E48" s="1498"/>
      <c r="F48" s="3588"/>
      <c r="G48" s="3589"/>
      <c r="H48" s="3589"/>
      <c r="I48" s="3589"/>
      <c r="J48" s="3590"/>
      <c r="K48" s="3588"/>
      <c r="L48" s="3589"/>
      <c r="M48" s="3589"/>
      <c r="N48" s="3589"/>
      <c r="O48" s="3590"/>
      <c r="P48" s="3591">
        <f t="shared" si="3"/>
        <v>0</v>
      </c>
      <c r="U48" s="13"/>
    </row>
    <row r="49" spans="1:21">
      <c r="A49" s="1174"/>
      <c r="B49" s="4468"/>
      <c r="C49" s="1511" t="s">
        <v>125</v>
      </c>
      <c r="D49" s="1512"/>
      <c r="E49" s="1513"/>
      <c r="F49" s="3595"/>
      <c r="G49" s="3596"/>
      <c r="H49" s="3596"/>
      <c r="I49" s="3596"/>
      <c r="J49" s="3597"/>
      <c r="K49" s="3595"/>
      <c r="L49" s="3596"/>
      <c r="M49" s="3596"/>
      <c r="N49" s="3596"/>
      <c r="O49" s="3597"/>
      <c r="P49" s="3598">
        <f t="shared" si="3"/>
        <v>0</v>
      </c>
      <c r="U49" s="13"/>
    </row>
    <row r="50" spans="1:21">
      <c r="A50" s="1174"/>
      <c r="B50" s="4467" t="s">
        <v>1756</v>
      </c>
      <c r="C50" s="1505" t="s">
        <v>125</v>
      </c>
      <c r="D50" s="1506"/>
      <c r="E50" s="1507"/>
      <c r="F50" s="3603">
        <v>1581508.2799998836</v>
      </c>
      <c r="G50" s="3604">
        <v>1573660.140000131</v>
      </c>
      <c r="H50" s="3604">
        <v>1716467.6499997114</v>
      </c>
      <c r="I50" s="3604">
        <v>1609873.32</v>
      </c>
      <c r="J50" s="3605">
        <v>1630181.355</v>
      </c>
      <c r="K50" s="3603">
        <v>1665066.1107289959</v>
      </c>
      <c r="L50" s="3604">
        <v>1700443.0505764449</v>
      </c>
      <c r="M50" s="3604">
        <v>1736432.8079047133</v>
      </c>
      <c r="N50" s="3604">
        <v>1773129.4767364466</v>
      </c>
      <c r="O50" s="3605">
        <v>1808552.2572615948</v>
      </c>
      <c r="P50" s="3602">
        <f t="shared" si="3"/>
        <v>8683623.703208195</v>
      </c>
      <c r="U50" s="13"/>
    </row>
    <row r="51" spans="1:21">
      <c r="A51" s="1174"/>
      <c r="B51" s="4467"/>
      <c r="C51" s="1501" t="s">
        <v>125</v>
      </c>
      <c r="D51" s="1497"/>
      <c r="E51" s="1498"/>
      <c r="F51" s="3588"/>
      <c r="G51" s="3589"/>
      <c r="H51" s="3589"/>
      <c r="I51" s="3589"/>
      <c r="J51" s="3590"/>
      <c r="K51" s="3588"/>
      <c r="L51" s="3589"/>
      <c r="M51" s="3589"/>
      <c r="N51" s="3589"/>
      <c r="O51" s="3590"/>
      <c r="P51" s="3591">
        <f t="shared" si="3"/>
        <v>0</v>
      </c>
      <c r="U51" s="13"/>
    </row>
    <row r="52" spans="1:21" ht="13.5" thickBot="1">
      <c r="A52" s="1174"/>
      <c r="B52" s="4487"/>
      <c r="C52" s="1502" t="s">
        <v>125</v>
      </c>
      <c r="D52" s="1499"/>
      <c r="E52" s="1500"/>
      <c r="F52" s="3606"/>
      <c r="G52" s="3607"/>
      <c r="H52" s="3607"/>
      <c r="I52" s="3607"/>
      <c r="J52" s="3608"/>
      <c r="K52" s="3606"/>
      <c r="L52" s="3607"/>
      <c r="M52" s="3607"/>
      <c r="N52" s="3607"/>
      <c r="O52" s="3608"/>
      <c r="P52" s="3609">
        <f t="shared" si="3"/>
        <v>0</v>
      </c>
      <c r="U52" s="13"/>
    </row>
    <row r="53" spans="1:21" ht="13.5" thickBot="1">
      <c r="A53" s="1174"/>
      <c r="B53" s="4494" t="s">
        <v>691</v>
      </c>
      <c r="C53" s="4495"/>
      <c r="D53" s="1519"/>
      <c r="E53" s="1520"/>
      <c r="F53" s="3610">
        <f>SUM(F41:F52)</f>
        <v>2587884.3799998779</v>
      </c>
      <c r="G53" s="3611">
        <f t="shared" ref="G53:J53" si="5">SUM(G41:G52)</f>
        <v>2533792.3800001359</v>
      </c>
      <c r="H53" s="3611">
        <f t="shared" si="5"/>
        <v>2773352.8399997232</v>
      </c>
      <c r="I53" s="3611">
        <f t="shared" si="5"/>
        <v>2640909.0274999999</v>
      </c>
      <c r="J53" s="3612">
        <f t="shared" si="5"/>
        <v>2674592.8525</v>
      </c>
      <c r="K53" s="3610">
        <f>SUM(K41:K52)</f>
        <v>2709477.6082289959</v>
      </c>
      <c r="L53" s="3611">
        <f t="shared" ref="L53:O53" si="6">SUM(L41:L52)</f>
        <v>2744854.5480764452</v>
      </c>
      <c r="M53" s="3611">
        <f t="shared" si="6"/>
        <v>2780844.3054047134</v>
      </c>
      <c r="N53" s="3611">
        <f t="shared" si="6"/>
        <v>2817540.9742364464</v>
      </c>
      <c r="O53" s="3612">
        <f t="shared" si="6"/>
        <v>2852963.7547615948</v>
      </c>
      <c r="P53" s="3613"/>
      <c r="U53" s="13"/>
    </row>
    <row r="54" spans="1:21" ht="13.5" thickBot="1">
      <c r="D54" s="474"/>
      <c r="E54" s="474"/>
      <c r="F54" s="145"/>
      <c r="G54" s="145"/>
      <c r="H54" s="145"/>
      <c r="I54" s="145"/>
      <c r="J54" s="145"/>
      <c r="K54" s="145"/>
      <c r="L54" s="145"/>
      <c r="M54" s="145"/>
      <c r="N54" s="145"/>
      <c r="O54" s="145"/>
      <c r="P54" s="3614"/>
      <c r="U54" s="13"/>
    </row>
    <row r="55" spans="1:21" ht="20.25" customHeight="1" thickBot="1">
      <c r="A55" s="1174"/>
      <c r="B55" s="790" t="s">
        <v>529</v>
      </c>
      <c r="C55" s="791"/>
      <c r="D55" s="738"/>
      <c r="E55" s="738"/>
      <c r="F55" s="3395"/>
      <c r="G55" s="3395"/>
      <c r="H55" s="3395"/>
      <c r="I55" s="3395"/>
      <c r="J55" s="3395"/>
      <c r="K55" s="3395"/>
      <c r="L55" s="3395"/>
      <c r="M55" s="3395"/>
      <c r="N55" s="3395"/>
      <c r="O55" s="3395"/>
      <c r="P55" s="3396"/>
      <c r="U55" s="13"/>
    </row>
    <row r="56" spans="1:21" ht="13.5" thickBot="1">
      <c r="A56" s="1174"/>
      <c r="B56" s="4498" t="s">
        <v>127</v>
      </c>
      <c r="C56" s="4499"/>
      <c r="D56" s="1517"/>
      <c r="E56" s="1518"/>
      <c r="F56" s="3588"/>
      <c r="G56" s="3589"/>
      <c r="H56" s="3589"/>
      <c r="I56" s="3589"/>
      <c r="J56" s="3590"/>
      <c r="K56" s="3588"/>
      <c r="L56" s="3589"/>
      <c r="M56" s="3589"/>
      <c r="N56" s="3589"/>
      <c r="O56" s="3590"/>
      <c r="P56" s="3616">
        <f>SUM(K56:O56)</f>
        <v>0</v>
      </c>
      <c r="U56" s="13"/>
    </row>
    <row r="57" spans="1:21" hidden="1">
      <c r="A57" s="1174"/>
      <c r="B57" s="4500" t="s">
        <v>127</v>
      </c>
      <c r="C57" s="4501"/>
      <c r="D57" s="1503"/>
      <c r="E57" s="1504"/>
      <c r="F57" s="3588"/>
      <c r="G57" s="3589"/>
      <c r="H57" s="3589"/>
      <c r="I57" s="3589"/>
      <c r="J57" s="3590"/>
      <c r="K57" s="3588"/>
      <c r="L57" s="3589"/>
      <c r="M57" s="3589"/>
      <c r="N57" s="3589"/>
      <c r="O57" s="3590"/>
      <c r="P57" s="3616">
        <f>SUM(K57:O57)</f>
        <v>0</v>
      </c>
      <c r="U57" s="13"/>
    </row>
    <row r="58" spans="1:21" hidden="1">
      <c r="A58" s="1174"/>
      <c r="B58" s="4500" t="s">
        <v>127</v>
      </c>
      <c r="C58" s="4501"/>
      <c r="D58" s="1503"/>
      <c r="E58" s="1504"/>
      <c r="F58" s="3588"/>
      <c r="G58" s="3589"/>
      <c r="H58" s="3589"/>
      <c r="I58" s="3589"/>
      <c r="J58" s="3590"/>
      <c r="K58" s="3588"/>
      <c r="L58" s="3589"/>
      <c r="M58" s="3589"/>
      <c r="N58" s="3589"/>
      <c r="O58" s="3590"/>
      <c r="P58" s="3616">
        <f>SUM(K58:O58)</f>
        <v>0</v>
      </c>
      <c r="U58" s="13"/>
    </row>
    <row r="59" spans="1:21" ht="13.5" hidden="1" thickBot="1">
      <c r="A59" s="1174"/>
      <c r="B59" s="4496" t="s">
        <v>127</v>
      </c>
      <c r="C59" s="4497"/>
      <c r="D59" s="1499"/>
      <c r="E59" s="1500"/>
      <c r="F59" s="3606"/>
      <c r="G59" s="3607"/>
      <c r="H59" s="3607"/>
      <c r="I59" s="3607"/>
      <c r="J59" s="3608"/>
      <c r="K59" s="3606"/>
      <c r="L59" s="3607"/>
      <c r="M59" s="3607"/>
      <c r="N59" s="3607"/>
      <c r="O59" s="3608"/>
      <c r="P59" s="3609">
        <f>SUM(K59:O59)</f>
        <v>0</v>
      </c>
      <c r="U59" s="13"/>
    </row>
    <row r="60" spans="1:21" ht="13.5" thickBot="1">
      <c r="A60" s="1174"/>
      <c r="B60" s="4494" t="s">
        <v>692</v>
      </c>
      <c r="C60" s="4495"/>
      <c r="D60" s="1519"/>
      <c r="E60" s="1520"/>
      <c r="F60" s="3610">
        <f>SUM(F56:F59)</f>
        <v>0</v>
      </c>
      <c r="G60" s="3611">
        <f t="shared" ref="G60:J60" si="7">SUM(G56:G59)</f>
        <v>0</v>
      </c>
      <c r="H60" s="3611">
        <f t="shared" si="7"/>
        <v>0</v>
      </c>
      <c r="I60" s="3611">
        <f t="shared" si="7"/>
        <v>0</v>
      </c>
      <c r="J60" s="3612">
        <f t="shared" si="7"/>
        <v>0</v>
      </c>
      <c r="K60" s="3610">
        <f>SUM(K56:K59)</f>
        <v>0</v>
      </c>
      <c r="L60" s="3611">
        <f t="shared" ref="L60" si="8">SUM(L56:L59)</f>
        <v>0</v>
      </c>
      <c r="M60" s="3611">
        <f t="shared" ref="M60" si="9">SUM(M56:M59)</f>
        <v>0</v>
      </c>
      <c r="N60" s="3611">
        <f t="shared" ref="N60" si="10">SUM(N56:N59)</f>
        <v>0</v>
      </c>
      <c r="O60" s="3612">
        <f t="shared" ref="O60" si="11">SUM(O56:O59)</f>
        <v>0</v>
      </c>
      <c r="P60" s="3613"/>
      <c r="U60" s="13"/>
    </row>
    <row r="61" spans="1:21" ht="13.5" thickBot="1">
      <c r="D61" s="474"/>
      <c r="E61" s="474"/>
      <c r="F61" s="145"/>
      <c r="G61" s="145"/>
      <c r="H61" s="145"/>
      <c r="I61" s="145"/>
      <c r="J61" s="145"/>
      <c r="K61" s="145"/>
      <c r="L61" s="145"/>
      <c r="M61" s="145"/>
      <c r="N61" s="145"/>
      <c r="O61" s="145"/>
      <c r="P61" s="3614"/>
      <c r="U61" s="13"/>
    </row>
    <row r="62" spans="1:21" ht="20.25" customHeight="1" thickBot="1">
      <c r="A62" s="1174"/>
      <c r="B62" s="737" t="s">
        <v>530</v>
      </c>
      <c r="C62" s="738"/>
      <c r="D62" s="738"/>
      <c r="E62" s="738"/>
      <c r="F62" s="3395"/>
      <c r="G62" s="3395"/>
      <c r="H62" s="3395"/>
      <c r="I62" s="3395"/>
      <c r="J62" s="3395"/>
      <c r="K62" s="3395"/>
      <c r="L62" s="3395"/>
      <c r="M62" s="3395"/>
      <c r="N62" s="3395"/>
      <c r="O62" s="3395"/>
      <c r="P62" s="3396"/>
      <c r="U62" s="13"/>
    </row>
    <row r="63" spans="1:21" ht="13.5" thickBot="1">
      <c r="A63" s="1174"/>
      <c r="B63" s="4498" t="s">
        <v>1757</v>
      </c>
      <c r="C63" s="4499"/>
      <c r="D63" s="1517"/>
      <c r="E63" s="1518"/>
      <c r="F63" s="3588">
        <v>1833276.44156478</v>
      </c>
      <c r="G63" s="3589">
        <v>2455026.9443703401</v>
      </c>
      <c r="H63" s="3589">
        <v>2627279.6776417922</v>
      </c>
      <c r="I63" s="3589">
        <v>2387056.1734873764</v>
      </c>
      <c r="J63" s="3590">
        <v>2437866.3744883691</v>
      </c>
      <c r="K63" s="3588">
        <v>2437866.3744883691</v>
      </c>
      <c r="L63" s="3589">
        <v>2437866.3744883691</v>
      </c>
      <c r="M63" s="3589">
        <v>2437866.3744883691</v>
      </c>
      <c r="N63" s="3589">
        <v>2437866.3744883691</v>
      </c>
      <c r="O63" s="3590">
        <v>2437866.3744883691</v>
      </c>
      <c r="P63" s="3616">
        <f>SUM(K63:O63)</f>
        <v>12189331.872441845</v>
      </c>
      <c r="U63" s="13"/>
    </row>
    <row r="64" spans="1:21" hidden="1">
      <c r="A64" s="1174"/>
      <c r="B64" s="4500" t="s">
        <v>128</v>
      </c>
      <c r="C64" s="4501"/>
      <c r="D64" s="1503"/>
      <c r="E64" s="1504"/>
      <c r="F64" s="3588"/>
      <c r="G64" s="3589"/>
      <c r="H64" s="3589"/>
      <c r="I64" s="3589"/>
      <c r="J64" s="3590"/>
      <c r="K64" s="3588"/>
      <c r="L64" s="3589"/>
      <c r="M64" s="3589"/>
      <c r="N64" s="3589"/>
      <c r="O64" s="3590"/>
      <c r="P64" s="3616">
        <f>SUM(K64:O64)</f>
        <v>0</v>
      </c>
      <c r="U64" s="13"/>
    </row>
    <row r="65" spans="1:21" hidden="1">
      <c r="A65" s="1174"/>
      <c r="B65" s="4500" t="s">
        <v>128</v>
      </c>
      <c r="C65" s="4501"/>
      <c r="D65" s="1503"/>
      <c r="E65" s="1504"/>
      <c r="F65" s="3588"/>
      <c r="G65" s="3589"/>
      <c r="H65" s="3589"/>
      <c r="I65" s="3589"/>
      <c r="J65" s="3590"/>
      <c r="K65" s="3588"/>
      <c r="L65" s="3589"/>
      <c r="M65" s="3589"/>
      <c r="N65" s="3589"/>
      <c r="O65" s="3590"/>
      <c r="P65" s="3616">
        <f>SUM(K65:O65)</f>
        <v>0</v>
      </c>
      <c r="U65" s="13"/>
    </row>
    <row r="66" spans="1:21" ht="13.5" hidden="1" thickBot="1">
      <c r="A66" s="1174"/>
      <c r="B66" s="4496" t="s">
        <v>128</v>
      </c>
      <c r="C66" s="4497"/>
      <c r="D66" s="1499"/>
      <c r="E66" s="1500"/>
      <c r="F66" s="3606"/>
      <c r="G66" s="3607"/>
      <c r="H66" s="3607"/>
      <c r="I66" s="3607"/>
      <c r="J66" s="3608"/>
      <c r="K66" s="3606"/>
      <c r="L66" s="3607"/>
      <c r="M66" s="3607"/>
      <c r="N66" s="3607"/>
      <c r="O66" s="3608"/>
      <c r="P66" s="3609">
        <f t="shared" si="0"/>
        <v>0</v>
      </c>
      <c r="U66" s="13"/>
    </row>
    <row r="67" spans="1:21" ht="13.5" thickBot="1">
      <c r="A67" s="1174"/>
      <c r="B67" s="4494" t="s">
        <v>693</v>
      </c>
      <c r="C67" s="4495"/>
      <c r="D67" s="1519"/>
      <c r="E67" s="1520"/>
      <c r="F67" s="3610">
        <f>SUM(F63:F66)</f>
        <v>1833276.44156478</v>
      </c>
      <c r="G67" s="3611">
        <f t="shared" ref="G67:J67" si="12">SUM(G63:G66)</f>
        <v>2455026.9443703401</v>
      </c>
      <c r="H67" s="3611">
        <f t="shared" si="12"/>
        <v>2627279.6776417922</v>
      </c>
      <c r="I67" s="3611">
        <f t="shared" si="12"/>
        <v>2387056.1734873764</v>
      </c>
      <c r="J67" s="3612">
        <f t="shared" si="12"/>
        <v>2437866.3744883691</v>
      </c>
      <c r="K67" s="3610">
        <f>SUM(K63:K66)</f>
        <v>2437866.3744883691</v>
      </c>
      <c r="L67" s="3611">
        <f t="shared" ref="L67:O67" si="13">SUM(L63:L66)</f>
        <v>2437866.3744883691</v>
      </c>
      <c r="M67" s="3611">
        <f t="shared" si="13"/>
        <v>2437866.3744883691</v>
      </c>
      <c r="N67" s="3611">
        <f t="shared" si="13"/>
        <v>2437866.3744883691</v>
      </c>
      <c r="O67" s="3612">
        <f t="shared" si="13"/>
        <v>2437866.3744883691</v>
      </c>
      <c r="P67" s="3613">
        <f>SUM(P20:P66)</f>
        <v>1100405086.9115672</v>
      </c>
      <c r="U67" s="13"/>
    </row>
    <row r="68" spans="1:21" ht="13.5" thickBot="1">
      <c r="A68" s="1174"/>
      <c r="F68" s="3614"/>
      <c r="G68" s="3614"/>
      <c r="H68" s="3614"/>
      <c r="I68" s="3614"/>
      <c r="J68" s="3614"/>
      <c r="K68" s="3614"/>
      <c r="L68" s="3614"/>
      <c r="M68" s="3614"/>
      <c r="N68" s="3614"/>
      <c r="O68" s="3614"/>
      <c r="P68" s="3614"/>
    </row>
    <row r="69" spans="1:21" ht="20.25" customHeight="1" thickBot="1">
      <c r="A69" s="1174"/>
      <c r="B69" s="737" t="s">
        <v>689</v>
      </c>
      <c r="C69" s="738"/>
      <c r="D69" s="738"/>
      <c r="E69" s="738"/>
      <c r="F69" s="3395"/>
      <c r="G69" s="3395"/>
      <c r="H69" s="3395"/>
      <c r="I69" s="3395"/>
      <c r="J69" s="3395"/>
      <c r="K69" s="3395"/>
      <c r="L69" s="3395"/>
      <c r="M69" s="3395"/>
      <c r="N69" s="3395"/>
      <c r="O69" s="3395"/>
      <c r="P69" s="3396"/>
      <c r="U69" s="13"/>
    </row>
    <row r="70" spans="1:21" ht="13.5" thickBot="1">
      <c r="A70" s="1174"/>
      <c r="B70" s="4494" t="s">
        <v>63</v>
      </c>
      <c r="C70" s="4495"/>
      <c r="D70" s="1519"/>
      <c r="E70" s="1520"/>
      <c r="F70" s="3610">
        <f>SUM(F67,F60,F53,F38)</f>
        <v>191675099.62876469</v>
      </c>
      <c r="G70" s="3611">
        <f t="shared" ref="G70:O70" si="14">SUM(G67,G60,G53,G38)</f>
        <v>171841634.88967049</v>
      </c>
      <c r="H70" s="3611">
        <f t="shared" si="14"/>
        <v>187693226.41664159</v>
      </c>
      <c r="I70" s="3611">
        <f t="shared" si="14"/>
        <v>200317434.59122601</v>
      </c>
      <c r="J70" s="3612">
        <f t="shared" si="14"/>
        <v>213501235.2622309</v>
      </c>
      <c r="K70" s="3610">
        <f t="shared" si="14"/>
        <v>205406337.26894298</v>
      </c>
      <c r="L70" s="3611">
        <f t="shared" si="14"/>
        <v>212701161.43753907</v>
      </c>
      <c r="M70" s="3611">
        <f t="shared" si="14"/>
        <v>220189352.33155084</v>
      </c>
      <c r="N70" s="3611">
        <f t="shared" si="14"/>
        <v>227716883.91470549</v>
      </c>
      <c r="O70" s="3612">
        <f t="shared" si="14"/>
        <v>234391351.95882872</v>
      </c>
      <c r="P70" s="3613">
        <v>0</v>
      </c>
      <c r="U70" s="13"/>
    </row>
  </sheetData>
  <mergeCells count="34">
    <mergeCell ref="B60:C60"/>
    <mergeCell ref="B53:C53"/>
    <mergeCell ref="B38:C38"/>
    <mergeCell ref="B70:C70"/>
    <mergeCell ref="B59:C59"/>
    <mergeCell ref="B63:C63"/>
    <mergeCell ref="B64:C64"/>
    <mergeCell ref="B65:C65"/>
    <mergeCell ref="B66:C66"/>
    <mergeCell ref="B67:C67"/>
    <mergeCell ref="B41:B43"/>
    <mergeCell ref="B47:B49"/>
    <mergeCell ref="B50:B52"/>
    <mergeCell ref="B56:C56"/>
    <mergeCell ref="B57:C57"/>
    <mergeCell ref="B58:C58"/>
    <mergeCell ref="P14:P17"/>
    <mergeCell ref="B20:B31"/>
    <mergeCell ref="B32:B34"/>
    <mergeCell ref="B35:B37"/>
    <mergeCell ref="F14:J14"/>
    <mergeCell ref="K14:O14"/>
    <mergeCell ref="I16:O16"/>
    <mergeCell ref="F16:H16"/>
    <mergeCell ref="J15:O15"/>
    <mergeCell ref="B44:B46"/>
    <mergeCell ref="B8:D8"/>
    <mergeCell ref="B11:F11"/>
    <mergeCell ref="B14:C17"/>
    <mergeCell ref="D14:D17"/>
    <mergeCell ref="E14:E17"/>
    <mergeCell ref="F15:I15"/>
    <mergeCell ref="B9:F9"/>
    <mergeCell ref="B10:F10"/>
  </mergeCells>
  <pageMargins left="0.75" right="0.75" top="1" bottom="1" header="0.5" footer="0.5"/>
  <pageSetup paperSize="9" orientation="portrait" r:id="rId1"/>
  <headerFooter alignWithMargins="0"/>
  <customProperties>
    <customPr name="_pios_id" r:id="rId2"/>
  </customProperties>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autoPageBreaks="0"/>
  </sheetPr>
  <dimension ref="A1:ED127"/>
  <sheetViews>
    <sheetView showGridLines="0" topLeftCell="D94" zoomScale="85" zoomScaleNormal="85" workbookViewId="0">
      <selection activeCell="D135" sqref="D135"/>
    </sheetView>
  </sheetViews>
  <sheetFormatPr defaultColWidth="9.140625" defaultRowHeight="12.75"/>
  <cols>
    <col min="1" max="1" width="16.28515625" style="93" bestFit="1" customWidth="1"/>
    <col min="2" max="2" width="54.42578125" style="93" customWidth="1"/>
    <col min="3" max="3" width="52.140625" style="93" customWidth="1"/>
    <col min="4" max="17" width="15.7109375" style="93" customWidth="1"/>
    <col min="18" max="18" width="14" customWidth="1"/>
    <col min="19" max="36" width="8.7109375" customWidth="1"/>
    <col min="37" max="16384" width="9.140625" style="93"/>
  </cols>
  <sheetData>
    <row r="1" spans="1:134" s="177" customFormat="1" ht="24.95" customHeight="1">
      <c r="B1" s="2522" t="str">
        <f>IF(dms_DataQuality="backcast",INDEX(dms_Worksheet_List,MATCH(dms_Model,dms_Model_List))&amp;" BACKCAST",INDEX(dms_Worksheet_List,MATCH(dms_Model,dms_Model_List)))</f>
        <v>REGULATORY REPORTING STATEMENT</v>
      </c>
      <c r="C1" s="491"/>
      <c r="D1" s="491"/>
      <c r="E1" s="491"/>
      <c r="F1" s="491"/>
      <c r="G1" s="491"/>
      <c r="H1" s="491"/>
      <c r="I1" s="491"/>
      <c r="J1" s="491"/>
      <c r="K1" s="491"/>
      <c r="L1" s="491"/>
      <c r="M1" s="491"/>
      <c r="N1" s="491"/>
      <c r="O1" s="491"/>
      <c r="P1" s="491"/>
      <c r="Q1" s="491"/>
      <c r="R1" s="491"/>
      <c r="S1"/>
      <c r="T1"/>
      <c r="U1"/>
      <c r="V1"/>
      <c r="W1"/>
      <c r="X1"/>
      <c r="Y1"/>
      <c r="Z1"/>
      <c r="AA1"/>
      <c r="AB1"/>
      <c r="AC1"/>
      <c r="AD1"/>
      <c r="AE1"/>
      <c r="AF1"/>
      <c r="AG1"/>
      <c r="AH1"/>
      <c r="AI1"/>
      <c r="AJ1"/>
    </row>
    <row r="2" spans="1:134" s="177" customFormat="1" ht="24.95" customHeight="1">
      <c r="B2" s="2526" t="str">
        <f>INDEX(dms_TradingNameFull_List,MATCH(dms_TradingName,dms_TradingName_List))</f>
        <v>AusNet Gas Services</v>
      </c>
      <c r="C2" s="180"/>
      <c r="D2" s="180"/>
      <c r="E2" s="180"/>
      <c r="F2" s="180"/>
      <c r="G2" s="180"/>
      <c r="H2" s="180"/>
      <c r="I2" s="180"/>
      <c r="J2" s="180"/>
      <c r="K2" s="180"/>
      <c r="L2" s="180"/>
      <c r="M2" s="180"/>
      <c r="N2" s="180"/>
      <c r="O2" s="180"/>
      <c r="P2" s="180"/>
      <c r="Q2" s="180"/>
      <c r="R2" s="1173"/>
      <c r="S2"/>
      <c r="T2"/>
      <c r="U2"/>
      <c r="V2"/>
      <c r="W2"/>
      <c r="X2"/>
      <c r="Y2"/>
      <c r="Z2"/>
      <c r="AA2"/>
      <c r="AB2"/>
      <c r="AC2"/>
      <c r="AD2"/>
      <c r="AE2"/>
      <c r="AF2"/>
      <c r="AG2"/>
      <c r="AH2"/>
      <c r="AI2"/>
      <c r="AJ2"/>
    </row>
    <row r="3" spans="1:134" s="177" customFormat="1" ht="24.95" customHeight="1">
      <c r="B3" s="2526" t="str">
        <f ca="1">IF(SUM(dms_SingleYear_Model)&gt;0,CRY,CONCATENATE(FRCP_y1," to ",dms_MultiYear_FinalYear_Result))</f>
        <v>2018 to 2022</v>
      </c>
      <c r="C3" s="181"/>
      <c r="D3" s="181"/>
      <c r="E3" s="181"/>
      <c r="F3" s="181"/>
      <c r="G3" s="181"/>
      <c r="H3" s="181"/>
      <c r="I3" s="181"/>
      <c r="J3" s="181"/>
      <c r="K3" s="181"/>
      <c r="L3" s="181"/>
      <c r="M3" s="181"/>
      <c r="N3" s="181"/>
      <c r="O3" s="181"/>
      <c r="P3" s="181"/>
      <c r="Q3" s="181"/>
      <c r="R3" s="1171"/>
      <c r="S3"/>
      <c r="T3"/>
      <c r="U3"/>
      <c r="V3"/>
      <c r="W3"/>
      <c r="X3"/>
      <c r="Y3"/>
      <c r="Z3"/>
      <c r="AA3"/>
      <c r="AB3"/>
      <c r="AC3"/>
      <c r="AD3"/>
      <c r="AE3"/>
      <c r="AF3"/>
      <c r="AG3"/>
      <c r="AH3"/>
      <c r="AI3"/>
      <c r="AJ3"/>
    </row>
    <row r="4" spans="1:134" s="159" customFormat="1" ht="24" customHeight="1">
      <c r="B4" s="10" t="s">
        <v>366</v>
      </c>
      <c r="C4" s="12"/>
      <c r="D4" s="12"/>
      <c r="E4" s="12"/>
      <c r="F4" s="12"/>
      <c r="G4" s="12"/>
      <c r="H4" s="12"/>
      <c r="I4" s="12"/>
      <c r="J4" s="12"/>
      <c r="K4" s="12"/>
      <c r="L4" s="12"/>
      <c r="M4" s="12"/>
      <c r="N4" s="12"/>
      <c r="O4" s="12"/>
      <c r="P4" s="12"/>
      <c r="Q4" s="12"/>
      <c r="R4" s="12"/>
      <c r="S4"/>
      <c r="T4"/>
      <c r="U4"/>
      <c r="V4"/>
      <c r="W4"/>
      <c r="X4"/>
      <c r="Y4"/>
      <c r="Z4"/>
      <c r="AA4"/>
      <c r="AB4"/>
      <c r="AC4"/>
      <c r="AD4"/>
      <c r="AE4"/>
      <c r="AF4"/>
      <c r="AG4"/>
      <c r="AH4"/>
      <c r="AI4"/>
      <c r="AJ4"/>
    </row>
    <row r="5" spans="1:134" ht="23.25" customHeight="1">
      <c r="A5" s="360"/>
      <c r="B5" s="262"/>
      <c r="C5" s="262"/>
      <c r="D5" s="262"/>
      <c r="E5" s="262"/>
      <c r="F5" s="262"/>
      <c r="G5" s="262"/>
      <c r="H5" s="262"/>
      <c r="I5" s="262"/>
      <c r="J5" s="262"/>
      <c r="K5" s="262"/>
      <c r="L5" s="262"/>
      <c r="M5" s="262"/>
      <c r="N5" s="262"/>
      <c r="O5" s="262"/>
      <c r="P5" s="262"/>
      <c r="Q5"/>
    </row>
    <row r="6" spans="1:134" ht="28.5" customHeight="1">
      <c r="A6" s="262"/>
      <c r="B6" s="4512" t="s">
        <v>59</v>
      </c>
      <c r="C6" s="4512"/>
      <c r="D6" s="4512"/>
      <c r="E6" s="4512"/>
      <c r="F6" s="4512"/>
      <c r="G6"/>
      <c r="H6"/>
      <c r="I6"/>
      <c r="J6"/>
      <c r="K6"/>
      <c r="L6"/>
      <c r="M6"/>
    </row>
    <row r="7" spans="1:134" ht="20.25" customHeight="1">
      <c r="A7" s="262"/>
      <c r="B7" s="4502" t="s">
        <v>8</v>
      </c>
      <c r="C7" s="4502"/>
      <c r="D7" s="4502"/>
      <c r="E7" s="4502"/>
      <c r="F7" s="4502"/>
      <c r="G7"/>
      <c r="H7"/>
      <c r="I7"/>
      <c r="J7"/>
      <c r="K7"/>
      <c r="L7"/>
      <c r="M7"/>
    </row>
    <row r="8" spans="1:134" s="474" customFormat="1" ht="36.75" customHeight="1">
      <c r="A8" s="262"/>
      <c r="B8" s="4502" t="s">
        <v>716</v>
      </c>
      <c r="C8" s="4502"/>
      <c r="D8" s="4502"/>
      <c r="E8" s="4502"/>
      <c r="F8" s="4502"/>
      <c r="G8" s="1172"/>
      <c r="H8" s="1172"/>
      <c r="I8" s="1172"/>
      <c r="J8" s="1172"/>
      <c r="K8" s="1172"/>
      <c r="L8" s="1172"/>
      <c r="M8" s="93"/>
      <c r="N8" s="93"/>
      <c r="O8" s="93"/>
      <c r="P8" s="93"/>
      <c r="Q8" s="93"/>
      <c r="R8" s="93"/>
      <c r="S8" s="262"/>
      <c r="T8" s="262"/>
      <c r="U8" s="93"/>
      <c r="V8" s="93"/>
      <c r="W8" s="93"/>
      <c r="X8" s="93"/>
      <c r="Y8" s="93"/>
      <c r="Z8" s="93"/>
      <c r="AA8" s="93"/>
      <c r="AB8" s="93"/>
      <c r="AC8" s="93"/>
      <c r="AD8" s="93"/>
      <c r="AE8" s="93"/>
      <c r="AF8" s="93"/>
      <c r="AG8" s="93"/>
      <c r="AH8" s="93"/>
      <c r="AI8" s="93"/>
      <c r="AJ8" s="93"/>
      <c r="AK8" s="93"/>
      <c r="AL8" s="93"/>
      <c r="AM8" s="93"/>
      <c r="AN8" s="93"/>
      <c r="AO8" s="93"/>
      <c r="AP8" s="93"/>
      <c r="AQ8" s="93"/>
      <c r="AR8" s="93"/>
      <c r="AS8" s="93"/>
      <c r="AT8" s="93"/>
      <c r="AU8" s="93"/>
      <c r="AV8" s="93"/>
      <c r="AW8" s="93"/>
      <c r="AX8" s="93"/>
      <c r="AY8" s="93"/>
      <c r="AZ8" s="93"/>
      <c r="BA8" s="93"/>
      <c r="BB8" s="93"/>
      <c r="BC8" s="93"/>
      <c r="BD8" s="93"/>
      <c r="BE8" s="93"/>
      <c r="BF8" s="93"/>
      <c r="BG8" s="93"/>
      <c r="BH8" s="93"/>
      <c r="BI8" s="93"/>
      <c r="BJ8" s="93"/>
      <c r="BK8" s="93"/>
      <c r="BL8" s="93"/>
      <c r="BM8" s="93"/>
      <c r="BN8" s="93"/>
      <c r="BO8" s="93"/>
      <c r="BP8" s="93"/>
      <c r="BQ8" s="93"/>
      <c r="BR8" s="93"/>
      <c r="BS8" s="93"/>
      <c r="BT8" s="93"/>
      <c r="BU8" s="93"/>
      <c r="BV8" s="93"/>
      <c r="BW8" s="93"/>
      <c r="BX8" s="93"/>
      <c r="BY8" s="93"/>
      <c r="BZ8" s="93"/>
      <c r="CA8" s="93"/>
      <c r="CB8" s="93"/>
      <c r="CC8" s="93"/>
      <c r="CD8" s="93"/>
      <c r="CE8" s="93"/>
      <c r="CF8" s="93"/>
      <c r="CG8" s="93"/>
      <c r="CH8" s="93"/>
      <c r="CI8" s="93"/>
      <c r="CJ8" s="183"/>
      <c r="CK8" s="183"/>
      <c r="CL8" s="183"/>
      <c r="CM8" s="183"/>
      <c r="CN8" s="183"/>
      <c r="CO8" s="183"/>
      <c r="CP8" s="183"/>
      <c r="CQ8" s="183"/>
      <c r="CR8" s="183"/>
      <c r="CS8" s="183"/>
      <c r="CT8" s="183"/>
      <c r="CU8" s="183"/>
      <c r="CV8" s="183"/>
      <c r="CW8" s="183"/>
      <c r="CX8" s="183"/>
      <c r="CY8" s="183"/>
      <c r="CZ8" s="183"/>
      <c r="DA8" s="183"/>
      <c r="DB8" s="183"/>
      <c r="DC8" s="183"/>
      <c r="DD8" s="183"/>
      <c r="DE8" s="183"/>
      <c r="DF8" s="183"/>
      <c r="DG8" s="183"/>
      <c r="DH8" s="183"/>
      <c r="DI8" s="183"/>
      <c r="DJ8" s="183"/>
      <c r="DK8" s="183"/>
      <c r="DL8" s="183"/>
      <c r="DM8" s="183"/>
      <c r="DN8" s="183"/>
      <c r="DO8" s="183"/>
      <c r="DP8" s="183"/>
      <c r="DQ8" s="183"/>
      <c r="DR8" s="183"/>
      <c r="DS8" s="183"/>
      <c r="DT8" s="183"/>
    </row>
    <row r="9" spans="1:134" s="474" customFormat="1" ht="18.75" customHeight="1">
      <c r="A9" s="262"/>
      <c r="B9" s="4502" t="s">
        <v>715</v>
      </c>
      <c r="C9" s="4503"/>
      <c r="D9" s="4503"/>
      <c r="E9" s="4503"/>
      <c r="F9" s="4503"/>
      <c r="G9" s="1172"/>
      <c r="H9" s="1172"/>
      <c r="I9" s="1172"/>
      <c r="J9" s="1172"/>
      <c r="K9" s="1172"/>
      <c r="L9" s="1172"/>
      <c r="M9" s="93"/>
      <c r="N9" s="93"/>
      <c r="O9" s="93"/>
      <c r="P9" s="93"/>
      <c r="Q9" s="93"/>
      <c r="R9" s="93"/>
      <c r="S9" s="262"/>
      <c r="T9" s="262"/>
      <c r="U9" s="93"/>
      <c r="V9" s="93"/>
      <c r="W9" s="93"/>
      <c r="X9" s="93"/>
      <c r="Y9" s="93"/>
      <c r="Z9" s="93"/>
      <c r="AA9" s="93"/>
      <c r="AB9" s="93"/>
      <c r="AC9" s="93"/>
      <c r="AD9" s="93"/>
      <c r="AE9" s="93"/>
      <c r="AF9" s="93"/>
      <c r="AG9" s="93"/>
      <c r="AH9" s="93"/>
      <c r="AI9" s="93"/>
      <c r="AJ9" s="93"/>
      <c r="AK9" s="93"/>
      <c r="AL9" s="93"/>
      <c r="AM9" s="93"/>
      <c r="AN9" s="93"/>
      <c r="AO9" s="93"/>
      <c r="AP9" s="93"/>
      <c r="AQ9" s="93"/>
      <c r="AR9" s="93"/>
      <c r="AS9" s="93"/>
      <c r="AT9" s="93"/>
      <c r="AU9" s="93"/>
      <c r="AV9" s="93"/>
      <c r="AW9" s="93"/>
      <c r="AX9" s="93"/>
      <c r="AY9" s="93"/>
      <c r="AZ9" s="93"/>
      <c r="BA9" s="93"/>
      <c r="BB9" s="93"/>
      <c r="BC9" s="93"/>
      <c r="BD9" s="93"/>
      <c r="BE9" s="93"/>
      <c r="BF9" s="93"/>
      <c r="BG9" s="93"/>
      <c r="BH9" s="93"/>
      <c r="BI9" s="93"/>
      <c r="BJ9" s="93"/>
      <c r="BK9" s="93"/>
      <c r="BL9" s="93"/>
      <c r="BM9" s="93"/>
      <c r="BN9" s="93"/>
      <c r="BO9" s="93"/>
      <c r="BP9" s="93"/>
      <c r="BQ9" s="93"/>
      <c r="BR9" s="93"/>
      <c r="BS9" s="93"/>
      <c r="BT9" s="93"/>
      <c r="BU9" s="93"/>
      <c r="BV9" s="93"/>
      <c r="BW9" s="93"/>
      <c r="BX9" s="93"/>
      <c r="BY9" s="93"/>
      <c r="BZ9" s="93"/>
      <c r="CA9" s="93"/>
      <c r="CB9" s="93"/>
      <c r="CC9" s="93"/>
      <c r="CD9" s="93"/>
      <c r="CE9" s="93"/>
      <c r="CF9" s="93"/>
      <c r="CG9" s="93"/>
      <c r="CH9" s="93"/>
      <c r="CI9" s="93"/>
      <c r="CJ9" s="183"/>
      <c r="CK9" s="183"/>
      <c r="CL9" s="183"/>
      <c r="CM9" s="183"/>
      <c r="CN9" s="183"/>
      <c r="CO9" s="183"/>
      <c r="CP9" s="183"/>
      <c r="CQ9" s="183"/>
      <c r="CR9" s="183"/>
      <c r="CS9" s="183"/>
      <c r="CT9" s="183"/>
      <c r="CU9" s="183"/>
      <c r="CV9" s="183"/>
      <c r="CW9" s="183"/>
      <c r="CX9" s="183"/>
      <c r="CY9" s="183"/>
      <c r="CZ9" s="183"/>
      <c r="DA9" s="183"/>
      <c r="DB9" s="183"/>
      <c r="DC9" s="183"/>
      <c r="DD9" s="183"/>
      <c r="DE9" s="183"/>
      <c r="DF9" s="183"/>
      <c r="DG9" s="183"/>
      <c r="DH9" s="183"/>
      <c r="DI9" s="183"/>
      <c r="DJ9" s="183"/>
      <c r="DK9" s="183"/>
      <c r="DL9" s="183"/>
      <c r="DM9" s="183"/>
      <c r="DN9" s="183"/>
      <c r="DO9" s="183"/>
      <c r="DP9" s="183"/>
      <c r="DQ9" s="183"/>
      <c r="DR9" s="183"/>
      <c r="DS9" s="183"/>
      <c r="DT9" s="183"/>
    </row>
    <row r="10" spans="1:134" s="474" customFormat="1" ht="30.75" customHeight="1">
      <c r="A10" s="262"/>
      <c r="B10" s="4513" t="s">
        <v>0</v>
      </c>
      <c r="C10" s="4513"/>
      <c r="D10" s="4513"/>
      <c r="E10" s="4513"/>
      <c r="F10" s="4513"/>
      <c r="G10" s="1172"/>
      <c r="H10" s="1172"/>
      <c r="I10" s="1172"/>
      <c r="J10" s="1172"/>
      <c r="K10" s="1172"/>
      <c r="L10" s="1172"/>
      <c r="M10" s="93"/>
      <c r="N10" s="93"/>
      <c r="O10" s="93"/>
      <c r="P10" s="93"/>
      <c r="Q10" s="93"/>
      <c r="R10" s="93"/>
      <c r="S10" s="262"/>
      <c r="T10" s="262"/>
      <c r="U10" s="93"/>
      <c r="V10" s="93"/>
      <c r="W10" s="93"/>
      <c r="X10" s="93"/>
      <c r="Y10" s="93"/>
      <c r="Z10" s="93"/>
      <c r="AA10" s="93"/>
      <c r="AB10" s="93"/>
      <c r="AC10" s="93"/>
      <c r="AD10" s="93"/>
      <c r="AE10" s="93"/>
      <c r="AF10" s="93"/>
      <c r="AG10" s="93"/>
      <c r="AH10" s="93"/>
      <c r="AI10" s="93"/>
      <c r="AJ10" s="93"/>
      <c r="AK10" s="93"/>
      <c r="AL10" s="93"/>
      <c r="AM10" s="93"/>
      <c r="AN10" s="93"/>
      <c r="AO10" s="93"/>
      <c r="AP10" s="93"/>
      <c r="AQ10" s="93"/>
      <c r="AR10" s="93"/>
      <c r="AS10" s="93"/>
      <c r="AT10" s="93"/>
      <c r="AU10" s="93"/>
      <c r="AV10" s="93"/>
      <c r="AW10" s="93"/>
      <c r="AX10" s="93"/>
      <c r="AY10" s="93"/>
      <c r="AZ10" s="93"/>
      <c r="BA10" s="93"/>
      <c r="BB10" s="93"/>
      <c r="BC10" s="93"/>
      <c r="BD10" s="93"/>
      <c r="BE10" s="93"/>
      <c r="BF10" s="93"/>
      <c r="BG10" s="93"/>
      <c r="BH10" s="93"/>
      <c r="BI10" s="93"/>
      <c r="BJ10" s="93"/>
      <c r="BK10" s="93"/>
      <c r="BL10" s="93"/>
      <c r="BM10" s="93"/>
      <c r="BN10" s="93"/>
      <c r="BO10" s="93"/>
      <c r="BP10" s="93"/>
      <c r="BQ10" s="93"/>
      <c r="BR10" s="93"/>
      <c r="BS10" s="93"/>
      <c r="BT10" s="93"/>
      <c r="BU10" s="93"/>
      <c r="BV10" s="93"/>
      <c r="BW10" s="93"/>
      <c r="BX10" s="93"/>
      <c r="BY10" s="93"/>
      <c r="BZ10" s="93"/>
      <c r="CA10" s="93"/>
      <c r="CB10" s="93"/>
      <c r="CC10" s="93"/>
      <c r="CD10" s="93"/>
      <c r="CE10" s="93"/>
      <c r="CF10" s="93"/>
      <c r="CG10" s="93"/>
      <c r="CH10" s="93"/>
      <c r="CI10" s="93"/>
      <c r="CJ10" s="183"/>
      <c r="CK10" s="183"/>
      <c r="CL10" s="183"/>
      <c r="CM10" s="183"/>
      <c r="CN10" s="183"/>
      <c r="CO10" s="183"/>
      <c r="CP10" s="183"/>
      <c r="CQ10" s="183"/>
      <c r="CR10" s="183"/>
      <c r="CS10" s="183"/>
      <c r="CT10" s="183"/>
      <c r="CU10" s="183"/>
      <c r="CV10" s="183"/>
      <c r="CW10" s="183"/>
      <c r="CX10" s="183"/>
      <c r="CY10" s="183"/>
      <c r="CZ10" s="183"/>
      <c r="DA10" s="183"/>
      <c r="DB10" s="183"/>
      <c r="DC10" s="183"/>
      <c r="DD10" s="183"/>
      <c r="DE10" s="183"/>
      <c r="DF10" s="183"/>
      <c r="DG10" s="183"/>
      <c r="DH10" s="183"/>
      <c r="DI10" s="183"/>
      <c r="DJ10" s="183"/>
      <c r="DK10" s="183"/>
      <c r="DL10" s="183"/>
      <c r="DM10" s="183"/>
      <c r="DN10" s="183"/>
      <c r="DO10" s="183"/>
      <c r="DP10" s="183"/>
      <c r="DQ10" s="183"/>
      <c r="DR10" s="183"/>
      <c r="DS10" s="183"/>
      <c r="DT10" s="183"/>
    </row>
    <row r="11" spans="1:134" s="77" customFormat="1" ht="39" customHeight="1">
      <c r="A11" s="262"/>
      <c r="B11" s="4502" t="s">
        <v>724</v>
      </c>
      <c r="C11" s="4502"/>
      <c r="D11" s="4502"/>
      <c r="E11" s="4502"/>
      <c r="F11" s="4502"/>
      <c r="G11"/>
      <c r="H11"/>
      <c r="I11"/>
      <c r="J11"/>
      <c r="K11"/>
      <c r="L11"/>
      <c r="M11"/>
      <c r="N11" s="93"/>
      <c r="O11" s="93"/>
      <c r="P11" s="93"/>
      <c r="Q11" s="93"/>
      <c r="R11"/>
      <c r="S11"/>
      <c r="T11"/>
      <c r="U11"/>
      <c r="V11"/>
      <c r="W11"/>
      <c r="X11"/>
      <c r="Y11"/>
      <c r="Z11"/>
      <c r="AA11"/>
      <c r="AB11"/>
      <c r="AC11"/>
      <c r="AD11"/>
      <c r="AE11"/>
      <c r="AF11"/>
      <c r="AG11"/>
      <c r="AH11"/>
      <c r="AI11"/>
      <c r="AJ11"/>
      <c r="AK11" s="93"/>
      <c r="AL11" s="93"/>
      <c r="AM11" s="93"/>
      <c r="AN11" s="93"/>
      <c r="AO11" s="93"/>
      <c r="AP11" s="93"/>
      <c r="AQ11" s="93"/>
      <c r="AR11" s="93"/>
      <c r="AS11" s="93"/>
      <c r="AT11" s="93"/>
      <c r="AU11" s="93"/>
      <c r="AV11" s="93"/>
      <c r="AW11" s="93"/>
      <c r="AX11" s="93"/>
      <c r="AY11" s="93"/>
      <c r="AZ11" s="93"/>
      <c r="BA11" s="93"/>
      <c r="BB11" s="93"/>
      <c r="BC11" s="93"/>
      <c r="BD11" s="93"/>
      <c r="BE11" s="93"/>
      <c r="BF11" s="93"/>
      <c r="BG11" s="93"/>
      <c r="BH11" s="93"/>
      <c r="BI11" s="93"/>
      <c r="BJ11" s="93"/>
      <c r="BK11" s="93"/>
      <c r="BL11" s="93"/>
      <c r="BM11" s="93"/>
      <c r="BN11" s="93"/>
      <c r="BO11" s="93"/>
      <c r="BP11" s="93"/>
      <c r="BQ11" s="93"/>
      <c r="BR11" s="93"/>
      <c r="BS11" s="93"/>
      <c r="BT11" s="93"/>
      <c r="BU11" s="93"/>
      <c r="BV11" s="93"/>
      <c r="BW11" s="93"/>
      <c r="BX11" s="93"/>
      <c r="BY11" s="93"/>
      <c r="BZ11" s="93"/>
      <c r="CA11" s="93"/>
      <c r="CB11" s="93"/>
      <c r="CC11" s="93"/>
      <c r="CD11" s="93"/>
      <c r="CE11" s="93"/>
      <c r="CF11" s="93"/>
      <c r="CG11" s="93"/>
      <c r="CH11" s="93"/>
      <c r="CI11" s="78"/>
      <c r="CJ11" s="78"/>
      <c r="CK11" s="78"/>
      <c r="CL11" s="78"/>
      <c r="CM11" s="78"/>
      <c r="CN11" s="78"/>
      <c r="CO11" s="78"/>
      <c r="CP11" s="78"/>
      <c r="CQ11" s="78"/>
      <c r="CR11" s="78"/>
      <c r="CS11" s="78"/>
      <c r="CT11" s="78"/>
      <c r="CU11" s="78"/>
      <c r="CV11" s="78"/>
      <c r="CW11" s="78"/>
      <c r="CX11" s="78"/>
      <c r="CY11" s="78"/>
      <c r="CZ11" s="78"/>
      <c r="DA11" s="78"/>
      <c r="DB11" s="78"/>
      <c r="DC11" s="78"/>
      <c r="DD11" s="78"/>
      <c r="DE11" s="78"/>
      <c r="DF11" s="78"/>
      <c r="DG11" s="78"/>
      <c r="DH11" s="78"/>
      <c r="DI11" s="78"/>
      <c r="DJ11" s="78"/>
      <c r="DK11" s="78"/>
      <c r="DL11" s="78"/>
      <c r="DM11" s="78"/>
      <c r="DN11" s="78"/>
      <c r="DO11" s="78"/>
      <c r="DP11" s="78"/>
      <c r="DQ11" s="78"/>
      <c r="DR11" s="78"/>
      <c r="DS11" s="78"/>
    </row>
    <row r="12" spans="1:134" s="69" customFormat="1" ht="28.5" customHeight="1">
      <c r="A12" s="262"/>
      <c r="B12" s="4502"/>
      <c r="C12" s="4502"/>
      <c r="D12" s="4502"/>
      <c r="E12" s="4502"/>
      <c r="F12" s="4502"/>
      <c r="G12"/>
      <c r="H12"/>
      <c r="I12"/>
      <c r="J12"/>
      <c r="K12"/>
      <c r="L12"/>
      <c r="M12"/>
      <c r="N12" s="93"/>
      <c r="O12" s="93"/>
      <c r="P12" s="93"/>
      <c r="Q12" s="93"/>
      <c r="R12"/>
      <c r="S12"/>
      <c r="T12"/>
      <c r="U12"/>
      <c r="V12"/>
      <c r="W12"/>
      <c r="X12"/>
      <c r="Y12"/>
      <c r="Z12"/>
      <c r="AA12"/>
      <c r="AB12"/>
      <c r="AC12"/>
      <c r="AD12"/>
      <c r="AE12"/>
      <c r="AF12"/>
      <c r="AG12"/>
      <c r="AH12"/>
      <c r="AI12"/>
      <c r="AJ12"/>
      <c r="AK12" s="93"/>
      <c r="AL12" s="93"/>
      <c r="AM12" s="93"/>
      <c r="AN12" s="93"/>
      <c r="AO12" s="93"/>
      <c r="AP12" s="93"/>
      <c r="AQ12" s="93"/>
      <c r="AR12" s="93"/>
      <c r="AS12" s="93"/>
      <c r="AT12" s="93"/>
      <c r="AU12" s="93"/>
      <c r="AV12" s="93"/>
      <c r="AW12" s="93"/>
      <c r="AX12" s="93"/>
      <c r="AY12" s="93"/>
      <c r="AZ12" s="93"/>
      <c r="BA12" s="93"/>
      <c r="BB12" s="93"/>
      <c r="BC12" s="93"/>
      <c r="BD12" s="93"/>
      <c r="BE12" s="93"/>
      <c r="BF12" s="93"/>
      <c r="BG12" s="93"/>
      <c r="BH12" s="93"/>
      <c r="BI12" s="93"/>
      <c r="BJ12" s="93"/>
      <c r="BK12" s="93"/>
      <c r="BL12" s="93"/>
      <c r="BM12" s="93"/>
      <c r="BN12" s="93"/>
      <c r="BO12" s="93"/>
      <c r="BP12" s="93"/>
      <c r="BQ12" s="93"/>
      <c r="BR12" s="93"/>
      <c r="BS12" s="93"/>
      <c r="BT12" s="93"/>
      <c r="BU12" s="93"/>
      <c r="BV12" s="93"/>
      <c r="BW12" s="93"/>
      <c r="BX12" s="93"/>
      <c r="BY12" s="93"/>
      <c r="BZ12" s="93"/>
      <c r="CA12" s="93"/>
      <c r="CB12" s="93"/>
      <c r="CC12" s="93"/>
      <c r="CD12" s="93"/>
      <c r="CE12" s="93"/>
      <c r="CF12" s="93"/>
      <c r="CG12" s="93"/>
      <c r="CH12" s="93"/>
      <c r="CI12" s="93"/>
      <c r="CJ12" s="93"/>
      <c r="CK12" s="93"/>
      <c r="CL12" s="93"/>
      <c r="CM12" s="93"/>
      <c r="CN12" s="93"/>
      <c r="CO12" s="93"/>
      <c r="CP12" s="93"/>
      <c r="CQ12" s="93"/>
      <c r="CR12" s="93"/>
      <c r="CS12" s="93"/>
      <c r="CT12" s="93"/>
      <c r="CU12" s="93"/>
      <c r="CV12" s="93"/>
      <c r="CW12" s="93"/>
      <c r="CX12" s="93"/>
      <c r="CY12" s="93"/>
      <c r="CZ12" s="93"/>
      <c r="DA12" s="93"/>
      <c r="DB12" s="93"/>
      <c r="DC12" s="93"/>
      <c r="DD12" s="93"/>
    </row>
    <row r="13" spans="1:134">
      <c r="A13" s="262"/>
      <c r="DE13" s="69"/>
      <c r="DF13" s="69"/>
      <c r="DG13" s="69"/>
      <c r="DH13" s="69"/>
      <c r="DI13" s="69"/>
      <c r="DJ13" s="69"/>
      <c r="DK13" s="69"/>
      <c r="DL13" s="69"/>
      <c r="DM13" s="69"/>
      <c r="DN13" s="69"/>
      <c r="DO13" s="69"/>
      <c r="DP13" s="69"/>
      <c r="DQ13" s="69"/>
      <c r="DR13" s="69"/>
      <c r="DS13" s="69"/>
      <c r="DT13" s="69"/>
      <c r="DU13" s="69"/>
      <c r="DV13" s="69"/>
      <c r="DW13" s="69"/>
      <c r="DX13" s="69"/>
      <c r="DY13" s="69"/>
      <c r="DZ13" s="69"/>
      <c r="EA13" s="69"/>
      <c r="EB13" s="69"/>
      <c r="EC13" s="69"/>
      <c r="ED13" s="69"/>
    </row>
    <row r="14" spans="1:134" s="78" customFormat="1" ht="12.75" customHeight="1" thickBot="1">
      <c r="A14" s="262"/>
      <c r="B14" s="93"/>
      <c r="C14" s="93"/>
      <c r="D14" s="93"/>
      <c r="E14" s="93"/>
      <c r="F14" s="93"/>
      <c r="G14" s="93"/>
      <c r="H14" s="93"/>
      <c r="I14" s="93"/>
      <c r="J14" s="93"/>
      <c r="K14" s="93"/>
      <c r="L14" s="93"/>
      <c r="M14" s="93"/>
      <c r="N14" s="93"/>
      <c r="O14" s="93"/>
      <c r="P14" s="93"/>
      <c r="Q14" s="93"/>
      <c r="R14"/>
      <c r="S14"/>
      <c r="T14"/>
      <c r="U14"/>
      <c r="V14"/>
      <c r="W14"/>
      <c r="X14"/>
      <c r="Y14"/>
      <c r="Z14"/>
      <c r="AA14"/>
      <c r="AB14"/>
      <c r="AC14"/>
      <c r="AD14"/>
      <c r="AE14"/>
      <c r="AF14"/>
      <c r="AG14"/>
      <c r="AH14"/>
      <c r="AI14"/>
      <c r="AJ14"/>
      <c r="AK14" s="93"/>
      <c r="AL14" s="93"/>
      <c r="AM14" s="93"/>
      <c r="AN14" s="93"/>
      <c r="AO14" s="93"/>
      <c r="AP14" s="93"/>
      <c r="AQ14" s="93"/>
      <c r="AR14" s="93"/>
      <c r="AS14" s="93"/>
      <c r="AT14" s="93"/>
      <c r="AU14" s="93"/>
      <c r="AV14" s="93"/>
      <c r="AW14" s="93"/>
      <c r="AX14" s="93"/>
      <c r="AY14" s="93"/>
      <c r="AZ14" s="93"/>
      <c r="BA14" s="93"/>
      <c r="BB14" s="93"/>
      <c r="BC14" s="93"/>
      <c r="BD14" s="93"/>
      <c r="BE14" s="93"/>
      <c r="BF14" s="93"/>
      <c r="BG14" s="93"/>
      <c r="BH14" s="93"/>
      <c r="BI14" s="93"/>
      <c r="BJ14" s="93"/>
      <c r="BK14" s="93"/>
      <c r="BL14" s="93"/>
      <c r="BM14" s="93"/>
      <c r="BN14" s="93"/>
      <c r="BO14" s="93"/>
      <c r="BP14" s="93"/>
      <c r="BQ14" s="93"/>
      <c r="BR14" s="93"/>
      <c r="BS14" s="93"/>
      <c r="BT14" s="93"/>
      <c r="BU14" s="93"/>
      <c r="BV14" s="93"/>
      <c r="BW14" s="93"/>
      <c r="BX14" s="93"/>
      <c r="BY14" s="93"/>
      <c r="BZ14" s="93"/>
      <c r="CA14" s="93"/>
      <c r="CB14" s="93"/>
      <c r="CC14" s="93"/>
      <c r="CD14" s="93"/>
      <c r="CE14" s="93"/>
      <c r="CF14" s="93"/>
      <c r="CG14" s="93"/>
      <c r="CH14" s="93"/>
      <c r="CI14" s="93"/>
      <c r="CJ14" s="93"/>
      <c r="CK14" s="93"/>
      <c r="CL14" s="93"/>
      <c r="CM14" s="93"/>
      <c r="CN14" s="93"/>
      <c r="CO14" s="93"/>
      <c r="CP14" s="93"/>
      <c r="CQ14" s="93"/>
      <c r="CR14" s="93"/>
      <c r="CS14" s="93"/>
      <c r="CT14" s="93"/>
      <c r="CU14" s="93"/>
      <c r="CV14" s="93"/>
      <c r="CW14" s="93"/>
      <c r="CX14" s="93"/>
      <c r="CY14" s="93"/>
      <c r="CZ14" s="93"/>
      <c r="DA14" s="93"/>
      <c r="DB14" s="93"/>
      <c r="DC14" s="93"/>
      <c r="DD14" s="93"/>
      <c r="DE14" s="69"/>
      <c r="DF14" s="69"/>
      <c r="DG14" s="69"/>
      <c r="DH14" s="69"/>
      <c r="DI14" s="69"/>
      <c r="DJ14" s="69"/>
      <c r="DK14" s="69"/>
      <c r="DL14" s="69"/>
      <c r="DM14" s="69"/>
      <c r="DN14" s="69"/>
      <c r="DO14" s="69"/>
      <c r="DP14" s="69"/>
      <c r="DQ14" s="69"/>
      <c r="DR14" s="69"/>
      <c r="DS14" s="69"/>
      <c r="DT14" s="69"/>
      <c r="DU14" s="69"/>
      <c r="DV14" s="69"/>
      <c r="DW14" s="69"/>
      <c r="DX14" s="69"/>
      <c r="DY14" s="69"/>
      <c r="DZ14" s="69"/>
      <c r="EA14" s="69"/>
      <c r="EB14" s="69"/>
      <c r="EC14" s="69"/>
      <c r="ED14" s="69"/>
    </row>
    <row r="15" spans="1:134" s="78" customFormat="1" ht="12.75" customHeight="1" thickBot="1">
      <c r="A15" s="262"/>
      <c r="B15" s="815" t="s">
        <v>531</v>
      </c>
      <c r="C15" s="815"/>
      <c r="D15" s="830"/>
      <c r="E15" s="830"/>
      <c r="F15" s="830"/>
      <c r="G15" s="830"/>
      <c r="H15" s="830"/>
      <c r="I15" s="830"/>
      <c r="J15" s="830"/>
      <c r="K15" s="831"/>
      <c r="L15" s="831"/>
      <c r="M15" s="831"/>
      <c r="N15" s="831"/>
      <c r="O15" s="831"/>
      <c r="P15" s="831"/>
      <c r="Q15" s="831"/>
      <c r="R15" s="831"/>
      <c r="S15"/>
      <c r="T15"/>
      <c r="U15"/>
      <c r="V15"/>
      <c r="W15"/>
      <c r="X15"/>
      <c r="Y15"/>
      <c r="Z15"/>
      <c r="AA15"/>
      <c r="AB15"/>
      <c r="AC15"/>
      <c r="AD15"/>
      <c r="AE15"/>
      <c r="AF15"/>
      <c r="AG15"/>
      <c r="AH15"/>
      <c r="AI15"/>
      <c r="AJ15"/>
      <c r="AK15" s="93"/>
      <c r="AL15" s="93"/>
      <c r="AM15" s="93"/>
      <c r="AN15" s="93"/>
      <c r="AO15" s="93"/>
      <c r="AP15" s="93"/>
      <c r="AQ15" s="93"/>
      <c r="AR15" s="93"/>
      <c r="AS15" s="93"/>
      <c r="AT15" s="93"/>
      <c r="AU15" s="93"/>
      <c r="AV15" s="93"/>
      <c r="AW15" s="93"/>
      <c r="AX15" s="93"/>
      <c r="AY15" s="93"/>
      <c r="AZ15" s="93"/>
      <c r="BA15" s="93"/>
      <c r="BB15" s="93"/>
      <c r="BC15" s="93"/>
      <c r="BD15" s="93"/>
      <c r="BE15" s="93"/>
      <c r="BF15" s="93"/>
      <c r="BG15" s="93"/>
      <c r="BH15" s="93"/>
      <c r="BI15" s="93"/>
      <c r="BJ15" s="93"/>
      <c r="BK15" s="93"/>
      <c r="BL15" s="93"/>
      <c r="BM15" s="93"/>
      <c r="BN15" s="93"/>
      <c r="BO15" s="93"/>
      <c r="BP15" s="93"/>
      <c r="BQ15" s="93"/>
      <c r="BR15" s="93"/>
      <c r="BS15" s="93"/>
      <c r="BT15" s="93"/>
      <c r="BU15" s="93"/>
      <c r="BV15" s="93"/>
      <c r="BW15" s="93"/>
      <c r="BX15" s="93"/>
      <c r="BY15" s="93"/>
      <c r="BZ15" s="93"/>
      <c r="CA15" s="93"/>
      <c r="CB15" s="93"/>
      <c r="CC15" s="93"/>
      <c r="CD15" s="93"/>
      <c r="CE15" s="93"/>
      <c r="CF15" s="93"/>
      <c r="CG15" s="93"/>
      <c r="CH15" s="93"/>
      <c r="CI15" s="93"/>
      <c r="CJ15" s="93"/>
      <c r="CK15" s="93"/>
      <c r="CL15" s="93"/>
      <c r="CM15" s="93"/>
      <c r="CN15" s="93"/>
      <c r="CO15" s="93"/>
      <c r="CP15" s="93"/>
      <c r="CQ15" s="93"/>
      <c r="CR15" s="93"/>
      <c r="CS15" s="93"/>
      <c r="CT15" s="93"/>
      <c r="CU15" s="93"/>
      <c r="CV15" s="93"/>
      <c r="CW15" s="93"/>
      <c r="CX15" s="93"/>
      <c r="CY15" s="93"/>
      <c r="CZ15" s="93"/>
      <c r="DA15" s="93"/>
      <c r="DB15" s="93"/>
      <c r="DC15" s="93"/>
      <c r="DD15" s="93"/>
      <c r="DE15" s="69"/>
      <c r="DF15" s="69"/>
      <c r="DG15" s="69"/>
      <c r="DH15" s="69"/>
      <c r="DI15" s="69"/>
      <c r="DJ15" s="69"/>
      <c r="DK15" s="69"/>
      <c r="DL15" s="69"/>
      <c r="DM15" s="69"/>
      <c r="DN15" s="69"/>
      <c r="DO15" s="69"/>
      <c r="DP15" s="69"/>
      <c r="DQ15" s="69"/>
      <c r="DR15" s="69"/>
      <c r="DS15" s="69"/>
      <c r="DT15" s="69"/>
      <c r="DU15" s="69"/>
      <c r="DV15" s="69"/>
      <c r="DW15" s="69"/>
      <c r="DX15" s="69"/>
      <c r="DY15" s="69"/>
      <c r="DZ15" s="69"/>
      <c r="EA15" s="69"/>
      <c r="EB15" s="69"/>
      <c r="EC15" s="69"/>
      <c r="ED15" s="69"/>
    </row>
    <row r="16" spans="1:134">
      <c r="B16" s="4504"/>
      <c r="C16" s="4505"/>
      <c r="D16" s="4510" t="s">
        <v>36</v>
      </c>
      <c r="E16" s="4511"/>
      <c r="F16" s="4511"/>
      <c r="G16" s="4511"/>
      <c r="H16" s="4511"/>
      <c r="I16" s="4517" t="s">
        <v>37</v>
      </c>
      <c r="J16" s="4518"/>
      <c r="K16" s="4518"/>
      <c r="L16" s="4518"/>
      <c r="M16" s="4518"/>
      <c r="N16" s="4519" t="s">
        <v>73</v>
      </c>
      <c r="O16" s="4519"/>
      <c r="P16" s="4519"/>
      <c r="Q16" s="4519"/>
      <c r="R16" s="4520"/>
    </row>
    <row r="17" spans="2:36">
      <c r="B17" s="4506"/>
      <c r="C17" s="4507"/>
      <c r="D17" s="4521" t="s">
        <v>674</v>
      </c>
      <c r="E17" s="4522"/>
      <c r="F17" s="4522"/>
      <c r="G17" s="4522"/>
      <c r="H17" s="4522"/>
      <c r="I17" s="4522"/>
      <c r="J17" s="4522"/>
      <c r="K17" s="4522"/>
      <c r="L17" s="4522"/>
      <c r="M17" s="4522"/>
      <c r="N17" s="4522"/>
      <c r="O17" s="4522"/>
      <c r="P17" s="4522"/>
      <c r="Q17" s="4522"/>
      <c r="R17" s="4523"/>
    </row>
    <row r="18" spans="2:36">
      <c r="B18" s="4506"/>
      <c r="C18" s="4507"/>
      <c r="D18" s="4521" t="s">
        <v>54</v>
      </c>
      <c r="E18" s="4522"/>
      <c r="F18" s="4522"/>
      <c r="G18" s="4522"/>
      <c r="H18" s="4522"/>
      <c r="I18" s="4522"/>
      <c r="J18" s="4522"/>
      <c r="K18" s="4522"/>
      <c r="L18" s="4524" t="s">
        <v>55</v>
      </c>
      <c r="M18" s="4525"/>
      <c r="N18" s="4525"/>
      <c r="O18" s="4525"/>
      <c r="P18" s="4525"/>
      <c r="Q18" s="4525"/>
      <c r="R18" s="4526"/>
    </row>
    <row r="19" spans="2:36" ht="13.5" thickBot="1">
      <c r="B19" s="4508"/>
      <c r="C19" s="4509"/>
      <c r="D19" s="853">
        <f t="array" ref="D19:H19">PRCP</f>
        <v>2008</v>
      </c>
      <c r="E19" s="851">
        <v>2009</v>
      </c>
      <c r="F19" s="851">
        <v>2010</v>
      </c>
      <c r="G19" s="851">
        <v>2011</v>
      </c>
      <c r="H19" s="851">
        <v>2012</v>
      </c>
      <c r="I19" s="852">
        <f>CRCP_y1</f>
        <v>2013</v>
      </c>
      <c r="J19" s="852">
        <f>CRCP_y2</f>
        <v>2014</v>
      </c>
      <c r="K19" s="852">
        <f>CRCP_y3</f>
        <v>2015</v>
      </c>
      <c r="L19" s="852">
        <f>CRCP_y4</f>
        <v>2016</v>
      </c>
      <c r="M19" s="852">
        <f>CRCP_y5</f>
        <v>2017</v>
      </c>
      <c r="N19" s="851" t="str">
        <f t="array" ref="N19:R19">FRCP</f>
        <v>2018</v>
      </c>
      <c r="O19" s="851">
        <v>2019</v>
      </c>
      <c r="P19" s="851">
        <v>2020</v>
      </c>
      <c r="Q19" s="851">
        <v>2021</v>
      </c>
      <c r="R19" s="854">
        <v>2022</v>
      </c>
    </row>
    <row r="20" spans="2:36" ht="13.5" thickBot="1">
      <c r="B20" s="2134"/>
      <c r="C20" s="2135"/>
      <c r="D20" s="2136"/>
      <c r="E20" s="2136"/>
      <c r="F20" s="2136"/>
      <c r="G20" s="2136"/>
      <c r="H20" s="2136"/>
      <c r="I20" s="2137"/>
      <c r="J20" s="2137"/>
      <c r="K20" s="2137"/>
      <c r="L20" s="2137"/>
      <c r="M20" s="2137"/>
      <c r="N20" s="2136"/>
      <c r="O20" s="2136"/>
      <c r="P20" s="2136"/>
      <c r="Q20" s="2136"/>
      <c r="R20" s="2136"/>
      <c r="S20" s="1172"/>
      <c r="T20" s="1172"/>
      <c r="U20" s="1172"/>
      <c r="V20" s="1172"/>
      <c r="W20" s="1172"/>
      <c r="X20" s="1172"/>
      <c r="Y20" s="1172"/>
      <c r="Z20" s="1172"/>
      <c r="AA20" s="1172"/>
      <c r="AB20" s="1172"/>
      <c r="AC20" s="1172"/>
      <c r="AD20" s="1172"/>
      <c r="AE20" s="1172"/>
      <c r="AF20" s="1172"/>
      <c r="AG20" s="1172"/>
      <c r="AH20" s="1172"/>
      <c r="AI20" s="1172"/>
      <c r="AJ20" s="1172"/>
    </row>
    <row r="21" spans="2:36" ht="15.75" thickBot="1">
      <c r="B21" s="3007" t="s">
        <v>532</v>
      </c>
      <c r="C21" s="2138"/>
      <c r="D21" s="3002"/>
      <c r="E21" s="3002"/>
      <c r="F21" s="3002"/>
      <c r="G21" s="3002"/>
      <c r="H21" s="3002"/>
      <c r="I21" s="3002"/>
      <c r="J21" s="3002"/>
      <c r="K21" s="3002"/>
      <c r="L21" s="3002"/>
      <c r="M21" s="3002"/>
      <c r="N21" s="3002">
        <v>2018</v>
      </c>
      <c r="O21" s="3002">
        <v>2019</v>
      </c>
      <c r="P21" s="3002">
        <v>2020</v>
      </c>
      <c r="Q21" s="3002">
        <v>2021</v>
      </c>
      <c r="R21" s="3003">
        <v>2022</v>
      </c>
    </row>
    <row r="22" spans="2:36" ht="15.75" thickBot="1">
      <c r="B22" s="2141" t="s">
        <v>1572</v>
      </c>
      <c r="C22" s="2140"/>
      <c r="D22" s="2139"/>
      <c r="E22" s="2139"/>
      <c r="F22" s="2139"/>
      <c r="G22" s="2139"/>
      <c r="H22" s="2139"/>
      <c r="I22" s="3008"/>
      <c r="J22" s="2139"/>
      <c r="K22" s="2139"/>
      <c r="L22" s="2139"/>
      <c r="M22" s="2139"/>
      <c r="N22" s="2139"/>
      <c r="O22" s="2139"/>
      <c r="P22" s="2139"/>
      <c r="Q22" s="2139"/>
      <c r="R22" s="1758"/>
    </row>
    <row r="23" spans="2:36" ht="15.75" thickBot="1">
      <c r="B23" s="2144" t="s">
        <v>1573</v>
      </c>
      <c r="C23" s="2140"/>
      <c r="D23" s="2139"/>
      <c r="E23" s="2139"/>
      <c r="F23" s="2139"/>
      <c r="G23" s="2139"/>
      <c r="H23" s="2139"/>
      <c r="I23" s="3008"/>
      <c r="J23" s="2139"/>
      <c r="K23" s="2139"/>
      <c r="L23" s="2139"/>
      <c r="M23" s="2139"/>
      <c r="N23" s="2139"/>
      <c r="O23" s="2139"/>
      <c r="P23" s="2139"/>
      <c r="Q23" s="2139"/>
      <c r="R23" s="1758"/>
    </row>
    <row r="24" spans="2:36" ht="15.75" thickBot="1">
      <c r="B24" s="2145" t="s">
        <v>1591</v>
      </c>
      <c r="C24" s="3009"/>
      <c r="D24" s="3004"/>
      <c r="E24" s="3004"/>
      <c r="F24" s="3004"/>
      <c r="G24" s="3004"/>
      <c r="H24" s="3004"/>
      <c r="I24" s="3004"/>
      <c r="J24" s="3004"/>
      <c r="K24" s="3004"/>
      <c r="L24" s="3004"/>
      <c r="M24" s="3004"/>
      <c r="N24" s="3004"/>
      <c r="O24" s="3004"/>
      <c r="P24" s="3004"/>
      <c r="Q24" s="3004"/>
      <c r="R24" s="3005"/>
    </row>
    <row r="25" spans="2:36" ht="15.75" thickBot="1">
      <c r="B25" s="1337" t="s">
        <v>1578</v>
      </c>
      <c r="C25" s="2142"/>
      <c r="D25" s="2142"/>
      <c r="E25" s="2142"/>
      <c r="F25" s="2142"/>
      <c r="G25" s="2142"/>
      <c r="H25" s="2142"/>
      <c r="I25" s="2142"/>
      <c r="J25" s="2142"/>
      <c r="K25" s="2142"/>
      <c r="L25" s="2142"/>
      <c r="M25" s="2142"/>
      <c r="N25" s="2142"/>
      <c r="O25" s="2142"/>
      <c r="P25" s="2142"/>
      <c r="Q25" s="2142"/>
      <c r="R25" s="2143"/>
    </row>
    <row r="26" spans="2:36">
      <c r="B26" s="4514" t="s">
        <v>1574</v>
      </c>
      <c r="C26" s="2929" t="s">
        <v>713</v>
      </c>
      <c r="D26" s="1524">
        <v>401909</v>
      </c>
      <c r="E26" s="453">
        <v>412724</v>
      </c>
      <c r="F26" s="453">
        <v>425596</v>
      </c>
      <c r="G26" s="453">
        <v>439199</v>
      </c>
      <c r="H26" s="453">
        <v>452092</v>
      </c>
      <c r="I26" s="1524">
        <v>462492</v>
      </c>
      <c r="J26" s="453">
        <v>471995</v>
      </c>
      <c r="K26" s="453">
        <v>482826</v>
      </c>
      <c r="L26" s="453">
        <v>493699</v>
      </c>
      <c r="M26" s="453">
        <v>503117.62751857273</v>
      </c>
      <c r="N26" s="1524">
        <v>512705.33747366589</v>
      </c>
      <c r="O26" s="453">
        <v>522775.94631506846</v>
      </c>
      <c r="P26" s="453">
        <v>533136.32598077424</v>
      </c>
      <c r="Q26" s="453">
        <v>543796.14050613705</v>
      </c>
      <c r="R26" s="526">
        <v>554765.40395027248</v>
      </c>
    </row>
    <row r="27" spans="2:36">
      <c r="B27" s="4515"/>
      <c r="C27" s="2931" t="s">
        <v>714</v>
      </c>
      <c r="D27" s="472">
        <v>412724</v>
      </c>
      <c r="E27" s="467">
        <v>425596</v>
      </c>
      <c r="F27" s="467">
        <v>439199</v>
      </c>
      <c r="G27" s="467">
        <v>452092</v>
      </c>
      <c r="H27" s="1525">
        <v>462492</v>
      </c>
      <c r="I27" s="472">
        <v>471995</v>
      </c>
      <c r="J27" s="467">
        <v>482826</v>
      </c>
      <c r="K27" s="467">
        <v>493699</v>
      </c>
      <c r="L27" s="467">
        <v>503117.62751857273</v>
      </c>
      <c r="M27" s="1525">
        <v>512705.33747366589</v>
      </c>
      <c r="N27" s="472">
        <v>522775.94631506846</v>
      </c>
      <c r="O27" s="467">
        <v>533136.32598077424</v>
      </c>
      <c r="P27" s="467">
        <v>543796.14050613705</v>
      </c>
      <c r="Q27" s="467">
        <v>554765.40395027248</v>
      </c>
      <c r="R27" s="480">
        <v>565353.97400093381</v>
      </c>
    </row>
    <row r="28" spans="2:36">
      <c r="B28" s="4515"/>
      <c r="C28" s="2931" t="s">
        <v>68</v>
      </c>
      <c r="D28" s="353">
        <v>407316.5</v>
      </c>
      <c r="E28" s="354">
        <v>419160</v>
      </c>
      <c r="F28" s="354">
        <v>432397.5</v>
      </c>
      <c r="G28" s="354">
        <v>445645.5</v>
      </c>
      <c r="H28" s="450">
        <v>457292</v>
      </c>
      <c r="I28" s="353">
        <v>467243.5</v>
      </c>
      <c r="J28" s="354">
        <v>477410.5</v>
      </c>
      <c r="K28" s="354">
        <v>488262.5</v>
      </c>
      <c r="L28" s="354">
        <v>498408.31375928636</v>
      </c>
      <c r="M28" s="450">
        <v>507911.48249611934</v>
      </c>
      <c r="N28" s="353">
        <v>517740.64189436717</v>
      </c>
      <c r="O28" s="354">
        <v>527956.13614792132</v>
      </c>
      <c r="P28" s="354">
        <v>538466.23324345564</v>
      </c>
      <c r="Q28" s="354">
        <v>549280.77222820476</v>
      </c>
      <c r="R28" s="450">
        <v>560059.68897560309</v>
      </c>
    </row>
    <row r="29" spans="2:36">
      <c r="B29" s="4515"/>
      <c r="C29" s="2931" t="s">
        <v>69</v>
      </c>
      <c r="D29" s="472">
        <v>11848</v>
      </c>
      <c r="E29" s="467">
        <v>13954</v>
      </c>
      <c r="F29" s="467">
        <v>14831</v>
      </c>
      <c r="G29" s="467">
        <v>13949</v>
      </c>
      <c r="H29" s="1525">
        <v>11417</v>
      </c>
      <c r="I29" s="472">
        <v>10684</v>
      </c>
      <c r="J29" s="467">
        <v>12217</v>
      </c>
      <c r="K29" s="467">
        <v>12408</v>
      </c>
      <c r="L29" s="467">
        <v>10900.231928716057</v>
      </c>
      <c r="M29" s="1525">
        <v>11020.644949795013</v>
      </c>
      <c r="N29" s="472">
        <v>11533.281810839191</v>
      </c>
      <c r="O29" s="467">
        <v>11854.195129861127</v>
      </c>
      <c r="P29" s="467">
        <v>12185.220361662352</v>
      </c>
      <c r="Q29" s="467">
        <v>12526.815057154192</v>
      </c>
      <c r="R29" s="480">
        <v>12178.910373751511</v>
      </c>
    </row>
    <row r="30" spans="2:36" ht="13.5" thickBot="1">
      <c r="B30" s="4516"/>
      <c r="C30" s="1522" t="s">
        <v>58</v>
      </c>
      <c r="D30" s="1526">
        <v>1033</v>
      </c>
      <c r="E30" s="1527">
        <v>1082</v>
      </c>
      <c r="F30" s="1527">
        <v>1228</v>
      </c>
      <c r="G30" s="1527">
        <v>1056</v>
      </c>
      <c r="H30" s="1528">
        <v>1017</v>
      </c>
      <c r="I30" s="1526">
        <v>1181</v>
      </c>
      <c r="J30" s="1527">
        <v>1386</v>
      </c>
      <c r="K30" s="1527">
        <v>1535</v>
      </c>
      <c r="L30" s="1527">
        <v>1481.6044101433297</v>
      </c>
      <c r="M30" s="1528">
        <v>1432.9349947018522</v>
      </c>
      <c r="N30" s="1526">
        <v>1462.6729694366268</v>
      </c>
      <c r="O30" s="1527">
        <v>1493.8154641554097</v>
      </c>
      <c r="P30" s="1527">
        <v>1525.4058362995572</v>
      </c>
      <c r="Q30" s="1527">
        <v>1557.5516130187671</v>
      </c>
      <c r="R30" s="2999">
        <v>1590.3403230901822</v>
      </c>
    </row>
    <row r="31" spans="2:36" ht="15.75" thickBot="1">
      <c r="B31" s="1337" t="s">
        <v>1580</v>
      </c>
      <c r="C31" s="2142"/>
      <c r="D31" s="2142"/>
      <c r="E31" s="2142"/>
      <c r="F31" s="2142"/>
      <c r="G31" s="2142"/>
      <c r="H31" s="2142"/>
      <c r="I31" s="2142"/>
      <c r="J31" s="2142"/>
      <c r="K31" s="2142"/>
      <c r="L31" s="2142"/>
      <c r="M31" s="2142"/>
      <c r="N31" s="2142"/>
      <c r="O31" s="2142"/>
      <c r="P31" s="2142"/>
      <c r="Q31" s="2142"/>
      <c r="R31" s="2143"/>
    </row>
    <row r="32" spans="2:36">
      <c r="B32" s="4514" t="s">
        <v>1575</v>
      </c>
      <c r="C32" s="2929" t="s">
        <v>713</v>
      </c>
      <c r="D32" s="1524">
        <v>9311</v>
      </c>
      <c r="E32" s="453">
        <v>9383</v>
      </c>
      <c r="F32" s="453">
        <v>9481</v>
      </c>
      <c r="G32" s="453">
        <v>9582</v>
      </c>
      <c r="H32" s="453">
        <v>9671</v>
      </c>
      <c r="I32" s="1524">
        <v>9819</v>
      </c>
      <c r="J32" s="453">
        <v>9915</v>
      </c>
      <c r="K32" s="453">
        <v>10064</v>
      </c>
      <c r="L32" s="453">
        <v>10217</v>
      </c>
      <c r="M32" s="453">
        <v>10352.328650697402</v>
      </c>
      <c r="N32" s="1524">
        <v>10407.992375496273</v>
      </c>
      <c r="O32" s="453">
        <v>10522.573051856096</v>
      </c>
      <c r="P32" s="453">
        <v>10640.515076544563</v>
      </c>
      <c r="Q32" s="453">
        <v>10761.930478627055</v>
      </c>
      <c r="R32" s="526">
        <v>10886.935343255778</v>
      </c>
    </row>
    <row r="33" spans="2:18">
      <c r="B33" s="4515"/>
      <c r="C33" s="2931" t="s">
        <v>714</v>
      </c>
      <c r="D33" s="472">
        <v>9383</v>
      </c>
      <c r="E33" s="467">
        <v>9481</v>
      </c>
      <c r="F33" s="467">
        <v>9582</v>
      </c>
      <c r="G33" s="467">
        <v>9671</v>
      </c>
      <c r="H33" s="1525">
        <v>9819</v>
      </c>
      <c r="I33" s="472">
        <v>9915</v>
      </c>
      <c r="J33" s="467">
        <v>10064</v>
      </c>
      <c r="K33" s="467">
        <v>10217</v>
      </c>
      <c r="L33" s="467">
        <v>10352.328650697402</v>
      </c>
      <c r="M33" s="1525">
        <v>10463.656100295142</v>
      </c>
      <c r="N33" s="472">
        <v>10522.573051856096</v>
      </c>
      <c r="O33" s="467">
        <v>10640.515076544563</v>
      </c>
      <c r="P33" s="467">
        <v>10761.930478627055</v>
      </c>
      <c r="Q33" s="467">
        <v>10886.935343255778</v>
      </c>
      <c r="R33" s="480">
        <v>11007.525682395088</v>
      </c>
    </row>
    <row r="34" spans="2:18">
      <c r="B34" s="4515"/>
      <c r="C34" s="2931" t="s">
        <v>68</v>
      </c>
      <c r="D34" s="353">
        <v>9347</v>
      </c>
      <c r="E34" s="354">
        <v>9432</v>
      </c>
      <c r="F34" s="354">
        <v>9531.5</v>
      </c>
      <c r="G34" s="354">
        <v>9626.5</v>
      </c>
      <c r="H34" s="450">
        <v>9745</v>
      </c>
      <c r="I34" s="353">
        <v>9867</v>
      </c>
      <c r="J34" s="354">
        <v>9989.5</v>
      </c>
      <c r="K34" s="354">
        <v>10140.5</v>
      </c>
      <c r="L34" s="354">
        <v>10284.664325348702</v>
      </c>
      <c r="M34" s="450">
        <v>10407.992375496273</v>
      </c>
      <c r="N34" s="353">
        <v>10465.282713676184</v>
      </c>
      <c r="O34" s="354">
        <v>10581.54406420033</v>
      </c>
      <c r="P34" s="354">
        <v>10701.222777585808</v>
      </c>
      <c r="Q34" s="354">
        <v>10824.432910941418</v>
      </c>
      <c r="R34" s="450">
        <v>10947.230512825434</v>
      </c>
    </row>
    <row r="35" spans="2:18">
      <c r="B35" s="4515"/>
      <c r="C35" s="2931" t="s">
        <v>69</v>
      </c>
      <c r="D35" s="472">
        <v>125</v>
      </c>
      <c r="E35" s="467">
        <v>166</v>
      </c>
      <c r="F35" s="467">
        <v>175</v>
      </c>
      <c r="G35" s="467">
        <v>165</v>
      </c>
      <c r="H35" s="1525">
        <v>189</v>
      </c>
      <c r="I35" s="472">
        <v>183</v>
      </c>
      <c r="J35" s="467">
        <v>229</v>
      </c>
      <c r="K35" s="467">
        <v>228</v>
      </c>
      <c r="L35" s="467">
        <v>202.94629775622536</v>
      </c>
      <c r="M35" s="1525">
        <v>192.34801729587781</v>
      </c>
      <c r="N35" s="472">
        <v>196.36347757926831</v>
      </c>
      <c r="O35" s="467">
        <v>200.52305960148198</v>
      </c>
      <c r="P35" s="467">
        <v>204.80615052891307</v>
      </c>
      <c r="Q35" s="467">
        <v>209.21956254723835</v>
      </c>
      <c r="R35" s="480">
        <v>205.64546597606056</v>
      </c>
    </row>
    <row r="36" spans="2:18" ht="13.5" thickBot="1">
      <c r="B36" s="4516"/>
      <c r="C36" s="1522" t="s">
        <v>58</v>
      </c>
      <c r="D36" s="1526">
        <v>53</v>
      </c>
      <c r="E36" s="1527">
        <v>68</v>
      </c>
      <c r="F36" s="1527">
        <v>74</v>
      </c>
      <c r="G36" s="1527">
        <v>76</v>
      </c>
      <c r="H36" s="1528">
        <v>41</v>
      </c>
      <c r="I36" s="1526">
        <v>87</v>
      </c>
      <c r="J36" s="1527">
        <v>80</v>
      </c>
      <c r="K36" s="1527">
        <v>75</v>
      </c>
      <c r="L36" s="1527">
        <v>67.617647058823536</v>
      </c>
      <c r="M36" s="1528">
        <v>81.020567698137526</v>
      </c>
      <c r="N36" s="1526">
        <v>81.782801219445332</v>
      </c>
      <c r="O36" s="1527">
        <v>82.581034913014534</v>
      </c>
      <c r="P36" s="1527">
        <v>83.390748446421341</v>
      </c>
      <c r="Q36" s="1527">
        <v>84.214697918515142</v>
      </c>
      <c r="R36" s="2999">
        <v>85.055126836751128</v>
      </c>
    </row>
    <row r="37" spans="2:18">
      <c r="B37" s="2140"/>
      <c r="C37" s="2139"/>
      <c r="D37" s="2139"/>
      <c r="E37" s="2139"/>
      <c r="F37" s="2139"/>
      <c r="G37" s="2139"/>
      <c r="H37" s="2139"/>
      <c r="I37" s="2139"/>
      <c r="J37" s="2139"/>
      <c r="K37" s="2139"/>
      <c r="L37" s="2139"/>
      <c r="M37" s="2139"/>
      <c r="N37" s="2139"/>
      <c r="O37" s="2139"/>
      <c r="P37" s="2139"/>
      <c r="Q37" s="2139"/>
      <c r="R37" s="1758"/>
    </row>
    <row r="38" spans="2:18" ht="13.5" thickBot="1">
      <c r="B38" s="3010"/>
      <c r="C38" s="1155"/>
      <c r="D38" s="3000"/>
      <c r="E38" s="3000"/>
      <c r="F38" s="3000"/>
      <c r="G38" s="3000"/>
      <c r="H38" s="3000"/>
      <c r="I38" s="3000"/>
      <c r="J38" s="3000"/>
      <c r="K38" s="3000"/>
      <c r="L38" s="3000"/>
      <c r="M38" s="3000"/>
      <c r="N38" s="3000"/>
      <c r="O38" s="3000"/>
      <c r="P38" s="3000"/>
      <c r="Q38" s="3000"/>
      <c r="R38" s="3001"/>
    </row>
    <row r="39" spans="2:18" ht="15.75" thickBot="1">
      <c r="B39" s="3007" t="s">
        <v>1579</v>
      </c>
      <c r="C39" s="2138"/>
      <c r="D39" s="3002"/>
      <c r="E39" s="3002"/>
      <c r="F39" s="3002"/>
      <c r="G39" s="3002"/>
      <c r="H39" s="3002"/>
      <c r="I39" s="3002"/>
      <c r="J39" s="3002"/>
      <c r="K39" s="3002"/>
      <c r="L39" s="3002"/>
      <c r="M39" s="3002"/>
      <c r="N39" s="3002"/>
      <c r="O39" s="3002"/>
      <c r="P39" s="3002"/>
      <c r="Q39" s="3002"/>
      <c r="R39" s="3003"/>
    </row>
    <row r="40" spans="2:18" ht="15.75" thickBot="1">
      <c r="B40" s="2141" t="s">
        <v>1576</v>
      </c>
      <c r="C40" s="2140"/>
      <c r="D40" s="2139"/>
      <c r="E40" s="2139"/>
      <c r="F40" s="2139"/>
      <c r="G40" s="2139"/>
      <c r="H40" s="2139"/>
      <c r="I40" s="2139"/>
      <c r="J40" s="2139"/>
      <c r="K40" s="2139"/>
      <c r="L40" s="2139"/>
      <c r="M40" s="2139"/>
      <c r="N40" s="2139"/>
      <c r="O40" s="2139"/>
      <c r="P40" s="2139"/>
      <c r="Q40" s="2139"/>
      <c r="R40" s="1758"/>
    </row>
    <row r="41" spans="2:18" ht="15.75" thickBot="1">
      <c r="B41" s="2144" t="s">
        <v>1573</v>
      </c>
      <c r="C41" s="2140"/>
      <c r="D41" s="2139"/>
      <c r="E41" s="2139"/>
      <c r="F41" s="2139"/>
      <c r="G41" s="2139"/>
      <c r="H41" s="2139"/>
      <c r="I41" s="2139"/>
      <c r="J41" s="2139"/>
      <c r="K41" s="2139"/>
      <c r="L41" s="2139"/>
      <c r="M41" s="2139"/>
      <c r="N41" s="2139"/>
      <c r="O41" s="2139"/>
      <c r="P41" s="2139"/>
      <c r="Q41" s="2139"/>
      <c r="R41" s="1758"/>
    </row>
    <row r="42" spans="2:18" ht="15.75" thickBot="1">
      <c r="B42" s="2145" t="s">
        <v>1577</v>
      </c>
      <c r="C42" s="3009"/>
      <c r="D42" s="3004"/>
      <c r="E42" s="3004"/>
      <c r="F42" s="3004"/>
      <c r="G42" s="3004"/>
      <c r="H42" s="3004"/>
      <c r="I42" s="3004"/>
      <c r="J42" s="3004"/>
      <c r="K42" s="3004"/>
      <c r="L42" s="3004"/>
      <c r="M42" s="3004"/>
      <c r="N42" s="3004"/>
      <c r="O42" s="3004"/>
      <c r="P42" s="3004"/>
      <c r="Q42" s="3004"/>
      <c r="R42" s="3005"/>
    </row>
    <row r="43" spans="2:18" ht="15.75" thickBot="1">
      <c r="B43" s="1337" t="s">
        <v>1578</v>
      </c>
      <c r="C43" s="2142"/>
      <c r="D43" s="2142"/>
      <c r="E43" s="2142"/>
      <c r="F43" s="2142"/>
      <c r="G43" s="2142"/>
      <c r="H43" s="2142"/>
      <c r="I43" s="2142"/>
      <c r="J43" s="2142"/>
      <c r="K43" s="2142"/>
      <c r="L43" s="2142"/>
      <c r="M43" s="2142"/>
      <c r="N43" s="2142"/>
      <c r="O43" s="2142"/>
      <c r="P43" s="2142"/>
      <c r="Q43" s="2142"/>
      <c r="R43" s="2143"/>
    </row>
    <row r="44" spans="2:18">
      <c r="B44" s="4514" t="s">
        <v>1574</v>
      </c>
      <c r="C44" s="2929" t="s">
        <v>713</v>
      </c>
      <c r="D44" s="1524">
        <v>115771</v>
      </c>
      <c r="E44" s="453">
        <v>118107</v>
      </c>
      <c r="F44" s="453">
        <v>120689</v>
      </c>
      <c r="G44" s="453">
        <v>123964</v>
      </c>
      <c r="H44" s="453">
        <v>126904</v>
      </c>
      <c r="I44" s="1524">
        <v>130023</v>
      </c>
      <c r="J44" s="453">
        <v>132674</v>
      </c>
      <c r="K44" s="453">
        <v>135266</v>
      </c>
      <c r="L44" s="453">
        <v>137490</v>
      </c>
      <c r="M44" s="453">
        <v>139128.83570736321</v>
      </c>
      <c r="N44" s="1524">
        <v>142310.98303415367</v>
      </c>
      <c r="O44" s="453">
        <v>145605.32725780201</v>
      </c>
      <c r="P44" s="453">
        <v>148956.31051461125</v>
      </c>
      <c r="Q44" s="453">
        <v>152365.06623287799</v>
      </c>
      <c r="R44" s="526">
        <v>155832.75137740266</v>
      </c>
    </row>
    <row r="45" spans="2:18">
      <c r="B45" s="4515"/>
      <c r="C45" s="2931" t="s">
        <v>714</v>
      </c>
      <c r="D45" s="472">
        <v>118107</v>
      </c>
      <c r="E45" s="467">
        <v>120689</v>
      </c>
      <c r="F45" s="467">
        <v>123964</v>
      </c>
      <c r="G45" s="467">
        <v>126904</v>
      </c>
      <c r="H45" s="1525">
        <v>130023</v>
      </c>
      <c r="I45" s="472">
        <v>132674</v>
      </c>
      <c r="J45" s="467">
        <v>135266</v>
      </c>
      <c r="K45" s="467">
        <v>137490</v>
      </c>
      <c r="L45" s="467">
        <v>139128.83570736321</v>
      </c>
      <c r="M45" s="1525">
        <v>142310.98303415367</v>
      </c>
      <c r="N45" s="472">
        <v>145605.32725780201</v>
      </c>
      <c r="O45" s="467">
        <v>148956.31051461125</v>
      </c>
      <c r="P45" s="467">
        <v>152365.06623287799</v>
      </c>
      <c r="Q45" s="467">
        <v>155832.75137740266</v>
      </c>
      <c r="R45" s="480">
        <v>159211.54134442355</v>
      </c>
    </row>
    <row r="46" spans="2:18">
      <c r="B46" s="4515"/>
      <c r="C46" s="2931" t="s">
        <v>68</v>
      </c>
      <c r="D46" s="353">
        <v>116939</v>
      </c>
      <c r="E46" s="354">
        <v>119398</v>
      </c>
      <c r="F46" s="354">
        <v>122326.5</v>
      </c>
      <c r="G46" s="354">
        <v>125434</v>
      </c>
      <c r="H46" s="450">
        <v>128463.5</v>
      </c>
      <c r="I46" s="353">
        <v>131348.5</v>
      </c>
      <c r="J46" s="354">
        <v>133970</v>
      </c>
      <c r="K46" s="354">
        <v>136378</v>
      </c>
      <c r="L46" s="354">
        <v>138309.4178536816</v>
      </c>
      <c r="M46" s="450">
        <v>140719.90937075845</v>
      </c>
      <c r="N46" s="353">
        <v>143958.15514597786</v>
      </c>
      <c r="O46" s="354">
        <v>147280.81888620663</v>
      </c>
      <c r="P46" s="354">
        <v>150660.6883737446</v>
      </c>
      <c r="Q46" s="354">
        <v>154098.90880514032</v>
      </c>
      <c r="R46" s="450">
        <v>157522.14636091312</v>
      </c>
    </row>
    <row r="47" spans="2:18">
      <c r="B47" s="4515"/>
      <c r="C47" s="2931" t="s">
        <v>69</v>
      </c>
      <c r="D47" s="472">
        <v>2532</v>
      </c>
      <c r="E47" s="467">
        <v>2756</v>
      </c>
      <c r="F47" s="467">
        <v>3433</v>
      </c>
      <c r="G47" s="467">
        <v>3052</v>
      </c>
      <c r="H47" s="1525">
        <v>3272</v>
      </c>
      <c r="I47" s="472">
        <v>2766</v>
      </c>
      <c r="J47" s="467">
        <v>2732</v>
      </c>
      <c r="K47" s="467">
        <v>2378</v>
      </c>
      <c r="L47" s="467">
        <v>1786.562719491101</v>
      </c>
      <c r="M47" s="1525">
        <v>3325.0216351359209</v>
      </c>
      <c r="N47" s="472">
        <v>3440.183629913467</v>
      </c>
      <c r="O47" s="467">
        <v>3499.9278021138848</v>
      </c>
      <c r="P47" s="467">
        <v>3560.8500593312165</v>
      </c>
      <c r="Q47" s="467">
        <v>3622.9846593283705</v>
      </c>
      <c r="R47" s="480">
        <v>3537.3587608151279</v>
      </c>
    </row>
    <row r="48" spans="2:18" ht="13.5" thickBot="1">
      <c r="B48" s="4516"/>
      <c r="C48" s="1522" t="s">
        <v>58</v>
      </c>
      <c r="D48" s="1526">
        <v>196</v>
      </c>
      <c r="E48" s="1527">
        <v>174</v>
      </c>
      <c r="F48" s="1527">
        <v>158</v>
      </c>
      <c r="G48" s="1527">
        <v>112</v>
      </c>
      <c r="H48" s="1528">
        <v>153</v>
      </c>
      <c r="I48" s="1526">
        <v>115</v>
      </c>
      <c r="J48" s="1527">
        <v>140</v>
      </c>
      <c r="K48" s="1527">
        <v>154</v>
      </c>
      <c r="L48" s="1527">
        <v>147.72701212789417</v>
      </c>
      <c r="M48" s="1528">
        <v>142.87430834545529</v>
      </c>
      <c r="N48" s="1526">
        <v>145.83940626513419</v>
      </c>
      <c r="O48" s="1527">
        <v>148.94454530462278</v>
      </c>
      <c r="P48" s="1527">
        <v>152.09434106448535</v>
      </c>
      <c r="Q48" s="1527">
        <v>155.29951480367521</v>
      </c>
      <c r="R48" s="2999">
        <v>158.56879379421858</v>
      </c>
    </row>
    <row r="49" spans="2:18" ht="15.75" thickBot="1">
      <c r="B49" s="1337" t="s">
        <v>1580</v>
      </c>
      <c r="C49" s="2142"/>
      <c r="D49" s="2142"/>
      <c r="E49" s="2142"/>
      <c r="F49" s="2142"/>
      <c r="G49" s="2142"/>
      <c r="H49" s="2142"/>
      <c r="I49" s="2142"/>
      <c r="J49" s="2142"/>
      <c r="K49" s="2142"/>
      <c r="L49" s="2142"/>
      <c r="M49" s="2142"/>
      <c r="N49" s="2142"/>
      <c r="O49" s="2142"/>
      <c r="P49" s="2142"/>
      <c r="Q49" s="2142"/>
      <c r="R49" s="2143"/>
    </row>
    <row r="50" spans="2:18">
      <c r="B50" s="4514" t="s">
        <v>1575</v>
      </c>
      <c r="C50" s="2929" t="s">
        <v>713</v>
      </c>
      <c r="D50" s="1524">
        <v>6126</v>
      </c>
      <c r="E50" s="453">
        <v>6115</v>
      </c>
      <c r="F50" s="453">
        <v>6123</v>
      </c>
      <c r="G50" s="453">
        <v>6127</v>
      </c>
      <c r="H50" s="453">
        <v>6135</v>
      </c>
      <c r="I50" s="1524">
        <v>6178</v>
      </c>
      <c r="J50" s="453">
        <v>6184</v>
      </c>
      <c r="K50" s="453">
        <v>6152</v>
      </c>
      <c r="L50" s="453">
        <v>6200</v>
      </c>
      <c r="M50" s="453">
        <v>6235.677845281014</v>
      </c>
      <c r="N50" s="1524">
        <v>6273.3938044605675</v>
      </c>
      <c r="O50" s="453">
        <v>6311.7682208138212</v>
      </c>
      <c r="P50" s="453">
        <v>6350.8142001074903</v>
      </c>
      <c r="Q50" s="453">
        <v>6390.5451182257248</v>
      </c>
      <c r="R50" s="526">
        <v>6430.9746268751633</v>
      </c>
    </row>
    <row r="51" spans="2:18">
      <c r="B51" s="4515"/>
      <c r="C51" s="2931" t="s">
        <v>714</v>
      </c>
      <c r="D51" s="472">
        <v>6115</v>
      </c>
      <c r="E51" s="467">
        <v>6123</v>
      </c>
      <c r="F51" s="467">
        <v>6127</v>
      </c>
      <c r="G51" s="467">
        <v>6135</v>
      </c>
      <c r="H51" s="1525">
        <v>6178</v>
      </c>
      <c r="I51" s="472">
        <v>6184</v>
      </c>
      <c r="J51" s="467">
        <v>6152</v>
      </c>
      <c r="K51" s="467">
        <v>6200</v>
      </c>
      <c r="L51" s="467">
        <v>6235.677845281014</v>
      </c>
      <c r="M51" s="1525">
        <v>6273.3938044605675</v>
      </c>
      <c r="N51" s="472">
        <v>6311.7682208138212</v>
      </c>
      <c r="O51" s="467">
        <v>6350.8142001074903</v>
      </c>
      <c r="P51" s="467">
        <v>6390.5451182257248</v>
      </c>
      <c r="Q51" s="467">
        <v>6430.9746268751633</v>
      </c>
      <c r="R51" s="480">
        <v>6470.3147125709884</v>
      </c>
    </row>
    <row r="52" spans="2:18">
      <c r="B52" s="4515"/>
      <c r="C52" s="2931" t="s">
        <v>68</v>
      </c>
      <c r="D52" s="353">
        <v>6120.5</v>
      </c>
      <c r="E52" s="354">
        <v>6119</v>
      </c>
      <c r="F52" s="354">
        <v>6125</v>
      </c>
      <c r="G52" s="354">
        <v>6131</v>
      </c>
      <c r="H52" s="450">
        <v>6156.5</v>
      </c>
      <c r="I52" s="353">
        <v>6181</v>
      </c>
      <c r="J52" s="354">
        <v>6168</v>
      </c>
      <c r="K52" s="354">
        <v>6176</v>
      </c>
      <c r="L52" s="354">
        <v>6217.838922640507</v>
      </c>
      <c r="M52" s="450">
        <v>6254.5358248707907</v>
      </c>
      <c r="N52" s="353">
        <v>6292.5810126371944</v>
      </c>
      <c r="O52" s="354">
        <v>6331.2912104606557</v>
      </c>
      <c r="P52" s="354">
        <v>6370.679659166608</v>
      </c>
      <c r="Q52" s="354">
        <v>6410.759872550444</v>
      </c>
      <c r="R52" s="450">
        <v>6450.6446697230758</v>
      </c>
    </row>
    <row r="53" spans="2:18">
      <c r="B53" s="4515"/>
      <c r="C53" s="2931" t="s">
        <v>69</v>
      </c>
      <c r="D53" s="472">
        <v>21</v>
      </c>
      <c r="E53" s="467">
        <v>35</v>
      </c>
      <c r="F53" s="467">
        <v>43</v>
      </c>
      <c r="G53" s="467">
        <v>38</v>
      </c>
      <c r="H53" s="1525">
        <v>76</v>
      </c>
      <c r="I53" s="472">
        <v>29</v>
      </c>
      <c r="J53" s="467">
        <v>3</v>
      </c>
      <c r="K53" s="467">
        <v>85</v>
      </c>
      <c r="L53" s="467">
        <v>62.221962928072841</v>
      </c>
      <c r="M53" s="1525">
        <v>69.521553937086793</v>
      </c>
      <c r="N53" s="472">
        <v>70.479235013779828</v>
      </c>
      <c r="O53" s="467">
        <v>71.46415415621604</v>
      </c>
      <c r="P53" s="467">
        <v>72.466955731499098</v>
      </c>
      <c r="Q53" s="467">
        <v>73.488997501748173</v>
      </c>
      <c r="R53" s="480">
        <v>72.729494991243939</v>
      </c>
    </row>
    <row r="54" spans="2:18" ht="13.5" thickBot="1">
      <c r="B54" s="4516"/>
      <c r="C54" s="1522" t="s">
        <v>58</v>
      </c>
      <c r="D54" s="1526">
        <v>32</v>
      </c>
      <c r="E54" s="1527">
        <v>27</v>
      </c>
      <c r="F54" s="1527">
        <v>39</v>
      </c>
      <c r="G54" s="1527">
        <v>30</v>
      </c>
      <c r="H54" s="1528">
        <v>33</v>
      </c>
      <c r="I54" s="1526">
        <v>23</v>
      </c>
      <c r="J54" s="1527">
        <v>35</v>
      </c>
      <c r="K54" s="1527">
        <v>37</v>
      </c>
      <c r="L54" s="1527">
        <v>26.544117647058822</v>
      </c>
      <c r="M54" s="1528">
        <v>31.805594757533324</v>
      </c>
      <c r="N54" s="1526">
        <v>32.104818660526064</v>
      </c>
      <c r="O54" s="1527">
        <v>32.418174862547026</v>
      </c>
      <c r="P54" s="1527">
        <v>32.736037613264578</v>
      </c>
      <c r="Q54" s="1527">
        <v>33.059488852309663</v>
      </c>
      <c r="R54" s="2999">
        <v>33.38940929541883</v>
      </c>
    </row>
    <row r="55" spans="2:18">
      <c r="B55" s="2140"/>
      <c r="C55" s="2139"/>
      <c r="D55" s="2139"/>
      <c r="E55" s="2139"/>
      <c r="F55" s="2139"/>
      <c r="G55" s="2139"/>
      <c r="H55" s="2139"/>
      <c r="I55" s="2139"/>
      <c r="J55" s="2139"/>
      <c r="K55" s="2139"/>
      <c r="L55" s="2139"/>
      <c r="M55" s="2139"/>
      <c r="N55" s="2139"/>
      <c r="O55" s="2139"/>
      <c r="P55" s="2139"/>
      <c r="Q55" s="2139"/>
      <c r="R55" s="1758"/>
    </row>
    <row r="56" spans="2:18" ht="13.5" thickBot="1">
      <c r="B56" s="2140"/>
      <c r="C56" s="2139"/>
      <c r="D56" s="2139"/>
      <c r="E56" s="2139"/>
      <c r="F56" s="2139"/>
      <c r="G56" s="2139"/>
      <c r="H56" s="2139"/>
      <c r="I56" s="2139"/>
      <c r="J56" s="2139"/>
      <c r="K56" s="2139"/>
      <c r="L56" s="2139"/>
      <c r="M56" s="2139"/>
      <c r="N56" s="2139"/>
      <c r="O56" s="2139"/>
      <c r="P56" s="2139"/>
      <c r="Q56" s="2139"/>
      <c r="R56" s="3006"/>
    </row>
    <row r="57" spans="2:18" ht="15.75" thickBot="1">
      <c r="B57" s="3007" t="s">
        <v>1581</v>
      </c>
      <c r="C57" s="2138"/>
      <c r="D57" s="3002"/>
      <c r="E57" s="3002"/>
      <c r="F57" s="3002"/>
      <c r="G57" s="3002"/>
      <c r="H57" s="3002"/>
      <c r="I57" s="3002"/>
      <c r="J57" s="3002"/>
      <c r="K57" s="3002"/>
      <c r="L57" s="3002"/>
      <c r="M57" s="3002"/>
      <c r="N57" s="3002"/>
      <c r="O57" s="3002"/>
      <c r="P57" s="3002"/>
      <c r="Q57" s="3002"/>
      <c r="R57" s="3003"/>
    </row>
    <row r="58" spans="2:18" ht="15.75" thickBot="1">
      <c r="B58" s="2141" t="s">
        <v>1582</v>
      </c>
      <c r="C58" s="2140"/>
      <c r="D58" s="2139"/>
      <c r="E58" s="2139"/>
      <c r="F58" s="2139"/>
      <c r="G58" s="2139"/>
      <c r="H58" s="2139"/>
      <c r="I58" s="2139"/>
      <c r="J58" s="2139"/>
      <c r="K58" s="2139"/>
      <c r="L58" s="2139"/>
      <c r="M58" s="2139"/>
      <c r="N58" s="2139"/>
      <c r="O58" s="2139"/>
      <c r="P58" s="2139"/>
      <c r="Q58" s="2139"/>
      <c r="R58" s="1758"/>
    </row>
    <row r="59" spans="2:18" ht="15.75" thickBot="1">
      <c r="B59" s="2144" t="s">
        <v>1573</v>
      </c>
      <c r="C59" s="2140"/>
      <c r="D59" s="2139"/>
      <c r="E59" s="2139"/>
      <c r="F59" s="2139"/>
      <c r="G59" s="2139"/>
      <c r="H59" s="2139"/>
      <c r="I59" s="2139"/>
      <c r="J59" s="2139"/>
      <c r="K59" s="2139"/>
      <c r="L59" s="2139"/>
      <c r="M59" s="2139"/>
      <c r="N59" s="2139"/>
      <c r="O59" s="2139"/>
      <c r="P59" s="2139"/>
      <c r="Q59" s="2139"/>
      <c r="R59" s="1758"/>
    </row>
    <row r="60" spans="2:18" ht="15.75" thickBot="1">
      <c r="B60" s="2145" t="s">
        <v>1592</v>
      </c>
      <c r="C60" s="3009"/>
      <c r="D60" s="3004"/>
      <c r="E60" s="3004"/>
      <c r="F60" s="3004"/>
      <c r="G60" s="3004"/>
      <c r="H60" s="3004"/>
      <c r="I60" s="3004"/>
      <c r="J60" s="3004"/>
      <c r="K60" s="3004"/>
      <c r="L60" s="3004"/>
      <c r="M60" s="3004"/>
      <c r="N60" s="3004"/>
      <c r="O60" s="3004"/>
      <c r="P60" s="3004"/>
      <c r="Q60" s="3004"/>
      <c r="R60" s="3005"/>
    </row>
    <row r="61" spans="2:18" ht="15.75" thickBot="1">
      <c r="B61" s="1337" t="s">
        <v>1578</v>
      </c>
      <c r="C61" s="2142"/>
      <c r="D61" s="2142"/>
      <c r="E61" s="2142"/>
      <c r="F61" s="2142"/>
      <c r="G61" s="2142"/>
      <c r="H61" s="2142"/>
      <c r="I61" s="2142"/>
      <c r="J61" s="2142"/>
      <c r="K61" s="2142"/>
      <c r="L61" s="2142"/>
      <c r="M61" s="2142"/>
      <c r="N61" s="2142"/>
      <c r="O61" s="2142"/>
      <c r="P61" s="2142"/>
      <c r="Q61" s="2142"/>
      <c r="R61" s="2143"/>
    </row>
    <row r="62" spans="2:18">
      <c r="B62" s="4514" t="s">
        <v>1574</v>
      </c>
      <c r="C62" s="2929" t="s">
        <v>713</v>
      </c>
      <c r="D62" s="1524">
        <v>52</v>
      </c>
      <c r="E62" s="453">
        <v>525</v>
      </c>
      <c r="F62" s="453">
        <v>732</v>
      </c>
      <c r="G62" s="453">
        <v>925</v>
      </c>
      <c r="H62" s="453">
        <v>1087</v>
      </c>
      <c r="I62" s="1524">
        <v>1211</v>
      </c>
      <c r="J62" s="453">
        <v>1325</v>
      </c>
      <c r="K62" s="453">
        <v>1417</v>
      </c>
      <c r="L62" s="453">
        <v>1508</v>
      </c>
      <c r="M62" s="453">
        <v>1589</v>
      </c>
      <c r="N62" s="1524">
        <v>1621.8505856438342</v>
      </c>
      <c r="O62" s="453">
        <v>2024.0849862864209</v>
      </c>
      <c r="P62" s="453">
        <v>2334.8476826326596</v>
      </c>
      <c r="Q62" s="453">
        <v>2577.1616900369445</v>
      </c>
      <c r="R62" s="526">
        <v>2768.2969697454078</v>
      </c>
    </row>
    <row r="63" spans="2:18">
      <c r="B63" s="4515"/>
      <c r="C63" s="2931" t="s">
        <v>714</v>
      </c>
      <c r="D63" s="472">
        <v>525</v>
      </c>
      <c r="E63" s="467">
        <v>732</v>
      </c>
      <c r="F63" s="467">
        <v>925</v>
      </c>
      <c r="G63" s="467">
        <v>1087</v>
      </c>
      <c r="H63" s="1525">
        <v>1211</v>
      </c>
      <c r="I63" s="472">
        <v>1325</v>
      </c>
      <c r="J63" s="467">
        <v>1417</v>
      </c>
      <c r="K63" s="467">
        <v>1508</v>
      </c>
      <c r="L63" s="467">
        <v>1589</v>
      </c>
      <c r="M63" s="1525">
        <v>1621.8505856438342</v>
      </c>
      <c r="N63" s="472">
        <v>2024.0849862864209</v>
      </c>
      <c r="O63" s="467">
        <v>2334.8476826326596</v>
      </c>
      <c r="P63" s="467">
        <v>2577.1616900369445</v>
      </c>
      <c r="Q63" s="467">
        <v>2768.2969697454078</v>
      </c>
      <c r="R63" s="480">
        <v>2920.1319161707124</v>
      </c>
    </row>
    <row r="64" spans="2:18">
      <c r="B64" s="4515"/>
      <c r="C64" s="2931" t="s">
        <v>68</v>
      </c>
      <c r="D64" s="353">
        <v>288.5</v>
      </c>
      <c r="E64" s="354">
        <v>628.5</v>
      </c>
      <c r="F64" s="354">
        <v>828.5</v>
      </c>
      <c r="G64" s="354">
        <v>1006</v>
      </c>
      <c r="H64" s="450">
        <v>1149</v>
      </c>
      <c r="I64" s="353">
        <v>1268</v>
      </c>
      <c r="J64" s="354">
        <v>1371</v>
      </c>
      <c r="K64" s="354">
        <v>1462.5</v>
      </c>
      <c r="L64" s="354">
        <v>1548.5</v>
      </c>
      <c r="M64" s="450">
        <v>1605.4252928219171</v>
      </c>
      <c r="N64" s="353">
        <v>1822.9677859651274</v>
      </c>
      <c r="O64" s="354">
        <v>2179.4663344595401</v>
      </c>
      <c r="P64" s="354">
        <v>2456.004686334802</v>
      </c>
      <c r="Q64" s="354">
        <v>2672.7293298911763</v>
      </c>
      <c r="R64" s="450">
        <v>2844.2144429580603</v>
      </c>
    </row>
    <row r="65" spans="2:18">
      <c r="B65" s="4515"/>
      <c r="C65" s="2931" t="s">
        <v>69</v>
      </c>
      <c r="D65" s="472">
        <v>473</v>
      </c>
      <c r="E65" s="467">
        <v>207</v>
      </c>
      <c r="F65" s="467">
        <v>193</v>
      </c>
      <c r="G65" s="467">
        <v>162</v>
      </c>
      <c r="H65" s="1525">
        <v>128</v>
      </c>
      <c r="I65" s="472">
        <v>116</v>
      </c>
      <c r="J65" s="467">
        <v>97</v>
      </c>
      <c r="K65" s="467">
        <v>94</v>
      </c>
      <c r="L65" s="467">
        <v>84.611907386990083</v>
      </c>
      <c r="M65" s="1525">
        <v>36.343845016583685</v>
      </c>
      <c r="N65" s="472">
        <v>405.80015629699096</v>
      </c>
      <c r="O65" s="467">
        <v>314.40437227055691</v>
      </c>
      <c r="P65" s="467">
        <v>246.03269544987131</v>
      </c>
      <c r="Q65" s="467">
        <v>194.93233386014234</v>
      </c>
      <c r="R65" s="480">
        <v>155.71193404863519</v>
      </c>
    </row>
    <row r="66" spans="2:18" ht="13.5" thickBot="1">
      <c r="B66" s="4516"/>
      <c r="C66" s="1522" t="s">
        <v>58</v>
      </c>
      <c r="D66" s="1526">
        <v>0</v>
      </c>
      <c r="E66" s="1527">
        <v>0</v>
      </c>
      <c r="F66" s="1527">
        <v>0</v>
      </c>
      <c r="G66" s="1527">
        <v>0</v>
      </c>
      <c r="H66" s="1528">
        <v>4</v>
      </c>
      <c r="I66" s="1526">
        <v>2</v>
      </c>
      <c r="J66" s="1527">
        <v>5</v>
      </c>
      <c r="K66" s="1527">
        <v>3</v>
      </c>
      <c r="L66" s="1527">
        <v>3.6119073869900773</v>
      </c>
      <c r="M66" s="1528">
        <v>3.4932593727495176</v>
      </c>
      <c r="N66" s="1526">
        <v>3.5657556544042586</v>
      </c>
      <c r="O66" s="1527">
        <v>3.6416759243184051</v>
      </c>
      <c r="P66" s="1527">
        <v>3.7186880455864388</v>
      </c>
      <c r="Q66" s="1527">
        <v>3.7970541516791005</v>
      </c>
      <c r="R66" s="2999">
        <v>3.8769876233305274</v>
      </c>
    </row>
    <row r="67" spans="2:18" ht="15.75" thickBot="1">
      <c r="B67" s="1337" t="s">
        <v>1580</v>
      </c>
      <c r="C67" s="2142"/>
      <c r="D67" s="2142"/>
      <c r="E67" s="2142"/>
      <c r="F67" s="2142"/>
      <c r="G67" s="2142"/>
      <c r="H67" s="2142"/>
      <c r="I67" s="2142"/>
      <c r="J67" s="2142"/>
      <c r="K67" s="2142"/>
      <c r="L67" s="2142"/>
      <c r="M67" s="2142"/>
      <c r="N67" s="2142"/>
      <c r="O67" s="2142"/>
      <c r="P67" s="2142"/>
      <c r="Q67" s="2142"/>
      <c r="R67" s="2143"/>
    </row>
    <row r="68" spans="2:18">
      <c r="B68" s="4514" t="s">
        <v>1575</v>
      </c>
      <c r="C68" s="2929" t="s">
        <v>713</v>
      </c>
      <c r="D68" s="1524">
        <v>1</v>
      </c>
      <c r="E68" s="453">
        <v>4</v>
      </c>
      <c r="F68" s="453">
        <v>7</v>
      </c>
      <c r="G68" s="453">
        <v>9</v>
      </c>
      <c r="H68" s="453">
        <v>10</v>
      </c>
      <c r="I68" s="1524">
        <v>12</v>
      </c>
      <c r="J68" s="453">
        <v>13</v>
      </c>
      <c r="K68" s="453">
        <v>14</v>
      </c>
      <c r="L68" s="453">
        <v>13</v>
      </c>
      <c r="M68" s="453">
        <v>13</v>
      </c>
      <c r="N68" s="1524">
        <v>13.123933595475741</v>
      </c>
      <c r="O68" s="453">
        <v>17.5432896231057</v>
      </c>
      <c r="P68" s="453">
        <v>20.891534762403644</v>
      </c>
      <c r="Q68" s="453">
        <v>23.437036225852903</v>
      </c>
      <c r="R68" s="526">
        <v>25.381079765501589</v>
      </c>
    </row>
    <row r="69" spans="2:18">
      <c r="B69" s="4515"/>
      <c r="C69" s="2931" t="s">
        <v>714</v>
      </c>
      <c r="D69" s="472">
        <v>4</v>
      </c>
      <c r="E69" s="467">
        <v>7</v>
      </c>
      <c r="F69" s="467">
        <v>9</v>
      </c>
      <c r="G69" s="467">
        <v>10</v>
      </c>
      <c r="H69" s="1525">
        <v>12</v>
      </c>
      <c r="I69" s="472">
        <v>13</v>
      </c>
      <c r="J69" s="467">
        <v>14</v>
      </c>
      <c r="K69" s="467">
        <v>13</v>
      </c>
      <c r="L69" s="467">
        <v>13</v>
      </c>
      <c r="M69" s="1525">
        <v>13.123933595475741</v>
      </c>
      <c r="N69" s="472">
        <v>17.5432896231057</v>
      </c>
      <c r="O69" s="467">
        <v>20.891534762403644</v>
      </c>
      <c r="P69" s="467">
        <v>23.437036225852903</v>
      </c>
      <c r="Q69" s="467">
        <v>25.381079765501589</v>
      </c>
      <c r="R69" s="480">
        <v>26.871794025207738</v>
      </c>
    </row>
    <row r="70" spans="2:18">
      <c r="B70" s="4515"/>
      <c r="C70" s="2931" t="s">
        <v>68</v>
      </c>
      <c r="D70" s="353">
        <v>2.5</v>
      </c>
      <c r="E70" s="354">
        <v>5.5</v>
      </c>
      <c r="F70" s="354">
        <v>8</v>
      </c>
      <c r="G70" s="354">
        <v>9.5</v>
      </c>
      <c r="H70" s="450">
        <v>11</v>
      </c>
      <c r="I70" s="353">
        <v>12.5</v>
      </c>
      <c r="J70" s="354">
        <v>13.5</v>
      </c>
      <c r="K70" s="354">
        <v>13.5</v>
      </c>
      <c r="L70" s="354">
        <v>13</v>
      </c>
      <c r="M70" s="450">
        <v>13.06196679773787</v>
      </c>
      <c r="N70" s="353">
        <v>15.33361160929072</v>
      </c>
      <c r="O70" s="354">
        <v>19.217412192754672</v>
      </c>
      <c r="P70" s="354">
        <v>22.164285494128272</v>
      </c>
      <c r="Q70" s="354">
        <v>24.409057995677244</v>
      </c>
      <c r="R70" s="450">
        <v>26.126436895354665</v>
      </c>
    </row>
    <row r="71" spans="2:18">
      <c r="B71" s="4515"/>
      <c r="C71" s="2931" t="s">
        <v>69</v>
      </c>
      <c r="D71" s="472">
        <v>3</v>
      </c>
      <c r="E71" s="467">
        <v>3</v>
      </c>
      <c r="F71" s="467">
        <v>2</v>
      </c>
      <c r="G71" s="467">
        <v>1</v>
      </c>
      <c r="H71" s="1525">
        <v>2</v>
      </c>
      <c r="I71" s="472">
        <v>1</v>
      </c>
      <c r="J71" s="467">
        <v>1</v>
      </c>
      <c r="K71" s="467">
        <v>0</v>
      </c>
      <c r="L71" s="467">
        <v>0.27941176470588236</v>
      </c>
      <c r="M71" s="1525">
        <v>0.45872932976556524</v>
      </c>
      <c r="N71" s="472">
        <v>4.7573014872144439</v>
      </c>
      <c r="O71" s="467">
        <v>3.6894890852194919</v>
      </c>
      <c r="P71" s="467">
        <v>2.8900913330625704</v>
      </c>
      <c r="Q71" s="467">
        <v>2.2920381591466819</v>
      </c>
      <c r="R71" s="480">
        <v>1.8421817259737154</v>
      </c>
    </row>
    <row r="72" spans="2:18" ht="13.5" thickBot="1">
      <c r="B72" s="4516"/>
      <c r="C72" s="1522" t="s">
        <v>58</v>
      </c>
      <c r="D72" s="1526">
        <v>0</v>
      </c>
      <c r="E72" s="1527">
        <v>0</v>
      </c>
      <c r="F72" s="1527">
        <v>0</v>
      </c>
      <c r="G72" s="1527">
        <v>0</v>
      </c>
      <c r="H72" s="1528">
        <v>0</v>
      </c>
      <c r="I72" s="1526">
        <v>0</v>
      </c>
      <c r="J72" s="1527">
        <v>0</v>
      </c>
      <c r="K72" s="1527">
        <v>1</v>
      </c>
      <c r="L72" s="1527">
        <v>0.27941176470588236</v>
      </c>
      <c r="M72" s="1528">
        <v>0.33479573428982445</v>
      </c>
      <c r="N72" s="1526">
        <v>0.33794545958448485</v>
      </c>
      <c r="O72" s="1527">
        <v>0.34124394592154761</v>
      </c>
      <c r="P72" s="1527">
        <v>0.34458986961331128</v>
      </c>
      <c r="Q72" s="1527">
        <v>0.34799461949799648</v>
      </c>
      <c r="R72" s="2999">
        <v>0.35146746626756664</v>
      </c>
    </row>
    <row r="73" spans="2:18">
      <c r="B73" s="2140"/>
      <c r="C73" s="2139"/>
      <c r="D73" s="2139"/>
      <c r="E73" s="2139"/>
      <c r="F73" s="2139"/>
      <c r="G73" s="2139"/>
      <c r="H73" s="2139"/>
      <c r="I73" s="2139"/>
      <c r="J73" s="2139"/>
      <c r="K73" s="2139"/>
      <c r="L73" s="2139"/>
      <c r="M73" s="2139"/>
      <c r="N73" s="2139"/>
      <c r="O73" s="2139"/>
      <c r="P73" s="2139"/>
      <c r="Q73" s="2139"/>
      <c r="R73" s="1758"/>
    </row>
    <row r="74" spans="2:18" ht="13.5" thickBot="1">
      <c r="B74" s="2140"/>
      <c r="C74" s="2139"/>
      <c r="D74" s="2139"/>
      <c r="E74" s="2139"/>
      <c r="F74" s="2139"/>
      <c r="G74" s="2139"/>
      <c r="H74" s="2139"/>
      <c r="I74" s="2139"/>
      <c r="J74" s="2139"/>
      <c r="K74" s="2139"/>
      <c r="L74" s="2139"/>
      <c r="M74" s="2139"/>
      <c r="N74" s="2139"/>
      <c r="O74" s="2139"/>
      <c r="P74" s="2139"/>
      <c r="Q74" s="2139"/>
      <c r="R74" s="3006"/>
    </row>
    <row r="75" spans="2:18" ht="15.75" thickBot="1">
      <c r="B75" s="3007" t="s">
        <v>1583</v>
      </c>
      <c r="C75" s="2138"/>
      <c r="D75" s="3002"/>
      <c r="E75" s="3002"/>
      <c r="F75" s="3002"/>
      <c r="G75" s="3002"/>
      <c r="H75" s="3002"/>
      <c r="I75" s="3002"/>
      <c r="J75" s="3002"/>
      <c r="K75" s="3002"/>
      <c r="L75" s="3002"/>
      <c r="M75" s="3002"/>
      <c r="N75" s="3002"/>
      <c r="O75" s="3002"/>
      <c r="P75" s="3002"/>
      <c r="Q75" s="3002"/>
      <c r="R75" s="3003"/>
    </row>
    <row r="76" spans="2:18" ht="15.75" thickBot="1">
      <c r="B76" s="2141" t="s">
        <v>1584</v>
      </c>
      <c r="C76" s="2140"/>
      <c r="D76" s="2139"/>
      <c r="E76" s="2139"/>
      <c r="F76" s="2139"/>
      <c r="G76" s="2139"/>
      <c r="H76" s="2139"/>
      <c r="I76" s="2139"/>
      <c r="J76" s="2139"/>
      <c r="K76" s="2139"/>
      <c r="L76" s="2139"/>
      <c r="M76" s="2139"/>
      <c r="N76" s="2139"/>
      <c r="O76" s="2139"/>
      <c r="P76" s="2139"/>
      <c r="Q76" s="2139"/>
      <c r="R76" s="1758"/>
    </row>
    <row r="77" spans="2:18" ht="15.75" thickBot="1">
      <c r="B77" s="2144" t="s">
        <v>1573</v>
      </c>
      <c r="C77" s="2140"/>
      <c r="D77" s="2139"/>
      <c r="E77" s="2139"/>
      <c r="F77" s="2139"/>
      <c r="G77" s="2139"/>
      <c r="H77" s="2139"/>
      <c r="I77" s="2139"/>
      <c r="J77" s="2139"/>
      <c r="K77" s="2139"/>
      <c r="L77" s="2139"/>
      <c r="M77" s="2139"/>
      <c r="N77" s="2139"/>
      <c r="O77" s="2139"/>
      <c r="P77" s="2139"/>
      <c r="Q77" s="2139"/>
      <c r="R77" s="1758"/>
    </row>
    <row r="78" spans="2:18" ht="15.75" thickBot="1">
      <c r="B78" s="2145" t="s">
        <v>1593</v>
      </c>
      <c r="C78" s="3009"/>
      <c r="D78" s="3004"/>
      <c r="E78" s="3004"/>
      <c r="F78" s="3004"/>
      <c r="G78" s="3004"/>
      <c r="H78" s="3004"/>
      <c r="I78" s="3004"/>
      <c r="J78" s="3004"/>
      <c r="K78" s="3004"/>
      <c r="L78" s="3004"/>
      <c r="M78" s="3004"/>
      <c r="N78" s="3004"/>
      <c r="O78" s="3004"/>
      <c r="P78" s="3004"/>
      <c r="Q78" s="3004"/>
      <c r="R78" s="3005"/>
    </row>
    <row r="79" spans="2:18" ht="15.75" thickBot="1">
      <c r="B79" s="1337" t="s">
        <v>1578</v>
      </c>
      <c r="C79" s="2142"/>
      <c r="D79" s="2142"/>
      <c r="E79" s="2142"/>
      <c r="F79" s="2142"/>
      <c r="G79" s="2142"/>
      <c r="H79" s="2142"/>
      <c r="I79" s="2142"/>
      <c r="J79" s="2142"/>
      <c r="K79" s="2142"/>
      <c r="L79" s="2142"/>
      <c r="M79" s="2142"/>
      <c r="N79" s="2142"/>
      <c r="O79" s="2142"/>
      <c r="P79" s="2142"/>
      <c r="Q79" s="2142"/>
      <c r="R79" s="2143"/>
    </row>
    <row r="80" spans="2:18">
      <c r="B80" s="4514" t="s">
        <v>1574</v>
      </c>
      <c r="C80" s="2929" t="s">
        <v>713</v>
      </c>
      <c r="D80" s="1524">
        <v>2212</v>
      </c>
      <c r="E80" s="453">
        <v>4146</v>
      </c>
      <c r="F80" s="453">
        <v>5499</v>
      </c>
      <c r="G80" s="453">
        <v>6389</v>
      </c>
      <c r="H80" s="453">
        <v>7224</v>
      </c>
      <c r="I80" s="1524">
        <v>7887</v>
      </c>
      <c r="J80" s="453">
        <v>8470</v>
      </c>
      <c r="K80" s="453">
        <v>9024</v>
      </c>
      <c r="L80" s="453">
        <v>9456</v>
      </c>
      <c r="M80" s="453">
        <v>10019</v>
      </c>
      <c r="N80" s="1524">
        <v>10616.830534232377</v>
      </c>
      <c r="O80" s="453">
        <v>11146.22275318261</v>
      </c>
      <c r="P80" s="453">
        <v>11622.740402963762</v>
      </c>
      <c r="Q80" s="453">
        <v>12060.960148800446</v>
      </c>
      <c r="R80" s="526">
        <v>12471.840776738976</v>
      </c>
    </row>
    <row r="81" spans="2:18">
      <c r="B81" s="4515"/>
      <c r="C81" s="2931" t="s">
        <v>714</v>
      </c>
      <c r="D81" s="472">
        <v>4146</v>
      </c>
      <c r="E81" s="467">
        <v>5499</v>
      </c>
      <c r="F81" s="467">
        <v>6389</v>
      </c>
      <c r="G81" s="467">
        <v>7224</v>
      </c>
      <c r="H81" s="1525">
        <v>7887</v>
      </c>
      <c r="I81" s="472">
        <v>8470</v>
      </c>
      <c r="J81" s="467">
        <v>9024</v>
      </c>
      <c r="K81" s="467">
        <v>9456</v>
      </c>
      <c r="L81" s="467">
        <v>10019</v>
      </c>
      <c r="M81" s="1525">
        <v>10616.830534232377</v>
      </c>
      <c r="N81" s="472">
        <v>11146.22275318261</v>
      </c>
      <c r="O81" s="467">
        <v>11622.740402963762</v>
      </c>
      <c r="P81" s="467">
        <v>12060.960148800446</v>
      </c>
      <c r="Q81" s="467">
        <v>12471.840776738976</v>
      </c>
      <c r="R81" s="480">
        <v>12869.743111387297</v>
      </c>
    </row>
    <row r="82" spans="2:18">
      <c r="B82" s="4515"/>
      <c r="C82" s="2931" t="s">
        <v>68</v>
      </c>
      <c r="D82" s="353">
        <v>3179</v>
      </c>
      <c r="E82" s="354">
        <v>4822.5</v>
      </c>
      <c r="F82" s="354">
        <v>5944</v>
      </c>
      <c r="G82" s="354">
        <v>6806.5</v>
      </c>
      <c r="H82" s="450">
        <v>7555.5</v>
      </c>
      <c r="I82" s="353">
        <v>8178.5</v>
      </c>
      <c r="J82" s="354">
        <v>8747</v>
      </c>
      <c r="K82" s="354">
        <v>9240</v>
      </c>
      <c r="L82" s="354">
        <v>9737.5</v>
      </c>
      <c r="M82" s="450">
        <v>10317.915267116188</v>
      </c>
      <c r="N82" s="353">
        <v>10881.526643707493</v>
      </c>
      <c r="O82" s="354">
        <v>11384.481578073186</v>
      </c>
      <c r="P82" s="354">
        <v>11841.850275882105</v>
      </c>
      <c r="Q82" s="354">
        <v>12266.40046276971</v>
      </c>
      <c r="R82" s="450">
        <v>12670.791944063138</v>
      </c>
    </row>
    <row r="83" spans="2:18">
      <c r="B83" s="4515"/>
      <c r="C83" s="2931" t="s">
        <v>69</v>
      </c>
      <c r="D83" s="472">
        <v>1934</v>
      </c>
      <c r="E83" s="467">
        <v>1353</v>
      </c>
      <c r="F83" s="467">
        <v>890</v>
      </c>
      <c r="G83" s="467">
        <v>837</v>
      </c>
      <c r="H83" s="1525">
        <v>666</v>
      </c>
      <c r="I83" s="472">
        <v>586</v>
      </c>
      <c r="J83" s="467">
        <v>558</v>
      </c>
      <c r="K83" s="467">
        <v>439</v>
      </c>
      <c r="L83" s="467">
        <v>568.05667034178612</v>
      </c>
      <c r="M83" s="1525">
        <v>602.72109735422589</v>
      </c>
      <c r="N83" s="472">
        <v>534.38427686640057</v>
      </c>
      <c r="O83" s="467">
        <v>481.61599607519838</v>
      </c>
      <c r="P83" s="467">
        <v>443.42590910050643</v>
      </c>
      <c r="Q83" s="467">
        <v>416.19650375087969</v>
      </c>
      <c r="R83" s="480">
        <v>403.33011732098453</v>
      </c>
    </row>
    <row r="84" spans="2:18" ht="13.5" thickBot="1">
      <c r="B84" s="4516"/>
      <c r="C84" s="1522" t="s">
        <v>58</v>
      </c>
      <c r="D84" s="1526">
        <v>0</v>
      </c>
      <c r="E84" s="1527">
        <v>0</v>
      </c>
      <c r="F84" s="1527">
        <v>0</v>
      </c>
      <c r="G84" s="1527">
        <v>2</v>
      </c>
      <c r="H84" s="1528">
        <v>3</v>
      </c>
      <c r="I84" s="1526">
        <v>3</v>
      </c>
      <c r="J84" s="1527">
        <v>4</v>
      </c>
      <c r="K84" s="1527">
        <v>7</v>
      </c>
      <c r="L84" s="1527">
        <v>5.0566703417861083</v>
      </c>
      <c r="M84" s="1528">
        <v>4.8905631218493246</v>
      </c>
      <c r="N84" s="1526">
        <v>4.9920579161659617</v>
      </c>
      <c r="O84" s="1527">
        <v>5.0983462940457667</v>
      </c>
      <c r="P84" s="1527">
        <v>5.206163263821014</v>
      </c>
      <c r="Q84" s="1527">
        <v>5.3158758123507406</v>
      </c>
      <c r="R84" s="2999">
        <v>5.4277826726627376</v>
      </c>
    </row>
    <row r="85" spans="2:18" ht="15.75" thickBot="1">
      <c r="B85" s="1337" t="s">
        <v>1580</v>
      </c>
      <c r="C85" s="2142"/>
      <c r="D85" s="2142"/>
      <c r="E85" s="2142"/>
      <c r="F85" s="2142"/>
      <c r="G85" s="2142"/>
      <c r="H85" s="2142"/>
      <c r="I85" s="2142"/>
      <c r="J85" s="2142"/>
      <c r="K85" s="2142"/>
      <c r="L85" s="2142"/>
      <c r="M85" s="2142"/>
      <c r="N85" s="2142"/>
      <c r="O85" s="2142"/>
      <c r="P85" s="2142"/>
      <c r="Q85" s="2142"/>
      <c r="R85" s="2143"/>
    </row>
    <row r="86" spans="2:18">
      <c r="B86" s="4514" t="s">
        <v>1575</v>
      </c>
      <c r="C86" s="2929" t="s">
        <v>713</v>
      </c>
      <c r="D86" s="1524">
        <v>69</v>
      </c>
      <c r="E86" s="453">
        <v>93</v>
      </c>
      <c r="F86" s="453">
        <v>123</v>
      </c>
      <c r="G86" s="453">
        <v>151</v>
      </c>
      <c r="H86" s="453">
        <v>176</v>
      </c>
      <c r="I86" s="1524">
        <v>193</v>
      </c>
      <c r="J86" s="453">
        <v>206</v>
      </c>
      <c r="K86" s="453">
        <v>224</v>
      </c>
      <c r="L86" s="453">
        <v>242</v>
      </c>
      <c r="M86" s="453">
        <v>251</v>
      </c>
      <c r="N86" s="1524">
        <v>256.95107302517158</v>
      </c>
      <c r="O86" s="453">
        <v>262.04134218926163</v>
      </c>
      <c r="P86" s="453">
        <v>266.49672536114605</v>
      </c>
      <c r="Q86" s="453">
        <v>270.48688227737796</v>
      </c>
      <c r="R86" s="526">
        <v>274.1392842520022</v>
      </c>
    </row>
    <row r="87" spans="2:18">
      <c r="B87" s="4515"/>
      <c r="C87" s="2931" t="s">
        <v>714</v>
      </c>
      <c r="D87" s="472">
        <v>93</v>
      </c>
      <c r="E87" s="467">
        <v>123</v>
      </c>
      <c r="F87" s="467">
        <v>151</v>
      </c>
      <c r="G87" s="467">
        <v>176</v>
      </c>
      <c r="H87" s="1525">
        <v>193</v>
      </c>
      <c r="I87" s="472">
        <v>206</v>
      </c>
      <c r="J87" s="467">
        <v>224</v>
      </c>
      <c r="K87" s="467">
        <v>242</v>
      </c>
      <c r="L87" s="467">
        <v>251</v>
      </c>
      <c r="M87" s="1525">
        <v>256.95107302517158</v>
      </c>
      <c r="N87" s="472">
        <v>262.04134218926163</v>
      </c>
      <c r="O87" s="467">
        <v>266.49672536114605</v>
      </c>
      <c r="P87" s="467">
        <v>270.48688227737796</v>
      </c>
      <c r="Q87" s="467">
        <v>274.1392842520022</v>
      </c>
      <c r="R87" s="480">
        <v>277.70446343048843</v>
      </c>
    </row>
    <row r="88" spans="2:18">
      <c r="B88" s="4515"/>
      <c r="C88" s="2931" t="s">
        <v>68</v>
      </c>
      <c r="D88" s="353">
        <v>81</v>
      </c>
      <c r="E88" s="354">
        <v>108</v>
      </c>
      <c r="F88" s="354">
        <v>137</v>
      </c>
      <c r="G88" s="354">
        <v>163.5</v>
      </c>
      <c r="H88" s="450">
        <v>184.5</v>
      </c>
      <c r="I88" s="353">
        <v>199.5</v>
      </c>
      <c r="J88" s="354">
        <v>215</v>
      </c>
      <c r="K88" s="354">
        <v>233</v>
      </c>
      <c r="L88" s="354">
        <v>246.5</v>
      </c>
      <c r="M88" s="450">
        <v>253.97553651258579</v>
      </c>
      <c r="N88" s="353">
        <v>259.4962076072166</v>
      </c>
      <c r="O88" s="354">
        <v>264.26903377520387</v>
      </c>
      <c r="P88" s="354">
        <v>268.49180381926203</v>
      </c>
      <c r="Q88" s="354">
        <v>272.31308326469008</v>
      </c>
      <c r="R88" s="450">
        <v>275.92187384124531</v>
      </c>
    </row>
    <row r="89" spans="2:18">
      <c r="B89" s="4515"/>
      <c r="C89" s="2931" t="s">
        <v>69</v>
      </c>
      <c r="D89" s="472">
        <v>24</v>
      </c>
      <c r="E89" s="467">
        <v>30</v>
      </c>
      <c r="F89" s="467">
        <v>28</v>
      </c>
      <c r="G89" s="467">
        <v>25</v>
      </c>
      <c r="H89" s="1525">
        <v>18</v>
      </c>
      <c r="I89" s="472">
        <v>13</v>
      </c>
      <c r="J89" s="467">
        <v>19</v>
      </c>
      <c r="K89" s="467">
        <v>19</v>
      </c>
      <c r="L89" s="467">
        <v>9.5588235294117645</v>
      </c>
      <c r="M89" s="1525">
        <v>6.6206644937512298</v>
      </c>
      <c r="N89" s="472">
        <v>5.766160083259015</v>
      </c>
      <c r="O89" s="467">
        <v>5.1378710637275162</v>
      </c>
      <c r="P89" s="467">
        <v>4.6793366554585614</v>
      </c>
      <c r="Q89" s="467">
        <v>4.348391213620233</v>
      </c>
      <c r="R89" s="480">
        <v>4.2681141110213661</v>
      </c>
    </row>
    <row r="90" spans="2:18" ht="13.5" thickBot="1">
      <c r="B90" s="4516"/>
      <c r="C90" s="1522" t="s">
        <v>58</v>
      </c>
      <c r="D90" s="1526">
        <v>0</v>
      </c>
      <c r="E90" s="1527">
        <v>0</v>
      </c>
      <c r="F90" s="1527">
        <v>0</v>
      </c>
      <c r="G90" s="1527">
        <v>0</v>
      </c>
      <c r="H90" s="1528">
        <v>1</v>
      </c>
      <c r="I90" s="1526">
        <v>0</v>
      </c>
      <c r="J90" s="1527">
        <v>1</v>
      </c>
      <c r="K90" s="1527">
        <v>1</v>
      </c>
      <c r="L90" s="1527">
        <v>0.55882352941176472</v>
      </c>
      <c r="M90" s="1528">
        <v>0.66959146857964891</v>
      </c>
      <c r="N90" s="1526">
        <v>0.67589091916896971</v>
      </c>
      <c r="O90" s="1527">
        <v>0.68248789184309522</v>
      </c>
      <c r="P90" s="1527">
        <v>0.68917973922662257</v>
      </c>
      <c r="Q90" s="1527">
        <v>0.69598923899599296</v>
      </c>
      <c r="R90" s="2999">
        <v>0.70293493253513328</v>
      </c>
    </row>
    <row r="91" spans="2:18">
      <c r="B91" s="2140"/>
      <c r="C91" s="2139"/>
      <c r="D91" s="2139"/>
      <c r="E91" s="2139"/>
      <c r="F91" s="2139"/>
      <c r="G91" s="2139"/>
      <c r="H91" s="2139"/>
      <c r="I91" s="2139"/>
      <c r="J91" s="2139"/>
      <c r="K91" s="2139"/>
      <c r="L91" s="2139"/>
      <c r="M91" s="2139"/>
      <c r="N91" s="2139"/>
      <c r="O91" s="2139"/>
      <c r="P91" s="2139"/>
      <c r="Q91" s="2139"/>
      <c r="R91" s="1758"/>
    </row>
    <row r="92" spans="2:18" ht="13.5" thickBot="1">
      <c r="B92" s="2140"/>
      <c r="C92" s="2139"/>
      <c r="D92" s="2139"/>
      <c r="E92" s="2139"/>
      <c r="F92" s="2139"/>
      <c r="G92" s="2139"/>
      <c r="H92" s="2139"/>
      <c r="I92" s="2139"/>
      <c r="J92" s="2139"/>
      <c r="K92" s="2139"/>
      <c r="L92" s="2139"/>
      <c r="M92" s="2139"/>
      <c r="N92" s="2139"/>
      <c r="O92" s="2139"/>
      <c r="P92" s="2139"/>
      <c r="Q92" s="2139"/>
      <c r="R92" s="3006"/>
    </row>
    <row r="93" spans="2:18" ht="15.75" thickBot="1">
      <c r="B93" s="3007" t="s">
        <v>1585</v>
      </c>
      <c r="C93" s="2138"/>
      <c r="D93" s="3002"/>
      <c r="E93" s="3002"/>
      <c r="F93" s="3002"/>
      <c r="G93" s="3002"/>
      <c r="H93" s="3002"/>
      <c r="I93" s="3002"/>
      <c r="J93" s="3002"/>
      <c r="K93" s="3002"/>
      <c r="L93" s="3002"/>
      <c r="M93" s="3002"/>
      <c r="N93" s="3002"/>
      <c r="O93" s="3002"/>
      <c r="P93" s="3002"/>
      <c r="Q93" s="3002"/>
      <c r="R93" s="3003"/>
    </row>
    <row r="94" spans="2:18" ht="15.75" thickBot="1">
      <c r="B94" s="2141" t="s">
        <v>1586</v>
      </c>
      <c r="C94" s="2140"/>
      <c r="D94" s="2139"/>
      <c r="E94" s="2139"/>
      <c r="F94" s="2139"/>
      <c r="G94" s="2139"/>
      <c r="H94" s="2139"/>
      <c r="I94" s="2139"/>
      <c r="J94" s="2139"/>
      <c r="K94" s="2139"/>
      <c r="L94" s="2139"/>
      <c r="M94" s="2139"/>
      <c r="N94" s="2139"/>
      <c r="O94" s="2139"/>
      <c r="P94" s="2139"/>
      <c r="Q94" s="2139"/>
      <c r="R94" s="1758"/>
    </row>
    <row r="95" spans="2:18" ht="15.75" thickBot="1">
      <c r="B95" s="2144" t="s">
        <v>1587</v>
      </c>
      <c r="C95" s="2140"/>
      <c r="D95" s="2139"/>
      <c r="E95" s="2139"/>
      <c r="F95" s="2139"/>
      <c r="G95" s="2139"/>
      <c r="H95" s="2139"/>
      <c r="I95" s="2139"/>
      <c r="J95" s="2139"/>
      <c r="K95" s="2139"/>
      <c r="L95" s="2139"/>
      <c r="M95" s="2139"/>
      <c r="N95" s="2139"/>
      <c r="O95" s="2139"/>
      <c r="P95" s="2139"/>
      <c r="Q95" s="2139"/>
      <c r="R95" s="1758"/>
    </row>
    <row r="96" spans="2:18" ht="15.75" thickBot="1">
      <c r="B96" s="2145" t="s">
        <v>1594</v>
      </c>
      <c r="C96" s="3009"/>
      <c r="D96" s="3004"/>
      <c r="E96" s="3004"/>
      <c r="F96" s="3004"/>
      <c r="G96" s="3004"/>
      <c r="H96" s="3004"/>
      <c r="I96" s="3004"/>
      <c r="J96" s="3004"/>
      <c r="K96" s="3004"/>
      <c r="L96" s="3004"/>
      <c r="M96" s="3004"/>
      <c r="N96" s="3004"/>
      <c r="O96" s="3004"/>
      <c r="P96" s="3004"/>
      <c r="Q96" s="3004"/>
      <c r="R96" s="3005"/>
    </row>
    <row r="97" spans="2:18" ht="15.75" thickBot="1">
      <c r="B97" s="1337" t="s">
        <v>1595</v>
      </c>
      <c r="C97" s="2142"/>
      <c r="D97" s="2142"/>
      <c r="E97" s="2142"/>
      <c r="F97" s="2142"/>
      <c r="G97" s="2142"/>
      <c r="H97" s="2142"/>
      <c r="I97" s="2142"/>
      <c r="J97" s="2142"/>
      <c r="K97" s="2142"/>
      <c r="L97" s="2142"/>
      <c r="M97" s="2142"/>
      <c r="N97" s="2142"/>
      <c r="O97" s="2142"/>
      <c r="P97" s="2142"/>
      <c r="Q97" s="2142"/>
      <c r="R97" s="2143"/>
    </row>
    <row r="98" spans="2:18">
      <c r="B98" s="4514" t="s">
        <v>1588</v>
      </c>
      <c r="C98" s="2929" t="s">
        <v>713</v>
      </c>
      <c r="D98" s="1524">
        <v>285</v>
      </c>
      <c r="E98" s="453">
        <v>287</v>
      </c>
      <c r="F98" s="453">
        <v>283</v>
      </c>
      <c r="G98" s="453">
        <v>271</v>
      </c>
      <c r="H98" s="453">
        <v>256</v>
      </c>
      <c r="I98" s="1524">
        <v>259</v>
      </c>
      <c r="J98" s="453">
        <v>251</v>
      </c>
      <c r="K98" s="453">
        <v>252</v>
      </c>
      <c r="L98" s="453">
        <v>247</v>
      </c>
      <c r="M98" s="453">
        <v>244</v>
      </c>
      <c r="N98" s="1524">
        <v>242</v>
      </c>
      <c r="O98" s="453">
        <v>239.28571428571468</v>
      </c>
      <c r="P98" s="453">
        <v>236.57142857142844</v>
      </c>
      <c r="Q98" s="453">
        <v>233.85714285714312</v>
      </c>
      <c r="R98" s="526">
        <v>231.14285714285779</v>
      </c>
    </row>
    <row r="99" spans="2:18">
      <c r="B99" s="4515"/>
      <c r="C99" s="2931" t="s">
        <v>714</v>
      </c>
      <c r="D99" s="472">
        <v>287</v>
      </c>
      <c r="E99" s="467">
        <v>283</v>
      </c>
      <c r="F99" s="467">
        <v>271</v>
      </c>
      <c r="G99" s="467">
        <v>256</v>
      </c>
      <c r="H99" s="1525">
        <v>259</v>
      </c>
      <c r="I99" s="472">
        <v>251</v>
      </c>
      <c r="J99" s="467">
        <v>252</v>
      </c>
      <c r="K99" s="467">
        <v>247</v>
      </c>
      <c r="L99" s="467">
        <v>244</v>
      </c>
      <c r="M99" s="1525">
        <v>242</v>
      </c>
      <c r="N99" s="472">
        <v>239.28571428571468</v>
      </c>
      <c r="O99" s="467">
        <v>236.57142857142844</v>
      </c>
      <c r="P99" s="467">
        <v>233.85714285714312</v>
      </c>
      <c r="Q99" s="467">
        <v>231.14285714285779</v>
      </c>
      <c r="R99" s="480">
        <v>228.42857142857156</v>
      </c>
    </row>
    <row r="100" spans="2:18">
      <c r="B100" s="4515"/>
      <c r="C100" s="2931" t="s">
        <v>68</v>
      </c>
      <c r="D100" s="353">
        <v>286</v>
      </c>
      <c r="E100" s="354">
        <v>285</v>
      </c>
      <c r="F100" s="354">
        <v>277</v>
      </c>
      <c r="G100" s="354">
        <v>263.5</v>
      </c>
      <c r="H100" s="450">
        <v>257.5</v>
      </c>
      <c r="I100" s="353">
        <v>255</v>
      </c>
      <c r="J100" s="354">
        <v>251.5</v>
      </c>
      <c r="K100" s="354">
        <v>249.5</v>
      </c>
      <c r="L100" s="354">
        <v>245.5</v>
      </c>
      <c r="M100" s="450">
        <v>243</v>
      </c>
      <c r="N100" s="353">
        <v>240.64285714285734</v>
      </c>
      <c r="O100" s="354">
        <v>237.92857142857156</v>
      </c>
      <c r="P100" s="354">
        <v>235.21428571428578</v>
      </c>
      <c r="Q100" s="354">
        <v>232.50000000000045</v>
      </c>
      <c r="R100" s="450">
        <v>229.78571428571468</v>
      </c>
    </row>
    <row r="101" spans="2:18">
      <c r="B101" s="4515"/>
      <c r="C101" s="2931" t="s">
        <v>69</v>
      </c>
      <c r="D101" s="472">
        <v>7</v>
      </c>
      <c r="E101" s="467">
        <v>0</v>
      </c>
      <c r="F101" s="467">
        <v>2</v>
      </c>
      <c r="G101" s="467">
        <v>2</v>
      </c>
      <c r="H101" s="1525">
        <v>5</v>
      </c>
      <c r="I101" s="472">
        <v>2</v>
      </c>
      <c r="J101" s="467">
        <v>4</v>
      </c>
      <c r="K101" s="467">
        <v>3</v>
      </c>
      <c r="L101" s="467">
        <v>0</v>
      </c>
      <c r="M101" s="1525">
        <v>5.166666666666667</v>
      </c>
      <c r="N101" s="472">
        <v>4.4523809523813425</v>
      </c>
      <c r="O101" s="467">
        <v>4.452380952380433</v>
      </c>
      <c r="P101" s="467">
        <v>4.4523809523813425</v>
      </c>
      <c r="Q101" s="467">
        <v>4.4523809523813425</v>
      </c>
      <c r="R101" s="480">
        <v>4.452380952380433</v>
      </c>
    </row>
    <row r="102" spans="2:18" ht="13.5" thickBot="1">
      <c r="B102" s="4516"/>
      <c r="C102" s="1522" t="s">
        <v>58</v>
      </c>
      <c r="D102" s="1526">
        <v>5</v>
      </c>
      <c r="E102" s="1527">
        <v>4</v>
      </c>
      <c r="F102" s="1527">
        <v>14</v>
      </c>
      <c r="G102" s="1527">
        <v>17</v>
      </c>
      <c r="H102" s="1528">
        <v>2</v>
      </c>
      <c r="I102" s="1526">
        <v>10</v>
      </c>
      <c r="J102" s="1527">
        <v>3</v>
      </c>
      <c r="K102" s="1527">
        <v>8</v>
      </c>
      <c r="L102" s="1527">
        <v>3</v>
      </c>
      <c r="M102" s="1528">
        <v>7.166666666666667</v>
      </c>
      <c r="N102" s="1526">
        <v>7.166666666666667</v>
      </c>
      <c r="O102" s="1527">
        <v>7.166666666666667</v>
      </c>
      <c r="P102" s="1527">
        <v>7.166666666666667</v>
      </c>
      <c r="Q102" s="1527">
        <v>7.166666666666667</v>
      </c>
      <c r="R102" s="2999">
        <v>7.166666666666667</v>
      </c>
    </row>
    <row r="103" spans="2:18" ht="15.75" thickBot="1">
      <c r="B103" s="1337" t="s">
        <v>1595</v>
      </c>
      <c r="C103" s="2142"/>
      <c r="D103" s="2142"/>
      <c r="E103" s="2142"/>
      <c r="F103" s="2142"/>
      <c r="G103" s="2142"/>
      <c r="H103" s="2142"/>
      <c r="I103" s="2142"/>
      <c r="J103" s="2142"/>
      <c r="K103" s="2142"/>
      <c r="L103" s="2142"/>
      <c r="M103" s="2142"/>
      <c r="N103" s="2142"/>
      <c r="O103" s="2142"/>
      <c r="P103" s="2142"/>
      <c r="Q103" s="2142"/>
      <c r="R103" s="2143"/>
    </row>
    <row r="104" spans="2:18">
      <c r="B104" s="4514" t="s">
        <v>1589</v>
      </c>
      <c r="C104" s="2929" t="s">
        <v>713</v>
      </c>
      <c r="D104" s="1524">
        <v>1</v>
      </c>
      <c r="E104" s="453">
        <v>1</v>
      </c>
      <c r="F104" s="453">
        <v>9</v>
      </c>
      <c r="G104" s="453">
        <v>9</v>
      </c>
      <c r="H104" s="453">
        <v>10</v>
      </c>
      <c r="I104" s="1524">
        <v>14</v>
      </c>
      <c r="J104" s="453">
        <v>14</v>
      </c>
      <c r="K104" s="453">
        <v>17</v>
      </c>
      <c r="L104" s="453">
        <v>20</v>
      </c>
      <c r="M104" s="453">
        <v>21</v>
      </c>
      <c r="N104" s="1524">
        <v>23.600000000000364</v>
      </c>
      <c r="O104" s="453">
        <v>25.771428571429169</v>
      </c>
      <c r="P104" s="453">
        <v>27.942857142857065</v>
      </c>
      <c r="Q104" s="453">
        <v>30.11428571428587</v>
      </c>
      <c r="R104" s="526">
        <v>32.285714285714675</v>
      </c>
    </row>
    <row r="105" spans="2:18">
      <c r="B105" s="4515"/>
      <c r="C105" s="2931" t="s">
        <v>714</v>
      </c>
      <c r="D105" s="472">
        <v>1</v>
      </c>
      <c r="E105" s="467">
        <v>9</v>
      </c>
      <c r="F105" s="467">
        <v>9</v>
      </c>
      <c r="G105" s="467">
        <v>10</v>
      </c>
      <c r="H105" s="1525">
        <v>14</v>
      </c>
      <c r="I105" s="472">
        <v>14</v>
      </c>
      <c r="J105" s="467">
        <v>17</v>
      </c>
      <c r="K105" s="467">
        <v>20</v>
      </c>
      <c r="L105" s="467">
        <v>21</v>
      </c>
      <c r="M105" s="1525">
        <v>23.600000000000364</v>
      </c>
      <c r="N105" s="472">
        <v>25.771428571429169</v>
      </c>
      <c r="O105" s="467">
        <v>27.942857142857065</v>
      </c>
      <c r="P105" s="467">
        <v>30.11428571428587</v>
      </c>
      <c r="Q105" s="467">
        <v>32.285714285714675</v>
      </c>
      <c r="R105" s="480">
        <v>34.457142857143481</v>
      </c>
    </row>
    <row r="106" spans="2:18">
      <c r="B106" s="4515"/>
      <c r="C106" s="2931" t="s">
        <v>68</v>
      </c>
      <c r="D106" s="353">
        <v>1</v>
      </c>
      <c r="E106" s="354">
        <v>5</v>
      </c>
      <c r="F106" s="354">
        <v>9</v>
      </c>
      <c r="G106" s="354">
        <v>9.5</v>
      </c>
      <c r="H106" s="450">
        <v>12</v>
      </c>
      <c r="I106" s="353">
        <v>14</v>
      </c>
      <c r="J106" s="354">
        <v>15.5</v>
      </c>
      <c r="K106" s="354">
        <v>18.5</v>
      </c>
      <c r="L106" s="354">
        <v>20.5</v>
      </c>
      <c r="M106" s="450">
        <v>22.300000000000182</v>
      </c>
      <c r="N106" s="353">
        <v>24.685714285714766</v>
      </c>
      <c r="O106" s="354">
        <v>26.857142857143117</v>
      </c>
      <c r="P106" s="354">
        <v>29.028571428571468</v>
      </c>
      <c r="Q106" s="354">
        <v>31.200000000000273</v>
      </c>
      <c r="R106" s="450">
        <v>33.371428571429078</v>
      </c>
    </row>
    <row r="107" spans="2:18">
      <c r="B107" s="4515"/>
      <c r="C107" s="2931" t="s">
        <v>69</v>
      </c>
      <c r="D107" s="472">
        <v>0</v>
      </c>
      <c r="E107" s="467">
        <v>8</v>
      </c>
      <c r="F107" s="467">
        <v>0</v>
      </c>
      <c r="G107" s="467">
        <v>1</v>
      </c>
      <c r="H107" s="1525">
        <v>4</v>
      </c>
      <c r="I107" s="472">
        <v>0</v>
      </c>
      <c r="J107" s="467">
        <v>4</v>
      </c>
      <c r="K107" s="467">
        <v>3</v>
      </c>
      <c r="L107" s="467">
        <v>0</v>
      </c>
      <c r="M107" s="1525">
        <v>2.6000000000003638</v>
      </c>
      <c r="N107" s="472">
        <v>2.1714285714288053</v>
      </c>
      <c r="O107" s="467">
        <v>2.1714285714278958</v>
      </c>
      <c r="P107" s="467">
        <v>2.1714285714288053</v>
      </c>
      <c r="Q107" s="467">
        <v>2.1714285714288053</v>
      </c>
      <c r="R107" s="480">
        <v>2.1714285714288053</v>
      </c>
    </row>
    <row r="108" spans="2:18" ht="13.5" thickBot="1">
      <c r="B108" s="4516"/>
      <c r="C108" s="1522" t="s">
        <v>58</v>
      </c>
      <c r="D108" s="1526">
        <v>0</v>
      </c>
      <c r="E108" s="1527">
        <v>0</v>
      </c>
      <c r="F108" s="1527">
        <v>0</v>
      </c>
      <c r="G108" s="1527">
        <v>0</v>
      </c>
      <c r="H108" s="1528">
        <v>0</v>
      </c>
      <c r="I108" s="1526">
        <v>0</v>
      </c>
      <c r="J108" s="1527">
        <v>1</v>
      </c>
      <c r="K108" s="1527">
        <v>0</v>
      </c>
      <c r="L108" s="1527">
        <v>0</v>
      </c>
      <c r="M108" s="1528">
        <v>0</v>
      </c>
      <c r="N108" s="1526">
        <v>0</v>
      </c>
      <c r="O108" s="1527">
        <v>0</v>
      </c>
      <c r="P108" s="1527">
        <v>0</v>
      </c>
      <c r="Q108" s="1527">
        <v>0</v>
      </c>
      <c r="R108" s="2999">
        <v>0</v>
      </c>
    </row>
    <row r="109" spans="2:18">
      <c r="B109" s="2140"/>
      <c r="C109" s="2139"/>
      <c r="D109" s="2139"/>
      <c r="E109" s="2139"/>
      <c r="F109" s="2139"/>
      <c r="G109" s="2139"/>
      <c r="H109" s="2139"/>
      <c r="I109" s="2139"/>
      <c r="J109" s="2139"/>
      <c r="K109" s="2139"/>
      <c r="L109" s="2139"/>
      <c r="M109" s="2139"/>
      <c r="N109" s="2139"/>
      <c r="O109" s="2139"/>
      <c r="P109" s="2139"/>
      <c r="Q109" s="2139"/>
      <c r="R109" s="1758"/>
    </row>
    <row r="110" spans="2:18" ht="13.5" thickBot="1">
      <c r="B110" s="2140"/>
      <c r="C110" s="2139"/>
      <c r="D110" s="2139"/>
      <c r="E110" s="2139"/>
      <c r="F110" s="2139"/>
      <c r="G110" s="2139"/>
      <c r="H110" s="2139"/>
      <c r="I110" s="2139"/>
      <c r="J110" s="2139"/>
      <c r="K110" s="2139"/>
      <c r="L110" s="2139"/>
      <c r="M110" s="2139"/>
      <c r="N110" s="2139"/>
      <c r="O110" s="2139"/>
      <c r="P110" s="2139"/>
      <c r="Q110" s="2139"/>
      <c r="R110" s="3006"/>
    </row>
    <row r="111" spans="2:18" ht="15.75" thickBot="1">
      <c r="B111" s="3007" t="s">
        <v>1585</v>
      </c>
      <c r="C111" s="2138"/>
      <c r="D111" s="3002"/>
      <c r="E111" s="3002"/>
      <c r="F111" s="3002"/>
      <c r="G111" s="3002"/>
      <c r="H111" s="3002"/>
      <c r="I111" s="3002"/>
      <c r="J111" s="3002"/>
      <c r="K111" s="3002"/>
      <c r="L111" s="3002"/>
      <c r="M111" s="3002"/>
      <c r="N111" s="3002"/>
      <c r="O111" s="3002"/>
      <c r="P111" s="3002"/>
      <c r="Q111" s="3002"/>
      <c r="R111" s="3003"/>
    </row>
    <row r="112" spans="2:18" ht="15.75" thickBot="1">
      <c r="B112" s="2141" t="s">
        <v>1590</v>
      </c>
      <c r="C112" s="2140"/>
      <c r="D112" s="2139"/>
      <c r="E112" s="2139"/>
      <c r="F112" s="2139"/>
      <c r="G112" s="2139"/>
      <c r="H112" s="2139"/>
      <c r="I112" s="2139"/>
      <c r="J112" s="2139"/>
      <c r="K112" s="2139"/>
      <c r="L112" s="2139"/>
      <c r="M112" s="2139"/>
      <c r="N112" s="2139"/>
      <c r="O112" s="2139"/>
      <c r="P112" s="2139"/>
      <c r="Q112" s="2139"/>
      <c r="R112" s="1758"/>
    </row>
    <row r="113" spans="2:18" ht="15.75" thickBot="1">
      <c r="B113" s="2144" t="s">
        <v>1587</v>
      </c>
      <c r="C113" s="2140"/>
      <c r="D113" s="2139"/>
      <c r="E113" s="2139"/>
      <c r="F113" s="2139"/>
      <c r="G113" s="2139"/>
      <c r="H113" s="2139"/>
      <c r="I113" s="2139"/>
      <c r="J113" s="2139"/>
      <c r="K113" s="2139"/>
      <c r="L113" s="2139"/>
      <c r="M113" s="2139"/>
      <c r="N113" s="2139"/>
      <c r="O113" s="2139"/>
      <c r="P113" s="2139"/>
      <c r="Q113" s="2139"/>
      <c r="R113" s="1758"/>
    </row>
    <row r="114" spans="2:18" ht="15.75" thickBot="1">
      <c r="B114" s="2145" t="s">
        <v>1594</v>
      </c>
      <c r="C114" s="3009"/>
      <c r="D114" s="3004"/>
      <c r="E114" s="3004"/>
      <c r="F114" s="3004"/>
      <c r="G114" s="3004"/>
      <c r="H114" s="3004"/>
      <c r="I114" s="3004"/>
      <c r="J114" s="3004"/>
      <c r="K114" s="3004"/>
      <c r="L114" s="3004"/>
      <c r="M114" s="3004"/>
      <c r="N114" s="3004"/>
      <c r="O114" s="3004"/>
      <c r="P114" s="3004"/>
      <c r="Q114" s="3004"/>
      <c r="R114" s="3005"/>
    </row>
    <row r="115" spans="2:18" ht="15.75" thickBot="1">
      <c r="B115" s="1337" t="s">
        <v>1595</v>
      </c>
      <c r="C115" s="2142"/>
      <c r="D115" s="2142"/>
      <c r="E115" s="2142"/>
      <c r="F115" s="2142"/>
      <c r="G115" s="2142"/>
      <c r="H115" s="2142"/>
      <c r="I115" s="2142"/>
      <c r="J115" s="2142"/>
      <c r="K115" s="2142"/>
      <c r="L115" s="2142"/>
      <c r="M115" s="2142"/>
      <c r="N115" s="2142"/>
      <c r="O115" s="2142"/>
      <c r="P115" s="2142"/>
      <c r="Q115" s="2142"/>
      <c r="R115" s="2143"/>
    </row>
    <row r="116" spans="2:18">
      <c r="B116" s="4514" t="s">
        <v>1588</v>
      </c>
      <c r="C116" s="2929" t="s">
        <v>713</v>
      </c>
      <c r="D116" s="1524">
        <v>1</v>
      </c>
      <c r="E116" s="453">
        <v>1</v>
      </c>
      <c r="F116" s="453">
        <v>1</v>
      </c>
      <c r="G116" s="453">
        <v>1</v>
      </c>
      <c r="H116" s="453">
        <v>2</v>
      </c>
      <c r="I116" s="1524">
        <v>2</v>
      </c>
      <c r="J116" s="453">
        <v>3</v>
      </c>
      <c r="K116" s="453">
        <v>3</v>
      </c>
      <c r="L116" s="453">
        <v>3</v>
      </c>
      <c r="M116" s="453">
        <v>3</v>
      </c>
      <c r="N116" s="1524">
        <v>3</v>
      </c>
      <c r="O116" s="453">
        <v>3</v>
      </c>
      <c r="P116" s="453">
        <v>3</v>
      </c>
      <c r="Q116" s="453">
        <v>3</v>
      </c>
      <c r="R116" s="526">
        <v>3</v>
      </c>
    </row>
    <row r="117" spans="2:18">
      <c r="B117" s="4515"/>
      <c r="C117" s="2931" t="s">
        <v>714</v>
      </c>
      <c r="D117" s="472">
        <v>1</v>
      </c>
      <c r="E117" s="467">
        <v>1</v>
      </c>
      <c r="F117" s="467">
        <v>1</v>
      </c>
      <c r="G117" s="467">
        <v>2</v>
      </c>
      <c r="H117" s="1525">
        <v>2</v>
      </c>
      <c r="I117" s="472">
        <v>3</v>
      </c>
      <c r="J117" s="467">
        <v>3</v>
      </c>
      <c r="K117" s="467">
        <v>3</v>
      </c>
      <c r="L117" s="467">
        <v>3</v>
      </c>
      <c r="M117" s="1525">
        <v>3</v>
      </c>
      <c r="N117" s="472">
        <v>3</v>
      </c>
      <c r="O117" s="467">
        <v>3</v>
      </c>
      <c r="P117" s="467">
        <v>3</v>
      </c>
      <c r="Q117" s="467">
        <v>3</v>
      </c>
      <c r="R117" s="480">
        <v>3</v>
      </c>
    </row>
    <row r="118" spans="2:18">
      <c r="B118" s="4515"/>
      <c r="C118" s="2931" t="s">
        <v>68</v>
      </c>
      <c r="D118" s="353">
        <v>1</v>
      </c>
      <c r="E118" s="354">
        <v>1</v>
      </c>
      <c r="F118" s="354">
        <v>1</v>
      </c>
      <c r="G118" s="354">
        <v>1.5</v>
      </c>
      <c r="H118" s="450">
        <v>2</v>
      </c>
      <c r="I118" s="353">
        <v>2.5</v>
      </c>
      <c r="J118" s="354">
        <v>3</v>
      </c>
      <c r="K118" s="354">
        <v>3</v>
      </c>
      <c r="L118" s="354">
        <v>3</v>
      </c>
      <c r="M118" s="450">
        <v>3</v>
      </c>
      <c r="N118" s="353">
        <v>3</v>
      </c>
      <c r="O118" s="354">
        <v>3</v>
      </c>
      <c r="P118" s="354">
        <v>3</v>
      </c>
      <c r="Q118" s="354">
        <v>3</v>
      </c>
      <c r="R118" s="450">
        <v>3</v>
      </c>
    </row>
    <row r="119" spans="2:18">
      <c r="B119" s="4515"/>
      <c r="C119" s="2931" t="s">
        <v>69</v>
      </c>
      <c r="D119" s="472">
        <v>0</v>
      </c>
      <c r="E119" s="467">
        <v>0</v>
      </c>
      <c r="F119" s="467">
        <v>0</v>
      </c>
      <c r="G119" s="467">
        <v>1</v>
      </c>
      <c r="H119" s="1525">
        <v>0</v>
      </c>
      <c r="I119" s="472">
        <v>1</v>
      </c>
      <c r="J119" s="467">
        <v>0</v>
      </c>
      <c r="K119" s="467">
        <v>0</v>
      </c>
      <c r="L119" s="467">
        <v>0</v>
      </c>
      <c r="M119" s="1525">
        <v>0</v>
      </c>
      <c r="N119" s="472">
        <v>0</v>
      </c>
      <c r="O119" s="467">
        <v>0</v>
      </c>
      <c r="P119" s="467">
        <v>0</v>
      </c>
      <c r="Q119" s="467">
        <v>0</v>
      </c>
      <c r="R119" s="480">
        <v>0</v>
      </c>
    </row>
    <row r="120" spans="2:18" ht="13.5" thickBot="1">
      <c r="B120" s="4516"/>
      <c r="C120" s="1522" t="s">
        <v>58</v>
      </c>
      <c r="D120" s="1526">
        <v>0</v>
      </c>
      <c r="E120" s="1527">
        <v>0</v>
      </c>
      <c r="F120" s="1527">
        <v>0</v>
      </c>
      <c r="G120" s="1527">
        <v>0</v>
      </c>
      <c r="H120" s="1528">
        <v>0</v>
      </c>
      <c r="I120" s="1526">
        <v>0</v>
      </c>
      <c r="J120" s="1527">
        <v>0</v>
      </c>
      <c r="K120" s="1527">
        <v>0</v>
      </c>
      <c r="L120" s="1527">
        <v>0</v>
      </c>
      <c r="M120" s="1528">
        <v>0</v>
      </c>
      <c r="N120" s="1526">
        <v>0</v>
      </c>
      <c r="O120" s="1527">
        <v>0</v>
      </c>
      <c r="P120" s="1527">
        <v>0</v>
      </c>
      <c r="Q120" s="1527">
        <v>0</v>
      </c>
      <c r="R120" s="2999">
        <v>0</v>
      </c>
    </row>
    <row r="121" spans="2:18" ht="15.75" thickBot="1">
      <c r="B121" s="1337" t="s">
        <v>1595</v>
      </c>
      <c r="C121" s="2142"/>
      <c r="D121" s="2142"/>
      <c r="E121" s="2142"/>
      <c r="F121" s="2142"/>
      <c r="G121" s="2142"/>
      <c r="H121" s="2142"/>
      <c r="I121" s="2142"/>
      <c r="J121" s="2142"/>
      <c r="K121" s="2142"/>
      <c r="L121" s="2142"/>
      <c r="M121" s="2142"/>
      <c r="N121" s="2142"/>
      <c r="O121" s="2142"/>
      <c r="P121" s="2142"/>
      <c r="Q121" s="2142"/>
      <c r="R121" s="2143"/>
    </row>
    <row r="122" spans="2:18">
      <c r="B122" s="4514" t="s">
        <v>1589</v>
      </c>
      <c r="C122" s="2929" t="s">
        <v>713</v>
      </c>
      <c r="D122" s="1524">
        <v>0</v>
      </c>
      <c r="E122" s="453">
        <v>0</v>
      </c>
      <c r="F122" s="453">
        <v>0</v>
      </c>
      <c r="G122" s="453">
        <v>0</v>
      </c>
      <c r="H122" s="453">
        <v>0</v>
      </c>
      <c r="I122" s="1524"/>
      <c r="J122" s="453">
        <v>0</v>
      </c>
      <c r="K122" s="453">
        <v>0</v>
      </c>
      <c r="L122" s="453">
        <v>0</v>
      </c>
      <c r="M122" s="453">
        <v>0</v>
      </c>
      <c r="N122" s="1524"/>
      <c r="O122" s="453">
        <v>0</v>
      </c>
      <c r="P122" s="453">
        <v>0</v>
      </c>
      <c r="Q122" s="453">
        <v>0</v>
      </c>
      <c r="R122" s="526">
        <v>0</v>
      </c>
    </row>
    <row r="123" spans="2:18">
      <c r="B123" s="4515"/>
      <c r="C123" s="2931" t="s">
        <v>714</v>
      </c>
      <c r="D123" s="472">
        <v>0</v>
      </c>
      <c r="E123" s="467">
        <v>0</v>
      </c>
      <c r="F123" s="467">
        <v>0</v>
      </c>
      <c r="G123" s="467">
        <v>0</v>
      </c>
      <c r="H123" s="1525">
        <v>0</v>
      </c>
      <c r="I123" s="472">
        <v>0</v>
      </c>
      <c r="J123" s="467">
        <v>0</v>
      </c>
      <c r="K123" s="467">
        <v>0</v>
      </c>
      <c r="L123" s="467">
        <v>0</v>
      </c>
      <c r="M123" s="1525">
        <v>0</v>
      </c>
      <c r="N123" s="472">
        <v>0</v>
      </c>
      <c r="O123" s="467">
        <v>0</v>
      </c>
      <c r="P123" s="467">
        <v>0</v>
      </c>
      <c r="Q123" s="467">
        <v>0</v>
      </c>
      <c r="R123" s="480">
        <v>0</v>
      </c>
    </row>
    <row r="124" spans="2:18">
      <c r="B124" s="4515"/>
      <c r="C124" s="2931" t="s">
        <v>68</v>
      </c>
      <c r="D124" s="353">
        <v>0</v>
      </c>
      <c r="E124" s="354">
        <v>0</v>
      </c>
      <c r="F124" s="354">
        <v>0</v>
      </c>
      <c r="G124" s="354">
        <v>0</v>
      </c>
      <c r="H124" s="450">
        <v>0</v>
      </c>
      <c r="I124" s="353">
        <v>0</v>
      </c>
      <c r="J124" s="354">
        <v>0</v>
      </c>
      <c r="K124" s="354">
        <v>0</v>
      </c>
      <c r="L124" s="354">
        <v>0</v>
      </c>
      <c r="M124" s="450">
        <v>0</v>
      </c>
      <c r="N124" s="353">
        <v>0</v>
      </c>
      <c r="O124" s="354">
        <v>0</v>
      </c>
      <c r="P124" s="354">
        <v>0</v>
      </c>
      <c r="Q124" s="354">
        <v>0</v>
      </c>
      <c r="R124" s="450">
        <v>0</v>
      </c>
    </row>
    <row r="125" spans="2:18">
      <c r="B125" s="4515"/>
      <c r="C125" s="2931" t="s">
        <v>69</v>
      </c>
      <c r="D125" s="472">
        <v>0</v>
      </c>
      <c r="E125" s="467">
        <v>0</v>
      </c>
      <c r="F125" s="467">
        <v>0</v>
      </c>
      <c r="G125" s="467">
        <v>0</v>
      </c>
      <c r="H125" s="1525">
        <v>0</v>
      </c>
      <c r="I125" s="472">
        <v>0</v>
      </c>
      <c r="J125" s="467">
        <v>0</v>
      </c>
      <c r="K125" s="467">
        <v>0</v>
      </c>
      <c r="L125" s="467">
        <v>0</v>
      </c>
      <c r="M125" s="1525">
        <v>0</v>
      </c>
      <c r="N125" s="472">
        <v>0</v>
      </c>
      <c r="O125" s="467">
        <v>0</v>
      </c>
      <c r="P125" s="467">
        <v>0</v>
      </c>
      <c r="Q125" s="467">
        <v>0</v>
      </c>
      <c r="R125" s="480">
        <v>0</v>
      </c>
    </row>
    <row r="126" spans="2:18" ht="13.5" thickBot="1">
      <c r="B126" s="4516"/>
      <c r="C126" s="1522" t="s">
        <v>58</v>
      </c>
      <c r="D126" s="1526">
        <v>0</v>
      </c>
      <c r="E126" s="1527">
        <v>0</v>
      </c>
      <c r="F126" s="1527">
        <v>0</v>
      </c>
      <c r="G126" s="1527">
        <v>0</v>
      </c>
      <c r="H126" s="1528">
        <v>0</v>
      </c>
      <c r="I126" s="1526">
        <v>0</v>
      </c>
      <c r="J126" s="1527">
        <v>0</v>
      </c>
      <c r="K126" s="1527">
        <v>0</v>
      </c>
      <c r="L126" s="1527">
        <v>0</v>
      </c>
      <c r="M126" s="1528">
        <v>0</v>
      </c>
      <c r="N126" s="1526">
        <v>0</v>
      </c>
      <c r="O126" s="1527">
        <v>0</v>
      </c>
      <c r="P126" s="1527">
        <v>0</v>
      </c>
      <c r="Q126" s="1527">
        <v>0</v>
      </c>
      <c r="R126" s="2999">
        <v>0</v>
      </c>
    </row>
    <row r="127" spans="2:18" ht="13.5" thickBot="1">
      <c r="B127" s="3009"/>
      <c r="C127" s="3004"/>
      <c r="D127" s="3004"/>
      <c r="E127" s="3004"/>
      <c r="F127" s="3004"/>
      <c r="G127" s="3004"/>
      <c r="H127" s="3004"/>
      <c r="I127" s="3004"/>
      <c r="J127" s="3004"/>
      <c r="K127" s="3004"/>
      <c r="L127" s="3004"/>
      <c r="M127" s="3004"/>
      <c r="N127" s="3004"/>
      <c r="O127" s="3004"/>
      <c r="P127" s="3004"/>
      <c r="Q127" s="3004"/>
      <c r="R127" s="3005"/>
    </row>
  </sheetData>
  <mergeCells count="26">
    <mergeCell ref="B122:B126"/>
    <mergeCell ref="B80:B84"/>
    <mergeCell ref="B86:B90"/>
    <mergeCell ref="B98:B102"/>
    <mergeCell ref="B104:B108"/>
    <mergeCell ref="B116:B120"/>
    <mergeCell ref="B68:B72"/>
    <mergeCell ref="I16:M16"/>
    <mergeCell ref="N16:R16"/>
    <mergeCell ref="D17:R17"/>
    <mergeCell ref="D18:K18"/>
    <mergeCell ref="L18:R18"/>
    <mergeCell ref="B26:B30"/>
    <mergeCell ref="B32:B36"/>
    <mergeCell ref="B44:B48"/>
    <mergeCell ref="B50:B54"/>
    <mergeCell ref="B62:B66"/>
    <mergeCell ref="B9:F9"/>
    <mergeCell ref="B16:C19"/>
    <mergeCell ref="D16:H16"/>
    <mergeCell ref="B6:F6"/>
    <mergeCell ref="B7:F7"/>
    <mergeCell ref="B11:F11"/>
    <mergeCell ref="B12:F12"/>
    <mergeCell ref="B8:F8"/>
    <mergeCell ref="B10:F10"/>
  </mergeCells>
  <pageMargins left="0.75" right="0.75" top="1" bottom="1" header="0.5" footer="0.5"/>
  <pageSetup paperSize="9" orientation="portrait" r:id="rId1"/>
  <headerFooter alignWithMargins="0"/>
  <customProperties>
    <customPr name="_pios_id" r:id="rId2"/>
  </customPropertie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dimension ref="A5:E20"/>
  <sheetViews>
    <sheetView showGridLines="0" zoomScaleNormal="100" workbookViewId="0"/>
  </sheetViews>
  <sheetFormatPr defaultRowHeight="12.75"/>
  <cols>
    <col min="1" max="1" width="7" customWidth="1"/>
    <col min="3" max="3" width="4.7109375" customWidth="1"/>
    <col min="5" max="5" width="95" customWidth="1"/>
    <col min="6" max="6" width="24" customWidth="1"/>
  </cols>
  <sheetData>
    <row r="5" spans="1:5" ht="13.5" thickBot="1"/>
    <row r="6" spans="1:5">
      <c r="D6" s="1225"/>
      <c r="E6" s="1226"/>
    </row>
    <row r="7" spans="1:5" ht="25.5" customHeight="1">
      <c r="A7" s="22"/>
      <c r="D7" s="3903" t="s">
        <v>462</v>
      </c>
      <c r="E7" s="3904"/>
    </row>
    <row r="8" spans="1:5" ht="12.75" customHeight="1">
      <c r="A8" s="19"/>
      <c r="D8" s="1227"/>
      <c r="E8" s="1228"/>
    </row>
    <row r="9" spans="1:5" ht="12.75" customHeight="1">
      <c r="A9" s="19"/>
      <c r="D9" s="1229"/>
      <c r="E9" s="1230"/>
    </row>
    <row r="10" spans="1:5" ht="12.75" customHeight="1">
      <c r="A10" s="19"/>
      <c r="D10" s="1236" t="s">
        <v>1</v>
      </c>
      <c r="E10" s="1234"/>
    </row>
    <row r="11" spans="1:5" ht="15">
      <c r="A11" s="19"/>
      <c r="D11" s="1236"/>
      <c r="E11" s="1234"/>
    </row>
    <row r="12" spans="1:5" ht="15">
      <c r="D12" s="1236" t="s">
        <v>72</v>
      </c>
      <c r="E12" s="1235"/>
    </row>
    <row r="13" spans="1:5" ht="30" customHeight="1">
      <c r="D13" s="1237">
        <v>1</v>
      </c>
      <c r="E13" s="1231" t="s">
        <v>463</v>
      </c>
    </row>
    <row r="14" spans="1:5" ht="30" customHeight="1">
      <c r="D14" s="1237">
        <v>2</v>
      </c>
      <c r="E14" s="1231" t="s">
        <v>457</v>
      </c>
    </row>
    <row r="15" spans="1:5" ht="30" customHeight="1">
      <c r="D15" s="1237">
        <v>3</v>
      </c>
      <c r="E15" s="1231" t="s">
        <v>458</v>
      </c>
    </row>
    <row r="16" spans="1:5" ht="30" customHeight="1">
      <c r="D16" s="1237">
        <v>4</v>
      </c>
      <c r="E16" s="1231" t="s">
        <v>459</v>
      </c>
    </row>
    <row r="17" spans="4:5" ht="30" customHeight="1">
      <c r="D17" s="1237">
        <v>5</v>
      </c>
      <c r="E17" s="1231" t="s">
        <v>460</v>
      </c>
    </row>
    <row r="18" spans="4:5" ht="30" customHeight="1">
      <c r="D18" s="1237">
        <v>6</v>
      </c>
      <c r="E18" s="1231" t="s">
        <v>461</v>
      </c>
    </row>
    <row r="19" spans="4:5" ht="13.5" thickBot="1">
      <c r="D19" s="1232"/>
      <c r="E19" s="1233"/>
    </row>
    <row r="20" spans="4:5">
      <c r="D20" s="1224"/>
      <c r="E20" s="1224"/>
    </row>
  </sheetData>
  <mergeCells count="1">
    <mergeCell ref="D7:E7"/>
  </mergeCells>
  <phoneticPr fontId="13" type="noConversion"/>
  <pageMargins left="0.75" right="0.75" top="1" bottom="1" header="0.5" footer="0.5"/>
  <pageSetup paperSize="9" orientation="landscape" r:id="rId1"/>
  <headerFooter alignWithMargins="0"/>
  <customProperties>
    <customPr name="_pios_id" r:id="rId2"/>
  </customPropertie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autoPageBreaks="0"/>
  </sheetPr>
  <dimension ref="A1:DP137"/>
  <sheetViews>
    <sheetView showGridLines="0" topLeftCell="A87" zoomScale="70" zoomScaleNormal="70" workbookViewId="0">
      <selection activeCell="B18" sqref="B18"/>
    </sheetView>
  </sheetViews>
  <sheetFormatPr defaultColWidth="9.140625" defaultRowHeight="12.75"/>
  <cols>
    <col min="1" max="1" width="16.28515625" style="77" bestFit="1" customWidth="1"/>
    <col min="2" max="2" width="35.5703125" style="94" customWidth="1"/>
    <col min="3" max="4" width="38.140625" style="77" customWidth="1"/>
    <col min="5" max="10" width="15.7109375" style="77" customWidth="1"/>
    <col min="11" max="11" width="15.7109375" style="474" customWidth="1"/>
    <col min="12" max="18" width="15.7109375" style="77" customWidth="1"/>
    <col min="19" max="19" width="14.7109375" customWidth="1"/>
    <col min="20" max="30" width="8.7109375"/>
    <col min="31" max="119" width="9.140625" style="78"/>
    <col min="120" max="16384" width="9.140625" style="77"/>
  </cols>
  <sheetData>
    <row r="1" spans="1:119" s="177" customFormat="1" ht="24.95" customHeight="1">
      <c r="B1" s="2522" t="str">
        <f>IF(dms_DataQuality="backcast",INDEX(dms_Worksheet_List,MATCH(dms_Model,dms_Model_List))&amp;" BACKCAST",INDEX(dms_Worksheet_List,MATCH(dms_Model,dms_Model_List)))</f>
        <v>REGULATORY REPORTING STATEMENT</v>
      </c>
      <c r="C1" s="491"/>
      <c r="D1" s="491"/>
      <c r="E1" s="491"/>
      <c r="F1" s="491"/>
      <c r="G1" s="491"/>
      <c r="H1" s="491"/>
      <c r="I1" s="491"/>
      <c r="J1" s="491"/>
      <c r="K1" s="491"/>
      <c r="L1" s="491"/>
      <c r="M1" s="491"/>
      <c r="N1" s="491"/>
      <c r="O1" s="491"/>
      <c r="P1" s="491"/>
      <c r="Q1" s="491"/>
      <c r="R1" s="491"/>
      <c r="S1"/>
      <c r="T1"/>
      <c r="U1"/>
      <c r="V1"/>
      <c r="W1"/>
      <c r="X1"/>
      <c r="Y1"/>
      <c r="Z1"/>
      <c r="AA1"/>
      <c r="AB1"/>
      <c r="AC1"/>
      <c r="AD1"/>
    </row>
    <row r="2" spans="1:119" s="177" customFormat="1" ht="24.95" customHeight="1">
      <c r="B2" s="2526" t="str">
        <f>INDEX(dms_TradingNameFull_List,MATCH(dms_TradingName,dms_TradingName_List))</f>
        <v>AusNet Gas Services</v>
      </c>
      <c r="C2" s="180"/>
      <c r="D2" s="180"/>
      <c r="E2" s="180"/>
      <c r="F2" s="180"/>
      <c r="G2" s="180"/>
      <c r="H2" s="180"/>
      <c r="I2" s="180"/>
      <c r="J2" s="180"/>
      <c r="K2" s="180"/>
      <c r="L2" s="180"/>
      <c r="M2" s="180"/>
      <c r="N2" s="180"/>
      <c r="O2" s="180"/>
      <c r="P2" s="180"/>
      <c r="Q2" s="180"/>
      <c r="R2" s="180"/>
      <c r="S2"/>
      <c r="T2"/>
      <c r="U2"/>
      <c r="V2"/>
      <c r="W2"/>
      <c r="X2"/>
      <c r="Y2"/>
      <c r="Z2"/>
      <c r="AA2"/>
      <c r="AB2"/>
      <c r="AC2"/>
      <c r="AD2"/>
    </row>
    <row r="3" spans="1:119" s="177" customFormat="1" ht="24.95" customHeight="1">
      <c r="B3" s="2526" t="str">
        <f ca="1">IF(SUM(dms_SingleYear_Model)&gt;0,CRY,CONCATENATE(FRCP_y1," to ",dms_MultiYear_FinalYear_Result))</f>
        <v>2018 to 2022</v>
      </c>
      <c r="C3" s="181"/>
      <c r="D3" s="181"/>
      <c r="E3" s="181"/>
      <c r="F3" s="181"/>
      <c r="G3" s="181"/>
      <c r="H3" s="181"/>
      <c r="I3" s="181"/>
      <c r="J3" s="181"/>
      <c r="K3" s="181"/>
      <c r="L3" s="181"/>
      <c r="M3" s="181"/>
      <c r="N3" s="181"/>
      <c r="O3" s="181"/>
      <c r="P3" s="181"/>
      <c r="Q3" s="181"/>
      <c r="R3" s="181"/>
      <c r="S3"/>
      <c r="T3"/>
      <c r="U3"/>
      <c r="V3"/>
      <c r="W3"/>
      <c r="X3"/>
      <c r="Y3"/>
      <c r="Z3"/>
      <c r="AA3"/>
      <c r="AB3"/>
      <c r="AC3"/>
      <c r="AD3"/>
    </row>
    <row r="4" spans="1:119" s="159" customFormat="1" ht="24" customHeight="1">
      <c r="B4" s="10" t="s">
        <v>367</v>
      </c>
      <c r="C4" s="12"/>
      <c r="D4" s="12"/>
      <c r="E4" s="12"/>
      <c r="F4" s="12"/>
      <c r="G4" s="12"/>
      <c r="H4" s="12"/>
      <c r="I4" s="12"/>
      <c r="J4" s="12"/>
      <c r="K4" s="12"/>
      <c r="L4" s="12"/>
      <c r="M4" s="12"/>
      <c r="N4" s="12"/>
      <c r="O4" s="12"/>
      <c r="P4" s="12"/>
      <c r="Q4" s="12"/>
      <c r="R4" s="12"/>
      <c r="S4"/>
      <c r="T4"/>
      <c r="U4"/>
      <c r="V4"/>
      <c r="W4"/>
      <c r="X4"/>
      <c r="Y4"/>
      <c r="Z4"/>
      <c r="AA4"/>
      <c r="AB4"/>
      <c r="AC4"/>
      <c r="AD4"/>
    </row>
    <row r="5" spans="1:119" customFormat="1">
      <c r="K5" s="65"/>
    </row>
    <row r="7" spans="1:119" s="849" customFormat="1">
      <c r="B7" s="4536" t="s">
        <v>59</v>
      </c>
      <c r="C7" s="4536"/>
      <c r="D7" s="4536"/>
      <c r="E7" s="4536"/>
      <c r="F7" s="4536"/>
      <c r="G7" s="4536"/>
      <c r="S7"/>
      <c r="T7"/>
      <c r="U7"/>
      <c r="V7"/>
      <c r="W7"/>
      <c r="X7"/>
      <c r="Y7"/>
      <c r="Z7"/>
      <c r="AA7"/>
      <c r="AB7"/>
      <c r="AC7"/>
      <c r="AD7"/>
      <c r="AE7" s="355"/>
      <c r="AF7" s="355"/>
      <c r="AG7" s="355"/>
      <c r="AH7" s="355"/>
      <c r="AI7" s="355"/>
      <c r="AJ7" s="355"/>
      <c r="AK7" s="355"/>
      <c r="AL7" s="355"/>
      <c r="AM7" s="355"/>
      <c r="AN7" s="355"/>
      <c r="AO7" s="355"/>
      <c r="AP7" s="355"/>
      <c r="AQ7" s="355"/>
      <c r="AR7" s="355"/>
      <c r="AS7" s="355"/>
      <c r="AT7" s="355"/>
      <c r="AU7" s="355"/>
      <c r="AV7" s="355"/>
      <c r="AW7" s="355"/>
      <c r="AX7" s="355"/>
      <c r="AY7" s="355"/>
      <c r="AZ7" s="355"/>
      <c r="BA7" s="355"/>
      <c r="BB7" s="355"/>
      <c r="BC7" s="355"/>
      <c r="BD7" s="355"/>
      <c r="BE7" s="355"/>
      <c r="BF7" s="355"/>
      <c r="BG7" s="355"/>
      <c r="BH7" s="355"/>
      <c r="BI7" s="355"/>
      <c r="BJ7" s="355"/>
      <c r="BK7" s="355"/>
      <c r="BL7" s="355"/>
      <c r="BM7" s="355"/>
      <c r="BN7" s="355"/>
      <c r="BO7" s="355"/>
      <c r="BP7" s="355"/>
      <c r="BQ7" s="355"/>
      <c r="BR7" s="355"/>
      <c r="BS7" s="355"/>
      <c r="BT7" s="355"/>
      <c r="BU7" s="355"/>
      <c r="BV7" s="355"/>
      <c r="BW7" s="355"/>
      <c r="BX7" s="355"/>
      <c r="BY7" s="355"/>
      <c r="BZ7" s="355"/>
      <c r="CA7" s="355"/>
      <c r="CB7" s="355"/>
      <c r="CC7" s="355"/>
      <c r="CD7" s="355"/>
      <c r="CE7" s="355"/>
      <c r="CF7" s="355"/>
      <c r="CG7" s="355"/>
      <c r="CH7" s="355"/>
      <c r="CI7" s="355"/>
      <c r="CJ7" s="355"/>
      <c r="CK7" s="355"/>
      <c r="CL7" s="355"/>
      <c r="CM7" s="355"/>
      <c r="CN7" s="355"/>
      <c r="CO7" s="355"/>
      <c r="CP7" s="355"/>
      <c r="CQ7" s="355"/>
      <c r="CR7" s="355"/>
      <c r="CS7" s="355"/>
      <c r="CT7" s="355"/>
      <c r="CU7" s="355"/>
      <c r="CV7" s="355"/>
      <c r="CW7" s="355"/>
      <c r="CX7" s="355"/>
      <c r="CY7" s="355"/>
      <c r="CZ7" s="355"/>
      <c r="DA7" s="355"/>
      <c r="DB7" s="355"/>
      <c r="DC7" s="355"/>
      <c r="DD7" s="355"/>
      <c r="DE7" s="355"/>
      <c r="DF7" s="355"/>
      <c r="DG7" s="355"/>
      <c r="DH7" s="355"/>
      <c r="DI7" s="355"/>
      <c r="DJ7" s="355"/>
      <c r="DK7" s="355"/>
      <c r="DL7" s="355"/>
      <c r="DM7" s="355"/>
      <c r="DN7" s="355"/>
      <c r="DO7" s="355"/>
    </row>
    <row r="8" spans="1:119" s="849" customFormat="1" ht="30.75" customHeight="1">
      <c r="B8" s="4024" t="s">
        <v>1419</v>
      </c>
      <c r="C8" s="4024"/>
      <c r="D8" s="4024"/>
      <c r="E8" s="4024"/>
      <c r="F8" s="4024"/>
      <c r="G8" s="4024"/>
      <c r="S8"/>
      <c r="T8"/>
      <c r="U8"/>
      <c r="V8"/>
      <c r="W8"/>
      <c r="X8"/>
      <c r="Y8"/>
      <c r="Z8"/>
      <c r="AA8"/>
      <c r="AB8"/>
      <c r="AC8"/>
      <c r="AD8"/>
      <c r="AE8" s="355"/>
      <c r="AF8" s="355"/>
      <c r="AG8" s="355"/>
      <c r="AH8" s="355"/>
      <c r="AI8" s="355"/>
      <c r="AJ8" s="355"/>
      <c r="AK8" s="355"/>
      <c r="AL8" s="355"/>
      <c r="AM8" s="355"/>
      <c r="AN8" s="355"/>
      <c r="AO8" s="355"/>
      <c r="AP8" s="355"/>
      <c r="AQ8" s="355"/>
      <c r="AR8" s="355"/>
      <c r="AS8" s="355"/>
      <c r="AT8" s="355"/>
      <c r="AU8" s="355"/>
      <c r="AV8" s="355"/>
      <c r="AW8" s="355"/>
      <c r="AX8" s="355"/>
      <c r="AY8" s="355"/>
      <c r="AZ8" s="355"/>
      <c r="BA8" s="355"/>
      <c r="BB8" s="355"/>
      <c r="BC8" s="355"/>
      <c r="BD8" s="355"/>
      <c r="BE8" s="355"/>
      <c r="BF8" s="355"/>
      <c r="BG8" s="355"/>
      <c r="BH8" s="355"/>
      <c r="BI8" s="355"/>
      <c r="BJ8" s="355"/>
      <c r="BK8" s="355"/>
      <c r="BL8" s="355"/>
      <c r="BM8" s="355"/>
      <c r="BN8" s="355"/>
      <c r="BO8" s="355"/>
      <c r="BP8" s="355"/>
      <c r="BQ8" s="355"/>
      <c r="BR8" s="355"/>
      <c r="BS8" s="355"/>
      <c r="BT8" s="355"/>
      <c r="BU8" s="355"/>
      <c r="BV8" s="355"/>
      <c r="BW8" s="355"/>
      <c r="BX8" s="355"/>
      <c r="BY8" s="355"/>
      <c r="BZ8" s="355"/>
      <c r="CA8" s="355"/>
      <c r="CB8" s="355"/>
      <c r="CC8" s="355"/>
      <c r="CD8" s="355"/>
      <c r="CE8" s="355"/>
      <c r="CF8" s="355"/>
      <c r="CG8" s="355"/>
      <c r="CH8" s="355"/>
      <c r="CI8" s="355"/>
      <c r="CJ8" s="355"/>
      <c r="CK8" s="355"/>
      <c r="CL8" s="355"/>
      <c r="CM8" s="355"/>
      <c r="CN8" s="355"/>
      <c r="CO8" s="355"/>
      <c r="CP8" s="355"/>
      <c r="CQ8" s="355"/>
      <c r="CR8" s="355"/>
      <c r="CS8" s="355"/>
      <c r="CT8" s="355"/>
      <c r="CU8" s="355"/>
      <c r="CV8" s="355"/>
      <c r="CW8" s="355"/>
      <c r="CX8" s="355"/>
      <c r="CY8" s="355"/>
      <c r="CZ8" s="355"/>
      <c r="DA8" s="355"/>
      <c r="DB8" s="355"/>
      <c r="DC8" s="355"/>
      <c r="DD8" s="355"/>
      <c r="DE8" s="355"/>
      <c r="DF8" s="355"/>
      <c r="DG8" s="355"/>
      <c r="DH8" s="355"/>
      <c r="DI8" s="355"/>
      <c r="DJ8" s="355"/>
      <c r="DK8" s="355"/>
      <c r="DL8" s="355"/>
      <c r="DM8" s="355"/>
      <c r="DN8" s="355"/>
      <c r="DO8" s="355"/>
    </row>
    <row r="9" spans="1:119" s="849" customFormat="1" ht="17.25" customHeight="1">
      <c r="B9" s="4024" t="s">
        <v>719</v>
      </c>
      <c r="C9" s="4078"/>
      <c r="D9" s="4078"/>
      <c r="E9" s="4078"/>
      <c r="F9" s="4078"/>
      <c r="G9" s="4078"/>
      <c r="S9" s="1172"/>
      <c r="T9" s="1172"/>
      <c r="U9" s="1172"/>
      <c r="V9" s="1172"/>
      <c r="W9" s="1172"/>
      <c r="X9" s="1172"/>
      <c r="Y9" s="1172"/>
      <c r="Z9" s="1172"/>
      <c r="AA9" s="1172"/>
      <c r="AB9" s="1172"/>
      <c r="AC9" s="1172"/>
      <c r="AD9" s="1172"/>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5"/>
      <c r="BU9" s="355"/>
      <c r="BV9" s="355"/>
      <c r="BW9" s="355"/>
      <c r="BX9" s="355"/>
      <c r="BY9" s="355"/>
      <c r="BZ9" s="355"/>
      <c r="CA9" s="355"/>
      <c r="CB9" s="355"/>
      <c r="CC9" s="355"/>
      <c r="CD9" s="355"/>
      <c r="CE9" s="355"/>
      <c r="CF9" s="355"/>
      <c r="CG9" s="355"/>
      <c r="CH9" s="355"/>
      <c r="CI9" s="355"/>
      <c r="CJ9" s="355"/>
      <c r="CK9" s="355"/>
      <c r="CL9" s="355"/>
      <c r="CM9" s="355"/>
      <c r="CN9" s="355"/>
      <c r="CO9" s="355"/>
      <c r="CP9" s="355"/>
      <c r="CQ9" s="355"/>
      <c r="CR9" s="355"/>
      <c r="CS9" s="355"/>
      <c r="CT9" s="355"/>
      <c r="CU9" s="355"/>
      <c r="CV9" s="355"/>
      <c r="CW9" s="355"/>
      <c r="CX9" s="355"/>
      <c r="CY9" s="355"/>
      <c r="CZ9" s="355"/>
      <c r="DA9" s="355"/>
      <c r="DB9" s="355"/>
      <c r="DC9" s="355"/>
      <c r="DD9" s="355"/>
      <c r="DE9" s="355"/>
      <c r="DF9" s="355"/>
      <c r="DG9" s="355"/>
      <c r="DH9" s="355"/>
      <c r="DI9" s="355"/>
      <c r="DJ9" s="355"/>
      <c r="DK9" s="355"/>
      <c r="DL9" s="355"/>
      <c r="DM9" s="355"/>
      <c r="DN9" s="355"/>
      <c r="DO9" s="355"/>
    </row>
    <row r="10" spans="1:119" s="849" customFormat="1" ht="18.75" customHeight="1">
      <c r="B10" s="4024" t="s">
        <v>231</v>
      </c>
      <c r="C10" s="4024"/>
      <c r="D10" s="4024"/>
      <c r="E10" s="4024"/>
      <c r="F10" s="4024"/>
      <c r="G10" s="4024"/>
      <c r="S10"/>
      <c r="T10"/>
      <c r="U10"/>
      <c r="V10"/>
      <c r="W10"/>
      <c r="X10"/>
      <c r="Y10"/>
      <c r="Z10"/>
      <c r="AA10"/>
      <c r="AB10"/>
      <c r="AC10"/>
      <c r="AD10"/>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5"/>
      <c r="BW10" s="355"/>
      <c r="BX10" s="355"/>
      <c r="BY10" s="355"/>
      <c r="BZ10" s="355"/>
      <c r="CA10" s="355"/>
      <c r="CB10" s="355"/>
      <c r="CC10" s="355"/>
      <c r="CD10" s="355"/>
      <c r="CE10" s="355"/>
      <c r="CF10" s="355"/>
      <c r="CG10" s="355"/>
      <c r="CH10" s="355"/>
      <c r="CI10" s="355"/>
      <c r="CJ10" s="355"/>
      <c r="CK10" s="355"/>
      <c r="CL10" s="355"/>
      <c r="CM10" s="355"/>
      <c r="CN10" s="355"/>
      <c r="CO10" s="355"/>
      <c r="CP10" s="355"/>
      <c r="CQ10" s="355"/>
      <c r="CR10" s="355"/>
      <c r="CS10" s="355"/>
      <c r="CT10" s="355"/>
      <c r="CU10" s="355"/>
      <c r="CV10" s="355"/>
      <c r="CW10" s="355"/>
      <c r="CX10" s="355"/>
      <c r="CY10" s="355"/>
      <c r="CZ10" s="355"/>
      <c r="DA10" s="355"/>
      <c r="DB10" s="355"/>
      <c r="DC10" s="355"/>
      <c r="DD10" s="355"/>
      <c r="DE10" s="355"/>
      <c r="DF10" s="355"/>
      <c r="DG10" s="355"/>
      <c r="DH10" s="355"/>
      <c r="DI10" s="355"/>
      <c r="DJ10" s="355"/>
      <c r="DK10" s="355"/>
      <c r="DL10" s="355"/>
      <c r="DM10" s="355"/>
      <c r="DN10" s="355"/>
      <c r="DO10" s="355"/>
    </row>
    <row r="11" spans="1:119" s="849" customFormat="1" ht="30" customHeight="1">
      <c r="B11" s="4024" t="s">
        <v>1366</v>
      </c>
      <c r="C11" s="4024"/>
      <c r="D11" s="4078"/>
      <c r="E11" s="4078"/>
      <c r="F11" s="4078"/>
      <c r="G11" s="4078"/>
      <c r="S11"/>
      <c r="T11"/>
      <c r="U11"/>
      <c r="V11"/>
      <c r="W11"/>
      <c r="X11"/>
      <c r="Y11"/>
      <c r="Z11"/>
      <c r="AA11"/>
      <c r="AB11"/>
      <c r="AC11"/>
      <c r="AD11"/>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5"/>
      <c r="BW11" s="355"/>
      <c r="BX11" s="355"/>
      <c r="BY11" s="355"/>
      <c r="BZ11" s="355"/>
      <c r="CA11" s="355"/>
      <c r="CB11" s="355"/>
      <c r="CC11" s="355"/>
      <c r="CD11" s="355"/>
      <c r="CE11" s="355"/>
      <c r="CF11" s="355"/>
      <c r="CG11" s="355"/>
      <c r="CH11" s="355"/>
      <c r="CI11" s="355"/>
      <c r="CJ11" s="355"/>
      <c r="CK11" s="355"/>
      <c r="CL11" s="355"/>
      <c r="CM11" s="355"/>
      <c r="CN11" s="355"/>
      <c r="CO11" s="355"/>
      <c r="CP11" s="355"/>
      <c r="CQ11" s="355"/>
      <c r="CR11" s="355"/>
      <c r="CS11" s="355"/>
      <c r="CT11" s="355"/>
      <c r="CU11" s="355"/>
      <c r="CV11" s="355"/>
      <c r="CW11" s="355"/>
      <c r="CX11" s="355"/>
      <c r="CY11" s="355"/>
      <c r="CZ11" s="355"/>
      <c r="DA11" s="355"/>
      <c r="DB11" s="355"/>
      <c r="DC11" s="355"/>
      <c r="DD11" s="355"/>
      <c r="DE11" s="355"/>
      <c r="DF11" s="355"/>
      <c r="DG11" s="355"/>
      <c r="DH11" s="355"/>
      <c r="DI11" s="355"/>
      <c r="DJ11" s="355"/>
      <c r="DK11" s="355"/>
      <c r="DL11" s="355"/>
      <c r="DM11" s="355"/>
      <c r="DN11" s="355"/>
      <c r="DO11" s="355"/>
    </row>
    <row r="12" spans="1:119" s="69" customFormat="1" ht="33.75" customHeight="1" thickBot="1">
      <c r="N12" s="93"/>
      <c r="O12" s="93"/>
      <c r="P12" s="93"/>
      <c r="Q12" s="93"/>
      <c r="S12"/>
      <c r="T12"/>
      <c r="U12"/>
      <c r="V12"/>
      <c r="W12"/>
      <c r="X12"/>
      <c r="Y12"/>
      <c r="Z12"/>
      <c r="AA12"/>
      <c r="AB12"/>
      <c r="AC12"/>
      <c r="AD12"/>
    </row>
    <row r="13" spans="1:119" s="1172" customFormat="1" ht="32.25" customHeight="1" thickBot="1">
      <c r="A13" s="1174"/>
      <c r="B13" s="815" t="s">
        <v>533</v>
      </c>
      <c r="C13" s="830"/>
      <c r="D13" s="830"/>
      <c r="E13" s="830"/>
      <c r="F13" s="830"/>
      <c r="G13" s="830"/>
      <c r="H13" s="830"/>
      <c r="I13" s="830"/>
      <c r="J13" s="830"/>
      <c r="K13" s="831"/>
      <c r="L13" s="831"/>
      <c r="M13" s="831"/>
      <c r="N13" s="831"/>
      <c r="O13" s="831"/>
      <c r="P13" s="831"/>
      <c r="Q13" s="831"/>
      <c r="R13" s="831"/>
      <c r="S13" s="831"/>
    </row>
    <row r="14" spans="1:119" ht="20.25" customHeight="1">
      <c r="A14" s="78"/>
      <c r="B14" s="4541"/>
      <c r="C14" s="4545" t="s">
        <v>718</v>
      </c>
      <c r="D14" s="4538" t="s">
        <v>70</v>
      </c>
      <c r="E14" s="4537" t="s">
        <v>36</v>
      </c>
      <c r="F14" s="4511"/>
      <c r="G14" s="4511"/>
      <c r="H14" s="4511"/>
      <c r="I14" s="4511"/>
      <c r="J14" s="4517" t="s">
        <v>37</v>
      </c>
      <c r="K14" s="4518"/>
      <c r="L14" s="4518"/>
      <c r="M14" s="4518"/>
      <c r="N14" s="4518"/>
      <c r="O14" s="4519" t="s">
        <v>73</v>
      </c>
      <c r="P14" s="4519"/>
      <c r="Q14" s="4519"/>
      <c r="R14" s="4519"/>
      <c r="S14" s="4520"/>
      <c r="AE14"/>
      <c r="AF14" s="77"/>
      <c r="AG14" s="77"/>
      <c r="AH14" s="77"/>
      <c r="AI14" s="77"/>
      <c r="AJ14" s="77"/>
      <c r="AK14" s="77"/>
      <c r="AL14" s="77"/>
      <c r="AM14" s="77"/>
      <c r="AN14" s="77"/>
      <c r="AO14" s="77"/>
      <c r="AP14" s="77"/>
      <c r="AQ14" s="77"/>
      <c r="AR14" s="77"/>
      <c r="AS14" s="77"/>
      <c r="AT14" s="77"/>
      <c r="AU14" s="77"/>
      <c r="AV14" s="77"/>
      <c r="AW14" s="77"/>
      <c r="AX14" s="77"/>
      <c r="AY14" s="77"/>
      <c r="AZ14" s="77"/>
      <c r="BA14" s="77"/>
      <c r="BB14" s="77"/>
      <c r="BC14" s="77"/>
      <c r="BD14" s="77"/>
      <c r="BE14" s="77"/>
      <c r="BF14" s="77"/>
      <c r="BG14" s="77"/>
      <c r="BH14" s="77"/>
      <c r="BI14" s="77"/>
      <c r="BJ14" s="77"/>
      <c r="BK14" s="77"/>
      <c r="BL14" s="77"/>
      <c r="BM14" s="77"/>
      <c r="BN14" s="77"/>
      <c r="BO14" s="77"/>
      <c r="BP14" s="77"/>
      <c r="BQ14" s="77"/>
      <c r="BR14" s="77"/>
      <c r="BS14" s="77"/>
      <c r="BT14" s="77"/>
      <c r="BU14" s="77"/>
      <c r="BV14" s="77"/>
      <c r="BW14" s="77"/>
      <c r="BX14" s="77"/>
      <c r="BY14" s="77"/>
      <c r="BZ14" s="77"/>
      <c r="CA14" s="77"/>
      <c r="CB14" s="77"/>
      <c r="CC14" s="77"/>
      <c r="CD14" s="77"/>
      <c r="CE14" s="77"/>
      <c r="CF14" s="77"/>
      <c r="CG14" s="77"/>
      <c r="CH14" s="77"/>
      <c r="CI14" s="77"/>
      <c r="CJ14" s="77"/>
      <c r="CK14" s="77"/>
      <c r="CL14" s="77"/>
      <c r="CM14" s="77"/>
      <c r="CN14" s="77"/>
      <c r="CO14" s="77"/>
      <c r="CP14" s="77"/>
      <c r="CQ14" s="77"/>
      <c r="CR14" s="77"/>
      <c r="CS14" s="77"/>
      <c r="CT14" s="77"/>
      <c r="CU14" s="77"/>
      <c r="CV14" s="77"/>
      <c r="CW14" s="77"/>
      <c r="CX14" s="77"/>
      <c r="CY14" s="77"/>
      <c r="CZ14" s="77"/>
      <c r="DA14" s="77"/>
      <c r="DB14" s="77"/>
      <c r="DC14" s="77"/>
      <c r="DD14" s="77"/>
      <c r="DE14" s="77"/>
      <c r="DF14" s="77"/>
      <c r="DG14" s="77"/>
      <c r="DH14" s="77"/>
      <c r="DI14" s="77"/>
      <c r="DJ14" s="77"/>
      <c r="DK14" s="77"/>
      <c r="DL14" s="77"/>
      <c r="DM14" s="77"/>
      <c r="DN14" s="77"/>
      <c r="DO14" s="77"/>
    </row>
    <row r="15" spans="1:119">
      <c r="A15" s="78"/>
      <c r="B15" s="4542"/>
      <c r="C15" s="4546"/>
      <c r="D15" s="4539"/>
      <c r="E15" s="4522" t="s">
        <v>337</v>
      </c>
      <c r="F15" s="4522"/>
      <c r="G15" s="4522"/>
      <c r="H15" s="4522"/>
      <c r="I15" s="4522"/>
      <c r="J15" s="4522"/>
      <c r="K15" s="4522"/>
      <c r="L15" s="4522"/>
      <c r="M15" s="4522"/>
      <c r="N15" s="4522"/>
      <c r="O15" s="4522"/>
      <c r="P15" s="4522"/>
      <c r="Q15" s="4522"/>
      <c r="R15" s="4522"/>
      <c r="S15" s="4523"/>
      <c r="AE15"/>
      <c r="AF15" s="77"/>
      <c r="AG15" s="77"/>
      <c r="AH15" s="77"/>
      <c r="AI15" s="77"/>
      <c r="AJ15" s="77"/>
      <c r="AK15" s="77"/>
      <c r="AL15" s="77"/>
      <c r="AM15" s="77"/>
      <c r="AN15" s="77"/>
      <c r="AO15" s="77"/>
      <c r="AP15" s="77"/>
      <c r="AQ15" s="77"/>
      <c r="AR15" s="77"/>
      <c r="AS15" s="77"/>
      <c r="AT15" s="77"/>
      <c r="AU15" s="77"/>
      <c r="AV15" s="77"/>
      <c r="AW15" s="77"/>
      <c r="AX15" s="77"/>
      <c r="AY15" s="77"/>
      <c r="AZ15" s="77"/>
      <c r="BA15" s="77"/>
      <c r="BB15" s="77"/>
      <c r="BC15" s="77"/>
      <c r="BD15" s="77"/>
      <c r="BE15" s="77"/>
      <c r="BF15" s="77"/>
      <c r="BG15" s="77"/>
      <c r="BH15" s="77"/>
      <c r="BI15" s="77"/>
      <c r="BJ15" s="77"/>
      <c r="BK15" s="77"/>
      <c r="BL15" s="77"/>
      <c r="BM15" s="77"/>
      <c r="BN15" s="77"/>
      <c r="BO15" s="77"/>
      <c r="BP15" s="77"/>
      <c r="BQ15" s="77"/>
      <c r="BR15" s="77"/>
      <c r="BS15" s="77"/>
      <c r="BT15" s="77"/>
      <c r="BU15" s="77"/>
      <c r="BV15" s="77"/>
      <c r="BW15" s="77"/>
      <c r="BX15" s="77"/>
      <c r="BY15" s="77"/>
      <c r="BZ15" s="77"/>
      <c r="CA15" s="77"/>
      <c r="CB15" s="77"/>
      <c r="CC15" s="77"/>
      <c r="CD15" s="77"/>
      <c r="CE15" s="77"/>
      <c r="CF15" s="77"/>
      <c r="CG15" s="77"/>
      <c r="CH15" s="77"/>
      <c r="CI15" s="77"/>
      <c r="CJ15" s="77"/>
      <c r="CK15" s="77"/>
      <c r="CL15" s="77"/>
      <c r="CM15" s="77"/>
      <c r="CN15" s="77"/>
      <c r="CO15" s="77"/>
      <c r="CP15" s="77"/>
      <c r="CQ15" s="77"/>
      <c r="CR15" s="77"/>
      <c r="CS15" s="77"/>
      <c r="CT15" s="77"/>
      <c r="CU15" s="77"/>
      <c r="CV15" s="77"/>
      <c r="CW15" s="77"/>
      <c r="CX15" s="77"/>
      <c r="CY15" s="77"/>
      <c r="CZ15" s="77"/>
      <c r="DA15" s="77"/>
      <c r="DB15" s="77"/>
      <c r="DC15" s="77"/>
      <c r="DD15" s="77"/>
      <c r="DE15" s="77"/>
      <c r="DF15" s="77"/>
      <c r="DG15" s="77"/>
      <c r="DH15" s="77"/>
      <c r="DI15" s="77"/>
      <c r="DJ15" s="77"/>
      <c r="DK15" s="77"/>
      <c r="DL15" s="77"/>
      <c r="DM15" s="77"/>
      <c r="DN15" s="77"/>
      <c r="DO15" s="77"/>
    </row>
    <row r="16" spans="1:119" s="474" customFormat="1">
      <c r="A16" s="78"/>
      <c r="B16" s="4542"/>
      <c r="C16" s="4546"/>
      <c r="D16" s="4539"/>
      <c r="E16" s="4522" t="s">
        <v>54</v>
      </c>
      <c r="F16" s="4522"/>
      <c r="G16" s="4522"/>
      <c r="H16" s="4522"/>
      <c r="I16" s="4522"/>
      <c r="J16" s="4522"/>
      <c r="K16" s="4522"/>
      <c r="L16" s="4544"/>
      <c r="M16" s="4524" t="s">
        <v>55</v>
      </c>
      <c r="N16" s="4525"/>
      <c r="O16" s="4525"/>
      <c r="P16" s="4525"/>
      <c r="Q16" s="4525"/>
      <c r="R16" s="4525"/>
      <c r="S16" s="4526"/>
      <c r="T16"/>
      <c r="U16"/>
      <c r="V16"/>
      <c r="W16"/>
      <c r="X16"/>
      <c r="Y16"/>
      <c r="Z16"/>
      <c r="AA16"/>
      <c r="AB16"/>
      <c r="AC16"/>
      <c r="AD16"/>
      <c r="AE16"/>
    </row>
    <row r="17" spans="1:120" ht="13.5" thickBot="1">
      <c r="B17" s="4543"/>
      <c r="C17" s="4547"/>
      <c r="D17" s="4540"/>
      <c r="E17" s="1531">
        <f t="array" ref="E17:I17">PRCP</f>
        <v>2008</v>
      </c>
      <c r="F17" s="851">
        <v>2009</v>
      </c>
      <c r="G17" s="851">
        <v>2010</v>
      </c>
      <c r="H17" s="851">
        <v>2011</v>
      </c>
      <c r="I17" s="851">
        <v>2012</v>
      </c>
      <c r="J17" s="852">
        <f>CRCP_y1</f>
        <v>2013</v>
      </c>
      <c r="K17" s="852">
        <f>CRCP_y2</f>
        <v>2014</v>
      </c>
      <c r="L17" s="852">
        <f>CRCP_y3</f>
        <v>2015</v>
      </c>
      <c r="M17" s="852">
        <f>CRCP_y4</f>
        <v>2016</v>
      </c>
      <c r="N17" s="852">
        <f>CRCP_y5</f>
        <v>2017</v>
      </c>
      <c r="O17" s="851" t="str">
        <f t="array" ref="O17:S17">FRCP</f>
        <v>2018</v>
      </c>
      <c r="P17" s="851">
        <v>2019</v>
      </c>
      <c r="Q17" s="851">
        <v>2020</v>
      </c>
      <c r="R17" s="851">
        <v>2021</v>
      </c>
      <c r="S17" s="854">
        <v>2022</v>
      </c>
      <c r="AE17"/>
      <c r="AF17" s="77"/>
      <c r="AG17" s="77"/>
      <c r="AH17" s="77"/>
      <c r="AI17" s="77"/>
      <c r="AJ17" s="77"/>
      <c r="AK17" s="77"/>
      <c r="AL17" s="77"/>
      <c r="AM17" s="77"/>
      <c r="AN17" s="77"/>
      <c r="AO17" s="77"/>
      <c r="AP17" s="77"/>
      <c r="AQ17" s="77"/>
      <c r="AR17" s="77"/>
      <c r="AS17" s="77"/>
      <c r="AT17" s="77"/>
      <c r="AU17" s="77"/>
      <c r="AV17" s="77"/>
      <c r="AW17" s="77"/>
      <c r="AX17" s="77"/>
      <c r="AY17" s="77"/>
      <c r="AZ17" s="77"/>
      <c r="BA17" s="77"/>
      <c r="BB17" s="77"/>
      <c r="BC17" s="77"/>
      <c r="BD17" s="77"/>
      <c r="BE17" s="77"/>
      <c r="BF17" s="77"/>
      <c r="BG17" s="77"/>
      <c r="BH17" s="77"/>
      <c r="BI17" s="77"/>
      <c r="BJ17" s="77"/>
      <c r="BK17" s="77"/>
      <c r="BL17" s="77"/>
      <c r="BM17" s="77"/>
      <c r="BN17" s="77"/>
      <c r="BO17" s="77"/>
      <c r="BP17" s="77"/>
      <c r="BQ17" s="77"/>
      <c r="BR17" s="77"/>
      <c r="BS17" s="77"/>
      <c r="BT17" s="77"/>
      <c r="BU17" s="77"/>
      <c r="BV17" s="77"/>
      <c r="BW17" s="77"/>
      <c r="BX17" s="77"/>
      <c r="BY17" s="77"/>
      <c r="BZ17" s="77"/>
      <c r="CA17" s="77"/>
      <c r="CB17" s="77"/>
      <c r="CC17" s="77"/>
      <c r="CD17" s="77"/>
      <c r="CE17" s="77"/>
      <c r="CF17" s="77"/>
      <c r="CG17" s="77"/>
      <c r="CH17" s="77"/>
      <c r="CI17" s="77"/>
      <c r="CJ17" s="77"/>
      <c r="CK17" s="77"/>
      <c r="CL17" s="77"/>
      <c r="CM17" s="77"/>
      <c r="CN17" s="77"/>
      <c r="CO17" s="77"/>
      <c r="CP17" s="77"/>
      <c r="CQ17" s="77"/>
      <c r="CR17" s="77"/>
      <c r="CS17" s="77"/>
      <c r="CT17" s="77"/>
      <c r="CU17" s="77"/>
      <c r="CV17" s="77"/>
      <c r="CW17" s="77"/>
      <c r="CX17" s="77"/>
      <c r="CY17" s="77"/>
      <c r="CZ17" s="77"/>
      <c r="DA17" s="77"/>
      <c r="DB17" s="77"/>
      <c r="DC17" s="77"/>
      <c r="DD17" s="77"/>
      <c r="DE17" s="77"/>
      <c r="DF17" s="77"/>
      <c r="DG17" s="77"/>
      <c r="DH17" s="77"/>
      <c r="DI17" s="77"/>
      <c r="DJ17" s="77"/>
      <c r="DK17" s="77"/>
      <c r="DL17" s="77"/>
      <c r="DM17" s="77"/>
      <c r="DN17" s="77"/>
      <c r="DO17" s="77"/>
    </row>
    <row r="18" spans="1:120" s="1172" customFormat="1" ht="25.5" customHeight="1" thickBot="1">
      <c r="A18" s="1174"/>
      <c r="B18" s="737" t="s">
        <v>683</v>
      </c>
      <c r="C18" s="1532"/>
      <c r="D18" s="1532"/>
      <c r="E18" s="738"/>
      <c r="F18" s="738"/>
      <c r="G18" s="738"/>
      <c r="H18" s="738"/>
      <c r="I18" s="738"/>
      <c r="J18" s="738"/>
      <c r="K18" s="738"/>
      <c r="L18" s="738"/>
      <c r="M18" s="738"/>
      <c r="N18" s="738"/>
      <c r="O18" s="738"/>
      <c r="P18" s="738"/>
      <c r="Q18" s="738"/>
      <c r="R18" s="738"/>
      <c r="S18" s="739"/>
    </row>
    <row r="19" spans="1:120" s="1172" customFormat="1" ht="25.5" customHeight="1" thickBot="1">
      <c r="A19" s="1174"/>
      <c r="B19" s="2141" t="str">
        <f>'[11]27. Customer numbers'!B20</f>
        <v>Central</v>
      </c>
      <c r="C19" s="3322"/>
      <c r="D19" s="3323"/>
      <c r="E19" s="3323"/>
      <c r="F19" s="3323"/>
      <c r="G19" s="3323"/>
      <c r="H19" s="3323"/>
      <c r="I19" s="3323"/>
      <c r="J19" s="3323"/>
      <c r="K19" s="3323"/>
      <c r="L19" s="3323"/>
      <c r="M19" s="3323"/>
      <c r="N19" s="3323"/>
      <c r="O19" s="3323"/>
      <c r="P19" s="3323"/>
      <c r="Q19" s="3323"/>
      <c r="R19" s="3323"/>
      <c r="S19" s="3324"/>
    </row>
    <row r="20" spans="1:120" s="1172" customFormat="1" ht="25.5" customHeight="1" thickBot="1">
      <c r="A20" s="1174"/>
      <c r="B20" s="2141" t="str">
        <f>'[11]27. Customer numbers'!B21</f>
        <v>Tariff V</v>
      </c>
      <c r="C20" s="3325"/>
      <c r="D20" s="3326"/>
      <c r="E20" s="3326"/>
      <c r="F20" s="3326"/>
      <c r="G20" s="3326"/>
      <c r="H20" s="3326"/>
      <c r="I20" s="3326"/>
      <c r="J20" s="3326"/>
      <c r="K20" s="3326"/>
      <c r="L20" s="3326"/>
      <c r="M20" s="3326"/>
      <c r="N20" s="3326"/>
      <c r="O20" s="3326"/>
      <c r="P20" s="3326"/>
      <c r="Q20" s="3326"/>
      <c r="R20" s="3326"/>
      <c r="S20" s="3327"/>
    </row>
    <row r="21" spans="1:120" s="1172" customFormat="1" ht="20.25" customHeight="1" thickBot="1">
      <c r="A21" s="1174"/>
      <c r="B21" s="1285" t="s">
        <v>717</v>
      </c>
      <c r="C21" s="1341"/>
      <c r="D21" s="1341"/>
      <c r="E21" s="1554"/>
      <c r="F21" s="1554"/>
      <c r="G21" s="1554"/>
      <c r="H21" s="1554"/>
      <c r="I21" s="1554"/>
      <c r="J21" s="1554"/>
      <c r="K21" s="1554"/>
      <c r="L21" s="1554"/>
      <c r="M21" s="1554"/>
      <c r="N21" s="1554"/>
      <c r="O21" s="1554"/>
      <c r="P21" s="1554"/>
      <c r="Q21" s="1554"/>
      <c r="R21" s="1554"/>
      <c r="S21" s="1561"/>
    </row>
    <row r="22" spans="1:120" s="474" customFormat="1">
      <c r="B22" s="4533" t="str">
        <f>'[11]27. Customer numbers'!B24</f>
        <v>Residential customers</v>
      </c>
      <c r="C22" s="4529" t="s">
        <v>47</v>
      </c>
      <c r="D22" s="4530"/>
      <c r="E22" s="1541">
        <v>407316.5</v>
      </c>
      <c r="F22" s="1542">
        <v>419160</v>
      </c>
      <c r="G22" s="1542">
        <v>432397.5</v>
      </c>
      <c r="H22" s="1542">
        <v>445645.5</v>
      </c>
      <c r="I22" s="1559">
        <v>457292</v>
      </c>
      <c r="J22" s="1541">
        <v>467243.5</v>
      </c>
      <c r="K22" s="1542">
        <v>477410.5</v>
      </c>
      <c r="L22" s="1542">
        <v>488262.5</v>
      </c>
      <c r="M22" s="1542">
        <v>498408.31375928636</v>
      </c>
      <c r="N22" s="1559">
        <v>507911.48249611934</v>
      </c>
      <c r="O22" s="1541">
        <v>517740.64189436717</v>
      </c>
      <c r="P22" s="1542">
        <v>527956.13614792132</v>
      </c>
      <c r="Q22" s="1542">
        <v>538466.23324345564</v>
      </c>
      <c r="R22" s="1542">
        <v>549280.77222820476</v>
      </c>
      <c r="S22" s="1556">
        <v>560059.68897560309</v>
      </c>
      <c r="T22" s="1172"/>
      <c r="U22" s="1172"/>
      <c r="V22" s="1172"/>
      <c r="W22" s="1172"/>
      <c r="X22" s="1172"/>
      <c r="Y22" s="1172"/>
      <c r="Z22" s="1172"/>
      <c r="AA22" s="1172"/>
      <c r="AB22" s="1172"/>
      <c r="AC22" s="1172"/>
      <c r="AD22" s="1172"/>
      <c r="AE22" s="1172"/>
      <c r="AF22" s="183"/>
      <c r="AG22" s="183"/>
      <c r="AH22" s="183"/>
      <c r="AI22" s="183"/>
      <c r="AJ22" s="183"/>
      <c r="AK22" s="183"/>
      <c r="AL22" s="183"/>
      <c r="AM22" s="183"/>
      <c r="AN22" s="183"/>
      <c r="AO22" s="183"/>
      <c r="AP22" s="183"/>
      <c r="AQ22" s="183"/>
      <c r="AR22" s="183"/>
      <c r="AS22" s="183"/>
      <c r="AT22" s="183"/>
      <c r="AU22" s="183"/>
      <c r="AV22" s="183"/>
      <c r="AW22" s="183"/>
      <c r="AX22" s="183"/>
      <c r="AY22" s="183"/>
      <c r="AZ22" s="183"/>
      <c r="BA22" s="183"/>
      <c r="BB22" s="183"/>
      <c r="BC22" s="183"/>
      <c r="BD22" s="183"/>
      <c r="BE22" s="183"/>
      <c r="BF22" s="183"/>
      <c r="BG22" s="183"/>
      <c r="BH22" s="183"/>
      <c r="BI22" s="183"/>
      <c r="BJ22" s="183"/>
      <c r="BK22" s="183"/>
      <c r="BL22" s="183"/>
      <c r="BM22" s="183"/>
      <c r="BN22" s="183"/>
      <c r="BO22" s="183"/>
      <c r="BP22" s="183"/>
      <c r="BQ22" s="183"/>
      <c r="BR22" s="183"/>
      <c r="BS22" s="183"/>
      <c r="BT22" s="183"/>
      <c r="BU22" s="183"/>
      <c r="BV22" s="183"/>
      <c r="BW22" s="183"/>
      <c r="BX22" s="183"/>
      <c r="BY22" s="183"/>
      <c r="BZ22" s="183"/>
      <c r="CA22" s="183"/>
      <c r="CB22" s="183"/>
      <c r="CC22" s="183"/>
      <c r="CD22" s="183"/>
      <c r="CE22" s="183"/>
      <c r="CF22" s="183"/>
      <c r="CG22" s="183"/>
      <c r="CH22" s="183"/>
      <c r="CI22" s="183"/>
      <c r="CJ22" s="183"/>
      <c r="CK22" s="183"/>
      <c r="CL22" s="183"/>
      <c r="CM22" s="183"/>
      <c r="CN22" s="183"/>
      <c r="CO22" s="183"/>
      <c r="CP22" s="183"/>
      <c r="CQ22" s="183"/>
      <c r="CR22" s="183"/>
      <c r="CS22" s="183"/>
      <c r="CT22" s="183"/>
      <c r="CU22" s="183"/>
      <c r="CV22" s="183"/>
      <c r="CW22" s="183"/>
      <c r="CX22" s="183"/>
      <c r="CY22" s="183"/>
      <c r="CZ22" s="183"/>
      <c r="DA22" s="183"/>
      <c r="DB22" s="183"/>
      <c r="DC22" s="183"/>
      <c r="DD22" s="183"/>
      <c r="DE22" s="183"/>
      <c r="DF22" s="183"/>
      <c r="DG22" s="183"/>
      <c r="DH22" s="183"/>
      <c r="DI22" s="183"/>
      <c r="DJ22" s="183"/>
      <c r="DK22" s="183"/>
      <c r="DL22" s="183"/>
      <c r="DM22" s="183"/>
      <c r="DN22" s="183"/>
      <c r="DO22" s="183"/>
      <c r="DP22" s="183"/>
    </row>
    <row r="23" spans="1:120" s="474" customFormat="1">
      <c r="B23" s="4527"/>
      <c r="C23" s="850" t="s">
        <v>1600</v>
      </c>
      <c r="D23" s="826" t="s">
        <v>1601</v>
      </c>
      <c r="E23" s="472">
        <v>4402250.4709999999</v>
      </c>
      <c r="F23" s="467">
        <v>4477347.3236856135</v>
      </c>
      <c r="G23" s="458">
        <v>4661161.3509999998</v>
      </c>
      <c r="H23" s="458">
        <v>4709657.2019999996</v>
      </c>
      <c r="I23" s="625">
        <v>4844779.0559999999</v>
      </c>
      <c r="J23" s="459">
        <v>4860631.9950000001</v>
      </c>
      <c r="K23" s="458">
        <v>4730745.03</v>
      </c>
      <c r="L23" s="458">
        <v>5102535.273</v>
      </c>
      <c r="M23" s="458">
        <v>5194159.9657074083</v>
      </c>
      <c r="N23" s="625">
        <v>5225907.4191801958</v>
      </c>
      <c r="O23" s="459">
        <v>5275501.7862320021</v>
      </c>
      <c r="P23" s="458">
        <v>5346252.2017229134</v>
      </c>
      <c r="Q23" s="458">
        <v>5416683.3650418893</v>
      </c>
      <c r="R23" s="458">
        <v>5480597.2279916266</v>
      </c>
      <c r="S23" s="410">
        <v>5502571.5097890208</v>
      </c>
      <c r="T23" s="1172"/>
      <c r="U23" s="1172"/>
      <c r="V23" s="1172"/>
      <c r="W23" s="1172"/>
      <c r="X23" s="1172"/>
      <c r="Y23" s="1172"/>
      <c r="Z23" s="1172"/>
      <c r="AA23" s="1172"/>
      <c r="AB23" s="1172"/>
      <c r="AC23" s="1172"/>
      <c r="AD23" s="1172"/>
      <c r="AE23" s="1172"/>
      <c r="AF23" s="183"/>
      <c r="AG23" s="183"/>
      <c r="AH23" s="183"/>
      <c r="AI23" s="183"/>
      <c r="AJ23" s="183"/>
      <c r="AK23" s="183"/>
      <c r="AL23" s="183"/>
      <c r="AM23" s="183"/>
      <c r="AN23" s="183"/>
      <c r="AO23" s="183"/>
      <c r="AP23" s="183"/>
      <c r="AQ23" s="183"/>
      <c r="AR23" s="183"/>
      <c r="AS23" s="183"/>
      <c r="AT23" s="183"/>
      <c r="AU23" s="183"/>
      <c r="AV23" s="183"/>
      <c r="AW23" s="183"/>
      <c r="AX23" s="183"/>
      <c r="AY23" s="183"/>
      <c r="AZ23" s="183"/>
      <c r="BA23" s="183"/>
      <c r="BB23" s="183"/>
      <c r="BC23" s="183"/>
      <c r="BD23" s="183"/>
      <c r="BE23" s="183"/>
      <c r="BF23" s="183"/>
      <c r="BG23" s="183"/>
      <c r="BH23" s="183"/>
      <c r="BI23" s="183"/>
      <c r="BJ23" s="183"/>
      <c r="BK23" s="183"/>
      <c r="BL23" s="183"/>
      <c r="BM23" s="183"/>
      <c r="BN23" s="183"/>
      <c r="BO23" s="183"/>
      <c r="BP23" s="183"/>
      <c r="BQ23" s="183"/>
      <c r="BR23" s="183"/>
      <c r="BS23" s="183"/>
      <c r="BT23" s="183"/>
      <c r="BU23" s="183"/>
      <c r="BV23" s="183"/>
      <c r="BW23" s="183"/>
      <c r="BX23" s="183"/>
      <c r="BY23" s="183"/>
      <c r="BZ23" s="183"/>
      <c r="CA23" s="183"/>
      <c r="CB23" s="183"/>
      <c r="CC23" s="183"/>
      <c r="CD23" s="183"/>
      <c r="CE23" s="183"/>
      <c r="CF23" s="183"/>
      <c r="CG23" s="183"/>
      <c r="CH23" s="183"/>
      <c r="CI23" s="183"/>
      <c r="CJ23" s="183"/>
      <c r="CK23" s="183"/>
      <c r="CL23" s="183"/>
      <c r="CM23" s="183"/>
      <c r="CN23" s="183"/>
      <c r="CO23" s="183"/>
      <c r="CP23" s="183"/>
      <c r="CQ23" s="183"/>
      <c r="CR23" s="183"/>
      <c r="CS23" s="183"/>
      <c r="CT23" s="183"/>
      <c r="CU23" s="183"/>
      <c r="CV23" s="183"/>
      <c r="CW23" s="183"/>
      <c r="CX23" s="183"/>
      <c r="CY23" s="183"/>
      <c r="CZ23" s="183"/>
      <c r="DA23" s="183"/>
      <c r="DB23" s="183"/>
      <c r="DC23" s="183"/>
      <c r="DD23" s="183"/>
      <c r="DE23" s="183"/>
      <c r="DF23" s="183"/>
      <c r="DG23" s="183"/>
      <c r="DH23" s="183"/>
      <c r="DI23" s="183"/>
      <c r="DJ23" s="183"/>
      <c r="DK23" s="183"/>
      <c r="DL23" s="183"/>
      <c r="DM23" s="183"/>
      <c r="DN23" s="183"/>
      <c r="DO23" s="183"/>
      <c r="DP23" s="183"/>
    </row>
    <row r="24" spans="1:120" s="474" customFormat="1">
      <c r="B24" s="4527"/>
      <c r="C24" s="850" t="s">
        <v>1602</v>
      </c>
      <c r="D24" s="826" t="s">
        <v>1603</v>
      </c>
      <c r="E24" s="459">
        <v>3461840.2889999999</v>
      </c>
      <c r="F24" s="458">
        <v>3248582.2483229325</v>
      </c>
      <c r="G24" s="458">
        <v>3716457.97</v>
      </c>
      <c r="H24" s="458">
        <v>3423257.37</v>
      </c>
      <c r="I24" s="625">
        <v>3719596.662</v>
      </c>
      <c r="J24" s="459">
        <v>3410488.7239999999</v>
      </c>
      <c r="K24" s="458">
        <v>3491961.2719999999</v>
      </c>
      <c r="L24" s="458">
        <v>3833486.0660000001</v>
      </c>
      <c r="M24" s="458">
        <v>3800019.2600265704</v>
      </c>
      <c r="N24" s="625">
        <v>3813454.6050047399</v>
      </c>
      <c r="O24" s="459">
        <v>3839569.0535816224</v>
      </c>
      <c r="P24" s="458">
        <v>3881131.8673069151</v>
      </c>
      <c r="Q24" s="458">
        <v>3921982.3172713374</v>
      </c>
      <c r="R24" s="458">
        <v>3957513.1292082057</v>
      </c>
      <c r="S24" s="410">
        <v>3962343.5150498115</v>
      </c>
      <c r="T24" s="1172"/>
      <c r="U24" s="1172"/>
      <c r="V24" s="1172"/>
      <c r="W24" s="1172"/>
      <c r="X24" s="1172"/>
      <c r="Y24" s="1172"/>
      <c r="Z24" s="1172"/>
      <c r="AA24" s="1172"/>
      <c r="AB24" s="1172"/>
      <c r="AC24" s="1172"/>
      <c r="AD24" s="1172"/>
      <c r="AE24" s="1172"/>
      <c r="AF24" s="183"/>
      <c r="AG24" s="183"/>
      <c r="AH24" s="183"/>
      <c r="AI24" s="183"/>
      <c r="AJ24" s="183"/>
      <c r="AK24" s="183"/>
      <c r="AL24" s="183"/>
      <c r="AM24" s="183"/>
      <c r="AN24" s="183"/>
      <c r="AO24" s="183"/>
      <c r="AP24" s="183"/>
      <c r="AQ24" s="183"/>
      <c r="AR24" s="183"/>
      <c r="AS24" s="183"/>
      <c r="AT24" s="183"/>
      <c r="AU24" s="183"/>
      <c r="AV24" s="183"/>
      <c r="AW24" s="183"/>
      <c r="AX24" s="183"/>
      <c r="AY24" s="183"/>
      <c r="AZ24" s="183"/>
      <c r="BA24" s="183"/>
      <c r="BB24" s="183"/>
      <c r="BC24" s="183"/>
      <c r="BD24" s="183"/>
      <c r="BE24" s="183"/>
      <c r="BF24" s="183"/>
      <c r="BG24" s="183"/>
      <c r="BH24" s="183"/>
      <c r="BI24" s="183"/>
      <c r="BJ24" s="183"/>
      <c r="BK24" s="183"/>
      <c r="BL24" s="183"/>
      <c r="BM24" s="183"/>
      <c r="BN24" s="183"/>
      <c r="BO24" s="183"/>
      <c r="BP24" s="183"/>
      <c r="BQ24" s="183"/>
      <c r="BR24" s="183"/>
      <c r="BS24" s="183"/>
      <c r="BT24" s="183"/>
      <c r="BU24" s="183"/>
      <c r="BV24" s="183"/>
      <c r="BW24" s="183"/>
      <c r="BX24" s="183"/>
      <c r="BY24" s="183"/>
      <c r="BZ24" s="183"/>
      <c r="CA24" s="183"/>
      <c r="CB24" s="183"/>
      <c r="CC24" s="183"/>
      <c r="CD24" s="183"/>
      <c r="CE24" s="183"/>
      <c r="CF24" s="183"/>
      <c r="CG24" s="183"/>
      <c r="CH24" s="183"/>
      <c r="CI24" s="183"/>
      <c r="CJ24" s="183"/>
      <c r="CK24" s="183"/>
      <c r="CL24" s="183"/>
      <c r="CM24" s="183"/>
      <c r="CN24" s="183"/>
      <c r="CO24" s="183"/>
      <c r="CP24" s="183"/>
      <c r="CQ24" s="183"/>
      <c r="CR24" s="183"/>
      <c r="CS24" s="183"/>
      <c r="CT24" s="183"/>
      <c r="CU24" s="183"/>
      <c r="CV24" s="183"/>
      <c r="CW24" s="183"/>
      <c r="CX24" s="183"/>
      <c r="CY24" s="183"/>
      <c r="CZ24" s="183"/>
      <c r="DA24" s="183"/>
      <c r="DB24" s="183"/>
      <c r="DC24" s="183"/>
      <c r="DD24" s="183"/>
      <c r="DE24" s="183"/>
      <c r="DF24" s="183"/>
      <c r="DG24" s="183"/>
      <c r="DH24" s="183"/>
      <c r="DI24" s="183"/>
      <c r="DJ24" s="183"/>
      <c r="DK24" s="183"/>
      <c r="DL24" s="183"/>
      <c r="DM24" s="183"/>
      <c r="DN24" s="183"/>
      <c r="DO24" s="183"/>
      <c r="DP24" s="183"/>
    </row>
    <row r="25" spans="1:120" s="474" customFormat="1">
      <c r="B25" s="4527"/>
      <c r="C25" s="850" t="s">
        <v>1604</v>
      </c>
      <c r="D25" s="826" t="s">
        <v>1605</v>
      </c>
      <c r="E25" s="459">
        <v>5429111.7960000001</v>
      </c>
      <c r="F25" s="458">
        <v>4376963.5986523395</v>
      </c>
      <c r="G25" s="458">
        <v>6298252.6260000002</v>
      </c>
      <c r="H25" s="458">
        <v>4647118.3380000005</v>
      </c>
      <c r="I25" s="625">
        <v>5727415.3439999996</v>
      </c>
      <c r="J25" s="459">
        <v>4484036.7189999996</v>
      </c>
      <c r="K25" s="458">
        <v>5034413.0089999996</v>
      </c>
      <c r="L25" s="458">
        <v>6451257.0549999997</v>
      </c>
      <c r="M25" s="458">
        <v>6058499.500097028</v>
      </c>
      <c r="N25" s="625">
        <v>6080755.7766973553</v>
      </c>
      <c r="O25" s="459">
        <v>6123841.8276103763</v>
      </c>
      <c r="P25" s="458">
        <v>6193143.5211744178</v>
      </c>
      <c r="Q25" s="458">
        <v>6261667.7353946529</v>
      </c>
      <c r="R25" s="458">
        <v>6322421.0050948262</v>
      </c>
      <c r="S25" s="410">
        <v>6342309.2906494988</v>
      </c>
      <c r="T25" s="1172"/>
      <c r="U25" s="1172"/>
      <c r="V25" s="1172"/>
      <c r="W25" s="1172"/>
      <c r="X25" s="1172"/>
      <c r="Y25" s="1172"/>
      <c r="Z25" s="1172"/>
      <c r="AA25" s="1172"/>
      <c r="AB25" s="1172"/>
      <c r="AC25" s="1172"/>
      <c r="AD25" s="1172"/>
      <c r="AE25" s="1172"/>
      <c r="AF25" s="183"/>
      <c r="AG25" s="183"/>
      <c r="AH25" s="183"/>
      <c r="AI25" s="183"/>
      <c r="AJ25" s="183"/>
      <c r="AK25" s="183"/>
      <c r="AL25" s="183"/>
      <c r="AM25" s="183"/>
      <c r="AN25" s="183"/>
      <c r="AO25" s="183"/>
      <c r="AP25" s="183"/>
      <c r="AQ25" s="183"/>
      <c r="AR25" s="183"/>
      <c r="AS25" s="183"/>
      <c r="AT25" s="183"/>
      <c r="AU25" s="183"/>
      <c r="AV25" s="183"/>
      <c r="AW25" s="183"/>
      <c r="AX25" s="183"/>
      <c r="AY25" s="183"/>
      <c r="AZ25" s="183"/>
      <c r="BA25" s="183"/>
      <c r="BB25" s="183"/>
      <c r="BC25" s="183"/>
      <c r="BD25" s="183"/>
      <c r="BE25" s="183"/>
      <c r="BF25" s="183"/>
      <c r="BG25" s="183"/>
      <c r="BH25" s="183"/>
      <c r="BI25" s="183"/>
      <c r="BJ25" s="183"/>
      <c r="BK25" s="183"/>
      <c r="BL25" s="183"/>
      <c r="BM25" s="183"/>
      <c r="BN25" s="183"/>
      <c r="BO25" s="183"/>
      <c r="BP25" s="183"/>
      <c r="BQ25" s="183"/>
      <c r="BR25" s="183"/>
      <c r="BS25" s="183"/>
      <c r="BT25" s="183"/>
      <c r="BU25" s="183"/>
      <c r="BV25" s="183"/>
      <c r="BW25" s="183"/>
      <c r="BX25" s="183"/>
      <c r="BY25" s="183"/>
      <c r="BZ25" s="183"/>
      <c r="CA25" s="183"/>
      <c r="CB25" s="183"/>
      <c r="CC25" s="183"/>
      <c r="CD25" s="183"/>
      <c r="CE25" s="183"/>
      <c r="CF25" s="183"/>
      <c r="CG25" s="183"/>
      <c r="CH25" s="183"/>
      <c r="CI25" s="183"/>
      <c r="CJ25" s="183"/>
      <c r="CK25" s="183"/>
      <c r="CL25" s="183"/>
      <c r="CM25" s="183"/>
      <c r="CN25" s="183"/>
      <c r="CO25" s="183"/>
      <c r="CP25" s="183"/>
      <c r="CQ25" s="183"/>
      <c r="CR25" s="183"/>
      <c r="CS25" s="183"/>
      <c r="CT25" s="183"/>
      <c r="CU25" s="183"/>
      <c r="CV25" s="183"/>
      <c r="CW25" s="183"/>
      <c r="CX25" s="183"/>
      <c r="CY25" s="183"/>
      <c r="CZ25" s="183"/>
      <c r="DA25" s="183"/>
      <c r="DB25" s="183"/>
      <c r="DC25" s="183"/>
      <c r="DD25" s="183"/>
      <c r="DE25" s="183"/>
      <c r="DF25" s="183"/>
      <c r="DG25" s="183"/>
      <c r="DH25" s="183"/>
      <c r="DI25" s="183"/>
      <c r="DJ25" s="183"/>
      <c r="DK25" s="183"/>
      <c r="DL25" s="183"/>
      <c r="DM25" s="183"/>
      <c r="DN25" s="183"/>
      <c r="DO25" s="183"/>
      <c r="DP25" s="183"/>
    </row>
    <row r="26" spans="1:120" s="474" customFormat="1">
      <c r="B26" s="4527"/>
      <c r="C26" s="850" t="s">
        <v>1606</v>
      </c>
      <c r="D26" s="826" t="s">
        <v>1607</v>
      </c>
      <c r="E26" s="459">
        <v>88387.485000000001</v>
      </c>
      <c r="F26" s="458">
        <v>75171.602527032679</v>
      </c>
      <c r="G26" s="458">
        <v>75468.17</v>
      </c>
      <c r="H26" s="458">
        <v>59060.624000000003</v>
      </c>
      <c r="I26" s="625">
        <v>63687.438999999998</v>
      </c>
      <c r="J26" s="459">
        <v>65162.245999999999</v>
      </c>
      <c r="K26" s="458">
        <v>73846.679999999993</v>
      </c>
      <c r="L26" s="458">
        <v>87376.163</v>
      </c>
      <c r="M26" s="458">
        <v>86728.867364907812</v>
      </c>
      <c r="N26" s="625">
        <v>88805.828241327559</v>
      </c>
      <c r="O26" s="459">
        <v>91245.019312260396</v>
      </c>
      <c r="P26" s="458">
        <v>94119.606949208959</v>
      </c>
      <c r="Q26" s="458">
        <v>97059.599850693354</v>
      </c>
      <c r="R26" s="458">
        <v>99941.363541206942</v>
      </c>
      <c r="S26" s="410">
        <v>101871.62914428294</v>
      </c>
      <c r="T26" s="1172"/>
      <c r="U26" s="1172"/>
      <c r="V26" s="1172"/>
      <c r="W26" s="1172"/>
      <c r="X26" s="1172"/>
      <c r="Y26" s="1172"/>
      <c r="Z26" s="1172"/>
      <c r="AA26" s="1172"/>
      <c r="AB26" s="1172"/>
      <c r="AC26" s="1172"/>
      <c r="AD26" s="1172"/>
      <c r="AE26" s="1172"/>
      <c r="AF26" s="183"/>
      <c r="AG26" s="183"/>
      <c r="AH26" s="183"/>
      <c r="AI26" s="183"/>
      <c r="AJ26" s="183"/>
      <c r="AK26" s="183"/>
      <c r="AL26" s="183"/>
      <c r="AM26" s="183"/>
      <c r="AN26" s="183"/>
      <c r="AO26" s="183"/>
      <c r="AP26" s="183"/>
      <c r="AQ26" s="183"/>
      <c r="AR26" s="183"/>
      <c r="AS26" s="183"/>
      <c r="AT26" s="183"/>
      <c r="AU26" s="183"/>
      <c r="AV26" s="183"/>
      <c r="AW26" s="183"/>
      <c r="AX26" s="183"/>
      <c r="AY26" s="183"/>
      <c r="AZ26" s="183"/>
      <c r="BA26" s="183"/>
      <c r="BB26" s="183"/>
      <c r="BC26" s="183"/>
      <c r="BD26" s="183"/>
      <c r="BE26" s="183"/>
      <c r="BF26" s="183"/>
      <c r="BG26" s="183"/>
      <c r="BH26" s="183"/>
      <c r="BI26" s="183"/>
      <c r="BJ26" s="183"/>
      <c r="BK26" s="183"/>
      <c r="BL26" s="183"/>
      <c r="BM26" s="183"/>
      <c r="BN26" s="183"/>
      <c r="BO26" s="183"/>
      <c r="BP26" s="183"/>
      <c r="BQ26" s="183"/>
      <c r="BR26" s="183"/>
      <c r="BS26" s="183"/>
      <c r="BT26" s="183"/>
      <c r="BU26" s="183"/>
      <c r="BV26" s="183"/>
      <c r="BW26" s="183"/>
      <c r="BX26" s="183"/>
      <c r="BY26" s="183"/>
      <c r="BZ26" s="183"/>
      <c r="CA26" s="183"/>
      <c r="CB26" s="183"/>
      <c r="CC26" s="183"/>
      <c r="CD26" s="183"/>
      <c r="CE26" s="183"/>
      <c r="CF26" s="183"/>
      <c r="CG26" s="183"/>
      <c r="CH26" s="183"/>
      <c r="CI26" s="183"/>
      <c r="CJ26" s="183"/>
      <c r="CK26" s="183"/>
      <c r="CL26" s="183"/>
      <c r="CM26" s="183"/>
      <c r="CN26" s="183"/>
      <c r="CO26" s="183"/>
      <c r="CP26" s="183"/>
      <c r="CQ26" s="183"/>
      <c r="CR26" s="183"/>
      <c r="CS26" s="183"/>
      <c r="CT26" s="183"/>
      <c r="CU26" s="183"/>
      <c r="CV26" s="183"/>
      <c r="CW26" s="183"/>
      <c r="CX26" s="183"/>
      <c r="CY26" s="183"/>
      <c r="CZ26" s="183"/>
      <c r="DA26" s="183"/>
      <c r="DB26" s="183"/>
      <c r="DC26" s="183"/>
      <c r="DD26" s="183"/>
      <c r="DE26" s="183"/>
      <c r="DF26" s="183"/>
      <c r="DG26" s="183"/>
      <c r="DH26" s="183"/>
      <c r="DI26" s="183"/>
      <c r="DJ26" s="183"/>
      <c r="DK26" s="183"/>
      <c r="DL26" s="183"/>
      <c r="DM26" s="183"/>
      <c r="DN26" s="183"/>
      <c r="DO26" s="183"/>
      <c r="DP26" s="183"/>
    </row>
    <row r="27" spans="1:120" s="474" customFormat="1">
      <c r="B27" s="4527"/>
      <c r="C27" s="3328" t="s">
        <v>1608</v>
      </c>
      <c r="D27" s="826" t="s">
        <v>1609</v>
      </c>
      <c r="E27" s="666">
        <v>6280636.4199999999</v>
      </c>
      <c r="F27" s="667">
        <v>6465953.2153143864</v>
      </c>
      <c r="G27" s="667">
        <v>6320041.1430000002</v>
      </c>
      <c r="H27" s="667">
        <v>6600657.5870000003</v>
      </c>
      <c r="I27" s="3329">
        <v>6739194.4220000003</v>
      </c>
      <c r="J27" s="666">
        <v>6699930.6229999997</v>
      </c>
      <c r="K27" s="667">
        <v>6576150.3399999999</v>
      </c>
      <c r="L27" s="667">
        <v>6916612.3700000001</v>
      </c>
      <c r="M27" s="667">
        <v>6935584.5020528967</v>
      </c>
      <c r="N27" s="3329">
        <v>6920132.3371242099</v>
      </c>
      <c r="O27" s="666">
        <v>6926829.9532445166</v>
      </c>
      <c r="P27" s="667">
        <v>6960113.6693086587</v>
      </c>
      <c r="Q27" s="667">
        <v>6990993.3433236089</v>
      </c>
      <c r="R27" s="667">
        <v>7011831.5100344848</v>
      </c>
      <c r="S27" s="3330">
        <v>6986275.1154572163</v>
      </c>
      <c r="T27" s="1172"/>
      <c r="U27" s="1172"/>
      <c r="V27" s="1172"/>
      <c r="W27" s="1172"/>
      <c r="X27" s="1172"/>
      <c r="Y27" s="1172"/>
      <c r="Z27" s="1172"/>
      <c r="AA27" s="1172"/>
      <c r="AB27" s="1172"/>
      <c r="AC27" s="1172"/>
      <c r="AD27" s="1172"/>
      <c r="AE27" s="1172"/>
      <c r="AF27" s="183"/>
      <c r="AG27" s="183"/>
      <c r="AH27" s="183"/>
      <c r="AI27" s="183"/>
      <c r="AJ27" s="183"/>
      <c r="AK27" s="183"/>
      <c r="AL27" s="183"/>
      <c r="AM27" s="183"/>
      <c r="AN27" s="183"/>
      <c r="AO27" s="183"/>
      <c r="AP27" s="183"/>
      <c r="AQ27" s="183"/>
      <c r="AR27" s="183"/>
      <c r="AS27" s="183"/>
      <c r="AT27" s="183"/>
      <c r="AU27" s="183"/>
      <c r="AV27" s="183"/>
      <c r="AW27" s="183"/>
      <c r="AX27" s="183"/>
      <c r="AY27" s="183"/>
      <c r="AZ27" s="183"/>
      <c r="BA27" s="183"/>
      <c r="BB27" s="183"/>
      <c r="BC27" s="183"/>
      <c r="BD27" s="183"/>
      <c r="BE27" s="183"/>
      <c r="BF27" s="183"/>
      <c r="BG27" s="183"/>
      <c r="BH27" s="183"/>
      <c r="BI27" s="183"/>
      <c r="BJ27" s="183"/>
      <c r="BK27" s="183"/>
      <c r="BL27" s="183"/>
      <c r="BM27" s="183"/>
      <c r="BN27" s="183"/>
      <c r="BO27" s="183"/>
      <c r="BP27" s="183"/>
      <c r="BQ27" s="183"/>
      <c r="BR27" s="183"/>
      <c r="BS27" s="183"/>
      <c r="BT27" s="183"/>
      <c r="BU27" s="183"/>
      <c r="BV27" s="183"/>
      <c r="BW27" s="183"/>
      <c r="BX27" s="183"/>
      <c r="BY27" s="183"/>
      <c r="BZ27" s="183"/>
      <c r="CA27" s="183"/>
      <c r="CB27" s="183"/>
      <c r="CC27" s="183"/>
      <c r="CD27" s="183"/>
      <c r="CE27" s="183"/>
      <c r="CF27" s="183"/>
      <c r="CG27" s="183"/>
      <c r="CH27" s="183"/>
      <c r="CI27" s="183"/>
      <c r="CJ27" s="183"/>
      <c r="CK27" s="183"/>
      <c r="CL27" s="183"/>
      <c r="CM27" s="183"/>
      <c r="CN27" s="183"/>
      <c r="CO27" s="183"/>
      <c r="CP27" s="183"/>
      <c r="CQ27" s="183"/>
      <c r="CR27" s="183"/>
      <c r="CS27" s="183"/>
      <c r="CT27" s="183"/>
      <c r="CU27" s="183"/>
      <c r="CV27" s="183"/>
      <c r="CW27" s="183"/>
      <c r="CX27" s="183"/>
      <c r="CY27" s="183"/>
      <c r="CZ27" s="183"/>
      <c r="DA27" s="183"/>
      <c r="DB27" s="183"/>
      <c r="DC27" s="183"/>
      <c r="DD27" s="183"/>
      <c r="DE27" s="183"/>
      <c r="DF27" s="183"/>
      <c r="DG27" s="183"/>
      <c r="DH27" s="183"/>
      <c r="DI27" s="183"/>
      <c r="DJ27" s="183"/>
      <c r="DK27" s="183"/>
      <c r="DL27" s="183"/>
      <c r="DM27" s="183"/>
      <c r="DN27" s="183"/>
      <c r="DO27" s="183"/>
      <c r="DP27" s="183"/>
    </row>
    <row r="28" spans="1:120" s="474" customFormat="1">
      <c r="B28" s="4527"/>
      <c r="C28" s="3328" t="s">
        <v>1610</v>
      </c>
      <c r="D28" s="826" t="s">
        <v>1611</v>
      </c>
      <c r="E28" s="666">
        <v>1652359.1229999999</v>
      </c>
      <c r="F28" s="667">
        <v>1918605.5876770674</v>
      </c>
      <c r="G28" s="667">
        <v>1541953.4169999999</v>
      </c>
      <c r="H28" s="667">
        <v>1720560.558</v>
      </c>
      <c r="I28" s="3329">
        <v>1682480.1969999999</v>
      </c>
      <c r="J28" s="666">
        <v>1689086.9650000001</v>
      </c>
      <c r="K28" s="667">
        <v>1238864.3640000001</v>
      </c>
      <c r="L28" s="667">
        <v>1619561.7320000001</v>
      </c>
      <c r="M28" s="667">
        <v>1396767.5541064024</v>
      </c>
      <c r="N28" s="3329">
        <v>1372331.348816992</v>
      </c>
      <c r="O28" s="666">
        <v>1351727.3192665968</v>
      </c>
      <c r="P28" s="667">
        <v>1336600.6867128597</v>
      </c>
      <c r="Q28" s="667">
        <v>1320141.9815040962</v>
      </c>
      <c r="R28" s="667">
        <v>1300723.9426516946</v>
      </c>
      <c r="S28" s="3330">
        <v>1272880.2340511782</v>
      </c>
      <c r="T28" s="1172"/>
      <c r="U28" s="1172"/>
      <c r="V28" s="1172"/>
      <c r="W28" s="1172"/>
      <c r="X28" s="1172"/>
      <c r="Y28" s="1172"/>
      <c r="Z28" s="1172"/>
      <c r="AA28" s="1172"/>
      <c r="AB28" s="1172"/>
      <c r="AC28" s="1172"/>
      <c r="AD28" s="1172"/>
      <c r="AE28" s="1172"/>
      <c r="AF28" s="183"/>
      <c r="AG28" s="183"/>
      <c r="AH28" s="183"/>
      <c r="AI28" s="183"/>
      <c r="AJ28" s="183"/>
      <c r="AK28" s="183"/>
      <c r="AL28" s="183"/>
      <c r="AM28" s="183"/>
      <c r="AN28" s="183"/>
      <c r="AO28" s="183"/>
      <c r="AP28" s="183"/>
      <c r="AQ28" s="183"/>
      <c r="AR28" s="183"/>
      <c r="AS28" s="183"/>
      <c r="AT28" s="183"/>
      <c r="AU28" s="183"/>
      <c r="AV28" s="183"/>
      <c r="AW28" s="183"/>
      <c r="AX28" s="183"/>
      <c r="AY28" s="183"/>
      <c r="AZ28" s="183"/>
      <c r="BA28" s="183"/>
      <c r="BB28" s="183"/>
      <c r="BC28" s="183"/>
      <c r="BD28" s="183"/>
      <c r="BE28" s="183"/>
      <c r="BF28" s="183"/>
      <c r="BG28" s="183"/>
      <c r="BH28" s="183"/>
      <c r="BI28" s="183"/>
      <c r="BJ28" s="183"/>
      <c r="BK28" s="183"/>
      <c r="BL28" s="183"/>
      <c r="BM28" s="183"/>
      <c r="BN28" s="183"/>
      <c r="BO28" s="183"/>
      <c r="BP28" s="183"/>
      <c r="BQ28" s="183"/>
      <c r="BR28" s="183"/>
      <c r="BS28" s="183"/>
      <c r="BT28" s="183"/>
      <c r="BU28" s="183"/>
      <c r="BV28" s="183"/>
      <c r="BW28" s="183"/>
      <c r="BX28" s="183"/>
      <c r="BY28" s="183"/>
      <c r="BZ28" s="183"/>
      <c r="CA28" s="183"/>
      <c r="CB28" s="183"/>
      <c r="CC28" s="183"/>
      <c r="CD28" s="183"/>
      <c r="CE28" s="183"/>
      <c r="CF28" s="183"/>
      <c r="CG28" s="183"/>
      <c r="CH28" s="183"/>
      <c r="CI28" s="183"/>
      <c r="CJ28" s="183"/>
      <c r="CK28" s="183"/>
      <c r="CL28" s="183"/>
      <c r="CM28" s="183"/>
      <c r="CN28" s="183"/>
      <c r="CO28" s="183"/>
      <c r="CP28" s="183"/>
      <c r="CQ28" s="183"/>
      <c r="CR28" s="183"/>
      <c r="CS28" s="183"/>
      <c r="CT28" s="183"/>
      <c r="CU28" s="183"/>
      <c r="CV28" s="183"/>
      <c r="CW28" s="183"/>
      <c r="CX28" s="183"/>
      <c r="CY28" s="183"/>
      <c r="CZ28" s="183"/>
      <c r="DA28" s="183"/>
      <c r="DB28" s="183"/>
      <c r="DC28" s="183"/>
      <c r="DD28" s="183"/>
      <c r="DE28" s="183"/>
      <c r="DF28" s="183"/>
      <c r="DG28" s="183"/>
      <c r="DH28" s="183"/>
      <c r="DI28" s="183"/>
      <c r="DJ28" s="183"/>
      <c r="DK28" s="183"/>
      <c r="DL28" s="183"/>
      <c r="DM28" s="183"/>
      <c r="DN28" s="183"/>
      <c r="DO28" s="183"/>
      <c r="DP28" s="183"/>
    </row>
    <row r="29" spans="1:120" s="474" customFormat="1">
      <c r="B29" s="4527"/>
      <c r="C29" s="3328" t="s">
        <v>1612</v>
      </c>
      <c r="D29" s="826" t="s">
        <v>1613</v>
      </c>
      <c r="E29" s="666">
        <v>872470.49300000002</v>
      </c>
      <c r="F29" s="667">
        <v>1361786.1883476591</v>
      </c>
      <c r="G29" s="667">
        <v>515641.429</v>
      </c>
      <c r="H29" s="667">
        <v>941142.71600000001</v>
      </c>
      <c r="I29" s="3329">
        <v>760489.32200000004</v>
      </c>
      <c r="J29" s="666">
        <v>849195.18799999997</v>
      </c>
      <c r="K29" s="667">
        <v>405634.10800000001</v>
      </c>
      <c r="L29" s="667">
        <v>775505.55200000003</v>
      </c>
      <c r="M29" s="667">
        <v>614135.85639496765</v>
      </c>
      <c r="N29" s="3329">
        <v>601642.42350721499</v>
      </c>
      <c r="O29" s="666">
        <v>590813.16066181229</v>
      </c>
      <c r="P29" s="667">
        <v>582588.08354517131</v>
      </c>
      <c r="Q29" s="667">
        <v>573708.47741322045</v>
      </c>
      <c r="R29" s="667">
        <v>563428.935372398</v>
      </c>
      <c r="S29" s="3330">
        <v>549640.01166101359</v>
      </c>
      <c r="T29" s="1172"/>
      <c r="U29" s="1172"/>
      <c r="V29" s="1172"/>
      <c r="W29" s="1172"/>
      <c r="X29" s="1172"/>
      <c r="Y29" s="1172"/>
      <c r="Z29" s="1172"/>
      <c r="AA29" s="1172"/>
      <c r="AB29" s="1172"/>
      <c r="AC29" s="1172"/>
      <c r="AD29" s="1172"/>
      <c r="AE29" s="1172"/>
      <c r="AF29" s="183"/>
      <c r="AG29" s="183"/>
      <c r="AH29" s="183"/>
      <c r="AI29" s="183"/>
      <c r="AJ29" s="183"/>
      <c r="AK29" s="183"/>
      <c r="AL29" s="183"/>
      <c r="AM29" s="183"/>
      <c r="AN29" s="183"/>
      <c r="AO29" s="183"/>
      <c r="AP29" s="183"/>
      <c r="AQ29" s="183"/>
      <c r="AR29" s="183"/>
      <c r="AS29" s="183"/>
      <c r="AT29" s="183"/>
      <c r="AU29" s="183"/>
      <c r="AV29" s="183"/>
      <c r="AW29" s="183"/>
      <c r="AX29" s="183"/>
      <c r="AY29" s="183"/>
      <c r="AZ29" s="183"/>
      <c r="BA29" s="183"/>
      <c r="BB29" s="183"/>
      <c r="BC29" s="183"/>
      <c r="BD29" s="183"/>
      <c r="BE29" s="183"/>
      <c r="BF29" s="183"/>
      <c r="BG29" s="183"/>
      <c r="BH29" s="183"/>
      <c r="BI29" s="183"/>
      <c r="BJ29" s="183"/>
      <c r="BK29" s="183"/>
      <c r="BL29" s="183"/>
      <c r="BM29" s="183"/>
      <c r="BN29" s="183"/>
      <c r="BO29" s="183"/>
      <c r="BP29" s="183"/>
      <c r="BQ29" s="183"/>
      <c r="BR29" s="183"/>
      <c r="BS29" s="183"/>
      <c r="BT29" s="183"/>
      <c r="BU29" s="183"/>
      <c r="BV29" s="183"/>
      <c r="BW29" s="183"/>
      <c r="BX29" s="183"/>
      <c r="BY29" s="183"/>
      <c r="BZ29" s="183"/>
      <c r="CA29" s="183"/>
      <c r="CB29" s="183"/>
      <c r="CC29" s="183"/>
      <c r="CD29" s="183"/>
      <c r="CE29" s="183"/>
      <c r="CF29" s="183"/>
      <c r="CG29" s="183"/>
      <c r="CH29" s="183"/>
      <c r="CI29" s="183"/>
      <c r="CJ29" s="183"/>
      <c r="CK29" s="183"/>
      <c r="CL29" s="183"/>
      <c r="CM29" s="183"/>
      <c r="CN29" s="183"/>
      <c r="CO29" s="183"/>
      <c r="CP29" s="183"/>
      <c r="CQ29" s="183"/>
      <c r="CR29" s="183"/>
      <c r="CS29" s="183"/>
      <c r="CT29" s="183"/>
      <c r="CU29" s="183"/>
      <c r="CV29" s="183"/>
      <c r="CW29" s="183"/>
      <c r="CX29" s="183"/>
      <c r="CY29" s="183"/>
      <c r="CZ29" s="183"/>
      <c r="DA29" s="183"/>
      <c r="DB29" s="183"/>
      <c r="DC29" s="183"/>
      <c r="DD29" s="183"/>
      <c r="DE29" s="183"/>
      <c r="DF29" s="183"/>
      <c r="DG29" s="183"/>
      <c r="DH29" s="183"/>
      <c r="DI29" s="183"/>
      <c r="DJ29" s="183"/>
      <c r="DK29" s="183"/>
      <c r="DL29" s="183"/>
      <c r="DM29" s="183"/>
      <c r="DN29" s="183"/>
      <c r="DO29" s="183"/>
      <c r="DP29" s="183"/>
    </row>
    <row r="30" spans="1:120" s="474" customFormat="1">
      <c r="B30" s="4527"/>
      <c r="C30" s="3328" t="s">
        <v>1614</v>
      </c>
      <c r="D30" s="826" t="s">
        <v>1615</v>
      </c>
      <c r="E30" s="666">
        <v>108098.686</v>
      </c>
      <c r="F30" s="667">
        <v>103835.48047296733</v>
      </c>
      <c r="G30" s="667">
        <v>77079.19</v>
      </c>
      <c r="H30" s="667">
        <v>63483.864999999998</v>
      </c>
      <c r="I30" s="3329">
        <v>60349.004000000001</v>
      </c>
      <c r="J30" s="666">
        <v>65437.358999999997</v>
      </c>
      <c r="K30" s="667">
        <v>74309.513999999996</v>
      </c>
      <c r="L30" s="667">
        <v>74527.061000000002</v>
      </c>
      <c r="M30" s="667">
        <v>70794.401704956472</v>
      </c>
      <c r="N30" s="3329">
        <v>72086.91934084594</v>
      </c>
      <c r="O30" s="666">
        <v>73650.815116228041</v>
      </c>
      <c r="P30" s="667">
        <v>75559.487024702583</v>
      </c>
      <c r="Q30" s="667">
        <v>77493.785140963548</v>
      </c>
      <c r="R30" s="667">
        <v>79344.440686366303</v>
      </c>
      <c r="S30" s="3330">
        <v>80338.230149464463</v>
      </c>
      <c r="T30" s="1172"/>
      <c r="U30" s="1172"/>
      <c r="V30" s="1172"/>
      <c r="W30" s="1172"/>
      <c r="X30" s="1172"/>
      <c r="Y30" s="1172"/>
      <c r="Z30" s="1172"/>
      <c r="AA30" s="1172"/>
      <c r="AB30" s="1172"/>
      <c r="AC30" s="1172"/>
      <c r="AD30" s="1172"/>
      <c r="AE30" s="1172"/>
      <c r="AF30" s="183"/>
      <c r="AG30" s="183"/>
      <c r="AH30" s="183"/>
      <c r="AI30" s="183"/>
      <c r="AJ30" s="183"/>
      <c r="AK30" s="183"/>
      <c r="AL30" s="183"/>
      <c r="AM30" s="183"/>
      <c r="AN30" s="183"/>
      <c r="AO30" s="183"/>
      <c r="AP30" s="183"/>
      <c r="AQ30" s="183"/>
      <c r="AR30" s="183"/>
      <c r="AS30" s="183"/>
      <c r="AT30" s="183"/>
      <c r="AU30" s="183"/>
      <c r="AV30" s="183"/>
      <c r="AW30" s="183"/>
      <c r="AX30" s="183"/>
      <c r="AY30" s="183"/>
      <c r="AZ30" s="183"/>
      <c r="BA30" s="183"/>
      <c r="BB30" s="183"/>
      <c r="BC30" s="183"/>
      <c r="BD30" s="183"/>
      <c r="BE30" s="183"/>
      <c r="BF30" s="183"/>
      <c r="BG30" s="183"/>
      <c r="BH30" s="183"/>
      <c r="BI30" s="183"/>
      <c r="BJ30" s="183"/>
      <c r="BK30" s="183"/>
      <c r="BL30" s="183"/>
      <c r="BM30" s="183"/>
      <c r="BN30" s="183"/>
      <c r="BO30" s="183"/>
      <c r="BP30" s="183"/>
      <c r="BQ30" s="183"/>
      <c r="BR30" s="183"/>
      <c r="BS30" s="183"/>
      <c r="BT30" s="183"/>
      <c r="BU30" s="183"/>
      <c r="BV30" s="183"/>
      <c r="BW30" s="183"/>
      <c r="BX30" s="183"/>
      <c r="BY30" s="183"/>
      <c r="BZ30" s="183"/>
      <c r="CA30" s="183"/>
      <c r="CB30" s="183"/>
      <c r="CC30" s="183"/>
      <c r="CD30" s="183"/>
      <c r="CE30" s="183"/>
      <c r="CF30" s="183"/>
      <c r="CG30" s="183"/>
      <c r="CH30" s="183"/>
      <c r="CI30" s="183"/>
      <c r="CJ30" s="183"/>
      <c r="CK30" s="183"/>
      <c r="CL30" s="183"/>
      <c r="CM30" s="183"/>
      <c r="CN30" s="183"/>
      <c r="CO30" s="183"/>
      <c r="CP30" s="183"/>
      <c r="CQ30" s="183"/>
      <c r="CR30" s="183"/>
      <c r="CS30" s="183"/>
      <c r="CT30" s="183"/>
      <c r="CU30" s="183"/>
      <c r="CV30" s="183"/>
      <c r="CW30" s="183"/>
      <c r="CX30" s="183"/>
      <c r="CY30" s="183"/>
      <c r="CZ30" s="183"/>
      <c r="DA30" s="183"/>
      <c r="DB30" s="183"/>
      <c r="DC30" s="183"/>
      <c r="DD30" s="183"/>
      <c r="DE30" s="183"/>
      <c r="DF30" s="183"/>
      <c r="DG30" s="183"/>
      <c r="DH30" s="183"/>
      <c r="DI30" s="183"/>
      <c r="DJ30" s="183"/>
      <c r="DK30" s="183"/>
      <c r="DL30" s="183"/>
      <c r="DM30" s="183"/>
      <c r="DN30" s="183"/>
      <c r="DO30" s="183"/>
      <c r="DP30" s="183"/>
    </row>
    <row r="31" spans="1:120" s="474" customFormat="1" ht="13.5" thickBot="1">
      <c r="B31" s="4528"/>
      <c r="C31" s="4531" t="s">
        <v>376</v>
      </c>
      <c r="D31" s="4532"/>
      <c r="E31" s="1555">
        <v>22295154.763</v>
      </c>
      <c r="F31" s="1557">
        <v>22028245.245000005</v>
      </c>
      <c r="G31" s="1557">
        <v>23206055.296000004</v>
      </c>
      <c r="H31" s="1557">
        <v>22164938.259999994</v>
      </c>
      <c r="I31" s="1560">
        <v>23597991.446000002</v>
      </c>
      <c r="J31" s="1555">
        <v>22123969.819000002</v>
      </c>
      <c r="K31" s="1557">
        <v>21625924.316999998</v>
      </c>
      <c r="L31" s="1557">
        <v>24860861.272000004</v>
      </c>
      <c r="M31" s="1557">
        <v>24156689.907455139</v>
      </c>
      <c r="N31" s="1560">
        <v>24175116.657912876</v>
      </c>
      <c r="O31" s="1555">
        <v>24273178.935025413</v>
      </c>
      <c r="P31" s="1557">
        <v>24469509.123744845</v>
      </c>
      <c r="Q31" s="1557">
        <v>24659730.604940467</v>
      </c>
      <c r="R31" s="1557">
        <v>24815801.554580808</v>
      </c>
      <c r="S31" s="1558">
        <v>24798229.535951488</v>
      </c>
      <c r="T31" s="1172"/>
      <c r="U31" s="1172"/>
      <c r="V31" s="1172"/>
      <c r="W31" s="1172"/>
      <c r="X31" s="1172"/>
      <c r="Y31" s="1172"/>
      <c r="Z31" s="1172"/>
      <c r="AA31" s="1172"/>
      <c r="AB31" s="1172"/>
      <c r="AC31" s="1172"/>
      <c r="AD31" s="1172"/>
      <c r="AE31" s="1172"/>
      <c r="AF31" s="183"/>
      <c r="AG31" s="183"/>
      <c r="AH31" s="183"/>
      <c r="AI31" s="183"/>
      <c r="AJ31" s="183"/>
      <c r="AK31" s="183"/>
      <c r="AL31" s="183"/>
      <c r="AM31" s="183"/>
      <c r="AN31" s="183"/>
      <c r="AO31" s="183"/>
      <c r="AP31" s="183"/>
      <c r="AQ31" s="183"/>
      <c r="AR31" s="183"/>
      <c r="AS31" s="183"/>
      <c r="AT31" s="183"/>
      <c r="AU31" s="183"/>
      <c r="AV31" s="183"/>
      <c r="AW31" s="183"/>
      <c r="AX31" s="183"/>
      <c r="AY31" s="183"/>
      <c r="AZ31" s="183"/>
      <c r="BA31" s="183"/>
      <c r="BB31" s="183"/>
      <c r="BC31" s="183"/>
      <c r="BD31" s="183"/>
      <c r="BE31" s="183"/>
      <c r="BF31" s="183"/>
      <c r="BG31" s="183"/>
      <c r="BH31" s="183"/>
      <c r="BI31" s="183"/>
      <c r="BJ31" s="183"/>
      <c r="BK31" s="183"/>
      <c r="BL31" s="183"/>
      <c r="BM31" s="183"/>
      <c r="BN31" s="183"/>
      <c r="BO31" s="183"/>
      <c r="BP31" s="183"/>
      <c r="BQ31" s="183"/>
      <c r="BR31" s="183"/>
      <c r="BS31" s="183"/>
      <c r="BT31" s="183"/>
      <c r="BU31" s="183"/>
      <c r="BV31" s="183"/>
      <c r="BW31" s="183"/>
      <c r="BX31" s="183"/>
      <c r="BY31" s="183"/>
      <c r="BZ31" s="183"/>
      <c r="CA31" s="183"/>
      <c r="CB31" s="183"/>
      <c r="CC31" s="183"/>
      <c r="CD31" s="183"/>
      <c r="CE31" s="183"/>
      <c r="CF31" s="183"/>
      <c r="CG31" s="183"/>
      <c r="CH31" s="183"/>
      <c r="CI31" s="183"/>
      <c r="CJ31" s="183"/>
      <c r="CK31" s="183"/>
      <c r="CL31" s="183"/>
      <c r="CM31" s="183"/>
      <c r="CN31" s="183"/>
      <c r="CO31" s="183"/>
      <c r="CP31" s="183"/>
      <c r="CQ31" s="183"/>
      <c r="CR31" s="183"/>
      <c r="CS31" s="183"/>
      <c r="CT31" s="183"/>
      <c r="CU31" s="183"/>
      <c r="CV31" s="183"/>
      <c r="CW31" s="183"/>
      <c r="CX31" s="183"/>
      <c r="CY31" s="183"/>
      <c r="CZ31" s="183"/>
      <c r="DA31" s="183"/>
      <c r="DB31" s="183"/>
      <c r="DC31" s="183"/>
      <c r="DD31" s="183"/>
      <c r="DE31" s="183"/>
      <c r="DF31" s="183"/>
      <c r="DG31" s="183"/>
      <c r="DH31" s="183"/>
      <c r="DI31" s="183"/>
      <c r="DJ31" s="183"/>
      <c r="DK31" s="183"/>
      <c r="DL31" s="183"/>
      <c r="DM31" s="183"/>
      <c r="DN31" s="183"/>
      <c r="DO31" s="183"/>
      <c r="DP31" s="183"/>
    </row>
    <row r="32" spans="1:120" s="474" customFormat="1">
      <c r="B32" s="4533" t="str">
        <f>'[11]27. Customer numbers'!B30</f>
        <v>Commercial customers</v>
      </c>
      <c r="C32" s="4529" t="s">
        <v>47</v>
      </c>
      <c r="D32" s="4534"/>
      <c r="E32" s="1541">
        <v>9347</v>
      </c>
      <c r="F32" s="1542">
        <v>9432</v>
      </c>
      <c r="G32" s="1542">
        <v>9531.5</v>
      </c>
      <c r="H32" s="1542">
        <v>9626.5</v>
      </c>
      <c r="I32" s="1559">
        <v>9745</v>
      </c>
      <c r="J32" s="1541">
        <v>9867</v>
      </c>
      <c r="K32" s="1542">
        <v>9989.5</v>
      </c>
      <c r="L32" s="1542">
        <v>10140.5</v>
      </c>
      <c r="M32" s="1542">
        <v>10284.664325348702</v>
      </c>
      <c r="N32" s="1559">
        <v>10407.992375496273</v>
      </c>
      <c r="O32" s="1541">
        <v>10465.282713676184</v>
      </c>
      <c r="P32" s="1542">
        <v>10581.54406420033</v>
      </c>
      <c r="Q32" s="1542">
        <v>10701.222777585808</v>
      </c>
      <c r="R32" s="1542">
        <v>10824.432910941418</v>
      </c>
      <c r="S32" s="1556">
        <v>10947.230512825434</v>
      </c>
      <c r="T32" s="1172"/>
      <c r="U32" s="1172"/>
      <c r="V32" s="1172"/>
      <c r="W32" s="1172"/>
      <c r="X32" s="1172"/>
      <c r="Y32" s="1172"/>
      <c r="Z32" s="1172"/>
      <c r="AA32" s="1172"/>
      <c r="AB32" s="1172"/>
      <c r="AC32" s="1172"/>
      <c r="AD32" s="1172"/>
      <c r="AE32" s="1172"/>
      <c r="AF32" s="183"/>
      <c r="AG32" s="183"/>
      <c r="AH32" s="183"/>
      <c r="AI32" s="183"/>
      <c r="AJ32" s="183"/>
      <c r="AK32" s="183"/>
      <c r="AL32" s="183"/>
      <c r="AM32" s="183"/>
      <c r="AN32" s="183"/>
      <c r="AO32" s="183"/>
      <c r="AP32" s="183"/>
      <c r="AQ32" s="183"/>
      <c r="AR32" s="183"/>
      <c r="AS32" s="183"/>
      <c r="AT32" s="183"/>
      <c r="AU32" s="183"/>
      <c r="AV32" s="183"/>
      <c r="AW32" s="183"/>
      <c r="AX32" s="183"/>
      <c r="AY32" s="183"/>
      <c r="AZ32" s="183"/>
      <c r="BA32" s="183"/>
      <c r="BB32" s="183"/>
      <c r="BC32" s="183"/>
      <c r="BD32" s="183"/>
      <c r="BE32" s="183"/>
      <c r="BF32" s="183"/>
      <c r="BG32" s="183"/>
      <c r="BH32" s="183"/>
      <c r="BI32" s="183"/>
      <c r="BJ32" s="183"/>
      <c r="BK32" s="183"/>
      <c r="BL32" s="183"/>
      <c r="BM32" s="183"/>
      <c r="BN32" s="183"/>
      <c r="BO32" s="183"/>
      <c r="BP32" s="183"/>
      <c r="BQ32" s="183"/>
      <c r="BR32" s="183"/>
      <c r="BS32" s="183"/>
      <c r="BT32" s="183"/>
      <c r="BU32" s="183"/>
      <c r="BV32" s="183"/>
      <c r="BW32" s="183"/>
      <c r="BX32" s="183"/>
      <c r="BY32" s="183"/>
      <c r="BZ32" s="183"/>
      <c r="CA32" s="183"/>
      <c r="CB32" s="183"/>
      <c r="CC32" s="183"/>
      <c r="CD32" s="183"/>
      <c r="CE32" s="183"/>
      <c r="CF32" s="183"/>
      <c r="CG32" s="183"/>
      <c r="CH32" s="183"/>
      <c r="CI32" s="183"/>
      <c r="CJ32" s="183"/>
      <c r="CK32" s="183"/>
      <c r="CL32" s="183"/>
      <c r="CM32" s="183"/>
      <c r="CN32" s="183"/>
      <c r="CO32" s="183"/>
      <c r="CP32" s="183"/>
      <c r="CQ32" s="183"/>
      <c r="CR32" s="183"/>
      <c r="CS32" s="183"/>
      <c r="CT32" s="183"/>
      <c r="CU32" s="183"/>
      <c r="CV32" s="183"/>
      <c r="CW32" s="183"/>
      <c r="CX32" s="183"/>
      <c r="CY32" s="183"/>
      <c r="CZ32" s="183"/>
      <c r="DA32" s="183"/>
      <c r="DB32" s="183"/>
      <c r="DC32" s="183"/>
      <c r="DD32" s="183"/>
      <c r="DE32" s="183"/>
      <c r="DF32" s="183"/>
      <c r="DG32" s="183"/>
      <c r="DH32" s="183"/>
      <c r="DI32" s="183"/>
      <c r="DJ32" s="183"/>
      <c r="DK32" s="183"/>
      <c r="DL32" s="183"/>
      <c r="DM32" s="183"/>
      <c r="DN32" s="183"/>
      <c r="DO32" s="183"/>
      <c r="DP32" s="183"/>
    </row>
    <row r="33" spans="2:120" s="474" customFormat="1">
      <c r="B33" s="4527"/>
      <c r="C33" s="850" t="s">
        <v>1600</v>
      </c>
      <c r="D33" s="826" t="s">
        <v>1601</v>
      </c>
      <c r="E33" s="472">
        <v>64006.447</v>
      </c>
      <c r="F33" s="467">
        <v>83457.552203125146</v>
      </c>
      <c r="G33" s="458">
        <v>85272.129000000001</v>
      </c>
      <c r="H33" s="458">
        <v>85237.315000000002</v>
      </c>
      <c r="I33" s="625">
        <v>86063.081999999995</v>
      </c>
      <c r="J33" s="459">
        <v>85701.191999999995</v>
      </c>
      <c r="K33" s="458">
        <v>84722.796000000002</v>
      </c>
      <c r="L33" s="458">
        <v>89741.756999999998</v>
      </c>
      <c r="M33" s="458">
        <v>92132.195504332747</v>
      </c>
      <c r="N33" s="625">
        <v>91018.557724639119</v>
      </c>
      <c r="O33" s="459">
        <v>90097.972732283815</v>
      </c>
      <c r="P33" s="458">
        <v>90916.871151271815</v>
      </c>
      <c r="Q33" s="458">
        <v>91602.957518152311</v>
      </c>
      <c r="R33" s="458">
        <v>91862.416017849435</v>
      </c>
      <c r="S33" s="410">
        <v>92213.339868575582</v>
      </c>
      <c r="T33" s="1172"/>
      <c r="U33" s="1172"/>
      <c r="V33" s="1172"/>
      <c r="W33" s="1172"/>
      <c r="X33" s="1172"/>
      <c r="Y33" s="1172"/>
      <c r="Z33" s="1172"/>
      <c r="AA33" s="1172"/>
      <c r="AB33" s="1172"/>
      <c r="AC33" s="1172"/>
      <c r="AD33" s="1172"/>
      <c r="AE33" s="1172"/>
      <c r="AF33" s="183"/>
      <c r="AG33" s="183"/>
      <c r="AH33" s="183"/>
      <c r="AI33" s="183"/>
      <c r="AJ33" s="183"/>
      <c r="AK33" s="183"/>
      <c r="AL33" s="183"/>
      <c r="AM33" s="183"/>
      <c r="AN33" s="183"/>
      <c r="AO33" s="183"/>
      <c r="AP33" s="183"/>
      <c r="AQ33" s="183"/>
      <c r="AR33" s="183"/>
      <c r="AS33" s="183"/>
      <c r="AT33" s="183"/>
      <c r="AU33" s="183"/>
      <c r="AV33" s="183"/>
      <c r="AW33" s="183"/>
      <c r="AX33" s="183"/>
      <c r="AY33" s="183"/>
      <c r="AZ33" s="183"/>
      <c r="BA33" s="183"/>
      <c r="BB33" s="183"/>
      <c r="BC33" s="183"/>
      <c r="BD33" s="183"/>
      <c r="BE33" s="183"/>
      <c r="BF33" s="183"/>
      <c r="BG33" s="183"/>
      <c r="BH33" s="183"/>
      <c r="BI33" s="183"/>
      <c r="BJ33" s="183"/>
      <c r="BK33" s="183"/>
      <c r="BL33" s="183"/>
      <c r="BM33" s="183"/>
      <c r="BN33" s="183"/>
      <c r="BO33" s="183"/>
      <c r="BP33" s="183"/>
      <c r="BQ33" s="183"/>
      <c r="BR33" s="183"/>
      <c r="BS33" s="183"/>
      <c r="BT33" s="183"/>
      <c r="BU33" s="183"/>
      <c r="BV33" s="183"/>
      <c r="BW33" s="183"/>
      <c r="BX33" s="183"/>
      <c r="BY33" s="183"/>
      <c r="BZ33" s="183"/>
      <c r="CA33" s="183"/>
      <c r="CB33" s="183"/>
      <c r="CC33" s="183"/>
      <c r="CD33" s="183"/>
      <c r="CE33" s="183"/>
      <c r="CF33" s="183"/>
      <c r="CG33" s="183"/>
      <c r="CH33" s="183"/>
      <c r="CI33" s="183"/>
      <c r="CJ33" s="183"/>
      <c r="CK33" s="183"/>
      <c r="CL33" s="183"/>
      <c r="CM33" s="183"/>
      <c r="CN33" s="183"/>
      <c r="CO33" s="183"/>
      <c r="CP33" s="183"/>
      <c r="CQ33" s="183"/>
      <c r="CR33" s="183"/>
      <c r="CS33" s="183"/>
      <c r="CT33" s="183"/>
      <c r="CU33" s="183"/>
      <c r="CV33" s="183"/>
      <c r="CW33" s="183"/>
      <c r="CX33" s="183"/>
      <c r="CY33" s="183"/>
      <c r="CZ33" s="183"/>
      <c r="DA33" s="183"/>
      <c r="DB33" s="183"/>
      <c r="DC33" s="183"/>
      <c r="DD33" s="183"/>
      <c r="DE33" s="183"/>
      <c r="DF33" s="183"/>
      <c r="DG33" s="183"/>
      <c r="DH33" s="183"/>
      <c r="DI33" s="183"/>
      <c r="DJ33" s="183"/>
      <c r="DK33" s="183"/>
      <c r="DL33" s="183"/>
      <c r="DM33" s="183"/>
      <c r="DN33" s="183"/>
      <c r="DO33" s="183"/>
      <c r="DP33" s="183"/>
    </row>
    <row r="34" spans="2:120" s="474" customFormat="1">
      <c r="B34" s="4527"/>
      <c r="C34" s="850" t="s">
        <v>1602</v>
      </c>
      <c r="D34" s="826" t="s">
        <v>1603</v>
      </c>
      <c r="E34" s="459">
        <v>70403.857999999993</v>
      </c>
      <c r="F34" s="458">
        <v>67035.588810711037</v>
      </c>
      <c r="G34" s="458">
        <v>70596.509999999995</v>
      </c>
      <c r="H34" s="458">
        <v>68891.240999999995</v>
      </c>
      <c r="I34" s="625">
        <v>70824.316999999995</v>
      </c>
      <c r="J34" s="459">
        <v>68992.661999999997</v>
      </c>
      <c r="K34" s="458">
        <v>69457.198999999993</v>
      </c>
      <c r="L34" s="458">
        <v>74440.955000000002</v>
      </c>
      <c r="M34" s="458">
        <v>76768.788644500368</v>
      </c>
      <c r="N34" s="625">
        <v>76313.458265271227</v>
      </c>
      <c r="O34" s="459">
        <v>76028.927565461549</v>
      </c>
      <c r="P34" s="458">
        <v>77199.701294587299</v>
      </c>
      <c r="Q34" s="458">
        <v>78272.317717791841</v>
      </c>
      <c r="R34" s="458">
        <v>79001.64561950654</v>
      </c>
      <c r="S34" s="410">
        <v>79791.478344520103</v>
      </c>
      <c r="T34" s="1172"/>
      <c r="U34" s="1172"/>
      <c r="V34" s="1172"/>
      <c r="W34" s="1172"/>
      <c r="X34" s="1172"/>
      <c r="Y34" s="1172"/>
      <c r="Z34" s="1172"/>
      <c r="AA34" s="1172"/>
      <c r="AB34" s="1172"/>
      <c r="AC34" s="1172"/>
      <c r="AD34" s="1172"/>
      <c r="AE34" s="1172"/>
      <c r="AF34" s="183"/>
      <c r="AG34" s="183"/>
      <c r="AH34" s="183"/>
      <c r="AI34" s="183"/>
      <c r="AJ34" s="183"/>
      <c r="AK34" s="183"/>
      <c r="AL34" s="183"/>
      <c r="AM34" s="183"/>
      <c r="AN34" s="183"/>
      <c r="AO34" s="183"/>
      <c r="AP34" s="183"/>
      <c r="AQ34" s="183"/>
      <c r="AR34" s="183"/>
      <c r="AS34" s="183"/>
      <c r="AT34" s="183"/>
      <c r="AU34" s="183"/>
      <c r="AV34" s="183"/>
      <c r="AW34" s="183"/>
      <c r="AX34" s="183"/>
      <c r="AY34" s="183"/>
      <c r="AZ34" s="183"/>
      <c r="BA34" s="183"/>
      <c r="BB34" s="183"/>
      <c r="BC34" s="183"/>
      <c r="BD34" s="183"/>
      <c r="BE34" s="183"/>
      <c r="BF34" s="183"/>
      <c r="BG34" s="183"/>
      <c r="BH34" s="183"/>
      <c r="BI34" s="183"/>
      <c r="BJ34" s="183"/>
      <c r="BK34" s="183"/>
      <c r="BL34" s="183"/>
      <c r="BM34" s="183"/>
      <c r="BN34" s="183"/>
      <c r="BO34" s="183"/>
      <c r="BP34" s="183"/>
      <c r="BQ34" s="183"/>
      <c r="BR34" s="183"/>
      <c r="BS34" s="183"/>
      <c r="BT34" s="183"/>
      <c r="BU34" s="183"/>
      <c r="BV34" s="183"/>
      <c r="BW34" s="183"/>
      <c r="BX34" s="183"/>
      <c r="BY34" s="183"/>
      <c r="BZ34" s="183"/>
      <c r="CA34" s="183"/>
      <c r="CB34" s="183"/>
      <c r="CC34" s="183"/>
      <c r="CD34" s="183"/>
      <c r="CE34" s="183"/>
      <c r="CF34" s="183"/>
      <c r="CG34" s="183"/>
      <c r="CH34" s="183"/>
      <c r="CI34" s="183"/>
      <c r="CJ34" s="183"/>
      <c r="CK34" s="183"/>
      <c r="CL34" s="183"/>
      <c r="CM34" s="183"/>
      <c r="CN34" s="183"/>
      <c r="CO34" s="183"/>
      <c r="CP34" s="183"/>
      <c r="CQ34" s="183"/>
      <c r="CR34" s="183"/>
      <c r="CS34" s="183"/>
      <c r="CT34" s="183"/>
      <c r="CU34" s="183"/>
      <c r="CV34" s="183"/>
      <c r="CW34" s="183"/>
      <c r="CX34" s="183"/>
      <c r="CY34" s="183"/>
      <c r="CZ34" s="183"/>
      <c r="DA34" s="183"/>
      <c r="DB34" s="183"/>
      <c r="DC34" s="183"/>
      <c r="DD34" s="183"/>
      <c r="DE34" s="183"/>
      <c r="DF34" s="183"/>
      <c r="DG34" s="183"/>
      <c r="DH34" s="183"/>
      <c r="DI34" s="183"/>
      <c r="DJ34" s="183"/>
      <c r="DK34" s="183"/>
      <c r="DL34" s="183"/>
      <c r="DM34" s="183"/>
      <c r="DN34" s="183"/>
      <c r="DO34" s="183"/>
      <c r="DP34" s="183"/>
    </row>
    <row r="35" spans="2:120" s="474" customFormat="1">
      <c r="B35" s="4527"/>
      <c r="C35" s="850" t="s">
        <v>1604</v>
      </c>
      <c r="D35" s="826" t="s">
        <v>1605</v>
      </c>
      <c r="E35" s="459">
        <v>415815.19099999999</v>
      </c>
      <c r="F35" s="458">
        <v>387827.18230489176</v>
      </c>
      <c r="G35" s="458">
        <v>422896.23700000002</v>
      </c>
      <c r="H35" s="458">
        <v>406087.8</v>
      </c>
      <c r="I35" s="625">
        <v>421067.19400000002</v>
      </c>
      <c r="J35" s="459">
        <v>406054.74300000002</v>
      </c>
      <c r="K35" s="458">
        <v>419630.75199999998</v>
      </c>
      <c r="L35" s="458">
        <v>452164.84399999998</v>
      </c>
      <c r="M35" s="458">
        <v>461951.65008163371</v>
      </c>
      <c r="N35" s="625">
        <v>458327.57791468763</v>
      </c>
      <c r="O35" s="459">
        <v>455710.69352857646</v>
      </c>
      <c r="P35" s="458">
        <v>461932.81711932784</v>
      </c>
      <c r="Q35" s="458">
        <v>467535.24273982493</v>
      </c>
      <c r="R35" s="458">
        <v>471011.16624603106</v>
      </c>
      <c r="S35" s="410">
        <v>474723.19887767796</v>
      </c>
      <c r="T35" s="1172"/>
      <c r="U35" s="1172"/>
      <c r="V35" s="1172"/>
      <c r="W35" s="1172"/>
      <c r="X35" s="1172"/>
      <c r="Y35" s="1172"/>
      <c r="Z35" s="1172"/>
      <c r="AA35" s="1172"/>
      <c r="AB35" s="1172"/>
      <c r="AC35" s="1172"/>
      <c r="AD35" s="1172"/>
      <c r="AE35" s="1172"/>
      <c r="AF35" s="183"/>
      <c r="AG35" s="183"/>
      <c r="AH35" s="183"/>
      <c r="AI35" s="183"/>
      <c r="AJ35" s="183"/>
      <c r="AK35" s="183"/>
      <c r="AL35" s="183"/>
      <c r="AM35" s="183"/>
      <c r="AN35" s="183"/>
      <c r="AO35" s="183"/>
      <c r="AP35" s="183"/>
      <c r="AQ35" s="183"/>
      <c r="AR35" s="183"/>
      <c r="AS35" s="183"/>
      <c r="AT35" s="183"/>
      <c r="AU35" s="183"/>
      <c r="AV35" s="183"/>
      <c r="AW35" s="183"/>
      <c r="AX35" s="183"/>
      <c r="AY35" s="183"/>
      <c r="AZ35" s="183"/>
      <c r="BA35" s="183"/>
      <c r="BB35" s="183"/>
      <c r="BC35" s="183"/>
      <c r="BD35" s="183"/>
      <c r="BE35" s="183"/>
      <c r="BF35" s="183"/>
      <c r="BG35" s="183"/>
      <c r="BH35" s="183"/>
      <c r="BI35" s="183"/>
      <c r="BJ35" s="183"/>
      <c r="BK35" s="183"/>
      <c r="BL35" s="183"/>
      <c r="BM35" s="183"/>
      <c r="BN35" s="183"/>
      <c r="BO35" s="183"/>
      <c r="BP35" s="183"/>
      <c r="BQ35" s="183"/>
      <c r="BR35" s="183"/>
      <c r="BS35" s="183"/>
      <c r="BT35" s="183"/>
      <c r="BU35" s="183"/>
      <c r="BV35" s="183"/>
      <c r="BW35" s="183"/>
      <c r="BX35" s="183"/>
      <c r="BY35" s="183"/>
      <c r="BZ35" s="183"/>
      <c r="CA35" s="183"/>
      <c r="CB35" s="183"/>
      <c r="CC35" s="183"/>
      <c r="CD35" s="183"/>
      <c r="CE35" s="183"/>
      <c r="CF35" s="183"/>
      <c r="CG35" s="183"/>
      <c r="CH35" s="183"/>
      <c r="CI35" s="183"/>
      <c r="CJ35" s="183"/>
      <c r="CK35" s="183"/>
      <c r="CL35" s="183"/>
      <c r="CM35" s="183"/>
      <c r="CN35" s="183"/>
      <c r="CO35" s="183"/>
      <c r="CP35" s="183"/>
      <c r="CQ35" s="183"/>
      <c r="CR35" s="183"/>
      <c r="CS35" s="183"/>
      <c r="CT35" s="183"/>
      <c r="CU35" s="183"/>
      <c r="CV35" s="183"/>
      <c r="CW35" s="183"/>
      <c r="CX35" s="183"/>
      <c r="CY35" s="183"/>
      <c r="CZ35" s="183"/>
      <c r="DA35" s="183"/>
      <c r="DB35" s="183"/>
      <c r="DC35" s="183"/>
      <c r="DD35" s="183"/>
      <c r="DE35" s="183"/>
      <c r="DF35" s="183"/>
      <c r="DG35" s="183"/>
      <c r="DH35" s="183"/>
      <c r="DI35" s="183"/>
      <c r="DJ35" s="183"/>
      <c r="DK35" s="183"/>
      <c r="DL35" s="183"/>
      <c r="DM35" s="183"/>
      <c r="DN35" s="183"/>
      <c r="DO35" s="183"/>
      <c r="DP35" s="183"/>
    </row>
    <row r="36" spans="2:120" s="474" customFormat="1">
      <c r="B36" s="4527"/>
      <c r="C36" s="850" t="s">
        <v>1606</v>
      </c>
      <c r="D36" s="826" t="s">
        <v>1607</v>
      </c>
      <c r="E36" s="459">
        <v>1378068.4369999999</v>
      </c>
      <c r="F36" s="458">
        <v>1070518.9177756191</v>
      </c>
      <c r="G36" s="458">
        <v>1315124.9280000001</v>
      </c>
      <c r="H36" s="458">
        <v>1340433.1129999999</v>
      </c>
      <c r="I36" s="625">
        <v>1312871.7350000001</v>
      </c>
      <c r="J36" s="459">
        <v>1294377.6270000001</v>
      </c>
      <c r="K36" s="458">
        <v>1242927.8400000001</v>
      </c>
      <c r="L36" s="458">
        <v>1340104.4110000001</v>
      </c>
      <c r="M36" s="458">
        <v>1344124.1557534584</v>
      </c>
      <c r="N36" s="625">
        <v>1330913.6955385366</v>
      </c>
      <c r="O36" s="459">
        <v>1320763.2608431289</v>
      </c>
      <c r="P36" s="458">
        <v>1336371.601457082</v>
      </c>
      <c r="Q36" s="458">
        <v>1350066.4958903552</v>
      </c>
      <c r="R36" s="458">
        <v>1357734.14276938</v>
      </c>
      <c r="S36" s="410">
        <v>1369123.2326882149</v>
      </c>
      <c r="T36" s="1172"/>
      <c r="U36" s="1172"/>
      <c r="V36" s="1172"/>
      <c r="W36" s="1172"/>
      <c r="X36" s="1172"/>
      <c r="Y36" s="1172"/>
      <c r="Z36" s="1172"/>
      <c r="AA36" s="1172"/>
      <c r="AB36" s="1172"/>
      <c r="AC36" s="1172"/>
      <c r="AD36" s="1172"/>
      <c r="AE36" s="1172"/>
      <c r="AF36" s="183"/>
      <c r="AG36" s="183"/>
      <c r="AH36" s="183"/>
      <c r="AI36" s="183"/>
      <c r="AJ36" s="183"/>
      <c r="AK36" s="183"/>
      <c r="AL36" s="183"/>
      <c r="AM36" s="183"/>
      <c r="AN36" s="183"/>
      <c r="AO36" s="183"/>
      <c r="AP36" s="183"/>
      <c r="AQ36" s="183"/>
      <c r="AR36" s="183"/>
      <c r="AS36" s="183"/>
      <c r="AT36" s="183"/>
      <c r="AU36" s="183"/>
      <c r="AV36" s="183"/>
      <c r="AW36" s="183"/>
      <c r="AX36" s="183"/>
      <c r="AY36" s="183"/>
      <c r="AZ36" s="183"/>
      <c r="BA36" s="183"/>
      <c r="BB36" s="183"/>
      <c r="BC36" s="183"/>
      <c r="BD36" s="183"/>
      <c r="BE36" s="183"/>
      <c r="BF36" s="183"/>
      <c r="BG36" s="183"/>
      <c r="BH36" s="183"/>
      <c r="BI36" s="183"/>
      <c r="BJ36" s="183"/>
      <c r="BK36" s="183"/>
      <c r="BL36" s="183"/>
      <c r="BM36" s="183"/>
      <c r="BN36" s="183"/>
      <c r="BO36" s="183"/>
      <c r="BP36" s="183"/>
      <c r="BQ36" s="183"/>
      <c r="BR36" s="183"/>
      <c r="BS36" s="183"/>
      <c r="BT36" s="183"/>
      <c r="BU36" s="183"/>
      <c r="BV36" s="183"/>
      <c r="BW36" s="183"/>
      <c r="BX36" s="183"/>
      <c r="BY36" s="183"/>
      <c r="BZ36" s="183"/>
      <c r="CA36" s="183"/>
      <c r="CB36" s="183"/>
      <c r="CC36" s="183"/>
      <c r="CD36" s="183"/>
      <c r="CE36" s="183"/>
      <c r="CF36" s="183"/>
      <c r="CG36" s="183"/>
      <c r="CH36" s="183"/>
      <c r="CI36" s="183"/>
      <c r="CJ36" s="183"/>
      <c r="CK36" s="183"/>
      <c r="CL36" s="183"/>
      <c r="CM36" s="183"/>
      <c r="CN36" s="183"/>
      <c r="CO36" s="183"/>
      <c r="CP36" s="183"/>
      <c r="CQ36" s="183"/>
      <c r="CR36" s="183"/>
      <c r="CS36" s="183"/>
      <c r="CT36" s="183"/>
      <c r="CU36" s="183"/>
      <c r="CV36" s="183"/>
      <c r="CW36" s="183"/>
      <c r="CX36" s="183"/>
      <c r="CY36" s="183"/>
      <c r="CZ36" s="183"/>
      <c r="DA36" s="183"/>
      <c r="DB36" s="183"/>
      <c r="DC36" s="183"/>
      <c r="DD36" s="183"/>
      <c r="DE36" s="183"/>
      <c r="DF36" s="183"/>
      <c r="DG36" s="183"/>
      <c r="DH36" s="183"/>
      <c r="DI36" s="183"/>
      <c r="DJ36" s="183"/>
      <c r="DK36" s="183"/>
      <c r="DL36" s="183"/>
      <c r="DM36" s="183"/>
      <c r="DN36" s="183"/>
      <c r="DO36" s="183"/>
      <c r="DP36" s="183"/>
    </row>
    <row r="37" spans="2:120" s="474" customFormat="1">
      <c r="B37" s="4527"/>
      <c r="C37" s="3328" t="s">
        <v>1608</v>
      </c>
      <c r="D37" s="826" t="s">
        <v>1609</v>
      </c>
      <c r="E37" s="666">
        <v>101518.522</v>
      </c>
      <c r="F37" s="667">
        <v>139555.45379687488</v>
      </c>
      <c r="G37" s="667">
        <v>137485.69399999999</v>
      </c>
      <c r="H37" s="667">
        <v>140334.095</v>
      </c>
      <c r="I37" s="3329">
        <v>141397.367</v>
      </c>
      <c r="J37" s="666">
        <v>143952.41899999999</v>
      </c>
      <c r="K37" s="667">
        <v>144745.829</v>
      </c>
      <c r="L37" s="667">
        <v>151574.29500000001</v>
      </c>
      <c r="M37" s="667">
        <v>155211.77303255172</v>
      </c>
      <c r="N37" s="3329">
        <v>153198.00381678058</v>
      </c>
      <c r="O37" s="666">
        <v>151503.81227674335</v>
      </c>
      <c r="P37" s="667">
        <v>152748.84717138464</v>
      </c>
      <c r="Q37" s="667">
        <v>153764.95093558563</v>
      </c>
      <c r="R37" s="667">
        <v>154050.88809109223</v>
      </c>
      <c r="S37" s="3330">
        <v>154451.71357118853</v>
      </c>
      <c r="T37" s="1172"/>
      <c r="U37" s="1172"/>
      <c r="V37" s="1172"/>
      <c r="W37" s="1172"/>
      <c r="X37" s="1172"/>
      <c r="Y37" s="1172"/>
      <c r="Z37" s="1172"/>
      <c r="AA37" s="1172"/>
      <c r="AB37" s="1172"/>
      <c r="AC37" s="1172"/>
      <c r="AD37" s="1172"/>
      <c r="AE37" s="1172"/>
      <c r="AF37" s="183"/>
      <c r="AG37" s="183"/>
      <c r="AH37" s="183"/>
      <c r="AI37" s="183"/>
      <c r="AJ37" s="183"/>
      <c r="AK37" s="183"/>
      <c r="AL37" s="183"/>
      <c r="AM37" s="183"/>
      <c r="AN37" s="183"/>
      <c r="AO37" s="183"/>
      <c r="AP37" s="183"/>
      <c r="AQ37" s="183"/>
      <c r="AR37" s="183"/>
      <c r="AS37" s="183"/>
      <c r="AT37" s="183"/>
      <c r="AU37" s="183"/>
      <c r="AV37" s="183"/>
      <c r="AW37" s="183"/>
      <c r="AX37" s="183"/>
      <c r="AY37" s="183"/>
      <c r="AZ37" s="183"/>
      <c r="BA37" s="183"/>
      <c r="BB37" s="183"/>
      <c r="BC37" s="183"/>
      <c r="BD37" s="183"/>
      <c r="BE37" s="183"/>
      <c r="BF37" s="183"/>
      <c r="BG37" s="183"/>
      <c r="BH37" s="183"/>
      <c r="BI37" s="183"/>
      <c r="BJ37" s="183"/>
      <c r="BK37" s="183"/>
      <c r="BL37" s="183"/>
      <c r="BM37" s="183"/>
      <c r="BN37" s="183"/>
      <c r="BO37" s="183"/>
      <c r="BP37" s="183"/>
      <c r="BQ37" s="183"/>
      <c r="BR37" s="183"/>
      <c r="BS37" s="183"/>
      <c r="BT37" s="183"/>
      <c r="BU37" s="183"/>
      <c r="BV37" s="183"/>
      <c r="BW37" s="183"/>
      <c r="BX37" s="183"/>
      <c r="BY37" s="183"/>
      <c r="BZ37" s="183"/>
      <c r="CA37" s="183"/>
      <c r="CB37" s="183"/>
      <c r="CC37" s="183"/>
      <c r="CD37" s="183"/>
      <c r="CE37" s="183"/>
      <c r="CF37" s="183"/>
      <c r="CG37" s="183"/>
      <c r="CH37" s="183"/>
      <c r="CI37" s="183"/>
      <c r="CJ37" s="183"/>
      <c r="CK37" s="183"/>
      <c r="CL37" s="183"/>
      <c r="CM37" s="183"/>
      <c r="CN37" s="183"/>
      <c r="CO37" s="183"/>
      <c r="CP37" s="183"/>
      <c r="CQ37" s="183"/>
      <c r="CR37" s="183"/>
      <c r="CS37" s="183"/>
      <c r="CT37" s="183"/>
      <c r="CU37" s="183"/>
      <c r="CV37" s="183"/>
      <c r="CW37" s="183"/>
      <c r="CX37" s="183"/>
      <c r="CY37" s="183"/>
      <c r="CZ37" s="183"/>
      <c r="DA37" s="183"/>
      <c r="DB37" s="183"/>
      <c r="DC37" s="183"/>
      <c r="DD37" s="183"/>
      <c r="DE37" s="183"/>
      <c r="DF37" s="183"/>
      <c r="DG37" s="183"/>
      <c r="DH37" s="183"/>
      <c r="DI37" s="183"/>
      <c r="DJ37" s="183"/>
      <c r="DK37" s="183"/>
      <c r="DL37" s="183"/>
      <c r="DM37" s="183"/>
      <c r="DN37" s="183"/>
      <c r="DO37" s="183"/>
      <c r="DP37" s="183"/>
    </row>
    <row r="38" spans="2:120" s="474" customFormat="1">
      <c r="B38" s="4527"/>
      <c r="C38" s="3328" t="s">
        <v>1610</v>
      </c>
      <c r="D38" s="826" t="s">
        <v>1611</v>
      </c>
      <c r="E38" s="666">
        <v>95892.239000000001</v>
      </c>
      <c r="F38" s="667">
        <v>96102.238189288924</v>
      </c>
      <c r="G38" s="667">
        <v>92693.514999999999</v>
      </c>
      <c r="H38" s="667">
        <v>96184.376000000004</v>
      </c>
      <c r="I38" s="3329">
        <v>97408.187999999995</v>
      </c>
      <c r="J38" s="666">
        <v>99815.508000000002</v>
      </c>
      <c r="K38" s="667">
        <v>100036.473</v>
      </c>
      <c r="L38" s="667">
        <v>106556.45299999999</v>
      </c>
      <c r="M38" s="667">
        <v>109158.46054783771</v>
      </c>
      <c r="N38" s="3329">
        <v>108664.51094102584</v>
      </c>
      <c r="O38" s="666">
        <v>108416.33057730983</v>
      </c>
      <c r="P38" s="667">
        <v>110262.71842052453</v>
      </c>
      <c r="Q38" s="667">
        <v>111973.10166454221</v>
      </c>
      <c r="R38" s="667">
        <v>113190.05562346579</v>
      </c>
      <c r="S38" s="3330">
        <v>114440.08158354207</v>
      </c>
      <c r="T38" s="1172"/>
      <c r="U38" s="1172"/>
      <c r="V38" s="1172"/>
      <c r="W38" s="1172"/>
      <c r="X38" s="1172"/>
      <c r="Y38" s="1172"/>
      <c r="Z38" s="1172"/>
      <c r="AA38" s="1172"/>
      <c r="AB38" s="1172"/>
      <c r="AC38" s="1172"/>
      <c r="AD38" s="1172"/>
      <c r="AE38" s="1172"/>
      <c r="AF38" s="183"/>
      <c r="AG38" s="183"/>
      <c r="AH38" s="183"/>
      <c r="AI38" s="183"/>
      <c r="AJ38" s="183"/>
      <c r="AK38" s="183"/>
      <c r="AL38" s="183"/>
      <c r="AM38" s="183"/>
      <c r="AN38" s="183"/>
      <c r="AO38" s="183"/>
      <c r="AP38" s="183"/>
      <c r="AQ38" s="183"/>
      <c r="AR38" s="183"/>
      <c r="AS38" s="183"/>
      <c r="AT38" s="183"/>
      <c r="AU38" s="183"/>
      <c r="AV38" s="183"/>
      <c r="AW38" s="183"/>
      <c r="AX38" s="183"/>
      <c r="AY38" s="183"/>
      <c r="AZ38" s="183"/>
      <c r="BA38" s="183"/>
      <c r="BB38" s="183"/>
      <c r="BC38" s="183"/>
      <c r="BD38" s="183"/>
      <c r="BE38" s="183"/>
      <c r="BF38" s="183"/>
      <c r="BG38" s="183"/>
      <c r="BH38" s="183"/>
      <c r="BI38" s="183"/>
      <c r="BJ38" s="183"/>
      <c r="BK38" s="183"/>
      <c r="BL38" s="183"/>
      <c r="BM38" s="183"/>
      <c r="BN38" s="183"/>
      <c r="BO38" s="183"/>
      <c r="BP38" s="183"/>
      <c r="BQ38" s="183"/>
      <c r="BR38" s="183"/>
      <c r="BS38" s="183"/>
      <c r="BT38" s="183"/>
      <c r="BU38" s="183"/>
      <c r="BV38" s="183"/>
      <c r="BW38" s="183"/>
      <c r="BX38" s="183"/>
      <c r="BY38" s="183"/>
      <c r="BZ38" s="183"/>
      <c r="CA38" s="183"/>
      <c r="CB38" s="183"/>
      <c r="CC38" s="183"/>
      <c r="CD38" s="183"/>
      <c r="CE38" s="183"/>
      <c r="CF38" s="183"/>
      <c r="CG38" s="183"/>
      <c r="CH38" s="183"/>
      <c r="CI38" s="183"/>
      <c r="CJ38" s="183"/>
      <c r="CK38" s="183"/>
      <c r="CL38" s="183"/>
      <c r="CM38" s="183"/>
      <c r="CN38" s="183"/>
      <c r="CO38" s="183"/>
      <c r="CP38" s="183"/>
      <c r="CQ38" s="183"/>
      <c r="CR38" s="183"/>
      <c r="CS38" s="183"/>
      <c r="CT38" s="183"/>
      <c r="CU38" s="183"/>
      <c r="CV38" s="183"/>
      <c r="CW38" s="183"/>
      <c r="CX38" s="183"/>
      <c r="CY38" s="183"/>
      <c r="CZ38" s="183"/>
      <c r="DA38" s="183"/>
      <c r="DB38" s="183"/>
      <c r="DC38" s="183"/>
      <c r="DD38" s="183"/>
      <c r="DE38" s="183"/>
      <c r="DF38" s="183"/>
      <c r="DG38" s="183"/>
      <c r="DH38" s="183"/>
      <c r="DI38" s="183"/>
      <c r="DJ38" s="183"/>
      <c r="DK38" s="183"/>
      <c r="DL38" s="183"/>
      <c r="DM38" s="183"/>
      <c r="DN38" s="183"/>
      <c r="DO38" s="183"/>
      <c r="DP38" s="183"/>
    </row>
    <row r="39" spans="2:120" s="474" customFormat="1">
      <c r="B39" s="4527"/>
      <c r="C39" s="3328" t="s">
        <v>1612</v>
      </c>
      <c r="D39" s="826" t="s">
        <v>1613</v>
      </c>
      <c r="E39" s="666">
        <v>554211.65099999995</v>
      </c>
      <c r="F39" s="667">
        <v>563462.63969510829</v>
      </c>
      <c r="G39" s="667">
        <v>543000.28799999994</v>
      </c>
      <c r="H39" s="667">
        <v>566337.88800000004</v>
      </c>
      <c r="I39" s="3329">
        <v>579781.36399999994</v>
      </c>
      <c r="J39" s="666">
        <v>590331.89899999998</v>
      </c>
      <c r="K39" s="667">
        <v>591038.049</v>
      </c>
      <c r="L39" s="667">
        <v>626136.96299999999</v>
      </c>
      <c r="M39" s="667">
        <v>640859.36735348764</v>
      </c>
      <c r="N39" s="3329">
        <v>636395.25365642074</v>
      </c>
      <c r="O39" s="666">
        <v>633354.52982219344</v>
      </c>
      <c r="P39" s="667">
        <v>642532.87635375932</v>
      </c>
      <c r="Q39" s="667">
        <v>650868.75946199871</v>
      </c>
      <c r="R39" s="667">
        <v>656308.13386486343</v>
      </c>
      <c r="S39" s="3330">
        <v>662339.74006485275</v>
      </c>
      <c r="T39" s="1172"/>
      <c r="U39" s="1172"/>
      <c r="V39" s="1172"/>
      <c r="W39" s="1172"/>
      <c r="X39" s="1172"/>
      <c r="Y39" s="1172"/>
      <c r="Z39" s="1172"/>
      <c r="AA39" s="1172"/>
      <c r="AB39" s="1172"/>
      <c r="AC39" s="1172"/>
      <c r="AD39" s="1172"/>
      <c r="AE39" s="1172"/>
      <c r="AF39" s="183"/>
      <c r="AG39" s="183"/>
      <c r="AH39" s="183"/>
      <c r="AI39" s="183"/>
      <c r="AJ39" s="183"/>
      <c r="AK39" s="183"/>
      <c r="AL39" s="183"/>
      <c r="AM39" s="183"/>
      <c r="AN39" s="183"/>
      <c r="AO39" s="183"/>
      <c r="AP39" s="183"/>
      <c r="AQ39" s="183"/>
      <c r="AR39" s="183"/>
      <c r="AS39" s="183"/>
      <c r="AT39" s="183"/>
      <c r="AU39" s="183"/>
      <c r="AV39" s="183"/>
      <c r="AW39" s="183"/>
      <c r="AX39" s="183"/>
      <c r="AY39" s="183"/>
      <c r="AZ39" s="183"/>
      <c r="BA39" s="183"/>
      <c r="BB39" s="183"/>
      <c r="BC39" s="183"/>
      <c r="BD39" s="183"/>
      <c r="BE39" s="183"/>
      <c r="BF39" s="183"/>
      <c r="BG39" s="183"/>
      <c r="BH39" s="183"/>
      <c r="BI39" s="183"/>
      <c r="BJ39" s="183"/>
      <c r="BK39" s="183"/>
      <c r="BL39" s="183"/>
      <c r="BM39" s="183"/>
      <c r="BN39" s="183"/>
      <c r="BO39" s="183"/>
      <c r="BP39" s="183"/>
      <c r="BQ39" s="183"/>
      <c r="BR39" s="183"/>
      <c r="BS39" s="183"/>
      <c r="BT39" s="183"/>
      <c r="BU39" s="183"/>
      <c r="BV39" s="183"/>
      <c r="BW39" s="183"/>
      <c r="BX39" s="183"/>
      <c r="BY39" s="183"/>
      <c r="BZ39" s="183"/>
      <c r="CA39" s="183"/>
      <c r="CB39" s="183"/>
      <c r="CC39" s="183"/>
      <c r="CD39" s="183"/>
      <c r="CE39" s="183"/>
      <c r="CF39" s="183"/>
      <c r="CG39" s="183"/>
      <c r="CH39" s="183"/>
      <c r="CI39" s="183"/>
      <c r="CJ39" s="183"/>
      <c r="CK39" s="183"/>
      <c r="CL39" s="183"/>
      <c r="CM39" s="183"/>
      <c r="CN39" s="183"/>
      <c r="CO39" s="183"/>
      <c r="CP39" s="183"/>
      <c r="CQ39" s="183"/>
      <c r="CR39" s="183"/>
      <c r="CS39" s="183"/>
      <c r="CT39" s="183"/>
      <c r="CU39" s="183"/>
      <c r="CV39" s="183"/>
      <c r="CW39" s="183"/>
      <c r="CX39" s="183"/>
      <c r="CY39" s="183"/>
      <c r="CZ39" s="183"/>
      <c r="DA39" s="183"/>
      <c r="DB39" s="183"/>
      <c r="DC39" s="183"/>
      <c r="DD39" s="183"/>
      <c r="DE39" s="183"/>
      <c r="DF39" s="183"/>
      <c r="DG39" s="183"/>
      <c r="DH39" s="183"/>
      <c r="DI39" s="183"/>
      <c r="DJ39" s="183"/>
      <c r="DK39" s="183"/>
      <c r="DL39" s="183"/>
      <c r="DM39" s="183"/>
      <c r="DN39" s="183"/>
      <c r="DO39" s="183"/>
      <c r="DP39" s="183"/>
    </row>
    <row r="40" spans="2:120" s="474" customFormat="1">
      <c r="B40" s="4527"/>
      <c r="C40" s="3328" t="s">
        <v>1614</v>
      </c>
      <c r="D40" s="826" t="s">
        <v>1615</v>
      </c>
      <c r="E40" s="666">
        <v>1450033.2139999999</v>
      </c>
      <c r="F40" s="667">
        <v>1384193.5052243813</v>
      </c>
      <c r="G40" s="667">
        <v>1460453.8929999999</v>
      </c>
      <c r="H40" s="667">
        <v>1686598.746</v>
      </c>
      <c r="I40" s="3329">
        <v>1521974.463</v>
      </c>
      <c r="J40" s="666">
        <v>1485787.1370000001</v>
      </c>
      <c r="K40" s="667">
        <v>1493335.52</v>
      </c>
      <c r="L40" s="667">
        <v>1660066.591</v>
      </c>
      <c r="M40" s="667">
        <v>1678878.5406185202</v>
      </c>
      <c r="N40" s="3329">
        <v>1671970.6588643303</v>
      </c>
      <c r="O40" s="666">
        <v>1669011.4619352869</v>
      </c>
      <c r="P40" s="667">
        <v>1698084.54989898</v>
      </c>
      <c r="Q40" s="667">
        <v>1724946.7699146839</v>
      </c>
      <c r="R40" s="667">
        <v>1744520.1877136319</v>
      </c>
      <c r="S40" s="3330">
        <v>1768793.5913818602</v>
      </c>
      <c r="T40" s="1172"/>
      <c r="U40" s="1172"/>
      <c r="V40" s="1172"/>
      <c r="W40" s="1172"/>
      <c r="X40" s="1172"/>
      <c r="Y40" s="1172"/>
      <c r="Z40" s="1172"/>
      <c r="AA40" s="1172"/>
      <c r="AB40" s="1172"/>
      <c r="AC40" s="1172"/>
      <c r="AD40" s="1172"/>
      <c r="AE40" s="1172"/>
      <c r="AF40" s="183"/>
      <c r="AG40" s="183"/>
      <c r="AH40" s="183"/>
      <c r="AI40" s="183"/>
      <c r="AJ40" s="183"/>
      <c r="AK40" s="183"/>
      <c r="AL40" s="183"/>
      <c r="AM40" s="183"/>
      <c r="AN40" s="183"/>
      <c r="AO40" s="183"/>
      <c r="AP40" s="183"/>
      <c r="AQ40" s="183"/>
      <c r="AR40" s="183"/>
      <c r="AS40" s="183"/>
      <c r="AT40" s="183"/>
      <c r="AU40" s="183"/>
      <c r="AV40" s="183"/>
      <c r="AW40" s="183"/>
      <c r="AX40" s="183"/>
      <c r="AY40" s="183"/>
      <c r="AZ40" s="183"/>
      <c r="BA40" s="183"/>
      <c r="BB40" s="183"/>
      <c r="BC40" s="183"/>
      <c r="BD40" s="183"/>
      <c r="BE40" s="183"/>
      <c r="BF40" s="183"/>
      <c r="BG40" s="183"/>
      <c r="BH40" s="183"/>
      <c r="BI40" s="183"/>
      <c r="BJ40" s="183"/>
      <c r="BK40" s="183"/>
      <c r="BL40" s="183"/>
      <c r="BM40" s="183"/>
      <c r="BN40" s="183"/>
      <c r="BO40" s="183"/>
      <c r="BP40" s="183"/>
      <c r="BQ40" s="183"/>
      <c r="BR40" s="183"/>
      <c r="BS40" s="183"/>
      <c r="BT40" s="183"/>
      <c r="BU40" s="183"/>
      <c r="BV40" s="183"/>
      <c r="BW40" s="183"/>
      <c r="BX40" s="183"/>
      <c r="BY40" s="183"/>
      <c r="BZ40" s="183"/>
      <c r="CA40" s="183"/>
      <c r="CB40" s="183"/>
      <c r="CC40" s="183"/>
      <c r="CD40" s="183"/>
      <c r="CE40" s="183"/>
      <c r="CF40" s="183"/>
      <c r="CG40" s="183"/>
      <c r="CH40" s="183"/>
      <c r="CI40" s="183"/>
      <c r="CJ40" s="183"/>
      <c r="CK40" s="183"/>
      <c r="CL40" s="183"/>
      <c r="CM40" s="183"/>
      <c r="CN40" s="183"/>
      <c r="CO40" s="183"/>
      <c r="CP40" s="183"/>
      <c r="CQ40" s="183"/>
      <c r="CR40" s="183"/>
      <c r="CS40" s="183"/>
      <c r="CT40" s="183"/>
      <c r="CU40" s="183"/>
      <c r="CV40" s="183"/>
      <c r="CW40" s="183"/>
      <c r="CX40" s="183"/>
      <c r="CY40" s="183"/>
      <c r="CZ40" s="183"/>
      <c r="DA40" s="183"/>
      <c r="DB40" s="183"/>
      <c r="DC40" s="183"/>
      <c r="DD40" s="183"/>
      <c r="DE40" s="183"/>
      <c r="DF40" s="183"/>
      <c r="DG40" s="183"/>
      <c r="DH40" s="183"/>
      <c r="DI40" s="183"/>
      <c r="DJ40" s="183"/>
      <c r="DK40" s="183"/>
      <c r="DL40" s="183"/>
      <c r="DM40" s="183"/>
      <c r="DN40" s="183"/>
      <c r="DO40" s="183"/>
      <c r="DP40" s="183"/>
    </row>
    <row r="41" spans="2:120" s="474" customFormat="1" ht="13.5" thickBot="1">
      <c r="B41" s="4528"/>
      <c r="C41" s="4531" t="s">
        <v>376</v>
      </c>
      <c r="D41" s="4535"/>
      <c r="E41" s="1555">
        <v>4129949.5590000004</v>
      </c>
      <c r="F41" s="1557">
        <v>3792153.0780000007</v>
      </c>
      <c r="G41" s="1557">
        <v>4127523.1940000001</v>
      </c>
      <c r="H41" s="1557">
        <v>4390104.574</v>
      </c>
      <c r="I41" s="1560">
        <v>4231387.7100000009</v>
      </c>
      <c r="J41" s="1555">
        <v>4175013.1869999999</v>
      </c>
      <c r="K41" s="1557">
        <v>4145894.4580000001</v>
      </c>
      <c r="L41" s="1557">
        <v>4500786.2690000003</v>
      </c>
      <c r="M41" s="1557">
        <v>4559084.9315363225</v>
      </c>
      <c r="N41" s="1560">
        <v>4526801.7167216921</v>
      </c>
      <c r="O41" s="1555">
        <v>4504886.9892809838</v>
      </c>
      <c r="P41" s="1557">
        <v>4570049.9828669177</v>
      </c>
      <c r="Q41" s="1557">
        <v>4629030.5958429342</v>
      </c>
      <c r="R41" s="1557">
        <v>4667678.6359458193</v>
      </c>
      <c r="S41" s="1558">
        <v>4715876.3763804324</v>
      </c>
      <c r="T41" s="1172"/>
      <c r="U41" s="1172"/>
      <c r="V41" s="1172"/>
      <c r="W41" s="1172"/>
      <c r="X41" s="1172"/>
      <c r="Y41" s="1172"/>
      <c r="Z41" s="1172"/>
      <c r="AA41" s="1172"/>
      <c r="AB41" s="1172"/>
      <c r="AC41" s="1172"/>
      <c r="AD41" s="1172"/>
      <c r="AE41" s="1172"/>
      <c r="AF41" s="183"/>
      <c r="AG41" s="183"/>
      <c r="AH41" s="183"/>
      <c r="AI41" s="183"/>
      <c r="AJ41" s="183"/>
      <c r="AK41" s="183"/>
      <c r="AL41" s="183"/>
      <c r="AM41" s="183"/>
      <c r="AN41" s="183"/>
      <c r="AO41" s="183"/>
      <c r="AP41" s="183"/>
      <c r="AQ41" s="183"/>
      <c r="AR41" s="183"/>
      <c r="AS41" s="183"/>
      <c r="AT41" s="183"/>
      <c r="AU41" s="183"/>
      <c r="AV41" s="183"/>
      <c r="AW41" s="183"/>
      <c r="AX41" s="183"/>
      <c r="AY41" s="183"/>
      <c r="AZ41" s="183"/>
      <c r="BA41" s="183"/>
      <c r="BB41" s="183"/>
      <c r="BC41" s="183"/>
      <c r="BD41" s="183"/>
      <c r="BE41" s="183"/>
      <c r="BF41" s="183"/>
      <c r="BG41" s="183"/>
      <c r="BH41" s="183"/>
      <c r="BI41" s="183"/>
      <c r="BJ41" s="183"/>
      <c r="BK41" s="183"/>
      <c r="BL41" s="183"/>
      <c r="BM41" s="183"/>
      <c r="BN41" s="183"/>
      <c r="BO41" s="183"/>
      <c r="BP41" s="183"/>
      <c r="BQ41" s="183"/>
      <c r="BR41" s="183"/>
      <c r="BS41" s="183"/>
      <c r="BT41" s="183"/>
      <c r="BU41" s="183"/>
      <c r="BV41" s="183"/>
      <c r="BW41" s="183"/>
      <c r="BX41" s="183"/>
      <c r="BY41" s="183"/>
      <c r="BZ41" s="183"/>
      <c r="CA41" s="183"/>
      <c r="CB41" s="183"/>
      <c r="CC41" s="183"/>
      <c r="CD41" s="183"/>
      <c r="CE41" s="183"/>
      <c r="CF41" s="183"/>
      <c r="CG41" s="183"/>
      <c r="CH41" s="183"/>
      <c r="CI41" s="183"/>
      <c r="CJ41" s="183"/>
      <c r="CK41" s="183"/>
      <c r="CL41" s="183"/>
      <c r="CM41" s="183"/>
      <c r="CN41" s="183"/>
      <c r="CO41" s="183"/>
      <c r="CP41" s="183"/>
      <c r="CQ41" s="183"/>
      <c r="CR41" s="183"/>
      <c r="CS41" s="183"/>
      <c r="CT41" s="183"/>
      <c r="CU41" s="183"/>
      <c r="CV41" s="183"/>
      <c r="CW41" s="183"/>
      <c r="CX41" s="183"/>
      <c r="CY41" s="183"/>
      <c r="CZ41" s="183"/>
      <c r="DA41" s="183"/>
      <c r="DB41" s="183"/>
      <c r="DC41" s="183"/>
      <c r="DD41" s="183"/>
      <c r="DE41" s="183"/>
      <c r="DF41" s="183"/>
      <c r="DG41" s="183"/>
      <c r="DH41" s="183"/>
      <c r="DI41" s="183"/>
      <c r="DJ41" s="183"/>
      <c r="DK41" s="183"/>
      <c r="DL41" s="183"/>
      <c r="DM41" s="183"/>
      <c r="DN41" s="183"/>
      <c r="DO41" s="183"/>
      <c r="DP41" s="183"/>
    </row>
    <row r="42" spans="2:120" s="474" customFormat="1" ht="13.5" thickBot="1">
      <c r="B42" s="3331" t="s">
        <v>63</v>
      </c>
      <c r="C42" s="3332"/>
      <c r="D42" s="3332"/>
      <c r="E42" s="1562">
        <v>26425104.322000001</v>
      </c>
      <c r="F42" s="1563">
        <v>25820398.323000006</v>
      </c>
      <c r="G42" s="1563">
        <v>27333578.490000002</v>
      </c>
      <c r="H42" s="1563">
        <v>26555042.833999995</v>
      </c>
      <c r="I42" s="1564">
        <v>27829379.156000003</v>
      </c>
      <c r="J42" s="1562">
        <v>26298983.006000001</v>
      </c>
      <c r="K42" s="1563">
        <v>25771818.774999999</v>
      </c>
      <c r="L42" s="1563">
        <v>29361647.541000005</v>
      </c>
      <c r="M42" s="1563">
        <v>28715774.838991463</v>
      </c>
      <c r="N42" s="1564">
        <v>28701918.374634568</v>
      </c>
      <c r="O42" s="1562">
        <v>28778065.924306396</v>
      </c>
      <c r="P42" s="1563">
        <v>29039559.106611762</v>
      </c>
      <c r="Q42" s="1563">
        <v>29288761.200783402</v>
      </c>
      <c r="R42" s="1563">
        <v>29483480.190526627</v>
      </c>
      <c r="S42" s="1565">
        <v>29514105.91233192</v>
      </c>
      <c r="T42" s="1172"/>
      <c r="U42" s="1172"/>
      <c r="V42" s="1172"/>
      <c r="W42" s="1172"/>
      <c r="X42" s="1172"/>
      <c r="Y42" s="1172"/>
      <c r="Z42" s="1172"/>
      <c r="AA42" s="1172"/>
      <c r="AB42" s="1172"/>
      <c r="AC42" s="1172"/>
      <c r="AD42" s="1172"/>
      <c r="AE42" s="1172"/>
      <c r="AF42" s="183"/>
      <c r="AG42" s="183"/>
      <c r="AH42" s="183"/>
      <c r="AI42" s="183"/>
      <c r="AJ42" s="183"/>
      <c r="AK42" s="183"/>
      <c r="AL42" s="183"/>
      <c r="AM42" s="183"/>
      <c r="AN42" s="183"/>
      <c r="AO42" s="183"/>
      <c r="AP42" s="183"/>
      <c r="AQ42" s="183"/>
      <c r="AR42" s="183"/>
      <c r="AS42" s="183"/>
      <c r="AT42" s="183"/>
      <c r="AU42" s="183"/>
      <c r="AV42" s="183"/>
      <c r="AW42" s="183"/>
      <c r="AX42" s="183"/>
      <c r="AY42" s="183"/>
      <c r="AZ42" s="183"/>
      <c r="BA42" s="183"/>
      <c r="BB42" s="183"/>
      <c r="BC42" s="183"/>
      <c r="BD42" s="183"/>
      <c r="BE42" s="183"/>
      <c r="BF42" s="183"/>
      <c r="BG42" s="183"/>
      <c r="BH42" s="183"/>
      <c r="BI42" s="183"/>
      <c r="BJ42" s="183"/>
      <c r="BK42" s="183"/>
      <c r="BL42" s="183"/>
      <c r="BM42" s="183"/>
      <c r="BN42" s="183"/>
      <c r="BO42" s="183"/>
      <c r="BP42" s="183"/>
      <c r="BQ42" s="183"/>
      <c r="BR42" s="183"/>
      <c r="BS42" s="183"/>
      <c r="BT42" s="183"/>
      <c r="BU42" s="183"/>
      <c r="BV42" s="183"/>
      <c r="BW42" s="183"/>
      <c r="BX42" s="183"/>
      <c r="BY42" s="183"/>
      <c r="BZ42" s="183"/>
      <c r="CA42" s="183"/>
      <c r="CB42" s="183"/>
      <c r="CC42" s="183"/>
      <c r="CD42" s="183"/>
      <c r="CE42" s="183"/>
      <c r="CF42" s="183"/>
      <c r="CG42" s="183"/>
      <c r="CH42" s="183"/>
      <c r="CI42" s="183"/>
      <c r="CJ42" s="183"/>
      <c r="CK42" s="183"/>
      <c r="CL42" s="183"/>
      <c r="CM42" s="183"/>
      <c r="CN42" s="183"/>
      <c r="CO42" s="183"/>
      <c r="CP42" s="183"/>
      <c r="CQ42" s="183"/>
      <c r="CR42" s="183"/>
      <c r="CS42" s="183"/>
      <c r="CT42" s="183"/>
      <c r="CU42" s="183"/>
      <c r="CV42" s="183"/>
      <c r="CW42" s="183"/>
      <c r="CX42" s="183"/>
      <c r="CY42" s="183"/>
      <c r="CZ42" s="183"/>
      <c r="DA42" s="183"/>
      <c r="DB42" s="183"/>
      <c r="DC42" s="183"/>
      <c r="DD42" s="183"/>
      <c r="DE42" s="183"/>
      <c r="DF42" s="183"/>
      <c r="DG42" s="183"/>
      <c r="DH42" s="183"/>
      <c r="DI42" s="183"/>
      <c r="DJ42" s="183"/>
      <c r="DK42" s="183"/>
      <c r="DL42" s="183"/>
      <c r="DM42" s="183"/>
      <c r="DN42" s="183"/>
      <c r="DO42" s="183"/>
      <c r="DP42" s="183"/>
    </row>
    <row r="43" spans="2:120" s="474" customFormat="1" ht="15.75" thickBot="1">
      <c r="B43" s="2141" t="str">
        <f>+'[11]27. Customer numbers'!B38</f>
        <v>West</v>
      </c>
      <c r="C43" s="3322"/>
      <c r="D43" s="3323"/>
      <c r="E43" s="3323"/>
      <c r="F43" s="3323"/>
      <c r="G43" s="3323"/>
      <c r="H43" s="3323"/>
      <c r="I43" s="3323"/>
      <c r="J43" s="3323"/>
      <c r="K43" s="3323"/>
      <c r="L43" s="3323"/>
      <c r="M43" s="3323"/>
      <c r="N43" s="3323"/>
      <c r="O43" s="3323"/>
      <c r="P43" s="3323"/>
      <c r="Q43" s="3323"/>
      <c r="R43" s="3323"/>
      <c r="S43" s="3324"/>
      <c r="T43" s="1172"/>
      <c r="U43" s="1172"/>
      <c r="V43" s="1172"/>
      <c r="W43" s="1172"/>
      <c r="X43" s="1172"/>
      <c r="Y43" s="1172"/>
      <c r="Z43" s="1172"/>
      <c r="AA43" s="1172"/>
      <c r="AB43" s="1172"/>
      <c r="AC43" s="1172"/>
      <c r="AD43" s="1172"/>
      <c r="AE43" s="1172"/>
      <c r="AF43" s="183"/>
      <c r="AG43" s="183"/>
      <c r="AH43" s="183"/>
      <c r="AI43" s="183"/>
      <c r="AJ43" s="183"/>
      <c r="AK43" s="183"/>
      <c r="AL43" s="183"/>
      <c r="AM43" s="183"/>
      <c r="AN43" s="183"/>
      <c r="AO43" s="183"/>
      <c r="AP43" s="183"/>
      <c r="AQ43" s="183"/>
      <c r="AR43" s="183"/>
      <c r="AS43" s="183"/>
      <c r="AT43" s="183"/>
      <c r="AU43" s="183"/>
      <c r="AV43" s="183"/>
      <c r="AW43" s="183"/>
      <c r="AX43" s="183"/>
      <c r="AY43" s="183"/>
      <c r="AZ43" s="183"/>
      <c r="BA43" s="183"/>
      <c r="BB43" s="183"/>
      <c r="BC43" s="183"/>
      <c r="BD43" s="183"/>
      <c r="BE43" s="183"/>
      <c r="BF43" s="183"/>
      <c r="BG43" s="183"/>
      <c r="BH43" s="183"/>
      <c r="BI43" s="183"/>
      <c r="BJ43" s="183"/>
      <c r="BK43" s="183"/>
      <c r="BL43" s="183"/>
      <c r="BM43" s="183"/>
      <c r="BN43" s="183"/>
      <c r="BO43" s="183"/>
      <c r="BP43" s="183"/>
      <c r="BQ43" s="183"/>
      <c r="BR43" s="183"/>
      <c r="BS43" s="183"/>
      <c r="BT43" s="183"/>
      <c r="BU43" s="183"/>
      <c r="BV43" s="183"/>
      <c r="BW43" s="183"/>
      <c r="BX43" s="183"/>
      <c r="BY43" s="183"/>
      <c r="BZ43" s="183"/>
      <c r="CA43" s="183"/>
      <c r="CB43" s="183"/>
      <c r="CC43" s="183"/>
      <c r="CD43" s="183"/>
      <c r="CE43" s="183"/>
      <c r="CF43" s="183"/>
      <c r="CG43" s="183"/>
      <c r="CH43" s="183"/>
      <c r="CI43" s="183"/>
      <c r="CJ43" s="183"/>
      <c r="CK43" s="183"/>
      <c r="CL43" s="183"/>
      <c r="CM43" s="183"/>
      <c r="CN43" s="183"/>
      <c r="CO43" s="183"/>
      <c r="CP43" s="183"/>
      <c r="CQ43" s="183"/>
      <c r="CR43" s="183"/>
      <c r="CS43" s="183"/>
      <c r="CT43" s="183"/>
      <c r="CU43" s="183"/>
      <c r="CV43" s="183"/>
      <c r="CW43" s="183"/>
      <c r="CX43" s="183"/>
      <c r="CY43" s="183"/>
      <c r="CZ43" s="183"/>
      <c r="DA43" s="183"/>
      <c r="DB43" s="183"/>
      <c r="DC43" s="183"/>
      <c r="DD43" s="183"/>
      <c r="DE43" s="183"/>
      <c r="DF43" s="183"/>
      <c r="DG43" s="183"/>
      <c r="DH43" s="183"/>
      <c r="DI43" s="183"/>
      <c r="DJ43" s="183"/>
      <c r="DK43" s="183"/>
      <c r="DL43" s="183"/>
      <c r="DM43" s="183"/>
      <c r="DN43" s="183"/>
      <c r="DO43" s="183"/>
      <c r="DP43" s="183"/>
    </row>
    <row r="44" spans="2:120" s="474" customFormat="1" ht="15.75" thickBot="1">
      <c r="B44" s="2141" t="str">
        <f>+'[11]27. Customer numbers'!B39</f>
        <v>Tariff V</v>
      </c>
      <c r="C44" s="3325"/>
      <c r="D44" s="3326"/>
      <c r="E44" s="3326"/>
      <c r="F44" s="3326"/>
      <c r="G44" s="3326"/>
      <c r="H44" s="3326"/>
      <c r="I44" s="3326"/>
      <c r="J44" s="3326"/>
      <c r="K44" s="3326"/>
      <c r="L44" s="3326"/>
      <c r="M44" s="3326"/>
      <c r="N44" s="3326"/>
      <c r="O44" s="3326"/>
      <c r="P44" s="3326"/>
      <c r="Q44" s="3326"/>
      <c r="R44" s="3326"/>
      <c r="S44" s="3327"/>
      <c r="T44" s="1172"/>
      <c r="U44" s="1172"/>
      <c r="V44" s="1172"/>
      <c r="W44" s="1172"/>
      <c r="X44" s="1172"/>
      <c r="Y44" s="1172"/>
      <c r="Z44" s="1172"/>
      <c r="AA44" s="1172"/>
      <c r="AB44" s="1172"/>
      <c r="AC44" s="1172"/>
      <c r="AD44" s="1172"/>
      <c r="AE44" s="1172"/>
      <c r="AF44" s="183"/>
      <c r="AG44" s="183"/>
      <c r="AH44" s="183"/>
      <c r="AI44" s="183"/>
      <c r="AJ44" s="183"/>
      <c r="AK44" s="183"/>
      <c r="AL44" s="183"/>
      <c r="AM44" s="183"/>
      <c r="AN44" s="183"/>
      <c r="AO44" s="183"/>
      <c r="AP44" s="183"/>
      <c r="AQ44" s="183"/>
      <c r="AR44" s="183"/>
      <c r="AS44" s="183"/>
      <c r="AT44" s="183"/>
      <c r="AU44" s="183"/>
      <c r="AV44" s="183"/>
      <c r="AW44" s="183"/>
      <c r="AX44" s="183"/>
      <c r="AY44" s="183"/>
      <c r="AZ44" s="183"/>
      <c r="BA44" s="183"/>
      <c r="BB44" s="183"/>
      <c r="BC44" s="183"/>
      <c r="BD44" s="183"/>
      <c r="BE44" s="183"/>
      <c r="BF44" s="183"/>
      <c r="BG44" s="183"/>
      <c r="BH44" s="183"/>
      <c r="BI44" s="183"/>
      <c r="BJ44" s="183"/>
      <c r="BK44" s="183"/>
      <c r="BL44" s="183"/>
      <c r="BM44" s="183"/>
      <c r="BN44" s="183"/>
      <c r="BO44" s="183"/>
      <c r="BP44" s="183"/>
      <c r="BQ44" s="183"/>
      <c r="BR44" s="183"/>
      <c r="BS44" s="183"/>
      <c r="BT44" s="183"/>
      <c r="BU44" s="183"/>
      <c r="BV44" s="183"/>
      <c r="BW44" s="183"/>
      <c r="BX44" s="183"/>
      <c r="BY44" s="183"/>
      <c r="BZ44" s="183"/>
      <c r="CA44" s="183"/>
      <c r="CB44" s="183"/>
      <c r="CC44" s="183"/>
      <c r="CD44" s="183"/>
      <c r="CE44" s="183"/>
      <c r="CF44" s="183"/>
      <c r="CG44" s="183"/>
      <c r="CH44" s="183"/>
      <c r="CI44" s="183"/>
      <c r="CJ44" s="183"/>
      <c r="CK44" s="183"/>
      <c r="CL44" s="183"/>
      <c r="CM44" s="183"/>
      <c r="CN44" s="183"/>
      <c r="CO44" s="183"/>
      <c r="CP44" s="183"/>
      <c r="CQ44" s="183"/>
      <c r="CR44" s="183"/>
      <c r="CS44" s="183"/>
      <c r="CT44" s="183"/>
      <c r="CU44" s="183"/>
      <c r="CV44" s="183"/>
      <c r="CW44" s="183"/>
      <c r="CX44" s="183"/>
      <c r="CY44" s="183"/>
      <c r="CZ44" s="183"/>
      <c r="DA44" s="183"/>
      <c r="DB44" s="183"/>
      <c r="DC44" s="183"/>
      <c r="DD44" s="183"/>
      <c r="DE44" s="183"/>
      <c r="DF44" s="183"/>
      <c r="DG44" s="183"/>
      <c r="DH44" s="183"/>
      <c r="DI44" s="183"/>
      <c r="DJ44" s="183"/>
      <c r="DK44" s="183"/>
      <c r="DL44" s="183"/>
      <c r="DM44" s="183"/>
      <c r="DN44" s="183"/>
      <c r="DO44" s="183"/>
      <c r="DP44" s="183"/>
    </row>
    <row r="45" spans="2:120" s="474" customFormat="1">
      <c r="B45" s="4527" t="str">
        <f>'[11]27. Customer numbers'!B42</f>
        <v>Residential customers</v>
      </c>
      <c r="C45" s="4529" t="s">
        <v>47</v>
      </c>
      <c r="D45" s="4530"/>
      <c r="E45" s="1541">
        <v>116939</v>
      </c>
      <c r="F45" s="1542">
        <v>119398</v>
      </c>
      <c r="G45" s="1542">
        <v>122326.5</v>
      </c>
      <c r="H45" s="1542">
        <v>125434</v>
      </c>
      <c r="I45" s="1559">
        <v>128463.5</v>
      </c>
      <c r="J45" s="1541">
        <v>131348.5</v>
      </c>
      <c r="K45" s="1542">
        <v>133970</v>
      </c>
      <c r="L45" s="1542">
        <v>136378</v>
      </c>
      <c r="M45" s="1542">
        <v>138309.4178536816</v>
      </c>
      <c r="N45" s="1559">
        <v>140719.90937075845</v>
      </c>
      <c r="O45" s="1541">
        <v>143958.15514597786</v>
      </c>
      <c r="P45" s="1542">
        <v>147280.81888620663</v>
      </c>
      <c r="Q45" s="1542">
        <v>150660.6883737446</v>
      </c>
      <c r="R45" s="1542">
        <v>154098.90880514032</v>
      </c>
      <c r="S45" s="1556">
        <v>157522.14636091312</v>
      </c>
      <c r="T45" s="1172"/>
      <c r="U45" s="1172"/>
      <c r="V45" s="1172"/>
      <c r="W45" s="1172"/>
      <c r="X45" s="1172"/>
      <c r="Y45" s="1172"/>
      <c r="Z45" s="1172"/>
      <c r="AA45" s="1172"/>
      <c r="AB45" s="1172"/>
      <c r="AC45" s="1172"/>
      <c r="AD45" s="1172"/>
      <c r="AE45" s="1172"/>
      <c r="AF45" s="183"/>
      <c r="AG45" s="183"/>
      <c r="AH45" s="183"/>
      <c r="AI45" s="183"/>
      <c r="AJ45" s="183"/>
      <c r="AK45" s="183"/>
      <c r="AL45" s="183"/>
      <c r="AM45" s="183"/>
      <c r="AN45" s="183"/>
      <c r="AO45" s="183"/>
      <c r="AP45" s="183"/>
      <c r="AQ45" s="183"/>
      <c r="AR45" s="183"/>
      <c r="AS45" s="183"/>
      <c r="AT45" s="183"/>
      <c r="AU45" s="183"/>
      <c r="AV45" s="183"/>
      <c r="AW45" s="183"/>
      <c r="AX45" s="183"/>
      <c r="AY45" s="183"/>
      <c r="AZ45" s="183"/>
      <c r="BA45" s="183"/>
      <c r="BB45" s="183"/>
      <c r="BC45" s="183"/>
      <c r="BD45" s="183"/>
      <c r="BE45" s="183"/>
      <c r="BF45" s="183"/>
      <c r="BG45" s="183"/>
      <c r="BH45" s="183"/>
      <c r="BI45" s="183"/>
      <c r="BJ45" s="183"/>
      <c r="BK45" s="183"/>
      <c r="BL45" s="183"/>
      <c r="BM45" s="183"/>
      <c r="BN45" s="183"/>
      <c r="BO45" s="183"/>
      <c r="BP45" s="183"/>
      <c r="BQ45" s="183"/>
      <c r="BR45" s="183"/>
      <c r="BS45" s="183"/>
      <c r="BT45" s="183"/>
      <c r="BU45" s="183"/>
      <c r="BV45" s="183"/>
      <c r="BW45" s="183"/>
      <c r="BX45" s="183"/>
      <c r="BY45" s="183"/>
      <c r="BZ45" s="183"/>
      <c r="CA45" s="183"/>
      <c r="CB45" s="183"/>
      <c r="CC45" s="183"/>
      <c r="CD45" s="183"/>
      <c r="CE45" s="183"/>
      <c r="CF45" s="183"/>
      <c r="CG45" s="183"/>
      <c r="CH45" s="183"/>
      <c r="CI45" s="183"/>
      <c r="CJ45" s="183"/>
      <c r="CK45" s="183"/>
      <c r="CL45" s="183"/>
      <c r="CM45" s="183"/>
      <c r="CN45" s="183"/>
      <c r="CO45" s="183"/>
      <c r="CP45" s="183"/>
      <c r="CQ45" s="183"/>
      <c r="CR45" s="183"/>
      <c r="CS45" s="183"/>
      <c r="CT45" s="183"/>
      <c r="CU45" s="183"/>
      <c r="CV45" s="183"/>
      <c r="CW45" s="183"/>
      <c r="CX45" s="183"/>
      <c r="CY45" s="183"/>
      <c r="CZ45" s="183"/>
      <c r="DA45" s="183"/>
      <c r="DB45" s="183"/>
      <c r="DC45" s="183"/>
      <c r="DD45" s="183"/>
      <c r="DE45" s="183"/>
      <c r="DF45" s="183"/>
      <c r="DG45" s="183"/>
      <c r="DH45" s="183"/>
      <c r="DI45" s="183"/>
      <c r="DJ45" s="183"/>
      <c r="DK45" s="183"/>
      <c r="DL45" s="183"/>
      <c r="DM45" s="183"/>
      <c r="DN45" s="183"/>
      <c r="DO45" s="183"/>
      <c r="DP45" s="183"/>
    </row>
    <row r="46" spans="2:120" s="474" customFormat="1">
      <c r="B46" s="4527"/>
      <c r="C46" s="850" t="s">
        <v>1600</v>
      </c>
      <c r="D46" s="826" t="s">
        <v>1601</v>
      </c>
      <c r="E46" s="459">
        <v>1266002.6869999999</v>
      </c>
      <c r="F46" s="458">
        <v>1282652.8218206067</v>
      </c>
      <c r="G46" s="458">
        <v>1328921.7490000001</v>
      </c>
      <c r="H46" s="458">
        <v>1331262.2849999999</v>
      </c>
      <c r="I46" s="625">
        <v>1369070.942</v>
      </c>
      <c r="J46" s="459">
        <v>1377303.96</v>
      </c>
      <c r="K46" s="458">
        <v>1342174.081</v>
      </c>
      <c r="L46" s="458">
        <v>1437746.8570000001</v>
      </c>
      <c r="M46" s="458">
        <v>1457025.5160477504</v>
      </c>
      <c r="N46" s="625">
        <v>1471189.1440799471</v>
      </c>
      <c r="O46" s="459">
        <v>1490045.3291680689</v>
      </c>
      <c r="P46" s="458">
        <v>1514564.2750549675</v>
      </c>
      <c r="Q46" s="458">
        <v>1538685.7089807664</v>
      </c>
      <c r="R46" s="458">
        <v>1560841.1283584782</v>
      </c>
      <c r="S46" s="410">
        <v>1569056.8657196905</v>
      </c>
      <c r="T46"/>
      <c r="U46"/>
      <c r="V46"/>
      <c r="W46"/>
      <c r="X46"/>
      <c r="Y46"/>
      <c r="Z46"/>
      <c r="AA46"/>
      <c r="AB46"/>
      <c r="AC46"/>
      <c r="AD46"/>
      <c r="AE46"/>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row>
    <row r="47" spans="2:120" s="474" customFormat="1">
      <c r="B47" s="4527"/>
      <c r="C47" s="850" t="s">
        <v>1602</v>
      </c>
      <c r="D47" s="826" t="s">
        <v>1603</v>
      </c>
      <c r="E47" s="459">
        <v>976404.478</v>
      </c>
      <c r="F47" s="458">
        <v>939854.68582687492</v>
      </c>
      <c r="G47" s="458">
        <v>1058897.672</v>
      </c>
      <c r="H47" s="458">
        <v>963222.92799999996</v>
      </c>
      <c r="I47" s="625">
        <v>1051249.8230000001</v>
      </c>
      <c r="J47" s="459">
        <v>974644.06499999994</v>
      </c>
      <c r="K47" s="458">
        <v>1023237.93</v>
      </c>
      <c r="L47" s="458">
        <v>1099527.3540000001</v>
      </c>
      <c r="M47" s="458">
        <v>1085114.658063991</v>
      </c>
      <c r="N47" s="625">
        <v>1092985.2756371214</v>
      </c>
      <c r="O47" s="459">
        <v>1104219.9569651484</v>
      </c>
      <c r="P47" s="458">
        <v>1119644.5998581543</v>
      </c>
      <c r="Q47" s="458">
        <v>1134617.5618680438</v>
      </c>
      <c r="R47" s="458">
        <v>1147947.637108613</v>
      </c>
      <c r="S47" s="410">
        <v>1150837.2262567505</v>
      </c>
      <c r="T47"/>
      <c r="U47"/>
      <c r="V47"/>
      <c r="W47"/>
      <c r="X47"/>
      <c r="Y47"/>
      <c r="Z47"/>
      <c r="AA47"/>
      <c r="AB47"/>
      <c r="AC47"/>
      <c r="AD47"/>
      <c r="AE47"/>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row>
    <row r="48" spans="2:120" s="474" customFormat="1">
      <c r="B48" s="4527"/>
      <c r="C48" s="850" t="s">
        <v>1604</v>
      </c>
      <c r="D48" s="826" t="s">
        <v>1605</v>
      </c>
      <c r="E48" s="459">
        <v>1432730.5460000001</v>
      </c>
      <c r="F48" s="458">
        <v>1285222.5833798142</v>
      </c>
      <c r="G48" s="458">
        <v>1704251.7080000001</v>
      </c>
      <c r="H48" s="458">
        <v>1274933.983</v>
      </c>
      <c r="I48" s="625">
        <v>1561449.649</v>
      </c>
      <c r="J48" s="459">
        <v>1264270.0160000001</v>
      </c>
      <c r="K48" s="458">
        <v>1529409.027</v>
      </c>
      <c r="L48" s="458">
        <v>1822140.8259999999</v>
      </c>
      <c r="M48" s="458">
        <v>1705329.1826364605</v>
      </c>
      <c r="N48" s="625">
        <v>1717707.9096264266</v>
      </c>
      <c r="O48" s="459">
        <v>1735625.2239850273</v>
      </c>
      <c r="P48" s="458">
        <v>1760653.1811217868</v>
      </c>
      <c r="Q48" s="458">
        <v>1785150.9569626604</v>
      </c>
      <c r="R48" s="458">
        <v>1807302.4647540827</v>
      </c>
      <c r="S48" s="410">
        <v>1815347.3067655135</v>
      </c>
      <c r="T48"/>
      <c r="U48"/>
      <c r="V48"/>
      <c r="W48"/>
      <c r="X48"/>
      <c r="Y48"/>
      <c r="Z48"/>
      <c r="AA48"/>
      <c r="AB48"/>
      <c r="AC48"/>
      <c r="AD48"/>
      <c r="AE4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row>
    <row r="49" spans="1:120" s="474" customFormat="1">
      <c r="B49" s="4527"/>
      <c r="C49" s="850" t="s">
        <v>1606</v>
      </c>
      <c r="D49" s="826" t="s">
        <v>1607</v>
      </c>
      <c r="E49" s="459">
        <v>25081.969000000001</v>
      </c>
      <c r="F49" s="458">
        <v>23748.687347582432</v>
      </c>
      <c r="G49" s="458">
        <v>15114.504999999999</v>
      </c>
      <c r="H49" s="458">
        <v>13554.013999999999</v>
      </c>
      <c r="I49" s="625">
        <v>13223.936</v>
      </c>
      <c r="J49" s="459">
        <v>13245.787</v>
      </c>
      <c r="K49" s="458">
        <v>22991.377</v>
      </c>
      <c r="L49" s="458">
        <v>18894.167000000001</v>
      </c>
      <c r="M49" s="458">
        <v>18636.933923477114</v>
      </c>
      <c r="N49" s="625">
        <v>19162.25789185235</v>
      </c>
      <c r="O49" s="459">
        <v>19762.217327357135</v>
      </c>
      <c r="P49" s="458">
        <v>20453.028737178625</v>
      </c>
      <c r="Q49" s="458">
        <v>21154.449597052917</v>
      </c>
      <c r="R49" s="458">
        <v>21842.975874563861</v>
      </c>
      <c r="S49" s="410">
        <v>22294.880833808216</v>
      </c>
      <c r="T49"/>
      <c r="U49"/>
      <c r="V49"/>
      <c r="W49"/>
      <c r="X49"/>
      <c r="Y49"/>
      <c r="Z49"/>
      <c r="AA49"/>
      <c r="AB49"/>
      <c r="AC49"/>
      <c r="AD49"/>
      <c r="AE49"/>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row>
    <row r="50" spans="1:120" s="474" customFormat="1">
      <c r="B50" s="4527"/>
      <c r="C50" s="3328" t="s">
        <v>1608</v>
      </c>
      <c r="D50" s="826" t="s">
        <v>1609</v>
      </c>
      <c r="E50" s="666">
        <v>1742034.1869999999</v>
      </c>
      <c r="F50" s="667">
        <v>1769988.2171793929</v>
      </c>
      <c r="G50" s="667">
        <v>1742183.452</v>
      </c>
      <c r="H50" s="667">
        <v>1831802.037</v>
      </c>
      <c r="I50" s="3329">
        <v>1854874.649</v>
      </c>
      <c r="J50" s="666">
        <v>1817766.6070000001</v>
      </c>
      <c r="K50" s="667">
        <v>1765758.865</v>
      </c>
      <c r="L50" s="667">
        <v>1854183.4040000001</v>
      </c>
      <c r="M50" s="667">
        <v>1852251.81060558</v>
      </c>
      <c r="N50" s="3329">
        <v>1853973.3220974922</v>
      </c>
      <c r="O50" s="666">
        <v>1861196.3944801833</v>
      </c>
      <c r="P50" s="667">
        <v>1875157.530395803</v>
      </c>
      <c r="Q50" s="667">
        <v>1888079.1862057145</v>
      </c>
      <c r="R50" s="667">
        <v>1898103.6367493414</v>
      </c>
      <c r="S50" s="3330">
        <v>1893321.4408633874</v>
      </c>
      <c r="T50"/>
      <c r="U50"/>
      <c r="V50"/>
      <c r="W50"/>
      <c r="X50"/>
      <c r="Y50"/>
      <c r="Z50"/>
      <c r="AA50"/>
      <c r="AB50"/>
      <c r="AC50"/>
      <c r="AD50"/>
      <c r="AE50"/>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row>
    <row r="51" spans="1:120" s="474" customFormat="1">
      <c r="B51" s="4527"/>
      <c r="C51" s="3328" t="s">
        <v>1610</v>
      </c>
      <c r="D51" s="826" t="s">
        <v>1611</v>
      </c>
      <c r="E51" s="666">
        <v>500088.76899999997</v>
      </c>
      <c r="F51" s="667">
        <v>568172.34717312513</v>
      </c>
      <c r="G51" s="667">
        <v>472723.94400000002</v>
      </c>
      <c r="H51" s="667">
        <v>541692.04399999999</v>
      </c>
      <c r="I51" s="3329">
        <v>528078.375</v>
      </c>
      <c r="J51" s="666">
        <v>532254.69099999999</v>
      </c>
      <c r="K51" s="667">
        <v>389396.06800000003</v>
      </c>
      <c r="L51" s="667">
        <v>488500.272</v>
      </c>
      <c r="M51" s="667">
        <v>419885.68192184466</v>
      </c>
      <c r="N51" s="3329">
        <v>413919.45663090819</v>
      </c>
      <c r="O51" s="666">
        <v>408973.02002842433</v>
      </c>
      <c r="P51" s="667">
        <v>405558.30089403753</v>
      </c>
      <c r="Q51" s="667">
        <v>401621.08755943732</v>
      </c>
      <c r="R51" s="667">
        <v>396707.50756434374</v>
      </c>
      <c r="S51" s="3330">
        <v>388689.20212203375</v>
      </c>
      <c r="T51"/>
      <c r="U51"/>
      <c r="V51"/>
      <c r="W51"/>
      <c r="X51"/>
      <c r="Y51"/>
      <c r="Z51"/>
      <c r="AA51"/>
      <c r="AB51"/>
      <c r="AC51"/>
      <c r="AD51"/>
      <c r="AE51"/>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row>
    <row r="52" spans="1:120" s="474" customFormat="1">
      <c r="B52" s="4527"/>
      <c r="C52" s="3328" t="s">
        <v>1612</v>
      </c>
      <c r="D52" s="826" t="s">
        <v>1613</v>
      </c>
      <c r="E52" s="666">
        <v>293878.80699999997</v>
      </c>
      <c r="F52" s="667">
        <v>411594.08262018563</v>
      </c>
      <c r="G52" s="667">
        <v>201019.658</v>
      </c>
      <c r="H52" s="667">
        <v>333075.68300000002</v>
      </c>
      <c r="I52" s="3329">
        <v>290571.18099999998</v>
      </c>
      <c r="J52" s="666">
        <v>322258.36900000001</v>
      </c>
      <c r="K52" s="667">
        <v>151243.67300000001</v>
      </c>
      <c r="L52" s="667">
        <v>249515.13099999999</v>
      </c>
      <c r="M52" s="667">
        <v>196957.21955173736</v>
      </c>
      <c r="N52" s="3329">
        <v>193596.37908056038</v>
      </c>
      <c r="O52" s="666">
        <v>190704.56225150998</v>
      </c>
      <c r="P52" s="667">
        <v>188592.29931544469</v>
      </c>
      <c r="Q52" s="667">
        <v>186210.91796319812</v>
      </c>
      <c r="R52" s="667">
        <v>183337.00181058882</v>
      </c>
      <c r="S52" s="3330">
        <v>179069.90633209364</v>
      </c>
      <c r="T52"/>
      <c r="U52"/>
      <c r="V52"/>
      <c r="W52"/>
      <c r="X52"/>
      <c r="Y52"/>
      <c r="Z52"/>
      <c r="AA52"/>
      <c r="AB52"/>
      <c r="AC52"/>
      <c r="AD52"/>
      <c r="AE52"/>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row>
    <row r="53" spans="1:120" s="474" customFormat="1">
      <c r="B53" s="4527"/>
      <c r="C53" s="3328" t="s">
        <v>1614</v>
      </c>
      <c r="D53" s="826" t="s">
        <v>1615</v>
      </c>
      <c r="E53" s="666">
        <v>27609.38</v>
      </c>
      <c r="F53" s="667">
        <v>29467.264652417565</v>
      </c>
      <c r="G53" s="667">
        <v>25113.511999999999</v>
      </c>
      <c r="H53" s="667">
        <v>12222.116</v>
      </c>
      <c r="I53" s="3329">
        <v>13207.112999999999</v>
      </c>
      <c r="J53" s="666">
        <v>13389.912</v>
      </c>
      <c r="K53" s="667">
        <v>13339.949000000001</v>
      </c>
      <c r="L53" s="667">
        <v>14518.501</v>
      </c>
      <c r="M53" s="667">
        <v>13699.351503616452</v>
      </c>
      <c r="N53" s="3329">
        <v>14017.413491242807</v>
      </c>
      <c r="O53" s="666">
        <v>14384.447487441037</v>
      </c>
      <c r="P53" s="667">
        <v>14815.222415855103</v>
      </c>
      <c r="Q53" s="667">
        <v>15247.417559139891</v>
      </c>
      <c r="R53" s="667">
        <v>15662.24280838648</v>
      </c>
      <c r="S53" s="3330">
        <v>15883.358301906819</v>
      </c>
      <c r="T53"/>
      <c r="U53"/>
      <c r="V53"/>
      <c r="W53"/>
      <c r="X53"/>
      <c r="Y53"/>
      <c r="Z53"/>
      <c r="AA53"/>
      <c r="AB53"/>
      <c r="AC53"/>
      <c r="AD53"/>
      <c r="AE53"/>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row>
    <row r="54" spans="1:120" s="1338" customFormat="1" ht="24" customHeight="1" thickBot="1">
      <c r="B54" s="4528"/>
      <c r="C54" s="4531" t="s">
        <v>376</v>
      </c>
      <c r="D54" s="4532"/>
      <c r="E54" s="1555">
        <v>6263830.8230000008</v>
      </c>
      <c r="F54" s="1557">
        <v>6310700.6900000013</v>
      </c>
      <c r="G54" s="1557">
        <v>6548226.2000000002</v>
      </c>
      <c r="H54" s="1557">
        <v>6301765.0899999999</v>
      </c>
      <c r="I54" s="1560">
        <v>6681725.6679999996</v>
      </c>
      <c r="J54" s="1555">
        <v>6315133.4069999997</v>
      </c>
      <c r="K54" s="1557">
        <v>6237550.9699999997</v>
      </c>
      <c r="L54" s="1557">
        <v>6985026.512000001</v>
      </c>
      <c r="M54" s="1557">
        <v>6748900.3542544572</v>
      </c>
      <c r="N54" s="1560">
        <v>6776551.1585355513</v>
      </c>
      <c r="O54" s="1555">
        <v>6824911.1516931616</v>
      </c>
      <c r="P54" s="1557">
        <v>6899438.4377932288</v>
      </c>
      <c r="Q54" s="1557">
        <v>6970767.286696014</v>
      </c>
      <c r="R54" s="1557">
        <v>7031744.5950283986</v>
      </c>
      <c r="S54" s="1558">
        <v>7034500.1871951846</v>
      </c>
      <c r="T54" s="1339"/>
      <c r="U54" s="1339"/>
      <c r="V54" s="1339"/>
      <c r="W54" s="1339"/>
      <c r="X54" s="1339"/>
      <c r="Y54" s="1339"/>
      <c r="Z54" s="1339"/>
      <c r="AA54" s="1339"/>
      <c r="AB54" s="1339"/>
      <c r="AC54" s="1339"/>
      <c r="AD54" s="1339"/>
      <c r="AE54" s="1339"/>
      <c r="AF54" s="1340"/>
      <c r="AG54" s="1340"/>
      <c r="AH54" s="1340"/>
      <c r="AI54" s="1340"/>
      <c r="AJ54" s="1340"/>
      <c r="AK54" s="1340"/>
      <c r="AL54" s="1340"/>
      <c r="AM54" s="1340"/>
      <c r="AN54" s="1340"/>
      <c r="AO54" s="1340"/>
      <c r="AP54" s="1340"/>
      <c r="AQ54" s="1340"/>
      <c r="AR54" s="1340"/>
      <c r="AS54" s="1340"/>
      <c r="AT54" s="1340"/>
      <c r="AU54" s="1340"/>
      <c r="AV54" s="1340"/>
      <c r="AW54" s="1340"/>
      <c r="AX54" s="1340"/>
      <c r="AY54" s="1340"/>
      <c r="AZ54" s="1340"/>
      <c r="BA54" s="1340"/>
      <c r="BB54" s="1340"/>
      <c r="BC54" s="1340"/>
      <c r="BD54" s="1340"/>
      <c r="BE54" s="1340"/>
      <c r="BF54" s="1340"/>
      <c r="BG54" s="1340"/>
      <c r="BH54" s="1340"/>
      <c r="BI54" s="1340"/>
      <c r="BJ54" s="1340"/>
      <c r="BK54" s="1340"/>
      <c r="BL54" s="1340"/>
      <c r="BM54" s="1340"/>
      <c r="BN54" s="1340"/>
      <c r="BO54" s="1340"/>
      <c r="BP54" s="1340"/>
      <c r="BQ54" s="1340"/>
      <c r="BR54" s="1340"/>
      <c r="BS54" s="1340"/>
      <c r="BT54" s="1340"/>
      <c r="BU54" s="1340"/>
      <c r="BV54" s="1340"/>
      <c r="BW54" s="1340"/>
      <c r="BX54" s="1340"/>
      <c r="BY54" s="1340"/>
      <c r="BZ54" s="1340"/>
      <c r="CA54" s="1340"/>
      <c r="CB54" s="1340"/>
      <c r="CC54" s="1340"/>
      <c r="CD54" s="1340"/>
      <c r="CE54" s="1340"/>
      <c r="CF54" s="1340"/>
      <c r="CG54" s="1340"/>
      <c r="CH54" s="1340"/>
      <c r="CI54" s="1340"/>
      <c r="CJ54" s="1340"/>
      <c r="CK54" s="1340"/>
      <c r="CL54" s="1340"/>
      <c r="CM54" s="1340"/>
      <c r="CN54" s="1340"/>
      <c r="CO54" s="1340"/>
      <c r="CP54" s="1340"/>
      <c r="CQ54" s="1340"/>
      <c r="CR54" s="1340"/>
      <c r="CS54" s="1340"/>
      <c r="CT54" s="1340"/>
      <c r="CU54" s="1340"/>
      <c r="CV54" s="1340"/>
      <c r="CW54" s="1340"/>
      <c r="CX54" s="1340"/>
      <c r="CY54" s="1340"/>
      <c r="CZ54" s="1340"/>
      <c r="DA54" s="1340"/>
      <c r="DB54" s="1340"/>
      <c r="DC54" s="1340"/>
      <c r="DD54" s="1340"/>
      <c r="DE54" s="1340"/>
      <c r="DF54" s="1340"/>
      <c r="DG54" s="1340"/>
      <c r="DH54" s="1340"/>
      <c r="DI54" s="1340"/>
      <c r="DJ54" s="1340"/>
      <c r="DK54" s="1340"/>
      <c r="DL54" s="1340"/>
      <c r="DM54" s="1340"/>
      <c r="DN54" s="1340"/>
      <c r="DO54" s="1340"/>
      <c r="DP54" s="1340"/>
    </row>
    <row r="55" spans="1:120" s="1172" customFormat="1" ht="25.5" customHeight="1">
      <c r="A55" s="1174"/>
      <c r="B55" s="4533" t="str">
        <f>+'[11]27. Customer numbers'!B48</f>
        <v>Commercial customers</v>
      </c>
      <c r="C55" s="4529" t="s">
        <v>47</v>
      </c>
      <c r="D55" s="4534"/>
      <c r="E55" s="1541">
        <v>6120.5</v>
      </c>
      <c r="F55" s="1542">
        <v>6119</v>
      </c>
      <c r="G55" s="1542">
        <v>6125</v>
      </c>
      <c r="H55" s="1542">
        <v>6131</v>
      </c>
      <c r="I55" s="1559">
        <v>6156.5</v>
      </c>
      <c r="J55" s="1541">
        <v>6181</v>
      </c>
      <c r="K55" s="1542">
        <v>6168</v>
      </c>
      <c r="L55" s="1542">
        <v>6176</v>
      </c>
      <c r="M55" s="1542">
        <v>6217.838922640507</v>
      </c>
      <c r="N55" s="1559">
        <v>6254.5358248707907</v>
      </c>
      <c r="O55" s="1541">
        <v>6292.5810126371944</v>
      </c>
      <c r="P55" s="1542">
        <v>6331.2912104606557</v>
      </c>
      <c r="Q55" s="1542">
        <v>6370.679659166608</v>
      </c>
      <c r="R55" s="1542">
        <v>6410.759872550444</v>
      </c>
      <c r="S55" s="1556">
        <v>6450.6446697230758</v>
      </c>
    </row>
    <row r="56" spans="1:120" s="474" customFormat="1">
      <c r="B56" s="4527"/>
      <c r="C56" s="850" t="s">
        <v>1600</v>
      </c>
      <c r="D56" s="826" t="s">
        <v>1601</v>
      </c>
      <c r="E56" s="459">
        <v>54466.976999999999</v>
      </c>
      <c r="F56" s="458">
        <v>54880.516239673474</v>
      </c>
      <c r="G56" s="458">
        <v>55361.607000000004</v>
      </c>
      <c r="H56" s="458">
        <v>53687.641000000003</v>
      </c>
      <c r="I56" s="625">
        <v>54517.836000000003</v>
      </c>
      <c r="J56" s="459">
        <v>53055.012000000002</v>
      </c>
      <c r="K56" s="458">
        <v>50982.605000000003</v>
      </c>
      <c r="L56" s="458">
        <v>53287.824000000001</v>
      </c>
      <c r="M56" s="458">
        <v>54139.720623648158</v>
      </c>
      <c r="N56" s="625">
        <v>53215.235959123136</v>
      </c>
      <c r="O56" s="459">
        <v>52404.203763743906</v>
      </c>
      <c r="P56" s="458">
        <v>52599.723808682254</v>
      </c>
      <c r="Q56" s="458">
        <v>52708.222555261025</v>
      </c>
      <c r="R56" s="458">
        <v>52575.510323747862</v>
      </c>
      <c r="S56" s="410">
        <v>52640.517857423896</v>
      </c>
      <c r="T56" s="1172"/>
      <c r="U56" s="1172"/>
      <c r="V56" s="1172"/>
      <c r="W56" s="1172"/>
      <c r="X56" s="1172"/>
      <c r="Y56" s="1172"/>
      <c r="Z56" s="1172"/>
      <c r="AA56" s="1172"/>
      <c r="AB56" s="1172"/>
      <c r="AC56" s="1172"/>
      <c r="AD56" s="1172"/>
      <c r="AE56" s="1172"/>
      <c r="AF56" s="183"/>
      <c r="AG56" s="183"/>
      <c r="AH56" s="183"/>
      <c r="AI56" s="183"/>
      <c r="AJ56" s="183"/>
      <c r="AK56" s="183"/>
      <c r="AL56" s="183"/>
      <c r="AM56" s="183"/>
      <c r="AN56" s="183"/>
      <c r="AO56" s="183"/>
      <c r="AP56" s="183"/>
      <c r="AQ56" s="183"/>
      <c r="AR56" s="183"/>
      <c r="AS56" s="183"/>
      <c r="AT56" s="183"/>
      <c r="AU56" s="183"/>
      <c r="AV56" s="183"/>
      <c r="AW56" s="183"/>
      <c r="AX56" s="183"/>
      <c r="AY56" s="183"/>
      <c r="AZ56" s="183"/>
      <c r="BA56" s="183"/>
      <c r="BB56" s="183"/>
      <c r="BC56" s="183"/>
      <c r="BD56" s="183"/>
      <c r="BE56" s="183"/>
      <c r="BF56" s="183"/>
      <c r="BG56" s="183"/>
      <c r="BH56" s="183"/>
      <c r="BI56" s="183"/>
      <c r="BJ56" s="183"/>
      <c r="BK56" s="183"/>
      <c r="BL56" s="183"/>
      <c r="BM56" s="183"/>
      <c r="BN56" s="183"/>
      <c r="BO56" s="183"/>
      <c r="BP56" s="183"/>
      <c r="BQ56" s="183"/>
      <c r="BR56" s="183"/>
      <c r="BS56" s="183"/>
      <c r="BT56" s="183"/>
      <c r="BU56" s="183"/>
      <c r="BV56" s="183"/>
      <c r="BW56" s="183"/>
      <c r="BX56" s="183"/>
      <c r="BY56" s="183"/>
      <c r="BZ56" s="183"/>
      <c r="CA56" s="183"/>
      <c r="CB56" s="183"/>
      <c r="CC56" s="183"/>
      <c r="CD56" s="183"/>
      <c r="CE56" s="183"/>
      <c r="CF56" s="183"/>
      <c r="CG56" s="183"/>
      <c r="CH56" s="183"/>
      <c r="CI56" s="183"/>
      <c r="CJ56" s="183"/>
      <c r="CK56" s="183"/>
      <c r="CL56" s="183"/>
      <c r="CM56" s="183"/>
      <c r="CN56" s="183"/>
      <c r="CO56" s="183"/>
      <c r="CP56" s="183"/>
      <c r="CQ56" s="183"/>
      <c r="CR56" s="183"/>
      <c r="CS56" s="183"/>
      <c r="CT56" s="183"/>
      <c r="CU56" s="183"/>
      <c r="CV56" s="183"/>
      <c r="CW56" s="183"/>
      <c r="CX56" s="183"/>
      <c r="CY56" s="183"/>
      <c r="CZ56" s="183"/>
      <c r="DA56" s="183"/>
      <c r="DB56" s="183"/>
      <c r="DC56" s="183"/>
      <c r="DD56" s="183"/>
      <c r="DE56" s="183"/>
      <c r="DF56" s="183"/>
      <c r="DG56" s="183"/>
      <c r="DH56" s="183"/>
      <c r="DI56" s="183"/>
      <c r="DJ56" s="183"/>
      <c r="DK56" s="183"/>
      <c r="DL56" s="183"/>
      <c r="DM56" s="183"/>
      <c r="DN56" s="183"/>
      <c r="DO56" s="183"/>
      <c r="DP56" s="183"/>
    </row>
    <row r="57" spans="1:120" s="474" customFormat="1">
      <c r="B57" s="4527"/>
      <c r="C57" s="850" t="s">
        <v>1602</v>
      </c>
      <c r="D57" s="826" t="s">
        <v>1603</v>
      </c>
      <c r="E57" s="459">
        <v>44083.851999999999</v>
      </c>
      <c r="F57" s="458">
        <v>41473.066588293288</v>
      </c>
      <c r="G57" s="458">
        <v>43707.108</v>
      </c>
      <c r="H57" s="458">
        <v>39990.095000000001</v>
      </c>
      <c r="I57" s="625">
        <v>42301.686000000002</v>
      </c>
      <c r="J57" s="459">
        <v>39745.678999999996</v>
      </c>
      <c r="K57" s="458">
        <v>39473.368999999999</v>
      </c>
      <c r="L57" s="458">
        <v>41687.527999999998</v>
      </c>
      <c r="M57" s="458">
        <v>42537.59818926228</v>
      </c>
      <c r="N57" s="625">
        <v>42068.251843794671</v>
      </c>
      <c r="O57" s="459">
        <v>41690.83551739504</v>
      </c>
      <c r="P57" s="458">
        <v>42104.481624725049</v>
      </c>
      <c r="Q57" s="458">
        <v>42453.515857732316</v>
      </c>
      <c r="R57" s="458">
        <v>42616.98062380997</v>
      </c>
      <c r="S57" s="410">
        <v>42930.592776484234</v>
      </c>
      <c r="T57" s="1172"/>
      <c r="U57" s="1172"/>
      <c r="V57" s="1172"/>
      <c r="W57" s="1172"/>
      <c r="X57" s="1172"/>
      <c r="Y57" s="1172"/>
      <c r="Z57" s="1172"/>
      <c r="AA57" s="1172"/>
      <c r="AB57" s="1172"/>
      <c r="AC57" s="1172"/>
      <c r="AD57" s="1172"/>
      <c r="AE57" s="1172"/>
      <c r="AF57" s="183"/>
      <c r="AG57" s="183"/>
      <c r="AH57" s="183"/>
      <c r="AI57" s="183"/>
      <c r="AJ57" s="183"/>
      <c r="AK57" s="183"/>
      <c r="AL57" s="183"/>
      <c r="AM57" s="183"/>
      <c r="AN57" s="183"/>
      <c r="AO57" s="183"/>
      <c r="AP57" s="183"/>
      <c r="AQ57" s="183"/>
      <c r="AR57" s="183"/>
      <c r="AS57" s="183"/>
      <c r="AT57" s="183"/>
      <c r="AU57" s="183"/>
      <c r="AV57" s="183"/>
      <c r="AW57" s="183"/>
      <c r="AX57" s="183"/>
      <c r="AY57" s="183"/>
      <c r="AZ57" s="183"/>
      <c r="BA57" s="183"/>
      <c r="BB57" s="183"/>
      <c r="BC57" s="183"/>
      <c r="BD57" s="183"/>
      <c r="BE57" s="183"/>
      <c r="BF57" s="183"/>
      <c r="BG57" s="183"/>
      <c r="BH57" s="183"/>
      <c r="BI57" s="183"/>
      <c r="BJ57" s="183"/>
      <c r="BK57" s="183"/>
      <c r="BL57" s="183"/>
      <c r="BM57" s="183"/>
      <c r="BN57" s="183"/>
      <c r="BO57" s="183"/>
      <c r="BP57" s="183"/>
      <c r="BQ57" s="183"/>
      <c r="BR57" s="183"/>
      <c r="BS57" s="183"/>
      <c r="BT57" s="183"/>
      <c r="BU57" s="183"/>
      <c r="BV57" s="183"/>
      <c r="BW57" s="183"/>
      <c r="BX57" s="183"/>
      <c r="BY57" s="183"/>
      <c r="BZ57" s="183"/>
      <c r="CA57" s="183"/>
      <c r="CB57" s="183"/>
      <c r="CC57" s="183"/>
      <c r="CD57" s="183"/>
      <c r="CE57" s="183"/>
      <c r="CF57" s="183"/>
      <c r="CG57" s="183"/>
      <c r="CH57" s="183"/>
      <c r="CI57" s="183"/>
      <c r="CJ57" s="183"/>
      <c r="CK57" s="183"/>
      <c r="CL57" s="183"/>
      <c r="CM57" s="183"/>
      <c r="CN57" s="183"/>
      <c r="CO57" s="183"/>
      <c r="CP57" s="183"/>
      <c r="CQ57" s="183"/>
      <c r="CR57" s="183"/>
      <c r="CS57" s="183"/>
      <c r="CT57" s="183"/>
      <c r="CU57" s="183"/>
      <c r="CV57" s="183"/>
      <c r="CW57" s="183"/>
      <c r="CX57" s="183"/>
      <c r="CY57" s="183"/>
      <c r="CZ57" s="183"/>
      <c r="DA57" s="183"/>
      <c r="DB57" s="183"/>
      <c r="DC57" s="183"/>
      <c r="DD57" s="183"/>
      <c r="DE57" s="183"/>
      <c r="DF57" s="183"/>
      <c r="DG57" s="183"/>
      <c r="DH57" s="183"/>
      <c r="DI57" s="183"/>
      <c r="DJ57" s="183"/>
      <c r="DK57" s="183"/>
      <c r="DL57" s="183"/>
      <c r="DM57" s="183"/>
      <c r="DN57" s="183"/>
      <c r="DO57" s="183"/>
      <c r="DP57" s="183"/>
    </row>
    <row r="58" spans="1:120" s="474" customFormat="1">
      <c r="B58" s="4527"/>
      <c r="C58" s="850" t="s">
        <v>1604</v>
      </c>
      <c r="D58" s="826" t="s">
        <v>1605</v>
      </c>
      <c r="E58" s="459">
        <v>224618.43599999999</v>
      </c>
      <c r="F58" s="458">
        <v>209579.52206296934</v>
      </c>
      <c r="G58" s="458">
        <v>227727.96599999999</v>
      </c>
      <c r="H58" s="458">
        <v>205219.231</v>
      </c>
      <c r="I58" s="625">
        <v>221613.63200000001</v>
      </c>
      <c r="J58" s="459">
        <v>205027.20000000001</v>
      </c>
      <c r="K58" s="458">
        <v>207586.88099999999</v>
      </c>
      <c r="L58" s="458">
        <v>223327.86900000001</v>
      </c>
      <c r="M58" s="458">
        <v>225594.3536255972</v>
      </c>
      <c r="N58" s="625">
        <v>222601.17313415438</v>
      </c>
      <c r="O58" s="459">
        <v>220091.34287019577</v>
      </c>
      <c r="P58" s="458">
        <v>221817.93476113942</v>
      </c>
      <c r="Q58" s="458">
        <v>223191.38009318482</v>
      </c>
      <c r="R58" s="458">
        <v>223559.81767959046</v>
      </c>
      <c r="S58" s="410">
        <v>224698.27229966427</v>
      </c>
      <c r="T58" s="1172"/>
      <c r="U58" s="1172"/>
      <c r="V58" s="1172"/>
      <c r="W58" s="1172"/>
      <c r="X58" s="1172"/>
      <c r="Y58" s="1172"/>
      <c r="Z58" s="1172"/>
      <c r="AA58" s="1172"/>
      <c r="AB58" s="1172"/>
      <c r="AC58" s="1172"/>
      <c r="AD58" s="1172"/>
      <c r="AE58" s="1172"/>
      <c r="AF58" s="183"/>
      <c r="AG58" s="183"/>
      <c r="AH58" s="183"/>
      <c r="AI58" s="183"/>
      <c r="AJ58" s="183"/>
      <c r="AK58" s="183"/>
      <c r="AL58" s="183"/>
      <c r="AM58" s="183"/>
      <c r="AN58" s="183"/>
      <c r="AO58" s="183"/>
      <c r="AP58" s="183"/>
      <c r="AQ58" s="183"/>
      <c r="AR58" s="183"/>
      <c r="AS58" s="183"/>
      <c r="AT58" s="183"/>
      <c r="AU58" s="183"/>
      <c r="AV58" s="183"/>
      <c r="AW58" s="183"/>
      <c r="AX58" s="183"/>
      <c r="AY58" s="183"/>
      <c r="AZ58" s="183"/>
      <c r="BA58" s="183"/>
      <c r="BB58" s="183"/>
      <c r="BC58" s="183"/>
      <c r="BD58" s="183"/>
      <c r="BE58" s="183"/>
      <c r="BF58" s="183"/>
      <c r="BG58" s="183"/>
      <c r="BH58" s="183"/>
      <c r="BI58" s="183"/>
      <c r="BJ58" s="183"/>
      <c r="BK58" s="183"/>
      <c r="BL58" s="183"/>
      <c r="BM58" s="183"/>
      <c r="BN58" s="183"/>
      <c r="BO58" s="183"/>
      <c r="BP58" s="183"/>
      <c r="BQ58" s="183"/>
      <c r="BR58" s="183"/>
      <c r="BS58" s="183"/>
      <c r="BT58" s="183"/>
      <c r="BU58" s="183"/>
      <c r="BV58" s="183"/>
      <c r="BW58" s="183"/>
      <c r="BX58" s="183"/>
      <c r="BY58" s="183"/>
      <c r="BZ58" s="183"/>
      <c r="CA58" s="183"/>
      <c r="CB58" s="183"/>
      <c r="CC58" s="183"/>
      <c r="CD58" s="183"/>
      <c r="CE58" s="183"/>
      <c r="CF58" s="183"/>
      <c r="CG58" s="183"/>
      <c r="CH58" s="183"/>
      <c r="CI58" s="183"/>
      <c r="CJ58" s="183"/>
      <c r="CK58" s="183"/>
      <c r="CL58" s="183"/>
      <c r="CM58" s="183"/>
      <c r="CN58" s="183"/>
      <c r="CO58" s="183"/>
      <c r="CP58" s="183"/>
      <c r="CQ58" s="183"/>
      <c r="CR58" s="183"/>
      <c r="CS58" s="183"/>
      <c r="CT58" s="183"/>
      <c r="CU58" s="183"/>
      <c r="CV58" s="183"/>
      <c r="CW58" s="183"/>
      <c r="CX58" s="183"/>
      <c r="CY58" s="183"/>
      <c r="CZ58" s="183"/>
      <c r="DA58" s="183"/>
      <c r="DB58" s="183"/>
      <c r="DC58" s="183"/>
      <c r="DD58" s="183"/>
      <c r="DE58" s="183"/>
      <c r="DF58" s="183"/>
      <c r="DG58" s="183"/>
      <c r="DH58" s="183"/>
      <c r="DI58" s="183"/>
      <c r="DJ58" s="183"/>
      <c r="DK58" s="183"/>
      <c r="DL58" s="183"/>
      <c r="DM58" s="183"/>
      <c r="DN58" s="183"/>
      <c r="DO58" s="183"/>
      <c r="DP58" s="183"/>
    </row>
    <row r="59" spans="1:120" s="474" customFormat="1">
      <c r="B59" s="4527"/>
      <c r="C59" s="850" t="s">
        <v>1606</v>
      </c>
      <c r="D59" s="826" t="s">
        <v>1607</v>
      </c>
      <c r="E59" s="459">
        <v>465456.005</v>
      </c>
      <c r="F59" s="458">
        <v>436522.02085477952</v>
      </c>
      <c r="G59" s="458">
        <v>505431.85200000001</v>
      </c>
      <c r="H59" s="458">
        <v>231790.00899999999</v>
      </c>
      <c r="I59" s="625">
        <v>485329.51699999999</v>
      </c>
      <c r="J59" s="459">
        <v>416273.99900000001</v>
      </c>
      <c r="K59" s="458">
        <v>430759.24</v>
      </c>
      <c r="L59" s="458">
        <v>474904.22700000001</v>
      </c>
      <c r="M59" s="458">
        <v>472868.74004430266</v>
      </c>
      <c r="N59" s="625">
        <v>466553.56772395392</v>
      </c>
      <c r="O59" s="459">
        <v>461295.23748955858</v>
      </c>
      <c r="P59" s="458">
        <v>464980.28613798408</v>
      </c>
      <c r="Q59" s="458">
        <v>467913.6130407204</v>
      </c>
      <c r="R59" s="458">
        <v>468762.7408760385</v>
      </c>
      <c r="S59" s="410">
        <v>471815.28004008625</v>
      </c>
      <c r="T59" s="1172"/>
      <c r="U59" s="1172"/>
      <c r="V59" s="1172"/>
      <c r="W59" s="1172"/>
      <c r="X59" s="1172"/>
      <c r="Y59" s="1172"/>
      <c r="Z59" s="1172"/>
      <c r="AA59" s="1172"/>
      <c r="AB59" s="1172"/>
      <c r="AC59" s="1172"/>
      <c r="AD59" s="1172"/>
      <c r="AE59" s="1172"/>
      <c r="AF59" s="183"/>
      <c r="AG59" s="183"/>
      <c r="AH59" s="183"/>
      <c r="AI59" s="183"/>
      <c r="AJ59" s="183"/>
      <c r="AK59" s="183"/>
      <c r="AL59" s="183"/>
      <c r="AM59" s="183"/>
      <c r="AN59" s="183"/>
      <c r="AO59" s="183"/>
      <c r="AP59" s="183"/>
      <c r="AQ59" s="183"/>
      <c r="AR59" s="183"/>
      <c r="AS59" s="183"/>
      <c r="AT59" s="183"/>
      <c r="AU59" s="183"/>
      <c r="AV59" s="183"/>
      <c r="AW59" s="183"/>
      <c r="AX59" s="183"/>
      <c r="AY59" s="183"/>
      <c r="AZ59" s="183"/>
      <c r="BA59" s="183"/>
      <c r="BB59" s="183"/>
      <c r="BC59" s="183"/>
      <c r="BD59" s="183"/>
      <c r="BE59" s="183"/>
      <c r="BF59" s="183"/>
      <c r="BG59" s="183"/>
      <c r="BH59" s="183"/>
      <c r="BI59" s="183"/>
      <c r="BJ59" s="183"/>
      <c r="BK59" s="183"/>
      <c r="BL59" s="183"/>
      <c r="BM59" s="183"/>
      <c r="BN59" s="183"/>
      <c r="BO59" s="183"/>
      <c r="BP59" s="183"/>
      <c r="BQ59" s="183"/>
      <c r="BR59" s="183"/>
      <c r="BS59" s="183"/>
      <c r="BT59" s="183"/>
      <c r="BU59" s="183"/>
      <c r="BV59" s="183"/>
      <c r="BW59" s="183"/>
      <c r="BX59" s="183"/>
      <c r="BY59" s="183"/>
      <c r="BZ59" s="183"/>
      <c r="CA59" s="183"/>
      <c r="CB59" s="183"/>
      <c r="CC59" s="183"/>
      <c r="CD59" s="183"/>
      <c r="CE59" s="183"/>
      <c r="CF59" s="183"/>
      <c r="CG59" s="183"/>
      <c r="CH59" s="183"/>
      <c r="CI59" s="183"/>
      <c r="CJ59" s="183"/>
      <c r="CK59" s="183"/>
      <c r="CL59" s="183"/>
      <c r="CM59" s="183"/>
      <c r="CN59" s="183"/>
      <c r="CO59" s="183"/>
      <c r="CP59" s="183"/>
      <c r="CQ59" s="183"/>
      <c r="CR59" s="183"/>
      <c r="CS59" s="183"/>
      <c r="CT59" s="183"/>
      <c r="CU59" s="183"/>
      <c r="CV59" s="183"/>
      <c r="CW59" s="183"/>
      <c r="CX59" s="183"/>
      <c r="CY59" s="183"/>
      <c r="CZ59" s="183"/>
      <c r="DA59" s="183"/>
      <c r="DB59" s="183"/>
      <c r="DC59" s="183"/>
      <c r="DD59" s="183"/>
      <c r="DE59" s="183"/>
      <c r="DF59" s="183"/>
      <c r="DG59" s="183"/>
      <c r="DH59" s="183"/>
      <c r="DI59" s="183"/>
      <c r="DJ59" s="183"/>
      <c r="DK59" s="183"/>
      <c r="DL59" s="183"/>
      <c r="DM59" s="183"/>
      <c r="DN59" s="183"/>
      <c r="DO59" s="183"/>
      <c r="DP59" s="183"/>
    </row>
    <row r="60" spans="1:120" s="474" customFormat="1">
      <c r="B60" s="4527"/>
      <c r="C60" s="3328" t="s">
        <v>1608</v>
      </c>
      <c r="D60" s="826" t="s">
        <v>1609</v>
      </c>
      <c r="E60" s="666">
        <v>76702.11</v>
      </c>
      <c r="F60" s="667">
        <v>80422.613760326523</v>
      </c>
      <c r="G60" s="667">
        <v>77242.536999999997</v>
      </c>
      <c r="H60" s="667">
        <v>78319.168000000005</v>
      </c>
      <c r="I60" s="3329">
        <v>78566.611999999994</v>
      </c>
      <c r="J60" s="666">
        <v>78263.740999999995</v>
      </c>
      <c r="K60" s="667">
        <v>75432.141000000003</v>
      </c>
      <c r="L60" s="667">
        <v>77062.801999999996</v>
      </c>
      <c r="M60" s="667">
        <v>78050.6152746601</v>
      </c>
      <c r="N60" s="3329">
        <v>76629.083919054174</v>
      </c>
      <c r="O60" s="666">
        <v>75369.53199280001</v>
      </c>
      <c r="P60" s="667">
        <v>75565.586701573513</v>
      </c>
      <c r="Q60" s="667">
        <v>75634.2889723603</v>
      </c>
      <c r="R60" s="667">
        <v>75351.556035157715</v>
      </c>
      <c r="S60" s="3330">
        <v>75344.108225842079</v>
      </c>
      <c r="T60" s="1172"/>
      <c r="U60" s="1172"/>
      <c r="V60" s="1172"/>
      <c r="W60" s="1172"/>
      <c r="X60" s="1172"/>
      <c r="Y60" s="1172"/>
      <c r="Z60" s="1172"/>
      <c r="AA60" s="1172"/>
      <c r="AB60" s="1172"/>
      <c r="AC60" s="1172"/>
      <c r="AD60" s="1172"/>
      <c r="AE60" s="1172"/>
      <c r="AF60" s="183"/>
      <c r="AG60" s="183"/>
      <c r="AH60" s="183"/>
      <c r="AI60" s="183"/>
      <c r="AJ60" s="183"/>
      <c r="AK60" s="183"/>
      <c r="AL60" s="183"/>
      <c r="AM60" s="183"/>
      <c r="AN60" s="183"/>
      <c r="AO60" s="183"/>
      <c r="AP60" s="183"/>
      <c r="AQ60" s="183"/>
      <c r="AR60" s="183"/>
      <c r="AS60" s="183"/>
      <c r="AT60" s="183"/>
      <c r="AU60" s="183"/>
      <c r="AV60" s="183"/>
      <c r="AW60" s="183"/>
      <c r="AX60" s="183"/>
      <c r="AY60" s="183"/>
      <c r="AZ60" s="183"/>
      <c r="BA60" s="183"/>
      <c r="BB60" s="183"/>
      <c r="BC60" s="183"/>
      <c r="BD60" s="183"/>
      <c r="BE60" s="183"/>
      <c r="BF60" s="183"/>
      <c r="BG60" s="183"/>
      <c r="BH60" s="183"/>
      <c r="BI60" s="183"/>
      <c r="BJ60" s="183"/>
      <c r="BK60" s="183"/>
      <c r="BL60" s="183"/>
      <c r="BM60" s="183"/>
      <c r="BN60" s="183"/>
      <c r="BO60" s="183"/>
      <c r="BP60" s="183"/>
      <c r="BQ60" s="183"/>
      <c r="BR60" s="183"/>
      <c r="BS60" s="183"/>
      <c r="BT60" s="183"/>
      <c r="BU60" s="183"/>
      <c r="BV60" s="183"/>
      <c r="BW60" s="183"/>
      <c r="BX60" s="183"/>
      <c r="BY60" s="183"/>
      <c r="BZ60" s="183"/>
      <c r="CA60" s="183"/>
      <c r="CB60" s="183"/>
      <c r="CC60" s="183"/>
      <c r="CD60" s="183"/>
      <c r="CE60" s="183"/>
      <c r="CF60" s="183"/>
      <c r="CG60" s="183"/>
      <c r="CH60" s="183"/>
      <c r="CI60" s="183"/>
      <c r="CJ60" s="183"/>
      <c r="CK60" s="183"/>
      <c r="CL60" s="183"/>
      <c r="CM60" s="183"/>
      <c r="CN60" s="183"/>
      <c r="CO60" s="183"/>
      <c r="CP60" s="183"/>
      <c r="CQ60" s="183"/>
      <c r="CR60" s="183"/>
      <c r="CS60" s="183"/>
      <c r="CT60" s="183"/>
      <c r="CU60" s="183"/>
      <c r="CV60" s="183"/>
      <c r="CW60" s="183"/>
      <c r="CX60" s="183"/>
      <c r="CY60" s="183"/>
      <c r="CZ60" s="183"/>
      <c r="DA60" s="183"/>
      <c r="DB60" s="183"/>
      <c r="DC60" s="183"/>
      <c r="DD60" s="183"/>
      <c r="DE60" s="183"/>
      <c r="DF60" s="183"/>
      <c r="DG60" s="183"/>
      <c r="DH60" s="183"/>
      <c r="DI60" s="183"/>
      <c r="DJ60" s="183"/>
      <c r="DK60" s="183"/>
      <c r="DL60" s="183"/>
      <c r="DM60" s="183"/>
      <c r="DN60" s="183"/>
      <c r="DO60" s="183"/>
      <c r="DP60" s="183"/>
    </row>
    <row r="61" spans="1:120" s="474" customFormat="1">
      <c r="B61" s="4527"/>
      <c r="C61" s="3328" t="s">
        <v>1610</v>
      </c>
      <c r="D61" s="826" t="s">
        <v>1611</v>
      </c>
      <c r="E61" s="666">
        <v>49354.646000000001</v>
      </c>
      <c r="F61" s="667">
        <v>49282.048411706717</v>
      </c>
      <c r="G61" s="667">
        <v>46159.349000000002</v>
      </c>
      <c r="H61" s="667">
        <v>47465.671000000002</v>
      </c>
      <c r="I61" s="3329">
        <v>48334.928</v>
      </c>
      <c r="J61" s="666">
        <v>48518.233</v>
      </c>
      <c r="K61" s="667">
        <v>45615.084000000003</v>
      </c>
      <c r="L61" s="667">
        <v>47549.938000000002</v>
      </c>
      <c r="M61" s="667">
        <v>48149.84019510146</v>
      </c>
      <c r="N61" s="3329">
        <v>47663.875213560226</v>
      </c>
      <c r="O61" s="666">
        <v>47282.757636755101</v>
      </c>
      <c r="P61" s="667">
        <v>47806.27324104686</v>
      </c>
      <c r="Q61" s="667">
        <v>48256.849561635165</v>
      </c>
      <c r="R61" s="667">
        <v>48495.250708734813</v>
      </c>
      <c r="S61" s="3330">
        <v>48892.288541204834</v>
      </c>
      <c r="T61" s="1172"/>
      <c r="U61" s="1172"/>
      <c r="V61" s="1172"/>
      <c r="W61" s="1172"/>
      <c r="X61" s="1172"/>
      <c r="Y61" s="1172"/>
      <c r="Z61" s="1172"/>
      <c r="AA61" s="1172"/>
      <c r="AB61" s="1172"/>
      <c r="AC61" s="1172"/>
      <c r="AD61" s="1172"/>
      <c r="AE61" s="1172"/>
      <c r="AF61" s="183"/>
      <c r="AG61" s="183"/>
      <c r="AH61" s="183"/>
      <c r="AI61" s="183"/>
      <c r="AJ61" s="183"/>
      <c r="AK61" s="183"/>
      <c r="AL61" s="183"/>
      <c r="AM61" s="183"/>
      <c r="AN61" s="183"/>
      <c r="AO61" s="183"/>
      <c r="AP61" s="183"/>
      <c r="AQ61" s="183"/>
      <c r="AR61" s="183"/>
      <c r="AS61" s="183"/>
      <c r="AT61" s="183"/>
      <c r="AU61" s="183"/>
      <c r="AV61" s="183"/>
      <c r="AW61" s="183"/>
      <c r="AX61" s="183"/>
      <c r="AY61" s="183"/>
      <c r="AZ61" s="183"/>
      <c r="BA61" s="183"/>
      <c r="BB61" s="183"/>
      <c r="BC61" s="183"/>
      <c r="BD61" s="183"/>
      <c r="BE61" s="183"/>
      <c r="BF61" s="183"/>
      <c r="BG61" s="183"/>
      <c r="BH61" s="183"/>
      <c r="BI61" s="183"/>
      <c r="BJ61" s="183"/>
      <c r="BK61" s="183"/>
      <c r="BL61" s="183"/>
      <c r="BM61" s="183"/>
      <c r="BN61" s="183"/>
      <c r="BO61" s="183"/>
      <c r="BP61" s="183"/>
      <c r="BQ61" s="183"/>
      <c r="BR61" s="183"/>
      <c r="BS61" s="183"/>
      <c r="BT61" s="183"/>
      <c r="BU61" s="183"/>
      <c r="BV61" s="183"/>
      <c r="BW61" s="183"/>
      <c r="BX61" s="183"/>
      <c r="BY61" s="183"/>
      <c r="BZ61" s="183"/>
      <c r="CA61" s="183"/>
      <c r="CB61" s="183"/>
      <c r="CC61" s="183"/>
      <c r="CD61" s="183"/>
      <c r="CE61" s="183"/>
      <c r="CF61" s="183"/>
      <c r="CG61" s="183"/>
      <c r="CH61" s="183"/>
      <c r="CI61" s="183"/>
      <c r="CJ61" s="183"/>
      <c r="CK61" s="183"/>
      <c r="CL61" s="183"/>
      <c r="CM61" s="183"/>
      <c r="CN61" s="183"/>
      <c r="CO61" s="183"/>
      <c r="CP61" s="183"/>
      <c r="CQ61" s="183"/>
      <c r="CR61" s="183"/>
      <c r="CS61" s="183"/>
      <c r="CT61" s="183"/>
      <c r="CU61" s="183"/>
      <c r="CV61" s="183"/>
      <c r="CW61" s="183"/>
      <c r="CX61" s="183"/>
      <c r="CY61" s="183"/>
      <c r="CZ61" s="183"/>
      <c r="DA61" s="183"/>
      <c r="DB61" s="183"/>
      <c r="DC61" s="183"/>
      <c r="DD61" s="183"/>
      <c r="DE61" s="183"/>
      <c r="DF61" s="183"/>
      <c r="DG61" s="183"/>
      <c r="DH61" s="183"/>
      <c r="DI61" s="183"/>
      <c r="DJ61" s="183"/>
      <c r="DK61" s="183"/>
      <c r="DL61" s="183"/>
      <c r="DM61" s="183"/>
      <c r="DN61" s="183"/>
      <c r="DO61" s="183"/>
      <c r="DP61" s="183"/>
    </row>
    <row r="62" spans="1:120" s="474" customFormat="1">
      <c r="B62" s="4527"/>
      <c r="C62" s="3328" t="s">
        <v>1612</v>
      </c>
      <c r="D62" s="826" t="s">
        <v>1613</v>
      </c>
      <c r="E62" s="666">
        <v>252098.49100000001</v>
      </c>
      <c r="F62" s="667">
        <v>254161.69293703069</v>
      </c>
      <c r="G62" s="667">
        <v>240879.639</v>
      </c>
      <c r="H62" s="667">
        <v>249784.12599999999</v>
      </c>
      <c r="I62" s="3329">
        <v>252277.44699999999</v>
      </c>
      <c r="J62" s="666">
        <v>254007.03400000001</v>
      </c>
      <c r="K62" s="667">
        <v>238940.62400000001</v>
      </c>
      <c r="L62" s="667">
        <v>249948.92800000001</v>
      </c>
      <c r="M62" s="667">
        <v>253160.70141509731</v>
      </c>
      <c r="N62" s="3329">
        <v>250122.46713459902</v>
      </c>
      <c r="O62" s="666">
        <v>247632.94039551762</v>
      </c>
      <c r="P62" s="667">
        <v>249882.24292855867</v>
      </c>
      <c r="Q62" s="667">
        <v>251740.98955471831</v>
      </c>
      <c r="R62" s="667">
        <v>252485.23759902152</v>
      </c>
      <c r="S62" s="3330">
        <v>254147.29060434777</v>
      </c>
      <c r="T62" s="1172"/>
      <c r="U62" s="1172"/>
      <c r="V62" s="1172"/>
      <c r="W62" s="1172"/>
      <c r="X62" s="1172"/>
      <c r="Y62" s="1172"/>
      <c r="Z62" s="1172"/>
      <c r="AA62" s="1172"/>
      <c r="AB62" s="1172"/>
      <c r="AC62" s="1172"/>
      <c r="AD62" s="1172"/>
      <c r="AE62" s="1172"/>
      <c r="AF62" s="183"/>
      <c r="AG62" s="183"/>
      <c r="AH62" s="183"/>
      <c r="AI62" s="183"/>
      <c r="AJ62" s="183"/>
      <c r="AK62" s="183"/>
      <c r="AL62" s="183"/>
      <c r="AM62" s="183"/>
      <c r="AN62" s="183"/>
      <c r="AO62" s="183"/>
      <c r="AP62" s="183"/>
      <c r="AQ62" s="183"/>
      <c r="AR62" s="183"/>
      <c r="AS62" s="183"/>
      <c r="AT62" s="183"/>
      <c r="AU62" s="183"/>
      <c r="AV62" s="183"/>
      <c r="AW62" s="183"/>
      <c r="AX62" s="183"/>
      <c r="AY62" s="183"/>
      <c r="AZ62" s="183"/>
      <c r="BA62" s="183"/>
      <c r="BB62" s="183"/>
      <c r="BC62" s="183"/>
      <c r="BD62" s="183"/>
      <c r="BE62" s="183"/>
      <c r="BF62" s="183"/>
      <c r="BG62" s="183"/>
      <c r="BH62" s="183"/>
      <c r="BI62" s="183"/>
      <c r="BJ62" s="183"/>
      <c r="BK62" s="183"/>
      <c r="BL62" s="183"/>
      <c r="BM62" s="183"/>
      <c r="BN62" s="183"/>
      <c r="BO62" s="183"/>
      <c r="BP62" s="183"/>
      <c r="BQ62" s="183"/>
      <c r="BR62" s="183"/>
      <c r="BS62" s="183"/>
      <c r="BT62" s="183"/>
      <c r="BU62" s="183"/>
      <c r="BV62" s="183"/>
      <c r="BW62" s="183"/>
      <c r="BX62" s="183"/>
      <c r="BY62" s="183"/>
      <c r="BZ62" s="183"/>
      <c r="CA62" s="183"/>
      <c r="CB62" s="183"/>
      <c r="CC62" s="183"/>
      <c r="CD62" s="183"/>
      <c r="CE62" s="183"/>
      <c r="CF62" s="183"/>
      <c r="CG62" s="183"/>
      <c r="CH62" s="183"/>
      <c r="CI62" s="183"/>
      <c r="CJ62" s="183"/>
      <c r="CK62" s="183"/>
      <c r="CL62" s="183"/>
      <c r="CM62" s="183"/>
      <c r="CN62" s="183"/>
      <c r="CO62" s="183"/>
      <c r="CP62" s="183"/>
      <c r="CQ62" s="183"/>
      <c r="CR62" s="183"/>
      <c r="CS62" s="183"/>
      <c r="CT62" s="183"/>
      <c r="CU62" s="183"/>
      <c r="CV62" s="183"/>
      <c r="CW62" s="183"/>
      <c r="CX62" s="183"/>
      <c r="CY62" s="183"/>
      <c r="CZ62" s="183"/>
      <c r="DA62" s="183"/>
      <c r="DB62" s="183"/>
      <c r="DC62" s="183"/>
      <c r="DD62" s="183"/>
      <c r="DE62" s="183"/>
      <c r="DF62" s="183"/>
      <c r="DG62" s="183"/>
      <c r="DH62" s="183"/>
      <c r="DI62" s="183"/>
      <c r="DJ62" s="183"/>
      <c r="DK62" s="183"/>
      <c r="DL62" s="183"/>
      <c r="DM62" s="183"/>
      <c r="DN62" s="183"/>
      <c r="DO62" s="183"/>
      <c r="DP62" s="183"/>
    </row>
    <row r="63" spans="1:120" s="474" customFormat="1">
      <c r="B63" s="4527"/>
      <c r="C63" s="3328" t="s">
        <v>1614</v>
      </c>
      <c r="D63" s="826" t="s">
        <v>1615</v>
      </c>
      <c r="E63" s="666">
        <v>470790.73700000002</v>
      </c>
      <c r="F63" s="667">
        <v>476694.54914522037</v>
      </c>
      <c r="G63" s="667">
        <v>465876.64899999998</v>
      </c>
      <c r="H63" s="667">
        <v>475304.64600000001</v>
      </c>
      <c r="I63" s="3329">
        <v>455966.56800000003</v>
      </c>
      <c r="J63" s="666">
        <v>444929.30699999997</v>
      </c>
      <c r="K63" s="667">
        <v>422991.62099999998</v>
      </c>
      <c r="L63" s="667">
        <v>451721.27799999999</v>
      </c>
      <c r="M63" s="667">
        <v>453641.3128629328</v>
      </c>
      <c r="N63" s="3329">
        <v>450222.68539825856</v>
      </c>
      <c r="O63" s="666">
        <v>447833.35858657461</v>
      </c>
      <c r="P63" s="667">
        <v>453969.62281774025</v>
      </c>
      <c r="Q63" s="667">
        <v>459414.24922337092</v>
      </c>
      <c r="R63" s="667">
        <v>462902.01464021369</v>
      </c>
      <c r="S63" s="3330">
        <v>468498.70322097576</v>
      </c>
      <c r="T63" s="1172"/>
      <c r="U63" s="1172"/>
      <c r="V63" s="1172"/>
      <c r="W63" s="1172"/>
      <c r="X63" s="1172"/>
      <c r="Y63" s="1172"/>
      <c r="Z63" s="1172"/>
      <c r="AA63" s="1172"/>
      <c r="AB63" s="1172"/>
      <c r="AC63" s="1172"/>
      <c r="AD63" s="1172"/>
      <c r="AE63" s="1172"/>
      <c r="AF63" s="183"/>
      <c r="AG63" s="183"/>
      <c r="AH63" s="183"/>
      <c r="AI63" s="183"/>
      <c r="AJ63" s="183"/>
      <c r="AK63" s="183"/>
      <c r="AL63" s="183"/>
      <c r="AM63" s="183"/>
      <c r="AN63" s="183"/>
      <c r="AO63" s="183"/>
      <c r="AP63" s="183"/>
      <c r="AQ63" s="183"/>
      <c r="AR63" s="183"/>
      <c r="AS63" s="183"/>
      <c r="AT63" s="183"/>
      <c r="AU63" s="183"/>
      <c r="AV63" s="183"/>
      <c r="AW63" s="183"/>
      <c r="AX63" s="183"/>
      <c r="AY63" s="183"/>
      <c r="AZ63" s="183"/>
      <c r="BA63" s="183"/>
      <c r="BB63" s="183"/>
      <c r="BC63" s="183"/>
      <c r="BD63" s="183"/>
      <c r="BE63" s="183"/>
      <c r="BF63" s="183"/>
      <c r="BG63" s="183"/>
      <c r="BH63" s="183"/>
      <c r="BI63" s="183"/>
      <c r="BJ63" s="183"/>
      <c r="BK63" s="183"/>
      <c r="BL63" s="183"/>
      <c r="BM63" s="183"/>
      <c r="BN63" s="183"/>
      <c r="BO63" s="183"/>
      <c r="BP63" s="183"/>
      <c r="BQ63" s="183"/>
      <c r="BR63" s="183"/>
      <c r="BS63" s="183"/>
      <c r="BT63" s="183"/>
      <c r="BU63" s="183"/>
      <c r="BV63" s="183"/>
      <c r="BW63" s="183"/>
      <c r="BX63" s="183"/>
      <c r="BY63" s="183"/>
      <c r="BZ63" s="183"/>
      <c r="CA63" s="183"/>
      <c r="CB63" s="183"/>
      <c r="CC63" s="183"/>
      <c r="CD63" s="183"/>
      <c r="CE63" s="183"/>
      <c r="CF63" s="183"/>
      <c r="CG63" s="183"/>
      <c r="CH63" s="183"/>
      <c r="CI63" s="183"/>
      <c r="CJ63" s="183"/>
      <c r="CK63" s="183"/>
      <c r="CL63" s="183"/>
      <c r="CM63" s="183"/>
      <c r="CN63" s="183"/>
      <c r="CO63" s="183"/>
      <c r="CP63" s="183"/>
      <c r="CQ63" s="183"/>
      <c r="CR63" s="183"/>
      <c r="CS63" s="183"/>
      <c r="CT63" s="183"/>
      <c r="CU63" s="183"/>
      <c r="CV63" s="183"/>
      <c r="CW63" s="183"/>
      <c r="CX63" s="183"/>
      <c r="CY63" s="183"/>
      <c r="CZ63" s="183"/>
      <c r="DA63" s="183"/>
      <c r="DB63" s="183"/>
      <c r="DC63" s="183"/>
      <c r="DD63" s="183"/>
      <c r="DE63" s="183"/>
      <c r="DF63" s="183"/>
      <c r="DG63" s="183"/>
      <c r="DH63" s="183"/>
      <c r="DI63" s="183"/>
      <c r="DJ63" s="183"/>
      <c r="DK63" s="183"/>
      <c r="DL63" s="183"/>
      <c r="DM63" s="183"/>
      <c r="DN63" s="183"/>
      <c r="DO63" s="183"/>
      <c r="DP63" s="183"/>
    </row>
    <row r="64" spans="1:120" s="474" customFormat="1" ht="13.5" thickBot="1">
      <c r="B64" s="4528"/>
      <c r="C64" s="4531" t="s">
        <v>376</v>
      </c>
      <c r="D64" s="4535"/>
      <c r="E64" s="1555">
        <v>1637571.254</v>
      </c>
      <c r="F64" s="1557">
        <v>1603016.0299999998</v>
      </c>
      <c r="G64" s="1557">
        <v>1662386.7070000002</v>
      </c>
      <c r="H64" s="1557">
        <v>1381560.5870000001</v>
      </c>
      <c r="I64" s="1560">
        <v>1638908.2259999998</v>
      </c>
      <c r="J64" s="1555">
        <v>1539820.2050000001</v>
      </c>
      <c r="K64" s="1557">
        <v>1511781.5650000002</v>
      </c>
      <c r="L64" s="1557">
        <v>1619490.3940000001</v>
      </c>
      <c r="M64" s="1557">
        <v>1628142.8822306017</v>
      </c>
      <c r="N64" s="1560">
        <v>1609076.340326498</v>
      </c>
      <c r="O64" s="1555">
        <v>1593600.2082525408</v>
      </c>
      <c r="P64" s="1557">
        <v>1608726.1520214502</v>
      </c>
      <c r="Q64" s="1557">
        <v>1621313.1088589835</v>
      </c>
      <c r="R64" s="1557">
        <v>1626749.1084863145</v>
      </c>
      <c r="S64" s="1558">
        <v>1638967.0535660293</v>
      </c>
      <c r="T64" s="1172"/>
      <c r="U64" s="1172"/>
      <c r="V64" s="1172"/>
      <c r="W64" s="1172"/>
      <c r="X64" s="1172"/>
      <c r="Y64" s="1172"/>
      <c r="Z64" s="1172"/>
      <c r="AA64" s="1172"/>
      <c r="AB64" s="1172"/>
      <c r="AC64" s="1172"/>
      <c r="AD64" s="1172"/>
      <c r="AE64" s="1172"/>
      <c r="AF64" s="183"/>
      <c r="AG64" s="183"/>
      <c r="AH64" s="183"/>
      <c r="AI64" s="183"/>
      <c r="AJ64" s="183"/>
      <c r="AK64" s="183"/>
      <c r="AL64" s="183"/>
      <c r="AM64" s="183"/>
      <c r="AN64" s="183"/>
      <c r="AO64" s="183"/>
      <c r="AP64" s="183"/>
      <c r="AQ64" s="183"/>
      <c r="AR64" s="183"/>
      <c r="AS64" s="183"/>
      <c r="AT64" s="183"/>
      <c r="AU64" s="183"/>
      <c r="AV64" s="183"/>
      <c r="AW64" s="183"/>
      <c r="AX64" s="183"/>
      <c r="AY64" s="183"/>
      <c r="AZ64" s="183"/>
      <c r="BA64" s="183"/>
      <c r="BB64" s="183"/>
      <c r="BC64" s="183"/>
      <c r="BD64" s="183"/>
      <c r="BE64" s="183"/>
      <c r="BF64" s="183"/>
      <c r="BG64" s="183"/>
      <c r="BH64" s="183"/>
      <c r="BI64" s="183"/>
      <c r="BJ64" s="183"/>
      <c r="BK64" s="183"/>
      <c r="BL64" s="183"/>
      <c r="BM64" s="183"/>
      <c r="BN64" s="183"/>
      <c r="BO64" s="183"/>
      <c r="BP64" s="183"/>
      <c r="BQ64" s="183"/>
      <c r="BR64" s="183"/>
      <c r="BS64" s="183"/>
      <c r="BT64" s="183"/>
      <c r="BU64" s="183"/>
      <c r="BV64" s="183"/>
      <c r="BW64" s="183"/>
      <c r="BX64" s="183"/>
      <c r="BY64" s="183"/>
      <c r="BZ64" s="183"/>
      <c r="CA64" s="183"/>
      <c r="CB64" s="183"/>
      <c r="CC64" s="183"/>
      <c r="CD64" s="183"/>
      <c r="CE64" s="183"/>
      <c r="CF64" s="183"/>
      <c r="CG64" s="183"/>
      <c r="CH64" s="183"/>
      <c r="CI64" s="183"/>
      <c r="CJ64" s="183"/>
      <c r="CK64" s="183"/>
      <c r="CL64" s="183"/>
      <c r="CM64" s="183"/>
      <c r="CN64" s="183"/>
      <c r="CO64" s="183"/>
      <c r="CP64" s="183"/>
      <c r="CQ64" s="183"/>
      <c r="CR64" s="183"/>
      <c r="CS64" s="183"/>
      <c r="CT64" s="183"/>
      <c r="CU64" s="183"/>
      <c r="CV64" s="183"/>
      <c r="CW64" s="183"/>
      <c r="CX64" s="183"/>
      <c r="CY64" s="183"/>
      <c r="CZ64" s="183"/>
      <c r="DA64" s="183"/>
      <c r="DB64" s="183"/>
      <c r="DC64" s="183"/>
      <c r="DD64" s="183"/>
      <c r="DE64" s="183"/>
      <c r="DF64" s="183"/>
      <c r="DG64" s="183"/>
      <c r="DH64" s="183"/>
      <c r="DI64" s="183"/>
      <c r="DJ64" s="183"/>
      <c r="DK64" s="183"/>
      <c r="DL64" s="183"/>
      <c r="DM64" s="183"/>
      <c r="DN64" s="183"/>
      <c r="DO64" s="183"/>
      <c r="DP64" s="183"/>
    </row>
    <row r="65" spans="2:120" s="474" customFormat="1" ht="13.5" thickBot="1">
      <c r="B65" s="3331" t="s">
        <v>63</v>
      </c>
      <c r="C65" s="3332"/>
      <c r="D65" s="3332"/>
      <c r="E65" s="1562">
        <v>7901402.0770000005</v>
      </c>
      <c r="F65" s="1563">
        <v>7913716.7200000007</v>
      </c>
      <c r="G65" s="1563">
        <v>8210612.9070000006</v>
      </c>
      <c r="H65" s="1563">
        <v>7683325.6770000001</v>
      </c>
      <c r="I65" s="1564">
        <v>8320633.8939999994</v>
      </c>
      <c r="J65" s="1562">
        <v>7854953.6119999997</v>
      </c>
      <c r="K65" s="1563">
        <v>7749332.5350000001</v>
      </c>
      <c r="L65" s="1563">
        <v>8604516.9060000014</v>
      </c>
      <c r="M65" s="1563">
        <v>8377043.2364850584</v>
      </c>
      <c r="N65" s="1564">
        <v>8385627.4988620495</v>
      </c>
      <c r="O65" s="1562">
        <v>8418511.3599457033</v>
      </c>
      <c r="P65" s="1563">
        <v>8508164.5898146797</v>
      </c>
      <c r="Q65" s="1563">
        <v>8592080.395554997</v>
      </c>
      <c r="R65" s="1563">
        <v>8658493.7035147138</v>
      </c>
      <c r="S65" s="1565">
        <v>8673467.240761213</v>
      </c>
      <c r="T65" s="1172"/>
      <c r="U65" s="1172"/>
      <c r="V65" s="1172"/>
      <c r="W65" s="1172"/>
      <c r="X65" s="1172"/>
      <c r="Y65" s="1172"/>
      <c r="Z65" s="1172"/>
      <c r="AA65" s="1172"/>
      <c r="AB65" s="1172"/>
      <c r="AC65" s="1172"/>
      <c r="AD65" s="1172"/>
      <c r="AE65" s="1172"/>
      <c r="AF65" s="183"/>
      <c r="AG65" s="183"/>
      <c r="AH65" s="183"/>
      <c r="AI65" s="183"/>
      <c r="AJ65" s="183"/>
      <c r="AK65" s="183"/>
      <c r="AL65" s="183"/>
      <c r="AM65" s="183"/>
      <c r="AN65" s="183"/>
      <c r="AO65" s="183"/>
      <c r="AP65" s="183"/>
      <c r="AQ65" s="183"/>
      <c r="AR65" s="183"/>
      <c r="AS65" s="183"/>
      <c r="AT65" s="183"/>
      <c r="AU65" s="183"/>
      <c r="AV65" s="183"/>
      <c r="AW65" s="183"/>
      <c r="AX65" s="183"/>
      <c r="AY65" s="183"/>
      <c r="AZ65" s="183"/>
      <c r="BA65" s="183"/>
      <c r="BB65" s="183"/>
      <c r="BC65" s="183"/>
      <c r="BD65" s="183"/>
      <c r="BE65" s="183"/>
      <c r="BF65" s="183"/>
      <c r="BG65" s="183"/>
      <c r="BH65" s="183"/>
      <c r="BI65" s="183"/>
      <c r="BJ65" s="183"/>
      <c r="BK65" s="183"/>
      <c r="BL65" s="183"/>
      <c r="BM65" s="183"/>
      <c r="BN65" s="183"/>
      <c r="BO65" s="183"/>
      <c r="BP65" s="183"/>
      <c r="BQ65" s="183"/>
      <c r="BR65" s="183"/>
      <c r="BS65" s="183"/>
      <c r="BT65" s="183"/>
      <c r="BU65" s="183"/>
      <c r="BV65" s="183"/>
      <c r="BW65" s="183"/>
      <c r="BX65" s="183"/>
      <c r="BY65" s="183"/>
      <c r="BZ65" s="183"/>
      <c r="CA65" s="183"/>
      <c r="CB65" s="183"/>
      <c r="CC65" s="183"/>
      <c r="CD65" s="183"/>
      <c r="CE65" s="183"/>
      <c r="CF65" s="183"/>
      <c r="CG65" s="183"/>
      <c r="CH65" s="183"/>
      <c r="CI65" s="183"/>
      <c r="CJ65" s="183"/>
      <c r="CK65" s="183"/>
      <c r="CL65" s="183"/>
      <c r="CM65" s="183"/>
      <c r="CN65" s="183"/>
      <c r="CO65" s="183"/>
      <c r="CP65" s="183"/>
      <c r="CQ65" s="183"/>
      <c r="CR65" s="183"/>
      <c r="CS65" s="183"/>
      <c r="CT65" s="183"/>
      <c r="CU65" s="183"/>
      <c r="CV65" s="183"/>
      <c r="CW65" s="183"/>
      <c r="CX65" s="183"/>
      <c r="CY65" s="183"/>
      <c r="CZ65" s="183"/>
      <c r="DA65" s="183"/>
      <c r="DB65" s="183"/>
      <c r="DC65" s="183"/>
      <c r="DD65" s="183"/>
      <c r="DE65" s="183"/>
      <c r="DF65" s="183"/>
      <c r="DG65" s="183"/>
      <c r="DH65" s="183"/>
      <c r="DI65" s="183"/>
      <c r="DJ65" s="183"/>
      <c r="DK65" s="183"/>
      <c r="DL65" s="183"/>
      <c r="DM65" s="183"/>
      <c r="DN65" s="183"/>
      <c r="DO65" s="183"/>
      <c r="DP65" s="183"/>
    </row>
    <row r="66" spans="2:120" s="474" customFormat="1" ht="15.75" thickBot="1">
      <c r="B66" s="2141" t="str">
        <f>+'[11]27. Customer numbers'!B56</f>
        <v>Adjoining central</v>
      </c>
      <c r="C66" s="3322"/>
      <c r="D66" s="3323"/>
      <c r="E66" s="3323"/>
      <c r="F66" s="3323"/>
      <c r="G66" s="3323"/>
      <c r="H66" s="3323"/>
      <c r="I66" s="3323"/>
      <c r="J66" s="3323"/>
      <c r="K66" s="3323"/>
      <c r="L66" s="3323"/>
      <c r="M66" s="3323"/>
      <c r="N66" s="3323"/>
      <c r="O66" s="3323"/>
      <c r="P66" s="3323"/>
      <c r="Q66" s="3323"/>
      <c r="R66" s="3323"/>
      <c r="S66" s="3324"/>
      <c r="T66" s="1172"/>
      <c r="U66" s="1172"/>
      <c r="V66" s="1172"/>
      <c r="W66" s="1172"/>
      <c r="X66" s="1172"/>
      <c r="Y66" s="1172"/>
      <c r="Z66" s="1172"/>
      <c r="AA66" s="1172"/>
      <c r="AB66" s="1172"/>
      <c r="AC66" s="1172"/>
      <c r="AD66" s="1172"/>
      <c r="AE66" s="1172"/>
      <c r="AF66" s="183"/>
      <c r="AG66" s="183"/>
      <c r="AH66" s="183"/>
      <c r="AI66" s="183"/>
      <c r="AJ66" s="183"/>
      <c r="AK66" s="183"/>
      <c r="AL66" s="183"/>
      <c r="AM66" s="183"/>
      <c r="AN66" s="183"/>
      <c r="AO66" s="183"/>
      <c r="AP66" s="183"/>
      <c r="AQ66" s="183"/>
      <c r="AR66" s="183"/>
      <c r="AS66" s="183"/>
      <c r="AT66" s="183"/>
      <c r="AU66" s="183"/>
      <c r="AV66" s="183"/>
      <c r="AW66" s="183"/>
      <c r="AX66" s="183"/>
      <c r="AY66" s="183"/>
      <c r="AZ66" s="183"/>
      <c r="BA66" s="183"/>
      <c r="BB66" s="183"/>
      <c r="BC66" s="183"/>
      <c r="BD66" s="183"/>
      <c r="BE66" s="183"/>
      <c r="BF66" s="183"/>
      <c r="BG66" s="183"/>
      <c r="BH66" s="183"/>
      <c r="BI66" s="183"/>
      <c r="BJ66" s="183"/>
      <c r="BK66" s="183"/>
      <c r="BL66" s="183"/>
      <c r="BM66" s="183"/>
      <c r="BN66" s="183"/>
      <c r="BO66" s="183"/>
      <c r="BP66" s="183"/>
      <c r="BQ66" s="183"/>
      <c r="BR66" s="183"/>
      <c r="BS66" s="183"/>
      <c r="BT66" s="183"/>
      <c r="BU66" s="183"/>
      <c r="BV66" s="183"/>
      <c r="BW66" s="183"/>
      <c r="BX66" s="183"/>
      <c r="BY66" s="183"/>
      <c r="BZ66" s="183"/>
      <c r="CA66" s="183"/>
      <c r="CB66" s="183"/>
      <c r="CC66" s="183"/>
      <c r="CD66" s="183"/>
      <c r="CE66" s="183"/>
      <c r="CF66" s="183"/>
      <c r="CG66" s="183"/>
      <c r="CH66" s="183"/>
      <c r="CI66" s="183"/>
      <c r="CJ66" s="183"/>
      <c r="CK66" s="183"/>
      <c r="CL66" s="183"/>
      <c r="CM66" s="183"/>
      <c r="CN66" s="183"/>
      <c r="CO66" s="183"/>
      <c r="CP66" s="183"/>
      <c r="CQ66" s="183"/>
      <c r="CR66" s="183"/>
      <c r="CS66" s="183"/>
      <c r="CT66" s="183"/>
      <c r="CU66" s="183"/>
      <c r="CV66" s="183"/>
      <c r="CW66" s="183"/>
      <c r="CX66" s="183"/>
      <c r="CY66" s="183"/>
      <c r="CZ66" s="183"/>
      <c r="DA66" s="183"/>
      <c r="DB66" s="183"/>
      <c r="DC66" s="183"/>
      <c r="DD66" s="183"/>
      <c r="DE66" s="183"/>
      <c r="DF66" s="183"/>
      <c r="DG66" s="183"/>
      <c r="DH66" s="183"/>
      <c r="DI66" s="183"/>
      <c r="DJ66" s="183"/>
      <c r="DK66" s="183"/>
      <c r="DL66" s="183"/>
      <c r="DM66" s="183"/>
      <c r="DN66" s="183"/>
      <c r="DO66" s="183"/>
      <c r="DP66" s="183"/>
    </row>
    <row r="67" spans="2:120" s="474" customFormat="1" ht="15.75" thickBot="1">
      <c r="B67" s="2141" t="str">
        <f>+'[11]27. Customer numbers'!B57</f>
        <v>Tariff V</v>
      </c>
      <c r="C67" s="3325"/>
      <c r="D67" s="3326"/>
      <c r="E67" s="3326"/>
      <c r="F67" s="3326"/>
      <c r="G67" s="3326"/>
      <c r="H67" s="3326"/>
      <c r="I67" s="3326"/>
      <c r="J67" s="3326"/>
      <c r="K67" s="3326"/>
      <c r="L67" s="3326"/>
      <c r="M67" s="3326"/>
      <c r="N67" s="3326"/>
      <c r="O67" s="3326"/>
      <c r="P67" s="3326"/>
      <c r="Q67" s="3326"/>
      <c r="R67" s="3326"/>
      <c r="S67" s="3327"/>
      <c r="T67" s="1172"/>
      <c r="U67" s="1172"/>
      <c r="V67" s="1172"/>
      <c r="W67" s="1172"/>
      <c r="X67" s="1172"/>
      <c r="Y67" s="1172"/>
      <c r="Z67" s="1172"/>
      <c r="AA67" s="1172"/>
      <c r="AB67" s="1172"/>
      <c r="AC67" s="1172"/>
      <c r="AD67" s="1172"/>
      <c r="AE67" s="1172"/>
      <c r="AF67" s="183"/>
      <c r="AG67" s="183"/>
      <c r="AH67" s="183"/>
      <c r="AI67" s="183"/>
      <c r="AJ67" s="183"/>
      <c r="AK67" s="183"/>
      <c r="AL67" s="183"/>
      <c r="AM67" s="183"/>
      <c r="AN67" s="183"/>
      <c r="AO67" s="183"/>
      <c r="AP67" s="183"/>
      <c r="AQ67" s="183"/>
      <c r="AR67" s="183"/>
      <c r="AS67" s="183"/>
      <c r="AT67" s="183"/>
      <c r="AU67" s="183"/>
      <c r="AV67" s="183"/>
      <c r="AW67" s="183"/>
      <c r="AX67" s="183"/>
      <c r="AY67" s="183"/>
      <c r="AZ67" s="183"/>
      <c r="BA67" s="183"/>
      <c r="BB67" s="183"/>
      <c r="BC67" s="183"/>
      <c r="BD67" s="183"/>
      <c r="BE67" s="183"/>
      <c r="BF67" s="183"/>
      <c r="BG67" s="183"/>
      <c r="BH67" s="183"/>
      <c r="BI67" s="183"/>
      <c r="BJ67" s="183"/>
      <c r="BK67" s="183"/>
      <c r="BL67" s="183"/>
      <c r="BM67" s="183"/>
      <c r="BN67" s="183"/>
      <c r="BO67" s="183"/>
      <c r="BP67" s="183"/>
      <c r="BQ67" s="183"/>
      <c r="BR67" s="183"/>
      <c r="BS67" s="183"/>
      <c r="BT67" s="183"/>
      <c r="BU67" s="183"/>
      <c r="BV67" s="183"/>
      <c r="BW67" s="183"/>
      <c r="BX67" s="183"/>
      <c r="BY67" s="183"/>
      <c r="BZ67" s="183"/>
      <c r="CA67" s="183"/>
      <c r="CB67" s="183"/>
      <c r="CC67" s="183"/>
      <c r="CD67" s="183"/>
      <c r="CE67" s="183"/>
      <c r="CF67" s="183"/>
      <c r="CG67" s="183"/>
      <c r="CH67" s="183"/>
      <c r="CI67" s="183"/>
      <c r="CJ67" s="183"/>
      <c r="CK67" s="183"/>
      <c r="CL67" s="183"/>
      <c r="CM67" s="183"/>
      <c r="CN67" s="183"/>
      <c r="CO67" s="183"/>
      <c r="CP67" s="183"/>
      <c r="CQ67" s="183"/>
      <c r="CR67" s="183"/>
      <c r="CS67" s="183"/>
      <c r="CT67" s="183"/>
      <c r="CU67" s="183"/>
      <c r="CV67" s="183"/>
      <c r="CW67" s="183"/>
      <c r="CX67" s="183"/>
      <c r="CY67" s="183"/>
      <c r="CZ67" s="183"/>
      <c r="DA67" s="183"/>
      <c r="DB67" s="183"/>
      <c r="DC67" s="183"/>
      <c r="DD67" s="183"/>
      <c r="DE67" s="183"/>
      <c r="DF67" s="183"/>
      <c r="DG67" s="183"/>
      <c r="DH67" s="183"/>
      <c r="DI67" s="183"/>
      <c r="DJ67" s="183"/>
      <c r="DK67" s="183"/>
      <c r="DL67" s="183"/>
      <c r="DM67" s="183"/>
      <c r="DN67" s="183"/>
      <c r="DO67" s="183"/>
      <c r="DP67" s="183"/>
    </row>
    <row r="68" spans="2:120" s="474" customFormat="1">
      <c r="B68" s="4527" t="str">
        <f>+'[11]27. Customer numbers'!B60</f>
        <v>Residential customers</v>
      </c>
      <c r="C68" s="4529" t="s">
        <v>47</v>
      </c>
      <c r="D68" s="4530"/>
      <c r="E68" s="1541">
        <v>288.5</v>
      </c>
      <c r="F68" s="1542">
        <v>628.5</v>
      </c>
      <c r="G68" s="1542">
        <v>828.5</v>
      </c>
      <c r="H68" s="1542">
        <v>1006</v>
      </c>
      <c r="I68" s="1559">
        <v>1149</v>
      </c>
      <c r="J68" s="1541">
        <v>1268</v>
      </c>
      <c r="K68" s="1542">
        <v>1371</v>
      </c>
      <c r="L68" s="1542">
        <v>1462.5</v>
      </c>
      <c r="M68" s="1542">
        <v>1548.5</v>
      </c>
      <c r="N68" s="1559">
        <v>1605.4252928219171</v>
      </c>
      <c r="O68" s="1541">
        <v>1822.9677859651274</v>
      </c>
      <c r="P68" s="1542">
        <v>2179.4663344595401</v>
      </c>
      <c r="Q68" s="1542">
        <v>2456.004686334802</v>
      </c>
      <c r="R68" s="1542">
        <v>2672.7293298911763</v>
      </c>
      <c r="S68" s="1556">
        <v>2844.2144429580603</v>
      </c>
      <c r="T68" s="1172"/>
      <c r="U68" s="1172"/>
      <c r="V68" s="1172"/>
      <c r="W68" s="1172"/>
      <c r="X68" s="1172"/>
      <c r="Y68" s="1172"/>
      <c r="Z68" s="1172"/>
      <c r="AA68" s="1172"/>
      <c r="AB68" s="1172"/>
      <c r="AC68" s="1172"/>
      <c r="AD68" s="1172"/>
      <c r="AE68" s="1172"/>
      <c r="AF68" s="183"/>
      <c r="AG68" s="183"/>
      <c r="AH68" s="183"/>
      <c r="AI68" s="183"/>
      <c r="AJ68" s="183"/>
      <c r="AK68" s="183"/>
      <c r="AL68" s="183"/>
      <c r="AM68" s="183"/>
      <c r="AN68" s="183"/>
      <c r="AO68" s="183"/>
      <c r="AP68" s="183"/>
      <c r="AQ68" s="183"/>
      <c r="AR68" s="183"/>
      <c r="AS68" s="183"/>
      <c r="AT68" s="183"/>
      <c r="AU68" s="183"/>
      <c r="AV68" s="183"/>
      <c r="AW68" s="183"/>
      <c r="AX68" s="183"/>
      <c r="AY68" s="183"/>
      <c r="AZ68" s="183"/>
      <c r="BA68" s="183"/>
      <c r="BB68" s="183"/>
      <c r="BC68" s="183"/>
      <c r="BD68" s="183"/>
      <c r="BE68" s="183"/>
      <c r="BF68" s="183"/>
      <c r="BG68" s="183"/>
      <c r="BH68" s="183"/>
      <c r="BI68" s="183"/>
      <c r="BJ68" s="183"/>
      <c r="BK68" s="183"/>
      <c r="BL68" s="183"/>
      <c r="BM68" s="183"/>
      <c r="BN68" s="183"/>
      <c r="BO68" s="183"/>
      <c r="BP68" s="183"/>
      <c r="BQ68" s="183"/>
      <c r="BR68" s="183"/>
      <c r="BS68" s="183"/>
      <c r="BT68" s="183"/>
      <c r="BU68" s="183"/>
      <c r="BV68" s="183"/>
      <c r="BW68" s="183"/>
      <c r="BX68" s="183"/>
      <c r="BY68" s="183"/>
      <c r="BZ68" s="183"/>
      <c r="CA68" s="183"/>
      <c r="CB68" s="183"/>
      <c r="CC68" s="183"/>
      <c r="CD68" s="183"/>
      <c r="CE68" s="183"/>
      <c r="CF68" s="183"/>
      <c r="CG68" s="183"/>
      <c r="CH68" s="183"/>
      <c r="CI68" s="183"/>
      <c r="CJ68" s="183"/>
      <c r="CK68" s="183"/>
      <c r="CL68" s="183"/>
      <c r="CM68" s="183"/>
      <c r="CN68" s="183"/>
      <c r="CO68" s="183"/>
      <c r="CP68" s="183"/>
      <c r="CQ68" s="183"/>
      <c r="CR68" s="183"/>
      <c r="CS68" s="183"/>
      <c r="CT68" s="183"/>
      <c r="CU68" s="183"/>
      <c r="CV68" s="183"/>
      <c r="CW68" s="183"/>
      <c r="CX68" s="183"/>
      <c r="CY68" s="183"/>
      <c r="CZ68" s="183"/>
      <c r="DA68" s="183"/>
      <c r="DB68" s="183"/>
      <c r="DC68" s="183"/>
      <c r="DD68" s="183"/>
      <c r="DE68" s="183"/>
      <c r="DF68" s="183"/>
      <c r="DG68" s="183"/>
      <c r="DH68" s="183"/>
      <c r="DI68" s="183"/>
      <c r="DJ68" s="183"/>
      <c r="DK68" s="183"/>
      <c r="DL68" s="183"/>
      <c r="DM68" s="183"/>
      <c r="DN68" s="183"/>
      <c r="DO68" s="183"/>
      <c r="DP68" s="183"/>
    </row>
    <row r="69" spans="2:120" s="474" customFormat="1">
      <c r="B69" s="4527"/>
      <c r="C69" s="850" t="s">
        <v>1600</v>
      </c>
      <c r="D69" s="826" t="s">
        <v>1601</v>
      </c>
      <c r="E69" s="459">
        <v>2921.0210000000002</v>
      </c>
      <c r="F69" s="458">
        <v>5307.4307941825246</v>
      </c>
      <c r="G69" s="458">
        <v>7109.2</v>
      </c>
      <c r="H69" s="458">
        <v>8190.1480000000001</v>
      </c>
      <c r="I69" s="625">
        <v>9762.5</v>
      </c>
      <c r="J69" s="459">
        <v>10453.879999999999</v>
      </c>
      <c r="K69" s="458">
        <v>10406.509</v>
      </c>
      <c r="L69" s="458">
        <v>12478.412</v>
      </c>
      <c r="M69" s="458">
        <v>13126.069168488792</v>
      </c>
      <c r="N69" s="625">
        <v>14634.202694069147</v>
      </c>
      <c r="O69" s="459">
        <v>17210.240360543878</v>
      </c>
      <c r="P69" s="458">
        <v>19203.888012790721</v>
      </c>
      <c r="Q69" s="458">
        <v>20715.813252694847</v>
      </c>
      <c r="R69" s="458">
        <v>21850.24323945717</v>
      </c>
      <c r="S69" s="410">
        <v>22298.595871693811</v>
      </c>
      <c r="T69" s="1172"/>
      <c r="U69" s="1172"/>
      <c r="V69" s="1172"/>
      <c r="W69" s="1172"/>
      <c r="X69" s="1172"/>
      <c r="Y69" s="1172"/>
      <c r="Z69" s="1172"/>
      <c r="AA69" s="1172"/>
      <c r="AB69" s="1172"/>
      <c r="AC69" s="1172"/>
      <c r="AD69" s="1172"/>
      <c r="AE69" s="1172"/>
      <c r="AF69" s="183"/>
      <c r="AG69" s="183"/>
      <c r="AH69" s="183"/>
      <c r="AI69" s="183"/>
      <c r="AJ69" s="183"/>
      <c r="AK69" s="183"/>
      <c r="AL69" s="183"/>
      <c r="AM69" s="183"/>
      <c r="AN69" s="183"/>
      <c r="AO69" s="183"/>
      <c r="AP69" s="183"/>
      <c r="AQ69" s="183"/>
      <c r="AR69" s="183"/>
      <c r="AS69" s="183"/>
      <c r="AT69" s="183"/>
      <c r="AU69" s="183"/>
      <c r="AV69" s="183"/>
      <c r="AW69" s="183"/>
      <c r="AX69" s="183"/>
      <c r="AY69" s="183"/>
      <c r="AZ69" s="183"/>
      <c r="BA69" s="183"/>
      <c r="BB69" s="183"/>
      <c r="BC69" s="183"/>
      <c r="BD69" s="183"/>
      <c r="BE69" s="183"/>
      <c r="BF69" s="183"/>
      <c r="BG69" s="183"/>
      <c r="BH69" s="183"/>
      <c r="BI69" s="183"/>
      <c r="BJ69" s="183"/>
      <c r="BK69" s="183"/>
      <c r="BL69" s="183"/>
      <c r="BM69" s="183"/>
      <c r="BN69" s="183"/>
      <c r="BO69" s="183"/>
      <c r="BP69" s="183"/>
      <c r="BQ69" s="183"/>
      <c r="BR69" s="183"/>
      <c r="BS69" s="183"/>
      <c r="BT69" s="183"/>
      <c r="BU69" s="183"/>
      <c r="BV69" s="183"/>
      <c r="BW69" s="183"/>
      <c r="BX69" s="183"/>
      <c r="BY69" s="183"/>
      <c r="BZ69" s="183"/>
      <c r="CA69" s="183"/>
      <c r="CB69" s="183"/>
      <c r="CC69" s="183"/>
      <c r="CD69" s="183"/>
      <c r="CE69" s="183"/>
      <c r="CF69" s="183"/>
      <c r="CG69" s="183"/>
      <c r="CH69" s="183"/>
      <c r="CI69" s="183"/>
      <c r="CJ69" s="183"/>
      <c r="CK69" s="183"/>
      <c r="CL69" s="183"/>
      <c r="CM69" s="183"/>
      <c r="CN69" s="183"/>
      <c r="CO69" s="183"/>
      <c r="CP69" s="183"/>
      <c r="CQ69" s="183"/>
      <c r="CR69" s="183"/>
      <c r="CS69" s="183"/>
      <c r="CT69" s="183"/>
      <c r="CU69" s="183"/>
      <c r="CV69" s="183"/>
      <c r="CW69" s="183"/>
      <c r="CX69" s="183"/>
      <c r="CY69" s="183"/>
      <c r="CZ69" s="183"/>
      <c r="DA69" s="183"/>
      <c r="DB69" s="183"/>
      <c r="DC69" s="183"/>
      <c r="DD69" s="183"/>
      <c r="DE69" s="183"/>
      <c r="DF69" s="183"/>
      <c r="DG69" s="183"/>
      <c r="DH69" s="183"/>
      <c r="DI69" s="183"/>
      <c r="DJ69" s="183"/>
      <c r="DK69" s="183"/>
      <c r="DL69" s="183"/>
      <c r="DM69" s="183"/>
      <c r="DN69" s="183"/>
      <c r="DO69" s="183"/>
      <c r="DP69" s="183"/>
    </row>
    <row r="70" spans="2:120" s="474" customFormat="1">
      <c r="B70" s="4527"/>
      <c r="C70" s="850" t="s">
        <v>1602</v>
      </c>
      <c r="D70" s="826" t="s">
        <v>1603</v>
      </c>
      <c r="E70" s="459">
        <v>1411.7650000000001</v>
      </c>
      <c r="F70" s="458">
        <v>3031.3226208390934</v>
      </c>
      <c r="G70" s="458">
        <v>4397.6180000000004</v>
      </c>
      <c r="H70" s="458">
        <v>4902.0169999999998</v>
      </c>
      <c r="I70" s="625">
        <v>6075.4089999999997</v>
      </c>
      <c r="J70" s="459">
        <v>6061.7920000000004</v>
      </c>
      <c r="K70" s="458">
        <v>6604.38</v>
      </c>
      <c r="L70" s="458">
        <v>7954.0219999999999</v>
      </c>
      <c r="M70" s="458">
        <v>8149.7940436142708</v>
      </c>
      <c r="N70" s="625">
        <v>9070.1701267269418</v>
      </c>
      <c r="O70" s="459">
        <v>10649.673231781602</v>
      </c>
      <c r="P70" s="458">
        <v>11859.299159975571</v>
      </c>
      <c r="Q70" s="458">
        <v>12763.23085427029</v>
      </c>
      <c r="R70" s="458">
        <v>13427.824898878118</v>
      </c>
      <c r="S70" s="410">
        <v>13666.025286088659</v>
      </c>
      <c r="T70" s="1172"/>
      <c r="U70" s="1172"/>
      <c r="V70" s="1172"/>
      <c r="W70" s="1172"/>
      <c r="X70" s="1172"/>
      <c r="Y70" s="1172"/>
      <c r="Z70" s="1172"/>
      <c r="AA70" s="1172"/>
      <c r="AB70" s="1172"/>
      <c r="AC70" s="1172"/>
      <c r="AD70" s="1172"/>
      <c r="AE70" s="1172"/>
      <c r="AF70" s="183"/>
      <c r="AG70" s="183"/>
      <c r="AH70" s="183"/>
      <c r="AI70" s="183"/>
      <c r="AJ70" s="183"/>
      <c r="AK70" s="183"/>
      <c r="AL70" s="183"/>
      <c r="AM70" s="183"/>
      <c r="AN70" s="183"/>
      <c r="AO70" s="183"/>
      <c r="AP70" s="183"/>
      <c r="AQ70" s="183"/>
      <c r="AR70" s="183"/>
      <c r="AS70" s="183"/>
      <c r="AT70" s="183"/>
      <c r="AU70" s="183"/>
      <c r="AV70" s="183"/>
      <c r="AW70" s="183"/>
      <c r="AX70" s="183"/>
      <c r="AY70" s="183"/>
      <c r="AZ70" s="183"/>
      <c r="BA70" s="183"/>
      <c r="BB70" s="183"/>
      <c r="BC70" s="183"/>
      <c r="BD70" s="183"/>
      <c r="BE70" s="183"/>
      <c r="BF70" s="183"/>
      <c r="BG70" s="183"/>
      <c r="BH70" s="183"/>
      <c r="BI70" s="183"/>
      <c r="BJ70" s="183"/>
      <c r="BK70" s="183"/>
      <c r="BL70" s="183"/>
      <c r="BM70" s="183"/>
      <c r="BN70" s="183"/>
      <c r="BO70" s="183"/>
      <c r="BP70" s="183"/>
      <c r="BQ70" s="183"/>
      <c r="BR70" s="183"/>
      <c r="BS70" s="183"/>
      <c r="BT70" s="183"/>
      <c r="BU70" s="183"/>
      <c r="BV70" s="183"/>
      <c r="BW70" s="183"/>
      <c r="BX70" s="183"/>
      <c r="BY70" s="183"/>
      <c r="BZ70" s="183"/>
      <c r="CA70" s="183"/>
      <c r="CB70" s="183"/>
      <c r="CC70" s="183"/>
      <c r="CD70" s="183"/>
      <c r="CE70" s="183"/>
      <c r="CF70" s="183"/>
      <c r="CG70" s="183"/>
      <c r="CH70" s="183"/>
      <c r="CI70" s="183"/>
      <c r="CJ70" s="183"/>
      <c r="CK70" s="183"/>
      <c r="CL70" s="183"/>
      <c r="CM70" s="183"/>
      <c r="CN70" s="183"/>
      <c r="CO70" s="183"/>
      <c r="CP70" s="183"/>
      <c r="CQ70" s="183"/>
      <c r="CR70" s="183"/>
      <c r="CS70" s="183"/>
      <c r="CT70" s="183"/>
      <c r="CU70" s="183"/>
      <c r="CV70" s="183"/>
      <c r="CW70" s="183"/>
      <c r="CX70" s="183"/>
      <c r="CY70" s="183"/>
      <c r="CZ70" s="183"/>
      <c r="DA70" s="183"/>
      <c r="DB70" s="183"/>
      <c r="DC70" s="183"/>
      <c r="DD70" s="183"/>
      <c r="DE70" s="183"/>
      <c r="DF70" s="183"/>
      <c r="DG70" s="183"/>
      <c r="DH70" s="183"/>
      <c r="DI70" s="183"/>
      <c r="DJ70" s="183"/>
      <c r="DK70" s="183"/>
      <c r="DL70" s="183"/>
      <c r="DM70" s="183"/>
      <c r="DN70" s="183"/>
      <c r="DO70" s="183"/>
      <c r="DP70" s="183"/>
    </row>
    <row r="71" spans="2:120" s="474" customFormat="1">
      <c r="B71" s="4527"/>
      <c r="C71" s="850" t="s">
        <v>1604</v>
      </c>
      <c r="D71" s="826" t="s">
        <v>1605</v>
      </c>
      <c r="E71" s="459">
        <v>2198.7399999999998</v>
      </c>
      <c r="F71" s="458">
        <v>3866.3907918409768</v>
      </c>
      <c r="G71" s="458">
        <v>6303.018</v>
      </c>
      <c r="H71" s="458">
        <v>5988.268</v>
      </c>
      <c r="I71" s="625">
        <v>7866.4030000000002</v>
      </c>
      <c r="J71" s="459">
        <v>6827.5280000000002</v>
      </c>
      <c r="K71" s="458">
        <v>9458.9279999999999</v>
      </c>
      <c r="L71" s="458">
        <v>11246.334000000001</v>
      </c>
      <c r="M71" s="458">
        <v>10868.949324548688</v>
      </c>
      <c r="N71" s="625">
        <v>11945.254789433173</v>
      </c>
      <c r="O71" s="459">
        <v>13800.605769873637</v>
      </c>
      <c r="P71" s="458">
        <v>15241.899276383167</v>
      </c>
      <c r="Q71" s="458">
        <v>16332.895288807907</v>
      </c>
      <c r="R71" s="458">
        <v>17147.727296701432</v>
      </c>
      <c r="S71" s="410">
        <v>17468.955626312396</v>
      </c>
      <c r="T71" s="1172"/>
      <c r="U71" s="1172"/>
      <c r="V71" s="1172"/>
      <c r="W71" s="1172"/>
      <c r="X71" s="1172"/>
      <c r="Y71" s="1172"/>
      <c r="Z71" s="1172"/>
      <c r="AA71" s="1172"/>
      <c r="AB71" s="1172"/>
      <c r="AC71" s="1172"/>
      <c r="AD71" s="1172"/>
      <c r="AE71" s="1172"/>
      <c r="AF71" s="183"/>
      <c r="AG71" s="183"/>
      <c r="AH71" s="183"/>
      <c r="AI71" s="183"/>
      <c r="AJ71" s="183"/>
      <c r="AK71" s="183"/>
      <c r="AL71" s="183"/>
      <c r="AM71" s="183"/>
      <c r="AN71" s="183"/>
      <c r="AO71" s="183"/>
      <c r="AP71" s="183"/>
      <c r="AQ71" s="183"/>
      <c r="AR71" s="183"/>
      <c r="AS71" s="183"/>
      <c r="AT71" s="183"/>
      <c r="AU71" s="183"/>
      <c r="AV71" s="183"/>
      <c r="AW71" s="183"/>
      <c r="AX71" s="183"/>
      <c r="AY71" s="183"/>
      <c r="AZ71" s="183"/>
      <c r="BA71" s="183"/>
      <c r="BB71" s="183"/>
      <c r="BC71" s="183"/>
      <c r="BD71" s="183"/>
      <c r="BE71" s="183"/>
      <c r="BF71" s="183"/>
      <c r="BG71" s="183"/>
      <c r="BH71" s="183"/>
      <c r="BI71" s="183"/>
      <c r="BJ71" s="183"/>
      <c r="BK71" s="183"/>
      <c r="BL71" s="183"/>
      <c r="BM71" s="183"/>
      <c r="BN71" s="183"/>
      <c r="BO71" s="183"/>
      <c r="BP71" s="183"/>
      <c r="BQ71" s="183"/>
      <c r="BR71" s="183"/>
      <c r="BS71" s="183"/>
      <c r="BT71" s="183"/>
      <c r="BU71" s="183"/>
      <c r="BV71" s="183"/>
      <c r="BW71" s="183"/>
      <c r="BX71" s="183"/>
      <c r="BY71" s="183"/>
      <c r="BZ71" s="183"/>
      <c r="CA71" s="183"/>
      <c r="CB71" s="183"/>
      <c r="CC71" s="183"/>
      <c r="CD71" s="183"/>
      <c r="CE71" s="183"/>
      <c r="CF71" s="183"/>
      <c r="CG71" s="183"/>
      <c r="CH71" s="183"/>
      <c r="CI71" s="183"/>
      <c r="CJ71" s="183"/>
      <c r="CK71" s="183"/>
      <c r="CL71" s="183"/>
      <c r="CM71" s="183"/>
      <c r="CN71" s="183"/>
      <c r="CO71" s="183"/>
      <c r="CP71" s="183"/>
      <c r="CQ71" s="183"/>
      <c r="CR71" s="183"/>
      <c r="CS71" s="183"/>
      <c r="CT71" s="183"/>
      <c r="CU71" s="183"/>
      <c r="CV71" s="183"/>
      <c r="CW71" s="183"/>
      <c r="CX71" s="183"/>
      <c r="CY71" s="183"/>
      <c r="CZ71" s="183"/>
      <c r="DA71" s="183"/>
      <c r="DB71" s="183"/>
      <c r="DC71" s="183"/>
      <c r="DD71" s="183"/>
      <c r="DE71" s="183"/>
      <c r="DF71" s="183"/>
      <c r="DG71" s="183"/>
      <c r="DH71" s="183"/>
      <c r="DI71" s="183"/>
      <c r="DJ71" s="183"/>
      <c r="DK71" s="183"/>
      <c r="DL71" s="183"/>
      <c r="DM71" s="183"/>
      <c r="DN71" s="183"/>
      <c r="DO71" s="183"/>
      <c r="DP71" s="183"/>
    </row>
    <row r="72" spans="2:120" s="474" customFormat="1">
      <c r="B72" s="4527"/>
      <c r="C72" s="850" t="s">
        <v>1606</v>
      </c>
      <c r="D72" s="826" t="s">
        <v>1607</v>
      </c>
      <c r="E72" s="459">
        <v>271.34899999999999</v>
      </c>
      <c r="F72" s="458">
        <v>366.32438105567024</v>
      </c>
      <c r="G72" s="458">
        <v>491.178</v>
      </c>
      <c r="H72" s="458">
        <v>491.34399999999999</v>
      </c>
      <c r="I72" s="625">
        <v>462.87799999999999</v>
      </c>
      <c r="J72" s="459">
        <v>370.37099999999998</v>
      </c>
      <c r="K72" s="458">
        <v>275.09899999999999</v>
      </c>
      <c r="L72" s="458">
        <v>507.286</v>
      </c>
      <c r="M72" s="458">
        <v>525.11769634598056</v>
      </c>
      <c r="N72" s="625">
        <v>611.28669634909613</v>
      </c>
      <c r="O72" s="459">
        <v>754.97406831197748</v>
      </c>
      <c r="P72" s="458">
        <v>871.03267339357444</v>
      </c>
      <c r="Q72" s="458">
        <v>964.25057770796593</v>
      </c>
      <c r="R72" s="458">
        <v>1039.4452014441306</v>
      </c>
      <c r="S72" s="410">
        <v>1078.4328933479064</v>
      </c>
      <c r="T72" s="1172"/>
      <c r="U72" s="1172"/>
      <c r="V72" s="1172"/>
      <c r="W72" s="1172"/>
      <c r="X72" s="1172"/>
      <c r="Y72" s="1172"/>
      <c r="Z72" s="1172"/>
      <c r="AA72" s="1172"/>
      <c r="AB72" s="1172"/>
      <c r="AC72" s="1172"/>
      <c r="AD72" s="1172"/>
      <c r="AE72" s="1172"/>
      <c r="AF72" s="183"/>
      <c r="AG72" s="183"/>
      <c r="AH72" s="183"/>
      <c r="AI72" s="183"/>
      <c r="AJ72" s="183"/>
      <c r="AK72" s="183"/>
      <c r="AL72" s="183"/>
      <c r="AM72" s="183"/>
      <c r="AN72" s="183"/>
      <c r="AO72" s="183"/>
      <c r="AP72" s="183"/>
      <c r="AQ72" s="183"/>
      <c r="AR72" s="183"/>
      <c r="AS72" s="183"/>
      <c r="AT72" s="183"/>
      <c r="AU72" s="183"/>
      <c r="AV72" s="183"/>
      <c r="AW72" s="183"/>
      <c r="AX72" s="183"/>
      <c r="AY72" s="183"/>
      <c r="AZ72" s="183"/>
      <c r="BA72" s="183"/>
      <c r="BB72" s="183"/>
      <c r="BC72" s="183"/>
      <c r="BD72" s="183"/>
      <c r="BE72" s="183"/>
      <c r="BF72" s="183"/>
      <c r="BG72" s="183"/>
      <c r="BH72" s="183"/>
      <c r="BI72" s="183"/>
      <c r="BJ72" s="183"/>
      <c r="BK72" s="183"/>
      <c r="BL72" s="183"/>
      <c r="BM72" s="183"/>
      <c r="BN72" s="183"/>
      <c r="BO72" s="183"/>
      <c r="BP72" s="183"/>
      <c r="BQ72" s="183"/>
      <c r="BR72" s="183"/>
      <c r="BS72" s="183"/>
      <c r="BT72" s="183"/>
      <c r="BU72" s="183"/>
      <c r="BV72" s="183"/>
      <c r="BW72" s="183"/>
      <c r="BX72" s="183"/>
      <c r="BY72" s="183"/>
      <c r="BZ72" s="183"/>
      <c r="CA72" s="183"/>
      <c r="CB72" s="183"/>
      <c r="CC72" s="183"/>
      <c r="CD72" s="183"/>
      <c r="CE72" s="183"/>
      <c r="CF72" s="183"/>
      <c r="CG72" s="183"/>
      <c r="CH72" s="183"/>
      <c r="CI72" s="183"/>
      <c r="CJ72" s="183"/>
      <c r="CK72" s="183"/>
      <c r="CL72" s="183"/>
      <c r="CM72" s="183"/>
      <c r="CN72" s="183"/>
      <c r="CO72" s="183"/>
      <c r="CP72" s="183"/>
      <c r="CQ72" s="183"/>
      <c r="CR72" s="183"/>
      <c r="CS72" s="183"/>
      <c r="CT72" s="183"/>
      <c r="CU72" s="183"/>
      <c r="CV72" s="183"/>
      <c r="CW72" s="183"/>
      <c r="CX72" s="183"/>
      <c r="CY72" s="183"/>
      <c r="CZ72" s="183"/>
      <c r="DA72" s="183"/>
      <c r="DB72" s="183"/>
      <c r="DC72" s="183"/>
      <c r="DD72" s="183"/>
      <c r="DE72" s="183"/>
      <c r="DF72" s="183"/>
      <c r="DG72" s="183"/>
      <c r="DH72" s="183"/>
      <c r="DI72" s="183"/>
      <c r="DJ72" s="183"/>
      <c r="DK72" s="183"/>
      <c r="DL72" s="183"/>
      <c r="DM72" s="183"/>
      <c r="DN72" s="183"/>
      <c r="DO72" s="183"/>
      <c r="DP72" s="183"/>
    </row>
    <row r="73" spans="2:120" s="474" customFormat="1">
      <c r="B73" s="4527"/>
      <c r="C73" s="3328" t="s">
        <v>1608</v>
      </c>
      <c r="D73" s="826" t="s">
        <v>1609</v>
      </c>
      <c r="E73" s="666">
        <v>2686.9879999999998</v>
      </c>
      <c r="F73" s="667">
        <v>5887.4662058174727</v>
      </c>
      <c r="G73" s="667">
        <v>7101.2380000000003</v>
      </c>
      <c r="H73" s="667">
        <v>9358.5730000000003</v>
      </c>
      <c r="I73" s="3329">
        <v>10720.748</v>
      </c>
      <c r="J73" s="666">
        <v>12418.352000000001</v>
      </c>
      <c r="K73" s="667">
        <v>13522.200999999999</v>
      </c>
      <c r="L73" s="667">
        <v>14927.916999999999</v>
      </c>
      <c r="M73" s="667">
        <v>15399.294449839166</v>
      </c>
      <c r="N73" s="3329">
        <v>16808.417890325039</v>
      </c>
      <c r="O73" s="666">
        <v>19276.569736234742</v>
      </c>
      <c r="P73" s="667">
        <v>21137.98685616182</v>
      </c>
      <c r="Q73" s="667">
        <v>22493.652798706902</v>
      </c>
      <c r="R73" s="667">
        <v>23453.319932190516</v>
      </c>
      <c r="S73" s="3330">
        <v>23729.029048043674</v>
      </c>
      <c r="T73" s="1172"/>
      <c r="U73" s="1172"/>
      <c r="V73" s="1172"/>
      <c r="W73" s="1172"/>
      <c r="X73" s="1172"/>
      <c r="Y73" s="1172"/>
      <c r="Z73" s="1172"/>
      <c r="AA73" s="1172"/>
      <c r="AB73" s="1172"/>
      <c r="AC73" s="1172"/>
      <c r="AD73" s="1172"/>
      <c r="AE73" s="1172"/>
      <c r="AF73" s="183"/>
      <c r="AG73" s="183"/>
      <c r="AH73" s="183"/>
      <c r="AI73" s="183"/>
      <c r="AJ73" s="183"/>
      <c r="AK73" s="183"/>
      <c r="AL73" s="183"/>
      <c r="AM73" s="183"/>
      <c r="AN73" s="183"/>
      <c r="AO73" s="183"/>
      <c r="AP73" s="183"/>
      <c r="AQ73" s="183"/>
      <c r="AR73" s="183"/>
      <c r="AS73" s="183"/>
      <c r="AT73" s="183"/>
      <c r="AU73" s="183"/>
      <c r="AV73" s="183"/>
      <c r="AW73" s="183"/>
      <c r="AX73" s="183"/>
      <c r="AY73" s="183"/>
      <c r="AZ73" s="183"/>
      <c r="BA73" s="183"/>
      <c r="BB73" s="183"/>
      <c r="BC73" s="183"/>
      <c r="BD73" s="183"/>
      <c r="BE73" s="183"/>
      <c r="BF73" s="183"/>
      <c r="BG73" s="183"/>
      <c r="BH73" s="183"/>
      <c r="BI73" s="183"/>
      <c r="BJ73" s="183"/>
      <c r="BK73" s="183"/>
      <c r="BL73" s="183"/>
      <c r="BM73" s="183"/>
      <c r="BN73" s="183"/>
      <c r="BO73" s="183"/>
      <c r="BP73" s="183"/>
      <c r="BQ73" s="183"/>
      <c r="BR73" s="183"/>
      <c r="BS73" s="183"/>
      <c r="BT73" s="183"/>
      <c r="BU73" s="183"/>
      <c r="BV73" s="183"/>
      <c r="BW73" s="183"/>
      <c r="BX73" s="183"/>
      <c r="BY73" s="183"/>
      <c r="BZ73" s="183"/>
      <c r="CA73" s="183"/>
      <c r="CB73" s="183"/>
      <c r="CC73" s="183"/>
      <c r="CD73" s="183"/>
      <c r="CE73" s="183"/>
      <c r="CF73" s="183"/>
      <c r="CG73" s="183"/>
      <c r="CH73" s="183"/>
      <c r="CI73" s="183"/>
      <c r="CJ73" s="183"/>
      <c r="CK73" s="183"/>
      <c r="CL73" s="183"/>
      <c r="CM73" s="183"/>
      <c r="CN73" s="183"/>
      <c r="CO73" s="183"/>
      <c r="CP73" s="183"/>
      <c r="CQ73" s="183"/>
      <c r="CR73" s="183"/>
      <c r="CS73" s="183"/>
      <c r="CT73" s="183"/>
      <c r="CU73" s="183"/>
      <c r="CV73" s="183"/>
      <c r="CW73" s="183"/>
      <c r="CX73" s="183"/>
      <c r="CY73" s="183"/>
      <c r="CZ73" s="183"/>
      <c r="DA73" s="183"/>
      <c r="DB73" s="183"/>
      <c r="DC73" s="183"/>
      <c r="DD73" s="183"/>
      <c r="DE73" s="183"/>
      <c r="DF73" s="183"/>
      <c r="DG73" s="183"/>
      <c r="DH73" s="183"/>
      <c r="DI73" s="183"/>
      <c r="DJ73" s="183"/>
      <c r="DK73" s="183"/>
      <c r="DL73" s="183"/>
      <c r="DM73" s="183"/>
      <c r="DN73" s="183"/>
      <c r="DO73" s="183"/>
      <c r="DP73" s="183"/>
    </row>
    <row r="74" spans="2:120" s="474" customFormat="1">
      <c r="B74" s="4527"/>
      <c r="C74" s="3328" t="s">
        <v>1610</v>
      </c>
      <c r="D74" s="826" t="s">
        <v>1611</v>
      </c>
      <c r="E74" s="666">
        <v>707.35199999999998</v>
      </c>
      <c r="F74" s="667">
        <v>1829.9573791609064</v>
      </c>
      <c r="G74" s="667">
        <v>1524.4459999999999</v>
      </c>
      <c r="H74" s="667">
        <v>1982.5840000000001</v>
      </c>
      <c r="I74" s="3329">
        <v>2230.518</v>
      </c>
      <c r="J74" s="666">
        <v>2438.413</v>
      </c>
      <c r="K74" s="667">
        <v>2015.692</v>
      </c>
      <c r="L74" s="667">
        <v>2828.5610000000001</v>
      </c>
      <c r="M74" s="667">
        <v>2507.3065531976299</v>
      </c>
      <c r="N74" s="3329">
        <v>2687.6522049516052</v>
      </c>
      <c r="O74" s="666">
        <v>3022.3607323739616</v>
      </c>
      <c r="P74" s="667">
        <v>3255.1168649794022</v>
      </c>
      <c r="Q74" s="667">
        <v>3402.333280784479</v>
      </c>
      <c r="R74" s="667">
        <v>3482.6891313235819</v>
      </c>
      <c r="S74" s="3330">
        <v>3460.0231341163944</v>
      </c>
      <c r="T74" s="1172"/>
      <c r="U74" s="1172"/>
      <c r="V74" s="1172"/>
      <c r="W74" s="1172"/>
      <c r="X74" s="1172"/>
      <c r="Y74" s="1172"/>
      <c r="Z74" s="1172"/>
      <c r="AA74" s="1172"/>
      <c r="AB74" s="1172"/>
      <c r="AC74" s="1172"/>
      <c r="AD74" s="1172"/>
      <c r="AE74" s="1172"/>
      <c r="AF74" s="183"/>
      <c r="AG74" s="183"/>
      <c r="AH74" s="183"/>
      <c r="AI74" s="183"/>
      <c r="AJ74" s="183"/>
      <c r="AK74" s="183"/>
      <c r="AL74" s="183"/>
      <c r="AM74" s="183"/>
      <c r="AN74" s="183"/>
      <c r="AO74" s="183"/>
      <c r="AP74" s="183"/>
      <c r="AQ74" s="183"/>
      <c r="AR74" s="183"/>
      <c r="AS74" s="183"/>
      <c r="AT74" s="183"/>
      <c r="AU74" s="183"/>
      <c r="AV74" s="183"/>
      <c r="AW74" s="183"/>
      <c r="AX74" s="183"/>
      <c r="AY74" s="183"/>
      <c r="AZ74" s="183"/>
      <c r="BA74" s="183"/>
      <c r="BB74" s="183"/>
      <c r="BC74" s="183"/>
      <c r="BD74" s="183"/>
      <c r="BE74" s="183"/>
      <c r="BF74" s="183"/>
      <c r="BG74" s="183"/>
      <c r="BH74" s="183"/>
      <c r="BI74" s="183"/>
      <c r="BJ74" s="183"/>
      <c r="BK74" s="183"/>
      <c r="BL74" s="183"/>
      <c r="BM74" s="183"/>
      <c r="BN74" s="183"/>
      <c r="BO74" s="183"/>
      <c r="BP74" s="183"/>
      <c r="BQ74" s="183"/>
      <c r="BR74" s="183"/>
      <c r="BS74" s="183"/>
      <c r="BT74" s="183"/>
      <c r="BU74" s="183"/>
      <c r="BV74" s="183"/>
      <c r="BW74" s="183"/>
      <c r="BX74" s="183"/>
      <c r="BY74" s="183"/>
      <c r="BZ74" s="183"/>
      <c r="CA74" s="183"/>
      <c r="CB74" s="183"/>
      <c r="CC74" s="183"/>
      <c r="CD74" s="183"/>
      <c r="CE74" s="183"/>
      <c r="CF74" s="183"/>
      <c r="CG74" s="183"/>
      <c r="CH74" s="183"/>
      <c r="CI74" s="183"/>
      <c r="CJ74" s="183"/>
      <c r="CK74" s="183"/>
      <c r="CL74" s="183"/>
      <c r="CM74" s="183"/>
      <c r="CN74" s="183"/>
      <c r="CO74" s="183"/>
      <c r="CP74" s="183"/>
      <c r="CQ74" s="183"/>
      <c r="CR74" s="183"/>
      <c r="CS74" s="183"/>
      <c r="CT74" s="183"/>
      <c r="CU74" s="183"/>
      <c r="CV74" s="183"/>
      <c r="CW74" s="183"/>
      <c r="CX74" s="183"/>
      <c r="CY74" s="183"/>
      <c r="CZ74" s="183"/>
      <c r="DA74" s="183"/>
      <c r="DB74" s="183"/>
      <c r="DC74" s="183"/>
      <c r="DD74" s="183"/>
      <c r="DE74" s="183"/>
      <c r="DF74" s="183"/>
      <c r="DG74" s="183"/>
      <c r="DH74" s="183"/>
      <c r="DI74" s="183"/>
      <c r="DJ74" s="183"/>
      <c r="DK74" s="183"/>
      <c r="DL74" s="183"/>
      <c r="DM74" s="183"/>
      <c r="DN74" s="183"/>
      <c r="DO74" s="183"/>
      <c r="DP74" s="183"/>
    </row>
    <row r="75" spans="2:120" s="474" customFormat="1">
      <c r="B75" s="4527"/>
      <c r="C75" s="3328" t="s">
        <v>1612</v>
      </c>
      <c r="D75" s="826" t="s">
        <v>1613</v>
      </c>
      <c r="E75" s="666">
        <v>798.55499999999995</v>
      </c>
      <c r="F75" s="667">
        <v>2058.0912081590204</v>
      </c>
      <c r="G75" s="667">
        <v>1451.91</v>
      </c>
      <c r="H75" s="667">
        <v>1758.5609999999999</v>
      </c>
      <c r="I75" s="3329">
        <v>1667.4680000000001</v>
      </c>
      <c r="J75" s="666">
        <v>1612.6859999999999</v>
      </c>
      <c r="K75" s="667">
        <v>1330.43</v>
      </c>
      <c r="L75" s="667">
        <v>2117.7620000000002</v>
      </c>
      <c r="M75" s="667">
        <v>1722.8886068930412</v>
      </c>
      <c r="N75" s="3329">
        <v>1838.7791451402063</v>
      </c>
      <c r="O75" s="666">
        <v>2057.5135945888255</v>
      </c>
      <c r="P75" s="667">
        <v>2207.4812308909786</v>
      </c>
      <c r="Q75" s="667">
        <v>2299.0618150996756</v>
      </c>
      <c r="R75" s="667">
        <v>2344.857675769385</v>
      </c>
      <c r="S75" s="3330">
        <v>2321.9970802062571</v>
      </c>
      <c r="T75" s="1172"/>
      <c r="U75" s="1172"/>
      <c r="V75" s="1172"/>
      <c r="W75" s="1172"/>
      <c r="X75" s="1172"/>
      <c r="Y75" s="1172"/>
      <c r="Z75" s="1172"/>
      <c r="AA75" s="1172"/>
      <c r="AB75" s="1172"/>
      <c r="AC75" s="1172"/>
      <c r="AD75" s="1172"/>
      <c r="AE75" s="1172"/>
      <c r="AF75" s="183"/>
      <c r="AG75" s="183"/>
      <c r="AH75" s="183"/>
      <c r="AI75" s="183"/>
      <c r="AJ75" s="183"/>
      <c r="AK75" s="183"/>
      <c r="AL75" s="183"/>
      <c r="AM75" s="183"/>
      <c r="AN75" s="183"/>
      <c r="AO75" s="183"/>
      <c r="AP75" s="183"/>
      <c r="AQ75" s="183"/>
      <c r="AR75" s="183"/>
      <c r="AS75" s="183"/>
      <c r="AT75" s="183"/>
      <c r="AU75" s="183"/>
      <c r="AV75" s="183"/>
      <c r="AW75" s="183"/>
      <c r="AX75" s="183"/>
      <c r="AY75" s="183"/>
      <c r="AZ75" s="183"/>
      <c r="BA75" s="183"/>
      <c r="BB75" s="183"/>
      <c r="BC75" s="183"/>
      <c r="BD75" s="183"/>
      <c r="BE75" s="183"/>
      <c r="BF75" s="183"/>
      <c r="BG75" s="183"/>
      <c r="BH75" s="183"/>
      <c r="BI75" s="183"/>
      <c r="BJ75" s="183"/>
      <c r="BK75" s="183"/>
      <c r="BL75" s="183"/>
      <c r="BM75" s="183"/>
      <c r="BN75" s="183"/>
      <c r="BO75" s="183"/>
      <c r="BP75" s="183"/>
      <c r="BQ75" s="183"/>
      <c r="BR75" s="183"/>
      <c r="BS75" s="183"/>
      <c r="BT75" s="183"/>
      <c r="BU75" s="183"/>
      <c r="BV75" s="183"/>
      <c r="BW75" s="183"/>
      <c r="BX75" s="183"/>
      <c r="BY75" s="183"/>
      <c r="BZ75" s="183"/>
      <c r="CA75" s="183"/>
      <c r="CB75" s="183"/>
      <c r="CC75" s="183"/>
      <c r="CD75" s="183"/>
      <c r="CE75" s="183"/>
      <c r="CF75" s="183"/>
      <c r="CG75" s="183"/>
      <c r="CH75" s="183"/>
      <c r="CI75" s="183"/>
      <c r="CJ75" s="183"/>
      <c r="CK75" s="183"/>
      <c r="CL75" s="183"/>
      <c r="CM75" s="183"/>
      <c r="CN75" s="183"/>
      <c r="CO75" s="183"/>
      <c r="CP75" s="183"/>
      <c r="CQ75" s="183"/>
      <c r="CR75" s="183"/>
      <c r="CS75" s="183"/>
      <c r="CT75" s="183"/>
      <c r="CU75" s="183"/>
      <c r="CV75" s="183"/>
      <c r="CW75" s="183"/>
      <c r="CX75" s="183"/>
      <c r="CY75" s="183"/>
      <c r="CZ75" s="183"/>
      <c r="DA75" s="183"/>
      <c r="DB75" s="183"/>
      <c r="DC75" s="183"/>
      <c r="DD75" s="183"/>
      <c r="DE75" s="183"/>
      <c r="DF75" s="183"/>
      <c r="DG75" s="183"/>
      <c r="DH75" s="183"/>
      <c r="DI75" s="183"/>
      <c r="DJ75" s="183"/>
      <c r="DK75" s="183"/>
      <c r="DL75" s="183"/>
      <c r="DM75" s="183"/>
      <c r="DN75" s="183"/>
      <c r="DO75" s="183"/>
      <c r="DP75" s="183"/>
    </row>
    <row r="76" spans="2:120" s="474" customFormat="1">
      <c r="B76" s="4527"/>
      <c r="C76" s="3328" t="s">
        <v>1614</v>
      </c>
      <c r="D76" s="826" t="s">
        <v>1615</v>
      </c>
      <c r="E76" s="666">
        <v>283.71899999999999</v>
      </c>
      <c r="F76" s="667">
        <v>367.62561894432969</v>
      </c>
      <c r="G76" s="667">
        <v>389.19099999999997</v>
      </c>
      <c r="H76" s="667">
        <v>480.37299999999999</v>
      </c>
      <c r="I76" s="3329">
        <v>572.68799999999999</v>
      </c>
      <c r="J76" s="666">
        <v>476.53699999999998</v>
      </c>
      <c r="K76" s="667">
        <v>490.31</v>
      </c>
      <c r="L76" s="667">
        <v>404.58600000000001</v>
      </c>
      <c r="M76" s="667">
        <v>402.63134069239891</v>
      </c>
      <c r="N76" s="3329">
        <v>471.84663243933801</v>
      </c>
      <c r="O76" s="666">
        <v>587.77000473521639</v>
      </c>
      <c r="P76" s="667">
        <v>678.96097958580185</v>
      </c>
      <c r="Q76" s="667">
        <v>749.95321789885088</v>
      </c>
      <c r="R76" s="667">
        <v>805.09825425100576</v>
      </c>
      <c r="S76" s="3330">
        <v>830.1015123839918</v>
      </c>
      <c r="T76" s="1172"/>
      <c r="U76" s="1172"/>
      <c r="V76" s="1172"/>
      <c r="W76" s="1172"/>
      <c r="X76" s="1172"/>
      <c r="Y76" s="1172"/>
      <c r="Z76" s="1172"/>
      <c r="AA76" s="1172"/>
      <c r="AB76" s="1172"/>
      <c r="AC76" s="1172"/>
      <c r="AD76" s="1172"/>
      <c r="AE76" s="1172"/>
      <c r="AF76" s="183"/>
      <c r="AG76" s="183"/>
      <c r="AH76" s="183"/>
      <c r="AI76" s="183"/>
      <c r="AJ76" s="183"/>
      <c r="AK76" s="183"/>
      <c r="AL76" s="183"/>
      <c r="AM76" s="183"/>
      <c r="AN76" s="183"/>
      <c r="AO76" s="183"/>
      <c r="AP76" s="183"/>
      <c r="AQ76" s="183"/>
      <c r="AR76" s="183"/>
      <c r="AS76" s="183"/>
      <c r="AT76" s="183"/>
      <c r="AU76" s="183"/>
      <c r="AV76" s="183"/>
      <c r="AW76" s="183"/>
      <c r="AX76" s="183"/>
      <c r="AY76" s="183"/>
      <c r="AZ76" s="183"/>
      <c r="BA76" s="183"/>
      <c r="BB76" s="183"/>
      <c r="BC76" s="183"/>
      <c r="BD76" s="183"/>
      <c r="BE76" s="183"/>
      <c r="BF76" s="183"/>
      <c r="BG76" s="183"/>
      <c r="BH76" s="183"/>
      <c r="BI76" s="183"/>
      <c r="BJ76" s="183"/>
      <c r="BK76" s="183"/>
      <c r="BL76" s="183"/>
      <c r="BM76" s="183"/>
      <c r="BN76" s="183"/>
      <c r="BO76" s="183"/>
      <c r="BP76" s="183"/>
      <c r="BQ76" s="183"/>
      <c r="BR76" s="183"/>
      <c r="BS76" s="183"/>
      <c r="BT76" s="183"/>
      <c r="BU76" s="183"/>
      <c r="BV76" s="183"/>
      <c r="BW76" s="183"/>
      <c r="BX76" s="183"/>
      <c r="BY76" s="183"/>
      <c r="BZ76" s="183"/>
      <c r="CA76" s="183"/>
      <c r="CB76" s="183"/>
      <c r="CC76" s="183"/>
      <c r="CD76" s="183"/>
      <c r="CE76" s="183"/>
      <c r="CF76" s="183"/>
      <c r="CG76" s="183"/>
      <c r="CH76" s="183"/>
      <c r="CI76" s="183"/>
      <c r="CJ76" s="183"/>
      <c r="CK76" s="183"/>
      <c r="CL76" s="183"/>
      <c r="CM76" s="183"/>
      <c r="CN76" s="183"/>
      <c r="CO76" s="183"/>
      <c r="CP76" s="183"/>
      <c r="CQ76" s="183"/>
      <c r="CR76" s="183"/>
      <c r="CS76" s="183"/>
      <c r="CT76" s="183"/>
      <c r="CU76" s="183"/>
      <c r="CV76" s="183"/>
      <c r="CW76" s="183"/>
      <c r="CX76" s="183"/>
      <c r="CY76" s="183"/>
      <c r="CZ76" s="183"/>
      <c r="DA76" s="183"/>
      <c r="DB76" s="183"/>
      <c r="DC76" s="183"/>
      <c r="DD76" s="183"/>
      <c r="DE76" s="183"/>
      <c r="DF76" s="183"/>
      <c r="DG76" s="183"/>
      <c r="DH76" s="183"/>
      <c r="DI76" s="183"/>
      <c r="DJ76" s="183"/>
      <c r="DK76" s="183"/>
      <c r="DL76" s="183"/>
      <c r="DM76" s="183"/>
      <c r="DN76" s="183"/>
      <c r="DO76" s="183"/>
      <c r="DP76" s="183"/>
    </row>
    <row r="77" spans="2:120" s="474" customFormat="1" ht="13.5" thickBot="1">
      <c r="B77" s="4528"/>
      <c r="C77" s="4531" t="s">
        <v>376</v>
      </c>
      <c r="D77" s="4532"/>
      <c r="E77" s="1555">
        <v>11279.489</v>
      </c>
      <c r="F77" s="1557">
        <v>22714.608999999997</v>
      </c>
      <c r="G77" s="1557">
        <v>28767.798999999999</v>
      </c>
      <c r="H77" s="1557">
        <v>33151.868000000002</v>
      </c>
      <c r="I77" s="1560">
        <v>39358.611999999994</v>
      </c>
      <c r="J77" s="1555">
        <v>40659.558999999994</v>
      </c>
      <c r="K77" s="1557">
        <v>44103.548999999999</v>
      </c>
      <c r="L77" s="1557">
        <v>52464.880000000012</v>
      </c>
      <c r="M77" s="1557">
        <v>52702.051183619973</v>
      </c>
      <c r="N77" s="1560">
        <v>58067.610179434552</v>
      </c>
      <c r="O77" s="1555">
        <v>67359.707498443837</v>
      </c>
      <c r="P77" s="1557">
        <v>74455.665054161014</v>
      </c>
      <c r="Q77" s="1557">
        <v>79721.191085970917</v>
      </c>
      <c r="R77" s="1557">
        <v>83551.205630015334</v>
      </c>
      <c r="S77" s="1558">
        <v>84853.160452193086</v>
      </c>
      <c r="T77" s="1172"/>
      <c r="U77" s="1172"/>
      <c r="V77" s="1172"/>
      <c r="W77" s="1172"/>
      <c r="X77" s="1172"/>
      <c r="Y77" s="1172"/>
      <c r="Z77" s="1172"/>
      <c r="AA77" s="1172"/>
      <c r="AB77" s="1172"/>
      <c r="AC77" s="1172"/>
      <c r="AD77" s="1172"/>
      <c r="AE77" s="1172"/>
      <c r="AF77" s="183"/>
      <c r="AG77" s="183"/>
      <c r="AH77" s="183"/>
      <c r="AI77" s="183"/>
      <c r="AJ77" s="183"/>
      <c r="AK77" s="183"/>
      <c r="AL77" s="183"/>
      <c r="AM77" s="183"/>
      <c r="AN77" s="183"/>
      <c r="AO77" s="183"/>
      <c r="AP77" s="183"/>
      <c r="AQ77" s="183"/>
      <c r="AR77" s="183"/>
      <c r="AS77" s="183"/>
      <c r="AT77" s="183"/>
      <c r="AU77" s="183"/>
      <c r="AV77" s="183"/>
      <c r="AW77" s="183"/>
      <c r="AX77" s="183"/>
      <c r="AY77" s="183"/>
      <c r="AZ77" s="183"/>
      <c r="BA77" s="183"/>
      <c r="BB77" s="183"/>
      <c r="BC77" s="183"/>
      <c r="BD77" s="183"/>
      <c r="BE77" s="183"/>
      <c r="BF77" s="183"/>
      <c r="BG77" s="183"/>
      <c r="BH77" s="183"/>
      <c r="BI77" s="183"/>
      <c r="BJ77" s="183"/>
      <c r="BK77" s="183"/>
      <c r="BL77" s="183"/>
      <c r="BM77" s="183"/>
      <c r="BN77" s="183"/>
      <c r="BO77" s="183"/>
      <c r="BP77" s="183"/>
      <c r="BQ77" s="183"/>
      <c r="BR77" s="183"/>
      <c r="BS77" s="183"/>
      <c r="BT77" s="183"/>
      <c r="BU77" s="183"/>
      <c r="BV77" s="183"/>
      <c r="BW77" s="183"/>
      <c r="BX77" s="183"/>
      <c r="BY77" s="183"/>
      <c r="BZ77" s="183"/>
      <c r="CA77" s="183"/>
      <c r="CB77" s="183"/>
      <c r="CC77" s="183"/>
      <c r="CD77" s="183"/>
      <c r="CE77" s="183"/>
      <c r="CF77" s="183"/>
      <c r="CG77" s="183"/>
      <c r="CH77" s="183"/>
      <c r="CI77" s="183"/>
      <c r="CJ77" s="183"/>
      <c r="CK77" s="183"/>
      <c r="CL77" s="183"/>
      <c r="CM77" s="183"/>
      <c r="CN77" s="183"/>
      <c r="CO77" s="183"/>
      <c r="CP77" s="183"/>
      <c r="CQ77" s="183"/>
      <c r="CR77" s="183"/>
      <c r="CS77" s="183"/>
      <c r="CT77" s="183"/>
      <c r="CU77" s="183"/>
      <c r="CV77" s="183"/>
      <c r="CW77" s="183"/>
      <c r="CX77" s="183"/>
      <c r="CY77" s="183"/>
      <c r="CZ77" s="183"/>
      <c r="DA77" s="183"/>
      <c r="DB77" s="183"/>
      <c r="DC77" s="183"/>
      <c r="DD77" s="183"/>
      <c r="DE77" s="183"/>
      <c r="DF77" s="183"/>
      <c r="DG77" s="183"/>
      <c r="DH77" s="183"/>
      <c r="DI77" s="183"/>
      <c r="DJ77" s="183"/>
      <c r="DK77" s="183"/>
      <c r="DL77" s="183"/>
      <c r="DM77" s="183"/>
      <c r="DN77" s="183"/>
      <c r="DO77" s="183"/>
      <c r="DP77" s="183"/>
    </row>
    <row r="78" spans="2:120" s="474" customFormat="1">
      <c r="B78" s="4533" t="str">
        <f>+'[11]27. Customer numbers'!B66</f>
        <v>Commercial customers</v>
      </c>
      <c r="C78" s="4529" t="s">
        <v>47</v>
      </c>
      <c r="D78" s="4534"/>
      <c r="E78" s="1541">
        <v>2.5</v>
      </c>
      <c r="F78" s="1542">
        <v>5.5</v>
      </c>
      <c r="G78" s="1542">
        <v>8</v>
      </c>
      <c r="H78" s="1542">
        <v>9.5</v>
      </c>
      <c r="I78" s="1559">
        <v>11</v>
      </c>
      <c r="J78" s="1541">
        <v>12.5</v>
      </c>
      <c r="K78" s="1542">
        <v>13.5</v>
      </c>
      <c r="L78" s="1542">
        <v>13.5</v>
      </c>
      <c r="M78" s="1542">
        <v>13</v>
      </c>
      <c r="N78" s="1559">
        <v>13.06196679773787</v>
      </c>
      <c r="O78" s="1541">
        <v>15.33361160929072</v>
      </c>
      <c r="P78" s="1542">
        <v>19.217412192754672</v>
      </c>
      <c r="Q78" s="1542">
        <v>22.164285494128272</v>
      </c>
      <c r="R78" s="1542">
        <v>24.409057995677244</v>
      </c>
      <c r="S78" s="1556">
        <v>26.126436895354665</v>
      </c>
      <c r="T78" s="1172"/>
      <c r="U78" s="1172"/>
      <c r="V78" s="1172"/>
      <c r="W78" s="1172"/>
      <c r="X78" s="1172"/>
      <c r="Y78" s="1172"/>
      <c r="Z78" s="1172"/>
      <c r="AA78" s="1172"/>
      <c r="AB78" s="1172"/>
      <c r="AC78" s="1172"/>
      <c r="AD78" s="1172"/>
      <c r="AE78" s="1172"/>
      <c r="AF78" s="183"/>
      <c r="AG78" s="183"/>
      <c r="AH78" s="183"/>
      <c r="AI78" s="183"/>
      <c r="AJ78" s="183"/>
      <c r="AK78" s="183"/>
      <c r="AL78" s="183"/>
      <c r="AM78" s="183"/>
      <c r="AN78" s="183"/>
      <c r="AO78" s="183"/>
      <c r="AP78" s="183"/>
      <c r="AQ78" s="183"/>
      <c r="AR78" s="183"/>
      <c r="AS78" s="183"/>
      <c r="AT78" s="183"/>
      <c r="AU78" s="183"/>
      <c r="AV78" s="183"/>
      <c r="AW78" s="183"/>
      <c r="AX78" s="183"/>
      <c r="AY78" s="183"/>
      <c r="AZ78" s="183"/>
      <c r="BA78" s="183"/>
      <c r="BB78" s="183"/>
      <c r="BC78" s="183"/>
      <c r="BD78" s="183"/>
      <c r="BE78" s="183"/>
      <c r="BF78" s="183"/>
      <c r="BG78" s="183"/>
      <c r="BH78" s="183"/>
      <c r="BI78" s="183"/>
      <c r="BJ78" s="183"/>
      <c r="BK78" s="183"/>
      <c r="BL78" s="183"/>
      <c r="BM78" s="183"/>
      <c r="BN78" s="183"/>
      <c r="BO78" s="183"/>
      <c r="BP78" s="183"/>
      <c r="BQ78" s="183"/>
      <c r="BR78" s="183"/>
      <c r="BS78" s="183"/>
      <c r="BT78" s="183"/>
      <c r="BU78" s="183"/>
      <c r="BV78" s="183"/>
      <c r="BW78" s="183"/>
      <c r="BX78" s="183"/>
      <c r="BY78" s="183"/>
      <c r="BZ78" s="183"/>
      <c r="CA78" s="183"/>
      <c r="CB78" s="183"/>
      <c r="CC78" s="183"/>
      <c r="CD78" s="183"/>
      <c r="CE78" s="183"/>
      <c r="CF78" s="183"/>
      <c r="CG78" s="183"/>
      <c r="CH78" s="183"/>
      <c r="CI78" s="183"/>
      <c r="CJ78" s="183"/>
      <c r="CK78" s="183"/>
      <c r="CL78" s="183"/>
      <c r="CM78" s="183"/>
      <c r="CN78" s="183"/>
      <c r="CO78" s="183"/>
      <c r="CP78" s="183"/>
      <c r="CQ78" s="183"/>
      <c r="CR78" s="183"/>
      <c r="CS78" s="183"/>
      <c r="CT78" s="183"/>
      <c r="CU78" s="183"/>
      <c r="CV78" s="183"/>
      <c r="CW78" s="183"/>
      <c r="CX78" s="183"/>
      <c r="CY78" s="183"/>
      <c r="CZ78" s="183"/>
      <c r="DA78" s="183"/>
      <c r="DB78" s="183"/>
      <c r="DC78" s="183"/>
      <c r="DD78" s="183"/>
      <c r="DE78" s="183"/>
      <c r="DF78" s="183"/>
      <c r="DG78" s="183"/>
      <c r="DH78" s="183"/>
      <c r="DI78" s="183"/>
      <c r="DJ78" s="183"/>
      <c r="DK78" s="183"/>
      <c r="DL78" s="183"/>
      <c r="DM78" s="183"/>
      <c r="DN78" s="183"/>
      <c r="DO78" s="183"/>
      <c r="DP78" s="183"/>
    </row>
    <row r="79" spans="2:120" s="474" customFormat="1">
      <c r="B79" s="4527"/>
      <c r="C79" s="850" t="s">
        <v>1600</v>
      </c>
      <c r="D79" s="826" t="s">
        <v>1601</v>
      </c>
      <c r="E79" s="459">
        <v>41.890999999999998</v>
      </c>
      <c r="F79" s="458">
        <v>59.841170391509706</v>
      </c>
      <c r="G79" s="458">
        <v>96.593999999999994</v>
      </c>
      <c r="H79" s="458">
        <v>106.538</v>
      </c>
      <c r="I79" s="625">
        <v>111.13</v>
      </c>
      <c r="J79" s="459">
        <v>103.315</v>
      </c>
      <c r="K79" s="458">
        <v>116.61199999999999</v>
      </c>
      <c r="L79" s="458">
        <v>126.703</v>
      </c>
      <c r="M79" s="458">
        <v>117.64422400014492</v>
      </c>
      <c r="N79" s="625">
        <v>138.33467677228234</v>
      </c>
      <c r="O79" s="459">
        <v>174.55196938973211</v>
      </c>
      <c r="P79" s="458">
        <v>203.7279312262194</v>
      </c>
      <c r="Q79" s="458">
        <v>225.30262511356941</v>
      </c>
      <c r="R79" s="458">
        <v>240.33285353003509</v>
      </c>
      <c r="S79" s="410">
        <v>247.25059879192054</v>
      </c>
      <c r="T79" s="1172"/>
      <c r="U79" s="1172"/>
      <c r="V79" s="1172"/>
      <c r="W79" s="1172"/>
      <c r="X79" s="1172"/>
      <c r="Y79" s="1172"/>
      <c r="Z79" s="1172"/>
      <c r="AA79" s="1172"/>
      <c r="AB79" s="1172"/>
      <c r="AC79" s="1172"/>
      <c r="AD79" s="1172"/>
      <c r="AE79" s="1172"/>
      <c r="AF79" s="183"/>
      <c r="AG79" s="183"/>
      <c r="AH79" s="183"/>
      <c r="AI79" s="183"/>
      <c r="AJ79" s="183"/>
      <c r="AK79" s="183"/>
      <c r="AL79" s="183"/>
      <c r="AM79" s="183"/>
      <c r="AN79" s="183"/>
      <c r="AO79" s="183"/>
      <c r="AP79" s="183"/>
      <c r="AQ79" s="183"/>
      <c r="AR79" s="183"/>
      <c r="AS79" s="183"/>
      <c r="AT79" s="183"/>
      <c r="AU79" s="183"/>
      <c r="AV79" s="183"/>
      <c r="AW79" s="183"/>
      <c r="AX79" s="183"/>
      <c r="AY79" s="183"/>
      <c r="AZ79" s="183"/>
      <c r="BA79" s="183"/>
      <c r="BB79" s="183"/>
      <c r="BC79" s="183"/>
      <c r="BD79" s="183"/>
      <c r="BE79" s="183"/>
      <c r="BF79" s="183"/>
      <c r="BG79" s="183"/>
      <c r="BH79" s="183"/>
      <c r="BI79" s="183"/>
      <c r="BJ79" s="183"/>
      <c r="BK79" s="183"/>
      <c r="BL79" s="183"/>
      <c r="BM79" s="183"/>
      <c r="BN79" s="183"/>
      <c r="BO79" s="183"/>
      <c r="BP79" s="183"/>
      <c r="BQ79" s="183"/>
      <c r="BR79" s="183"/>
      <c r="BS79" s="183"/>
      <c r="BT79" s="183"/>
      <c r="BU79" s="183"/>
      <c r="BV79" s="183"/>
      <c r="BW79" s="183"/>
      <c r="BX79" s="183"/>
      <c r="BY79" s="183"/>
      <c r="BZ79" s="183"/>
      <c r="CA79" s="183"/>
      <c r="CB79" s="183"/>
      <c r="CC79" s="183"/>
      <c r="CD79" s="183"/>
      <c r="CE79" s="183"/>
      <c r="CF79" s="183"/>
      <c r="CG79" s="183"/>
      <c r="CH79" s="183"/>
      <c r="CI79" s="183"/>
      <c r="CJ79" s="183"/>
      <c r="CK79" s="183"/>
      <c r="CL79" s="183"/>
      <c r="CM79" s="183"/>
      <c r="CN79" s="183"/>
      <c r="CO79" s="183"/>
      <c r="CP79" s="183"/>
      <c r="CQ79" s="183"/>
      <c r="CR79" s="183"/>
      <c r="CS79" s="183"/>
      <c r="CT79" s="183"/>
      <c r="CU79" s="183"/>
      <c r="CV79" s="183"/>
      <c r="CW79" s="183"/>
      <c r="CX79" s="183"/>
      <c r="CY79" s="183"/>
      <c r="CZ79" s="183"/>
      <c r="DA79" s="183"/>
      <c r="DB79" s="183"/>
      <c r="DC79" s="183"/>
      <c r="DD79" s="183"/>
      <c r="DE79" s="183"/>
      <c r="DF79" s="183"/>
      <c r="DG79" s="183"/>
      <c r="DH79" s="183"/>
      <c r="DI79" s="183"/>
      <c r="DJ79" s="183"/>
      <c r="DK79" s="183"/>
      <c r="DL79" s="183"/>
      <c r="DM79" s="183"/>
      <c r="DN79" s="183"/>
      <c r="DO79" s="183"/>
      <c r="DP79" s="183"/>
    </row>
    <row r="80" spans="2:120" s="474" customFormat="1">
      <c r="B80" s="4527"/>
      <c r="C80" s="850" t="s">
        <v>1602</v>
      </c>
      <c r="D80" s="826" t="s">
        <v>1603</v>
      </c>
      <c r="E80" s="459">
        <v>26.327999999999999</v>
      </c>
      <c r="F80" s="458">
        <v>44.852260714285698</v>
      </c>
      <c r="G80" s="458">
        <v>79.980999999999995</v>
      </c>
      <c r="H80" s="458">
        <v>93.738</v>
      </c>
      <c r="I80" s="625">
        <v>82.852999999999994</v>
      </c>
      <c r="J80" s="459">
        <v>83.343999999999994</v>
      </c>
      <c r="K80" s="458">
        <v>91.150999999999996</v>
      </c>
      <c r="L80" s="458">
        <v>105.486</v>
      </c>
      <c r="M80" s="458">
        <v>98.2101641801993</v>
      </c>
      <c r="N80" s="625">
        <v>116.54912645519836</v>
      </c>
      <c r="O80" s="459">
        <v>148.49898336236595</v>
      </c>
      <c r="P80" s="458">
        <v>174.67482364398387</v>
      </c>
      <c r="Q80" s="458">
        <v>194.55045600032989</v>
      </c>
      <c r="R80" s="458">
        <v>208.96796528654244</v>
      </c>
      <c r="S80" s="410">
        <v>216.34130684154525</v>
      </c>
      <c r="T80" s="1172"/>
      <c r="U80" s="1172"/>
      <c r="V80" s="1172"/>
      <c r="W80" s="1172"/>
      <c r="X80" s="1172"/>
      <c r="Y80" s="1172"/>
      <c r="Z80" s="1172"/>
      <c r="AA80" s="1172"/>
      <c r="AB80" s="1172"/>
      <c r="AC80" s="1172"/>
      <c r="AD80" s="1172"/>
      <c r="AE80" s="1172"/>
      <c r="AF80" s="183"/>
      <c r="AG80" s="183"/>
      <c r="AH80" s="183"/>
      <c r="AI80" s="183"/>
      <c r="AJ80" s="183"/>
      <c r="AK80" s="183"/>
      <c r="AL80" s="183"/>
      <c r="AM80" s="183"/>
      <c r="AN80" s="183"/>
      <c r="AO80" s="183"/>
      <c r="AP80" s="183"/>
      <c r="AQ80" s="183"/>
      <c r="AR80" s="183"/>
      <c r="AS80" s="183"/>
      <c r="AT80" s="183"/>
      <c r="AU80" s="183"/>
      <c r="AV80" s="183"/>
      <c r="AW80" s="183"/>
      <c r="AX80" s="183"/>
      <c r="AY80" s="183"/>
      <c r="AZ80" s="183"/>
      <c r="BA80" s="183"/>
      <c r="BB80" s="183"/>
      <c r="BC80" s="183"/>
      <c r="BD80" s="183"/>
      <c r="BE80" s="183"/>
      <c r="BF80" s="183"/>
      <c r="BG80" s="183"/>
      <c r="BH80" s="183"/>
      <c r="BI80" s="183"/>
      <c r="BJ80" s="183"/>
      <c r="BK80" s="183"/>
      <c r="BL80" s="183"/>
      <c r="BM80" s="183"/>
      <c r="BN80" s="183"/>
      <c r="BO80" s="183"/>
      <c r="BP80" s="183"/>
      <c r="BQ80" s="183"/>
      <c r="BR80" s="183"/>
      <c r="BS80" s="183"/>
      <c r="BT80" s="183"/>
      <c r="BU80" s="183"/>
      <c r="BV80" s="183"/>
      <c r="BW80" s="183"/>
      <c r="BX80" s="183"/>
      <c r="BY80" s="183"/>
      <c r="BZ80" s="183"/>
      <c r="CA80" s="183"/>
      <c r="CB80" s="183"/>
      <c r="CC80" s="183"/>
      <c r="CD80" s="183"/>
      <c r="CE80" s="183"/>
      <c r="CF80" s="183"/>
      <c r="CG80" s="183"/>
      <c r="CH80" s="183"/>
      <c r="CI80" s="183"/>
      <c r="CJ80" s="183"/>
      <c r="CK80" s="183"/>
      <c r="CL80" s="183"/>
      <c r="CM80" s="183"/>
      <c r="CN80" s="183"/>
      <c r="CO80" s="183"/>
      <c r="CP80" s="183"/>
      <c r="CQ80" s="183"/>
      <c r="CR80" s="183"/>
      <c r="CS80" s="183"/>
      <c r="CT80" s="183"/>
      <c r="CU80" s="183"/>
      <c r="CV80" s="183"/>
      <c r="CW80" s="183"/>
      <c r="CX80" s="183"/>
      <c r="CY80" s="183"/>
      <c r="CZ80" s="183"/>
      <c r="DA80" s="183"/>
      <c r="DB80" s="183"/>
      <c r="DC80" s="183"/>
      <c r="DD80" s="183"/>
      <c r="DE80" s="183"/>
      <c r="DF80" s="183"/>
      <c r="DG80" s="183"/>
      <c r="DH80" s="183"/>
      <c r="DI80" s="183"/>
      <c r="DJ80" s="183"/>
      <c r="DK80" s="183"/>
      <c r="DL80" s="183"/>
      <c r="DM80" s="183"/>
      <c r="DN80" s="183"/>
      <c r="DO80" s="183"/>
      <c r="DP80" s="183"/>
    </row>
    <row r="81" spans="2:120" s="474" customFormat="1">
      <c r="B81" s="4527"/>
      <c r="C81" s="850" t="s">
        <v>1604</v>
      </c>
      <c r="D81" s="826" t="s">
        <v>1605</v>
      </c>
      <c r="E81" s="459">
        <v>85.448999999999998</v>
      </c>
      <c r="F81" s="458">
        <v>191.6809789473684</v>
      </c>
      <c r="G81" s="458">
        <v>325.02100000000002</v>
      </c>
      <c r="H81" s="458">
        <v>566.60900000000004</v>
      </c>
      <c r="I81" s="625">
        <v>453.02499999999998</v>
      </c>
      <c r="J81" s="459">
        <v>484.69499999999999</v>
      </c>
      <c r="K81" s="458">
        <v>563.71299999999997</v>
      </c>
      <c r="L81" s="458">
        <v>546.28200000000004</v>
      </c>
      <c r="M81" s="458">
        <v>500.24178526434821</v>
      </c>
      <c r="N81" s="625">
        <v>599.62200000019459</v>
      </c>
      <c r="O81" s="459">
        <v>772.40768070730303</v>
      </c>
      <c r="P81" s="458">
        <v>912.4661914186081</v>
      </c>
      <c r="Q81" s="458">
        <v>1017.7385948744299</v>
      </c>
      <c r="R81" s="458">
        <v>1093.0356882779934</v>
      </c>
      <c r="S81" s="410">
        <v>1129.9257638563236</v>
      </c>
      <c r="T81" s="1172"/>
      <c r="U81" s="1172"/>
      <c r="V81" s="1172"/>
      <c r="W81" s="1172"/>
      <c r="X81" s="1172"/>
      <c r="Y81" s="1172"/>
      <c r="Z81" s="1172"/>
      <c r="AA81" s="1172"/>
      <c r="AB81" s="1172"/>
      <c r="AC81" s="1172"/>
      <c r="AD81" s="1172"/>
      <c r="AE81" s="1172"/>
      <c r="AF81" s="183"/>
      <c r="AG81" s="183"/>
      <c r="AH81" s="183"/>
      <c r="AI81" s="183"/>
      <c r="AJ81" s="183"/>
      <c r="AK81" s="183"/>
      <c r="AL81" s="183"/>
      <c r="AM81" s="183"/>
      <c r="AN81" s="183"/>
      <c r="AO81" s="183"/>
      <c r="AP81" s="183"/>
      <c r="AQ81" s="183"/>
      <c r="AR81" s="183"/>
      <c r="AS81" s="183"/>
      <c r="AT81" s="183"/>
      <c r="AU81" s="183"/>
      <c r="AV81" s="183"/>
      <c r="AW81" s="183"/>
      <c r="AX81" s="183"/>
      <c r="AY81" s="183"/>
      <c r="AZ81" s="183"/>
      <c r="BA81" s="183"/>
      <c r="BB81" s="183"/>
      <c r="BC81" s="183"/>
      <c r="BD81" s="183"/>
      <c r="BE81" s="183"/>
      <c r="BF81" s="183"/>
      <c r="BG81" s="183"/>
      <c r="BH81" s="183"/>
      <c r="BI81" s="183"/>
      <c r="BJ81" s="183"/>
      <c r="BK81" s="183"/>
      <c r="BL81" s="183"/>
      <c r="BM81" s="183"/>
      <c r="BN81" s="183"/>
      <c r="BO81" s="183"/>
      <c r="BP81" s="183"/>
      <c r="BQ81" s="183"/>
      <c r="BR81" s="183"/>
      <c r="BS81" s="183"/>
      <c r="BT81" s="183"/>
      <c r="BU81" s="183"/>
      <c r="BV81" s="183"/>
      <c r="BW81" s="183"/>
      <c r="BX81" s="183"/>
      <c r="BY81" s="183"/>
      <c r="BZ81" s="183"/>
      <c r="CA81" s="183"/>
      <c r="CB81" s="183"/>
      <c r="CC81" s="183"/>
      <c r="CD81" s="183"/>
      <c r="CE81" s="183"/>
      <c r="CF81" s="183"/>
      <c r="CG81" s="183"/>
      <c r="CH81" s="183"/>
      <c r="CI81" s="183"/>
      <c r="CJ81" s="183"/>
      <c r="CK81" s="183"/>
      <c r="CL81" s="183"/>
      <c r="CM81" s="183"/>
      <c r="CN81" s="183"/>
      <c r="CO81" s="183"/>
      <c r="CP81" s="183"/>
      <c r="CQ81" s="183"/>
      <c r="CR81" s="183"/>
      <c r="CS81" s="183"/>
      <c r="CT81" s="183"/>
      <c r="CU81" s="183"/>
      <c r="CV81" s="183"/>
      <c r="CW81" s="183"/>
      <c r="CX81" s="183"/>
      <c r="CY81" s="183"/>
      <c r="CZ81" s="183"/>
      <c r="DA81" s="183"/>
      <c r="DB81" s="183"/>
      <c r="DC81" s="183"/>
      <c r="DD81" s="183"/>
      <c r="DE81" s="183"/>
      <c r="DF81" s="183"/>
      <c r="DG81" s="183"/>
      <c r="DH81" s="183"/>
      <c r="DI81" s="183"/>
      <c r="DJ81" s="183"/>
      <c r="DK81" s="183"/>
      <c r="DL81" s="183"/>
      <c r="DM81" s="183"/>
      <c r="DN81" s="183"/>
      <c r="DO81" s="183"/>
      <c r="DP81" s="183"/>
    </row>
    <row r="82" spans="2:120" s="474" customFormat="1">
      <c r="B82" s="4527"/>
      <c r="C82" s="850" t="s">
        <v>1606</v>
      </c>
      <c r="D82" s="826" t="s">
        <v>1607</v>
      </c>
      <c r="E82" s="459">
        <v>16.515000000000001</v>
      </c>
      <c r="F82" s="458">
        <v>451.02769999999998</v>
      </c>
      <c r="G82" s="458">
        <v>447.95600000000002</v>
      </c>
      <c r="H82" s="458">
        <v>861.02200000000005</v>
      </c>
      <c r="I82" s="625">
        <v>412.90800000000002</v>
      </c>
      <c r="J82" s="459">
        <v>514.50699999999995</v>
      </c>
      <c r="K82" s="458">
        <v>472.92899999999997</v>
      </c>
      <c r="L82" s="458">
        <v>584.21500000000003</v>
      </c>
      <c r="M82" s="458">
        <v>546.74793116428896</v>
      </c>
      <c r="N82" s="625">
        <v>611.38880582960473</v>
      </c>
      <c r="O82" s="459">
        <v>726.87533949910312</v>
      </c>
      <c r="P82" s="458">
        <v>824.58680494943178</v>
      </c>
      <c r="Q82" s="458">
        <v>898.63371933162978</v>
      </c>
      <c r="R82" s="458">
        <v>951.59750864409409</v>
      </c>
      <c r="S82" s="410">
        <v>979.80771742925026</v>
      </c>
      <c r="T82" s="1172"/>
      <c r="U82" s="1172"/>
      <c r="V82" s="1172"/>
      <c r="W82" s="1172"/>
      <c r="X82" s="1172"/>
      <c r="Y82" s="1172"/>
      <c r="Z82" s="1172"/>
      <c r="AA82" s="1172"/>
      <c r="AB82" s="1172"/>
      <c r="AC82" s="1172"/>
      <c r="AD82" s="1172"/>
      <c r="AE82" s="1172"/>
      <c r="AF82" s="183"/>
      <c r="AG82" s="183"/>
      <c r="AH82" s="183"/>
      <c r="AI82" s="183"/>
      <c r="AJ82" s="183"/>
      <c r="AK82" s="183"/>
      <c r="AL82" s="183"/>
      <c r="AM82" s="183"/>
      <c r="AN82" s="183"/>
      <c r="AO82" s="183"/>
      <c r="AP82" s="183"/>
      <c r="AQ82" s="183"/>
      <c r="AR82" s="183"/>
      <c r="AS82" s="183"/>
      <c r="AT82" s="183"/>
      <c r="AU82" s="183"/>
      <c r="AV82" s="183"/>
      <c r="AW82" s="183"/>
      <c r="AX82" s="183"/>
      <c r="AY82" s="183"/>
      <c r="AZ82" s="183"/>
      <c r="BA82" s="183"/>
      <c r="BB82" s="183"/>
      <c r="BC82" s="183"/>
      <c r="BD82" s="183"/>
      <c r="BE82" s="183"/>
      <c r="BF82" s="183"/>
      <c r="BG82" s="183"/>
      <c r="BH82" s="183"/>
      <c r="BI82" s="183"/>
      <c r="BJ82" s="183"/>
      <c r="BK82" s="183"/>
      <c r="BL82" s="183"/>
      <c r="BM82" s="183"/>
      <c r="BN82" s="183"/>
      <c r="BO82" s="183"/>
      <c r="BP82" s="183"/>
      <c r="BQ82" s="183"/>
      <c r="BR82" s="183"/>
      <c r="BS82" s="183"/>
      <c r="BT82" s="183"/>
      <c r="BU82" s="183"/>
      <c r="BV82" s="183"/>
      <c r="BW82" s="183"/>
      <c r="BX82" s="183"/>
      <c r="BY82" s="183"/>
      <c r="BZ82" s="183"/>
      <c r="CA82" s="183"/>
      <c r="CB82" s="183"/>
      <c r="CC82" s="183"/>
      <c r="CD82" s="183"/>
      <c r="CE82" s="183"/>
      <c r="CF82" s="183"/>
      <c r="CG82" s="183"/>
      <c r="CH82" s="183"/>
      <c r="CI82" s="183"/>
      <c r="CJ82" s="183"/>
      <c r="CK82" s="183"/>
      <c r="CL82" s="183"/>
      <c r="CM82" s="183"/>
      <c r="CN82" s="183"/>
      <c r="CO82" s="183"/>
      <c r="CP82" s="183"/>
      <c r="CQ82" s="183"/>
      <c r="CR82" s="183"/>
      <c r="CS82" s="183"/>
      <c r="CT82" s="183"/>
      <c r="CU82" s="183"/>
      <c r="CV82" s="183"/>
      <c r="CW82" s="183"/>
      <c r="CX82" s="183"/>
      <c r="CY82" s="183"/>
      <c r="CZ82" s="183"/>
      <c r="DA82" s="183"/>
      <c r="DB82" s="183"/>
      <c r="DC82" s="183"/>
      <c r="DD82" s="183"/>
      <c r="DE82" s="183"/>
      <c r="DF82" s="183"/>
      <c r="DG82" s="183"/>
      <c r="DH82" s="183"/>
      <c r="DI82" s="183"/>
      <c r="DJ82" s="183"/>
      <c r="DK82" s="183"/>
      <c r="DL82" s="183"/>
      <c r="DM82" s="183"/>
      <c r="DN82" s="183"/>
      <c r="DO82" s="183"/>
      <c r="DP82" s="183"/>
    </row>
    <row r="83" spans="2:120" s="474" customFormat="1">
      <c r="B83" s="4527"/>
      <c r="C83" s="3328" t="s">
        <v>1608</v>
      </c>
      <c r="D83" s="826" t="s">
        <v>1609</v>
      </c>
      <c r="E83" s="666">
        <v>37.454999999999998</v>
      </c>
      <c r="F83" s="667">
        <v>79.495829608490297</v>
      </c>
      <c r="G83" s="667">
        <v>126.968</v>
      </c>
      <c r="H83" s="667">
        <v>168.172</v>
      </c>
      <c r="I83" s="3329">
        <v>174.33699999999999</v>
      </c>
      <c r="J83" s="666">
        <v>159.15</v>
      </c>
      <c r="K83" s="667">
        <v>166.39400000000001</v>
      </c>
      <c r="L83" s="667">
        <v>194.19499999999999</v>
      </c>
      <c r="M83" s="667">
        <v>178.85080912077399</v>
      </c>
      <c r="N83" s="3329">
        <v>212.0654314743615</v>
      </c>
      <c r="O83" s="666">
        <v>270.04736729388321</v>
      </c>
      <c r="P83" s="667">
        <v>316.4090377037769</v>
      </c>
      <c r="Q83" s="667">
        <v>350.48521339866022</v>
      </c>
      <c r="R83" s="667">
        <v>374.02742236468742</v>
      </c>
      <c r="S83" s="3330">
        <v>384.51612741602247</v>
      </c>
      <c r="T83" s="1172"/>
      <c r="U83" s="1172"/>
      <c r="V83" s="1172"/>
      <c r="W83" s="1172"/>
      <c r="X83" s="1172"/>
      <c r="Y83" s="1172"/>
      <c r="Z83" s="1172"/>
      <c r="AA83" s="1172"/>
      <c r="AB83" s="1172"/>
      <c r="AC83" s="1172"/>
      <c r="AD83" s="1172"/>
      <c r="AE83" s="1172"/>
      <c r="AF83" s="183"/>
      <c r="AG83" s="183"/>
      <c r="AH83" s="183"/>
      <c r="AI83" s="183"/>
      <c r="AJ83" s="183"/>
      <c r="AK83" s="183"/>
      <c r="AL83" s="183"/>
      <c r="AM83" s="183"/>
      <c r="AN83" s="183"/>
      <c r="AO83" s="183"/>
      <c r="AP83" s="183"/>
      <c r="AQ83" s="183"/>
      <c r="AR83" s="183"/>
      <c r="AS83" s="183"/>
      <c r="AT83" s="183"/>
      <c r="AU83" s="183"/>
      <c r="AV83" s="183"/>
      <c r="AW83" s="183"/>
      <c r="AX83" s="183"/>
      <c r="AY83" s="183"/>
      <c r="AZ83" s="183"/>
      <c r="BA83" s="183"/>
      <c r="BB83" s="183"/>
      <c r="BC83" s="183"/>
      <c r="BD83" s="183"/>
      <c r="BE83" s="183"/>
      <c r="BF83" s="183"/>
      <c r="BG83" s="183"/>
      <c r="BH83" s="183"/>
      <c r="BI83" s="183"/>
      <c r="BJ83" s="183"/>
      <c r="BK83" s="183"/>
      <c r="BL83" s="183"/>
      <c r="BM83" s="183"/>
      <c r="BN83" s="183"/>
      <c r="BO83" s="183"/>
      <c r="BP83" s="183"/>
      <c r="BQ83" s="183"/>
      <c r="BR83" s="183"/>
      <c r="BS83" s="183"/>
      <c r="BT83" s="183"/>
      <c r="BU83" s="183"/>
      <c r="BV83" s="183"/>
      <c r="BW83" s="183"/>
      <c r="BX83" s="183"/>
      <c r="BY83" s="183"/>
      <c r="BZ83" s="183"/>
      <c r="CA83" s="183"/>
      <c r="CB83" s="183"/>
      <c r="CC83" s="183"/>
      <c r="CD83" s="183"/>
      <c r="CE83" s="183"/>
      <c r="CF83" s="183"/>
      <c r="CG83" s="183"/>
      <c r="CH83" s="183"/>
      <c r="CI83" s="183"/>
      <c r="CJ83" s="183"/>
      <c r="CK83" s="183"/>
      <c r="CL83" s="183"/>
      <c r="CM83" s="183"/>
      <c r="CN83" s="183"/>
      <c r="CO83" s="183"/>
      <c r="CP83" s="183"/>
      <c r="CQ83" s="183"/>
      <c r="CR83" s="183"/>
      <c r="CS83" s="183"/>
      <c r="CT83" s="183"/>
      <c r="CU83" s="183"/>
      <c r="CV83" s="183"/>
      <c r="CW83" s="183"/>
      <c r="CX83" s="183"/>
      <c r="CY83" s="183"/>
      <c r="CZ83" s="183"/>
      <c r="DA83" s="183"/>
      <c r="DB83" s="183"/>
      <c r="DC83" s="183"/>
      <c r="DD83" s="183"/>
      <c r="DE83" s="183"/>
      <c r="DF83" s="183"/>
      <c r="DG83" s="183"/>
      <c r="DH83" s="183"/>
      <c r="DI83" s="183"/>
      <c r="DJ83" s="183"/>
      <c r="DK83" s="183"/>
      <c r="DL83" s="183"/>
      <c r="DM83" s="183"/>
      <c r="DN83" s="183"/>
      <c r="DO83" s="183"/>
      <c r="DP83" s="183"/>
    </row>
    <row r="84" spans="2:120" s="474" customFormat="1">
      <c r="B84" s="4527"/>
      <c r="C84" s="3328" t="s">
        <v>1610</v>
      </c>
      <c r="D84" s="826" t="s">
        <v>1611</v>
      </c>
      <c r="E84" s="666">
        <v>23.692</v>
      </c>
      <c r="F84" s="667">
        <v>68.978739285714312</v>
      </c>
      <c r="G84" s="667">
        <v>110.136</v>
      </c>
      <c r="H84" s="667">
        <v>146.273</v>
      </c>
      <c r="I84" s="3329">
        <v>141.655</v>
      </c>
      <c r="J84" s="666">
        <v>104.12</v>
      </c>
      <c r="K84" s="667">
        <v>125.374</v>
      </c>
      <c r="L84" s="667">
        <v>151.15100000000001</v>
      </c>
      <c r="M84" s="667">
        <v>138.40373408501102</v>
      </c>
      <c r="N84" s="3329">
        <v>167.21893112862872</v>
      </c>
      <c r="O84" s="666">
        <v>217.20209830461067</v>
      </c>
      <c r="P84" s="667">
        <v>258.01508599830652</v>
      </c>
      <c r="Q84" s="667">
        <v>289.07909607635088</v>
      </c>
      <c r="R84" s="667">
        <v>311.72208203164337</v>
      </c>
      <c r="S84" s="3330">
        <v>323.32495620851535</v>
      </c>
      <c r="T84" s="1172"/>
      <c r="U84" s="1172"/>
      <c r="V84" s="1172"/>
      <c r="W84" s="1172"/>
      <c r="X84" s="1172"/>
      <c r="Y84" s="1172"/>
      <c r="Z84" s="1172"/>
      <c r="AA84" s="1172"/>
      <c r="AB84" s="1172"/>
      <c r="AC84" s="1172"/>
      <c r="AD84" s="1172"/>
      <c r="AE84" s="1172"/>
      <c r="AF84" s="183"/>
      <c r="AG84" s="183"/>
      <c r="AH84" s="183"/>
      <c r="AI84" s="183"/>
      <c r="AJ84" s="183"/>
      <c r="AK84" s="183"/>
      <c r="AL84" s="183"/>
      <c r="AM84" s="183"/>
      <c r="AN84" s="183"/>
      <c r="AO84" s="183"/>
      <c r="AP84" s="183"/>
      <c r="AQ84" s="183"/>
      <c r="AR84" s="183"/>
      <c r="AS84" s="183"/>
      <c r="AT84" s="183"/>
      <c r="AU84" s="183"/>
      <c r="AV84" s="183"/>
      <c r="AW84" s="183"/>
      <c r="AX84" s="183"/>
      <c r="AY84" s="183"/>
      <c r="AZ84" s="183"/>
      <c r="BA84" s="183"/>
      <c r="BB84" s="183"/>
      <c r="BC84" s="183"/>
      <c r="BD84" s="183"/>
      <c r="BE84" s="183"/>
      <c r="BF84" s="183"/>
      <c r="BG84" s="183"/>
      <c r="BH84" s="183"/>
      <c r="BI84" s="183"/>
      <c r="BJ84" s="183"/>
      <c r="BK84" s="183"/>
      <c r="BL84" s="183"/>
      <c r="BM84" s="183"/>
      <c r="BN84" s="183"/>
      <c r="BO84" s="183"/>
      <c r="BP84" s="183"/>
      <c r="BQ84" s="183"/>
      <c r="BR84" s="183"/>
      <c r="BS84" s="183"/>
      <c r="BT84" s="183"/>
      <c r="BU84" s="183"/>
      <c r="BV84" s="183"/>
      <c r="BW84" s="183"/>
      <c r="BX84" s="183"/>
      <c r="BY84" s="183"/>
      <c r="BZ84" s="183"/>
      <c r="CA84" s="183"/>
      <c r="CB84" s="183"/>
      <c r="CC84" s="183"/>
      <c r="CD84" s="183"/>
      <c r="CE84" s="183"/>
      <c r="CF84" s="183"/>
      <c r="CG84" s="183"/>
      <c r="CH84" s="183"/>
      <c r="CI84" s="183"/>
      <c r="CJ84" s="183"/>
      <c r="CK84" s="183"/>
      <c r="CL84" s="183"/>
      <c r="CM84" s="183"/>
      <c r="CN84" s="183"/>
      <c r="CO84" s="183"/>
      <c r="CP84" s="183"/>
      <c r="CQ84" s="183"/>
      <c r="CR84" s="183"/>
      <c r="CS84" s="183"/>
      <c r="CT84" s="183"/>
      <c r="CU84" s="183"/>
      <c r="CV84" s="183"/>
      <c r="CW84" s="183"/>
      <c r="CX84" s="183"/>
      <c r="CY84" s="183"/>
      <c r="CZ84" s="183"/>
      <c r="DA84" s="183"/>
      <c r="DB84" s="183"/>
      <c r="DC84" s="183"/>
      <c r="DD84" s="183"/>
      <c r="DE84" s="183"/>
      <c r="DF84" s="183"/>
      <c r="DG84" s="183"/>
      <c r="DH84" s="183"/>
      <c r="DI84" s="183"/>
      <c r="DJ84" s="183"/>
      <c r="DK84" s="183"/>
      <c r="DL84" s="183"/>
      <c r="DM84" s="183"/>
      <c r="DN84" s="183"/>
      <c r="DO84" s="183"/>
      <c r="DP84" s="183"/>
    </row>
    <row r="85" spans="2:120" s="474" customFormat="1">
      <c r="B85" s="4527"/>
      <c r="C85" s="3328" t="s">
        <v>1612</v>
      </c>
      <c r="D85" s="826" t="s">
        <v>1613</v>
      </c>
      <c r="E85" s="666">
        <v>29.684999999999999</v>
      </c>
      <c r="F85" s="667">
        <v>399.70002105263166</v>
      </c>
      <c r="G85" s="667">
        <v>592.17399999999998</v>
      </c>
      <c r="H85" s="667">
        <v>874.947</v>
      </c>
      <c r="I85" s="3329">
        <v>863.80799999999999</v>
      </c>
      <c r="J85" s="666">
        <v>956.98099999999999</v>
      </c>
      <c r="K85" s="667">
        <v>1021.647</v>
      </c>
      <c r="L85" s="667">
        <v>906.59299999999996</v>
      </c>
      <c r="M85" s="667">
        <v>838.83283463882287</v>
      </c>
      <c r="N85" s="3329">
        <v>992.22402316319506</v>
      </c>
      <c r="O85" s="666">
        <v>1259.7994443601156</v>
      </c>
      <c r="P85" s="667">
        <v>1478.828930002051</v>
      </c>
      <c r="Q85" s="667">
        <v>1644.5922505848339</v>
      </c>
      <c r="R85" s="667">
        <v>1764.1784611015798</v>
      </c>
      <c r="S85" s="3330">
        <v>1824.7444437061022</v>
      </c>
      <c r="T85" s="1172"/>
      <c r="U85" s="1172"/>
      <c r="V85" s="1172"/>
      <c r="W85" s="1172"/>
      <c r="X85" s="1172"/>
      <c r="Y85" s="1172"/>
      <c r="Z85" s="1172"/>
      <c r="AA85" s="1172"/>
      <c r="AB85" s="1172"/>
      <c r="AC85" s="1172"/>
      <c r="AD85" s="1172"/>
      <c r="AE85" s="1172"/>
      <c r="AF85" s="183"/>
      <c r="AG85" s="183"/>
      <c r="AH85" s="183"/>
      <c r="AI85" s="183"/>
      <c r="AJ85" s="183"/>
      <c r="AK85" s="183"/>
      <c r="AL85" s="183"/>
      <c r="AM85" s="183"/>
      <c r="AN85" s="183"/>
      <c r="AO85" s="183"/>
      <c r="AP85" s="183"/>
      <c r="AQ85" s="183"/>
      <c r="AR85" s="183"/>
      <c r="AS85" s="183"/>
      <c r="AT85" s="183"/>
      <c r="AU85" s="183"/>
      <c r="AV85" s="183"/>
      <c r="AW85" s="183"/>
      <c r="AX85" s="183"/>
      <c r="AY85" s="183"/>
      <c r="AZ85" s="183"/>
      <c r="BA85" s="183"/>
      <c r="BB85" s="183"/>
      <c r="BC85" s="183"/>
      <c r="BD85" s="183"/>
      <c r="BE85" s="183"/>
      <c r="BF85" s="183"/>
      <c r="BG85" s="183"/>
      <c r="BH85" s="183"/>
      <c r="BI85" s="183"/>
      <c r="BJ85" s="183"/>
      <c r="BK85" s="183"/>
      <c r="BL85" s="183"/>
      <c r="BM85" s="183"/>
      <c r="BN85" s="183"/>
      <c r="BO85" s="183"/>
      <c r="BP85" s="183"/>
      <c r="BQ85" s="183"/>
      <c r="BR85" s="183"/>
      <c r="BS85" s="183"/>
      <c r="BT85" s="183"/>
      <c r="BU85" s="183"/>
      <c r="BV85" s="183"/>
      <c r="BW85" s="183"/>
      <c r="BX85" s="183"/>
      <c r="BY85" s="183"/>
      <c r="BZ85" s="183"/>
      <c r="CA85" s="183"/>
      <c r="CB85" s="183"/>
      <c r="CC85" s="183"/>
      <c r="CD85" s="183"/>
      <c r="CE85" s="183"/>
      <c r="CF85" s="183"/>
      <c r="CG85" s="183"/>
      <c r="CH85" s="183"/>
      <c r="CI85" s="183"/>
      <c r="CJ85" s="183"/>
      <c r="CK85" s="183"/>
      <c r="CL85" s="183"/>
      <c r="CM85" s="183"/>
      <c r="CN85" s="183"/>
      <c r="CO85" s="183"/>
      <c r="CP85" s="183"/>
      <c r="CQ85" s="183"/>
      <c r="CR85" s="183"/>
      <c r="CS85" s="183"/>
      <c r="CT85" s="183"/>
      <c r="CU85" s="183"/>
      <c r="CV85" s="183"/>
      <c r="CW85" s="183"/>
      <c r="CX85" s="183"/>
      <c r="CY85" s="183"/>
      <c r="CZ85" s="183"/>
      <c r="DA85" s="183"/>
      <c r="DB85" s="183"/>
      <c r="DC85" s="183"/>
      <c r="DD85" s="183"/>
      <c r="DE85" s="183"/>
      <c r="DF85" s="183"/>
      <c r="DG85" s="183"/>
      <c r="DH85" s="183"/>
      <c r="DI85" s="183"/>
      <c r="DJ85" s="183"/>
      <c r="DK85" s="183"/>
      <c r="DL85" s="183"/>
      <c r="DM85" s="183"/>
      <c r="DN85" s="183"/>
      <c r="DO85" s="183"/>
      <c r="DP85" s="183"/>
    </row>
    <row r="86" spans="2:120" s="474" customFormat="1">
      <c r="B86" s="4527"/>
      <c r="C86" s="3328" t="s">
        <v>1614</v>
      </c>
      <c r="D86" s="826" t="s">
        <v>1615</v>
      </c>
      <c r="E86" s="666">
        <v>1.0000000000000001E-5</v>
      </c>
      <c r="F86" s="667">
        <v>882.12030000000004</v>
      </c>
      <c r="G86" s="667">
        <v>699.75300000000004</v>
      </c>
      <c r="H86" s="667">
        <v>702.726</v>
      </c>
      <c r="I86" s="3329">
        <v>716.20399999999995</v>
      </c>
      <c r="J86" s="666">
        <v>854.07</v>
      </c>
      <c r="K86" s="667">
        <v>866.18399999999997</v>
      </c>
      <c r="L86" s="667">
        <v>854.53499999999997</v>
      </c>
      <c r="M86" s="667">
        <v>808.45925435327547</v>
      </c>
      <c r="N86" s="3329">
        <v>905.26147976797188</v>
      </c>
      <c r="O86" s="666">
        <v>1076.5915955071991</v>
      </c>
      <c r="P86" s="667">
        <v>1224.4224622538259</v>
      </c>
      <c r="Q86" s="667">
        <v>1339.4079012593033</v>
      </c>
      <c r="R86" s="667">
        <v>1424.8384367243818</v>
      </c>
      <c r="S86" s="3330">
        <v>1474.5330261174745</v>
      </c>
      <c r="T86" s="1172"/>
      <c r="U86" s="1172"/>
      <c r="V86" s="1172"/>
      <c r="W86" s="1172"/>
      <c r="X86" s="1172"/>
      <c r="Y86" s="1172"/>
      <c r="Z86" s="1172"/>
      <c r="AA86" s="1172"/>
      <c r="AB86" s="1172"/>
      <c r="AC86" s="1172"/>
      <c r="AD86" s="1172"/>
      <c r="AE86" s="1172"/>
      <c r="AF86" s="183"/>
      <c r="AG86" s="183"/>
      <c r="AH86" s="183"/>
      <c r="AI86" s="183"/>
      <c r="AJ86" s="183"/>
      <c r="AK86" s="183"/>
      <c r="AL86" s="183"/>
      <c r="AM86" s="183"/>
      <c r="AN86" s="183"/>
      <c r="AO86" s="183"/>
      <c r="AP86" s="183"/>
      <c r="AQ86" s="183"/>
      <c r="AR86" s="183"/>
      <c r="AS86" s="183"/>
      <c r="AT86" s="183"/>
      <c r="AU86" s="183"/>
      <c r="AV86" s="183"/>
      <c r="AW86" s="183"/>
      <c r="AX86" s="183"/>
      <c r="AY86" s="183"/>
      <c r="AZ86" s="183"/>
      <c r="BA86" s="183"/>
      <c r="BB86" s="183"/>
      <c r="BC86" s="183"/>
      <c r="BD86" s="183"/>
      <c r="BE86" s="183"/>
      <c r="BF86" s="183"/>
      <c r="BG86" s="183"/>
      <c r="BH86" s="183"/>
      <c r="BI86" s="183"/>
      <c r="BJ86" s="183"/>
      <c r="BK86" s="183"/>
      <c r="BL86" s="183"/>
      <c r="BM86" s="183"/>
      <c r="BN86" s="183"/>
      <c r="BO86" s="183"/>
      <c r="BP86" s="183"/>
      <c r="BQ86" s="183"/>
      <c r="BR86" s="183"/>
      <c r="BS86" s="183"/>
      <c r="BT86" s="183"/>
      <c r="BU86" s="183"/>
      <c r="BV86" s="183"/>
      <c r="BW86" s="183"/>
      <c r="BX86" s="183"/>
      <c r="BY86" s="183"/>
      <c r="BZ86" s="183"/>
      <c r="CA86" s="183"/>
      <c r="CB86" s="183"/>
      <c r="CC86" s="183"/>
      <c r="CD86" s="183"/>
      <c r="CE86" s="183"/>
      <c r="CF86" s="183"/>
      <c r="CG86" s="183"/>
      <c r="CH86" s="183"/>
      <c r="CI86" s="183"/>
      <c r="CJ86" s="183"/>
      <c r="CK86" s="183"/>
      <c r="CL86" s="183"/>
      <c r="CM86" s="183"/>
      <c r="CN86" s="183"/>
      <c r="CO86" s="183"/>
      <c r="CP86" s="183"/>
      <c r="CQ86" s="183"/>
      <c r="CR86" s="183"/>
      <c r="CS86" s="183"/>
      <c r="CT86" s="183"/>
      <c r="CU86" s="183"/>
      <c r="CV86" s="183"/>
      <c r="CW86" s="183"/>
      <c r="CX86" s="183"/>
      <c r="CY86" s="183"/>
      <c r="CZ86" s="183"/>
      <c r="DA86" s="183"/>
      <c r="DB86" s="183"/>
      <c r="DC86" s="183"/>
      <c r="DD86" s="183"/>
      <c r="DE86" s="183"/>
      <c r="DF86" s="183"/>
      <c r="DG86" s="183"/>
      <c r="DH86" s="183"/>
      <c r="DI86" s="183"/>
      <c r="DJ86" s="183"/>
      <c r="DK86" s="183"/>
      <c r="DL86" s="183"/>
      <c r="DM86" s="183"/>
      <c r="DN86" s="183"/>
      <c r="DO86" s="183"/>
      <c r="DP86" s="183"/>
    </row>
    <row r="87" spans="2:120" s="474" customFormat="1" ht="13.5" thickBot="1">
      <c r="B87" s="4528"/>
      <c r="C87" s="4531" t="s">
        <v>376</v>
      </c>
      <c r="D87" s="4535"/>
      <c r="E87" s="1555">
        <v>261.01500999999996</v>
      </c>
      <c r="F87" s="1557">
        <v>2177.6970000000001</v>
      </c>
      <c r="G87" s="1557">
        <v>2478.5830000000001</v>
      </c>
      <c r="H87" s="1557">
        <v>3520.0250000000001</v>
      </c>
      <c r="I87" s="1560">
        <v>2955.92</v>
      </c>
      <c r="J87" s="1555">
        <v>3260.1820000000002</v>
      </c>
      <c r="K87" s="1557">
        <v>3424.0039999999999</v>
      </c>
      <c r="L87" s="1557">
        <v>3469.16</v>
      </c>
      <c r="M87" s="1557">
        <v>3227.3907368068649</v>
      </c>
      <c r="N87" s="1560">
        <v>3742.6644745914373</v>
      </c>
      <c r="O87" s="1555">
        <v>4645.9744784243121</v>
      </c>
      <c r="P87" s="1557">
        <v>5393.1312671962041</v>
      </c>
      <c r="Q87" s="1557">
        <v>5959.7898566391068</v>
      </c>
      <c r="R87" s="1557">
        <v>6368.7004179609576</v>
      </c>
      <c r="S87" s="1558">
        <v>6580.4439403671531</v>
      </c>
      <c r="T87" s="1172"/>
      <c r="U87" s="1172"/>
      <c r="V87" s="1172"/>
      <c r="W87" s="1172"/>
      <c r="X87" s="1172"/>
      <c r="Y87" s="1172"/>
      <c r="Z87" s="1172"/>
      <c r="AA87" s="1172"/>
      <c r="AB87" s="1172"/>
      <c r="AC87" s="1172"/>
      <c r="AD87" s="1172"/>
      <c r="AE87" s="1172"/>
      <c r="AF87" s="183"/>
      <c r="AG87" s="183"/>
      <c r="AH87" s="183"/>
      <c r="AI87" s="183"/>
      <c r="AJ87" s="183"/>
      <c r="AK87" s="183"/>
      <c r="AL87" s="183"/>
      <c r="AM87" s="183"/>
      <c r="AN87" s="183"/>
      <c r="AO87" s="183"/>
      <c r="AP87" s="183"/>
      <c r="AQ87" s="183"/>
      <c r="AR87" s="183"/>
      <c r="AS87" s="183"/>
      <c r="AT87" s="183"/>
      <c r="AU87" s="183"/>
      <c r="AV87" s="183"/>
      <c r="AW87" s="183"/>
      <c r="AX87" s="183"/>
      <c r="AY87" s="183"/>
      <c r="AZ87" s="183"/>
      <c r="BA87" s="183"/>
      <c r="BB87" s="183"/>
      <c r="BC87" s="183"/>
      <c r="BD87" s="183"/>
      <c r="BE87" s="183"/>
      <c r="BF87" s="183"/>
      <c r="BG87" s="183"/>
      <c r="BH87" s="183"/>
      <c r="BI87" s="183"/>
      <c r="BJ87" s="183"/>
      <c r="BK87" s="183"/>
      <c r="BL87" s="183"/>
      <c r="BM87" s="183"/>
      <c r="BN87" s="183"/>
      <c r="BO87" s="183"/>
      <c r="BP87" s="183"/>
      <c r="BQ87" s="183"/>
      <c r="BR87" s="183"/>
      <c r="BS87" s="183"/>
      <c r="BT87" s="183"/>
      <c r="BU87" s="183"/>
      <c r="BV87" s="183"/>
      <c r="BW87" s="183"/>
      <c r="BX87" s="183"/>
      <c r="BY87" s="183"/>
      <c r="BZ87" s="183"/>
      <c r="CA87" s="183"/>
      <c r="CB87" s="183"/>
      <c r="CC87" s="183"/>
      <c r="CD87" s="183"/>
      <c r="CE87" s="183"/>
      <c r="CF87" s="183"/>
      <c r="CG87" s="183"/>
      <c r="CH87" s="183"/>
      <c r="CI87" s="183"/>
      <c r="CJ87" s="183"/>
      <c r="CK87" s="183"/>
      <c r="CL87" s="183"/>
      <c r="CM87" s="183"/>
      <c r="CN87" s="183"/>
      <c r="CO87" s="183"/>
      <c r="CP87" s="183"/>
      <c r="CQ87" s="183"/>
      <c r="CR87" s="183"/>
      <c r="CS87" s="183"/>
      <c r="CT87" s="183"/>
      <c r="CU87" s="183"/>
      <c r="CV87" s="183"/>
      <c r="CW87" s="183"/>
      <c r="CX87" s="183"/>
      <c r="CY87" s="183"/>
      <c r="CZ87" s="183"/>
      <c r="DA87" s="183"/>
      <c r="DB87" s="183"/>
      <c r="DC87" s="183"/>
      <c r="DD87" s="183"/>
      <c r="DE87" s="183"/>
      <c r="DF87" s="183"/>
      <c r="DG87" s="183"/>
      <c r="DH87" s="183"/>
      <c r="DI87" s="183"/>
      <c r="DJ87" s="183"/>
      <c r="DK87" s="183"/>
      <c r="DL87" s="183"/>
      <c r="DM87" s="183"/>
      <c r="DN87" s="183"/>
      <c r="DO87" s="183"/>
      <c r="DP87" s="183"/>
    </row>
    <row r="88" spans="2:120" s="1338" customFormat="1" ht="24" customHeight="1" thickBot="1">
      <c r="B88" s="3331" t="s">
        <v>63</v>
      </c>
      <c r="C88" s="3332"/>
      <c r="D88" s="3332"/>
      <c r="E88" s="1562">
        <v>11540.504009999999</v>
      </c>
      <c r="F88" s="1563">
        <v>24892.305999999997</v>
      </c>
      <c r="G88" s="1563">
        <v>31246.381999999998</v>
      </c>
      <c r="H88" s="1563">
        <v>36671.893000000004</v>
      </c>
      <c r="I88" s="1564">
        <v>42314.531999999992</v>
      </c>
      <c r="J88" s="1562">
        <v>43919.740999999995</v>
      </c>
      <c r="K88" s="1563">
        <v>47527.553</v>
      </c>
      <c r="L88" s="1563">
        <v>55934.040000000008</v>
      </c>
      <c r="M88" s="1563">
        <v>55929.441920426834</v>
      </c>
      <c r="N88" s="1564">
        <v>61810.27465402599</v>
      </c>
      <c r="O88" s="1562">
        <v>72005.681976868145</v>
      </c>
      <c r="P88" s="1563">
        <v>79848.796321357222</v>
      </c>
      <c r="Q88" s="1563">
        <v>85680.980942610026</v>
      </c>
      <c r="R88" s="1563">
        <v>89919.906047976285</v>
      </c>
      <c r="S88" s="1565">
        <v>91433.604392560243</v>
      </c>
      <c r="T88" s="1339"/>
      <c r="U88" s="1339"/>
      <c r="V88" s="1339"/>
      <c r="W88" s="1339"/>
      <c r="X88" s="1339"/>
      <c r="Y88" s="1339"/>
      <c r="Z88" s="1339"/>
      <c r="AA88" s="1339"/>
      <c r="AB88" s="1339"/>
      <c r="AC88" s="1339"/>
      <c r="AD88" s="1339"/>
      <c r="AE88" s="1339"/>
      <c r="AF88" s="1340"/>
      <c r="AG88" s="1340"/>
      <c r="AH88" s="1340"/>
      <c r="AI88" s="1340"/>
      <c r="AJ88" s="1340"/>
      <c r="AK88" s="1340"/>
      <c r="AL88" s="1340"/>
      <c r="AM88" s="1340"/>
      <c r="AN88" s="1340"/>
      <c r="AO88" s="1340"/>
      <c r="AP88" s="1340"/>
      <c r="AQ88" s="1340"/>
      <c r="AR88" s="1340"/>
      <c r="AS88" s="1340"/>
      <c r="AT88" s="1340"/>
      <c r="AU88" s="1340"/>
      <c r="AV88" s="1340"/>
      <c r="AW88" s="1340"/>
      <c r="AX88" s="1340"/>
      <c r="AY88" s="1340"/>
      <c r="AZ88" s="1340"/>
      <c r="BA88" s="1340"/>
      <c r="BB88" s="1340"/>
      <c r="BC88" s="1340"/>
      <c r="BD88" s="1340"/>
      <c r="BE88" s="1340"/>
      <c r="BF88" s="1340"/>
      <c r="BG88" s="1340"/>
      <c r="BH88" s="1340"/>
      <c r="BI88" s="1340"/>
      <c r="BJ88" s="1340"/>
      <c r="BK88" s="1340"/>
      <c r="BL88" s="1340"/>
      <c r="BM88" s="1340"/>
      <c r="BN88" s="1340"/>
      <c r="BO88" s="1340"/>
      <c r="BP88" s="1340"/>
      <c r="BQ88" s="1340"/>
      <c r="BR88" s="1340"/>
      <c r="BS88" s="1340"/>
      <c r="BT88" s="1340"/>
      <c r="BU88" s="1340"/>
      <c r="BV88" s="1340"/>
      <c r="BW88" s="1340"/>
      <c r="BX88" s="1340"/>
      <c r="BY88" s="1340"/>
      <c r="BZ88" s="1340"/>
      <c r="CA88" s="1340"/>
      <c r="CB88" s="1340"/>
      <c r="CC88" s="1340"/>
      <c r="CD88" s="1340"/>
      <c r="CE88" s="1340"/>
      <c r="CF88" s="1340"/>
      <c r="CG88" s="1340"/>
      <c r="CH88" s="1340"/>
      <c r="CI88" s="1340"/>
      <c r="CJ88" s="1340"/>
      <c r="CK88" s="1340"/>
      <c r="CL88" s="1340"/>
      <c r="CM88" s="1340"/>
      <c r="CN88" s="1340"/>
      <c r="CO88" s="1340"/>
      <c r="CP88" s="1340"/>
      <c r="CQ88" s="1340"/>
      <c r="CR88" s="1340"/>
      <c r="CS88" s="1340"/>
      <c r="CT88" s="1340"/>
      <c r="CU88" s="1340"/>
      <c r="CV88" s="1340"/>
      <c r="CW88" s="1340"/>
      <c r="CX88" s="1340"/>
      <c r="CY88" s="1340"/>
      <c r="CZ88" s="1340"/>
      <c r="DA88" s="1340"/>
      <c r="DB88" s="1340"/>
      <c r="DC88" s="1340"/>
      <c r="DD88" s="1340"/>
      <c r="DE88" s="1340"/>
      <c r="DF88" s="1340"/>
      <c r="DG88" s="1340"/>
      <c r="DH88" s="1340"/>
      <c r="DI88" s="1340"/>
      <c r="DJ88" s="1340"/>
      <c r="DK88" s="1340"/>
      <c r="DL88" s="1340"/>
      <c r="DM88" s="1340"/>
      <c r="DN88" s="1340"/>
      <c r="DO88" s="1340"/>
      <c r="DP88" s="1340"/>
    </row>
    <row r="89" spans="2:120" customFormat="1" ht="24" customHeight="1" thickBot="1">
      <c r="B89" s="2141" t="str">
        <f>+'[11]27. Customer numbers'!B74</f>
        <v>Adjoining West</v>
      </c>
      <c r="C89" s="3322"/>
      <c r="D89" s="3323"/>
      <c r="E89" s="3323"/>
      <c r="F89" s="3323"/>
      <c r="G89" s="3323"/>
      <c r="H89" s="3323"/>
      <c r="I89" s="3323"/>
      <c r="J89" s="3323"/>
      <c r="K89" s="3323"/>
      <c r="L89" s="3323"/>
      <c r="M89" s="3323"/>
      <c r="N89" s="3323"/>
      <c r="O89" s="3323"/>
      <c r="P89" s="3323"/>
      <c r="Q89" s="3323"/>
      <c r="R89" s="3323"/>
      <c r="S89" s="3324"/>
    </row>
    <row r="90" spans="2:120" customFormat="1" ht="32.25" customHeight="1" thickBot="1">
      <c r="B90" s="2141" t="str">
        <f>+'[11]27. Customer numbers'!B75</f>
        <v>Tariff V</v>
      </c>
      <c r="C90" s="3325"/>
      <c r="D90" s="3326"/>
      <c r="E90" s="3326"/>
      <c r="F90" s="3326"/>
      <c r="G90" s="3326"/>
      <c r="H90" s="3326"/>
      <c r="I90" s="3326"/>
      <c r="J90" s="3326"/>
      <c r="K90" s="3326"/>
      <c r="L90" s="3326"/>
      <c r="M90" s="3326"/>
      <c r="N90" s="3326"/>
      <c r="O90" s="3326"/>
      <c r="P90" s="3326"/>
      <c r="Q90" s="3326"/>
      <c r="R90" s="3326"/>
      <c r="S90" s="3327"/>
    </row>
    <row r="91" spans="2:120">
      <c r="B91" s="4527" t="str">
        <f>+'[11]27. Customer numbers'!B78</f>
        <v>Residential customers</v>
      </c>
      <c r="C91" s="4529" t="s">
        <v>47</v>
      </c>
      <c r="D91" s="4530"/>
      <c r="E91" s="1541">
        <v>3179</v>
      </c>
      <c r="F91" s="1542">
        <v>4822.5</v>
      </c>
      <c r="G91" s="1542">
        <v>5944</v>
      </c>
      <c r="H91" s="1542">
        <v>6806.5</v>
      </c>
      <c r="I91" s="1559">
        <v>7555.5</v>
      </c>
      <c r="J91" s="1541">
        <v>8178.5</v>
      </c>
      <c r="K91" s="1542">
        <v>8747</v>
      </c>
      <c r="L91" s="1542">
        <v>9240</v>
      </c>
      <c r="M91" s="1542">
        <v>9737.5</v>
      </c>
      <c r="N91" s="1559">
        <v>10317.915267116188</v>
      </c>
      <c r="O91" s="1541">
        <v>10881.526643707493</v>
      </c>
      <c r="P91" s="1542">
        <v>11384.481578073186</v>
      </c>
      <c r="Q91" s="1542">
        <v>11841.850275882105</v>
      </c>
      <c r="R91" s="1542">
        <v>12266.40046276971</v>
      </c>
      <c r="S91" s="1556">
        <v>12670.791944063138</v>
      </c>
    </row>
    <row r="92" spans="2:120">
      <c r="B92" s="4527"/>
      <c r="C92" s="850" t="s">
        <v>1600</v>
      </c>
      <c r="D92" s="826" t="s">
        <v>1601</v>
      </c>
      <c r="E92" s="459">
        <v>35707.31</v>
      </c>
      <c r="F92" s="458">
        <v>51020.899359542003</v>
      </c>
      <c r="G92" s="458">
        <v>61345.892</v>
      </c>
      <c r="H92" s="458">
        <v>69749.703999999998</v>
      </c>
      <c r="I92" s="625">
        <v>77856.789999999994</v>
      </c>
      <c r="J92" s="459">
        <v>83331.652000000002</v>
      </c>
      <c r="K92" s="458">
        <v>82775.481</v>
      </c>
      <c r="L92" s="458">
        <v>94585.883000000002</v>
      </c>
      <c r="M92" s="458">
        <v>101909.71720881609</v>
      </c>
      <c r="N92" s="625">
        <v>105977.81603797172</v>
      </c>
      <c r="O92" s="459">
        <v>109661.87520022201</v>
      </c>
      <c r="P92" s="458">
        <v>113263.9812246868</v>
      </c>
      <c r="Q92" s="458">
        <v>116470.50974945576</v>
      </c>
      <c r="R92" s="458">
        <v>119333.52047017672</v>
      </c>
      <c r="S92" s="410">
        <v>120492.3645462581</v>
      </c>
    </row>
    <row r="93" spans="2:120">
      <c r="B93" s="4527"/>
      <c r="C93" s="850" t="s">
        <v>1602</v>
      </c>
      <c r="D93" s="826" t="s">
        <v>1603</v>
      </c>
      <c r="E93" s="459">
        <v>26980.501</v>
      </c>
      <c r="F93" s="458">
        <v>37450.014756863085</v>
      </c>
      <c r="G93" s="458">
        <v>48630.12</v>
      </c>
      <c r="H93" s="458">
        <v>51161.069000000003</v>
      </c>
      <c r="I93" s="625">
        <v>60681.173999999999</v>
      </c>
      <c r="J93" s="459">
        <v>61676.008000000002</v>
      </c>
      <c r="K93" s="458">
        <v>66269.025999999998</v>
      </c>
      <c r="L93" s="458">
        <v>74089.236000000004</v>
      </c>
      <c r="M93" s="458">
        <v>77796.619564511886</v>
      </c>
      <c r="N93" s="625">
        <v>80730.840276786505</v>
      </c>
      <c r="O93" s="459">
        <v>83346.235853822887</v>
      </c>
      <c r="P93" s="458">
        <v>85886.114195666218</v>
      </c>
      <c r="Q93" s="458">
        <v>88104.372598101938</v>
      </c>
      <c r="R93" s="458">
        <v>90040.842689520345</v>
      </c>
      <c r="S93" s="410">
        <v>90669.767003089626</v>
      </c>
    </row>
    <row r="94" spans="2:120">
      <c r="B94" s="4527"/>
      <c r="C94" s="850" t="s">
        <v>1604</v>
      </c>
      <c r="D94" s="826" t="s">
        <v>1605</v>
      </c>
      <c r="E94" s="459">
        <v>50875.938999999998</v>
      </c>
      <c r="F94" s="458">
        <v>63526.754171625646</v>
      </c>
      <c r="G94" s="458">
        <v>102069.05100000001</v>
      </c>
      <c r="H94" s="458">
        <v>88668.930999999997</v>
      </c>
      <c r="I94" s="625">
        <v>119886.213</v>
      </c>
      <c r="J94" s="459">
        <v>101604.20600000001</v>
      </c>
      <c r="K94" s="458">
        <v>130037.246</v>
      </c>
      <c r="L94" s="458">
        <v>152606.02799999999</v>
      </c>
      <c r="M94" s="458">
        <v>150882.5655451807</v>
      </c>
      <c r="N94" s="625">
        <v>156091.01722913233</v>
      </c>
      <c r="O94" s="459">
        <v>160834.12146088851</v>
      </c>
      <c r="P94" s="458">
        <v>165571.71637617258</v>
      </c>
      <c r="Q94" s="458">
        <v>169773.00214808792</v>
      </c>
      <c r="R94" s="458">
        <v>173491.3430236188</v>
      </c>
      <c r="S94" s="410">
        <v>174983.59264004929</v>
      </c>
    </row>
    <row r="95" spans="2:120">
      <c r="B95" s="4527"/>
      <c r="C95" s="850" t="s">
        <v>1606</v>
      </c>
      <c r="D95" s="826" t="s">
        <v>1607</v>
      </c>
      <c r="E95" s="459">
        <v>450.06200000000001</v>
      </c>
      <c r="F95" s="458">
        <v>395.63785127415213</v>
      </c>
      <c r="G95" s="458">
        <v>625.07299999999998</v>
      </c>
      <c r="H95" s="458">
        <v>840.2</v>
      </c>
      <c r="I95" s="625">
        <v>2146.6849999999999</v>
      </c>
      <c r="J95" s="459">
        <v>1735.77</v>
      </c>
      <c r="K95" s="458">
        <v>758.45799999999997</v>
      </c>
      <c r="L95" s="458">
        <v>981.57</v>
      </c>
      <c r="M95" s="458">
        <v>1045.5375810284741</v>
      </c>
      <c r="N95" s="625">
        <v>1114.3706315656798</v>
      </c>
      <c r="O95" s="459">
        <v>1179.1804979401145</v>
      </c>
      <c r="P95" s="458">
        <v>1243.5580151512147</v>
      </c>
      <c r="Q95" s="458">
        <v>1304.2476871144186</v>
      </c>
      <c r="R95" s="458">
        <v>1361.9695426047174</v>
      </c>
      <c r="S95" s="410">
        <v>1397.0774565659044</v>
      </c>
    </row>
    <row r="96" spans="2:120">
      <c r="B96" s="4527"/>
      <c r="C96" s="3328" t="s">
        <v>1608</v>
      </c>
      <c r="D96" s="826" t="s">
        <v>1609</v>
      </c>
      <c r="E96" s="666">
        <v>41630.233999999997</v>
      </c>
      <c r="F96" s="667">
        <v>62663.487640457999</v>
      </c>
      <c r="G96" s="667">
        <v>72043.164999999994</v>
      </c>
      <c r="H96" s="667">
        <v>89860.993000000002</v>
      </c>
      <c r="I96" s="3329">
        <v>99725.274999999994</v>
      </c>
      <c r="J96" s="666">
        <v>103616.52</v>
      </c>
      <c r="K96" s="667">
        <v>110300.617</v>
      </c>
      <c r="L96" s="667">
        <v>119149.482</v>
      </c>
      <c r="M96" s="667">
        <v>125532.25585305669</v>
      </c>
      <c r="N96" s="3329">
        <v>128954.58348571096</v>
      </c>
      <c r="O96" s="666">
        <v>131946.84237460577</v>
      </c>
      <c r="P96" s="667">
        <v>134859.65004834317</v>
      </c>
      <c r="Q96" s="667">
        <v>137290.30198423253</v>
      </c>
      <c r="R96" s="667">
        <v>139287.56773244843</v>
      </c>
      <c r="S96" s="3330">
        <v>139499.07641323842</v>
      </c>
    </row>
    <row r="97" spans="2:19">
      <c r="B97" s="4527"/>
      <c r="C97" s="3328" t="s">
        <v>1610</v>
      </c>
      <c r="D97" s="826" t="s">
        <v>1611</v>
      </c>
      <c r="E97" s="666">
        <v>14061.694</v>
      </c>
      <c r="F97" s="667">
        <v>24787.09924313692</v>
      </c>
      <c r="G97" s="667">
        <v>24729.062000000002</v>
      </c>
      <c r="H97" s="667">
        <v>32900.902000000002</v>
      </c>
      <c r="I97" s="3329">
        <v>34448.936000000002</v>
      </c>
      <c r="J97" s="666">
        <v>35777.656000000003</v>
      </c>
      <c r="K97" s="667">
        <v>31915.409</v>
      </c>
      <c r="L97" s="667">
        <v>38462.936999999998</v>
      </c>
      <c r="M97" s="667">
        <v>34836.727553225748</v>
      </c>
      <c r="N97" s="3329">
        <v>35231.294435535245</v>
      </c>
      <c r="O97" s="666">
        <v>35470.095292246871</v>
      </c>
      <c r="P97" s="667">
        <v>35675.978889980055</v>
      </c>
      <c r="Q97" s="667">
        <v>35715.510711240626</v>
      </c>
      <c r="R97" s="667">
        <v>35599.142754548571</v>
      </c>
      <c r="S97" s="3330">
        <v>35019.211410460404</v>
      </c>
    </row>
    <row r="98" spans="2:19">
      <c r="B98" s="4527"/>
      <c r="C98" s="3328" t="s">
        <v>1612</v>
      </c>
      <c r="D98" s="826" t="s">
        <v>1613</v>
      </c>
      <c r="E98" s="666">
        <v>9688.4529999999995</v>
      </c>
      <c r="F98" s="667">
        <v>22717.907828374358</v>
      </c>
      <c r="G98" s="667">
        <v>16478.441999999999</v>
      </c>
      <c r="H98" s="667">
        <v>25433.649000000001</v>
      </c>
      <c r="I98" s="3329">
        <v>22353.316999999999</v>
      </c>
      <c r="J98" s="666">
        <v>26110.683000000001</v>
      </c>
      <c r="K98" s="667">
        <v>14797.218999999999</v>
      </c>
      <c r="L98" s="667">
        <v>25441.953000000001</v>
      </c>
      <c r="M98" s="667">
        <v>21145.989923930374</v>
      </c>
      <c r="N98" s="3329">
        <v>21316.451674652635</v>
      </c>
      <c r="O98" s="666">
        <v>21391.108572456149</v>
      </c>
      <c r="P98" s="667">
        <v>21452.649833347234</v>
      </c>
      <c r="Q98" s="667">
        <v>21410.694921209724</v>
      </c>
      <c r="R98" s="667">
        <v>21269.96993442245</v>
      </c>
      <c r="S98" s="3330">
        <v>20857.256514851415</v>
      </c>
    </row>
    <row r="99" spans="2:19">
      <c r="B99" s="4527"/>
      <c r="C99" s="3328" t="s">
        <v>1614</v>
      </c>
      <c r="D99" s="826" t="s">
        <v>1615</v>
      </c>
      <c r="E99" s="666">
        <v>718.76300000000003</v>
      </c>
      <c r="F99" s="667">
        <v>161.55014872584786</v>
      </c>
      <c r="G99" s="667">
        <v>101.833</v>
      </c>
      <c r="H99" s="667">
        <v>698.94799999999998</v>
      </c>
      <c r="I99" s="3329">
        <v>1408.739</v>
      </c>
      <c r="J99" s="666">
        <v>1250.085</v>
      </c>
      <c r="K99" s="667">
        <v>1035.5889999999999</v>
      </c>
      <c r="L99" s="667">
        <v>540.57899999999995</v>
      </c>
      <c r="M99" s="667">
        <v>555.78105202319784</v>
      </c>
      <c r="N99" s="3329">
        <v>591.61214279766568</v>
      </c>
      <c r="O99" s="666">
        <v>624.30959889138217</v>
      </c>
      <c r="P99" s="667">
        <v>656.12819429474609</v>
      </c>
      <c r="Q99" s="667">
        <v>685.32395984900177</v>
      </c>
      <c r="R99" s="667">
        <v>712.35145691421053</v>
      </c>
      <c r="S99" s="3330">
        <v>726.1798293826389</v>
      </c>
    </row>
    <row r="100" spans="2:19" ht="13.5" thickBot="1">
      <c r="B100" s="4528"/>
      <c r="C100" s="4531" t="s">
        <v>376</v>
      </c>
      <c r="D100" s="4532"/>
      <c r="E100" s="1555">
        <v>180112.95600000001</v>
      </c>
      <c r="F100" s="1557">
        <v>262723.35100000002</v>
      </c>
      <c r="G100" s="1557">
        <v>326022.63799999998</v>
      </c>
      <c r="H100" s="1557">
        <v>359314.39599999995</v>
      </c>
      <c r="I100" s="1560">
        <v>418507.12899999996</v>
      </c>
      <c r="J100" s="1555">
        <v>415102.58000000007</v>
      </c>
      <c r="K100" s="1557">
        <v>437889.04499999993</v>
      </c>
      <c r="L100" s="1557">
        <v>505857.66800000001</v>
      </c>
      <c r="M100" s="1557">
        <v>513705.19428177312</v>
      </c>
      <c r="N100" s="1560">
        <v>530007.98591415281</v>
      </c>
      <c r="O100" s="1555">
        <v>544453.76885107381</v>
      </c>
      <c r="P100" s="1557">
        <v>558609.77677764196</v>
      </c>
      <c r="Q100" s="1557">
        <v>570753.9637592918</v>
      </c>
      <c r="R100" s="1557">
        <v>581096.70760425413</v>
      </c>
      <c r="S100" s="1558">
        <v>583644.52581389598</v>
      </c>
    </row>
    <row r="101" spans="2:19">
      <c r="B101" s="4533" t="str">
        <f>+'[11]27. Customer numbers'!B84</f>
        <v>Commercial customers</v>
      </c>
      <c r="C101" s="4529" t="s">
        <v>47</v>
      </c>
      <c r="D101" s="4534"/>
      <c r="E101" s="1541">
        <v>81</v>
      </c>
      <c r="F101" s="1542">
        <v>108</v>
      </c>
      <c r="G101" s="1542">
        <v>137</v>
      </c>
      <c r="H101" s="1542">
        <v>163.5</v>
      </c>
      <c r="I101" s="1559">
        <v>184.5</v>
      </c>
      <c r="J101" s="1541">
        <v>199.5</v>
      </c>
      <c r="K101" s="1542">
        <v>215</v>
      </c>
      <c r="L101" s="1542">
        <v>233</v>
      </c>
      <c r="M101" s="1542">
        <v>246.5</v>
      </c>
      <c r="N101" s="1559">
        <v>253.97553651258579</v>
      </c>
      <c r="O101" s="1541">
        <v>259.4962076072166</v>
      </c>
      <c r="P101" s="1542">
        <v>264.26903377520387</v>
      </c>
      <c r="Q101" s="1542">
        <v>268.49180381926203</v>
      </c>
      <c r="R101" s="1542">
        <v>272.31308326469008</v>
      </c>
      <c r="S101" s="1556">
        <v>275.92187384124531</v>
      </c>
    </row>
    <row r="102" spans="2:19">
      <c r="B102" s="4527"/>
      <c r="C102" s="850" t="s">
        <v>1600</v>
      </c>
      <c r="D102" s="826" t="s">
        <v>1601</v>
      </c>
      <c r="E102" s="459">
        <v>836.20399999999995</v>
      </c>
      <c r="F102" s="458">
        <v>1134.1821373100702</v>
      </c>
      <c r="G102" s="458">
        <v>1421.9960000000001</v>
      </c>
      <c r="H102" s="458">
        <v>1770.732</v>
      </c>
      <c r="I102" s="625">
        <v>1926.789</v>
      </c>
      <c r="J102" s="459">
        <v>2031.296</v>
      </c>
      <c r="K102" s="458">
        <v>2131.6660000000002</v>
      </c>
      <c r="L102" s="458">
        <v>2377.799</v>
      </c>
      <c r="M102" s="458">
        <v>2521.8902375158596</v>
      </c>
      <c r="N102" s="625">
        <v>2520.8207332568777</v>
      </c>
      <c r="O102" s="459">
        <v>2515.3078665121375</v>
      </c>
      <c r="P102" s="458">
        <v>2551.404638575721</v>
      </c>
      <c r="Q102" s="458">
        <v>2578.7213208312073</v>
      </c>
      <c r="R102" s="458">
        <v>2591.884505499625</v>
      </c>
      <c r="S102" s="410">
        <v>2604.7299963961627</v>
      </c>
    </row>
    <row r="103" spans="2:19">
      <c r="B103" s="4527"/>
      <c r="C103" s="850" t="s">
        <v>1602</v>
      </c>
      <c r="D103" s="826" t="s">
        <v>1603</v>
      </c>
      <c r="E103" s="459">
        <v>805.47</v>
      </c>
      <c r="F103" s="458">
        <v>940.74854280487898</v>
      </c>
      <c r="G103" s="458">
        <v>1191.6769999999999</v>
      </c>
      <c r="H103" s="458">
        <v>1473.5509999999999</v>
      </c>
      <c r="I103" s="625">
        <v>1638.221</v>
      </c>
      <c r="J103" s="459">
        <v>1707.7280000000001</v>
      </c>
      <c r="K103" s="458">
        <v>1851.653</v>
      </c>
      <c r="L103" s="458">
        <v>1992.2719999999999</v>
      </c>
      <c r="M103" s="458">
        <v>2123.6894539622795</v>
      </c>
      <c r="N103" s="625">
        <v>2136.407275182426</v>
      </c>
      <c r="O103" s="459">
        <v>2145.7383382564926</v>
      </c>
      <c r="P103" s="458">
        <v>2190.2959310301567</v>
      </c>
      <c r="Q103" s="458">
        <v>2227.7748480225764</v>
      </c>
      <c r="R103" s="458">
        <v>2253.6782123804824</v>
      </c>
      <c r="S103" s="410">
        <v>2278.810955536052</v>
      </c>
    </row>
    <row r="104" spans="2:19">
      <c r="B104" s="4527"/>
      <c r="C104" s="850" t="s">
        <v>1604</v>
      </c>
      <c r="D104" s="826" t="s">
        <v>1605</v>
      </c>
      <c r="E104" s="459">
        <v>5071.2190000000001</v>
      </c>
      <c r="F104" s="458">
        <v>5757.9171076395114</v>
      </c>
      <c r="G104" s="458">
        <v>6642.9120000000003</v>
      </c>
      <c r="H104" s="458">
        <v>8581.34</v>
      </c>
      <c r="I104" s="625">
        <v>10333.214</v>
      </c>
      <c r="J104" s="459">
        <v>10160.271000000001</v>
      </c>
      <c r="K104" s="458">
        <v>11143.052</v>
      </c>
      <c r="L104" s="458">
        <v>11844.576999999999</v>
      </c>
      <c r="M104" s="458">
        <v>12535.141760673341</v>
      </c>
      <c r="N104" s="625">
        <v>12595.06471757402</v>
      </c>
      <c r="O104" s="459">
        <v>12630.764981728033</v>
      </c>
      <c r="P104" s="458">
        <v>12874.442160504996</v>
      </c>
      <c r="Q104" s="458">
        <v>13073.783357999509</v>
      </c>
      <c r="R104" s="458">
        <v>13202.253514376462</v>
      </c>
      <c r="S104" s="410">
        <v>13322.070984691663</v>
      </c>
    </row>
    <row r="105" spans="2:19">
      <c r="B105" s="4527"/>
      <c r="C105" s="850" t="s">
        <v>1606</v>
      </c>
      <c r="D105" s="826" t="s">
        <v>1607</v>
      </c>
      <c r="E105" s="459">
        <v>16550.233</v>
      </c>
      <c r="F105" s="458">
        <v>16853.494350588513</v>
      </c>
      <c r="G105" s="458">
        <v>16669.850999999999</v>
      </c>
      <c r="H105" s="458">
        <v>22619.940999999999</v>
      </c>
      <c r="I105" s="625">
        <v>24104.848000000002</v>
      </c>
      <c r="J105" s="459">
        <v>23176.143</v>
      </c>
      <c r="K105" s="458">
        <v>22046.405999999999</v>
      </c>
      <c r="L105" s="458">
        <v>26506.984</v>
      </c>
      <c r="M105" s="458">
        <v>27202.327991312544</v>
      </c>
      <c r="N105" s="625">
        <v>27162.648697012544</v>
      </c>
      <c r="O105" s="459">
        <v>27112.53326790121</v>
      </c>
      <c r="P105" s="458">
        <v>27539.165911475829</v>
      </c>
      <c r="Q105" s="458">
        <v>27888.286777492634</v>
      </c>
      <c r="R105" s="458">
        <v>28096.813978517181</v>
      </c>
      <c r="S105" s="410">
        <v>28357.857927206838</v>
      </c>
    </row>
    <row r="106" spans="2:19">
      <c r="B106" s="4527"/>
      <c r="C106" s="3328" t="s">
        <v>1608</v>
      </c>
      <c r="D106" s="826" t="s">
        <v>1609</v>
      </c>
      <c r="E106" s="666">
        <v>-2003.8820000000001</v>
      </c>
      <c r="F106" s="667">
        <v>1887.0458626899294</v>
      </c>
      <c r="G106" s="667">
        <v>2133.538</v>
      </c>
      <c r="H106" s="667">
        <v>2755.4050000000002</v>
      </c>
      <c r="I106" s="3329">
        <v>3105.4319999999998</v>
      </c>
      <c r="J106" s="666">
        <v>3259.627</v>
      </c>
      <c r="K106" s="667">
        <v>3548.3789999999999</v>
      </c>
      <c r="L106" s="667">
        <v>3794.9319999999998</v>
      </c>
      <c r="M106" s="667">
        <v>4021.2933846573605</v>
      </c>
      <c r="N106" s="3329">
        <v>4018.2445069126934</v>
      </c>
      <c r="O106" s="666">
        <v>4007.0764241505431</v>
      </c>
      <c r="P106" s="667">
        <v>4061.9499510471528</v>
      </c>
      <c r="Q106" s="667">
        <v>4102.253496475113</v>
      </c>
      <c r="R106" s="667">
        <v>4119.4754851853959</v>
      </c>
      <c r="S106" s="3330">
        <v>4135.0074881672836</v>
      </c>
    </row>
    <row r="107" spans="2:19">
      <c r="B107" s="4527"/>
      <c r="C107" s="3328" t="s">
        <v>1610</v>
      </c>
      <c r="D107" s="826" t="s">
        <v>1611</v>
      </c>
      <c r="E107" s="666">
        <v>1156.4480000000001</v>
      </c>
      <c r="F107" s="667">
        <v>1460.1544571951208</v>
      </c>
      <c r="G107" s="667">
        <v>1580.2660000000001</v>
      </c>
      <c r="H107" s="667">
        <v>2086.9259999999999</v>
      </c>
      <c r="I107" s="3329">
        <v>2340.64</v>
      </c>
      <c r="J107" s="666">
        <v>2428.2179999999998</v>
      </c>
      <c r="K107" s="667">
        <v>2563.8580000000002</v>
      </c>
      <c r="L107" s="667">
        <v>2794.8389999999999</v>
      </c>
      <c r="M107" s="667">
        <v>2968.2765465505281</v>
      </c>
      <c r="N107" s="3329">
        <v>2993.2723919603955</v>
      </c>
      <c r="O107" s="666">
        <v>3012.6265557929391</v>
      </c>
      <c r="P107" s="667">
        <v>3081.2962723309965</v>
      </c>
      <c r="Q107" s="667">
        <v>3139.6300108541618</v>
      </c>
      <c r="R107" s="667">
        <v>3181.3866664067737</v>
      </c>
      <c r="S107" s="3330">
        <v>3220.3822282593451</v>
      </c>
    </row>
    <row r="108" spans="2:19">
      <c r="B108" s="4527"/>
      <c r="C108" s="3328" t="s">
        <v>1612</v>
      </c>
      <c r="D108" s="826" t="s">
        <v>1613</v>
      </c>
      <c r="E108" s="666">
        <v>7697.6440000000002</v>
      </c>
      <c r="F108" s="667">
        <v>9735.4518923604901</v>
      </c>
      <c r="G108" s="667">
        <v>10361.796</v>
      </c>
      <c r="H108" s="667">
        <v>13272.638999999999</v>
      </c>
      <c r="I108" s="3329">
        <v>14043.984</v>
      </c>
      <c r="J108" s="666">
        <v>14359.815000000001</v>
      </c>
      <c r="K108" s="667">
        <v>15662.76</v>
      </c>
      <c r="L108" s="667">
        <v>16626.370999999999</v>
      </c>
      <c r="M108" s="667">
        <v>17582.668022225451</v>
      </c>
      <c r="N108" s="3329">
        <v>17667.144774632554</v>
      </c>
      <c r="O108" s="666">
        <v>17724.065979539126</v>
      </c>
      <c r="P108" s="667">
        <v>18075.001045620982</v>
      </c>
      <c r="Q108" s="667">
        <v>18367.096367802696</v>
      </c>
      <c r="R108" s="667">
        <v>18562.661071049864</v>
      </c>
      <c r="S108" s="3330">
        <v>18754.508032762136</v>
      </c>
    </row>
    <row r="109" spans="2:19">
      <c r="B109" s="4527"/>
      <c r="C109" s="3328" t="s">
        <v>1614</v>
      </c>
      <c r="D109" s="826" t="s">
        <v>1615</v>
      </c>
      <c r="E109" s="666">
        <v>15735.225</v>
      </c>
      <c r="F109" s="667">
        <v>19702.778649411488</v>
      </c>
      <c r="G109" s="667">
        <v>19054.088</v>
      </c>
      <c r="H109" s="667">
        <v>25280.294000000002</v>
      </c>
      <c r="I109" s="3329">
        <v>25295.556</v>
      </c>
      <c r="J109" s="666">
        <v>24535.646000000001</v>
      </c>
      <c r="K109" s="667">
        <v>26134.761999999999</v>
      </c>
      <c r="L109" s="667">
        <v>26432.651999999998</v>
      </c>
      <c r="M109" s="667">
        <v>27329.090445379694</v>
      </c>
      <c r="N109" s="3329">
        <v>27438.825193227694</v>
      </c>
      <c r="O109" s="666">
        <v>27544.58732241387</v>
      </c>
      <c r="P109" s="667">
        <v>28129.520757513226</v>
      </c>
      <c r="Q109" s="667">
        <v>28641.248244279734</v>
      </c>
      <c r="R109" s="667">
        <v>29016.658731023821</v>
      </c>
      <c r="S109" s="3330">
        <v>29446.041592996422</v>
      </c>
    </row>
    <row r="110" spans="2:19" ht="13.5" thickBot="1">
      <c r="B110" s="4528"/>
      <c r="C110" s="4531" t="s">
        <v>376</v>
      </c>
      <c r="D110" s="4535"/>
      <c r="E110" s="1555">
        <v>45848.561000000002</v>
      </c>
      <c r="F110" s="1557">
        <v>57471.773000000001</v>
      </c>
      <c r="G110" s="1557">
        <v>59056.123999999996</v>
      </c>
      <c r="H110" s="1557">
        <v>77840.828000000009</v>
      </c>
      <c r="I110" s="1560">
        <v>82788.683999999994</v>
      </c>
      <c r="J110" s="1555">
        <v>81658.744000000006</v>
      </c>
      <c r="K110" s="1557">
        <v>85082.536000000007</v>
      </c>
      <c r="L110" s="1557">
        <v>92370.426000000007</v>
      </c>
      <c r="M110" s="1557">
        <v>96284.377842277056</v>
      </c>
      <c r="N110" s="1560">
        <v>96532.428289759206</v>
      </c>
      <c r="O110" s="1555">
        <v>96692.700736294355</v>
      </c>
      <c r="P110" s="1557">
        <v>98503.076668099049</v>
      </c>
      <c r="Q110" s="1557">
        <v>100018.79442375763</v>
      </c>
      <c r="R110" s="1557">
        <v>101024.8121644396</v>
      </c>
      <c r="S110" s="1558">
        <v>102119.4092060159</v>
      </c>
    </row>
    <row r="111" spans="2:19" ht="13.5" thickBot="1">
      <c r="B111" s="3331" t="s">
        <v>63</v>
      </c>
      <c r="C111" s="3332"/>
      <c r="D111" s="3332"/>
      <c r="E111" s="1562">
        <v>225961.51699999999</v>
      </c>
      <c r="F111" s="1563">
        <v>320195.12400000001</v>
      </c>
      <c r="G111" s="1563">
        <v>385078.76199999999</v>
      </c>
      <c r="H111" s="1563">
        <v>437155.22399999993</v>
      </c>
      <c r="I111" s="1564">
        <v>501295.81299999997</v>
      </c>
      <c r="J111" s="1562">
        <v>496761.32400000008</v>
      </c>
      <c r="K111" s="1563">
        <v>522971.58099999995</v>
      </c>
      <c r="L111" s="1563">
        <v>598228.09400000004</v>
      </c>
      <c r="M111" s="1563">
        <v>609989.57212405023</v>
      </c>
      <c r="N111" s="1564">
        <v>626540.41420391202</v>
      </c>
      <c r="O111" s="1562">
        <v>641146.46958736819</v>
      </c>
      <c r="P111" s="1563">
        <v>657112.853445741</v>
      </c>
      <c r="Q111" s="1563">
        <v>670772.75818304939</v>
      </c>
      <c r="R111" s="1563">
        <v>682121.51976869372</v>
      </c>
      <c r="S111" s="1565">
        <v>685763.93501991185</v>
      </c>
    </row>
    <row r="112" spans="2:19" ht="15.75" thickBot="1">
      <c r="B112" s="2141" t="str">
        <f>+'[11]27. Customer numbers'!B92</f>
        <v>Central and West</v>
      </c>
      <c r="C112" s="3322"/>
      <c r="D112" s="3323"/>
      <c r="E112" s="3323"/>
      <c r="F112" s="3323"/>
      <c r="G112" s="3323"/>
      <c r="H112" s="3323"/>
      <c r="I112" s="3323"/>
      <c r="J112" s="3323"/>
      <c r="K112" s="3323"/>
      <c r="L112" s="3323"/>
      <c r="M112" s="3323"/>
      <c r="N112" s="3323"/>
      <c r="O112" s="3323"/>
      <c r="P112" s="3323"/>
      <c r="Q112" s="3323"/>
      <c r="R112" s="3323"/>
      <c r="S112" s="3324"/>
    </row>
    <row r="113" spans="2:19" ht="15.75" thickBot="1">
      <c r="B113" s="2141" t="str">
        <f>+'[11]27. Customer numbers'!B93</f>
        <v>MHQ customers</v>
      </c>
      <c r="C113" s="3325"/>
      <c r="D113" s="3326"/>
      <c r="E113" s="3326"/>
      <c r="F113" s="3326"/>
      <c r="G113" s="3326"/>
      <c r="H113" s="3326"/>
      <c r="I113" s="3326"/>
      <c r="J113" s="3326"/>
      <c r="K113" s="3326"/>
      <c r="L113" s="3326"/>
      <c r="M113" s="3326"/>
      <c r="N113" s="3326"/>
      <c r="O113" s="3326"/>
      <c r="P113" s="3326"/>
      <c r="Q113" s="3326"/>
      <c r="R113" s="3326"/>
      <c r="S113" s="3327"/>
    </row>
    <row r="114" spans="2:19">
      <c r="B114" s="4527" t="str">
        <f>'[11]27. Customer numbers'!B96</f>
        <v>Tariff D</v>
      </c>
      <c r="C114" s="4529" t="s">
        <v>47</v>
      </c>
      <c r="D114" s="4530"/>
      <c r="E114" s="1541">
        <v>286</v>
      </c>
      <c r="F114" s="1542">
        <v>285</v>
      </c>
      <c r="G114" s="1542">
        <v>277</v>
      </c>
      <c r="H114" s="1542">
        <v>263.5</v>
      </c>
      <c r="I114" s="1559">
        <v>257.5</v>
      </c>
      <c r="J114" s="1541">
        <v>255</v>
      </c>
      <c r="K114" s="1542">
        <v>251.5</v>
      </c>
      <c r="L114" s="1542">
        <v>249.5</v>
      </c>
      <c r="M114" s="1542">
        <v>245.5</v>
      </c>
      <c r="N114" s="1559">
        <v>243</v>
      </c>
      <c r="O114" s="1541">
        <v>240.64285714285734</v>
      </c>
      <c r="P114" s="1542">
        <v>237.92857142857156</v>
      </c>
      <c r="Q114" s="1542">
        <v>235.21428571428578</v>
      </c>
      <c r="R114" s="1542">
        <v>232.50000000000045</v>
      </c>
      <c r="S114" s="1556">
        <v>229.78571428571468</v>
      </c>
    </row>
    <row r="115" spans="2:19">
      <c r="B115" s="4527"/>
      <c r="C115" s="850" t="s">
        <v>1729</v>
      </c>
      <c r="D115" s="826" t="s">
        <v>1730</v>
      </c>
      <c r="E115" s="459">
        <v>2349.59</v>
      </c>
      <c r="F115" s="458">
        <v>2213.9499999999998</v>
      </c>
      <c r="G115" s="458">
        <v>2150.2399999999998</v>
      </c>
      <c r="H115" s="458">
        <v>1957.1429280815248</v>
      </c>
      <c r="I115" s="625">
        <v>2003.926849540838</v>
      </c>
      <c r="J115" s="459">
        <v>1686.7682622495918</v>
      </c>
      <c r="K115" s="458">
        <v>496.42999999999995</v>
      </c>
      <c r="L115" s="458">
        <v>1841.5978693605789</v>
      </c>
      <c r="M115" s="458">
        <v>1834.3347706064005</v>
      </c>
      <c r="N115" s="625">
        <v>1807.5024861839981</v>
      </c>
      <c r="O115" s="459">
        <v>1621.5265512169376</v>
      </c>
      <c r="P115" s="458">
        <v>1613.593915055186</v>
      </c>
      <c r="Q115" s="458">
        <v>1612.2788796766913</v>
      </c>
      <c r="R115" s="458">
        <v>1606.5879917730726</v>
      </c>
      <c r="S115" s="410">
        <v>1590.2395868559538</v>
      </c>
    </row>
    <row r="116" spans="2:19">
      <c r="B116" s="4527"/>
      <c r="C116" s="850" t="s">
        <v>1731</v>
      </c>
      <c r="D116" s="826" t="s">
        <v>1732</v>
      </c>
      <c r="E116" s="459">
        <v>2959.39</v>
      </c>
      <c r="F116" s="458">
        <v>2884.55</v>
      </c>
      <c r="G116" s="458">
        <v>2819.49</v>
      </c>
      <c r="H116" s="458">
        <v>2566.2925600382127</v>
      </c>
      <c r="I116" s="625">
        <v>2419.4461429803218</v>
      </c>
      <c r="J116" s="459">
        <v>2125.2241836773483</v>
      </c>
      <c r="K116" s="458">
        <v>1809.6399999999999</v>
      </c>
      <c r="L116" s="458">
        <v>2224.0753943290097</v>
      </c>
      <c r="M116" s="458">
        <v>2215.3038381198585</v>
      </c>
      <c r="N116" s="625">
        <v>2182.8988139012845</v>
      </c>
      <c r="O116" s="459">
        <v>1958.2979345349411</v>
      </c>
      <c r="P116" s="458">
        <v>1948.7177861252114</v>
      </c>
      <c r="Q116" s="458">
        <v>1947.1296338599193</v>
      </c>
      <c r="R116" s="458">
        <v>1940.2568176121913</v>
      </c>
      <c r="S116" s="410">
        <v>1920.5130474234711</v>
      </c>
    </row>
    <row r="117" spans="2:19">
      <c r="B117" s="4527"/>
      <c r="C117" s="850" t="s">
        <v>1733</v>
      </c>
      <c r="D117" s="826" t="s">
        <v>1734</v>
      </c>
      <c r="E117" s="459">
        <v>4873.6499999999942</v>
      </c>
      <c r="F117" s="458">
        <v>4972.46</v>
      </c>
      <c r="G117" s="458">
        <v>4933.21</v>
      </c>
      <c r="H117" s="458">
        <v>4490.1950778708606</v>
      </c>
      <c r="I117" s="625">
        <v>5085.7661232430964</v>
      </c>
      <c r="J117" s="459">
        <v>4272.3553502869972</v>
      </c>
      <c r="K117" s="458">
        <v>5292.13</v>
      </c>
      <c r="L117" s="458">
        <v>3825.9048237860188</v>
      </c>
      <c r="M117" s="458">
        <v>3810.8157942961589</v>
      </c>
      <c r="N117" s="625">
        <v>3755.0719383149876</v>
      </c>
      <c r="O117" s="459">
        <v>3368.7084229479542</v>
      </c>
      <c r="P117" s="458">
        <v>3352.2284348563508</v>
      </c>
      <c r="Q117" s="458">
        <v>3349.4964593899699</v>
      </c>
      <c r="R117" s="458">
        <v>3337.6736853499242</v>
      </c>
      <c r="S117" s="410">
        <v>3303.7100050730082</v>
      </c>
    </row>
    <row r="118" spans="2:19" ht="13.5" thickBot="1">
      <c r="B118" s="4528"/>
      <c r="C118" s="4531" t="s">
        <v>376</v>
      </c>
      <c r="D118" s="4532"/>
      <c r="E118" s="1555">
        <v>10182.629999999994</v>
      </c>
      <c r="F118" s="1557">
        <v>10070.959999999999</v>
      </c>
      <c r="G118" s="1557">
        <v>9902.9399999999987</v>
      </c>
      <c r="H118" s="1557">
        <v>9013.6305659905993</v>
      </c>
      <c r="I118" s="1560">
        <v>9509.1391157642574</v>
      </c>
      <c r="J118" s="1555">
        <v>8084.3477962139368</v>
      </c>
      <c r="K118" s="1557">
        <v>7598.2</v>
      </c>
      <c r="L118" s="1557">
        <v>7891.5780874756074</v>
      </c>
      <c r="M118" s="1557">
        <v>7860.4544030224179</v>
      </c>
      <c r="N118" s="1560">
        <v>7745.4732384002709</v>
      </c>
      <c r="O118" s="1555">
        <v>6948.5329086998327</v>
      </c>
      <c r="P118" s="1557">
        <v>6914.5401360367487</v>
      </c>
      <c r="Q118" s="1557">
        <v>6908.9049729265807</v>
      </c>
      <c r="R118" s="1557">
        <v>6884.5184947351881</v>
      </c>
      <c r="S118" s="1558">
        <v>6814.4626393524331</v>
      </c>
    </row>
    <row r="119" spans="2:19">
      <c r="B119" s="4533" t="str">
        <f>+'[11]27. Customer numbers'!B102</f>
        <v>Tariff M</v>
      </c>
      <c r="C119" s="4529" t="s">
        <v>47</v>
      </c>
      <c r="D119" s="4534"/>
      <c r="E119" s="1541">
        <v>1</v>
      </c>
      <c r="F119" s="1542">
        <v>5</v>
      </c>
      <c r="G119" s="1542">
        <v>9</v>
      </c>
      <c r="H119" s="1542">
        <v>9.5</v>
      </c>
      <c r="I119" s="1559">
        <v>12</v>
      </c>
      <c r="J119" s="1541">
        <v>14</v>
      </c>
      <c r="K119" s="1542">
        <v>15.5</v>
      </c>
      <c r="L119" s="1542">
        <v>18.5</v>
      </c>
      <c r="M119" s="1542">
        <v>20.5</v>
      </c>
      <c r="N119" s="1559">
        <v>22.300000000000182</v>
      </c>
      <c r="O119" s="1541">
        <v>24.685714285714766</v>
      </c>
      <c r="P119" s="1542">
        <v>26.857142857143117</v>
      </c>
      <c r="Q119" s="1542">
        <v>29.028571428571468</v>
      </c>
      <c r="R119" s="1542">
        <v>31.200000000000273</v>
      </c>
      <c r="S119" s="1556">
        <v>33.371428571429078</v>
      </c>
    </row>
    <row r="120" spans="2:19">
      <c r="B120" s="4527"/>
      <c r="C120" s="850" t="s">
        <v>1729</v>
      </c>
      <c r="D120" s="826" t="s">
        <v>1730</v>
      </c>
      <c r="E120" s="459">
        <v>10.00001</v>
      </c>
      <c r="F120" s="458">
        <v>77.510010000000008</v>
      </c>
      <c r="G120" s="458">
        <v>68.2</v>
      </c>
      <c r="H120" s="458">
        <v>62.075464922594556</v>
      </c>
      <c r="I120" s="625">
        <v>87.925923281934132</v>
      </c>
      <c r="J120" s="459">
        <v>67.017546118927271</v>
      </c>
      <c r="K120" s="458">
        <v>78.44</v>
      </c>
      <c r="L120" s="458">
        <v>115.5432946848812</v>
      </c>
      <c r="M120" s="458">
        <v>115.0876021726115</v>
      </c>
      <c r="N120" s="625">
        <v>113.40412360344773</v>
      </c>
      <c r="O120" s="459">
        <v>101.73584758309357</v>
      </c>
      <c r="P120" s="458">
        <v>101.23814776875602</v>
      </c>
      <c r="Q120" s="458">
        <v>101.15564141772987</v>
      </c>
      <c r="R120" s="458">
        <v>100.79859064730584</v>
      </c>
      <c r="S120" s="410">
        <v>99.772878900787447</v>
      </c>
    </row>
    <row r="121" spans="2:19">
      <c r="B121" s="4527"/>
      <c r="C121" s="850" t="s">
        <v>1731</v>
      </c>
      <c r="D121" s="826" t="s">
        <v>1732</v>
      </c>
      <c r="E121" s="459">
        <v>4.6000099999999993</v>
      </c>
      <c r="F121" s="458">
        <v>99.140010000000004</v>
      </c>
      <c r="G121" s="458">
        <v>66.03</v>
      </c>
      <c r="H121" s="458">
        <v>60.100336493239269</v>
      </c>
      <c r="I121" s="625">
        <v>82.302940224633545</v>
      </c>
      <c r="J121" s="459">
        <v>82.688387366794373</v>
      </c>
      <c r="K121" s="458">
        <v>80.09</v>
      </c>
      <c r="L121" s="458">
        <v>71.741958443347499</v>
      </c>
      <c r="M121" s="458">
        <v>71.459014518584439</v>
      </c>
      <c r="N121" s="625">
        <v>70.413726257776204</v>
      </c>
      <c r="O121" s="459">
        <v>63.168779888185682</v>
      </c>
      <c r="P121" s="458">
        <v>62.859753219915177</v>
      </c>
      <c r="Q121" s="458">
        <v>62.808524221964461</v>
      </c>
      <c r="R121" s="458">
        <v>62.586827916663609</v>
      </c>
      <c r="S121" s="410">
        <v>61.949953490551138</v>
      </c>
    </row>
    <row r="122" spans="2:19">
      <c r="B122" s="4527"/>
      <c r="C122" s="850" t="s">
        <v>1733</v>
      </c>
      <c r="D122" s="826" t="s">
        <v>1734</v>
      </c>
      <c r="E122" s="459">
        <v>2.0000000000000002E-5</v>
      </c>
      <c r="F122" s="458">
        <v>124.17001</v>
      </c>
      <c r="G122" s="458">
        <v>47.440010000000001</v>
      </c>
      <c r="H122" s="458">
        <v>43.179775317925724</v>
      </c>
      <c r="I122" s="625">
        <v>54.391136493432334</v>
      </c>
      <c r="J122" s="459">
        <v>74.294066514278356</v>
      </c>
      <c r="K122" s="458">
        <v>0</v>
      </c>
      <c r="L122" s="458">
        <v>0</v>
      </c>
      <c r="M122" s="458">
        <v>0</v>
      </c>
      <c r="N122" s="625">
        <v>0</v>
      </c>
      <c r="O122" s="459">
        <v>0</v>
      </c>
      <c r="P122" s="458">
        <v>0</v>
      </c>
      <c r="Q122" s="458">
        <v>0</v>
      </c>
      <c r="R122" s="458">
        <v>0</v>
      </c>
      <c r="S122" s="410">
        <v>0</v>
      </c>
    </row>
    <row r="123" spans="2:19" ht="13.5" thickBot="1">
      <c r="B123" s="4528"/>
      <c r="C123" s="4531" t="s">
        <v>376</v>
      </c>
      <c r="D123" s="4535"/>
      <c r="E123" s="1555">
        <v>14.600039999999998</v>
      </c>
      <c r="F123" s="1557">
        <v>300.82003000000003</v>
      </c>
      <c r="G123" s="1557">
        <v>181.67001000000002</v>
      </c>
      <c r="H123" s="1557">
        <v>165.35557673375956</v>
      </c>
      <c r="I123" s="1560">
        <v>224.62</v>
      </c>
      <c r="J123" s="1555">
        <v>224</v>
      </c>
      <c r="K123" s="1557">
        <v>158.53</v>
      </c>
      <c r="L123" s="1557">
        <v>187.2852531282287</v>
      </c>
      <c r="M123" s="1557">
        <v>186.54661669119594</v>
      </c>
      <c r="N123" s="1560">
        <v>183.81784986122392</v>
      </c>
      <c r="O123" s="1555">
        <v>164.90462747127924</v>
      </c>
      <c r="P123" s="1557">
        <v>164.0979009886712</v>
      </c>
      <c r="Q123" s="1557">
        <v>163.96416563969433</v>
      </c>
      <c r="R123" s="1557">
        <v>163.38541856396944</v>
      </c>
      <c r="S123" s="1558">
        <v>161.72283239133859</v>
      </c>
    </row>
    <row r="124" spans="2:19" ht="13.5" thickBot="1">
      <c r="B124" s="3331" t="s">
        <v>63</v>
      </c>
      <c r="C124" s="3332"/>
      <c r="D124" s="3332"/>
      <c r="E124" s="1562">
        <v>10197.230039999993</v>
      </c>
      <c r="F124" s="1563">
        <v>10371.78003</v>
      </c>
      <c r="G124" s="1563">
        <v>10084.610009999999</v>
      </c>
      <c r="H124" s="1563">
        <v>9178.9861427243595</v>
      </c>
      <c r="I124" s="1564">
        <v>9733.7591157642582</v>
      </c>
      <c r="J124" s="1562">
        <v>8308.3477962139368</v>
      </c>
      <c r="K124" s="1563">
        <v>7756.73</v>
      </c>
      <c r="L124" s="1563">
        <v>8078.8633406038361</v>
      </c>
      <c r="M124" s="1563">
        <v>8047.0010197136135</v>
      </c>
      <c r="N124" s="1564">
        <v>7929.2910882614951</v>
      </c>
      <c r="O124" s="1562">
        <v>7113.4375361711118</v>
      </c>
      <c r="P124" s="1563">
        <v>7078.6380370254201</v>
      </c>
      <c r="Q124" s="1563">
        <v>7072.8691385662751</v>
      </c>
      <c r="R124" s="1563">
        <v>7047.9039132991575</v>
      </c>
      <c r="S124" s="1565">
        <v>6976.1854717437718</v>
      </c>
    </row>
    <row r="125" spans="2:19" ht="15.75" thickBot="1">
      <c r="B125" s="2141" t="str">
        <f>+'[11]27. Customer numbers'!B110</f>
        <v>Adjoining Central and Adjoining West</v>
      </c>
      <c r="C125" s="3322"/>
      <c r="D125" s="3323"/>
      <c r="E125" s="3323"/>
      <c r="F125" s="3323"/>
      <c r="G125" s="3323"/>
      <c r="H125" s="3323"/>
      <c r="I125" s="3323"/>
      <c r="J125" s="3323"/>
      <c r="K125" s="3323"/>
      <c r="L125" s="3323"/>
      <c r="M125" s="3323"/>
      <c r="N125" s="3323"/>
      <c r="O125" s="3323"/>
      <c r="P125" s="3323"/>
      <c r="Q125" s="3323"/>
      <c r="R125" s="3323"/>
      <c r="S125" s="3324"/>
    </row>
    <row r="126" spans="2:19" ht="15.75" thickBot="1">
      <c r="B126" s="2141" t="str">
        <f>+'[11]27. Customer numbers'!B111</f>
        <v>MHQ customers</v>
      </c>
      <c r="C126" s="3325"/>
      <c r="D126" s="3326"/>
      <c r="E126" s="3326"/>
      <c r="F126" s="3326"/>
      <c r="G126" s="3326"/>
      <c r="H126" s="3326"/>
      <c r="I126" s="3326"/>
      <c r="J126" s="3326"/>
      <c r="K126" s="3326"/>
      <c r="L126" s="3326"/>
      <c r="M126" s="3326"/>
      <c r="N126" s="3326"/>
      <c r="O126" s="3326"/>
      <c r="P126" s="3326"/>
      <c r="Q126" s="3326"/>
      <c r="R126" s="3326"/>
      <c r="S126" s="3327"/>
    </row>
    <row r="127" spans="2:19">
      <c r="B127" s="4527" t="str">
        <f>+'[11]27. Customer numbers'!B114</f>
        <v>Tariff D</v>
      </c>
      <c r="C127" s="4529" t="s">
        <v>47</v>
      </c>
      <c r="D127" s="4530"/>
      <c r="E127" s="1541">
        <v>1</v>
      </c>
      <c r="F127" s="1542">
        <v>1</v>
      </c>
      <c r="G127" s="1542">
        <v>1</v>
      </c>
      <c r="H127" s="1542">
        <v>1.5</v>
      </c>
      <c r="I127" s="1559">
        <v>2</v>
      </c>
      <c r="J127" s="1541">
        <v>2.5</v>
      </c>
      <c r="K127" s="1542">
        <v>3</v>
      </c>
      <c r="L127" s="1542">
        <v>3</v>
      </c>
      <c r="M127" s="1542">
        <v>3</v>
      </c>
      <c r="N127" s="1559">
        <v>3</v>
      </c>
      <c r="O127" s="1541">
        <v>3</v>
      </c>
      <c r="P127" s="1542">
        <v>3</v>
      </c>
      <c r="Q127" s="1542">
        <v>3</v>
      </c>
      <c r="R127" s="1542">
        <v>3</v>
      </c>
      <c r="S127" s="1556">
        <v>3</v>
      </c>
    </row>
    <row r="128" spans="2:19">
      <c r="B128" s="4527"/>
      <c r="C128" s="850" t="s">
        <v>1729</v>
      </c>
      <c r="D128" s="826" t="s">
        <v>1730</v>
      </c>
      <c r="E128" s="459">
        <v>1.0000000000000001E-5</v>
      </c>
      <c r="F128" s="458">
        <v>1.0000000000000001E-5</v>
      </c>
      <c r="G128" s="458">
        <v>10</v>
      </c>
      <c r="H128" s="458">
        <v>9.1019743288261807</v>
      </c>
      <c r="I128" s="625">
        <v>19.194793553042292</v>
      </c>
      <c r="J128" s="459">
        <v>15.427452769224923</v>
      </c>
      <c r="K128" s="458">
        <v>0</v>
      </c>
      <c r="L128" s="458">
        <v>18.67064630926415</v>
      </c>
      <c r="M128" s="458">
        <v>18.59701093522041</v>
      </c>
      <c r="N128" s="625">
        <v>18.324977555699721</v>
      </c>
      <c r="O128" s="459">
        <v>16.439500296209673</v>
      </c>
      <c r="P128" s="458">
        <v>16.359076960290217</v>
      </c>
      <c r="Q128" s="458">
        <v>16.345744755228225</v>
      </c>
      <c r="R128" s="458">
        <v>16.288048904792088</v>
      </c>
      <c r="S128" s="410">
        <v>16.12230409643491</v>
      </c>
    </row>
    <row r="129" spans="2:19">
      <c r="B129" s="4527"/>
      <c r="C129" s="850" t="s">
        <v>1731</v>
      </c>
      <c r="D129" s="826" t="s">
        <v>1732</v>
      </c>
      <c r="E129" s="459">
        <v>1.0000000000000001E-5</v>
      </c>
      <c r="F129" s="458">
        <v>1.0000000000000001E-5</v>
      </c>
      <c r="G129" s="458">
        <v>3.57</v>
      </c>
      <c r="H129" s="458">
        <v>3.2494048353909464</v>
      </c>
      <c r="I129" s="625">
        <v>21.786090682702998</v>
      </c>
      <c r="J129" s="459">
        <v>17.224751016839626</v>
      </c>
      <c r="K129" s="458">
        <v>85.509999999999991</v>
      </c>
      <c r="L129" s="458">
        <v>34.064594191252439</v>
      </c>
      <c r="M129" s="458">
        <v>33.930246451309635</v>
      </c>
      <c r="N129" s="625">
        <v>33.433921550374137</v>
      </c>
      <c r="O129" s="459">
        <v>29.993868290434548</v>
      </c>
      <c r="P129" s="458">
        <v>29.847135914049499</v>
      </c>
      <c r="Q129" s="458">
        <v>29.822811305913891</v>
      </c>
      <c r="R129" s="458">
        <v>29.717545226793163</v>
      </c>
      <c r="S129" s="410">
        <v>29.415143823945488</v>
      </c>
    </row>
    <row r="130" spans="2:19">
      <c r="B130" s="4527"/>
      <c r="C130" s="850" t="s">
        <v>1733</v>
      </c>
      <c r="D130" s="826" t="s">
        <v>1734</v>
      </c>
      <c r="E130" s="459">
        <v>1.0000000000000001E-5</v>
      </c>
      <c r="F130" s="458">
        <v>1.0000000000000001E-5</v>
      </c>
      <c r="G130" s="458">
        <v>1.0000000000000001E-5</v>
      </c>
      <c r="H130" s="458">
        <v>9.1019743288261819E-6</v>
      </c>
      <c r="I130" s="625">
        <v>0</v>
      </c>
      <c r="J130" s="459">
        <v>0</v>
      </c>
      <c r="K130" s="458">
        <v>0</v>
      </c>
      <c r="L130" s="458">
        <v>0</v>
      </c>
      <c r="M130" s="458">
        <v>0</v>
      </c>
      <c r="N130" s="625">
        <v>0</v>
      </c>
      <c r="O130" s="459">
        <v>0</v>
      </c>
      <c r="P130" s="458">
        <v>0</v>
      </c>
      <c r="Q130" s="458">
        <v>0</v>
      </c>
      <c r="R130" s="458">
        <v>0</v>
      </c>
      <c r="S130" s="410">
        <v>0</v>
      </c>
    </row>
    <row r="131" spans="2:19" ht="13.5" thickBot="1">
      <c r="B131" s="4528"/>
      <c r="C131" s="4531" t="s">
        <v>376</v>
      </c>
      <c r="D131" s="4532"/>
      <c r="E131" s="1555">
        <v>3.0000000000000004E-5</v>
      </c>
      <c r="F131" s="1557">
        <v>3.0000000000000004E-5</v>
      </c>
      <c r="G131" s="1557">
        <v>13.57001</v>
      </c>
      <c r="H131" s="1557">
        <v>12.351388266191455</v>
      </c>
      <c r="I131" s="1560">
        <v>40.980884235745293</v>
      </c>
      <c r="J131" s="1555">
        <v>32.652203786064547</v>
      </c>
      <c r="K131" s="1557">
        <v>85.509999999999991</v>
      </c>
      <c r="L131" s="1557">
        <v>52.735240500516589</v>
      </c>
      <c r="M131" s="1557">
        <v>52.527257386530046</v>
      </c>
      <c r="N131" s="1560">
        <v>51.758899106073855</v>
      </c>
      <c r="O131" s="1555">
        <v>46.433368586644221</v>
      </c>
      <c r="P131" s="1557">
        <v>46.206212874339712</v>
      </c>
      <c r="Q131" s="1557">
        <v>46.168556061142112</v>
      </c>
      <c r="R131" s="1557">
        <v>46.005594131585255</v>
      </c>
      <c r="S131" s="1558">
        <v>45.537447920380401</v>
      </c>
    </row>
    <row r="132" spans="2:19">
      <c r="B132" s="4533" t="str">
        <f>+'[11]27. Customer numbers'!B120</f>
        <v>Tariff M</v>
      </c>
      <c r="C132" s="4529" t="s">
        <v>47</v>
      </c>
      <c r="D132" s="4534"/>
      <c r="E132" s="1541">
        <v>0</v>
      </c>
      <c r="F132" s="1542">
        <v>0</v>
      </c>
      <c r="G132" s="1542">
        <v>0</v>
      </c>
      <c r="H132" s="1542">
        <v>0</v>
      </c>
      <c r="I132" s="1559">
        <v>0</v>
      </c>
      <c r="J132" s="1541">
        <v>0</v>
      </c>
      <c r="K132" s="1542">
        <v>0</v>
      </c>
      <c r="L132" s="1542">
        <v>0</v>
      </c>
      <c r="M132" s="1542">
        <v>0</v>
      </c>
      <c r="N132" s="1559">
        <v>0</v>
      </c>
      <c r="O132" s="1541">
        <v>0</v>
      </c>
      <c r="P132" s="1542">
        <v>0</v>
      </c>
      <c r="Q132" s="1542">
        <v>0</v>
      </c>
      <c r="R132" s="1542">
        <v>0</v>
      </c>
      <c r="S132" s="1556">
        <v>0</v>
      </c>
    </row>
    <row r="133" spans="2:19">
      <c r="B133" s="4527"/>
      <c r="C133" s="850" t="s">
        <v>1729</v>
      </c>
      <c r="D133" s="826" t="s">
        <v>1730</v>
      </c>
      <c r="E133" s="459">
        <v>2.0000000000000002E-5</v>
      </c>
      <c r="F133" s="458">
        <v>2.0000000000000002E-5</v>
      </c>
      <c r="G133" s="458">
        <v>2.0000000000000002E-5</v>
      </c>
      <c r="H133" s="458">
        <v>1.8203948657652364E-5</v>
      </c>
      <c r="I133" s="625">
        <v>0</v>
      </c>
      <c r="J133" s="459">
        <v>0</v>
      </c>
      <c r="K133" s="458">
        <v>0</v>
      </c>
      <c r="L133" s="458">
        <v>0</v>
      </c>
      <c r="M133" s="458">
        <v>0</v>
      </c>
      <c r="N133" s="625">
        <v>0</v>
      </c>
      <c r="O133" s="459">
        <v>0</v>
      </c>
      <c r="P133" s="458">
        <v>0</v>
      </c>
      <c r="Q133" s="458">
        <v>0</v>
      </c>
      <c r="R133" s="458">
        <v>0</v>
      </c>
      <c r="S133" s="410">
        <v>0</v>
      </c>
    </row>
    <row r="134" spans="2:19">
      <c r="B134" s="4527"/>
      <c r="C134" s="850" t="s">
        <v>1731</v>
      </c>
      <c r="D134" s="826" t="s">
        <v>1732</v>
      </c>
      <c r="E134" s="459">
        <v>2.0000000000000002E-5</v>
      </c>
      <c r="F134" s="458">
        <v>2.0000000000000002E-5</v>
      </c>
      <c r="G134" s="458">
        <v>2.0000000000000002E-5</v>
      </c>
      <c r="H134" s="458">
        <v>1.8203948657652364E-5</v>
      </c>
      <c r="I134" s="625">
        <v>0</v>
      </c>
      <c r="J134" s="459">
        <v>0</v>
      </c>
      <c r="K134" s="458">
        <v>0</v>
      </c>
      <c r="L134" s="458">
        <v>0</v>
      </c>
      <c r="M134" s="458">
        <v>0</v>
      </c>
      <c r="N134" s="625">
        <v>0</v>
      </c>
      <c r="O134" s="459">
        <v>0</v>
      </c>
      <c r="P134" s="458">
        <v>0</v>
      </c>
      <c r="Q134" s="458">
        <v>0</v>
      </c>
      <c r="R134" s="458">
        <v>0</v>
      </c>
      <c r="S134" s="410">
        <v>0</v>
      </c>
    </row>
    <row r="135" spans="2:19">
      <c r="B135" s="4527"/>
      <c r="C135" s="850" t="s">
        <v>1733</v>
      </c>
      <c r="D135" s="826" t="s">
        <v>1734</v>
      </c>
      <c r="E135" s="459">
        <v>2.0000000000000002E-5</v>
      </c>
      <c r="F135" s="458">
        <v>2.0000000000000002E-5</v>
      </c>
      <c r="G135" s="458">
        <v>2.0000000000000002E-5</v>
      </c>
      <c r="H135" s="458">
        <v>1.8203948657652364E-5</v>
      </c>
      <c r="I135" s="625">
        <v>0</v>
      </c>
      <c r="J135" s="459">
        <v>0</v>
      </c>
      <c r="K135" s="458">
        <v>0</v>
      </c>
      <c r="L135" s="458">
        <v>0</v>
      </c>
      <c r="M135" s="458">
        <v>0</v>
      </c>
      <c r="N135" s="625">
        <v>0</v>
      </c>
      <c r="O135" s="459">
        <v>0</v>
      </c>
      <c r="P135" s="458">
        <v>0</v>
      </c>
      <c r="Q135" s="458">
        <v>0</v>
      </c>
      <c r="R135" s="458">
        <v>0</v>
      </c>
      <c r="S135" s="410">
        <v>0</v>
      </c>
    </row>
    <row r="136" spans="2:19" ht="13.5" thickBot="1">
      <c r="B136" s="4528"/>
      <c r="C136" s="4531" t="s">
        <v>376</v>
      </c>
      <c r="D136" s="4535"/>
      <c r="E136" s="1555">
        <v>6.0000000000000008E-5</v>
      </c>
      <c r="F136" s="1557">
        <v>6.0000000000000008E-5</v>
      </c>
      <c r="G136" s="1557">
        <v>6.0000000000000008E-5</v>
      </c>
      <c r="H136" s="1557">
        <v>5.4611845972957088E-5</v>
      </c>
      <c r="I136" s="1560">
        <v>0</v>
      </c>
      <c r="J136" s="1555">
        <v>0</v>
      </c>
      <c r="K136" s="1557">
        <v>0</v>
      </c>
      <c r="L136" s="1557">
        <v>0</v>
      </c>
      <c r="M136" s="1557">
        <v>0</v>
      </c>
      <c r="N136" s="1560">
        <v>0</v>
      </c>
      <c r="O136" s="1555">
        <v>0</v>
      </c>
      <c r="P136" s="1557">
        <v>0</v>
      </c>
      <c r="Q136" s="1557">
        <v>0</v>
      </c>
      <c r="R136" s="1557">
        <v>0</v>
      </c>
      <c r="S136" s="1558">
        <v>0</v>
      </c>
    </row>
    <row r="137" spans="2:19" ht="13.5" thickBot="1">
      <c r="B137" s="3331" t="s">
        <v>63</v>
      </c>
      <c r="C137" s="3332"/>
      <c r="D137" s="3332"/>
      <c r="E137" s="1562">
        <v>9.0000000000000019E-5</v>
      </c>
      <c r="F137" s="1563">
        <v>9.0000000000000019E-5</v>
      </c>
      <c r="G137" s="1563">
        <v>13.570069999999999</v>
      </c>
      <c r="H137" s="1563">
        <v>12.351442878037428</v>
      </c>
      <c r="I137" s="1564">
        <v>40.980884235745293</v>
      </c>
      <c r="J137" s="1562">
        <v>32.652203786064547</v>
      </c>
      <c r="K137" s="1563">
        <v>85.509999999999991</v>
      </c>
      <c r="L137" s="1563">
        <v>52.735240500516589</v>
      </c>
      <c r="M137" s="1563">
        <v>52.527257386530046</v>
      </c>
      <c r="N137" s="1564">
        <v>51.758899106073855</v>
      </c>
      <c r="O137" s="1562">
        <v>46.433368586644221</v>
      </c>
      <c r="P137" s="1563">
        <v>46.206212874339712</v>
      </c>
      <c r="Q137" s="1563">
        <v>46.168556061142112</v>
      </c>
      <c r="R137" s="1563">
        <v>46.005594131585255</v>
      </c>
      <c r="S137" s="1565">
        <v>45.537447920380401</v>
      </c>
    </row>
  </sheetData>
  <mergeCells count="50">
    <mergeCell ref="C87:D87"/>
    <mergeCell ref="B78:B87"/>
    <mergeCell ref="C78:D78"/>
    <mergeCell ref="C64:D64"/>
    <mergeCell ref="B55:B64"/>
    <mergeCell ref="C55:D55"/>
    <mergeCell ref="B68:B77"/>
    <mergeCell ref="C68:D68"/>
    <mergeCell ref="C77:D77"/>
    <mergeCell ref="B7:G7"/>
    <mergeCell ref="B8:G8"/>
    <mergeCell ref="E14:I14"/>
    <mergeCell ref="B10:G10"/>
    <mergeCell ref="B11:G11"/>
    <mergeCell ref="D14:D17"/>
    <mergeCell ref="B14:B17"/>
    <mergeCell ref="E15:S15"/>
    <mergeCell ref="M16:S16"/>
    <mergeCell ref="E16:L16"/>
    <mergeCell ref="C14:C17"/>
    <mergeCell ref="B9:G9"/>
    <mergeCell ref="C45:D45"/>
    <mergeCell ref="B45:B54"/>
    <mergeCell ref="C54:D54"/>
    <mergeCell ref="O14:S14"/>
    <mergeCell ref="J14:N14"/>
    <mergeCell ref="C22:D22"/>
    <mergeCell ref="B22:B31"/>
    <mergeCell ref="C31:D31"/>
    <mergeCell ref="B32:B41"/>
    <mergeCell ref="C32:D32"/>
    <mergeCell ref="C41:D41"/>
    <mergeCell ref="B91:B100"/>
    <mergeCell ref="C91:D91"/>
    <mergeCell ref="C100:D100"/>
    <mergeCell ref="B101:B110"/>
    <mergeCell ref="C101:D101"/>
    <mergeCell ref="C110:D110"/>
    <mergeCell ref="B114:B118"/>
    <mergeCell ref="C114:D114"/>
    <mergeCell ref="C118:D118"/>
    <mergeCell ref="B119:B123"/>
    <mergeCell ref="C119:D119"/>
    <mergeCell ref="C123:D123"/>
    <mergeCell ref="B127:B131"/>
    <mergeCell ref="C127:D127"/>
    <mergeCell ref="C131:D131"/>
    <mergeCell ref="B132:B136"/>
    <mergeCell ref="C132:D132"/>
    <mergeCell ref="C136:D136"/>
  </mergeCells>
  <pageMargins left="0.75" right="0.75" top="1" bottom="1" header="0.5" footer="0.5"/>
  <pageSetup paperSize="9" orientation="portrait" r:id="rId1"/>
  <headerFooter alignWithMargins="0"/>
  <customProperties>
    <customPr name="_pios_id"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ED69"/>
  <sheetViews>
    <sheetView showGridLines="0" topLeftCell="A28" zoomScale="70" zoomScaleNormal="70" workbookViewId="0">
      <selection activeCell="J36" sqref="J36"/>
    </sheetView>
  </sheetViews>
  <sheetFormatPr defaultRowHeight="12.75"/>
  <cols>
    <col min="1" max="1" width="14.140625" style="2524" customWidth="1"/>
    <col min="2" max="2" width="66.28515625" style="2524" bestFit="1" customWidth="1"/>
    <col min="3" max="27" width="14.7109375" style="2524" customWidth="1"/>
    <col min="28" max="30" width="9.140625" style="2524"/>
    <col min="31" max="33" width="18" style="2524" customWidth="1"/>
    <col min="34" max="256" width="9.140625" style="2524"/>
    <col min="257" max="257" width="14.140625" style="2524" customWidth="1"/>
    <col min="258" max="258" width="66.28515625" style="2524" bestFit="1" customWidth="1"/>
    <col min="259" max="259" width="10" style="2524" bestFit="1" customWidth="1"/>
    <col min="260" max="261" width="8.5703125" style="2524" bestFit="1" customWidth="1"/>
    <col min="262" max="262" width="17.42578125" style="2524" bestFit="1" customWidth="1"/>
    <col min="263" max="263" width="17.28515625" style="2524" bestFit="1" customWidth="1"/>
    <col min="264" max="265" width="10.7109375" style="2524" customWidth="1"/>
    <col min="266" max="267" width="10.7109375" style="2524" bestFit="1" customWidth="1"/>
    <col min="268" max="268" width="10.7109375" style="2524" customWidth="1"/>
    <col min="269" max="271" width="10.7109375" style="2524" bestFit="1" customWidth="1"/>
    <col min="272" max="273" width="10.7109375" style="2524" customWidth="1"/>
    <col min="274" max="275" width="10.7109375" style="2524" bestFit="1" customWidth="1"/>
    <col min="276" max="512" width="9.140625" style="2524"/>
    <col min="513" max="513" width="14.140625" style="2524" customWidth="1"/>
    <col min="514" max="514" width="66.28515625" style="2524" bestFit="1" customWidth="1"/>
    <col min="515" max="515" width="10" style="2524" bestFit="1" customWidth="1"/>
    <col min="516" max="517" width="8.5703125" style="2524" bestFit="1" customWidth="1"/>
    <col min="518" max="518" width="17.42578125" style="2524" bestFit="1" customWidth="1"/>
    <col min="519" max="519" width="17.28515625" style="2524" bestFit="1" customWidth="1"/>
    <col min="520" max="521" width="10.7109375" style="2524" customWidth="1"/>
    <col min="522" max="523" width="10.7109375" style="2524" bestFit="1" customWidth="1"/>
    <col min="524" max="524" width="10.7109375" style="2524" customWidth="1"/>
    <col min="525" max="527" width="10.7109375" style="2524" bestFit="1" customWidth="1"/>
    <col min="528" max="529" width="10.7109375" style="2524" customWidth="1"/>
    <col min="530" max="531" width="10.7109375" style="2524" bestFit="1" customWidth="1"/>
    <col min="532" max="768" width="9.140625" style="2524"/>
    <col min="769" max="769" width="14.140625" style="2524" customWidth="1"/>
    <col min="770" max="770" width="66.28515625" style="2524" bestFit="1" customWidth="1"/>
    <col min="771" max="771" width="10" style="2524" bestFit="1" customWidth="1"/>
    <col min="772" max="773" width="8.5703125" style="2524" bestFit="1" customWidth="1"/>
    <col min="774" max="774" width="17.42578125" style="2524" bestFit="1" customWidth="1"/>
    <col min="775" max="775" width="17.28515625" style="2524" bestFit="1" customWidth="1"/>
    <col min="776" max="777" width="10.7109375" style="2524" customWidth="1"/>
    <col min="778" max="779" width="10.7109375" style="2524" bestFit="1" customWidth="1"/>
    <col min="780" max="780" width="10.7109375" style="2524" customWidth="1"/>
    <col min="781" max="783" width="10.7109375" style="2524" bestFit="1" customWidth="1"/>
    <col min="784" max="785" width="10.7109375" style="2524" customWidth="1"/>
    <col min="786" max="787" width="10.7109375" style="2524" bestFit="1" customWidth="1"/>
    <col min="788" max="1024" width="9.140625" style="2524"/>
    <col min="1025" max="1025" width="14.140625" style="2524" customWidth="1"/>
    <col min="1026" max="1026" width="66.28515625" style="2524" bestFit="1" customWidth="1"/>
    <col min="1027" max="1027" width="10" style="2524" bestFit="1" customWidth="1"/>
    <col min="1028" max="1029" width="8.5703125" style="2524" bestFit="1" customWidth="1"/>
    <col min="1030" max="1030" width="17.42578125" style="2524" bestFit="1" customWidth="1"/>
    <col min="1031" max="1031" width="17.28515625" style="2524" bestFit="1" customWidth="1"/>
    <col min="1032" max="1033" width="10.7109375" style="2524" customWidth="1"/>
    <col min="1034" max="1035" width="10.7109375" style="2524" bestFit="1" customWidth="1"/>
    <col min="1036" max="1036" width="10.7109375" style="2524" customWidth="1"/>
    <col min="1037" max="1039" width="10.7109375" style="2524" bestFit="1" customWidth="1"/>
    <col min="1040" max="1041" width="10.7109375" style="2524" customWidth="1"/>
    <col min="1042" max="1043" width="10.7109375" style="2524" bestFit="1" customWidth="1"/>
    <col min="1044" max="1280" width="9.140625" style="2524"/>
    <col min="1281" max="1281" width="14.140625" style="2524" customWidth="1"/>
    <col min="1282" max="1282" width="66.28515625" style="2524" bestFit="1" customWidth="1"/>
    <col min="1283" max="1283" width="10" style="2524" bestFit="1" customWidth="1"/>
    <col min="1284" max="1285" width="8.5703125" style="2524" bestFit="1" customWidth="1"/>
    <col min="1286" max="1286" width="17.42578125" style="2524" bestFit="1" customWidth="1"/>
    <col min="1287" max="1287" width="17.28515625" style="2524" bestFit="1" customWidth="1"/>
    <col min="1288" max="1289" width="10.7109375" style="2524" customWidth="1"/>
    <col min="1290" max="1291" width="10.7109375" style="2524" bestFit="1" customWidth="1"/>
    <col min="1292" max="1292" width="10.7109375" style="2524" customWidth="1"/>
    <col min="1293" max="1295" width="10.7109375" style="2524" bestFit="1" customWidth="1"/>
    <col min="1296" max="1297" width="10.7109375" style="2524" customWidth="1"/>
    <col min="1298" max="1299" width="10.7109375" style="2524" bestFit="1" customWidth="1"/>
    <col min="1300" max="1536" width="9.140625" style="2524"/>
    <col min="1537" max="1537" width="14.140625" style="2524" customWidth="1"/>
    <col min="1538" max="1538" width="66.28515625" style="2524" bestFit="1" customWidth="1"/>
    <col min="1539" max="1539" width="10" style="2524" bestFit="1" customWidth="1"/>
    <col min="1540" max="1541" width="8.5703125" style="2524" bestFit="1" customWidth="1"/>
    <col min="1542" max="1542" width="17.42578125" style="2524" bestFit="1" customWidth="1"/>
    <col min="1543" max="1543" width="17.28515625" style="2524" bestFit="1" customWidth="1"/>
    <col min="1544" max="1545" width="10.7109375" style="2524" customWidth="1"/>
    <col min="1546" max="1547" width="10.7109375" style="2524" bestFit="1" customWidth="1"/>
    <col min="1548" max="1548" width="10.7109375" style="2524" customWidth="1"/>
    <col min="1549" max="1551" width="10.7109375" style="2524" bestFit="1" customWidth="1"/>
    <col min="1552" max="1553" width="10.7109375" style="2524" customWidth="1"/>
    <col min="1554" max="1555" width="10.7109375" style="2524" bestFit="1" customWidth="1"/>
    <col min="1556" max="1792" width="9.140625" style="2524"/>
    <col min="1793" max="1793" width="14.140625" style="2524" customWidth="1"/>
    <col min="1794" max="1794" width="66.28515625" style="2524" bestFit="1" customWidth="1"/>
    <col min="1795" max="1795" width="10" style="2524" bestFit="1" customWidth="1"/>
    <col min="1796" max="1797" width="8.5703125" style="2524" bestFit="1" customWidth="1"/>
    <col min="1798" max="1798" width="17.42578125" style="2524" bestFit="1" customWidth="1"/>
    <col min="1799" max="1799" width="17.28515625" style="2524" bestFit="1" customWidth="1"/>
    <col min="1800" max="1801" width="10.7109375" style="2524" customWidth="1"/>
    <col min="1802" max="1803" width="10.7109375" style="2524" bestFit="1" customWidth="1"/>
    <col min="1804" max="1804" width="10.7109375" style="2524" customWidth="1"/>
    <col min="1805" max="1807" width="10.7109375" style="2524" bestFit="1" customWidth="1"/>
    <col min="1808" max="1809" width="10.7109375" style="2524" customWidth="1"/>
    <col min="1810" max="1811" width="10.7109375" style="2524" bestFit="1" customWidth="1"/>
    <col min="1812" max="2048" width="9.140625" style="2524"/>
    <col min="2049" max="2049" width="14.140625" style="2524" customWidth="1"/>
    <col min="2050" max="2050" width="66.28515625" style="2524" bestFit="1" customWidth="1"/>
    <col min="2051" max="2051" width="10" style="2524" bestFit="1" customWidth="1"/>
    <col min="2052" max="2053" width="8.5703125" style="2524" bestFit="1" customWidth="1"/>
    <col min="2054" max="2054" width="17.42578125" style="2524" bestFit="1" customWidth="1"/>
    <col min="2055" max="2055" width="17.28515625" style="2524" bestFit="1" customWidth="1"/>
    <col min="2056" max="2057" width="10.7109375" style="2524" customWidth="1"/>
    <col min="2058" max="2059" width="10.7109375" style="2524" bestFit="1" customWidth="1"/>
    <col min="2060" max="2060" width="10.7109375" style="2524" customWidth="1"/>
    <col min="2061" max="2063" width="10.7109375" style="2524" bestFit="1" customWidth="1"/>
    <col min="2064" max="2065" width="10.7109375" style="2524" customWidth="1"/>
    <col min="2066" max="2067" width="10.7109375" style="2524" bestFit="1" customWidth="1"/>
    <col min="2068" max="2304" width="9.140625" style="2524"/>
    <col min="2305" max="2305" width="14.140625" style="2524" customWidth="1"/>
    <col min="2306" max="2306" width="66.28515625" style="2524" bestFit="1" customWidth="1"/>
    <col min="2307" max="2307" width="10" style="2524" bestFit="1" customWidth="1"/>
    <col min="2308" max="2309" width="8.5703125" style="2524" bestFit="1" customWidth="1"/>
    <col min="2310" max="2310" width="17.42578125" style="2524" bestFit="1" customWidth="1"/>
    <col min="2311" max="2311" width="17.28515625" style="2524" bestFit="1" customWidth="1"/>
    <col min="2312" max="2313" width="10.7109375" style="2524" customWidth="1"/>
    <col min="2314" max="2315" width="10.7109375" style="2524" bestFit="1" customWidth="1"/>
    <col min="2316" max="2316" width="10.7109375" style="2524" customWidth="1"/>
    <col min="2317" max="2319" width="10.7109375" style="2524" bestFit="1" customWidth="1"/>
    <col min="2320" max="2321" width="10.7109375" style="2524" customWidth="1"/>
    <col min="2322" max="2323" width="10.7109375" style="2524" bestFit="1" customWidth="1"/>
    <col min="2324" max="2560" width="9.140625" style="2524"/>
    <col min="2561" max="2561" width="14.140625" style="2524" customWidth="1"/>
    <col min="2562" max="2562" width="66.28515625" style="2524" bestFit="1" customWidth="1"/>
    <col min="2563" max="2563" width="10" style="2524" bestFit="1" customWidth="1"/>
    <col min="2564" max="2565" width="8.5703125" style="2524" bestFit="1" customWidth="1"/>
    <col min="2566" max="2566" width="17.42578125" style="2524" bestFit="1" customWidth="1"/>
    <col min="2567" max="2567" width="17.28515625" style="2524" bestFit="1" customWidth="1"/>
    <col min="2568" max="2569" width="10.7109375" style="2524" customWidth="1"/>
    <col min="2570" max="2571" width="10.7109375" style="2524" bestFit="1" customWidth="1"/>
    <col min="2572" max="2572" width="10.7109375" style="2524" customWidth="1"/>
    <col min="2573" max="2575" width="10.7109375" style="2524" bestFit="1" customWidth="1"/>
    <col min="2576" max="2577" width="10.7109375" style="2524" customWidth="1"/>
    <col min="2578" max="2579" width="10.7109375" style="2524" bestFit="1" customWidth="1"/>
    <col min="2580" max="2816" width="9.140625" style="2524"/>
    <col min="2817" max="2817" width="14.140625" style="2524" customWidth="1"/>
    <col min="2818" max="2818" width="66.28515625" style="2524" bestFit="1" customWidth="1"/>
    <col min="2819" max="2819" width="10" style="2524" bestFit="1" customWidth="1"/>
    <col min="2820" max="2821" width="8.5703125" style="2524" bestFit="1" customWidth="1"/>
    <col min="2822" max="2822" width="17.42578125" style="2524" bestFit="1" customWidth="1"/>
    <col min="2823" max="2823" width="17.28515625" style="2524" bestFit="1" customWidth="1"/>
    <col min="2824" max="2825" width="10.7109375" style="2524" customWidth="1"/>
    <col min="2826" max="2827" width="10.7109375" style="2524" bestFit="1" customWidth="1"/>
    <col min="2828" max="2828" width="10.7109375" style="2524" customWidth="1"/>
    <col min="2829" max="2831" width="10.7109375" style="2524" bestFit="1" customWidth="1"/>
    <col min="2832" max="2833" width="10.7109375" style="2524" customWidth="1"/>
    <col min="2834" max="2835" width="10.7109375" style="2524" bestFit="1" customWidth="1"/>
    <col min="2836" max="3072" width="9.140625" style="2524"/>
    <col min="3073" max="3073" width="14.140625" style="2524" customWidth="1"/>
    <col min="3074" max="3074" width="66.28515625" style="2524" bestFit="1" customWidth="1"/>
    <col min="3075" max="3075" width="10" style="2524" bestFit="1" customWidth="1"/>
    <col min="3076" max="3077" width="8.5703125" style="2524" bestFit="1" customWidth="1"/>
    <col min="3078" max="3078" width="17.42578125" style="2524" bestFit="1" customWidth="1"/>
    <col min="3079" max="3079" width="17.28515625" style="2524" bestFit="1" customWidth="1"/>
    <col min="3080" max="3081" width="10.7109375" style="2524" customWidth="1"/>
    <col min="3082" max="3083" width="10.7109375" style="2524" bestFit="1" customWidth="1"/>
    <col min="3084" max="3084" width="10.7109375" style="2524" customWidth="1"/>
    <col min="3085" max="3087" width="10.7109375" style="2524" bestFit="1" customWidth="1"/>
    <col min="3088" max="3089" width="10.7109375" style="2524" customWidth="1"/>
    <col min="3090" max="3091" width="10.7109375" style="2524" bestFit="1" customWidth="1"/>
    <col min="3092" max="3328" width="9.140625" style="2524"/>
    <col min="3329" max="3329" width="14.140625" style="2524" customWidth="1"/>
    <col min="3330" max="3330" width="66.28515625" style="2524" bestFit="1" customWidth="1"/>
    <col min="3331" max="3331" width="10" style="2524" bestFit="1" customWidth="1"/>
    <col min="3332" max="3333" width="8.5703125" style="2524" bestFit="1" customWidth="1"/>
    <col min="3334" max="3334" width="17.42578125" style="2524" bestFit="1" customWidth="1"/>
    <col min="3335" max="3335" width="17.28515625" style="2524" bestFit="1" customWidth="1"/>
    <col min="3336" max="3337" width="10.7109375" style="2524" customWidth="1"/>
    <col min="3338" max="3339" width="10.7109375" style="2524" bestFit="1" customWidth="1"/>
    <col min="3340" max="3340" width="10.7109375" style="2524" customWidth="1"/>
    <col min="3341" max="3343" width="10.7109375" style="2524" bestFit="1" customWidth="1"/>
    <col min="3344" max="3345" width="10.7109375" style="2524" customWidth="1"/>
    <col min="3346" max="3347" width="10.7109375" style="2524" bestFit="1" customWidth="1"/>
    <col min="3348" max="3584" width="9.140625" style="2524"/>
    <col min="3585" max="3585" width="14.140625" style="2524" customWidth="1"/>
    <col min="3586" max="3586" width="66.28515625" style="2524" bestFit="1" customWidth="1"/>
    <col min="3587" max="3587" width="10" style="2524" bestFit="1" customWidth="1"/>
    <col min="3588" max="3589" width="8.5703125" style="2524" bestFit="1" customWidth="1"/>
    <col min="3590" max="3590" width="17.42578125" style="2524" bestFit="1" customWidth="1"/>
    <col min="3591" max="3591" width="17.28515625" style="2524" bestFit="1" customWidth="1"/>
    <col min="3592" max="3593" width="10.7109375" style="2524" customWidth="1"/>
    <col min="3594" max="3595" width="10.7109375" style="2524" bestFit="1" customWidth="1"/>
    <col min="3596" max="3596" width="10.7109375" style="2524" customWidth="1"/>
    <col min="3597" max="3599" width="10.7109375" style="2524" bestFit="1" customWidth="1"/>
    <col min="3600" max="3601" width="10.7109375" style="2524" customWidth="1"/>
    <col min="3602" max="3603" width="10.7109375" style="2524" bestFit="1" customWidth="1"/>
    <col min="3604" max="3840" width="9.140625" style="2524"/>
    <col min="3841" max="3841" width="14.140625" style="2524" customWidth="1"/>
    <col min="3842" max="3842" width="66.28515625" style="2524" bestFit="1" customWidth="1"/>
    <col min="3843" max="3843" width="10" style="2524" bestFit="1" customWidth="1"/>
    <col min="3844" max="3845" width="8.5703125" style="2524" bestFit="1" customWidth="1"/>
    <col min="3846" max="3846" width="17.42578125" style="2524" bestFit="1" customWidth="1"/>
    <col min="3847" max="3847" width="17.28515625" style="2524" bestFit="1" customWidth="1"/>
    <col min="3848" max="3849" width="10.7109375" style="2524" customWidth="1"/>
    <col min="3850" max="3851" width="10.7109375" style="2524" bestFit="1" customWidth="1"/>
    <col min="3852" max="3852" width="10.7109375" style="2524" customWidth="1"/>
    <col min="3853" max="3855" width="10.7109375" style="2524" bestFit="1" customWidth="1"/>
    <col min="3856" max="3857" width="10.7109375" style="2524" customWidth="1"/>
    <col min="3858" max="3859" width="10.7109375" style="2524" bestFit="1" customWidth="1"/>
    <col min="3860" max="4096" width="9.140625" style="2524"/>
    <col min="4097" max="4097" width="14.140625" style="2524" customWidth="1"/>
    <col min="4098" max="4098" width="66.28515625" style="2524" bestFit="1" customWidth="1"/>
    <col min="4099" max="4099" width="10" style="2524" bestFit="1" customWidth="1"/>
    <col min="4100" max="4101" width="8.5703125" style="2524" bestFit="1" customWidth="1"/>
    <col min="4102" max="4102" width="17.42578125" style="2524" bestFit="1" customWidth="1"/>
    <col min="4103" max="4103" width="17.28515625" style="2524" bestFit="1" customWidth="1"/>
    <col min="4104" max="4105" width="10.7109375" style="2524" customWidth="1"/>
    <col min="4106" max="4107" width="10.7109375" style="2524" bestFit="1" customWidth="1"/>
    <col min="4108" max="4108" width="10.7109375" style="2524" customWidth="1"/>
    <col min="4109" max="4111" width="10.7109375" style="2524" bestFit="1" customWidth="1"/>
    <col min="4112" max="4113" width="10.7109375" style="2524" customWidth="1"/>
    <col min="4114" max="4115" width="10.7109375" style="2524" bestFit="1" customWidth="1"/>
    <col min="4116" max="4352" width="9.140625" style="2524"/>
    <col min="4353" max="4353" width="14.140625" style="2524" customWidth="1"/>
    <col min="4354" max="4354" width="66.28515625" style="2524" bestFit="1" customWidth="1"/>
    <col min="4355" max="4355" width="10" style="2524" bestFit="1" customWidth="1"/>
    <col min="4356" max="4357" width="8.5703125" style="2524" bestFit="1" customWidth="1"/>
    <col min="4358" max="4358" width="17.42578125" style="2524" bestFit="1" customWidth="1"/>
    <col min="4359" max="4359" width="17.28515625" style="2524" bestFit="1" customWidth="1"/>
    <col min="4360" max="4361" width="10.7109375" style="2524" customWidth="1"/>
    <col min="4362" max="4363" width="10.7109375" style="2524" bestFit="1" customWidth="1"/>
    <col min="4364" max="4364" width="10.7109375" style="2524" customWidth="1"/>
    <col min="4365" max="4367" width="10.7109375" style="2524" bestFit="1" customWidth="1"/>
    <col min="4368" max="4369" width="10.7109375" style="2524" customWidth="1"/>
    <col min="4370" max="4371" width="10.7109375" style="2524" bestFit="1" customWidth="1"/>
    <col min="4372" max="4608" width="9.140625" style="2524"/>
    <col min="4609" max="4609" width="14.140625" style="2524" customWidth="1"/>
    <col min="4610" max="4610" width="66.28515625" style="2524" bestFit="1" customWidth="1"/>
    <col min="4611" max="4611" width="10" style="2524" bestFit="1" customWidth="1"/>
    <col min="4612" max="4613" width="8.5703125" style="2524" bestFit="1" customWidth="1"/>
    <col min="4614" max="4614" width="17.42578125" style="2524" bestFit="1" customWidth="1"/>
    <col min="4615" max="4615" width="17.28515625" style="2524" bestFit="1" customWidth="1"/>
    <col min="4616" max="4617" width="10.7109375" style="2524" customWidth="1"/>
    <col min="4618" max="4619" width="10.7109375" style="2524" bestFit="1" customWidth="1"/>
    <col min="4620" max="4620" width="10.7109375" style="2524" customWidth="1"/>
    <col min="4621" max="4623" width="10.7109375" style="2524" bestFit="1" customWidth="1"/>
    <col min="4624" max="4625" width="10.7109375" style="2524" customWidth="1"/>
    <col min="4626" max="4627" width="10.7109375" style="2524" bestFit="1" customWidth="1"/>
    <col min="4628" max="4864" width="9.140625" style="2524"/>
    <col min="4865" max="4865" width="14.140625" style="2524" customWidth="1"/>
    <col min="4866" max="4866" width="66.28515625" style="2524" bestFit="1" customWidth="1"/>
    <col min="4867" max="4867" width="10" style="2524" bestFit="1" customWidth="1"/>
    <col min="4868" max="4869" width="8.5703125" style="2524" bestFit="1" customWidth="1"/>
    <col min="4870" max="4870" width="17.42578125" style="2524" bestFit="1" customWidth="1"/>
    <col min="4871" max="4871" width="17.28515625" style="2524" bestFit="1" customWidth="1"/>
    <col min="4872" max="4873" width="10.7109375" style="2524" customWidth="1"/>
    <col min="4874" max="4875" width="10.7109375" style="2524" bestFit="1" customWidth="1"/>
    <col min="4876" max="4876" width="10.7109375" style="2524" customWidth="1"/>
    <col min="4877" max="4879" width="10.7109375" style="2524" bestFit="1" customWidth="1"/>
    <col min="4880" max="4881" width="10.7109375" style="2524" customWidth="1"/>
    <col min="4882" max="4883" width="10.7109375" style="2524" bestFit="1" customWidth="1"/>
    <col min="4884" max="5120" width="9.140625" style="2524"/>
    <col min="5121" max="5121" width="14.140625" style="2524" customWidth="1"/>
    <col min="5122" max="5122" width="66.28515625" style="2524" bestFit="1" customWidth="1"/>
    <col min="5123" max="5123" width="10" style="2524" bestFit="1" customWidth="1"/>
    <col min="5124" max="5125" width="8.5703125" style="2524" bestFit="1" customWidth="1"/>
    <col min="5126" max="5126" width="17.42578125" style="2524" bestFit="1" customWidth="1"/>
    <col min="5127" max="5127" width="17.28515625" style="2524" bestFit="1" customWidth="1"/>
    <col min="5128" max="5129" width="10.7109375" style="2524" customWidth="1"/>
    <col min="5130" max="5131" width="10.7109375" style="2524" bestFit="1" customWidth="1"/>
    <col min="5132" max="5132" width="10.7109375" style="2524" customWidth="1"/>
    <col min="5133" max="5135" width="10.7109375" style="2524" bestFit="1" customWidth="1"/>
    <col min="5136" max="5137" width="10.7109375" style="2524" customWidth="1"/>
    <col min="5138" max="5139" width="10.7109375" style="2524" bestFit="1" customWidth="1"/>
    <col min="5140" max="5376" width="9.140625" style="2524"/>
    <col min="5377" max="5377" width="14.140625" style="2524" customWidth="1"/>
    <col min="5378" max="5378" width="66.28515625" style="2524" bestFit="1" customWidth="1"/>
    <col min="5379" max="5379" width="10" style="2524" bestFit="1" customWidth="1"/>
    <col min="5380" max="5381" width="8.5703125" style="2524" bestFit="1" customWidth="1"/>
    <col min="5382" max="5382" width="17.42578125" style="2524" bestFit="1" customWidth="1"/>
    <col min="5383" max="5383" width="17.28515625" style="2524" bestFit="1" customWidth="1"/>
    <col min="5384" max="5385" width="10.7109375" style="2524" customWidth="1"/>
    <col min="5386" max="5387" width="10.7109375" style="2524" bestFit="1" customWidth="1"/>
    <col min="5388" max="5388" width="10.7109375" style="2524" customWidth="1"/>
    <col min="5389" max="5391" width="10.7109375" style="2524" bestFit="1" customWidth="1"/>
    <col min="5392" max="5393" width="10.7109375" style="2524" customWidth="1"/>
    <col min="5394" max="5395" width="10.7109375" style="2524" bestFit="1" customWidth="1"/>
    <col min="5396" max="5632" width="9.140625" style="2524"/>
    <col min="5633" max="5633" width="14.140625" style="2524" customWidth="1"/>
    <col min="5634" max="5634" width="66.28515625" style="2524" bestFit="1" customWidth="1"/>
    <col min="5635" max="5635" width="10" style="2524" bestFit="1" customWidth="1"/>
    <col min="5636" max="5637" width="8.5703125" style="2524" bestFit="1" customWidth="1"/>
    <col min="5638" max="5638" width="17.42578125" style="2524" bestFit="1" customWidth="1"/>
    <col min="5639" max="5639" width="17.28515625" style="2524" bestFit="1" customWidth="1"/>
    <col min="5640" max="5641" width="10.7109375" style="2524" customWidth="1"/>
    <col min="5642" max="5643" width="10.7109375" style="2524" bestFit="1" customWidth="1"/>
    <col min="5644" max="5644" width="10.7109375" style="2524" customWidth="1"/>
    <col min="5645" max="5647" width="10.7109375" style="2524" bestFit="1" customWidth="1"/>
    <col min="5648" max="5649" width="10.7109375" style="2524" customWidth="1"/>
    <col min="5650" max="5651" width="10.7109375" style="2524" bestFit="1" customWidth="1"/>
    <col min="5652" max="5888" width="9.140625" style="2524"/>
    <col min="5889" max="5889" width="14.140625" style="2524" customWidth="1"/>
    <col min="5890" max="5890" width="66.28515625" style="2524" bestFit="1" customWidth="1"/>
    <col min="5891" max="5891" width="10" style="2524" bestFit="1" customWidth="1"/>
    <col min="5892" max="5893" width="8.5703125" style="2524" bestFit="1" customWidth="1"/>
    <col min="5894" max="5894" width="17.42578125" style="2524" bestFit="1" customWidth="1"/>
    <col min="5895" max="5895" width="17.28515625" style="2524" bestFit="1" customWidth="1"/>
    <col min="5896" max="5897" width="10.7109375" style="2524" customWidth="1"/>
    <col min="5898" max="5899" width="10.7109375" style="2524" bestFit="1" customWidth="1"/>
    <col min="5900" max="5900" width="10.7109375" style="2524" customWidth="1"/>
    <col min="5901" max="5903" width="10.7109375" style="2524" bestFit="1" customWidth="1"/>
    <col min="5904" max="5905" width="10.7109375" style="2524" customWidth="1"/>
    <col min="5906" max="5907" width="10.7109375" style="2524" bestFit="1" customWidth="1"/>
    <col min="5908" max="6144" width="9.140625" style="2524"/>
    <col min="6145" max="6145" width="14.140625" style="2524" customWidth="1"/>
    <col min="6146" max="6146" width="66.28515625" style="2524" bestFit="1" customWidth="1"/>
    <col min="6147" max="6147" width="10" style="2524" bestFit="1" customWidth="1"/>
    <col min="6148" max="6149" width="8.5703125" style="2524" bestFit="1" customWidth="1"/>
    <col min="6150" max="6150" width="17.42578125" style="2524" bestFit="1" customWidth="1"/>
    <col min="6151" max="6151" width="17.28515625" style="2524" bestFit="1" customWidth="1"/>
    <col min="6152" max="6153" width="10.7109375" style="2524" customWidth="1"/>
    <col min="6154" max="6155" width="10.7109375" style="2524" bestFit="1" customWidth="1"/>
    <col min="6156" max="6156" width="10.7109375" style="2524" customWidth="1"/>
    <col min="6157" max="6159" width="10.7109375" style="2524" bestFit="1" customWidth="1"/>
    <col min="6160" max="6161" width="10.7109375" style="2524" customWidth="1"/>
    <col min="6162" max="6163" width="10.7109375" style="2524" bestFit="1" customWidth="1"/>
    <col min="6164" max="6400" width="9.140625" style="2524"/>
    <col min="6401" max="6401" width="14.140625" style="2524" customWidth="1"/>
    <col min="6402" max="6402" width="66.28515625" style="2524" bestFit="1" customWidth="1"/>
    <col min="6403" max="6403" width="10" style="2524" bestFit="1" customWidth="1"/>
    <col min="6404" max="6405" width="8.5703125" style="2524" bestFit="1" customWidth="1"/>
    <col min="6406" max="6406" width="17.42578125" style="2524" bestFit="1" customWidth="1"/>
    <col min="6407" max="6407" width="17.28515625" style="2524" bestFit="1" customWidth="1"/>
    <col min="6408" max="6409" width="10.7109375" style="2524" customWidth="1"/>
    <col min="6410" max="6411" width="10.7109375" style="2524" bestFit="1" customWidth="1"/>
    <col min="6412" max="6412" width="10.7109375" style="2524" customWidth="1"/>
    <col min="6413" max="6415" width="10.7109375" style="2524" bestFit="1" customWidth="1"/>
    <col min="6416" max="6417" width="10.7109375" style="2524" customWidth="1"/>
    <col min="6418" max="6419" width="10.7109375" style="2524" bestFit="1" customWidth="1"/>
    <col min="6420" max="6656" width="9.140625" style="2524"/>
    <col min="6657" max="6657" width="14.140625" style="2524" customWidth="1"/>
    <col min="6658" max="6658" width="66.28515625" style="2524" bestFit="1" customWidth="1"/>
    <col min="6659" max="6659" width="10" style="2524" bestFit="1" customWidth="1"/>
    <col min="6660" max="6661" width="8.5703125" style="2524" bestFit="1" customWidth="1"/>
    <col min="6662" max="6662" width="17.42578125" style="2524" bestFit="1" customWidth="1"/>
    <col min="6663" max="6663" width="17.28515625" style="2524" bestFit="1" customWidth="1"/>
    <col min="6664" max="6665" width="10.7109375" style="2524" customWidth="1"/>
    <col min="6666" max="6667" width="10.7109375" style="2524" bestFit="1" customWidth="1"/>
    <col min="6668" max="6668" width="10.7109375" style="2524" customWidth="1"/>
    <col min="6669" max="6671" width="10.7109375" style="2524" bestFit="1" customWidth="1"/>
    <col min="6672" max="6673" width="10.7109375" style="2524" customWidth="1"/>
    <col min="6674" max="6675" width="10.7109375" style="2524" bestFit="1" customWidth="1"/>
    <col min="6676" max="6912" width="9.140625" style="2524"/>
    <col min="6913" max="6913" width="14.140625" style="2524" customWidth="1"/>
    <col min="6914" max="6914" width="66.28515625" style="2524" bestFit="1" customWidth="1"/>
    <col min="6915" max="6915" width="10" style="2524" bestFit="1" customWidth="1"/>
    <col min="6916" max="6917" width="8.5703125" style="2524" bestFit="1" customWidth="1"/>
    <col min="6918" max="6918" width="17.42578125" style="2524" bestFit="1" customWidth="1"/>
    <col min="6919" max="6919" width="17.28515625" style="2524" bestFit="1" customWidth="1"/>
    <col min="6920" max="6921" width="10.7109375" style="2524" customWidth="1"/>
    <col min="6922" max="6923" width="10.7109375" style="2524" bestFit="1" customWidth="1"/>
    <col min="6924" max="6924" width="10.7109375" style="2524" customWidth="1"/>
    <col min="6925" max="6927" width="10.7109375" style="2524" bestFit="1" customWidth="1"/>
    <col min="6928" max="6929" width="10.7109375" style="2524" customWidth="1"/>
    <col min="6930" max="6931" width="10.7109375" style="2524" bestFit="1" customWidth="1"/>
    <col min="6932" max="7168" width="9.140625" style="2524"/>
    <col min="7169" max="7169" width="14.140625" style="2524" customWidth="1"/>
    <col min="7170" max="7170" width="66.28515625" style="2524" bestFit="1" customWidth="1"/>
    <col min="7171" max="7171" width="10" style="2524" bestFit="1" customWidth="1"/>
    <col min="7172" max="7173" width="8.5703125" style="2524" bestFit="1" customWidth="1"/>
    <col min="7174" max="7174" width="17.42578125" style="2524" bestFit="1" customWidth="1"/>
    <col min="7175" max="7175" width="17.28515625" style="2524" bestFit="1" customWidth="1"/>
    <col min="7176" max="7177" width="10.7109375" style="2524" customWidth="1"/>
    <col min="7178" max="7179" width="10.7109375" style="2524" bestFit="1" customWidth="1"/>
    <col min="7180" max="7180" width="10.7109375" style="2524" customWidth="1"/>
    <col min="7181" max="7183" width="10.7109375" style="2524" bestFit="1" customWidth="1"/>
    <col min="7184" max="7185" width="10.7109375" style="2524" customWidth="1"/>
    <col min="7186" max="7187" width="10.7109375" style="2524" bestFit="1" customWidth="1"/>
    <col min="7188" max="7424" width="9.140625" style="2524"/>
    <col min="7425" max="7425" width="14.140625" style="2524" customWidth="1"/>
    <col min="7426" max="7426" width="66.28515625" style="2524" bestFit="1" customWidth="1"/>
    <col min="7427" max="7427" width="10" style="2524" bestFit="1" customWidth="1"/>
    <col min="7428" max="7429" width="8.5703125" style="2524" bestFit="1" customWidth="1"/>
    <col min="7430" max="7430" width="17.42578125" style="2524" bestFit="1" customWidth="1"/>
    <col min="7431" max="7431" width="17.28515625" style="2524" bestFit="1" customWidth="1"/>
    <col min="7432" max="7433" width="10.7109375" style="2524" customWidth="1"/>
    <col min="7434" max="7435" width="10.7109375" style="2524" bestFit="1" customWidth="1"/>
    <col min="7436" max="7436" width="10.7109375" style="2524" customWidth="1"/>
    <col min="7437" max="7439" width="10.7109375" style="2524" bestFit="1" customWidth="1"/>
    <col min="7440" max="7441" width="10.7109375" style="2524" customWidth="1"/>
    <col min="7442" max="7443" width="10.7109375" style="2524" bestFit="1" customWidth="1"/>
    <col min="7444" max="7680" width="9.140625" style="2524"/>
    <col min="7681" max="7681" width="14.140625" style="2524" customWidth="1"/>
    <col min="7682" max="7682" width="66.28515625" style="2524" bestFit="1" customWidth="1"/>
    <col min="7683" max="7683" width="10" style="2524" bestFit="1" customWidth="1"/>
    <col min="7684" max="7685" width="8.5703125" style="2524" bestFit="1" customWidth="1"/>
    <col min="7686" max="7686" width="17.42578125" style="2524" bestFit="1" customWidth="1"/>
    <col min="7687" max="7687" width="17.28515625" style="2524" bestFit="1" customWidth="1"/>
    <col min="7688" max="7689" width="10.7109375" style="2524" customWidth="1"/>
    <col min="7690" max="7691" width="10.7109375" style="2524" bestFit="1" customWidth="1"/>
    <col min="7692" max="7692" width="10.7109375" style="2524" customWidth="1"/>
    <col min="7693" max="7695" width="10.7109375" style="2524" bestFit="1" customWidth="1"/>
    <col min="7696" max="7697" width="10.7109375" style="2524" customWidth="1"/>
    <col min="7698" max="7699" width="10.7109375" style="2524" bestFit="1" customWidth="1"/>
    <col min="7700" max="7936" width="9.140625" style="2524"/>
    <col min="7937" max="7937" width="14.140625" style="2524" customWidth="1"/>
    <col min="7938" max="7938" width="66.28515625" style="2524" bestFit="1" customWidth="1"/>
    <col min="7939" max="7939" width="10" style="2524" bestFit="1" customWidth="1"/>
    <col min="7940" max="7941" width="8.5703125" style="2524" bestFit="1" customWidth="1"/>
    <col min="7942" max="7942" width="17.42578125" style="2524" bestFit="1" customWidth="1"/>
    <col min="7943" max="7943" width="17.28515625" style="2524" bestFit="1" customWidth="1"/>
    <col min="7944" max="7945" width="10.7109375" style="2524" customWidth="1"/>
    <col min="7946" max="7947" width="10.7109375" style="2524" bestFit="1" customWidth="1"/>
    <col min="7948" max="7948" width="10.7109375" style="2524" customWidth="1"/>
    <col min="7949" max="7951" width="10.7109375" style="2524" bestFit="1" customWidth="1"/>
    <col min="7952" max="7953" width="10.7109375" style="2524" customWidth="1"/>
    <col min="7954" max="7955" width="10.7109375" style="2524" bestFit="1" customWidth="1"/>
    <col min="7956" max="8192" width="9.140625" style="2524"/>
    <col min="8193" max="8193" width="14.140625" style="2524" customWidth="1"/>
    <col min="8194" max="8194" width="66.28515625" style="2524" bestFit="1" customWidth="1"/>
    <col min="8195" max="8195" width="10" style="2524" bestFit="1" customWidth="1"/>
    <col min="8196" max="8197" width="8.5703125" style="2524" bestFit="1" customWidth="1"/>
    <col min="8198" max="8198" width="17.42578125" style="2524" bestFit="1" customWidth="1"/>
    <col min="8199" max="8199" width="17.28515625" style="2524" bestFit="1" customWidth="1"/>
    <col min="8200" max="8201" width="10.7109375" style="2524" customWidth="1"/>
    <col min="8202" max="8203" width="10.7109375" style="2524" bestFit="1" customWidth="1"/>
    <col min="8204" max="8204" width="10.7109375" style="2524" customWidth="1"/>
    <col min="8205" max="8207" width="10.7109375" style="2524" bestFit="1" customWidth="1"/>
    <col min="8208" max="8209" width="10.7109375" style="2524" customWidth="1"/>
    <col min="8210" max="8211" width="10.7109375" style="2524" bestFit="1" customWidth="1"/>
    <col min="8212" max="8448" width="9.140625" style="2524"/>
    <col min="8449" max="8449" width="14.140625" style="2524" customWidth="1"/>
    <col min="8450" max="8450" width="66.28515625" style="2524" bestFit="1" customWidth="1"/>
    <col min="8451" max="8451" width="10" style="2524" bestFit="1" customWidth="1"/>
    <col min="8452" max="8453" width="8.5703125" style="2524" bestFit="1" customWidth="1"/>
    <col min="8454" max="8454" width="17.42578125" style="2524" bestFit="1" customWidth="1"/>
    <col min="8455" max="8455" width="17.28515625" style="2524" bestFit="1" customWidth="1"/>
    <col min="8456" max="8457" width="10.7109375" style="2524" customWidth="1"/>
    <col min="8458" max="8459" width="10.7109375" style="2524" bestFit="1" customWidth="1"/>
    <col min="8460" max="8460" width="10.7109375" style="2524" customWidth="1"/>
    <col min="8461" max="8463" width="10.7109375" style="2524" bestFit="1" customWidth="1"/>
    <col min="8464" max="8465" width="10.7109375" style="2524" customWidth="1"/>
    <col min="8466" max="8467" width="10.7109375" style="2524" bestFit="1" customWidth="1"/>
    <col min="8468" max="8704" width="9.140625" style="2524"/>
    <col min="8705" max="8705" width="14.140625" style="2524" customWidth="1"/>
    <col min="8706" max="8706" width="66.28515625" style="2524" bestFit="1" customWidth="1"/>
    <col min="8707" max="8707" width="10" style="2524" bestFit="1" customWidth="1"/>
    <col min="8708" max="8709" width="8.5703125" style="2524" bestFit="1" customWidth="1"/>
    <col min="8710" max="8710" width="17.42578125" style="2524" bestFit="1" customWidth="1"/>
    <col min="8711" max="8711" width="17.28515625" style="2524" bestFit="1" customWidth="1"/>
    <col min="8712" max="8713" width="10.7109375" style="2524" customWidth="1"/>
    <col min="8714" max="8715" width="10.7109375" style="2524" bestFit="1" customWidth="1"/>
    <col min="8716" max="8716" width="10.7109375" style="2524" customWidth="1"/>
    <col min="8717" max="8719" width="10.7109375" style="2524" bestFit="1" customWidth="1"/>
    <col min="8720" max="8721" width="10.7109375" style="2524" customWidth="1"/>
    <col min="8722" max="8723" width="10.7109375" style="2524" bestFit="1" customWidth="1"/>
    <col min="8724" max="8960" width="9.140625" style="2524"/>
    <col min="8961" max="8961" width="14.140625" style="2524" customWidth="1"/>
    <col min="8962" max="8962" width="66.28515625" style="2524" bestFit="1" customWidth="1"/>
    <col min="8963" max="8963" width="10" style="2524" bestFit="1" customWidth="1"/>
    <col min="8964" max="8965" width="8.5703125" style="2524" bestFit="1" customWidth="1"/>
    <col min="8966" max="8966" width="17.42578125" style="2524" bestFit="1" customWidth="1"/>
    <col min="8967" max="8967" width="17.28515625" style="2524" bestFit="1" customWidth="1"/>
    <col min="8968" max="8969" width="10.7109375" style="2524" customWidth="1"/>
    <col min="8970" max="8971" width="10.7109375" style="2524" bestFit="1" customWidth="1"/>
    <col min="8972" max="8972" width="10.7109375" style="2524" customWidth="1"/>
    <col min="8973" max="8975" width="10.7109375" style="2524" bestFit="1" customWidth="1"/>
    <col min="8976" max="8977" width="10.7109375" style="2524" customWidth="1"/>
    <col min="8978" max="8979" width="10.7109375" style="2524" bestFit="1" customWidth="1"/>
    <col min="8980" max="9216" width="9.140625" style="2524"/>
    <col min="9217" max="9217" width="14.140625" style="2524" customWidth="1"/>
    <col min="9218" max="9218" width="66.28515625" style="2524" bestFit="1" customWidth="1"/>
    <col min="9219" max="9219" width="10" style="2524" bestFit="1" customWidth="1"/>
    <col min="9220" max="9221" width="8.5703125" style="2524" bestFit="1" customWidth="1"/>
    <col min="9222" max="9222" width="17.42578125" style="2524" bestFit="1" customWidth="1"/>
    <col min="9223" max="9223" width="17.28515625" style="2524" bestFit="1" customWidth="1"/>
    <col min="9224" max="9225" width="10.7109375" style="2524" customWidth="1"/>
    <col min="9226" max="9227" width="10.7109375" style="2524" bestFit="1" customWidth="1"/>
    <col min="9228" max="9228" width="10.7109375" style="2524" customWidth="1"/>
    <col min="9229" max="9231" width="10.7109375" style="2524" bestFit="1" customWidth="1"/>
    <col min="9232" max="9233" width="10.7109375" style="2524" customWidth="1"/>
    <col min="9234" max="9235" width="10.7109375" style="2524" bestFit="1" customWidth="1"/>
    <col min="9236" max="9472" width="9.140625" style="2524"/>
    <col min="9473" max="9473" width="14.140625" style="2524" customWidth="1"/>
    <col min="9474" max="9474" width="66.28515625" style="2524" bestFit="1" customWidth="1"/>
    <col min="9475" max="9475" width="10" style="2524" bestFit="1" customWidth="1"/>
    <col min="9476" max="9477" width="8.5703125" style="2524" bestFit="1" customWidth="1"/>
    <col min="9478" max="9478" width="17.42578125" style="2524" bestFit="1" customWidth="1"/>
    <col min="9479" max="9479" width="17.28515625" style="2524" bestFit="1" customWidth="1"/>
    <col min="9480" max="9481" width="10.7109375" style="2524" customWidth="1"/>
    <col min="9482" max="9483" width="10.7109375" style="2524" bestFit="1" customWidth="1"/>
    <col min="9484" max="9484" width="10.7109375" style="2524" customWidth="1"/>
    <col min="9485" max="9487" width="10.7109375" style="2524" bestFit="1" customWidth="1"/>
    <col min="9488" max="9489" width="10.7109375" style="2524" customWidth="1"/>
    <col min="9490" max="9491" width="10.7109375" style="2524" bestFit="1" customWidth="1"/>
    <col min="9492" max="9728" width="9.140625" style="2524"/>
    <col min="9729" max="9729" width="14.140625" style="2524" customWidth="1"/>
    <col min="9730" max="9730" width="66.28515625" style="2524" bestFit="1" customWidth="1"/>
    <col min="9731" max="9731" width="10" style="2524" bestFit="1" customWidth="1"/>
    <col min="9732" max="9733" width="8.5703125" style="2524" bestFit="1" customWidth="1"/>
    <col min="9734" max="9734" width="17.42578125" style="2524" bestFit="1" customWidth="1"/>
    <col min="9735" max="9735" width="17.28515625" style="2524" bestFit="1" customWidth="1"/>
    <col min="9736" max="9737" width="10.7109375" style="2524" customWidth="1"/>
    <col min="9738" max="9739" width="10.7109375" style="2524" bestFit="1" customWidth="1"/>
    <col min="9740" max="9740" width="10.7109375" style="2524" customWidth="1"/>
    <col min="9741" max="9743" width="10.7109375" style="2524" bestFit="1" customWidth="1"/>
    <col min="9744" max="9745" width="10.7109375" style="2524" customWidth="1"/>
    <col min="9746" max="9747" width="10.7109375" style="2524" bestFit="1" customWidth="1"/>
    <col min="9748" max="9984" width="9.140625" style="2524"/>
    <col min="9985" max="9985" width="14.140625" style="2524" customWidth="1"/>
    <col min="9986" max="9986" width="66.28515625" style="2524" bestFit="1" customWidth="1"/>
    <col min="9987" max="9987" width="10" style="2524" bestFit="1" customWidth="1"/>
    <col min="9988" max="9989" width="8.5703125" style="2524" bestFit="1" customWidth="1"/>
    <col min="9990" max="9990" width="17.42578125" style="2524" bestFit="1" customWidth="1"/>
    <col min="9991" max="9991" width="17.28515625" style="2524" bestFit="1" customWidth="1"/>
    <col min="9992" max="9993" width="10.7109375" style="2524" customWidth="1"/>
    <col min="9994" max="9995" width="10.7109375" style="2524" bestFit="1" customWidth="1"/>
    <col min="9996" max="9996" width="10.7109375" style="2524" customWidth="1"/>
    <col min="9997" max="9999" width="10.7109375" style="2524" bestFit="1" customWidth="1"/>
    <col min="10000" max="10001" width="10.7109375" style="2524" customWidth="1"/>
    <col min="10002" max="10003" width="10.7109375" style="2524" bestFit="1" customWidth="1"/>
    <col min="10004" max="10240" width="9.140625" style="2524"/>
    <col min="10241" max="10241" width="14.140625" style="2524" customWidth="1"/>
    <col min="10242" max="10242" width="66.28515625" style="2524" bestFit="1" customWidth="1"/>
    <col min="10243" max="10243" width="10" style="2524" bestFit="1" customWidth="1"/>
    <col min="10244" max="10245" width="8.5703125" style="2524" bestFit="1" customWidth="1"/>
    <col min="10246" max="10246" width="17.42578125" style="2524" bestFit="1" customWidth="1"/>
    <col min="10247" max="10247" width="17.28515625" style="2524" bestFit="1" customWidth="1"/>
    <col min="10248" max="10249" width="10.7109375" style="2524" customWidth="1"/>
    <col min="10250" max="10251" width="10.7109375" style="2524" bestFit="1" customWidth="1"/>
    <col min="10252" max="10252" width="10.7109375" style="2524" customWidth="1"/>
    <col min="10253" max="10255" width="10.7109375" style="2524" bestFit="1" customWidth="1"/>
    <col min="10256" max="10257" width="10.7109375" style="2524" customWidth="1"/>
    <col min="10258" max="10259" width="10.7109375" style="2524" bestFit="1" customWidth="1"/>
    <col min="10260" max="10496" width="9.140625" style="2524"/>
    <col min="10497" max="10497" width="14.140625" style="2524" customWidth="1"/>
    <col min="10498" max="10498" width="66.28515625" style="2524" bestFit="1" customWidth="1"/>
    <col min="10499" max="10499" width="10" style="2524" bestFit="1" customWidth="1"/>
    <col min="10500" max="10501" width="8.5703125" style="2524" bestFit="1" customWidth="1"/>
    <col min="10502" max="10502" width="17.42578125" style="2524" bestFit="1" customWidth="1"/>
    <col min="10503" max="10503" width="17.28515625" style="2524" bestFit="1" customWidth="1"/>
    <col min="10504" max="10505" width="10.7109375" style="2524" customWidth="1"/>
    <col min="10506" max="10507" width="10.7109375" style="2524" bestFit="1" customWidth="1"/>
    <col min="10508" max="10508" width="10.7109375" style="2524" customWidth="1"/>
    <col min="10509" max="10511" width="10.7109375" style="2524" bestFit="1" customWidth="1"/>
    <col min="10512" max="10513" width="10.7109375" style="2524" customWidth="1"/>
    <col min="10514" max="10515" width="10.7109375" style="2524" bestFit="1" customWidth="1"/>
    <col min="10516" max="10752" width="9.140625" style="2524"/>
    <col min="10753" max="10753" width="14.140625" style="2524" customWidth="1"/>
    <col min="10754" max="10754" width="66.28515625" style="2524" bestFit="1" customWidth="1"/>
    <col min="10755" max="10755" width="10" style="2524" bestFit="1" customWidth="1"/>
    <col min="10756" max="10757" width="8.5703125" style="2524" bestFit="1" customWidth="1"/>
    <col min="10758" max="10758" width="17.42578125" style="2524" bestFit="1" customWidth="1"/>
    <col min="10759" max="10759" width="17.28515625" style="2524" bestFit="1" customWidth="1"/>
    <col min="10760" max="10761" width="10.7109375" style="2524" customWidth="1"/>
    <col min="10762" max="10763" width="10.7109375" style="2524" bestFit="1" customWidth="1"/>
    <col min="10764" max="10764" width="10.7109375" style="2524" customWidth="1"/>
    <col min="10765" max="10767" width="10.7109375" style="2524" bestFit="1" customWidth="1"/>
    <col min="10768" max="10769" width="10.7109375" style="2524" customWidth="1"/>
    <col min="10770" max="10771" width="10.7109375" style="2524" bestFit="1" customWidth="1"/>
    <col min="10772" max="11008" width="9.140625" style="2524"/>
    <col min="11009" max="11009" width="14.140625" style="2524" customWidth="1"/>
    <col min="11010" max="11010" width="66.28515625" style="2524" bestFit="1" customWidth="1"/>
    <col min="11011" max="11011" width="10" style="2524" bestFit="1" customWidth="1"/>
    <col min="11012" max="11013" width="8.5703125" style="2524" bestFit="1" customWidth="1"/>
    <col min="11014" max="11014" width="17.42578125" style="2524" bestFit="1" customWidth="1"/>
    <col min="11015" max="11015" width="17.28515625" style="2524" bestFit="1" customWidth="1"/>
    <col min="11016" max="11017" width="10.7109375" style="2524" customWidth="1"/>
    <col min="11018" max="11019" width="10.7109375" style="2524" bestFit="1" customWidth="1"/>
    <col min="11020" max="11020" width="10.7109375" style="2524" customWidth="1"/>
    <col min="11021" max="11023" width="10.7109375" style="2524" bestFit="1" customWidth="1"/>
    <col min="11024" max="11025" width="10.7109375" style="2524" customWidth="1"/>
    <col min="11026" max="11027" width="10.7109375" style="2524" bestFit="1" customWidth="1"/>
    <col min="11028" max="11264" width="9.140625" style="2524"/>
    <col min="11265" max="11265" width="14.140625" style="2524" customWidth="1"/>
    <col min="11266" max="11266" width="66.28515625" style="2524" bestFit="1" customWidth="1"/>
    <col min="11267" max="11267" width="10" style="2524" bestFit="1" customWidth="1"/>
    <col min="11268" max="11269" width="8.5703125" style="2524" bestFit="1" customWidth="1"/>
    <col min="11270" max="11270" width="17.42578125" style="2524" bestFit="1" customWidth="1"/>
    <col min="11271" max="11271" width="17.28515625" style="2524" bestFit="1" customWidth="1"/>
    <col min="11272" max="11273" width="10.7109375" style="2524" customWidth="1"/>
    <col min="11274" max="11275" width="10.7109375" style="2524" bestFit="1" customWidth="1"/>
    <col min="11276" max="11276" width="10.7109375" style="2524" customWidth="1"/>
    <col min="11277" max="11279" width="10.7109375" style="2524" bestFit="1" customWidth="1"/>
    <col min="11280" max="11281" width="10.7109375" style="2524" customWidth="1"/>
    <col min="11282" max="11283" width="10.7109375" style="2524" bestFit="1" customWidth="1"/>
    <col min="11284" max="11520" width="9.140625" style="2524"/>
    <col min="11521" max="11521" width="14.140625" style="2524" customWidth="1"/>
    <col min="11522" max="11522" width="66.28515625" style="2524" bestFit="1" customWidth="1"/>
    <col min="11523" max="11523" width="10" style="2524" bestFit="1" customWidth="1"/>
    <col min="11524" max="11525" width="8.5703125" style="2524" bestFit="1" customWidth="1"/>
    <col min="11526" max="11526" width="17.42578125" style="2524" bestFit="1" customWidth="1"/>
    <col min="11527" max="11527" width="17.28515625" style="2524" bestFit="1" customWidth="1"/>
    <col min="11528" max="11529" width="10.7109375" style="2524" customWidth="1"/>
    <col min="11530" max="11531" width="10.7109375" style="2524" bestFit="1" customWidth="1"/>
    <col min="11532" max="11532" width="10.7109375" style="2524" customWidth="1"/>
    <col min="11533" max="11535" width="10.7109375" style="2524" bestFit="1" customWidth="1"/>
    <col min="11536" max="11537" width="10.7109375" style="2524" customWidth="1"/>
    <col min="11538" max="11539" width="10.7109375" style="2524" bestFit="1" customWidth="1"/>
    <col min="11540" max="11776" width="9.140625" style="2524"/>
    <col min="11777" max="11777" width="14.140625" style="2524" customWidth="1"/>
    <col min="11778" max="11778" width="66.28515625" style="2524" bestFit="1" customWidth="1"/>
    <col min="11779" max="11779" width="10" style="2524" bestFit="1" customWidth="1"/>
    <col min="11780" max="11781" width="8.5703125" style="2524" bestFit="1" customWidth="1"/>
    <col min="11782" max="11782" width="17.42578125" style="2524" bestFit="1" customWidth="1"/>
    <col min="11783" max="11783" width="17.28515625" style="2524" bestFit="1" customWidth="1"/>
    <col min="11784" max="11785" width="10.7109375" style="2524" customWidth="1"/>
    <col min="11786" max="11787" width="10.7109375" style="2524" bestFit="1" customWidth="1"/>
    <col min="11788" max="11788" width="10.7109375" style="2524" customWidth="1"/>
    <col min="11789" max="11791" width="10.7109375" style="2524" bestFit="1" customWidth="1"/>
    <col min="11792" max="11793" width="10.7109375" style="2524" customWidth="1"/>
    <col min="11794" max="11795" width="10.7109375" style="2524" bestFit="1" customWidth="1"/>
    <col min="11796" max="12032" width="9.140625" style="2524"/>
    <col min="12033" max="12033" width="14.140625" style="2524" customWidth="1"/>
    <col min="12034" max="12034" width="66.28515625" style="2524" bestFit="1" customWidth="1"/>
    <col min="12035" max="12035" width="10" style="2524" bestFit="1" customWidth="1"/>
    <col min="12036" max="12037" width="8.5703125" style="2524" bestFit="1" customWidth="1"/>
    <col min="12038" max="12038" width="17.42578125" style="2524" bestFit="1" customWidth="1"/>
    <col min="12039" max="12039" width="17.28515625" style="2524" bestFit="1" customWidth="1"/>
    <col min="12040" max="12041" width="10.7109375" style="2524" customWidth="1"/>
    <col min="12042" max="12043" width="10.7109375" style="2524" bestFit="1" customWidth="1"/>
    <col min="12044" max="12044" width="10.7109375" style="2524" customWidth="1"/>
    <col min="12045" max="12047" width="10.7109375" style="2524" bestFit="1" customWidth="1"/>
    <col min="12048" max="12049" width="10.7109375" style="2524" customWidth="1"/>
    <col min="12050" max="12051" width="10.7109375" style="2524" bestFit="1" customWidth="1"/>
    <col min="12052" max="12288" width="9.140625" style="2524"/>
    <col min="12289" max="12289" width="14.140625" style="2524" customWidth="1"/>
    <col min="12290" max="12290" width="66.28515625" style="2524" bestFit="1" customWidth="1"/>
    <col min="12291" max="12291" width="10" style="2524" bestFit="1" customWidth="1"/>
    <col min="12292" max="12293" width="8.5703125" style="2524" bestFit="1" customWidth="1"/>
    <col min="12294" max="12294" width="17.42578125" style="2524" bestFit="1" customWidth="1"/>
    <col min="12295" max="12295" width="17.28515625" style="2524" bestFit="1" customWidth="1"/>
    <col min="12296" max="12297" width="10.7109375" style="2524" customWidth="1"/>
    <col min="12298" max="12299" width="10.7109375" style="2524" bestFit="1" customWidth="1"/>
    <col min="12300" max="12300" width="10.7109375" style="2524" customWidth="1"/>
    <col min="12301" max="12303" width="10.7109375" style="2524" bestFit="1" customWidth="1"/>
    <col min="12304" max="12305" width="10.7109375" style="2524" customWidth="1"/>
    <col min="12306" max="12307" width="10.7109375" style="2524" bestFit="1" customWidth="1"/>
    <col min="12308" max="12544" width="9.140625" style="2524"/>
    <col min="12545" max="12545" width="14.140625" style="2524" customWidth="1"/>
    <col min="12546" max="12546" width="66.28515625" style="2524" bestFit="1" customWidth="1"/>
    <col min="12547" max="12547" width="10" style="2524" bestFit="1" customWidth="1"/>
    <col min="12548" max="12549" width="8.5703125" style="2524" bestFit="1" customWidth="1"/>
    <col min="12550" max="12550" width="17.42578125" style="2524" bestFit="1" customWidth="1"/>
    <col min="12551" max="12551" width="17.28515625" style="2524" bestFit="1" customWidth="1"/>
    <col min="12552" max="12553" width="10.7109375" style="2524" customWidth="1"/>
    <col min="12554" max="12555" width="10.7109375" style="2524" bestFit="1" customWidth="1"/>
    <col min="12556" max="12556" width="10.7109375" style="2524" customWidth="1"/>
    <col min="12557" max="12559" width="10.7109375" style="2524" bestFit="1" customWidth="1"/>
    <col min="12560" max="12561" width="10.7109375" style="2524" customWidth="1"/>
    <col min="12562" max="12563" width="10.7109375" style="2524" bestFit="1" customWidth="1"/>
    <col min="12564" max="12800" width="9.140625" style="2524"/>
    <col min="12801" max="12801" width="14.140625" style="2524" customWidth="1"/>
    <col min="12802" max="12802" width="66.28515625" style="2524" bestFit="1" customWidth="1"/>
    <col min="12803" max="12803" width="10" style="2524" bestFit="1" customWidth="1"/>
    <col min="12804" max="12805" width="8.5703125" style="2524" bestFit="1" customWidth="1"/>
    <col min="12806" max="12806" width="17.42578125" style="2524" bestFit="1" customWidth="1"/>
    <col min="12807" max="12807" width="17.28515625" style="2524" bestFit="1" customWidth="1"/>
    <col min="12808" max="12809" width="10.7109375" style="2524" customWidth="1"/>
    <col min="12810" max="12811" width="10.7109375" style="2524" bestFit="1" customWidth="1"/>
    <col min="12812" max="12812" width="10.7109375" style="2524" customWidth="1"/>
    <col min="12813" max="12815" width="10.7109375" style="2524" bestFit="1" customWidth="1"/>
    <col min="12816" max="12817" width="10.7109375" style="2524" customWidth="1"/>
    <col min="12818" max="12819" width="10.7109375" style="2524" bestFit="1" customWidth="1"/>
    <col min="12820" max="13056" width="9.140625" style="2524"/>
    <col min="13057" max="13057" width="14.140625" style="2524" customWidth="1"/>
    <col min="13058" max="13058" width="66.28515625" style="2524" bestFit="1" customWidth="1"/>
    <col min="13059" max="13059" width="10" style="2524" bestFit="1" customWidth="1"/>
    <col min="13060" max="13061" width="8.5703125" style="2524" bestFit="1" customWidth="1"/>
    <col min="13062" max="13062" width="17.42578125" style="2524" bestFit="1" customWidth="1"/>
    <col min="13063" max="13063" width="17.28515625" style="2524" bestFit="1" customWidth="1"/>
    <col min="13064" max="13065" width="10.7109375" style="2524" customWidth="1"/>
    <col min="13066" max="13067" width="10.7109375" style="2524" bestFit="1" customWidth="1"/>
    <col min="13068" max="13068" width="10.7109375" style="2524" customWidth="1"/>
    <col min="13069" max="13071" width="10.7109375" style="2524" bestFit="1" customWidth="1"/>
    <col min="13072" max="13073" width="10.7109375" style="2524" customWidth="1"/>
    <col min="13074" max="13075" width="10.7109375" style="2524" bestFit="1" customWidth="1"/>
    <col min="13076" max="13312" width="9.140625" style="2524"/>
    <col min="13313" max="13313" width="14.140625" style="2524" customWidth="1"/>
    <col min="13314" max="13314" width="66.28515625" style="2524" bestFit="1" customWidth="1"/>
    <col min="13315" max="13315" width="10" style="2524" bestFit="1" customWidth="1"/>
    <col min="13316" max="13317" width="8.5703125" style="2524" bestFit="1" customWidth="1"/>
    <col min="13318" max="13318" width="17.42578125" style="2524" bestFit="1" customWidth="1"/>
    <col min="13319" max="13319" width="17.28515625" style="2524" bestFit="1" customWidth="1"/>
    <col min="13320" max="13321" width="10.7109375" style="2524" customWidth="1"/>
    <col min="13322" max="13323" width="10.7109375" style="2524" bestFit="1" customWidth="1"/>
    <col min="13324" max="13324" width="10.7109375" style="2524" customWidth="1"/>
    <col min="13325" max="13327" width="10.7109375" style="2524" bestFit="1" customWidth="1"/>
    <col min="13328" max="13329" width="10.7109375" style="2524" customWidth="1"/>
    <col min="13330" max="13331" width="10.7109375" style="2524" bestFit="1" customWidth="1"/>
    <col min="13332" max="13568" width="9.140625" style="2524"/>
    <col min="13569" max="13569" width="14.140625" style="2524" customWidth="1"/>
    <col min="13570" max="13570" width="66.28515625" style="2524" bestFit="1" customWidth="1"/>
    <col min="13571" max="13571" width="10" style="2524" bestFit="1" customWidth="1"/>
    <col min="13572" max="13573" width="8.5703125" style="2524" bestFit="1" customWidth="1"/>
    <col min="13574" max="13574" width="17.42578125" style="2524" bestFit="1" customWidth="1"/>
    <col min="13575" max="13575" width="17.28515625" style="2524" bestFit="1" customWidth="1"/>
    <col min="13576" max="13577" width="10.7109375" style="2524" customWidth="1"/>
    <col min="13578" max="13579" width="10.7109375" style="2524" bestFit="1" customWidth="1"/>
    <col min="13580" max="13580" width="10.7109375" style="2524" customWidth="1"/>
    <col min="13581" max="13583" width="10.7109375" style="2524" bestFit="1" customWidth="1"/>
    <col min="13584" max="13585" width="10.7109375" style="2524" customWidth="1"/>
    <col min="13586" max="13587" width="10.7109375" style="2524" bestFit="1" customWidth="1"/>
    <col min="13588" max="13824" width="9.140625" style="2524"/>
    <col min="13825" max="13825" width="14.140625" style="2524" customWidth="1"/>
    <col min="13826" max="13826" width="66.28515625" style="2524" bestFit="1" customWidth="1"/>
    <col min="13827" max="13827" width="10" style="2524" bestFit="1" customWidth="1"/>
    <col min="13828" max="13829" width="8.5703125" style="2524" bestFit="1" customWidth="1"/>
    <col min="13830" max="13830" width="17.42578125" style="2524" bestFit="1" customWidth="1"/>
    <col min="13831" max="13831" width="17.28515625" style="2524" bestFit="1" customWidth="1"/>
    <col min="13832" max="13833" width="10.7109375" style="2524" customWidth="1"/>
    <col min="13834" max="13835" width="10.7109375" style="2524" bestFit="1" customWidth="1"/>
    <col min="13836" max="13836" width="10.7109375" style="2524" customWidth="1"/>
    <col min="13837" max="13839" width="10.7109375" style="2524" bestFit="1" customWidth="1"/>
    <col min="13840" max="13841" width="10.7109375" style="2524" customWidth="1"/>
    <col min="13842" max="13843" width="10.7109375" style="2524" bestFit="1" customWidth="1"/>
    <col min="13844" max="14080" width="9.140625" style="2524"/>
    <col min="14081" max="14081" width="14.140625" style="2524" customWidth="1"/>
    <col min="14082" max="14082" width="66.28515625" style="2524" bestFit="1" customWidth="1"/>
    <col min="14083" max="14083" width="10" style="2524" bestFit="1" customWidth="1"/>
    <col min="14084" max="14085" width="8.5703125" style="2524" bestFit="1" customWidth="1"/>
    <col min="14086" max="14086" width="17.42578125" style="2524" bestFit="1" customWidth="1"/>
    <col min="14087" max="14087" width="17.28515625" style="2524" bestFit="1" customWidth="1"/>
    <col min="14088" max="14089" width="10.7109375" style="2524" customWidth="1"/>
    <col min="14090" max="14091" width="10.7109375" style="2524" bestFit="1" customWidth="1"/>
    <col min="14092" max="14092" width="10.7109375" style="2524" customWidth="1"/>
    <col min="14093" max="14095" width="10.7109375" style="2524" bestFit="1" customWidth="1"/>
    <col min="14096" max="14097" width="10.7109375" style="2524" customWidth="1"/>
    <col min="14098" max="14099" width="10.7109375" style="2524" bestFit="1" customWidth="1"/>
    <col min="14100" max="14336" width="9.140625" style="2524"/>
    <col min="14337" max="14337" width="14.140625" style="2524" customWidth="1"/>
    <col min="14338" max="14338" width="66.28515625" style="2524" bestFit="1" customWidth="1"/>
    <col min="14339" max="14339" width="10" style="2524" bestFit="1" customWidth="1"/>
    <col min="14340" max="14341" width="8.5703125" style="2524" bestFit="1" customWidth="1"/>
    <col min="14342" max="14342" width="17.42578125" style="2524" bestFit="1" customWidth="1"/>
    <col min="14343" max="14343" width="17.28515625" style="2524" bestFit="1" customWidth="1"/>
    <col min="14344" max="14345" width="10.7109375" style="2524" customWidth="1"/>
    <col min="14346" max="14347" width="10.7109375" style="2524" bestFit="1" customWidth="1"/>
    <col min="14348" max="14348" width="10.7109375" style="2524" customWidth="1"/>
    <col min="14349" max="14351" width="10.7109375" style="2524" bestFit="1" customWidth="1"/>
    <col min="14352" max="14353" width="10.7109375" style="2524" customWidth="1"/>
    <col min="14354" max="14355" width="10.7109375" style="2524" bestFit="1" customWidth="1"/>
    <col min="14356" max="14592" width="9.140625" style="2524"/>
    <col min="14593" max="14593" width="14.140625" style="2524" customWidth="1"/>
    <col min="14594" max="14594" width="66.28515625" style="2524" bestFit="1" customWidth="1"/>
    <col min="14595" max="14595" width="10" style="2524" bestFit="1" customWidth="1"/>
    <col min="14596" max="14597" width="8.5703125" style="2524" bestFit="1" customWidth="1"/>
    <col min="14598" max="14598" width="17.42578125" style="2524" bestFit="1" customWidth="1"/>
    <col min="14599" max="14599" width="17.28515625" style="2524" bestFit="1" customWidth="1"/>
    <col min="14600" max="14601" width="10.7109375" style="2524" customWidth="1"/>
    <col min="14602" max="14603" width="10.7109375" style="2524" bestFit="1" customWidth="1"/>
    <col min="14604" max="14604" width="10.7109375" style="2524" customWidth="1"/>
    <col min="14605" max="14607" width="10.7109375" style="2524" bestFit="1" customWidth="1"/>
    <col min="14608" max="14609" width="10.7109375" style="2524" customWidth="1"/>
    <col min="14610" max="14611" width="10.7109375" style="2524" bestFit="1" customWidth="1"/>
    <col min="14612" max="14848" width="9.140625" style="2524"/>
    <col min="14849" max="14849" width="14.140625" style="2524" customWidth="1"/>
    <col min="14850" max="14850" width="66.28515625" style="2524" bestFit="1" customWidth="1"/>
    <col min="14851" max="14851" width="10" style="2524" bestFit="1" customWidth="1"/>
    <col min="14852" max="14853" width="8.5703125" style="2524" bestFit="1" customWidth="1"/>
    <col min="14854" max="14854" width="17.42578125" style="2524" bestFit="1" customWidth="1"/>
    <col min="14855" max="14855" width="17.28515625" style="2524" bestFit="1" customWidth="1"/>
    <col min="14856" max="14857" width="10.7109375" style="2524" customWidth="1"/>
    <col min="14858" max="14859" width="10.7109375" style="2524" bestFit="1" customWidth="1"/>
    <col min="14860" max="14860" width="10.7109375" style="2524" customWidth="1"/>
    <col min="14861" max="14863" width="10.7109375" style="2524" bestFit="1" customWidth="1"/>
    <col min="14864" max="14865" width="10.7109375" style="2524" customWidth="1"/>
    <col min="14866" max="14867" width="10.7109375" style="2524" bestFit="1" customWidth="1"/>
    <col min="14868" max="15104" width="9.140625" style="2524"/>
    <col min="15105" max="15105" width="14.140625" style="2524" customWidth="1"/>
    <col min="15106" max="15106" width="66.28515625" style="2524" bestFit="1" customWidth="1"/>
    <col min="15107" max="15107" width="10" style="2524" bestFit="1" customWidth="1"/>
    <col min="15108" max="15109" width="8.5703125" style="2524" bestFit="1" customWidth="1"/>
    <col min="15110" max="15110" width="17.42578125" style="2524" bestFit="1" customWidth="1"/>
    <col min="15111" max="15111" width="17.28515625" style="2524" bestFit="1" customWidth="1"/>
    <col min="15112" max="15113" width="10.7109375" style="2524" customWidth="1"/>
    <col min="15114" max="15115" width="10.7109375" style="2524" bestFit="1" customWidth="1"/>
    <col min="15116" max="15116" width="10.7109375" style="2524" customWidth="1"/>
    <col min="15117" max="15119" width="10.7109375" style="2524" bestFit="1" customWidth="1"/>
    <col min="15120" max="15121" width="10.7109375" style="2524" customWidth="1"/>
    <col min="15122" max="15123" width="10.7109375" style="2524" bestFit="1" customWidth="1"/>
    <col min="15124" max="15360" width="9.140625" style="2524"/>
    <col min="15361" max="15361" width="14.140625" style="2524" customWidth="1"/>
    <col min="15362" max="15362" width="66.28515625" style="2524" bestFit="1" customWidth="1"/>
    <col min="15363" max="15363" width="10" style="2524" bestFit="1" customWidth="1"/>
    <col min="15364" max="15365" width="8.5703125" style="2524" bestFit="1" customWidth="1"/>
    <col min="15366" max="15366" width="17.42578125" style="2524" bestFit="1" customWidth="1"/>
    <col min="15367" max="15367" width="17.28515625" style="2524" bestFit="1" customWidth="1"/>
    <col min="15368" max="15369" width="10.7109375" style="2524" customWidth="1"/>
    <col min="15370" max="15371" width="10.7109375" style="2524" bestFit="1" customWidth="1"/>
    <col min="15372" max="15372" width="10.7109375" style="2524" customWidth="1"/>
    <col min="15373" max="15375" width="10.7109375" style="2524" bestFit="1" customWidth="1"/>
    <col min="15376" max="15377" width="10.7109375" style="2524" customWidth="1"/>
    <col min="15378" max="15379" width="10.7109375" style="2524" bestFit="1" customWidth="1"/>
    <col min="15380" max="15616" width="9.140625" style="2524"/>
    <col min="15617" max="15617" width="14.140625" style="2524" customWidth="1"/>
    <col min="15618" max="15618" width="66.28515625" style="2524" bestFit="1" customWidth="1"/>
    <col min="15619" max="15619" width="10" style="2524" bestFit="1" customWidth="1"/>
    <col min="15620" max="15621" width="8.5703125" style="2524" bestFit="1" customWidth="1"/>
    <col min="15622" max="15622" width="17.42578125" style="2524" bestFit="1" customWidth="1"/>
    <col min="15623" max="15623" width="17.28515625" style="2524" bestFit="1" customWidth="1"/>
    <col min="15624" max="15625" width="10.7109375" style="2524" customWidth="1"/>
    <col min="15626" max="15627" width="10.7109375" style="2524" bestFit="1" customWidth="1"/>
    <col min="15628" max="15628" width="10.7109375" style="2524" customWidth="1"/>
    <col min="15629" max="15631" width="10.7109375" style="2524" bestFit="1" customWidth="1"/>
    <col min="15632" max="15633" width="10.7109375" style="2524" customWidth="1"/>
    <col min="15634" max="15635" width="10.7109375" style="2524" bestFit="1" customWidth="1"/>
    <col min="15636" max="15872" width="9.140625" style="2524"/>
    <col min="15873" max="15873" width="14.140625" style="2524" customWidth="1"/>
    <col min="15874" max="15874" width="66.28515625" style="2524" bestFit="1" customWidth="1"/>
    <col min="15875" max="15875" width="10" style="2524" bestFit="1" customWidth="1"/>
    <col min="15876" max="15877" width="8.5703125" style="2524" bestFit="1" customWidth="1"/>
    <col min="15878" max="15878" width="17.42578125" style="2524" bestFit="1" customWidth="1"/>
    <col min="15879" max="15879" width="17.28515625" style="2524" bestFit="1" customWidth="1"/>
    <col min="15880" max="15881" width="10.7109375" style="2524" customWidth="1"/>
    <col min="15882" max="15883" width="10.7109375" style="2524" bestFit="1" customWidth="1"/>
    <col min="15884" max="15884" width="10.7109375" style="2524" customWidth="1"/>
    <col min="15885" max="15887" width="10.7109375" style="2524" bestFit="1" customWidth="1"/>
    <col min="15888" max="15889" width="10.7109375" style="2524" customWidth="1"/>
    <col min="15890" max="15891" width="10.7109375" style="2524" bestFit="1" customWidth="1"/>
    <col min="15892" max="16128" width="9.140625" style="2524"/>
    <col min="16129" max="16129" width="14.140625" style="2524" customWidth="1"/>
    <col min="16130" max="16130" width="66.28515625" style="2524" bestFit="1" customWidth="1"/>
    <col min="16131" max="16131" width="10" style="2524" bestFit="1" customWidth="1"/>
    <col min="16132" max="16133" width="8.5703125" style="2524" bestFit="1" customWidth="1"/>
    <col min="16134" max="16134" width="17.42578125" style="2524" bestFit="1" customWidth="1"/>
    <col min="16135" max="16135" width="17.28515625" style="2524" bestFit="1" customWidth="1"/>
    <col min="16136" max="16137" width="10.7109375" style="2524" customWidth="1"/>
    <col min="16138" max="16139" width="10.7109375" style="2524" bestFit="1" customWidth="1"/>
    <col min="16140" max="16140" width="10.7109375" style="2524" customWidth="1"/>
    <col min="16141" max="16143" width="10.7109375" style="2524" bestFit="1" customWidth="1"/>
    <col min="16144" max="16145" width="10.7109375" style="2524" customWidth="1"/>
    <col min="16146" max="16147" width="10.7109375" style="2524" bestFit="1" customWidth="1"/>
    <col min="16148" max="16384" width="9.140625" style="2524"/>
  </cols>
  <sheetData>
    <row r="1" spans="1:33" s="2525" customFormat="1" ht="24.95" customHeight="1">
      <c r="B1" s="2522" t="str">
        <f>IF(dms_DataQuality="backcast",INDEX(dms_Worksheet_List,MATCH(dms_Model,dms_Model_List))&amp;" BACKCAST",INDEX(dms_Worksheet_List,MATCH(dms_Model,dms_Model_List)))</f>
        <v>REGULATORY REPORTING STATEMENT</v>
      </c>
      <c r="C1" s="2769"/>
      <c r="D1" s="2769"/>
      <c r="E1" s="2769"/>
      <c r="F1" s="2769"/>
      <c r="G1" s="2769"/>
      <c r="H1" s="2769"/>
      <c r="I1" s="2769"/>
      <c r="J1" s="2769"/>
      <c r="K1" s="2769"/>
      <c r="L1" s="2769"/>
      <c r="M1" s="2769"/>
      <c r="N1" s="2769"/>
      <c r="O1" s="2769"/>
      <c r="P1" s="2769"/>
      <c r="Q1" s="2769"/>
      <c r="R1" s="2769"/>
      <c r="S1" s="2769"/>
      <c r="T1" s="2769"/>
      <c r="U1" s="2769"/>
      <c r="V1" s="2769"/>
      <c r="W1" s="2769"/>
      <c r="X1" s="2769"/>
      <c r="Y1" s="2769"/>
      <c r="Z1" s="2769"/>
      <c r="AA1" s="2769"/>
      <c r="AB1" s="2769"/>
      <c r="AC1" s="2769"/>
      <c r="AD1" s="2769"/>
      <c r="AE1" s="2769"/>
      <c r="AF1" s="2769"/>
      <c r="AG1" s="2769"/>
    </row>
    <row r="2" spans="1:33" s="2525" customFormat="1" ht="24.95" customHeight="1">
      <c r="B2" s="2526" t="str">
        <f>INDEX(dms_TradingNameFull_List,MATCH(dms_TradingName,dms_TradingName_List))</f>
        <v>AusNet Gas Services</v>
      </c>
      <c r="C2" s="2526"/>
      <c r="D2" s="2526"/>
      <c r="E2" s="2526"/>
      <c r="F2" s="2526"/>
      <c r="G2" s="2526"/>
      <c r="H2" s="2526"/>
      <c r="I2" s="2526"/>
      <c r="J2" s="2526"/>
      <c r="K2" s="2526"/>
      <c r="L2" s="2526"/>
      <c r="M2" s="2526"/>
      <c r="N2" s="2526"/>
      <c r="O2" s="2526"/>
      <c r="P2" s="2526"/>
      <c r="Q2" s="2526"/>
      <c r="R2" s="2526"/>
      <c r="S2" s="2526"/>
      <c r="T2" s="2526"/>
      <c r="U2" s="2526"/>
      <c r="V2" s="2526"/>
      <c r="W2" s="2526"/>
      <c r="X2" s="2526"/>
      <c r="Y2" s="2526"/>
      <c r="Z2" s="2526"/>
      <c r="AA2" s="2526"/>
      <c r="AB2" s="2526"/>
      <c r="AC2" s="2526"/>
      <c r="AD2" s="2526"/>
      <c r="AE2" s="2526"/>
      <c r="AF2" s="2526"/>
      <c r="AG2" s="2526"/>
    </row>
    <row r="3" spans="1:33" s="2525" customFormat="1" ht="24.95" customHeight="1">
      <c r="B3" s="2526" t="str">
        <f ca="1">IF(SUM(dms_SingleYear_Model)&gt;0,CRY,CONCATENATE(FRCP_y1," to ",dms_MultiYear_FinalYear_Result))</f>
        <v>2018 to 2022</v>
      </c>
      <c r="C3" s="2528"/>
      <c r="D3" s="2528"/>
      <c r="E3" s="2528"/>
      <c r="F3" s="2528"/>
      <c r="G3" s="2528"/>
      <c r="H3" s="2528"/>
      <c r="I3" s="2528"/>
      <c r="J3" s="2528"/>
      <c r="K3" s="2528"/>
      <c r="L3" s="2528"/>
      <c r="M3" s="2528"/>
      <c r="N3" s="2528"/>
      <c r="O3" s="2528"/>
      <c r="P3" s="2528"/>
      <c r="Q3" s="2528"/>
      <c r="R3" s="2528"/>
      <c r="S3" s="2528"/>
      <c r="T3" s="2528"/>
      <c r="U3" s="2528"/>
      <c r="V3" s="2528"/>
      <c r="W3" s="2528"/>
      <c r="X3" s="2528"/>
      <c r="Y3" s="2528"/>
      <c r="Z3" s="2528"/>
      <c r="AA3" s="2528"/>
      <c r="AB3" s="2528"/>
      <c r="AC3" s="2528"/>
      <c r="AD3" s="2528"/>
      <c r="AE3" s="2528"/>
      <c r="AF3" s="2528"/>
      <c r="AG3" s="2528"/>
    </row>
    <row r="4" spans="1:33" s="2525" customFormat="1" ht="24" customHeight="1">
      <c r="B4" s="2529" t="s">
        <v>474</v>
      </c>
      <c r="C4" s="2770"/>
      <c r="D4" s="2770"/>
      <c r="E4" s="2770"/>
      <c r="F4" s="2770"/>
      <c r="G4" s="2770"/>
      <c r="H4" s="2770"/>
      <c r="I4" s="2770"/>
      <c r="J4" s="2770"/>
      <c r="K4" s="2770"/>
      <c r="L4" s="2770"/>
      <c r="M4" s="2770"/>
      <c r="N4" s="2770"/>
      <c r="O4" s="2770"/>
      <c r="P4" s="2770"/>
      <c r="Q4" s="2770"/>
      <c r="R4" s="2770"/>
      <c r="S4" s="2770"/>
      <c r="T4" s="2770"/>
      <c r="U4" s="2770"/>
      <c r="V4" s="2770"/>
      <c r="W4" s="2770"/>
      <c r="X4" s="2770"/>
      <c r="Y4" s="2770"/>
      <c r="Z4" s="2770"/>
      <c r="AA4" s="2770"/>
      <c r="AB4" s="2770"/>
      <c r="AC4" s="2770"/>
      <c r="AD4" s="2770"/>
      <c r="AE4" s="2770"/>
      <c r="AF4" s="2770"/>
      <c r="AG4" s="2770"/>
    </row>
    <row r="5" spans="1:33">
      <c r="A5" s="360"/>
      <c r="B5" s="2771"/>
      <c r="C5" s="2771"/>
      <c r="D5" s="2771"/>
      <c r="E5" s="2771"/>
      <c r="F5" s="2771"/>
      <c r="G5" s="2771"/>
      <c r="H5" s="2771"/>
      <c r="I5" s="2771"/>
      <c r="J5" s="2771"/>
      <c r="K5" s="2771"/>
      <c r="L5" s="2771"/>
      <c r="M5" s="2771"/>
      <c r="N5" s="2771"/>
      <c r="O5" s="2771"/>
      <c r="P5" s="2771"/>
      <c r="Q5" s="2771"/>
      <c r="R5" s="2771"/>
      <c r="S5" s="2771"/>
      <c r="T5" s="2771"/>
      <c r="U5" s="2771"/>
      <c r="V5" s="2771"/>
      <c r="W5" s="2771"/>
      <c r="X5" s="2771"/>
      <c r="Y5" s="2771"/>
      <c r="Z5" s="2771"/>
      <c r="AA5" s="2771"/>
      <c r="AE5" s="2771"/>
      <c r="AF5" s="2771"/>
      <c r="AG5" s="2771"/>
    </row>
    <row r="6" spans="1:33">
      <c r="A6" s="2771"/>
      <c r="B6" s="2771"/>
      <c r="C6" s="2771"/>
      <c r="D6" s="2771"/>
      <c r="E6" s="2771"/>
      <c r="F6" s="2771"/>
      <c r="G6" s="2771"/>
      <c r="H6" s="2771"/>
      <c r="I6" s="2771"/>
      <c r="J6" s="2771"/>
      <c r="K6" s="2771"/>
      <c r="L6" s="2771"/>
      <c r="M6" s="2771"/>
      <c r="N6" s="2771"/>
      <c r="O6" s="2771"/>
      <c r="P6" s="2771"/>
      <c r="Q6" s="2771"/>
      <c r="R6" s="2771"/>
      <c r="S6" s="2771"/>
      <c r="T6" s="2771"/>
      <c r="U6" s="2771"/>
      <c r="V6" s="2771"/>
      <c r="W6" s="2771"/>
      <c r="X6" s="2771"/>
      <c r="Y6" s="2771"/>
      <c r="Z6" s="2771"/>
      <c r="AA6" s="2771"/>
      <c r="AE6" s="2771"/>
      <c r="AF6" s="2771"/>
      <c r="AG6" s="2771"/>
    </row>
    <row r="7" spans="1:33" ht="21.75" customHeight="1">
      <c r="A7" s="2771"/>
      <c r="B7" s="4548" t="s">
        <v>59</v>
      </c>
      <c r="C7" s="4548"/>
      <c r="D7" s="4548"/>
      <c r="E7" s="4548"/>
      <c r="F7" s="4548"/>
      <c r="G7" s="4548"/>
      <c r="H7" s="2771"/>
      <c r="I7" s="2771"/>
      <c r="J7" s="2771"/>
      <c r="K7" s="2771"/>
      <c r="L7" s="2771"/>
      <c r="M7" s="2771"/>
      <c r="N7" s="2771"/>
      <c r="O7" s="2771"/>
      <c r="P7" s="2771"/>
      <c r="Q7" s="2771"/>
      <c r="R7" s="2771"/>
      <c r="S7" s="2771"/>
      <c r="T7" s="2771"/>
      <c r="U7" s="2771"/>
      <c r="V7" s="2771"/>
      <c r="W7" s="2771"/>
      <c r="X7" s="2771"/>
      <c r="Y7" s="2771"/>
      <c r="Z7" s="2771"/>
      <c r="AA7" s="2771"/>
    </row>
    <row r="8" spans="1:33" ht="21.75" customHeight="1">
      <c r="A8" s="2771"/>
      <c r="B8" s="4549" t="s">
        <v>226</v>
      </c>
      <c r="C8" s="4549"/>
      <c r="D8" s="4549"/>
      <c r="E8" s="4549"/>
      <c r="F8" s="4549"/>
      <c r="G8" s="4549"/>
      <c r="H8" s="2771"/>
      <c r="I8" s="2771"/>
      <c r="J8" s="2771"/>
      <c r="K8" s="2771"/>
      <c r="L8" s="2771"/>
      <c r="M8" s="2771"/>
      <c r="N8" s="2771"/>
      <c r="O8" s="2771"/>
      <c r="P8" s="2771"/>
      <c r="Q8" s="2771"/>
      <c r="R8" s="2771"/>
      <c r="S8" s="2771"/>
      <c r="T8" s="2771"/>
      <c r="U8" s="2771"/>
      <c r="V8" s="2771"/>
      <c r="W8" s="2771"/>
      <c r="X8" s="2771"/>
      <c r="Y8" s="2771"/>
      <c r="Z8" s="2771"/>
      <c r="AA8" s="2771"/>
    </row>
    <row r="9" spans="1:33" ht="21.75" customHeight="1">
      <c r="A9" s="2771"/>
      <c r="B9" s="4549" t="s">
        <v>470</v>
      </c>
      <c r="C9" s="4549"/>
      <c r="D9" s="4549"/>
      <c r="E9" s="4549"/>
      <c r="F9" s="4549"/>
      <c r="G9" s="4549"/>
      <c r="H9" s="2771"/>
      <c r="I9" s="2771"/>
      <c r="J9" s="2771"/>
      <c r="K9" s="2771"/>
      <c r="L9" s="2771"/>
      <c r="M9" s="2771"/>
      <c r="N9" s="2771"/>
      <c r="O9" s="2771"/>
      <c r="P9" s="2771"/>
      <c r="Q9" s="2771"/>
      <c r="R9" s="2771"/>
      <c r="S9" s="2771"/>
      <c r="T9" s="2771"/>
      <c r="U9" s="2771"/>
      <c r="V9" s="2771"/>
      <c r="W9" s="2771"/>
      <c r="X9" s="2771"/>
      <c r="Y9" s="2771"/>
      <c r="Z9" s="2771"/>
      <c r="AA9" s="2771"/>
    </row>
    <row r="10" spans="1:33" ht="21.75" customHeight="1">
      <c r="A10" s="2771"/>
      <c r="B10" s="4550" t="s">
        <v>382</v>
      </c>
      <c r="C10" s="4551"/>
      <c r="D10" s="4551"/>
      <c r="E10" s="4551"/>
      <c r="F10" s="4551"/>
      <c r="G10" s="4551"/>
      <c r="H10" s="2771"/>
      <c r="I10" s="2771"/>
      <c r="J10" s="2771"/>
      <c r="K10" s="2771"/>
      <c r="L10" s="2771"/>
      <c r="M10" s="2771"/>
      <c r="N10" s="2771"/>
      <c r="O10" s="2771"/>
      <c r="P10" s="2771"/>
      <c r="Q10" s="2771"/>
      <c r="R10" s="2771"/>
      <c r="S10" s="2771"/>
      <c r="T10" s="2771"/>
      <c r="U10" s="2771"/>
      <c r="V10" s="2771"/>
      <c r="W10" s="2771"/>
      <c r="X10" s="2771"/>
      <c r="Y10" s="2771"/>
      <c r="Z10" s="2771"/>
      <c r="AA10" s="2771"/>
    </row>
    <row r="11" spans="1:33">
      <c r="A11" s="3013"/>
      <c r="B11" s="3013"/>
      <c r="C11" s="3013"/>
      <c r="D11" s="3013"/>
      <c r="E11" s="3013"/>
      <c r="F11" s="3013"/>
      <c r="G11" s="3013"/>
      <c r="H11" s="3013"/>
      <c r="I11" s="3013"/>
      <c r="J11" s="3013"/>
      <c r="K11" s="3013"/>
      <c r="L11" s="3013"/>
      <c r="M11" s="3013"/>
      <c r="N11" s="3013"/>
      <c r="O11" s="3013"/>
      <c r="P11" s="3013"/>
      <c r="Q11" s="3013"/>
      <c r="R11" s="3013"/>
      <c r="S11" s="3013"/>
      <c r="T11" s="3013"/>
      <c r="U11" s="3013"/>
      <c r="V11" s="3013"/>
      <c r="W11" s="3013"/>
      <c r="X11" s="3013"/>
      <c r="Y11" s="3013"/>
      <c r="Z11" s="3013"/>
      <c r="AA11" s="3013"/>
      <c r="AE11" s="3013"/>
      <c r="AF11" s="3013"/>
      <c r="AG11" s="3013"/>
    </row>
    <row r="12" spans="1:33" ht="13.5" thickBot="1">
      <c r="A12" s="3013"/>
      <c r="B12" s="3013"/>
      <c r="C12" s="3013"/>
      <c r="D12" s="3013"/>
      <c r="E12" s="3013"/>
      <c r="F12" s="3013"/>
      <c r="G12" s="3013"/>
      <c r="H12" s="3013"/>
      <c r="I12" s="3013"/>
      <c r="J12" s="3013"/>
      <c r="K12" s="3013"/>
      <c r="L12" s="3013"/>
      <c r="M12" s="3013"/>
      <c r="N12" s="3013"/>
      <c r="O12" s="3013"/>
      <c r="P12" s="3013"/>
      <c r="Q12" s="3013"/>
      <c r="R12" s="3013"/>
      <c r="S12" s="3013"/>
      <c r="T12" s="3013"/>
      <c r="U12" s="3013"/>
      <c r="V12" s="3013"/>
      <c r="W12" s="3013"/>
      <c r="X12" s="3013"/>
      <c r="Y12" s="3013"/>
      <c r="Z12" s="3013"/>
      <c r="AA12" s="3013"/>
      <c r="AE12" s="3013"/>
      <c r="AF12" s="3013"/>
      <c r="AG12" s="3013"/>
    </row>
    <row r="13" spans="1:33">
      <c r="A13" s="3013"/>
      <c r="B13" s="3118" t="s">
        <v>247</v>
      </c>
      <c r="C13" s="3013"/>
      <c r="D13" s="3013"/>
      <c r="E13" s="3013"/>
      <c r="F13" s="3013"/>
      <c r="G13" s="3013"/>
      <c r="H13" s="3013"/>
      <c r="I13" s="3013"/>
      <c r="J13" s="3013"/>
      <c r="K13" s="3013"/>
      <c r="L13" s="3013"/>
      <c r="M13" s="3013"/>
      <c r="N13" s="3013"/>
      <c r="O13" s="3013"/>
      <c r="P13" s="3013"/>
      <c r="Q13" s="3013"/>
      <c r="R13" s="3013"/>
      <c r="S13" s="3013"/>
      <c r="T13" s="3013"/>
      <c r="U13" s="3013"/>
      <c r="V13" s="3013"/>
      <c r="W13" s="3013"/>
      <c r="X13" s="3013"/>
      <c r="Y13" s="3013"/>
      <c r="Z13" s="3013"/>
      <c r="AA13" s="3013"/>
      <c r="AE13" s="3013"/>
      <c r="AF13" s="3013"/>
      <c r="AG13" s="3013"/>
    </row>
    <row r="14" spans="1:33" ht="25.5" customHeight="1" thickBot="1">
      <c r="A14" s="3013"/>
      <c r="B14" s="3119" t="s">
        <v>1619</v>
      </c>
      <c r="C14" s="3013"/>
      <c r="D14" s="3013"/>
      <c r="E14" s="3013"/>
      <c r="F14" s="3013"/>
      <c r="G14" s="3013"/>
      <c r="H14" s="3013"/>
      <c r="I14" s="3013"/>
      <c r="J14" s="3013"/>
      <c r="K14" s="3013"/>
      <c r="L14" s="3013"/>
      <c r="M14" s="3013"/>
      <c r="N14" s="3013"/>
      <c r="O14" s="3013"/>
      <c r="P14" s="3013"/>
      <c r="Q14" s="3013"/>
      <c r="R14" s="3013"/>
      <c r="S14" s="3013"/>
      <c r="T14" s="3013"/>
      <c r="U14" s="3013"/>
      <c r="V14" s="3013"/>
      <c r="W14" s="3013"/>
      <c r="X14" s="3013"/>
      <c r="Y14" s="3013"/>
      <c r="Z14" s="3013"/>
      <c r="AA14" s="3013"/>
      <c r="AE14" s="3013"/>
      <c r="AF14" s="3013"/>
      <c r="AG14" s="3013"/>
    </row>
    <row r="15" spans="1:33" ht="13.5" thickBot="1">
      <c r="A15" s="3013"/>
      <c r="B15" s="3013"/>
      <c r="C15" s="3013"/>
      <c r="D15" s="3013"/>
      <c r="E15" s="3013"/>
      <c r="F15" s="3013"/>
      <c r="G15" s="3013"/>
      <c r="H15" s="3013"/>
      <c r="I15" s="3013"/>
      <c r="J15" s="3013"/>
      <c r="K15" s="3013"/>
      <c r="L15" s="3013"/>
      <c r="M15" s="3013"/>
      <c r="N15" s="3013"/>
      <c r="O15" s="3013"/>
      <c r="P15" s="3013"/>
      <c r="Q15" s="3013"/>
      <c r="R15" s="3013"/>
      <c r="S15" s="3013"/>
      <c r="T15" s="3013"/>
      <c r="U15" s="3013"/>
      <c r="V15" s="3013"/>
      <c r="W15" s="3013"/>
      <c r="X15" s="3013"/>
      <c r="Y15" s="3013"/>
      <c r="Z15" s="3013"/>
      <c r="AA15" s="3013"/>
      <c r="AE15" s="3013"/>
      <c r="AF15" s="3013"/>
      <c r="AG15" s="3013"/>
    </row>
    <row r="16" spans="1:33">
      <c r="A16" s="3013"/>
      <c r="B16" s="3118" t="s">
        <v>248</v>
      </c>
      <c r="C16" s="3013"/>
      <c r="D16" s="3013"/>
      <c r="E16" s="3013"/>
      <c r="F16" s="3660"/>
      <c r="G16" s="3660"/>
      <c r="H16" s="3660"/>
      <c r="I16" s="3660"/>
      <c r="J16" s="3660"/>
      <c r="K16" s="3660"/>
      <c r="L16" s="3660"/>
      <c r="M16" s="3013"/>
      <c r="N16" s="3013"/>
      <c r="O16" s="3013"/>
      <c r="P16" s="3013"/>
      <c r="Q16" s="3013"/>
      <c r="R16" s="3013"/>
      <c r="S16" s="3013"/>
      <c r="T16" s="3013"/>
      <c r="U16" s="3013"/>
      <c r="V16" s="3013"/>
      <c r="W16" s="3013"/>
      <c r="X16" s="3013"/>
      <c r="Y16" s="3013"/>
      <c r="Z16" s="3013"/>
      <c r="AA16" s="3013"/>
      <c r="AE16" s="3013"/>
      <c r="AF16" s="3013"/>
      <c r="AG16" s="3013"/>
    </row>
    <row r="17" spans="1:134" ht="25.5" customHeight="1" thickBot="1">
      <c r="A17" s="3013"/>
      <c r="B17" s="3119" t="s">
        <v>1667</v>
      </c>
      <c r="C17" s="3013"/>
      <c r="D17" s="3013"/>
      <c r="E17" s="3013"/>
      <c r="F17" s="3013"/>
      <c r="G17" s="3660"/>
      <c r="H17" s="3751"/>
      <c r="I17" s="3751"/>
      <c r="J17" s="3751"/>
      <c r="K17" s="3751"/>
      <c r="L17" s="3751"/>
      <c r="M17" s="3751"/>
      <c r="N17" s="3751"/>
      <c r="O17" s="3751"/>
      <c r="P17" s="3751"/>
      <c r="Q17" s="3751"/>
      <c r="R17" s="3751"/>
      <c r="S17" s="3751"/>
      <c r="T17" s="3751"/>
      <c r="U17" s="3751"/>
      <c r="V17" s="3751"/>
      <c r="W17" s="3751"/>
      <c r="X17" s="3751"/>
      <c r="Y17" s="3751"/>
      <c r="Z17" s="3751"/>
      <c r="AA17" s="3751"/>
      <c r="AE17" s="3013"/>
      <c r="AF17" s="3013"/>
      <c r="AG17" s="3013"/>
    </row>
    <row r="18" spans="1:134" ht="50.25" customHeight="1" thickBot="1">
      <c r="A18" s="3013"/>
      <c r="B18" s="3013"/>
      <c r="C18" s="3013"/>
      <c r="D18" s="3013"/>
      <c r="E18" s="3013"/>
      <c r="F18" s="3013"/>
      <c r="G18" s="3660"/>
      <c r="H18" s="3750"/>
      <c r="I18" s="3750"/>
      <c r="J18" s="3750"/>
      <c r="K18" s="3750"/>
      <c r="L18" s="3750"/>
      <c r="M18" s="3750"/>
      <c r="N18" s="3750"/>
      <c r="O18" s="3750"/>
      <c r="P18" s="3750"/>
      <c r="Q18" s="3750"/>
      <c r="R18" s="3750"/>
      <c r="S18" s="3750"/>
      <c r="T18" s="3750"/>
      <c r="U18" s="3750"/>
      <c r="V18" s="3750"/>
      <c r="W18" s="3750"/>
      <c r="X18" s="3750"/>
      <c r="Y18" s="3750"/>
      <c r="Z18" s="3750"/>
      <c r="AA18" s="3750"/>
      <c r="AE18" s="3013"/>
      <c r="AF18" s="3013"/>
      <c r="AG18" s="3013"/>
    </row>
    <row r="19" spans="1:134" ht="34.5" customHeight="1" thickBot="1">
      <c r="A19" s="2771"/>
      <c r="B19" s="2780" t="s">
        <v>477</v>
      </c>
      <c r="C19" s="2781"/>
      <c r="D19" s="2781"/>
      <c r="E19" s="2781"/>
      <c r="F19" s="2781"/>
      <c r="G19" s="2781"/>
      <c r="H19" s="2781"/>
      <c r="I19" s="2781"/>
      <c r="J19" s="2782"/>
      <c r="K19" s="2782"/>
      <c r="L19" s="2782"/>
      <c r="M19" s="2782"/>
      <c r="N19" s="2782"/>
      <c r="O19" s="2782"/>
      <c r="P19" s="2782"/>
      <c r="Q19" s="2782"/>
      <c r="R19" s="2782"/>
      <c r="S19" s="2782"/>
      <c r="T19" s="2782"/>
      <c r="U19" s="2782"/>
      <c r="V19" s="2782"/>
      <c r="W19" s="2782"/>
      <c r="X19" s="2782"/>
      <c r="Y19" s="2782"/>
      <c r="Z19" s="2782"/>
      <c r="AA19" s="2782"/>
      <c r="AE19" s="2884" t="s">
        <v>642</v>
      </c>
      <c r="AF19" s="2781"/>
      <c r="AG19" s="2782"/>
    </row>
    <row r="20" spans="1:134" s="3019" customFormat="1" ht="24" customHeight="1" thickBot="1">
      <c r="A20" s="3013"/>
      <c r="B20" s="2783" t="s">
        <v>471</v>
      </c>
      <c r="C20" s="2784"/>
      <c r="D20" s="2784"/>
      <c r="E20" s="2784"/>
      <c r="F20" s="2784"/>
      <c r="G20" s="2784"/>
      <c r="H20" s="2784"/>
      <c r="I20" s="2784"/>
      <c r="J20" s="2784"/>
      <c r="K20" s="2784"/>
      <c r="L20" s="2784"/>
      <c r="M20" s="2784"/>
      <c r="N20" s="2784"/>
      <c r="O20" s="2784"/>
      <c r="P20" s="2784"/>
      <c r="Q20" s="2784"/>
      <c r="R20" s="2784"/>
      <c r="S20" s="2784"/>
      <c r="T20" s="2784"/>
      <c r="U20" s="2784"/>
      <c r="V20" s="2784"/>
      <c r="W20" s="2784"/>
      <c r="X20" s="2784"/>
      <c r="Y20" s="2784"/>
      <c r="Z20" s="2784"/>
      <c r="AA20" s="2785"/>
      <c r="AB20" s="2524"/>
      <c r="AC20" s="2524"/>
      <c r="AD20" s="2524"/>
      <c r="AE20" s="2783"/>
      <c r="AF20" s="2784"/>
      <c r="AG20" s="2785"/>
      <c r="AH20" s="2524"/>
      <c r="AI20" s="2524"/>
      <c r="AJ20" s="2524"/>
      <c r="AK20" s="2524"/>
      <c r="DE20" s="2524"/>
      <c r="DF20" s="2524"/>
      <c r="DG20" s="2524"/>
      <c r="DH20" s="2524"/>
      <c r="DI20" s="2524"/>
      <c r="DJ20" s="2524"/>
      <c r="DK20" s="2524"/>
      <c r="DL20" s="2524"/>
      <c r="DM20" s="2524"/>
      <c r="DN20" s="2524"/>
      <c r="DO20" s="2524"/>
      <c r="DP20" s="2524"/>
      <c r="DQ20" s="2524"/>
      <c r="DR20" s="2524"/>
      <c r="DS20" s="2524"/>
      <c r="DT20" s="2524"/>
      <c r="DU20" s="2524"/>
      <c r="DV20" s="2524"/>
      <c r="DW20" s="2524"/>
      <c r="DX20" s="2524"/>
      <c r="DY20" s="2524"/>
      <c r="DZ20" s="2524"/>
      <c r="EA20" s="2524"/>
      <c r="EB20" s="2524"/>
      <c r="EC20" s="2524"/>
      <c r="ED20" s="2524"/>
    </row>
    <row r="21" spans="1:134" ht="20.25" customHeight="1">
      <c r="A21" s="2771"/>
      <c r="B21" s="4552"/>
      <c r="C21" s="4554" t="s">
        <v>37</v>
      </c>
      <c r="D21" s="4555"/>
      <c r="E21" s="4555"/>
      <c r="F21" s="4555"/>
      <c r="G21" s="4555"/>
      <c r="H21" s="4562" t="s">
        <v>73</v>
      </c>
      <c r="I21" s="4562"/>
      <c r="J21" s="4562"/>
      <c r="K21" s="4562"/>
      <c r="L21" s="4562"/>
      <c r="M21" s="4563" t="s">
        <v>249</v>
      </c>
      <c r="N21" s="4563"/>
      <c r="O21" s="4563"/>
      <c r="P21" s="4563"/>
      <c r="Q21" s="4563"/>
      <c r="R21" s="4563"/>
      <c r="S21" s="4563"/>
      <c r="T21" s="4563"/>
      <c r="U21" s="4563"/>
      <c r="V21" s="4563"/>
      <c r="W21" s="4563"/>
      <c r="X21" s="4563"/>
      <c r="Y21" s="4563"/>
      <c r="Z21" s="4563"/>
      <c r="AA21" s="4564"/>
      <c r="AE21" s="4565" t="s">
        <v>37</v>
      </c>
      <c r="AF21" s="4566"/>
      <c r="AG21" s="4567"/>
    </row>
    <row r="22" spans="1:134" ht="20.25" customHeight="1">
      <c r="B22" s="4553"/>
      <c r="C22" s="4556" t="s">
        <v>543</v>
      </c>
      <c r="D22" s="4557"/>
      <c r="E22" s="4558"/>
      <c r="F22" s="4559" t="str">
        <f>CONCATENATE("$0's, real ",dms_DollarReal)</f>
        <v>$0's, real December 2017</v>
      </c>
      <c r="G22" s="4560"/>
      <c r="H22" s="4560"/>
      <c r="I22" s="4560"/>
      <c r="J22" s="4560"/>
      <c r="K22" s="4560"/>
      <c r="L22" s="4560"/>
      <c r="M22" s="4560"/>
      <c r="N22" s="4560"/>
      <c r="O22" s="4560"/>
      <c r="P22" s="4560"/>
      <c r="Q22" s="4560"/>
      <c r="R22" s="4560"/>
      <c r="S22" s="4560"/>
      <c r="T22" s="4560"/>
      <c r="U22" s="4560"/>
      <c r="V22" s="4560"/>
      <c r="W22" s="4560"/>
      <c r="X22" s="4560"/>
      <c r="Y22" s="4560"/>
      <c r="Z22" s="4560"/>
      <c r="AA22" s="4561"/>
      <c r="AE22" s="4556" t="str">
        <f>CONCATENATE("$0's, real ",dms_DollarReal)</f>
        <v>$0's, real December 2017</v>
      </c>
      <c r="AF22" s="4557"/>
      <c r="AG22" s="4568"/>
    </row>
    <row r="23" spans="1:134" ht="20.25" customHeight="1">
      <c r="B23" s="4553"/>
      <c r="C23" s="4556" t="s">
        <v>54</v>
      </c>
      <c r="D23" s="4557"/>
      <c r="E23" s="4558"/>
      <c r="F23" s="4559" t="s">
        <v>377</v>
      </c>
      <c r="G23" s="4560"/>
      <c r="H23" s="4560"/>
      <c r="I23" s="4560"/>
      <c r="J23" s="4560"/>
      <c r="K23" s="4560"/>
      <c r="L23" s="4560"/>
      <c r="M23" s="4560"/>
      <c r="N23" s="4560"/>
      <c r="O23" s="4560"/>
      <c r="P23" s="4560"/>
      <c r="Q23" s="4560"/>
      <c r="R23" s="4560"/>
      <c r="S23" s="4560"/>
      <c r="T23" s="4560"/>
      <c r="U23" s="4560"/>
      <c r="V23" s="4560"/>
      <c r="W23" s="4560"/>
      <c r="X23" s="4560"/>
      <c r="Y23" s="4560"/>
      <c r="Z23" s="4560"/>
      <c r="AA23" s="4561"/>
      <c r="AE23" s="4556" t="s">
        <v>54</v>
      </c>
      <c r="AF23" s="4557"/>
      <c r="AG23" s="4568"/>
    </row>
    <row r="24" spans="1:134" ht="20.25" customHeight="1" thickBot="1">
      <c r="B24" s="4553"/>
      <c r="C24" s="2788">
        <f>CRCP_y1</f>
        <v>2013</v>
      </c>
      <c r="D24" s="2788">
        <f>CRCP_y2</f>
        <v>2014</v>
      </c>
      <c r="E24" s="2788">
        <f>CRCP_y3</f>
        <v>2015</v>
      </c>
      <c r="F24" s="2788">
        <f>CRCP_y4</f>
        <v>2016</v>
      </c>
      <c r="G24" s="2788">
        <f>CRCP_y5</f>
        <v>2017</v>
      </c>
      <c r="H24" s="3120" t="str">
        <f>CONCATENATE(IF(dms_RPT="Calendar",G24+1,(LEFT(G24,4)+1&amp;"-"&amp;IF(MID(G24,6,2)&lt;"09","0"&amp;RIGHT(G24,1)+1,RIGHT(G24,2)+1))))</f>
        <v>2018</v>
      </c>
      <c r="I24" s="3120" t="str">
        <f t="shared" ref="I24:AA24" si="0">CONCATENATE(IF(dms_RPT="Calendar",H24+1,(LEFT(H24,4)+1&amp;"-"&amp;IF(MID(H24,6,2)&lt;"09","0"&amp;RIGHT(H24,1)+1,RIGHT(H24,2)+1))))</f>
        <v>2019</v>
      </c>
      <c r="J24" s="3120" t="str">
        <f t="shared" si="0"/>
        <v>2020</v>
      </c>
      <c r="K24" s="3120" t="str">
        <f t="shared" si="0"/>
        <v>2021</v>
      </c>
      <c r="L24" s="3120" t="str">
        <f t="shared" si="0"/>
        <v>2022</v>
      </c>
      <c r="M24" s="2788" t="str">
        <f t="shared" si="0"/>
        <v>2023</v>
      </c>
      <c r="N24" s="2788" t="str">
        <f t="shared" si="0"/>
        <v>2024</v>
      </c>
      <c r="O24" s="2788" t="str">
        <f t="shared" si="0"/>
        <v>2025</v>
      </c>
      <c r="P24" s="2788" t="str">
        <f t="shared" si="0"/>
        <v>2026</v>
      </c>
      <c r="Q24" s="2788" t="str">
        <f t="shared" si="0"/>
        <v>2027</v>
      </c>
      <c r="R24" s="2788" t="str">
        <f t="shared" si="0"/>
        <v>2028</v>
      </c>
      <c r="S24" s="2788" t="str">
        <f t="shared" si="0"/>
        <v>2029</v>
      </c>
      <c r="T24" s="2788" t="str">
        <f t="shared" si="0"/>
        <v>2030</v>
      </c>
      <c r="U24" s="2788" t="str">
        <f t="shared" si="0"/>
        <v>2031</v>
      </c>
      <c r="V24" s="2788" t="str">
        <f t="shared" si="0"/>
        <v>2032</v>
      </c>
      <c r="W24" s="2788" t="str">
        <f t="shared" si="0"/>
        <v>2033</v>
      </c>
      <c r="X24" s="2788" t="str">
        <f t="shared" si="0"/>
        <v>2034</v>
      </c>
      <c r="Y24" s="2788" t="str">
        <f t="shared" si="0"/>
        <v>2035</v>
      </c>
      <c r="Z24" s="2788" t="str">
        <f t="shared" si="0"/>
        <v>2036</v>
      </c>
      <c r="AA24" s="2788" t="str">
        <f t="shared" si="0"/>
        <v>2037</v>
      </c>
      <c r="AB24" s="2585"/>
      <c r="AE24" s="3121">
        <f>CRCP_y1</f>
        <v>2013</v>
      </c>
      <c r="AF24" s="2788">
        <f>CRCP_y2</f>
        <v>2014</v>
      </c>
      <c r="AG24" s="2789">
        <f>CRCP_y3</f>
        <v>2015</v>
      </c>
    </row>
    <row r="25" spans="1:134">
      <c r="A25" s="2771"/>
      <c r="B25" s="3122" t="s">
        <v>1661</v>
      </c>
      <c r="C25" s="3123">
        <v>0</v>
      </c>
      <c r="D25" s="3124">
        <f>SUMPRODUCT('29.3.1 Gas extensions - demand'!F23:F30,'29.4 Gas extensions - tariffs'!F27:F34*IF(D24&gt;="2017",'1. CPI'!S50,1))+('29.4 Gas extensions - tariffs'!F26*(DATEVALUE("31/12/"&amp;D24)-DATEVALUE("31/12/"&amp;C24)))*IF(D24&gt;="2017",'1. CPI'!S50,1)*'29.3.1 Gas extensions - demand'!F22</f>
        <v>0</v>
      </c>
      <c r="E25" s="3124">
        <f>SUMPRODUCT('29.3.1 Gas extensions - demand'!G23:G30,'29.4 Gas extensions - tariffs'!G27:G34*IF(E24&gt;="2017",'1. CPI'!T50,1))+('29.4 Gas extensions - tariffs'!G26*(DATEVALUE("31/12/"&amp;E24)-DATEVALUE("31/12/"&amp;D24)))*IF(E24&gt;="2017",'1. CPI'!T50,1)*'29.3.1 Gas extensions - demand'!G22</f>
        <v>0</v>
      </c>
      <c r="F25" s="3124">
        <f>SUMPRODUCT('29.3.1 Gas extensions - demand'!H23:H30,'29.4 Gas extensions - tariffs'!H27:H34*IF(F24&gt;="2017",'1. CPI'!U50,1))+('29.4 Gas extensions - tariffs'!H26*(DATEVALUE("31/12/"&amp;F24)-DATEVALUE("31/12/"&amp;E24)))*IF(F24&gt;="2017",'1. CPI'!U50,1)*'29.3.1 Gas extensions - demand'!H22</f>
        <v>0</v>
      </c>
      <c r="G25" s="3125">
        <f>SUMPRODUCT('29.3.1 Gas extensions - demand'!I23:I30,'29.4 Gas extensions - tariffs'!I27:I34*IF(G24&gt;="2017",'1. CPI'!V50,1))+('29.4 Gas extensions - tariffs'!I26*(DATEVALUE("31/12/"&amp;G24)-DATEVALUE("31/12/"&amp;F24)))*IF(G24&gt;="2017",'1. CPI'!V50,1)*'29.3.1 Gas extensions - demand'!I22</f>
        <v>35801.537086804834</v>
      </c>
      <c r="H25" s="3126">
        <f>SUMPRODUCT('29.3.1 Gas extensions - demand'!J23:J30,'29.4 Gas extensions - tariffs'!J27:J34*IF(H24&gt;="2017",'1. CPI'!W50,1))+('29.4 Gas extensions - tariffs'!J26*(DATEVALUE("31/12/"&amp;H24)-DATEVALUE("31/12/"&amp;G24)))*IF(H24&gt;="2017",'1. CPI'!W50,1)*'29.3.1 Gas extensions - demand'!J22</f>
        <v>91865.593896342805</v>
      </c>
      <c r="I25" s="3125">
        <f>SUMPRODUCT('29.3.1 Gas extensions - demand'!K23:K30,'29.4 Gas extensions - tariffs'!K27:K34*IF(I24&gt;="2017",'1. CPI'!X50,1))+('29.4 Gas extensions - tariffs'!K26*(DATEVALUE("31/12/"&amp;I24)-DATEVALUE("31/12/"&amp;H24)))*IF(I24&gt;="2017",'1. CPI'!X50,1)*'29.3.1 Gas extensions - demand'!K22</f>
        <v>136716.79689856071</v>
      </c>
      <c r="J25" s="3125">
        <f>SUMPRODUCT('29.3.1 Gas extensions - demand'!L23:L30,'29.4 Gas extensions - tariffs'!L27:L34*IF(J24&gt;="2017",'1. CPI'!Y50,1))+('29.4 Gas extensions - tariffs'!L26*(DATEVALUE("31/12/"&amp;J24)-DATEVALUE("31/12/"&amp;I24)))*IF(J24&gt;="2017",'1. CPI'!Y50,1)*'29.3.1 Gas extensions - demand'!L22</f>
        <v>171309.82196496642</v>
      </c>
      <c r="K25" s="3125">
        <f>SUMPRODUCT('29.3.1 Gas extensions - demand'!M23:M30,'29.4 Gas extensions - tariffs'!M27:M34*IF(K24&gt;="2017",'1. CPI'!Z50,1))+('29.4 Gas extensions - tariffs'!M26*(DATEVALUE("31/12/"&amp;K24)-DATEVALUE("31/12/"&amp;J24)))*IF(K24&gt;="2017",'1. CPI'!Z50,1)*'29.3.1 Gas extensions - demand'!M22</f>
        <v>198159.56535468885</v>
      </c>
      <c r="L25" s="3127">
        <f>SUMPRODUCT('29.3.1 Gas extensions - demand'!N23:N30,'29.4 Gas extensions - tariffs'!N27:N34*IF(L24&gt;="2017",'1. CPI'!AA50,1))+('29.4 Gas extensions - tariffs'!N26*(DATEVALUE("31/12/"&amp;L24)-DATEVALUE("31/12/"&amp;K24)))*IF(L24&gt;="2017",'1. CPI'!AA50,1)*'29.3.1 Gas extensions - demand'!N22</f>
        <v>217325.26928312893</v>
      </c>
      <c r="M25" s="3126">
        <f>SUMPRODUCT('29.3.1 Gas extensions - demand'!O23:O30,'29.4 Gas extensions - tariffs'!O27:O34*IF(M24&gt;="2017",'1. CPI'!AB50,1))+('29.4 Gas extensions - tariffs'!O26*(DATEVALUE("31/12/"&amp;M24)-DATEVALUE("31/12/"&amp;L24)))*IF(M24&gt;="2017",'1. CPI'!AB50,1)*'29.3.1 Gas extensions - demand'!O22</f>
        <v>231634.21874449201</v>
      </c>
      <c r="N25" s="3125">
        <f>SUMPRODUCT('29.3.1 Gas extensions - demand'!P23:P30,'29.4 Gas extensions - tariffs'!P27:P34*IF(N24&gt;="2017",'1. CPI'!AC50,1))+('29.4 Gas extensions - tariffs'!P26*(DATEVALUE("31/12/"&amp;N24)-DATEVALUE("31/12/"&amp;M24)))*IF(N24&gt;="2017",'1. CPI'!AC50,1)*'29.3.1 Gas extensions - demand'!P22</f>
        <v>242614.85387925251</v>
      </c>
      <c r="O25" s="3125">
        <f>SUMPRODUCT('29.3.1 Gas extensions - demand'!Q23:Q30,'29.4 Gas extensions - tariffs'!Q27:Q34*IF(O24&gt;="2017",'1. CPI'!AD50,1))+('29.4 Gas extensions - tariffs'!Q26*(DATEVALUE("31/12/"&amp;O24)-DATEVALUE("31/12/"&amp;N24)))*IF(O24&gt;="2017",'1. CPI'!AD50,1)*'29.3.1 Gas extensions - demand'!Q22</f>
        <v>250539.22351434146</v>
      </c>
      <c r="P25" s="3125">
        <f>SUMPRODUCT('29.3.1 Gas extensions - demand'!R23:R30,'29.4 Gas extensions - tariffs'!R27:R34*IF(P24&gt;="2017",'1. CPI'!AE50,1))+('29.4 Gas extensions - tariffs'!R26*(DATEVALUE("31/12/"&amp;P24)-DATEVALUE("31/12/"&amp;O24)))*IF(P24&gt;="2017",'1. CPI'!AE50,1)*'29.3.1 Gas extensions - demand'!R22</f>
        <v>256615.83219036448</v>
      </c>
      <c r="Q25" s="3125">
        <f>SUMPRODUCT('29.3.1 Gas extensions - demand'!S23:S30,'29.4 Gas extensions - tariffs'!S27:S34*IF(Q24&gt;="2017",'1. CPI'!AF50,1))+('29.4 Gas extensions - tariffs'!S26*(DATEVALUE("31/12/"&amp;Q24)-DATEVALUE("31/12/"&amp;P24)))*IF(Q24&gt;="2017",'1. CPI'!AF50,1)*'29.3.1 Gas extensions - demand'!S22</f>
        <v>261173.28869738168</v>
      </c>
      <c r="R25" s="3125">
        <f>SUMPRODUCT('29.3.1 Gas extensions - demand'!T23:T30,'29.4 Gas extensions - tariffs'!T27:T34*IF(R24&gt;="2017",'1. CPI'!AG50,1))+('29.4 Gas extensions - tariffs'!T26*(DATEVALUE("31/12/"&amp;R24)-DATEVALUE("31/12/"&amp;Q24)))*IF(R24&gt;="2017",'1. CPI'!AG50,1)*'29.3.1 Gas extensions - demand'!T22</f>
        <v>264785.40174269426</v>
      </c>
      <c r="S25" s="3125">
        <f>SUMPRODUCT('29.3.1 Gas extensions - demand'!U23:U30,'29.4 Gas extensions - tariffs'!U27:U34*IF(S24&gt;="2017",'1. CPI'!AH50,1))+('29.4 Gas extensions - tariffs'!U26*(DATEVALUE("31/12/"&amp;S24)-DATEVALUE("31/12/"&amp;R24)))*IF(S24&gt;="2017",'1. CPI'!AH50,1)*'29.3.1 Gas extensions - demand'!U22</f>
        <v>267154.95036284183</v>
      </c>
      <c r="T25" s="3125">
        <f>SUMPRODUCT('29.3.1 Gas extensions - demand'!V23:V30,'29.4 Gas extensions - tariffs'!V27:V34*IF(T24&gt;="2017",'1. CPI'!AI50,1))+('29.4 Gas extensions - tariffs'!V26*(DATEVALUE("31/12/"&amp;T24)-DATEVALUE("31/12/"&amp;S24)))*IF(T24&gt;="2017",'1. CPI'!AI50,1)*'29.3.1 Gas extensions - demand'!V22</f>
        <v>269077.62732673984</v>
      </c>
      <c r="U25" s="3125">
        <f>SUMPRODUCT('29.3.1 Gas extensions - demand'!W23:W30,'29.4 Gas extensions - tariffs'!W27:W34*IF(U24&gt;="2017",'1. CPI'!AJ50,1))+('29.4 Gas extensions - tariffs'!W26*(DATEVALUE("31/12/"&amp;U24)-DATEVALUE("31/12/"&amp;T24)))*IF(U24&gt;="2017",'1. CPI'!AJ50,1)*'29.3.1 Gas extensions - demand'!W22</f>
        <v>270519.63504966319</v>
      </c>
      <c r="V25" s="3125">
        <f>SUMPRODUCT('29.3.1 Gas extensions - demand'!X23:X30,'29.4 Gas extensions - tariffs'!X27:X34*IF(V24&gt;="2017",'1. CPI'!AK50,1))+('29.4 Gas extensions - tariffs'!X26*(DATEVALUE("31/12/"&amp;V24)-DATEVALUE("31/12/"&amp;U24)))*IF(V24&gt;="2017",'1. CPI'!AK50,1)*'29.3.1 Gas extensions - demand'!X22</f>
        <v>271800.30165261141</v>
      </c>
      <c r="W25" s="3125">
        <f>SUMPRODUCT('29.3.1 Gas extensions - demand'!Y23:Y30,'29.4 Gas extensions - tariffs'!Y27:Y34*IF(W24&gt;="2017",'1. CPI'!AL50,1))+('29.4 Gas extensions - tariffs'!Y26*(DATEVALUE("31/12/"&amp;W24)-DATEVALUE("31/12/"&amp;V24)))*IF(W24&gt;="2017",'1. CPI'!AL50,1)*'29.3.1 Gas extensions - demand'!Y22</f>
        <v>272412.27018600021</v>
      </c>
      <c r="X25" s="3125">
        <f>SUMPRODUCT('29.3.1 Gas extensions - demand'!Z23:Z30,'29.4 Gas extensions - tariffs'!Z27:Z34*IF(X24&gt;="2017",'1. CPI'!AM50,1))+('29.4 Gas extensions - tariffs'!Z26*(DATEVALUE("31/12/"&amp;X24)-DATEVALUE("31/12/"&amp;W24)))*IF(X24&gt;="2017",'1. CPI'!AM50,1)*'29.3.1 Gas extensions - demand'!Z22</f>
        <v>273020.61719410855</v>
      </c>
      <c r="Y25" s="3125">
        <f>SUMPRODUCT('29.3.1 Gas extensions - demand'!AA23:AA30,'29.4 Gas extensions - tariffs'!AA27:AA34*IF(Y24&gt;="2017",'1. CPI'!AN50,1))+('29.4 Gas extensions - tariffs'!AA26*(DATEVALUE("31/12/"&amp;Y24)-DATEVALUE("31/12/"&amp;X24)))*IF(Y24&gt;="2017",'1. CPI'!AN50,1)*'29.3.1 Gas extensions - demand'!AA22</f>
        <v>273476.87745018973</v>
      </c>
      <c r="Z25" s="3125">
        <f>SUMPRODUCT('29.3.1 Gas extensions - demand'!AB23:AB30,'29.4 Gas extensions - tariffs'!AB27:AB34*IF(Z24&gt;="2017",'1. CPI'!AO50,1))+('29.4 Gas extensions - tariffs'!AB26*(DATEVALUE("31/12/"&amp;Z24)-DATEVALUE("31/12/"&amp;Y24)))*IF(Z24&gt;="2017",'1. CPI'!AO50,1)*'29.3.1 Gas extensions - demand'!AB22</f>
        <v>274019.85982723359</v>
      </c>
      <c r="AA25" s="3127">
        <f>SUMPRODUCT('29.3.1 Gas extensions - demand'!AC23:AC30,'29.4 Gas extensions - tariffs'!AC27:AC34*IF(AA24&gt;="2017",'1. CPI'!AP50,1))+('29.4 Gas extensions - tariffs'!AC26*(DATEVALUE("31/12/"&amp;AA24)-DATEVALUE("31/12/"&amp;Z24)))*IF(AA24&gt;="2017",'1. CPI'!AP50,1)*'29.3.1 Gas extensions - demand'!AC22</f>
        <v>274075.71903629648</v>
      </c>
      <c r="AB25" s="2585"/>
      <c r="AE25" s="3128"/>
      <c r="AF25" s="3129"/>
      <c r="AG25" s="3130"/>
    </row>
    <row r="26" spans="1:134">
      <c r="A26" s="2771"/>
      <c r="B26" s="3131"/>
      <c r="C26" s="3065"/>
      <c r="D26" s="3064"/>
      <c r="E26" s="3064"/>
      <c r="F26" s="3064"/>
      <c r="G26" s="3064"/>
      <c r="H26" s="3063"/>
      <c r="I26" s="3064"/>
      <c r="J26" s="3064"/>
      <c r="K26" s="3064"/>
      <c r="L26" s="3030"/>
      <c r="M26" s="3063"/>
      <c r="N26" s="3064"/>
      <c r="O26" s="3064"/>
      <c r="P26" s="3064"/>
      <c r="Q26" s="3064"/>
      <c r="R26" s="3064"/>
      <c r="S26" s="3064"/>
      <c r="T26" s="3064"/>
      <c r="U26" s="3064"/>
      <c r="V26" s="3064"/>
      <c r="W26" s="3064"/>
      <c r="X26" s="3064"/>
      <c r="Y26" s="3064"/>
      <c r="Z26" s="3064"/>
      <c r="AA26" s="3030"/>
      <c r="AE26" s="3132"/>
      <c r="AF26" s="3133"/>
      <c r="AG26" s="3134"/>
    </row>
    <row r="27" spans="1:134">
      <c r="A27" s="2771"/>
      <c r="B27" s="3131" t="s">
        <v>1662</v>
      </c>
      <c r="C27" s="3065">
        <v>0</v>
      </c>
      <c r="D27" s="3064">
        <f>SUMPRODUCT('29.3.1 Gas extensions - demand'!F36:F43,'29.4 Gas extensions - tariffs'!F61:F68*IF(D24&gt;="2017",'1. CPI'!S50,1))+('29.4 Gas extensions - tariffs'!F60*(DATEVALUE("31/12/"&amp;D24)-DATEVALUE("31/12/"&amp;C24)))*IF(D24&gt;="2017",'1. CPI'!S50,1)*'29.3.1 Gas extensions - demand'!F35</f>
        <v>0</v>
      </c>
      <c r="E27" s="3064">
        <f>SUMPRODUCT('29.3.1 Gas extensions - demand'!G36:G43,'29.4 Gas extensions - tariffs'!G61:G68*IF(E24&gt;="2017",'1. CPI'!T50,1))+('29.4 Gas extensions - tariffs'!G60*(DATEVALUE("31/12/"&amp;E24)-DATEVALUE("31/12/"&amp;D24)))*IF(E24&gt;="2017",'1. CPI'!T50,1)*'29.3.1 Gas extensions - demand'!G35</f>
        <v>0</v>
      </c>
      <c r="F27" s="3064">
        <f>SUMPRODUCT('29.3.1 Gas extensions - demand'!H36:H43,'29.4 Gas extensions - tariffs'!H61:H68*IF(F24&gt;="2017",'1. CPI'!U50,1))+('29.4 Gas extensions - tariffs'!H60*(DATEVALUE("31/12/"&amp;F24)-DATEVALUE("31/12/"&amp;E24)))*IF(F24&gt;="2017",'1. CPI'!U50,1)*'29.3.1 Gas extensions - demand'!H35</f>
        <v>0</v>
      </c>
      <c r="G27" s="3135">
        <f>SUMPRODUCT('29.3.1 Gas extensions - demand'!I36:I43,'29.4 Gas extensions - tariffs'!I61:I68*IF(G24&gt;="2017",'1. CPI'!V50,1))+('29.4 Gas extensions - tariffs'!I60*(DATEVALUE("31/12/"&amp;G24)-DATEVALUE("31/12/"&amp;F24)))*IF(G24&gt;="2017",'1. CPI'!V50,1)*'29.3.1 Gas extensions - demand'!I35</f>
        <v>1982.1340908476177</v>
      </c>
      <c r="H27" s="3136">
        <f>SUMPRODUCT('29.3.1 Gas extensions - demand'!J36:J43,'29.4 Gas extensions - tariffs'!J61:J68*IF(H24&gt;="2017",'1. CPI'!W50,1))+('29.4 Gas extensions - tariffs'!J60*(DATEVALUE("31/12/"&amp;H24)-DATEVALUE("31/12/"&amp;G24)))*IF(H24&gt;="2017",'1. CPI'!W50,1)*'29.3.1 Gas extensions - demand'!J35</f>
        <v>4752.8480066285683</v>
      </c>
      <c r="I27" s="3135">
        <f>SUMPRODUCT('29.3.1 Gas extensions - demand'!K36:K43,'29.4 Gas extensions - tariffs'!K61:K68*IF(I24&gt;="2017",'1. CPI'!X50,1))+('29.4 Gas extensions - tariffs'!K60*(DATEVALUE("31/12/"&amp;I24)-DATEVALUE("31/12/"&amp;H24)))*IF(I24&gt;="2017",'1. CPI'!X50,1)*'29.3.1 Gas extensions - demand'!K35</f>
        <v>6944.7124725119329</v>
      </c>
      <c r="J27" s="3135">
        <f>SUMPRODUCT('29.3.1 Gas extensions - demand'!L36:L43,'29.4 Gas extensions - tariffs'!L61:L68*IF(J24&gt;="2017",'1. CPI'!Y50,1))+('29.4 Gas extensions - tariffs'!L60*(DATEVALUE("31/12/"&amp;J24)-DATEVALUE("31/12/"&amp;I24)))*IF(J24&gt;="2017",'1. CPI'!Y50,1)*'29.3.1 Gas extensions - demand'!L35</f>
        <v>8827.251864182399</v>
      </c>
      <c r="K27" s="3135">
        <f>SUMPRODUCT('29.3.1 Gas extensions - demand'!M36:M43,'29.4 Gas extensions - tariffs'!M61:M68*IF(K24&gt;="2017",'1. CPI'!Z50,1))+('29.4 Gas extensions - tariffs'!M60*(DATEVALUE("31/12/"&amp;K24)-DATEVALUE("31/12/"&amp;J24)))*IF(K24&gt;="2017",'1. CPI'!Z50,1)*'29.3.1 Gas extensions - demand'!M35</f>
        <v>10188.639073125636</v>
      </c>
      <c r="L27" s="3137">
        <f>SUMPRODUCT('29.3.1 Gas extensions - demand'!N36:N43,'29.4 Gas extensions - tariffs'!N61:N68*IF(L24&gt;="2017",'1. CPI'!AA50,1))+('29.4 Gas extensions - tariffs'!N60*(DATEVALUE("31/12/"&amp;L24)-DATEVALUE("31/12/"&amp;K24)))*IF(L24&gt;="2017",'1. CPI'!AA50,1)*'29.3.1 Gas extensions - demand'!N35</f>
        <v>11106.013995178391</v>
      </c>
      <c r="M27" s="3136">
        <f>SUMPRODUCT('29.3.1 Gas extensions - demand'!O36:O43,'29.4 Gas extensions - tariffs'!O61:O68*IF(M24&gt;="2017",'1. CPI'!AB50,1))+('29.4 Gas extensions - tariffs'!O60*(DATEVALUE("31/12/"&amp;M24)-DATEVALUE("31/12/"&amp;L24)))*IF(M24&gt;="2017",'1. CPI'!AB50,1)*'29.3.1 Gas extensions - demand'!O35</f>
        <v>11521.783738026697</v>
      </c>
      <c r="N27" s="3135">
        <f>SUMPRODUCT('29.3.1 Gas extensions - demand'!P36:P43,'29.4 Gas extensions - tariffs'!P61:P68*IF(N24&gt;="2017",'1. CPI'!AC50,1))+('29.4 Gas extensions - tariffs'!P60*(DATEVALUE("31/12/"&amp;N24)-DATEVALUE("31/12/"&amp;M24)))*IF(N24&gt;="2017",'1. CPI'!AC50,1)*'29.3.1 Gas extensions - demand'!P35</f>
        <v>11523.813388076065</v>
      </c>
      <c r="O27" s="3135">
        <f>SUMPRODUCT('29.3.1 Gas extensions - demand'!Q36:Q43,'29.4 Gas extensions - tariffs'!Q61:Q68*IF(O24&gt;="2017",'1. CPI'!AD50,1))+('29.4 Gas extensions - tariffs'!Q60*(DATEVALUE("31/12/"&amp;O24)-DATEVALUE("31/12/"&amp;N24)))*IF(O24&gt;="2017",'1. CPI'!AD50,1)*'29.3.1 Gas extensions - demand'!Q35</f>
        <v>11521.783738026697</v>
      </c>
      <c r="P27" s="3135">
        <f>SUMPRODUCT('29.3.1 Gas extensions - demand'!R36:R43,'29.4 Gas extensions - tariffs'!R61:R68*IF(P24&gt;="2017",'1. CPI'!AE50,1))+('29.4 Gas extensions - tariffs'!R60*(DATEVALUE("31/12/"&amp;P24)-DATEVALUE("31/12/"&amp;O24)))*IF(P24&gt;="2017",'1. CPI'!AE50,1)*'29.3.1 Gas extensions - demand'!R35</f>
        <v>11521.783738026699</v>
      </c>
      <c r="Q27" s="3135">
        <f>SUMPRODUCT('29.3.1 Gas extensions - demand'!S36:S43,'29.4 Gas extensions - tariffs'!S61:S68*IF(Q24&gt;="2017",'1. CPI'!AF50,1))+('29.4 Gas extensions - tariffs'!S60*(DATEVALUE("31/12/"&amp;Q24)-DATEVALUE("31/12/"&amp;P24)))*IF(Q24&gt;="2017",'1. CPI'!AF50,1)*'29.3.1 Gas extensions - demand'!S35</f>
        <v>11521.783738026697</v>
      </c>
      <c r="R27" s="3135">
        <f>SUMPRODUCT('29.3.1 Gas extensions - demand'!T36:T43,'29.4 Gas extensions - tariffs'!T61:T68*IF(R24&gt;="2017",'1. CPI'!AG50,1))+('29.4 Gas extensions - tariffs'!T60*(DATEVALUE("31/12/"&amp;R24)-DATEVALUE("31/12/"&amp;Q24)))*IF(R24&gt;="2017",'1. CPI'!AG50,1)*'29.3.1 Gas extensions - demand'!T35</f>
        <v>11523.813388076065</v>
      </c>
      <c r="S27" s="3135">
        <f>SUMPRODUCT('29.3.1 Gas extensions - demand'!U36:U43,'29.4 Gas extensions - tariffs'!U61:U68*IF(S24&gt;="2017",'1. CPI'!AH50,1))+('29.4 Gas extensions - tariffs'!U60*(DATEVALUE("31/12/"&amp;S24)-DATEVALUE("31/12/"&amp;R24)))*IF(S24&gt;="2017",'1. CPI'!AH50,1)*'29.3.1 Gas extensions - demand'!U35</f>
        <v>11521.783738026699</v>
      </c>
      <c r="T27" s="3135">
        <f>SUMPRODUCT('29.3.1 Gas extensions - demand'!V36:V43,'29.4 Gas extensions - tariffs'!V61:V68*IF(T24&gt;="2017",'1. CPI'!AI50,1))+('29.4 Gas extensions - tariffs'!V60*(DATEVALUE("31/12/"&amp;T24)-DATEVALUE("31/12/"&amp;S24)))*IF(T24&gt;="2017",'1. CPI'!AI50,1)*'29.3.1 Gas extensions - demand'!V35</f>
        <v>11521.783738026697</v>
      </c>
      <c r="U27" s="3135">
        <f>SUMPRODUCT('29.3.1 Gas extensions - demand'!W36:W43,'29.4 Gas extensions - tariffs'!W61:W68*IF(U24&gt;="2017",'1. CPI'!AJ50,1))+('29.4 Gas extensions - tariffs'!W60*(DATEVALUE("31/12/"&amp;U24)-DATEVALUE("31/12/"&amp;T24)))*IF(U24&gt;="2017",'1. CPI'!AJ50,1)*'29.3.1 Gas extensions - demand'!W35</f>
        <v>11521.783738026697</v>
      </c>
      <c r="V27" s="3135">
        <f>SUMPRODUCT('29.3.1 Gas extensions - demand'!X36:X43,'29.4 Gas extensions - tariffs'!X61:X68*IF(V24&gt;="2017",'1. CPI'!AK50,1))+('29.4 Gas extensions - tariffs'!X60*(DATEVALUE("31/12/"&amp;V24)-DATEVALUE("31/12/"&amp;U24)))*IF(V24&gt;="2017",'1. CPI'!AK50,1)*'29.3.1 Gas extensions - demand'!X35</f>
        <v>11523.813388076063</v>
      </c>
      <c r="W27" s="3135">
        <f>SUMPRODUCT('29.3.1 Gas extensions - demand'!Y36:Y43,'29.4 Gas extensions - tariffs'!Y61:Y68*IF(W24&gt;="2017",'1. CPI'!AL50,1))+('29.4 Gas extensions - tariffs'!Y60*(DATEVALUE("31/12/"&amp;W24)-DATEVALUE("31/12/"&amp;V24)))*IF(W24&gt;="2017",'1. CPI'!AL50,1)*'29.3.1 Gas extensions - demand'!Y35</f>
        <v>11521.783738026699</v>
      </c>
      <c r="X27" s="3135">
        <f>SUMPRODUCT('29.3.1 Gas extensions - demand'!Z36:Z43,'29.4 Gas extensions - tariffs'!Z61:Z68*IF(X24&gt;="2017",'1. CPI'!AM50,1))+('29.4 Gas extensions - tariffs'!Z60*(DATEVALUE("31/12/"&amp;X24)-DATEVALUE("31/12/"&amp;W24)))*IF(X24&gt;="2017",'1. CPI'!AM50,1)*'29.3.1 Gas extensions - demand'!Z35</f>
        <v>11521.783738026699</v>
      </c>
      <c r="Y27" s="3135">
        <f>SUMPRODUCT('29.3.1 Gas extensions - demand'!AA36:AA43,'29.4 Gas extensions - tariffs'!AA61:AA68*IF(Y24&gt;="2017",'1. CPI'!AN50,1))+('29.4 Gas extensions - tariffs'!AA60*(DATEVALUE("31/12/"&amp;Y24)-DATEVALUE("31/12/"&amp;X24)))*IF(Y24&gt;="2017",'1. CPI'!AN50,1)*'29.3.1 Gas extensions - demand'!AA35</f>
        <v>11521.783738026697</v>
      </c>
      <c r="Z27" s="3135">
        <f>SUMPRODUCT('29.3.1 Gas extensions - demand'!AB36:AB43,'29.4 Gas extensions - tariffs'!AB61:AB68*IF(Z24&gt;="2017",'1. CPI'!AO50,1))+('29.4 Gas extensions - tariffs'!AB60*(DATEVALUE("31/12/"&amp;Z24)-DATEVALUE("31/12/"&amp;Y24)))*IF(Z24&gt;="2017",'1. CPI'!AO50,1)*'29.3.1 Gas extensions - demand'!AB35</f>
        <v>11523.813388076065</v>
      </c>
      <c r="AA27" s="3137">
        <f>SUMPRODUCT('29.3.1 Gas extensions - demand'!AC36:AC43,'29.4 Gas extensions - tariffs'!AC61:AC68*IF(AA24&gt;="2017",'1. CPI'!AP50,1))+('29.4 Gas extensions - tariffs'!AC60*(DATEVALUE("31/12/"&amp;AA24)-DATEVALUE("31/12/"&amp;Z24)))*IF(AA24&gt;="2017",'1. CPI'!AP50,1)*'29.3.1 Gas extensions - demand'!AC35</f>
        <v>11521.783738026699</v>
      </c>
      <c r="AE27" s="3132"/>
      <c r="AF27" s="3133"/>
      <c r="AG27" s="3134"/>
    </row>
    <row r="28" spans="1:134">
      <c r="A28" s="2771"/>
      <c r="B28" s="3138"/>
      <c r="C28" s="3139"/>
      <c r="D28" s="3140"/>
      <c r="E28" s="3140"/>
      <c r="F28" s="3140"/>
      <c r="G28" s="3140"/>
      <c r="H28" s="3141"/>
      <c r="I28" s="3140"/>
      <c r="J28" s="3140"/>
      <c r="K28" s="3140"/>
      <c r="L28" s="3142"/>
      <c r="M28" s="3141"/>
      <c r="N28" s="3140"/>
      <c r="O28" s="3140"/>
      <c r="P28" s="3140"/>
      <c r="Q28" s="3140"/>
      <c r="R28" s="3140"/>
      <c r="S28" s="3140"/>
      <c r="T28" s="3140"/>
      <c r="U28" s="3140"/>
      <c r="V28" s="3140"/>
      <c r="W28" s="3140"/>
      <c r="X28" s="3140"/>
      <c r="Y28" s="3140"/>
      <c r="Z28" s="3140"/>
      <c r="AA28" s="3142"/>
      <c r="AE28" s="3143"/>
      <c r="AF28" s="3144"/>
      <c r="AG28" s="3145"/>
    </row>
    <row r="29" spans="1:134">
      <c r="A29" s="2771"/>
      <c r="B29" s="3146"/>
      <c r="C29" s="3147"/>
      <c r="D29" s="3148"/>
      <c r="E29" s="3148"/>
      <c r="F29" s="3148"/>
      <c r="G29" s="3148"/>
      <c r="H29" s="3104"/>
      <c r="I29" s="3148"/>
      <c r="J29" s="3148"/>
      <c r="K29" s="3148"/>
      <c r="L29" s="3149"/>
      <c r="M29" s="3104"/>
      <c r="N29" s="3148"/>
      <c r="O29" s="3148"/>
      <c r="P29" s="3148"/>
      <c r="Q29" s="3148"/>
      <c r="R29" s="3148"/>
      <c r="S29" s="3148"/>
      <c r="T29" s="3148"/>
      <c r="U29" s="3148"/>
      <c r="V29" s="3148"/>
      <c r="W29" s="3148"/>
      <c r="X29" s="3148"/>
      <c r="Y29" s="3148"/>
      <c r="Z29" s="3148"/>
      <c r="AA29" s="3149"/>
      <c r="AE29" s="3150"/>
      <c r="AF29" s="3151"/>
      <c r="AG29" s="3152"/>
    </row>
    <row r="30" spans="1:134">
      <c r="A30" s="2771"/>
      <c r="B30" s="3131"/>
      <c r="C30" s="3065"/>
      <c r="D30" s="3064"/>
      <c r="E30" s="3064"/>
      <c r="F30" s="3064"/>
      <c r="G30" s="3064"/>
      <c r="H30" s="3063"/>
      <c r="I30" s="3064"/>
      <c r="J30" s="3064"/>
      <c r="K30" s="3064"/>
      <c r="L30" s="3030"/>
      <c r="M30" s="3063"/>
      <c r="N30" s="3064"/>
      <c r="O30" s="3064"/>
      <c r="P30" s="3064"/>
      <c r="Q30" s="3064"/>
      <c r="R30" s="3064"/>
      <c r="S30" s="3064"/>
      <c r="T30" s="3064"/>
      <c r="U30" s="3064"/>
      <c r="V30" s="3064"/>
      <c r="W30" s="3064"/>
      <c r="X30" s="3064"/>
      <c r="Y30" s="3064"/>
      <c r="Z30" s="3064"/>
      <c r="AA30" s="3030"/>
      <c r="AE30" s="3132"/>
      <c r="AF30" s="3133"/>
      <c r="AG30" s="3134"/>
    </row>
    <row r="31" spans="1:134">
      <c r="A31" s="2771"/>
      <c r="B31" s="3131"/>
      <c r="C31" s="3065"/>
      <c r="D31" s="3064"/>
      <c r="E31" s="3064"/>
      <c r="F31" s="3064"/>
      <c r="G31" s="3064"/>
      <c r="H31" s="3063"/>
      <c r="I31" s="3064"/>
      <c r="J31" s="3064"/>
      <c r="K31" s="3064"/>
      <c r="L31" s="3030"/>
      <c r="M31" s="3063"/>
      <c r="N31" s="3064"/>
      <c r="O31" s="3064"/>
      <c r="P31" s="3064"/>
      <c r="Q31" s="3064"/>
      <c r="R31" s="3064"/>
      <c r="S31" s="3064"/>
      <c r="T31" s="3064"/>
      <c r="U31" s="3064"/>
      <c r="V31" s="3064"/>
      <c r="W31" s="3064"/>
      <c r="X31" s="3064"/>
      <c r="Y31" s="3064"/>
      <c r="Z31" s="3064"/>
      <c r="AA31" s="3030"/>
      <c r="AE31" s="3132"/>
      <c r="AF31" s="3133"/>
      <c r="AG31" s="3134"/>
    </row>
    <row r="32" spans="1:134">
      <c r="A32" s="2771"/>
      <c r="B32" s="3138"/>
      <c r="C32" s="3139"/>
      <c r="D32" s="3140"/>
      <c r="E32" s="3140"/>
      <c r="F32" s="3140"/>
      <c r="G32" s="3140"/>
      <c r="H32" s="3141"/>
      <c r="I32" s="3140"/>
      <c r="J32" s="3140"/>
      <c r="K32" s="3140"/>
      <c r="L32" s="3142"/>
      <c r="M32" s="3141"/>
      <c r="N32" s="3140"/>
      <c r="O32" s="3140"/>
      <c r="P32" s="3140"/>
      <c r="Q32" s="3140"/>
      <c r="R32" s="3140"/>
      <c r="S32" s="3140"/>
      <c r="T32" s="3140"/>
      <c r="U32" s="3140"/>
      <c r="V32" s="3140"/>
      <c r="W32" s="3140"/>
      <c r="X32" s="3140"/>
      <c r="Y32" s="3140"/>
      <c r="Z32" s="3140"/>
      <c r="AA32" s="3142"/>
      <c r="AE32" s="3143"/>
      <c r="AF32" s="3144"/>
      <c r="AG32" s="3145"/>
    </row>
    <row r="33" spans="1:134">
      <c r="A33" s="2771"/>
      <c r="B33" s="3153" t="s">
        <v>631</v>
      </c>
      <c r="C33" s="3154"/>
      <c r="D33" s="3155"/>
      <c r="E33" s="3155"/>
      <c r="F33" s="3155"/>
      <c r="G33" s="3155"/>
      <c r="H33" s="3156"/>
      <c r="I33" s="3155"/>
      <c r="J33" s="3155"/>
      <c r="K33" s="3155"/>
      <c r="L33" s="3157"/>
      <c r="M33" s="3156"/>
      <c r="N33" s="3155"/>
      <c r="O33" s="3155"/>
      <c r="P33" s="3155"/>
      <c r="Q33" s="3155"/>
      <c r="R33" s="3155"/>
      <c r="S33" s="3155"/>
      <c r="T33" s="3155"/>
      <c r="U33" s="3155"/>
      <c r="V33" s="3155"/>
      <c r="W33" s="3155"/>
      <c r="X33" s="3155"/>
      <c r="Y33" s="3155"/>
      <c r="Z33" s="3155"/>
      <c r="AA33" s="3157"/>
      <c r="AE33" s="3158"/>
      <c r="AF33" s="3159"/>
      <c r="AG33" s="3160"/>
    </row>
    <row r="34" spans="1:134">
      <c r="A34" s="2771"/>
      <c r="B34" s="3161" t="s">
        <v>208</v>
      </c>
      <c r="C34" s="3162">
        <f>SUM(C25:C33)</f>
        <v>0</v>
      </c>
      <c r="D34" s="3163">
        <f t="shared" ref="D34:AA34" si="1">SUM(D25:D33)</f>
        <v>0</v>
      </c>
      <c r="E34" s="3163">
        <f t="shared" si="1"/>
        <v>0</v>
      </c>
      <c r="F34" s="3163">
        <f t="shared" si="1"/>
        <v>0</v>
      </c>
      <c r="G34" s="3163">
        <f t="shared" si="1"/>
        <v>37783.671177652453</v>
      </c>
      <c r="H34" s="3162">
        <f t="shared" si="1"/>
        <v>96618.441902971375</v>
      </c>
      <c r="I34" s="3163">
        <f t="shared" si="1"/>
        <v>143661.50937107264</v>
      </c>
      <c r="J34" s="3163">
        <f t="shared" si="1"/>
        <v>180137.07382914884</v>
      </c>
      <c r="K34" s="3163">
        <f t="shared" si="1"/>
        <v>208348.20442781449</v>
      </c>
      <c r="L34" s="3164">
        <f t="shared" si="1"/>
        <v>228431.28327830732</v>
      </c>
      <c r="M34" s="3162">
        <f t="shared" si="1"/>
        <v>243156.0024825187</v>
      </c>
      <c r="N34" s="3163">
        <f t="shared" si="1"/>
        <v>254138.66726732856</v>
      </c>
      <c r="O34" s="3163">
        <f t="shared" si="1"/>
        <v>262061.00725236814</v>
      </c>
      <c r="P34" s="3163">
        <f t="shared" si="1"/>
        <v>268137.61592839117</v>
      </c>
      <c r="Q34" s="3163">
        <f t="shared" si="1"/>
        <v>272695.07243540836</v>
      </c>
      <c r="R34" s="3163">
        <f t="shared" si="1"/>
        <v>276309.21513077035</v>
      </c>
      <c r="S34" s="3163">
        <f t="shared" si="1"/>
        <v>278676.73410086852</v>
      </c>
      <c r="T34" s="3163">
        <f t="shared" si="1"/>
        <v>280599.41106476652</v>
      </c>
      <c r="U34" s="3163">
        <f t="shared" si="1"/>
        <v>282041.41878768988</v>
      </c>
      <c r="V34" s="3163">
        <f t="shared" si="1"/>
        <v>283324.11504068749</v>
      </c>
      <c r="W34" s="3163">
        <f t="shared" si="1"/>
        <v>283934.0539240269</v>
      </c>
      <c r="X34" s="3163">
        <f t="shared" si="1"/>
        <v>284542.40093213524</v>
      </c>
      <c r="Y34" s="3163">
        <f t="shared" si="1"/>
        <v>284998.66118821641</v>
      </c>
      <c r="Z34" s="3163">
        <f t="shared" si="1"/>
        <v>285543.67321530968</v>
      </c>
      <c r="AA34" s="3164">
        <f t="shared" si="1"/>
        <v>285597.50277432316</v>
      </c>
      <c r="AE34" s="3162">
        <f t="shared" ref="AE34:AG34" si="2">SUM(AE29:AE33)</f>
        <v>0</v>
      </c>
      <c r="AF34" s="3163">
        <f t="shared" si="2"/>
        <v>0</v>
      </c>
      <c r="AG34" s="3164">
        <f t="shared" si="2"/>
        <v>0</v>
      </c>
    </row>
    <row r="35" spans="1:134" ht="18.75" customHeight="1" thickBot="1">
      <c r="A35" s="2771"/>
      <c r="B35" s="3165" t="s">
        <v>209</v>
      </c>
      <c r="C35" s="3166"/>
      <c r="D35" s="3167"/>
      <c r="E35" s="3167"/>
      <c r="F35" s="3167"/>
      <c r="G35" s="3167"/>
      <c r="H35" s="3166"/>
      <c r="I35" s="3167"/>
      <c r="J35" s="3167"/>
      <c r="K35" s="3167"/>
      <c r="L35" s="3168"/>
      <c r="M35" s="3166"/>
      <c r="N35" s="3167"/>
      <c r="O35" s="3167"/>
      <c r="P35" s="3167"/>
      <c r="Q35" s="3167"/>
      <c r="R35" s="3167"/>
      <c r="S35" s="3167"/>
      <c r="T35" s="3167"/>
      <c r="U35" s="3167"/>
      <c r="V35" s="3167"/>
      <c r="W35" s="3167"/>
      <c r="X35" s="3167"/>
      <c r="Y35" s="3167"/>
      <c r="Z35" s="3167"/>
      <c r="AA35" s="3168"/>
      <c r="AE35" s="3169"/>
      <c r="AF35" s="3170"/>
      <c r="AG35" s="3171"/>
    </row>
    <row r="36" spans="1:134" ht="36" customHeight="1" thickBot="1">
      <c r="A36" s="2771"/>
      <c r="B36" s="3172" t="s">
        <v>121</v>
      </c>
      <c r="C36" s="3198" t="s">
        <v>2111</v>
      </c>
      <c r="D36" s="3199"/>
      <c r="E36" s="3199"/>
      <c r="F36" s="3199"/>
      <c r="G36" s="3199"/>
      <c r="H36" s="3199"/>
      <c r="I36" s="3199"/>
      <c r="J36" s="3199"/>
      <c r="K36" s="3199"/>
      <c r="L36" s="3199"/>
      <c r="M36" s="3173"/>
      <c r="N36" s="3173"/>
      <c r="O36" s="3173"/>
      <c r="P36" s="3173"/>
      <c r="Q36" s="3173"/>
      <c r="R36" s="3173"/>
      <c r="S36" s="3173"/>
      <c r="T36" s="3173"/>
      <c r="U36" s="3173"/>
      <c r="V36" s="3173"/>
      <c r="W36" s="3173"/>
      <c r="X36" s="3173"/>
      <c r="Y36" s="3173"/>
      <c r="Z36" s="3173"/>
      <c r="AA36" s="3174"/>
      <c r="AE36" s="3175"/>
      <c r="AF36" s="3176"/>
      <c r="AG36" s="3177"/>
    </row>
    <row r="37" spans="1:134" ht="45" customHeight="1" thickBot="1">
      <c r="A37" s="2771"/>
      <c r="B37" s="3178"/>
      <c r="C37" s="2771"/>
      <c r="D37" s="2771"/>
      <c r="E37" s="2771"/>
      <c r="F37" s="2771"/>
      <c r="G37" s="2771"/>
      <c r="H37" s="2771"/>
      <c r="I37" s="2771"/>
      <c r="J37" s="2771"/>
      <c r="K37" s="2771"/>
      <c r="L37" s="2771"/>
      <c r="M37" s="2771"/>
      <c r="N37" s="2771"/>
      <c r="O37" s="2771"/>
      <c r="P37" s="2771"/>
      <c r="Q37" s="2771"/>
      <c r="R37" s="2771"/>
      <c r="S37" s="2771"/>
      <c r="T37" s="2771"/>
      <c r="U37" s="2771"/>
      <c r="V37" s="2771"/>
      <c r="W37" s="2771"/>
      <c r="X37" s="2771"/>
      <c r="Y37" s="2771"/>
      <c r="Z37" s="2771"/>
      <c r="AA37" s="2771"/>
      <c r="AE37" s="2771"/>
      <c r="AF37" s="2771"/>
      <c r="AG37" s="2771"/>
    </row>
    <row r="38" spans="1:134" s="3019" customFormat="1" ht="18.75" customHeight="1" thickBot="1">
      <c r="A38" s="3013"/>
      <c r="B38" s="2783" t="s">
        <v>472</v>
      </c>
      <c r="C38" s="2784"/>
      <c r="D38" s="2784"/>
      <c r="E38" s="2784"/>
      <c r="F38" s="2784"/>
      <c r="G38" s="2784"/>
      <c r="H38" s="2784"/>
      <c r="I38" s="2784"/>
      <c r="J38" s="2784"/>
      <c r="K38" s="2784"/>
      <c r="L38" s="2784"/>
      <c r="M38" s="2784"/>
      <c r="N38" s="2784"/>
      <c r="O38" s="2784"/>
      <c r="P38" s="2784"/>
      <c r="Q38" s="2784"/>
      <c r="R38" s="2784"/>
      <c r="S38" s="2784"/>
      <c r="T38" s="2784"/>
      <c r="U38" s="2784"/>
      <c r="V38" s="2784"/>
      <c r="W38" s="2784"/>
      <c r="X38" s="2784"/>
      <c r="Y38" s="2784"/>
      <c r="Z38" s="2784"/>
      <c r="AA38" s="2785"/>
      <c r="AB38" s="2524"/>
      <c r="AC38" s="2524"/>
      <c r="AD38" s="2524"/>
      <c r="AE38" s="2783"/>
      <c r="AF38" s="2784"/>
      <c r="AG38" s="2785"/>
      <c r="DE38" s="2524"/>
      <c r="DF38" s="2524"/>
      <c r="DG38" s="2524"/>
      <c r="DH38" s="2524"/>
      <c r="DI38" s="2524"/>
      <c r="DJ38" s="2524"/>
      <c r="DK38" s="2524"/>
      <c r="DL38" s="2524"/>
      <c r="DM38" s="2524"/>
      <c r="DN38" s="2524"/>
      <c r="DO38" s="2524"/>
      <c r="DP38" s="2524"/>
      <c r="DQ38" s="2524"/>
      <c r="DR38" s="2524"/>
      <c r="DS38" s="2524"/>
      <c r="DT38" s="2524"/>
      <c r="DU38" s="2524"/>
      <c r="DV38" s="2524"/>
      <c r="DW38" s="2524"/>
      <c r="DX38" s="2524"/>
      <c r="DY38" s="2524"/>
      <c r="DZ38" s="2524"/>
      <c r="EA38" s="2524"/>
      <c r="EB38" s="2524"/>
      <c r="EC38" s="2524"/>
      <c r="ED38" s="2524"/>
    </row>
    <row r="39" spans="1:134" ht="20.25" customHeight="1">
      <c r="A39" s="2771"/>
      <c r="B39" s="4552"/>
      <c r="C39" s="4554" t="s">
        <v>37</v>
      </c>
      <c r="D39" s="4555"/>
      <c r="E39" s="4555"/>
      <c r="F39" s="4555"/>
      <c r="G39" s="4555"/>
      <c r="H39" s="4562" t="s">
        <v>73</v>
      </c>
      <c r="I39" s="4562"/>
      <c r="J39" s="4562"/>
      <c r="K39" s="4562"/>
      <c r="L39" s="4562"/>
      <c r="M39" s="4563" t="s">
        <v>249</v>
      </c>
      <c r="N39" s="4563"/>
      <c r="O39" s="4563"/>
      <c r="P39" s="4563"/>
      <c r="Q39" s="4563"/>
      <c r="R39" s="4563"/>
      <c r="S39" s="4563"/>
      <c r="T39" s="4563"/>
      <c r="U39" s="4563"/>
      <c r="V39" s="4563"/>
      <c r="W39" s="4563"/>
      <c r="X39" s="4563"/>
      <c r="Y39" s="4563"/>
      <c r="Z39" s="4563"/>
      <c r="AA39" s="4564"/>
      <c r="AE39" s="4565" t="s">
        <v>37</v>
      </c>
      <c r="AF39" s="4566"/>
      <c r="AG39" s="4567"/>
    </row>
    <row r="40" spans="1:134" ht="20.25" customHeight="1">
      <c r="B40" s="4553"/>
      <c r="C40" s="4556" t="s">
        <v>543</v>
      </c>
      <c r="D40" s="4557"/>
      <c r="E40" s="4558"/>
      <c r="F40" s="4559" t="str">
        <f>CONCATENATE("$0's, real ",dms_DollarReal)</f>
        <v>$0's, real December 2017</v>
      </c>
      <c r="G40" s="4560"/>
      <c r="H40" s="4560"/>
      <c r="I40" s="4560"/>
      <c r="J40" s="4560"/>
      <c r="K40" s="4560"/>
      <c r="L40" s="4560"/>
      <c r="M40" s="4560"/>
      <c r="N40" s="4560"/>
      <c r="O40" s="4560"/>
      <c r="P40" s="4560"/>
      <c r="Q40" s="4560"/>
      <c r="R40" s="4560"/>
      <c r="S40" s="4560"/>
      <c r="T40" s="4560"/>
      <c r="U40" s="4560"/>
      <c r="V40" s="4560"/>
      <c r="W40" s="4560"/>
      <c r="X40" s="4560"/>
      <c r="Y40" s="4560"/>
      <c r="Z40" s="4560"/>
      <c r="AA40" s="4561"/>
      <c r="AE40" s="4556" t="str">
        <f>CONCATENATE("$0's, real ",dms_DollarReal)</f>
        <v>$0's, real December 2017</v>
      </c>
      <c r="AF40" s="4557"/>
      <c r="AG40" s="4568"/>
    </row>
    <row r="41" spans="1:134" ht="20.25" customHeight="1">
      <c r="B41" s="4553"/>
      <c r="C41" s="4556" t="s">
        <v>54</v>
      </c>
      <c r="D41" s="4557"/>
      <c r="E41" s="4558"/>
      <c r="F41" s="4559" t="s">
        <v>377</v>
      </c>
      <c r="G41" s="4560"/>
      <c r="H41" s="4560"/>
      <c r="I41" s="4560"/>
      <c r="J41" s="4560"/>
      <c r="K41" s="4560"/>
      <c r="L41" s="4560"/>
      <c r="M41" s="4560"/>
      <c r="N41" s="4560"/>
      <c r="O41" s="4560"/>
      <c r="P41" s="4560"/>
      <c r="Q41" s="4560"/>
      <c r="R41" s="4560"/>
      <c r="S41" s="4560"/>
      <c r="T41" s="4560"/>
      <c r="U41" s="4560"/>
      <c r="V41" s="4560"/>
      <c r="W41" s="4560"/>
      <c r="X41" s="4560"/>
      <c r="Y41" s="4560"/>
      <c r="Z41" s="4560"/>
      <c r="AA41" s="4561"/>
      <c r="AE41" s="4556" t="s">
        <v>54</v>
      </c>
      <c r="AF41" s="4557"/>
      <c r="AG41" s="4568"/>
    </row>
    <row r="42" spans="1:134" ht="20.25" customHeight="1" thickBot="1">
      <c r="B42" s="4569"/>
      <c r="C42" s="2788">
        <f>CRCP_y1</f>
        <v>2013</v>
      </c>
      <c r="D42" s="2788">
        <f>CRCP_y2</f>
        <v>2014</v>
      </c>
      <c r="E42" s="2788">
        <f>CRCP_y3</f>
        <v>2015</v>
      </c>
      <c r="F42" s="2788">
        <f>CRCP_y4</f>
        <v>2016</v>
      </c>
      <c r="G42" s="2788">
        <f>CRCP_y5</f>
        <v>2017</v>
      </c>
      <c r="H42" s="3120" t="str">
        <f>CONCATENATE(IF(dms_RPT="Calendar",G42+1,(LEFT(G42,4)+1&amp;"-"&amp;IF(MID(G42,6,2)&lt;"09","0"&amp;RIGHT(G42,1)+1,RIGHT(G42,2)+1))))</f>
        <v>2018</v>
      </c>
      <c r="I42" s="3120" t="str">
        <f t="shared" ref="I42" si="3">CONCATENATE(IF(dms_RPT="Calendar",H42+1,(LEFT(H42,4)+1&amp;"-"&amp;IF(MID(H42,6,2)&lt;"09","0"&amp;RIGHT(H42,1)+1,RIGHT(H42,2)+1))))</f>
        <v>2019</v>
      </c>
      <c r="J42" s="3120" t="str">
        <f t="shared" ref="J42" si="4">CONCATENATE(IF(dms_RPT="Calendar",I42+1,(LEFT(I42,4)+1&amp;"-"&amp;IF(MID(I42,6,2)&lt;"09","0"&amp;RIGHT(I42,1)+1,RIGHT(I42,2)+1))))</f>
        <v>2020</v>
      </c>
      <c r="K42" s="3120" t="str">
        <f t="shared" ref="K42" si="5">CONCATENATE(IF(dms_RPT="Calendar",J42+1,(LEFT(J42,4)+1&amp;"-"&amp;IF(MID(J42,6,2)&lt;"09","0"&amp;RIGHT(J42,1)+1,RIGHT(J42,2)+1))))</f>
        <v>2021</v>
      </c>
      <c r="L42" s="3120" t="str">
        <f t="shared" ref="L42" si="6">CONCATENATE(IF(dms_RPT="Calendar",K42+1,(LEFT(K42,4)+1&amp;"-"&amp;IF(MID(K42,6,2)&lt;"09","0"&amp;RIGHT(K42,1)+1,RIGHT(K42,2)+1))))</f>
        <v>2022</v>
      </c>
      <c r="M42" s="2788" t="str">
        <f t="shared" ref="M42" si="7">CONCATENATE(IF(dms_RPT="Calendar",L42+1,(LEFT(L42,4)+1&amp;"-"&amp;IF(MID(L42,6,2)&lt;"09","0"&amp;RIGHT(L42,1)+1,RIGHT(L42,2)+1))))</f>
        <v>2023</v>
      </c>
      <c r="N42" s="2788" t="str">
        <f t="shared" ref="N42" si="8">CONCATENATE(IF(dms_RPT="Calendar",M42+1,(LEFT(M42,4)+1&amp;"-"&amp;IF(MID(M42,6,2)&lt;"09","0"&amp;RIGHT(M42,1)+1,RIGHT(M42,2)+1))))</f>
        <v>2024</v>
      </c>
      <c r="O42" s="2788" t="str">
        <f t="shared" ref="O42" si="9">CONCATENATE(IF(dms_RPT="Calendar",N42+1,(LEFT(N42,4)+1&amp;"-"&amp;IF(MID(N42,6,2)&lt;"09","0"&amp;RIGHT(N42,1)+1,RIGHT(N42,2)+1))))</f>
        <v>2025</v>
      </c>
      <c r="P42" s="2788" t="str">
        <f t="shared" ref="P42" si="10">CONCATENATE(IF(dms_RPT="Calendar",O42+1,(LEFT(O42,4)+1&amp;"-"&amp;IF(MID(O42,6,2)&lt;"09","0"&amp;RIGHT(O42,1)+1,RIGHT(O42,2)+1))))</f>
        <v>2026</v>
      </c>
      <c r="Q42" s="2788" t="str">
        <f t="shared" ref="Q42" si="11">CONCATENATE(IF(dms_RPT="Calendar",P42+1,(LEFT(P42,4)+1&amp;"-"&amp;IF(MID(P42,6,2)&lt;"09","0"&amp;RIGHT(P42,1)+1,RIGHT(P42,2)+1))))</f>
        <v>2027</v>
      </c>
      <c r="R42" s="2788" t="str">
        <f t="shared" ref="R42" si="12">CONCATENATE(IF(dms_RPT="Calendar",Q42+1,(LEFT(Q42,4)+1&amp;"-"&amp;IF(MID(Q42,6,2)&lt;"09","0"&amp;RIGHT(Q42,1)+1,RIGHT(Q42,2)+1))))</f>
        <v>2028</v>
      </c>
      <c r="S42" s="2788" t="str">
        <f t="shared" ref="S42" si="13">CONCATENATE(IF(dms_RPT="Calendar",R42+1,(LEFT(R42,4)+1&amp;"-"&amp;IF(MID(R42,6,2)&lt;"09","0"&amp;RIGHT(R42,1)+1,RIGHT(R42,2)+1))))</f>
        <v>2029</v>
      </c>
      <c r="T42" s="2788" t="str">
        <f t="shared" ref="T42" si="14">CONCATENATE(IF(dms_RPT="Calendar",S42+1,(LEFT(S42,4)+1&amp;"-"&amp;IF(MID(S42,6,2)&lt;"09","0"&amp;RIGHT(S42,1)+1,RIGHT(S42,2)+1))))</f>
        <v>2030</v>
      </c>
      <c r="U42" s="2788" t="str">
        <f t="shared" ref="U42" si="15">CONCATENATE(IF(dms_RPT="Calendar",T42+1,(LEFT(T42,4)+1&amp;"-"&amp;IF(MID(T42,6,2)&lt;"09","0"&amp;RIGHT(T42,1)+1,RIGHT(T42,2)+1))))</f>
        <v>2031</v>
      </c>
      <c r="V42" s="2788" t="str">
        <f t="shared" ref="V42" si="16">CONCATENATE(IF(dms_RPT="Calendar",U42+1,(LEFT(U42,4)+1&amp;"-"&amp;IF(MID(U42,6,2)&lt;"09","0"&amp;RIGHT(U42,1)+1,RIGHT(U42,2)+1))))</f>
        <v>2032</v>
      </c>
      <c r="W42" s="2788" t="str">
        <f t="shared" ref="W42" si="17">CONCATENATE(IF(dms_RPT="Calendar",V42+1,(LEFT(V42,4)+1&amp;"-"&amp;IF(MID(V42,6,2)&lt;"09","0"&amp;RIGHT(V42,1)+1,RIGHT(V42,2)+1))))</f>
        <v>2033</v>
      </c>
      <c r="X42" s="2788" t="str">
        <f t="shared" ref="X42" si="18">CONCATENATE(IF(dms_RPT="Calendar",W42+1,(LEFT(W42,4)+1&amp;"-"&amp;IF(MID(W42,6,2)&lt;"09","0"&amp;RIGHT(W42,1)+1,RIGHT(W42,2)+1))))</f>
        <v>2034</v>
      </c>
      <c r="Y42" s="2788" t="str">
        <f t="shared" ref="Y42" si="19">CONCATENATE(IF(dms_RPT="Calendar",X42+1,(LEFT(X42,4)+1&amp;"-"&amp;IF(MID(X42,6,2)&lt;"09","0"&amp;RIGHT(X42,1)+1,RIGHT(X42,2)+1))))</f>
        <v>2035</v>
      </c>
      <c r="Z42" s="2788" t="str">
        <f t="shared" ref="Z42" si="20">CONCATENATE(IF(dms_RPT="Calendar",Y42+1,(LEFT(Y42,4)+1&amp;"-"&amp;IF(MID(Y42,6,2)&lt;"09","0"&amp;RIGHT(Y42,1)+1,RIGHT(Y42,2)+1))))</f>
        <v>2036</v>
      </c>
      <c r="AA42" s="2788" t="str">
        <f t="shared" ref="AA42" si="21">CONCATENATE(IF(dms_RPT="Calendar",Z42+1,(LEFT(Z42,4)+1&amp;"-"&amp;IF(MID(Z42,6,2)&lt;"09","0"&amp;RIGHT(Z42,1)+1,RIGHT(Z42,2)+1))))</f>
        <v>2037</v>
      </c>
      <c r="AE42" s="3121">
        <f>CRCP_y1</f>
        <v>2013</v>
      </c>
      <c r="AF42" s="2788">
        <f>CRCP_y2</f>
        <v>2014</v>
      </c>
      <c r="AG42" s="2789">
        <f>CRCP_y3</f>
        <v>2015</v>
      </c>
    </row>
    <row r="43" spans="1:134" ht="18" customHeight="1">
      <c r="A43" s="2771"/>
      <c r="B43" s="3179" t="s">
        <v>250</v>
      </c>
      <c r="C43" s="3180">
        <v>0</v>
      </c>
      <c r="D43" s="3181">
        <v>0</v>
      </c>
      <c r="E43" s="3181">
        <v>0</v>
      </c>
      <c r="F43" s="3181">
        <v>0</v>
      </c>
      <c r="G43" s="3181">
        <v>3375</v>
      </c>
      <c r="H43" s="3180">
        <v>9281</v>
      </c>
      <c r="I43" s="3181">
        <v>13711</v>
      </c>
      <c r="J43" s="3181">
        <v>17033</v>
      </c>
      <c r="K43" s="3181">
        <v>19525</v>
      </c>
      <c r="L43" s="3182">
        <v>21394</v>
      </c>
      <c r="M43" s="3180">
        <v>22795</v>
      </c>
      <c r="N43" s="3181">
        <v>23846</v>
      </c>
      <c r="O43" s="3181">
        <v>24635</v>
      </c>
      <c r="P43" s="3181">
        <v>25226</v>
      </c>
      <c r="Q43" s="3181">
        <v>25670</v>
      </c>
      <c r="R43" s="3181">
        <v>26002</v>
      </c>
      <c r="S43" s="3181">
        <v>26252</v>
      </c>
      <c r="T43" s="3181">
        <v>26439</v>
      </c>
      <c r="U43" s="3181">
        <v>26579</v>
      </c>
      <c r="V43" s="3181">
        <v>26684</v>
      </c>
      <c r="W43" s="3181">
        <v>26763</v>
      </c>
      <c r="X43" s="3181">
        <v>26822</v>
      </c>
      <c r="Y43" s="3181">
        <v>26867</v>
      </c>
      <c r="Z43" s="3181">
        <v>26900</v>
      </c>
      <c r="AA43" s="3183">
        <v>26925</v>
      </c>
      <c r="AE43" s="3184"/>
      <c r="AF43" s="3185"/>
      <c r="AG43" s="3186"/>
    </row>
    <row r="44" spans="1:134" ht="18" customHeight="1" thickBot="1">
      <c r="A44" s="2771"/>
      <c r="B44" s="3187" t="s">
        <v>251</v>
      </c>
      <c r="C44" s="3166">
        <v>0</v>
      </c>
      <c r="D44" s="3167">
        <v>0</v>
      </c>
      <c r="E44" s="3167">
        <v>0</v>
      </c>
      <c r="F44" s="3167">
        <v>0</v>
      </c>
      <c r="G44" s="3167">
        <v>3375</v>
      </c>
      <c r="H44" s="3166">
        <v>9281</v>
      </c>
      <c r="I44" s="3167">
        <v>13711</v>
      </c>
      <c r="J44" s="3167">
        <v>17033</v>
      </c>
      <c r="K44" s="3167">
        <v>19525</v>
      </c>
      <c r="L44" s="3188">
        <v>21394</v>
      </c>
      <c r="M44" s="3166">
        <v>22795</v>
      </c>
      <c r="N44" s="3167">
        <v>23846</v>
      </c>
      <c r="O44" s="3167">
        <v>24635</v>
      </c>
      <c r="P44" s="3167">
        <v>25226</v>
      </c>
      <c r="Q44" s="3167">
        <v>25670</v>
      </c>
      <c r="R44" s="3167">
        <v>26002</v>
      </c>
      <c r="S44" s="3167">
        <v>26252</v>
      </c>
      <c r="T44" s="3167">
        <v>26439</v>
      </c>
      <c r="U44" s="3167">
        <v>26579</v>
      </c>
      <c r="V44" s="3167">
        <v>26684</v>
      </c>
      <c r="W44" s="3167">
        <v>26763</v>
      </c>
      <c r="X44" s="3167">
        <v>26822</v>
      </c>
      <c r="Y44" s="3167">
        <v>26867</v>
      </c>
      <c r="Z44" s="3167">
        <v>26900</v>
      </c>
      <c r="AA44" s="3189">
        <v>26925</v>
      </c>
      <c r="AE44" s="3169"/>
      <c r="AF44" s="3170"/>
      <c r="AG44" s="3171"/>
    </row>
    <row r="45" spans="1:134" ht="28.5" customHeight="1" thickBot="1">
      <c r="A45" s="2771"/>
      <c r="B45" s="3172" t="s">
        <v>121</v>
      </c>
      <c r="C45" s="3937" t="s">
        <v>1663</v>
      </c>
      <c r="D45" s="3938"/>
      <c r="E45" s="3938"/>
      <c r="F45" s="3938"/>
      <c r="G45" s="3938"/>
      <c r="H45" s="3938"/>
      <c r="I45" s="3938"/>
      <c r="J45" s="3938"/>
      <c r="K45" s="3938"/>
      <c r="L45" s="3173"/>
      <c r="M45" s="3173"/>
      <c r="N45" s="3173"/>
      <c r="O45" s="3173"/>
      <c r="P45" s="3173"/>
      <c r="Q45" s="3173"/>
      <c r="R45" s="3173"/>
      <c r="S45" s="3173"/>
      <c r="T45" s="3173"/>
      <c r="U45" s="3173"/>
      <c r="V45" s="3173"/>
      <c r="W45" s="3173"/>
      <c r="X45" s="3173"/>
      <c r="Y45" s="3173"/>
      <c r="Z45" s="3173"/>
      <c r="AA45" s="3174"/>
      <c r="AE45" s="3175"/>
      <c r="AF45" s="3176"/>
      <c r="AG45" s="3177"/>
    </row>
    <row r="46" spans="1:134" ht="30" customHeight="1" thickBot="1">
      <c r="A46" s="2771"/>
      <c r="B46" s="3178"/>
      <c r="C46" s="3178" t="s">
        <v>1668</v>
      </c>
      <c r="D46" s="3178"/>
      <c r="E46" s="3178"/>
      <c r="F46" s="3178"/>
      <c r="G46" s="3178"/>
      <c r="H46" s="3178"/>
      <c r="I46" s="3178"/>
      <c r="J46" s="3178"/>
      <c r="K46" s="3178"/>
      <c r="L46" s="3178"/>
      <c r="M46" s="3178"/>
      <c r="N46" s="3178"/>
      <c r="O46" s="3178"/>
      <c r="P46" s="3178"/>
      <c r="Q46" s="3178"/>
      <c r="R46" s="3178"/>
      <c r="S46" s="3178"/>
      <c r="T46" s="3178"/>
      <c r="U46" s="3178"/>
      <c r="V46" s="3178"/>
      <c r="W46" s="3178"/>
      <c r="X46" s="3178"/>
      <c r="Y46" s="3178"/>
      <c r="Z46" s="3178"/>
      <c r="AA46" s="3178"/>
      <c r="AE46" s="3178"/>
      <c r="AF46" s="3178"/>
      <c r="AG46" s="3178"/>
    </row>
    <row r="47" spans="1:134" s="3019" customFormat="1" ht="18.75" customHeight="1" thickBot="1">
      <c r="A47" s="3013"/>
      <c r="B47" s="2783" t="s">
        <v>473</v>
      </c>
      <c r="C47" s="2784"/>
      <c r="D47" s="2784"/>
      <c r="E47" s="2784"/>
      <c r="F47" s="2784"/>
      <c r="G47" s="2784"/>
      <c r="H47" s="2784"/>
      <c r="I47" s="2784"/>
      <c r="J47" s="2784"/>
      <c r="K47" s="2784"/>
      <c r="L47" s="2784"/>
      <c r="M47" s="2784"/>
      <c r="N47" s="2784"/>
      <c r="O47" s="2784"/>
      <c r="P47" s="2784"/>
      <c r="Q47" s="2784"/>
      <c r="R47" s="2784"/>
      <c r="S47" s="2784"/>
      <c r="T47" s="2784"/>
      <c r="U47" s="2784"/>
      <c r="V47" s="2784"/>
      <c r="W47" s="2784"/>
      <c r="X47" s="2784"/>
      <c r="Y47" s="2784"/>
      <c r="Z47" s="2784"/>
      <c r="AA47" s="2785"/>
      <c r="AB47" s="2524"/>
      <c r="AC47" s="2524"/>
      <c r="AD47" s="2524"/>
      <c r="AE47" s="2783"/>
      <c r="AF47" s="2784"/>
      <c r="AG47" s="2785"/>
      <c r="DE47" s="2524"/>
      <c r="DF47" s="2524"/>
      <c r="DG47" s="2524"/>
      <c r="DH47" s="2524"/>
      <c r="DI47" s="2524"/>
      <c r="DJ47" s="2524"/>
      <c r="DK47" s="2524"/>
      <c r="DL47" s="2524"/>
      <c r="DM47" s="2524"/>
      <c r="DN47" s="2524"/>
      <c r="DO47" s="2524"/>
      <c r="DP47" s="2524"/>
      <c r="DQ47" s="2524"/>
      <c r="DR47" s="2524"/>
      <c r="DS47" s="2524"/>
      <c r="DT47" s="2524"/>
      <c r="DU47" s="2524"/>
      <c r="DV47" s="2524"/>
      <c r="DW47" s="2524"/>
      <c r="DX47" s="2524"/>
      <c r="DY47" s="2524"/>
      <c r="DZ47" s="2524"/>
      <c r="EA47" s="2524"/>
      <c r="EB47" s="2524"/>
      <c r="EC47" s="2524"/>
      <c r="ED47" s="2524"/>
    </row>
    <row r="48" spans="1:134" ht="20.25" customHeight="1">
      <c r="A48" s="2771"/>
      <c r="B48" s="4552"/>
      <c r="C48" s="4554" t="s">
        <v>37</v>
      </c>
      <c r="D48" s="4555"/>
      <c r="E48" s="4555"/>
      <c r="F48" s="4555"/>
      <c r="G48" s="4555"/>
      <c r="H48" s="4562" t="s">
        <v>73</v>
      </c>
      <c r="I48" s="4562"/>
      <c r="J48" s="4562"/>
      <c r="K48" s="4562"/>
      <c r="L48" s="4562"/>
      <c r="M48" s="4563" t="s">
        <v>249</v>
      </c>
      <c r="N48" s="4563"/>
      <c r="O48" s="4563"/>
      <c r="P48" s="4563"/>
      <c r="Q48" s="4563"/>
      <c r="R48" s="4563"/>
      <c r="S48" s="4563"/>
      <c r="T48" s="4563"/>
      <c r="U48" s="4563"/>
      <c r="V48" s="4563"/>
      <c r="W48" s="4563"/>
      <c r="X48" s="4563"/>
      <c r="Y48" s="4563"/>
      <c r="Z48" s="4563"/>
      <c r="AA48" s="4564"/>
      <c r="AE48" s="4565" t="s">
        <v>37</v>
      </c>
      <c r="AF48" s="4566"/>
      <c r="AG48" s="4567"/>
    </row>
    <row r="49" spans="1:33" ht="20.25" customHeight="1">
      <c r="B49" s="4553"/>
      <c r="C49" s="4556" t="s">
        <v>543</v>
      </c>
      <c r="D49" s="4557"/>
      <c r="E49" s="4558"/>
      <c r="F49" s="4559" t="str">
        <f>CONCATENATE("$0's, real ",dms_DollarReal)</f>
        <v>$0's, real December 2017</v>
      </c>
      <c r="G49" s="4560"/>
      <c r="H49" s="4560"/>
      <c r="I49" s="4560"/>
      <c r="J49" s="4560"/>
      <c r="K49" s="4560"/>
      <c r="L49" s="4560"/>
      <c r="M49" s="4560"/>
      <c r="N49" s="4560"/>
      <c r="O49" s="4560"/>
      <c r="P49" s="4560"/>
      <c r="Q49" s="4560"/>
      <c r="R49" s="4560"/>
      <c r="S49" s="4560"/>
      <c r="T49" s="4560"/>
      <c r="U49" s="4560"/>
      <c r="V49" s="4560"/>
      <c r="W49" s="4560"/>
      <c r="X49" s="4560"/>
      <c r="Y49" s="4560"/>
      <c r="Z49" s="4560"/>
      <c r="AA49" s="4561"/>
      <c r="AE49" s="4556" t="str">
        <f>CONCATENATE("$0's, real ",dms_DollarReal)</f>
        <v>$0's, real December 2017</v>
      </c>
      <c r="AF49" s="4557"/>
      <c r="AG49" s="4568"/>
    </row>
    <row r="50" spans="1:33" ht="20.25" customHeight="1">
      <c r="B50" s="4553"/>
      <c r="C50" s="4556" t="s">
        <v>54</v>
      </c>
      <c r="D50" s="4557"/>
      <c r="E50" s="4558"/>
      <c r="F50" s="4559" t="s">
        <v>377</v>
      </c>
      <c r="G50" s="4560"/>
      <c r="H50" s="4560"/>
      <c r="I50" s="4560"/>
      <c r="J50" s="4560"/>
      <c r="K50" s="4560"/>
      <c r="L50" s="4560"/>
      <c r="M50" s="4560"/>
      <c r="N50" s="4560"/>
      <c r="O50" s="4560"/>
      <c r="P50" s="4560"/>
      <c r="Q50" s="4560"/>
      <c r="R50" s="4560"/>
      <c r="S50" s="4560"/>
      <c r="T50" s="4560"/>
      <c r="U50" s="4560"/>
      <c r="V50" s="4560"/>
      <c r="W50" s="4560"/>
      <c r="X50" s="4560"/>
      <c r="Y50" s="4560"/>
      <c r="Z50" s="4560"/>
      <c r="AA50" s="4561"/>
      <c r="AE50" s="4556" t="s">
        <v>54</v>
      </c>
      <c r="AF50" s="4557"/>
      <c r="AG50" s="4568"/>
    </row>
    <row r="51" spans="1:33" ht="20.25" customHeight="1" thickBot="1">
      <c r="B51" s="4569"/>
      <c r="C51" s="2788">
        <f>CRCP_y1</f>
        <v>2013</v>
      </c>
      <c r="D51" s="2788">
        <f>CRCP_y2</f>
        <v>2014</v>
      </c>
      <c r="E51" s="2788">
        <f>CRCP_y3</f>
        <v>2015</v>
      </c>
      <c r="F51" s="2788">
        <f>CRCP_y4</f>
        <v>2016</v>
      </c>
      <c r="G51" s="2788">
        <f>CRCP_y5</f>
        <v>2017</v>
      </c>
      <c r="H51" s="3120" t="str">
        <f>CONCATENATE(IF(dms_RPT="Calendar",G51+1,(LEFT(G51,4)+1&amp;"-"&amp;IF(MID(G51,6,2)&lt;"09","0"&amp;RIGHT(G51,1)+1,RIGHT(G51,2)+1))))</f>
        <v>2018</v>
      </c>
      <c r="I51" s="3120" t="str">
        <f t="shared" ref="I51" si="22">CONCATENATE(IF(dms_RPT="Calendar",H51+1,(LEFT(H51,4)+1&amp;"-"&amp;IF(MID(H51,6,2)&lt;"09","0"&amp;RIGHT(H51,1)+1,RIGHT(H51,2)+1))))</f>
        <v>2019</v>
      </c>
      <c r="J51" s="3120" t="str">
        <f t="shared" ref="J51" si="23">CONCATENATE(IF(dms_RPT="Calendar",I51+1,(LEFT(I51,4)+1&amp;"-"&amp;IF(MID(I51,6,2)&lt;"09","0"&amp;RIGHT(I51,1)+1,RIGHT(I51,2)+1))))</f>
        <v>2020</v>
      </c>
      <c r="K51" s="3120" t="str">
        <f t="shared" ref="K51" si="24">CONCATENATE(IF(dms_RPT="Calendar",J51+1,(LEFT(J51,4)+1&amp;"-"&amp;IF(MID(J51,6,2)&lt;"09","0"&amp;RIGHT(J51,1)+1,RIGHT(J51,2)+1))))</f>
        <v>2021</v>
      </c>
      <c r="L51" s="3120" t="str">
        <f t="shared" ref="L51" si="25">CONCATENATE(IF(dms_RPT="Calendar",K51+1,(LEFT(K51,4)+1&amp;"-"&amp;IF(MID(K51,6,2)&lt;"09","0"&amp;RIGHT(K51,1)+1,RIGHT(K51,2)+1))))</f>
        <v>2022</v>
      </c>
      <c r="M51" s="2788" t="str">
        <f t="shared" ref="M51" si="26">CONCATENATE(IF(dms_RPT="Calendar",L51+1,(LEFT(L51,4)+1&amp;"-"&amp;IF(MID(L51,6,2)&lt;"09","0"&amp;RIGHT(L51,1)+1,RIGHT(L51,2)+1))))</f>
        <v>2023</v>
      </c>
      <c r="N51" s="2788" t="str">
        <f t="shared" ref="N51" si="27">CONCATENATE(IF(dms_RPT="Calendar",M51+1,(LEFT(M51,4)+1&amp;"-"&amp;IF(MID(M51,6,2)&lt;"09","0"&amp;RIGHT(M51,1)+1,RIGHT(M51,2)+1))))</f>
        <v>2024</v>
      </c>
      <c r="O51" s="2788" t="str">
        <f t="shared" ref="O51" si="28">CONCATENATE(IF(dms_RPT="Calendar",N51+1,(LEFT(N51,4)+1&amp;"-"&amp;IF(MID(N51,6,2)&lt;"09","0"&amp;RIGHT(N51,1)+1,RIGHT(N51,2)+1))))</f>
        <v>2025</v>
      </c>
      <c r="P51" s="2788" t="str">
        <f t="shared" ref="P51" si="29">CONCATENATE(IF(dms_RPT="Calendar",O51+1,(LEFT(O51,4)+1&amp;"-"&amp;IF(MID(O51,6,2)&lt;"09","0"&amp;RIGHT(O51,1)+1,RIGHT(O51,2)+1))))</f>
        <v>2026</v>
      </c>
      <c r="Q51" s="2788" t="str">
        <f t="shared" ref="Q51" si="30">CONCATENATE(IF(dms_RPT="Calendar",P51+1,(LEFT(P51,4)+1&amp;"-"&amp;IF(MID(P51,6,2)&lt;"09","0"&amp;RIGHT(P51,1)+1,RIGHT(P51,2)+1))))</f>
        <v>2027</v>
      </c>
      <c r="R51" s="2788" t="str">
        <f t="shared" ref="R51" si="31">CONCATENATE(IF(dms_RPT="Calendar",Q51+1,(LEFT(Q51,4)+1&amp;"-"&amp;IF(MID(Q51,6,2)&lt;"09","0"&amp;RIGHT(Q51,1)+1,RIGHT(Q51,2)+1))))</f>
        <v>2028</v>
      </c>
      <c r="S51" s="2788" t="str">
        <f t="shared" ref="S51" si="32">CONCATENATE(IF(dms_RPT="Calendar",R51+1,(LEFT(R51,4)+1&amp;"-"&amp;IF(MID(R51,6,2)&lt;"09","0"&amp;RIGHT(R51,1)+1,RIGHT(R51,2)+1))))</f>
        <v>2029</v>
      </c>
      <c r="T51" s="2788" t="str">
        <f t="shared" ref="T51" si="33">CONCATENATE(IF(dms_RPT="Calendar",S51+1,(LEFT(S51,4)+1&amp;"-"&amp;IF(MID(S51,6,2)&lt;"09","0"&amp;RIGHT(S51,1)+1,RIGHT(S51,2)+1))))</f>
        <v>2030</v>
      </c>
      <c r="U51" s="2788" t="str">
        <f t="shared" ref="U51" si="34">CONCATENATE(IF(dms_RPT="Calendar",T51+1,(LEFT(T51,4)+1&amp;"-"&amp;IF(MID(T51,6,2)&lt;"09","0"&amp;RIGHT(T51,1)+1,RIGHT(T51,2)+1))))</f>
        <v>2031</v>
      </c>
      <c r="V51" s="2788" t="str">
        <f t="shared" ref="V51" si="35">CONCATENATE(IF(dms_RPT="Calendar",U51+1,(LEFT(U51,4)+1&amp;"-"&amp;IF(MID(U51,6,2)&lt;"09","0"&amp;RIGHT(U51,1)+1,RIGHT(U51,2)+1))))</f>
        <v>2032</v>
      </c>
      <c r="W51" s="2788" t="str">
        <f t="shared" ref="W51" si="36">CONCATENATE(IF(dms_RPT="Calendar",V51+1,(LEFT(V51,4)+1&amp;"-"&amp;IF(MID(V51,6,2)&lt;"09","0"&amp;RIGHT(V51,1)+1,RIGHT(V51,2)+1))))</f>
        <v>2033</v>
      </c>
      <c r="X51" s="2788" t="str">
        <f t="shared" ref="X51" si="37">CONCATENATE(IF(dms_RPT="Calendar",W51+1,(LEFT(W51,4)+1&amp;"-"&amp;IF(MID(W51,6,2)&lt;"09","0"&amp;RIGHT(W51,1)+1,RIGHT(W51,2)+1))))</f>
        <v>2034</v>
      </c>
      <c r="Y51" s="2788" t="str">
        <f t="shared" ref="Y51" si="38">CONCATENATE(IF(dms_RPT="Calendar",X51+1,(LEFT(X51,4)+1&amp;"-"&amp;IF(MID(X51,6,2)&lt;"09","0"&amp;RIGHT(X51,1)+1,RIGHT(X51,2)+1))))</f>
        <v>2035</v>
      </c>
      <c r="Z51" s="2788" t="str">
        <f t="shared" ref="Z51" si="39">CONCATENATE(IF(dms_RPT="Calendar",Y51+1,(LEFT(Y51,4)+1&amp;"-"&amp;IF(MID(Y51,6,2)&lt;"09","0"&amp;RIGHT(Y51,1)+1,RIGHT(Y51,2)+1))))</f>
        <v>2036</v>
      </c>
      <c r="AA51" s="2788" t="str">
        <f t="shared" ref="AA51" si="40">CONCATENATE(IF(dms_RPT="Calendar",Z51+1,(LEFT(Z51,4)+1&amp;"-"&amp;IF(MID(Z51,6,2)&lt;"09","0"&amp;RIGHT(Z51,1)+1,RIGHT(Z51,2)+1))))</f>
        <v>2037</v>
      </c>
      <c r="AE51" s="3121">
        <f>CRCP_y1</f>
        <v>2013</v>
      </c>
      <c r="AF51" s="2788">
        <f>CRCP_y2</f>
        <v>2014</v>
      </c>
      <c r="AG51" s="2789">
        <f>CRCP_y3</f>
        <v>2015</v>
      </c>
    </row>
    <row r="52" spans="1:33">
      <c r="A52" s="2771"/>
      <c r="B52" s="3190" t="s">
        <v>192</v>
      </c>
      <c r="C52" s="3126">
        <v>9969</v>
      </c>
      <c r="D52" s="3125">
        <v>699895</v>
      </c>
      <c r="E52" s="3125">
        <v>1288540</v>
      </c>
      <c r="F52" s="3125">
        <v>103943</v>
      </c>
      <c r="G52" s="3125">
        <v>174753</v>
      </c>
      <c r="H52" s="3107"/>
      <c r="I52" s="3124"/>
      <c r="J52" s="3124"/>
      <c r="K52" s="3124"/>
      <c r="L52" s="3191"/>
      <c r="M52" s="3107"/>
      <c r="N52" s="3124"/>
      <c r="O52" s="3124"/>
      <c r="P52" s="3124"/>
      <c r="Q52" s="3124"/>
      <c r="R52" s="3124"/>
      <c r="S52" s="3124"/>
      <c r="T52" s="3124"/>
      <c r="U52" s="3124"/>
      <c r="V52" s="3124"/>
      <c r="W52" s="3124"/>
      <c r="X52" s="3124"/>
      <c r="Y52" s="3124"/>
      <c r="Z52" s="3124"/>
      <c r="AA52" s="3191"/>
      <c r="AE52" s="3128"/>
      <c r="AF52" s="3129"/>
      <c r="AG52" s="3130"/>
    </row>
    <row r="53" spans="1:33">
      <c r="A53" s="2771"/>
      <c r="B53" s="3192" t="s">
        <v>193</v>
      </c>
      <c r="C53" s="3063" t="s">
        <v>1664</v>
      </c>
      <c r="D53" s="3064" t="s">
        <v>1664</v>
      </c>
      <c r="E53" s="3064" t="s">
        <v>1664</v>
      </c>
      <c r="F53" s="3064" t="s">
        <v>1664</v>
      </c>
      <c r="G53" s="3135">
        <v>137100</v>
      </c>
      <c r="H53" s="3136">
        <v>102825</v>
      </c>
      <c r="I53" s="3135">
        <v>77119</v>
      </c>
      <c r="J53" s="3135">
        <v>57839</v>
      </c>
      <c r="K53" s="3135">
        <v>43379</v>
      </c>
      <c r="L53" s="3137">
        <v>32534</v>
      </c>
      <c r="M53" s="3136">
        <v>24401</v>
      </c>
      <c r="N53" s="3135">
        <v>18301</v>
      </c>
      <c r="O53" s="3135">
        <v>13725</v>
      </c>
      <c r="P53" s="3135">
        <v>10294</v>
      </c>
      <c r="Q53" s="3135">
        <v>7721</v>
      </c>
      <c r="R53" s="3135">
        <v>5790</v>
      </c>
      <c r="S53" s="3135">
        <v>4343</v>
      </c>
      <c r="T53" s="3135">
        <v>3257</v>
      </c>
      <c r="U53" s="3135">
        <v>2443</v>
      </c>
      <c r="V53" s="3135">
        <v>1832</v>
      </c>
      <c r="W53" s="3135">
        <v>1374</v>
      </c>
      <c r="X53" s="3135">
        <v>1031</v>
      </c>
      <c r="Y53" s="3064">
        <v>773</v>
      </c>
      <c r="Z53" s="3064">
        <v>580</v>
      </c>
      <c r="AA53" s="3030">
        <v>435</v>
      </c>
      <c r="AE53" s="3132"/>
      <c r="AF53" s="3133"/>
      <c r="AG53" s="3134"/>
    </row>
    <row r="54" spans="1:33">
      <c r="A54" s="2771"/>
      <c r="B54" s="3192" t="s">
        <v>194</v>
      </c>
      <c r="C54" s="3063"/>
      <c r="D54" s="3064"/>
      <c r="E54" s="3064"/>
      <c r="F54" s="3064"/>
      <c r="G54" s="3064"/>
      <c r="H54" s="3063"/>
      <c r="I54" s="3064"/>
      <c r="J54" s="3064"/>
      <c r="K54" s="3064"/>
      <c r="L54" s="3030"/>
      <c r="M54" s="3063"/>
      <c r="N54" s="3064"/>
      <c r="O54" s="3064"/>
      <c r="P54" s="3064"/>
      <c r="Q54" s="3064"/>
      <c r="R54" s="3064"/>
      <c r="S54" s="3064"/>
      <c r="T54" s="3064"/>
      <c r="U54" s="3064"/>
      <c r="V54" s="3064"/>
      <c r="W54" s="3064"/>
      <c r="X54" s="3064"/>
      <c r="Y54" s="3064"/>
      <c r="Z54" s="3064"/>
      <c r="AA54" s="3030"/>
      <c r="AE54" s="3132"/>
      <c r="AF54" s="3133"/>
      <c r="AG54" s="3134"/>
    </row>
    <row r="55" spans="1:33">
      <c r="A55" s="2771"/>
      <c r="B55" s="3192" t="s">
        <v>195</v>
      </c>
      <c r="C55" s="3063"/>
      <c r="D55" s="3064"/>
      <c r="E55" s="3064"/>
      <c r="F55" s="3064"/>
      <c r="G55" s="3064"/>
      <c r="H55" s="3063"/>
      <c r="I55" s="3064"/>
      <c r="J55" s="3064"/>
      <c r="K55" s="3064"/>
      <c r="L55" s="3030"/>
      <c r="M55" s="3063"/>
      <c r="N55" s="3064"/>
      <c r="O55" s="3064"/>
      <c r="P55" s="3064"/>
      <c r="Q55" s="3064"/>
      <c r="R55" s="3064"/>
      <c r="S55" s="3064"/>
      <c r="T55" s="3064"/>
      <c r="U55" s="3064"/>
      <c r="V55" s="3064"/>
      <c r="W55" s="3064"/>
      <c r="X55" s="3064"/>
      <c r="Y55" s="3064"/>
      <c r="Z55" s="3064"/>
      <c r="AA55" s="3030"/>
      <c r="AE55" s="3132"/>
      <c r="AF55" s="3133"/>
      <c r="AG55" s="3134"/>
    </row>
    <row r="56" spans="1:33">
      <c r="A56" s="2771"/>
      <c r="B56" s="3192" t="s">
        <v>255</v>
      </c>
      <c r="C56" s="3136">
        <v>5503</v>
      </c>
      <c r="D56" s="3135">
        <v>386349</v>
      </c>
      <c r="E56" s="3135">
        <v>711286</v>
      </c>
      <c r="F56" s="3135">
        <v>57377</v>
      </c>
      <c r="G56" s="3135">
        <v>96466</v>
      </c>
      <c r="H56" s="3063"/>
      <c r="I56" s="3064"/>
      <c r="J56" s="3064"/>
      <c r="K56" s="3064"/>
      <c r="L56" s="3030"/>
      <c r="M56" s="3063"/>
      <c r="N56" s="3064"/>
      <c r="O56" s="3064"/>
      <c r="P56" s="3064"/>
      <c r="Q56" s="3064"/>
      <c r="R56" s="3064"/>
      <c r="S56" s="3064"/>
      <c r="T56" s="3064"/>
      <c r="U56" s="3064"/>
      <c r="V56" s="3064"/>
      <c r="W56" s="3064"/>
      <c r="X56" s="3064"/>
      <c r="Y56" s="3064"/>
      <c r="Z56" s="3064"/>
      <c r="AA56" s="3030"/>
      <c r="AE56" s="3132"/>
      <c r="AF56" s="3133"/>
      <c r="AG56" s="3134"/>
    </row>
    <row r="57" spans="1:33">
      <c r="A57" s="2771"/>
      <c r="B57" s="3192" t="s">
        <v>191</v>
      </c>
      <c r="C57" s="3063"/>
      <c r="D57" s="3064"/>
      <c r="E57" s="3064"/>
      <c r="F57" s="3064"/>
      <c r="G57" s="3064"/>
      <c r="H57" s="3063"/>
      <c r="I57" s="3064"/>
      <c r="J57" s="3064"/>
      <c r="K57" s="3064"/>
      <c r="L57" s="3030"/>
      <c r="M57" s="3063"/>
      <c r="N57" s="3064"/>
      <c r="O57" s="3064"/>
      <c r="P57" s="3064"/>
      <c r="Q57" s="3064"/>
      <c r="R57" s="3064"/>
      <c r="S57" s="3064"/>
      <c r="T57" s="3064"/>
      <c r="U57" s="3064"/>
      <c r="V57" s="3064"/>
      <c r="W57" s="3064"/>
      <c r="X57" s="3064"/>
      <c r="Y57" s="3064"/>
      <c r="Z57" s="3064"/>
      <c r="AA57" s="3030"/>
      <c r="AE57" s="3132"/>
      <c r="AF57" s="3133"/>
      <c r="AG57" s="3134"/>
    </row>
    <row r="58" spans="1:33">
      <c r="A58" s="2771"/>
      <c r="B58" s="3192" t="s">
        <v>196</v>
      </c>
      <c r="C58" s="3063" t="s">
        <v>1664</v>
      </c>
      <c r="D58" s="3064" t="s">
        <v>1664</v>
      </c>
      <c r="E58" s="3064" t="s">
        <v>1664</v>
      </c>
      <c r="F58" s="3064" t="s">
        <v>1664</v>
      </c>
      <c r="G58" s="3135">
        <v>24750</v>
      </c>
      <c r="H58" s="3136">
        <v>18563</v>
      </c>
      <c r="I58" s="3135">
        <v>13922</v>
      </c>
      <c r="J58" s="3135">
        <v>10441</v>
      </c>
      <c r="K58" s="3135">
        <v>7831</v>
      </c>
      <c r="L58" s="3137">
        <v>5873</v>
      </c>
      <c r="M58" s="3136">
        <v>4405</v>
      </c>
      <c r="N58" s="3135">
        <v>3304</v>
      </c>
      <c r="O58" s="3135">
        <v>2478</v>
      </c>
      <c r="P58" s="3135">
        <v>1858</v>
      </c>
      <c r="Q58" s="3135">
        <v>1394</v>
      </c>
      <c r="R58" s="3135">
        <v>1045</v>
      </c>
      <c r="S58" s="3064">
        <v>784</v>
      </c>
      <c r="T58" s="3064">
        <v>588</v>
      </c>
      <c r="U58" s="3064">
        <v>441</v>
      </c>
      <c r="V58" s="3064">
        <v>331</v>
      </c>
      <c r="W58" s="3064">
        <v>248</v>
      </c>
      <c r="X58" s="3064">
        <v>186</v>
      </c>
      <c r="Y58" s="3064">
        <v>140</v>
      </c>
      <c r="Z58" s="3064">
        <v>105</v>
      </c>
      <c r="AA58" s="3030">
        <v>78</v>
      </c>
      <c r="AE58" s="3132"/>
      <c r="AF58" s="3133"/>
      <c r="AG58" s="3134"/>
    </row>
    <row r="59" spans="1:33">
      <c r="A59" s="2771"/>
      <c r="B59" s="3192" t="s">
        <v>256</v>
      </c>
      <c r="C59" s="3063"/>
      <c r="D59" s="3064"/>
      <c r="E59" s="3064"/>
      <c r="F59" s="3064"/>
      <c r="G59" s="3064"/>
      <c r="H59" s="3063"/>
      <c r="I59" s="3064"/>
      <c r="J59" s="3064"/>
      <c r="K59" s="3064"/>
      <c r="L59" s="3030"/>
      <c r="M59" s="3063"/>
      <c r="N59" s="3064"/>
      <c r="O59" s="3064"/>
      <c r="P59" s="3064"/>
      <c r="Q59" s="3064"/>
      <c r="R59" s="3064"/>
      <c r="S59" s="3064"/>
      <c r="T59" s="3064"/>
      <c r="U59" s="3064"/>
      <c r="V59" s="3064"/>
      <c r="W59" s="3064"/>
      <c r="X59" s="3064"/>
      <c r="Y59" s="3064"/>
      <c r="Z59" s="3064"/>
      <c r="AA59" s="3030"/>
      <c r="AE59" s="3132"/>
      <c r="AF59" s="3133"/>
      <c r="AG59" s="3134"/>
    </row>
    <row r="60" spans="1:33">
      <c r="A60" s="2771"/>
      <c r="B60" s="3192" t="s">
        <v>264</v>
      </c>
      <c r="C60" s="3063"/>
      <c r="D60" s="3064"/>
      <c r="E60" s="3064"/>
      <c r="F60" s="3064"/>
      <c r="G60" s="3064"/>
      <c r="H60" s="3063"/>
      <c r="I60" s="3064"/>
      <c r="J60" s="3064"/>
      <c r="K60" s="3064"/>
      <c r="L60" s="3030"/>
      <c r="M60" s="3063"/>
      <c r="N60" s="3064"/>
      <c r="O60" s="3064"/>
      <c r="P60" s="3064"/>
      <c r="Q60" s="3064"/>
      <c r="R60" s="3064"/>
      <c r="S60" s="3064"/>
      <c r="T60" s="3064"/>
      <c r="U60" s="3064"/>
      <c r="V60" s="3064"/>
      <c r="W60" s="3064"/>
      <c r="X60" s="3064"/>
      <c r="Y60" s="3064"/>
      <c r="Z60" s="3064"/>
      <c r="AA60" s="3030"/>
      <c r="AE60" s="3132"/>
      <c r="AF60" s="3133"/>
      <c r="AG60" s="3134"/>
    </row>
    <row r="61" spans="1:33">
      <c r="A61" s="2771"/>
      <c r="B61" s="3192" t="s">
        <v>131</v>
      </c>
      <c r="C61" s="3063"/>
      <c r="D61" s="3064"/>
      <c r="E61" s="3064"/>
      <c r="F61" s="3064"/>
      <c r="G61" s="3064"/>
      <c r="H61" s="3063"/>
      <c r="I61" s="3064"/>
      <c r="J61" s="3064"/>
      <c r="K61" s="3064"/>
      <c r="L61" s="3030"/>
      <c r="M61" s="3063"/>
      <c r="N61" s="3064"/>
      <c r="O61" s="3064"/>
      <c r="P61" s="3064"/>
      <c r="Q61" s="3064"/>
      <c r="R61" s="3064"/>
      <c r="S61" s="3064"/>
      <c r="T61" s="3064"/>
      <c r="U61" s="3064"/>
      <c r="V61" s="3064"/>
      <c r="W61" s="3064"/>
      <c r="X61" s="3064"/>
      <c r="Y61" s="3064"/>
      <c r="Z61" s="3064"/>
      <c r="AA61" s="3030"/>
      <c r="AE61" s="3132"/>
      <c r="AF61" s="3133"/>
      <c r="AG61" s="3134"/>
    </row>
    <row r="62" spans="1:33">
      <c r="A62" s="2771"/>
      <c r="B62" s="3161" t="s">
        <v>632</v>
      </c>
      <c r="C62" s="3162">
        <f t="shared" ref="C62:AA62" si="41">SUM(C52:C61)</f>
        <v>15472</v>
      </c>
      <c r="D62" s="3163">
        <f t="shared" si="41"/>
        <v>1086244</v>
      </c>
      <c r="E62" s="3163">
        <f t="shared" si="41"/>
        <v>1999826</v>
      </c>
      <c r="F62" s="3163">
        <f t="shared" si="41"/>
        <v>161320</v>
      </c>
      <c r="G62" s="3163">
        <f t="shared" si="41"/>
        <v>433069</v>
      </c>
      <c r="H62" s="3162">
        <f t="shared" si="41"/>
        <v>121388</v>
      </c>
      <c r="I62" s="3163">
        <f t="shared" si="41"/>
        <v>91041</v>
      </c>
      <c r="J62" s="3163">
        <f t="shared" si="41"/>
        <v>68280</v>
      </c>
      <c r="K62" s="3163">
        <f t="shared" si="41"/>
        <v>51210</v>
      </c>
      <c r="L62" s="3164">
        <f t="shared" si="41"/>
        <v>38407</v>
      </c>
      <c r="M62" s="3162">
        <f t="shared" si="41"/>
        <v>28806</v>
      </c>
      <c r="N62" s="3163">
        <f t="shared" si="41"/>
        <v>21605</v>
      </c>
      <c r="O62" s="3163">
        <f t="shared" si="41"/>
        <v>16203</v>
      </c>
      <c r="P62" s="3163">
        <f t="shared" si="41"/>
        <v>12152</v>
      </c>
      <c r="Q62" s="3163">
        <f t="shared" si="41"/>
        <v>9115</v>
      </c>
      <c r="R62" s="3163">
        <f t="shared" si="41"/>
        <v>6835</v>
      </c>
      <c r="S62" s="3163">
        <f t="shared" si="41"/>
        <v>5127</v>
      </c>
      <c r="T62" s="3163">
        <f t="shared" si="41"/>
        <v>3845</v>
      </c>
      <c r="U62" s="3163">
        <f t="shared" si="41"/>
        <v>2884</v>
      </c>
      <c r="V62" s="3163">
        <f t="shared" si="41"/>
        <v>2163</v>
      </c>
      <c r="W62" s="3163">
        <f t="shared" si="41"/>
        <v>1622</v>
      </c>
      <c r="X62" s="3163">
        <f t="shared" si="41"/>
        <v>1217</v>
      </c>
      <c r="Y62" s="3163">
        <f t="shared" si="41"/>
        <v>913</v>
      </c>
      <c r="Z62" s="3163">
        <f t="shared" si="41"/>
        <v>685</v>
      </c>
      <c r="AA62" s="3164">
        <f t="shared" si="41"/>
        <v>513</v>
      </c>
      <c r="AE62" s="3162">
        <f t="shared" ref="AE62:AG62" si="42">SUM(AE52:AE61)</f>
        <v>0</v>
      </c>
      <c r="AF62" s="3163">
        <f t="shared" si="42"/>
        <v>0</v>
      </c>
      <c r="AG62" s="3164">
        <f t="shared" si="42"/>
        <v>0</v>
      </c>
    </row>
    <row r="63" spans="1:33">
      <c r="A63" s="2771"/>
      <c r="B63" s="3193" t="s">
        <v>210</v>
      </c>
      <c r="C63" s="3063"/>
      <c r="D63" s="3064"/>
      <c r="E63" s="3064"/>
      <c r="F63" s="3135">
        <v>3117000</v>
      </c>
      <c r="G63" s="3064"/>
      <c r="H63" s="3063"/>
      <c r="I63" s="3064"/>
      <c r="J63" s="3064"/>
      <c r="K63" s="3064"/>
      <c r="L63" s="3030"/>
      <c r="M63" s="3063"/>
      <c r="N63" s="3064"/>
      <c r="O63" s="3064"/>
      <c r="P63" s="3064"/>
      <c r="Q63" s="3064"/>
      <c r="R63" s="3064"/>
      <c r="S63" s="3064"/>
      <c r="T63" s="3064"/>
      <c r="U63" s="3064"/>
      <c r="V63" s="3064"/>
      <c r="W63" s="3064"/>
      <c r="X63" s="3064"/>
      <c r="Y63" s="3064"/>
      <c r="Z63" s="3064"/>
      <c r="AA63" s="3030"/>
      <c r="AE63" s="3132"/>
      <c r="AF63" s="3133"/>
      <c r="AG63" s="3134"/>
    </row>
    <row r="64" spans="1:33">
      <c r="A64" s="2771"/>
      <c r="B64" s="3193" t="s">
        <v>211</v>
      </c>
      <c r="C64" s="3063"/>
      <c r="D64" s="3064"/>
      <c r="E64" s="3064"/>
      <c r="F64" s="3064"/>
      <c r="G64" s="3064"/>
      <c r="H64" s="3063"/>
      <c r="I64" s="3064"/>
      <c r="J64" s="3064"/>
      <c r="K64" s="3064"/>
      <c r="L64" s="3030"/>
      <c r="M64" s="3063"/>
      <c r="N64" s="3064"/>
      <c r="O64" s="3064"/>
      <c r="P64" s="3064"/>
      <c r="Q64" s="3064"/>
      <c r="R64" s="3064"/>
      <c r="S64" s="3064"/>
      <c r="T64" s="3064"/>
      <c r="U64" s="3064"/>
      <c r="V64" s="3064"/>
      <c r="W64" s="3064"/>
      <c r="X64" s="3064"/>
      <c r="Y64" s="3064"/>
      <c r="Z64" s="3064"/>
      <c r="AA64" s="3030"/>
      <c r="AE64" s="3132"/>
      <c r="AF64" s="3133"/>
      <c r="AG64" s="3134"/>
    </row>
    <row r="65" spans="1:33">
      <c r="A65" s="2771"/>
      <c r="B65" s="3161" t="s">
        <v>53</v>
      </c>
      <c r="C65" s="3162">
        <f>SUM(C63:C64)</f>
        <v>0</v>
      </c>
      <c r="D65" s="3163">
        <f t="shared" ref="D65:AA65" si="43">SUM(D63:D64)</f>
        <v>0</v>
      </c>
      <c r="E65" s="3163">
        <f t="shared" si="43"/>
        <v>0</v>
      </c>
      <c r="F65" s="3163">
        <f t="shared" si="43"/>
        <v>3117000</v>
      </c>
      <c r="G65" s="3163">
        <f t="shared" si="43"/>
        <v>0</v>
      </c>
      <c r="H65" s="3162">
        <f t="shared" si="43"/>
        <v>0</v>
      </c>
      <c r="I65" s="3163">
        <f t="shared" si="43"/>
        <v>0</v>
      </c>
      <c r="J65" s="3163">
        <f t="shared" si="43"/>
        <v>0</v>
      </c>
      <c r="K65" s="3163">
        <f t="shared" si="43"/>
        <v>0</v>
      </c>
      <c r="L65" s="3164">
        <f t="shared" si="43"/>
        <v>0</v>
      </c>
      <c r="M65" s="3162">
        <f t="shared" si="43"/>
        <v>0</v>
      </c>
      <c r="N65" s="3163">
        <f t="shared" si="43"/>
        <v>0</v>
      </c>
      <c r="O65" s="3163">
        <f t="shared" si="43"/>
        <v>0</v>
      </c>
      <c r="P65" s="3163">
        <f t="shared" si="43"/>
        <v>0</v>
      </c>
      <c r="Q65" s="3163">
        <f t="shared" si="43"/>
        <v>0</v>
      </c>
      <c r="R65" s="3163">
        <f t="shared" si="43"/>
        <v>0</v>
      </c>
      <c r="S65" s="3163">
        <f t="shared" si="43"/>
        <v>0</v>
      </c>
      <c r="T65" s="3163">
        <f t="shared" si="43"/>
        <v>0</v>
      </c>
      <c r="U65" s="3163">
        <f t="shared" si="43"/>
        <v>0</v>
      </c>
      <c r="V65" s="3163">
        <f t="shared" si="43"/>
        <v>0</v>
      </c>
      <c r="W65" s="3163">
        <f t="shared" si="43"/>
        <v>0</v>
      </c>
      <c r="X65" s="3163">
        <f t="shared" si="43"/>
        <v>0</v>
      </c>
      <c r="Y65" s="3163">
        <f t="shared" si="43"/>
        <v>0</v>
      </c>
      <c r="Z65" s="3163">
        <f t="shared" si="43"/>
        <v>0</v>
      </c>
      <c r="AA65" s="3164">
        <f t="shared" si="43"/>
        <v>0</v>
      </c>
      <c r="AE65" s="3162">
        <f>SUM(AE63:AE64)</f>
        <v>0</v>
      </c>
      <c r="AF65" s="3163">
        <f t="shared" ref="AF65:AG65" si="44">SUM(AF63:AF64)</f>
        <v>0</v>
      </c>
      <c r="AG65" s="3164">
        <f t="shared" si="44"/>
        <v>0</v>
      </c>
    </row>
    <row r="66" spans="1:33" s="2771" customFormat="1" ht="13.5" thickBot="1">
      <c r="B66" s="3194" t="s">
        <v>633</v>
      </c>
      <c r="C66" s="3195">
        <f t="shared" ref="C66:AA66" si="45">C62-C65</f>
        <v>15472</v>
      </c>
      <c r="D66" s="3196">
        <f t="shared" si="45"/>
        <v>1086244</v>
      </c>
      <c r="E66" s="3196">
        <f t="shared" si="45"/>
        <v>1999826</v>
      </c>
      <c r="F66" s="3196">
        <f t="shared" si="45"/>
        <v>-2955680</v>
      </c>
      <c r="G66" s="3196">
        <f t="shared" si="45"/>
        <v>433069</v>
      </c>
      <c r="H66" s="3195">
        <f t="shared" si="45"/>
        <v>121388</v>
      </c>
      <c r="I66" s="3196">
        <f t="shared" si="45"/>
        <v>91041</v>
      </c>
      <c r="J66" s="3196">
        <f t="shared" si="45"/>
        <v>68280</v>
      </c>
      <c r="K66" s="3196">
        <f t="shared" si="45"/>
        <v>51210</v>
      </c>
      <c r="L66" s="3197">
        <f t="shared" si="45"/>
        <v>38407</v>
      </c>
      <c r="M66" s="3195">
        <f t="shared" si="45"/>
        <v>28806</v>
      </c>
      <c r="N66" s="3196">
        <f t="shared" si="45"/>
        <v>21605</v>
      </c>
      <c r="O66" s="3196">
        <f t="shared" si="45"/>
        <v>16203</v>
      </c>
      <c r="P66" s="3196">
        <f t="shared" si="45"/>
        <v>12152</v>
      </c>
      <c r="Q66" s="3196">
        <f t="shared" si="45"/>
        <v>9115</v>
      </c>
      <c r="R66" s="3196">
        <f t="shared" si="45"/>
        <v>6835</v>
      </c>
      <c r="S66" s="3196">
        <f t="shared" si="45"/>
        <v>5127</v>
      </c>
      <c r="T66" s="3196">
        <f t="shared" si="45"/>
        <v>3845</v>
      </c>
      <c r="U66" s="3196">
        <f t="shared" si="45"/>
        <v>2884</v>
      </c>
      <c r="V66" s="3196">
        <f t="shared" si="45"/>
        <v>2163</v>
      </c>
      <c r="W66" s="3196">
        <f t="shared" si="45"/>
        <v>1622</v>
      </c>
      <c r="X66" s="3196">
        <f t="shared" si="45"/>
        <v>1217</v>
      </c>
      <c r="Y66" s="3196">
        <f t="shared" si="45"/>
        <v>913</v>
      </c>
      <c r="Z66" s="3196">
        <f t="shared" si="45"/>
        <v>685</v>
      </c>
      <c r="AA66" s="3197">
        <f t="shared" si="45"/>
        <v>513</v>
      </c>
      <c r="AB66" s="2524"/>
      <c r="AC66" s="2524"/>
      <c r="AD66" s="2524"/>
      <c r="AE66" s="3195">
        <f t="shared" ref="AE66:AG66" si="46">AE62-AE65</f>
        <v>0</v>
      </c>
      <c r="AF66" s="3196">
        <f t="shared" si="46"/>
        <v>0</v>
      </c>
      <c r="AG66" s="3197">
        <f t="shared" si="46"/>
        <v>0</v>
      </c>
    </row>
    <row r="67" spans="1:33" ht="29.25" customHeight="1" thickBot="1">
      <c r="A67" s="2771"/>
      <c r="B67" s="3172" t="s">
        <v>121</v>
      </c>
      <c r="C67" s="3937" t="s">
        <v>1672</v>
      </c>
      <c r="D67" s="3938"/>
      <c r="E67" s="3938"/>
      <c r="F67" s="3938"/>
      <c r="G67" s="3938"/>
      <c r="H67" s="3938"/>
      <c r="I67" s="3938"/>
      <c r="J67" s="3938"/>
      <c r="K67" s="3938"/>
      <c r="L67" s="3938"/>
      <c r="M67" s="3173"/>
      <c r="N67" s="3173"/>
      <c r="O67" s="3173"/>
      <c r="P67" s="3173"/>
      <c r="Q67" s="3173"/>
      <c r="R67" s="3173"/>
      <c r="S67" s="3173"/>
      <c r="T67" s="3173"/>
      <c r="U67" s="3173"/>
      <c r="V67" s="3173"/>
      <c r="W67" s="3173"/>
      <c r="X67" s="3173"/>
      <c r="Y67" s="3173"/>
      <c r="Z67" s="3173"/>
      <c r="AA67" s="3174"/>
      <c r="AE67" s="3175"/>
      <c r="AF67" s="3176"/>
      <c r="AG67" s="3177"/>
    </row>
    <row r="68" spans="1:33">
      <c r="A68" s="2771"/>
    </row>
    <row r="69" spans="1:33">
      <c r="A69" s="2771"/>
    </row>
  </sheetData>
  <mergeCells count="39">
    <mergeCell ref="C67:L67"/>
    <mergeCell ref="C41:E41"/>
    <mergeCell ref="F41:AA41"/>
    <mergeCell ref="AE41:AG41"/>
    <mergeCell ref="B48:B51"/>
    <mergeCell ref="C48:G48"/>
    <mergeCell ref="H48:L48"/>
    <mergeCell ref="M48:AA48"/>
    <mergeCell ref="AE48:AG48"/>
    <mergeCell ref="C49:E49"/>
    <mergeCell ref="C45:K45"/>
    <mergeCell ref="F49:AA49"/>
    <mergeCell ref="AE49:AG49"/>
    <mergeCell ref="C50:E50"/>
    <mergeCell ref="F50:AA50"/>
    <mergeCell ref="AE50:AG50"/>
    <mergeCell ref="B39:B42"/>
    <mergeCell ref="C39:G39"/>
    <mergeCell ref="H39:L39"/>
    <mergeCell ref="M39:AA39"/>
    <mergeCell ref="AE39:AG39"/>
    <mergeCell ref="C40:E40"/>
    <mergeCell ref="F40:AA40"/>
    <mergeCell ref="AE40:AG40"/>
    <mergeCell ref="AE21:AG21"/>
    <mergeCell ref="C22:E22"/>
    <mergeCell ref="F22:AA22"/>
    <mergeCell ref="AE22:AG22"/>
    <mergeCell ref="AE23:AG23"/>
    <mergeCell ref="B7:G7"/>
    <mergeCell ref="B8:G8"/>
    <mergeCell ref="B9:G9"/>
    <mergeCell ref="B10:G10"/>
    <mergeCell ref="B21:B24"/>
    <mergeCell ref="C21:G21"/>
    <mergeCell ref="C23:E23"/>
    <mergeCell ref="F23:AA23"/>
    <mergeCell ref="H21:L21"/>
    <mergeCell ref="M21:AA21"/>
  </mergeCells>
  <pageMargins left="0.75" right="0.75" top="1" bottom="1" header="0.5" footer="0.5"/>
  <pageSetup paperSize="9" orientation="portrait" r:id="rId1"/>
  <headerFooter alignWithMargins="0"/>
  <customProperties>
    <customPr name="_pios_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ED69"/>
  <sheetViews>
    <sheetView showGridLines="0" topLeftCell="B43" zoomScale="70" zoomScaleNormal="70" workbookViewId="0">
      <selection activeCell="C36" sqref="C36:G36"/>
    </sheetView>
  </sheetViews>
  <sheetFormatPr defaultRowHeight="12.75"/>
  <cols>
    <col min="1" max="1" width="14.140625" style="2524" customWidth="1"/>
    <col min="2" max="2" width="66.28515625" style="2524" bestFit="1" customWidth="1"/>
    <col min="3" max="27" width="14.7109375" style="2524" customWidth="1"/>
    <col min="28" max="30" width="9.140625" style="2524"/>
    <col min="31" max="33" width="18" style="2524" customWidth="1"/>
    <col min="34" max="256" width="9.140625" style="2524"/>
    <col min="257" max="257" width="14.140625" style="2524" customWidth="1"/>
    <col min="258" max="258" width="66.28515625" style="2524" bestFit="1" customWidth="1"/>
    <col min="259" max="259" width="10" style="2524" bestFit="1" customWidth="1"/>
    <col min="260" max="261" width="8.5703125" style="2524" bestFit="1" customWidth="1"/>
    <col min="262" max="262" width="17.42578125" style="2524" bestFit="1" customWidth="1"/>
    <col min="263" max="263" width="17.28515625" style="2524" bestFit="1" customWidth="1"/>
    <col min="264" max="265" width="10.7109375" style="2524" customWidth="1"/>
    <col min="266" max="267" width="10.7109375" style="2524" bestFit="1" customWidth="1"/>
    <col min="268" max="268" width="10.7109375" style="2524" customWidth="1"/>
    <col min="269" max="271" width="10.7109375" style="2524" bestFit="1" customWidth="1"/>
    <col min="272" max="273" width="10.7109375" style="2524" customWidth="1"/>
    <col min="274" max="275" width="10.7109375" style="2524" bestFit="1" customWidth="1"/>
    <col min="276" max="512" width="9.140625" style="2524"/>
    <col min="513" max="513" width="14.140625" style="2524" customWidth="1"/>
    <col min="514" max="514" width="66.28515625" style="2524" bestFit="1" customWidth="1"/>
    <col min="515" max="515" width="10" style="2524" bestFit="1" customWidth="1"/>
    <col min="516" max="517" width="8.5703125" style="2524" bestFit="1" customWidth="1"/>
    <col min="518" max="518" width="17.42578125" style="2524" bestFit="1" customWidth="1"/>
    <col min="519" max="519" width="17.28515625" style="2524" bestFit="1" customWidth="1"/>
    <col min="520" max="521" width="10.7109375" style="2524" customWidth="1"/>
    <col min="522" max="523" width="10.7109375" style="2524" bestFit="1" customWidth="1"/>
    <col min="524" max="524" width="10.7109375" style="2524" customWidth="1"/>
    <col min="525" max="527" width="10.7109375" style="2524" bestFit="1" customWidth="1"/>
    <col min="528" max="529" width="10.7109375" style="2524" customWidth="1"/>
    <col min="530" max="531" width="10.7109375" style="2524" bestFit="1" customWidth="1"/>
    <col min="532" max="768" width="9.140625" style="2524"/>
    <col min="769" max="769" width="14.140625" style="2524" customWidth="1"/>
    <col min="770" max="770" width="66.28515625" style="2524" bestFit="1" customWidth="1"/>
    <col min="771" max="771" width="10" style="2524" bestFit="1" customWidth="1"/>
    <col min="772" max="773" width="8.5703125" style="2524" bestFit="1" customWidth="1"/>
    <col min="774" max="774" width="17.42578125" style="2524" bestFit="1" customWidth="1"/>
    <col min="775" max="775" width="17.28515625" style="2524" bestFit="1" customWidth="1"/>
    <col min="776" max="777" width="10.7109375" style="2524" customWidth="1"/>
    <col min="778" max="779" width="10.7109375" style="2524" bestFit="1" customWidth="1"/>
    <col min="780" max="780" width="10.7109375" style="2524" customWidth="1"/>
    <col min="781" max="783" width="10.7109375" style="2524" bestFit="1" customWidth="1"/>
    <col min="784" max="785" width="10.7109375" style="2524" customWidth="1"/>
    <col min="786" max="787" width="10.7109375" style="2524" bestFit="1" customWidth="1"/>
    <col min="788" max="1024" width="9.140625" style="2524"/>
    <col min="1025" max="1025" width="14.140625" style="2524" customWidth="1"/>
    <col min="1026" max="1026" width="66.28515625" style="2524" bestFit="1" customWidth="1"/>
    <col min="1027" max="1027" width="10" style="2524" bestFit="1" customWidth="1"/>
    <col min="1028" max="1029" width="8.5703125" style="2524" bestFit="1" customWidth="1"/>
    <col min="1030" max="1030" width="17.42578125" style="2524" bestFit="1" customWidth="1"/>
    <col min="1031" max="1031" width="17.28515625" style="2524" bestFit="1" customWidth="1"/>
    <col min="1032" max="1033" width="10.7109375" style="2524" customWidth="1"/>
    <col min="1034" max="1035" width="10.7109375" style="2524" bestFit="1" customWidth="1"/>
    <col min="1036" max="1036" width="10.7109375" style="2524" customWidth="1"/>
    <col min="1037" max="1039" width="10.7109375" style="2524" bestFit="1" customWidth="1"/>
    <col min="1040" max="1041" width="10.7109375" style="2524" customWidth="1"/>
    <col min="1042" max="1043" width="10.7109375" style="2524" bestFit="1" customWidth="1"/>
    <col min="1044" max="1280" width="9.140625" style="2524"/>
    <col min="1281" max="1281" width="14.140625" style="2524" customWidth="1"/>
    <col min="1282" max="1282" width="66.28515625" style="2524" bestFit="1" customWidth="1"/>
    <col min="1283" max="1283" width="10" style="2524" bestFit="1" customWidth="1"/>
    <col min="1284" max="1285" width="8.5703125" style="2524" bestFit="1" customWidth="1"/>
    <col min="1286" max="1286" width="17.42578125" style="2524" bestFit="1" customWidth="1"/>
    <col min="1287" max="1287" width="17.28515625" style="2524" bestFit="1" customWidth="1"/>
    <col min="1288" max="1289" width="10.7109375" style="2524" customWidth="1"/>
    <col min="1290" max="1291" width="10.7109375" style="2524" bestFit="1" customWidth="1"/>
    <col min="1292" max="1292" width="10.7109375" style="2524" customWidth="1"/>
    <col min="1293" max="1295" width="10.7109375" style="2524" bestFit="1" customWidth="1"/>
    <col min="1296" max="1297" width="10.7109375" style="2524" customWidth="1"/>
    <col min="1298" max="1299" width="10.7109375" style="2524" bestFit="1" customWidth="1"/>
    <col min="1300" max="1536" width="9.140625" style="2524"/>
    <col min="1537" max="1537" width="14.140625" style="2524" customWidth="1"/>
    <col min="1538" max="1538" width="66.28515625" style="2524" bestFit="1" customWidth="1"/>
    <col min="1539" max="1539" width="10" style="2524" bestFit="1" customWidth="1"/>
    <col min="1540" max="1541" width="8.5703125" style="2524" bestFit="1" customWidth="1"/>
    <col min="1542" max="1542" width="17.42578125" style="2524" bestFit="1" customWidth="1"/>
    <col min="1543" max="1543" width="17.28515625" style="2524" bestFit="1" customWidth="1"/>
    <col min="1544" max="1545" width="10.7109375" style="2524" customWidth="1"/>
    <col min="1546" max="1547" width="10.7109375" style="2524" bestFit="1" customWidth="1"/>
    <col min="1548" max="1548" width="10.7109375" style="2524" customWidth="1"/>
    <col min="1549" max="1551" width="10.7109375" style="2524" bestFit="1" customWidth="1"/>
    <col min="1552" max="1553" width="10.7109375" style="2524" customWidth="1"/>
    <col min="1554" max="1555" width="10.7109375" style="2524" bestFit="1" customWidth="1"/>
    <col min="1556" max="1792" width="9.140625" style="2524"/>
    <col min="1793" max="1793" width="14.140625" style="2524" customWidth="1"/>
    <col min="1794" max="1794" width="66.28515625" style="2524" bestFit="1" customWidth="1"/>
    <col min="1795" max="1795" width="10" style="2524" bestFit="1" customWidth="1"/>
    <col min="1796" max="1797" width="8.5703125" style="2524" bestFit="1" customWidth="1"/>
    <col min="1798" max="1798" width="17.42578125" style="2524" bestFit="1" customWidth="1"/>
    <col min="1799" max="1799" width="17.28515625" style="2524" bestFit="1" customWidth="1"/>
    <col min="1800" max="1801" width="10.7109375" style="2524" customWidth="1"/>
    <col min="1802" max="1803" width="10.7109375" style="2524" bestFit="1" customWidth="1"/>
    <col min="1804" max="1804" width="10.7109375" style="2524" customWidth="1"/>
    <col min="1805" max="1807" width="10.7109375" style="2524" bestFit="1" customWidth="1"/>
    <col min="1808" max="1809" width="10.7109375" style="2524" customWidth="1"/>
    <col min="1810" max="1811" width="10.7109375" style="2524" bestFit="1" customWidth="1"/>
    <col min="1812" max="2048" width="9.140625" style="2524"/>
    <col min="2049" max="2049" width="14.140625" style="2524" customWidth="1"/>
    <col min="2050" max="2050" width="66.28515625" style="2524" bestFit="1" customWidth="1"/>
    <col min="2051" max="2051" width="10" style="2524" bestFit="1" customWidth="1"/>
    <col min="2052" max="2053" width="8.5703125" style="2524" bestFit="1" customWidth="1"/>
    <col min="2054" max="2054" width="17.42578125" style="2524" bestFit="1" customWidth="1"/>
    <col min="2055" max="2055" width="17.28515625" style="2524" bestFit="1" customWidth="1"/>
    <col min="2056" max="2057" width="10.7109375" style="2524" customWidth="1"/>
    <col min="2058" max="2059" width="10.7109375" style="2524" bestFit="1" customWidth="1"/>
    <col min="2060" max="2060" width="10.7109375" style="2524" customWidth="1"/>
    <col min="2061" max="2063" width="10.7109375" style="2524" bestFit="1" customWidth="1"/>
    <col min="2064" max="2065" width="10.7109375" style="2524" customWidth="1"/>
    <col min="2066" max="2067" width="10.7109375" style="2524" bestFit="1" customWidth="1"/>
    <col min="2068" max="2304" width="9.140625" style="2524"/>
    <col min="2305" max="2305" width="14.140625" style="2524" customWidth="1"/>
    <col min="2306" max="2306" width="66.28515625" style="2524" bestFit="1" customWidth="1"/>
    <col min="2307" max="2307" width="10" style="2524" bestFit="1" customWidth="1"/>
    <col min="2308" max="2309" width="8.5703125" style="2524" bestFit="1" customWidth="1"/>
    <col min="2310" max="2310" width="17.42578125" style="2524" bestFit="1" customWidth="1"/>
    <col min="2311" max="2311" width="17.28515625" style="2524" bestFit="1" customWidth="1"/>
    <col min="2312" max="2313" width="10.7109375" style="2524" customWidth="1"/>
    <col min="2314" max="2315" width="10.7109375" style="2524" bestFit="1" customWidth="1"/>
    <col min="2316" max="2316" width="10.7109375" style="2524" customWidth="1"/>
    <col min="2317" max="2319" width="10.7109375" style="2524" bestFit="1" customWidth="1"/>
    <col min="2320" max="2321" width="10.7109375" style="2524" customWidth="1"/>
    <col min="2322" max="2323" width="10.7109375" style="2524" bestFit="1" customWidth="1"/>
    <col min="2324" max="2560" width="9.140625" style="2524"/>
    <col min="2561" max="2561" width="14.140625" style="2524" customWidth="1"/>
    <col min="2562" max="2562" width="66.28515625" style="2524" bestFit="1" customWidth="1"/>
    <col min="2563" max="2563" width="10" style="2524" bestFit="1" customWidth="1"/>
    <col min="2564" max="2565" width="8.5703125" style="2524" bestFit="1" customWidth="1"/>
    <col min="2566" max="2566" width="17.42578125" style="2524" bestFit="1" customWidth="1"/>
    <col min="2567" max="2567" width="17.28515625" style="2524" bestFit="1" customWidth="1"/>
    <col min="2568" max="2569" width="10.7109375" style="2524" customWidth="1"/>
    <col min="2570" max="2571" width="10.7109375" style="2524" bestFit="1" customWidth="1"/>
    <col min="2572" max="2572" width="10.7109375" style="2524" customWidth="1"/>
    <col min="2573" max="2575" width="10.7109375" style="2524" bestFit="1" customWidth="1"/>
    <col min="2576" max="2577" width="10.7109375" style="2524" customWidth="1"/>
    <col min="2578" max="2579" width="10.7109375" style="2524" bestFit="1" customWidth="1"/>
    <col min="2580" max="2816" width="9.140625" style="2524"/>
    <col min="2817" max="2817" width="14.140625" style="2524" customWidth="1"/>
    <col min="2818" max="2818" width="66.28515625" style="2524" bestFit="1" customWidth="1"/>
    <col min="2819" max="2819" width="10" style="2524" bestFit="1" customWidth="1"/>
    <col min="2820" max="2821" width="8.5703125" style="2524" bestFit="1" customWidth="1"/>
    <col min="2822" max="2822" width="17.42578125" style="2524" bestFit="1" customWidth="1"/>
    <col min="2823" max="2823" width="17.28515625" style="2524" bestFit="1" customWidth="1"/>
    <col min="2824" max="2825" width="10.7109375" style="2524" customWidth="1"/>
    <col min="2826" max="2827" width="10.7109375" style="2524" bestFit="1" customWidth="1"/>
    <col min="2828" max="2828" width="10.7109375" style="2524" customWidth="1"/>
    <col min="2829" max="2831" width="10.7109375" style="2524" bestFit="1" customWidth="1"/>
    <col min="2832" max="2833" width="10.7109375" style="2524" customWidth="1"/>
    <col min="2834" max="2835" width="10.7109375" style="2524" bestFit="1" customWidth="1"/>
    <col min="2836" max="3072" width="9.140625" style="2524"/>
    <col min="3073" max="3073" width="14.140625" style="2524" customWidth="1"/>
    <col min="3074" max="3074" width="66.28515625" style="2524" bestFit="1" customWidth="1"/>
    <col min="3075" max="3075" width="10" style="2524" bestFit="1" customWidth="1"/>
    <col min="3076" max="3077" width="8.5703125" style="2524" bestFit="1" customWidth="1"/>
    <col min="3078" max="3078" width="17.42578125" style="2524" bestFit="1" customWidth="1"/>
    <col min="3079" max="3079" width="17.28515625" style="2524" bestFit="1" customWidth="1"/>
    <col min="3080" max="3081" width="10.7109375" style="2524" customWidth="1"/>
    <col min="3082" max="3083" width="10.7109375" style="2524" bestFit="1" customWidth="1"/>
    <col min="3084" max="3084" width="10.7109375" style="2524" customWidth="1"/>
    <col min="3085" max="3087" width="10.7109375" style="2524" bestFit="1" customWidth="1"/>
    <col min="3088" max="3089" width="10.7109375" style="2524" customWidth="1"/>
    <col min="3090" max="3091" width="10.7109375" style="2524" bestFit="1" customWidth="1"/>
    <col min="3092" max="3328" width="9.140625" style="2524"/>
    <col min="3329" max="3329" width="14.140625" style="2524" customWidth="1"/>
    <col min="3330" max="3330" width="66.28515625" style="2524" bestFit="1" customWidth="1"/>
    <col min="3331" max="3331" width="10" style="2524" bestFit="1" customWidth="1"/>
    <col min="3332" max="3333" width="8.5703125" style="2524" bestFit="1" customWidth="1"/>
    <col min="3334" max="3334" width="17.42578125" style="2524" bestFit="1" customWidth="1"/>
    <col min="3335" max="3335" width="17.28515625" style="2524" bestFit="1" customWidth="1"/>
    <col min="3336" max="3337" width="10.7109375" style="2524" customWidth="1"/>
    <col min="3338" max="3339" width="10.7109375" style="2524" bestFit="1" customWidth="1"/>
    <col min="3340" max="3340" width="10.7109375" style="2524" customWidth="1"/>
    <col min="3341" max="3343" width="10.7109375" style="2524" bestFit="1" customWidth="1"/>
    <col min="3344" max="3345" width="10.7109375" style="2524" customWidth="1"/>
    <col min="3346" max="3347" width="10.7109375" style="2524" bestFit="1" customWidth="1"/>
    <col min="3348" max="3584" width="9.140625" style="2524"/>
    <col min="3585" max="3585" width="14.140625" style="2524" customWidth="1"/>
    <col min="3586" max="3586" width="66.28515625" style="2524" bestFit="1" customWidth="1"/>
    <col min="3587" max="3587" width="10" style="2524" bestFit="1" customWidth="1"/>
    <col min="3588" max="3589" width="8.5703125" style="2524" bestFit="1" customWidth="1"/>
    <col min="3590" max="3590" width="17.42578125" style="2524" bestFit="1" customWidth="1"/>
    <col min="3591" max="3591" width="17.28515625" style="2524" bestFit="1" customWidth="1"/>
    <col min="3592" max="3593" width="10.7109375" style="2524" customWidth="1"/>
    <col min="3594" max="3595" width="10.7109375" style="2524" bestFit="1" customWidth="1"/>
    <col min="3596" max="3596" width="10.7109375" style="2524" customWidth="1"/>
    <col min="3597" max="3599" width="10.7109375" style="2524" bestFit="1" customWidth="1"/>
    <col min="3600" max="3601" width="10.7109375" style="2524" customWidth="1"/>
    <col min="3602" max="3603" width="10.7109375" style="2524" bestFit="1" customWidth="1"/>
    <col min="3604" max="3840" width="9.140625" style="2524"/>
    <col min="3841" max="3841" width="14.140625" style="2524" customWidth="1"/>
    <col min="3842" max="3842" width="66.28515625" style="2524" bestFit="1" customWidth="1"/>
    <col min="3843" max="3843" width="10" style="2524" bestFit="1" customWidth="1"/>
    <col min="3844" max="3845" width="8.5703125" style="2524" bestFit="1" customWidth="1"/>
    <col min="3846" max="3846" width="17.42578125" style="2524" bestFit="1" customWidth="1"/>
    <col min="3847" max="3847" width="17.28515625" style="2524" bestFit="1" customWidth="1"/>
    <col min="3848" max="3849" width="10.7109375" style="2524" customWidth="1"/>
    <col min="3850" max="3851" width="10.7109375" style="2524" bestFit="1" customWidth="1"/>
    <col min="3852" max="3852" width="10.7109375" style="2524" customWidth="1"/>
    <col min="3853" max="3855" width="10.7109375" style="2524" bestFit="1" customWidth="1"/>
    <col min="3856" max="3857" width="10.7109375" style="2524" customWidth="1"/>
    <col min="3858" max="3859" width="10.7109375" style="2524" bestFit="1" customWidth="1"/>
    <col min="3860" max="4096" width="9.140625" style="2524"/>
    <col min="4097" max="4097" width="14.140625" style="2524" customWidth="1"/>
    <col min="4098" max="4098" width="66.28515625" style="2524" bestFit="1" customWidth="1"/>
    <col min="4099" max="4099" width="10" style="2524" bestFit="1" customWidth="1"/>
    <col min="4100" max="4101" width="8.5703125" style="2524" bestFit="1" customWidth="1"/>
    <col min="4102" max="4102" width="17.42578125" style="2524" bestFit="1" customWidth="1"/>
    <col min="4103" max="4103" width="17.28515625" style="2524" bestFit="1" customWidth="1"/>
    <col min="4104" max="4105" width="10.7109375" style="2524" customWidth="1"/>
    <col min="4106" max="4107" width="10.7109375" style="2524" bestFit="1" customWidth="1"/>
    <col min="4108" max="4108" width="10.7109375" style="2524" customWidth="1"/>
    <col min="4109" max="4111" width="10.7109375" style="2524" bestFit="1" customWidth="1"/>
    <col min="4112" max="4113" width="10.7109375" style="2524" customWidth="1"/>
    <col min="4114" max="4115" width="10.7109375" style="2524" bestFit="1" customWidth="1"/>
    <col min="4116" max="4352" width="9.140625" style="2524"/>
    <col min="4353" max="4353" width="14.140625" style="2524" customWidth="1"/>
    <col min="4354" max="4354" width="66.28515625" style="2524" bestFit="1" customWidth="1"/>
    <col min="4355" max="4355" width="10" style="2524" bestFit="1" customWidth="1"/>
    <col min="4356" max="4357" width="8.5703125" style="2524" bestFit="1" customWidth="1"/>
    <col min="4358" max="4358" width="17.42578125" style="2524" bestFit="1" customWidth="1"/>
    <col min="4359" max="4359" width="17.28515625" style="2524" bestFit="1" customWidth="1"/>
    <col min="4360" max="4361" width="10.7109375" style="2524" customWidth="1"/>
    <col min="4362" max="4363" width="10.7109375" style="2524" bestFit="1" customWidth="1"/>
    <col min="4364" max="4364" width="10.7109375" style="2524" customWidth="1"/>
    <col min="4365" max="4367" width="10.7109375" style="2524" bestFit="1" customWidth="1"/>
    <col min="4368" max="4369" width="10.7109375" style="2524" customWidth="1"/>
    <col min="4370" max="4371" width="10.7109375" style="2524" bestFit="1" customWidth="1"/>
    <col min="4372" max="4608" width="9.140625" style="2524"/>
    <col min="4609" max="4609" width="14.140625" style="2524" customWidth="1"/>
    <col min="4610" max="4610" width="66.28515625" style="2524" bestFit="1" customWidth="1"/>
    <col min="4611" max="4611" width="10" style="2524" bestFit="1" customWidth="1"/>
    <col min="4612" max="4613" width="8.5703125" style="2524" bestFit="1" customWidth="1"/>
    <col min="4614" max="4614" width="17.42578125" style="2524" bestFit="1" customWidth="1"/>
    <col min="4615" max="4615" width="17.28515625" style="2524" bestFit="1" customWidth="1"/>
    <col min="4616" max="4617" width="10.7109375" style="2524" customWidth="1"/>
    <col min="4618" max="4619" width="10.7109375" style="2524" bestFit="1" customWidth="1"/>
    <col min="4620" max="4620" width="10.7109375" style="2524" customWidth="1"/>
    <col min="4621" max="4623" width="10.7109375" style="2524" bestFit="1" customWidth="1"/>
    <col min="4624" max="4625" width="10.7109375" style="2524" customWidth="1"/>
    <col min="4626" max="4627" width="10.7109375" style="2524" bestFit="1" customWidth="1"/>
    <col min="4628" max="4864" width="9.140625" style="2524"/>
    <col min="4865" max="4865" width="14.140625" style="2524" customWidth="1"/>
    <col min="4866" max="4866" width="66.28515625" style="2524" bestFit="1" customWidth="1"/>
    <col min="4867" max="4867" width="10" style="2524" bestFit="1" customWidth="1"/>
    <col min="4868" max="4869" width="8.5703125" style="2524" bestFit="1" customWidth="1"/>
    <col min="4870" max="4870" width="17.42578125" style="2524" bestFit="1" customWidth="1"/>
    <col min="4871" max="4871" width="17.28515625" style="2524" bestFit="1" customWidth="1"/>
    <col min="4872" max="4873" width="10.7109375" style="2524" customWidth="1"/>
    <col min="4874" max="4875" width="10.7109375" style="2524" bestFit="1" customWidth="1"/>
    <col min="4876" max="4876" width="10.7109375" style="2524" customWidth="1"/>
    <col min="4877" max="4879" width="10.7109375" style="2524" bestFit="1" customWidth="1"/>
    <col min="4880" max="4881" width="10.7109375" style="2524" customWidth="1"/>
    <col min="4882" max="4883" width="10.7109375" style="2524" bestFit="1" customWidth="1"/>
    <col min="4884" max="5120" width="9.140625" style="2524"/>
    <col min="5121" max="5121" width="14.140625" style="2524" customWidth="1"/>
    <col min="5122" max="5122" width="66.28515625" style="2524" bestFit="1" customWidth="1"/>
    <col min="5123" max="5123" width="10" style="2524" bestFit="1" customWidth="1"/>
    <col min="5124" max="5125" width="8.5703125" style="2524" bestFit="1" customWidth="1"/>
    <col min="5126" max="5126" width="17.42578125" style="2524" bestFit="1" customWidth="1"/>
    <col min="5127" max="5127" width="17.28515625" style="2524" bestFit="1" customWidth="1"/>
    <col min="5128" max="5129" width="10.7109375" style="2524" customWidth="1"/>
    <col min="5130" max="5131" width="10.7109375" style="2524" bestFit="1" customWidth="1"/>
    <col min="5132" max="5132" width="10.7109375" style="2524" customWidth="1"/>
    <col min="5133" max="5135" width="10.7109375" style="2524" bestFit="1" customWidth="1"/>
    <col min="5136" max="5137" width="10.7109375" style="2524" customWidth="1"/>
    <col min="5138" max="5139" width="10.7109375" style="2524" bestFit="1" customWidth="1"/>
    <col min="5140" max="5376" width="9.140625" style="2524"/>
    <col min="5377" max="5377" width="14.140625" style="2524" customWidth="1"/>
    <col min="5378" max="5378" width="66.28515625" style="2524" bestFit="1" customWidth="1"/>
    <col min="5379" max="5379" width="10" style="2524" bestFit="1" customWidth="1"/>
    <col min="5380" max="5381" width="8.5703125" style="2524" bestFit="1" customWidth="1"/>
    <col min="5382" max="5382" width="17.42578125" style="2524" bestFit="1" customWidth="1"/>
    <col min="5383" max="5383" width="17.28515625" style="2524" bestFit="1" customWidth="1"/>
    <col min="5384" max="5385" width="10.7109375" style="2524" customWidth="1"/>
    <col min="5386" max="5387" width="10.7109375" style="2524" bestFit="1" customWidth="1"/>
    <col min="5388" max="5388" width="10.7109375" style="2524" customWidth="1"/>
    <col min="5389" max="5391" width="10.7109375" style="2524" bestFit="1" customWidth="1"/>
    <col min="5392" max="5393" width="10.7109375" style="2524" customWidth="1"/>
    <col min="5394" max="5395" width="10.7109375" style="2524" bestFit="1" customWidth="1"/>
    <col min="5396" max="5632" width="9.140625" style="2524"/>
    <col min="5633" max="5633" width="14.140625" style="2524" customWidth="1"/>
    <col min="5634" max="5634" width="66.28515625" style="2524" bestFit="1" customWidth="1"/>
    <col min="5635" max="5635" width="10" style="2524" bestFit="1" customWidth="1"/>
    <col min="5636" max="5637" width="8.5703125" style="2524" bestFit="1" customWidth="1"/>
    <col min="5638" max="5638" width="17.42578125" style="2524" bestFit="1" customWidth="1"/>
    <col min="5639" max="5639" width="17.28515625" style="2524" bestFit="1" customWidth="1"/>
    <col min="5640" max="5641" width="10.7109375" style="2524" customWidth="1"/>
    <col min="5642" max="5643" width="10.7109375" style="2524" bestFit="1" customWidth="1"/>
    <col min="5644" max="5644" width="10.7109375" style="2524" customWidth="1"/>
    <col min="5645" max="5647" width="10.7109375" style="2524" bestFit="1" customWidth="1"/>
    <col min="5648" max="5649" width="10.7109375" style="2524" customWidth="1"/>
    <col min="5650" max="5651" width="10.7109375" style="2524" bestFit="1" customWidth="1"/>
    <col min="5652" max="5888" width="9.140625" style="2524"/>
    <col min="5889" max="5889" width="14.140625" style="2524" customWidth="1"/>
    <col min="5890" max="5890" width="66.28515625" style="2524" bestFit="1" customWidth="1"/>
    <col min="5891" max="5891" width="10" style="2524" bestFit="1" customWidth="1"/>
    <col min="5892" max="5893" width="8.5703125" style="2524" bestFit="1" customWidth="1"/>
    <col min="5894" max="5894" width="17.42578125" style="2524" bestFit="1" customWidth="1"/>
    <col min="5895" max="5895" width="17.28515625" style="2524" bestFit="1" customWidth="1"/>
    <col min="5896" max="5897" width="10.7109375" style="2524" customWidth="1"/>
    <col min="5898" max="5899" width="10.7109375" style="2524" bestFit="1" customWidth="1"/>
    <col min="5900" max="5900" width="10.7109375" style="2524" customWidth="1"/>
    <col min="5901" max="5903" width="10.7109375" style="2524" bestFit="1" customWidth="1"/>
    <col min="5904" max="5905" width="10.7109375" style="2524" customWidth="1"/>
    <col min="5906" max="5907" width="10.7109375" style="2524" bestFit="1" customWidth="1"/>
    <col min="5908" max="6144" width="9.140625" style="2524"/>
    <col min="6145" max="6145" width="14.140625" style="2524" customWidth="1"/>
    <col min="6146" max="6146" width="66.28515625" style="2524" bestFit="1" customWidth="1"/>
    <col min="6147" max="6147" width="10" style="2524" bestFit="1" customWidth="1"/>
    <col min="6148" max="6149" width="8.5703125" style="2524" bestFit="1" customWidth="1"/>
    <col min="6150" max="6150" width="17.42578125" style="2524" bestFit="1" customWidth="1"/>
    <col min="6151" max="6151" width="17.28515625" style="2524" bestFit="1" customWidth="1"/>
    <col min="6152" max="6153" width="10.7109375" style="2524" customWidth="1"/>
    <col min="6154" max="6155" width="10.7109375" style="2524" bestFit="1" customWidth="1"/>
    <col min="6156" max="6156" width="10.7109375" style="2524" customWidth="1"/>
    <col min="6157" max="6159" width="10.7109375" style="2524" bestFit="1" customWidth="1"/>
    <col min="6160" max="6161" width="10.7109375" style="2524" customWidth="1"/>
    <col min="6162" max="6163" width="10.7109375" style="2524" bestFit="1" customWidth="1"/>
    <col min="6164" max="6400" width="9.140625" style="2524"/>
    <col min="6401" max="6401" width="14.140625" style="2524" customWidth="1"/>
    <col min="6402" max="6402" width="66.28515625" style="2524" bestFit="1" customWidth="1"/>
    <col min="6403" max="6403" width="10" style="2524" bestFit="1" customWidth="1"/>
    <col min="6404" max="6405" width="8.5703125" style="2524" bestFit="1" customWidth="1"/>
    <col min="6406" max="6406" width="17.42578125" style="2524" bestFit="1" customWidth="1"/>
    <col min="6407" max="6407" width="17.28515625" style="2524" bestFit="1" customWidth="1"/>
    <col min="6408" max="6409" width="10.7109375" style="2524" customWidth="1"/>
    <col min="6410" max="6411" width="10.7109375" style="2524" bestFit="1" customWidth="1"/>
    <col min="6412" max="6412" width="10.7109375" style="2524" customWidth="1"/>
    <col min="6413" max="6415" width="10.7109375" style="2524" bestFit="1" customWidth="1"/>
    <col min="6416" max="6417" width="10.7109375" style="2524" customWidth="1"/>
    <col min="6418" max="6419" width="10.7109375" style="2524" bestFit="1" customWidth="1"/>
    <col min="6420" max="6656" width="9.140625" style="2524"/>
    <col min="6657" max="6657" width="14.140625" style="2524" customWidth="1"/>
    <col min="6658" max="6658" width="66.28515625" style="2524" bestFit="1" customWidth="1"/>
    <col min="6659" max="6659" width="10" style="2524" bestFit="1" customWidth="1"/>
    <col min="6660" max="6661" width="8.5703125" style="2524" bestFit="1" customWidth="1"/>
    <col min="6662" max="6662" width="17.42578125" style="2524" bestFit="1" customWidth="1"/>
    <col min="6663" max="6663" width="17.28515625" style="2524" bestFit="1" customWidth="1"/>
    <col min="6664" max="6665" width="10.7109375" style="2524" customWidth="1"/>
    <col min="6666" max="6667" width="10.7109375" style="2524" bestFit="1" customWidth="1"/>
    <col min="6668" max="6668" width="10.7109375" style="2524" customWidth="1"/>
    <col min="6669" max="6671" width="10.7109375" style="2524" bestFit="1" customWidth="1"/>
    <col min="6672" max="6673" width="10.7109375" style="2524" customWidth="1"/>
    <col min="6674" max="6675" width="10.7109375" style="2524" bestFit="1" customWidth="1"/>
    <col min="6676" max="6912" width="9.140625" style="2524"/>
    <col min="6913" max="6913" width="14.140625" style="2524" customWidth="1"/>
    <col min="6914" max="6914" width="66.28515625" style="2524" bestFit="1" customWidth="1"/>
    <col min="6915" max="6915" width="10" style="2524" bestFit="1" customWidth="1"/>
    <col min="6916" max="6917" width="8.5703125" style="2524" bestFit="1" customWidth="1"/>
    <col min="6918" max="6918" width="17.42578125" style="2524" bestFit="1" customWidth="1"/>
    <col min="6919" max="6919" width="17.28515625" style="2524" bestFit="1" customWidth="1"/>
    <col min="6920" max="6921" width="10.7109375" style="2524" customWidth="1"/>
    <col min="6922" max="6923" width="10.7109375" style="2524" bestFit="1" customWidth="1"/>
    <col min="6924" max="6924" width="10.7109375" style="2524" customWidth="1"/>
    <col min="6925" max="6927" width="10.7109375" style="2524" bestFit="1" customWidth="1"/>
    <col min="6928" max="6929" width="10.7109375" style="2524" customWidth="1"/>
    <col min="6930" max="6931" width="10.7109375" style="2524" bestFit="1" customWidth="1"/>
    <col min="6932" max="7168" width="9.140625" style="2524"/>
    <col min="7169" max="7169" width="14.140625" style="2524" customWidth="1"/>
    <col min="7170" max="7170" width="66.28515625" style="2524" bestFit="1" customWidth="1"/>
    <col min="7171" max="7171" width="10" style="2524" bestFit="1" customWidth="1"/>
    <col min="7172" max="7173" width="8.5703125" style="2524" bestFit="1" customWidth="1"/>
    <col min="7174" max="7174" width="17.42578125" style="2524" bestFit="1" customWidth="1"/>
    <col min="7175" max="7175" width="17.28515625" style="2524" bestFit="1" customWidth="1"/>
    <col min="7176" max="7177" width="10.7109375" style="2524" customWidth="1"/>
    <col min="7178" max="7179" width="10.7109375" style="2524" bestFit="1" customWidth="1"/>
    <col min="7180" max="7180" width="10.7109375" style="2524" customWidth="1"/>
    <col min="7181" max="7183" width="10.7109375" style="2524" bestFit="1" customWidth="1"/>
    <col min="7184" max="7185" width="10.7109375" style="2524" customWidth="1"/>
    <col min="7186" max="7187" width="10.7109375" style="2524" bestFit="1" customWidth="1"/>
    <col min="7188" max="7424" width="9.140625" style="2524"/>
    <col min="7425" max="7425" width="14.140625" style="2524" customWidth="1"/>
    <col min="7426" max="7426" width="66.28515625" style="2524" bestFit="1" customWidth="1"/>
    <col min="7427" max="7427" width="10" style="2524" bestFit="1" customWidth="1"/>
    <col min="7428" max="7429" width="8.5703125" style="2524" bestFit="1" customWidth="1"/>
    <col min="7430" max="7430" width="17.42578125" style="2524" bestFit="1" customWidth="1"/>
    <col min="7431" max="7431" width="17.28515625" style="2524" bestFit="1" customWidth="1"/>
    <col min="7432" max="7433" width="10.7109375" style="2524" customWidth="1"/>
    <col min="7434" max="7435" width="10.7109375" style="2524" bestFit="1" customWidth="1"/>
    <col min="7436" max="7436" width="10.7109375" style="2524" customWidth="1"/>
    <col min="7437" max="7439" width="10.7109375" style="2524" bestFit="1" customWidth="1"/>
    <col min="7440" max="7441" width="10.7109375" style="2524" customWidth="1"/>
    <col min="7442" max="7443" width="10.7109375" style="2524" bestFit="1" customWidth="1"/>
    <col min="7444" max="7680" width="9.140625" style="2524"/>
    <col min="7681" max="7681" width="14.140625" style="2524" customWidth="1"/>
    <col min="7682" max="7682" width="66.28515625" style="2524" bestFit="1" customWidth="1"/>
    <col min="7683" max="7683" width="10" style="2524" bestFit="1" customWidth="1"/>
    <col min="7684" max="7685" width="8.5703125" style="2524" bestFit="1" customWidth="1"/>
    <col min="7686" max="7686" width="17.42578125" style="2524" bestFit="1" customWidth="1"/>
    <col min="7687" max="7687" width="17.28515625" style="2524" bestFit="1" customWidth="1"/>
    <col min="7688" max="7689" width="10.7109375" style="2524" customWidth="1"/>
    <col min="7690" max="7691" width="10.7109375" style="2524" bestFit="1" customWidth="1"/>
    <col min="7692" max="7692" width="10.7109375" style="2524" customWidth="1"/>
    <col min="7693" max="7695" width="10.7109375" style="2524" bestFit="1" customWidth="1"/>
    <col min="7696" max="7697" width="10.7109375" style="2524" customWidth="1"/>
    <col min="7698" max="7699" width="10.7109375" style="2524" bestFit="1" customWidth="1"/>
    <col min="7700" max="7936" width="9.140625" style="2524"/>
    <col min="7937" max="7937" width="14.140625" style="2524" customWidth="1"/>
    <col min="7938" max="7938" width="66.28515625" style="2524" bestFit="1" customWidth="1"/>
    <col min="7939" max="7939" width="10" style="2524" bestFit="1" customWidth="1"/>
    <col min="7940" max="7941" width="8.5703125" style="2524" bestFit="1" customWidth="1"/>
    <col min="7942" max="7942" width="17.42578125" style="2524" bestFit="1" customWidth="1"/>
    <col min="7943" max="7943" width="17.28515625" style="2524" bestFit="1" customWidth="1"/>
    <col min="7944" max="7945" width="10.7109375" style="2524" customWidth="1"/>
    <col min="7946" max="7947" width="10.7109375" style="2524" bestFit="1" customWidth="1"/>
    <col min="7948" max="7948" width="10.7109375" style="2524" customWidth="1"/>
    <col min="7949" max="7951" width="10.7109375" style="2524" bestFit="1" customWidth="1"/>
    <col min="7952" max="7953" width="10.7109375" style="2524" customWidth="1"/>
    <col min="7954" max="7955" width="10.7109375" style="2524" bestFit="1" customWidth="1"/>
    <col min="7956" max="8192" width="9.140625" style="2524"/>
    <col min="8193" max="8193" width="14.140625" style="2524" customWidth="1"/>
    <col min="8194" max="8194" width="66.28515625" style="2524" bestFit="1" customWidth="1"/>
    <col min="8195" max="8195" width="10" style="2524" bestFit="1" customWidth="1"/>
    <col min="8196" max="8197" width="8.5703125" style="2524" bestFit="1" customWidth="1"/>
    <col min="8198" max="8198" width="17.42578125" style="2524" bestFit="1" customWidth="1"/>
    <col min="8199" max="8199" width="17.28515625" style="2524" bestFit="1" customWidth="1"/>
    <col min="8200" max="8201" width="10.7109375" style="2524" customWidth="1"/>
    <col min="8202" max="8203" width="10.7109375" style="2524" bestFit="1" customWidth="1"/>
    <col min="8204" max="8204" width="10.7109375" style="2524" customWidth="1"/>
    <col min="8205" max="8207" width="10.7109375" style="2524" bestFit="1" customWidth="1"/>
    <col min="8208" max="8209" width="10.7109375" style="2524" customWidth="1"/>
    <col min="8210" max="8211" width="10.7109375" style="2524" bestFit="1" customWidth="1"/>
    <col min="8212" max="8448" width="9.140625" style="2524"/>
    <col min="8449" max="8449" width="14.140625" style="2524" customWidth="1"/>
    <col min="8450" max="8450" width="66.28515625" style="2524" bestFit="1" customWidth="1"/>
    <col min="8451" max="8451" width="10" style="2524" bestFit="1" customWidth="1"/>
    <col min="8452" max="8453" width="8.5703125" style="2524" bestFit="1" customWidth="1"/>
    <col min="8454" max="8454" width="17.42578125" style="2524" bestFit="1" customWidth="1"/>
    <col min="8455" max="8455" width="17.28515625" style="2524" bestFit="1" customWidth="1"/>
    <col min="8456" max="8457" width="10.7109375" style="2524" customWidth="1"/>
    <col min="8458" max="8459" width="10.7109375" style="2524" bestFit="1" customWidth="1"/>
    <col min="8460" max="8460" width="10.7109375" style="2524" customWidth="1"/>
    <col min="8461" max="8463" width="10.7109375" style="2524" bestFit="1" customWidth="1"/>
    <col min="8464" max="8465" width="10.7109375" style="2524" customWidth="1"/>
    <col min="8466" max="8467" width="10.7109375" style="2524" bestFit="1" customWidth="1"/>
    <col min="8468" max="8704" width="9.140625" style="2524"/>
    <col min="8705" max="8705" width="14.140625" style="2524" customWidth="1"/>
    <col min="8706" max="8706" width="66.28515625" style="2524" bestFit="1" customWidth="1"/>
    <col min="8707" max="8707" width="10" style="2524" bestFit="1" customWidth="1"/>
    <col min="8708" max="8709" width="8.5703125" style="2524" bestFit="1" customWidth="1"/>
    <col min="8710" max="8710" width="17.42578125" style="2524" bestFit="1" customWidth="1"/>
    <col min="8711" max="8711" width="17.28515625" style="2524" bestFit="1" customWidth="1"/>
    <col min="8712" max="8713" width="10.7109375" style="2524" customWidth="1"/>
    <col min="8714" max="8715" width="10.7109375" style="2524" bestFit="1" customWidth="1"/>
    <col min="8716" max="8716" width="10.7109375" style="2524" customWidth="1"/>
    <col min="8717" max="8719" width="10.7109375" style="2524" bestFit="1" customWidth="1"/>
    <col min="8720" max="8721" width="10.7109375" style="2524" customWidth="1"/>
    <col min="8722" max="8723" width="10.7109375" style="2524" bestFit="1" customWidth="1"/>
    <col min="8724" max="8960" width="9.140625" style="2524"/>
    <col min="8961" max="8961" width="14.140625" style="2524" customWidth="1"/>
    <col min="8962" max="8962" width="66.28515625" style="2524" bestFit="1" customWidth="1"/>
    <col min="8963" max="8963" width="10" style="2524" bestFit="1" customWidth="1"/>
    <col min="8964" max="8965" width="8.5703125" style="2524" bestFit="1" customWidth="1"/>
    <col min="8966" max="8966" width="17.42578125" style="2524" bestFit="1" customWidth="1"/>
    <col min="8967" max="8967" width="17.28515625" style="2524" bestFit="1" customWidth="1"/>
    <col min="8968" max="8969" width="10.7109375" style="2524" customWidth="1"/>
    <col min="8970" max="8971" width="10.7109375" style="2524" bestFit="1" customWidth="1"/>
    <col min="8972" max="8972" width="10.7109375" style="2524" customWidth="1"/>
    <col min="8973" max="8975" width="10.7109375" style="2524" bestFit="1" customWidth="1"/>
    <col min="8976" max="8977" width="10.7109375" style="2524" customWidth="1"/>
    <col min="8978" max="8979" width="10.7109375" style="2524" bestFit="1" customWidth="1"/>
    <col min="8980" max="9216" width="9.140625" style="2524"/>
    <col min="9217" max="9217" width="14.140625" style="2524" customWidth="1"/>
    <col min="9218" max="9218" width="66.28515625" style="2524" bestFit="1" customWidth="1"/>
    <col min="9219" max="9219" width="10" style="2524" bestFit="1" customWidth="1"/>
    <col min="9220" max="9221" width="8.5703125" style="2524" bestFit="1" customWidth="1"/>
    <col min="9222" max="9222" width="17.42578125" style="2524" bestFit="1" customWidth="1"/>
    <col min="9223" max="9223" width="17.28515625" style="2524" bestFit="1" customWidth="1"/>
    <col min="9224" max="9225" width="10.7109375" style="2524" customWidth="1"/>
    <col min="9226" max="9227" width="10.7109375" style="2524" bestFit="1" customWidth="1"/>
    <col min="9228" max="9228" width="10.7109375" style="2524" customWidth="1"/>
    <col min="9229" max="9231" width="10.7109375" style="2524" bestFit="1" customWidth="1"/>
    <col min="9232" max="9233" width="10.7109375" style="2524" customWidth="1"/>
    <col min="9234" max="9235" width="10.7109375" style="2524" bestFit="1" customWidth="1"/>
    <col min="9236" max="9472" width="9.140625" style="2524"/>
    <col min="9473" max="9473" width="14.140625" style="2524" customWidth="1"/>
    <col min="9474" max="9474" width="66.28515625" style="2524" bestFit="1" customWidth="1"/>
    <col min="9475" max="9475" width="10" style="2524" bestFit="1" customWidth="1"/>
    <col min="9476" max="9477" width="8.5703125" style="2524" bestFit="1" customWidth="1"/>
    <col min="9478" max="9478" width="17.42578125" style="2524" bestFit="1" customWidth="1"/>
    <col min="9479" max="9479" width="17.28515625" style="2524" bestFit="1" customWidth="1"/>
    <col min="9480" max="9481" width="10.7109375" style="2524" customWidth="1"/>
    <col min="9482" max="9483" width="10.7109375" style="2524" bestFit="1" customWidth="1"/>
    <col min="9484" max="9484" width="10.7109375" style="2524" customWidth="1"/>
    <col min="9485" max="9487" width="10.7109375" style="2524" bestFit="1" customWidth="1"/>
    <col min="9488" max="9489" width="10.7109375" style="2524" customWidth="1"/>
    <col min="9490" max="9491" width="10.7109375" style="2524" bestFit="1" customWidth="1"/>
    <col min="9492" max="9728" width="9.140625" style="2524"/>
    <col min="9729" max="9729" width="14.140625" style="2524" customWidth="1"/>
    <col min="9730" max="9730" width="66.28515625" style="2524" bestFit="1" customWidth="1"/>
    <col min="9731" max="9731" width="10" style="2524" bestFit="1" customWidth="1"/>
    <col min="9732" max="9733" width="8.5703125" style="2524" bestFit="1" customWidth="1"/>
    <col min="9734" max="9734" width="17.42578125" style="2524" bestFit="1" customWidth="1"/>
    <col min="9735" max="9735" width="17.28515625" style="2524" bestFit="1" customWidth="1"/>
    <col min="9736" max="9737" width="10.7109375" style="2524" customWidth="1"/>
    <col min="9738" max="9739" width="10.7109375" style="2524" bestFit="1" customWidth="1"/>
    <col min="9740" max="9740" width="10.7109375" style="2524" customWidth="1"/>
    <col min="9741" max="9743" width="10.7109375" style="2524" bestFit="1" customWidth="1"/>
    <col min="9744" max="9745" width="10.7109375" style="2524" customWidth="1"/>
    <col min="9746" max="9747" width="10.7109375" style="2524" bestFit="1" customWidth="1"/>
    <col min="9748" max="9984" width="9.140625" style="2524"/>
    <col min="9985" max="9985" width="14.140625" style="2524" customWidth="1"/>
    <col min="9986" max="9986" width="66.28515625" style="2524" bestFit="1" customWidth="1"/>
    <col min="9987" max="9987" width="10" style="2524" bestFit="1" customWidth="1"/>
    <col min="9988" max="9989" width="8.5703125" style="2524" bestFit="1" customWidth="1"/>
    <col min="9990" max="9990" width="17.42578125" style="2524" bestFit="1" customWidth="1"/>
    <col min="9991" max="9991" width="17.28515625" style="2524" bestFit="1" customWidth="1"/>
    <col min="9992" max="9993" width="10.7109375" style="2524" customWidth="1"/>
    <col min="9994" max="9995" width="10.7109375" style="2524" bestFit="1" customWidth="1"/>
    <col min="9996" max="9996" width="10.7109375" style="2524" customWidth="1"/>
    <col min="9997" max="9999" width="10.7109375" style="2524" bestFit="1" customWidth="1"/>
    <col min="10000" max="10001" width="10.7109375" style="2524" customWidth="1"/>
    <col min="10002" max="10003" width="10.7109375" style="2524" bestFit="1" customWidth="1"/>
    <col min="10004" max="10240" width="9.140625" style="2524"/>
    <col min="10241" max="10241" width="14.140625" style="2524" customWidth="1"/>
    <col min="10242" max="10242" width="66.28515625" style="2524" bestFit="1" customWidth="1"/>
    <col min="10243" max="10243" width="10" style="2524" bestFit="1" customWidth="1"/>
    <col min="10244" max="10245" width="8.5703125" style="2524" bestFit="1" customWidth="1"/>
    <col min="10246" max="10246" width="17.42578125" style="2524" bestFit="1" customWidth="1"/>
    <col min="10247" max="10247" width="17.28515625" style="2524" bestFit="1" customWidth="1"/>
    <col min="10248" max="10249" width="10.7109375" style="2524" customWidth="1"/>
    <col min="10250" max="10251" width="10.7109375" style="2524" bestFit="1" customWidth="1"/>
    <col min="10252" max="10252" width="10.7109375" style="2524" customWidth="1"/>
    <col min="10253" max="10255" width="10.7109375" style="2524" bestFit="1" customWidth="1"/>
    <col min="10256" max="10257" width="10.7109375" style="2524" customWidth="1"/>
    <col min="10258" max="10259" width="10.7109375" style="2524" bestFit="1" customWidth="1"/>
    <col min="10260" max="10496" width="9.140625" style="2524"/>
    <col min="10497" max="10497" width="14.140625" style="2524" customWidth="1"/>
    <col min="10498" max="10498" width="66.28515625" style="2524" bestFit="1" customWidth="1"/>
    <col min="10499" max="10499" width="10" style="2524" bestFit="1" customWidth="1"/>
    <col min="10500" max="10501" width="8.5703125" style="2524" bestFit="1" customWidth="1"/>
    <col min="10502" max="10502" width="17.42578125" style="2524" bestFit="1" customWidth="1"/>
    <col min="10503" max="10503" width="17.28515625" style="2524" bestFit="1" customWidth="1"/>
    <col min="10504" max="10505" width="10.7109375" style="2524" customWidth="1"/>
    <col min="10506" max="10507" width="10.7109375" style="2524" bestFit="1" customWidth="1"/>
    <col min="10508" max="10508" width="10.7109375" style="2524" customWidth="1"/>
    <col min="10509" max="10511" width="10.7109375" style="2524" bestFit="1" customWidth="1"/>
    <col min="10512" max="10513" width="10.7109375" style="2524" customWidth="1"/>
    <col min="10514" max="10515" width="10.7109375" style="2524" bestFit="1" customWidth="1"/>
    <col min="10516" max="10752" width="9.140625" style="2524"/>
    <col min="10753" max="10753" width="14.140625" style="2524" customWidth="1"/>
    <col min="10754" max="10754" width="66.28515625" style="2524" bestFit="1" customWidth="1"/>
    <col min="10755" max="10755" width="10" style="2524" bestFit="1" customWidth="1"/>
    <col min="10756" max="10757" width="8.5703125" style="2524" bestFit="1" customWidth="1"/>
    <col min="10758" max="10758" width="17.42578125" style="2524" bestFit="1" customWidth="1"/>
    <col min="10759" max="10759" width="17.28515625" style="2524" bestFit="1" customWidth="1"/>
    <col min="10760" max="10761" width="10.7109375" style="2524" customWidth="1"/>
    <col min="10762" max="10763" width="10.7109375" style="2524" bestFit="1" customWidth="1"/>
    <col min="10764" max="10764" width="10.7109375" style="2524" customWidth="1"/>
    <col min="10765" max="10767" width="10.7109375" style="2524" bestFit="1" customWidth="1"/>
    <col min="10768" max="10769" width="10.7109375" style="2524" customWidth="1"/>
    <col min="10770" max="10771" width="10.7109375" style="2524" bestFit="1" customWidth="1"/>
    <col min="10772" max="11008" width="9.140625" style="2524"/>
    <col min="11009" max="11009" width="14.140625" style="2524" customWidth="1"/>
    <col min="11010" max="11010" width="66.28515625" style="2524" bestFit="1" customWidth="1"/>
    <col min="11011" max="11011" width="10" style="2524" bestFit="1" customWidth="1"/>
    <col min="11012" max="11013" width="8.5703125" style="2524" bestFit="1" customWidth="1"/>
    <col min="11014" max="11014" width="17.42578125" style="2524" bestFit="1" customWidth="1"/>
    <col min="11015" max="11015" width="17.28515625" style="2524" bestFit="1" customWidth="1"/>
    <col min="11016" max="11017" width="10.7109375" style="2524" customWidth="1"/>
    <col min="11018" max="11019" width="10.7109375" style="2524" bestFit="1" customWidth="1"/>
    <col min="11020" max="11020" width="10.7109375" style="2524" customWidth="1"/>
    <col min="11021" max="11023" width="10.7109375" style="2524" bestFit="1" customWidth="1"/>
    <col min="11024" max="11025" width="10.7109375" style="2524" customWidth="1"/>
    <col min="11026" max="11027" width="10.7109375" style="2524" bestFit="1" customWidth="1"/>
    <col min="11028" max="11264" width="9.140625" style="2524"/>
    <col min="11265" max="11265" width="14.140625" style="2524" customWidth="1"/>
    <col min="11266" max="11266" width="66.28515625" style="2524" bestFit="1" customWidth="1"/>
    <col min="11267" max="11267" width="10" style="2524" bestFit="1" customWidth="1"/>
    <col min="11268" max="11269" width="8.5703125" style="2524" bestFit="1" customWidth="1"/>
    <col min="11270" max="11270" width="17.42578125" style="2524" bestFit="1" customWidth="1"/>
    <col min="11271" max="11271" width="17.28515625" style="2524" bestFit="1" customWidth="1"/>
    <col min="11272" max="11273" width="10.7109375" style="2524" customWidth="1"/>
    <col min="11274" max="11275" width="10.7109375" style="2524" bestFit="1" customWidth="1"/>
    <col min="11276" max="11276" width="10.7109375" style="2524" customWidth="1"/>
    <col min="11277" max="11279" width="10.7109375" style="2524" bestFit="1" customWidth="1"/>
    <col min="11280" max="11281" width="10.7109375" style="2524" customWidth="1"/>
    <col min="11282" max="11283" width="10.7109375" style="2524" bestFit="1" customWidth="1"/>
    <col min="11284" max="11520" width="9.140625" style="2524"/>
    <col min="11521" max="11521" width="14.140625" style="2524" customWidth="1"/>
    <col min="11522" max="11522" width="66.28515625" style="2524" bestFit="1" customWidth="1"/>
    <col min="11523" max="11523" width="10" style="2524" bestFit="1" customWidth="1"/>
    <col min="11524" max="11525" width="8.5703125" style="2524" bestFit="1" customWidth="1"/>
    <col min="11526" max="11526" width="17.42578125" style="2524" bestFit="1" customWidth="1"/>
    <col min="11527" max="11527" width="17.28515625" style="2524" bestFit="1" customWidth="1"/>
    <col min="11528" max="11529" width="10.7109375" style="2524" customWidth="1"/>
    <col min="11530" max="11531" width="10.7109375" style="2524" bestFit="1" customWidth="1"/>
    <col min="11532" max="11532" width="10.7109375" style="2524" customWidth="1"/>
    <col min="11533" max="11535" width="10.7109375" style="2524" bestFit="1" customWidth="1"/>
    <col min="11536" max="11537" width="10.7109375" style="2524" customWidth="1"/>
    <col min="11538" max="11539" width="10.7109375" style="2524" bestFit="1" customWidth="1"/>
    <col min="11540" max="11776" width="9.140625" style="2524"/>
    <col min="11777" max="11777" width="14.140625" style="2524" customWidth="1"/>
    <col min="11778" max="11778" width="66.28515625" style="2524" bestFit="1" customWidth="1"/>
    <col min="11779" max="11779" width="10" style="2524" bestFit="1" customWidth="1"/>
    <col min="11780" max="11781" width="8.5703125" style="2524" bestFit="1" customWidth="1"/>
    <col min="11782" max="11782" width="17.42578125" style="2524" bestFit="1" customWidth="1"/>
    <col min="11783" max="11783" width="17.28515625" style="2524" bestFit="1" customWidth="1"/>
    <col min="11784" max="11785" width="10.7109375" style="2524" customWidth="1"/>
    <col min="11786" max="11787" width="10.7109375" style="2524" bestFit="1" customWidth="1"/>
    <col min="11788" max="11788" width="10.7109375" style="2524" customWidth="1"/>
    <col min="11789" max="11791" width="10.7109375" style="2524" bestFit="1" customWidth="1"/>
    <col min="11792" max="11793" width="10.7109375" style="2524" customWidth="1"/>
    <col min="11794" max="11795" width="10.7109375" style="2524" bestFit="1" customWidth="1"/>
    <col min="11796" max="12032" width="9.140625" style="2524"/>
    <col min="12033" max="12033" width="14.140625" style="2524" customWidth="1"/>
    <col min="12034" max="12034" width="66.28515625" style="2524" bestFit="1" customWidth="1"/>
    <col min="12035" max="12035" width="10" style="2524" bestFit="1" customWidth="1"/>
    <col min="12036" max="12037" width="8.5703125" style="2524" bestFit="1" customWidth="1"/>
    <col min="12038" max="12038" width="17.42578125" style="2524" bestFit="1" customWidth="1"/>
    <col min="12039" max="12039" width="17.28515625" style="2524" bestFit="1" customWidth="1"/>
    <col min="12040" max="12041" width="10.7109375" style="2524" customWidth="1"/>
    <col min="12042" max="12043" width="10.7109375" style="2524" bestFit="1" customWidth="1"/>
    <col min="12044" max="12044" width="10.7109375" style="2524" customWidth="1"/>
    <col min="12045" max="12047" width="10.7109375" style="2524" bestFit="1" customWidth="1"/>
    <col min="12048" max="12049" width="10.7109375" style="2524" customWidth="1"/>
    <col min="12050" max="12051" width="10.7109375" style="2524" bestFit="1" customWidth="1"/>
    <col min="12052" max="12288" width="9.140625" style="2524"/>
    <col min="12289" max="12289" width="14.140625" style="2524" customWidth="1"/>
    <col min="12290" max="12290" width="66.28515625" style="2524" bestFit="1" customWidth="1"/>
    <col min="12291" max="12291" width="10" style="2524" bestFit="1" customWidth="1"/>
    <col min="12292" max="12293" width="8.5703125" style="2524" bestFit="1" customWidth="1"/>
    <col min="12294" max="12294" width="17.42578125" style="2524" bestFit="1" customWidth="1"/>
    <col min="12295" max="12295" width="17.28515625" style="2524" bestFit="1" customWidth="1"/>
    <col min="12296" max="12297" width="10.7109375" style="2524" customWidth="1"/>
    <col min="12298" max="12299" width="10.7109375" style="2524" bestFit="1" customWidth="1"/>
    <col min="12300" max="12300" width="10.7109375" style="2524" customWidth="1"/>
    <col min="12301" max="12303" width="10.7109375" style="2524" bestFit="1" customWidth="1"/>
    <col min="12304" max="12305" width="10.7109375" style="2524" customWidth="1"/>
    <col min="12306" max="12307" width="10.7109375" style="2524" bestFit="1" customWidth="1"/>
    <col min="12308" max="12544" width="9.140625" style="2524"/>
    <col min="12545" max="12545" width="14.140625" style="2524" customWidth="1"/>
    <col min="12546" max="12546" width="66.28515625" style="2524" bestFit="1" customWidth="1"/>
    <col min="12547" max="12547" width="10" style="2524" bestFit="1" customWidth="1"/>
    <col min="12548" max="12549" width="8.5703125" style="2524" bestFit="1" customWidth="1"/>
    <col min="12550" max="12550" width="17.42578125" style="2524" bestFit="1" customWidth="1"/>
    <col min="12551" max="12551" width="17.28515625" style="2524" bestFit="1" customWidth="1"/>
    <col min="12552" max="12553" width="10.7109375" style="2524" customWidth="1"/>
    <col min="12554" max="12555" width="10.7109375" style="2524" bestFit="1" customWidth="1"/>
    <col min="12556" max="12556" width="10.7109375" style="2524" customWidth="1"/>
    <col min="12557" max="12559" width="10.7109375" style="2524" bestFit="1" customWidth="1"/>
    <col min="12560" max="12561" width="10.7109375" style="2524" customWidth="1"/>
    <col min="12562" max="12563" width="10.7109375" style="2524" bestFit="1" customWidth="1"/>
    <col min="12564" max="12800" width="9.140625" style="2524"/>
    <col min="12801" max="12801" width="14.140625" style="2524" customWidth="1"/>
    <col min="12802" max="12802" width="66.28515625" style="2524" bestFit="1" customWidth="1"/>
    <col min="12803" max="12803" width="10" style="2524" bestFit="1" customWidth="1"/>
    <col min="12804" max="12805" width="8.5703125" style="2524" bestFit="1" customWidth="1"/>
    <col min="12806" max="12806" width="17.42578125" style="2524" bestFit="1" customWidth="1"/>
    <col min="12807" max="12807" width="17.28515625" style="2524" bestFit="1" customWidth="1"/>
    <col min="12808" max="12809" width="10.7109375" style="2524" customWidth="1"/>
    <col min="12810" max="12811" width="10.7109375" style="2524" bestFit="1" customWidth="1"/>
    <col min="12812" max="12812" width="10.7109375" style="2524" customWidth="1"/>
    <col min="12813" max="12815" width="10.7109375" style="2524" bestFit="1" customWidth="1"/>
    <col min="12816" max="12817" width="10.7109375" style="2524" customWidth="1"/>
    <col min="12818" max="12819" width="10.7109375" style="2524" bestFit="1" customWidth="1"/>
    <col min="12820" max="13056" width="9.140625" style="2524"/>
    <col min="13057" max="13057" width="14.140625" style="2524" customWidth="1"/>
    <col min="13058" max="13058" width="66.28515625" style="2524" bestFit="1" customWidth="1"/>
    <col min="13059" max="13059" width="10" style="2524" bestFit="1" customWidth="1"/>
    <col min="13060" max="13061" width="8.5703125" style="2524" bestFit="1" customWidth="1"/>
    <col min="13062" max="13062" width="17.42578125" style="2524" bestFit="1" customWidth="1"/>
    <col min="13063" max="13063" width="17.28515625" style="2524" bestFit="1" customWidth="1"/>
    <col min="13064" max="13065" width="10.7109375" style="2524" customWidth="1"/>
    <col min="13066" max="13067" width="10.7109375" style="2524" bestFit="1" customWidth="1"/>
    <col min="13068" max="13068" width="10.7109375" style="2524" customWidth="1"/>
    <col min="13069" max="13071" width="10.7109375" style="2524" bestFit="1" customWidth="1"/>
    <col min="13072" max="13073" width="10.7109375" style="2524" customWidth="1"/>
    <col min="13074" max="13075" width="10.7109375" style="2524" bestFit="1" customWidth="1"/>
    <col min="13076" max="13312" width="9.140625" style="2524"/>
    <col min="13313" max="13313" width="14.140625" style="2524" customWidth="1"/>
    <col min="13314" max="13314" width="66.28515625" style="2524" bestFit="1" customWidth="1"/>
    <col min="13315" max="13315" width="10" style="2524" bestFit="1" customWidth="1"/>
    <col min="13316" max="13317" width="8.5703125" style="2524" bestFit="1" customWidth="1"/>
    <col min="13318" max="13318" width="17.42578125" style="2524" bestFit="1" customWidth="1"/>
    <col min="13319" max="13319" width="17.28515625" style="2524" bestFit="1" customWidth="1"/>
    <col min="13320" max="13321" width="10.7109375" style="2524" customWidth="1"/>
    <col min="13322" max="13323" width="10.7109375" style="2524" bestFit="1" customWidth="1"/>
    <col min="13324" max="13324" width="10.7109375" style="2524" customWidth="1"/>
    <col min="13325" max="13327" width="10.7109375" style="2524" bestFit="1" customWidth="1"/>
    <col min="13328" max="13329" width="10.7109375" style="2524" customWidth="1"/>
    <col min="13330" max="13331" width="10.7109375" style="2524" bestFit="1" customWidth="1"/>
    <col min="13332" max="13568" width="9.140625" style="2524"/>
    <col min="13569" max="13569" width="14.140625" style="2524" customWidth="1"/>
    <col min="13570" max="13570" width="66.28515625" style="2524" bestFit="1" customWidth="1"/>
    <col min="13571" max="13571" width="10" style="2524" bestFit="1" customWidth="1"/>
    <col min="13572" max="13573" width="8.5703125" style="2524" bestFit="1" customWidth="1"/>
    <col min="13574" max="13574" width="17.42578125" style="2524" bestFit="1" customWidth="1"/>
    <col min="13575" max="13575" width="17.28515625" style="2524" bestFit="1" customWidth="1"/>
    <col min="13576" max="13577" width="10.7109375" style="2524" customWidth="1"/>
    <col min="13578" max="13579" width="10.7109375" style="2524" bestFit="1" customWidth="1"/>
    <col min="13580" max="13580" width="10.7109375" style="2524" customWidth="1"/>
    <col min="13581" max="13583" width="10.7109375" style="2524" bestFit="1" customWidth="1"/>
    <col min="13584" max="13585" width="10.7109375" style="2524" customWidth="1"/>
    <col min="13586" max="13587" width="10.7109375" style="2524" bestFit="1" customWidth="1"/>
    <col min="13588" max="13824" width="9.140625" style="2524"/>
    <col min="13825" max="13825" width="14.140625" style="2524" customWidth="1"/>
    <col min="13826" max="13826" width="66.28515625" style="2524" bestFit="1" customWidth="1"/>
    <col min="13827" max="13827" width="10" style="2524" bestFit="1" customWidth="1"/>
    <col min="13828" max="13829" width="8.5703125" style="2524" bestFit="1" customWidth="1"/>
    <col min="13830" max="13830" width="17.42578125" style="2524" bestFit="1" customWidth="1"/>
    <col min="13831" max="13831" width="17.28515625" style="2524" bestFit="1" customWidth="1"/>
    <col min="13832" max="13833" width="10.7109375" style="2524" customWidth="1"/>
    <col min="13834" max="13835" width="10.7109375" style="2524" bestFit="1" customWidth="1"/>
    <col min="13836" max="13836" width="10.7109375" style="2524" customWidth="1"/>
    <col min="13837" max="13839" width="10.7109375" style="2524" bestFit="1" customWidth="1"/>
    <col min="13840" max="13841" width="10.7109375" style="2524" customWidth="1"/>
    <col min="13842" max="13843" width="10.7109375" style="2524" bestFit="1" customWidth="1"/>
    <col min="13844" max="14080" width="9.140625" style="2524"/>
    <col min="14081" max="14081" width="14.140625" style="2524" customWidth="1"/>
    <col min="14082" max="14082" width="66.28515625" style="2524" bestFit="1" customWidth="1"/>
    <col min="14083" max="14083" width="10" style="2524" bestFit="1" customWidth="1"/>
    <col min="14084" max="14085" width="8.5703125" style="2524" bestFit="1" customWidth="1"/>
    <col min="14086" max="14086" width="17.42578125" style="2524" bestFit="1" customWidth="1"/>
    <col min="14087" max="14087" width="17.28515625" style="2524" bestFit="1" customWidth="1"/>
    <col min="14088" max="14089" width="10.7109375" style="2524" customWidth="1"/>
    <col min="14090" max="14091" width="10.7109375" style="2524" bestFit="1" customWidth="1"/>
    <col min="14092" max="14092" width="10.7109375" style="2524" customWidth="1"/>
    <col min="14093" max="14095" width="10.7109375" style="2524" bestFit="1" customWidth="1"/>
    <col min="14096" max="14097" width="10.7109375" style="2524" customWidth="1"/>
    <col min="14098" max="14099" width="10.7109375" style="2524" bestFit="1" customWidth="1"/>
    <col min="14100" max="14336" width="9.140625" style="2524"/>
    <col min="14337" max="14337" width="14.140625" style="2524" customWidth="1"/>
    <col min="14338" max="14338" width="66.28515625" style="2524" bestFit="1" customWidth="1"/>
    <col min="14339" max="14339" width="10" style="2524" bestFit="1" customWidth="1"/>
    <col min="14340" max="14341" width="8.5703125" style="2524" bestFit="1" customWidth="1"/>
    <col min="14342" max="14342" width="17.42578125" style="2524" bestFit="1" customWidth="1"/>
    <col min="14343" max="14343" width="17.28515625" style="2524" bestFit="1" customWidth="1"/>
    <col min="14344" max="14345" width="10.7109375" style="2524" customWidth="1"/>
    <col min="14346" max="14347" width="10.7109375" style="2524" bestFit="1" customWidth="1"/>
    <col min="14348" max="14348" width="10.7109375" style="2524" customWidth="1"/>
    <col min="14349" max="14351" width="10.7109375" style="2524" bestFit="1" customWidth="1"/>
    <col min="14352" max="14353" width="10.7109375" style="2524" customWidth="1"/>
    <col min="14354" max="14355" width="10.7109375" style="2524" bestFit="1" customWidth="1"/>
    <col min="14356" max="14592" width="9.140625" style="2524"/>
    <col min="14593" max="14593" width="14.140625" style="2524" customWidth="1"/>
    <col min="14594" max="14594" width="66.28515625" style="2524" bestFit="1" customWidth="1"/>
    <col min="14595" max="14595" width="10" style="2524" bestFit="1" customWidth="1"/>
    <col min="14596" max="14597" width="8.5703125" style="2524" bestFit="1" customWidth="1"/>
    <col min="14598" max="14598" width="17.42578125" style="2524" bestFit="1" customWidth="1"/>
    <col min="14599" max="14599" width="17.28515625" style="2524" bestFit="1" customWidth="1"/>
    <col min="14600" max="14601" width="10.7109375" style="2524" customWidth="1"/>
    <col min="14602" max="14603" width="10.7109375" style="2524" bestFit="1" customWidth="1"/>
    <col min="14604" max="14604" width="10.7109375" style="2524" customWidth="1"/>
    <col min="14605" max="14607" width="10.7109375" style="2524" bestFit="1" customWidth="1"/>
    <col min="14608" max="14609" width="10.7109375" style="2524" customWidth="1"/>
    <col min="14610" max="14611" width="10.7109375" style="2524" bestFit="1" customWidth="1"/>
    <col min="14612" max="14848" width="9.140625" style="2524"/>
    <col min="14849" max="14849" width="14.140625" style="2524" customWidth="1"/>
    <col min="14850" max="14850" width="66.28515625" style="2524" bestFit="1" customWidth="1"/>
    <col min="14851" max="14851" width="10" style="2524" bestFit="1" customWidth="1"/>
    <col min="14852" max="14853" width="8.5703125" style="2524" bestFit="1" customWidth="1"/>
    <col min="14854" max="14854" width="17.42578125" style="2524" bestFit="1" customWidth="1"/>
    <col min="14855" max="14855" width="17.28515625" style="2524" bestFit="1" customWidth="1"/>
    <col min="14856" max="14857" width="10.7109375" style="2524" customWidth="1"/>
    <col min="14858" max="14859" width="10.7109375" style="2524" bestFit="1" customWidth="1"/>
    <col min="14860" max="14860" width="10.7109375" style="2524" customWidth="1"/>
    <col min="14861" max="14863" width="10.7109375" style="2524" bestFit="1" customWidth="1"/>
    <col min="14864" max="14865" width="10.7109375" style="2524" customWidth="1"/>
    <col min="14866" max="14867" width="10.7109375" style="2524" bestFit="1" customWidth="1"/>
    <col min="14868" max="15104" width="9.140625" style="2524"/>
    <col min="15105" max="15105" width="14.140625" style="2524" customWidth="1"/>
    <col min="15106" max="15106" width="66.28515625" style="2524" bestFit="1" customWidth="1"/>
    <col min="15107" max="15107" width="10" style="2524" bestFit="1" customWidth="1"/>
    <col min="15108" max="15109" width="8.5703125" style="2524" bestFit="1" customWidth="1"/>
    <col min="15110" max="15110" width="17.42578125" style="2524" bestFit="1" customWidth="1"/>
    <col min="15111" max="15111" width="17.28515625" style="2524" bestFit="1" customWidth="1"/>
    <col min="15112" max="15113" width="10.7109375" style="2524" customWidth="1"/>
    <col min="15114" max="15115" width="10.7109375" style="2524" bestFit="1" customWidth="1"/>
    <col min="15116" max="15116" width="10.7109375" style="2524" customWidth="1"/>
    <col min="15117" max="15119" width="10.7109375" style="2524" bestFit="1" customWidth="1"/>
    <col min="15120" max="15121" width="10.7109375" style="2524" customWidth="1"/>
    <col min="15122" max="15123" width="10.7109375" style="2524" bestFit="1" customWidth="1"/>
    <col min="15124" max="15360" width="9.140625" style="2524"/>
    <col min="15361" max="15361" width="14.140625" style="2524" customWidth="1"/>
    <col min="15362" max="15362" width="66.28515625" style="2524" bestFit="1" customWidth="1"/>
    <col min="15363" max="15363" width="10" style="2524" bestFit="1" customWidth="1"/>
    <col min="15364" max="15365" width="8.5703125" style="2524" bestFit="1" customWidth="1"/>
    <col min="15366" max="15366" width="17.42578125" style="2524" bestFit="1" customWidth="1"/>
    <col min="15367" max="15367" width="17.28515625" style="2524" bestFit="1" customWidth="1"/>
    <col min="15368" max="15369" width="10.7109375" style="2524" customWidth="1"/>
    <col min="15370" max="15371" width="10.7109375" style="2524" bestFit="1" customWidth="1"/>
    <col min="15372" max="15372" width="10.7109375" style="2524" customWidth="1"/>
    <col min="15373" max="15375" width="10.7109375" style="2524" bestFit="1" customWidth="1"/>
    <col min="15376" max="15377" width="10.7109375" style="2524" customWidth="1"/>
    <col min="15378" max="15379" width="10.7109375" style="2524" bestFit="1" customWidth="1"/>
    <col min="15380" max="15616" width="9.140625" style="2524"/>
    <col min="15617" max="15617" width="14.140625" style="2524" customWidth="1"/>
    <col min="15618" max="15618" width="66.28515625" style="2524" bestFit="1" customWidth="1"/>
    <col min="15619" max="15619" width="10" style="2524" bestFit="1" customWidth="1"/>
    <col min="15620" max="15621" width="8.5703125" style="2524" bestFit="1" customWidth="1"/>
    <col min="15622" max="15622" width="17.42578125" style="2524" bestFit="1" customWidth="1"/>
    <col min="15623" max="15623" width="17.28515625" style="2524" bestFit="1" customWidth="1"/>
    <col min="15624" max="15625" width="10.7109375" style="2524" customWidth="1"/>
    <col min="15626" max="15627" width="10.7109375" style="2524" bestFit="1" customWidth="1"/>
    <col min="15628" max="15628" width="10.7109375" style="2524" customWidth="1"/>
    <col min="15629" max="15631" width="10.7109375" style="2524" bestFit="1" customWidth="1"/>
    <col min="15632" max="15633" width="10.7109375" style="2524" customWidth="1"/>
    <col min="15634" max="15635" width="10.7109375" style="2524" bestFit="1" customWidth="1"/>
    <col min="15636" max="15872" width="9.140625" style="2524"/>
    <col min="15873" max="15873" width="14.140625" style="2524" customWidth="1"/>
    <col min="15874" max="15874" width="66.28515625" style="2524" bestFit="1" customWidth="1"/>
    <col min="15875" max="15875" width="10" style="2524" bestFit="1" customWidth="1"/>
    <col min="15876" max="15877" width="8.5703125" style="2524" bestFit="1" customWidth="1"/>
    <col min="15878" max="15878" width="17.42578125" style="2524" bestFit="1" customWidth="1"/>
    <col min="15879" max="15879" width="17.28515625" style="2524" bestFit="1" customWidth="1"/>
    <col min="15880" max="15881" width="10.7109375" style="2524" customWidth="1"/>
    <col min="15882" max="15883" width="10.7109375" style="2524" bestFit="1" customWidth="1"/>
    <col min="15884" max="15884" width="10.7109375" style="2524" customWidth="1"/>
    <col min="15885" max="15887" width="10.7109375" style="2524" bestFit="1" customWidth="1"/>
    <col min="15888" max="15889" width="10.7109375" style="2524" customWidth="1"/>
    <col min="15890" max="15891" width="10.7109375" style="2524" bestFit="1" customWidth="1"/>
    <col min="15892" max="16128" width="9.140625" style="2524"/>
    <col min="16129" max="16129" width="14.140625" style="2524" customWidth="1"/>
    <col min="16130" max="16130" width="66.28515625" style="2524" bestFit="1" customWidth="1"/>
    <col min="16131" max="16131" width="10" style="2524" bestFit="1" customWidth="1"/>
    <col min="16132" max="16133" width="8.5703125" style="2524" bestFit="1" customWidth="1"/>
    <col min="16134" max="16134" width="17.42578125" style="2524" bestFit="1" customWidth="1"/>
    <col min="16135" max="16135" width="17.28515625" style="2524" bestFit="1" customWidth="1"/>
    <col min="16136" max="16137" width="10.7109375" style="2524" customWidth="1"/>
    <col min="16138" max="16139" width="10.7109375" style="2524" bestFit="1" customWidth="1"/>
    <col min="16140" max="16140" width="10.7109375" style="2524" customWidth="1"/>
    <col min="16141" max="16143" width="10.7109375" style="2524" bestFit="1" customWidth="1"/>
    <col min="16144" max="16145" width="10.7109375" style="2524" customWidth="1"/>
    <col min="16146" max="16147" width="10.7109375" style="2524" bestFit="1" customWidth="1"/>
    <col min="16148" max="16384" width="9.140625" style="2524"/>
  </cols>
  <sheetData>
    <row r="1" spans="1:33" s="2525" customFormat="1" ht="24.95" customHeight="1">
      <c r="B1" s="2522" t="str">
        <f>IF(dms_DataQuality="backcast",INDEX(dms_Worksheet_List,MATCH(dms_Model,dms_Model_List))&amp;" BACKCAST",INDEX(dms_Worksheet_List,MATCH(dms_Model,dms_Model_List)))</f>
        <v>REGULATORY REPORTING STATEMENT</v>
      </c>
      <c r="C1" s="2769"/>
      <c r="D1" s="2769"/>
      <c r="E1" s="2769"/>
      <c r="F1" s="2769"/>
      <c r="G1" s="2769"/>
      <c r="H1" s="2769"/>
      <c r="I1" s="2769"/>
      <c r="J1" s="2769"/>
      <c r="K1" s="2769"/>
      <c r="L1" s="2769"/>
      <c r="M1" s="2769"/>
      <c r="N1" s="2769"/>
      <c r="O1" s="2769"/>
      <c r="P1" s="2769"/>
      <c r="Q1" s="2769"/>
      <c r="R1" s="2769"/>
      <c r="S1" s="2769"/>
      <c r="T1" s="2769"/>
      <c r="U1" s="2769"/>
      <c r="V1" s="2769"/>
      <c r="W1" s="2769"/>
      <c r="X1" s="2769"/>
      <c r="Y1" s="2769"/>
      <c r="Z1" s="2769"/>
      <c r="AA1" s="2769"/>
      <c r="AB1" s="2769"/>
      <c r="AC1" s="2769"/>
      <c r="AD1" s="2769"/>
      <c r="AE1" s="2769"/>
      <c r="AF1" s="2769"/>
      <c r="AG1" s="2769"/>
    </row>
    <row r="2" spans="1:33" s="2525" customFormat="1" ht="24.95" customHeight="1">
      <c r="B2" s="2526" t="str">
        <f>INDEX(dms_TradingNameFull_List,MATCH(dms_TradingName,dms_TradingName_List))</f>
        <v>AusNet Gas Services</v>
      </c>
      <c r="C2" s="2526"/>
      <c r="D2" s="2526"/>
      <c r="E2" s="2526"/>
      <c r="F2" s="2526"/>
      <c r="G2" s="2526"/>
      <c r="H2" s="2526"/>
      <c r="I2" s="2526"/>
      <c r="J2" s="2526"/>
      <c r="K2" s="2526"/>
      <c r="L2" s="2526"/>
      <c r="M2" s="2526"/>
      <c r="N2" s="2526"/>
      <c r="O2" s="2526"/>
      <c r="P2" s="2526"/>
      <c r="Q2" s="2526"/>
      <c r="R2" s="2526"/>
      <c r="S2" s="2526"/>
      <c r="T2" s="2526"/>
      <c r="U2" s="2526"/>
      <c r="V2" s="2526"/>
      <c r="W2" s="2526"/>
      <c r="X2" s="2526"/>
      <c r="Y2" s="2526"/>
      <c r="Z2" s="2526"/>
      <c r="AA2" s="2526"/>
      <c r="AB2" s="2526"/>
      <c r="AC2" s="2526"/>
      <c r="AD2" s="2526"/>
      <c r="AE2" s="2526"/>
      <c r="AF2" s="2526"/>
      <c r="AG2" s="2526"/>
    </row>
    <row r="3" spans="1:33" s="2525" customFormat="1" ht="24.95" customHeight="1">
      <c r="B3" s="2526" t="str">
        <f ca="1">IF(SUM(dms_SingleYear_Model)&gt;0,CRY,CONCATENATE(FRCP_y1," to ",dms_MultiYear_FinalYear_Result))</f>
        <v>2018 to 2022</v>
      </c>
      <c r="C3" s="2528"/>
      <c r="D3" s="2528"/>
      <c r="E3" s="2528"/>
      <c r="F3" s="2528"/>
      <c r="G3" s="2528"/>
      <c r="H3" s="2528"/>
      <c r="I3" s="2528"/>
      <c r="J3" s="2528"/>
      <c r="K3" s="2528"/>
      <c r="L3" s="2528"/>
      <c r="M3" s="2528"/>
      <c r="N3" s="2528"/>
      <c r="O3" s="2528"/>
      <c r="P3" s="2528"/>
      <c r="Q3" s="2528"/>
      <c r="R3" s="2528"/>
      <c r="S3" s="2528"/>
      <c r="T3" s="2528"/>
      <c r="U3" s="2528"/>
      <c r="V3" s="2528"/>
      <c r="W3" s="2528"/>
      <c r="X3" s="2528"/>
      <c r="Y3" s="2528"/>
      <c r="Z3" s="2528"/>
      <c r="AA3" s="2528"/>
      <c r="AB3" s="2528"/>
      <c r="AC3" s="2528"/>
      <c r="AD3" s="2528"/>
      <c r="AE3" s="2528"/>
      <c r="AF3" s="2528"/>
      <c r="AG3" s="2528"/>
    </row>
    <row r="4" spans="1:33" s="2525" customFormat="1" ht="24" customHeight="1">
      <c r="B4" s="2529" t="s">
        <v>474</v>
      </c>
      <c r="C4" s="2770"/>
      <c r="D4" s="2770"/>
      <c r="E4" s="2770"/>
      <c r="F4" s="2770"/>
      <c r="G4" s="2770"/>
      <c r="H4" s="2770"/>
      <c r="I4" s="2770"/>
      <c r="J4" s="2770"/>
      <c r="K4" s="2770"/>
      <c r="L4" s="2770"/>
      <c r="M4" s="2770"/>
      <c r="N4" s="2770"/>
      <c r="O4" s="2770"/>
      <c r="P4" s="2770"/>
      <c r="Q4" s="2770"/>
      <c r="R4" s="2770"/>
      <c r="S4" s="2770"/>
      <c r="T4" s="2770"/>
      <c r="U4" s="2770"/>
      <c r="V4" s="2770"/>
      <c r="W4" s="2770"/>
      <c r="X4" s="2770"/>
      <c r="Y4" s="2770"/>
      <c r="Z4" s="2770"/>
      <c r="AA4" s="2770"/>
      <c r="AB4" s="2770"/>
      <c r="AC4" s="2770"/>
      <c r="AD4" s="2770"/>
      <c r="AE4" s="2770"/>
      <c r="AF4" s="2770"/>
      <c r="AG4" s="2770"/>
    </row>
    <row r="5" spans="1:33">
      <c r="A5" s="360"/>
      <c r="B5" s="2771"/>
      <c r="C5" s="2771"/>
      <c r="D5" s="2771"/>
      <c r="E5" s="2771"/>
      <c r="F5" s="2771"/>
      <c r="G5" s="2771"/>
      <c r="H5" s="2771"/>
      <c r="I5" s="2771"/>
      <c r="J5" s="2771"/>
      <c r="K5" s="2771"/>
      <c r="L5" s="2771"/>
      <c r="M5" s="2771"/>
      <c r="N5" s="2771"/>
      <c r="O5" s="2771"/>
      <c r="P5" s="2771"/>
      <c r="Q5" s="2771"/>
      <c r="R5" s="2771"/>
      <c r="S5" s="2771"/>
      <c r="T5" s="2771"/>
      <c r="U5" s="2771"/>
      <c r="V5" s="2771"/>
      <c r="W5" s="2771"/>
      <c r="X5" s="2771"/>
      <c r="Y5" s="2771"/>
      <c r="Z5" s="2771"/>
      <c r="AA5" s="2771"/>
      <c r="AE5" s="2771"/>
      <c r="AF5" s="2771"/>
      <c r="AG5" s="2771"/>
    </row>
    <row r="6" spans="1:33">
      <c r="A6" s="2771"/>
      <c r="B6" s="2771"/>
      <c r="C6" s="2771"/>
      <c r="D6" s="2771"/>
      <c r="E6" s="2771"/>
      <c r="F6" s="2771"/>
      <c r="G6" s="2771"/>
      <c r="H6" s="2771"/>
      <c r="I6" s="2771"/>
      <c r="J6" s="2771"/>
      <c r="K6" s="2771"/>
      <c r="L6" s="2771"/>
      <c r="M6" s="2771"/>
      <c r="N6" s="2771"/>
      <c r="O6" s="2771"/>
      <c r="P6" s="2771"/>
      <c r="Q6" s="2771"/>
      <c r="R6" s="2771"/>
      <c r="S6" s="2771"/>
      <c r="T6" s="2771"/>
      <c r="U6" s="2771"/>
      <c r="V6" s="2771"/>
      <c r="W6" s="2771"/>
      <c r="X6" s="2771"/>
      <c r="Y6" s="2771"/>
      <c r="Z6" s="2771"/>
      <c r="AA6" s="2771"/>
      <c r="AE6" s="2771"/>
      <c r="AF6" s="2771"/>
      <c r="AG6" s="2771"/>
    </row>
    <row r="7" spans="1:33" ht="21.75" customHeight="1">
      <c r="A7" s="2771"/>
      <c r="B7" s="4548" t="s">
        <v>59</v>
      </c>
      <c r="C7" s="4548"/>
      <c r="D7" s="4548"/>
      <c r="E7" s="4548"/>
      <c r="F7" s="4548"/>
      <c r="G7" s="4548"/>
      <c r="H7" s="2771"/>
      <c r="I7" s="2771"/>
      <c r="J7" s="2771"/>
      <c r="K7" s="2771"/>
      <c r="L7" s="2771"/>
      <c r="M7" s="2771"/>
      <c r="N7" s="2771"/>
      <c r="O7" s="2771"/>
      <c r="P7" s="2771"/>
      <c r="Q7" s="2771"/>
      <c r="R7" s="2771"/>
      <c r="S7" s="2771"/>
      <c r="T7" s="2771"/>
      <c r="U7" s="2771"/>
      <c r="V7" s="2771"/>
      <c r="W7" s="2771"/>
      <c r="X7" s="2771"/>
      <c r="Y7" s="2771"/>
      <c r="Z7" s="2771"/>
      <c r="AA7" s="2771"/>
    </row>
    <row r="8" spans="1:33" ht="21.75" customHeight="1">
      <c r="A8" s="2771"/>
      <c r="B8" s="4549" t="s">
        <v>226</v>
      </c>
      <c r="C8" s="4549"/>
      <c r="D8" s="4549"/>
      <c r="E8" s="4549"/>
      <c r="F8" s="4549"/>
      <c r="G8" s="4549"/>
      <c r="H8" s="2771"/>
      <c r="I8" s="2771"/>
      <c r="J8" s="2771"/>
      <c r="K8" s="2771"/>
      <c r="L8" s="2771"/>
      <c r="M8" s="2771"/>
      <c r="N8" s="2771"/>
      <c r="O8" s="2771"/>
      <c r="P8" s="2771"/>
      <c r="Q8" s="2771"/>
      <c r="R8" s="2771"/>
      <c r="S8" s="2771"/>
      <c r="T8" s="2771"/>
      <c r="U8" s="2771"/>
      <c r="V8" s="2771"/>
      <c r="W8" s="2771"/>
      <c r="X8" s="2771"/>
      <c r="Y8" s="2771"/>
      <c r="Z8" s="2771"/>
      <c r="AA8" s="2771"/>
    </row>
    <row r="9" spans="1:33" ht="21.75" customHeight="1">
      <c r="A9" s="2771"/>
      <c r="B9" s="4549" t="s">
        <v>470</v>
      </c>
      <c r="C9" s="4549"/>
      <c r="D9" s="4549"/>
      <c r="E9" s="4549"/>
      <c r="F9" s="4549"/>
      <c r="G9" s="4549"/>
      <c r="H9" s="2771"/>
      <c r="I9" s="2771"/>
      <c r="J9" s="2771"/>
      <c r="K9" s="2771"/>
      <c r="L9" s="2771"/>
      <c r="M9" s="2771"/>
      <c r="N9" s="2771"/>
      <c r="O9" s="2771"/>
      <c r="P9" s="2771"/>
      <c r="Q9" s="2771"/>
      <c r="R9" s="2771"/>
      <c r="S9" s="2771"/>
      <c r="T9" s="2771"/>
      <c r="U9" s="2771"/>
      <c r="V9" s="2771"/>
      <c r="W9" s="2771"/>
      <c r="X9" s="2771"/>
      <c r="Y9" s="2771"/>
      <c r="Z9" s="2771"/>
      <c r="AA9" s="2771"/>
    </row>
    <row r="10" spans="1:33" ht="21.75" customHeight="1">
      <c r="A10" s="2771"/>
      <c r="B10" s="4550" t="s">
        <v>382</v>
      </c>
      <c r="C10" s="4551"/>
      <c r="D10" s="4551"/>
      <c r="E10" s="4551"/>
      <c r="F10" s="4551"/>
      <c r="G10" s="4551"/>
      <c r="H10" s="2771"/>
      <c r="I10" s="2771"/>
      <c r="J10" s="2771"/>
      <c r="K10" s="2771"/>
      <c r="L10" s="2771"/>
      <c r="M10" s="2771"/>
      <c r="N10" s="2771"/>
      <c r="O10" s="2771"/>
      <c r="P10" s="2771"/>
      <c r="Q10" s="2771"/>
      <c r="R10" s="2771"/>
      <c r="S10" s="2771"/>
      <c r="T10" s="2771"/>
      <c r="U10" s="2771"/>
      <c r="V10" s="2771"/>
      <c r="W10" s="2771"/>
      <c r="X10" s="2771"/>
      <c r="Y10" s="2771"/>
      <c r="Z10" s="2771"/>
      <c r="AA10" s="2771"/>
    </row>
    <row r="11" spans="1:33">
      <c r="A11" s="3013"/>
      <c r="B11" s="3013"/>
      <c r="C11" s="3013"/>
      <c r="D11" s="3013"/>
      <c r="E11" s="3013"/>
      <c r="F11" s="3013"/>
      <c r="G11" s="3013"/>
      <c r="H11" s="3013"/>
      <c r="I11" s="3013"/>
      <c r="J11" s="3013"/>
      <c r="K11" s="3013"/>
      <c r="L11" s="3013"/>
      <c r="M11" s="3013"/>
      <c r="N11" s="3013"/>
      <c r="O11" s="3013"/>
      <c r="P11" s="3013"/>
      <c r="Q11" s="3013"/>
      <c r="R11" s="3013"/>
      <c r="S11" s="3013"/>
      <c r="T11" s="3013"/>
      <c r="U11" s="3013"/>
      <c r="V11" s="3013"/>
      <c r="W11" s="3013"/>
      <c r="X11" s="3013"/>
      <c r="Y11" s="3013"/>
      <c r="Z11" s="3013"/>
      <c r="AA11" s="3013"/>
      <c r="AE11" s="3013"/>
      <c r="AF11" s="3013"/>
      <c r="AG11" s="3013"/>
    </row>
    <row r="12" spans="1:33" ht="13.5" thickBot="1">
      <c r="A12" s="3013"/>
      <c r="B12" s="3013"/>
      <c r="C12" s="3013"/>
      <c r="D12" s="3013"/>
      <c r="E12" s="3013"/>
      <c r="F12" s="3013"/>
      <c r="G12" s="3013"/>
      <c r="H12" s="3013"/>
      <c r="I12" s="3013"/>
      <c r="J12" s="3013"/>
      <c r="K12" s="3013"/>
      <c r="L12" s="3013"/>
      <c r="M12" s="3013"/>
      <c r="N12" s="3013"/>
      <c r="O12" s="3013"/>
      <c r="P12" s="3013"/>
      <c r="Q12" s="3013"/>
      <c r="R12" s="3013"/>
      <c r="S12" s="3013"/>
      <c r="T12" s="3013"/>
      <c r="U12" s="3013"/>
      <c r="V12" s="3013"/>
      <c r="W12" s="3013"/>
      <c r="X12" s="3013"/>
      <c r="Y12" s="3013"/>
      <c r="Z12" s="3013"/>
      <c r="AA12" s="3013"/>
      <c r="AE12" s="3013"/>
      <c r="AF12" s="3013"/>
      <c r="AG12" s="3013"/>
    </row>
    <row r="13" spans="1:33">
      <c r="A13" s="3013"/>
      <c r="B13" s="3118" t="s">
        <v>247</v>
      </c>
      <c r="C13" s="3013"/>
      <c r="D13" s="3013"/>
      <c r="E13" s="3013"/>
      <c r="F13" s="3013"/>
      <c r="G13" s="3013"/>
      <c r="H13" s="3013"/>
      <c r="I13" s="3013"/>
      <c r="J13" s="3013"/>
      <c r="K13" s="3013"/>
      <c r="L13" s="3013"/>
      <c r="M13" s="3013"/>
      <c r="N13" s="3013"/>
      <c r="O13" s="3013"/>
      <c r="P13" s="3013"/>
      <c r="Q13" s="3013"/>
      <c r="R13" s="3013"/>
      <c r="S13" s="3013"/>
      <c r="T13" s="3013"/>
      <c r="U13" s="3013"/>
      <c r="V13" s="3013"/>
      <c r="W13" s="3013"/>
      <c r="X13" s="3013"/>
      <c r="Y13" s="3013"/>
      <c r="Z13" s="3013"/>
      <c r="AA13" s="3013"/>
      <c r="AE13" s="3013"/>
      <c r="AF13" s="3013"/>
      <c r="AG13" s="3013"/>
    </row>
    <row r="14" spans="1:33" ht="25.5" customHeight="1" thickBot="1">
      <c r="A14" s="3013"/>
      <c r="B14" s="3119" t="s">
        <v>1632</v>
      </c>
      <c r="C14" s="3013"/>
      <c r="D14" s="3013"/>
      <c r="E14" s="3013"/>
      <c r="F14" s="3013"/>
      <c r="G14" s="3013"/>
      <c r="H14" s="3013"/>
      <c r="I14" s="3013"/>
      <c r="J14" s="3013"/>
      <c r="K14" s="3013"/>
      <c r="L14" s="3013"/>
      <c r="M14" s="3013"/>
      <c r="N14" s="3013"/>
      <c r="O14" s="3013"/>
      <c r="P14" s="3013"/>
      <c r="Q14" s="3013"/>
      <c r="R14" s="3013"/>
      <c r="S14" s="3013"/>
      <c r="T14" s="3013"/>
      <c r="U14" s="3013"/>
      <c r="V14" s="3013"/>
      <c r="W14" s="3013"/>
      <c r="X14" s="3013"/>
      <c r="Y14" s="3013"/>
      <c r="Z14" s="3013"/>
      <c r="AA14" s="3013"/>
      <c r="AE14" s="3013"/>
      <c r="AF14" s="3013"/>
      <c r="AG14" s="3013"/>
    </row>
    <row r="15" spans="1:33" ht="13.5" thickBot="1">
      <c r="A15" s="3013"/>
      <c r="B15" s="3013"/>
      <c r="C15" s="3013"/>
      <c r="D15" s="3013"/>
      <c r="E15" s="3013"/>
      <c r="F15" s="3013"/>
      <c r="G15" s="3013"/>
      <c r="H15" s="3013"/>
      <c r="I15" s="3013"/>
      <c r="J15" s="3013"/>
      <c r="K15" s="3013"/>
      <c r="L15" s="3013"/>
      <c r="M15" s="3013"/>
      <c r="N15" s="3013"/>
      <c r="O15" s="3013"/>
      <c r="P15" s="3013"/>
      <c r="Q15" s="3013"/>
      <c r="R15" s="3013"/>
      <c r="S15" s="3013"/>
      <c r="T15" s="3013"/>
      <c r="U15" s="3013"/>
      <c r="V15" s="3013"/>
      <c r="W15" s="3013"/>
      <c r="X15" s="3013"/>
      <c r="Y15" s="3013"/>
      <c r="Z15" s="3013"/>
      <c r="AA15" s="3013"/>
      <c r="AE15" s="3013"/>
      <c r="AF15" s="3013"/>
      <c r="AG15" s="3013"/>
    </row>
    <row r="16" spans="1:33">
      <c r="A16" s="3013"/>
      <c r="B16" s="3118" t="s">
        <v>248</v>
      </c>
      <c r="C16" s="3013"/>
      <c r="D16" s="3013"/>
      <c r="E16" s="3013"/>
      <c r="F16" s="3013"/>
      <c r="G16" s="3013"/>
      <c r="H16" s="3013"/>
      <c r="I16" s="3013"/>
      <c r="J16" s="3013"/>
      <c r="K16" s="3013"/>
      <c r="L16" s="3013"/>
      <c r="M16" s="3013"/>
      <c r="N16" s="3013"/>
      <c r="O16" s="3013"/>
      <c r="P16" s="3013"/>
      <c r="Q16" s="3013"/>
      <c r="R16" s="3013"/>
      <c r="S16" s="3013"/>
      <c r="T16" s="3013"/>
      <c r="U16" s="3013"/>
      <c r="V16" s="3013"/>
      <c r="W16" s="3013"/>
      <c r="X16" s="3013"/>
      <c r="Y16" s="3013"/>
      <c r="Z16" s="3013"/>
      <c r="AA16" s="3013"/>
      <c r="AE16" s="3013"/>
      <c r="AF16" s="3013"/>
      <c r="AG16" s="3013"/>
    </row>
    <row r="17" spans="1:134" ht="25.5" customHeight="1" thickBot="1">
      <c r="A17" s="3013"/>
      <c r="B17" s="3119" t="s">
        <v>1669</v>
      </c>
      <c r="C17" s="3013"/>
      <c r="D17" s="3013"/>
      <c r="E17" s="3013"/>
      <c r="F17" s="3013"/>
      <c r="G17" s="3013"/>
      <c r="H17" s="3013"/>
      <c r="I17" s="3013"/>
      <c r="J17" s="3013"/>
      <c r="K17" s="3013"/>
      <c r="L17" s="3013"/>
      <c r="M17" s="3013"/>
      <c r="N17" s="3013"/>
      <c r="O17" s="3013"/>
      <c r="P17" s="3013"/>
      <c r="Q17" s="3013"/>
      <c r="R17" s="3013"/>
      <c r="S17" s="3013"/>
      <c r="T17" s="3013"/>
      <c r="U17" s="3013"/>
      <c r="V17" s="3013"/>
      <c r="W17" s="3013"/>
      <c r="X17" s="3013"/>
      <c r="Y17" s="3013"/>
      <c r="Z17" s="3013"/>
      <c r="AA17" s="3013"/>
      <c r="AE17" s="3013"/>
      <c r="AF17" s="3013"/>
      <c r="AG17" s="3013"/>
    </row>
    <row r="18" spans="1:134" ht="50.25" customHeight="1" thickBot="1">
      <c r="A18" s="3013"/>
      <c r="B18" s="3013"/>
      <c r="C18" s="3013"/>
      <c r="D18" s="3013"/>
      <c r="E18" s="3013"/>
      <c r="F18" s="3013"/>
      <c r="G18" s="3013"/>
      <c r="H18" s="3013"/>
      <c r="I18" s="3013"/>
      <c r="J18" s="3013"/>
      <c r="K18" s="3013"/>
      <c r="L18" s="3013"/>
      <c r="M18" s="3013"/>
      <c r="N18" s="3013"/>
      <c r="O18" s="3013"/>
      <c r="P18" s="3013"/>
      <c r="Q18" s="3013"/>
      <c r="R18" s="3013"/>
      <c r="S18" s="3013"/>
      <c r="T18" s="3013"/>
      <c r="U18" s="3013"/>
      <c r="V18" s="3013"/>
      <c r="W18" s="3013"/>
      <c r="X18" s="3013"/>
      <c r="Y18" s="3013"/>
      <c r="Z18" s="3013"/>
      <c r="AA18" s="3013"/>
      <c r="AE18" s="3013"/>
      <c r="AF18" s="3013"/>
      <c r="AG18" s="3013"/>
    </row>
    <row r="19" spans="1:134" ht="34.5" customHeight="1" thickBot="1">
      <c r="A19" s="2771"/>
      <c r="B19" s="2780" t="s">
        <v>477</v>
      </c>
      <c r="C19" s="2781"/>
      <c r="D19" s="2781"/>
      <c r="E19" s="2781"/>
      <c r="F19" s="2781"/>
      <c r="G19" s="2781"/>
      <c r="H19" s="2781"/>
      <c r="I19" s="2781"/>
      <c r="J19" s="2782"/>
      <c r="K19" s="2782"/>
      <c r="L19" s="2782"/>
      <c r="M19" s="2782"/>
      <c r="N19" s="2782"/>
      <c r="O19" s="2782"/>
      <c r="P19" s="2782"/>
      <c r="Q19" s="2782"/>
      <c r="R19" s="2782"/>
      <c r="S19" s="2782"/>
      <c r="T19" s="2782"/>
      <c r="U19" s="2782"/>
      <c r="V19" s="2782"/>
      <c r="W19" s="2782"/>
      <c r="X19" s="2782"/>
      <c r="Y19" s="2782"/>
      <c r="Z19" s="2782"/>
      <c r="AA19" s="2782"/>
      <c r="AE19" s="2884" t="s">
        <v>642</v>
      </c>
      <c r="AF19" s="2781"/>
      <c r="AG19" s="2782"/>
    </row>
    <row r="20" spans="1:134" s="3019" customFormat="1" ht="24" customHeight="1" thickBot="1">
      <c r="A20" s="3013"/>
      <c r="B20" s="2783" t="s">
        <v>471</v>
      </c>
      <c r="C20" s="2784"/>
      <c r="D20" s="2784"/>
      <c r="E20" s="2784"/>
      <c r="F20" s="2784"/>
      <c r="G20" s="2784"/>
      <c r="H20" s="2784"/>
      <c r="I20" s="2784"/>
      <c r="J20" s="2784"/>
      <c r="K20" s="2784"/>
      <c r="L20" s="2784"/>
      <c r="M20" s="2784"/>
      <c r="N20" s="2784"/>
      <c r="O20" s="2784"/>
      <c r="P20" s="2784"/>
      <c r="Q20" s="2784"/>
      <c r="R20" s="2784"/>
      <c r="S20" s="2784"/>
      <c r="T20" s="2784"/>
      <c r="U20" s="2784"/>
      <c r="V20" s="2784"/>
      <c r="W20" s="2784"/>
      <c r="X20" s="2784"/>
      <c r="Y20" s="2784"/>
      <c r="Z20" s="2784"/>
      <c r="AA20" s="2785"/>
      <c r="AB20" s="2524"/>
      <c r="AC20" s="2524"/>
      <c r="AD20" s="2524"/>
      <c r="AE20" s="2783"/>
      <c r="AF20" s="2784"/>
      <c r="AG20" s="2785"/>
      <c r="AH20" s="2524"/>
      <c r="AI20" s="2524"/>
      <c r="AJ20" s="2524"/>
      <c r="AK20" s="2524"/>
      <c r="DE20" s="2524"/>
      <c r="DF20" s="2524"/>
      <c r="DG20" s="2524"/>
      <c r="DH20" s="2524"/>
      <c r="DI20" s="2524"/>
      <c r="DJ20" s="2524"/>
      <c r="DK20" s="2524"/>
      <c r="DL20" s="2524"/>
      <c r="DM20" s="2524"/>
      <c r="DN20" s="2524"/>
      <c r="DO20" s="2524"/>
      <c r="DP20" s="2524"/>
      <c r="DQ20" s="2524"/>
      <c r="DR20" s="2524"/>
      <c r="DS20" s="2524"/>
      <c r="DT20" s="2524"/>
      <c r="DU20" s="2524"/>
      <c r="DV20" s="2524"/>
      <c r="DW20" s="2524"/>
      <c r="DX20" s="2524"/>
      <c r="DY20" s="2524"/>
      <c r="DZ20" s="2524"/>
      <c r="EA20" s="2524"/>
      <c r="EB20" s="2524"/>
      <c r="EC20" s="2524"/>
      <c r="ED20" s="2524"/>
    </row>
    <row r="21" spans="1:134" ht="20.25" customHeight="1">
      <c r="A21" s="2771"/>
      <c r="B21" s="4552"/>
      <c r="C21" s="4554" t="s">
        <v>37</v>
      </c>
      <c r="D21" s="4555"/>
      <c r="E21" s="4555"/>
      <c r="F21" s="4555"/>
      <c r="G21" s="4555"/>
      <c r="H21" s="4562" t="s">
        <v>73</v>
      </c>
      <c r="I21" s="4562"/>
      <c r="J21" s="4562"/>
      <c r="K21" s="4562"/>
      <c r="L21" s="4562"/>
      <c r="M21" s="4563" t="s">
        <v>249</v>
      </c>
      <c r="N21" s="4563"/>
      <c r="O21" s="4563"/>
      <c r="P21" s="4563"/>
      <c r="Q21" s="4563"/>
      <c r="R21" s="4563"/>
      <c r="S21" s="4563"/>
      <c r="T21" s="4563"/>
      <c r="U21" s="4563"/>
      <c r="V21" s="4563"/>
      <c r="W21" s="4563"/>
      <c r="X21" s="4563"/>
      <c r="Y21" s="4563"/>
      <c r="Z21" s="4563"/>
      <c r="AA21" s="4564"/>
      <c r="AE21" s="4565" t="s">
        <v>37</v>
      </c>
      <c r="AF21" s="4566"/>
      <c r="AG21" s="4567"/>
    </row>
    <row r="22" spans="1:134" ht="20.25" customHeight="1">
      <c r="B22" s="4553"/>
      <c r="C22" s="4556" t="s">
        <v>543</v>
      </c>
      <c r="D22" s="4557"/>
      <c r="E22" s="4558"/>
      <c r="F22" s="4559" t="str">
        <f>CONCATENATE("$0's, real ",dms_DollarReal)</f>
        <v>$0's, real December 2017</v>
      </c>
      <c r="G22" s="4560"/>
      <c r="H22" s="4560"/>
      <c r="I22" s="4560"/>
      <c r="J22" s="4560"/>
      <c r="K22" s="4560"/>
      <c r="L22" s="4560"/>
      <c r="M22" s="4560"/>
      <c r="N22" s="4560"/>
      <c r="O22" s="4560"/>
      <c r="P22" s="4560"/>
      <c r="Q22" s="4560"/>
      <c r="R22" s="4560"/>
      <c r="S22" s="4560"/>
      <c r="T22" s="4560"/>
      <c r="U22" s="4560"/>
      <c r="V22" s="4560"/>
      <c r="W22" s="4560"/>
      <c r="X22" s="4560"/>
      <c r="Y22" s="4560"/>
      <c r="Z22" s="4560"/>
      <c r="AA22" s="4561"/>
      <c r="AE22" s="4556" t="str">
        <f>CONCATENATE("$0's, real ",dms_DollarReal)</f>
        <v>$0's, real December 2017</v>
      </c>
      <c r="AF22" s="4557"/>
      <c r="AG22" s="4568"/>
    </row>
    <row r="23" spans="1:134" ht="20.25" customHeight="1">
      <c r="B23" s="4553"/>
      <c r="C23" s="4556" t="s">
        <v>54</v>
      </c>
      <c r="D23" s="4557"/>
      <c r="E23" s="4558"/>
      <c r="F23" s="4559" t="s">
        <v>377</v>
      </c>
      <c r="G23" s="4560"/>
      <c r="H23" s="4560"/>
      <c r="I23" s="4560"/>
      <c r="J23" s="4560"/>
      <c r="K23" s="4560"/>
      <c r="L23" s="4560"/>
      <c r="M23" s="4560"/>
      <c r="N23" s="4560"/>
      <c r="O23" s="4560"/>
      <c r="P23" s="4560"/>
      <c r="Q23" s="4560"/>
      <c r="R23" s="4560"/>
      <c r="S23" s="4560"/>
      <c r="T23" s="4560"/>
      <c r="U23" s="4560"/>
      <c r="V23" s="4560"/>
      <c r="W23" s="4560"/>
      <c r="X23" s="4560"/>
      <c r="Y23" s="4560"/>
      <c r="Z23" s="4560"/>
      <c r="AA23" s="4561"/>
      <c r="AE23" s="4556" t="s">
        <v>54</v>
      </c>
      <c r="AF23" s="4557"/>
      <c r="AG23" s="4568"/>
    </row>
    <row r="24" spans="1:134" ht="20.25" customHeight="1" thickBot="1">
      <c r="B24" s="4553"/>
      <c r="C24" s="2788">
        <f>CRCP_y1</f>
        <v>2013</v>
      </c>
      <c r="D24" s="2788">
        <f>CRCP_y2</f>
        <v>2014</v>
      </c>
      <c r="E24" s="2788">
        <f>CRCP_y3</f>
        <v>2015</v>
      </c>
      <c r="F24" s="2788">
        <f>CRCP_y4</f>
        <v>2016</v>
      </c>
      <c r="G24" s="2788">
        <f>CRCP_y5</f>
        <v>2017</v>
      </c>
      <c r="H24" s="3120" t="str">
        <f>CONCATENATE(IF(dms_RPT="Calendar",G24+1,(LEFT(G24,4)+1&amp;"-"&amp;IF(MID(G24,6,2)&lt;"09","0"&amp;RIGHT(G24,1)+1,RIGHT(G24,2)+1))))</f>
        <v>2018</v>
      </c>
      <c r="I24" s="3120" t="str">
        <f t="shared" ref="I24:AA24" si="0">CONCATENATE(IF(dms_RPT="Calendar",H24+1,(LEFT(H24,4)+1&amp;"-"&amp;IF(MID(H24,6,2)&lt;"09","0"&amp;RIGHT(H24,1)+1,RIGHT(H24,2)+1))))</f>
        <v>2019</v>
      </c>
      <c r="J24" s="3120" t="str">
        <f t="shared" si="0"/>
        <v>2020</v>
      </c>
      <c r="K24" s="3120" t="str">
        <f t="shared" si="0"/>
        <v>2021</v>
      </c>
      <c r="L24" s="3120" t="str">
        <f t="shared" si="0"/>
        <v>2022</v>
      </c>
      <c r="M24" s="2788" t="str">
        <f t="shared" si="0"/>
        <v>2023</v>
      </c>
      <c r="N24" s="2788" t="str">
        <f t="shared" si="0"/>
        <v>2024</v>
      </c>
      <c r="O24" s="2788" t="str">
        <f t="shared" si="0"/>
        <v>2025</v>
      </c>
      <c r="P24" s="2788" t="str">
        <f t="shared" si="0"/>
        <v>2026</v>
      </c>
      <c r="Q24" s="2788" t="str">
        <f t="shared" si="0"/>
        <v>2027</v>
      </c>
      <c r="R24" s="2788" t="str">
        <f t="shared" si="0"/>
        <v>2028</v>
      </c>
      <c r="S24" s="2788" t="str">
        <f t="shared" si="0"/>
        <v>2029</v>
      </c>
      <c r="T24" s="2788" t="str">
        <f t="shared" si="0"/>
        <v>2030</v>
      </c>
      <c r="U24" s="2788" t="str">
        <f t="shared" si="0"/>
        <v>2031</v>
      </c>
      <c r="V24" s="2788" t="str">
        <f t="shared" si="0"/>
        <v>2032</v>
      </c>
      <c r="W24" s="2788" t="str">
        <f t="shared" si="0"/>
        <v>2033</v>
      </c>
      <c r="X24" s="2788" t="str">
        <f t="shared" si="0"/>
        <v>2034</v>
      </c>
      <c r="Y24" s="2788" t="str">
        <f t="shared" si="0"/>
        <v>2035</v>
      </c>
      <c r="Z24" s="2788" t="str">
        <f t="shared" si="0"/>
        <v>2036</v>
      </c>
      <c r="AA24" s="2788" t="str">
        <f t="shared" si="0"/>
        <v>2037</v>
      </c>
      <c r="AE24" s="3121">
        <f>CRCP_y1</f>
        <v>2013</v>
      </c>
      <c r="AF24" s="2788">
        <f>CRCP_y2</f>
        <v>2014</v>
      </c>
      <c r="AG24" s="2789">
        <f>CRCP_y3</f>
        <v>2015</v>
      </c>
    </row>
    <row r="25" spans="1:134">
      <c r="A25" s="2771"/>
      <c r="B25" s="3122" t="s">
        <v>1661</v>
      </c>
      <c r="C25" s="3123">
        <v>0</v>
      </c>
      <c r="D25" s="3124">
        <f>SUMPRODUCT('29.3.2 Gas extensions - demand'!F23:F30,'29.4 Gas extensions - tariffs'!F27:F34*IF(D24&gt;="2017",'1. CPI'!S50,1))+('29.4 Gas extensions - tariffs'!F26*(DATEVALUE("31/12/"&amp;D24)-DATEVALUE("31/12/"&amp;C24)))*IF(D24&gt;="2017",'1. CPI'!S50,1)*'29.3.2 Gas extensions - demand'!F22</f>
        <v>0</v>
      </c>
      <c r="E25" s="3124">
        <f>SUMPRODUCT('29.3.2 Gas extensions - demand'!G23:G30,'29.4 Gas extensions - tariffs'!G27:G34*IF(E24&gt;="2017",'1. CPI'!T50,1))+('29.4 Gas extensions - tariffs'!G26*(DATEVALUE("31/12/"&amp;E24)-DATEVALUE("31/12/"&amp;D24)))*IF(E24&gt;="2017",'1. CPI'!T50,1)*'29.3.2 Gas extensions - demand'!G22</f>
        <v>0</v>
      </c>
      <c r="F25" s="3124">
        <f>SUMPRODUCT('29.3.2 Gas extensions - demand'!H23:H30,'29.4 Gas extensions - tariffs'!H27:H34*IF(F24&gt;="2017",'1. CPI'!U50,1))+('29.4 Gas extensions - tariffs'!H26*(DATEVALUE("31/12/"&amp;F24)-DATEVALUE("31/12/"&amp;E24)))*IF(F24&gt;="2017",'1. CPI'!U50,1)*'29.3.2 Gas extensions - demand'!H22</f>
        <v>0</v>
      </c>
      <c r="G25" s="3125">
        <f>SUMPRODUCT('29.3.2 Gas extensions - demand'!I23:I30,'29.4 Gas extensions - tariffs'!I27:I34*IF(G24&gt;="2017",'1. CPI'!V50,1))+('29.4 Gas extensions - tariffs'!I26*(DATEVALUE("31/12/"&amp;G24)-DATEVALUE("31/12/"&amp;F24)))*IF(G24&gt;="2017",'1. CPI'!V50,1)*'29.3.2 Gas extensions - demand'!I22</f>
        <v>0</v>
      </c>
      <c r="H25" s="3126">
        <f>SUMPRODUCT('29.3.2 Gas extensions - demand'!J23:J30,'29.4 Gas extensions - tariffs'!J27:J34*IF(H24&gt;="2017",'1. CPI'!W50,1))+('29.4 Gas extensions - tariffs'!J26*(DATEVALUE("31/12/"&amp;H24)-DATEVALUE("31/12/"&amp;G24)))*IF(H24&gt;="2017",'1. CPI'!W50,1)*'29.3.2 Gas extensions - demand'!J22</f>
        <v>71144.924850341602</v>
      </c>
      <c r="I25" s="3125">
        <f>SUMPRODUCT('29.3.2 Gas extensions - demand'!K23:K30,'29.4 Gas extensions - tariffs'!K27:K34*IF(I24&gt;="2017",'1. CPI'!X50,1))+('29.4 Gas extensions - tariffs'!K26*(DATEVALUE("31/12/"&amp;I24)-DATEVALUE("31/12/"&amp;H24)))*IF(I24&gt;="2017",'1. CPI'!X50,1)*'29.3.2 Gas extensions - demand'!K22</f>
        <v>189473.1028444072</v>
      </c>
      <c r="J25" s="3125">
        <f>SUMPRODUCT('29.3.2 Gas extensions - demand'!L23:L30,'29.4 Gas extensions - tariffs'!L27:L34*IF(J24&gt;="2017",'1. CPI'!Y50,1))+('29.4 Gas extensions - tariffs'!L26*(DATEVALUE("31/12/"&amp;J24)-DATEVALUE("31/12/"&amp;I24)))*IF(J24&gt;="2017",'1. CPI'!Y50,1)*'29.3.2 Gas extensions - demand'!L22</f>
        <v>276318.76535158791</v>
      </c>
      <c r="K25" s="3125">
        <f>SUMPRODUCT('29.3.2 Gas extensions - demand'!M23:M30,'29.4 Gas extensions - tariffs'!M27:M34*IF(K24&gt;="2017",'1. CPI'!Z50,1))+('29.4 Gas extensions - tariffs'!M26*(DATEVALUE("31/12/"&amp;K24)-DATEVALUE("31/12/"&amp;J24)))*IF(K24&gt;="2017",'1. CPI'!Z50,1)*'29.3.2 Gas extensions - demand'!M22</f>
        <v>342035.47980435239</v>
      </c>
      <c r="L25" s="3127">
        <f>SUMPRODUCT('29.3.2 Gas extensions - demand'!N23:N30,'29.4 Gas extensions - tariffs'!N27:N34*IF(L24&gt;="2017",'1. CPI'!AA50,1))+('29.4 Gas extensions - tariffs'!N26*(DATEVALUE("31/12/"&amp;L24)-DATEVALUE("31/12/"&amp;K24)))*IF(L24&gt;="2017",'1. CPI'!AA50,1)*'29.3.2 Gas extensions - demand'!N22</f>
        <v>388276.90369379253</v>
      </c>
      <c r="M25" s="3126">
        <f>SUMPRODUCT('29.3.2 Gas extensions - demand'!O23:O30,'29.4 Gas extensions - tariffs'!O27:O34*IF(M24&gt;="2017",'1. CPI'!AB50,1))+('29.4 Gas extensions - tariffs'!O26*(DATEVALUE("31/12/"&amp;M24)-DATEVALUE("31/12/"&amp;L24)))*IF(M24&gt;="2017",'1. CPI'!AB50,1)*'29.3.2 Gas extensions - demand'!O22</f>
        <v>425625.50798179134</v>
      </c>
      <c r="N25" s="3125">
        <f>SUMPRODUCT('29.3.2 Gas extensions - demand'!P23:P30,'29.4 Gas extensions - tariffs'!P27:P34*IF(N24&gt;="2017",'1. CPI'!AC50,1))+('29.4 Gas extensions - tariffs'!P26*(DATEVALUE("31/12/"&amp;N24)-DATEVALUE("31/12/"&amp;M24)))*IF(N24&gt;="2017",'1. CPI'!AC50,1)*'29.3.2 Gas extensions - demand'!P22</f>
        <v>454244.81690004549</v>
      </c>
      <c r="O25" s="3125">
        <f>SUMPRODUCT('29.3.2 Gas extensions - demand'!Q23:Q30,'29.4 Gas extensions - tariffs'!Q27:Q34*IF(O24&gt;="2017",'1. CPI'!AD50,1))+('29.4 Gas extensions - tariffs'!Q26*(DATEVALUE("31/12/"&amp;O24)-DATEVALUE("31/12/"&amp;N24)))*IF(O24&gt;="2017",'1. CPI'!AD50,1)*'29.3.2 Gas extensions - demand'!Q22</f>
        <v>474970.53810565686</v>
      </c>
      <c r="P25" s="3125">
        <f>SUMPRODUCT('29.3.2 Gas extensions - demand'!R23:R30,'29.4 Gas extensions - tariffs'!R27:R34*IF(P24&gt;="2017",'1. CPI'!AE50,1))+('29.4 Gas extensions - tariffs'!R26*(DATEVALUE("31/12/"&amp;P24)-DATEVALUE("31/12/"&amp;O24)))*IF(P24&gt;="2017",'1. CPI'!AE50,1)*'29.3.2 Gas extensions - demand'!R22</f>
        <v>490831.44064547081</v>
      </c>
      <c r="Q25" s="3125">
        <f>SUMPRODUCT('29.3.2 Gas extensions - demand'!S23:S30,'29.4 Gas extensions - tariffs'!S27:S34*IF(Q24&gt;="2017",'1. CPI'!AF50,1))+('29.4 Gas extensions - tariffs'!S26*(DATEVALUE("31/12/"&amp;Q24)-DATEVALUE("31/12/"&amp;P24)))*IF(Q24&gt;="2017",'1. CPI'!AF50,1)*'29.3.2 Gas extensions - demand'!S22</f>
        <v>502727.11755033117</v>
      </c>
      <c r="R25" s="3125">
        <f>SUMPRODUCT('29.3.2 Gas extensions - demand'!T23:T30,'29.4 Gas extensions - tariffs'!T27:T34*IF(R24&gt;="2017",'1. CPI'!AG50,1))+('29.4 Gas extensions - tariffs'!T26*(DATEVALUE("31/12/"&amp;R24)-DATEVALUE("31/12/"&amp;Q24)))*IF(R24&gt;="2017",'1. CPI'!AG50,1)*'29.3.2 Gas extensions - demand'!T22</f>
        <v>512124.81439683709</v>
      </c>
      <c r="S25" s="3125">
        <f>SUMPRODUCT('29.3.2 Gas extensions - demand'!U23:U30,'29.4 Gas extensions - tariffs'!U27:U34*IF(S24&gt;="2017",'1. CPI'!AH50,1))+('29.4 Gas extensions - tariffs'!U26*(DATEVALUE("31/12/"&amp;S24)-DATEVALUE("31/12/"&amp;R24)))*IF(S24&gt;="2017",'1. CPI'!AH50,1)*'29.3.2 Gas extensions - demand'!U22</f>
        <v>518340.19348796067</v>
      </c>
      <c r="T25" s="3125">
        <f>SUMPRODUCT('29.3.2 Gas extensions - demand'!V23:V30,'29.4 Gas extensions - tariffs'!V27:V34*IF(T24&gt;="2017",'1. CPI'!AI50,1))+('29.4 Gas extensions - tariffs'!V26*(DATEVALUE("31/12/"&amp;T24)-DATEVALUE("31/12/"&amp;S24)))*IF(T24&gt;="2017",'1. CPI'!AI50,1)*'29.3.2 Gas extensions - demand'!V22</f>
        <v>523358.68218219862</v>
      </c>
      <c r="U25" s="3125">
        <f>SUMPRODUCT('29.3.2 Gas extensions - demand'!W23:W30,'29.4 Gas extensions - tariffs'!W27:W34*IF(U24&gt;="2017",'1. CPI'!AJ50,1))+('29.4 Gas extensions - tariffs'!W26*(DATEVALUE("31/12/"&amp;U24)-DATEVALUE("31/12/"&amp;T24)))*IF(U24&gt;="2017",'1. CPI'!AJ50,1)*'29.3.2 Gas extensions - demand'!W22</f>
        <v>527122.54870287713</v>
      </c>
      <c r="V25" s="3125">
        <f>SUMPRODUCT('29.3.2 Gas extensions - demand'!X23:X30,'29.4 Gas extensions - tariffs'!X27:X34*IF(V24&gt;="2017",'1. CPI'!AK50,1))+('29.4 Gas extensions - tariffs'!X26*(DATEVALUE("31/12/"&amp;V24)-DATEVALUE("31/12/"&amp;U24)))*IF(V24&gt;="2017",'1. CPI'!AK50,1)*'29.3.2 Gas extensions - demand'!X22</f>
        <v>530438.40735480632</v>
      </c>
      <c r="W25" s="3125">
        <f>SUMPRODUCT('29.3.2 Gas extensions - demand'!Y23:Y30,'29.4 Gas extensions - tariffs'!Y27:Y34*IF(W24&gt;="2017",'1. CPI'!AL50,1))+('29.4 Gas extensions - tariffs'!Y26*(DATEVALUE("31/12/"&amp;W24)-DATEVALUE("31/12/"&amp;V24)))*IF(W24&gt;="2017",'1. CPI'!AL50,1)*'29.3.2 Gas extensions - demand'!Y22</f>
        <v>532062.62351126759</v>
      </c>
      <c r="X25" s="3125">
        <f>SUMPRODUCT('29.3.2 Gas extensions - demand'!Z23:Z30,'29.4 Gas extensions - tariffs'!Z27:Z34*IF(X24&gt;="2017",'1. CPI'!AM50,1))+('29.4 Gas extensions - tariffs'!Z26*(DATEVALUE("31/12/"&amp;X24)-DATEVALUE("31/12/"&amp;W24)))*IF(X24&gt;="2017",'1. CPI'!AM50,1)*'29.3.2 Gas extensions - demand'!Z22</f>
        <v>533650.50469967898</v>
      </c>
      <c r="Y25" s="3125">
        <f>SUMPRODUCT('29.3.2 Gas extensions - demand'!AA23:AA30,'29.4 Gas extensions - tariffs'!AA27:AA34*IF(Y24&gt;="2017",'1. CPI'!AN50,1))+('29.4 Gas extensions - tariffs'!AA26*(DATEVALUE("31/12/"&amp;Y24)-DATEVALUE("31/12/"&amp;X24)))*IF(Y24&gt;="2017",'1. CPI'!AN50,1)*'29.3.2 Gas extensions - demand'!AA22</f>
        <v>534841.41559098731</v>
      </c>
      <c r="Z25" s="3125">
        <f>SUMPRODUCT('29.3.2 Gas extensions - demand'!AB23:AB30,'29.4 Gas extensions - tariffs'!AB27:AB34*IF(Z24&gt;="2017",'1. CPI'!AO50,1))+('29.4 Gas extensions - tariffs'!AB26*(DATEVALUE("31/12/"&amp;Z24)-DATEVALUE("31/12/"&amp;Y24)))*IF(Z24&gt;="2017",'1. CPI'!AO50,1)*'29.3.2 Gas extensions - demand'!AB22</f>
        <v>536232.94262666395</v>
      </c>
      <c r="AA25" s="3127">
        <f>SUMPRODUCT('29.3.2 Gas extensions - demand'!AC23:AC30,'29.4 Gas extensions - tariffs'!AC27:AC34*IF(AA24&gt;="2017",'1. CPI'!AP50,1))+('29.4 Gas extensions - tariffs'!AC26*(DATEVALUE("31/12/"&amp;AA24)-DATEVALUE("31/12/"&amp;Z24)))*IF(AA24&gt;="2017",'1. CPI'!AP50,1)*'29.3.2 Gas extensions - demand'!AC22</f>
        <v>536404.48613582971</v>
      </c>
      <c r="AE25" s="3128"/>
      <c r="AF25" s="3129"/>
      <c r="AG25" s="3130"/>
    </row>
    <row r="26" spans="1:134">
      <c r="A26" s="2771"/>
      <c r="B26" s="3131"/>
      <c r="C26" s="3065"/>
      <c r="D26" s="3064"/>
      <c r="E26" s="3064"/>
      <c r="F26" s="3064"/>
      <c r="G26" s="3064"/>
      <c r="H26" s="3063"/>
      <c r="I26" s="3064"/>
      <c r="J26" s="3064"/>
      <c r="K26" s="3064"/>
      <c r="L26" s="3030"/>
      <c r="M26" s="3063"/>
      <c r="N26" s="3064"/>
      <c r="O26" s="3064"/>
      <c r="P26" s="3064"/>
      <c r="Q26" s="3064"/>
      <c r="R26" s="3064"/>
      <c r="S26" s="3064"/>
      <c r="T26" s="3064"/>
      <c r="U26" s="3064"/>
      <c r="V26" s="3064"/>
      <c r="W26" s="3064"/>
      <c r="X26" s="3064"/>
      <c r="Y26" s="3064"/>
      <c r="Z26" s="3064"/>
      <c r="AA26" s="3030"/>
      <c r="AE26" s="3132"/>
      <c r="AF26" s="3133"/>
      <c r="AG26" s="3134"/>
    </row>
    <row r="27" spans="1:134">
      <c r="A27" s="2771"/>
      <c r="B27" s="3131" t="s">
        <v>1662</v>
      </c>
      <c r="C27" s="3065">
        <v>0</v>
      </c>
      <c r="D27" s="3064">
        <f>SUMPRODUCT('29.3.2 Gas extensions - demand'!F36:F43,'29.4 Gas extensions - tariffs'!F61:F68*IF(D24&gt;="2017",'1. CPI'!S50,1))+('29.4 Gas extensions - tariffs'!F60*(DATEVALUE("31/12/"&amp;D24)-DATEVALUE("31/12/"&amp;C24)))*IF(D24&gt;="2017",'1. CPI'!S50,1)*'29.3.2 Gas extensions - demand'!F35</f>
        <v>0</v>
      </c>
      <c r="E27" s="3064">
        <f>SUMPRODUCT('29.3.2 Gas extensions - demand'!G36:G43,'29.4 Gas extensions - tariffs'!G61:G68*IF(E24&gt;="2017",'1. CPI'!T50,1))+('29.4 Gas extensions - tariffs'!G60*(DATEVALUE("31/12/"&amp;E24)-DATEVALUE("31/12/"&amp;D24)))*IF(E24&gt;="2017",'1. CPI'!T50,1)*'29.3.2 Gas extensions - demand'!G35</f>
        <v>0</v>
      </c>
      <c r="F27" s="3135">
        <f>SUMPRODUCT('29.3.2 Gas extensions - demand'!H36:H43,'29.4 Gas extensions - tariffs'!H61:H68*IF(F24&gt;="2017",'1. CPI'!U50,1))+('29.4 Gas extensions - tariffs'!H60*(DATEVALUE("31/12/"&amp;F24)-DATEVALUE("31/12/"&amp;E24)))*IF(F24&gt;="2017",'1. CPI'!U50,1)*'29.3.2 Gas extensions - demand'!H35</f>
        <v>0</v>
      </c>
      <c r="G27" s="3135">
        <f>SUMPRODUCT('29.3.2 Gas extensions - demand'!I36:I43,'29.4 Gas extensions - tariffs'!I61:I68*IF(G24&gt;="2017",'1. CPI'!V50,1))+('29.4 Gas extensions - tariffs'!I60*(DATEVALUE("31/12/"&amp;G24)-DATEVALUE("31/12/"&amp;F24)))*IF(G24&gt;="2017",'1. CPI'!V50,1)*'29.3.2 Gas extensions - demand'!I35</f>
        <v>0</v>
      </c>
      <c r="H27" s="3136">
        <f>SUMPRODUCT('29.3.2 Gas extensions - demand'!J36:J43,'29.4 Gas extensions - tariffs'!J61:J68*IF(H24&gt;="2017",'1. CPI'!W50,1))+('29.4 Gas extensions - tariffs'!J60*(DATEVALUE("31/12/"&amp;H24)-DATEVALUE("31/12/"&amp;G24)))*IF(H24&gt;="2017",'1. CPI'!W50,1)*'29.3.2 Gas extensions - demand'!J35</f>
        <v>2843.222207275659</v>
      </c>
      <c r="I27" s="3135">
        <f>SUMPRODUCT('29.3.2 Gas extensions - demand'!K36:K43,'29.4 Gas extensions - tariffs'!K61:K68*IF(I24&gt;="2017",'1. CPI'!X50,1))+('29.4 Gas extensions - tariffs'!K60*(DATEVALUE("31/12/"&amp;I24)-DATEVALUE("31/12/"&amp;H24)))*IF(I24&gt;="2017",'1. CPI'!X50,1)*'29.3.2 Gas extensions - demand'!K35</f>
        <v>7793.9725564253777</v>
      </c>
      <c r="J27" s="3135">
        <f>SUMPRODUCT('29.3.2 Gas extensions - demand'!L36:L43,'29.4 Gas extensions - tariffs'!L61:L68*IF(J24&gt;="2017",'1. CPI'!Y50,1))+('29.4 Gas extensions - tariffs'!L60*(DATEVALUE("31/12/"&amp;J24)-DATEVALUE("31/12/"&amp;I24)))*IF(J24&gt;="2017",'1. CPI'!Y50,1)*'29.3.2 Gas extensions - demand'!L35</f>
        <v>11911.729272130775</v>
      </c>
      <c r="K27" s="3135">
        <f>SUMPRODUCT('29.3.2 Gas extensions - demand'!M36:M43,'29.4 Gas extensions - tariffs'!M61:M68*IF(K24&gt;="2017",'1. CPI'!Z50,1))+('29.4 Gas extensions - tariffs'!M60*(DATEVALUE("31/12/"&amp;K24)-DATEVALUE("31/12/"&amp;J24)))*IF(K24&gt;="2017",'1. CPI'!Z50,1)*'29.3.2 Gas extensions - demand'!M35</f>
        <v>14631.98396744799</v>
      </c>
      <c r="L27" s="3137">
        <f>SUMPRODUCT('29.3.2 Gas extensions - demand'!N36:N43,'29.4 Gas extensions - tariffs'!N61:N68*IF(L24&gt;="2017",'1. CPI'!AA50,1))+('29.4 Gas extensions - tariffs'!N60*(DATEVALUE("31/12/"&amp;L24)-DATEVALUE("31/12/"&amp;K24)))*IF(L24&gt;="2017",'1. CPI'!AA50,1)*'29.3.2 Gas extensions - demand'!N35</f>
        <v>19526.224180494399</v>
      </c>
      <c r="M27" s="3136">
        <f>SUMPRODUCT('29.3.2 Gas extensions - demand'!O36:O43,'29.4 Gas extensions - tariffs'!O61:O68*IF(M24&gt;="2017",'1. CPI'!AB50,1))+('29.4 Gas extensions - tariffs'!O60*(DATEVALUE("31/12/"&amp;M24)-DATEVALUE("31/12/"&amp;L24)))*IF(M24&gt;="2017",'1. CPI'!AB50,1)*'29.3.2 Gas extensions - demand'!O35</f>
        <v>20594.167569164252</v>
      </c>
      <c r="N27" s="3135">
        <f>SUMPRODUCT('29.3.2 Gas extensions - demand'!P36:P43,'29.4 Gas extensions - tariffs'!P61:P68*IF(N24&gt;="2017",'1. CPI'!AC50,1))+('29.4 Gas extensions - tariffs'!P60*(DATEVALUE("31/12/"&amp;N24)-DATEVALUE("31/12/"&amp;M24)))*IF(N24&gt;="2017",'1. CPI'!AC50,1)*'29.3.2 Gas extensions - demand'!P35</f>
        <v>20598.844103103362</v>
      </c>
      <c r="O27" s="3135">
        <f>SUMPRODUCT('29.3.2 Gas extensions - demand'!Q36:Q43,'29.4 Gas extensions - tariffs'!Q61:Q68*IF(O24&gt;="2017",'1. CPI'!AD50,1))+('29.4 Gas extensions - tariffs'!Q60*(DATEVALUE("31/12/"&amp;O24)-DATEVALUE("31/12/"&amp;N24)))*IF(O24&gt;="2017",'1. CPI'!AD50,1)*'29.3.2 Gas extensions - demand'!Q35</f>
        <v>20594.167569164252</v>
      </c>
      <c r="P27" s="3135">
        <f>SUMPRODUCT('29.3.2 Gas extensions - demand'!R36:R43,'29.4 Gas extensions - tariffs'!R61:R68*IF(P24&gt;="2017",'1. CPI'!AE50,1))+('29.4 Gas extensions - tariffs'!R60*(DATEVALUE("31/12/"&amp;P24)-DATEVALUE("31/12/"&amp;O24)))*IF(P24&gt;="2017",'1. CPI'!AE50,1)*'29.3.2 Gas extensions - demand'!R35</f>
        <v>20594.167569164252</v>
      </c>
      <c r="Q27" s="3135">
        <f>SUMPRODUCT('29.3.2 Gas extensions - demand'!S36:S43,'29.4 Gas extensions - tariffs'!S61:S68*IF(Q24&gt;="2017",'1. CPI'!AF50,1))+('29.4 Gas extensions - tariffs'!S60*(DATEVALUE("31/12/"&amp;Q24)-DATEVALUE("31/12/"&amp;P24)))*IF(Q24&gt;="2017",'1. CPI'!AF50,1)*'29.3.2 Gas extensions - demand'!S35</f>
        <v>20594.167569164249</v>
      </c>
      <c r="R27" s="3135">
        <f>SUMPRODUCT('29.3.2 Gas extensions - demand'!T36:T43,'29.4 Gas extensions - tariffs'!T61:T68*IF(R24&gt;="2017",'1. CPI'!AG50,1))+('29.4 Gas extensions - tariffs'!T60*(DATEVALUE("31/12/"&amp;R24)-DATEVALUE("31/12/"&amp;Q24)))*IF(R24&gt;="2017",'1. CPI'!AG50,1)*'29.3.2 Gas extensions - demand'!T35</f>
        <v>20598.844103103358</v>
      </c>
      <c r="S27" s="3135">
        <f>SUMPRODUCT('29.3.2 Gas extensions - demand'!U36:U43,'29.4 Gas extensions - tariffs'!U61:U68*IF(S24&gt;="2017",'1. CPI'!AH50,1))+('29.4 Gas extensions - tariffs'!U60*(DATEVALUE("31/12/"&amp;S24)-DATEVALUE("31/12/"&amp;R24)))*IF(S24&gt;="2017",'1. CPI'!AH50,1)*'29.3.2 Gas extensions - demand'!U35</f>
        <v>20594.167569164249</v>
      </c>
      <c r="T27" s="3135">
        <f>SUMPRODUCT('29.3.2 Gas extensions - demand'!V36:V43,'29.4 Gas extensions - tariffs'!V61:V68*IF(T24&gt;="2017",'1. CPI'!AI50,1))+('29.4 Gas extensions - tariffs'!V60*(DATEVALUE("31/12/"&amp;T24)-DATEVALUE("31/12/"&amp;S24)))*IF(T24&gt;="2017",'1. CPI'!AI50,1)*'29.3.2 Gas extensions - demand'!V35</f>
        <v>20594.167569164249</v>
      </c>
      <c r="U27" s="3135">
        <f>SUMPRODUCT('29.3.2 Gas extensions - demand'!W36:W43,'29.4 Gas extensions - tariffs'!W61:W68*IF(U24&gt;="2017",'1. CPI'!AJ50,1))+('29.4 Gas extensions - tariffs'!W60*(DATEVALUE("31/12/"&amp;U24)-DATEVALUE("31/12/"&amp;T24)))*IF(U24&gt;="2017",'1. CPI'!AJ50,1)*'29.3.2 Gas extensions - demand'!W35</f>
        <v>20594.167569164245</v>
      </c>
      <c r="V27" s="3135">
        <f>SUMPRODUCT('29.3.2 Gas extensions - demand'!X36:X43,'29.4 Gas extensions - tariffs'!X61:X68*IF(V24&gt;="2017",'1. CPI'!AK50,1))+('29.4 Gas extensions - tariffs'!X60*(DATEVALUE("31/12/"&amp;V24)-DATEVALUE("31/12/"&amp;U24)))*IF(V24&gt;="2017",'1. CPI'!AK50,1)*'29.3.2 Gas extensions - demand'!X35</f>
        <v>20598.844103103354</v>
      </c>
      <c r="W27" s="3135">
        <f>SUMPRODUCT('29.3.2 Gas extensions - demand'!Y36:Y43,'29.4 Gas extensions - tariffs'!Y61:Y68*IF(W24&gt;="2017",'1. CPI'!AL50,1))+('29.4 Gas extensions - tariffs'!Y60*(DATEVALUE("31/12/"&amp;W24)-DATEVALUE("31/12/"&amp;V24)))*IF(W24&gt;="2017",'1. CPI'!AL50,1)*'29.3.2 Gas extensions - demand'!Y35</f>
        <v>20594.167569164252</v>
      </c>
      <c r="X27" s="3135">
        <f>SUMPRODUCT('29.3.2 Gas extensions - demand'!Z36:Z43,'29.4 Gas extensions - tariffs'!Z61:Z68*IF(X24&gt;="2017",'1. CPI'!AM50,1))+('29.4 Gas extensions - tariffs'!Z60*(DATEVALUE("31/12/"&amp;X24)-DATEVALUE("31/12/"&amp;W24)))*IF(X24&gt;="2017",'1. CPI'!AM50,1)*'29.3.2 Gas extensions - demand'!Z35</f>
        <v>20594.167569164252</v>
      </c>
      <c r="Y27" s="3135">
        <f>SUMPRODUCT('29.3.2 Gas extensions - demand'!AA36:AA43,'29.4 Gas extensions - tariffs'!AA61:AA68*IF(Y24&gt;="2017",'1. CPI'!AN50,1))+('29.4 Gas extensions - tariffs'!AA60*(DATEVALUE("31/12/"&amp;Y24)-DATEVALUE("31/12/"&amp;X24)))*IF(Y24&gt;="2017",'1. CPI'!AN50,1)*'29.3.2 Gas extensions - demand'!AA35</f>
        <v>20594.167569164252</v>
      </c>
      <c r="Z27" s="3135">
        <f>SUMPRODUCT('29.3.2 Gas extensions - demand'!AB36:AB43,'29.4 Gas extensions - tariffs'!AB61:AB68*IF(Z24&gt;="2017",'1. CPI'!AO50,1))+('29.4 Gas extensions - tariffs'!AB60*(DATEVALUE("31/12/"&amp;Z24)-DATEVALUE("31/12/"&amp;Y24)))*IF(Z24&gt;="2017",'1. CPI'!AO50,1)*'29.3.2 Gas extensions - demand'!AB35</f>
        <v>20598.844103103362</v>
      </c>
      <c r="AA27" s="3137">
        <f>SUMPRODUCT('29.3.2 Gas extensions - demand'!AC36:AC43,'29.4 Gas extensions - tariffs'!AC61:AC68*IF(AA24&gt;="2017",'1. CPI'!AP50,1))+('29.4 Gas extensions - tariffs'!AC60*(DATEVALUE("31/12/"&amp;AA24)-DATEVALUE("31/12/"&amp;Z24)))*IF(AA24&gt;="2017",'1. CPI'!AP50,1)*'29.3.2 Gas extensions - demand'!AC35</f>
        <v>20594.167569164252</v>
      </c>
      <c r="AE27" s="3132"/>
      <c r="AF27" s="3133"/>
      <c r="AG27" s="3134"/>
    </row>
    <row r="28" spans="1:134">
      <c r="A28" s="2771"/>
      <c r="B28" s="3138"/>
      <c r="C28" s="3139"/>
      <c r="D28" s="3140"/>
      <c r="E28" s="3140"/>
      <c r="F28" s="3140"/>
      <c r="G28" s="3140"/>
      <c r="H28" s="3141"/>
      <c r="I28" s="3140"/>
      <c r="J28" s="3140"/>
      <c r="K28" s="3140"/>
      <c r="L28" s="3142"/>
      <c r="M28" s="3141"/>
      <c r="N28" s="3140"/>
      <c r="O28" s="3140"/>
      <c r="P28" s="3140"/>
      <c r="Q28" s="3140"/>
      <c r="R28" s="3140"/>
      <c r="S28" s="3140"/>
      <c r="T28" s="3140"/>
      <c r="U28" s="3140"/>
      <c r="V28" s="3140"/>
      <c r="W28" s="3140"/>
      <c r="X28" s="3140"/>
      <c r="Y28" s="3140"/>
      <c r="Z28" s="3140"/>
      <c r="AA28" s="3142"/>
      <c r="AE28" s="3143"/>
      <c r="AF28" s="3144"/>
      <c r="AG28" s="3145"/>
    </row>
    <row r="29" spans="1:134">
      <c r="A29" s="2771"/>
      <c r="B29" s="3146"/>
      <c r="C29" s="3147"/>
      <c r="D29" s="3148"/>
      <c r="E29" s="3148"/>
      <c r="F29" s="3148"/>
      <c r="G29" s="3148"/>
      <c r="H29" s="3104"/>
      <c r="I29" s="3148"/>
      <c r="J29" s="3148"/>
      <c r="K29" s="3148"/>
      <c r="L29" s="3149"/>
      <c r="M29" s="3104"/>
      <c r="N29" s="3148"/>
      <c r="O29" s="3148"/>
      <c r="P29" s="3148"/>
      <c r="Q29" s="3148"/>
      <c r="R29" s="3148"/>
      <c r="S29" s="3148"/>
      <c r="T29" s="3148"/>
      <c r="U29" s="3148"/>
      <c r="V29" s="3148"/>
      <c r="W29" s="3148"/>
      <c r="X29" s="3148"/>
      <c r="Y29" s="3148"/>
      <c r="Z29" s="3148"/>
      <c r="AA29" s="3149"/>
      <c r="AE29" s="3150"/>
      <c r="AF29" s="3151"/>
      <c r="AG29" s="3152"/>
    </row>
    <row r="30" spans="1:134">
      <c r="A30" s="2771"/>
      <c r="B30" s="3131"/>
      <c r="C30" s="3065"/>
      <c r="D30" s="3064"/>
      <c r="E30" s="3064"/>
      <c r="F30" s="3064"/>
      <c r="G30" s="3064"/>
      <c r="H30" s="3063"/>
      <c r="I30" s="3064"/>
      <c r="J30" s="3064"/>
      <c r="K30" s="3064"/>
      <c r="L30" s="3030"/>
      <c r="M30" s="3063"/>
      <c r="N30" s="3064"/>
      <c r="O30" s="3064"/>
      <c r="P30" s="3064"/>
      <c r="Q30" s="3064"/>
      <c r="R30" s="3064"/>
      <c r="S30" s="3064"/>
      <c r="T30" s="3064"/>
      <c r="U30" s="3064"/>
      <c r="V30" s="3064"/>
      <c r="W30" s="3064"/>
      <c r="X30" s="3064"/>
      <c r="Y30" s="3064"/>
      <c r="Z30" s="3064"/>
      <c r="AA30" s="3030"/>
      <c r="AE30" s="3132"/>
      <c r="AF30" s="3133"/>
      <c r="AG30" s="3134"/>
    </row>
    <row r="31" spans="1:134">
      <c r="A31" s="2771"/>
      <c r="B31" s="3131"/>
      <c r="C31" s="3065"/>
      <c r="D31" s="3064"/>
      <c r="E31" s="3064"/>
      <c r="F31" s="3064"/>
      <c r="G31" s="3064"/>
      <c r="H31" s="3063"/>
      <c r="I31" s="3064"/>
      <c r="J31" s="3064"/>
      <c r="K31" s="3064"/>
      <c r="L31" s="3030"/>
      <c r="M31" s="3063"/>
      <c r="N31" s="3064"/>
      <c r="O31" s="3064"/>
      <c r="P31" s="3064"/>
      <c r="Q31" s="3064"/>
      <c r="R31" s="3064"/>
      <c r="S31" s="3064"/>
      <c r="T31" s="3064"/>
      <c r="U31" s="3064"/>
      <c r="V31" s="3064"/>
      <c r="W31" s="3064"/>
      <c r="X31" s="3064"/>
      <c r="Y31" s="3064"/>
      <c r="Z31" s="3064"/>
      <c r="AA31" s="3030"/>
      <c r="AE31" s="3132"/>
      <c r="AF31" s="3133"/>
      <c r="AG31" s="3134"/>
    </row>
    <row r="32" spans="1:134">
      <c r="A32" s="2771"/>
      <c r="B32" s="3138"/>
      <c r="C32" s="3139"/>
      <c r="D32" s="3140"/>
      <c r="E32" s="3140"/>
      <c r="F32" s="3140"/>
      <c r="G32" s="3140"/>
      <c r="H32" s="3141"/>
      <c r="I32" s="3140"/>
      <c r="J32" s="3140"/>
      <c r="K32" s="3140"/>
      <c r="L32" s="3142"/>
      <c r="M32" s="3141"/>
      <c r="N32" s="3140"/>
      <c r="O32" s="3140"/>
      <c r="P32" s="3140"/>
      <c r="Q32" s="3140"/>
      <c r="R32" s="3140"/>
      <c r="S32" s="3140"/>
      <c r="T32" s="3140"/>
      <c r="U32" s="3140"/>
      <c r="V32" s="3140"/>
      <c r="W32" s="3140"/>
      <c r="X32" s="3140"/>
      <c r="Y32" s="3140"/>
      <c r="Z32" s="3140"/>
      <c r="AA32" s="3142"/>
      <c r="AE32" s="3143"/>
      <c r="AF32" s="3144"/>
      <c r="AG32" s="3145"/>
    </row>
    <row r="33" spans="1:134">
      <c r="A33" s="2771"/>
      <c r="B33" s="3153" t="s">
        <v>631</v>
      </c>
      <c r="C33" s="3154"/>
      <c r="D33" s="3155"/>
      <c r="E33" s="3155"/>
      <c r="F33" s="3155"/>
      <c r="G33" s="3155"/>
      <c r="H33" s="3156"/>
      <c r="I33" s="3155"/>
      <c r="J33" s="3155"/>
      <c r="K33" s="3155"/>
      <c r="L33" s="3157"/>
      <c r="M33" s="3156"/>
      <c r="N33" s="3155"/>
      <c r="O33" s="3155"/>
      <c r="P33" s="3155"/>
      <c r="Q33" s="3155"/>
      <c r="R33" s="3155"/>
      <c r="S33" s="3155"/>
      <c r="T33" s="3155"/>
      <c r="U33" s="3155"/>
      <c r="V33" s="3155"/>
      <c r="W33" s="3155"/>
      <c r="X33" s="3155"/>
      <c r="Y33" s="3155"/>
      <c r="Z33" s="3155"/>
      <c r="AA33" s="3157"/>
      <c r="AE33" s="3158"/>
      <c r="AF33" s="3159"/>
      <c r="AG33" s="3160"/>
    </row>
    <row r="34" spans="1:134">
      <c r="A34" s="2771"/>
      <c r="B34" s="3161" t="s">
        <v>208</v>
      </c>
      <c r="C34" s="3162">
        <f>SUM(C25:C33)</f>
        <v>0</v>
      </c>
      <c r="D34" s="3163">
        <f t="shared" ref="D34:AA34" si="1">SUM(D25:D33)</f>
        <v>0</v>
      </c>
      <c r="E34" s="3163">
        <f t="shared" si="1"/>
        <v>0</v>
      </c>
      <c r="F34" s="3163">
        <f t="shared" si="1"/>
        <v>0</v>
      </c>
      <c r="G34" s="3163">
        <f t="shared" si="1"/>
        <v>0</v>
      </c>
      <c r="H34" s="3162">
        <f t="shared" si="1"/>
        <v>73988.147057617258</v>
      </c>
      <c r="I34" s="3163">
        <f t="shared" si="1"/>
        <v>197267.07540083257</v>
      </c>
      <c r="J34" s="3163">
        <f t="shared" si="1"/>
        <v>288230.49462371867</v>
      </c>
      <c r="K34" s="3163">
        <f t="shared" si="1"/>
        <v>356667.46377180039</v>
      </c>
      <c r="L34" s="3164">
        <f t="shared" si="1"/>
        <v>407803.1278742869</v>
      </c>
      <c r="M34" s="3162">
        <f t="shared" si="1"/>
        <v>446219.67555095558</v>
      </c>
      <c r="N34" s="3163">
        <f t="shared" si="1"/>
        <v>474843.66100314888</v>
      </c>
      <c r="O34" s="3163">
        <f t="shared" si="1"/>
        <v>495564.7056748211</v>
      </c>
      <c r="P34" s="3163">
        <f t="shared" si="1"/>
        <v>511425.60821463505</v>
      </c>
      <c r="Q34" s="3163">
        <f t="shared" si="1"/>
        <v>523321.28511949541</v>
      </c>
      <c r="R34" s="3163">
        <f t="shared" si="1"/>
        <v>532723.65849994041</v>
      </c>
      <c r="S34" s="3163">
        <f t="shared" si="1"/>
        <v>538934.36105712492</v>
      </c>
      <c r="T34" s="3163">
        <f t="shared" si="1"/>
        <v>543952.84975136293</v>
      </c>
      <c r="U34" s="3163">
        <f t="shared" si="1"/>
        <v>547716.71627204143</v>
      </c>
      <c r="V34" s="3163">
        <f t="shared" si="1"/>
        <v>551037.2514579097</v>
      </c>
      <c r="W34" s="3163">
        <f t="shared" si="1"/>
        <v>552656.7910804319</v>
      </c>
      <c r="X34" s="3163">
        <f t="shared" si="1"/>
        <v>554244.67226884328</v>
      </c>
      <c r="Y34" s="3163">
        <f t="shared" si="1"/>
        <v>555435.58316015161</v>
      </c>
      <c r="Z34" s="3163">
        <f t="shared" si="1"/>
        <v>556831.78672976734</v>
      </c>
      <c r="AA34" s="3164">
        <f t="shared" si="1"/>
        <v>556998.65370499401</v>
      </c>
      <c r="AE34" s="3162">
        <f t="shared" ref="AE34:AG34" si="2">SUM(AE29:AE33)</f>
        <v>0</v>
      </c>
      <c r="AF34" s="3163">
        <f t="shared" si="2"/>
        <v>0</v>
      </c>
      <c r="AG34" s="3164">
        <f t="shared" si="2"/>
        <v>0</v>
      </c>
    </row>
    <row r="35" spans="1:134" ht="18.75" customHeight="1" thickBot="1">
      <c r="A35" s="2771"/>
      <c r="B35" s="3165" t="s">
        <v>209</v>
      </c>
      <c r="C35" s="3166"/>
      <c r="D35" s="3167"/>
      <c r="E35" s="3167"/>
      <c r="F35" s="3167"/>
      <c r="G35" s="3167"/>
      <c r="H35" s="3166"/>
      <c r="I35" s="3167"/>
      <c r="J35" s="3167"/>
      <c r="K35" s="3167"/>
      <c r="L35" s="3168"/>
      <c r="M35" s="3166"/>
      <c r="N35" s="3167"/>
      <c r="O35" s="3167"/>
      <c r="P35" s="3167"/>
      <c r="Q35" s="3167"/>
      <c r="R35" s="3167"/>
      <c r="S35" s="3167"/>
      <c r="T35" s="3167"/>
      <c r="U35" s="3167"/>
      <c r="V35" s="3167"/>
      <c r="W35" s="3167"/>
      <c r="X35" s="3167"/>
      <c r="Y35" s="3167"/>
      <c r="Z35" s="3167"/>
      <c r="AA35" s="3168"/>
      <c r="AE35" s="3169"/>
      <c r="AF35" s="3170"/>
      <c r="AG35" s="3171"/>
    </row>
    <row r="36" spans="1:134" ht="36" customHeight="1" thickBot="1">
      <c r="A36" s="2771"/>
      <c r="B36" s="3172" t="s">
        <v>121</v>
      </c>
      <c r="C36" s="3937" t="s">
        <v>2111</v>
      </c>
      <c r="D36" s="3938"/>
      <c r="E36" s="3938"/>
      <c r="F36" s="3938"/>
      <c r="G36" s="3938"/>
      <c r="H36" s="3173"/>
      <c r="I36" s="3173"/>
      <c r="J36" s="3173"/>
      <c r="K36" s="3173"/>
      <c r="L36" s="3173"/>
      <c r="M36" s="3173"/>
      <c r="N36" s="3173"/>
      <c r="O36" s="3173"/>
      <c r="P36" s="3173"/>
      <c r="Q36" s="3173"/>
      <c r="R36" s="3173"/>
      <c r="S36" s="3173"/>
      <c r="T36" s="3173"/>
      <c r="U36" s="3173"/>
      <c r="V36" s="3173"/>
      <c r="W36" s="3173"/>
      <c r="X36" s="3173"/>
      <c r="Y36" s="3173"/>
      <c r="Z36" s="3173"/>
      <c r="AA36" s="3174"/>
      <c r="AE36" s="3175"/>
      <c r="AF36" s="3176"/>
      <c r="AG36" s="3177"/>
    </row>
    <row r="37" spans="1:134" ht="45" customHeight="1" thickBot="1">
      <c r="A37" s="2771"/>
      <c r="B37" s="3178"/>
      <c r="C37" s="2771"/>
      <c r="D37" s="2771"/>
      <c r="E37" s="2771"/>
      <c r="F37" s="2771"/>
      <c r="G37" s="2771"/>
      <c r="H37" s="2771"/>
      <c r="I37" s="2771"/>
      <c r="J37" s="2771"/>
      <c r="K37" s="2771"/>
      <c r="L37" s="2771"/>
      <c r="M37" s="2771"/>
      <c r="N37" s="2771"/>
      <c r="O37" s="2771"/>
      <c r="P37" s="2771"/>
      <c r="Q37" s="2771"/>
      <c r="R37" s="2771"/>
      <c r="S37" s="2771"/>
      <c r="T37" s="2771"/>
      <c r="U37" s="2771"/>
      <c r="V37" s="2771"/>
      <c r="W37" s="2771"/>
      <c r="X37" s="2771"/>
      <c r="Y37" s="2771"/>
      <c r="Z37" s="2771"/>
      <c r="AA37" s="2771"/>
      <c r="AE37" s="2771"/>
      <c r="AF37" s="2771"/>
      <c r="AG37" s="2771"/>
    </row>
    <row r="38" spans="1:134" s="3019" customFormat="1" ht="18.75" customHeight="1" thickBot="1">
      <c r="A38" s="3013"/>
      <c r="B38" s="2783" t="s">
        <v>472</v>
      </c>
      <c r="C38" s="2784"/>
      <c r="D38" s="2784"/>
      <c r="E38" s="2784"/>
      <c r="F38" s="2784"/>
      <c r="G38" s="2784"/>
      <c r="H38" s="2784"/>
      <c r="I38" s="2784"/>
      <c r="J38" s="2784"/>
      <c r="K38" s="2784"/>
      <c r="L38" s="2784"/>
      <c r="M38" s="2784"/>
      <c r="N38" s="2784"/>
      <c r="O38" s="2784"/>
      <c r="P38" s="2784"/>
      <c r="Q38" s="2784"/>
      <c r="R38" s="2784"/>
      <c r="S38" s="2784"/>
      <c r="T38" s="2784"/>
      <c r="U38" s="2784"/>
      <c r="V38" s="2784"/>
      <c r="W38" s="2784"/>
      <c r="X38" s="2784"/>
      <c r="Y38" s="2784"/>
      <c r="Z38" s="2784"/>
      <c r="AA38" s="2785"/>
      <c r="AB38" s="2524"/>
      <c r="AC38" s="2524"/>
      <c r="AD38" s="2524"/>
      <c r="AE38" s="2783"/>
      <c r="AF38" s="2784"/>
      <c r="AG38" s="2785"/>
      <c r="DE38" s="2524"/>
      <c r="DF38" s="2524"/>
      <c r="DG38" s="2524"/>
      <c r="DH38" s="2524"/>
      <c r="DI38" s="2524"/>
      <c r="DJ38" s="2524"/>
      <c r="DK38" s="2524"/>
      <c r="DL38" s="2524"/>
      <c r="DM38" s="2524"/>
      <c r="DN38" s="2524"/>
      <c r="DO38" s="2524"/>
      <c r="DP38" s="2524"/>
      <c r="DQ38" s="2524"/>
      <c r="DR38" s="2524"/>
      <c r="DS38" s="2524"/>
      <c r="DT38" s="2524"/>
      <c r="DU38" s="2524"/>
      <c r="DV38" s="2524"/>
      <c r="DW38" s="2524"/>
      <c r="DX38" s="2524"/>
      <c r="DY38" s="2524"/>
      <c r="DZ38" s="2524"/>
      <c r="EA38" s="2524"/>
      <c r="EB38" s="2524"/>
      <c r="EC38" s="2524"/>
      <c r="ED38" s="2524"/>
    </row>
    <row r="39" spans="1:134" ht="20.25" customHeight="1">
      <c r="A39" s="2771"/>
      <c r="B39" s="4552"/>
      <c r="C39" s="4554" t="s">
        <v>37</v>
      </c>
      <c r="D39" s="4555"/>
      <c r="E39" s="4555"/>
      <c r="F39" s="4555"/>
      <c r="G39" s="4555"/>
      <c r="H39" s="4562" t="s">
        <v>73</v>
      </c>
      <c r="I39" s="4562"/>
      <c r="J39" s="4562"/>
      <c r="K39" s="4562"/>
      <c r="L39" s="4562"/>
      <c r="M39" s="4563" t="s">
        <v>249</v>
      </c>
      <c r="N39" s="4563"/>
      <c r="O39" s="4563"/>
      <c r="P39" s="4563"/>
      <c r="Q39" s="4563"/>
      <c r="R39" s="4563"/>
      <c r="S39" s="4563"/>
      <c r="T39" s="4563"/>
      <c r="U39" s="4563"/>
      <c r="V39" s="4563"/>
      <c r="W39" s="4563"/>
      <c r="X39" s="4563"/>
      <c r="Y39" s="4563"/>
      <c r="Z39" s="4563"/>
      <c r="AA39" s="4564"/>
      <c r="AE39" s="4565" t="s">
        <v>37</v>
      </c>
      <c r="AF39" s="4566"/>
      <c r="AG39" s="4567"/>
    </row>
    <row r="40" spans="1:134" ht="20.25" customHeight="1">
      <c r="B40" s="4553"/>
      <c r="C40" s="4556" t="s">
        <v>543</v>
      </c>
      <c r="D40" s="4557"/>
      <c r="E40" s="4558"/>
      <c r="F40" s="4559" t="str">
        <f>CONCATENATE("$0's, real ",dms_DollarReal)</f>
        <v>$0's, real December 2017</v>
      </c>
      <c r="G40" s="4560"/>
      <c r="H40" s="4560"/>
      <c r="I40" s="4560"/>
      <c r="J40" s="4560"/>
      <c r="K40" s="4560"/>
      <c r="L40" s="4560"/>
      <c r="M40" s="4560"/>
      <c r="N40" s="4560"/>
      <c r="O40" s="4560"/>
      <c r="P40" s="4560"/>
      <c r="Q40" s="4560"/>
      <c r="R40" s="4560"/>
      <c r="S40" s="4560"/>
      <c r="T40" s="4560"/>
      <c r="U40" s="4560"/>
      <c r="V40" s="4560"/>
      <c r="W40" s="4560"/>
      <c r="X40" s="4560"/>
      <c r="Y40" s="4560"/>
      <c r="Z40" s="4560"/>
      <c r="AA40" s="4561"/>
      <c r="AE40" s="4556" t="str">
        <f>CONCATENATE("$0's, real ",dms_DollarReal)</f>
        <v>$0's, real December 2017</v>
      </c>
      <c r="AF40" s="4557"/>
      <c r="AG40" s="4568"/>
    </row>
    <row r="41" spans="1:134" ht="20.25" customHeight="1">
      <c r="B41" s="4553"/>
      <c r="C41" s="4556" t="s">
        <v>54</v>
      </c>
      <c r="D41" s="4557"/>
      <c r="E41" s="4558"/>
      <c r="F41" s="4559" t="s">
        <v>377</v>
      </c>
      <c r="G41" s="4560"/>
      <c r="H41" s="4560"/>
      <c r="I41" s="4560"/>
      <c r="J41" s="4560"/>
      <c r="K41" s="4560"/>
      <c r="L41" s="4560"/>
      <c r="M41" s="4560"/>
      <c r="N41" s="4560"/>
      <c r="O41" s="4560"/>
      <c r="P41" s="4560"/>
      <c r="Q41" s="4560"/>
      <c r="R41" s="4560"/>
      <c r="S41" s="4560"/>
      <c r="T41" s="4560"/>
      <c r="U41" s="4560"/>
      <c r="V41" s="4560"/>
      <c r="W41" s="4560"/>
      <c r="X41" s="4560"/>
      <c r="Y41" s="4560"/>
      <c r="Z41" s="4560"/>
      <c r="AA41" s="4561"/>
      <c r="AE41" s="4556" t="s">
        <v>54</v>
      </c>
      <c r="AF41" s="4557"/>
      <c r="AG41" s="4568"/>
    </row>
    <row r="42" spans="1:134" ht="20.25" customHeight="1" thickBot="1">
      <c r="B42" s="4569"/>
      <c r="C42" s="2788">
        <f>CRCP_y1</f>
        <v>2013</v>
      </c>
      <c r="D42" s="2788">
        <f>CRCP_y2</f>
        <v>2014</v>
      </c>
      <c r="E42" s="2788">
        <f>CRCP_y3</f>
        <v>2015</v>
      </c>
      <c r="F42" s="2788">
        <f>CRCP_y4</f>
        <v>2016</v>
      </c>
      <c r="G42" s="2788">
        <f>CRCP_y5</f>
        <v>2017</v>
      </c>
      <c r="H42" s="3120" t="str">
        <f>CONCATENATE(IF(dms_RPT="Calendar",G42+1,(LEFT(G42,4)+1&amp;"-"&amp;IF(MID(G42,6,2)&lt;"09","0"&amp;RIGHT(G42,1)+1,RIGHT(G42,2)+1))))</f>
        <v>2018</v>
      </c>
      <c r="I42" s="3120" t="str">
        <f t="shared" ref="I42:AA42" si="3">CONCATENATE(IF(dms_RPT="Calendar",H42+1,(LEFT(H42,4)+1&amp;"-"&amp;IF(MID(H42,6,2)&lt;"09","0"&amp;RIGHT(H42,1)+1,RIGHT(H42,2)+1))))</f>
        <v>2019</v>
      </c>
      <c r="J42" s="3120" t="str">
        <f t="shared" si="3"/>
        <v>2020</v>
      </c>
      <c r="K42" s="3120" t="str">
        <f t="shared" si="3"/>
        <v>2021</v>
      </c>
      <c r="L42" s="3120" t="str">
        <f t="shared" si="3"/>
        <v>2022</v>
      </c>
      <c r="M42" s="2788" t="str">
        <f t="shared" si="3"/>
        <v>2023</v>
      </c>
      <c r="N42" s="2788" t="str">
        <f t="shared" si="3"/>
        <v>2024</v>
      </c>
      <c r="O42" s="2788" t="str">
        <f t="shared" si="3"/>
        <v>2025</v>
      </c>
      <c r="P42" s="2788" t="str">
        <f t="shared" si="3"/>
        <v>2026</v>
      </c>
      <c r="Q42" s="2788" t="str">
        <f t="shared" si="3"/>
        <v>2027</v>
      </c>
      <c r="R42" s="2788" t="str">
        <f t="shared" si="3"/>
        <v>2028</v>
      </c>
      <c r="S42" s="2788" t="str">
        <f t="shared" si="3"/>
        <v>2029</v>
      </c>
      <c r="T42" s="2788" t="str">
        <f t="shared" si="3"/>
        <v>2030</v>
      </c>
      <c r="U42" s="2788" t="str">
        <f t="shared" si="3"/>
        <v>2031</v>
      </c>
      <c r="V42" s="2788" t="str">
        <f t="shared" si="3"/>
        <v>2032</v>
      </c>
      <c r="W42" s="2788" t="str">
        <f t="shared" si="3"/>
        <v>2033</v>
      </c>
      <c r="X42" s="2788" t="str">
        <f t="shared" si="3"/>
        <v>2034</v>
      </c>
      <c r="Y42" s="2788" t="str">
        <f t="shared" si="3"/>
        <v>2035</v>
      </c>
      <c r="Z42" s="2788" t="str">
        <f t="shared" si="3"/>
        <v>2036</v>
      </c>
      <c r="AA42" s="2788" t="str">
        <f t="shared" si="3"/>
        <v>2037</v>
      </c>
      <c r="AE42" s="3121">
        <f>CRCP_y1</f>
        <v>2013</v>
      </c>
      <c r="AF42" s="2788">
        <f>CRCP_y2</f>
        <v>2014</v>
      </c>
      <c r="AG42" s="2789">
        <f>CRCP_y3</f>
        <v>2015</v>
      </c>
    </row>
    <row r="43" spans="1:134" ht="18" customHeight="1">
      <c r="A43" s="2771"/>
      <c r="B43" s="3179" t="s">
        <v>250</v>
      </c>
      <c r="C43" s="3180">
        <v>0</v>
      </c>
      <c r="D43" s="3181">
        <v>0</v>
      </c>
      <c r="E43" s="3181">
        <v>0</v>
      </c>
      <c r="F43" s="3181">
        <v>0</v>
      </c>
      <c r="G43" s="3181">
        <v>0</v>
      </c>
      <c r="H43" s="3180">
        <v>8381</v>
      </c>
      <c r="I43" s="3181">
        <v>23048</v>
      </c>
      <c r="J43" s="3181">
        <v>34049</v>
      </c>
      <c r="K43" s="3181">
        <v>42299</v>
      </c>
      <c r="L43" s="3182">
        <v>48487</v>
      </c>
      <c r="M43" s="3180">
        <v>53128</v>
      </c>
      <c r="N43" s="3181">
        <v>56608</v>
      </c>
      <c r="O43" s="3181">
        <v>59219</v>
      </c>
      <c r="P43" s="3181">
        <v>61177</v>
      </c>
      <c r="Q43" s="3181">
        <v>62645</v>
      </c>
      <c r="R43" s="3181">
        <v>63746</v>
      </c>
      <c r="S43" s="3181">
        <v>64572</v>
      </c>
      <c r="T43" s="3181">
        <v>65192</v>
      </c>
      <c r="U43" s="3181">
        <v>65656</v>
      </c>
      <c r="V43" s="3181">
        <v>66005</v>
      </c>
      <c r="W43" s="3181">
        <v>66266</v>
      </c>
      <c r="X43" s="3181">
        <v>66462</v>
      </c>
      <c r="Y43" s="3181">
        <v>66609</v>
      </c>
      <c r="Z43" s="3181">
        <v>66719</v>
      </c>
      <c r="AA43" s="3183">
        <v>66802</v>
      </c>
      <c r="AE43" s="3184"/>
      <c r="AF43" s="3185"/>
      <c r="AG43" s="3186"/>
    </row>
    <row r="44" spans="1:134" ht="18" customHeight="1" thickBot="1">
      <c r="A44" s="2771"/>
      <c r="B44" s="3187" t="s">
        <v>251</v>
      </c>
      <c r="C44" s="3166">
        <v>0</v>
      </c>
      <c r="D44" s="3167">
        <v>0</v>
      </c>
      <c r="E44" s="3167">
        <v>0</v>
      </c>
      <c r="F44" s="3167">
        <v>0</v>
      </c>
      <c r="G44" s="3167">
        <v>0</v>
      </c>
      <c r="H44" s="3166">
        <v>8381</v>
      </c>
      <c r="I44" s="3167">
        <v>23048</v>
      </c>
      <c r="J44" s="3167">
        <v>34049</v>
      </c>
      <c r="K44" s="3167">
        <v>42299</v>
      </c>
      <c r="L44" s="3188">
        <v>48487</v>
      </c>
      <c r="M44" s="3166">
        <v>53128</v>
      </c>
      <c r="N44" s="3167">
        <v>56608</v>
      </c>
      <c r="O44" s="3167">
        <v>59219</v>
      </c>
      <c r="P44" s="3167">
        <v>61177</v>
      </c>
      <c r="Q44" s="3167">
        <v>62645</v>
      </c>
      <c r="R44" s="3167">
        <v>63746</v>
      </c>
      <c r="S44" s="3167">
        <v>64572</v>
      </c>
      <c r="T44" s="3167">
        <v>65192</v>
      </c>
      <c r="U44" s="3167">
        <v>65656</v>
      </c>
      <c r="V44" s="3167">
        <v>66005</v>
      </c>
      <c r="W44" s="3167">
        <v>66266</v>
      </c>
      <c r="X44" s="3167">
        <v>66462</v>
      </c>
      <c r="Y44" s="3167">
        <v>66609</v>
      </c>
      <c r="Z44" s="3167">
        <v>66719</v>
      </c>
      <c r="AA44" s="3189">
        <v>66802</v>
      </c>
      <c r="AE44" s="3169"/>
      <c r="AF44" s="3170"/>
      <c r="AG44" s="3171"/>
    </row>
    <row r="45" spans="1:134" ht="28.5" customHeight="1" thickBot="1">
      <c r="A45" s="2771"/>
      <c r="B45" s="3172" t="s">
        <v>121</v>
      </c>
      <c r="C45" s="3937" t="s">
        <v>1663</v>
      </c>
      <c r="D45" s="3938"/>
      <c r="E45" s="3938"/>
      <c r="F45" s="3938"/>
      <c r="G45" s="3938"/>
      <c r="H45" s="3173"/>
      <c r="I45" s="3173"/>
      <c r="J45" s="3173"/>
      <c r="K45" s="3173"/>
      <c r="L45" s="3173"/>
      <c r="M45" s="3173"/>
      <c r="N45" s="3173"/>
      <c r="O45" s="3173"/>
      <c r="P45" s="3173"/>
      <c r="Q45" s="3173"/>
      <c r="R45" s="3173"/>
      <c r="S45" s="3173"/>
      <c r="T45" s="3173"/>
      <c r="U45" s="3173"/>
      <c r="V45" s="3173"/>
      <c r="W45" s="3173"/>
      <c r="X45" s="3173"/>
      <c r="Y45" s="3173"/>
      <c r="Z45" s="3173"/>
      <c r="AA45" s="3174"/>
      <c r="AE45" s="3175"/>
      <c r="AF45" s="3176"/>
      <c r="AG45" s="3177"/>
    </row>
    <row r="46" spans="1:134" ht="30" customHeight="1" thickBot="1">
      <c r="A46" s="2771"/>
      <c r="B46" s="3178"/>
      <c r="C46" s="3178"/>
      <c r="D46" s="3178"/>
      <c r="E46" s="3178"/>
      <c r="F46" s="3178"/>
      <c r="G46" s="3178"/>
      <c r="H46" s="3178"/>
      <c r="I46" s="3178"/>
      <c r="J46" s="3178"/>
      <c r="K46" s="3178"/>
      <c r="L46" s="3178"/>
      <c r="M46" s="3178"/>
      <c r="N46" s="3178"/>
      <c r="O46" s="3178"/>
      <c r="P46" s="3178"/>
      <c r="Q46" s="3178"/>
      <c r="R46" s="3178"/>
      <c r="S46" s="3178"/>
      <c r="T46" s="3178"/>
      <c r="U46" s="3178"/>
      <c r="V46" s="3178"/>
      <c r="W46" s="3178"/>
      <c r="X46" s="3178"/>
      <c r="Y46" s="3178"/>
      <c r="Z46" s="3178"/>
      <c r="AA46" s="3178"/>
      <c r="AE46" s="3178"/>
      <c r="AF46" s="3178"/>
      <c r="AG46" s="3178"/>
    </row>
    <row r="47" spans="1:134" s="3019" customFormat="1" ht="18.75" customHeight="1" thickBot="1">
      <c r="A47" s="3013"/>
      <c r="B47" s="2783" t="s">
        <v>473</v>
      </c>
      <c r="C47" s="2784"/>
      <c r="D47" s="2784"/>
      <c r="E47" s="2784"/>
      <c r="F47" s="2784"/>
      <c r="G47" s="2784"/>
      <c r="H47" s="2784"/>
      <c r="I47" s="2784"/>
      <c r="J47" s="2784"/>
      <c r="K47" s="2784"/>
      <c r="L47" s="2784"/>
      <c r="M47" s="2784"/>
      <c r="N47" s="2784"/>
      <c r="O47" s="2784"/>
      <c r="P47" s="2784"/>
      <c r="Q47" s="2784"/>
      <c r="R47" s="2784"/>
      <c r="S47" s="2784"/>
      <c r="T47" s="2784"/>
      <c r="U47" s="2784"/>
      <c r="V47" s="2784"/>
      <c r="W47" s="2784"/>
      <c r="X47" s="2784"/>
      <c r="Y47" s="2784"/>
      <c r="Z47" s="2784"/>
      <c r="AA47" s="2785"/>
      <c r="AB47" s="2524"/>
      <c r="AC47" s="2524"/>
      <c r="AD47" s="2524"/>
      <c r="AE47" s="2783"/>
      <c r="AF47" s="2784"/>
      <c r="AG47" s="2785"/>
      <c r="DE47" s="2524"/>
      <c r="DF47" s="2524"/>
      <c r="DG47" s="2524"/>
      <c r="DH47" s="2524"/>
      <c r="DI47" s="2524"/>
      <c r="DJ47" s="2524"/>
      <c r="DK47" s="2524"/>
      <c r="DL47" s="2524"/>
      <c r="DM47" s="2524"/>
      <c r="DN47" s="2524"/>
      <c r="DO47" s="2524"/>
      <c r="DP47" s="2524"/>
      <c r="DQ47" s="2524"/>
      <c r="DR47" s="2524"/>
      <c r="DS47" s="2524"/>
      <c r="DT47" s="2524"/>
      <c r="DU47" s="2524"/>
      <c r="DV47" s="2524"/>
      <c r="DW47" s="2524"/>
      <c r="DX47" s="2524"/>
      <c r="DY47" s="2524"/>
      <c r="DZ47" s="2524"/>
      <c r="EA47" s="2524"/>
      <c r="EB47" s="2524"/>
      <c r="EC47" s="2524"/>
      <c r="ED47" s="2524"/>
    </row>
    <row r="48" spans="1:134" ht="20.25" customHeight="1">
      <c r="A48" s="2771"/>
      <c r="B48" s="4552"/>
      <c r="C48" s="4554" t="s">
        <v>37</v>
      </c>
      <c r="D48" s="4555"/>
      <c r="E48" s="4555"/>
      <c r="F48" s="4555"/>
      <c r="G48" s="4555"/>
      <c r="H48" s="4562" t="s">
        <v>73</v>
      </c>
      <c r="I48" s="4562"/>
      <c r="J48" s="4562"/>
      <c r="K48" s="4562"/>
      <c r="L48" s="4562"/>
      <c r="M48" s="4563" t="s">
        <v>249</v>
      </c>
      <c r="N48" s="4563"/>
      <c r="O48" s="4563"/>
      <c r="P48" s="4563"/>
      <c r="Q48" s="4563"/>
      <c r="R48" s="4563"/>
      <c r="S48" s="4563"/>
      <c r="T48" s="4563"/>
      <c r="U48" s="4563"/>
      <c r="V48" s="4563"/>
      <c r="W48" s="4563"/>
      <c r="X48" s="4563"/>
      <c r="Y48" s="4563"/>
      <c r="Z48" s="4563"/>
      <c r="AA48" s="4564"/>
      <c r="AE48" s="4565" t="s">
        <v>37</v>
      </c>
      <c r="AF48" s="4566"/>
      <c r="AG48" s="4567"/>
    </row>
    <row r="49" spans="1:33" ht="20.25" customHeight="1">
      <c r="B49" s="4553"/>
      <c r="C49" s="4556" t="s">
        <v>543</v>
      </c>
      <c r="D49" s="4557"/>
      <c r="E49" s="4558"/>
      <c r="F49" s="4559" t="str">
        <f>CONCATENATE("$0's, real ",dms_DollarReal)</f>
        <v>$0's, real December 2017</v>
      </c>
      <c r="G49" s="4560"/>
      <c r="H49" s="4560"/>
      <c r="I49" s="4560"/>
      <c r="J49" s="4560"/>
      <c r="K49" s="4560"/>
      <c r="L49" s="4560"/>
      <c r="M49" s="4560"/>
      <c r="N49" s="4560"/>
      <c r="O49" s="4560"/>
      <c r="P49" s="4560"/>
      <c r="Q49" s="4560"/>
      <c r="R49" s="4560"/>
      <c r="S49" s="4560"/>
      <c r="T49" s="4560"/>
      <c r="U49" s="4560"/>
      <c r="V49" s="4560"/>
      <c r="W49" s="4560"/>
      <c r="X49" s="4560"/>
      <c r="Y49" s="4560"/>
      <c r="Z49" s="4560"/>
      <c r="AA49" s="4561"/>
      <c r="AE49" s="4556" t="str">
        <f>CONCATENATE("$0's, real ",dms_DollarReal)</f>
        <v>$0's, real December 2017</v>
      </c>
      <c r="AF49" s="4557"/>
      <c r="AG49" s="4568"/>
    </row>
    <row r="50" spans="1:33" ht="20.25" customHeight="1">
      <c r="B50" s="4553"/>
      <c r="C50" s="4556" t="s">
        <v>54</v>
      </c>
      <c r="D50" s="4557"/>
      <c r="E50" s="4558"/>
      <c r="F50" s="4559" t="s">
        <v>377</v>
      </c>
      <c r="G50" s="4560"/>
      <c r="H50" s="4560"/>
      <c r="I50" s="4560"/>
      <c r="J50" s="4560"/>
      <c r="K50" s="4560"/>
      <c r="L50" s="4560"/>
      <c r="M50" s="4560"/>
      <c r="N50" s="4560"/>
      <c r="O50" s="4560"/>
      <c r="P50" s="4560"/>
      <c r="Q50" s="4560"/>
      <c r="R50" s="4560"/>
      <c r="S50" s="4560"/>
      <c r="T50" s="4560"/>
      <c r="U50" s="4560"/>
      <c r="V50" s="4560"/>
      <c r="W50" s="4560"/>
      <c r="X50" s="4560"/>
      <c r="Y50" s="4560"/>
      <c r="Z50" s="4560"/>
      <c r="AA50" s="4561"/>
      <c r="AE50" s="4556" t="s">
        <v>54</v>
      </c>
      <c r="AF50" s="4557"/>
      <c r="AG50" s="4568"/>
    </row>
    <row r="51" spans="1:33" ht="20.25" customHeight="1" thickBot="1">
      <c r="B51" s="4569"/>
      <c r="C51" s="2788">
        <f>CRCP_y1</f>
        <v>2013</v>
      </c>
      <c r="D51" s="2788">
        <f>CRCP_y2</f>
        <v>2014</v>
      </c>
      <c r="E51" s="2788">
        <f>CRCP_y3</f>
        <v>2015</v>
      </c>
      <c r="F51" s="2788">
        <f>CRCP_y4</f>
        <v>2016</v>
      </c>
      <c r="G51" s="2788">
        <f>CRCP_y5</f>
        <v>2017</v>
      </c>
      <c r="H51" s="3120" t="str">
        <f>CONCATENATE(IF(dms_RPT="Calendar",G51+1,(LEFT(G51,4)+1&amp;"-"&amp;IF(MID(G51,6,2)&lt;"09","0"&amp;RIGHT(G51,1)+1,RIGHT(G51,2)+1))))</f>
        <v>2018</v>
      </c>
      <c r="I51" s="3120" t="str">
        <f t="shared" ref="I51:AA51" si="4">CONCATENATE(IF(dms_RPT="Calendar",H51+1,(LEFT(H51,4)+1&amp;"-"&amp;IF(MID(H51,6,2)&lt;"09","0"&amp;RIGHT(H51,1)+1,RIGHT(H51,2)+1))))</f>
        <v>2019</v>
      </c>
      <c r="J51" s="3120" t="str">
        <f t="shared" si="4"/>
        <v>2020</v>
      </c>
      <c r="K51" s="3120" t="str">
        <f t="shared" si="4"/>
        <v>2021</v>
      </c>
      <c r="L51" s="3120" t="str">
        <f t="shared" si="4"/>
        <v>2022</v>
      </c>
      <c r="M51" s="2788" t="str">
        <f t="shared" si="4"/>
        <v>2023</v>
      </c>
      <c r="N51" s="2788" t="str">
        <f t="shared" si="4"/>
        <v>2024</v>
      </c>
      <c r="O51" s="2788" t="str">
        <f t="shared" si="4"/>
        <v>2025</v>
      </c>
      <c r="P51" s="2788" t="str">
        <f t="shared" si="4"/>
        <v>2026</v>
      </c>
      <c r="Q51" s="2788" t="str">
        <f t="shared" si="4"/>
        <v>2027</v>
      </c>
      <c r="R51" s="2788" t="str">
        <f t="shared" si="4"/>
        <v>2028</v>
      </c>
      <c r="S51" s="2788" t="str">
        <f t="shared" si="4"/>
        <v>2029</v>
      </c>
      <c r="T51" s="2788" t="str">
        <f t="shared" si="4"/>
        <v>2030</v>
      </c>
      <c r="U51" s="2788" t="str">
        <f t="shared" si="4"/>
        <v>2031</v>
      </c>
      <c r="V51" s="2788" t="str">
        <f t="shared" si="4"/>
        <v>2032</v>
      </c>
      <c r="W51" s="2788" t="str">
        <f t="shared" si="4"/>
        <v>2033</v>
      </c>
      <c r="X51" s="2788" t="str">
        <f t="shared" si="4"/>
        <v>2034</v>
      </c>
      <c r="Y51" s="2788" t="str">
        <f t="shared" si="4"/>
        <v>2035</v>
      </c>
      <c r="Z51" s="2788" t="str">
        <f t="shared" si="4"/>
        <v>2036</v>
      </c>
      <c r="AA51" s="2788" t="str">
        <f t="shared" si="4"/>
        <v>2037</v>
      </c>
      <c r="AE51" s="3121">
        <f>CRCP_y1</f>
        <v>2013</v>
      </c>
      <c r="AF51" s="2788">
        <f>CRCP_y2</f>
        <v>2014</v>
      </c>
      <c r="AG51" s="2789">
        <f>CRCP_y3</f>
        <v>2015</v>
      </c>
    </row>
    <row r="52" spans="1:33">
      <c r="A52" s="2771"/>
      <c r="B52" s="3190" t="s">
        <v>192</v>
      </c>
      <c r="C52" s="3126">
        <v>14159</v>
      </c>
      <c r="D52" s="3125">
        <v>690900</v>
      </c>
      <c r="E52" s="3125">
        <v>794617</v>
      </c>
      <c r="F52" s="3125">
        <v>601189</v>
      </c>
      <c r="G52" s="3125">
        <v>1926907</v>
      </c>
      <c r="H52" s="3107"/>
      <c r="I52" s="3124"/>
      <c r="J52" s="3124"/>
      <c r="K52" s="3124"/>
      <c r="L52" s="3191"/>
      <c r="M52" s="3107"/>
      <c r="N52" s="3124"/>
      <c r="O52" s="3124"/>
      <c r="P52" s="3124"/>
      <c r="Q52" s="3124"/>
      <c r="R52" s="3124"/>
      <c r="S52" s="3124"/>
      <c r="T52" s="3124"/>
      <c r="U52" s="3124"/>
      <c r="V52" s="3124"/>
      <c r="W52" s="3124"/>
      <c r="X52" s="3124"/>
      <c r="Y52" s="3124"/>
      <c r="Z52" s="3124"/>
      <c r="AA52" s="3191"/>
      <c r="AE52" s="3128"/>
      <c r="AF52" s="3129"/>
      <c r="AG52" s="3130"/>
    </row>
    <row r="53" spans="1:33">
      <c r="A53" s="2771"/>
      <c r="B53" s="3192" t="s">
        <v>193</v>
      </c>
      <c r="C53" s="3063" t="s">
        <v>1664</v>
      </c>
      <c r="D53" s="3064" t="s">
        <v>1664</v>
      </c>
      <c r="E53" s="3064" t="s">
        <v>1664</v>
      </c>
      <c r="F53" s="3064" t="s">
        <v>1664</v>
      </c>
      <c r="G53" s="3064" t="s">
        <v>1664</v>
      </c>
      <c r="H53" s="3136">
        <v>340465</v>
      </c>
      <c r="I53" s="3135">
        <v>255349</v>
      </c>
      <c r="J53" s="3135">
        <v>191512</v>
      </c>
      <c r="K53" s="3135">
        <v>143634</v>
      </c>
      <c r="L53" s="3137">
        <v>107725</v>
      </c>
      <c r="M53" s="3136">
        <v>80794</v>
      </c>
      <c r="N53" s="3135">
        <v>60595</v>
      </c>
      <c r="O53" s="3135">
        <v>45447</v>
      </c>
      <c r="P53" s="3135">
        <v>34085</v>
      </c>
      <c r="Q53" s="3135">
        <v>25564</v>
      </c>
      <c r="R53" s="3135">
        <v>19173</v>
      </c>
      <c r="S53" s="3135">
        <v>14380</v>
      </c>
      <c r="T53" s="3135">
        <v>10785</v>
      </c>
      <c r="U53" s="3135">
        <v>8089</v>
      </c>
      <c r="V53" s="3135">
        <v>6066</v>
      </c>
      <c r="W53" s="3135">
        <v>4550</v>
      </c>
      <c r="X53" s="3135">
        <v>3412</v>
      </c>
      <c r="Y53" s="3135">
        <v>2559</v>
      </c>
      <c r="Z53" s="3135">
        <v>1919</v>
      </c>
      <c r="AA53" s="3137">
        <v>1440</v>
      </c>
      <c r="AE53" s="3132"/>
      <c r="AF53" s="3133"/>
      <c r="AG53" s="3134"/>
    </row>
    <row r="54" spans="1:33">
      <c r="A54" s="2771"/>
      <c r="B54" s="3192" t="s">
        <v>194</v>
      </c>
      <c r="C54" s="3063"/>
      <c r="D54" s="3064"/>
      <c r="E54" s="3064"/>
      <c r="F54" s="3064"/>
      <c r="G54" s="3064"/>
      <c r="H54" s="3063"/>
      <c r="I54" s="3064"/>
      <c r="J54" s="3064"/>
      <c r="K54" s="3064"/>
      <c r="L54" s="3030"/>
      <c r="M54" s="3063"/>
      <c r="N54" s="3064"/>
      <c r="O54" s="3064"/>
      <c r="P54" s="3064"/>
      <c r="Q54" s="3064"/>
      <c r="R54" s="3064"/>
      <c r="S54" s="3064"/>
      <c r="T54" s="3064"/>
      <c r="U54" s="3064"/>
      <c r="V54" s="3064"/>
      <c r="W54" s="3064"/>
      <c r="X54" s="3064"/>
      <c r="Y54" s="3064"/>
      <c r="Z54" s="3064"/>
      <c r="AA54" s="3030"/>
      <c r="AE54" s="3132"/>
      <c r="AF54" s="3133"/>
      <c r="AG54" s="3134"/>
    </row>
    <row r="55" spans="1:33">
      <c r="A55" s="2771"/>
      <c r="B55" s="3192" t="s">
        <v>195</v>
      </c>
      <c r="C55" s="3063"/>
      <c r="D55" s="3064"/>
      <c r="E55" s="3064"/>
      <c r="F55" s="3064"/>
      <c r="G55" s="3064"/>
      <c r="H55" s="3063"/>
      <c r="I55" s="3064"/>
      <c r="J55" s="3064"/>
      <c r="K55" s="3064"/>
      <c r="L55" s="3030"/>
      <c r="M55" s="3063"/>
      <c r="N55" s="3064"/>
      <c r="O55" s="3064"/>
      <c r="P55" s="3064"/>
      <c r="Q55" s="3064"/>
      <c r="R55" s="3064"/>
      <c r="S55" s="3064"/>
      <c r="T55" s="3064"/>
      <c r="U55" s="3064"/>
      <c r="V55" s="3064"/>
      <c r="W55" s="3064"/>
      <c r="X55" s="3064"/>
      <c r="Y55" s="3064"/>
      <c r="Z55" s="3064"/>
      <c r="AA55" s="3030"/>
      <c r="AE55" s="3132"/>
      <c r="AF55" s="3133"/>
      <c r="AG55" s="3134"/>
    </row>
    <row r="56" spans="1:33">
      <c r="A56" s="2771"/>
      <c r="B56" s="3192" t="s">
        <v>255</v>
      </c>
      <c r="C56" s="3136">
        <v>4386</v>
      </c>
      <c r="D56" s="3135">
        <v>214013</v>
      </c>
      <c r="E56" s="3135">
        <v>246140</v>
      </c>
      <c r="F56" s="3135">
        <v>186224</v>
      </c>
      <c r="G56" s="3135">
        <v>596878</v>
      </c>
      <c r="H56" s="3063"/>
      <c r="I56" s="3064"/>
      <c r="J56" s="3064"/>
      <c r="K56" s="3064"/>
      <c r="L56" s="3030"/>
      <c r="M56" s="3063"/>
      <c r="N56" s="3064"/>
      <c r="O56" s="3064"/>
      <c r="P56" s="3064"/>
      <c r="Q56" s="3064"/>
      <c r="R56" s="3064"/>
      <c r="S56" s="3064"/>
      <c r="T56" s="3064"/>
      <c r="U56" s="3064"/>
      <c r="V56" s="3064"/>
      <c r="W56" s="3064"/>
      <c r="X56" s="3064"/>
      <c r="Y56" s="3064"/>
      <c r="Z56" s="3064"/>
      <c r="AA56" s="3030"/>
      <c r="AE56" s="3132"/>
      <c r="AF56" s="3133"/>
      <c r="AG56" s="3134"/>
    </row>
    <row r="57" spans="1:33">
      <c r="A57" s="2771"/>
      <c r="B57" s="3192" t="s">
        <v>191</v>
      </c>
      <c r="C57" s="3063"/>
      <c r="D57" s="3064"/>
      <c r="E57" s="3064"/>
      <c r="F57" s="3064"/>
      <c r="G57" s="3064"/>
      <c r="H57" s="3063"/>
      <c r="I57" s="3064"/>
      <c r="J57" s="3064"/>
      <c r="K57" s="3064"/>
      <c r="L57" s="3030"/>
      <c r="M57" s="3063"/>
      <c r="N57" s="3064"/>
      <c r="O57" s="3064"/>
      <c r="P57" s="3064"/>
      <c r="Q57" s="3064"/>
      <c r="R57" s="3064"/>
      <c r="S57" s="3064"/>
      <c r="T57" s="3064"/>
      <c r="U57" s="3064"/>
      <c r="V57" s="3064"/>
      <c r="W57" s="3064"/>
      <c r="X57" s="3064"/>
      <c r="Y57" s="3064"/>
      <c r="Z57" s="3064"/>
      <c r="AA57" s="3030"/>
      <c r="AE57" s="3132"/>
      <c r="AF57" s="3133"/>
      <c r="AG57" s="3134"/>
    </row>
    <row r="58" spans="1:33">
      <c r="A58" s="2771"/>
      <c r="B58" s="3192" t="s">
        <v>196</v>
      </c>
      <c r="C58" s="3063" t="s">
        <v>1664</v>
      </c>
      <c r="D58" s="3064" t="s">
        <v>1664</v>
      </c>
      <c r="E58" s="3064" t="s">
        <v>1664</v>
      </c>
      <c r="F58" s="3064" t="s">
        <v>1664</v>
      </c>
      <c r="G58" s="3064" t="s">
        <v>1664</v>
      </c>
      <c r="H58" s="3136">
        <v>61463</v>
      </c>
      <c r="I58" s="3135">
        <v>46097</v>
      </c>
      <c r="J58" s="3135">
        <v>34573</v>
      </c>
      <c r="K58" s="3135">
        <v>25929</v>
      </c>
      <c r="L58" s="3137">
        <v>19447</v>
      </c>
      <c r="M58" s="3136">
        <v>14585</v>
      </c>
      <c r="N58" s="3135">
        <v>10939</v>
      </c>
      <c r="O58" s="3135">
        <v>8204</v>
      </c>
      <c r="P58" s="3135">
        <v>6153</v>
      </c>
      <c r="Q58" s="3135">
        <v>4615</v>
      </c>
      <c r="R58" s="3135">
        <v>3461</v>
      </c>
      <c r="S58" s="3135">
        <v>2596</v>
      </c>
      <c r="T58" s="3135">
        <v>1947</v>
      </c>
      <c r="U58" s="3135">
        <v>1460</v>
      </c>
      <c r="V58" s="3135">
        <v>1095</v>
      </c>
      <c r="W58" s="3064">
        <v>821</v>
      </c>
      <c r="X58" s="3064">
        <v>616</v>
      </c>
      <c r="Y58" s="3064">
        <v>462</v>
      </c>
      <c r="Z58" s="3064">
        <v>347</v>
      </c>
      <c r="AA58" s="3030">
        <v>260</v>
      </c>
      <c r="AE58" s="3132"/>
      <c r="AF58" s="3133"/>
      <c r="AG58" s="3134"/>
    </row>
    <row r="59" spans="1:33">
      <c r="A59" s="2771"/>
      <c r="B59" s="3192" t="s">
        <v>256</v>
      </c>
      <c r="C59" s="3063"/>
      <c r="D59" s="3064"/>
      <c r="E59" s="3064"/>
      <c r="F59" s="3064"/>
      <c r="G59" s="3064"/>
      <c r="H59" s="3063"/>
      <c r="I59" s="3064"/>
      <c r="J59" s="3064"/>
      <c r="K59" s="3064"/>
      <c r="L59" s="3030"/>
      <c r="M59" s="3063"/>
      <c r="N59" s="3064"/>
      <c r="O59" s="3064"/>
      <c r="P59" s="3064"/>
      <c r="Q59" s="3064"/>
      <c r="R59" s="3064"/>
      <c r="S59" s="3064"/>
      <c r="T59" s="3064"/>
      <c r="U59" s="3064"/>
      <c r="V59" s="3064"/>
      <c r="W59" s="3064"/>
      <c r="X59" s="3064"/>
      <c r="Y59" s="3064"/>
      <c r="Z59" s="3064"/>
      <c r="AA59" s="3030"/>
      <c r="AE59" s="3132"/>
      <c r="AF59" s="3133"/>
      <c r="AG59" s="3134"/>
    </row>
    <row r="60" spans="1:33">
      <c r="A60" s="2771"/>
      <c r="B60" s="3192" t="s">
        <v>264</v>
      </c>
      <c r="C60" s="3063"/>
      <c r="D60" s="3064"/>
      <c r="E60" s="3064"/>
      <c r="F60" s="3064"/>
      <c r="G60" s="3064"/>
      <c r="H60" s="3063"/>
      <c r="I60" s="3064"/>
      <c r="J60" s="3064"/>
      <c r="K60" s="3064"/>
      <c r="L60" s="3030"/>
      <c r="M60" s="3063"/>
      <c r="N60" s="3064"/>
      <c r="O60" s="3064"/>
      <c r="P60" s="3064"/>
      <c r="Q60" s="3064"/>
      <c r="R60" s="3064"/>
      <c r="S60" s="3064"/>
      <c r="T60" s="3064"/>
      <c r="U60" s="3064"/>
      <c r="V60" s="3064"/>
      <c r="W60" s="3064"/>
      <c r="X60" s="3064"/>
      <c r="Y60" s="3064"/>
      <c r="Z60" s="3064"/>
      <c r="AA60" s="3030"/>
      <c r="AE60" s="3132"/>
      <c r="AF60" s="3133"/>
      <c r="AG60" s="3134"/>
    </row>
    <row r="61" spans="1:33">
      <c r="A61" s="2771"/>
      <c r="B61" s="3192" t="s">
        <v>131</v>
      </c>
      <c r="C61" s="3063"/>
      <c r="D61" s="3064"/>
      <c r="E61" s="3064"/>
      <c r="F61" s="3064"/>
      <c r="G61" s="3064"/>
      <c r="H61" s="3063"/>
      <c r="I61" s="3064"/>
      <c r="J61" s="3064"/>
      <c r="K61" s="3064"/>
      <c r="L61" s="3030"/>
      <c r="M61" s="3063"/>
      <c r="N61" s="3064"/>
      <c r="O61" s="3064"/>
      <c r="P61" s="3064"/>
      <c r="Q61" s="3064"/>
      <c r="R61" s="3064"/>
      <c r="S61" s="3064"/>
      <c r="T61" s="3064"/>
      <c r="U61" s="3064"/>
      <c r="V61" s="3064"/>
      <c r="W61" s="3064"/>
      <c r="X61" s="3064"/>
      <c r="Y61" s="3064"/>
      <c r="Z61" s="3064"/>
      <c r="AA61" s="3030"/>
      <c r="AE61" s="3132"/>
      <c r="AF61" s="3133"/>
      <c r="AG61" s="3134"/>
    </row>
    <row r="62" spans="1:33">
      <c r="A62" s="2771"/>
      <c r="B62" s="3161" t="s">
        <v>632</v>
      </c>
      <c r="C62" s="3162">
        <f t="shared" ref="C62:AA62" si="5">SUM(C52:C61)</f>
        <v>18545</v>
      </c>
      <c r="D62" s="3163">
        <f t="shared" si="5"/>
        <v>904913</v>
      </c>
      <c r="E62" s="3163">
        <f t="shared" si="5"/>
        <v>1040757</v>
      </c>
      <c r="F62" s="3163">
        <f t="shared" si="5"/>
        <v>787413</v>
      </c>
      <c r="G62" s="3163">
        <f t="shared" si="5"/>
        <v>2523785</v>
      </c>
      <c r="H62" s="3162">
        <f t="shared" si="5"/>
        <v>401928</v>
      </c>
      <c r="I62" s="3163">
        <f t="shared" si="5"/>
        <v>301446</v>
      </c>
      <c r="J62" s="3163">
        <f t="shared" si="5"/>
        <v>226085</v>
      </c>
      <c r="K62" s="3163">
        <f t="shared" si="5"/>
        <v>169563</v>
      </c>
      <c r="L62" s="3164">
        <f t="shared" si="5"/>
        <v>127172</v>
      </c>
      <c r="M62" s="3162">
        <f t="shared" si="5"/>
        <v>95379</v>
      </c>
      <c r="N62" s="3163">
        <f t="shared" si="5"/>
        <v>71534</v>
      </c>
      <c r="O62" s="3163">
        <f t="shared" si="5"/>
        <v>53651</v>
      </c>
      <c r="P62" s="3163">
        <f t="shared" si="5"/>
        <v>40238</v>
      </c>
      <c r="Q62" s="3163">
        <f t="shared" si="5"/>
        <v>30179</v>
      </c>
      <c r="R62" s="3163">
        <f t="shared" si="5"/>
        <v>22634</v>
      </c>
      <c r="S62" s="3163">
        <f t="shared" si="5"/>
        <v>16976</v>
      </c>
      <c r="T62" s="3163">
        <f t="shared" si="5"/>
        <v>12732</v>
      </c>
      <c r="U62" s="3163">
        <f t="shared" si="5"/>
        <v>9549</v>
      </c>
      <c r="V62" s="3163">
        <f t="shared" si="5"/>
        <v>7161</v>
      </c>
      <c r="W62" s="3163">
        <f t="shared" si="5"/>
        <v>5371</v>
      </c>
      <c r="X62" s="3163">
        <f t="shared" si="5"/>
        <v>4028</v>
      </c>
      <c r="Y62" s="3163">
        <f t="shared" si="5"/>
        <v>3021</v>
      </c>
      <c r="Z62" s="3163">
        <f t="shared" si="5"/>
        <v>2266</v>
      </c>
      <c r="AA62" s="3164">
        <f t="shared" si="5"/>
        <v>1700</v>
      </c>
      <c r="AE62" s="3162">
        <f t="shared" ref="AE62:AG62" si="6">SUM(AE52:AE61)</f>
        <v>0</v>
      </c>
      <c r="AF62" s="3163">
        <f t="shared" si="6"/>
        <v>0</v>
      </c>
      <c r="AG62" s="3164">
        <f t="shared" si="6"/>
        <v>0</v>
      </c>
    </row>
    <row r="63" spans="1:33">
      <c r="A63" s="2771"/>
      <c r="B63" s="3193" t="s">
        <v>210</v>
      </c>
      <c r="C63" s="3063"/>
      <c r="D63" s="3064"/>
      <c r="E63" s="3064"/>
      <c r="F63" s="3064"/>
      <c r="G63" s="3135">
        <v>4488000</v>
      </c>
      <c r="H63" s="3063"/>
      <c r="I63" s="3064"/>
      <c r="J63" s="3064"/>
      <c r="K63" s="3064"/>
      <c r="L63" s="3030"/>
      <c r="M63" s="3063"/>
      <c r="N63" s="3064"/>
      <c r="O63" s="3064"/>
      <c r="P63" s="3064"/>
      <c r="Q63" s="3064"/>
      <c r="R63" s="3064"/>
      <c r="S63" s="3064"/>
      <c r="T63" s="3064"/>
      <c r="U63" s="3064"/>
      <c r="V63" s="3064"/>
      <c r="W63" s="3064"/>
      <c r="X63" s="3064"/>
      <c r="Y63" s="3064"/>
      <c r="Z63" s="3064"/>
      <c r="AA63" s="3030"/>
      <c r="AE63" s="3132"/>
      <c r="AF63" s="3133"/>
      <c r="AG63" s="3134"/>
    </row>
    <row r="64" spans="1:33">
      <c r="A64" s="2771"/>
      <c r="B64" s="3193" t="s">
        <v>211</v>
      </c>
      <c r="C64" s="3063"/>
      <c r="D64" s="3064"/>
      <c r="E64" s="3064"/>
      <c r="F64" s="3064"/>
      <c r="G64" s="3064"/>
      <c r="H64" s="3063"/>
      <c r="I64" s="3064"/>
      <c r="J64" s="3064"/>
      <c r="K64" s="3064"/>
      <c r="L64" s="3030"/>
      <c r="M64" s="3063"/>
      <c r="N64" s="3064"/>
      <c r="O64" s="3064"/>
      <c r="P64" s="3064"/>
      <c r="Q64" s="3064"/>
      <c r="R64" s="3064"/>
      <c r="S64" s="3064"/>
      <c r="T64" s="3064"/>
      <c r="U64" s="3064"/>
      <c r="V64" s="3064"/>
      <c r="W64" s="3064"/>
      <c r="X64" s="3064"/>
      <c r="Y64" s="3064"/>
      <c r="Z64" s="3064"/>
      <c r="AA64" s="3030"/>
      <c r="AE64" s="3132"/>
      <c r="AF64" s="3133"/>
      <c r="AG64" s="3134"/>
    </row>
    <row r="65" spans="1:33">
      <c r="A65" s="2771"/>
      <c r="B65" s="3161" t="s">
        <v>53</v>
      </c>
      <c r="C65" s="3162">
        <f>SUM(C63:C64)</f>
        <v>0</v>
      </c>
      <c r="D65" s="3163">
        <f t="shared" ref="D65:AA65" si="7">SUM(D63:D64)</f>
        <v>0</v>
      </c>
      <c r="E65" s="3163">
        <f t="shared" si="7"/>
        <v>0</v>
      </c>
      <c r="F65" s="3163">
        <f t="shared" si="7"/>
        <v>0</v>
      </c>
      <c r="G65" s="3163">
        <f t="shared" si="7"/>
        <v>4488000</v>
      </c>
      <c r="H65" s="3162">
        <f t="shared" si="7"/>
        <v>0</v>
      </c>
      <c r="I65" s="3163">
        <f t="shared" si="7"/>
        <v>0</v>
      </c>
      <c r="J65" s="3163">
        <f t="shared" si="7"/>
        <v>0</v>
      </c>
      <c r="K65" s="3163">
        <f t="shared" si="7"/>
        <v>0</v>
      </c>
      <c r="L65" s="3164">
        <f t="shared" si="7"/>
        <v>0</v>
      </c>
      <c r="M65" s="3162">
        <f t="shared" si="7"/>
        <v>0</v>
      </c>
      <c r="N65" s="3163">
        <f t="shared" si="7"/>
        <v>0</v>
      </c>
      <c r="O65" s="3163">
        <f t="shared" si="7"/>
        <v>0</v>
      </c>
      <c r="P65" s="3163">
        <f t="shared" si="7"/>
        <v>0</v>
      </c>
      <c r="Q65" s="3163">
        <f t="shared" si="7"/>
        <v>0</v>
      </c>
      <c r="R65" s="3163">
        <f t="shared" si="7"/>
        <v>0</v>
      </c>
      <c r="S65" s="3163">
        <f t="shared" si="7"/>
        <v>0</v>
      </c>
      <c r="T65" s="3163">
        <f t="shared" si="7"/>
        <v>0</v>
      </c>
      <c r="U65" s="3163">
        <f t="shared" si="7"/>
        <v>0</v>
      </c>
      <c r="V65" s="3163">
        <f t="shared" si="7"/>
        <v>0</v>
      </c>
      <c r="W65" s="3163">
        <f t="shared" si="7"/>
        <v>0</v>
      </c>
      <c r="X65" s="3163">
        <f t="shared" si="7"/>
        <v>0</v>
      </c>
      <c r="Y65" s="3163">
        <f t="shared" si="7"/>
        <v>0</v>
      </c>
      <c r="Z65" s="3163">
        <f t="shared" si="7"/>
        <v>0</v>
      </c>
      <c r="AA65" s="3164">
        <f t="shared" si="7"/>
        <v>0</v>
      </c>
      <c r="AE65" s="3162">
        <f>SUM(AE63:AE64)</f>
        <v>0</v>
      </c>
      <c r="AF65" s="3163">
        <f t="shared" ref="AF65:AG65" si="8">SUM(AF63:AF64)</f>
        <v>0</v>
      </c>
      <c r="AG65" s="3164">
        <f t="shared" si="8"/>
        <v>0</v>
      </c>
    </row>
    <row r="66" spans="1:33" s="2771" customFormat="1" ht="13.5" thickBot="1">
      <c r="B66" s="3194" t="s">
        <v>633</v>
      </c>
      <c r="C66" s="3195">
        <f t="shared" ref="C66:AA66" si="9">C62-C65</f>
        <v>18545</v>
      </c>
      <c r="D66" s="3196">
        <f t="shared" si="9"/>
        <v>904913</v>
      </c>
      <c r="E66" s="3196">
        <f t="shared" si="9"/>
        <v>1040757</v>
      </c>
      <c r="F66" s="3196">
        <f t="shared" si="9"/>
        <v>787413</v>
      </c>
      <c r="G66" s="3196">
        <f t="shared" si="9"/>
        <v>-1964215</v>
      </c>
      <c r="H66" s="3195">
        <f t="shared" si="9"/>
        <v>401928</v>
      </c>
      <c r="I66" s="3196">
        <f t="shared" si="9"/>
        <v>301446</v>
      </c>
      <c r="J66" s="3196">
        <f t="shared" si="9"/>
        <v>226085</v>
      </c>
      <c r="K66" s="3196">
        <f t="shared" si="9"/>
        <v>169563</v>
      </c>
      <c r="L66" s="3197">
        <f t="shared" si="9"/>
        <v>127172</v>
      </c>
      <c r="M66" s="3195">
        <f t="shared" si="9"/>
        <v>95379</v>
      </c>
      <c r="N66" s="3196">
        <f t="shared" si="9"/>
        <v>71534</v>
      </c>
      <c r="O66" s="3196">
        <f t="shared" si="9"/>
        <v>53651</v>
      </c>
      <c r="P66" s="3196">
        <f t="shared" si="9"/>
        <v>40238</v>
      </c>
      <c r="Q66" s="3196">
        <f t="shared" si="9"/>
        <v>30179</v>
      </c>
      <c r="R66" s="3196">
        <f t="shared" si="9"/>
        <v>22634</v>
      </c>
      <c r="S66" s="3196">
        <f t="shared" si="9"/>
        <v>16976</v>
      </c>
      <c r="T66" s="3196">
        <f t="shared" si="9"/>
        <v>12732</v>
      </c>
      <c r="U66" s="3196">
        <f t="shared" si="9"/>
        <v>9549</v>
      </c>
      <c r="V66" s="3196">
        <f t="shared" si="9"/>
        <v>7161</v>
      </c>
      <c r="W66" s="3196">
        <f t="shared" si="9"/>
        <v>5371</v>
      </c>
      <c r="X66" s="3196">
        <f t="shared" si="9"/>
        <v>4028</v>
      </c>
      <c r="Y66" s="3196">
        <f t="shared" si="9"/>
        <v>3021</v>
      </c>
      <c r="Z66" s="3196">
        <f t="shared" si="9"/>
        <v>2266</v>
      </c>
      <c r="AA66" s="3197">
        <f t="shared" si="9"/>
        <v>1700</v>
      </c>
      <c r="AB66" s="2524"/>
      <c r="AC66" s="2524"/>
      <c r="AD66" s="2524"/>
      <c r="AE66" s="3195">
        <f t="shared" ref="AE66:AG66" si="10">AE62-AE65</f>
        <v>0</v>
      </c>
      <c r="AF66" s="3196">
        <f t="shared" si="10"/>
        <v>0</v>
      </c>
      <c r="AG66" s="3197">
        <f t="shared" si="10"/>
        <v>0</v>
      </c>
    </row>
    <row r="67" spans="1:33" ht="29.25" customHeight="1" thickBot="1">
      <c r="A67" s="2771"/>
      <c r="B67" s="3172" t="s">
        <v>121</v>
      </c>
      <c r="C67" s="3937" t="s">
        <v>1672</v>
      </c>
      <c r="D67" s="3938"/>
      <c r="E67" s="3938"/>
      <c r="F67" s="3938"/>
      <c r="G67" s="3938"/>
      <c r="H67" s="3938"/>
      <c r="I67" s="3938"/>
      <c r="J67" s="3938"/>
      <c r="K67" s="3938"/>
      <c r="L67" s="3938"/>
      <c r="M67" s="3173"/>
      <c r="N67" s="3173"/>
      <c r="O67" s="3173"/>
      <c r="P67" s="3173"/>
      <c r="Q67" s="3173"/>
      <c r="R67" s="3173"/>
      <c r="S67" s="3173"/>
      <c r="T67" s="3173"/>
      <c r="U67" s="3173"/>
      <c r="V67" s="3173"/>
      <c r="W67" s="3173"/>
      <c r="X67" s="3173"/>
      <c r="Y67" s="3173"/>
      <c r="Z67" s="3173"/>
      <c r="AA67" s="3174"/>
      <c r="AE67" s="3175"/>
      <c r="AF67" s="3176"/>
      <c r="AG67" s="3177"/>
    </row>
    <row r="68" spans="1:33">
      <c r="A68" s="2771"/>
    </row>
    <row r="69" spans="1:33">
      <c r="A69" s="2771"/>
    </row>
  </sheetData>
  <mergeCells count="40">
    <mergeCell ref="C67:L67"/>
    <mergeCell ref="C41:E41"/>
    <mergeCell ref="F41:AA41"/>
    <mergeCell ref="AE41:AG41"/>
    <mergeCell ref="C45:G45"/>
    <mergeCell ref="F49:AA49"/>
    <mergeCell ref="AE49:AG49"/>
    <mergeCell ref="C50:E50"/>
    <mergeCell ref="F50:AA50"/>
    <mergeCell ref="AE50:AG50"/>
    <mergeCell ref="AE39:AG39"/>
    <mergeCell ref="C40:E40"/>
    <mergeCell ref="F40:AA40"/>
    <mergeCell ref="AE40:AG40"/>
    <mergeCell ref="B48:B51"/>
    <mergeCell ref="C48:G48"/>
    <mergeCell ref="H48:L48"/>
    <mergeCell ref="M48:AA48"/>
    <mergeCell ref="AE48:AG48"/>
    <mergeCell ref="C49:E49"/>
    <mergeCell ref="C36:G36"/>
    <mergeCell ref="B39:B42"/>
    <mergeCell ref="C39:G39"/>
    <mergeCell ref="H39:L39"/>
    <mergeCell ref="M39:AA39"/>
    <mergeCell ref="AE21:AG21"/>
    <mergeCell ref="C22:E22"/>
    <mergeCell ref="F22:AA22"/>
    <mergeCell ref="AE22:AG22"/>
    <mergeCell ref="AE23:AG23"/>
    <mergeCell ref="B7:G7"/>
    <mergeCell ref="B8:G8"/>
    <mergeCell ref="B9:G9"/>
    <mergeCell ref="B10:G10"/>
    <mergeCell ref="B21:B24"/>
    <mergeCell ref="C21:G21"/>
    <mergeCell ref="C23:E23"/>
    <mergeCell ref="F23:AA23"/>
    <mergeCell ref="H21:L21"/>
    <mergeCell ref="M21:AA21"/>
  </mergeCells>
  <pageMargins left="0.75" right="0.75" top="1" bottom="1" header="0.5" footer="0.5"/>
  <pageSetup paperSize="9" orientation="portrait" r:id="rId1"/>
  <headerFooter alignWithMargins="0"/>
  <customProperties>
    <customPr name="_pios_id" r:id="rId2"/>
  </customProperties>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ED69"/>
  <sheetViews>
    <sheetView showGridLines="0" topLeftCell="B30" zoomScale="70" zoomScaleNormal="70" workbookViewId="0">
      <selection activeCell="E62" sqref="E62"/>
    </sheetView>
  </sheetViews>
  <sheetFormatPr defaultRowHeight="12.75"/>
  <cols>
    <col min="1" max="1" width="14.140625" style="2524" customWidth="1"/>
    <col min="2" max="2" width="66.28515625" style="2524" bestFit="1" customWidth="1"/>
    <col min="3" max="27" width="14.7109375" style="2524" customWidth="1"/>
    <col min="28" max="30" width="9.140625" style="2524"/>
    <col min="31" max="33" width="18" style="2524" customWidth="1"/>
    <col min="34" max="256" width="9.140625" style="2524"/>
    <col min="257" max="257" width="14.140625" style="2524" customWidth="1"/>
    <col min="258" max="258" width="66.28515625" style="2524" bestFit="1" customWidth="1"/>
    <col min="259" max="259" width="10" style="2524" bestFit="1" customWidth="1"/>
    <col min="260" max="261" width="8.5703125" style="2524" bestFit="1" customWidth="1"/>
    <col min="262" max="262" width="17.42578125" style="2524" bestFit="1" customWidth="1"/>
    <col min="263" max="263" width="17.28515625" style="2524" bestFit="1" customWidth="1"/>
    <col min="264" max="265" width="10.7109375" style="2524" customWidth="1"/>
    <col min="266" max="267" width="10.7109375" style="2524" bestFit="1" customWidth="1"/>
    <col min="268" max="268" width="10.7109375" style="2524" customWidth="1"/>
    <col min="269" max="271" width="10.7109375" style="2524" bestFit="1" customWidth="1"/>
    <col min="272" max="273" width="10.7109375" style="2524" customWidth="1"/>
    <col min="274" max="275" width="10.7109375" style="2524" bestFit="1" customWidth="1"/>
    <col min="276" max="512" width="9.140625" style="2524"/>
    <col min="513" max="513" width="14.140625" style="2524" customWidth="1"/>
    <col min="514" max="514" width="66.28515625" style="2524" bestFit="1" customWidth="1"/>
    <col min="515" max="515" width="10" style="2524" bestFit="1" customWidth="1"/>
    <col min="516" max="517" width="8.5703125" style="2524" bestFit="1" customWidth="1"/>
    <col min="518" max="518" width="17.42578125" style="2524" bestFit="1" customWidth="1"/>
    <col min="519" max="519" width="17.28515625" style="2524" bestFit="1" customWidth="1"/>
    <col min="520" max="521" width="10.7109375" style="2524" customWidth="1"/>
    <col min="522" max="523" width="10.7109375" style="2524" bestFit="1" customWidth="1"/>
    <col min="524" max="524" width="10.7109375" style="2524" customWidth="1"/>
    <col min="525" max="527" width="10.7109375" style="2524" bestFit="1" customWidth="1"/>
    <col min="528" max="529" width="10.7109375" style="2524" customWidth="1"/>
    <col min="530" max="531" width="10.7109375" style="2524" bestFit="1" customWidth="1"/>
    <col min="532" max="768" width="9.140625" style="2524"/>
    <col min="769" max="769" width="14.140625" style="2524" customWidth="1"/>
    <col min="770" max="770" width="66.28515625" style="2524" bestFit="1" customWidth="1"/>
    <col min="771" max="771" width="10" style="2524" bestFit="1" customWidth="1"/>
    <col min="772" max="773" width="8.5703125" style="2524" bestFit="1" customWidth="1"/>
    <col min="774" max="774" width="17.42578125" style="2524" bestFit="1" customWidth="1"/>
    <col min="775" max="775" width="17.28515625" style="2524" bestFit="1" customWidth="1"/>
    <col min="776" max="777" width="10.7109375" style="2524" customWidth="1"/>
    <col min="778" max="779" width="10.7109375" style="2524" bestFit="1" customWidth="1"/>
    <col min="780" max="780" width="10.7109375" style="2524" customWidth="1"/>
    <col min="781" max="783" width="10.7109375" style="2524" bestFit="1" customWidth="1"/>
    <col min="784" max="785" width="10.7109375" style="2524" customWidth="1"/>
    <col min="786" max="787" width="10.7109375" style="2524" bestFit="1" customWidth="1"/>
    <col min="788" max="1024" width="9.140625" style="2524"/>
    <col min="1025" max="1025" width="14.140625" style="2524" customWidth="1"/>
    <col min="1026" max="1026" width="66.28515625" style="2524" bestFit="1" customWidth="1"/>
    <col min="1027" max="1027" width="10" style="2524" bestFit="1" customWidth="1"/>
    <col min="1028" max="1029" width="8.5703125" style="2524" bestFit="1" customWidth="1"/>
    <col min="1030" max="1030" width="17.42578125" style="2524" bestFit="1" customWidth="1"/>
    <col min="1031" max="1031" width="17.28515625" style="2524" bestFit="1" customWidth="1"/>
    <col min="1032" max="1033" width="10.7109375" style="2524" customWidth="1"/>
    <col min="1034" max="1035" width="10.7109375" style="2524" bestFit="1" customWidth="1"/>
    <col min="1036" max="1036" width="10.7109375" style="2524" customWidth="1"/>
    <col min="1037" max="1039" width="10.7109375" style="2524" bestFit="1" customWidth="1"/>
    <col min="1040" max="1041" width="10.7109375" style="2524" customWidth="1"/>
    <col min="1042" max="1043" width="10.7109375" style="2524" bestFit="1" customWidth="1"/>
    <col min="1044" max="1280" width="9.140625" style="2524"/>
    <col min="1281" max="1281" width="14.140625" style="2524" customWidth="1"/>
    <col min="1282" max="1282" width="66.28515625" style="2524" bestFit="1" customWidth="1"/>
    <col min="1283" max="1283" width="10" style="2524" bestFit="1" customWidth="1"/>
    <col min="1284" max="1285" width="8.5703125" style="2524" bestFit="1" customWidth="1"/>
    <col min="1286" max="1286" width="17.42578125" style="2524" bestFit="1" customWidth="1"/>
    <col min="1287" max="1287" width="17.28515625" style="2524" bestFit="1" customWidth="1"/>
    <col min="1288" max="1289" width="10.7109375" style="2524" customWidth="1"/>
    <col min="1290" max="1291" width="10.7109375" style="2524" bestFit="1" customWidth="1"/>
    <col min="1292" max="1292" width="10.7109375" style="2524" customWidth="1"/>
    <col min="1293" max="1295" width="10.7109375" style="2524" bestFit="1" customWidth="1"/>
    <col min="1296" max="1297" width="10.7109375" style="2524" customWidth="1"/>
    <col min="1298" max="1299" width="10.7109375" style="2524" bestFit="1" customWidth="1"/>
    <col min="1300" max="1536" width="9.140625" style="2524"/>
    <col min="1537" max="1537" width="14.140625" style="2524" customWidth="1"/>
    <col min="1538" max="1538" width="66.28515625" style="2524" bestFit="1" customWidth="1"/>
    <col min="1539" max="1539" width="10" style="2524" bestFit="1" customWidth="1"/>
    <col min="1540" max="1541" width="8.5703125" style="2524" bestFit="1" customWidth="1"/>
    <col min="1542" max="1542" width="17.42578125" style="2524" bestFit="1" customWidth="1"/>
    <col min="1543" max="1543" width="17.28515625" style="2524" bestFit="1" customWidth="1"/>
    <col min="1544" max="1545" width="10.7109375" style="2524" customWidth="1"/>
    <col min="1546" max="1547" width="10.7109375" style="2524" bestFit="1" customWidth="1"/>
    <col min="1548" max="1548" width="10.7109375" style="2524" customWidth="1"/>
    <col min="1549" max="1551" width="10.7109375" style="2524" bestFit="1" customWidth="1"/>
    <col min="1552" max="1553" width="10.7109375" style="2524" customWidth="1"/>
    <col min="1554" max="1555" width="10.7109375" style="2524" bestFit="1" customWidth="1"/>
    <col min="1556" max="1792" width="9.140625" style="2524"/>
    <col min="1793" max="1793" width="14.140625" style="2524" customWidth="1"/>
    <col min="1794" max="1794" width="66.28515625" style="2524" bestFit="1" customWidth="1"/>
    <col min="1795" max="1795" width="10" style="2524" bestFit="1" customWidth="1"/>
    <col min="1796" max="1797" width="8.5703125" style="2524" bestFit="1" customWidth="1"/>
    <col min="1798" max="1798" width="17.42578125" style="2524" bestFit="1" customWidth="1"/>
    <col min="1799" max="1799" width="17.28515625" style="2524" bestFit="1" customWidth="1"/>
    <col min="1800" max="1801" width="10.7109375" style="2524" customWidth="1"/>
    <col min="1802" max="1803" width="10.7109375" style="2524" bestFit="1" customWidth="1"/>
    <col min="1804" max="1804" width="10.7109375" style="2524" customWidth="1"/>
    <col min="1805" max="1807" width="10.7109375" style="2524" bestFit="1" customWidth="1"/>
    <col min="1808" max="1809" width="10.7109375" style="2524" customWidth="1"/>
    <col min="1810" max="1811" width="10.7109375" style="2524" bestFit="1" customWidth="1"/>
    <col min="1812" max="2048" width="9.140625" style="2524"/>
    <col min="2049" max="2049" width="14.140625" style="2524" customWidth="1"/>
    <col min="2050" max="2050" width="66.28515625" style="2524" bestFit="1" customWidth="1"/>
    <col min="2051" max="2051" width="10" style="2524" bestFit="1" customWidth="1"/>
    <col min="2052" max="2053" width="8.5703125" style="2524" bestFit="1" customWidth="1"/>
    <col min="2054" max="2054" width="17.42578125" style="2524" bestFit="1" customWidth="1"/>
    <col min="2055" max="2055" width="17.28515625" style="2524" bestFit="1" customWidth="1"/>
    <col min="2056" max="2057" width="10.7109375" style="2524" customWidth="1"/>
    <col min="2058" max="2059" width="10.7109375" style="2524" bestFit="1" customWidth="1"/>
    <col min="2060" max="2060" width="10.7109375" style="2524" customWidth="1"/>
    <col min="2061" max="2063" width="10.7109375" style="2524" bestFit="1" customWidth="1"/>
    <col min="2064" max="2065" width="10.7109375" style="2524" customWidth="1"/>
    <col min="2066" max="2067" width="10.7109375" style="2524" bestFit="1" customWidth="1"/>
    <col min="2068" max="2304" width="9.140625" style="2524"/>
    <col min="2305" max="2305" width="14.140625" style="2524" customWidth="1"/>
    <col min="2306" max="2306" width="66.28515625" style="2524" bestFit="1" customWidth="1"/>
    <col min="2307" max="2307" width="10" style="2524" bestFit="1" customWidth="1"/>
    <col min="2308" max="2309" width="8.5703125" style="2524" bestFit="1" customWidth="1"/>
    <col min="2310" max="2310" width="17.42578125" style="2524" bestFit="1" customWidth="1"/>
    <col min="2311" max="2311" width="17.28515625" style="2524" bestFit="1" customWidth="1"/>
    <col min="2312" max="2313" width="10.7109375" style="2524" customWidth="1"/>
    <col min="2314" max="2315" width="10.7109375" style="2524" bestFit="1" customWidth="1"/>
    <col min="2316" max="2316" width="10.7109375" style="2524" customWidth="1"/>
    <col min="2317" max="2319" width="10.7109375" style="2524" bestFit="1" customWidth="1"/>
    <col min="2320" max="2321" width="10.7109375" style="2524" customWidth="1"/>
    <col min="2322" max="2323" width="10.7109375" style="2524" bestFit="1" customWidth="1"/>
    <col min="2324" max="2560" width="9.140625" style="2524"/>
    <col min="2561" max="2561" width="14.140625" style="2524" customWidth="1"/>
    <col min="2562" max="2562" width="66.28515625" style="2524" bestFit="1" customWidth="1"/>
    <col min="2563" max="2563" width="10" style="2524" bestFit="1" customWidth="1"/>
    <col min="2564" max="2565" width="8.5703125" style="2524" bestFit="1" customWidth="1"/>
    <col min="2566" max="2566" width="17.42578125" style="2524" bestFit="1" customWidth="1"/>
    <col min="2567" max="2567" width="17.28515625" style="2524" bestFit="1" customWidth="1"/>
    <col min="2568" max="2569" width="10.7109375" style="2524" customWidth="1"/>
    <col min="2570" max="2571" width="10.7109375" style="2524" bestFit="1" customWidth="1"/>
    <col min="2572" max="2572" width="10.7109375" style="2524" customWidth="1"/>
    <col min="2573" max="2575" width="10.7109375" style="2524" bestFit="1" customWidth="1"/>
    <col min="2576" max="2577" width="10.7109375" style="2524" customWidth="1"/>
    <col min="2578" max="2579" width="10.7109375" style="2524" bestFit="1" customWidth="1"/>
    <col min="2580" max="2816" width="9.140625" style="2524"/>
    <col min="2817" max="2817" width="14.140625" style="2524" customWidth="1"/>
    <col min="2818" max="2818" width="66.28515625" style="2524" bestFit="1" customWidth="1"/>
    <col min="2819" max="2819" width="10" style="2524" bestFit="1" customWidth="1"/>
    <col min="2820" max="2821" width="8.5703125" style="2524" bestFit="1" customWidth="1"/>
    <col min="2822" max="2822" width="17.42578125" style="2524" bestFit="1" customWidth="1"/>
    <col min="2823" max="2823" width="17.28515625" style="2524" bestFit="1" customWidth="1"/>
    <col min="2824" max="2825" width="10.7109375" style="2524" customWidth="1"/>
    <col min="2826" max="2827" width="10.7109375" style="2524" bestFit="1" customWidth="1"/>
    <col min="2828" max="2828" width="10.7109375" style="2524" customWidth="1"/>
    <col min="2829" max="2831" width="10.7109375" style="2524" bestFit="1" customWidth="1"/>
    <col min="2832" max="2833" width="10.7109375" style="2524" customWidth="1"/>
    <col min="2834" max="2835" width="10.7109375" style="2524" bestFit="1" customWidth="1"/>
    <col min="2836" max="3072" width="9.140625" style="2524"/>
    <col min="3073" max="3073" width="14.140625" style="2524" customWidth="1"/>
    <col min="3074" max="3074" width="66.28515625" style="2524" bestFit="1" customWidth="1"/>
    <col min="3075" max="3075" width="10" style="2524" bestFit="1" customWidth="1"/>
    <col min="3076" max="3077" width="8.5703125" style="2524" bestFit="1" customWidth="1"/>
    <col min="3078" max="3078" width="17.42578125" style="2524" bestFit="1" customWidth="1"/>
    <col min="3079" max="3079" width="17.28515625" style="2524" bestFit="1" customWidth="1"/>
    <col min="3080" max="3081" width="10.7109375" style="2524" customWidth="1"/>
    <col min="3082" max="3083" width="10.7109375" style="2524" bestFit="1" customWidth="1"/>
    <col min="3084" max="3084" width="10.7109375" style="2524" customWidth="1"/>
    <col min="3085" max="3087" width="10.7109375" style="2524" bestFit="1" customWidth="1"/>
    <col min="3088" max="3089" width="10.7109375" style="2524" customWidth="1"/>
    <col min="3090" max="3091" width="10.7109375" style="2524" bestFit="1" customWidth="1"/>
    <col min="3092" max="3328" width="9.140625" style="2524"/>
    <col min="3329" max="3329" width="14.140625" style="2524" customWidth="1"/>
    <col min="3330" max="3330" width="66.28515625" style="2524" bestFit="1" customWidth="1"/>
    <col min="3331" max="3331" width="10" style="2524" bestFit="1" customWidth="1"/>
    <col min="3332" max="3333" width="8.5703125" style="2524" bestFit="1" customWidth="1"/>
    <col min="3334" max="3334" width="17.42578125" style="2524" bestFit="1" customWidth="1"/>
    <col min="3335" max="3335" width="17.28515625" style="2524" bestFit="1" customWidth="1"/>
    <col min="3336" max="3337" width="10.7109375" style="2524" customWidth="1"/>
    <col min="3338" max="3339" width="10.7109375" style="2524" bestFit="1" customWidth="1"/>
    <col min="3340" max="3340" width="10.7109375" style="2524" customWidth="1"/>
    <col min="3341" max="3343" width="10.7109375" style="2524" bestFit="1" customWidth="1"/>
    <col min="3344" max="3345" width="10.7109375" style="2524" customWidth="1"/>
    <col min="3346" max="3347" width="10.7109375" style="2524" bestFit="1" customWidth="1"/>
    <col min="3348" max="3584" width="9.140625" style="2524"/>
    <col min="3585" max="3585" width="14.140625" style="2524" customWidth="1"/>
    <col min="3586" max="3586" width="66.28515625" style="2524" bestFit="1" customWidth="1"/>
    <col min="3587" max="3587" width="10" style="2524" bestFit="1" customWidth="1"/>
    <col min="3588" max="3589" width="8.5703125" style="2524" bestFit="1" customWidth="1"/>
    <col min="3590" max="3590" width="17.42578125" style="2524" bestFit="1" customWidth="1"/>
    <col min="3591" max="3591" width="17.28515625" style="2524" bestFit="1" customWidth="1"/>
    <col min="3592" max="3593" width="10.7109375" style="2524" customWidth="1"/>
    <col min="3594" max="3595" width="10.7109375" style="2524" bestFit="1" customWidth="1"/>
    <col min="3596" max="3596" width="10.7109375" style="2524" customWidth="1"/>
    <col min="3597" max="3599" width="10.7109375" style="2524" bestFit="1" customWidth="1"/>
    <col min="3600" max="3601" width="10.7109375" style="2524" customWidth="1"/>
    <col min="3602" max="3603" width="10.7109375" style="2524" bestFit="1" customWidth="1"/>
    <col min="3604" max="3840" width="9.140625" style="2524"/>
    <col min="3841" max="3841" width="14.140625" style="2524" customWidth="1"/>
    <col min="3842" max="3842" width="66.28515625" style="2524" bestFit="1" customWidth="1"/>
    <col min="3843" max="3843" width="10" style="2524" bestFit="1" customWidth="1"/>
    <col min="3844" max="3845" width="8.5703125" style="2524" bestFit="1" customWidth="1"/>
    <col min="3846" max="3846" width="17.42578125" style="2524" bestFit="1" customWidth="1"/>
    <col min="3847" max="3847" width="17.28515625" style="2524" bestFit="1" customWidth="1"/>
    <col min="3848" max="3849" width="10.7109375" style="2524" customWidth="1"/>
    <col min="3850" max="3851" width="10.7109375" style="2524" bestFit="1" customWidth="1"/>
    <col min="3852" max="3852" width="10.7109375" style="2524" customWidth="1"/>
    <col min="3853" max="3855" width="10.7109375" style="2524" bestFit="1" customWidth="1"/>
    <col min="3856" max="3857" width="10.7109375" style="2524" customWidth="1"/>
    <col min="3858" max="3859" width="10.7109375" style="2524" bestFit="1" customWidth="1"/>
    <col min="3860" max="4096" width="9.140625" style="2524"/>
    <col min="4097" max="4097" width="14.140625" style="2524" customWidth="1"/>
    <col min="4098" max="4098" width="66.28515625" style="2524" bestFit="1" customWidth="1"/>
    <col min="4099" max="4099" width="10" style="2524" bestFit="1" customWidth="1"/>
    <col min="4100" max="4101" width="8.5703125" style="2524" bestFit="1" customWidth="1"/>
    <col min="4102" max="4102" width="17.42578125" style="2524" bestFit="1" customWidth="1"/>
    <col min="4103" max="4103" width="17.28515625" style="2524" bestFit="1" customWidth="1"/>
    <col min="4104" max="4105" width="10.7109375" style="2524" customWidth="1"/>
    <col min="4106" max="4107" width="10.7109375" style="2524" bestFit="1" customWidth="1"/>
    <col min="4108" max="4108" width="10.7109375" style="2524" customWidth="1"/>
    <col min="4109" max="4111" width="10.7109375" style="2524" bestFit="1" customWidth="1"/>
    <col min="4112" max="4113" width="10.7109375" style="2524" customWidth="1"/>
    <col min="4114" max="4115" width="10.7109375" style="2524" bestFit="1" customWidth="1"/>
    <col min="4116" max="4352" width="9.140625" style="2524"/>
    <col min="4353" max="4353" width="14.140625" style="2524" customWidth="1"/>
    <col min="4354" max="4354" width="66.28515625" style="2524" bestFit="1" customWidth="1"/>
    <col min="4355" max="4355" width="10" style="2524" bestFit="1" customWidth="1"/>
    <col min="4356" max="4357" width="8.5703125" style="2524" bestFit="1" customWidth="1"/>
    <col min="4358" max="4358" width="17.42578125" style="2524" bestFit="1" customWidth="1"/>
    <col min="4359" max="4359" width="17.28515625" style="2524" bestFit="1" customWidth="1"/>
    <col min="4360" max="4361" width="10.7109375" style="2524" customWidth="1"/>
    <col min="4362" max="4363" width="10.7109375" style="2524" bestFit="1" customWidth="1"/>
    <col min="4364" max="4364" width="10.7109375" style="2524" customWidth="1"/>
    <col min="4365" max="4367" width="10.7109375" style="2524" bestFit="1" customWidth="1"/>
    <col min="4368" max="4369" width="10.7109375" style="2524" customWidth="1"/>
    <col min="4370" max="4371" width="10.7109375" style="2524" bestFit="1" customWidth="1"/>
    <col min="4372" max="4608" width="9.140625" style="2524"/>
    <col min="4609" max="4609" width="14.140625" style="2524" customWidth="1"/>
    <col min="4610" max="4610" width="66.28515625" style="2524" bestFit="1" customWidth="1"/>
    <col min="4611" max="4611" width="10" style="2524" bestFit="1" customWidth="1"/>
    <col min="4612" max="4613" width="8.5703125" style="2524" bestFit="1" customWidth="1"/>
    <col min="4614" max="4614" width="17.42578125" style="2524" bestFit="1" customWidth="1"/>
    <col min="4615" max="4615" width="17.28515625" style="2524" bestFit="1" customWidth="1"/>
    <col min="4616" max="4617" width="10.7109375" style="2524" customWidth="1"/>
    <col min="4618" max="4619" width="10.7109375" style="2524" bestFit="1" customWidth="1"/>
    <col min="4620" max="4620" width="10.7109375" style="2524" customWidth="1"/>
    <col min="4621" max="4623" width="10.7109375" style="2524" bestFit="1" customWidth="1"/>
    <col min="4624" max="4625" width="10.7109375" style="2524" customWidth="1"/>
    <col min="4626" max="4627" width="10.7109375" style="2524" bestFit="1" customWidth="1"/>
    <col min="4628" max="4864" width="9.140625" style="2524"/>
    <col min="4865" max="4865" width="14.140625" style="2524" customWidth="1"/>
    <col min="4866" max="4866" width="66.28515625" style="2524" bestFit="1" customWidth="1"/>
    <col min="4867" max="4867" width="10" style="2524" bestFit="1" customWidth="1"/>
    <col min="4868" max="4869" width="8.5703125" style="2524" bestFit="1" customWidth="1"/>
    <col min="4870" max="4870" width="17.42578125" style="2524" bestFit="1" customWidth="1"/>
    <col min="4871" max="4871" width="17.28515625" style="2524" bestFit="1" customWidth="1"/>
    <col min="4872" max="4873" width="10.7109375" style="2524" customWidth="1"/>
    <col min="4874" max="4875" width="10.7109375" style="2524" bestFit="1" customWidth="1"/>
    <col min="4876" max="4876" width="10.7109375" style="2524" customWidth="1"/>
    <col min="4877" max="4879" width="10.7109375" style="2524" bestFit="1" customWidth="1"/>
    <col min="4880" max="4881" width="10.7109375" style="2524" customWidth="1"/>
    <col min="4882" max="4883" width="10.7109375" style="2524" bestFit="1" customWidth="1"/>
    <col min="4884" max="5120" width="9.140625" style="2524"/>
    <col min="5121" max="5121" width="14.140625" style="2524" customWidth="1"/>
    <col min="5122" max="5122" width="66.28515625" style="2524" bestFit="1" customWidth="1"/>
    <col min="5123" max="5123" width="10" style="2524" bestFit="1" customWidth="1"/>
    <col min="5124" max="5125" width="8.5703125" style="2524" bestFit="1" customWidth="1"/>
    <col min="5126" max="5126" width="17.42578125" style="2524" bestFit="1" customWidth="1"/>
    <col min="5127" max="5127" width="17.28515625" style="2524" bestFit="1" customWidth="1"/>
    <col min="5128" max="5129" width="10.7109375" style="2524" customWidth="1"/>
    <col min="5130" max="5131" width="10.7109375" style="2524" bestFit="1" customWidth="1"/>
    <col min="5132" max="5132" width="10.7109375" style="2524" customWidth="1"/>
    <col min="5133" max="5135" width="10.7109375" style="2524" bestFit="1" customWidth="1"/>
    <col min="5136" max="5137" width="10.7109375" style="2524" customWidth="1"/>
    <col min="5138" max="5139" width="10.7109375" style="2524" bestFit="1" customWidth="1"/>
    <col min="5140" max="5376" width="9.140625" style="2524"/>
    <col min="5377" max="5377" width="14.140625" style="2524" customWidth="1"/>
    <col min="5378" max="5378" width="66.28515625" style="2524" bestFit="1" customWidth="1"/>
    <col min="5379" max="5379" width="10" style="2524" bestFit="1" customWidth="1"/>
    <col min="5380" max="5381" width="8.5703125" style="2524" bestFit="1" customWidth="1"/>
    <col min="5382" max="5382" width="17.42578125" style="2524" bestFit="1" customWidth="1"/>
    <col min="5383" max="5383" width="17.28515625" style="2524" bestFit="1" customWidth="1"/>
    <col min="5384" max="5385" width="10.7109375" style="2524" customWidth="1"/>
    <col min="5386" max="5387" width="10.7109375" style="2524" bestFit="1" customWidth="1"/>
    <col min="5388" max="5388" width="10.7109375" style="2524" customWidth="1"/>
    <col min="5389" max="5391" width="10.7109375" style="2524" bestFit="1" customWidth="1"/>
    <col min="5392" max="5393" width="10.7109375" style="2524" customWidth="1"/>
    <col min="5394" max="5395" width="10.7109375" style="2524" bestFit="1" customWidth="1"/>
    <col min="5396" max="5632" width="9.140625" style="2524"/>
    <col min="5633" max="5633" width="14.140625" style="2524" customWidth="1"/>
    <col min="5634" max="5634" width="66.28515625" style="2524" bestFit="1" customWidth="1"/>
    <col min="5635" max="5635" width="10" style="2524" bestFit="1" customWidth="1"/>
    <col min="5636" max="5637" width="8.5703125" style="2524" bestFit="1" customWidth="1"/>
    <col min="5638" max="5638" width="17.42578125" style="2524" bestFit="1" customWidth="1"/>
    <col min="5639" max="5639" width="17.28515625" style="2524" bestFit="1" customWidth="1"/>
    <col min="5640" max="5641" width="10.7109375" style="2524" customWidth="1"/>
    <col min="5642" max="5643" width="10.7109375" style="2524" bestFit="1" customWidth="1"/>
    <col min="5644" max="5644" width="10.7109375" style="2524" customWidth="1"/>
    <col min="5645" max="5647" width="10.7109375" style="2524" bestFit="1" customWidth="1"/>
    <col min="5648" max="5649" width="10.7109375" style="2524" customWidth="1"/>
    <col min="5650" max="5651" width="10.7109375" style="2524" bestFit="1" customWidth="1"/>
    <col min="5652" max="5888" width="9.140625" style="2524"/>
    <col min="5889" max="5889" width="14.140625" style="2524" customWidth="1"/>
    <col min="5890" max="5890" width="66.28515625" style="2524" bestFit="1" customWidth="1"/>
    <col min="5891" max="5891" width="10" style="2524" bestFit="1" customWidth="1"/>
    <col min="5892" max="5893" width="8.5703125" style="2524" bestFit="1" customWidth="1"/>
    <col min="5894" max="5894" width="17.42578125" style="2524" bestFit="1" customWidth="1"/>
    <col min="5895" max="5895" width="17.28515625" style="2524" bestFit="1" customWidth="1"/>
    <col min="5896" max="5897" width="10.7109375" style="2524" customWidth="1"/>
    <col min="5898" max="5899" width="10.7109375" style="2524" bestFit="1" customWidth="1"/>
    <col min="5900" max="5900" width="10.7109375" style="2524" customWidth="1"/>
    <col min="5901" max="5903" width="10.7109375" style="2524" bestFit="1" customWidth="1"/>
    <col min="5904" max="5905" width="10.7109375" style="2524" customWidth="1"/>
    <col min="5906" max="5907" width="10.7109375" style="2524" bestFit="1" customWidth="1"/>
    <col min="5908" max="6144" width="9.140625" style="2524"/>
    <col min="6145" max="6145" width="14.140625" style="2524" customWidth="1"/>
    <col min="6146" max="6146" width="66.28515625" style="2524" bestFit="1" customWidth="1"/>
    <col min="6147" max="6147" width="10" style="2524" bestFit="1" customWidth="1"/>
    <col min="6148" max="6149" width="8.5703125" style="2524" bestFit="1" customWidth="1"/>
    <col min="6150" max="6150" width="17.42578125" style="2524" bestFit="1" customWidth="1"/>
    <col min="6151" max="6151" width="17.28515625" style="2524" bestFit="1" customWidth="1"/>
    <col min="6152" max="6153" width="10.7109375" style="2524" customWidth="1"/>
    <col min="6154" max="6155" width="10.7109375" style="2524" bestFit="1" customWidth="1"/>
    <col min="6156" max="6156" width="10.7109375" style="2524" customWidth="1"/>
    <col min="6157" max="6159" width="10.7109375" style="2524" bestFit="1" customWidth="1"/>
    <col min="6160" max="6161" width="10.7109375" style="2524" customWidth="1"/>
    <col min="6162" max="6163" width="10.7109375" style="2524" bestFit="1" customWidth="1"/>
    <col min="6164" max="6400" width="9.140625" style="2524"/>
    <col min="6401" max="6401" width="14.140625" style="2524" customWidth="1"/>
    <col min="6402" max="6402" width="66.28515625" style="2524" bestFit="1" customWidth="1"/>
    <col min="6403" max="6403" width="10" style="2524" bestFit="1" customWidth="1"/>
    <col min="6404" max="6405" width="8.5703125" style="2524" bestFit="1" customWidth="1"/>
    <col min="6406" max="6406" width="17.42578125" style="2524" bestFit="1" customWidth="1"/>
    <col min="6407" max="6407" width="17.28515625" style="2524" bestFit="1" customWidth="1"/>
    <col min="6408" max="6409" width="10.7109375" style="2524" customWidth="1"/>
    <col min="6410" max="6411" width="10.7109375" style="2524" bestFit="1" customWidth="1"/>
    <col min="6412" max="6412" width="10.7109375" style="2524" customWidth="1"/>
    <col min="6413" max="6415" width="10.7109375" style="2524" bestFit="1" customWidth="1"/>
    <col min="6416" max="6417" width="10.7109375" style="2524" customWidth="1"/>
    <col min="6418" max="6419" width="10.7109375" style="2524" bestFit="1" customWidth="1"/>
    <col min="6420" max="6656" width="9.140625" style="2524"/>
    <col min="6657" max="6657" width="14.140625" style="2524" customWidth="1"/>
    <col min="6658" max="6658" width="66.28515625" style="2524" bestFit="1" customWidth="1"/>
    <col min="6659" max="6659" width="10" style="2524" bestFit="1" customWidth="1"/>
    <col min="6660" max="6661" width="8.5703125" style="2524" bestFit="1" customWidth="1"/>
    <col min="6662" max="6662" width="17.42578125" style="2524" bestFit="1" customWidth="1"/>
    <col min="6663" max="6663" width="17.28515625" style="2524" bestFit="1" customWidth="1"/>
    <col min="6664" max="6665" width="10.7109375" style="2524" customWidth="1"/>
    <col min="6666" max="6667" width="10.7109375" style="2524" bestFit="1" customWidth="1"/>
    <col min="6668" max="6668" width="10.7109375" style="2524" customWidth="1"/>
    <col min="6669" max="6671" width="10.7109375" style="2524" bestFit="1" customWidth="1"/>
    <col min="6672" max="6673" width="10.7109375" style="2524" customWidth="1"/>
    <col min="6674" max="6675" width="10.7109375" style="2524" bestFit="1" customWidth="1"/>
    <col min="6676" max="6912" width="9.140625" style="2524"/>
    <col min="6913" max="6913" width="14.140625" style="2524" customWidth="1"/>
    <col min="6914" max="6914" width="66.28515625" style="2524" bestFit="1" customWidth="1"/>
    <col min="6915" max="6915" width="10" style="2524" bestFit="1" customWidth="1"/>
    <col min="6916" max="6917" width="8.5703125" style="2524" bestFit="1" customWidth="1"/>
    <col min="6918" max="6918" width="17.42578125" style="2524" bestFit="1" customWidth="1"/>
    <col min="6919" max="6919" width="17.28515625" style="2524" bestFit="1" customWidth="1"/>
    <col min="6920" max="6921" width="10.7109375" style="2524" customWidth="1"/>
    <col min="6922" max="6923" width="10.7109375" style="2524" bestFit="1" customWidth="1"/>
    <col min="6924" max="6924" width="10.7109375" style="2524" customWidth="1"/>
    <col min="6925" max="6927" width="10.7109375" style="2524" bestFit="1" customWidth="1"/>
    <col min="6928" max="6929" width="10.7109375" style="2524" customWidth="1"/>
    <col min="6930" max="6931" width="10.7109375" style="2524" bestFit="1" customWidth="1"/>
    <col min="6932" max="7168" width="9.140625" style="2524"/>
    <col min="7169" max="7169" width="14.140625" style="2524" customWidth="1"/>
    <col min="7170" max="7170" width="66.28515625" style="2524" bestFit="1" customWidth="1"/>
    <col min="7171" max="7171" width="10" style="2524" bestFit="1" customWidth="1"/>
    <col min="7172" max="7173" width="8.5703125" style="2524" bestFit="1" customWidth="1"/>
    <col min="7174" max="7174" width="17.42578125" style="2524" bestFit="1" customWidth="1"/>
    <col min="7175" max="7175" width="17.28515625" style="2524" bestFit="1" customWidth="1"/>
    <col min="7176" max="7177" width="10.7109375" style="2524" customWidth="1"/>
    <col min="7178" max="7179" width="10.7109375" style="2524" bestFit="1" customWidth="1"/>
    <col min="7180" max="7180" width="10.7109375" style="2524" customWidth="1"/>
    <col min="7181" max="7183" width="10.7109375" style="2524" bestFit="1" customWidth="1"/>
    <col min="7184" max="7185" width="10.7109375" style="2524" customWidth="1"/>
    <col min="7186" max="7187" width="10.7109375" style="2524" bestFit="1" customWidth="1"/>
    <col min="7188" max="7424" width="9.140625" style="2524"/>
    <col min="7425" max="7425" width="14.140625" style="2524" customWidth="1"/>
    <col min="7426" max="7426" width="66.28515625" style="2524" bestFit="1" customWidth="1"/>
    <col min="7427" max="7427" width="10" style="2524" bestFit="1" customWidth="1"/>
    <col min="7428" max="7429" width="8.5703125" style="2524" bestFit="1" customWidth="1"/>
    <col min="7430" max="7430" width="17.42578125" style="2524" bestFit="1" customWidth="1"/>
    <col min="7431" max="7431" width="17.28515625" style="2524" bestFit="1" customWidth="1"/>
    <col min="7432" max="7433" width="10.7109375" style="2524" customWidth="1"/>
    <col min="7434" max="7435" width="10.7109375" style="2524" bestFit="1" customWidth="1"/>
    <col min="7436" max="7436" width="10.7109375" style="2524" customWidth="1"/>
    <col min="7437" max="7439" width="10.7109375" style="2524" bestFit="1" customWidth="1"/>
    <col min="7440" max="7441" width="10.7109375" style="2524" customWidth="1"/>
    <col min="7442" max="7443" width="10.7109375" style="2524" bestFit="1" customWidth="1"/>
    <col min="7444" max="7680" width="9.140625" style="2524"/>
    <col min="7681" max="7681" width="14.140625" style="2524" customWidth="1"/>
    <col min="7682" max="7682" width="66.28515625" style="2524" bestFit="1" customWidth="1"/>
    <col min="7683" max="7683" width="10" style="2524" bestFit="1" customWidth="1"/>
    <col min="7684" max="7685" width="8.5703125" style="2524" bestFit="1" customWidth="1"/>
    <col min="7686" max="7686" width="17.42578125" style="2524" bestFit="1" customWidth="1"/>
    <col min="7687" max="7687" width="17.28515625" style="2524" bestFit="1" customWidth="1"/>
    <col min="7688" max="7689" width="10.7109375" style="2524" customWidth="1"/>
    <col min="7690" max="7691" width="10.7109375" style="2524" bestFit="1" customWidth="1"/>
    <col min="7692" max="7692" width="10.7109375" style="2524" customWidth="1"/>
    <col min="7693" max="7695" width="10.7109375" style="2524" bestFit="1" customWidth="1"/>
    <col min="7696" max="7697" width="10.7109375" style="2524" customWidth="1"/>
    <col min="7698" max="7699" width="10.7109375" style="2524" bestFit="1" customWidth="1"/>
    <col min="7700" max="7936" width="9.140625" style="2524"/>
    <col min="7937" max="7937" width="14.140625" style="2524" customWidth="1"/>
    <col min="7938" max="7938" width="66.28515625" style="2524" bestFit="1" customWidth="1"/>
    <col min="7939" max="7939" width="10" style="2524" bestFit="1" customWidth="1"/>
    <col min="7940" max="7941" width="8.5703125" style="2524" bestFit="1" customWidth="1"/>
    <col min="7942" max="7942" width="17.42578125" style="2524" bestFit="1" customWidth="1"/>
    <col min="7943" max="7943" width="17.28515625" style="2524" bestFit="1" customWidth="1"/>
    <col min="7944" max="7945" width="10.7109375" style="2524" customWidth="1"/>
    <col min="7946" max="7947" width="10.7109375" style="2524" bestFit="1" customWidth="1"/>
    <col min="7948" max="7948" width="10.7109375" style="2524" customWidth="1"/>
    <col min="7949" max="7951" width="10.7109375" style="2524" bestFit="1" customWidth="1"/>
    <col min="7952" max="7953" width="10.7109375" style="2524" customWidth="1"/>
    <col min="7954" max="7955" width="10.7109375" style="2524" bestFit="1" customWidth="1"/>
    <col min="7956" max="8192" width="9.140625" style="2524"/>
    <col min="8193" max="8193" width="14.140625" style="2524" customWidth="1"/>
    <col min="8194" max="8194" width="66.28515625" style="2524" bestFit="1" customWidth="1"/>
    <col min="8195" max="8195" width="10" style="2524" bestFit="1" customWidth="1"/>
    <col min="8196" max="8197" width="8.5703125" style="2524" bestFit="1" customWidth="1"/>
    <col min="8198" max="8198" width="17.42578125" style="2524" bestFit="1" customWidth="1"/>
    <col min="8199" max="8199" width="17.28515625" style="2524" bestFit="1" customWidth="1"/>
    <col min="8200" max="8201" width="10.7109375" style="2524" customWidth="1"/>
    <col min="8202" max="8203" width="10.7109375" style="2524" bestFit="1" customWidth="1"/>
    <col min="8204" max="8204" width="10.7109375" style="2524" customWidth="1"/>
    <col min="8205" max="8207" width="10.7109375" style="2524" bestFit="1" customWidth="1"/>
    <col min="8208" max="8209" width="10.7109375" style="2524" customWidth="1"/>
    <col min="8210" max="8211" width="10.7109375" style="2524" bestFit="1" customWidth="1"/>
    <col min="8212" max="8448" width="9.140625" style="2524"/>
    <col min="8449" max="8449" width="14.140625" style="2524" customWidth="1"/>
    <col min="8450" max="8450" width="66.28515625" style="2524" bestFit="1" customWidth="1"/>
    <col min="8451" max="8451" width="10" style="2524" bestFit="1" customWidth="1"/>
    <col min="8452" max="8453" width="8.5703125" style="2524" bestFit="1" customWidth="1"/>
    <col min="8454" max="8454" width="17.42578125" style="2524" bestFit="1" customWidth="1"/>
    <col min="8455" max="8455" width="17.28515625" style="2524" bestFit="1" customWidth="1"/>
    <col min="8456" max="8457" width="10.7109375" style="2524" customWidth="1"/>
    <col min="8458" max="8459" width="10.7109375" style="2524" bestFit="1" customWidth="1"/>
    <col min="8460" max="8460" width="10.7109375" style="2524" customWidth="1"/>
    <col min="8461" max="8463" width="10.7109375" style="2524" bestFit="1" customWidth="1"/>
    <col min="8464" max="8465" width="10.7109375" style="2524" customWidth="1"/>
    <col min="8466" max="8467" width="10.7109375" style="2524" bestFit="1" customWidth="1"/>
    <col min="8468" max="8704" width="9.140625" style="2524"/>
    <col min="8705" max="8705" width="14.140625" style="2524" customWidth="1"/>
    <col min="8706" max="8706" width="66.28515625" style="2524" bestFit="1" customWidth="1"/>
    <col min="8707" max="8707" width="10" style="2524" bestFit="1" customWidth="1"/>
    <col min="8708" max="8709" width="8.5703125" style="2524" bestFit="1" customWidth="1"/>
    <col min="8710" max="8710" width="17.42578125" style="2524" bestFit="1" customWidth="1"/>
    <col min="8711" max="8711" width="17.28515625" style="2524" bestFit="1" customWidth="1"/>
    <col min="8712" max="8713" width="10.7109375" style="2524" customWidth="1"/>
    <col min="8714" max="8715" width="10.7109375" style="2524" bestFit="1" customWidth="1"/>
    <col min="8716" max="8716" width="10.7109375" style="2524" customWidth="1"/>
    <col min="8717" max="8719" width="10.7109375" style="2524" bestFit="1" customWidth="1"/>
    <col min="8720" max="8721" width="10.7109375" style="2524" customWidth="1"/>
    <col min="8722" max="8723" width="10.7109375" style="2524" bestFit="1" customWidth="1"/>
    <col min="8724" max="8960" width="9.140625" style="2524"/>
    <col min="8961" max="8961" width="14.140625" style="2524" customWidth="1"/>
    <col min="8962" max="8962" width="66.28515625" style="2524" bestFit="1" customWidth="1"/>
    <col min="8963" max="8963" width="10" style="2524" bestFit="1" customWidth="1"/>
    <col min="8964" max="8965" width="8.5703125" style="2524" bestFit="1" customWidth="1"/>
    <col min="8966" max="8966" width="17.42578125" style="2524" bestFit="1" customWidth="1"/>
    <col min="8967" max="8967" width="17.28515625" style="2524" bestFit="1" customWidth="1"/>
    <col min="8968" max="8969" width="10.7109375" style="2524" customWidth="1"/>
    <col min="8970" max="8971" width="10.7109375" style="2524" bestFit="1" customWidth="1"/>
    <col min="8972" max="8972" width="10.7109375" style="2524" customWidth="1"/>
    <col min="8973" max="8975" width="10.7109375" style="2524" bestFit="1" customWidth="1"/>
    <col min="8976" max="8977" width="10.7109375" style="2524" customWidth="1"/>
    <col min="8978" max="8979" width="10.7109375" style="2524" bestFit="1" customWidth="1"/>
    <col min="8980" max="9216" width="9.140625" style="2524"/>
    <col min="9217" max="9217" width="14.140625" style="2524" customWidth="1"/>
    <col min="9218" max="9218" width="66.28515625" style="2524" bestFit="1" customWidth="1"/>
    <col min="9219" max="9219" width="10" style="2524" bestFit="1" customWidth="1"/>
    <col min="9220" max="9221" width="8.5703125" style="2524" bestFit="1" customWidth="1"/>
    <col min="9222" max="9222" width="17.42578125" style="2524" bestFit="1" customWidth="1"/>
    <col min="9223" max="9223" width="17.28515625" style="2524" bestFit="1" customWidth="1"/>
    <col min="9224" max="9225" width="10.7109375" style="2524" customWidth="1"/>
    <col min="9226" max="9227" width="10.7109375" style="2524" bestFit="1" customWidth="1"/>
    <col min="9228" max="9228" width="10.7109375" style="2524" customWidth="1"/>
    <col min="9229" max="9231" width="10.7109375" style="2524" bestFit="1" customWidth="1"/>
    <col min="9232" max="9233" width="10.7109375" style="2524" customWidth="1"/>
    <col min="9234" max="9235" width="10.7109375" style="2524" bestFit="1" customWidth="1"/>
    <col min="9236" max="9472" width="9.140625" style="2524"/>
    <col min="9473" max="9473" width="14.140625" style="2524" customWidth="1"/>
    <col min="9474" max="9474" width="66.28515625" style="2524" bestFit="1" customWidth="1"/>
    <col min="9475" max="9475" width="10" style="2524" bestFit="1" customWidth="1"/>
    <col min="9476" max="9477" width="8.5703125" style="2524" bestFit="1" customWidth="1"/>
    <col min="9478" max="9478" width="17.42578125" style="2524" bestFit="1" customWidth="1"/>
    <col min="9479" max="9479" width="17.28515625" style="2524" bestFit="1" customWidth="1"/>
    <col min="9480" max="9481" width="10.7109375" style="2524" customWidth="1"/>
    <col min="9482" max="9483" width="10.7109375" style="2524" bestFit="1" customWidth="1"/>
    <col min="9484" max="9484" width="10.7109375" style="2524" customWidth="1"/>
    <col min="9485" max="9487" width="10.7109375" style="2524" bestFit="1" customWidth="1"/>
    <col min="9488" max="9489" width="10.7109375" style="2524" customWidth="1"/>
    <col min="9490" max="9491" width="10.7109375" style="2524" bestFit="1" customWidth="1"/>
    <col min="9492" max="9728" width="9.140625" style="2524"/>
    <col min="9729" max="9729" width="14.140625" style="2524" customWidth="1"/>
    <col min="9730" max="9730" width="66.28515625" style="2524" bestFit="1" customWidth="1"/>
    <col min="9731" max="9731" width="10" style="2524" bestFit="1" customWidth="1"/>
    <col min="9732" max="9733" width="8.5703125" style="2524" bestFit="1" customWidth="1"/>
    <col min="9734" max="9734" width="17.42578125" style="2524" bestFit="1" customWidth="1"/>
    <col min="9735" max="9735" width="17.28515625" style="2524" bestFit="1" customWidth="1"/>
    <col min="9736" max="9737" width="10.7109375" style="2524" customWidth="1"/>
    <col min="9738" max="9739" width="10.7109375" style="2524" bestFit="1" customWidth="1"/>
    <col min="9740" max="9740" width="10.7109375" style="2524" customWidth="1"/>
    <col min="9741" max="9743" width="10.7109375" style="2524" bestFit="1" customWidth="1"/>
    <col min="9744" max="9745" width="10.7109375" style="2524" customWidth="1"/>
    <col min="9746" max="9747" width="10.7109375" style="2524" bestFit="1" customWidth="1"/>
    <col min="9748" max="9984" width="9.140625" style="2524"/>
    <col min="9985" max="9985" width="14.140625" style="2524" customWidth="1"/>
    <col min="9986" max="9986" width="66.28515625" style="2524" bestFit="1" customWidth="1"/>
    <col min="9987" max="9987" width="10" style="2524" bestFit="1" customWidth="1"/>
    <col min="9988" max="9989" width="8.5703125" style="2524" bestFit="1" customWidth="1"/>
    <col min="9990" max="9990" width="17.42578125" style="2524" bestFit="1" customWidth="1"/>
    <col min="9991" max="9991" width="17.28515625" style="2524" bestFit="1" customWidth="1"/>
    <col min="9992" max="9993" width="10.7109375" style="2524" customWidth="1"/>
    <col min="9994" max="9995" width="10.7109375" style="2524" bestFit="1" customWidth="1"/>
    <col min="9996" max="9996" width="10.7109375" style="2524" customWidth="1"/>
    <col min="9997" max="9999" width="10.7109375" style="2524" bestFit="1" customWidth="1"/>
    <col min="10000" max="10001" width="10.7109375" style="2524" customWidth="1"/>
    <col min="10002" max="10003" width="10.7109375" style="2524" bestFit="1" customWidth="1"/>
    <col min="10004" max="10240" width="9.140625" style="2524"/>
    <col min="10241" max="10241" width="14.140625" style="2524" customWidth="1"/>
    <col min="10242" max="10242" width="66.28515625" style="2524" bestFit="1" customWidth="1"/>
    <col min="10243" max="10243" width="10" style="2524" bestFit="1" customWidth="1"/>
    <col min="10244" max="10245" width="8.5703125" style="2524" bestFit="1" customWidth="1"/>
    <col min="10246" max="10246" width="17.42578125" style="2524" bestFit="1" customWidth="1"/>
    <col min="10247" max="10247" width="17.28515625" style="2524" bestFit="1" customWidth="1"/>
    <col min="10248" max="10249" width="10.7109375" style="2524" customWidth="1"/>
    <col min="10250" max="10251" width="10.7109375" style="2524" bestFit="1" customWidth="1"/>
    <col min="10252" max="10252" width="10.7109375" style="2524" customWidth="1"/>
    <col min="10253" max="10255" width="10.7109375" style="2524" bestFit="1" customWidth="1"/>
    <col min="10256" max="10257" width="10.7109375" style="2524" customWidth="1"/>
    <col min="10258" max="10259" width="10.7109375" style="2524" bestFit="1" customWidth="1"/>
    <col min="10260" max="10496" width="9.140625" style="2524"/>
    <col min="10497" max="10497" width="14.140625" style="2524" customWidth="1"/>
    <col min="10498" max="10498" width="66.28515625" style="2524" bestFit="1" customWidth="1"/>
    <col min="10499" max="10499" width="10" style="2524" bestFit="1" customWidth="1"/>
    <col min="10500" max="10501" width="8.5703125" style="2524" bestFit="1" customWidth="1"/>
    <col min="10502" max="10502" width="17.42578125" style="2524" bestFit="1" customWidth="1"/>
    <col min="10503" max="10503" width="17.28515625" style="2524" bestFit="1" customWidth="1"/>
    <col min="10504" max="10505" width="10.7109375" style="2524" customWidth="1"/>
    <col min="10506" max="10507" width="10.7109375" style="2524" bestFit="1" customWidth="1"/>
    <col min="10508" max="10508" width="10.7109375" style="2524" customWidth="1"/>
    <col min="10509" max="10511" width="10.7109375" style="2524" bestFit="1" customWidth="1"/>
    <col min="10512" max="10513" width="10.7109375" style="2524" customWidth="1"/>
    <col min="10514" max="10515" width="10.7109375" style="2524" bestFit="1" customWidth="1"/>
    <col min="10516" max="10752" width="9.140625" style="2524"/>
    <col min="10753" max="10753" width="14.140625" style="2524" customWidth="1"/>
    <col min="10754" max="10754" width="66.28515625" style="2524" bestFit="1" customWidth="1"/>
    <col min="10755" max="10755" width="10" style="2524" bestFit="1" customWidth="1"/>
    <col min="10756" max="10757" width="8.5703125" style="2524" bestFit="1" customWidth="1"/>
    <col min="10758" max="10758" width="17.42578125" style="2524" bestFit="1" customWidth="1"/>
    <col min="10759" max="10759" width="17.28515625" style="2524" bestFit="1" customWidth="1"/>
    <col min="10760" max="10761" width="10.7109375" style="2524" customWidth="1"/>
    <col min="10762" max="10763" width="10.7109375" style="2524" bestFit="1" customWidth="1"/>
    <col min="10764" max="10764" width="10.7109375" style="2524" customWidth="1"/>
    <col min="10765" max="10767" width="10.7109375" style="2524" bestFit="1" customWidth="1"/>
    <col min="10768" max="10769" width="10.7109375" style="2524" customWidth="1"/>
    <col min="10770" max="10771" width="10.7109375" style="2524" bestFit="1" customWidth="1"/>
    <col min="10772" max="11008" width="9.140625" style="2524"/>
    <col min="11009" max="11009" width="14.140625" style="2524" customWidth="1"/>
    <col min="11010" max="11010" width="66.28515625" style="2524" bestFit="1" customWidth="1"/>
    <col min="11011" max="11011" width="10" style="2524" bestFit="1" customWidth="1"/>
    <col min="11012" max="11013" width="8.5703125" style="2524" bestFit="1" customWidth="1"/>
    <col min="11014" max="11014" width="17.42578125" style="2524" bestFit="1" customWidth="1"/>
    <col min="11015" max="11015" width="17.28515625" style="2524" bestFit="1" customWidth="1"/>
    <col min="11016" max="11017" width="10.7109375" style="2524" customWidth="1"/>
    <col min="11018" max="11019" width="10.7109375" style="2524" bestFit="1" customWidth="1"/>
    <col min="11020" max="11020" width="10.7109375" style="2524" customWidth="1"/>
    <col min="11021" max="11023" width="10.7109375" style="2524" bestFit="1" customWidth="1"/>
    <col min="11024" max="11025" width="10.7109375" style="2524" customWidth="1"/>
    <col min="11026" max="11027" width="10.7109375" style="2524" bestFit="1" customWidth="1"/>
    <col min="11028" max="11264" width="9.140625" style="2524"/>
    <col min="11265" max="11265" width="14.140625" style="2524" customWidth="1"/>
    <col min="11266" max="11266" width="66.28515625" style="2524" bestFit="1" customWidth="1"/>
    <col min="11267" max="11267" width="10" style="2524" bestFit="1" customWidth="1"/>
    <col min="11268" max="11269" width="8.5703125" style="2524" bestFit="1" customWidth="1"/>
    <col min="11270" max="11270" width="17.42578125" style="2524" bestFit="1" customWidth="1"/>
    <col min="11271" max="11271" width="17.28515625" style="2524" bestFit="1" customWidth="1"/>
    <col min="11272" max="11273" width="10.7109375" style="2524" customWidth="1"/>
    <col min="11274" max="11275" width="10.7109375" style="2524" bestFit="1" customWidth="1"/>
    <col min="11276" max="11276" width="10.7109375" style="2524" customWidth="1"/>
    <col min="11277" max="11279" width="10.7109375" style="2524" bestFit="1" customWidth="1"/>
    <col min="11280" max="11281" width="10.7109375" style="2524" customWidth="1"/>
    <col min="11282" max="11283" width="10.7109375" style="2524" bestFit="1" customWidth="1"/>
    <col min="11284" max="11520" width="9.140625" style="2524"/>
    <col min="11521" max="11521" width="14.140625" style="2524" customWidth="1"/>
    <col min="11522" max="11522" width="66.28515625" style="2524" bestFit="1" customWidth="1"/>
    <col min="11523" max="11523" width="10" style="2524" bestFit="1" customWidth="1"/>
    <col min="11524" max="11525" width="8.5703125" style="2524" bestFit="1" customWidth="1"/>
    <col min="11526" max="11526" width="17.42578125" style="2524" bestFit="1" customWidth="1"/>
    <col min="11527" max="11527" width="17.28515625" style="2524" bestFit="1" customWidth="1"/>
    <col min="11528" max="11529" width="10.7109375" style="2524" customWidth="1"/>
    <col min="11530" max="11531" width="10.7109375" style="2524" bestFit="1" customWidth="1"/>
    <col min="11532" max="11532" width="10.7109375" style="2524" customWidth="1"/>
    <col min="11533" max="11535" width="10.7109375" style="2524" bestFit="1" customWidth="1"/>
    <col min="11536" max="11537" width="10.7109375" style="2524" customWidth="1"/>
    <col min="11538" max="11539" width="10.7109375" style="2524" bestFit="1" customWidth="1"/>
    <col min="11540" max="11776" width="9.140625" style="2524"/>
    <col min="11777" max="11777" width="14.140625" style="2524" customWidth="1"/>
    <col min="11778" max="11778" width="66.28515625" style="2524" bestFit="1" customWidth="1"/>
    <col min="11779" max="11779" width="10" style="2524" bestFit="1" customWidth="1"/>
    <col min="11780" max="11781" width="8.5703125" style="2524" bestFit="1" customWidth="1"/>
    <col min="11782" max="11782" width="17.42578125" style="2524" bestFit="1" customWidth="1"/>
    <col min="11783" max="11783" width="17.28515625" style="2524" bestFit="1" customWidth="1"/>
    <col min="11784" max="11785" width="10.7109375" style="2524" customWidth="1"/>
    <col min="11786" max="11787" width="10.7109375" style="2524" bestFit="1" customWidth="1"/>
    <col min="11788" max="11788" width="10.7109375" style="2524" customWidth="1"/>
    <col min="11789" max="11791" width="10.7109375" style="2524" bestFit="1" customWidth="1"/>
    <col min="11792" max="11793" width="10.7109375" style="2524" customWidth="1"/>
    <col min="11794" max="11795" width="10.7109375" style="2524" bestFit="1" customWidth="1"/>
    <col min="11796" max="12032" width="9.140625" style="2524"/>
    <col min="12033" max="12033" width="14.140625" style="2524" customWidth="1"/>
    <col min="12034" max="12034" width="66.28515625" style="2524" bestFit="1" customWidth="1"/>
    <col min="12035" max="12035" width="10" style="2524" bestFit="1" customWidth="1"/>
    <col min="12036" max="12037" width="8.5703125" style="2524" bestFit="1" customWidth="1"/>
    <col min="12038" max="12038" width="17.42578125" style="2524" bestFit="1" customWidth="1"/>
    <col min="12039" max="12039" width="17.28515625" style="2524" bestFit="1" customWidth="1"/>
    <col min="12040" max="12041" width="10.7109375" style="2524" customWidth="1"/>
    <col min="12042" max="12043" width="10.7109375" style="2524" bestFit="1" customWidth="1"/>
    <col min="12044" max="12044" width="10.7109375" style="2524" customWidth="1"/>
    <col min="12045" max="12047" width="10.7109375" style="2524" bestFit="1" customWidth="1"/>
    <col min="12048" max="12049" width="10.7109375" style="2524" customWidth="1"/>
    <col min="12050" max="12051" width="10.7109375" style="2524" bestFit="1" customWidth="1"/>
    <col min="12052" max="12288" width="9.140625" style="2524"/>
    <col min="12289" max="12289" width="14.140625" style="2524" customWidth="1"/>
    <col min="12290" max="12290" width="66.28515625" style="2524" bestFit="1" customWidth="1"/>
    <col min="12291" max="12291" width="10" style="2524" bestFit="1" customWidth="1"/>
    <col min="12292" max="12293" width="8.5703125" style="2524" bestFit="1" customWidth="1"/>
    <col min="12294" max="12294" width="17.42578125" style="2524" bestFit="1" customWidth="1"/>
    <col min="12295" max="12295" width="17.28515625" style="2524" bestFit="1" customWidth="1"/>
    <col min="12296" max="12297" width="10.7109375" style="2524" customWidth="1"/>
    <col min="12298" max="12299" width="10.7109375" style="2524" bestFit="1" customWidth="1"/>
    <col min="12300" max="12300" width="10.7109375" style="2524" customWidth="1"/>
    <col min="12301" max="12303" width="10.7109375" style="2524" bestFit="1" customWidth="1"/>
    <col min="12304" max="12305" width="10.7109375" style="2524" customWidth="1"/>
    <col min="12306" max="12307" width="10.7109375" style="2524" bestFit="1" customWidth="1"/>
    <col min="12308" max="12544" width="9.140625" style="2524"/>
    <col min="12545" max="12545" width="14.140625" style="2524" customWidth="1"/>
    <col min="12546" max="12546" width="66.28515625" style="2524" bestFit="1" customWidth="1"/>
    <col min="12547" max="12547" width="10" style="2524" bestFit="1" customWidth="1"/>
    <col min="12548" max="12549" width="8.5703125" style="2524" bestFit="1" customWidth="1"/>
    <col min="12550" max="12550" width="17.42578125" style="2524" bestFit="1" customWidth="1"/>
    <col min="12551" max="12551" width="17.28515625" style="2524" bestFit="1" customWidth="1"/>
    <col min="12552" max="12553" width="10.7109375" style="2524" customWidth="1"/>
    <col min="12554" max="12555" width="10.7109375" style="2524" bestFit="1" customWidth="1"/>
    <col min="12556" max="12556" width="10.7109375" style="2524" customWidth="1"/>
    <col min="12557" max="12559" width="10.7109375" style="2524" bestFit="1" customWidth="1"/>
    <col min="12560" max="12561" width="10.7109375" style="2524" customWidth="1"/>
    <col min="12562" max="12563" width="10.7109375" style="2524" bestFit="1" customWidth="1"/>
    <col min="12564" max="12800" width="9.140625" style="2524"/>
    <col min="12801" max="12801" width="14.140625" style="2524" customWidth="1"/>
    <col min="12802" max="12802" width="66.28515625" style="2524" bestFit="1" customWidth="1"/>
    <col min="12803" max="12803" width="10" style="2524" bestFit="1" customWidth="1"/>
    <col min="12804" max="12805" width="8.5703125" style="2524" bestFit="1" customWidth="1"/>
    <col min="12806" max="12806" width="17.42578125" style="2524" bestFit="1" customWidth="1"/>
    <col min="12807" max="12807" width="17.28515625" style="2524" bestFit="1" customWidth="1"/>
    <col min="12808" max="12809" width="10.7109375" style="2524" customWidth="1"/>
    <col min="12810" max="12811" width="10.7109375" style="2524" bestFit="1" customWidth="1"/>
    <col min="12812" max="12812" width="10.7109375" style="2524" customWidth="1"/>
    <col min="12813" max="12815" width="10.7109375" style="2524" bestFit="1" customWidth="1"/>
    <col min="12816" max="12817" width="10.7109375" style="2524" customWidth="1"/>
    <col min="12818" max="12819" width="10.7109375" style="2524" bestFit="1" customWidth="1"/>
    <col min="12820" max="13056" width="9.140625" style="2524"/>
    <col min="13057" max="13057" width="14.140625" style="2524" customWidth="1"/>
    <col min="13058" max="13058" width="66.28515625" style="2524" bestFit="1" customWidth="1"/>
    <col min="13059" max="13059" width="10" style="2524" bestFit="1" customWidth="1"/>
    <col min="13060" max="13061" width="8.5703125" style="2524" bestFit="1" customWidth="1"/>
    <col min="13062" max="13062" width="17.42578125" style="2524" bestFit="1" customWidth="1"/>
    <col min="13063" max="13063" width="17.28515625" style="2524" bestFit="1" customWidth="1"/>
    <col min="13064" max="13065" width="10.7109375" style="2524" customWidth="1"/>
    <col min="13066" max="13067" width="10.7109375" style="2524" bestFit="1" customWidth="1"/>
    <col min="13068" max="13068" width="10.7109375" style="2524" customWidth="1"/>
    <col min="13069" max="13071" width="10.7109375" style="2524" bestFit="1" customWidth="1"/>
    <col min="13072" max="13073" width="10.7109375" style="2524" customWidth="1"/>
    <col min="13074" max="13075" width="10.7109375" style="2524" bestFit="1" customWidth="1"/>
    <col min="13076" max="13312" width="9.140625" style="2524"/>
    <col min="13313" max="13313" width="14.140625" style="2524" customWidth="1"/>
    <col min="13314" max="13314" width="66.28515625" style="2524" bestFit="1" customWidth="1"/>
    <col min="13315" max="13315" width="10" style="2524" bestFit="1" customWidth="1"/>
    <col min="13316" max="13317" width="8.5703125" style="2524" bestFit="1" customWidth="1"/>
    <col min="13318" max="13318" width="17.42578125" style="2524" bestFit="1" customWidth="1"/>
    <col min="13319" max="13319" width="17.28515625" style="2524" bestFit="1" customWidth="1"/>
    <col min="13320" max="13321" width="10.7109375" style="2524" customWidth="1"/>
    <col min="13322" max="13323" width="10.7109375" style="2524" bestFit="1" customWidth="1"/>
    <col min="13324" max="13324" width="10.7109375" style="2524" customWidth="1"/>
    <col min="13325" max="13327" width="10.7109375" style="2524" bestFit="1" customWidth="1"/>
    <col min="13328" max="13329" width="10.7109375" style="2524" customWidth="1"/>
    <col min="13330" max="13331" width="10.7109375" style="2524" bestFit="1" customWidth="1"/>
    <col min="13332" max="13568" width="9.140625" style="2524"/>
    <col min="13569" max="13569" width="14.140625" style="2524" customWidth="1"/>
    <col min="13570" max="13570" width="66.28515625" style="2524" bestFit="1" customWidth="1"/>
    <col min="13571" max="13571" width="10" style="2524" bestFit="1" customWidth="1"/>
    <col min="13572" max="13573" width="8.5703125" style="2524" bestFit="1" customWidth="1"/>
    <col min="13574" max="13574" width="17.42578125" style="2524" bestFit="1" customWidth="1"/>
    <col min="13575" max="13575" width="17.28515625" style="2524" bestFit="1" customWidth="1"/>
    <col min="13576" max="13577" width="10.7109375" style="2524" customWidth="1"/>
    <col min="13578" max="13579" width="10.7109375" style="2524" bestFit="1" customWidth="1"/>
    <col min="13580" max="13580" width="10.7109375" style="2524" customWidth="1"/>
    <col min="13581" max="13583" width="10.7109375" style="2524" bestFit="1" customWidth="1"/>
    <col min="13584" max="13585" width="10.7109375" style="2524" customWidth="1"/>
    <col min="13586" max="13587" width="10.7109375" style="2524" bestFit="1" customWidth="1"/>
    <col min="13588" max="13824" width="9.140625" style="2524"/>
    <col min="13825" max="13825" width="14.140625" style="2524" customWidth="1"/>
    <col min="13826" max="13826" width="66.28515625" style="2524" bestFit="1" customWidth="1"/>
    <col min="13827" max="13827" width="10" style="2524" bestFit="1" customWidth="1"/>
    <col min="13828" max="13829" width="8.5703125" style="2524" bestFit="1" customWidth="1"/>
    <col min="13830" max="13830" width="17.42578125" style="2524" bestFit="1" customWidth="1"/>
    <col min="13831" max="13831" width="17.28515625" style="2524" bestFit="1" customWidth="1"/>
    <col min="13832" max="13833" width="10.7109375" style="2524" customWidth="1"/>
    <col min="13834" max="13835" width="10.7109375" style="2524" bestFit="1" customWidth="1"/>
    <col min="13836" max="13836" width="10.7109375" style="2524" customWidth="1"/>
    <col min="13837" max="13839" width="10.7109375" style="2524" bestFit="1" customWidth="1"/>
    <col min="13840" max="13841" width="10.7109375" style="2524" customWidth="1"/>
    <col min="13842" max="13843" width="10.7109375" style="2524" bestFit="1" customWidth="1"/>
    <col min="13844" max="14080" width="9.140625" style="2524"/>
    <col min="14081" max="14081" width="14.140625" style="2524" customWidth="1"/>
    <col min="14082" max="14082" width="66.28515625" style="2524" bestFit="1" customWidth="1"/>
    <col min="14083" max="14083" width="10" style="2524" bestFit="1" customWidth="1"/>
    <col min="14084" max="14085" width="8.5703125" style="2524" bestFit="1" customWidth="1"/>
    <col min="14086" max="14086" width="17.42578125" style="2524" bestFit="1" customWidth="1"/>
    <col min="14087" max="14087" width="17.28515625" style="2524" bestFit="1" customWidth="1"/>
    <col min="14088" max="14089" width="10.7109375" style="2524" customWidth="1"/>
    <col min="14090" max="14091" width="10.7109375" style="2524" bestFit="1" customWidth="1"/>
    <col min="14092" max="14092" width="10.7109375" style="2524" customWidth="1"/>
    <col min="14093" max="14095" width="10.7109375" style="2524" bestFit="1" customWidth="1"/>
    <col min="14096" max="14097" width="10.7109375" style="2524" customWidth="1"/>
    <col min="14098" max="14099" width="10.7109375" style="2524" bestFit="1" customWidth="1"/>
    <col min="14100" max="14336" width="9.140625" style="2524"/>
    <col min="14337" max="14337" width="14.140625" style="2524" customWidth="1"/>
    <col min="14338" max="14338" width="66.28515625" style="2524" bestFit="1" customWidth="1"/>
    <col min="14339" max="14339" width="10" style="2524" bestFit="1" customWidth="1"/>
    <col min="14340" max="14341" width="8.5703125" style="2524" bestFit="1" customWidth="1"/>
    <col min="14342" max="14342" width="17.42578125" style="2524" bestFit="1" customWidth="1"/>
    <col min="14343" max="14343" width="17.28515625" style="2524" bestFit="1" customWidth="1"/>
    <col min="14344" max="14345" width="10.7109375" style="2524" customWidth="1"/>
    <col min="14346" max="14347" width="10.7109375" style="2524" bestFit="1" customWidth="1"/>
    <col min="14348" max="14348" width="10.7109375" style="2524" customWidth="1"/>
    <col min="14349" max="14351" width="10.7109375" style="2524" bestFit="1" customWidth="1"/>
    <col min="14352" max="14353" width="10.7109375" style="2524" customWidth="1"/>
    <col min="14354" max="14355" width="10.7109375" style="2524" bestFit="1" customWidth="1"/>
    <col min="14356" max="14592" width="9.140625" style="2524"/>
    <col min="14593" max="14593" width="14.140625" style="2524" customWidth="1"/>
    <col min="14594" max="14594" width="66.28515625" style="2524" bestFit="1" customWidth="1"/>
    <col min="14595" max="14595" width="10" style="2524" bestFit="1" customWidth="1"/>
    <col min="14596" max="14597" width="8.5703125" style="2524" bestFit="1" customWidth="1"/>
    <col min="14598" max="14598" width="17.42578125" style="2524" bestFit="1" customWidth="1"/>
    <col min="14599" max="14599" width="17.28515625" style="2524" bestFit="1" customWidth="1"/>
    <col min="14600" max="14601" width="10.7109375" style="2524" customWidth="1"/>
    <col min="14602" max="14603" width="10.7109375" style="2524" bestFit="1" customWidth="1"/>
    <col min="14604" max="14604" width="10.7109375" style="2524" customWidth="1"/>
    <col min="14605" max="14607" width="10.7109375" style="2524" bestFit="1" customWidth="1"/>
    <col min="14608" max="14609" width="10.7109375" style="2524" customWidth="1"/>
    <col min="14610" max="14611" width="10.7109375" style="2524" bestFit="1" customWidth="1"/>
    <col min="14612" max="14848" width="9.140625" style="2524"/>
    <col min="14849" max="14849" width="14.140625" style="2524" customWidth="1"/>
    <col min="14850" max="14850" width="66.28515625" style="2524" bestFit="1" customWidth="1"/>
    <col min="14851" max="14851" width="10" style="2524" bestFit="1" customWidth="1"/>
    <col min="14852" max="14853" width="8.5703125" style="2524" bestFit="1" customWidth="1"/>
    <col min="14854" max="14854" width="17.42578125" style="2524" bestFit="1" customWidth="1"/>
    <col min="14855" max="14855" width="17.28515625" style="2524" bestFit="1" customWidth="1"/>
    <col min="14856" max="14857" width="10.7109375" style="2524" customWidth="1"/>
    <col min="14858" max="14859" width="10.7109375" style="2524" bestFit="1" customWidth="1"/>
    <col min="14860" max="14860" width="10.7109375" style="2524" customWidth="1"/>
    <col min="14861" max="14863" width="10.7109375" style="2524" bestFit="1" customWidth="1"/>
    <col min="14864" max="14865" width="10.7109375" style="2524" customWidth="1"/>
    <col min="14866" max="14867" width="10.7109375" style="2524" bestFit="1" customWidth="1"/>
    <col min="14868" max="15104" width="9.140625" style="2524"/>
    <col min="15105" max="15105" width="14.140625" style="2524" customWidth="1"/>
    <col min="15106" max="15106" width="66.28515625" style="2524" bestFit="1" customWidth="1"/>
    <col min="15107" max="15107" width="10" style="2524" bestFit="1" customWidth="1"/>
    <col min="15108" max="15109" width="8.5703125" style="2524" bestFit="1" customWidth="1"/>
    <col min="15110" max="15110" width="17.42578125" style="2524" bestFit="1" customWidth="1"/>
    <col min="15111" max="15111" width="17.28515625" style="2524" bestFit="1" customWidth="1"/>
    <col min="15112" max="15113" width="10.7109375" style="2524" customWidth="1"/>
    <col min="15114" max="15115" width="10.7109375" style="2524" bestFit="1" customWidth="1"/>
    <col min="15116" max="15116" width="10.7109375" style="2524" customWidth="1"/>
    <col min="15117" max="15119" width="10.7109375" style="2524" bestFit="1" customWidth="1"/>
    <col min="15120" max="15121" width="10.7109375" style="2524" customWidth="1"/>
    <col min="15122" max="15123" width="10.7109375" style="2524" bestFit="1" customWidth="1"/>
    <col min="15124" max="15360" width="9.140625" style="2524"/>
    <col min="15361" max="15361" width="14.140625" style="2524" customWidth="1"/>
    <col min="15362" max="15362" width="66.28515625" style="2524" bestFit="1" customWidth="1"/>
    <col min="15363" max="15363" width="10" style="2524" bestFit="1" customWidth="1"/>
    <col min="15364" max="15365" width="8.5703125" style="2524" bestFit="1" customWidth="1"/>
    <col min="15366" max="15366" width="17.42578125" style="2524" bestFit="1" customWidth="1"/>
    <col min="15367" max="15367" width="17.28515625" style="2524" bestFit="1" customWidth="1"/>
    <col min="15368" max="15369" width="10.7109375" style="2524" customWidth="1"/>
    <col min="15370" max="15371" width="10.7109375" style="2524" bestFit="1" customWidth="1"/>
    <col min="15372" max="15372" width="10.7109375" style="2524" customWidth="1"/>
    <col min="15373" max="15375" width="10.7109375" style="2524" bestFit="1" customWidth="1"/>
    <col min="15376" max="15377" width="10.7109375" style="2524" customWidth="1"/>
    <col min="15378" max="15379" width="10.7109375" style="2524" bestFit="1" customWidth="1"/>
    <col min="15380" max="15616" width="9.140625" style="2524"/>
    <col min="15617" max="15617" width="14.140625" style="2524" customWidth="1"/>
    <col min="15618" max="15618" width="66.28515625" style="2524" bestFit="1" customWidth="1"/>
    <col min="15619" max="15619" width="10" style="2524" bestFit="1" customWidth="1"/>
    <col min="15620" max="15621" width="8.5703125" style="2524" bestFit="1" customWidth="1"/>
    <col min="15622" max="15622" width="17.42578125" style="2524" bestFit="1" customWidth="1"/>
    <col min="15623" max="15623" width="17.28515625" style="2524" bestFit="1" customWidth="1"/>
    <col min="15624" max="15625" width="10.7109375" style="2524" customWidth="1"/>
    <col min="15626" max="15627" width="10.7109375" style="2524" bestFit="1" customWidth="1"/>
    <col min="15628" max="15628" width="10.7109375" style="2524" customWidth="1"/>
    <col min="15629" max="15631" width="10.7109375" style="2524" bestFit="1" customWidth="1"/>
    <col min="15632" max="15633" width="10.7109375" style="2524" customWidth="1"/>
    <col min="15634" max="15635" width="10.7109375" style="2524" bestFit="1" customWidth="1"/>
    <col min="15636" max="15872" width="9.140625" style="2524"/>
    <col min="15873" max="15873" width="14.140625" style="2524" customWidth="1"/>
    <col min="15874" max="15874" width="66.28515625" style="2524" bestFit="1" customWidth="1"/>
    <col min="15875" max="15875" width="10" style="2524" bestFit="1" customWidth="1"/>
    <col min="15876" max="15877" width="8.5703125" style="2524" bestFit="1" customWidth="1"/>
    <col min="15878" max="15878" width="17.42578125" style="2524" bestFit="1" customWidth="1"/>
    <col min="15879" max="15879" width="17.28515625" style="2524" bestFit="1" customWidth="1"/>
    <col min="15880" max="15881" width="10.7109375" style="2524" customWidth="1"/>
    <col min="15882" max="15883" width="10.7109375" style="2524" bestFit="1" customWidth="1"/>
    <col min="15884" max="15884" width="10.7109375" style="2524" customWidth="1"/>
    <col min="15885" max="15887" width="10.7109375" style="2524" bestFit="1" customWidth="1"/>
    <col min="15888" max="15889" width="10.7109375" style="2524" customWidth="1"/>
    <col min="15890" max="15891" width="10.7109375" style="2524" bestFit="1" customWidth="1"/>
    <col min="15892" max="16128" width="9.140625" style="2524"/>
    <col min="16129" max="16129" width="14.140625" style="2524" customWidth="1"/>
    <col min="16130" max="16130" width="66.28515625" style="2524" bestFit="1" customWidth="1"/>
    <col min="16131" max="16131" width="10" style="2524" bestFit="1" customWidth="1"/>
    <col min="16132" max="16133" width="8.5703125" style="2524" bestFit="1" customWidth="1"/>
    <col min="16134" max="16134" width="17.42578125" style="2524" bestFit="1" customWidth="1"/>
    <col min="16135" max="16135" width="17.28515625" style="2524" bestFit="1" customWidth="1"/>
    <col min="16136" max="16137" width="10.7109375" style="2524" customWidth="1"/>
    <col min="16138" max="16139" width="10.7109375" style="2524" bestFit="1" customWidth="1"/>
    <col min="16140" max="16140" width="10.7109375" style="2524" customWidth="1"/>
    <col min="16141" max="16143" width="10.7109375" style="2524" bestFit="1" customWidth="1"/>
    <col min="16144" max="16145" width="10.7109375" style="2524" customWidth="1"/>
    <col min="16146" max="16147" width="10.7109375" style="2524" bestFit="1" customWidth="1"/>
    <col min="16148" max="16384" width="9.140625" style="2524"/>
  </cols>
  <sheetData>
    <row r="1" spans="1:33" s="2525" customFormat="1" ht="24.95" customHeight="1">
      <c r="B1" s="2522" t="str">
        <f>IF(dms_DataQuality="backcast",INDEX(dms_Worksheet_List,MATCH(dms_Model,dms_Model_List))&amp;" BACKCAST",INDEX(dms_Worksheet_List,MATCH(dms_Model,dms_Model_List)))</f>
        <v>REGULATORY REPORTING STATEMENT</v>
      </c>
      <c r="C1" s="2769"/>
      <c r="D1" s="2769"/>
      <c r="E1" s="2769"/>
      <c r="F1" s="2769"/>
      <c r="G1" s="2769"/>
      <c r="H1" s="2769"/>
      <c r="I1" s="2769"/>
      <c r="J1" s="2769"/>
      <c r="K1" s="2769"/>
      <c r="L1" s="2769"/>
      <c r="M1" s="2769"/>
      <c r="N1" s="2769"/>
      <c r="O1" s="2769"/>
      <c r="P1" s="2769"/>
      <c r="Q1" s="2769"/>
      <c r="R1" s="2769"/>
      <c r="S1" s="2769"/>
      <c r="T1" s="2769"/>
      <c r="U1" s="2769"/>
      <c r="V1" s="2769"/>
      <c r="W1" s="2769"/>
      <c r="X1" s="2769"/>
      <c r="Y1" s="2769"/>
      <c r="Z1" s="2769"/>
      <c r="AA1" s="2769"/>
      <c r="AB1" s="2769"/>
      <c r="AC1" s="2769"/>
      <c r="AD1" s="2769"/>
      <c r="AE1" s="2769"/>
      <c r="AF1" s="2769"/>
      <c r="AG1" s="2769"/>
    </row>
    <row r="2" spans="1:33" s="2525" customFormat="1" ht="24.95" customHeight="1">
      <c r="B2" s="2526" t="str">
        <f>INDEX(dms_TradingNameFull_List,MATCH(dms_TradingName,dms_TradingName_List))</f>
        <v>AusNet Gas Services</v>
      </c>
      <c r="C2" s="2526"/>
      <c r="D2" s="2526"/>
      <c r="E2" s="2526"/>
      <c r="F2" s="2526"/>
      <c r="G2" s="2526"/>
      <c r="H2" s="2526"/>
      <c r="I2" s="2526"/>
      <c r="J2" s="2526"/>
      <c r="K2" s="2526"/>
      <c r="L2" s="2526"/>
      <c r="M2" s="2526"/>
      <c r="N2" s="2526"/>
      <c r="O2" s="2526"/>
      <c r="P2" s="2526"/>
      <c r="Q2" s="2526"/>
      <c r="R2" s="2526"/>
      <c r="S2" s="2526"/>
      <c r="T2" s="2526"/>
      <c r="U2" s="2526"/>
      <c r="V2" s="2526"/>
      <c r="W2" s="2526"/>
      <c r="X2" s="2526"/>
      <c r="Y2" s="2526"/>
      <c r="Z2" s="2526"/>
      <c r="AA2" s="2526"/>
      <c r="AB2" s="2526"/>
      <c r="AC2" s="2526"/>
      <c r="AD2" s="2526"/>
      <c r="AE2" s="2526"/>
      <c r="AF2" s="2526"/>
      <c r="AG2" s="2526"/>
    </row>
    <row r="3" spans="1:33" s="2525" customFormat="1" ht="24.95" customHeight="1">
      <c r="B3" s="2526" t="str">
        <f ca="1">IF(SUM(dms_SingleYear_Model)&gt;0,CRY,CONCATENATE(FRCP_y1," to ",dms_MultiYear_FinalYear_Result))</f>
        <v>2018 to 2022</v>
      </c>
      <c r="C3" s="2528"/>
      <c r="D3" s="2528"/>
      <c r="E3" s="2528"/>
      <c r="F3" s="2528"/>
      <c r="G3" s="2528"/>
      <c r="H3" s="2528"/>
      <c r="I3" s="2528"/>
      <c r="J3" s="2528"/>
      <c r="K3" s="2528"/>
      <c r="L3" s="2528"/>
      <c r="M3" s="2528"/>
      <c r="N3" s="2528"/>
      <c r="O3" s="2528"/>
      <c r="P3" s="2528"/>
      <c r="Q3" s="2528"/>
      <c r="R3" s="2528"/>
      <c r="S3" s="2528"/>
      <c r="T3" s="2528"/>
      <c r="U3" s="2528"/>
      <c r="V3" s="2528"/>
      <c r="W3" s="2528"/>
      <c r="X3" s="2528"/>
      <c r="Y3" s="2528"/>
      <c r="Z3" s="2528"/>
      <c r="AA3" s="2528"/>
      <c r="AB3" s="2528"/>
      <c r="AC3" s="2528"/>
      <c r="AD3" s="2528"/>
      <c r="AE3" s="2528"/>
      <c r="AF3" s="2528"/>
      <c r="AG3" s="2528"/>
    </row>
    <row r="4" spans="1:33" s="2525" customFormat="1" ht="24" customHeight="1">
      <c r="B4" s="2529" t="s">
        <v>474</v>
      </c>
      <c r="C4" s="2770"/>
      <c r="D4" s="2770"/>
      <c r="E4" s="2770"/>
      <c r="F4" s="2770"/>
      <c r="G4" s="2770"/>
      <c r="H4" s="2770"/>
      <c r="I4" s="2770"/>
      <c r="J4" s="2770"/>
      <c r="K4" s="2770"/>
      <c r="L4" s="2770"/>
      <c r="M4" s="2770"/>
      <c r="N4" s="2770"/>
      <c r="O4" s="2770"/>
      <c r="P4" s="2770"/>
      <c r="Q4" s="2770"/>
      <c r="R4" s="2770"/>
      <c r="S4" s="2770"/>
      <c r="T4" s="2770"/>
      <c r="U4" s="2770"/>
      <c r="V4" s="2770"/>
      <c r="W4" s="2770"/>
      <c r="X4" s="2770"/>
      <c r="Y4" s="2770"/>
      <c r="Z4" s="2770"/>
      <c r="AA4" s="2770"/>
      <c r="AB4" s="2770"/>
      <c r="AC4" s="2770"/>
      <c r="AD4" s="2770"/>
      <c r="AE4" s="2770"/>
      <c r="AF4" s="2770"/>
      <c r="AG4" s="2770"/>
    </row>
    <row r="5" spans="1:33">
      <c r="A5" s="360"/>
      <c r="B5" s="2771"/>
      <c r="C5" s="2771"/>
      <c r="D5" s="2771"/>
      <c r="E5" s="2771"/>
      <c r="F5" s="2771"/>
      <c r="G5" s="2771"/>
      <c r="H5" s="2771"/>
      <c r="I5" s="2771"/>
      <c r="J5" s="2771"/>
      <c r="K5" s="2771"/>
      <c r="L5" s="2771"/>
      <c r="M5" s="2771"/>
      <c r="N5" s="2771"/>
      <c r="O5" s="2771"/>
      <c r="P5" s="2771"/>
      <c r="Q5" s="2771"/>
      <c r="R5" s="2771"/>
      <c r="S5" s="2771"/>
      <c r="T5" s="2771"/>
      <c r="U5" s="2771"/>
      <c r="V5" s="2771"/>
      <c r="W5" s="2771"/>
      <c r="X5" s="2771"/>
      <c r="Y5" s="2771"/>
      <c r="Z5" s="2771"/>
      <c r="AA5" s="2771"/>
      <c r="AE5" s="2771"/>
      <c r="AF5" s="2771"/>
      <c r="AG5" s="2771"/>
    </row>
    <row r="6" spans="1:33">
      <c r="A6" s="2771"/>
      <c r="B6" s="2771"/>
      <c r="C6" s="2771"/>
      <c r="D6" s="2771"/>
      <c r="E6" s="2771"/>
      <c r="F6" s="2771"/>
      <c r="G6" s="2771"/>
      <c r="H6" s="2771"/>
      <c r="I6" s="2771"/>
      <c r="J6" s="2771"/>
      <c r="K6" s="2771"/>
      <c r="L6" s="2771"/>
      <c r="M6" s="2771"/>
      <c r="N6" s="2771"/>
      <c r="O6" s="2771"/>
      <c r="P6" s="2771"/>
      <c r="Q6" s="2771"/>
      <c r="R6" s="2771"/>
      <c r="S6" s="2771"/>
      <c r="T6" s="2771"/>
      <c r="U6" s="2771"/>
      <c r="V6" s="2771"/>
      <c r="W6" s="2771"/>
      <c r="X6" s="2771"/>
      <c r="Y6" s="2771"/>
      <c r="Z6" s="2771"/>
      <c r="AA6" s="2771"/>
      <c r="AE6" s="2771"/>
      <c r="AF6" s="2771"/>
      <c r="AG6" s="2771"/>
    </row>
    <row r="7" spans="1:33" ht="21.75" customHeight="1">
      <c r="A7" s="2771"/>
      <c r="B7" s="4548" t="s">
        <v>59</v>
      </c>
      <c r="C7" s="4548"/>
      <c r="D7" s="4548"/>
      <c r="E7" s="4548"/>
      <c r="F7" s="4548"/>
      <c r="G7" s="4548"/>
      <c r="H7" s="2771"/>
      <c r="I7" s="2771"/>
      <c r="J7" s="2771"/>
      <c r="K7" s="2771"/>
      <c r="L7" s="2771"/>
      <c r="M7" s="2771"/>
      <c r="N7" s="2771"/>
      <c r="O7" s="2771"/>
      <c r="P7" s="2771"/>
      <c r="Q7" s="2771"/>
      <c r="R7" s="2771"/>
      <c r="S7" s="2771"/>
      <c r="T7" s="2771"/>
      <c r="U7" s="2771"/>
      <c r="V7" s="2771"/>
      <c r="W7" s="2771"/>
      <c r="X7" s="2771"/>
      <c r="Y7" s="2771"/>
      <c r="Z7" s="2771"/>
      <c r="AA7" s="2771"/>
    </row>
    <row r="8" spans="1:33" ht="21.75" customHeight="1">
      <c r="A8" s="2771"/>
      <c r="B8" s="4549" t="s">
        <v>226</v>
      </c>
      <c r="C8" s="4549"/>
      <c r="D8" s="4549"/>
      <c r="E8" s="4549"/>
      <c r="F8" s="4549"/>
      <c r="G8" s="4549"/>
      <c r="H8" s="2771"/>
      <c r="I8" s="2771"/>
      <c r="J8" s="2771"/>
      <c r="K8" s="2771"/>
      <c r="L8" s="2771"/>
      <c r="M8" s="2771"/>
      <c r="N8" s="2771"/>
      <c r="O8" s="2771"/>
      <c r="P8" s="2771"/>
      <c r="Q8" s="2771"/>
      <c r="R8" s="2771"/>
      <c r="S8" s="2771"/>
      <c r="T8" s="2771"/>
      <c r="U8" s="2771"/>
      <c r="V8" s="2771"/>
      <c r="W8" s="2771"/>
      <c r="X8" s="2771"/>
      <c r="Y8" s="2771"/>
      <c r="Z8" s="2771"/>
      <c r="AA8" s="2771"/>
    </row>
    <row r="9" spans="1:33" ht="21.75" customHeight="1">
      <c r="A9" s="2771"/>
      <c r="B9" s="4549" t="s">
        <v>470</v>
      </c>
      <c r="C9" s="4549"/>
      <c r="D9" s="4549"/>
      <c r="E9" s="4549"/>
      <c r="F9" s="4549"/>
      <c r="G9" s="4549"/>
      <c r="H9" s="2771"/>
      <c r="I9" s="2771"/>
      <c r="J9" s="2771"/>
      <c r="K9" s="2771"/>
      <c r="L9" s="2771"/>
      <c r="M9" s="2771"/>
      <c r="N9" s="2771"/>
      <c r="O9" s="2771"/>
      <c r="P9" s="2771"/>
      <c r="Q9" s="2771"/>
      <c r="R9" s="2771"/>
      <c r="S9" s="2771"/>
      <c r="T9" s="2771"/>
      <c r="U9" s="2771"/>
      <c r="V9" s="2771"/>
      <c r="W9" s="2771"/>
      <c r="X9" s="2771"/>
      <c r="Y9" s="2771"/>
      <c r="Z9" s="2771"/>
      <c r="AA9" s="2771"/>
    </row>
    <row r="10" spans="1:33" ht="21.75" customHeight="1">
      <c r="A10" s="2771"/>
      <c r="B10" s="4550" t="s">
        <v>382</v>
      </c>
      <c r="C10" s="4551"/>
      <c r="D10" s="4551"/>
      <c r="E10" s="4551"/>
      <c r="F10" s="4551"/>
      <c r="G10" s="4551"/>
      <c r="H10" s="2771"/>
      <c r="I10" s="2771"/>
      <c r="J10" s="2771"/>
      <c r="K10" s="2771"/>
      <c r="L10" s="2771"/>
      <c r="M10" s="2771"/>
      <c r="N10" s="2771"/>
      <c r="O10" s="2771"/>
      <c r="P10" s="2771"/>
      <c r="Q10" s="2771"/>
      <c r="R10" s="2771"/>
      <c r="S10" s="2771"/>
      <c r="T10" s="2771"/>
      <c r="U10" s="2771"/>
      <c r="V10" s="2771"/>
      <c r="W10" s="2771"/>
      <c r="X10" s="2771"/>
      <c r="Y10" s="2771"/>
      <c r="Z10" s="2771"/>
      <c r="AA10" s="2771"/>
    </row>
    <row r="11" spans="1:33">
      <c r="A11" s="3013"/>
      <c r="B11" s="3013"/>
      <c r="C11" s="3013"/>
      <c r="D11" s="3013"/>
      <c r="E11" s="3013"/>
      <c r="F11" s="3013"/>
      <c r="G11" s="3013"/>
      <c r="H11" s="3013"/>
      <c r="I11" s="3013"/>
      <c r="J11" s="3013"/>
      <c r="K11" s="3013"/>
      <c r="L11" s="3013"/>
      <c r="M11" s="3013"/>
      <c r="N11" s="3013"/>
      <c r="O11" s="3013"/>
      <c r="P11" s="3013"/>
      <c r="Q11" s="3013"/>
      <c r="R11" s="3013"/>
      <c r="S11" s="3013"/>
      <c r="T11" s="3013"/>
      <c r="U11" s="3013"/>
      <c r="V11" s="3013"/>
      <c r="W11" s="3013"/>
      <c r="X11" s="3013"/>
      <c r="Y11" s="3013"/>
      <c r="Z11" s="3013"/>
      <c r="AA11" s="3013"/>
      <c r="AE11" s="3013"/>
      <c r="AF11" s="3013"/>
      <c r="AG11" s="3013"/>
    </row>
    <row r="12" spans="1:33" ht="13.5" thickBot="1">
      <c r="A12" s="3013"/>
      <c r="B12" s="3013"/>
      <c r="C12" s="3013"/>
      <c r="D12" s="3013"/>
      <c r="E12" s="3013"/>
      <c r="F12" s="3013"/>
      <c r="G12" s="3013"/>
      <c r="H12" s="3013"/>
      <c r="I12" s="3013"/>
      <c r="J12" s="3013"/>
      <c r="K12" s="3013"/>
      <c r="L12" s="3013"/>
      <c r="M12" s="3013"/>
      <c r="N12" s="3013"/>
      <c r="O12" s="3013"/>
      <c r="P12" s="3013"/>
      <c r="Q12" s="3013"/>
      <c r="R12" s="3013"/>
      <c r="S12" s="3013"/>
      <c r="T12" s="3013"/>
      <c r="U12" s="3013"/>
      <c r="V12" s="3013"/>
      <c r="W12" s="3013"/>
      <c r="X12" s="3013"/>
      <c r="Y12" s="3013"/>
      <c r="Z12" s="3013"/>
      <c r="AA12" s="3013"/>
      <c r="AE12" s="3013"/>
      <c r="AF12" s="3013"/>
      <c r="AG12" s="3013"/>
    </row>
    <row r="13" spans="1:33">
      <c r="A13" s="3013"/>
      <c r="B13" s="3118" t="s">
        <v>247</v>
      </c>
      <c r="C13" s="3013"/>
      <c r="D13" s="3013"/>
      <c r="E13" s="3013"/>
      <c r="F13" s="3013"/>
      <c r="G13" s="3013"/>
      <c r="H13" s="3013"/>
      <c r="I13" s="3013"/>
      <c r="J13" s="3013"/>
      <c r="K13" s="3013"/>
      <c r="L13" s="3013"/>
      <c r="M13" s="3013"/>
      <c r="N13" s="3013"/>
      <c r="O13" s="3013"/>
      <c r="P13" s="3013"/>
      <c r="Q13" s="3013"/>
      <c r="R13" s="3013"/>
      <c r="S13" s="3013"/>
      <c r="T13" s="3013"/>
      <c r="U13" s="3013"/>
      <c r="V13" s="3013"/>
      <c r="W13" s="3013"/>
      <c r="X13" s="3013"/>
      <c r="Y13" s="3013"/>
      <c r="Z13" s="3013"/>
      <c r="AA13" s="3013"/>
      <c r="AE13" s="3013"/>
      <c r="AF13" s="3013"/>
      <c r="AG13" s="3013"/>
    </row>
    <row r="14" spans="1:33" ht="25.5" customHeight="1" thickBot="1">
      <c r="A14" s="3013"/>
      <c r="B14" s="3119" t="s">
        <v>1644</v>
      </c>
      <c r="C14" s="3013"/>
      <c r="D14" s="3013"/>
      <c r="E14" s="3013"/>
      <c r="F14" s="3013"/>
      <c r="G14" s="3013"/>
      <c r="H14" s="3013"/>
      <c r="I14" s="3013"/>
      <c r="J14" s="3013"/>
      <c r="K14" s="3013"/>
      <c r="L14" s="3013"/>
      <c r="M14" s="3013"/>
      <c r="N14" s="3013"/>
      <c r="O14" s="3013"/>
      <c r="P14" s="3013"/>
      <c r="Q14" s="3013"/>
      <c r="R14" s="3013"/>
      <c r="S14" s="3013"/>
      <c r="T14" s="3013"/>
      <c r="U14" s="3013"/>
      <c r="V14" s="3013"/>
      <c r="W14" s="3013"/>
      <c r="X14" s="3013"/>
      <c r="Y14" s="3013"/>
      <c r="Z14" s="3013"/>
      <c r="AA14" s="3013"/>
      <c r="AE14" s="3013"/>
      <c r="AF14" s="3013"/>
      <c r="AG14" s="3013"/>
    </row>
    <row r="15" spans="1:33" ht="13.5" thickBot="1">
      <c r="A15" s="3013"/>
      <c r="B15" s="3013"/>
      <c r="C15" s="3013"/>
      <c r="D15" s="3013"/>
      <c r="E15" s="3013"/>
      <c r="F15" s="3013"/>
      <c r="G15" s="3013"/>
      <c r="H15" s="3013"/>
      <c r="I15" s="3013"/>
      <c r="J15" s="3013"/>
      <c r="K15" s="3013"/>
      <c r="L15" s="3013"/>
      <c r="M15" s="3013"/>
      <c r="N15" s="3013"/>
      <c r="O15" s="3013"/>
      <c r="P15" s="3013"/>
      <c r="Q15" s="3013"/>
      <c r="R15" s="3013"/>
      <c r="S15" s="3013"/>
      <c r="T15" s="3013"/>
      <c r="U15" s="3013"/>
      <c r="V15" s="3013"/>
      <c r="W15" s="3013"/>
      <c r="X15" s="3013"/>
      <c r="Y15" s="3013"/>
      <c r="Z15" s="3013"/>
      <c r="AA15" s="3013"/>
      <c r="AE15" s="3013"/>
      <c r="AF15" s="3013"/>
      <c r="AG15" s="3013"/>
    </row>
    <row r="16" spans="1:33">
      <c r="A16" s="3013"/>
      <c r="B16" s="3118" t="s">
        <v>248</v>
      </c>
      <c r="C16" s="3013"/>
      <c r="D16" s="3013"/>
      <c r="E16" s="3013"/>
      <c r="F16" s="3013"/>
      <c r="G16" s="3013"/>
      <c r="H16" s="3013"/>
      <c r="I16" s="3013"/>
      <c r="J16" s="3013"/>
      <c r="K16" s="3013"/>
      <c r="L16" s="3013"/>
      <c r="M16" s="3013"/>
      <c r="N16" s="3013"/>
      <c r="O16" s="3013"/>
      <c r="P16" s="3013"/>
      <c r="Q16" s="3013"/>
      <c r="R16" s="3013"/>
      <c r="S16" s="3013"/>
      <c r="T16" s="3013"/>
      <c r="U16" s="3013"/>
      <c r="V16" s="3013"/>
      <c r="W16" s="3013"/>
      <c r="X16" s="3013"/>
      <c r="Y16" s="3013"/>
      <c r="Z16" s="3013"/>
      <c r="AA16" s="3013"/>
      <c r="AE16" s="3013"/>
      <c r="AF16" s="3013"/>
      <c r="AG16" s="3013"/>
    </row>
    <row r="17" spans="1:134" ht="25.5" customHeight="1" thickBot="1">
      <c r="A17" s="3013"/>
      <c r="B17" s="3119" t="s">
        <v>1666</v>
      </c>
      <c r="C17" s="3013"/>
      <c r="D17" s="3013"/>
      <c r="E17" s="3013"/>
      <c r="F17" s="3013"/>
      <c r="G17" s="3013"/>
      <c r="H17" s="3013"/>
      <c r="I17" s="3013"/>
      <c r="J17" s="3013"/>
      <c r="K17" s="3013"/>
      <c r="L17" s="3013"/>
      <c r="M17" s="3013"/>
      <c r="N17" s="3013"/>
      <c r="O17" s="3013"/>
      <c r="P17" s="3013"/>
      <c r="Q17" s="3013"/>
      <c r="R17" s="3013"/>
      <c r="S17" s="3013"/>
      <c r="T17" s="3013"/>
      <c r="U17" s="3013"/>
      <c r="V17" s="3013"/>
      <c r="W17" s="3013"/>
      <c r="X17" s="3013"/>
      <c r="Y17" s="3013"/>
      <c r="Z17" s="3013"/>
      <c r="AA17" s="3013"/>
      <c r="AE17" s="3013"/>
      <c r="AF17" s="3013"/>
      <c r="AG17" s="3013"/>
    </row>
    <row r="18" spans="1:134" ht="50.25" customHeight="1" thickBot="1">
      <c r="A18" s="3013"/>
      <c r="B18" s="3013"/>
      <c r="C18" s="3013"/>
      <c r="D18" s="3013"/>
      <c r="E18" s="3013"/>
      <c r="F18" s="3013"/>
      <c r="G18" s="3013"/>
      <c r="H18" s="3013"/>
      <c r="I18" s="3013"/>
      <c r="J18" s="3013"/>
      <c r="K18" s="3013"/>
      <c r="L18" s="3013"/>
      <c r="M18" s="3013"/>
      <c r="N18" s="3013"/>
      <c r="O18" s="3013"/>
      <c r="P18" s="3013"/>
      <c r="Q18" s="3013"/>
      <c r="R18" s="3013"/>
      <c r="S18" s="3013"/>
      <c r="T18" s="3013"/>
      <c r="U18" s="3013"/>
      <c r="V18" s="3013"/>
      <c r="W18" s="3013"/>
      <c r="X18" s="3013"/>
      <c r="Y18" s="3013"/>
      <c r="Z18" s="3013"/>
      <c r="AA18" s="3013"/>
      <c r="AE18" s="3013"/>
      <c r="AF18" s="3013"/>
      <c r="AG18" s="3013"/>
    </row>
    <row r="19" spans="1:134" ht="34.5" customHeight="1" thickBot="1">
      <c r="A19" s="2771"/>
      <c r="B19" s="2780" t="s">
        <v>477</v>
      </c>
      <c r="C19" s="2781"/>
      <c r="D19" s="2781"/>
      <c r="E19" s="2781"/>
      <c r="F19" s="2781"/>
      <c r="G19" s="2781"/>
      <c r="H19" s="2781"/>
      <c r="I19" s="2781"/>
      <c r="J19" s="2782"/>
      <c r="K19" s="2782"/>
      <c r="L19" s="2782"/>
      <c r="M19" s="2782"/>
      <c r="N19" s="2782"/>
      <c r="O19" s="2782"/>
      <c r="P19" s="2782"/>
      <c r="Q19" s="2782"/>
      <c r="R19" s="2782"/>
      <c r="S19" s="2782"/>
      <c r="T19" s="2782"/>
      <c r="U19" s="2782"/>
      <c r="V19" s="2782"/>
      <c r="W19" s="2782"/>
      <c r="X19" s="2782"/>
      <c r="Y19" s="2782"/>
      <c r="Z19" s="2782"/>
      <c r="AA19" s="2782"/>
      <c r="AE19" s="2884" t="s">
        <v>642</v>
      </c>
      <c r="AF19" s="2781"/>
      <c r="AG19" s="2782"/>
    </row>
    <row r="20" spans="1:134" s="3019" customFormat="1" ht="24" customHeight="1" thickBot="1">
      <c r="A20" s="3013"/>
      <c r="B20" s="2783" t="s">
        <v>471</v>
      </c>
      <c r="C20" s="2784"/>
      <c r="D20" s="2784"/>
      <c r="E20" s="2784"/>
      <c r="F20" s="2784"/>
      <c r="G20" s="2784"/>
      <c r="H20" s="2784"/>
      <c r="I20" s="2784"/>
      <c r="J20" s="2784"/>
      <c r="K20" s="2784"/>
      <c r="L20" s="2784"/>
      <c r="M20" s="2784"/>
      <c r="N20" s="2784"/>
      <c r="O20" s="2784"/>
      <c r="P20" s="2784"/>
      <c r="Q20" s="2784"/>
      <c r="R20" s="2784"/>
      <c r="S20" s="2784"/>
      <c r="T20" s="2784"/>
      <c r="U20" s="2784"/>
      <c r="V20" s="2784"/>
      <c r="W20" s="2784"/>
      <c r="X20" s="2784"/>
      <c r="Y20" s="2784"/>
      <c r="Z20" s="2784"/>
      <c r="AA20" s="2785"/>
      <c r="AB20" s="2524"/>
      <c r="AC20" s="2524"/>
      <c r="AD20" s="2524"/>
      <c r="AE20" s="2783"/>
      <c r="AF20" s="2784"/>
      <c r="AG20" s="2785"/>
      <c r="AH20" s="2524"/>
      <c r="AI20" s="2524"/>
      <c r="AJ20" s="2524"/>
      <c r="AK20" s="2524"/>
      <c r="DE20" s="2524"/>
      <c r="DF20" s="2524"/>
      <c r="DG20" s="2524"/>
      <c r="DH20" s="2524"/>
      <c r="DI20" s="2524"/>
      <c r="DJ20" s="2524"/>
      <c r="DK20" s="2524"/>
      <c r="DL20" s="2524"/>
      <c r="DM20" s="2524"/>
      <c r="DN20" s="2524"/>
      <c r="DO20" s="2524"/>
      <c r="DP20" s="2524"/>
      <c r="DQ20" s="2524"/>
      <c r="DR20" s="2524"/>
      <c r="DS20" s="2524"/>
      <c r="DT20" s="2524"/>
      <c r="DU20" s="2524"/>
      <c r="DV20" s="2524"/>
      <c r="DW20" s="2524"/>
      <c r="DX20" s="2524"/>
      <c r="DY20" s="2524"/>
      <c r="DZ20" s="2524"/>
      <c r="EA20" s="2524"/>
      <c r="EB20" s="2524"/>
      <c r="EC20" s="2524"/>
      <c r="ED20" s="2524"/>
    </row>
    <row r="21" spans="1:134" ht="20.25" customHeight="1">
      <c r="A21" s="2771"/>
      <c r="B21" s="4552"/>
      <c r="C21" s="4554" t="s">
        <v>37</v>
      </c>
      <c r="D21" s="4555"/>
      <c r="E21" s="4555"/>
      <c r="F21" s="4555"/>
      <c r="G21" s="4555"/>
      <c r="H21" s="4562" t="s">
        <v>73</v>
      </c>
      <c r="I21" s="4562"/>
      <c r="J21" s="4562"/>
      <c r="K21" s="4562"/>
      <c r="L21" s="4562"/>
      <c r="M21" s="4563" t="s">
        <v>249</v>
      </c>
      <c r="N21" s="4563"/>
      <c r="O21" s="4563"/>
      <c r="P21" s="4563"/>
      <c r="Q21" s="4563"/>
      <c r="R21" s="4563"/>
      <c r="S21" s="4563"/>
      <c r="T21" s="4563"/>
      <c r="U21" s="4563"/>
      <c r="V21" s="4563"/>
      <c r="W21" s="4563"/>
      <c r="X21" s="4563"/>
      <c r="Y21" s="4563"/>
      <c r="Z21" s="4563"/>
      <c r="AA21" s="4564"/>
      <c r="AE21" s="4565" t="s">
        <v>37</v>
      </c>
      <c r="AF21" s="4566"/>
      <c r="AG21" s="4567"/>
    </row>
    <row r="22" spans="1:134" ht="20.25" customHeight="1">
      <c r="B22" s="4553"/>
      <c r="C22" s="4556" t="s">
        <v>543</v>
      </c>
      <c r="D22" s="4557"/>
      <c r="E22" s="4558"/>
      <c r="F22" s="4559" t="str">
        <f>CONCATENATE("$0's, real ",dms_DollarReal)</f>
        <v>$0's, real December 2017</v>
      </c>
      <c r="G22" s="4560"/>
      <c r="H22" s="4560"/>
      <c r="I22" s="4560"/>
      <c r="J22" s="4560"/>
      <c r="K22" s="4560"/>
      <c r="L22" s="4560"/>
      <c r="M22" s="4560"/>
      <c r="N22" s="4560"/>
      <c r="O22" s="4560"/>
      <c r="P22" s="4560"/>
      <c r="Q22" s="4560"/>
      <c r="R22" s="4560"/>
      <c r="S22" s="4560"/>
      <c r="T22" s="4560"/>
      <c r="U22" s="4560"/>
      <c r="V22" s="4560"/>
      <c r="W22" s="4560"/>
      <c r="X22" s="4560"/>
      <c r="Y22" s="4560"/>
      <c r="Z22" s="4560"/>
      <c r="AA22" s="4561"/>
      <c r="AE22" s="4556" t="str">
        <f>CONCATENATE("$0's, real ",dms_DollarReal)</f>
        <v>$0's, real December 2017</v>
      </c>
      <c r="AF22" s="4557"/>
      <c r="AG22" s="4568"/>
    </row>
    <row r="23" spans="1:134" ht="20.25" customHeight="1">
      <c r="B23" s="4553"/>
      <c r="C23" s="4556" t="s">
        <v>54</v>
      </c>
      <c r="D23" s="4557"/>
      <c r="E23" s="4558"/>
      <c r="F23" s="4559" t="s">
        <v>377</v>
      </c>
      <c r="G23" s="4560"/>
      <c r="H23" s="4560"/>
      <c r="I23" s="4560"/>
      <c r="J23" s="4560"/>
      <c r="K23" s="4560"/>
      <c r="L23" s="4560"/>
      <c r="M23" s="4560"/>
      <c r="N23" s="4560"/>
      <c r="O23" s="4560"/>
      <c r="P23" s="4560"/>
      <c r="Q23" s="4560"/>
      <c r="R23" s="4560"/>
      <c r="S23" s="4560"/>
      <c r="T23" s="4560"/>
      <c r="U23" s="4560"/>
      <c r="V23" s="4560"/>
      <c r="W23" s="4560"/>
      <c r="X23" s="4560"/>
      <c r="Y23" s="4560"/>
      <c r="Z23" s="4560"/>
      <c r="AA23" s="4561"/>
      <c r="AE23" s="4556" t="s">
        <v>54</v>
      </c>
      <c r="AF23" s="4557"/>
      <c r="AG23" s="4568"/>
    </row>
    <row r="24" spans="1:134" ht="20.25" customHeight="1" thickBot="1">
      <c r="B24" s="4553"/>
      <c r="C24" s="2788">
        <f>CRCP_y1</f>
        <v>2013</v>
      </c>
      <c r="D24" s="2788">
        <f>CRCP_y2</f>
        <v>2014</v>
      </c>
      <c r="E24" s="2788">
        <f>CRCP_y3</f>
        <v>2015</v>
      </c>
      <c r="F24" s="2788">
        <f>CRCP_y4</f>
        <v>2016</v>
      </c>
      <c r="G24" s="2788">
        <f>CRCP_y5</f>
        <v>2017</v>
      </c>
      <c r="H24" s="3120" t="str">
        <f>CONCATENATE(IF(dms_RPT="Calendar",G24+1,(LEFT(G24,4)+1&amp;"-"&amp;IF(MID(G24,6,2)&lt;"09","0"&amp;RIGHT(G24,1)+1,RIGHT(G24,2)+1))))</f>
        <v>2018</v>
      </c>
      <c r="I24" s="3120" t="str">
        <f t="shared" ref="I24:AA24" si="0">CONCATENATE(IF(dms_RPT="Calendar",H24+1,(LEFT(H24,4)+1&amp;"-"&amp;IF(MID(H24,6,2)&lt;"09","0"&amp;RIGHT(H24,1)+1,RIGHT(H24,2)+1))))</f>
        <v>2019</v>
      </c>
      <c r="J24" s="3120" t="str">
        <f t="shared" si="0"/>
        <v>2020</v>
      </c>
      <c r="K24" s="3120" t="str">
        <f t="shared" si="0"/>
        <v>2021</v>
      </c>
      <c r="L24" s="3120" t="str">
        <f t="shared" si="0"/>
        <v>2022</v>
      </c>
      <c r="M24" s="2788" t="str">
        <f t="shared" si="0"/>
        <v>2023</v>
      </c>
      <c r="N24" s="2788" t="str">
        <f t="shared" si="0"/>
        <v>2024</v>
      </c>
      <c r="O24" s="2788" t="str">
        <f t="shared" si="0"/>
        <v>2025</v>
      </c>
      <c r="P24" s="2788" t="str">
        <f t="shared" si="0"/>
        <v>2026</v>
      </c>
      <c r="Q24" s="2788" t="str">
        <f t="shared" si="0"/>
        <v>2027</v>
      </c>
      <c r="R24" s="2788" t="str">
        <f t="shared" si="0"/>
        <v>2028</v>
      </c>
      <c r="S24" s="2788" t="str">
        <f t="shared" si="0"/>
        <v>2029</v>
      </c>
      <c r="T24" s="2788" t="str">
        <f t="shared" si="0"/>
        <v>2030</v>
      </c>
      <c r="U24" s="2788" t="str">
        <f t="shared" si="0"/>
        <v>2031</v>
      </c>
      <c r="V24" s="2788" t="str">
        <f t="shared" si="0"/>
        <v>2032</v>
      </c>
      <c r="W24" s="2788" t="str">
        <f t="shared" si="0"/>
        <v>2033</v>
      </c>
      <c r="X24" s="2788" t="str">
        <f t="shared" si="0"/>
        <v>2034</v>
      </c>
      <c r="Y24" s="2788" t="str">
        <f t="shared" si="0"/>
        <v>2035</v>
      </c>
      <c r="Z24" s="2788" t="str">
        <f t="shared" si="0"/>
        <v>2036</v>
      </c>
      <c r="AA24" s="2788" t="str">
        <f t="shared" si="0"/>
        <v>2037</v>
      </c>
      <c r="AE24" s="3121">
        <f>CRCP_y1</f>
        <v>2013</v>
      </c>
      <c r="AF24" s="2788">
        <f>CRCP_y2</f>
        <v>2014</v>
      </c>
      <c r="AG24" s="2789">
        <f>CRCP_y3</f>
        <v>2015</v>
      </c>
    </row>
    <row r="25" spans="1:134">
      <c r="A25" s="2771"/>
      <c r="B25" s="3122" t="s">
        <v>1661</v>
      </c>
      <c r="C25" s="3123">
        <v>0</v>
      </c>
      <c r="D25" s="3124">
        <f>SUMPRODUCT('29.3.3 Gas extensions - demand'!F23:F30,'29.4 Gas extensions - tariffs'!F36:F43*IF(D24&gt;="2017",'1. CPI'!S50,1))+('29.4 Gas extensions - tariffs'!F35*(DATEVALUE("31/12/"&amp;D24)-DATEVALUE("31/12/"&amp;C24)))*IF(D24&gt;="2017",'1. CPI'!S50,1)*'29.3.3 Gas extensions - demand'!F22</f>
        <v>0</v>
      </c>
      <c r="E25" s="3124">
        <f>SUMPRODUCT('29.3.3 Gas extensions - demand'!G23:G30,'29.4 Gas extensions - tariffs'!G36:G43*IF(E24&gt;="2017",'1. CPI'!T50,1))+('29.4 Gas extensions - tariffs'!G35*(DATEVALUE("31/12/"&amp;E24)-DATEVALUE("31/12/"&amp;D24)))*IF(E24&gt;="2017",'1. CPI'!T50,1)*'29.3.3 Gas extensions - demand'!G22</f>
        <v>0</v>
      </c>
      <c r="F25" s="3124">
        <f>SUMPRODUCT('29.3.3 Gas extensions - demand'!H23:H30,'29.4 Gas extensions - tariffs'!H36:H43*IF(F24&gt;="2017",'1. CPI'!U50,1))+('29.4 Gas extensions - tariffs'!H35*(DATEVALUE("31/12/"&amp;F24)-DATEVALUE("31/12/"&amp;E24)))*IF(F24&gt;="2017",'1. CPI'!U50,1)*'29.3.3 Gas extensions - demand'!H22</f>
        <v>0</v>
      </c>
      <c r="G25" s="3125">
        <f>SUMPRODUCT('29.3.3 Gas extensions - demand'!I23:I30,'29.4 Gas extensions - tariffs'!I36:I43*IF(G24&gt;="2017",'1. CPI'!V50,1))+('29.4 Gas extensions - tariffs'!I35*(DATEVALUE("31/12/"&amp;G24)-DATEVALUE("31/12/"&amp;F24)))*IF(G24&gt;="2017",'1. CPI'!V50,1)*'29.3.3 Gas extensions - demand'!I22</f>
        <v>34616.463040348761</v>
      </c>
      <c r="H25" s="3126">
        <f>SUMPRODUCT('29.3.3 Gas extensions - demand'!J23:J30,'29.4 Gas extensions - tariffs'!J36:J43*IF(H24&gt;="2017",'1. CPI'!W50,1))+('29.4 Gas extensions - tariffs'!J35*(DATEVALUE("31/12/"&amp;H24)-DATEVALUE("31/12/"&amp;G24)))*IF(H24&gt;="2017",'1. CPI'!W50,1)*'29.3.3 Gas extensions - demand'!J22</f>
        <v>88841.664907093131</v>
      </c>
      <c r="I25" s="3125">
        <f>SUMPRODUCT('29.3.3 Gas extensions - demand'!K23:K30,'29.4 Gas extensions - tariffs'!K36:K43*IF(I24&gt;="2017",'1. CPI'!X50,1))+('29.4 Gas extensions - tariffs'!K35*(DATEVALUE("31/12/"&amp;I24)-DATEVALUE("31/12/"&amp;H24)))*IF(I24&gt;="2017",'1. CPI'!X50,1)*'29.3.3 Gas extensions - demand'!K22</f>
        <v>132224.49130286367</v>
      </c>
      <c r="J25" s="3125">
        <f>SUMPRODUCT('29.3.3 Gas extensions - demand'!L23:L30,'29.4 Gas extensions - tariffs'!L36:L43*IF(J24&gt;="2017",'1. CPI'!Y50,1))+('29.4 Gas extensions - tariffs'!L35*(DATEVALUE("31/12/"&amp;J24)-DATEVALUE("31/12/"&amp;I24)))*IF(J24&gt;="2017",'1. CPI'!Y50,1)*'29.3.3 Gas extensions - demand'!L22</f>
        <v>165688.01571809579</v>
      </c>
      <c r="K25" s="3125">
        <f>SUMPRODUCT('29.3.3 Gas extensions - demand'!M23:M30,'29.4 Gas extensions - tariffs'!M36:M43*IF(K24&gt;="2017",'1. CPI'!Z50,1))+('29.4 Gas extensions - tariffs'!M35*(DATEVALUE("31/12/"&amp;K24)-DATEVALUE("31/12/"&amp;J24)))*IF(K24&gt;="2017",'1. CPI'!Z50,1)*'29.3.3 Gas extensions - demand'!M22</f>
        <v>191664.55929149748</v>
      </c>
      <c r="L25" s="3127">
        <f>SUMPRODUCT('29.3.3 Gas extensions - demand'!N23:N30,'29.4 Gas extensions - tariffs'!N36:N43*IF(L24&gt;="2017",'1. CPI'!AA50,1))+('29.4 Gas extensions - tariffs'!N35*(DATEVALUE("31/12/"&amp;L24)-DATEVALUE("31/12/"&amp;K24)))*IF(L24&gt;="2017",'1. CPI'!AA50,1)*'29.3.3 Gas extensions - demand'!N22</f>
        <v>210306.59962278861</v>
      </c>
      <c r="M25" s="3126">
        <f>SUMPRODUCT('29.3.3 Gas extensions - demand'!O23:O30,'29.4 Gas extensions - tariffs'!O36:O43*IF(M24&gt;="2017",'1. CPI'!AB50,1))+('29.4 Gas extensions - tariffs'!O35*(DATEVALUE("31/12/"&amp;M24)-DATEVALUE("31/12/"&amp;L24)))*IF(M24&gt;="2017",'1. CPI'!AB50,1)*'29.3.3 Gas extensions - demand'!O22</f>
        <v>224153.4316792725</v>
      </c>
      <c r="N25" s="3125">
        <f>SUMPRODUCT('29.3.3 Gas extensions - demand'!P23:P30,'29.4 Gas extensions - tariffs'!P36:P43*IF(N24&gt;="2017",'1. CPI'!AC50,1))+('29.4 Gas extensions - tariffs'!P35*(DATEVALUE("31/12/"&amp;N24)-DATEVALUE("31/12/"&amp;M24)))*IF(N24&gt;="2017",'1. CPI'!AC50,1)*'29.3.3 Gas extensions - demand'!P22</f>
        <v>234799.99559944877</v>
      </c>
      <c r="O25" s="3125">
        <f>SUMPRODUCT('29.3.3 Gas extensions - demand'!Q23:Q30,'29.4 Gas extensions - tariffs'!Q36:Q43*IF(O24&gt;="2017",'1. CPI'!AD50,1))+('29.4 Gas extensions - tariffs'!Q35*(DATEVALUE("31/12/"&amp;O24)-DATEVALUE("31/12/"&amp;N24)))*IF(O24&gt;="2017",'1. CPI'!AD50,1)*'29.3.3 Gas extensions - demand'!Q22</f>
        <v>242447.88626393443</v>
      </c>
      <c r="P25" s="3125">
        <f>SUMPRODUCT('29.3.3 Gas extensions - demand'!R23:R30,'29.4 Gas extensions - tariffs'!R36:R43*IF(P24&gt;="2017",'1. CPI'!AE50,1))+('29.4 Gas extensions - tariffs'!R35*(DATEVALUE("31/12/"&amp;P24)-DATEVALUE("31/12/"&amp;O24)))*IF(P24&gt;="2017",'1. CPI'!AE50,1)*'29.3.3 Gas extensions - demand'!R22</f>
        <v>248328.2466661472</v>
      </c>
      <c r="Q25" s="3125">
        <f>SUMPRODUCT('29.3.3 Gas extensions - demand'!S23:S30,'29.4 Gas extensions - tariffs'!S36:S43*IF(Q24&gt;="2017",'1. CPI'!AF50,1))+('29.4 Gas extensions - tariffs'!S35*(DATEVALUE("31/12/"&amp;Q24)-DATEVALUE("31/12/"&amp;P24)))*IF(Q24&gt;="2017",'1. CPI'!AF50,1)*'29.3.3 Gas extensions - demand'!S22</f>
        <v>252738.51696780673</v>
      </c>
      <c r="R25" s="3125">
        <f>SUMPRODUCT('29.3.3 Gas extensions - demand'!T23:T30,'29.4 Gas extensions - tariffs'!T36:T43*IF(R24&gt;="2017",'1. CPI'!AG50,1))+('29.4 Gas extensions - tariffs'!T35*(DATEVALUE("31/12/"&amp;R24)-DATEVALUE("31/12/"&amp;Q24)))*IF(R24&gt;="2017",'1. CPI'!AG50,1)*'29.3.3 Gas extensions - demand'!T22</f>
        <v>256256.40874785514</v>
      </c>
      <c r="S25" s="3125">
        <f>SUMPRODUCT('29.3.3 Gas extensions - demand'!U23:U30,'29.4 Gas extensions - tariffs'!U36:U43*IF(S24&gt;="2017",'1. CPI'!AH50,1))+('29.4 Gas extensions - tariffs'!U35*(DATEVALUE("31/12/"&amp;S24)-DATEVALUE("31/12/"&amp;R24)))*IF(S24&gt;="2017",'1. CPI'!AH50,1)*'29.3.3 Gas extensions - demand'!U22</f>
        <v>258526.99673873492</v>
      </c>
      <c r="T25" s="3125">
        <f>SUMPRODUCT('29.3.3 Gas extensions - demand'!V23:V30,'29.4 Gas extensions - tariffs'!V36:V43*IF(T24&gt;="2017",'1. CPI'!AI50,1))+('29.4 Gas extensions - tariffs'!V35*(DATEVALUE("31/12/"&amp;T24)-DATEVALUE("31/12/"&amp;S24)))*IF(T24&gt;="2017",'1. CPI'!AI50,1)*'29.3.3 Gas extensions - demand'!V22</f>
        <v>260387.57952224754</v>
      </c>
      <c r="U25" s="3125">
        <f>SUMPRODUCT('29.3.3 Gas extensions - demand'!W23:W30,'29.4 Gas extensions - tariffs'!W36:W43*IF(U24&gt;="2017",'1. CPI'!AJ50,1))+('29.4 Gas extensions - tariffs'!W35*(DATEVALUE("31/12/"&amp;U24)-DATEVALUE("31/12/"&amp;T24)))*IF(U24&gt;="2017",'1. CPI'!AJ50,1)*'29.3.3 Gas extensions - demand'!W22</f>
        <v>261783.016609882</v>
      </c>
      <c r="V25" s="3125">
        <f>SUMPRODUCT('29.3.3 Gas extensions - demand'!X23:X30,'29.4 Gas extensions - tariffs'!X36:X43*IF(V24&gt;="2017",'1. CPI'!AK50,1))+('29.4 Gas extensions - tariffs'!X35*(DATEVALUE("31/12/"&amp;V24)-DATEVALUE("31/12/"&amp;U24)))*IF(V24&gt;="2017",'1. CPI'!AK50,1)*'29.3.3 Gas extensions - demand'!X22</f>
        <v>263045.35197059321</v>
      </c>
      <c r="W25" s="3125">
        <f>SUMPRODUCT('29.3.3 Gas extensions - demand'!Y23:Y30,'29.4 Gas extensions - tariffs'!Y36:Y43*IF(W24&gt;="2017",'1. CPI'!AL50,1))+('29.4 Gas extensions - tariffs'!Y35*(DATEVALUE("31/12/"&amp;W24)-DATEVALUE("31/12/"&amp;V24)))*IF(W24&gt;="2017",'1. CPI'!AL50,1)*'29.3.3 Gas extensions - demand'!Y22</f>
        <v>263614.52778740227</v>
      </c>
      <c r="X25" s="3125">
        <f>SUMPRODUCT('29.3.3 Gas extensions - demand'!Z23:Z30,'29.4 Gas extensions - tariffs'!Z36:Z43*IF(X24&gt;="2017",'1. CPI'!AM50,1))+('29.4 Gas extensions - tariffs'!Z35*(DATEVALUE("31/12/"&amp;X24)-DATEVALUE("31/12/"&amp;W24)))*IF(X24&gt;="2017",'1. CPI'!AM50,1)*'29.3.3 Gas extensions - demand'!Z22</f>
        <v>264203.22780874814</v>
      </c>
      <c r="Y25" s="3125">
        <f>SUMPRODUCT('29.3.3 Gas extensions - demand'!AA23:AA30,'29.4 Gas extensions - tariffs'!AA36:AA43*IF(Y24&gt;="2017",'1. CPI'!AN50,1))+('29.4 Gas extensions - tariffs'!AA35*(DATEVALUE("31/12/"&amp;Y24)-DATEVALUE("31/12/"&amp;X24)))*IF(Y24&gt;="2017",'1. CPI'!AN50,1)*'29.3.3 Gas extensions - demand'!AA22</f>
        <v>264644.75282475748</v>
      </c>
      <c r="Z25" s="3125">
        <f>SUMPRODUCT('29.3.3 Gas extensions - demand'!AB23:AB30,'29.4 Gas extensions - tariffs'!AB36:AB43*IF(Z24&gt;="2017",'1. CPI'!AO50,1))+('29.4 Gas extensions - tariffs'!AB35*(DATEVALUE("31/12/"&amp;Z24)-DATEVALUE("31/12/"&amp;Y24)))*IF(Z24&gt;="2017",'1. CPI'!AO50,1)*'29.3.3 Gas extensions - demand'!AB22</f>
        <v>265193.41603716259</v>
      </c>
      <c r="AA25" s="3127">
        <f>SUMPRODUCT('29.3.3 Gas extensions - demand'!AC23:AC30,'29.4 Gas extensions - tariffs'!AC36:AC43*IF(AA24&gt;="2017",'1. CPI'!AP50,1))+('29.4 Gas extensions - tariffs'!AC35*(DATEVALUE("31/12/"&amp;AA24)-DATEVALUE("31/12/"&amp;Z24)))*IF(AA24&gt;="2017",'1. CPI'!AP50,1)*'29.3.3 Gas extensions - demand'!AC22</f>
        <v>265224.25440826977</v>
      </c>
      <c r="AE25" s="3128"/>
      <c r="AF25" s="3129"/>
      <c r="AG25" s="3130"/>
    </row>
    <row r="26" spans="1:134">
      <c r="A26" s="2771"/>
      <c r="B26" s="3131"/>
      <c r="C26" s="3065"/>
      <c r="D26" s="3064"/>
      <c r="E26" s="3064"/>
      <c r="F26" s="3064"/>
      <c r="G26" s="3064"/>
      <c r="H26" s="3063"/>
      <c r="I26" s="3064"/>
      <c r="J26" s="3064"/>
      <c r="K26" s="3064"/>
      <c r="L26" s="3030"/>
      <c r="M26" s="3063"/>
      <c r="N26" s="3064"/>
      <c r="O26" s="3064"/>
      <c r="P26" s="3064"/>
      <c r="Q26" s="3064"/>
      <c r="R26" s="3064"/>
      <c r="S26" s="3064"/>
      <c r="T26" s="3064"/>
      <c r="U26" s="3064"/>
      <c r="V26" s="3064"/>
      <c r="W26" s="3064"/>
      <c r="X26" s="3064"/>
      <c r="Y26" s="3064"/>
      <c r="Z26" s="3064"/>
      <c r="AA26" s="3030"/>
      <c r="AE26" s="3132"/>
      <c r="AF26" s="3133"/>
      <c r="AG26" s="3134"/>
    </row>
    <row r="27" spans="1:134">
      <c r="A27" s="2771"/>
      <c r="B27" s="3131" t="s">
        <v>1662</v>
      </c>
      <c r="C27" s="3065">
        <v>0</v>
      </c>
      <c r="D27" s="3064">
        <f>SUMPRODUCT('29.3.3 Gas extensions - demand'!F36:F43,'29.4 Gas extensions - tariffs'!F70:F77*IF(D24&gt;="2017",'1. CPI'!S50,1))+('29.4 Gas extensions - tariffs'!F69*(DATEVALUE("31/12/"&amp;D24)-DATEVALUE("31/12/"&amp;C24)))*IF(D24&gt;="2017",'1. CPI'!S50,1)*'29.3.3 Gas extensions - demand'!F35</f>
        <v>0</v>
      </c>
      <c r="E27" s="3064">
        <f>SUMPRODUCT('29.3.3 Gas extensions - demand'!G36:G43,'29.4 Gas extensions - tariffs'!G70:G77*IF(E24&gt;="2017",'1. CPI'!T50,1))+('29.4 Gas extensions - tariffs'!G69*(DATEVALUE("31/12/"&amp;E24)-DATEVALUE("31/12/"&amp;D24)))*IF(E24&gt;="2017",'1. CPI'!T50,1)*'29.3.3 Gas extensions - demand'!G35</f>
        <v>0</v>
      </c>
      <c r="F27" s="3064">
        <f>SUMPRODUCT('29.3.3 Gas extensions - demand'!H36:H43,'29.4 Gas extensions - tariffs'!H70:H77*IF(F24&gt;="2017",'1. CPI'!U50,1))+('29.4 Gas extensions - tariffs'!H69*(DATEVALUE("31/12/"&amp;F24)-DATEVALUE("31/12/"&amp;E24)))*IF(F24&gt;="2017",'1. CPI'!U50,1)*'29.3.3 Gas extensions - demand'!H35</f>
        <v>0</v>
      </c>
      <c r="G27" s="3135">
        <f>SUMPRODUCT('29.3.3 Gas extensions - demand'!I36:I43,'29.4 Gas extensions - tariffs'!I70:I77*IF(G24&gt;="2017",'1. CPI'!V50,1))+('29.4 Gas extensions - tariffs'!I69*(DATEVALUE("31/12/"&amp;G24)-DATEVALUE("31/12/"&amp;F24)))*IF(G24&gt;="2017",'1. CPI'!V50,1)*'29.3.3 Gas extensions - demand'!I35</f>
        <v>2053.0327746649473</v>
      </c>
      <c r="H27" s="3136">
        <f>SUMPRODUCT('29.3.3 Gas extensions - demand'!J36:J43,'29.4 Gas extensions - tariffs'!J70:J77*IF(H24&gt;="2017",'1. CPI'!W50,1))+('29.4 Gas extensions - tariffs'!J69*(DATEVALUE("31/12/"&amp;H24)-DATEVALUE("31/12/"&amp;G24)))*IF(H24&gt;="2017",'1. CPI'!W50,1)*'29.3.3 Gas extensions - demand'!J35</f>
        <v>4928.4249478441134</v>
      </c>
      <c r="I27" s="3135">
        <f>SUMPRODUCT('29.3.3 Gas extensions - demand'!K36:K43,'29.4 Gas extensions - tariffs'!K70:K77*IF(I24&gt;="2017",'1. CPI'!X50,1))+('29.4 Gas extensions - tariffs'!K69*(DATEVALUE("31/12/"&amp;I24)-DATEVALUE("31/12/"&amp;H24)))*IF(I24&gt;="2017",'1. CPI'!X50,1)*'29.3.3 Gas extensions - demand'!K35</f>
        <v>7209.9992324407558</v>
      </c>
      <c r="J27" s="3135">
        <f>SUMPRODUCT('29.3.3 Gas extensions - demand'!L36:L43,'29.4 Gas extensions - tariffs'!L70:L77*IF(J24&gt;="2017",'1. CPI'!Y50,1))+('29.4 Gas extensions - tariffs'!L69*(DATEVALUE("31/12/"&amp;J24)-DATEVALUE("31/12/"&amp;I24)))*IF(J24&gt;="2017",'1. CPI'!Y50,1)*'29.3.3 Gas extensions - demand'!L35</f>
        <v>9162.2901673668348</v>
      </c>
      <c r="K27" s="3135">
        <f>SUMPRODUCT('29.3.3 Gas extensions - demand'!M36:M43,'29.4 Gas extensions - tariffs'!M70:M77*IF(K24&gt;="2017",'1. CPI'!Z50,1))+('29.4 Gas extensions - tariffs'!M69*(DATEVALUE("31/12/"&amp;K24)-DATEVALUE("31/12/"&amp;J24)))*IF(K24&gt;="2017",'1. CPI'!Z50,1)*'29.3.3 Gas extensions - demand'!M35</f>
        <v>10581.295077060622</v>
      </c>
      <c r="L27" s="3137">
        <f>SUMPRODUCT('29.3.3 Gas extensions - demand'!N36:N43,'29.4 Gas extensions - tariffs'!N70:N77*IF(L24&gt;="2017",'1. CPI'!AA50,1))+('29.4 Gas extensions - tariffs'!N69*(DATEVALUE("31/12/"&amp;L24)-DATEVALUE("31/12/"&amp;K24)))*IF(L24&gt;="2017",'1. CPI'!AA50,1)*'29.3.3 Gas extensions - demand'!N35</f>
        <v>11535.269874393747</v>
      </c>
      <c r="M27" s="3136">
        <f>SUMPRODUCT('29.3.3 Gas extensions - demand'!O36:O43,'29.4 Gas extensions - tariffs'!O70:O77*IF(M24&gt;="2017",'1. CPI'!AB50,1))+('29.4 Gas extensions - tariffs'!O69*(DATEVALUE("31/12/"&amp;M24)-DATEVALUE("31/12/"&amp;L24)))*IF(M24&gt;="2017",'1. CPI'!AB50,1)*'29.3.3 Gas extensions - demand'!O35</f>
        <v>11967.109433703203</v>
      </c>
      <c r="N27" s="3135">
        <f>SUMPRODUCT('29.3.3 Gas extensions - demand'!P36:P43,'29.4 Gas extensions - tariffs'!P70:P77*IF(N24&gt;="2017",'1. CPI'!AC50,1))+('29.4 Gas extensions - tariffs'!P69*(DATEVALUE("31/12/"&amp;N24)-DATEVALUE("31/12/"&amp;M24)))*IF(N24&gt;="2017",'1. CPI'!AC50,1)*'29.3.3 Gas extensions - demand'!P35</f>
        <v>11969.308221256682</v>
      </c>
      <c r="O27" s="3135">
        <f>SUMPRODUCT('29.3.3 Gas extensions - demand'!Q36:Q43,'29.4 Gas extensions - tariffs'!Q70:Q77*IF(O24&gt;="2017",'1. CPI'!AD50,1))+('29.4 Gas extensions - tariffs'!Q69*(DATEVALUE("31/12/"&amp;O24)-DATEVALUE("31/12/"&amp;N24)))*IF(O24&gt;="2017",'1. CPI'!AD50,1)*'29.3.3 Gas extensions - demand'!Q35</f>
        <v>11967.109433703205</v>
      </c>
      <c r="P27" s="3135">
        <f>SUMPRODUCT('29.3.3 Gas extensions - demand'!R36:R43,'29.4 Gas extensions - tariffs'!R70:R77*IF(P24&gt;="2017",'1. CPI'!AE50,1))+('29.4 Gas extensions - tariffs'!R69*(DATEVALUE("31/12/"&amp;P24)-DATEVALUE("31/12/"&amp;O24)))*IF(P24&gt;="2017",'1. CPI'!AE50,1)*'29.3.3 Gas extensions - demand'!R35</f>
        <v>11967.109433703203</v>
      </c>
      <c r="Q27" s="3135">
        <f>SUMPRODUCT('29.3.3 Gas extensions - demand'!S36:S43,'29.4 Gas extensions - tariffs'!S70:S77*IF(Q24&gt;="2017",'1. CPI'!AF50,1))+('29.4 Gas extensions - tariffs'!S69*(DATEVALUE("31/12/"&amp;Q24)-DATEVALUE("31/12/"&amp;P24)))*IF(Q24&gt;="2017",'1. CPI'!AF50,1)*'29.3.3 Gas extensions - demand'!S35</f>
        <v>11967.109433703203</v>
      </c>
      <c r="R27" s="3135">
        <f>SUMPRODUCT('29.3.3 Gas extensions - demand'!T36:T43,'29.4 Gas extensions - tariffs'!T70:T77*IF(R24&gt;="2017",'1. CPI'!AG50,1))+('29.4 Gas extensions - tariffs'!T69*(DATEVALUE("31/12/"&amp;R24)-DATEVALUE("31/12/"&amp;Q24)))*IF(R24&gt;="2017",'1. CPI'!AG50,1)*'29.3.3 Gas extensions - demand'!T35</f>
        <v>11969.308221256682</v>
      </c>
      <c r="S27" s="3135">
        <f>SUMPRODUCT('29.3.3 Gas extensions - demand'!U36:U43,'29.4 Gas extensions - tariffs'!U70:U77*IF(S24&gt;="2017",'1. CPI'!AH50,1))+('29.4 Gas extensions - tariffs'!U69*(DATEVALUE("31/12/"&amp;S24)-DATEVALUE("31/12/"&amp;R24)))*IF(S24&gt;="2017",'1. CPI'!AH50,1)*'29.3.3 Gas extensions - demand'!U35</f>
        <v>11967.109433703203</v>
      </c>
      <c r="T27" s="3135">
        <f>SUMPRODUCT('29.3.3 Gas extensions - demand'!V36:V43,'29.4 Gas extensions - tariffs'!V70:V77*IF(T24&gt;="2017",'1. CPI'!AI50,1))+('29.4 Gas extensions - tariffs'!V69*(DATEVALUE("31/12/"&amp;T24)-DATEVALUE("31/12/"&amp;S24)))*IF(T24&gt;="2017",'1. CPI'!AI50,1)*'29.3.3 Gas extensions - demand'!V35</f>
        <v>11967.109433703203</v>
      </c>
      <c r="U27" s="3135">
        <f>SUMPRODUCT('29.3.3 Gas extensions - demand'!W36:W43,'29.4 Gas extensions - tariffs'!W70:W77*IF(U24&gt;="2017",'1. CPI'!AJ50,1))+('29.4 Gas extensions - tariffs'!W69*(DATEVALUE("31/12/"&amp;U24)-DATEVALUE("31/12/"&amp;T24)))*IF(U24&gt;="2017",'1. CPI'!AJ50,1)*'29.3.3 Gas extensions - demand'!W35</f>
        <v>11967.109433703203</v>
      </c>
      <c r="V27" s="3135">
        <f>SUMPRODUCT('29.3.3 Gas extensions - demand'!X36:X43,'29.4 Gas extensions - tariffs'!X70:X77*IF(V24&gt;="2017",'1. CPI'!AK50,1))+('29.4 Gas extensions - tariffs'!X69*(DATEVALUE("31/12/"&amp;V24)-DATEVALUE("31/12/"&amp;U24)))*IF(V24&gt;="2017",'1. CPI'!AK50,1)*'29.3.3 Gas extensions - demand'!X35</f>
        <v>11969.308221256684</v>
      </c>
      <c r="W27" s="3135">
        <f>SUMPRODUCT('29.3.3 Gas extensions - demand'!Y36:Y43,'29.4 Gas extensions - tariffs'!Y70:Y77*IF(W24&gt;="2017",'1. CPI'!AL50,1))+('29.4 Gas extensions - tariffs'!Y69*(DATEVALUE("31/12/"&amp;W24)-DATEVALUE("31/12/"&amp;V24)))*IF(W24&gt;="2017",'1. CPI'!AL50,1)*'29.3.3 Gas extensions - demand'!Y35</f>
        <v>11967.109433703203</v>
      </c>
      <c r="X27" s="3135">
        <f>SUMPRODUCT('29.3.3 Gas extensions - demand'!Z36:Z43,'29.4 Gas extensions - tariffs'!Z70:Z77*IF(X24&gt;="2017",'1. CPI'!AM50,1))+('29.4 Gas extensions - tariffs'!Z69*(DATEVALUE("31/12/"&amp;X24)-DATEVALUE("31/12/"&amp;W24)))*IF(X24&gt;="2017",'1. CPI'!AM50,1)*'29.3.3 Gas extensions - demand'!Z35</f>
        <v>11967.109433703205</v>
      </c>
      <c r="Y27" s="3135">
        <f>SUMPRODUCT('29.3.3 Gas extensions - demand'!AA36:AA43,'29.4 Gas extensions - tariffs'!AA70:AA77*IF(Y24&gt;="2017",'1. CPI'!AN50,1))+('29.4 Gas extensions - tariffs'!AA69*(DATEVALUE("31/12/"&amp;Y24)-DATEVALUE("31/12/"&amp;X24)))*IF(Y24&gt;="2017",'1. CPI'!AN50,1)*'29.3.3 Gas extensions - demand'!AA35</f>
        <v>11967.109433703203</v>
      </c>
      <c r="Z27" s="3135">
        <f>SUMPRODUCT('29.3.3 Gas extensions - demand'!AB36:AB43,'29.4 Gas extensions - tariffs'!AB70:AB77*IF(Z24&gt;="2017",'1. CPI'!AO50,1))+('29.4 Gas extensions - tariffs'!AB69*(DATEVALUE("31/12/"&amp;Z24)-DATEVALUE("31/12/"&amp;Y24)))*IF(Z24&gt;="2017",'1. CPI'!AO50,1)*'29.3.3 Gas extensions - demand'!AB35</f>
        <v>11969.308221256684</v>
      </c>
      <c r="AA27" s="3137">
        <f>SUMPRODUCT('29.3.3 Gas extensions - demand'!AC36:AC43,'29.4 Gas extensions - tariffs'!AC70:AC77*IF(AA24&gt;="2017",'1. CPI'!AP50,1))+('29.4 Gas extensions - tariffs'!AC69*(DATEVALUE("31/12/"&amp;AA24)-DATEVALUE("31/12/"&amp;Z24)))*IF(AA24&gt;="2017",'1. CPI'!AP50,1)*'29.3.3 Gas extensions - demand'!AC35</f>
        <v>11967.109433703205</v>
      </c>
      <c r="AE27" s="3132"/>
      <c r="AF27" s="3133"/>
      <c r="AG27" s="3134"/>
    </row>
    <row r="28" spans="1:134">
      <c r="A28" s="2771"/>
      <c r="B28" s="3138"/>
      <c r="C28" s="3139"/>
      <c r="D28" s="3140"/>
      <c r="E28" s="3140"/>
      <c r="F28" s="3140"/>
      <c r="G28" s="3140"/>
      <c r="H28" s="3141"/>
      <c r="I28" s="3140"/>
      <c r="J28" s="3140"/>
      <c r="K28" s="3140"/>
      <c r="L28" s="3142"/>
      <c r="M28" s="3141"/>
      <c r="N28" s="3140"/>
      <c r="O28" s="3140"/>
      <c r="P28" s="3140"/>
      <c r="Q28" s="3140"/>
      <c r="R28" s="3140"/>
      <c r="S28" s="3140"/>
      <c r="T28" s="3140"/>
      <c r="U28" s="3140"/>
      <c r="V28" s="3140"/>
      <c r="W28" s="3140"/>
      <c r="X28" s="3140"/>
      <c r="Y28" s="3140"/>
      <c r="Z28" s="3140"/>
      <c r="AA28" s="3142"/>
      <c r="AE28" s="3143"/>
      <c r="AF28" s="3144"/>
      <c r="AG28" s="3145"/>
    </row>
    <row r="29" spans="1:134">
      <c r="A29" s="2771"/>
      <c r="B29" s="3146"/>
      <c r="C29" s="3147"/>
      <c r="D29" s="3148"/>
      <c r="E29" s="3148"/>
      <c r="F29" s="3148"/>
      <c r="G29" s="3148"/>
      <c r="H29" s="3104"/>
      <c r="I29" s="3148"/>
      <c r="J29" s="3148"/>
      <c r="K29" s="3148"/>
      <c r="L29" s="3149"/>
      <c r="M29" s="3104"/>
      <c r="N29" s="3148"/>
      <c r="O29" s="3148"/>
      <c r="P29" s="3148"/>
      <c r="Q29" s="3148"/>
      <c r="R29" s="3148"/>
      <c r="S29" s="3148"/>
      <c r="T29" s="3148"/>
      <c r="U29" s="3148"/>
      <c r="V29" s="3148"/>
      <c r="W29" s="3148"/>
      <c r="X29" s="3148"/>
      <c r="Y29" s="3148"/>
      <c r="Z29" s="3148"/>
      <c r="AA29" s="3149"/>
      <c r="AE29" s="3150"/>
      <c r="AF29" s="3151"/>
      <c r="AG29" s="3152"/>
    </row>
    <row r="30" spans="1:134">
      <c r="A30" s="2771"/>
      <c r="B30" s="3131"/>
      <c r="C30" s="3065"/>
      <c r="D30" s="3064"/>
      <c r="E30" s="3064"/>
      <c r="F30" s="3064"/>
      <c r="G30" s="3064"/>
      <c r="H30" s="3063"/>
      <c r="I30" s="3064"/>
      <c r="J30" s="3064"/>
      <c r="K30" s="3064"/>
      <c r="L30" s="3030"/>
      <c r="M30" s="3063"/>
      <c r="N30" s="3064"/>
      <c r="O30" s="3064"/>
      <c r="P30" s="3064"/>
      <c r="Q30" s="3064"/>
      <c r="R30" s="3064"/>
      <c r="S30" s="3064"/>
      <c r="T30" s="3064"/>
      <c r="U30" s="3064"/>
      <c r="V30" s="3064"/>
      <c r="W30" s="3064"/>
      <c r="X30" s="3064"/>
      <c r="Y30" s="3064"/>
      <c r="Z30" s="3064"/>
      <c r="AA30" s="3030"/>
      <c r="AE30" s="3132"/>
      <c r="AF30" s="3133"/>
      <c r="AG30" s="3134"/>
    </row>
    <row r="31" spans="1:134">
      <c r="A31" s="2771"/>
      <c r="B31" s="3131"/>
      <c r="C31" s="3065"/>
      <c r="D31" s="3064"/>
      <c r="E31" s="3064"/>
      <c r="F31" s="3064"/>
      <c r="G31" s="3064"/>
      <c r="H31" s="3063"/>
      <c r="I31" s="3064"/>
      <c r="J31" s="3064"/>
      <c r="K31" s="3064"/>
      <c r="L31" s="3030"/>
      <c r="M31" s="3063"/>
      <c r="N31" s="3064"/>
      <c r="O31" s="3064"/>
      <c r="P31" s="3064"/>
      <c r="Q31" s="3064"/>
      <c r="R31" s="3064"/>
      <c r="S31" s="3064"/>
      <c r="T31" s="3064"/>
      <c r="U31" s="3064"/>
      <c r="V31" s="3064"/>
      <c r="W31" s="3064"/>
      <c r="X31" s="3064"/>
      <c r="Y31" s="3064"/>
      <c r="Z31" s="3064"/>
      <c r="AA31" s="3030"/>
      <c r="AE31" s="3132"/>
      <c r="AF31" s="3133"/>
      <c r="AG31" s="3134"/>
    </row>
    <row r="32" spans="1:134">
      <c r="A32" s="2771"/>
      <c r="B32" s="3138"/>
      <c r="C32" s="3139"/>
      <c r="D32" s="3140"/>
      <c r="E32" s="3140"/>
      <c r="F32" s="3140"/>
      <c r="G32" s="3140"/>
      <c r="H32" s="3141"/>
      <c r="I32" s="3140"/>
      <c r="J32" s="3140"/>
      <c r="K32" s="3140"/>
      <c r="L32" s="3142"/>
      <c r="M32" s="3141"/>
      <c r="N32" s="3140"/>
      <c r="O32" s="3140"/>
      <c r="P32" s="3140"/>
      <c r="Q32" s="3140"/>
      <c r="R32" s="3140"/>
      <c r="S32" s="3140"/>
      <c r="T32" s="3140"/>
      <c r="U32" s="3140"/>
      <c r="V32" s="3140"/>
      <c r="W32" s="3140"/>
      <c r="X32" s="3140"/>
      <c r="Y32" s="3140"/>
      <c r="Z32" s="3140"/>
      <c r="AA32" s="3142"/>
      <c r="AE32" s="3143"/>
      <c r="AF32" s="3144"/>
      <c r="AG32" s="3145"/>
    </row>
    <row r="33" spans="1:134">
      <c r="A33" s="2771"/>
      <c r="B33" s="3153" t="s">
        <v>631</v>
      </c>
      <c r="C33" s="3154"/>
      <c r="D33" s="3155"/>
      <c r="E33" s="3155"/>
      <c r="F33" s="3155"/>
      <c r="G33" s="3155"/>
      <c r="H33" s="3156"/>
      <c r="I33" s="3155"/>
      <c r="J33" s="3155"/>
      <c r="K33" s="3155"/>
      <c r="L33" s="3157"/>
      <c r="M33" s="3156"/>
      <c r="N33" s="3155"/>
      <c r="O33" s="3155"/>
      <c r="P33" s="3155"/>
      <c r="Q33" s="3155"/>
      <c r="R33" s="3155"/>
      <c r="S33" s="3155"/>
      <c r="T33" s="3155"/>
      <c r="U33" s="3155"/>
      <c r="V33" s="3155"/>
      <c r="W33" s="3155"/>
      <c r="X33" s="3155"/>
      <c r="Y33" s="3155"/>
      <c r="Z33" s="3155"/>
      <c r="AA33" s="3157"/>
      <c r="AE33" s="3158"/>
      <c r="AF33" s="3159"/>
      <c r="AG33" s="3160"/>
    </row>
    <row r="34" spans="1:134">
      <c r="A34" s="2771"/>
      <c r="B34" s="3161" t="s">
        <v>208</v>
      </c>
      <c r="C34" s="3162">
        <f>SUM(C25:C33)</f>
        <v>0</v>
      </c>
      <c r="D34" s="3163">
        <f t="shared" ref="D34:AA34" si="1">SUM(D25:D33)</f>
        <v>0</v>
      </c>
      <c r="E34" s="3163">
        <f t="shared" si="1"/>
        <v>0</v>
      </c>
      <c r="F34" s="3163">
        <f t="shared" si="1"/>
        <v>0</v>
      </c>
      <c r="G34" s="3163">
        <f t="shared" si="1"/>
        <v>36669.49581501371</v>
      </c>
      <c r="H34" s="3162">
        <f t="shared" si="1"/>
        <v>93770.08985493725</v>
      </c>
      <c r="I34" s="3163">
        <f t="shared" si="1"/>
        <v>139434.49053530442</v>
      </c>
      <c r="J34" s="3163">
        <f t="shared" si="1"/>
        <v>174850.30588546261</v>
      </c>
      <c r="K34" s="3163">
        <f t="shared" si="1"/>
        <v>202245.8543685581</v>
      </c>
      <c r="L34" s="3164">
        <f t="shared" si="1"/>
        <v>221841.86949718234</v>
      </c>
      <c r="M34" s="3162">
        <f t="shared" si="1"/>
        <v>236120.54111297571</v>
      </c>
      <c r="N34" s="3163">
        <f t="shared" si="1"/>
        <v>246769.30382070545</v>
      </c>
      <c r="O34" s="3163">
        <f t="shared" si="1"/>
        <v>254414.99569763764</v>
      </c>
      <c r="P34" s="3163">
        <f t="shared" si="1"/>
        <v>260295.35609985041</v>
      </c>
      <c r="Q34" s="3163">
        <f t="shared" si="1"/>
        <v>264705.62640150992</v>
      </c>
      <c r="R34" s="3163">
        <f t="shared" si="1"/>
        <v>268225.71696911182</v>
      </c>
      <c r="S34" s="3163">
        <f t="shared" si="1"/>
        <v>270494.10617243813</v>
      </c>
      <c r="T34" s="3163">
        <f t="shared" si="1"/>
        <v>272354.68895595073</v>
      </c>
      <c r="U34" s="3163">
        <f t="shared" si="1"/>
        <v>273750.12604358519</v>
      </c>
      <c r="V34" s="3163">
        <f t="shared" si="1"/>
        <v>275014.66019184992</v>
      </c>
      <c r="W34" s="3163">
        <f t="shared" si="1"/>
        <v>275581.63722110545</v>
      </c>
      <c r="X34" s="3163">
        <f t="shared" si="1"/>
        <v>276170.33724245132</v>
      </c>
      <c r="Y34" s="3163">
        <f t="shared" si="1"/>
        <v>276611.86225846066</v>
      </c>
      <c r="Z34" s="3163">
        <f t="shared" si="1"/>
        <v>277162.7242584193</v>
      </c>
      <c r="AA34" s="3164">
        <f t="shared" si="1"/>
        <v>277191.36384197295</v>
      </c>
      <c r="AE34" s="3162">
        <f t="shared" ref="AE34:AG34" si="2">SUM(AE29:AE33)</f>
        <v>0</v>
      </c>
      <c r="AF34" s="3163">
        <f t="shared" si="2"/>
        <v>0</v>
      </c>
      <c r="AG34" s="3164">
        <f t="shared" si="2"/>
        <v>0</v>
      </c>
    </row>
    <row r="35" spans="1:134" ht="18.75" customHeight="1" thickBot="1">
      <c r="A35" s="2771"/>
      <c r="B35" s="3165" t="s">
        <v>209</v>
      </c>
      <c r="C35" s="3166"/>
      <c r="D35" s="3167"/>
      <c r="E35" s="3167"/>
      <c r="F35" s="3167"/>
      <c r="G35" s="3167"/>
      <c r="H35" s="3166"/>
      <c r="I35" s="3167"/>
      <c r="J35" s="3167"/>
      <c r="K35" s="3167"/>
      <c r="L35" s="3168"/>
      <c r="M35" s="3166"/>
      <c r="N35" s="3167"/>
      <c r="O35" s="3167"/>
      <c r="P35" s="3167"/>
      <c r="Q35" s="3167"/>
      <c r="R35" s="3167"/>
      <c r="S35" s="3167"/>
      <c r="T35" s="3167"/>
      <c r="U35" s="3167"/>
      <c r="V35" s="3167"/>
      <c r="W35" s="3167"/>
      <c r="X35" s="3167"/>
      <c r="Y35" s="3167"/>
      <c r="Z35" s="3167"/>
      <c r="AA35" s="3168"/>
      <c r="AE35" s="3169"/>
      <c r="AF35" s="3170"/>
      <c r="AG35" s="3171"/>
    </row>
    <row r="36" spans="1:134" ht="36" customHeight="1" thickBot="1">
      <c r="A36" s="2771"/>
      <c r="B36" s="3172" t="s">
        <v>121</v>
      </c>
      <c r="C36" s="3937" t="s">
        <v>2111</v>
      </c>
      <c r="D36" s="3938"/>
      <c r="E36" s="3938"/>
      <c r="F36" s="3938"/>
      <c r="G36" s="3938"/>
      <c r="H36" s="3173"/>
      <c r="I36" s="3173"/>
      <c r="J36" s="3173"/>
      <c r="K36" s="3173"/>
      <c r="L36" s="3173"/>
      <c r="M36" s="3173"/>
      <c r="N36" s="3173"/>
      <c r="O36" s="3173"/>
      <c r="P36" s="3173"/>
      <c r="Q36" s="3173"/>
      <c r="R36" s="3173"/>
      <c r="S36" s="3173"/>
      <c r="T36" s="3173"/>
      <c r="U36" s="3173"/>
      <c r="V36" s="3173"/>
      <c r="W36" s="3173"/>
      <c r="X36" s="3173"/>
      <c r="Y36" s="3173"/>
      <c r="Z36" s="3173"/>
      <c r="AA36" s="3174"/>
      <c r="AE36" s="3175"/>
      <c r="AF36" s="3176"/>
      <c r="AG36" s="3177"/>
    </row>
    <row r="37" spans="1:134" ht="45" customHeight="1" thickBot="1">
      <c r="A37" s="2771"/>
      <c r="B37" s="3178"/>
      <c r="C37" s="2771"/>
      <c r="D37" s="2771"/>
      <c r="E37" s="2771"/>
      <c r="F37" s="2771"/>
      <c r="G37" s="2771"/>
      <c r="H37" s="2771"/>
      <c r="I37" s="2771"/>
      <c r="J37" s="2771"/>
      <c r="K37" s="2771"/>
      <c r="L37" s="2771"/>
      <c r="M37" s="2771"/>
      <c r="N37" s="2771"/>
      <c r="O37" s="2771"/>
      <c r="P37" s="2771"/>
      <c r="Q37" s="2771"/>
      <c r="R37" s="2771"/>
      <c r="S37" s="2771"/>
      <c r="T37" s="2771"/>
      <c r="U37" s="2771"/>
      <c r="V37" s="2771"/>
      <c r="W37" s="2771"/>
      <c r="X37" s="2771"/>
      <c r="Y37" s="2771"/>
      <c r="Z37" s="2771"/>
      <c r="AA37" s="2771"/>
      <c r="AE37" s="2771"/>
      <c r="AF37" s="2771"/>
      <c r="AG37" s="2771"/>
    </row>
    <row r="38" spans="1:134" s="3019" customFormat="1" ht="18.75" customHeight="1" thickBot="1">
      <c r="A38" s="3013"/>
      <c r="B38" s="2783" t="s">
        <v>472</v>
      </c>
      <c r="C38" s="2784"/>
      <c r="D38" s="2784"/>
      <c r="E38" s="2784"/>
      <c r="F38" s="2784"/>
      <c r="G38" s="2784"/>
      <c r="H38" s="2784"/>
      <c r="I38" s="2784"/>
      <c r="J38" s="2784"/>
      <c r="K38" s="2784"/>
      <c r="L38" s="2784"/>
      <c r="M38" s="2784"/>
      <c r="N38" s="2784"/>
      <c r="O38" s="2784"/>
      <c r="P38" s="2784"/>
      <c r="Q38" s="2784"/>
      <c r="R38" s="2784"/>
      <c r="S38" s="2784"/>
      <c r="T38" s="2784"/>
      <c r="U38" s="2784"/>
      <c r="V38" s="2784"/>
      <c r="W38" s="2784"/>
      <c r="X38" s="2784"/>
      <c r="Y38" s="2784"/>
      <c r="Z38" s="2784"/>
      <c r="AA38" s="2785"/>
      <c r="AB38" s="2524"/>
      <c r="AC38" s="2524"/>
      <c r="AD38" s="2524"/>
      <c r="AE38" s="2783"/>
      <c r="AF38" s="2784"/>
      <c r="AG38" s="2785"/>
      <c r="DE38" s="2524"/>
      <c r="DF38" s="2524"/>
      <c r="DG38" s="2524"/>
      <c r="DH38" s="2524"/>
      <c r="DI38" s="2524"/>
      <c r="DJ38" s="2524"/>
      <c r="DK38" s="2524"/>
      <c r="DL38" s="2524"/>
      <c r="DM38" s="2524"/>
      <c r="DN38" s="2524"/>
      <c r="DO38" s="2524"/>
      <c r="DP38" s="2524"/>
      <c r="DQ38" s="2524"/>
      <c r="DR38" s="2524"/>
      <c r="DS38" s="2524"/>
      <c r="DT38" s="2524"/>
      <c r="DU38" s="2524"/>
      <c r="DV38" s="2524"/>
      <c r="DW38" s="2524"/>
      <c r="DX38" s="2524"/>
      <c r="DY38" s="2524"/>
      <c r="DZ38" s="2524"/>
      <c r="EA38" s="2524"/>
      <c r="EB38" s="2524"/>
      <c r="EC38" s="2524"/>
      <c r="ED38" s="2524"/>
    </row>
    <row r="39" spans="1:134" ht="20.25" customHeight="1">
      <c r="A39" s="2771"/>
      <c r="B39" s="4552"/>
      <c r="C39" s="4554" t="s">
        <v>37</v>
      </c>
      <c r="D39" s="4555"/>
      <c r="E39" s="4555"/>
      <c r="F39" s="4555"/>
      <c r="G39" s="4555"/>
      <c r="H39" s="4562" t="s">
        <v>73</v>
      </c>
      <c r="I39" s="4562"/>
      <c r="J39" s="4562"/>
      <c r="K39" s="4562"/>
      <c r="L39" s="4562"/>
      <c r="M39" s="4563" t="s">
        <v>249</v>
      </c>
      <c r="N39" s="4563"/>
      <c r="O39" s="4563"/>
      <c r="P39" s="4563"/>
      <c r="Q39" s="4563"/>
      <c r="R39" s="4563"/>
      <c r="S39" s="4563"/>
      <c r="T39" s="4563"/>
      <c r="U39" s="4563"/>
      <c r="V39" s="4563"/>
      <c r="W39" s="4563"/>
      <c r="X39" s="4563"/>
      <c r="Y39" s="4563"/>
      <c r="Z39" s="4563"/>
      <c r="AA39" s="4564"/>
      <c r="AE39" s="4565" t="s">
        <v>37</v>
      </c>
      <c r="AF39" s="4566"/>
      <c r="AG39" s="4567"/>
    </row>
    <row r="40" spans="1:134" ht="20.25" customHeight="1">
      <c r="B40" s="4553"/>
      <c r="C40" s="4556" t="s">
        <v>543</v>
      </c>
      <c r="D40" s="4557"/>
      <c r="E40" s="4558"/>
      <c r="F40" s="4559" t="str">
        <f>CONCATENATE("$0's, real ",dms_DollarReal)</f>
        <v>$0's, real December 2017</v>
      </c>
      <c r="G40" s="4560"/>
      <c r="H40" s="4560"/>
      <c r="I40" s="4560"/>
      <c r="J40" s="4560"/>
      <c r="K40" s="4560"/>
      <c r="L40" s="4560"/>
      <c r="M40" s="4560"/>
      <c r="N40" s="4560"/>
      <c r="O40" s="4560"/>
      <c r="P40" s="4560"/>
      <c r="Q40" s="4560"/>
      <c r="R40" s="4560"/>
      <c r="S40" s="4560"/>
      <c r="T40" s="4560"/>
      <c r="U40" s="4560"/>
      <c r="V40" s="4560"/>
      <c r="W40" s="4560"/>
      <c r="X40" s="4560"/>
      <c r="Y40" s="4560"/>
      <c r="Z40" s="4560"/>
      <c r="AA40" s="4561"/>
      <c r="AE40" s="4556" t="str">
        <f>CONCATENATE("$0's, real ",dms_DollarReal)</f>
        <v>$0's, real December 2017</v>
      </c>
      <c r="AF40" s="4557"/>
      <c r="AG40" s="4568"/>
    </row>
    <row r="41" spans="1:134" ht="20.25" customHeight="1">
      <c r="B41" s="4553"/>
      <c r="C41" s="4556" t="s">
        <v>54</v>
      </c>
      <c r="D41" s="4557"/>
      <c r="E41" s="4558"/>
      <c r="F41" s="4559" t="s">
        <v>377</v>
      </c>
      <c r="G41" s="4560"/>
      <c r="H41" s="4560"/>
      <c r="I41" s="4560"/>
      <c r="J41" s="4560"/>
      <c r="K41" s="4560"/>
      <c r="L41" s="4560"/>
      <c r="M41" s="4560"/>
      <c r="N41" s="4560"/>
      <c r="O41" s="4560"/>
      <c r="P41" s="4560"/>
      <c r="Q41" s="4560"/>
      <c r="R41" s="4560"/>
      <c r="S41" s="4560"/>
      <c r="T41" s="4560"/>
      <c r="U41" s="4560"/>
      <c r="V41" s="4560"/>
      <c r="W41" s="4560"/>
      <c r="X41" s="4560"/>
      <c r="Y41" s="4560"/>
      <c r="Z41" s="4560"/>
      <c r="AA41" s="4561"/>
      <c r="AE41" s="4556" t="s">
        <v>54</v>
      </c>
      <c r="AF41" s="4557"/>
      <c r="AG41" s="4568"/>
    </row>
    <row r="42" spans="1:134" ht="20.25" customHeight="1" thickBot="1">
      <c r="B42" s="4569"/>
      <c r="C42" s="2788">
        <f>CRCP_y1</f>
        <v>2013</v>
      </c>
      <c r="D42" s="2788">
        <f>CRCP_y2</f>
        <v>2014</v>
      </c>
      <c r="E42" s="2788">
        <f>CRCP_y3</f>
        <v>2015</v>
      </c>
      <c r="F42" s="2788">
        <f>CRCP_y4</f>
        <v>2016</v>
      </c>
      <c r="G42" s="2788">
        <f>CRCP_y5</f>
        <v>2017</v>
      </c>
      <c r="H42" s="3120" t="str">
        <f>CONCATENATE(IF(dms_RPT="Calendar",G42+1,(LEFT(G42,4)+1&amp;"-"&amp;IF(MID(G42,6,2)&lt;"09","0"&amp;RIGHT(G42,1)+1,RIGHT(G42,2)+1))))</f>
        <v>2018</v>
      </c>
      <c r="I42" s="3120" t="str">
        <f t="shared" ref="I42:AA42" si="3">CONCATENATE(IF(dms_RPT="Calendar",H42+1,(LEFT(H42,4)+1&amp;"-"&amp;IF(MID(H42,6,2)&lt;"09","0"&amp;RIGHT(H42,1)+1,RIGHT(H42,2)+1))))</f>
        <v>2019</v>
      </c>
      <c r="J42" s="3120" t="str">
        <f t="shared" si="3"/>
        <v>2020</v>
      </c>
      <c r="K42" s="3120" t="str">
        <f t="shared" si="3"/>
        <v>2021</v>
      </c>
      <c r="L42" s="3120" t="str">
        <f t="shared" si="3"/>
        <v>2022</v>
      </c>
      <c r="M42" s="2788" t="str">
        <f t="shared" si="3"/>
        <v>2023</v>
      </c>
      <c r="N42" s="2788" t="str">
        <f t="shared" si="3"/>
        <v>2024</v>
      </c>
      <c r="O42" s="2788" t="str">
        <f t="shared" si="3"/>
        <v>2025</v>
      </c>
      <c r="P42" s="2788" t="str">
        <f t="shared" si="3"/>
        <v>2026</v>
      </c>
      <c r="Q42" s="2788" t="str">
        <f t="shared" si="3"/>
        <v>2027</v>
      </c>
      <c r="R42" s="2788" t="str">
        <f t="shared" si="3"/>
        <v>2028</v>
      </c>
      <c r="S42" s="2788" t="str">
        <f t="shared" si="3"/>
        <v>2029</v>
      </c>
      <c r="T42" s="2788" t="str">
        <f t="shared" si="3"/>
        <v>2030</v>
      </c>
      <c r="U42" s="2788" t="str">
        <f t="shared" si="3"/>
        <v>2031</v>
      </c>
      <c r="V42" s="2788" t="str">
        <f t="shared" si="3"/>
        <v>2032</v>
      </c>
      <c r="W42" s="2788" t="str">
        <f t="shared" si="3"/>
        <v>2033</v>
      </c>
      <c r="X42" s="2788" t="str">
        <f t="shared" si="3"/>
        <v>2034</v>
      </c>
      <c r="Y42" s="2788" t="str">
        <f t="shared" si="3"/>
        <v>2035</v>
      </c>
      <c r="Z42" s="2788" t="str">
        <f t="shared" si="3"/>
        <v>2036</v>
      </c>
      <c r="AA42" s="2788" t="str">
        <f t="shared" si="3"/>
        <v>2037</v>
      </c>
      <c r="AE42" s="3121">
        <f>CRCP_y1</f>
        <v>2013</v>
      </c>
      <c r="AF42" s="2788">
        <f>CRCP_y2</f>
        <v>2014</v>
      </c>
      <c r="AG42" s="2789">
        <f>CRCP_y3</f>
        <v>2015</v>
      </c>
    </row>
    <row r="43" spans="1:134" ht="18" customHeight="1">
      <c r="A43" s="2771"/>
      <c r="B43" s="3179" t="s">
        <v>250</v>
      </c>
      <c r="C43" s="3180">
        <v>0</v>
      </c>
      <c r="D43" s="3181">
        <v>0</v>
      </c>
      <c r="E43" s="3181">
        <v>0</v>
      </c>
      <c r="F43" s="3181">
        <v>0</v>
      </c>
      <c r="G43" s="3181">
        <v>3656</v>
      </c>
      <c r="H43" s="3180">
        <v>10055</v>
      </c>
      <c r="I43" s="3181">
        <v>14854</v>
      </c>
      <c r="J43" s="3181">
        <v>18453</v>
      </c>
      <c r="K43" s="3181">
        <v>21152</v>
      </c>
      <c r="L43" s="3182">
        <v>23176</v>
      </c>
      <c r="M43" s="3180">
        <v>24695</v>
      </c>
      <c r="N43" s="3181">
        <v>25834</v>
      </c>
      <c r="O43" s="3181">
        <v>26688</v>
      </c>
      <c r="P43" s="3181">
        <v>27328</v>
      </c>
      <c r="Q43" s="3181">
        <v>27809</v>
      </c>
      <c r="R43" s="3181">
        <v>28169</v>
      </c>
      <c r="S43" s="3181">
        <v>28439</v>
      </c>
      <c r="T43" s="3181">
        <v>28642</v>
      </c>
      <c r="U43" s="3181">
        <v>28794</v>
      </c>
      <c r="V43" s="3181">
        <v>28908</v>
      </c>
      <c r="W43" s="3181">
        <v>28993</v>
      </c>
      <c r="X43" s="3181">
        <v>29058</v>
      </c>
      <c r="Y43" s="3181">
        <v>29106</v>
      </c>
      <c r="Z43" s="3181">
        <v>29142</v>
      </c>
      <c r="AA43" s="3183">
        <v>29169</v>
      </c>
      <c r="AE43" s="3184"/>
      <c r="AF43" s="3185"/>
      <c r="AG43" s="3186"/>
    </row>
    <row r="44" spans="1:134" ht="18" customHeight="1" thickBot="1">
      <c r="A44" s="2771"/>
      <c r="B44" s="3187" t="s">
        <v>251</v>
      </c>
      <c r="C44" s="3166">
        <v>0</v>
      </c>
      <c r="D44" s="3167">
        <v>0</v>
      </c>
      <c r="E44" s="3167">
        <v>0</v>
      </c>
      <c r="F44" s="3167">
        <v>0</v>
      </c>
      <c r="G44" s="3167">
        <v>3656</v>
      </c>
      <c r="H44" s="3166">
        <v>10055</v>
      </c>
      <c r="I44" s="3167">
        <v>14854</v>
      </c>
      <c r="J44" s="3167">
        <v>18453</v>
      </c>
      <c r="K44" s="3167">
        <v>21152</v>
      </c>
      <c r="L44" s="3188">
        <v>23176</v>
      </c>
      <c r="M44" s="3166">
        <v>24695</v>
      </c>
      <c r="N44" s="3167">
        <v>25834</v>
      </c>
      <c r="O44" s="3167">
        <v>26688</v>
      </c>
      <c r="P44" s="3167">
        <v>27328</v>
      </c>
      <c r="Q44" s="3167">
        <v>27809</v>
      </c>
      <c r="R44" s="3167">
        <v>28169</v>
      </c>
      <c r="S44" s="3167">
        <v>28439</v>
      </c>
      <c r="T44" s="3167">
        <v>28642</v>
      </c>
      <c r="U44" s="3167">
        <v>28794</v>
      </c>
      <c r="V44" s="3167">
        <v>28908</v>
      </c>
      <c r="W44" s="3167">
        <v>28993</v>
      </c>
      <c r="X44" s="3167">
        <v>29058</v>
      </c>
      <c r="Y44" s="3167">
        <v>29106</v>
      </c>
      <c r="Z44" s="3167">
        <v>29142</v>
      </c>
      <c r="AA44" s="3189">
        <v>29169</v>
      </c>
      <c r="AE44" s="3169"/>
      <c r="AF44" s="3170"/>
      <c r="AG44" s="3171"/>
    </row>
    <row r="45" spans="1:134" ht="28.5" customHeight="1" thickBot="1">
      <c r="A45" s="2771"/>
      <c r="B45" s="3172" t="s">
        <v>121</v>
      </c>
      <c r="C45" s="3937" t="s">
        <v>1663</v>
      </c>
      <c r="D45" s="3938"/>
      <c r="E45" s="3938"/>
      <c r="F45" s="3938"/>
      <c r="G45" s="3938"/>
      <c r="H45" s="3173"/>
      <c r="I45" s="3173"/>
      <c r="J45" s="3173"/>
      <c r="K45" s="3173"/>
      <c r="L45" s="3173"/>
      <c r="M45" s="3173"/>
      <c r="N45" s="3173"/>
      <c r="O45" s="3173"/>
      <c r="P45" s="3173"/>
      <c r="Q45" s="3173"/>
      <c r="R45" s="3173"/>
      <c r="S45" s="3173"/>
      <c r="T45" s="3173"/>
      <c r="U45" s="3173"/>
      <c r="V45" s="3173"/>
      <c r="W45" s="3173"/>
      <c r="X45" s="3173"/>
      <c r="Y45" s="3173"/>
      <c r="Z45" s="3173"/>
      <c r="AA45" s="3174"/>
      <c r="AE45" s="3175"/>
      <c r="AF45" s="3176"/>
      <c r="AG45" s="3177"/>
    </row>
    <row r="46" spans="1:134" ht="30" customHeight="1" thickBot="1">
      <c r="A46" s="2771"/>
      <c r="B46" s="3178"/>
      <c r="C46" s="3178"/>
      <c r="D46" s="3178"/>
      <c r="E46" s="3178"/>
      <c r="F46" s="3178"/>
      <c r="G46" s="3178"/>
      <c r="H46" s="3178"/>
      <c r="I46" s="3178"/>
      <c r="J46" s="3178"/>
      <c r="K46" s="3178"/>
      <c r="L46" s="3178"/>
      <c r="M46" s="3178"/>
      <c r="N46" s="3178"/>
      <c r="O46" s="3178"/>
      <c r="P46" s="3178"/>
      <c r="Q46" s="3178"/>
      <c r="R46" s="3178"/>
      <c r="S46" s="3178"/>
      <c r="T46" s="3178"/>
      <c r="U46" s="3178"/>
      <c r="V46" s="3178"/>
      <c r="W46" s="3178"/>
      <c r="X46" s="3178"/>
      <c r="Y46" s="3178"/>
      <c r="Z46" s="3178"/>
      <c r="AA46" s="3178"/>
      <c r="AE46" s="3178"/>
      <c r="AF46" s="3178"/>
      <c r="AG46" s="3178"/>
    </row>
    <row r="47" spans="1:134" s="3019" customFormat="1" ht="18.75" customHeight="1" thickBot="1">
      <c r="A47" s="3013"/>
      <c r="B47" s="2783" t="s">
        <v>473</v>
      </c>
      <c r="C47" s="2784"/>
      <c r="D47" s="2784"/>
      <c r="E47" s="2784"/>
      <c r="F47" s="2784"/>
      <c r="G47" s="2784"/>
      <c r="H47" s="2784"/>
      <c r="I47" s="2784"/>
      <c r="J47" s="2784"/>
      <c r="K47" s="2784"/>
      <c r="L47" s="2784"/>
      <c r="M47" s="2784"/>
      <c r="N47" s="2784"/>
      <c r="O47" s="2784"/>
      <c r="P47" s="2784"/>
      <c r="Q47" s="2784"/>
      <c r="R47" s="2784"/>
      <c r="S47" s="2784"/>
      <c r="T47" s="2784"/>
      <c r="U47" s="2784"/>
      <c r="V47" s="2784"/>
      <c r="W47" s="2784"/>
      <c r="X47" s="2784"/>
      <c r="Y47" s="2784"/>
      <c r="Z47" s="2784"/>
      <c r="AA47" s="2785"/>
      <c r="AB47" s="2524"/>
      <c r="AC47" s="2524"/>
      <c r="AD47" s="2524"/>
      <c r="AE47" s="2783"/>
      <c r="AF47" s="2784"/>
      <c r="AG47" s="2785"/>
      <c r="DE47" s="2524"/>
      <c r="DF47" s="2524"/>
      <c r="DG47" s="2524"/>
      <c r="DH47" s="2524"/>
      <c r="DI47" s="2524"/>
      <c r="DJ47" s="2524"/>
      <c r="DK47" s="2524"/>
      <c r="DL47" s="2524"/>
      <c r="DM47" s="2524"/>
      <c r="DN47" s="2524"/>
      <c r="DO47" s="2524"/>
      <c r="DP47" s="2524"/>
      <c r="DQ47" s="2524"/>
      <c r="DR47" s="2524"/>
      <c r="DS47" s="2524"/>
      <c r="DT47" s="2524"/>
      <c r="DU47" s="2524"/>
      <c r="DV47" s="2524"/>
      <c r="DW47" s="2524"/>
      <c r="DX47" s="2524"/>
      <c r="DY47" s="2524"/>
      <c r="DZ47" s="2524"/>
      <c r="EA47" s="2524"/>
      <c r="EB47" s="2524"/>
      <c r="EC47" s="2524"/>
      <c r="ED47" s="2524"/>
    </row>
    <row r="48" spans="1:134" ht="20.25" customHeight="1">
      <c r="A48" s="2771"/>
      <c r="B48" s="4552"/>
      <c r="C48" s="4554" t="s">
        <v>37</v>
      </c>
      <c r="D48" s="4555"/>
      <c r="E48" s="4555"/>
      <c r="F48" s="4555"/>
      <c r="G48" s="4555"/>
      <c r="H48" s="4562" t="s">
        <v>73</v>
      </c>
      <c r="I48" s="4562"/>
      <c r="J48" s="4562"/>
      <c r="K48" s="4562"/>
      <c r="L48" s="4562"/>
      <c r="M48" s="4563" t="s">
        <v>249</v>
      </c>
      <c r="N48" s="4563"/>
      <c r="O48" s="4563"/>
      <c r="P48" s="4563"/>
      <c r="Q48" s="4563"/>
      <c r="R48" s="4563"/>
      <c r="S48" s="4563"/>
      <c r="T48" s="4563"/>
      <c r="U48" s="4563"/>
      <c r="V48" s="4563"/>
      <c r="W48" s="4563"/>
      <c r="X48" s="4563"/>
      <c r="Y48" s="4563"/>
      <c r="Z48" s="4563"/>
      <c r="AA48" s="4564"/>
      <c r="AE48" s="4565" t="s">
        <v>37</v>
      </c>
      <c r="AF48" s="4566"/>
      <c r="AG48" s="4567"/>
    </row>
    <row r="49" spans="1:33" ht="20.25" customHeight="1">
      <c r="B49" s="4553"/>
      <c r="C49" s="4556" t="s">
        <v>543</v>
      </c>
      <c r="D49" s="4557"/>
      <c r="E49" s="4558"/>
      <c r="F49" s="4559" t="str">
        <f>CONCATENATE("$0's, real ",dms_DollarReal)</f>
        <v>$0's, real December 2017</v>
      </c>
      <c r="G49" s="4560"/>
      <c r="H49" s="4560"/>
      <c r="I49" s="4560"/>
      <c r="J49" s="4560"/>
      <c r="K49" s="4560"/>
      <c r="L49" s="4560"/>
      <c r="M49" s="4560"/>
      <c r="N49" s="4560"/>
      <c r="O49" s="4560"/>
      <c r="P49" s="4560"/>
      <c r="Q49" s="4560"/>
      <c r="R49" s="4560"/>
      <c r="S49" s="4560"/>
      <c r="T49" s="4560"/>
      <c r="U49" s="4560"/>
      <c r="V49" s="4560"/>
      <c r="W49" s="4560"/>
      <c r="X49" s="4560"/>
      <c r="Y49" s="4560"/>
      <c r="Z49" s="4560"/>
      <c r="AA49" s="4561"/>
      <c r="AE49" s="4556" t="str">
        <f>CONCATENATE("$0's, real ",dms_DollarReal)</f>
        <v>$0's, real December 2017</v>
      </c>
      <c r="AF49" s="4557"/>
      <c r="AG49" s="4568"/>
    </row>
    <row r="50" spans="1:33" ht="20.25" customHeight="1">
      <c r="B50" s="4553"/>
      <c r="C50" s="4556" t="s">
        <v>54</v>
      </c>
      <c r="D50" s="4557"/>
      <c r="E50" s="4558"/>
      <c r="F50" s="4559" t="s">
        <v>377</v>
      </c>
      <c r="G50" s="4560"/>
      <c r="H50" s="4560"/>
      <c r="I50" s="4560"/>
      <c r="J50" s="4560"/>
      <c r="K50" s="4560"/>
      <c r="L50" s="4560"/>
      <c r="M50" s="4560"/>
      <c r="N50" s="4560"/>
      <c r="O50" s="4560"/>
      <c r="P50" s="4560"/>
      <c r="Q50" s="4560"/>
      <c r="R50" s="4560"/>
      <c r="S50" s="4560"/>
      <c r="T50" s="4560"/>
      <c r="U50" s="4560"/>
      <c r="V50" s="4560"/>
      <c r="W50" s="4560"/>
      <c r="X50" s="4560"/>
      <c r="Y50" s="4560"/>
      <c r="Z50" s="4560"/>
      <c r="AA50" s="4561"/>
      <c r="AE50" s="4556" t="s">
        <v>54</v>
      </c>
      <c r="AF50" s="4557"/>
      <c r="AG50" s="4568"/>
    </row>
    <row r="51" spans="1:33" ht="20.25" customHeight="1" thickBot="1">
      <c r="B51" s="4569"/>
      <c r="C51" s="2788">
        <f>CRCP_y1</f>
        <v>2013</v>
      </c>
      <c r="D51" s="2788">
        <f>CRCP_y2</f>
        <v>2014</v>
      </c>
      <c r="E51" s="2788">
        <f>CRCP_y3</f>
        <v>2015</v>
      </c>
      <c r="F51" s="2788">
        <f>CRCP_y4</f>
        <v>2016</v>
      </c>
      <c r="G51" s="2788">
        <f>CRCP_y5</f>
        <v>2017</v>
      </c>
      <c r="H51" s="3120" t="str">
        <f>CONCATENATE(IF(dms_RPT="Calendar",G51+1,(LEFT(G51,4)+1&amp;"-"&amp;IF(MID(G51,6,2)&lt;"09","0"&amp;RIGHT(G51,1)+1,RIGHT(G51,2)+1))))</f>
        <v>2018</v>
      </c>
      <c r="I51" s="3120" t="str">
        <f t="shared" ref="I51:AA51" si="4">CONCATENATE(IF(dms_RPT="Calendar",H51+1,(LEFT(H51,4)+1&amp;"-"&amp;IF(MID(H51,6,2)&lt;"09","0"&amp;RIGHT(H51,1)+1,RIGHT(H51,2)+1))))</f>
        <v>2019</v>
      </c>
      <c r="J51" s="3120" t="str">
        <f t="shared" si="4"/>
        <v>2020</v>
      </c>
      <c r="K51" s="3120" t="str">
        <f t="shared" si="4"/>
        <v>2021</v>
      </c>
      <c r="L51" s="3120" t="str">
        <f t="shared" si="4"/>
        <v>2022</v>
      </c>
      <c r="M51" s="2788" t="str">
        <f t="shared" si="4"/>
        <v>2023</v>
      </c>
      <c r="N51" s="2788" t="str">
        <f t="shared" si="4"/>
        <v>2024</v>
      </c>
      <c r="O51" s="2788" t="str">
        <f t="shared" si="4"/>
        <v>2025</v>
      </c>
      <c r="P51" s="2788" t="str">
        <f t="shared" si="4"/>
        <v>2026</v>
      </c>
      <c r="Q51" s="2788" t="str">
        <f t="shared" si="4"/>
        <v>2027</v>
      </c>
      <c r="R51" s="2788" t="str">
        <f t="shared" si="4"/>
        <v>2028</v>
      </c>
      <c r="S51" s="2788" t="str">
        <f t="shared" si="4"/>
        <v>2029</v>
      </c>
      <c r="T51" s="2788" t="str">
        <f t="shared" si="4"/>
        <v>2030</v>
      </c>
      <c r="U51" s="2788" t="str">
        <f t="shared" si="4"/>
        <v>2031</v>
      </c>
      <c r="V51" s="2788" t="str">
        <f t="shared" si="4"/>
        <v>2032</v>
      </c>
      <c r="W51" s="2788" t="str">
        <f t="shared" si="4"/>
        <v>2033</v>
      </c>
      <c r="X51" s="2788" t="str">
        <f t="shared" si="4"/>
        <v>2034</v>
      </c>
      <c r="Y51" s="2788" t="str">
        <f t="shared" si="4"/>
        <v>2035</v>
      </c>
      <c r="Z51" s="2788" t="str">
        <f t="shared" si="4"/>
        <v>2036</v>
      </c>
      <c r="AA51" s="2788" t="str">
        <f t="shared" si="4"/>
        <v>2037</v>
      </c>
      <c r="AE51" s="3121">
        <f>CRCP_y1</f>
        <v>2013</v>
      </c>
      <c r="AF51" s="2788">
        <f>CRCP_y2</f>
        <v>2014</v>
      </c>
      <c r="AG51" s="2789">
        <f>CRCP_y3</f>
        <v>2015</v>
      </c>
    </row>
    <row r="52" spans="1:33">
      <c r="A52" s="2771"/>
      <c r="B52" s="3190" t="s">
        <v>192</v>
      </c>
      <c r="C52" s="3126">
        <v>12062</v>
      </c>
      <c r="D52" s="3125">
        <v>644267</v>
      </c>
      <c r="E52" s="3125">
        <v>3660430</v>
      </c>
      <c r="F52" s="3125">
        <v>338591</v>
      </c>
      <c r="G52" s="3124" t="s">
        <v>1664</v>
      </c>
      <c r="H52" s="3107"/>
      <c r="I52" s="3124"/>
      <c r="J52" s="3124"/>
      <c r="K52" s="3124"/>
      <c r="L52" s="3191"/>
      <c r="M52" s="3107"/>
      <c r="N52" s="3124"/>
      <c r="O52" s="3124"/>
      <c r="P52" s="3124"/>
      <c r="Q52" s="3124"/>
      <c r="R52" s="3124"/>
      <c r="S52" s="3124"/>
      <c r="T52" s="3124"/>
      <c r="U52" s="3124"/>
      <c r="V52" s="3124"/>
      <c r="W52" s="3124"/>
      <c r="X52" s="3124"/>
      <c r="Y52" s="3124"/>
      <c r="Z52" s="3124"/>
      <c r="AA52" s="3191"/>
      <c r="AE52" s="3128"/>
      <c r="AF52" s="3129"/>
      <c r="AG52" s="3130"/>
    </row>
    <row r="53" spans="1:33">
      <c r="A53" s="2771"/>
      <c r="B53" s="3192" t="s">
        <v>193</v>
      </c>
      <c r="C53" s="3063" t="s">
        <v>1664</v>
      </c>
      <c r="D53" s="3064" t="s">
        <v>1664</v>
      </c>
      <c r="E53" s="3064" t="s">
        <v>1664</v>
      </c>
      <c r="F53" s="3064" t="s">
        <v>1664</v>
      </c>
      <c r="G53" s="3135">
        <v>148525</v>
      </c>
      <c r="H53" s="3136">
        <v>111394</v>
      </c>
      <c r="I53" s="3135">
        <v>83545</v>
      </c>
      <c r="J53" s="3135">
        <v>62659</v>
      </c>
      <c r="K53" s="3135">
        <v>46994</v>
      </c>
      <c r="L53" s="3137">
        <v>35246</v>
      </c>
      <c r="M53" s="3136">
        <v>26434</v>
      </c>
      <c r="N53" s="3135">
        <v>19826</v>
      </c>
      <c r="O53" s="3135">
        <v>14869</v>
      </c>
      <c r="P53" s="3135">
        <v>11152</v>
      </c>
      <c r="Q53" s="3135">
        <v>8364</v>
      </c>
      <c r="R53" s="3135">
        <v>6273</v>
      </c>
      <c r="S53" s="3135">
        <v>4705</v>
      </c>
      <c r="T53" s="3135">
        <v>3529</v>
      </c>
      <c r="U53" s="3135">
        <v>2646</v>
      </c>
      <c r="V53" s="3135">
        <v>1985</v>
      </c>
      <c r="W53" s="3135">
        <v>1489</v>
      </c>
      <c r="X53" s="3135">
        <v>1116</v>
      </c>
      <c r="Y53" s="3064">
        <v>837</v>
      </c>
      <c r="Z53" s="3064">
        <v>628</v>
      </c>
      <c r="AA53" s="3030">
        <v>471</v>
      </c>
      <c r="AE53" s="3132"/>
      <c r="AF53" s="3133"/>
      <c r="AG53" s="3134"/>
    </row>
    <row r="54" spans="1:33">
      <c r="A54" s="2771"/>
      <c r="B54" s="3192" t="s">
        <v>194</v>
      </c>
      <c r="C54" s="3063"/>
      <c r="D54" s="3064"/>
      <c r="E54" s="3064"/>
      <c r="F54" s="3064"/>
      <c r="G54" s="3064"/>
      <c r="H54" s="3063"/>
      <c r="I54" s="3064"/>
      <c r="J54" s="3064"/>
      <c r="K54" s="3064"/>
      <c r="L54" s="3030"/>
      <c r="M54" s="3063"/>
      <c r="N54" s="3064"/>
      <c r="O54" s="3064"/>
      <c r="P54" s="3064"/>
      <c r="Q54" s="3064"/>
      <c r="R54" s="3064"/>
      <c r="S54" s="3064"/>
      <c r="T54" s="3064"/>
      <c r="U54" s="3064"/>
      <c r="V54" s="3064"/>
      <c r="W54" s="3064"/>
      <c r="X54" s="3064"/>
      <c r="Y54" s="3064"/>
      <c r="Z54" s="3064"/>
      <c r="AA54" s="3030"/>
      <c r="AE54" s="3132"/>
      <c r="AF54" s="3133"/>
      <c r="AG54" s="3134"/>
    </row>
    <row r="55" spans="1:33">
      <c r="A55" s="2771"/>
      <c r="B55" s="3192" t="s">
        <v>195</v>
      </c>
      <c r="C55" s="3063"/>
      <c r="D55" s="3064"/>
      <c r="E55" s="3064"/>
      <c r="F55" s="3064"/>
      <c r="G55" s="3064"/>
      <c r="H55" s="3063"/>
      <c r="I55" s="3064"/>
      <c r="J55" s="3064"/>
      <c r="K55" s="3064"/>
      <c r="L55" s="3030"/>
      <c r="M55" s="3063"/>
      <c r="N55" s="3064"/>
      <c r="O55" s="3064"/>
      <c r="P55" s="3064"/>
      <c r="Q55" s="3064"/>
      <c r="R55" s="3064"/>
      <c r="S55" s="3064"/>
      <c r="T55" s="3064"/>
      <c r="U55" s="3064"/>
      <c r="V55" s="3064"/>
      <c r="W55" s="3064"/>
      <c r="X55" s="3064"/>
      <c r="Y55" s="3064"/>
      <c r="Z55" s="3064"/>
      <c r="AA55" s="3030"/>
      <c r="AE55" s="3132"/>
      <c r="AF55" s="3133"/>
      <c r="AG55" s="3134"/>
    </row>
    <row r="56" spans="1:33">
      <c r="A56" s="2771"/>
      <c r="B56" s="3192" t="s">
        <v>255</v>
      </c>
      <c r="C56" s="3136">
        <v>4443</v>
      </c>
      <c r="D56" s="3135">
        <v>237306</v>
      </c>
      <c r="E56" s="3135">
        <v>1348264</v>
      </c>
      <c r="F56" s="3135">
        <v>124715</v>
      </c>
      <c r="G56" s="3064" t="s">
        <v>1664</v>
      </c>
      <c r="H56" s="3063"/>
      <c r="I56" s="3064"/>
      <c r="J56" s="3064"/>
      <c r="K56" s="3064"/>
      <c r="L56" s="3030"/>
      <c r="M56" s="3063"/>
      <c r="N56" s="3064"/>
      <c r="O56" s="3064"/>
      <c r="P56" s="3064"/>
      <c r="Q56" s="3064"/>
      <c r="R56" s="3064"/>
      <c r="S56" s="3064"/>
      <c r="T56" s="3064"/>
      <c r="U56" s="3064"/>
      <c r="V56" s="3064"/>
      <c r="W56" s="3064"/>
      <c r="X56" s="3064"/>
      <c r="Y56" s="3064"/>
      <c r="Z56" s="3064"/>
      <c r="AA56" s="3030"/>
      <c r="AE56" s="3132"/>
      <c r="AF56" s="3133"/>
      <c r="AG56" s="3134"/>
    </row>
    <row r="57" spans="1:33">
      <c r="A57" s="2771"/>
      <c r="B57" s="3192" t="s">
        <v>191</v>
      </c>
      <c r="C57" s="3063"/>
      <c r="D57" s="3064"/>
      <c r="E57" s="3064"/>
      <c r="F57" s="3064"/>
      <c r="G57" s="3064"/>
      <c r="H57" s="3063"/>
      <c r="I57" s="3064"/>
      <c r="J57" s="3064"/>
      <c r="K57" s="3064"/>
      <c r="L57" s="3030"/>
      <c r="M57" s="3063"/>
      <c r="N57" s="3064"/>
      <c r="O57" s="3064"/>
      <c r="P57" s="3064"/>
      <c r="Q57" s="3064"/>
      <c r="R57" s="3064"/>
      <c r="S57" s="3064"/>
      <c r="T57" s="3064"/>
      <c r="U57" s="3064"/>
      <c r="V57" s="3064"/>
      <c r="W57" s="3064"/>
      <c r="X57" s="3064"/>
      <c r="Y57" s="3064"/>
      <c r="Z57" s="3064"/>
      <c r="AA57" s="3030"/>
      <c r="AE57" s="3132"/>
      <c r="AF57" s="3133"/>
      <c r="AG57" s="3134"/>
    </row>
    <row r="58" spans="1:33">
      <c r="A58" s="2771"/>
      <c r="B58" s="3192" t="s">
        <v>196</v>
      </c>
      <c r="C58" s="3063" t="s">
        <v>1664</v>
      </c>
      <c r="D58" s="3064" t="s">
        <v>1664</v>
      </c>
      <c r="E58" s="3064" t="s">
        <v>1664</v>
      </c>
      <c r="F58" s="3064" t="s">
        <v>1664</v>
      </c>
      <c r="G58" s="3135">
        <v>26813</v>
      </c>
      <c r="H58" s="3136">
        <v>20109</v>
      </c>
      <c r="I58" s="3135">
        <v>15082</v>
      </c>
      <c r="J58" s="3135">
        <v>11312</v>
      </c>
      <c r="K58" s="3135">
        <v>8484</v>
      </c>
      <c r="L58" s="3137">
        <v>6363</v>
      </c>
      <c r="M58" s="3136">
        <v>4772</v>
      </c>
      <c r="N58" s="3135">
        <v>3579</v>
      </c>
      <c r="O58" s="3135">
        <v>2684</v>
      </c>
      <c r="P58" s="3135">
        <v>2013</v>
      </c>
      <c r="Q58" s="3135">
        <v>1510</v>
      </c>
      <c r="R58" s="3135">
        <v>1132</v>
      </c>
      <c r="S58" s="3064">
        <v>849</v>
      </c>
      <c r="T58" s="3064">
        <v>637</v>
      </c>
      <c r="U58" s="3064">
        <v>478</v>
      </c>
      <c r="V58" s="3064">
        <v>358</v>
      </c>
      <c r="W58" s="3064">
        <v>269</v>
      </c>
      <c r="X58" s="3064">
        <v>202</v>
      </c>
      <c r="Y58" s="3064">
        <v>151</v>
      </c>
      <c r="Z58" s="3064">
        <v>113</v>
      </c>
      <c r="AA58" s="3030">
        <v>85</v>
      </c>
      <c r="AE58" s="3132"/>
      <c r="AF58" s="3133"/>
      <c r="AG58" s="3134"/>
    </row>
    <row r="59" spans="1:33">
      <c r="A59" s="2771"/>
      <c r="B59" s="3192" t="s">
        <v>256</v>
      </c>
      <c r="C59" s="3063"/>
      <c r="D59" s="3064"/>
      <c r="E59" s="3064"/>
      <c r="F59" s="3064"/>
      <c r="G59" s="3064"/>
      <c r="H59" s="3063"/>
      <c r="I59" s="3064"/>
      <c r="J59" s="3064"/>
      <c r="K59" s="3064"/>
      <c r="L59" s="3030"/>
      <c r="M59" s="3063"/>
      <c r="N59" s="3064"/>
      <c r="O59" s="3064"/>
      <c r="P59" s="3064"/>
      <c r="Q59" s="3064"/>
      <c r="R59" s="3064"/>
      <c r="S59" s="3064"/>
      <c r="T59" s="3064"/>
      <c r="U59" s="3064"/>
      <c r="V59" s="3064"/>
      <c r="W59" s="3064"/>
      <c r="X59" s="3064"/>
      <c r="Y59" s="3064"/>
      <c r="Z59" s="3064"/>
      <c r="AA59" s="3030"/>
      <c r="AE59" s="3132"/>
      <c r="AF59" s="3133"/>
      <c r="AG59" s="3134"/>
    </row>
    <row r="60" spans="1:33">
      <c r="A60" s="2771"/>
      <c r="B60" s="3192" t="s">
        <v>264</v>
      </c>
      <c r="C60" s="3063"/>
      <c r="D60" s="3064"/>
      <c r="E60" s="3064"/>
      <c r="F60" s="3064"/>
      <c r="G60" s="3064"/>
      <c r="H60" s="3063"/>
      <c r="I60" s="3064"/>
      <c r="J60" s="3064"/>
      <c r="K60" s="3064"/>
      <c r="L60" s="3030"/>
      <c r="M60" s="3063"/>
      <c r="N60" s="3064"/>
      <c r="O60" s="3064"/>
      <c r="P60" s="3064"/>
      <c r="Q60" s="3064"/>
      <c r="R60" s="3064"/>
      <c r="S60" s="3064"/>
      <c r="T60" s="3064"/>
      <c r="U60" s="3064"/>
      <c r="V60" s="3064"/>
      <c r="W60" s="3064"/>
      <c r="X60" s="3064"/>
      <c r="Y60" s="3064"/>
      <c r="Z60" s="3064"/>
      <c r="AA60" s="3030"/>
      <c r="AE60" s="3132"/>
      <c r="AF60" s="3133"/>
      <c r="AG60" s="3134"/>
    </row>
    <row r="61" spans="1:33">
      <c r="A61" s="2771"/>
      <c r="B61" s="3192" t="s">
        <v>131</v>
      </c>
      <c r="C61" s="3063"/>
      <c r="D61" s="3064"/>
      <c r="E61" s="3064"/>
      <c r="F61" s="3064"/>
      <c r="G61" s="3064"/>
      <c r="H61" s="3063"/>
      <c r="I61" s="3064"/>
      <c r="J61" s="3064"/>
      <c r="K61" s="3064"/>
      <c r="L61" s="3030"/>
      <c r="M61" s="3063"/>
      <c r="N61" s="3064"/>
      <c r="O61" s="3064"/>
      <c r="P61" s="3064"/>
      <c r="Q61" s="3064"/>
      <c r="R61" s="3064"/>
      <c r="S61" s="3064"/>
      <c r="T61" s="3064"/>
      <c r="U61" s="3064"/>
      <c r="V61" s="3064"/>
      <c r="W61" s="3064"/>
      <c r="X61" s="3064"/>
      <c r="Y61" s="3064"/>
      <c r="Z61" s="3064"/>
      <c r="AA61" s="3030"/>
      <c r="AE61" s="3132"/>
      <c r="AF61" s="3133"/>
      <c r="AG61" s="3134"/>
    </row>
    <row r="62" spans="1:33">
      <c r="A62" s="2771"/>
      <c r="B62" s="3161" t="s">
        <v>632</v>
      </c>
      <c r="C62" s="3162">
        <f t="shared" ref="C62:AA62" si="5">SUM(C52:C61)</f>
        <v>16505</v>
      </c>
      <c r="D62" s="3163">
        <f t="shared" si="5"/>
        <v>881573</v>
      </c>
      <c r="E62" s="3163">
        <f t="shared" si="5"/>
        <v>5008694</v>
      </c>
      <c r="F62" s="3163">
        <f t="shared" si="5"/>
        <v>463306</v>
      </c>
      <c r="G62" s="3163">
        <f t="shared" si="5"/>
        <v>175338</v>
      </c>
      <c r="H62" s="3162">
        <f t="shared" si="5"/>
        <v>131503</v>
      </c>
      <c r="I62" s="3163">
        <f t="shared" si="5"/>
        <v>98627</v>
      </c>
      <c r="J62" s="3163">
        <f t="shared" si="5"/>
        <v>73971</v>
      </c>
      <c r="K62" s="3163">
        <f t="shared" si="5"/>
        <v>55478</v>
      </c>
      <c r="L62" s="3164">
        <f t="shared" si="5"/>
        <v>41609</v>
      </c>
      <c r="M62" s="3162">
        <f t="shared" si="5"/>
        <v>31206</v>
      </c>
      <c r="N62" s="3163">
        <f t="shared" si="5"/>
        <v>23405</v>
      </c>
      <c r="O62" s="3163">
        <f t="shared" si="5"/>
        <v>17553</v>
      </c>
      <c r="P62" s="3163">
        <f t="shared" si="5"/>
        <v>13165</v>
      </c>
      <c r="Q62" s="3163">
        <f t="shared" si="5"/>
        <v>9874</v>
      </c>
      <c r="R62" s="3163">
        <f t="shared" si="5"/>
        <v>7405</v>
      </c>
      <c r="S62" s="3163">
        <f t="shared" si="5"/>
        <v>5554</v>
      </c>
      <c r="T62" s="3163">
        <f t="shared" si="5"/>
        <v>4166</v>
      </c>
      <c r="U62" s="3163">
        <f t="shared" si="5"/>
        <v>3124</v>
      </c>
      <c r="V62" s="3163">
        <f t="shared" si="5"/>
        <v>2343</v>
      </c>
      <c r="W62" s="3163">
        <f t="shared" si="5"/>
        <v>1758</v>
      </c>
      <c r="X62" s="3163">
        <f t="shared" si="5"/>
        <v>1318</v>
      </c>
      <c r="Y62" s="3163">
        <f t="shared" si="5"/>
        <v>988</v>
      </c>
      <c r="Z62" s="3163">
        <f t="shared" si="5"/>
        <v>741</v>
      </c>
      <c r="AA62" s="3164">
        <f t="shared" si="5"/>
        <v>556</v>
      </c>
      <c r="AE62" s="3162">
        <f t="shared" ref="AE62:AG62" si="6">SUM(AE52:AE61)</f>
        <v>0</v>
      </c>
      <c r="AF62" s="3163">
        <f t="shared" si="6"/>
        <v>0</v>
      </c>
      <c r="AG62" s="3164">
        <f t="shared" si="6"/>
        <v>0</v>
      </c>
    </row>
    <row r="63" spans="1:33">
      <c r="A63" s="2771"/>
      <c r="B63" s="3193" t="s">
        <v>210</v>
      </c>
      <c r="C63" s="3063"/>
      <c r="D63" s="3064"/>
      <c r="E63" s="3064"/>
      <c r="F63" s="3135">
        <v>4194500</v>
      </c>
      <c r="G63" s="3135">
        <v>2097250</v>
      </c>
      <c r="H63" s="3063"/>
      <c r="I63" s="3064"/>
      <c r="J63" s="3064"/>
      <c r="K63" s="3064"/>
      <c r="L63" s="3030"/>
      <c r="M63" s="3063"/>
      <c r="N63" s="3064"/>
      <c r="O63" s="3064"/>
      <c r="P63" s="3064"/>
      <c r="Q63" s="3064"/>
      <c r="R63" s="3064"/>
      <c r="S63" s="3064"/>
      <c r="T63" s="3064"/>
      <c r="U63" s="3064"/>
      <c r="V63" s="3064"/>
      <c r="W63" s="3064"/>
      <c r="X63" s="3064"/>
      <c r="Y63" s="3064"/>
      <c r="Z63" s="3064"/>
      <c r="AA63" s="3030"/>
      <c r="AE63" s="3132"/>
      <c r="AF63" s="3133"/>
      <c r="AG63" s="3134"/>
    </row>
    <row r="64" spans="1:33">
      <c r="A64" s="2771"/>
      <c r="B64" s="3193" t="s">
        <v>211</v>
      </c>
      <c r="C64" s="3063"/>
      <c r="D64" s="3064"/>
      <c r="E64" s="3064"/>
      <c r="F64" s="3064"/>
      <c r="G64" s="3064"/>
      <c r="H64" s="3063"/>
      <c r="I64" s="3064"/>
      <c r="J64" s="3064"/>
      <c r="K64" s="3064"/>
      <c r="L64" s="3030"/>
      <c r="M64" s="3063"/>
      <c r="N64" s="3064"/>
      <c r="O64" s="3064"/>
      <c r="P64" s="3064"/>
      <c r="Q64" s="3064"/>
      <c r="R64" s="3064"/>
      <c r="S64" s="3064"/>
      <c r="T64" s="3064"/>
      <c r="U64" s="3064"/>
      <c r="V64" s="3064"/>
      <c r="W64" s="3064"/>
      <c r="X64" s="3064"/>
      <c r="Y64" s="3064"/>
      <c r="Z64" s="3064"/>
      <c r="AA64" s="3030"/>
      <c r="AE64" s="3132"/>
      <c r="AF64" s="3133"/>
      <c r="AG64" s="3134"/>
    </row>
    <row r="65" spans="1:33">
      <c r="A65" s="2771"/>
      <c r="B65" s="3161" t="s">
        <v>53</v>
      </c>
      <c r="C65" s="3162">
        <f>SUM(C63:C64)</f>
        <v>0</v>
      </c>
      <c r="D65" s="3163">
        <f t="shared" ref="D65:AA65" si="7">SUM(D63:D64)</f>
        <v>0</v>
      </c>
      <c r="E65" s="3163">
        <f t="shared" si="7"/>
        <v>0</v>
      </c>
      <c r="F65" s="3163">
        <f t="shared" si="7"/>
        <v>4194500</v>
      </c>
      <c r="G65" s="3163">
        <f t="shared" si="7"/>
        <v>2097250</v>
      </c>
      <c r="H65" s="3162">
        <f t="shared" si="7"/>
        <v>0</v>
      </c>
      <c r="I65" s="3163">
        <f t="shared" si="7"/>
        <v>0</v>
      </c>
      <c r="J65" s="3163">
        <f t="shared" si="7"/>
        <v>0</v>
      </c>
      <c r="K65" s="3163">
        <f t="shared" si="7"/>
        <v>0</v>
      </c>
      <c r="L65" s="3164">
        <f t="shared" si="7"/>
        <v>0</v>
      </c>
      <c r="M65" s="3162">
        <f t="shared" si="7"/>
        <v>0</v>
      </c>
      <c r="N65" s="3163">
        <f t="shared" si="7"/>
        <v>0</v>
      </c>
      <c r="O65" s="3163">
        <f t="shared" si="7"/>
        <v>0</v>
      </c>
      <c r="P65" s="3163">
        <f t="shared" si="7"/>
        <v>0</v>
      </c>
      <c r="Q65" s="3163">
        <f t="shared" si="7"/>
        <v>0</v>
      </c>
      <c r="R65" s="3163">
        <f t="shared" si="7"/>
        <v>0</v>
      </c>
      <c r="S65" s="3163">
        <f t="shared" si="7"/>
        <v>0</v>
      </c>
      <c r="T65" s="3163">
        <f t="shared" si="7"/>
        <v>0</v>
      </c>
      <c r="U65" s="3163">
        <f t="shared" si="7"/>
        <v>0</v>
      </c>
      <c r="V65" s="3163">
        <f t="shared" si="7"/>
        <v>0</v>
      </c>
      <c r="W65" s="3163">
        <f t="shared" si="7"/>
        <v>0</v>
      </c>
      <c r="X65" s="3163">
        <f t="shared" si="7"/>
        <v>0</v>
      </c>
      <c r="Y65" s="3163">
        <f t="shared" si="7"/>
        <v>0</v>
      </c>
      <c r="Z65" s="3163">
        <f t="shared" si="7"/>
        <v>0</v>
      </c>
      <c r="AA65" s="3164">
        <f t="shared" si="7"/>
        <v>0</v>
      </c>
      <c r="AE65" s="3162">
        <f>SUM(AE63:AE64)</f>
        <v>0</v>
      </c>
      <c r="AF65" s="3163">
        <f t="shared" ref="AF65:AG65" si="8">SUM(AF63:AF64)</f>
        <v>0</v>
      </c>
      <c r="AG65" s="3164">
        <f t="shared" si="8"/>
        <v>0</v>
      </c>
    </row>
    <row r="66" spans="1:33" s="2771" customFormat="1" ht="13.5" thickBot="1">
      <c r="B66" s="3194" t="s">
        <v>633</v>
      </c>
      <c r="C66" s="3195">
        <f t="shared" ref="C66:AA66" si="9">C62-C65</f>
        <v>16505</v>
      </c>
      <c r="D66" s="3196">
        <f t="shared" si="9"/>
        <v>881573</v>
      </c>
      <c r="E66" s="3196">
        <f t="shared" si="9"/>
        <v>5008694</v>
      </c>
      <c r="F66" s="3196">
        <f t="shared" si="9"/>
        <v>-3731194</v>
      </c>
      <c r="G66" s="3196">
        <f t="shared" si="9"/>
        <v>-1921912</v>
      </c>
      <c r="H66" s="3195">
        <f t="shared" si="9"/>
        <v>131503</v>
      </c>
      <c r="I66" s="3196">
        <f t="shared" si="9"/>
        <v>98627</v>
      </c>
      <c r="J66" s="3196">
        <f t="shared" si="9"/>
        <v>73971</v>
      </c>
      <c r="K66" s="3196">
        <f t="shared" si="9"/>
        <v>55478</v>
      </c>
      <c r="L66" s="3197">
        <f t="shared" si="9"/>
        <v>41609</v>
      </c>
      <c r="M66" s="3195">
        <f t="shared" si="9"/>
        <v>31206</v>
      </c>
      <c r="N66" s="3196">
        <f t="shared" si="9"/>
        <v>23405</v>
      </c>
      <c r="O66" s="3196">
        <f t="shared" si="9"/>
        <v>17553</v>
      </c>
      <c r="P66" s="3196">
        <f t="shared" si="9"/>
        <v>13165</v>
      </c>
      <c r="Q66" s="3196">
        <f t="shared" si="9"/>
        <v>9874</v>
      </c>
      <c r="R66" s="3196">
        <f t="shared" si="9"/>
        <v>7405</v>
      </c>
      <c r="S66" s="3196">
        <f t="shared" si="9"/>
        <v>5554</v>
      </c>
      <c r="T66" s="3196">
        <f t="shared" si="9"/>
        <v>4166</v>
      </c>
      <c r="U66" s="3196">
        <f t="shared" si="9"/>
        <v>3124</v>
      </c>
      <c r="V66" s="3196">
        <f t="shared" si="9"/>
        <v>2343</v>
      </c>
      <c r="W66" s="3196">
        <f t="shared" si="9"/>
        <v>1758</v>
      </c>
      <c r="X66" s="3196">
        <f t="shared" si="9"/>
        <v>1318</v>
      </c>
      <c r="Y66" s="3196">
        <f t="shared" si="9"/>
        <v>988</v>
      </c>
      <c r="Z66" s="3196">
        <f t="shared" si="9"/>
        <v>741</v>
      </c>
      <c r="AA66" s="3197">
        <f t="shared" si="9"/>
        <v>556</v>
      </c>
      <c r="AB66" s="2524"/>
      <c r="AC66" s="2524"/>
      <c r="AD66" s="2524"/>
      <c r="AE66" s="3195">
        <f t="shared" ref="AE66:AG66" si="10">AE62-AE65</f>
        <v>0</v>
      </c>
      <c r="AF66" s="3196">
        <f t="shared" si="10"/>
        <v>0</v>
      </c>
      <c r="AG66" s="3197">
        <f t="shared" si="10"/>
        <v>0</v>
      </c>
    </row>
    <row r="67" spans="1:33" ht="29.25" customHeight="1" thickBot="1">
      <c r="A67" s="2771"/>
      <c r="B67" s="3172" t="s">
        <v>121</v>
      </c>
      <c r="C67" s="3937" t="s">
        <v>1672</v>
      </c>
      <c r="D67" s="3938"/>
      <c r="E67" s="3938"/>
      <c r="F67" s="3938"/>
      <c r="G67" s="3938"/>
      <c r="H67" s="3938"/>
      <c r="I67" s="3938"/>
      <c r="J67" s="3938"/>
      <c r="K67" s="3938"/>
      <c r="L67" s="3938"/>
      <c r="M67" s="3173"/>
      <c r="N67" s="3173"/>
      <c r="O67" s="3173"/>
      <c r="P67" s="3173"/>
      <c r="Q67" s="3173"/>
      <c r="R67" s="3173"/>
      <c r="S67" s="3173"/>
      <c r="T67" s="3173"/>
      <c r="U67" s="3173"/>
      <c r="V67" s="3173"/>
      <c r="W67" s="3173"/>
      <c r="X67" s="3173"/>
      <c r="Y67" s="3173"/>
      <c r="Z67" s="3173"/>
      <c r="AA67" s="3174"/>
      <c r="AE67" s="3175"/>
      <c r="AF67" s="3176"/>
      <c r="AG67" s="3177"/>
    </row>
    <row r="68" spans="1:33">
      <c r="A68" s="2771"/>
    </row>
    <row r="69" spans="1:33">
      <c r="A69" s="2771"/>
    </row>
  </sheetData>
  <mergeCells count="40">
    <mergeCell ref="C67:L67"/>
    <mergeCell ref="C41:E41"/>
    <mergeCell ref="F41:AA41"/>
    <mergeCell ref="AE41:AG41"/>
    <mergeCell ref="C45:G45"/>
    <mergeCell ref="F49:AA49"/>
    <mergeCell ref="AE49:AG49"/>
    <mergeCell ref="C50:E50"/>
    <mergeCell ref="F50:AA50"/>
    <mergeCell ref="AE50:AG50"/>
    <mergeCell ref="AE39:AG39"/>
    <mergeCell ref="C40:E40"/>
    <mergeCell ref="F40:AA40"/>
    <mergeCell ref="AE40:AG40"/>
    <mergeCell ref="B48:B51"/>
    <mergeCell ref="C48:G48"/>
    <mergeCell ref="H48:L48"/>
    <mergeCell ref="M48:AA48"/>
    <mergeCell ref="AE48:AG48"/>
    <mergeCell ref="C49:E49"/>
    <mergeCell ref="C36:G36"/>
    <mergeCell ref="B39:B42"/>
    <mergeCell ref="C39:G39"/>
    <mergeCell ref="H39:L39"/>
    <mergeCell ref="M39:AA39"/>
    <mergeCell ref="AE21:AG21"/>
    <mergeCell ref="C22:E22"/>
    <mergeCell ref="F22:AA22"/>
    <mergeCell ref="AE22:AG22"/>
    <mergeCell ref="AE23:AG23"/>
    <mergeCell ref="B7:G7"/>
    <mergeCell ref="B8:G8"/>
    <mergeCell ref="B9:G9"/>
    <mergeCell ref="B10:G10"/>
    <mergeCell ref="B21:B24"/>
    <mergeCell ref="C21:G21"/>
    <mergeCell ref="C23:E23"/>
    <mergeCell ref="F23:AA23"/>
    <mergeCell ref="H21:L21"/>
    <mergeCell ref="M21:AA21"/>
  </mergeCells>
  <pageMargins left="0.75" right="0.75" top="1" bottom="1" header="0.5" footer="0.5"/>
  <pageSetup paperSize="9" orientation="portrait" r:id="rId1"/>
  <headerFooter alignWithMargins="0"/>
  <customProperties>
    <customPr name="_pios_id" r:id="rId2"/>
  </customProperties>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ED69"/>
  <sheetViews>
    <sheetView showGridLines="0" topLeftCell="A28" zoomScale="70" zoomScaleNormal="70" workbookViewId="0">
      <selection activeCell="C36" sqref="C36:G36"/>
    </sheetView>
  </sheetViews>
  <sheetFormatPr defaultRowHeight="12.75"/>
  <cols>
    <col min="1" max="1" width="14.140625" style="2524" customWidth="1"/>
    <col min="2" max="2" width="66.28515625" style="2524" bestFit="1" customWidth="1"/>
    <col min="3" max="27" width="14.7109375" style="2524" customWidth="1"/>
    <col min="28" max="30" width="9.140625" style="2524"/>
    <col min="31" max="33" width="18" style="2524" customWidth="1"/>
    <col min="34" max="256" width="9.140625" style="2524"/>
    <col min="257" max="257" width="14.140625" style="2524" customWidth="1"/>
    <col min="258" max="258" width="66.28515625" style="2524" bestFit="1" customWidth="1"/>
    <col min="259" max="259" width="10" style="2524" bestFit="1" customWidth="1"/>
    <col min="260" max="261" width="8.5703125" style="2524" bestFit="1" customWidth="1"/>
    <col min="262" max="262" width="17.42578125" style="2524" bestFit="1" customWidth="1"/>
    <col min="263" max="263" width="17.28515625" style="2524" bestFit="1" customWidth="1"/>
    <col min="264" max="265" width="10.7109375" style="2524" customWidth="1"/>
    <col min="266" max="267" width="10.7109375" style="2524" bestFit="1" customWidth="1"/>
    <col min="268" max="268" width="10.7109375" style="2524" customWidth="1"/>
    <col min="269" max="271" width="10.7109375" style="2524" bestFit="1" customWidth="1"/>
    <col min="272" max="273" width="10.7109375" style="2524" customWidth="1"/>
    <col min="274" max="275" width="10.7109375" style="2524" bestFit="1" customWidth="1"/>
    <col min="276" max="512" width="9.140625" style="2524"/>
    <col min="513" max="513" width="14.140625" style="2524" customWidth="1"/>
    <col min="514" max="514" width="66.28515625" style="2524" bestFit="1" customWidth="1"/>
    <col min="515" max="515" width="10" style="2524" bestFit="1" customWidth="1"/>
    <col min="516" max="517" width="8.5703125" style="2524" bestFit="1" customWidth="1"/>
    <col min="518" max="518" width="17.42578125" style="2524" bestFit="1" customWidth="1"/>
    <col min="519" max="519" width="17.28515625" style="2524" bestFit="1" customWidth="1"/>
    <col min="520" max="521" width="10.7109375" style="2524" customWidth="1"/>
    <col min="522" max="523" width="10.7109375" style="2524" bestFit="1" customWidth="1"/>
    <col min="524" max="524" width="10.7109375" style="2524" customWidth="1"/>
    <col min="525" max="527" width="10.7109375" style="2524" bestFit="1" customWidth="1"/>
    <col min="528" max="529" width="10.7109375" style="2524" customWidth="1"/>
    <col min="530" max="531" width="10.7109375" style="2524" bestFit="1" customWidth="1"/>
    <col min="532" max="768" width="9.140625" style="2524"/>
    <col min="769" max="769" width="14.140625" style="2524" customWidth="1"/>
    <col min="770" max="770" width="66.28515625" style="2524" bestFit="1" customWidth="1"/>
    <col min="771" max="771" width="10" style="2524" bestFit="1" customWidth="1"/>
    <col min="772" max="773" width="8.5703125" style="2524" bestFit="1" customWidth="1"/>
    <col min="774" max="774" width="17.42578125" style="2524" bestFit="1" customWidth="1"/>
    <col min="775" max="775" width="17.28515625" style="2524" bestFit="1" customWidth="1"/>
    <col min="776" max="777" width="10.7109375" style="2524" customWidth="1"/>
    <col min="778" max="779" width="10.7109375" style="2524" bestFit="1" customWidth="1"/>
    <col min="780" max="780" width="10.7109375" style="2524" customWidth="1"/>
    <col min="781" max="783" width="10.7109375" style="2524" bestFit="1" customWidth="1"/>
    <col min="784" max="785" width="10.7109375" style="2524" customWidth="1"/>
    <col min="786" max="787" width="10.7109375" style="2524" bestFit="1" customWidth="1"/>
    <col min="788" max="1024" width="9.140625" style="2524"/>
    <col min="1025" max="1025" width="14.140625" style="2524" customWidth="1"/>
    <col min="1026" max="1026" width="66.28515625" style="2524" bestFit="1" customWidth="1"/>
    <col min="1027" max="1027" width="10" style="2524" bestFit="1" customWidth="1"/>
    <col min="1028" max="1029" width="8.5703125" style="2524" bestFit="1" customWidth="1"/>
    <col min="1030" max="1030" width="17.42578125" style="2524" bestFit="1" customWidth="1"/>
    <col min="1031" max="1031" width="17.28515625" style="2524" bestFit="1" customWidth="1"/>
    <col min="1032" max="1033" width="10.7109375" style="2524" customWidth="1"/>
    <col min="1034" max="1035" width="10.7109375" style="2524" bestFit="1" customWidth="1"/>
    <col min="1036" max="1036" width="10.7109375" style="2524" customWidth="1"/>
    <col min="1037" max="1039" width="10.7109375" style="2524" bestFit="1" customWidth="1"/>
    <col min="1040" max="1041" width="10.7109375" style="2524" customWidth="1"/>
    <col min="1042" max="1043" width="10.7109375" style="2524" bestFit="1" customWidth="1"/>
    <col min="1044" max="1280" width="9.140625" style="2524"/>
    <col min="1281" max="1281" width="14.140625" style="2524" customWidth="1"/>
    <col min="1282" max="1282" width="66.28515625" style="2524" bestFit="1" customWidth="1"/>
    <col min="1283" max="1283" width="10" style="2524" bestFit="1" customWidth="1"/>
    <col min="1284" max="1285" width="8.5703125" style="2524" bestFit="1" customWidth="1"/>
    <col min="1286" max="1286" width="17.42578125" style="2524" bestFit="1" customWidth="1"/>
    <col min="1287" max="1287" width="17.28515625" style="2524" bestFit="1" customWidth="1"/>
    <col min="1288" max="1289" width="10.7109375" style="2524" customWidth="1"/>
    <col min="1290" max="1291" width="10.7109375" style="2524" bestFit="1" customWidth="1"/>
    <col min="1292" max="1292" width="10.7109375" style="2524" customWidth="1"/>
    <col min="1293" max="1295" width="10.7109375" style="2524" bestFit="1" customWidth="1"/>
    <col min="1296" max="1297" width="10.7109375" style="2524" customWidth="1"/>
    <col min="1298" max="1299" width="10.7109375" style="2524" bestFit="1" customWidth="1"/>
    <col min="1300" max="1536" width="9.140625" style="2524"/>
    <col min="1537" max="1537" width="14.140625" style="2524" customWidth="1"/>
    <col min="1538" max="1538" width="66.28515625" style="2524" bestFit="1" customWidth="1"/>
    <col min="1539" max="1539" width="10" style="2524" bestFit="1" customWidth="1"/>
    <col min="1540" max="1541" width="8.5703125" style="2524" bestFit="1" customWidth="1"/>
    <col min="1542" max="1542" width="17.42578125" style="2524" bestFit="1" customWidth="1"/>
    <col min="1543" max="1543" width="17.28515625" style="2524" bestFit="1" customWidth="1"/>
    <col min="1544" max="1545" width="10.7109375" style="2524" customWidth="1"/>
    <col min="1546" max="1547" width="10.7109375" style="2524" bestFit="1" customWidth="1"/>
    <col min="1548" max="1548" width="10.7109375" style="2524" customWidth="1"/>
    <col min="1549" max="1551" width="10.7109375" style="2524" bestFit="1" customWidth="1"/>
    <col min="1552" max="1553" width="10.7109375" style="2524" customWidth="1"/>
    <col min="1554" max="1555" width="10.7109375" style="2524" bestFit="1" customWidth="1"/>
    <col min="1556" max="1792" width="9.140625" style="2524"/>
    <col min="1793" max="1793" width="14.140625" style="2524" customWidth="1"/>
    <col min="1794" max="1794" width="66.28515625" style="2524" bestFit="1" customWidth="1"/>
    <col min="1795" max="1795" width="10" style="2524" bestFit="1" customWidth="1"/>
    <col min="1796" max="1797" width="8.5703125" style="2524" bestFit="1" customWidth="1"/>
    <col min="1798" max="1798" width="17.42578125" style="2524" bestFit="1" customWidth="1"/>
    <col min="1799" max="1799" width="17.28515625" style="2524" bestFit="1" customWidth="1"/>
    <col min="1800" max="1801" width="10.7109375" style="2524" customWidth="1"/>
    <col min="1802" max="1803" width="10.7109375" style="2524" bestFit="1" customWidth="1"/>
    <col min="1804" max="1804" width="10.7109375" style="2524" customWidth="1"/>
    <col min="1805" max="1807" width="10.7109375" style="2524" bestFit="1" customWidth="1"/>
    <col min="1808" max="1809" width="10.7109375" style="2524" customWidth="1"/>
    <col min="1810" max="1811" width="10.7109375" style="2524" bestFit="1" customWidth="1"/>
    <col min="1812" max="2048" width="9.140625" style="2524"/>
    <col min="2049" max="2049" width="14.140625" style="2524" customWidth="1"/>
    <col min="2050" max="2050" width="66.28515625" style="2524" bestFit="1" customWidth="1"/>
    <col min="2051" max="2051" width="10" style="2524" bestFit="1" customWidth="1"/>
    <col min="2052" max="2053" width="8.5703125" style="2524" bestFit="1" customWidth="1"/>
    <col min="2054" max="2054" width="17.42578125" style="2524" bestFit="1" customWidth="1"/>
    <col min="2055" max="2055" width="17.28515625" style="2524" bestFit="1" customWidth="1"/>
    <col min="2056" max="2057" width="10.7109375" style="2524" customWidth="1"/>
    <col min="2058" max="2059" width="10.7109375" style="2524" bestFit="1" customWidth="1"/>
    <col min="2060" max="2060" width="10.7109375" style="2524" customWidth="1"/>
    <col min="2061" max="2063" width="10.7109375" style="2524" bestFit="1" customWidth="1"/>
    <col min="2064" max="2065" width="10.7109375" style="2524" customWidth="1"/>
    <col min="2066" max="2067" width="10.7109375" style="2524" bestFit="1" customWidth="1"/>
    <col min="2068" max="2304" width="9.140625" style="2524"/>
    <col min="2305" max="2305" width="14.140625" style="2524" customWidth="1"/>
    <col min="2306" max="2306" width="66.28515625" style="2524" bestFit="1" customWidth="1"/>
    <col min="2307" max="2307" width="10" style="2524" bestFit="1" customWidth="1"/>
    <col min="2308" max="2309" width="8.5703125" style="2524" bestFit="1" customWidth="1"/>
    <col min="2310" max="2310" width="17.42578125" style="2524" bestFit="1" customWidth="1"/>
    <col min="2311" max="2311" width="17.28515625" style="2524" bestFit="1" customWidth="1"/>
    <col min="2312" max="2313" width="10.7109375" style="2524" customWidth="1"/>
    <col min="2314" max="2315" width="10.7109375" style="2524" bestFit="1" customWidth="1"/>
    <col min="2316" max="2316" width="10.7109375" style="2524" customWidth="1"/>
    <col min="2317" max="2319" width="10.7109375" style="2524" bestFit="1" customWidth="1"/>
    <col min="2320" max="2321" width="10.7109375" style="2524" customWidth="1"/>
    <col min="2322" max="2323" width="10.7109375" style="2524" bestFit="1" customWidth="1"/>
    <col min="2324" max="2560" width="9.140625" style="2524"/>
    <col min="2561" max="2561" width="14.140625" style="2524" customWidth="1"/>
    <col min="2562" max="2562" width="66.28515625" style="2524" bestFit="1" customWidth="1"/>
    <col min="2563" max="2563" width="10" style="2524" bestFit="1" customWidth="1"/>
    <col min="2564" max="2565" width="8.5703125" style="2524" bestFit="1" customWidth="1"/>
    <col min="2566" max="2566" width="17.42578125" style="2524" bestFit="1" customWidth="1"/>
    <col min="2567" max="2567" width="17.28515625" style="2524" bestFit="1" customWidth="1"/>
    <col min="2568" max="2569" width="10.7109375" style="2524" customWidth="1"/>
    <col min="2570" max="2571" width="10.7109375" style="2524" bestFit="1" customWidth="1"/>
    <col min="2572" max="2572" width="10.7109375" style="2524" customWidth="1"/>
    <col min="2573" max="2575" width="10.7109375" style="2524" bestFit="1" customWidth="1"/>
    <col min="2576" max="2577" width="10.7109375" style="2524" customWidth="1"/>
    <col min="2578" max="2579" width="10.7109375" style="2524" bestFit="1" customWidth="1"/>
    <col min="2580" max="2816" width="9.140625" style="2524"/>
    <col min="2817" max="2817" width="14.140625" style="2524" customWidth="1"/>
    <col min="2818" max="2818" width="66.28515625" style="2524" bestFit="1" customWidth="1"/>
    <col min="2819" max="2819" width="10" style="2524" bestFit="1" customWidth="1"/>
    <col min="2820" max="2821" width="8.5703125" style="2524" bestFit="1" customWidth="1"/>
    <col min="2822" max="2822" width="17.42578125" style="2524" bestFit="1" customWidth="1"/>
    <col min="2823" max="2823" width="17.28515625" style="2524" bestFit="1" customWidth="1"/>
    <col min="2824" max="2825" width="10.7109375" style="2524" customWidth="1"/>
    <col min="2826" max="2827" width="10.7109375" style="2524" bestFit="1" customWidth="1"/>
    <col min="2828" max="2828" width="10.7109375" style="2524" customWidth="1"/>
    <col min="2829" max="2831" width="10.7109375" style="2524" bestFit="1" customWidth="1"/>
    <col min="2832" max="2833" width="10.7109375" style="2524" customWidth="1"/>
    <col min="2834" max="2835" width="10.7109375" style="2524" bestFit="1" customWidth="1"/>
    <col min="2836" max="3072" width="9.140625" style="2524"/>
    <col min="3073" max="3073" width="14.140625" style="2524" customWidth="1"/>
    <col min="3074" max="3074" width="66.28515625" style="2524" bestFit="1" customWidth="1"/>
    <col min="3075" max="3075" width="10" style="2524" bestFit="1" customWidth="1"/>
    <col min="3076" max="3077" width="8.5703125" style="2524" bestFit="1" customWidth="1"/>
    <col min="3078" max="3078" width="17.42578125" style="2524" bestFit="1" customWidth="1"/>
    <col min="3079" max="3079" width="17.28515625" style="2524" bestFit="1" customWidth="1"/>
    <col min="3080" max="3081" width="10.7109375" style="2524" customWidth="1"/>
    <col min="3082" max="3083" width="10.7109375" style="2524" bestFit="1" customWidth="1"/>
    <col min="3084" max="3084" width="10.7109375" style="2524" customWidth="1"/>
    <col min="3085" max="3087" width="10.7109375" style="2524" bestFit="1" customWidth="1"/>
    <col min="3088" max="3089" width="10.7109375" style="2524" customWidth="1"/>
    <col min="3090" max="3091" width="10.7109375" style="2524" bestFit="1" customWidth="1"/>
    <col min="3092" max="3328" width="9.140625" style="2524"/>
    <col min="3329" max="3329" width="14.140625" style="2524" customWidth="1"/>
    <col min="3330" max="3330" width="66.28515625" style="2524" bestFit="1" customWidth="1"/>
    <col min="3331" max="3331" width="10" style="2524" bestFit="1" customWidth="1"/>
    <col min="3332" max="3333" width="8.5703125" style="2524" bestFit="1" customWidth="1"/>
    <col min="3334" max="3334" width="17.42578125" style="2524" bestFit="1" customWidth="1"/>
    <col min="3335" max="3335" width="17.28515625" style="2524" bestFit="1" customWidth="1"/>
    <col min="3336" max="3337" width="10.7109375" style="2524" customWidth="1"/>
    <col min="3338" max="3339" width="10.7109375" style="2524" bestFit="1" customWidth="1"/>
    <col min="3340" max="3340" width="10.7109375" style="2524" customWidth="1"/>
    <col min="3341" max="3343" width="10.7109375" style="2524" bestFit="1" customWidth="1"/>
    <col min="3344" max="3345" width="10.7109375" style="2524" customWidth="1"/>
    <col min="3346" max="3347" width="10.7109375" style="2524" bestFit="1" customWidth="1"/>
    <col min="3348" max="3584" width="9.140625" style="2524"/>
    <col min="3585" max="3585" width="14.140625" style="2524" customWidth="1"/>
    <col min="3586" max="3586" width="66.28515625" style="2524" bestFit="1" customWidth="1"/>
    <col min="3587" max="3587" width="10" style="2524" bestFit="1" customWidth="1"/>
    <col min="3588" max="3589" width="8.5703125" style="2524" bestFit="1" customWidth="1"/>
    <col min="3590" max="3590" width="17.42578125" style="2524" bestFit="1" customWidth="1"/>
    <col min="3591" max="3591" width="17.28515625" style="2524" bestFit="1" customWidth="1"/>
    <col min="3592" max="3593" width="10.7109375" style="2524" customWidth="1"/>
    <col min="3594" max="3595" width="10.7109375" style="2524" bestFit="1" customWidth="1"/>
    <col min="3596" max="3596" width="10.7109375" style="2524" customWidth="1"/>
    <col min="3597" max="3599" width="10.7109375" style="2524" bestFit="1" customWidth="1"/>
    <col min="3600" max="3601" width="10.7109375" style="2524" customWidth="1"/>
    <col min="3602" max="3603" width="10.7109375" style="2524" bestFit="1" customWidth="1"/>
    <col min="3604" max="3840" width="9.140625" style="2524"/>
    <col min="3841" max="3841" width="14.140625" style="2524" customWidth="1"/>
    <col min="3842" max="3842" width="66.28515625" style="2524" bestFit="1" customWidth="1"/>
    <col min="3843" max="3843" width="10" style="2524" bestFit="1" customWidth="1"/>
    <col min="3844" max="3845" width="8.5703125" style="2524" bestFit="1" customWidth="1"/>
    <col min="3846" max="3846" width="17.42578125" style="2524" bestFit="1" customWidth="1"/>
    <col min="3847" max="3847" width="17.28515625" style="2524" bestFit="1" customWidth="1"/>
    <col min="3848" max="3849" width="10.7109375" style="2524" customWidth="1"/>
    <col min="3850" max="3851" width="10.7109375" style="2524" bestFit="1" customWidth="1"/>
    <col min="3852" max="3852" width="10.7109375" style="2524" customWidth="1"/>
    <col min="3853" max="3855" width="10.7109375" style="2524" bestFit="1" customWidth="1"/>
    <col min="3856" max="3857" width="10.7109375" style="2524" customWidth="1"/>
    <col min="3858" max="3859" width="10.7109375" style="2524" bestFit="1" customWidth="1"/>
    <col min="3860" max="4096" width="9.140625" style="2524"/>
    <col min="4097" max="4097" width="14.140625" style="2524" customWidth="1"/>
    <col min="4098" max="4098" width="66.28515625" style="2524" bestFit="1" customWidth="1"/>
    <col min="4099" max="4099" width="10" style="2524" bestFit="1" customWidth="1"/>
    <col min="4100" max="4101" width="8.5703125" style="2524" bestFit="1" customWidth="1"/>
    <col min="4102" max="4102" width="17.42578125" style="2524" bestFit="1" customWidth="1"/>
    <col min="4103" max="4103" width="17.28515625" style="2524" bestFit="1" customWidth="1"/>
    <col min="4104" max="4105" width="10.7109375" style="2524" customWidth="1"/>
    <col min="4106" max="4107" width="10.7109375" style="2524" bestFit="1" customWidth="1"/>
    <col min="4108" max="4108" width="10.7109375" style="2524" customWidth="1"/>
    <col min="4109" max="4111" width="10.7109375" style="2524" bestFit="1" customWidth="1"/>
    <col min="4112" max="4113" width="10.7109375" style="2524" customWidth="1"/>
    <col min="4114" max="4115" width="10.7109375" style="2524" bestFit="1" customWidth="1"/>
    <col min="4116" max="4352" width="9.140625" style="2524"/>
    <col min="4353" max="4353" width="14.140625" style="2524" customWidth="1"/>
    <col min="4354" max="4354" width="66.28515625" style="2524" bestFit="1" customWidth="1"/>
    <col min="4355" max="4355" width="10" style="2524" bestFit="1" customWidth="1"/>
    <col min="4356" max="4357" width="8.5703125" style="2524" bestFit="1" customWidth="1"/>
    <col min="4358" max="4358" width="17.42578125" style="2524" bestFit="1" customWidth="1"/>
    <col min="4359" max="4359" width="17.28515625" style="2524" bestFit="1" customWidth="1"/>
    <col min="4360" max="4361" width="10.7109375" style="2524" customWidth="1"/>
    <col min="4362" max="4363" width="10.7109375" style="2524" bestFit="1" customWidth="1"/>
    <col min="4364" max="4364" width="10.7109375" style="2524" customWidth="1"/>
    <col min="4365" max="4367" width="10.7109375" style="2524" bestFit="1" customWidth="1"/>
    <col min="4368" max="4369" width="10.7109375" style="2524" customWidth="1"/>
    <col min="4370" max="4371" width="10.7109375" style="2524" bestFit="1" customWidth="1"/>
    <col min="4372" max="4608" width="9.140625" style="2524"/>
    <col min="4609" max="4609" width="14.140625" style="2524" customWidth="1"/>
    <col min="4610" max="4610" width="66.28515625" style="2524" bestFit="1" customWidth="1"/>
    <col min="4611" max="4611" width="10" style="2524" bestFit="1" customWidth="1"/>
    <col min="4612" max="4613" width="8.5703125" style="2524" bestFit="1" customWidth="1"/>
    <col min="4614" max="4614" width="17.42578125" style="2524" bestFit="1" customWidth="1"/>
    <col min="4615" max="4615" width="17.28515625" style="2524" bestFit="1" customWidth="1"/>
    <col min="4616" max="4617" width="10.7109375" style="2524" customWidth="1"/>
    <col min="4618" max="4619" width="10.7109375" style="2524" bestFit="1" customWidth="1"/>
    <col min="4620" max="4620" width="10.7109375" style="2524" customWidth="1"/>
    <col min="4621" max="4623" width="10.7109375" style="2524" bestFit="1" customWidth="1"/>
    <col min="4624" max="4625" width="10.7109375" style="2524" customWidth="1"/>
    <col min="4626" max="4627" width="10.7109375" style="2524" bestFit="1" customWidth="1"/>
    <col min="4628" max="4864" width="9.140625" style="2524"/>
    <col min="4865" max="4865" width="14.140625" style="2524" customWidth="1"/>
    <col min="4866" max="4866" width="66.28515625" style="2524" bestFit="1" customWidth="1"/>
    <col min="4867" max="4867" width="10" style="2524" bestFit="1" customWidth="1"/>
    <col min="4868" max="4869" width="8.5703125" style="2524" bestFit="1" customWidth="1"/>
    <col min="4870" max="4870" width="17.42578125" style="2524" bestFit="1" customWidth="1"/>
    <col min="4871" max="4871" width="17.28515625" style="2524" bestFit="1" customWidth="1"/>
    <col min="4872" max="4873" width="10.7109375" style="2524" customWidth="1"/>
    <col min="4874" max="4875" width="10.7109375" style="2524" bestFit="1" customWidth="1"/>
    <col min="4876" max="4876" width="10.7109375" style="2524" customWidth="1"/>
    <col min="4877" max="4879" width="10.7109375" style="2524" bestFit="1" customWidth="1"/>
    <col min="4880" max="4881" width="10.7109375" style="2524" customWidth="1"/>
    <col min="4882" max="4883" width="10.7109375" style="2524" bestFit="1" customWidth="1"/>
    <col min="4884" max="5120" width="9.140625" style="2524"/>
    <col min="5121" max="5121" width="14.140625" style="2524" customWidth="1"/>
    <col min="5122" max="5122" width="66.28515625" style="2524" bestFit="1" customWidth="1"/>
    <col min="5123" max="5123" width="10" style="2524" bestFit="1" customWidth="1"/>
    <col min="5124" max="5125" width="8.5703125" style="2524" bestFit="1" customWidth="1"/>
    <col min="5126" max="5126" width="17.42578125" style="2524" bestFit="1" customWidth="1"/>
    <col min="5127" max="5127" width="17.28515625" style="2524" bestFit="1" customWidth="1"/>
    <col min="5128" max="5129" width="10.7109375" style="2524" customWidth="1"/>
    <col min="5130" max="5131" width="10.7109375" style="2524" bestFit="1" customWidth="1"/>
    <col min="5132" max="5132" width="10.7109375" style="2524" customWidth="1"/>
    <col min="5133" max="5135" width="10.7109375" style="2524" bestFit="1" customWidth="1"/>
    <col min="5136" max="5137" width="10.7109375" style="2524" customWidth="1"/>
    <col min="5138" max="5139" width="10.7109375" style="2524" bestFit="1" customWidth="1"/>
    <col min="5140" max="5376" width="9.140625" style="2524"/>
    <col min="5377" max="5377" width="14.140625" style="2524" customWidth="1"/>
    <col min="5378" max="5378" width="66.28515625" style="2524" bestFit="1" customWidth="1"/>
    <col min="5379" max="5379" width="10" style="2524" bestFit="1" customWidth="1"/>
    <col min="5380" max="5381" width="8.5703125" style="2524" bestFit="1" customWidth="1"/>
    <col min="5382" max="5382" width="17.42578125" style="2524" bestFit="1" customWidth="1"/>
    <col min="5383" max="5383" width="17.28515625" style="2524" bestFit="1" customWidth="1"/>
    <col min="5384" max="5385" width="10.7109375" style="2524" customWidth="1"/>
    <col min="5386" max="5387" width="10.7109375" style="2524" bestFit="1" customWidth="1"/>
    <col min="5388" max="5388" width="10.7109375" style="2524" customWidth="1"/>
    <col min="5389" max="5391" width="10.7109375" style="2524" bestFit="1" customWidth="1"/>
    <col min="5392" max="5393" width="10.7109375" style="2524" customWidth="1"/>
    <col min="5394" max="5395" width="10.7109375" style="2524" bestFit="1" customWidth="1"/>
    <col min="5396" max="5632" width="9.140625" style="2524"/>
    <col min="5633" max="5633" width="14.140625" style="2524" customWidth="1"/>
    <col min="5634" max="5634" width="66.28515625" style="2524" bestFit="1" customWidth="1"/>
    <col min="5635" max="5635" width="10" style="2524" bestFit="1" customWidth="1"/>
    <col min="5636" max="5637" width="8.5703125" style="2524" bestFit="1" customWidth="1"/>
    <col min="5638" max="5638" width="17.42578125" style="2524" bestFit="1" customWidth="1"/>
    <col min="5639" max="5639" width="17.28515625" style="2524" bestFit="1" customWidth="1"/>
    <col min="5640" max="5641" width="10.7109375" style="2524" customWidth="1"/>
    <col min="5642" max="5643" width="10.7109375" style="2524" bestFit="1" customWidth="1"/>
    <col min="5644" max="5644" width="10.7109375" style="2524" customWidth="1"/>
    <col min="5645" max="5647" width="10.7109375" style="2524" bestFit="1" customWidth="1"/>
    <col min="5648" max="5649" width="10.7109375" style="2524" customWidth="1"/>
    <col min="5650" max="5651" width="10.7109375" style="2524" bestFit="1" customWidth="1"/>
    <col min="5652" max="5888" width="9.140625" style="2524"/>
    <col min="5889" max="5889" width="14.140625" style="2524" customWidth="1"/>
    <col min="5890" max="5890" width="66.28515625" style="2524" bestFit="1" customWidth="1"/>
    <col min="5891" max="5891" width="10" style="2524" bestFit="1" customWidth="1"/>
    <col min="5892" max="5893" width="8.5703125" style="2524" bestFit="1" customWidth="1"/>
    <col min="5894" max="5894" width="17.42578125" style="2524" bestFit="1" customWidth="1"/>
    <col min="5895" max="5895" width="17.28515625" style="2524" bestFit="1" customWidth="1"/>
    <col min="5896" max="5897" width="10.7109375" style="2524" customWidth="1"/>
    <col min="5898" max="5899" width="10.7109375" style="2524" bestFit="1" customWidth="1"/>
    <col min="5900" max="5900" width="10.7109375" style="2524" customWidth="1"/>
    <col min="5901" max="5903" width="10.7109375" style="2524" bestFit="1" customWidth="1"/>
    <col min="5904" max="5905" width="10.7109375" style="2524" customWidth="1"/>
    <col min="5906" max="5907" width="10.7109375" style="2524" bestFit="1" customWidth="1"/>
    <col min="5908" max="6144" width="9.140625" style="2524"/>
    <col min="6145" max="6145" width="14.140625" style="2524" customWidth="1"/>
    <col min="6146" max="6146" width="66.28515625" style="2524" bestFit="1" customWidth="1"/>
    <col min="6147" max="6147" width="10" style="2524" bestFit="1" customWidth="1"/>
    <col min="6148" max="6149" width="8.5703125" style="2524" bestFit="1" customWidth="1"/>
    <col min="6150" max="6150" width="17.42578125" style="2524" bestFit="1" customWidth="1"/>
    <col min="6151" max="6151" width="17.28515625" style="2524" bestFit="1" customWidth="1"/>
    <col min="6152" max="6153" width="10.7109375" style="2524" customWidth="1"/>
    <col min="6154" max="6155" width="10.7109375" style="2524" bestFit="1" customWidth="1"/>
    <col min="6156" max="6156" width="10.7109375" style="2524" customWidth="1"/>
    <col min="6157" max="6159" width="10.7109375" style="2524" bestFit="1" customWidth="1"/>
    <col min="6160" max="6161" width="10.7109375" style="2524" customWidth="1"/>
    <col min="6162" max="6163" width="10.7109375" style="2524" bestFit="1" customWidth="1"/>
    <col min="6164" max="6400" width="9.140625" style="2524"/>
    <col min="6401" max="6401" width="14.140625" style="2524" customWidth="1"/>
    <col min="6402" max="6402" width="66.28515625" style="2524" bestFit="1" customWidth="1"/>
    <col min="6403" max="6403" width="10" style="2524" bestFit="1" customWidth="1"/>
    <col min="6404" max="6405" width="8.5703125" style="2524" bestFit="1" customWidth="1"/>
    <col min="6406" max="6406" width="17.42578125" style="2524" bestFit="1" customWidth="1"/>
    <col min="6407" max="6407" width="17.28515625" style="2524" bestFit="1" customWidth="1"/>
    <col min="6408" max="6409" width="10.7109375" style="2524" customWidth="1"/>
    <col min="6410" max="6411" width="10.7109375" style="2524" bestFit="1" customWidth="1"/>
    <col min="6412" max="6412" width="10.7109375" style="2524" customWidth="1"/>
    <col min="6413" max="6415" width="10.7109375" style="2524" bestFit="1" customWidth="1"/>
    <col min="6416" max="6417" width="10.7109375" style="2524" customWidth="1"/>
    <col min="6418" max="6419" width="10.7109375" style="2524" bestFit="1" customWidth="1"/>
    <col min="6420" max="6656" width="9.140625" style="2524"/>
    <col min="6657" max="6657" width="14.140625" style="2524" customWidth="1"/>
    <col min="6658" max="6658" width="66.28515625" style="2524" bestFit="1" customWidth="1"/>
    <col min="6659" max="6659" width="10" style="2524" bestFit="1" customWidth="1"/>
    <col min="6660" max="6661" width="8.5703125" style="2524" bestFit="1" customWidth="1"/>
    <col min="6662" max="6662" width="17.42578125" style="2524" bestFit="1" customWidth="1"/>
    <col min="6663" max="6663" width="17.28515625" style="2524" bestFit="1" customWidth="1"/>
    <col min="6664" max="6665" width="10.7109375" style="2524" customWidth="1"/>
    <col min="6666" max="6667" width="10.7109375" style="2524" bestFit="1" customWidth="1"/>
    <col min="6668" max="6668" width="10.7109375" style="2524" customWidth="1"/>
    <col min="6669" max="6671" width="10.7109375" style="2524" bestFit="1" customWidth="1"/>
    <col min="6672" max="6673" width="10.7109375" style="2524" customWidth="1"/>
    <col min="6674" max="6675" width="10.7109375" style="2524" bestFit="1" customWidth="1"/>
    <col min="6676" max="6912" width="9.140625" style="2524"/>
    <col min="6913" max="6913" width="14.140625" style="2524" customWidth="1"/>
    <col min="6914" max="6914" width="66.28515625" style="2524" bestFit="1" customWidth="1"/>
    <col min="6915" max="6915" width="10" style="2524" bestFit="1" customWidth="1"/>
    <col min="6916" max="6917" width="8.5703125" style="2524" bestFit="1" customWidth="1"/>
    <col min="6918" max="6918" width="17.42578125" style="2524" bestFit="1" customWidth="1"/>
    <col min="6919" max="6919" width="17.28515625" style="2524" bestFit="1" customWidth="1"/>
    <col min="6920" max="6921" width="10.7109375" style="2524" customWidth="1"/>
    <col min="6922" max="6923" width="10.7109375" style="2524" bestFit="1" customWidth="1"/>
    <col min="6924" max="6924" width="10.7109375" style="2524" customWidth="1"/>
    <col min="6925" max="6927" width="10.7109375" style="2524" bestFit="1" customWidth="1"/>
    <col min="6928" max="6929" width="10.7109375" style="2524" customWidth="1"/>
    <col min="6930" max="6931" width="10.7109375" style="2524" bestFit="1" customWidth="1"/>
    <col min="6932" max="7168" width="9.140625" style="2524"/>
    <col min="7169" max="7169" width="14.140625" style="2524" customWidth="1"/>
    <col min="7170" max="7170" width="66.28515625" style="2524" bestFit="1" customWidth="1"/>
    <col min="7171" max="7171" width="10" style="2524" bestFit="1" customWidth="1"/>
    <col min="7172" max="7173" width="8.5703125" style="2524" bestFit="1" customWidth="1"/>
    <col min="7174" max="7174" width="17.42578125" style="2524" bestFit="1" customWidth="1"/>
    <col min="7175" max="7175" width="17.28515625" style="2524" bestFit="1" customWidth="1"/>
    <col min="7176" max="7177" width="10.7109375" style="2524" customWidth="1"/>
    <col min="7178" max="7179" width="10.7109375" style="2524" bestFit="1" customWidth="1"/>
    <col min="7180" max="7180" width="10.7109375" style="2524" customWidth="1"/>
    <col min="7181" max="7183" width="10.7109375" style="2524" bestFit="1" customWidth="1"/>
    <col min="7184" max="7185" width="10.7109375" style="2524" customWidth="1"/>
    <col min="7186" max="7187" width="10.7109375" style="2524" bestFit="1" customWidth="1"/>
    <col min="7188" max="7424" width="9.140625" style="2524"/>
    <col min="7425" max="7425" width="14.140625" style="2524" customWidth="1"/>
    <col min="7426" max="7426" width="66.28515625" style="2524" bestFit="1" customWidth="1"/>
    <col min="7427" max="7427" width="10" style="2524" bestFit="1" customWidth="1"/>
    <col min="7428" max="7429" width="8.5703125" style="2524" bestFit="1" customWidth="1"/>
    <col min="7430" max="7430" width="17.42578125" style="2524" bestFit="1" customWidth="1"/>
    <col min="7431" max="7431" width="17.28515625" style="2524" bestFit="1" customWidth="1"/>
    <col min="7432" max="7433" width="10.7109375" style="2524" customWidth="1"/>
    <col min="7434" max="7435" width="10.7109375" style="2524" bestFit="1" customWidth="1"/>
    <col min="7436" max="7436" width="10.7109375" style="2524" customWidth="1"/>
    <col min="7437" max="7439" width="10.7109375" style="2524" bestFit="1" customWidth="1"/>
    <col min="7440" max="7441" width="10.7109375" style="2524" customWidth="1"/>
    <col min="7442" max="7443" width="10.7109375" style="2524" bestFit="1" customWidth="1"/>
    <col min="7444" max="7680" width="9.140625" style="2524"/>
    <col min="7681" max="7681" width="14.140625" style="2524" customWidth="1"/>
    <col min="7682" max="7682" width="66.28515625" style="2524" bestFit="1" customWidth="1"/>
    <col min="7683" max="7683" width="10" style="2524" bestFit="1" customWidth="1"/>
    <col min="7684" max="7685" width="8.5703125" style="2524" bestFit="1" customWidth="1"/>
    <col min="7686" max="7686" width="17.42578125" style="2524" bestFit="1" customWidth="1"/>
    <col min="7687" max="7687" width="17.28515625" style="2524" bestFit="1" customWidth="1"/>
    <col min="7688" max="7689" width="10.7109375" style="2524" customWidth="1"/>
    <col min="7690" max="7691" width="10.7109375" style="2524" bestFit="1" customWidth="1"/>
    <col min="7692" max="7692" width="10.7109375" style="2524" customWidth="1"/>
    <col min="7693" max="7695" width="10.7109375" style="2524" bestFit="1" customWidth="1"/>
    <col min="7696" max="7697" width="10.7109375" style="2524" customWidth="1"/>
    <col min="7698" max="7699" width="10.7109375" style="2524" bestFit="1" customWidth="1"/>
    <col min="7700" max="7936" width="9.140625" style="2524"/>
    <col min="7937" max="7937" width="14.140625" style="2524" customWidth="1"/>
    <col min="7938" max="7938" width="66.28515625" style="2524" bestFit="1" customWidth="1"/>
    <col min="7939" max="7939" width="10" style="2524" bestFit="1" customWidth="1"/>
    <col min="7940" max="7941" width="8.5703125" style="2524" bestFit="1" customWidth="1"/>
    <col min="7942" max="7942" width="17.42578125" style="2524" bestFit="1" customWidth="1"/>
    <col min="7943" max="7943" width="17.28515625" style="2524" bestFit="1" customWidth="1"/>
    <col min="7944" max="7945" width="10.7109375" style="2524" customWidth="1"/>
    <col min="7946" max="7947" width="10.7109375" style="2524" bestFit="1" customWidth="1"/>
    <col min="7948" max="7948" width="10.7109375" style="2524" customWidth="1"/>
    <col min="7949" max="7951" width="10.7109375" style="2524" bestFit="1" customWidth="1"/>
    <col min="7952" max="7953" width="10.7109375" style="2524" customWidth="1"/>
    <col min="7954" max="7955" width="10.7109375" style="2524" bestFit="1" customWidth="1"/>
    <col min="7956" max="8192" width="9.140625" style="2524"/>
    <col min="8193" max="8193" width="14.140625" style="2524" customWidth="1"/>
    <col min="8194" max="8194" width="66.28515625" style="2524" bestFit="1" customWidth="1"/>
    <col min="8195" max="8195" width="10" style="2524" bestFit="1" customWidth="1"/>
    <col min="8196" max="8197" width="8.5703125" style="2524" bestFit="1" customWidth="1"/>
    <col min="8198" max="8198" width="17.42578125" style="2524" bestFit="1" customWidth="1"/>
    <col min="8199" max="8199" width="17.28515625" style="2524" bestFit="1" customWidth="1"/>
    <col min="8200" max="8201" width="10.7109375" style="2524" customWidth="1"/>
    <col min="8202" max="8203" width="10.7109375" style="2524" bestFit="1" customWidth="1"/>
    <col min="8204" max="8204" width="10.7109375" style="2524" customWidth="1"/>
    <col min="8205" max="8207" width="10.7109375" style="2524" bestFit="1" customWidth="1"/>
    <col min="8208" max="8209" width="10.7109375" style="2524" customWidth="1"/>
    <col min="8210" max="8211" width="10.7109375" style="2524" bestFit="1" customWidth="1"/>
    <col min="8212" max="8448" width="9.140625" style="2524"/>
    <col min="8449" max="8449" width="14.140625" style="2524" customWidth="1"/>
    <col min="8450" max="8450" width="66.28515625" style="2524" bestFit="1" customWidth="1"/>
    <col min="8451" max="8451" width="10" style="2524" bestFit="1" customWidth="1"/>
    <col min="8452" max="8453" width="8.5703125" style="2524" bestFit="1" customWidth="1"/>
    <col min="8454" max="8454" width="17.42578125" style="2524" bestFit="1" customWidth="1"/>
    <col min="8455" max="8455" width="17.28515625" style="2524" bestFit="1" customWidth="1"/>
    <col min="8456" max="8457" width="10.7109375" style="2524" customWidth="1"/>
    <col min="8458" max="8459" width="10.7109375" style="2524" bestFit="1" customWidth="1"/>
    <col min="8460" max="8460" width="10.7109375" style="2524" customWidth="1"/>
    <col min="8461" max="8463" width="10.7109375" style="2524" bestFit="1" customWidth="1"/>
    <col min="8464" max="8465" width="10.7109375" style="2524" customWidth="1"/>
    <col min="8466" max="8467" width="10.7109375" style="2524" bestFit="1" customWidth="1"/>
    <col min="8468" max="8704" width="9.140625" style="2524"/>
    <col min="8705" max="8705" width="14.140625" style="2524" customWidth="1"/>
    <col min="8706" max="8706" width="66.28515625" style="2524" bestFit="1" customWidth="1"/>
    <col min="8707" max="8707" width="10" style="2524" bestFit="1" customWidth="1"/>
    <col min="8708" max="8709" width="8.5703125" style="2524" bestFit="1" customWidth="1"/>
    <col min="8710" max="8710" width="17.42578125" style="2524" bestFit="1" customWidth="1"/>
    <col min="8711" max="8711" width="17.28515625" style="2524" bestFit="1" customWidth="1"/>
    <col min="8712" max="8713" width="10.7109375" style="2524" customWidth="1"/>
    <col min="8714" max="8715" width="10.7109375" style="2524" bestFit="1" customWidth="1"/>
    <col min="8716" max="8716" width="10.7109375" style="2524" customWidth="1"/>
    <col min="8717" max="8719" width="10.7109375" style="2524" bestFit="1" customWidth="1"/>
    <col min="8720" max="8721" width="10.7109375" style="2524" customWidth="1"/>
    <col min="8722" max="8723" width="10.7109375" style="2524" bestFit="1" customWidth="1"/>
    <col min="8724" max="8960" width="9.140625" style="2524"/>
    <col min="8961" max="8961" width="14.140625" style="2524" customWidth="1"/>
    <col min="8962" max="8962" width="66.28515625" style="2524" bestFit="1" customWidth="1"/>
    <col min="8963" max="8963" width="10" style="2524" bestFit="1" customWidth="1"/>
    <col min="8964" max="8965" width="8.5703125" style="2524" bestFit="1" customWidth="1"/>
    <col min="8966" max="8966" width="17.42578125" style="2524" bestFit="1" customWidth="1"/>
    <col min="8967" max="8967" width="17.28515625" style="2524" bestFit="1" customWidth="1"/>
    <col min="8968" max="8969" width="10.7109375" style="2524" customWidth="1"/>
    <col min="8970" max="8971" width="10.7109375" style="2524" bestFit="1" customWidth="1"/>
    <col min="8972" max="8972" width="10.7109375" style="2524" customWidth="1"/>
    <col min="8973" max="8975" width="10.7109375" style="2524" bestFit="1" customWidth="1"/>
    <col min="8976" max="8977" width="10.7109375" style="2524" customWidth="1"/>
    <col min="8978" max="8979" width="10.7109375" style="2524" bestFit="1" customWidth="1"/>
    <col min="8980" max="9216" width="9.140625" style="2524"/>
    <col min="9217" max="9217" width="14.140625" style="2524" customWidth="1"/>
    <col min="9218" max="9218" width="66.28515625" style="2524" bestFit="1" customWidth="1"/>
    <col min="9219" max="9219" width="10" style="2524" bestFit="1" customWidth="1"/>
    <col min="9220" max="9221" width="8.5703125" style="2524" bestFit="1" customWidth="1"/>
    <col min="9222" max="9222" width="17.42578125" style="2524" bestFit="1" customWidth="1"/>
    <col min="9223" max="9223" width="17.28515625" style="2524" bestFit="1" customWidth="1"/>
    <col min="9224" max="9225" width="10.7109375" style="2524" customWidth="1"/>
    <col min="9226" max="9227" width="10.7109375" style="2524" bestFit="1" customWidth="1"/>
    <col min="9228" max="9228" width="10.7109375" style="2524" customWidth="1"/>
    <col min="9229" max="9231" width="10.7109375" style="2524" bestFit="1" customWidth="1"/>
    <col min="9232" max="9233" width="10.7109375" style="2524" customWidth="1"/>
    <col min="9234" max="9235" width="10.7109375" style="2524" bestFit="1" customWidth="1"/>
    <col min="9236" max="9472" width="9.140625" style="2524"/>
    <col min="9473" max="9473" width="14.140625" style="2524" customWidth="1"/>
    <col min="9474" max="9474" width="66.28515625" style="2524" bestFit="1" customWidth="1"/>
    <col min="9475" max="9475" width="10" style="2524" bestFit="1" customWidth="1"/>
    <col min="9476" max="9477" width="8.5703125" style="2524" bestFit="1" customWidth="1"/>
    <col min="9478" max="9478" width="17.42578125" style="2524" bestFit="1" customWidth="1"/>
    <col min="9479" max="9479" width="17.28515625" style="2524" bestFit="1" customWidth="1"/>
    <col min="9480" max="9481" width="10.7109375" style="2524" customWidth="1"/>
    <col min="9482" max="9483" width="10.7109375" style="2524" bestFit="1" customWidth="1"/>
    <col min="9484" max="9484" width="10.7109375" style="2524" customWidth="1"/>
    <col min="9485" max="9487" width="10.7109375" style="2524" bestFit="1" customWidth="1"/>
    <col min="9488" max="9489" width="10.7109375" style="2524" customWidth="1"/>
    <col min="9490" max="9491" width="10.7109375" style="2524" bestFit="1" customWidth="1"/>
    <col min="9492" max="9728" width="9.140625" style="2524"/>
    <col min="9729" max="9729" width="14.140625" style="2524" customWidth="1"/>
    <col min="9730" max="9730" width="66.28515625" style="2524" bestFit="1" customWidth="1"/>
    <col min="9731" max="9731" width="10" style="2524" bestFit="1" customWidth="1"/>
    <col min="9732" max="9733" width="8.5703125" style="2524" bestFit="1" customWidth="1"/>
    <col min="9734" max="9734" width="17.42578125" style="2524" bestFit="1" customWidth="1"/>
    <col min="9735" max="9735" width="17.28515625" style="2524" bestFit="1" customWidth="1"/>
    <col min="9736" max="9737" width="10.7109375" style="2524" customWidth="1"/>
    <col min="9738" max="9739" width="10.7109375" style="2524" bestFit="1" customWidth="1"/>
    <col min="9740" max="9740" width="10.7109375" style="2524" customWidth="1"/>
    <col min="9741" max="9743" width="10.7109375" style="2524" bestFit="1" customWidth="1"/>
    <col min="9744" max="9745" width="10.7109375" style="2524" customWidth="1"/>
    <col min="9746" max="9747" width="10.7109375" style="2524" bestFit="1" customWidth="1"/>
    <col min="9748" max="9984" width="9.140625" style="2524"/>
    <col min="9985" max="9985" width="14.140625" style="2524" customWidth="1"/>
    <col min="9986" max="9986" width="66.28515625" style="2524" bestFit="1" customWidth="1"/>
    <col min="9987" max="9987" width="10" style="2524" bestFit="1" customWidth="1"/>
    <col min="9988" max="9989" width="8.5703125" style="2524" bestFit="1" customWidth="1"/>
    <col min="9990" max="9990" width="17.42578125" style="2524" bestFit="1" customWidth="1"/>
    <col min="9991" max="9991" width="17.28515625" style="2524" bestFit="1" customWidth="1"/>
    <col min="9992" max="9993" width="10.7109375" style="2524" customWidth="1"/>
    <col min="9994" max="9995" width="10.7109375" style="2524" bestFit="1" customWidth="1"/>
    <col min="9996" max="9996" width="10.7109375" style="2524" customWidth="1"/>
    <col min="9997" max="9999" width="10.7109375" style="2524" bestFit="1" customWidth="1"/>
    <col min="10000" max="10001" width="10.7109375" style="2524" customWidth="1"/>
    <col min="10002" max="10003" width="10.7109375" style="2524" bestFit="1" customWidth="1"/>
    <col min="10004" max="10240" width="9.140625" style="2524"/>
    <col min="10241" max="10241" width="14.140625" style="2524" customWidth="1"/>
    <col min="10242" max="10242" width="66.28515625" style="2524" bestFit="1" customWidth="1"/>
    <col min="10243" max="10243" width="10" style="2524" bestFit="1" customWidth="1"/>
    <col min="10244" max="10245" width="8.5703125" style="2524" bestFit="1" customWidth="1"/>
    <col min="10246" max="10246" width="17.42578125" style="2524" bestFit="1" customWidth="1"/>
    <col min="10247" max="10247" width="17.28515625" style="2524" bestFit="1" customWidth="1"/>
    <col min="10248" max="10249" width="10.7109375" style="2524" customWidth="1"/>
    <col min="10250" max="10251" width="10.7109375" style="2524" bestFit="1" customWidth="1"/>
    <col min="10252" max="10252" width="10.7109375" style="2524" customWidth="1"/>
    <col min="10253" max="10255" width="10.7109375" style="2524" bestFit="1" customWidth="1"/>
    <col min="10256" max="10257" width="10.7109375" style="2524" customWidth="1"/>
    <col min="10258" max="10259" width="10.7109375" style="2524" bestFit="1" customWidth="1"/>
    <col min="10260" max="10496" width="9.140625" style="2524"/>
    <col min="10497" max="10497" width="14.140625" style="2524" customWidth="1"/>
    <col min="10498" max="10498" width="66.28515625" style="2524" bestFit="1" customWidth="1"/>
    <col min="10499" max="10499" width="10" style="2524" bestFit="1" customWidth="1"/>
    <col min="10500" max="10501" width="8.5703125" style="2524" bestFit="1" customWidth="1"/>
    <col min="10502" max="10502" width="17.42578125" style="2524" bestFit="1" customWidth="1"/>
    <col min="10503" max="10503" width="17.28515625" style="2524" bestFit="1" customWidth="1"/>
    <col min="10504" max="10505" width="10.7109375" style="2524" customWidth="1"/>
    <col min="10506" max="10507" width="10.7109375" style="2524" bestFit="1" customWidth="1"/>
    <col min="10508" max="10508" width="10.7109375" style="2524" customWidth="1"/>
    <col min="10509" max="10511" width="10.7109375" style="2524" bestFit="1" customWidth="1"/>
    <col min="10512" max="10513" width="10.7109375" style="2524" customWidth="1"/>
    <col min="10514" max="10515" width="10.7109375" style="2524" bestFit="1" customWidth="1"/>
    <col min="10516" max="10752" width="9.140625" style="2524"/>
    <col min="10753" max="10753" width="14.140625" style="2524" customWidth="1"/>
    <col min="10754" max="10754" width="66.28515625" style="2524" bestFit="1" customWidth="1"/>
    <col min="10755" max="10755" width="10" style="2524" bestFit="1" customWidth="1"/>
    <col min="10756" max="10757" width="8.5703125" style="2524" bestFit="1" customWidth="1"/>
    <col min="10758" max="10758" width="17.42578125" style="2524" bestFit="1" customWidth="1"/>
    <col min="10759" max="10759" width="17.28515625" style="2524" bestFit="1" customWidth="1"/>
    <col min="10760" max="10761" width="10.7109375" style="2524" customWidth="1"/>
    <col min="10762" max="10763" width="10.7109375" style="2524" bestFit="1" customWidth="1"/>
    <col min="10764" max="10764" width="10.7109375" style="2524" customWidth="1"/>
    <col min="10765" max="10767" width="10.7109375" style="2524" bestFit="1" customWidth="1"/>
    <col min="10768" max="10769" width="10.7109375" style="2524" customWidth="1"/>
    <col min="10770" max="10771" width="10.7109375" style="2524" bestFit="1" customWidth="1"/>
    <col min="10772" max="11008" width="9.140625" style="2524"/>
    <col min="11009" max="11009" width="14.140625" style="2524" customWidth="1"/>
    <col min="11010" max="11010" width="66.28515625" style="2524" bestFit="1" customWidth="1"/>
    <col min="11011" max="11011" width="10" style="2524" bestFit="1" customWidth="1"/>
    <col min="11012" max="11013" width="8.5703125" style="2524" bestFit="1" customWidth="1"/>
    <col min="11014" max="11014" width="17.42578125" style="2524" bestFit="1" customWidth="1"/>
    <col min="11015" max="11015" width="17.28515625" style="2524" bestFit="1" customWidth="1"/>
    <col min="11016" max="11017" width="10.7109375" style="2524" customWidth="1"/>
    <col min="11018" max="11019" width="10.7109375" style="2524" bestFit="1" customWidth="1"/>
    <col min="11020" max="11020" width="10.7109375" style="2524" customWidth="1"/>
    <col min="11021" max="11023" width="10.7109375" style="2524" bestFit="1" customWidth="1"/>
    <col min="11024" max="11025" width="10.7109375" style="2524" customWidth="1"/>
    <col min="11026" max="11027" width="10.7109375" style="2524" bestFit="1" customWidth="1"/>
    <col min="11028" max="11264" width="9.140625" style="2524"/>
    <col min="11265" max="11265" width="14.140625" style="2524" customWidth="1"/>
    <col min="11266" max="11266" width="66.28515625" style="2524" bestFit="1" customWidth="1"/>
    <col min="11267" max="11267" width="10" style="2524" bestFit="1" customWidth="1"/>
    <col min="11268" max="11269" width="8.5703125" style="2524" bestFit="1" customWidth="1"/>
    <col min="11270" max="11270" width="17.42578125" style="2524" bestFit="1" customWidth="1"/>
    <col min="11271" max="11271" width="17.28515625" style="2524" bestFit="1" customWidth="1"/>
    <col min="11272" max="11273" width="10.7109375" style="2524" customWidth="1"/>
    <col min="11274" max="11275" width="10.7109375" style="2524" bestFit="1" customWidth="1"/>
    <col min="11276" max="11276" width="10.7109375" style="2524" customWidth="1"/>
    <col min="11277" max="11279" width="10.7109375" style="2524" bestFit="1" customWidth="1"/>
    <col min="11280" max="11281" width="10.7109375" style="2524" customWidth="1"/>
    <col min="11282" max="11283" width="10.7109375" style="2524" bestFit="1" customWidth="1"/>
    <col min="11284" max="11520" width="9.140625" style="2524"/>
    <col min="11521" max="11521" width="14.140625" style="2524" customWidth="1"/>
    <col min="11522" max="11522" width="66.28515625" style="2524" bestFit="1" customWidth="1"/>
    <col min="11523" max="11523" width="10" style="2524" bestFit="1" customWidth="1"/>
    <col min="11524" max="11525" width="8.5703125" style="2524" bestFit="1" customWidth="1"/>
    <col min="11526" max="11526" width="17.42578125" style="2524" bestFit="1" customWidth="1"/>
    <col min="11527" max="11527" width="17.28515625" style="2524" bestFit="1" customWidth="1"/>
    <col min="11528" max="11529" width="10.7109375" style="2524" customWidth="1"/>
    <col min="11530" max="11531" width="10.7109375" style="2524" bestFit="1" customWidth="1"/>
    <col min="11532" max="11532" width="10.7109375" style="2524" customWidth="1"/>
    <col min="11533" max="11535" width="10.7109375" style="2524" bestFit="1" customWidth="1"/>
    <col min="11536" max="11537" width="10.7109375" style="2524" customWidth="1"/>
    <col min="11538" max="11539" width="10.7109375" style="2524" bestFit="1" customWidth="1"/>
    <col min="11540" max="11776" width="9.140625" style="2524"/>
    <col min="11777" max="11777" width="14.140625" style="2524" customWidth="1"/>
    <col min="11778" max="11778" width="66.28515625" style="2524" bestFit="1" customWidth="1"/>
    <col min="11779" max="11779" width="10" style="2524" bestFit="1" customWidth="1"/>
    <col min="11780" max="11781" width="8.5703125" style="2524" bestFit="1" customWidth="1"/>
    <col min="11782" max="11782" width="17.42578125" style="2524" bestFit="1" customWidth="1"/>
    <col min="11783" max="11783" width="17.28515625" style="2524" bestFit="1" customWidth="1"/>
    <col min="11784" max="11785" width="10.7109375" style="2524" customWidth="1"/>
    <col min="11786" max="11787" width="10.7109375" style="2524" bestFit="1" customWidth="1"/>
    <col min="11788" max="11788" width="10.7109375" style="2524" customWidth="1"/>
    <col min="11789" max="11791" width="10.7109375" style="2524" bestFit="1" customWidth="1"/>
    <col min="11792" max="11793" width="10.7109375" style="2524" customWidth="1"/>
    <col min="11794" max="11795" width="10.7109375" style="2524" bestFit="1" customWidth="1"/>
    <col min="11796" max="12032" width="9.140625" style="2524"/>
    <col min="12033" max="12033" width="14.140625" style="2524" customWidth="1"/>
    <col min="12034" max="12034" width="66.28515625" style="2524" bestFit="1" customWidth="1"/>
    <col min="12035" max="12035" width="10" style="2524" bestFit="1" customWidth="1"/>
    <col min="12036" max="12037" width="8.5703125" style="2524" bestFit="1" customWidth="1"/>
    <col min="12038" max="12038" width="17.42578125" style="2524" bestFit="1" customWidth="1"/>
    <col min="12039" max="12039" width="17.28515625" style="2524" bestFit="1" customWidth="1"/>
    <col min="12040" max="12041" width="10.7109375" style="2524" customWidth="1"/>
    <col min="12042" max="12043" width="10.7109375" style="2524" bestFit="1" customWidth="1"/>
    <col min="12044" max="12044" width="10.7109375" style="2524" customWidth="1"/>
    <col min="12045" max="12047" width="10.7109375" style="2524" bestFit="1" customWidth="1"/>
    <col min="12048" max="12049" width="10.7109375" style="2524" customWidth="1"/>
    <col min="12050" max="12051" width="10.7109375" style="2524" bestFit="1" customWidth="1"/>
    <col min="12052" max="12288" width="9.140625" style="2524"/>
    <col min="12289" max="12289" width="14.140625" style="2524" customWidth="1"/>
    <col min="12290" max="12290" width="66.28515625" style="2524" bestFit="1" customWidth="1"/>
    <col min="12291" max="12291" width="10" style="2524" bestFit="1" customWidth="1"/>
    <col min="12292" max="12293" width="8.5703125" style="2524" bestFit="1" customWidth="1"/>
    <col min="12294" max="12294" width="17.42578125" style="2524" bestFit="1" customWidth="1"/>
    <col min="12295" max="12295" width="17.28515625" style="2524" bestFit="1" customWidth="1"/>
    <col min="12296" max="12297" width="10.7109375" style="2524" customWidth="1"/>
    <col min="12298" max="12299" width="10.7109375" style="2524" bestFit="1" customWidth="1"/>
    <col min="12300" max="12300" width="10.7109375" style="2524" customWidth="1"/>
    <col min="12301" max="12303" width="10.7109375" style="2524" bestFit="1" customWidth="1"/>
    <col min="12304" max="12305" width="10.7109375" style="2524" customWidth="1"/>
    <col min="12306" max="12307" width="10.7109375" style="2524" bestFit="1" customWidth="1"/>
    <col min="12308" max="12544" width="9.140625" style="2524"/>
    <col min="12545" max="12545" width="14.140625" style="2524" customWidth="1"/>
    <col min="12546" max="12546" width="66.28515625" style="2524" bestFit="1" customWidth="1"/>
    <col min="12547" max="12547" width="10" style="2524" bestFit="1" customWidth="1"/>
    <col min="12548" max="12549" width="8.5703125" style="2524" bestFit="1" customWidth="1"/>
    <col min="12550" max="12550" width="17.42578125" style="2524" bestFit="1" customWidth="1"/>
    <col min="12551" max="12551" width="17.28515625" style="2524" bestFit="1" customWidth="1"/>
    <col min="12552" max="12553" width="10.7109375" style="2524" customWidth="1"/>
    <col min="12554" max="12555" width="10.7109375" style="2524" bestFit="1" customWidth="1"/>
    <col min="12556" max="12556" width="10.7109375" style="2524" customWidth="1"/>
    <col min="12557" max="12559" width="10.7109375" style="2524" bestFit="1" customWidth="1"/>
    <col min="12560" max="12561" width="10.7109375" style="2524" customWidth="1"/>
    <col min="12562" max="12563" width="10.7109375" style="2524" bestFit="1" customWidth="1"/>
    <col min="12564" max="12800" width="9.140625" style="2524"/>
    <col min="12801" max="12801" width="14.140625" style="2524" customWidth="1"/>
    <col min="12802" max="12802" width="66.28515625" style="2524" bestFit="1" customWidth="1"/>
    <col min="12803" max="12803" width="10" style="2524" bestFit="1" customWidth="1"/>
    <col min="12804" max="12805" width="8.5703125" style="2524" bestFit="1" customWidth="1"/>
    <col min="12806" max="12806" width="17.42578125" style="2524" bestFit="1" customWidth="1"/>
    <col min="12807" max="12807" width="17.28515625" style="2524" bestFit="1" customWidth="1"/>
    <col min="12808" max="12809" width="10.7109375" style="2524" customWidth="1"/>
    <col min="12810" max="12811" width="10.7109375" style="2524" bestFit="1" customWidth="1"/>
    <col min="12812" max="12812" width="10.7109375" style="2524" customWidth="1"/>
    <col min="12813" max="12815" width="10.7109375" style="2524" bestFit="1" customWidth="1"/>
    <col min="12816" max="12817" width="10.7109375" style="2524" customWidth="1"/>
    <col min="12818" max="12819" width="10.7109375" style="2524" bestFit="1" customWidth="1"/>
    <col min="12820" max="13056" width="9.140625" style="2524"/>
    <col min="13057" max="13057" width="14.140625" style="2524" customWidth="1"/>
    <col min="13058" max="13058" width="66.28515625" style="2524" bestFit="1" customWidth="1"/>
    <col min="13059" max="13059" width="10" style="2524" bestFit="1" customWidth="1"/>
    <col min="13060" max="13061" width="8.5703125" style="2524" bestFit="1" customWidth="1"/>
    <col min="13062" max="13062" width="17.42578125" style="2524" bestFit="1" customWidth="1"/>
    <col min="13063" max="13063" width="17.28515625" style="2524" bestFit="1" customWidth="1"/>
    <col min="13064" max="13065" width="10.7109375" style="2524" customWidth="1"/>
    <col min="13066" max="13067" width="10.7109375" style="2524" bestFit="1" customWidth="1"/>
    <col min="13068" max="13068" width="10.7109375" style="2524" customWidth="1"/>
    <col min="13069" max="13071" width="10.7109375" style="2524" bestFit="1" customWidth="1"/>
    <col min="13072" max="13073" width="10.7109375" style="2524" customWidth="1"/>
    <col min="13074" max="13075" width="10.7109375" style="2524" bestFit="1" customWidth="1"/>
    <col min="13076" max="13312" width="9.140625" style="2524"/>
    <col min="13313" max="13313" width="14.140625" style="2524" customWidth="1"/>
    <col min="13314" max="13314" width="66.28515625" style="2524" bestFit="1" customWidth="1"/>
    <col min="13315" max="13315" width="10" style="2524" bestFit="1" customWidth="1"/>
    <col min="13316" max="13317" width="8.5703125" style="2524" bestFit="1" customWidth="1"/>
    <col min="13318" max="13318" width="17.42578125" style="2524" bestFit="1" customWidth="1"/>
    <col min="13319" max="13319" width="17.28515625" style="2524" bestFit="1" customWidth="1"/>
    <col min="13320" max="13321" width="10.7109375" style="2524" customWidth="1"/>
    <col min="13322" max="13323" width="10.7109375" style="2524" bestFit="1" customWidth="1"/>
    <col min="13324" max="13324" width="10.7109375" style="2524" customWidth="1"/>
    <col min="13325" max="13327" width="10.7109375" style="2524" bestFit="1" customWidth="1"/>
    <col min="13328" max="13329" width="10.7109375" style="2524" customWidth="1"/>
    <col min="13330" max="13331" width="10.7109375" style="2524" bestFit="1" customWidth="1"/>
    <col min="13332" max="13568" width="9.140625" style="2524"/>
    <col min="13569" max="13569" width="14.140625" style="2524" customWidth="1"/>
    <col min="13570" max="13570" width="66.28515625" style="2524" bestFit="1" customWidth="1"/>
    <col min="13571" max="13571" width="10" style="2524" bestFit="1" customWidth="1"/>
    <col min="13572" max="13573" width="8.5703125" style="2524" bestFit="1" customWidth="1"/>
    <col min="13574" max="13574" width="17.42578125" style="2524" bestFit="1" customWidth="1"/>
    <col min="13575" max="13575" width="17.28515625" style="2524" bestFit="1" customWidth="1"/>
    <col min="13576" max="13577" width="10.7109375" style="2524" customWidth="1"/>
    <col min="13578" max="13579" width="10.7109375" style="2524" bestFit="1" customWidth="1"/>
    <col min="13580" max="13580" width="10.7109375" style="2524" customWidth="1"/>
    <col min="13581" max="13583" width="10.7109375" style="2524" bestFit="1" customWidth="1"/>
    <col min="13584" max="13585" width="10.7109375" style="2524" customWidth="1"/>
    <col min="13586" max="13587" width="10.7109375" style="2524" bestFit="1" customWidth="1"/>
    <col min="13588" max="13824" width="9.140625" style="2524"/>
    <col min="13825" max="13825" width="14.140625" style="2524" customWidth="1"/>
    <col min="13826" max="13826" width="66.28515625" style="2524" bestFit="1" customWidth="1"/>
    <col min="13827" max="13827" width="10" style="2524" bestFit="1" customWidth="1"/>
    <col min="13828" max="13829" width="8.5703125" style="2524" bestFit="1" customWidth="1"/>
    <col min="13830" max="13830" width="17.42578125" style="2524" bestFit="1" customWidth="1"/>
    <col min="13831" max="13831" width="17.28515625" style="2524" bestFit="1" customWidth="1"/>
    <col min="13832" max="13833" width="10.7109375" style="2524" customWidth="1"/>
    <col min="13834" max="13835" width="10.7109375" style="2524" bestFit="1" customWidth="1"/>
    <col min="13836" max="13836" width="10.7109375" style="2524" customWidth="1"/>
    <col min="13837" max="13839" width="10.7109375" style="2524" bestFit="1" customWidth="1"/>
    <col min="13840" max="13841" width="10.7109375" style="2524" customWidth="1"/>
    <col min="13842" max="13843" width="10.7109375" style="2524" bestFit="1" customWidth="1"/>
    <col min="13844" max="14080" width="9.140625" style="2524"/>
    <col min="14081" max="14081" width="14.140625" style="2524" customWidth="1"/>
    <col min="14082" max="14082" width="66.28515625" style="2524" bestFit="1" customWidth="1"/>
    <col min="14083" max="14083" width="10" style="2524" bestFit="1" customWidth="1"/>
    <col min="14084" max="14085" width="8.5703125" style="2524" bestFit="1" customWidth="1"/>
    <col min="14086" max="14086" width="17.42578125" style="2524" bestFit="1" customWidth="1"/>
    <col min="14087" max="14087" width="17.28515625" style="2524" bestFit="1" customWidth="1"/>
    <col min="14088" max="14089" width="10.7109375" style="2524" customWidth="1"/>
    <col min="14090" max="14091" width="10.7109375" style="2524" bestFit="1" customWidth="1"/>
    <col min="14092" max="14092" width="10.7109375" style="2524" customWidth="1"/>
    <col min="14093" max="14095" width="10.7109375" style="2524" bestFit="1" customWidth="1"/>
    <col min="14096" max="14097" width="10.7109375" style="2524" customWidth="1"/>
    <col min="14098" max="14099" width="10.7109375" style="2524" bestFit="1" customWidth="1"/>
    <col min="14100" max="14336" width="9.140625" style="2524"/>
    <col min="14337" max="14337" width="14.140625" style="2524" customWidth="1"/>
    <col min="14338" max="14338" width="66.28515625" style="2524" bestFit="1" customWidth="1"/>
    <col min="14339" max="14339" width="10" style="2524" bestFit="1" customWidth="1"/>
    <col min="14340" max="14341" width="8.5703125" style="2524" bestFit="1" customWidth="1"/>
    <col min="14342" max="14342" width="17.42578125" style="2524" bestFit="1" customWidth="1"/>
    <col min="14343" max="14343" width="17.28515625" style="2524" bestFit="1" customWidth="1"/>
    <col min="14344" max="14345" width="10.7109375" style="2524" customWidth="1"/>
    <col min="14346" max="14347" width="10.7109375" style="2524" bestFit="1" customWidth="1"/>
    <col min="14348" max="14348" width="10.7109375" style="2524" customWidth="1"/>
    <col min="14349" max="14351" width="10.7109375" style="2524" bestFit="1" customWidth="1"/>
    <col min="14352" max="14353" width="10.7109375" style="2524" customWidth="1"/>
    <col min="14354" max="14355" width="10.7109375" style="2524" bestFit="1" customWidth="1"/>
    <col min="14356" max="14592" width="9.140625" style="2524"/>
    <col min="14593" max="14593" width="14.140625" style="2524" customWidth="1"/>
    <col min="14594" max="14594" width="66.28515625" style="2524" bestFit="1" customWidth="1"/>
    <col min="14595" max="14595" width="10" style="2524" bestFit="1" customWidth="1"/>
    <col min="14596" max="14597" width="8.5703125" style="2524" bestFit="1" customWidth="1"/>
    <col min="14598" max="14598" width="17.42578125" style="2524" bestFit="1" customWidth="1"/>
    <col min="14599" max="14599" width="17.28515625" style="2524" bestFit="1" customWidth="1"/>
    <col min="14600" max="14601" width="10.7109375" style="2524" customWidth="1"/>
    <col min="14602" max="14603" width="10.7109375" style="2524" bestFit="1" customWidth="1"/>
    <col min="14604" max="14604" width="10.7109375" style="2524" customWidth="1"/>
    <col min="14605" max="14607" width="10.7109375" style="2524" bestFit="1" customWidth="1"/>
    <col min="14608" max="14609" width="10.7109375" style="2524" customWidth="1"/>
    <col min="14610" max="14611" width="10.7109375" style="2524" bestFit="1" customWidth="1"/>
    <col min="14612" max="14848" width="9.140625" style="2524"/>
    <col min="14849" max="14849" width="14.140625" style="2524" customWidth="1"/>
    <col min="14850" max="14850" width="66.28515625" style="2524" bestFit="1" customWidth="1"/>
    <col min="14851" max="14851" width="10" style="2524" bestFit="1" customWidth="1"/>
    <col min="14852" max="14853" width="8.5703125" style="2524" bestFit="1" customWidth="1"/>
    <col min="14854" max="14854" width="17.42578125" style="2524" bestFit="1" customWidth="1"/>
    <col min="14855" max="14855" width="17.28515625" style="2524" bestFit="1" customWidth="1"/>
    <col min="14856" max="14857" width="10.7109375" style="2524" customWidth="1"/>
    <col min="14858" max="14859" width="10.7109375" style="2524" bestFit="1" customWidth="1"/>
    <col min="14860" max="14860" width="10.7109375" style="2524" customWidth="1"/>
    <col min="14861" max="14863" width="10.7109375" style="2524" bestFit="1" customWidth="1"/>
    <col min="14864" max="14865" width="10.7109375" style="2524" customWidth="1"/>
    <col min="14866" max="14867" width="10.7109375" style="2524" bestFit="1" customWidth="1"/>
    <col min="14868" max="15104" width="9.140625" style="2524"/>
    <col min="15105" max="15105" width="14.140625" style="2524" customWidth="1"/>
    <col min="15106" max="15106" width="66.28515625" style="2524" bestFit="1" customWidth="1"/>
    <col min="15107" max="15107" width="10" style="2524" bestFit="1" customWidth="1"/>
    <col min="15108" max="15109" width="8.5703125" style="2524" bestFit="1" customWidth="1"/>
    <col min="15110" max="15110" width="17.42578125" style="2524" bestFit="1" customWidth="1"/>
    <col min="15111" max="15111" width="17.28515625" style="2524" bestFit="1" customWidth="1"/>
    <col min="15112" max="15113" width="10.7109375" style="2524" customWidth="1"/>
    <col min="15114" max="15115" width="10.7109375" style="2524" bestFit="1" customWidth="1"/>
    <col min="15116" max="15116" width="10.7109375" style="2524" customWidth="1"/>
    <col min="15117" max="15119" width="10.7109375" style="2524" bestFit="1" customWidth="1"/>
    <col min="15120" max="15121" width="10.7109375" style="2524" customWidth="1"/>
    <col min="15122" max="15123" width="10.7109375" style="2524" bestFit="1" customWidth="1"/>
    <col min="15124" max="15360" width="9.140625" style="2524"/>
    <col min="15361" max="15361" width="14.140625" style="2524" customWidth="1"/>
    <col min="15362" max="15362" width="66.28515625" style="2524" bestFit="1" customWidth="1"/>
    <col min="15363" max="15363" width="10" style="2524" bestFit="1" customWidth="1"/>
    <col min="15364" max="15365" width="8.5703125" style="2524" bestFit="1" customWidth="1"/>
    <col min="15366" max="15366" width="17.42578125" style="2524" bestFit="1" customWidth="1"/>
    <col min="15367" max="15367" width="17.28515625" style="2524" bestFit="1" customWidth="1"/>
    <col min="15368" max="15369" width="10.7109375" style="2524" customWidth="1"/>
    <col min="15370" max="15371" width="10.7109375" style="2524" bestFit="1" customWidth="1"/>
    <col min="15372" max="15372" width="10.7109375" style="2524" customWidth="1"/>
    <col min="15373" max="15375" width="10.7109375" style="2524" bestFit="1" customWidth="1"/>
    <col min="15376" max="15377" width="10.7109375" style="2524" customWidth="1"/>
    <col min="15378" max="15379" width="10.7109375" style="2524" bestFit="1" customWidth="1"/>
    <col min="15380" max="15616" width="9.140625" style="2524"/>
    <col min="15617" max="15617" width="14.140625" style="2524" customWidth="1"/>
    <col min="15618" max="15618" width="66.28515625" style="2524" bestFit="1" customWidth="1"/>
    <col min="15619" max="15619" width="10" style="2524" bestFit="1" customWidth="1"/>
    <col min="15620" max="15621" width="8.5703125" style="2524" bestFit="1" customWidth="1"/>
    <col min="15622" max="15622" width="17.42578125" style="2524" bestFit="1" customWidth="1"/>
    <col min="15623" max="15623" width="17.28515625" style="2524" bestFit="1" customWidth="1"/>
    <col min="15624" max="15625" width="10.7109375" style="2524" customWidth="1"/>
    <col min="15626" max="15627" width="10.7109375" style="2524" bestFit="1" customWidth="1"/>
    <col min="15628" max="15628" width="10.7109375" style="2524" customWidth="1"/>
    <col min="15629" max="15631" width="10.7109375" style="2524" bestFit="1" customWidth="1"/>
    <col min="15632" max="15633" width="10.7109375" style="2524" customWidth="1"/>
    <col min="15634" max="15635" width="10.7109375" style="2524" bestFit="1" customWidth="1"/>
    <col min="15636" max="15872" width="9.140625" style="2524"/>
    <col min="15873" max="15873" width="14.140625" style="2524" customWidth="1"/>
    <col min="15874" max="15874" width="66.28515625" style="2524" bestFit="1" customWidth="1"/>
    <col min="15875" max="15875" width="10" style="2524" bestFit="1" customWidth="1"/>
    <col min="15876" max="15877" width="8.5703125" style="2524" bestFit="1" customWidth="1"/>
    <col min="15878" max="15878" width="17.42578125" style="2524" bestFit="1" customWidth="1"/>
    <col min="15879" max="15879" width="17.28515625" style="2524" bestFit="1" customWidth="1"/>
    <col min="15880" max="15881" width="10.7109375" style="2524" customWidth="1"/>
    <col min="15882" max="15883" width="10.7109375" style="2524" bestFit="1" customWidth="1"/>
    <col min="15884" max="15884" width="10.7109375" style="2524" customWidth="1"/>
    <col min="15885" max="15887" width="10.7109375" style="2524" bestFit="1" customWidth="1"/>
    <col min="15888" max="15889" width="10.7109375" style="2524" customWidth="1"/>
    <col min="15890" max="15891" width="10.7109375" style="2524" bestFit="1" customWidth="1"/>
    <col min="15892" max="16128" width="9.140625" style="2524"/>
    <col min="16129" max="16129" width="14.140625" style="2524" customWidth="1"/>
    <col min="16130" max="16130" width="66.28515625" style="2524" bestFit="1" customWidth="1"/>
    <col min="16131" max="16131" width="10" style="2524" bestFit="1" customWidth="1"/>
    <col min="16132" max="16133" width="8.5703125" style="2524" bestFit="1" customWidth="1"/>
    <col min="16134" max="16134" width="17.42578125" style="2524" bestFit="1" customWidth="1"/>
    <col min="16135" max="16135" width="17.28515625" style="2524" bestFit="1" customWidth="1"/>
    <col min="16136" max="16137" width="10.7109375" style="2524" customWidth="1"/>
    <col min="16138" max="16139" width="10.7109375" style="2524" bestFit="1" customWidth="1"/>
    <col min="16140" max="16140" width="10.7109375" style="2524" customWidth="1"/>
    <col min="16141" max="16143" width="10.7109375" style="2524" bestFit="1" customWidth="1"/>
    <col min="16144" max="16145" width="10.7109375" style="2524" customWidth="1"/>
    <col min="16146" max="16147" width="10.7109375" style="2524" bestFit="1" customWidth="1"/>
    <col min="16148" max="16384" width="9.140625" style="2524"/>
  </cols>
  <sheetData>
    <row r="1" spans="1:33" s="2525" customFormat="1" ht="24.95" customHeight="1">
      <c r="B1" s="2522" t="str">
        <f>IF(dms_DataQuality="backcast",INDEX(dms_Worksheet_List,MATCH(dms_Model,dms_Model_List))&amp;" BACKCAST",INDEX(dms_Worksheet_List,MATCH(dms_Model,dms_Model_List)))</f>
        <v>REGULATORY REPORTING STATEMENT</v>
      </c>
      <c r="C1" s="2769"/>
      <c r="D1" s="2769"/>
      <c r="E1" s="2769"/>
      <c r="F1" s="2769"/>
      <c r="G1" s="2769"/>
      <c r="H1" s="2769"/>
      <c r="I1" s="2769"/>
      <c r="J1" s="2769"/>
      <c r="K1" s="2769"/>
      <c r="L1" s="2769"/>
      <c r="M1" s="2769"/>
      <c r="N1" s="2769"/>
      <c r="O1" s="2769"/>
      <c r="P1" s="2769"/>
      <c r="Q1" s="2769"/>
      <c r="R1" s="2769"/>
      <c r="S1" s="2769"/>
      <c r="T1" s="2769"/>
      <c r="U1" s="2769"/>
      <c r="V1" s="2769"/>
      <c r="W1" s="2769"/>
      <c r="X1" s="2769"/>
      <c r="Y1" s="2769"/>
      <c r="Z1" s="2769"/>
      <c r="AA1" s="2769"/>
      <c r="AB1" s="2769"/>
      <c r="AC1" s="2769"/>
      <c r="AD1" s="2769"/>
      <c r="AE1" s="2769"/>
      <c r="AF1" s="2769"/>
      <c r="AG1" s="2769"/>
    </row>
    <row r="2" spans="1:33" s="2525" customFormat="1" ht="24.95" customHeight="1">
      <c r="B2" s="2526" t="str">
        <f>INDEX(dms_TradingNameFull_List,MATCH(dms_TradingName,dms_TradingName_List))</f>
        <v>AusNet Gas Services</v>
      </c>
      <c r="C2" s="2526"/>
      <c r="D2" s="2526"/>
      <c r="E2" s="2526"/>
      <c r="F2" s="2526"/>
      <c r="G2" s="2526"/>
      <c r="H2" s="2526"/>
      <c r="I2" s="2526"/>
      <c r="J2" s="2526"/>
      <c r="K2" s="2526"/>
      <c r="L2" s="2526"/>
      <c r="M2" s="2526"/>
      <c r="N2" s="2526"/>
      <c r="O2" s="2526"/>
      <c r="P2" s="2526"/>
      <c r="Q2" s="2526"/>
      <c r="R2" s="2526"/>
      <c r="S2" s="2526"/>
      <c r="T2" s="2526"/>
      <c r="U2" s="2526"/>
      <c r="V2" s="2526"/>
      <c r="W2" s="2526"/>
      <c r="X2" s="2526"/>
      <c r="Y2" s="2526"/>
      <c r="Z2" s="2526"/>
      <c r="AA2" s="2526"/>
      <c r="AB2" s="2526"/>
      <c r="AC2" s="2526"/>
      <c r="AD2" s="2526"/>
      <c r="AE2" s="2526"/>
      <c r="AF2" s="2526"/>
      <c r="AG2" s="2526"/>
    </row>
    <row r="3" spans="1:33" s="2525" customFormat="1" ht="24.95" customHeight="1">
      <c r="B3" s="2526" t="str">
        <f ca="1">IF(SUM(dms_SingleYear_Model)&gt;0,CRY,CONCATENATE(FRCP_y1," to ",dms_MultiYear_FinalYear_Result))</f>
        <v>2018 to 2022</v>
      </c>
      <c r="C3" s="2528"/>
      <c r="D3" s="2528"/>
      <c r="E3" s="2528"/>
      <c r="F3" s="2528"/>
      <c r="G3" s="2528"/>
      <c r="H3" s="2528"/>
      <c r="I3" s="2528"/>
      <c r="J3" s="2528"/>
      <c r="K3" s="2528"/>
      <c r="L3" s="2528"/>
      <c r="M3" s="2528"/>
      <c r="N3" s="2528"/>
      <c r="O3" s="2528"/>
      <c r="P3" s="2528"/>
      <c r="Q3" s="2528"/>
      <c r="R3" s="2528"/>
      <c r="S3" s="2528"/>
      <c r="T3" s="2528"/>
      <c r="U3" s="2528"/>
      <c r="V3" s="2528"/>
      <c r="W3" s="2528"/>
      <c r="X3" s="2528"/>
      <c r="Y3" s="2528"/>
      <c r="Z3" s="2528"/>
      <c r="AA3" s="2528"/>
      <c r="AB3" s="2528"/>
      <c r="AC3" s="2528"/>
      <c r="AD3" s="2528"/>
      <c r="AE3" s="2528"/>
      <c r="AF3" s="2528"/>
      <c r="AG3" s="2528"/>
    </row>
    <row r="4" spans="1:33" s="2525" customFormat="1" ht="24" customHeight="1">
      <c r="B4" s="2529" t="s">
        <v>474</v>
      </c>
      <c r="C4" s="2770"/>
      <c r="D4" s="2770"/>
      <c r="E4" s="2770"/>
      <c r="F4" s="2770"/>
      <c r="G4" s="2770"/>
      <c r="H4" s="2770"/>
      <c r="I4" s="2770"/>
      <c r="J4" s="2770"/>
      <c r="K4" s="2770"/>
      <c r="L4" s="2770"/>
      <c r="M4" s="2770"/>
      <c r="N4" s="2770"/>
      <c r="O4" s="2770"/>
      <c r="P4" s="2770"/>
      <c r="Q4" s="2770"/>
      <c r="R4" s="2770"/>
      <c r="S4" s="2770"/>
      <c r="T4" s="2770"/>
      <c r="U4" s="2770"/>
      <c r="V4" s="2770"/>
      <c r="W4" s="2770"/>
      <c r="X4" s="2770"/>
      <c r="Y4" s="2770"/>
      <c r="Z4" s="2770"/>
      <c r="AA4" s="2770"/>
      <c r="AB4" s="2770"/>
      <c r="AC4" s="2770"/>
      <c r="AD4" s="2770"/>
      <c r="AE4" s="2770"/>
      <c r="AF4" s="2770"/>
      <c r="AG4" s="2770"/>
    </row>
    <row r="5" spans="1:33">
      <c r="A5" s="360"/>
      <c r="B5" s="2771"/>
      <c r="C5" s="2771"/>
      <c r="D5" s="2771"/>
      <c r="E5" s="2771"/>
      <c r="F5" s="2771"/>
      <c r="G5" s="2771"/>
      <c r="H5" s="2771"/>
      <c r="I5" s="2771"/>
      <c r="J5" s="2771"/>
      <c r="K5" s="2771"/>
      <c r="L5" s="2771"/>
      <c r="M5" s="2771"/>
      <c r="N5" s="2771"/>
      <c r="O5" s="2771"/>
      <c r="P5" s="2771"/>
      <c r="Q5" s="2771"/>
      <c r="R5" s="2771"/>
      <c r="S5" s="2771"/>
      <c r="T5" s="2771"/>
      <c r="U5" s="2771"/>
      <c r="V5" s="2771"/>
      <c r="W5" s="2771"/>
      <c r="X5" s="2771"/>
      <c r="Y5" s="2771"/>
      <c r="Z5" s="2771"/>
      <c r="AA5" s="2771"/>
      <c r="AE5" s="2771"/>
      <c r="AF5" s="2771"/>
      <c r="AG5" s="2771"/>
    </row>
    <row r="6" spans="1:33">
      <c r="A6" s="2771"/>
      <c r="B6" s="2771"/>
      <c r="C6" s="2771"/>
      <c r="D6" s="2771"/>
      <c r="E6" s="2771"/>
      <c r="F6" s="2771"/>
      <c r="G6" s="2771"/>
      <c r="H6" s="2771"/>
      <c r="I6" s="2771"/>
      <c r="J6" s="2771"/>
      <c r="K6" s="2771"/>
      <c r="L6" s="2771"/>
      <c r="M6" s="2771"/>
      <c r="N6" s="2771"/>
      <c r="O6" s="2771"/>
      <c r="P6" s="2771"/>
      <c r="Q6" s="2771"/>
      <c r="R6" s="2771"/>
      <c r="S6" s="2771"/>
      <c r="T6" s="2771"/>
      <c r="U6" s="2771"/>
      <c r="V6" s="2771"/>
      <c r="W6" s="2771"/>
      <c r="X6" s="2771"/>
      <c r="Y6" s="2771"/>
      <c r="Z6" s="2771"/>
      <c r="AA6" s="2771"/>
      <c r="AE6" s="2771"/>
      <c r="AF6" s="2771"/>
      <c r="AG6" s="2771"/>
    </row>
    <row r="7" spans="1:33" ht="21.75" customHeight="1">
      <c r="A7" s="2771"/>
      <c r="B7" s="4548" t="s">
        <v>59</v>
      </c>
      <c r="C7" s="4548"/>
      <c r="D7" s="4548"/>
      <c r="E7" s="4548"/>
      <c r="F7" s="4548"/>
      <c r="G7" s="4548"/>
      <c r="H7" s="2771"/>
      <c r="I7" s="2771"/>
      <c r="J7" s="2771"/>
      <c r="K7" s="2771"/>
      <c r="L7" s="2771"/>
      <c r="M7" s="2771"/>
      <c r="N7" s="2771"/>
      <c r="O7" s="2771"/>
      <c r="P7" s="2771"/>
      <c r="Q7" s="2771"/>
      <c r="R7" s="2771"/>
      <c r="S7" s="2771"/>
      <c r="T7" s="2771"/>
      <c r="U7" s="2771"/>
      <c r="V7" s="2771"/>
      <c r="W7" s="2771"/>
      <c r="X7" s="2771"/>
      <c r="Y7" s="2771"/>
      <c r="Z7" s="2771"/>
      <c r="AA7" s="2771"/>
    </row>
    <row r="8" spans="1:33" ht="21.75" customHeight="1">
      <c r="A8" s="2771"/>
      <c r="B8" s="4549" t="s">
        <v>226</v>
      </c>
      <c r="C8" s="4549"/>
      <c r="D8" s="4549"/>
      <c r="E8" s="4549"/>
      <c r="F8" s="4549"/>
      <c r="G8" s="4549"/>
      <c r="H8" s="2771"/>
      <c r="I8" s="2771"/>
      <c r="J8" s="2771"/>
      <c r="K8" s="2771"/>
      <c r="L8" s="2771"/>
      <c r="M8" s="2771"/>
      <c r="N8" s="2771"/>
      <c r="O8" s="2771"/>
      <c r="P8" s="2771"/>
      <c r="Q8" s="2771"/>
      <c r="R8" s="2771"/>
      <c r="S8" s="2771"/>
      <c r="T8" s="2771"/>
      <c r="U8" s="2771"/>
      <c r="V8" s="2771"/>
      <c r="W8" s="2771"/>
      <c r="X8" s="2771"/>
      <c r="Y8" s="2771"/>
      <c r="Z8" s="2771"/>
      <c r="AA8" s="2771"/>
    </row>
    <row r="9" spans="1:33" ht="21.75" customHeight="1">
      <c r="A9" s="2771"/>
      <c r="B9" s="4549" t="s">
        <v>470</v>
      </c>
      <c r="C9" s="4549"/>
      <c r="D9" s="4549"/>
      <c r="E9" s="4549"/>
      <c r="F9" s="4549"/>
      <c r="G9" s="4549"/>
      <c r="H9" s="2771"/>
      <c r="I9" s="2771"/>
      <c r="J9" s="2771"/>
      <c r="K9" s="2771"/>
      <c r="L9" s="2771"/>
      <c r="M9" s="2771"/>
      <c r="N9" s="2771"/>
      <c r="O9" s="2771"/>
      <c r="P9" s="2771"/>
      <c r="Q9" s="2771"/>
      <c r="R9" s="2771"/>
      <c r="S9" s="2771"/>
      <c r="T9" s="2771"/>
      <c r="U9" s="2771"/>
      <c r="V9" s="2771"/>
      <c r="W9" s="2771"/>
      <c r="X9" s="2771"/>
      <c r="Y9" s="2771"/>
      <c r="Z9" s="2771"/>
      <c r="AA9" s="2771"/>
    </row>
    <row r="10" spans="1:33" ht="21.75" customHeight="1">
      <c r="A10" s="2771"/>
      <c r="B10" s="4550" t="s">
        <v>382</v>
      </c>
      <c r="C10" s="4551"/>
      <c r="D10" s="4551"/>
      <c r="E10" s="4551"/>
      <c r="F10" s="4551"/>
      <c r="G10" s="4551"/>
      <c r="H10" s="2771"/>
      <c r="I10" s="2771"/>
      <c r="J10" s="2771"/>
      <c r="K10" s="2771"/>
      <c r="L10" s="2771"/>
      <c r="M10" s="2771"/>
      <c r="N10" s="2771"/>
      <c r="O10" s="2771"/>
      <c r="P10" s="2771"/>
      <c r="Q10" s="2771"/>
      <c r="R10" s="2771"/>
      <c r="S10" s="2771"/>
      <c r="T10" s="2771"/>
      <c r="U10" s="2771"/>
      <c r="V10" s="2771"/>
      <c r="W10" s="2771"/>
      <c r="X10" s="2771"/>
      <c r="Y10" s="2771"/>
      <c r="Z10" s="2771"/>
      <c r="AA10" s="2771"/>
    </row>
    <row r="11" spans="1:33">
      <c r="A11" s="3013"/>
      <c r="B11" s="3013"/>
      <c r="C11" s="3013"/>
      <c r="D11" s="3013"/>
      <c r="E11" s="3013"/>
      <c r="F11" s="3013"/>
      <c r="G11" s="3013"/>
      <c r="H11" s="3013"/>
      <c r="I11" s="3013"/>
      <c r="J11" s="3013"/>
      <c r="K11" s="3013"/>
      <c r="L11" s="3013"/>
      <c r="M11" s="3013"/>
      <c r="N11" s="3013"/>
      <c r="O11" s="3013"/>
      <c r="P11" s="3013"/>
      <c r="Q11" s="3013"/>
      <c r="R11" s="3013"/>
      <c r="S11" s="3013"/>
      <c r="T11" s="3013"/>
      <c r="U11" s="3013"/>
      <c r="V11" s="3013"/>
      <c r="W11" s="3013"/>
      <c r="X11" s="3013"/>
      <c r="Y11" s="3013"/>
      <c r="Z11" s="3013"/>
      <c r="AA11" s="3013"/>
      <c r="AE11" s="3013"/>
      <c r="AF11" s="3013"/>
      <c r="AG11" s="3013"/>
    </row>
    <row r="12" spans="1:33" ht="13.5" thickBot="1">
      <c r="A12" s="3013"/>
      <c r="B12" s="3013"/>
      <c r="C12" s="3013"/>
      <c r="D12" s="3013"/>
      <c r="E12" s="3013"/>
      <c r="F12" s="3013"/>
      <c r="G12" s="3013"/>
      <c r="H12" s="3013"/>
      <c r="I12" s="3013"/>
      <c r="J12" s="3013"/>
      <c r="K12" s="3013"/>
      <c r="L12" s="3013"/>
      <c r="M12" s="3013"/>
      <c r="N12" s="3013"/>
      <c r="O12" s="3013"/>
      <c r="P12" s="3013"/>
      <c r="Q12" s="3013"/>
      <c r="R12" s="3013"/>
      <c r="S12" s="3013"/>
      <c r="T12" s="3013"/>
      <c r="U12" s="3013"/>
      <c r="V12" s="3013"/>
      <c r="W12" s="3013"/>
      <c r="X12" s="3013"/>
      <c r="Y12" s="3013"/>
      <c r="Z12" s="3013"/>
      <c r="AA12" s="3013"/>
      <c r="AE12" s="3013"/>
      <c r="AF12" s="3013"/>
      <c r="AG12" s="3013"/>
    </row>
    <row r="13" spans="1:33">
      <c r="A13" s="3013"/>
      <c r="B13" s="3118" t="s">
        <v>247</v>
      </c>
      <c r="C13" s="3013"/>
      <c r="D13" s="3013"/>
      <c r="E13" s="3013"/>
      <c r="F13" s="3013"/>
      <c r="G13" s="3013"/>
      <c r="H13" s="3013"/>
      <c r="I13" s="3013"/>
      <c r="J13" s="3013"/>
      <c r="K13" s="3013"/>
      <c r="L13" s="3013"/>
      <c r="M13" s="3013"/>
      <c r="N13" s="3013"/>
      <c r="O13" s="3013"/>
      <c r="P13" s="3013"/>
      <c r="Q13" s="3013"/>
      <c r="R13" s="3013"/>
      <c r="S13" s="3013"/>
      <c r="T13" s="3013"/>
      <c r="U13" s="3013"/>
      <c r="V13" s="3013"/>
      <c r="W13" s="3013"/>
      <c r="X13" s="3013"/>
      <c r="Y13" s="3013"/>
      <c r="Z13" s="3013"/>
      <c r="AA13" s="3013"/>
      <c r="AE13" s="3013"/>
      <c r="AF13" s="3013"/>
      <c r="AG13" s="3013"/>
    </row>
    <row r="14" spans="1:33" ht="25.5" customHeight="1" thickBot="1">
      <c r="A14" s="3013"/>
      <c r="B14" s="3119" t="s">
        <v>1597</v>
      </c>
      <c r="C14" s="3013"/>
      <c r="D14" s="3013"/>
      <c r="E14" s="3013"/>
      <c r="F14" s="3013"/>
      <c r="G14" s="3013"/>
      <c r="H14" s="3013"/>
      <c r="I14" s="3013"/>
      <c r="J14" s="3013"/>
      <c r="K14" s="3013"/>
      <c r="L14" s="3013"/>
      <c r="M14" s="3013"/>
      <c r="N14" s="3013"/>
      <c r="O14" s="3013"/>
      <c r="P14" s="3013"/>
      <c r="Q14" s="3013"/>
      <c r="R14" s="3013"/>
      <c r="S14" s="3013"/>
      <c r="T14" s="3013"/>
      <c r="U14" s="3013"/>
      <c r="V14" s="3013"/>
      <c r="W14" s="3013"/>
      <c r="X14" s="3013"/>
      <c r="Y14" s="3013"/>
      <c r="Z14" s="3013"/>
      <c r="AA14" s="3013"/>
      <c r="AE14" s="3013"/>
      <c r="AF14" s="3013"/>
      <c r="AG14" s="3013"/>
    </row>
    <row r="15" spans="1:33" ht="13.5" thickBot="1">
      <c r="A15" s="3013"/>
      <c r="B15" s="3013"/>
      <c r="C15" s="3013"/>
      <c r="D15" s="3013"/>
      <c r="E15" s="3013"/>
      <c r="F15" s="3013"/>
      <c r="G15" s="3013"/>
      <c r="H15" s="3013"/>
      <c r="I15" s="3013"/>
      <c r="J15" s="3013"/>
      <c r="K15" s="3013"/>
      <c r="L15" s="3013"/>
      <c r="M15" s="3013"/>
      <c r="N15" s="3013"/>
      <c r="O15" s="3013"/>
      <c r="P15" s="3013"/>
      <c r="Q15" s="3013"/>
      <c r="R15" s="3013"/>
      <c r="S15" s="3013"/>
      <c r="T15" s="3013"/>
      <c r="U15" s="3013"/>
      <c r="V15" s="3013"/>
      <c r="W15" s="3013"/>
      <c r="X15" s="3013"/>
      <c r="Y15" s="3013"/>
      <c r="Z15" s="3013"/>
      <c r="AA15" s="3013"/>
      <c r="AE15" s="3013"/>
      <c r="AF15" s="3013"/>
      <c r="AG15" s="3013"/>
    </row>
    <row r="16" spans="1:33">
      <c r="A16" s="3013"/>
      <c r="B16" s="3118" t="s">
        <v>248</v>
      </c>
      <c r="C16" s="3013"/>
      <c r="D16" s="3013"/>
      <c r="E16" s="3013"/>
      <c r="F16" s="3013"/>
      <c r="G16" s="3013"/>
      <c r="H16" s="3013"/>
      <c r="I16" s="3013"/>
      <c r="J16" s="3013"/>
      <c r="K16" s="3013"/>
      <c r="L16" s="3013"/>
      <c r="M16" s="3013"/>
      <c r="N16" s="3013"/>
      <c r="O16" s="3013"/>
      <c r="P16" s="3013"/>
      <c r="Q16" s="3013"/>
      <c r="R16" s="3013"/>
      <c r="S16" s="3013"/>
      <c r="T16" s="3013"/>
      <c r="U16" s="3013"/>
      <c r="V16" s="3013"/>
      <c r="W16" s="3013"/>
      <c r="X16" s="3013"/>
      <c r="Y16" s="3013"/>
      <c r="Z16" s="3013"/>
      <c r="AA16" s="3013"/>
      <c r="AE16" s="3013"/>
      <c r="AF16" s="3013"/>
      <c r="AG16" s="3013"/>
    </row>
    <row r="17" spans="1:134" ht="25.5" customHeight="1" thickBot="1">
      <c r="A17" s="3013"/>
      <c r="B17" s="3119" t="s">
        <v>1670</v>
      </c>
      <c r="C17" s="3013"/>
      <c r="D17" s="3013"/>
      <c r="E17" s="3013"/>
      <c r="F17" s="3013"/>
      <c r="G17" s="3013"/>
      <c r="H17" s="3013"/>
      <c r="I17" s="3013"/>
      <c r="J17" s="3013"/>
      <c r="K17" s="3013"/>
      <c r="L17" s="3013"/>
      <c r="M17" s="3013"/>
      <c r="N17" s="3013"/>
      <c r="O17" s="3013"/>
      <c r="P17" s="3013"/>
      <c r="Q17" s="3013"/>
      <c r="R17" s="3013"/>
      <c r="S17" s="3013"/>
      <c r="T17" s="3013"/>
      <c r="U17" s="3013"/>
      <c r="V17" s="3013"/>
      <c r="W17" s="3013"/>
      <c r="X17" s="3013"/>
      <c r="Y17" s="3013"/>
      <c r="Z17" s="3013"/>
      <c r="AA17" s="3013"/>
      <c r="AE17" s="3013"/>
      <c r="AF17" s="3013"/>
      <c r="AG17" s="3013"/>
    </row>
    <row r="18" spans="1:134" ht="50.25" customHeight="1" thickBot="1">
      <c r="A18" s="3013"/>
      <c r="B18" s="3013"/>
      <c r="C18" s="3013"/>
      <c r="D18" s="3013"/>
      <c r="E18" s="3013"/>
      <c r="F18" s="3013"/>
      <c r="G18" s="3013"/>
      <c r="H18" s="3013"/>
      <c r="I18" s="3013"/>
      <c r="J18" s="3013"/>
      <c r="K18" s="3013"/>
      <c r="L18" s="3013"/>
      <c r="M18" s="3013"/>
      <c r="N18" s="3013"/>
      <c r="O18" s="3013"/>
      <c r="P18" s="3013"/>
      <c r="Q18" s="3013"/>
      <c r="R18" s="3013"/>
      <c r="S18" s="3013"/>
      <c r="T18" s="3013"/>
      <c r="U18" s="3013"/>
      <c r="V18" s="3013"/>
      <c r="W18" s="3013"/>
      <c r="X18" s="3013"/>
      <c r="Y18" s="3013"/>
      <c r="Z18" s="3013"/>
      <c r="AA18" s="3013"/>
      <c r="AE18" s="3013"/>
      <c r="AF18" s="3013"/>
      <c r="AG18" s="3013"/>
    </row>
    <row r="19" spans="1:134" ht="34.5" customHeight="1" thickBot="1">
      <c r="A19" s="2771"/>
      <c r="B19" s="2780" t="s">
        <v>477</v>
      </c>
      <c r="C19" s="2781"/>
      <c r="D19" s="2781"/>
      <c r="E19" s="2781"/>
      <c r="F19" s="2781"/>
      <c r="G19" s="2781"/>
      <c r="H19" s="2781"/>
      <c r="I19" s="2781"/>
      <c r="J19" s="2782"/>
      <c r="K19" s="2782"/>
      <c r="L19" s="2782"/>
      <c r="M19" s="2782"/>
      <c r="N19" s="2782"/>
      <c r="O19" s="2782"/>
      <c r="P19" s="2782"/>
      <c r="Q19" s="2782"/>
      <c r="R19" s="2782"/>
      <c r="S19" s="2782"/>
      <c r="T19" s="2782"/>
      <c r="U19" s="2782"/>
      <c r="V19" s="2782"/>
      <c r="W19" s="2782"/>
      <c r="X19" s="2782"/>
      <c r="Y19" s="2782"/>
      <c r="Z19" s="2782"/>
      <c r="AA19" s="2782"/>
      <c r="AE19" s="2884" t="s">
        <v>642</v>
      </c>
      <c r="AF19" s="2781"/>
      <c r="AG19" s="2782"/>
    </row>
    <row r="20" spans="1:134" s="3019" customFormat="1" ht="24" customHeight="1" thickBot="1">
      <c r="A20" s="3013"/>
      <c r="B20" s="2783" t="s">
        <v>471</v>
      </c>
      <c r="C20" s="2784"/>
      <c r="D20" s="2784"/>
      <c r="E20" s="2784"/>
      <c r="F20" s="2784"/>
      <c r="G20" s="2784"/>
      <c r="H20" s="2784"/>
      <c r="I20" s="2784"/>
      <c r="J20" s="2784"/>
      <c r="K20" s="2784"/>
      <c r="L20" s="2784"/>
      <c r="M20" s="2784"/>
      <c r="N20" s="2784"/>
      <c r="O20" s="2784"/>
      <c r="P20" s="2784"/>
      <c r="Q20" s="2784"/>
      <c r="R20" s="2784"/>
      <c r="S20" s="2784"/>
      <c r="T20" s="2784"/>
      <c r="U20" s="2784"/>
      <c r="V20" s="2784"/>
      <c r="W20" s="2784"/>
      <c r="X20" s="2784"/>
      <c r="Y20" s="2784"/>
      <c r="Z20" s="2784"/>
      <c r="AA20" s="2785"/>
      <c r="AB20" s="2524"/>
      <c r="AC20" s="2524"/>
      <c r="AD20" s="2524"/>
      <c r="AE20" s="2783"/>
      <c r="AF20" s="2784"/>
      <c r="AG20" s="2785"/>
      <c r="AH20" s="2524"/>
      <c r="AI20" s="2524"/>
      <c r="AJ20" s="2524"/>
      <c r="AK20" s="2524"/>
      <c r="DE20" s="2524"/>
      <c r="DF20" s="2524"/>
      <c r="DG20" s="2524"/>
      <c r="DH20" s="2524"/>
      <c r="DI20" s="2524"/>
      <c r="DJ20" s="2524"/>
      <c r="DK20" s="2524"/>
      <c r="DL20" s="2524"/>
      <c r="DM20" s="2524"/>
      <c r="DN20" s="2524"/>
      <c r="DO20" s="2524"/>
      <c r="DP20" s="2524"/>
      <c r="DQ20" s="2524"/>
      <c r="DR20" s="2524"/>
      <c r="DS20" s="2524"/>
      <c r="DT20" s="2524"/>
      <c r="DU20" s="2524"/>
      <c r="DV20" s="2524"/>
      <c r="DW20" s="2524"/>
      <c r="DX20" s="2524"/>
      <c r="DY20" s="2524"/>
      <c r="DZ20" s="2524"/>
      <c r="EA20" s="2524"/>
      <c r="EB20" s="2524"/>
      <c r="EC20" s="2524"/>
      <c r="ED20" s="2524"/>
    </row>
    <row r="21" spans="1:134" ht="20.25" customHeight="1">
      <c r="A21" s="2771"/>
      <c r="B21" s="4552"/>
      <c r="C21" s="4554" t="s">
        <v>37</v>
      </c>
      <c r="D21" s="4555"/>
      <c r="E21" s="4555"/>
      <c r="F21" s="4555"/>
      <c r="G21" s="4555"/>
      <c r="H21" s="4562" t="s">
        <v>73</v>
      </c>
      <c r="I21" s="4562"/>
      <c r="J21" s="4562"/>
      <c r="K21" s="4562"/>
      <c r="L21" s="4562"/>
      <c r="M21" s="4563" t="s">
        <v>249</v>
      </c>
      <c r="N21" s="4563"/>
      <c r="O21" s="4563"/>
      <c r="P21" s="4563"/>
      <c r="Q21" s="4563"/>
      <c r="R21" s="4563"/>
      <c r="S21" s="4563"/>
      <c r="T21" s="4563"/>
      <c r="U21" s="4563"/>
      <c r="V21" s="4563"/>
      <c r="W21" s="4563"/>
      <c r="X21" s="4563"/>
      <c r="Y21" s="4563"/>
      <c r="Z21" s="4563"/>
      <c r="AA21" s="4564"/>
      <c r="AE21" s="4565" t="s">
        <v>37</v>
      </c>
      <c r="AF21" s="4566"/>
      <c r="AG21" s="4567"/>
    </row>
    <row r="22" spans="1:134" ht="20.25" customHeight="1">
      <c r="B22" s="4553"/>
      <c r="C22" s="4556" t="s">
        <v>543</v>
      </c>
      <c r="D22" s="4557"/>
      <c r="E22" s="4558"/>
      <c r="F22" s="4559" t="str">
        <f>CONCATENATE("$0's, real ",dms_DollarReal)</f>
        <v>$0's, real December 2017</v>
      </c>
      <c r="G22" s="4560"/>
      <c r="H22" s="4560"/>
      <c r="I22" s="4560"/>
      <c r="J22" s="4560"/>
      <c r="K22" s="4560"/>
      <c r="L22" s="4560"/>
      <c r="M22" s="4560"/>
      <c r="N22" s="4560"/>
      <c r="O22" s="4560"/>
      <c r="P22" s="4560"/>
      <c r="Q22" s="4560"/>
      <c r="R22" s="4560"/>
      <c r="S22" s="4560"/>
      <c r="T22" s="4560"/>
      <c r="U22" s="4560"/>
      <c r="V22" s="4560"/>
      <c r="W22" s="4560"/>
      <c r="X22" s="4560"/>
      <c r="Y22" s="4560"/>
      <c r="Z22" s="4560"/>
      <c r="AA22" s="4561"/>
      <c r="AE22" s="4556" t="str">
        <f>CONCATENATE("$0's, real ",dms_DollarReal)</f>
        <v>$0's, real December 2017</v>
      </c>
      <c r="AF22" s="4557"/>
      <c r="AG22" s="4568"/>
    </row>
    <row r="23" spans="1:134" ht="20.25" customHeight="1">
      <c r="B23" s="4553"/>
      <c r="C23" s="4556" t="s">
        <v>54</v>
      </c>
      <c r="D23" s="4557"/>
      <c r="E23" s="4558"/>
      <c r="F23" s="4559" t="s">
        <v>377</v>
      </c>
      <c r="G23" s="4560"/>
      <c r="H23" s="4560"/>
      <c r="I23" s="4560"/>
      <c r="J23" s="4560"/>
      <c r="K23" s="4560"/>
      <c r="L23" s="4560"/>
      <c r="M23" s="4560"/>
      <c r="N23" s="4560"/>
      <c r="O23" s="4560"/>
      <c r="P23" s="4560"/>
      <c r="Q23" s="4560"/>
      <c r="R23" s="4560"/>
      <c r="S23" s="4560"/>
      <c r="T23" s="4560"/>
      <c r="U23" s="4560"/>
      <c r="V23" s="4560"/>
      <c r="W23" s="4560"/>
      <c r="X23" s="4560"/>
      <c r="Y23" s="4560"/>
      <c r="Z23" s="4560"/>
      <c r="AA23" s="4561"/>
      <c r="AE23" s="4556" t="s">
        <v>54</v>
      </c>
      <c r="AF23" s="4557"/>
      <c r="AG23" s="4568"/>
    </row>
    <row r="24" spans="1:134" ht="20.25" customHeight="1" thickBot="1">
      <c r="B24" s="4553"/>
      <c r="C24" s="2788">
        <f>CRCP_y1</f>
        <v>2013</v>
      </c>
      <c r="D24" s="2788">
        <f>CRCP_y2</f>
        <v>2014</v>
      </c>
      <c r="E24" s="2788">
        <f>CRCP_y3</f>
        <v>2015</v>
      </c>
      <c r="F24" s="2788">
        <f>CRCP_y4</f>
        <v>2016</v>
      </c>
      <c r="G24" s="2788">
        <f>CRCP_y5</f>
        <v>2017</v>
      </c>
      <c r="H24" s="3120" t="str">
        <f>CONCATENATE(IF(dms_RPT="Calendar",G24+1,(LEFT(G24,4)+1&amp;"-"&amp;IF(MID(G24,6,2)&lt;"09","0"&amp;RIGHT(G24,1)+1,RIGHT(G24,2)+1))))</f>
        <v>2018</v>
      </c>
      <c r="I24" s="3120" t="str">
        <f t="shared" ref="I24:AA24" si="0">CONCATENATE(IF(dms_RPT="Calendar",H24+1,(LEFT(H24,4)+1&amp;"-"&amp;IF(MID(H24,6,2)&lt;"09","0"&amp;RIGHT(H24,1)+1,RIGHT(H24,2)+1))))</f>
        <v>2019</v>
      </c>
      <c r="J24" s="3120" t="str">
        <f t="shared" si="0"/>
        <v>2020</v>
      </c>
      <c r="K24" s="3120" t="str">
        <f t="shared" si="0"/>
        <v>2021</v>
      </c>
      <c r="L24" s="3120" t="str">
        <f t="shared" si="0"/>
        <v>2022</v>
      </c>
      <c r="M24" s="2788" t="str">
        <f t="shared" si="0"/>
        <v>2023</v>
      </c>
      <c r="N24" s="2788" t="str">
        <f t="shared" si="0"/>
        <v>2024</v>
      </c>
      <c r="O24" s="2788" t="str">
        <f t="shared" si="0"/>
        <v>2025</v>
      </c>
      <c r="P24" s="2788" t="str">
        <f t="shared" si="0"/>
        <v>2026</v>
      </c>
      <c r="Q24" s="2788" t="str">
        <f t="shared" si="0"/>
        <v>2027</v>
      </c>
      <c r="R24" s="2788" t="str">
        <f t="shared" si="0"/>
        <v>2028</v>
      </c>
      <c r="S24" s="2788" t="str">
        <f t="shared" si="0"/>
        <v>2029</v>
      </c>
      <c r="T24" s="2788" t="str">
        <f t="shared" si="0"/>
        <v>2030</v>
      </c>
      <c r="U24" s="2788" t="str">
        <f t="shared" si="0"/>
        <v>2031</v>
      </c>
      <c r="V24" s="2788" t="str">
        <f t="shared" si="0"/>
        <v>2032</v>
      </c>
      <c r="W24" s="2788" t="str">
        <f t="shared" si="0"/>
        <v>2033</v>
      </c>
      <c r="X24" s="2788" t="str">
        <f t="shared" si="0"/>
        <v>2034</v>
      </c>
      <c r="Y24" s="2788" t="str">
        <f t="shared" si="0"/>
        <v>2035</v>
      </c>
      <c r="Z24" s="2788" t="str">
        <f t="shared" si="0"/>
        <v>2036</v>
      </c>
      <c r="AA24" s="2788" t="str">
        <f t="shared" si="0"/>
        <v>2037</v>
      </c>
      <c r="AE24" s="3121">
        <f>CRCP_y1</f>
        <v>2013</v>
      </c>
      <c r="AF24" s="2788">
        <f>CRCP_y2</f>
        <v>2014</v>
      </c>
      <c r="AG24" s="2789">
        <f>CRCP_y3</f>
        <v>2015</v>
      </c>
    </row>
    <row r="25" spans="1:134">
      <c r="A25" s="2771"/>
      <c r="B25" s="3122" t="s">
        <v>1661</v>
      </c>
      <c r="C25" s="3123">
        <v>0</v>
      </c>
      <c r="D25" s="3125">
        <f>SUMPRODUCT('29.3.4 Gas extensions - demand'!F23:F30,'29.4 Gas extensions - tariffs'!F36:F43*IF(D24&gt;="2017",'1. CPI'!S50,1))+('29.4 Gas extensions - tariffs'!F35*(DATEVALUE("31/12/"&amp;D24)-DATEVALUE("31/12/"&amp;C24)))*IF(D24&gt;="2017",'1. CPI'!S50,1)*'29.3.4 Gas extensions - demand'!F22</f>
        <v>22806.293391403677</v>
      </c>
      <c r="E25" s="3125">
        <f>SUMPRODUCT('29.3.4 Gas extensions - demand'!G23:G30,'29.4 Gas extensions - tariffs'!G36:G43*IF(E24&gt;="2017",'1. CPI'!T50,1))+('29.4 Gas extensions - tariffs'!G35*(DATEVALUE("31/12/"&amp;E24)-DATEVALUE("31/12/"&amp;D24)))*IF(E24&gt;="2017",'1. CPI'!T50,1)*'29.3.4 Gas extensions - demand'!G22</f>
        <v>92244.248541418623</v>
      </c>
      <c r="F25" s="3125">
        <f>SUMPRODUCT('29.3.4 Gas extensions - demand'!H23:H30,'29.4 Gas extensions - tariffs'!H36:H43*IF(F24&gt;="2017",'1. CPI'!U50,1))+('29.4 Gas extensions - tariffs'!H35*(DATEVALUE("31/12/"&amp;F24)-DATEVALUE("31/12/"&amp;E24)))*IF(F24&gt;="2017",'1. CPI'!U50,1)*'29.3.4 Gas extensions - demand'!H22</f>
        <v>165619.02628211293</v>
      </c>
      <c r="G25" s="3125">
        <f>SUMPRODUCT('29.3.4 Gas extensions - demand'!I23:I30,'29.4 Gas extensions - tariffs'!I36:I43*IF(G24&gt;="2017",'1. CPI'!V50,1))+('29.4 Gas extensions - tariffs'!I35*(DATEVALUE("31/12/"&amp;G24)-DATEVALUE("31/12/"&amp;F24)))*IF(G24&gt;="2017",'1. CPI'!V50,1)*'29.3.4 Gas extensions - demand'!I22</f>
        <v>182077.51824967889</v>
      </c>
      <c r="H25" s="3126">
        <f>SUMPRODUCT('29.3.4 Gas extensions - demand'!J23:J30,'29.4 Gas extensions - tariffs'!J36:J43*IF(H24&gt;="2017",'1. CPI'!W50,1))+('29.4 Gas extensions - tariffs'!J35*(DATEVALUE("31/12/"&amp;H24)-DATEVALUE("31/12/"&amp;G24)))*IF(H24&gt;="2017",'1. CPI'!W50,1)*'29.3.4 Gas extensions - demand'!J22</f>
        <v>185075.20288942417</v>
      </c>
      <c r="I25" s="3125">
        <f>SUMPRODUCT('29.3.4 Gas extensions - demand'!K23:K30,'29.4 Gas extensions - tariffs'!K36:K43*IF(I24&gt;="2017",'1. CPI'!X50,1))+('29.4 Gas extensions - tariffs'!K35*(DATEVALUE("31/12/"&amp;I24)-DATEVALUE("31/12/"&amp;H24)))*IF(I24&gt;="2017",'1. CPI'!X50,1)*'29.3.4 Gas extensions - demand'!K22</f>
        <v>197837.45878978062</v>
      </c>
      <c r="J25" s="3125">
        <f>SUMPRODUCT('29.3.4 Gas extensions - demand'!L23:L30,'29.4 Gas extensions - tariffs'!L36:L43*IF(J24&gt;="2017",'1. CPI'!Y50,1))+('29.4 Gas extensions - tariffs'!L35*(DATEVALUE("31/12/"&amp;J24)-DATEVALUE("31/12/"&amp;I24)))*IF(J24&gt;="2017",'1. CPI'!Y50,1)*'29.3.4 Gas extensions - demand'!L22</f>
        <v>208080.35739334405</v>
      </c>
      <c r="K25" s="3125">
        <f>SUMPRODUCT('29.3.4 Gas extensions - demand'!M23:M30,'29.4 Gas extensions - tariffs'!M36:M43*IF(K24&gt;="2017",'1. CPI'!Z50,1))+('29.4 Gas extensions - tariffs'!M35*(DATEVALUE("31/12/"&amp;K24)-DATEVALUE("31/12/"&amp;J24)))*IF(K24&gt;="2017",'1. CPI'!Z50,1)*'29.3.4 Gas extensions - demand'!M22</f>
        <v>216361.86263713261</v>
      </c>
      <c r="L25" s="3127">
        <f>SUMPRODUCT('29.3.4 Gas extensions - demand'!N23:N30,'29.4 Gas extensions - tariffs'!N36:N43*IF(L24&gt;="2017",'1. CPI'!AA50,1))+('29.4 Gas extensions - tariffs'!N35*(DATEVALUE("31/12/"&amp;L24)-DATEVALUE("31/12/"&amp;K24)))*IF(L24&gt;="2017",'1. CPI'!AA50,1)*'29.3.4 Gas extensions - demand'!N22</f>
        <v>221368.98620879825</v>
      </c>
      <c r="M25" s="3126">
        <f>SUMPRODUCT('29.3.4 Gas extensions - demand'!O23:O30,'29.4 Gas extensions - tariffs'!O36:O43*IF(M24&gt;="2017",'1. CPI'!AB50,1))+('29.4 Gas extensions - tariffs'!O35*(DATEVALUE("31/12/"&amp;M24)-DATEVALUE("31/12/"&amp;L24)))*IF(M24&gt;="2017",'1. CPI'!AB50,1)*'29.3.4 Gas extensions - demand'!O22</f>
        <v>225106.72902853161</v>
      </c>
      <c r="N25" s="3125">
        <f>SUMPRODUCT('29.3.4 Gas extensions - demand'!P23:P30,'29.4 Gas extensions - tariffs'!P36:P43*IF(N24&gt;="2017",'1. CPI'!AC50,1))+('29.4 Gas extensions - tariffs'!P35*(DATEVALUE("31/12/"&amp;N24)-DATEVALUE("31/12/"&amp;M24)))*IF(N24&gt;="2017",'1. CPI'!AC50,1)*'29.3.4 Gas extensions - demand'!P22</f>
        <v>228098.41392548097</v>
      </c>
      <c r="O25" s="3125">
        <f>SUMPRODUCT('29.3.4 Gas extensions - demand'!Q23:Q30,'29.4 Gas extensions - tariffs'!Q36:Q43*IF(O24&gt;="2017",'1. CPI'!AD50,1))+('29.4 Gas extensions - tariffs'!Q35*(DATEVALUE("31/12/"&amp;O24)-DATEVALUE("31/12/"&amp;N24)))*IF(O24&gt;="2017",'1. CPI'!AD50,1)*'29.3.4 Gas extensions - demand'!Q22</f>
        <v>230012.51647943154</v>
      </c>
      <c r="P25" s="3125">
        <f>SUMPRODUCT('29.3.4 Gas extensions - demand'!R23:R30,'29.4 Gas extensions - tariffs'!R36:R43*IF(P24&gt;="2017",'1. CPI'!AE50,1))+('29.4 Gas extensions - tariffs'!R35*(DATEVALUE("31/12/"&amp;P24)-DATEVALUE("31/12/"&amp;O24)))*IF(P24&gt;="2017",'1. CPI'!AE50,1)*'29.3.4 Gas extensions - demand'!R22</f>
        <v>231589.37673150652</v>
      </c>
      <c r="Q25" s="3125">
        <f>SUMPRODUCT('29.3.4 Gas extensions - demand'!S23:S30,'29.4 Gas extensions - tariffs'!S36:S43*IF(Q24&gt;="2017",'1. CPI'!AF50,1))+('29.4 Gas extensions - tariffs'!S35*(DATEVALUE("31/12/"&amp;Q24)-DATEVALUE("31/12/"&amp;P24)))*IF(Q24&gt;="2017",'1. CPI'!AF50,1)*'29.3.4 Gas extensions - demand'!S22</f>
        <v>232772.02192056278</v>
      </c>
      <c r="R25" s="3125">
        <f>SUMPRODUCT('29.3.4 Gas extensions - demand'!T23:T30,'29.4 Gas extensions - tariffs'!T36:T43*IF(R24&gt;="2017",'1. CPI'!AG50,1))+('29.4 Gas extensions - tariffs'!T35*(DATEVALUE("31/12/"&amp;R24)-DATEVALUE("31/12/"&amp;Q24)))*IF(R24&gt;="2017",'1. CPI'!AG50,1)*'29.3.4 Gas extensions - demand'!T22</f>
        <v>233852.13537364581</v>
      </c>
      <c r="S25" s="3125">
        <f>SUMPRODUCT('29.3.4 Gas extensions - demand'!U23:U30,'29.4 Gas extensions - tariffs'!U36:U43*IF(S24&gt;="2017",'1. CPI'!AH50,1))+('29.4 Gas extensions - tariffs'!U35*(DATEVALUE("31/12/"&amp;S24)-DATEVALUE("31/12/"&amp;R24)))*IF(S24&gt;="2017",'1. CPI'!AH50,1)*'29.3.4 Gas extensions - demand'!U22</f>
        <v>234324.24373119907</v>
      </c>
      <c r="T25" s="3125">
        <f>SUMPRODUCT('29.3.4 Gas extensions - demand'!V23:V30,'29.4 Gas extensions - tariffs'!V36:V43*IF(T24&gt;="2017",'1. CPI'!AI50,1))+('29.4 Gas extensions - tariffs'!V35*(DATEVALUE("31/12/"&amp;T24)-DATEVALUE("31/12/"&amp;S24)))*IF(T24&gt;="2017",'1. CPI'!AI50,1)*'29.3.4 Gas extensions - demand'!V22</f>
        <v>234823.17217033217</v>
      </c>
      <c r="U25" s="3125">
        <f>SUMPRODUCT('29.3.4 Gas extensions - demand'!W23:W30,'29.4 Gas extensions - tariffs'!W36:W43*IF(U24&gt;="2017",'1. CPI'!AJ50,1))+('29.4 Gas extensions - tariffs'!W35*(DATEVALUE("31/12/"&amp;U24)-DATEVALUE("31/12/"&amp;T24)))*IF(U24&gt;="2017",'1. CPI'!AJ50,1)*'29.3.4 Gas extensions - demand'!W22</f>
        <v>235197.36849968199</v>
      </c>
      <c r="V25" s="3125">
        <f>SUMPRODUCT('29.3.4 Gas extensions - demand'!X23:X30,'29.4 Gas extensions - tariffs'!X36:X43*IF(V24&gt;="2017",'1. CPI'!AK50,1))+('29.4 Gas extensions - tariffs'!X35*(DATEVALUE("31/12/"&amp;V24)-DATEVALUE("31/12/"&amp;U24)))*IF(V24&gt;="2017",'1. CPI'!AK50,1)*'29.3.4 Gas extensions - demand'!X22</f>
        <v>235672.64880060428</v>
      </c>
      <c r="W25" s="3125">
        <f>SUMPRODUCT('29.3.4 Gas extensions - demand'!Y23:Y30,'29.4 Gas extensions - tariffs'!Y36:Y43*IF(W24&gt;="2017",'1. CPI'!AL50,1))+('29.4 Gas extensions - tariffs'!Y35*(DATEVALUE("31/12/"&amp;W24)-DATEVALUE("31/12/"&amp;V24)))*IF(W24&gt;="2017",'1. CPI'!AL50,1)*'29.3.4 Gas extensions - demand'!Y22</f>
        <v>235688.50118195367</v>
      </c>
      <c r="X25" s="3125">
        <f>SUMPRODUCT('29.3.4 Gas extensions - demand'!Z23:Z30,'29.4 Gas extensions - tariffs'!Z36:Z43*IF(X24&gt;="2017",'1. CPI'!AM50,1))+('29.4 Gas extensions - tariffs'!Z35*(DATEVALUE("31/12/"&amp;X24)-DATEVALUE("31/12/"&amp;W24)))*IF(X24&gt;="2017",'1. CPI'!AM50,1)*'29.3.4 Gas extensions - demand'!Z22</f>
        <v>235846.36525839817</v>
      </c>
      <c r="Y25" s="3125">
        <f>SUMPRODUCT('29.3.4 Gas extensions - demand'!AA23:AA30,'29.4 Gas extensions - tariffs'!AA36:AA43*IF(Y24&gt;="2017",'1. CPI'!AN50,1))+('29.4 Gas extensions - tariffs'!AA35*(DATEVALUE("31/12/"&amp;Y24)-DATEVALUE("31/12/"&amp;X24)))*IF(Y24&gt;="2017",'1. CPI'!AN50,1)*'29.3.4 Gas extensions - demand'!AA22</f>
        <v>235964.76331573146</v>
      </c>
      <c r="Z25" s="3125">
        <f>SUMPRODUCT('29.3.4 Gas extensions - demand'!AB23:AB30,'29.4 Gas extensions - tariffs'!AB36:AB43*IF(Z24&gt;="2017",'1. CPI'!AO50,1))+('29.4 Gas extensions - tariffs'!AB35*(DATEVALUE("31/12/"&amp;Z24)-DATEVALUE("31/12/"&amp;Y24)))*IF(Z24&gt;="2017",'1. CPI'!AO50,1)*'29.3.4 Gas extensions - demand'!AB22</f>
        <v>236248.6706271029</v>
      </c>
      <c r="AA25" s="3127">
        <f>SUMPRODUCT('29.3.4 Gas extensions - demand'!AC23:AC30,'29.4 Gas extensions - tariffs'!AC36:AC43*IF(AA24&gt;="2017",'1. CPI'!AP50,1))+('29.4 Gas extensions - tariffs'!AC35*(DATEVALUE("31/12/"&amp;AA24)-DATEVALUE("31/12/"&amp;Z24)))*IF(AA24&gt;="2017",'1. CPI'!AP50,1)*'29.3.4 Gas extensions - demand'!AC22</f>
        <v>236120.16076598156</v>
      </c>
      <c r="AE25" s="3128"/>
      <c r="AF25" s="3129"/>
      <c r="AG25" s="3130"/>
    </row>
    <row r="26" spans="1:134">
      <c r="A26" s="2771"/>
      <c r="B26" s="3131"/>
      <c r="C26" s="3065"/>
      <c r="D26" s="3064"/>
      <c r="E26" s="3064"/>
      <c r="F26" s="3064"/>
      <c r="G26" s="3064"/>
      <c r="H26" s="3063"/>
      <c r="I26" s="3064"/>
      <c r="J26" s="3064"/>
      <c r="K26" s="3064"/>
      <c r="L26" s="3030"/>
      <c r="M26" s="3063"/>
      <c r="N26" s="3064"/>
      <c r="O26" s="3064"/>
      <c r="P26" s="3064"/>
      <c r="Q26" s="3064"/>
      <c r="R26" s="3064"/>
      <c r="S26" s="3064"/>
      <c r="T26" s="3064"/>
      <c r="U26" s="3064"/>
      <c r="V26" s="3064"/>
      <c r="W26" s="3064"/>
      <c r="X26" s="3064"/>
      <c r="Y26" s="3064"/>
      <c r="Z26" s="3064"/>
      <c r="AA26" s="3030"/>
      <c r="AE26" s="3132"/>
      <c r="AF26" s="3133"/>
      <c r="AG26" s="3134"/>
    </row>
    <row r="27" spans="1:134">
      <c r="A27" s="2771"/>
      <c r="B27" s="3131" t="s">
        <v>1662</v>
      </c>
      <c r="C27" s="3065">
        <v>0</v>
      </c>
      <c r="D27" s="3064">
        <f>SUMPRODUCT('29.3.4 Gas extensions - demand'!F36:F43,'29.4 Gas extensions - tariffs'!F70:F77*IF(D24&gt;="2017",'1. CPI'!S50,1))+('29.4 Gas extensions - tariffs'!F69*(DATEVALUE("31/12/"&amp;D24)-DATEVALUE("31/12/"&amp;C24)))*IF(D24&gt;="2017",'1. CPI'!S50,1)*'29.3.4 Gas extensions - demand'!F35</f>
        <v>0</v>
      </c>
      <c r="E27" s="3135">
        <f>SUMPRODUCT('29.3.4 Gas extensions - demand'!G36:G43,'29.4 Gas extensions - tariffs'!G70:G77*IF(E24&gt;="2017",'1. CPI'!T50,1))+('29.4 Gas extensions - tariffs'!G69*(DATEVALUE("31/12/"&amp;E24)-DATEVALUE("31/12/"&amp;D24)))*IF(E24&gt;="2017",'1. CPI'!T50,1)*'29.3.4 Gas extensions - demand'!G35</f>
        <v>951.67326439700469</v>
      </c>
      <c r="F27" s="3135">
        <f>SUMPRODUCT('29.3.4 Gas extensions - demand'!H36:H43,'29.4 Gas extensions - tariffs'!H70:H77*IF(F24&gt;="2017",'1. CPI'!U50,1))+('29.4 Gas extensions - tariffs'!H69*(DATEVALUE("31/12/"&amp;F24)-DATEVALUE("31/12/"&amp;E24)))*IF(F24&gt;="2017",'1. CPI'!U50,1)*'29.3.4 Gas extensions - demand'!H35</f>
        <v>4770.3334761479218</v>
      </c>
      <c r="G27" s="3135">
        <f>SUMPRODUCT('29.3.4 Gas extensions - demand'!I36:I43,'29.4 Gas extensions - tariffs'!I70:I77*IF(G24&gt;="2017",'1. CPI'!V50,1))+('29.4 Gas extensions - tariffs'!I69*(DATEVALUE("31/12/"&amp;G24)-DATEVALUE("31/12/"&amp;F24)))*IF(G24&gt;="2017",'1. CPI'!V50,1)*'29.3.4 Gas extensions - demand'!I35</f>
        <v>8769.4405974894307</v>
      </c>
      <c r="H27" s="3136">
        <f>SUMPRODUCT('29.3.4 Gas extensions - demand'!J36:J43,'29.4 Gas extensions - tariffs'!J70:J77*IF(H24&gt;="2017",'1. CPI'!W50,1))+('29.4 Gas extensions - tariffs'!J69*(DATEVALUE("31/12/"&amp;H24)-DATEVALUE("31/12/"&amp;G24)))*IF(H24&gt;="2017",'1. CPI'!W50,1)*'29.3.4 Gas extensions - demand'!J35</f>
        <v>7655.1104568361907</v>
      </c>
      <c r="I27" s="3135">
        <f>SUMPRODUCT('29.3.4 Gas extensions - demand'!K36:K43,'29.4 Gas extensions - tariffs'!K70:K77*IF(I24&gt;="2017",'1. CPI'!X50,1))+('29.4 Gas extensions - tariffs'!K69*(DATEVALUE("31/12/"&amp;I24)-DATEVALUE("31/12/"&amp;H24)))*IF(I24&gt;="2017",'1. CPI'!X50,1)*'29.3.4 Gas extensions - demand'!K35</f>
        <v>7580.8491119413211</v>
      </c>
      <c r="J27" s="3135">
        <f>SUMPRODUCT('29.3.4 Gas extensions - demand'!L36:L43,'29.4 Gas extensions - tariffs'!L70:L77*IF(J24&gt;="2017",'1. CPI'!Y50,1))+('29.4 Gas extensions - tariffs'!L69*(DATEVALUE("31/12/"&amp;J24)-DATEVALUE("31/12/"&amp;I24)))*IF(J24&gt;="2017",'1. CPI'!Y50,1)*'29.3.4 Gas extensions - demand'!L35</f>
        <v>7754.5660846729552</v>
      </c>
      <c r="K27" s="3135">
        <f>SUMPRODUCT('29.3.4 Gas extensions - demand'!M36:M43,'29.4 Gas extensions - tariffs'!M70:M77*IF(K24&gt;="2017",'1. CPI'!Z50,1))+('29.4 Gas extensions - tariffs'!M69*(DATEVALUE("31/12/"&amp;K24)-DATEVALUE("31/12/"&amp;J24)))*IF(K24&gt;="2017",'1. CPI'!Z50,1)*'29.3.4 Gas extensions - demand'!M35</f>
        <v>7812.6746767185959</v>
      </c>
      <c r="L27" s="3137">
        <f>SUMPRODUCT('29.3.4 Gas extensions - demand'!N36:N43,'29.4 Gas extensions - tariffs'!N70:N77*IF(L24&gt;="2017",'1. CPI'!AA50,1))+('29.4 Gas extensions - tariffs'!N69*(DATEVALUE("31/12/"&amp;L24)-DATEVALUE("31/12/"&amp;K24)))*IF(L24&gt;="2017",'1. CPI'!AA50,1)*'29.3.4 Gas extensions - demand'!N35</f>
        <v>7773.0617026688969</v>
      </c>
      <c r="M27" s="3136">
        <f>SUMPRODUCT('29.3.4 Gas extensions - demand'!O36:O43,'29.4 Gas extensions - tariffs'!O70:O77*IF(M24&gt;="2017",'1. CPI'!AB50,1))+('29.4 Gas extensions - tariffs'!O69*(DATEVALUE("31/12/"&amp;M24)-DATEVALUE("31/12/"&amp;L24)))*IF(M24&gt;="2017",'1. CPI'!AB50,1)*'29.3.4 Gas extensions - demand'!O35</f>
        <v>7773.0617026688979</v>
      </c>
      <c r="N27" s="3135">
        <f>SUMPRODUCT('29.3.4 Gas extensions - demand'!P36:P43,'29.4 Gas extensions - tariffs'!P70:P77*IF(N24&gt;="2017",'1. CPI'!AC50,1))+('29.4 Gas extensions - tariffs'!P69*(DATEVALUE("31/12/"&amp;N24)-DATEVALUE("31/12/"&amp;M24)))*IF(N24&gt;="2017",'1. CPI'!AC50,1)*'29.3.4 Gas extensions - demand'!P35</f>
        <v>7774.4898931119587</v>
      </c>
      <c r="O27" s="3135">
        <f>SUMPRODUCT('29.3.4 Gas extensions - demand'!Q36:Q43,'29.4 Gas extensions - tariffs'!Q70:Q77*IF(O24&gt;="2017",'1. CPI'!AD50,1))+('29.4 Gas extensions - tariffs'!Q69*(DATEVALUE("31/12/"&amp;O24)-DATEVALUE("31/12/"&amp;N24)))*IF(O24&gt;="2017",'1. CPI'!AD50,1)*'29.3.4 Gas extensions - demand'!Q35</f>
        <v>7773.0617026688988</v>
      </c>
      <c r="P27" s="3135">
        <f>SUMPRODUCT('29.3.4 Gas extensions - demand'!R36:R43,'29.4 Gas extensions - tariffs'!R70:R77*IF(P24&gt;="2017",'1. CPI'!AE50,1))+('29.4 Gas extensions - tariffs'!R69*(DATEVALUE("31/12/"&amp;P24)-DATEVALUE("31/12/"&amp;O24)))*IF(P24&gt;="2017",'1. CPI'!AE50,1)*'29.3.4 Gas extensions - demand'!R35</f>
        <v>7773.0617026688969</v>
      </c>
      <c r="Q27" s="3135">
        <f>SUMPRODUCT('29.3.4 Gas extensions - demand'!S36:S43,'29.4 Gas extensions - tariffs'!S70:S77*IF(Q24&gt;="2017",'1. CPI'!AF50,1))+('29.4 Gas extensions - tariffs'!S69*(DATEVALUE("31/12/"&amp;Q24)-DATEVALUE("31/12/"&amp;P24)))*IF(Q24&gt;="2017",'1. CPI'!AF50,1)*'29.3.4 Gas extensions - demand'!S35</f>
        <v>7773.0617026688969</v>
      </c>
      <c r="R27" s="3135">
        <f>SUMPRODUCT('29.3.4 Gas extensions - demand'!T36:T43,'29.4 Gas extensions - tariffs'!T70:T77*IF(R24&gt;="2017",'1. CPI'!AG50,1))+('29.4 Gas extensions - tariffs'!T69*(DATEVALUE("31/12/"&amp;R24)-DATEVALUE("31/12/"&amp;Q24)))*IF(R24&gt;="2017",'1. CPI'!AG50,1)*'29.3.4 Gas extensions - demand'!T35</f>
        <v>7774.4898931119569</v>
      </c>
      <c r="S27" s="3135">
        <f>SUMPRODUCT('29.3.4 Gas extensions - demand'!U36:U43,'29.4 Gas extensions - tariffs'!U70:U77*IF(S24&gt;="2017",'1. CPI'!AH50,1))+('29.4 Gas extensions - tariffs'!U69*(DATEVALUE("31/12/"&amp;S24)-DATEVALUE("31/12/"&amp;R24)))*IF(S24&gt;="2017",'1. CPI'!AH50,1)*'29.3.4 Gas extensions - demand'!U35</f>
        <v>7773.0617026688969</v>
      </c>
      <c r="T27" s="3135">
        <f>SUMPRODUCT('29.3.4 Gas extensions - demand'!V36:V43,'29.4 Gas extensions - tariffs'!V70:V77*IF(T24&gt;="2017",'1. CPI'!AI50,1))+('29.4 Gas extensions - tariffs'!V69*(DATEVALUE("31/12/"&amp;T24)-DATEVALUE("31/12/"&amp;S24)))*IF(T24&gt;="2017",'1. CPI'!AI50,1)*'29.3.4 Gas extensions - demand'!V35</f>
        <v>7773.0617026688969</v>
      </c>
      <c r="U27" s="3135">
        <f>SUMPRODUCT('29.3.4 Gas extensions - demand'!W36:W43,'29.4 Gas extensions - tariffs'!W70:W77*IF(U24&gt;="2017",'1. CPI'!AJ50,1))+('29.4 Gas extensions - tariffs'!W69*(DATEVALUE("31/12/"&amp;U24)-DATEVALUE("31/12/"&amp;T24)))*IF(U24&gt;="2017",'1. CPI'!AJ50,1)*'29.3.4 Gas extensions - demand'!W35</f>
        <v>7773.0617026688969</v>
      </c>
      <c r="V27" s="3135">
        <f>SUMPRODUCT('29.3.4 Gas extensions - demand'!X36:X43,'29.4 Gas extensions - tariffs'!X70:X77*IF(V24&gt;="2017",'1. CPI'!AK50,1))+('29.4 Gas extensions - tariffs'!X69*(DATEVALUE("31/12/"&amp;V24)-DATEVALUE("31/12/"&amp;U24)))*IF(V24&gt;="2017",'1. CPI'!AK50,1)*'29.3.4 Gas extensions - demand'!X35</f>
        <v>7774.4898931119569</v>
      </c>
      <c r="W27" s="3135">
        <f>SUMPRODUCT('29.3.4 Gas extensions - demand'!Y36:Y43,'29.4 Gas extensions - tariffs'!Y70:Y77*IF(W24&gt;="2017",'1. CPI'!AL50,1))+('29.4 Gas extensions - tariffs'!Y69*(DATEVALUE("31/12/"&amp;W24)-DATEVALUE("31/12/"&amp;V24)))*IF(W24&gt;="2017",'1. CPI'!AL50,1)*'29.3.4 Gas extensions - demand'!Y35</f>
        <v>7773.0617026688969</v>
      </c>
      <c r="X27" s="3135">
        <f>SUMPRODUCT('29.3.4 Gas extensions - demand'!Z36:Z43,'29.4 Gas extensions - tariffs'!Z70:Z77*IF(X24&gt;="2017",'1. CPI'!AM50,1))+('29.4 Gas extensions - tariffs'!Z69*(DATEVALUE("31/12/"&amp;X24)-DATEVALUE("31/12/"&amp;W24)))*IF(X24&gt;="2017",'1. CPI'!AM50,1)*'29.3.4 Gas extensions - demand'!Z35</f>
        <v>7773.0617026688997</v>
      </c>
      <c r="Y27" s="3135">
        <f>SUMPRODUCT('29.3.4 Gas extensions - demand'!AA36:AA43,'29.4 Gas extensions - tariffs'!AA70:AA77*IF(Y24&gt;="2017",'1. CPI'!AN50,1))+('29.4 Gas extensions - tariffs'!AA69*(DATEVALUE("31/12/"&amp;Y24)-DATEVALUE("31/12/"&amp;X24)))*IF(Y24&gt;="2017",'1. CPI'!AN50,1)*'29.3.4 Gas extensions - demand'!AA35</f>
        <v>7773.0617026688979</v>
      </c>
      <c r="Z27" s="3135">
        <f>SUMPRODUCT('29.3.4 Gas extensions - demand'!AB36:AB43,'29.4 Gas extensions - tariffs'!AB70:AB77*IF(Z24&gt;="2017",'1. CPI'!AO50,1))+('29.4 Gas extensions - tariffs'!AB69*(DATEVALUE("31/12/"&amp;Z24)-DATEVALUE("31/12/"&amp;Y24)))*IF(Z24&gt;="2017",'1. CPI'!AO50,1)*'29.3.4 Gas extensions - demand'!AB35</f>
        <v>7774.4898931119578</v>
      </c>
      <c r="AA27" s="3137">
        <f>SUMPRODUCT('29.3.4 Gas extensions - demand'!AC36:AC43,'29.4 Gas extensions - tariffs'!AC70:AC77*IF(AA24&gt;="2017",'1. CPI'!AP50,1))+('29.4 Gas extensions - tariffs'!AC69*(DATEVALUE("31/12/"&amp;AA24)-DATEVALUE("31/12/"&amp;Z24)))*IF(AA24&gt;="2017",'1. CPI'!AP50,1)*'29.3.4 Gas extensions - demand'!AC35</f>
        <v>7773.0617026688997</v>
      </c>
      <c r="AE27" s="3132"/>
      <c r="AF27" s="3133"/>
      <c r="AG27" s="3134"/>
    </row>
    <row r="28" spans="1:134">
      <c r="A28" s="2771"/>
      <c r="B28" s="3138"/>
      <c r="C28" s="3139"/>
      <c r="D28" s="3140"/>
      <c r="E28" s="3140"/>
      <c r="F28" s="3140"/>
      <c r="G28" s="3140"/>
      <c r="H28" s="3141"/>
      <c r="I28" s="3140"/>
      <c r="J28" s="3140"/>
      <c r="K28" s="3140"/>
      <c r="L28" s="3142"/>
      <c r="M28" s="3141"/>
      <c r="N28" s="3140"/>
      <c r="O28" s="3140"/>
      <c r="P28" s="3140"/>
      <c r="Q28" s="3140"/>
      <c r="R28" s="3140"/>
      <c r="S28" s="3140"/>
      <c r="T28" s="3140"/>
      <c r="U28" s="3140"/>
      <c r="V28" s="3140"/>
      <c r="W28" s="3140"/>
      <c r="X28" s="3140"/>
      <c r="Y28" s="3140"/>
      <c r="Z28" s="3140"/>
      <c r="AA28" s="3142"/>
      <c r="AE28" s="3143"/>
      <c r="AF28" s="3144"/>
      <c r="AG28" s="3145"/>
    </row>
    <row r="29" spans="1:134">
      <c r="A29" s="2771"/>
      <c r="B29" s="3146"/>
      <c r="C29" s="3147"/>
      <c r="D29" s="3148"/>
      <c r="E29" s="3148"/>
      <c r="F29" s="3148"/>
      <c r="G29" s="3148"/>
      <c r="H29" s="3104"/>
      <c r="I29" s="3148"/>
      <c r="J29" s="3148"/>
      <c r="K29" s="3148"/>
      <c r="L29" s="3149"/>
      <c r="M29" s="3104"/>
      <c r="N29" s="3148"/>
      <c r="O29" s="3148"/>
      <c r="P29" s="3148"/>
      <c r="Q29" s="3148"/>
      <c r="R29" s="3148"/>
      <c r="S29" s="3148"/>
      <c r="T29" s="3148"/>
      <c r="U29" s="3148"/>
      <c r="V29" s="3148"/>
      <c r="W29" s="3148"/>
      <c r="X29" s="3148"/>
      <c r="Y29" s="3148"/>
      <c r="Z29" s="3148"/>
      <c r="AA29" s="3149"/>
      <c r="AE29" s="3150"/>
      <c r="AF29" s="3151"/>
      <c r="AG29" s="3152"/>
    </row>
    <row r="30" spans="1:134">
      <c r="A30" s="2771"/>
      <c r="B30" s="3131"/>
      <c r="C30" s="3065"/>
      <c r="D30" s="3064"/>
      <c r="E30" s="3064"/>
      <c r="F30" s="3064"/>
      <c r="G30" s="3064"/>
      <c r="H30" s="3063"/>
      <c r="I30" s="3064"/>
      <c r="J30" s="3064"/>
      <c r="K30" s="3064"/>
      <c r="L30" s="3030"/>
      <c r="M30" s="3063"/>
      <c r="N30" s="3064"/>
      <c r="O30" s="3064"/>
      <c r="P30" s="3064"/>
      <c r="Q30" s="3064"/>
      <c r="R30" s="3064"/>
      <c r="S30" s="3064"/>
      <c r="T30" s="3064"/>
      <c r="U30" s="3064"/>
      <c r="V30" s="3064"/>
      <c r="W30" s="3064"/>
      <c r="X30" s="3064"/>
      <c r="Y30" s="3064"/>
      <c r="Z30" s="3064"/>
      <c r="AA30" s="3030"/>
      <c r="AE30" s="3132"/>
      <c r="AF30" s="3133"/>
      <c r="AG30" s="3134"/>
    </row>
    <row r="31" spans="1:134">
      <c r="A31" s="2771"/>
      <c r="B31" s="3131"/>
      <c r="C31" s="3065"/>
      <c r="D31" s="3064"/>
      <c r="E31" s="3064"/>
      <c r="F31" s="3064"/>
      <c r="G31" s="3064"/>
      <c r="H31" s="3063"/>
      <c r="I31" s="3064"/>
      <c r="J31" s="3064"/>
      <c r="K31" s="3064"/>
      <c r="L31" s="3030"/>
      <c r="M31" s="3063"/>
      <c r="N31" s="3064"/>
      <c r="O31" s="3064"/>
      <c r="P31" s="3064"/>
      <c r="Q31" s="3064"/>
      <c r="R31" s="3064"/>
      <c r="S31" s="3064"/>
      <c r="T31" s="3064"/>
      <c r="U31" s="3064"/>
      <c r="V31" s="3064"/>
      <c r="W31" s="3064"/>
      <c r="X31" s="3064"/>
      <c r="Y31" s="3064"/>
      <c r="Z31" s="3064"/>
      <c r="AA31" s="3030"/>
      <c r="AE31" s="3132"/>
      <c r="AF31" s="3133"/>
      <c r="AG31" s="3134"/>
    </row>
    <row r="32" spans="1:134">
      <c r="A32" s="2771"/>
      <c r="B32" s="3138"/>
      <c r="C32" s="3139"/>
      <c r="D32" s="3140"/>
      <c r="E32" s="3140"/>
      <c r="F32" s="3140"/>
      <c r="G32" s="3140"/>
      <c r="H32" s="3141"/>
      <c r="I32" s="3140"/>
      <c r="J32" s="3140"/>
      <c r="K32" s="3140"/>
      <c r="L32" s="3142"/>
      <c r="M32" s="3141"/>
      <c r="N32" s="3140"/>
      <c r="O32" s="3140"/>
      <c r="P32" s="3140"/>
      <c r="Q32" s="3140"/>
      <c r="R32" s="3140"/>
      <c r="S32" s="3140"/>
      <c r="T32" s="3140"/>
      <c r="U32" s="3140"/>
      <c r="V32" s="3140"/>
      <c r="W32" s="3140"/>
      <c r="X32" s="3140"/>
      <c r="Y32" s="3140"/>
      <c r="Z32" s="3140"/>
      <c r="AA32" s="3142"/>
      <c r="AE32" s="3143"/>
      <c r="AF32" s="3144"/>
      <c r="AG32" s="3145"/>
    </row>
    <row r="33" spans="1:134">
      <c r="A33" s="2771"/>
      <c r="B33" s="3153" t="s">
        <v>631</v>
      </c>
      <c r="C33" s="3154"/>
      <c r="D33" s="3155"/>
      <c r="E33" s="3155"/>
      <c r="F33" s="3155"/>
      <c r="G33" s="3155"/>
      <c r="H33" s="3156"/>
      <c r="I33" s="3155"/>
      <c r="J33" s="3155"/>
      <c r="K33" s="3155"/>
      <c r="L33" s="3157"/>
      <c r="M33" s="3156"/>
      <c r="N33" s="3155"/>
      <c r="O33" s="3155"/>
      <c r="P33" s="3155"/>
      <c r="Q33" s="3155"/>
      <c r="R33" s="3155"/>
      <c r="S33" s="3155"/>
      <c r="T33" s="3155"/>
      <c r="U33" s="3155"/>
      <c r="V33" s="3155"/>
      <c r="W33" s="3155"/>
      <c r="X33" s="3155"/>
      <c r="Y33" s="3155"/>
      <c r="Z33" s="3155"/>
      <c r="AA33" s="3157"/>
      <c r="AE33" s="3158"/>
      <c r="AF33" s="3159"/>
      <c r="AG33" s="3160"/>
    </row>
    <row r="34" spans="1:134">
      <c r="A34" s="2771"/>
      <c r="B34" s="3161" t="s">
        <v>208</v>
      </c>
      <c r="C34" s="3162">
        <f>SUM(C25:C33)</f>
        <v>0</v>
      </c>
      <c r="D34" s="3163">
        <f>SUM(D25:D33)</f>
        <v>22806.293391403677</v>
      </c>
      <c r="E34" s="3163">
        <f t="shared" ref="E34:AA34" si="1">SUM(E25:E33)</f>
        <v>93195.921805815626</v>
      </c>
      <c r="F34" s="3163">
        <f t="shared" si="1"/>
        <v>170389.35975826086</v>
      </c>
      <c r="G34" s="3163">
        <f t="shared" si="1"/>
        <v>190846.95884716831</v>
      </c>
      <c r="H34" s="3162">
        <f t="shared" si="1"/>
        <v>192730.31334626034</v>
      </c>
      <c r="I34" s="3163">
        <f t="shared" si="1"/>
        <v>205418.30790172194</v>
      </c>
      <c r="J34" s="3163">
        <f t="shared" si="1"/>
        <v>215834.92347801701</v>
      </c>
      <c r="K34" s="3163">
        <f t="shared" si="1"/>
        <v>224174.53731385121</v>
      </c>
      <c r="L34" s="3164">
        <f t="shared" si="1"/>
        <v>229142.04791146715</v>
      </c>
      <c r="M34" s="3162">
        <f t="shared" si="1"/>
        <v>232879.79073120051</v>
      </c>
      <c r="N34" s="3163">
        <f t="shared" si="1"/>
        <v>235872.90381859292</v>
      </c>
      <c r="O34" s="3163">
        <f t="shared" si="1"/>
        <v>237785.57818210043</v>
      </c>
      <c r="P34" s="3163">
        <f t="shared" si="1"/>
        <v>239362.43843417542</v>
      </c>
      <c r="Q34" s="3163">
        <f t="shared" si="1"/>
        <v>240545.08362323168</v>
      </c>
      <c r="R34" s="3163">
        <f t="shared" si="1"/>
        <v>241626.62526675776</v>
      </c>
      <c r="S34" s="3163">
        <f t="shared" si="1"/>
        <v>242097.30543386796</v>
      </c>
      <c r="T34" s="3163">
        <f t="shared" si="1"/>
        <v>242596.23387300107</v>
      </c>
      <c r="U34" s="3163">
        <f t="shared" si="1"/>
        <v>242970.43020235089</v>
      </c>
      <c r="V34" s="3163">
        <f t="shared" si="1"/>
        <v>243447.13869371623</v>
      </c>
      <c r="W34" s="3163">
        <f t="shared" si="1"/>
        <v>243461.56288462257</v>
      </c>
      <c r="X34" s="3163">
        <f t="shared" si="1"/>
        <v>243619.42696106707</v>
      </c>
      <c r="Y34" s="3163">
        <f t="shared" si="1"/>
        <v>243737.82501840036</v>
      </c>
      <c r="Z34" s="3163">
        <f t="shared" si="1"/>
        <v>244023.16052021485</v>
      </c>
      <c r="AA34" s="3164">
        <f t="shared" si="1"/>
        <v>243893.22246865046</v>
      </c>
      <c r="AE34" s="3162">
        <f t="shared" ref="AE34:AG34" si="2">SUM(AE29:AE33)</f>
        <v>0</v>
      </c>
      <c r="AF34" s="3163">
        <f t="shared" si="2"/>
        <v>0</v>
      </c>
      <c r="AG34" s="3164">
        <f t="shared" si="2"/>
        <v>0</v>
      </c>
    </row>
    <row r="35" spans="1:134" ht="18.75" customHeight="1" thickBot="1">
      <c r="A35" s="2771"/>
      <c r="B35" s="3165" t="s">
        <v>209</v>
      </c>
      <c r="C35" s="3166"/>
      <c r="D35" s="3167"/>
      <c r="E35" s="3167"/>
      <c r="F35" s="3167"/>
      <c r="G35" s="3167"/>
      <c r="H35" s="3166"/>
      <c r="I35" s="3167"/>
      <c r="J35" s="3167"/>
      <c r="K35" s="3167"/>
      <c r="L35" s="3168"/>
      <c r="M35" s="3166"/>
      <c r="N35" s="3167"/>
      <c r="O35" s="3167"/>
      <c r="P35" s="3167"/>
      <c r="Q35" s="3167"/>
      <c r="R35" s="3167"/>
      <c r="S35" s="3167"/>
      <c r="T35" s="3167"/>
      <c r="U35" s="3167"/>
      <c r="V35" s="3167"/>
      <c r="W35" s="3167"/>
      <c r="X35" s="3167"/>
      <c r="Y35" s="3167"/>
      <c r="Z35" s="3167"/>
      <c r="AA35" s="3168"/>
      <c r="AE35" s="3169"/>
      <c r="AF35" s="3170"/>
      <c r="AG35" s="3171"/>
    </row>
    <row r="36" spans="1:134" ht="36" customHeight="1" thickBot="1">
      <c r="A36" s="2771"/>
      <c r="B36" s="3172" t="s">
        <v>121</v>
      </c>
      <c r="C36" s="3937" t="s">
        <v>2111</v>
      </c>
      <c r="D36" s="3938"/>
      <c r="E36" s="3938"/>
      <c r="F36" s="3938"/>
      <c r="G36" s="3938"/>
      <c r="H36" s="3173"/>
      <c r="I36" s="3173"/>
      <c r="J36" s="3173"/>
      <c r="K36" s="3173"/>
      <c r="L36" s="3173"/>
      <c r="M36" s="3173"/>
      <c r="N36" s="3173"/>
      <c r="O36" s="3173"/>
      <c r="P36" s="3173"/>
      <c r="Q36" s="3173"/>
      <c r="R36" s="3173"/>
      <c r="S36" s="3173"/>
      <c r="T36" s="3173"/>
      <c r="U36" s="3173"/>
      <c r="V36" s="3173"/>
      <c r="W36" s="3173"/>
      <c r="X36" s="3173"/>
      <c r="Y36" s="3173"/>
      <c r="Z36" s="3173"/>
      <c r="AA36" s="3174"/>
      <c r="AE36" s="3175"/>
      <c r="AF36" s="3176"/>
      <c r="AG36" s="3177"/>
    </row>
    <row r="37" spans="1:134" ht="45" customHeight="1" thickBot="1">
      <c r="A37" s="2771"/>
      <c r="B37" s="3178"/>
      <c r="C37" s="2771"/>
      <c r="D37" s="2771"/>
      <c r="E37" s="2771"/>
      <c r="F37" s="2771"/>
      <c r="G37" s="2771"/>
      <c r="H37" s="2771"/>
      <c r="I37" s="2771"/>
      <c r="J37" s="2771"/>
      <c r="K37" s="2771"/>
      <c r="L37" s="2771"/>
      <c r="M37" s="2771"/>
      <c r="N37" s="2771"/>
      <c r="O37" s="2771"/>
      <c r="P37" s="2771"/>
      <c r="Q37" s="2771"/>
      <c r="R37" s="2771"/>
      <c r="S37" s="2771"/>
      <c r="T37" s="2771"/>
      <c r="U37" s="2771"/>
      <c r="V37" s="2771"/>
      <c r="W37" s="2771"/>
      <c r="X37" s="2771"/>
      <c r="Y37" s="2771"/>
      <c r="Z37" s="2771"/>
      <c r="AA37" s="2771"/>
      <c r="AE37" s="2771"/>
      <c r="AF37" s="2771"/>
      <c r="AG37" s="2771"/>
    </row>
    <row r="38" spans="1:134" s="3019" customFormat="1" ht="18.75" customHeight="1" thickBot="1">
      <c r="A38" s="3013"/>
      <c r="B38" s="2783" t="s">
        <v>472</v>
      </c>
      <c r="C38" s="2784"/>
      <c r="D38" s="2784"/>
      <c r="E38" s="2784"/>
      <c r="F38" s="2784"/>
      <c r="G38" s="2784"/>
      <c r="H38" s="2784"/>
      <c r="I38" s="2784"/>
      <c r="J38" s="2784"/>
      <c r="K38" s="2784"/>
      <c r="L38" s="2784"/>
      <c r="M38" s="2784"/>
      <c r="N38" s="2784"/>
      <c r="O38" s="2784"/>
      <c r="P38" s="2784"/>
      <c r="Q38" s="2784"/>
      <c r="R38" s="2784"/>
      <c r="S38" s="2784"/>
      <c r="T38" s="2784"/>
      <c r="U38" s="2784"/>
      <c r="V38" s="2784"/>
      <c r="W38" s="2784"/>
      <c r="X38" s="2784"/>
      <c r="Y38" s="2784"/>
      <c r="Z38" s="2784"/>
      <c r="AA38" s="2785"/>
      <c r="AB38" s="2524"/>
      <c r="AC38" s="2524"/>
      <c r="AD38" s="2524"/>
      <c r="AE38" s="2783"/>
      <c r="AF38" s="2784"/>
      <c r="AG38" s="2785"/>
      <c r="DE38" s="2524"/>
      <c r="DF38" s="2524"/>
      <c r="DG38" s="2524"/>
      <c r="DH38" s="2524"/>
      <c r="DI38" s="2524"/>
      <c r="DJ38" s="2524"/>
      <c r="DK38" s="2524"/>
      <c r="DL38" s="2524"/>
      <c r="DM38" s="2524"/>
      <c r="DN38" s="2524"/>
      <c r="DO38" s="2524"/>
      <c r="DP38" s="2524"/>
      <c r="DQ38" s="2524"/>
      <c r="DR38" s="2524"/>
      <c r="DS38" s="2524"/>
      <c r="DT38" s="2524"/>
      <c r="DU38" s="2524"/>
      <c r="DV38" s="2524"/>
      <c r="DW38" s="2524"/>
      <c r="DX38" s="2524"/>
      <c r="DY38" s="2524"/>
      <c r="DZ38" s="2524"/>
      <c r="EA38" s="2524"/>
      <c r="EB38" s="2524"/>
      <c r="EC38" s="2524"/>
      <c r="ED38" s="2524"/>
    </row>
    <row r="39" spans="1:134" ht="20.25" customHeight="1">
      <c r="A39" s="2771"/>
      <c r="B39" s="4552"/>
      <c r="C39" s="4554" t="s">
        <v>37</v>
      </c>
      <c r="D39" s="4555"/>
      <c r="E39" s="4555"/>
      <c r="F39" s="4555"/>
      <c r="G39" s="4555"/>
      <c r="H39" s="4562" t="s">
        <v>73</v>
      </c>
      <c r="I39" s="4562"/>
      <c r="J39" s="4562"/>
      <c r="K39" s="4562"/>
      <c r="L39" s="4562"/>
      <c r="M39" s="4563" t="s">
        <v>249</v>
      </c>
      <c r="N39" s="4563"/>
      <c r="O39" s="4563"/>
      <c r="P39" s="4563"/>
      <c r="Q39" s="4563"/>
      <c r="R39" s="4563"/>
      <c r="S39" s="4563"/>
      <c r="T39" s="4563"/>
      <c r="U39" s="4563"/>
      <c r="V39" s="4563"/>
      <c r="W39" s="4563"/>
      <c r="X39" s="4563"/>
      <c r="Y39" s="4563"/>
      <c r="Z39" s="4563"/>
      <c r="AA39" s="4564"/>
      <c r="AE39" s="4565" t="s">
        <v>37</v>
      </c>
      <c r="AF39" s="4566"/>
      <c r="AG39" s="4567"/>
    </row>
    <row r="40" spans="1:134" ht="20.25" customHeight="1">
      <c r="B40" s="4553"/>
      <c r="C40" s="4556" t="s">
        <v>543</v>
      </c>
      <c r="D40" s="4557"/>
      <c r="E40" s="4558"/>
      <c r="F40" s="4559" t="str">
        <f>CONCATENATE("$0's, real ",dms_DollarReal)</f>
        <v>$0's, real December 2017</v>
      </c>
      <c r="G40" s="4560"/>
      <c r="H40" s="4560"/>
      <c r="I40" s="4560"/>
      <c r="J40" s="4560"/>
      <c r="K40" s="4560"/>
      <c r="L40" s="4560"/>
      <c r="M40" s="4560"/>
      <c r="N40" s="4560"/>
      <c r="O40" s="4560"/>
      <c r="P40" s="4560"/>
      <c r="Q40" s="4560"/>
      <c r="R40" s="4560"/>
      <c r="S40" s="4560"/>
      <c r="T40" s="4560"/>
      <c r="U40" s="4560"/>
      <c r="V40" s="4560"/>
      <c r="W40" s="4560"/>
      <c r="X40" s="4560"/>
      <c r="Y40" s="4560"/>
      <c r="Z40" s="4560"/>
      <c r="AA40" s="4561"/>
      <c r="AE40" s="4556" t="str">
        <f>CONCATENATE("$0's, real ",dms_DollarReal)</f>
        <v>$0's, real December 2017</v>
      </c>
      <c r="AF40" s="4557"/>
      <c r="AG40" s="4568"/>
    </row>
    <row r="41" spans="1:134" ht="20.25" customHeight="1">
      <c r="B41" s="4553"/>
      <c r="C41" s="4556" t="s">
        <v>54</v>
      </c>
      <c r="D41" s="4557"/>
      <c r="E41" s="4558"/>
      <c r="F41" s="4559" t="s">
        <v>377</v>
      </c>
      <c r="G41" s="4560"/>
      <c r="H41" s="4560"/>
      <c r="I41" s="4560"/>
      <c r="J41" s="4560"/>
      <c r="K41" s="4560"/>
      <c r="L41" s="4560"/>
      <c r="M41" s="4560"/>
      <c r="N41" s="4560"/>
      <c r="O41" s="4560"/>
      <c r="P41" s="4560"/>
      <c r="Q41" s="4560"/>
      <c r="R41" s="4560"/>
      <c r="S41" s="4560"/>
      <c r="T41" s="4560"/>
      <c r="U41" s="4560"/>
      <c r="V41" s="4560"/>
      <c r="W41" s="4560"/>
      <c r="X41" s="4560"/>
      <c r="Y41" s="4560"/>
      <c r="Z41" s="4560"/>
      <c r="AA41" s="4561"/>
      <c r="AE41" s="4556" t="s">
        <v>54</v>
      </c>
      <c r="AF41" s="4557"/>
      <c r="AG41" s="4568"/>
    </row>
    <row r="42" spans="1:134" ht="20.25" customHeight="1" thickBot="1">
      <c r="B42" s="4569"/>
      <c r="C42" s="2788">
        <f>CRCP_y1</f>
        <v>2013</v>
      </c>
      <c r="D42" s="2788">
        <f>CRCP_y2</f>
        <v>2014</v>
      </c>
      <c r="E42" s="2788">
        <f>CRCP_y3</f>
        <v>2015</v>
      </c>
      <c r="F42" s="2788">
        <f>CRCP_y4</f>
        <v>2016</v>
      </c>
      <c r="G42" s="2788">
        <f>CRCP_y5</f>
        <v>2017</v>
      </c>
      <c r="H42" s="3120" t="str">
        <f>CONCATENATE(IF(dms_RPT="Calendar",G42+1,(LEFT(G42,4)+1&amp;"-"&amp;IF(MID(G42,6,2)&lt;"09","0"&amp;RIGHT(G42,1)+1,RIGHT(G42,2)+1))))</f>
        <v>2018</v>
      </c>
      <c r="I42" s="3120" t="str">
        <f t="shared" ref="I42:AA42" si="3">CONCATENATE(IF(dms_RPT="Calendar",H42+1,(LEFT(H42,4)+1&amp;"-"&amp;IF(MID(H42,6,2)&lt;"09","0"&amp;RIGHT(H42,1)+1,RIGHT(H42,2)+1))))</f>
        <v>2019</v>
      </c>
      <c r="J42" s="3120" t="str">
        <f t="shared" si="3"/>
        <v>2020</v>
      </c>
      <c r="K42" s="3120" t="str">
        <f t="shared" si="3"/>
        <v>2021</v>
      </c>
      <c r="L42" s="3120" t="str">
        <f t="shared" si="3"/>
        <v>2022</v>
      </c>
      <c r="M42" s="2788" t="str">
        <f t="shared" si="3"/>
        <v>2023</v>
      </c>
      <c r="N42" s="2788" t="str">
        <f t="shared" si="3"/>
        <v>2024</v>
      </c>
      <c r="O42" s="2788" t="str">
        <f t="shared" si="3"/>
        <v>2025</v>
      </c>
      <c r="P42" s="2788" t="str">
        <f t="shared" si="3"/>
        <v>2026</v>
      </c>
      <c r="Q42" s="2788" t="str">
        <f t="shared" si="3"/>
        <v>2027</v>
      </c>
      <c r="R42" s="2788" t="str">
        <f t="shared" si="3"/>
        <v>2028</v>
      </c>
      <c r="S42" s="2788" t="str">
        <f t="shared" si="3"/>
        <v>2029</v>
      </c>
      <c r="T42" s="2788" t="str">
        <f t="shared" si="3"/>
        <v>2030</v>
      </c>
      <c r="U42" s="2788" t="str">
        <f t="shared" si="3"/>
        <v>2031</v>
      </c>
      <c r="V42" s="2788" t="str">
        <f t="shared" si="3"/>
        <v>2032</v>
      </c>
      <c r="W42" s="2788" t="str">
        <f t="shared" si="3"/>
        <v>2033</v>
      </c>
      <c r="X42" s="2788" t="str">
        <f t="shared" si="3"/>
        <v>2034</v>
      </c>
      <c r="Y42" s="2788" t="str">
        <f t="shared" si="3"/>
        <v>2035</v>
      </c>
      <c r="Z42" s="2788" t="str">
        <f t="shared" si="3"/>
        <v>2036</v>
      </c>
      <c r="AA42" s="2788" t="str">
        <f t="shared" si="3"/>
        <v>2037</v>
      </c>
      <c r="AE42" s="3121">
        <f>CRCP_y1</f>
        <v>2013</v>
      </c>
      <c r="AF42" s="2788">
        <f>CRCP_y2</f>
        <v>2014</v>
      </c>
      <c r="AG42" s="2789">
        <f>CRCP_y3</f>
        <v>2015</v>
      </c>
    </row>
    <row r="43" spans="1:134" ht="18" customHeight="1">
      <c r="A43" s="2771"/>
      <c r="B43" s="3179" t="s">
        <v>250</v>
      </c>
      <c r="C43" s="3180">
        <v>0</v>
      </c>
      <c r="D43" s="3181">
        <v>4185</v>
      </c>
      <c r="E43" s="3181">
        <v>11970</v>
      </c>
      <c r="F43" s="3181">
        <v>16796</v>
      </c>
      <c r="G43" s="3181">
        <v>19190</v>
      </c>
      <c r="H43" s="3180">
        <v>20917</v>
      </c>
      <c r="I43" s="3181">
        <v>22213</v>
      </c>
      <c r="J43" s="3181">
        <v>23185</v>
      </c>
      <c r="K43" s="3181">
        <v>23914</v>
      </c>
      <c r="L43" s="3182">
        <v>24460</v>
      </c>
      <c r="M43" s="3180">
        <v>24870</v>
      </c>
      <c r="N43" s="3181">
        <v>25178</v>
      </c>
      <c r="O43" s="3181">
        <v>25408</v>
      </c>
      <c r="P43" s="3181">
        <v>25581</v>
      </c>
      <c r="Q43" s="3181">
        <v>25711</v>
      </c>
      <c r="R43" s="3181">
        <v>25808</v>
      </c>
      <c r="S43" s="3181">
        <v>25881</v>
      </c>
      <c r="T43" s="3181">
        <v>25936</v>
      </c>
      <c r="U43" s="3181">
        <v>25977</v>
      </c>
      <c r="V43" s="3181">
        <v>26008</v>
      </c>
      <c r="W43" s="3181">
        <v>26031</v>
      </c>
      <c r="X43" s="3181">
        <v>26048</v>
      </c>
      <c r="Y43" s="3181">
        <v>26061</v>
      </c>
      <c r="Z43" s="3181">
        <v>26071</v>
      </c>
      <c r="AA43" s="3183">
        <v>26078</v>
      </c>
      <c r="AE43" s="3184"/>
      <c r="AF43" s="3185"/>
      <c r="AG43" s="3186"/>
    </row>
    <row r="44" spans="1:134" ht="18" customHeight="1" thickBot="1">
      <c r="A44" s="2771"/>
      <c r="B44" s="3187" t="s">
        <v>251</v>
      </c>
      <c r="C44" s="3166">
        <v>0</v>
      </c>
      <c r="D44" s="3167">
        <v>4185</v>
      </c>
      <c r="E44" s="3167">
        <v>11970</v>
      </c>
      <c r="F44" s="3167">
        <v>16796</v>
      </c>
      <c r="G44" s="3167">
        <v>19190</v>
      </c>
      <c r="H44" s="3166">
        <v>20917</v>
      </c>
      <c r="I44" s="3167">
        <v>22213</v>
      </c>
      <c r="J44" s="3167">
        <v>23185</v>
      </c>
      <c r="K44" s="3167">
        <v>23914</v>
      </c>
      <c r="L44" s="3188">
        <v>24460</v>
      </c>
      <c r="M44" s="3166">
        <v>24870</v>
      </c>
      <c r="N44" s="3167">
        <v>25178</v>
      </c>
      <c r="O44" s="3167">
        <v>25408</v>
      </c>
      <c r="P44" s="3167">
        <v>25581</v>
      </c>
      <c r="Q44" s="3167">
        <v>25711</v>
      </c>
      <c r="R44" s="3167">
        <v>25808</v>
      </c>
      <c r="S44" s="3167">
        <v>25881</v>
      </c>
      <c r="T44" s="3167">
        <v>25936</v>
      </c>
      <c r="U44" s="3167">
        <v>25977</v>
      </c>
      <c r="V44" s="3167">
        <v>26008</v>
      </c>
      <c r="W44" s="3167">
        <v>26031</v>
      </c>
      <c r="X44" s="3167">
        <v>26048</v>
      </c>
      <c r="Y44" s="3167">
        <v>26061</v>
      </c>
      <c r="Z44" s="3167">
        <v>26071</v>
      </c>
      <c r="AA44" s="3189">
        <v>26078</v>
      </c>
      <c r="AE44" s="3169"/>
      <c r="AF44" s="3170"/>
      <c r="AG44" s="3171"/>
    </row>
    <row r="45" spans="1:134" ht="28.5" customHeight="1" thickBot="1">
      <c r="A45" s="2771"/>
      <c r="B45" s="3172" t="s">
        <v>121</v>
      </c>
      <c r="C45" s="3937" t="s">
        <v>1663</v>
      </c>
      <c r="D45" s="3938"/>
      <c r="E45" s="3938"/>
      <c r="F45" s="3938"/>
      <c r="G45" s="3938"/>
      <c r="H45" s="3173"/>
      <c r="I45" s="3173"/>
      <c r="J45" s="3173"/>
      <c r="K45" s="3173"/>
      <c r="L45" s="3173"/>
      <c r="M45" s="3173"/>
      <c r="N45" s="3173"/>
      <c r="O45" s="3173"/>
      <c r="P45" s="3173"/>
      <c r="Q45" s="3173"/>
      <c r="R45" s="3173"/>
      <c r="S45" s="3173"/>
      <c r="T45" s="3173"/>
      <c r="U45" s="3173"/>
      <c r="V45" s="3173"/>
      <c r="W45" s="3173"/>
      <c r="X45" s="3173"/>
      <c r="Y45" s="3173"/>
      <c r="Z45" s="3173"/>
      <c r="AA45" s="3174"/>
      <c r="AE45" s="3175"/>
      <c r="AF45" s="3176"/>
      <c r="AG45" s="3177"/>
    </row>
    <row r="46" spans="1:134" ht="30" customHeight="1" thickBot="1">
      <c r="A46" s="2771"/>
      <c r="B46" s="3178"/>
      <c r="C46" s="3178"/>
      <c r="D46" s="3178"/>
      <c r="E46" s="3178"/>
      <c r="F46" s="3178"/>
      <c r="G46" s="3178"/>
      <c r="H46" s="3178"/>
      <c r="I46" s="3178"/>
      <c r="J46" s="3178"/>
      <c r="K46" s="3178"/>
      <c r="L46" s="3178"/>
      <c r="M46" s="3178"/>
      <c r="N46" s="3178"/>
      <c r="O46" s="3178"/>
      <c r="P46" s="3178"/>
      <c r="Q46" s="3178"/>
      <c r="R46" s="3178"/>
      <c r="S46" s="3178"/>
      <c r="T46" s="3178"/>
      <c r="U46" s="3178"/>
      <c r="V46" s="3178"/>
      <c r="W46" s="3178"/>
      <c r="X46" s="3178"/>
      <c r="Y46" s="3178"/>
      <c r="Z46" s="3178"/>
      <c r="AA46" s="3178"/>
      <c r="AE46" s="3178"/>
      <c r="AF46" s="3178"/>
      <c r="AG46" s="3178"/>
    </row>
    <row r="47" spans="1:134" s="3019" customFormat="1" ht="18.75" customHeight="1" thickBot="1">
      <c r="A47" s="3013"/>
      <c r="B47" s="2783" t="s">
        <v>473</v>
      </c>
      <c r="C47" s="2784"/>
      <c r="D47" s="2784"/>
      <c r="E47" s="2784"/>
      <c r="F47" s="2784"/>
      <c r="G47" s="2784"/>
      <c r="H47" s="2784"/>
      <c r="I47" s="2784"/>
      <c r="J47" s="2784"/>
      <c r="K47" s="2784"/>
      <c r="L47" s="2784"/>
      <c r="M47" s="2784"/>
      <c r="N47" s="2784"/>
      <c r="O47" s="2784"/>
      <c r="P47" s="2784"/>
      <c r="Q47" s="2784"/>
      <c r="R47" s="2784"/>
      <c r="S47" s="2784"/>
      <c r="T47" s="2784"/>
      <c r="U47" s="2784"/>
      <c r="V47" s="2784"/>
      <c r="W47" s="2784"/>
      <c r="X47" s="2784"/>
      <c r="Y47" s="2784"/>
      <c r="Z47" s="2784"/>
      <c r="AA47" s="2785"/>
      <c r="AB47" s="2524"/>
      <c r="AC47" s="2524"/>
      <c r="AD47" s="2524"/>
      <c r="AE47" s="2783"/>
      <c r="AF47" s="2784"/>
      <c r="AG47" s="2785"/>
      <c r="DE47" s="2524"/>
      <c r="DF47" s="2524"/>
      <c r="DG47" s="2524"/>
      <c r="DH47" s="2524"/>
      <c r="DI47" s="2524"/>
      <c r="DJ47" s="2524"/>
      <c r="DK47" s="2524"/>
      <c r="DL47" s="2524"/>
      <c r="DM47" s="2524"/>
      <c r="DN47" s="2524"/>
      <c r="DO47" s="2524"/>
      <c r="DP47" s="2524"/>
      <c r="DQ47" s="2524"/>
      <c r="DR47" s="2524"/>
      <c r="DS47" s="2524"/>
      <c r="DT47" s="2524"/>
      <c r="DU47" s="2524"/>
      <c r="DV47" s="2524"/>
      <c r="DW47" s="2524"/>
      <c r="DX47" s="2524"/>
      <c r="DY47" s="2524"/>
      <c r="DZ47" s="2524"/>
      <c r="EA47" s="2524"/>
      <c r="EB47" s="2524"/>
      <c r="EC47" s="2524"/>
      <c r="ED47" s="2524"/>
    </row>
    <row r="48" spans="1:134" ht="20.25" customHeight="1">
      <c r="A48" s="2771"/>
      <c r="B48" s="4552"/>
      <c r="C48" s="4554" t="s">
        <v>37</v>
      </c>
      <c r="D48" s="4555"/>
      <c r="E48" s="4555"/>
      <c r="F48" s="4555"/>
      <c r="G48" s="4555"/>
      <c r="H48" s="4562" t="s">
        <v>73</v>
      </c>
      <c r="I48" s="4562"/>
      <c r="J48" s="4562"/>
      <c r="K48" s="4562"/>
      <c r="L48" s="4562"/>
      <c r="M48" s="4563" t="s">
        <v>249</v>
      </c>
      <c r="N48" s="4563"/>
      <c r="O48" s="4563"/>
      <c r="P48" s="4563"/>
      <c r="Q48" s="4563"/>
      <c r="R48" s="4563"/>
      <c r="S48" s="4563"/>
      <c r="T48" s="4563"/>
      <c r="U48" s="4563"/>
      <c r="V48" s="4563"/>
      <c r="W48" s="4563"/>
      <c r="X48" s="4563"/>
      <c r="Y48" s="4563"/>
      <c r="Z48" s="4563"/>
      <c r="AA48" s="4564"/>
      <c r="AE48" s="4565" t="s">
        <v>37</v>
      </c>
      <c r="AF48" s="4566"/>
      <c r="AG48" s="4567"/>
    </row>
    <row r="49" spans="1:33" ht="20.25" customHeight="1">
      <c r="B49" s="4553"/>
      <c r="C49" s="4556" t="s">
        <v>543</v>
      </c>
      <c r="D49" s="4557"/>
      <c r="E49" s="4558"/>
      <c r="F49" s="4559" t="str">
        <f>CONCATENATE("$0's, real ",dms_DollarReal)</f>
        <v>$0's, real December 2017</v>
      </c>
      <c r="G49" s="4560"/>
      <c r="H49" s="4560"/>
      <c r="I49" s="4560"/>
      <c r="J49" s="4560"/>
      <c r="K49" s="4560"/>
      <c r="L49" s="4560"/>
      <c r="M49" s="4560"/>
      <c r="N49" s="4560"/>
      <c r="O49" s="4560"/>
      <c r="P49" s="4560"/>
      <c r="Q49" s="4560"/>
      <c r="R49" s="4560"/>
      <c r="S49" s="4560"/>
      <c r="T49" s="4560"/>
      <c r="U49" s="4560"/>
      <c r="V49" s="4560"/>
      <c r="W49" s="4560"/>
      <c r="X49" s="4560"/>
      <c r="Y49" s="4560"/>
      <c r="Z49" s="4560"/>
      <c r="AA49" s="4561"/>
      <c r="AE49" s="4556" t="str">
        <f>CONCATENATE("$0's, real ",dms_DollarReal)</f>
        <v>$0's, real December 2017</v>
      </c>
      <c r="AF49" s="4557"/>
      <c r="AG49" s="4568"/>
    </row>
    <row r="50" spans="1:33" ht="20.25" customHeight="1">
      <c r="B50" s="4553"/>
      <c r="C50" s="4556" t="s">
        <v>54</v>
      </c>
      <c r="D50" s="4557"/>
      <c r="E50" s="4558"/>
      <c r="F50" s="4559" t="s">
        <v>377</v>
      </c>
      <c r="G50" s="4560"/>
      <c r="H50" s="4560"/>
      <c r="I50" s="4560"/>
      <c r="J50" s="4560"/>
      <c r="K50" s="4560"/>
      <c r="L50" s="4560"/>
      <c r="M50" s="4560"/>
      <c r="N50" s="4560"/>
      <c r="O50" s="4560"/>
      <c r="P50" s="4560"/>
      <c r="Q50" s="4560"/>
      <c r="R50" s="4560"/>
      <c r="S50" s="4560"/>
      <c r="T50" s="4560"/>
      <c r="U50" s="4560"/>
      <c r="V50" s="4560"/>
      <c r="W50" s="4560"/>
      <c r="X50" s="4560"/>
      <c r="Y50" s="4560"/>
      <c r="Z50" s="4560"/>
      <c r="AA50" s="4561"/>
      <c r="AE50" s="4556" t="s">
        <v>54</v>
      </c>
      <c r="AF50" s="4557"/>
      <c r="AG50" s="4568"/>
    </row>
    <row r="51" spans="1:33" ht="20.25" customHeight="1" thickBot="1">
      <c r="B51" s="4569"/>
      <c r="C51" s="2788">
        <f>CRCP_y1</f>
        <v>2013</v>
      </c>
      <c r="D51" s="2788">
        <f>CRCP_y2</f>
        <v>2014</v>
      </c>
      <c r="E51" s="2788">
        <f>CRCP_y3</f>
        <v>2015</v>
      </c>
      <c r="F51" s="2788">
        <f>CRCP_y4</f>
        <v>2016</v>
      </c>
      <c r="G51" s="2788">
        <f>CRCP_y5</f>
        <v>2017</v>
      </c>
      <c r="H51" s="3120" t="str">
        <f>CONCATENATE(IF(dms_RPT="Calendar",G51+1,(LEFT(G51,4)+1&amp;"-"&amp;IF(MID(G51,6,2)&lt;"09","0"&amp;RIGHT(G51,1)+1,RIGHT(G51,2)+1))))</f>
        <v>2018</v>
      </c>
      <c r="I51" s="3120" t="str">
        <f t="shared" ref="I51:AA51" si="4">CONCATENATE(IF(dms_RPT="Calendar",H51+1,(LEFT(H51,4)+1&amp;"-"&amp;IF(MID(H51,6,2)&lt;"09","0"&amp;RIGHT(H51,1)+1,RIGHT(H51,2)+1))))</f>
        <v>2019</v>
      </c>
      <c r="J51" s="3120" t="str">
        <f t="shared" si="4"/>
        <v>2020</v>
      </c>
      <c r="K51" s="3120" t="str">
        <f t="shared" si="4"/>
        <v>2021</v>
      </c>
      <c r="L51" s="3120" t="str">
        <f t="shared" si="4"/>
        <v>2022</v>
      </c>
      <c r="M51" s="2788" t="str">
        <f t="shared" si="4"/>
        <v>2023</v>
      </c>
      <c r="N51" s="2788" t="str">
        <f t="shared" si="4"/>
        <v>2024</v>
      </c>
      <c r="O51" s="2788" t="str">
        <f t="shared" si="4"/>
        <v>2025</v>
      </c>
      <c r="P51" s="2788" t="str">
        <f t="shared" si="4"/>
        <v>2026</v>
      </c>
      <c r="Q51" s="2788" t="str">
        <f t="shared" si="4"/>
        <v>2027</v>
      </c>
      <c r="R51" s="2788" t="str">
        <f t="shared" si="4"/>
        <v>2028</v>
      </c>
      <c r="S51" s="2788" t="str">
        <f t="shared" si="4"/>
        <v>2029</v>
      </c>
      <c r="T51" s="2788" t="str">
        <f t="shared" si="4"/>
        <v>2030</v>
      </c>
      <c r="U51" s="2788" t="str">
        <f t="shared" si="4"/>
        <v>2031</v>
      </c>
      <c r="V51" s="2788" t="str">
        <f t="shared" si="4"/>
        <v>2032</v>
      </c>
      <c r="W51" s="2788" t="str">
        <f t="shared" si="4"/>
        <v>2033</v>
      </c>
      <c r="X51" s="2788" t="str">
        <f t="shared" si="4"/>
        <v>2034</v>
      </c>
      <c r="Y51" s="2788" t="str">
        <f t="shared" si="4"/>
        <v>2035</v>
      </c>
      <c r="Z51" s="2788" t="str">
        <f t="shared" si="4"/>
        <v>2036</v>
      </c>
      <c r="AA51" s="2788" t="str">
        <f t="shared" si="4"/>
        <v>2037</v>
      </c>
      <c r="AE51" s="3121">
        <f>CRCP_y1</f>
        <v>2013</v>
      </c>
      <c r="AF51" s="2788">
        <f>CRCP_y2</f>
        <v>2014</v>
      </c>
      <c r="AG51" s="2789">
        <f>CRCP_y3</f>
        <v>2015</v>
      </c>
    </row>
    <row r="52" spans="1:33">
      <c r="A52" s="2771"/>
      <c r="B52" s="3190" t="s">
        <v>192</v>
      </c>
      <c r="C52" s="3126">
        <v>360918</v>
      </c>
      <c r="D52" s="3125">
        <v>1201003</v>
      </c>
      <c r="E52" s="3125">
        <v>40877</v>
      </c>
      <c r="F52" s="3124" t="s">
        <v>1664</v>
      </c>
      <c r="G52" s="3124" t="s">
        <v>1664</v>
      </c>
      <c r="H52" s="3107"/>
      <c r="I52" s="3124"/>
      <c r="J52" s="3124"/>
      <c r="K52" s="3124"/>
      <c r="L52" s="3191"/>
      <c r="M52" s="3107"/>
      <c r="N52" s="3124"/>
      <c r="O52" s="3124"/>
      <c r="P52" s="3124"/>
      <c r="Q52" s="3124"/>
      <c r="R52" s="3124"/>
      <c r="S52" s="3124"/>
      <c r="T52" s="3124"/>
      <c r="U52" s="3124"/>
      <c r="V52" s="3124"/>
      <c r="W52" s="3124"/>
      <c r="X52" s="3124"/>
      <c r="Y52" s="3124"/>
      <c r="Z52" s="3124"/>
      <c r="AA52" s="3191"/>
      <c r="AE52" s="3128"/>
      <c r="AF52" s="3129"/>
      <c r="AG52" s="3130"/>
    </row>
    <row r="53" spans="1:33">
      <c r="A53" s="2771"/>
      <c r="B53" s="3192" t="s">
        <v>193</v>
      </c>
      <c r="C53" s="3063" t="s">
        <v>1664</v>
      </c>
      <c r="D53" s="3135">
        <v>170004</v>
      </c>
      <c r="E53" s="3135">
        <v>147154</v>
      </c>
      <c r="F53" s="3135">
        <v>57125</v>
      </c>
      <c r="G53" s="3135">
        <v>40102</v>
      </c>
      <c r="H53" s="3136">
        <v>30076</v>
      </c>
      <c r="I53" s="3135">
        <v>22557</v>
      </c>
      <c r="J53" s="3135">
        <v>16918</v>
      </c>
      <c r="K53" s="3135">
        <v>12688</v>
      </c>
      <c r="L53" s="3137">
        <v>9516</v>
      </c>
      <c r="M53" s="3136">
        <v>7137</v>
      </c>
      <c r="N53" s="3135">
        <v>5353</v>
      </c>
      <c r="O53" s="3135">
        <v>4015</v>
      </c>
      <c r="P53" s="3135">
        <v>3011</v>
      </c>
      <c r="Q53" s="3135">
        <v>2258</v>
      </c>
      <c r="R53" s="3135">
        <v>1694</v>
      </c>
      <c r="S53" s="3135">
        <v>1270</v>
      </c>
      <c r="T53" s="3064">
        <v>953</v>
      </c>
      <c r="U53" s="3064">
        <v>715</v>
      </c>
      <c r="V53" s="3064">
        <v>536</v>
      </c>
      <c r="W53" s="3064">
        <v>402</v>
      </c>
      <c r="X53" s="3064">
        <v>301</v>
      </c>
      <c r="Y53" s="3064">
        <v>226</v>
      </c>
      <c r="Z53" s="3064">
        <v>170</v>
      </c>
      <c r="AA53" s="3030">
        <v>127</v>
      </c>
      <c r="AE53" s="3132"/>
      <c r="AF53" s="3133"/>
      <c r="AG53" s="3134"/>
    </row>
    <row r="54" spans="1:33">
      <c r="A54" s="2771"/>
      <c r="B54" s="3192" t="s">
        <v>194</v>
      </c>
      <c r="C54" s="3063"/>
      <c r="D54" s="3064"/>
      <c r="E54" s="3064"/>
      <c r="F54" s="3064"/>
      <c r="G54" s="3064"/>
      <c r="H54" s="3063"/>
      <c r="I54" s="3064"/>
      <c r="J54" s="3064"/>
      <c r="K54" s="3064"/>
      <c r="L54" s="3030"/>
      <c r="M54" s="3063"/>
      <c r="N54" s="3064"/>
      <c r="O54" s="3064"/>
      <c r="P54" s="3064"/>
      <c r="Q54" s="3064"/>
      <c r="R54" s="3064"/>
      <c r="S54" s="3064"/>
      <c r="T54" s="3064"/>
      <c r="U54" s="3064"/>
      <c r="V54" s="3064"/>
      <c r="W54" s="3064"/>
      <c r="X54" s="3064"/>
      <c r="Y54" s="3064"/>
      <c r="Z54" s="3064"/>
      <c r="AA54" s="3030"/>
      <c r="AE54" s="3132"/>
      <c r="AF54" s="3133"/>
      <c r="AG54" s="3134"/>
    </row>
    <row r="55" spans="1:33">
      <c r="A55" s="2771"/>
      <c r="B55" s="3192" t="s">
        <v>195</v>
      </c>
      <c r="C55" s="3063"/>
      <c r="D55" s="3064"/>
      <c r="E55" s="3064"/>
      <c r="F55" s="3064"/>
      <c r="G55" s="3064"/>
      <c r="H55" s="3063"/>
      <c r="I55" s="3064"/>
      <c r="J55" s="3064"/>
      <c r="K55" s="3064"/>
      <c r="L55" s="3030"/>
      <c r="M55" s="3063"/>
      <c r="N55" s="3064"/>
      <c r="O55" s="3064"/>
      <c r="P55" s="3064"/>
      <c r="Q55" s="3064"/>
      <c r="R55" s="3064"/>
      <c r="S55" s="3064"/>
      <c r="T55" s="3064"/>
      <c r="U55" s="3064"/>
      <c r="V55" s="3064"/>
      <c r="W55" s="3064"/>
      <c r="X55" s="3064"/>
      <c r="Y55" s="3064"/>
      <c r="Z55" s="3064"/>
      <c r="AA55" s="3030"/>
      <c r="AE55" s="3132"/>
      <c r="AF55" s="3133"/>
      <c r="AG55" s="3134"/>
    </row>
    <row r="56" spans="1:33">
      <c r="A56" s="2771"/>
      <c r="B56" s="3192" t="s">
        <v>255</v>
      </c>
      <c r="C56" s="3136">
        <v>6206</v>
      </c>
      <c r="D56" s="3135">
        <v>20651</v>
      </c>
      <c r="E56" s="3064">
        <v>703</v>
      </c>
      <c r="F56" s="3064" t="s">
        <v>1664</v>
      </c>
      <c r="G56" s="3064" t="s">
        <v>1664</v>
      </c>
      <c r="H56" s="3063"/>
      <c r="I56" s="3064"/>
      <c r="J56" s="3064"/>
      <c r="K56" s="3064"/>
      <c r="L56" s="3030"/>
      <c r="M56" s="3063"/>
      <c r="N56" s="3064"/>
      <c r="O56" s="3064"/>
      <c r="P56" s="3064"/>
      <c r="Q56" s="3064"/>
      <c r="R56" s="3064"/>
      <c r="S56" s="3064"/>
      <c r="T56" s="3064"/>
      <c r="U56" s="3064"/>
      <c r="V56" s="3064"/>
      <c r="W56" s="3064"/>
      <c r="X56" s="3064"/>
      <c r="Y56" s="3064"/>
      <c r="Z56" s="3064"/>
      <c r="AA56" s="3030"/>
      <c r="AE56" s="3132"/>
      <c r="AF56" s="3133"/>
      <c r="AG56" s="3134"/>
    </row>
    <row r="57" spans="1:33">
      <c r="A57" s="2771"/>
      <c r="B57" s="3192" t="s">
        <v>191</v>
      </c>
      <c r="C57" s="3063"/>
      <c r="D57" s="3064"/>
      <c r="E57" s="3064"/>
      <c r="F57" s="3064"/>
      <c r="G57" s="3064"/>
      <c r="H57" s="3063"/>
      <c r="I57" s="3064"/>
      <c r="J57" s="3064"/>
      <c r="K57" s="3064"/>
      <c r="L57" s="3030"/>
      <c r="M57" s="3063"/>
      <c r="N57" s="3064"/>
      <c r="O57" s="3064"/>
      <c r="P57" s="3064"/>
      <c r="Q57" s="3064"/>
      <c r="R57" s="3064"/>
      <c r="S57" s="3064"/>
      <c r="T57" s="3064"/>
      <c r="U57" s="3064"/>
      <c r="V57" s="3064"/>
      <c r="W57" s="3064"/>
      <c r="X57" s="3064"/>
      <c r="Y57" s="3064"/>
      <c r="Z57" s="3064"/>
      <c r="AA57" s="3030"/>
      <c r="AE57" s="3132"/>
      <c r="AF57" s="3133"/>
      <c r="AG57" s="3134"/>
    </row>
    <row r="58" spans="1:33">
      <c r="A58" s="2771"/>
      <c r="B58" s="3192" t="s">
        <v>196</v>
      </c>
      <c r="C58" s="3063" t="s">
        <v>1664</v>
      </c>
      <c r="D58" s="3135">
        <v>30690</v>
      </c>
      <c r="E58" s="3135">
        <v>26565</v>
      </c>
      <c r="F58" s="3135">
        <v>10313</v>
      </c>
      <c r="G58" s="3135">
        <v>7239</v>
      </c>
      <c r="H58" s="3136">
        <v>5430</v>
      </c>
      <c r="I58" s="3135">
        <v>4072</v>
      </c>
      <c r="J58" s="3135">
        <v>3054</v>
      </c>
      <c r="K58" s="3135">
        <v>2291</v>
      </c>
      <c r="L58" s="3137">
        <v>1718</v>
      </c>
      <c r="M58" s="3136">
        <v>1288</v>
      </c>
      <c r="N58" s="3064">
        <v>966</v>
      </c>
      <c r="O58" s="3064">
        <v>725</v>
      </c>
      <c r="P58" s="3064">
        <v>544</v>
      </c>
      <c r="Q58" s="3064">
        <v>408</v>
      </c>
      <c r="R58" s="3064">
        <v>306</v>
      </c>
      <c r="S58" s="3064">
        <v>229</v>
      </c>
      <c r="T58" s="3064">
        <v>172</v>
      </c>
      <c r="U58" s="3064">
        <v>129</v>
      </c>
      <c r="V58" s="3064">
        <v>97</v>
      </c>
      <c r="W58" s="3064">
        <v>73</v>
      </c>
      <c r="X58" s="3064">
        <v>54</v>
      </c>
      <c r="Y58" s="3064">
        <v>41</v>
      </c>
      <c r="Z58" s="3064">
        <v>31</v>
      </c>
      <c r="AA58" s="3030">
        <v>23</v>
      </c>
      <c r="AE58" s="3132"/>
      <c r="AF58" s="3133"/>
      <c r="AG58" s="3134"/>
    </row>
    <row r="59" spans="1:33">
      <c r="A59" s="2771"/>
      <c r="B59" s="3192" t="s">
        <v>256</v>
      </c>
      <c r="C59" s="3063"/>
      <c r="D59" s="3064"/>
      <c r="E59" s="3064"/>
      <c r="F59" s="3064"/>
      <c r="G59" s="3064"/>
      <c r="H59" s="3063"/>
      <c r="I59" s="3064"/>
      <c r="J59" s="3064"/>
      <c r="K59" s="3064"/>
      <c r="L59" s="3030"/>
      <c r="M59" s="3063"/>
      <c r="N59" s="3064"/>
      <c r="O59" s="3064"/>
      <c r="P59" s="3064"/>
      <c r="Q59" s="3064"/>
      <c r="R59" s="3064"/>
      <c r="S59" s="3064"/>
      <c r="T59" s="3064"/>
      <c r="U59" s="3064"/>
      <c r="V59" s="3064"/>
      <c r="W59" s="3064"/>
      <c r="X59" s="3064"/>
      <c r="Y59" s="3064"/>
      <c r="Z59" s="3064"/>
      <c r="AA59" s="3030"/>
      <c r="AE59" s="3132"/>
      <c r="AF59" s="3133"/>
      <c r="AG59" s="3134"/>
    </row>
    <row r="60" spans="1:33">
      <c r="A60" s="2771"/>
      <c r="B60" s="3192" t="s">
        <v>264</v>
      </c>
      <c r="C60" s="3063"/>
      <c r="D60" s="3064"/>
      <c r="E60" s="3064"/>
      <c r="F60" s="3064"/>
      <c r="G60" s="3064"/>
      <c r="H60" s="3063"/>
      <c r="I60" s="3064"/>
      <c r="J60" s="3064"/>
      <c r="K60" s="3064"/>
      <c r="L60" s="3030"/>
      <c r="M60" s="3063"/>
      <c r="N60" s="3064"/>
      <c r="O60" s="3064"/>
      <c r="P60" s="3064"/>
      <c r="Q60" s="3064"/>
      <c r="R60" s="3064"/>
      <c r="S60" s="3064"/>
      <c r="T60" s="3064"/>
      <c r="U60" s="3064"/>
      <c r="V60" s="3064"/>
      <c r="W60" s="3064"/>
      <c r="X60" s="3064"/>
      <c r="Y60" s="3064"/>
      <c r="Z60" s="3064"/>
      <c r="AA60" s="3030"/>
      <c r="AE60" s="3132"/>
      <c r="AF60" s="3133"/>
      <c r="AG60" s="3134"/>
    </row>
    <row r="61" spans="1:33">
      <c r="A61" s="2771"/>
      <c r="B61" s="3192" t="s">
        <v>131</v>
      </c>
      <c r="C61" s="3063"/>
      <c r="D61" s="3064"/>
      <c r="E61" s="3064"/>
      <c r="F61" s="3064"/>
      <c r="G61" s="3064"/>
      <c r="H61" s="3063"/>
      <c r="I61" s="3064"/>
      <c r="J61" s="3064"/>
      <c r="K61" s="3064"/>
      <c r="L61" s="3030"/>
      <c r="M61" s="3063"/>
      <c r="N61" s="3064"/>
      <c r="O61" s="3064"/>
      <c r="P61" s="3064"/>
      <c r="Q61" s="3064"/>
      <c r="R61" s="3064"/>
      <c r="S61" s="3064"/>
      <c r="T61" s="3064"/>
      <c r="U61" s="3064"/>
      <c r="V61" s="3064"/>
      <c r="W61" s="3064"/>
      <c r="X61" s="3064"/>
      <c r="Y61" s="3064"/>
      <c r="Z61" s="3064"/>
      <c r="AA61" s="3030"/>
      <c r="AE61" s="3132"/>
      <c r="AF61" s="3133"/>
      <c r="AG61" s="3134"/>
    </row>
    <row r="62" spans="1:33">
      <c r="A62" s="2771"/>
      <c r="B62" s="3161" t="s">
        <v>632</v>
      </c>
      <c r="C62" s="3162">
        <f t="shared" ref="C62:AA62" si="5">SUM(C52:C61)</f>
        <v>367124</v>
      </c>
      <c r="D62" s="3163">
        <f t="shared" si="5"/>
        <v>1422348</v>
      </c>
      <c r="E62" s="3163">
        <f t="shared" si="5"/>
        <v>215299</v>
      </c>
      <c r="F62" s="3163">
        <f t="shared" si="5"/>
        <v>67438</v>
      </c>
      <c r="G62" s="3163">
        <f t="shared" si="5"/>
        <v>47341</v>
      </c>
      <c r="H62" s="3162">
        <f t="shared" si="5"/>
        <v>35506</v>
      </c>
      <c r="I62" s="3163">
        <f t="shared" si="5"/>
        <v>26629</v>
      </c>
      <c r="J62" s="3163">
        <f t="shared" si="5"/>
        <v>19972</v>
      </c>
      <c r="K62" s="3163">
        <f t="shared" si="5"/>
        <v>14979</v>
      </c>
      <c r="L62" s="3164">
        <f t="shared" si="5"/>
        <v>11234</v>
      </c>
      <c r="M62" s="3162">
        <f t="shared" si="5"/>
        <v>8425</v>
      </c>
      <c r="N62" s="3163">
        <f t="shared" si="5"/>
        <v>6319</v>
      </c>
      <c r="O62" s="3163">
        <f t="shared" si="5"/>
        <v>4740</v>
      </c>
      <c r="P62" s="3163">
        <f t="shared" si="5"/>
        <v>3555</v>
      </c>
      <c r="Q62" s="3163">
        <f t="shared" si="5"/>
        <v>2666</v>
      </c>
      <c r="R62" s="3163">
        <f t="shared" si="5"/>
        <v>2000</v>
      </c>
      <c r="S62" s="3163">
        <f t="shared" si="5"/>
        <v>1499</v>
      </c>
      <c r="T62" s="3163">
        <f t="shared" si="5"/>
        <v>1125</v>
      </c>
      <c r="U62" s="3163">
        <f t="shared" si="5"/>
        <v>844</v>
      </c>
      <c r="V62" s="3163">
        <f t="shared" si="5"/>
        <v>633</v>
      </c>
      <c r="W62" s="3163">
        <f t="shared" si="5"/>
        <v>475</v>
      </c>
      <c r="X62" s="3163">
        <f t="shared" si="5"/>
        <v>355</v>
      </c>
      <c r="Y62" s="3163">
        <f t="shared" si="5"/>
        <v>267</v>
      </c>
      <c r="Z62" s="3163">
        <f t="shared" si="5"/>
        <v>201</v>
      </c>
      <c r="AA62" s="3164">
        <f t="shared" si="5"/>
        <v>150</v>
      </c>
      <c r="AE62" s="3162">
        <f t="shared" ref="AE62:AG62" si="6">SUM(AE52:AE61)</f>
        <v>0</v>
      </c>
      <c r="AF62" s="3163">
        <f t="shared" si="6"/>
        <v>0</v>
      </c>
      <c r="AG62" s="3164">
        <f t="shared" si="6"/>
        <v>0</v>
      </c>
    </row>
    <row r="63" spans="1:33">
      <c r="A63" s="2771"/>
      <c r="B63" s="3193" t="s">
        <v>210</v>
      </c>
      <c r="C63" s="3063" t="s">
        <v>1665</v>
      </c>
      <c r="D63" s="3135">
        <v>378200</v>
      </c>
      <c r="E63" s="3064"/>
      <c r="F63" s="3064"/>
      <c r="G63" s="3064"/>
      <c r="H63" s="3063"/>
      <c r="I63" s="3064"/>
      <c r="J63" s="3064"/>
      <c r="K63" s="3064"/>
      <c r="L63" s="3030"/>
      <c r="M63" s="3063"/>
      <c r="N63" s="3064"/>
      <c r="O63" s="3064"/>
      <c r="P63" s="3064"/>
      <c r="Q63" s="3064"/>
      <c r="R63" s="3064"/>
      <c r="S63" s="3064"/>
      <c r="T63" s="3064"/>
      <c r="U63" s="3064"/>
      <c r="V63" s="3064"/>
      <c r="W63" s="3064"/>
      <c r="X63" s="3064"/>
      <c r="Y63" s="3064"/>
      <c r="Z63" s="3064"/>
      <c r="AA63" s="3030"/>
      <c r="AE63" s="3132"/>
      <c r="AF63" s="3133"/>
      <c r="AG63" s="3134"/>
    </row>
    <row r="64" spans="1:33">
      <c r="A64" s="2771"/>
      <c r="B64" s="3193" t="s">
        <v>211</v>
      </c>
      <c r="C64" s="3063"/>
      <c r="D64" s="3064"/>
      <c r="E64" s="3064"/>
      <c r="F64" s="3064"/>
      <c r="G64" s="3064"/>
      <c r="H64" s="3063"/>
      <c r="I64" s="3064"/>
      <c r="J64" s="3064"/>
      <c r="K64" s="3064"/>
      <c r="L64" s="3030"/>
      <c r="M64" s="3063"/>
      <c r="N64" s="3064"/>
      <c r="O64" s="3064"/>
      <c r="P64" s="3064"/>
      <c r="Q64" s="3064"/>
      <c r="R64" s="3064"/>
      <c r="S64" s="3064"/>
      <c r="T64" s="3064"/>
      <c r="U64" s="3064"/>
      <c r="V64" s="3064"/>
      <c r="W64" s="3064"/>
      <c r="X64" s="3064"/>
      <c r="Y64" s="3064"/>
      <c r="Z64" s="3064"/>
      <c r="AA64" s="3030"/>
      <c r="AE64" s="3132"/>
      <c r="AF64" s="3133"/>
      <c r="AG64" s="3134"/>
    </row>
    <row r="65" spans="1:33">
      <c r="A65" s="2771"/>
      <c r="B65" s="3161" t="s">
        <v>53</v>
      </c>
      <c r="C65" s="3162">
        <f>SUM(C63:C64)</f>
        <v>0</v>
      </c>
      <c r="D65" s="3163">
        <f t="shared" ref="D65:AA65" si="7">SUM(D63:D64)</f>
        <v>378200</v>
      </c>
      <c r="E65" s="3163">
        <f t="shared" si="7"/>
        <v>0</v>
      </c>
      <c r="F65" s="3163">
        <f t="shared" si="7"/>
        <v>0</v>
      </c>
      <c r="G65" s="3163">
        <f t="shared" si="7"/>
        <v>0</v>
      </c>
      <c r="H65" s="3162">
        <f t="shared" si="7"/>
        <v>0</v>
      </c>
      <c r="I65" s="3163">
        <f t="shared" si="7"/>
        <v>0</v>
      </c>
      <c r="J65" s="3163">
        <f t="shared" si="7"/>
        <v>0</v>
      </c>
      <c r="K65" s="3163">
        <f t="shared" si="7"/>
        <v>0</v>
      </c>
      <c r="L65" s="3164">
        <f t="shared" si="7"/>
        <v>0</v>
      </c>
      <c r="M65" s="3162">
        <f t="shared" si="7"/>
        <v>0</v>
      </c>
      <c r="N65" s="3163">
        <f t="shared" si="7"/>
        <v>0</v>
      </c>
      <c r="O65" s="3163">
        <f t="shared" si="7"/>
        <v>0</v>
      </c>
      <c r="P65" s="3163">
        <f t="shared" si="7"/>
        <v>0</v>
      </c>
      <c r="Q65" s="3163">
        <f t="shared" si="7"/>
        <v>0</v>
      </c>
      <c r="R65" s="3163">
        <f t="shared" si="7"/>
        <v>0</v>
      </c>
      <c r="S65" s="3163">
        <f t="shared" si="7"/>
        <v>0</v>
      </c>
      <c r="T65" s="3163">
        <f t="shared" si="7"/>
        <v>0</v>
      </c>
      <c r="U65" s="3163">
        <f t="shared" si="7"/>
        <v>0</v>
      </c>
      <c r="V65" s="3163">
        <f t="shared" si="7"/>
        <v>0</v>
      </c>
      <c r="W65" s="3163">
        <f t="shared" si="7"/>
        <v>0</v>
      </c>
      <c r="X65" s="3163">
        <f t="shared" si="7"/>
        <v>0</v>
      </c>
      <c r="Y65" s="3163">
        <f t="shared" si="7"/>
        <v>0</v>
      </c>
      <c r="Z65" s="3163">
        <f t="shared" si="7"/>
        <v>0</v>
      </c>
      <c r="AA65" s="3164">
        <f t="shared" si="7"/>
        <v>0</v>
      </c>
      <c r="AE65" s="3162">
        <f>SUM(AE63:AE64)</f>
        <v>0</v>
      </c>
      <c r="AF65" s="3163">
        <f t="shared" ref="AF65:AG65" si="8">SUM(AF63:AF64)</f>
        <v>0</v>
      </c>
      <c r="AG65" s="3164">
        <f t="shared" si="8"/>
        <v>0</v>
      </c>
    </row>
    <row r="66" spans="1:33" s="2771" customFormat="1" ht="13.5" thickBot="1">
      <c r="B66" s="3194" t="s">
        <v>633</v>
      </c>
      <c r="C66" s="3195">
        <f t="shared" ref="C66:AA66" si="9">C62-C65</f>
        <v>367124</v>
      </c>
      <c r="D66" s="3196">
        <f t="shared" si="9"/>
        <v>1044148</v>
      </c>
      <c r="E66" s="3196">
        <f t="shared" si="9"/>
        <v>215299</v>
      </c>
      <c r="F66" s="3196">
        <f t="shared" si="9"/>
        <v>67438</v>
      </c>
      <c r="G66" s="3196">
        <f t="shared" si="9"/>
        <v>47341</v>
      </c>
      <c r="H66" s="3195">
        <f t="shared" si="9"/>
        <v>35506</v>
      </c>
      <c r="I66" s="3196">
        <f t="shared" si="9"/>
        <v>26629</v>
      </c>
      <c r="J66" s="3196">
        <f t="shared" si="9"/>
        <v>19972</v>
      </c>
      <c r="K66" s="3196">
        <f t="shared" si="9"/>
        <v>14979</v>
      </c>
      <c r="L66" s="3197">
        <f t="shared" si="9"/>
        <v>11234</v>
      </c>
      <c r="M66" s="3195">
        <f t="shared" si="9"/>
        <v>8425</v>
      </c>
      <c r="N66" s="3196">
        <f t="shared" si="9"/>
        <v>6319</v>
      </c>
      <c r="O66" s="3196">
        <f t="shared" si="9"/>
        <v>4740</v>
      </c>
      <c r="P66" s="3196">
        <f t="shared" si="9"/>
        <v>3555</v>
      </c>
      <c r="Q66" s="3196">
        <f t="shared" si="9"/>
        <v>2666</v>
      </c>
      <c r="R66" s="3196">
        <f t="shared" si="9"/>
        <v>2000</v>
      </c>
      <c r="S66" s="3196">
        <f t="shared" si="9"/>
        <v>1499</v>
      </c>
      <c r="T66" s="3196">
        <f t="shared" si="9"/>
        <v>1125</v>
      </c>
      <c r="U66" s="3196">
        <f t="shared" si="9"/>
        <v>844</v>
      </c>
      <c r="V66" s="3196">
        <f t="shared" si="9"/>
        <v>633</v>
      </c>
      <c r="W66" s="3196">
        <f t="shared" si="9"/>
        <v>475</v>
      </c>
      <c r="X66" s="3196">
        <f t="shared" si="9"/>
        <v>355</v>
      </c>
      <c r="Y66" s="3196">
        <f t="shared" si="9"/>
        <v>267</v>
      </c>
      <c r="Z66" s="3196">
        <f t="shared" si="9"/>
        <v>201</v>
      </c>
      <c r="AA66" s="3197">
        <f t="shared" si="9"/>
        <v>150</v>
      </c>
      <c r="AB66" s="2524"/>
      <c r="AC66" s="2524"/>
      <c r="AD66" s="2524"/>
      <c r="AE66" s="3195">
        <f t="shared" ref="AE66:AG66" si="10">AE62-AE65</f>
        <v>0</v>
      </c>
      <c r="AF66" s="3196">
        <f t="shared" si="10"/>
        <v>0</v>
      </c>
      <c r="AG66" s="3197">
        <f t="shared" si="10"/>
        <v>0</v>
      </c>
    </row>
    <row r="67" spans="1:33" ht="29.25" customHeight="1" thickBot="1">
      <c r="A67" s="2771"/>
      <c r="B67" s="3172" t="s">
        <v>121</v>
      </c>
      <c r="C67" s="3937" t="s">
        <v>1671</v>
      </c>
      <c r="D67" s="3938"/>
      <c r="E67" s="3938"/>
      <c r="F67" s="3938"/>
      <c r="G67" s="3938"/>
      <c r="H67" s="3938"/>
      <c r="I67" s="3938"/>
      <c r="J67" s="3938"/>
      <c r="K67" s="3938"/>
      <c r="L67" s="3938"/>
      <c r="M67" s="3173"/>
      <c r="N67" s="3173"/>
      <c r="O67" s="3173"/>
      <c r="P67" s="3173"/>
      <c r="Q67" s="3173"/>
      <c r="R67" s="3173"/>
      <c r="S67" s="3173"/>
      <c r="T67" s="3173"/>
      <c r="U67" s="3173"/>
      <c r="V67" s="3173"/>
      <c r="W67" s="3173"/>
      <c r="X67" s="3173"/>
      <c r="Y67" s="3173"/>
      <c r="Z67" s="3173"/>
      <c r="AA67" s="3174"/>
      <c r="AE67" s="3175"/>
      <c r="AF67" s="3176"/>
      <c r="AG67" s="3177"/>
    </row>
    <row r="68" spans="1:33">
      <c r="A68" s="2771"/>
    </row>
    <row r="69" spans="1:33">
      <c r="A69" s="2771"/>
    </row>
  </sheetData>
  <mergeCells count="40">
    <mergeCell ref="C67:L67"/>
    <mergeCell ref="C41:E41"/>
    <mergeCell ref="F41:AA41"/>
    <mergeCell ref="AE41:AG41"/>
    <mergeCell ref="C45:G45"/>
    <mergeCell ref="F49:AA49"/>
    <mergeCell ref="AE49:AG49"/>
    <mergeCell ref="C50:E50"/>
    <mergeCell ref="F50:AA50"/>
    <mergeCell ref="AE50:AG50"/>
    <mergeCell ref="AE39:AG39"/>
    <mergeCell ref="C40:E40"/>
    <mergeCell ref="F40:AA40"/>
    <mergeCell ref="AE40:AG40"/>
    <mergeCell ref="B48:B51"/>
    <mergeCell ref="C48:G48"/>
    <mergeCell ref="H48:L48"/>
    <mergeCell ref="M48:AA48"/>
    <mergeCell ref="AE48:AG48"/>
    <mergeCell ref="C49:E49"/>
    <mergeCell ref="C36:G36"/>
    <mergeCell ref="B39:B42"/>
    <mergeCell ref="C39:G39"/>
    <mergeCell ref="H39:L39"/>
    <mergeCell ref="M39:AA39"/>
    <mergeCell ref="AE21:AG21"/>
    <mergeCell ref="C22:E22"/>
    <mergeCell ref="F22:AA22"/>
    <mergeCell ref="AE22:AG22"/>
    <mergeCell ref="AE23:AG23"/>
    <mergeCell ref="B7:G7"/>
    <mergeCell ref="B8:G8"/>
    <mergeCell ref="B9:G9"/>
    <mergeCell ref="B10:G10"/>
    <mergeCell ref="B21:B24"/>
    <mergeCell ref="C21:G21"/>
    <mergeCell ref="C23:E23"/>
    <mergeCell ref="F23:AA23"/>
    <mergeCell ref="H21:L21"/>
    <mergeCell ref="M21:AA21"/>
  </mergeCells>
  <pageMargins left="0.75" right="0.75" top="1" bottom="1" header="0.5" footer="0.5"/>
  <pageSetup paperSize="9" orientation="portrait" r:id="rId1"/>
  <headerFooter alignWithMargins="0"/>
  <customProperties>
    <customPr name="_pios_id" r:id="rId2"/>
  </customProperties>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EE51"/>
  <sheetViews>
    <sheetView showGridLines="0" topLeftCell="B4" zoomScale="85" zoomScaleNormal="85" workbookViewId="0">
      <selection activeCell="H26" sqref="H26"/>
    </sheetView>
  </sheetViews>
  <sheetFormatPr defaultRowHeight="12.75"/>
  <cols>
    <col min="1" max="1" width="14.140625" style="2524" customWidth="1"/>
    <col min="2" max="2" width="54.5703125" style="2524" customWidth="1"/>
    <col min="3" max="3" width="57.7109375" style="2524" customWidth="1"/>
    <col min="4" max="27" width="12.7109375" style="2524" customWidth="1"/>
    <col min="28" max="256" width="9.140625" style="2524"/>
    <col min="257" max="257" width="14.140625" style="2524" customWidth="1"/>
    <col min="258" max="258" width="66.28515625" style="2524" bestFit="1" customWidth="1"/>
    <col min="259" max="259" width="10" style="2524" bestFit="1" customWidth="1"/>
    <col min="260" max="261" width="8.5703125" style="2524" bestFit="1" customWidth="1"/>
    <col min="262" max="262" width="17.42578125" style="2524" bestFit="1" customWidth="1"/>
    <col min="263" max="263" width="17.28515625" style="2524" bestFit="1" customWidth="1"/>
    <col min="264" max="265" width="10.7109375" style="2524" customWidth="1"/>
    <col min="266" max="267" width="10.7109375" style="2524" bestFit="1" customWidth="1"/>
    <col min="268" max="268" width="10.7109375" style="2524" customWidth="1"/>
    <col min="269" max="271" width="10.7109375" style="2524" bestFit="1" customWidth="1"/>
    <col min="272" max="273" width="10.7109375" style="2524" customWidth="1"/>
    <col min="274" max="275" width="10.7109375" style="2524" bestFit="1" customWidth="1"/>
    <col min="276" max="512" width="9.140625" style="2524"/>
    <col min="513" max="513" width="14.140625" style="2524" customWidth="1"/>
    <col min="514" max="514" width="66.28515625" style="2524" bestFit="1" customWidth="1"/>
    <col min="515" max="515" width="10" style="2524" bestFit="1" customWidth="1"/>
    <col min="516" max="517" width="8.5703125" style="2524" bestFit="1" customWidth="1"/>
    <col min="518" max="518" width="17.42578125" style="2524" bestFit="1" customWidth="1"/>
    <col min="519" max="519" width="17.28515625" style="2524" bestFit="1" customWidth="1"/>
    <col min="520" max="521" width="10.7109375" style="2524" customWidth="1"/>
    <col min="522" max="523" width="10.7109375" style="2524" bestFit="1" customWidth="1"/>
    <col min="524" max="524" width="10.7109375" style="2524" customWidth="1"/>
    <col min="525" max="527" width="10.7109375" style="2524" bestFit="1" customWidth="1"/>
    <col min="528" max="529" width="10.7109375" style="2524" customWidth="1"/>
    <col min="530" max="531" width="10.7109375" style="2524" bestFit="1" customWidth="1"/>
    <col min="532" max="768" width="9.140625" style="2524"/>
    <col min="769" max="769" width="14.140625" style="2524" customWidth="1"/>
    <col min="770" max="770" width="66.28515625" style="2524" bestFit="1" customWidth="1"/>
    <col min="771" max="771" width="10" style="2524" bestFit="1" customWidth="1"/>
    <col min="772" max="773" width="8.5703125" style="2524" bestFit="1" customWidth="1"/>
    <col min="774" max="774" width="17.42578125" style="2524" bestFit="1" customWidth="1"/>
    <col min="775" max="775" width="17.28515625" style="2524" bestFit="1" customWidth="1"/>
    <col min="776" max="777" width="10.7109375" style="2524" customWidth="1"/>
    <col min="778" max="779" width="10.7109375" style="2524" bestFit="1" customWidth="1"/>
    <col min="780" max="780" width="10.7109375" style="2524" customWidth="1"/>
    <col min="781" max="783" width="10.7109375" style="2524" bestFit="1" customWidth="1"/>
    <col min="784" max="785" width="10.7109375" style="2524" customWidth="1"/>
    <col min="786" max="787" width="10.7109375" style="2524" bestFit="1" customWidth="1"/>
    <col min="788" max="1024" width="9.140625" style="2524"/>
    <col min="1025" max="1025" width="14.140625" style="2524" customWidth="1"/>
    <col min="1026" max="1026" width="66.28515625" style="2524" bestFit="1" customWidth="1"/>
    <col min="1027" max="1027" width="10" style="2524" bestFit="1" customWidth="1"/>
    <col min="1028" max="1029" width="8.5703125" style="2524" bestFit="1" customWidth="1"/>
    <col min="1030" max="1030" width="17.42578125" style="2524" bestFit="1" customWidth="1"/>
    <col min="1031" max="1031" width="17.28515625" style="2524" bestFit="1" customWidth="1"/>
    <col min="1032" max="1033" width="10.7109375" style="2524" customWidth="1"/>
    <col min="1034" max="1035" width="10.7109375" style="2524" bestFit="1" customWidth="1"/>
    <col min="1036" max="1036" width="10.7109375" style="2524" customWidth="1"/>
    <col min="1037" max="1039" width="10.7109375" style="2524" bestFit="1" customWidth="1"/>
    <col min="1040" max="1041" width="10.7109375" style="2524" customWidth="1"/>
    <col min="1042" max="1043" width="10.7109375" style="2524" bestFit="1" customWidth="1"/>
    <col min="1044" max="1280" width="9.140625" style="2524"/>
    <col min="1281" max="1281" width="14.140625" style="2524" customWidth="1"/>
    <col min="1282" max="1282" width="66.28515625" style="2524" bestFit="1" customWidth="1"/>
    <col min="1283" max="1283" width="10" style="2524" bestFit="1" customWidth="1"/>
    <col min="1284" max="1285" width="8.5703125" style="2524" bestFit="1" customWidth="1"/>
    <col min="1286" max="1286" width="17.42578125" style="2524" bestFit="1" customWidth="1"/>
    <col min="1287" max="1287" width="17.28515625" style="2524" bestFit="1" customWidth="1"/>
    <col min="1288" max="1289" width="10.7109375" style="2524" customWidth="1"/>
    <col min="1290" max="1291" width="10.7109375" style="2524" bestFit="1" customWidth="1"/>
    <col min="1292" max="1292" width="10.7109375" style="2524" customWidth="1"/>
    <col min="1293" max="1295" width="10.7109375" style="2524" bestFit="1" customWidth="1"/>
    <col min="1296" max="1297" width="10.7109375" style="2524" customWidth="1"/>
    <col min="1298" max="1299" width="10.7109375" style="2524" bestFit="1" customWidth="1"/>
    <col min="1300" max="1536" width="9.140625" style="2524"/>
    <col min="1537" max="1537" width="14.140625" style="2524" customWidth="1"/>
    <col min="1538" max="1538" width="66.28515625" style="2524" bestFit="1" customWidth="1"/>
    <col min="1539" max="1539" width="10" style="2524" bestFit="1" customWidth="1"/>
    <col min="1540" max="1541" width="8.5703125" style="2524" bestFit="1" customWidth="1"/>
    <col min="1542" max="1542" width="17.42578125" style="2524" bestFit="1" customWidth="1"/>
    <col min="1543" max="1543" width="17.28515625" style="2524" bestFit="1" customWidth="1"/>
    <col min="1544" max="1545" width="10.7109375" style="2524" customWidth="1"/>
    <col min="1546" max="1547" width="10.7109375" style="2524" bestFit="1" customWidth="1"/>
    <col min="1548" max="1548" width="10.7109375" style="2524" customWidth="1"/>
    <col min="1549" max="1551" width="10.7109375" style="2524" bestFit="1" customWidth="1"/>
    <col min="1552" max="1553" width="10.7109375" style="2524" customWidth="1"/>
    <col min="1554" max="1555" width="10.7109375" style="2524" bestFit="1" customWidth="1"/>
    <col min="1556" max="1792" width="9.140625" style="2524"/>
    <col min="1793" max="1793" width="14.140625" style="2524" customWidth="1"/>
    <col min="1794" max="1794" width="66.28515625" style="2524" bestFit="1" customWidth="1"/>
    <col min="1795" max="1795" width="10" style="2524" bestFit="1" customWidth="1"/>
    <col min="1796" max="1797" width="8.5703125" style="2524" bestFit="1" customWidth="1"/>
    <col min="1798" max="1798" width="17.42578125" style="2524" bestFit="1" customWidth="1"/>
    <col min="1799" max="1799" width="17.28515625" style="2524" bestFit="1" customWidth="1"/>
    <col min="1800" max="1801" width="10.7109375" style="2524" customWidth="1"/>
    <col min="1802" max="1803" width="10.7109375" style="2524" bestFit="1" customWidth="1"/>
    <col min="1804" max="1804" width="10.7109375" style="2524" customWidth="1"/>
    <col min="1805" max="1807" width="10.7109375" style="2524" bestFit="1" customWidth="1"/>
    <col min="1808" max="1809" width="10.7109375" style="2524" customWidth="1"/>
    <col min="1810" max="1811" width="10.7109375" style="2524" bestFit="1" customWidth="1"/>
    <col min="1812" max="2048" width="9.140625" style="2524"/>
    <col min="2049" max="2049" width="14.140625" style="2524" customWidth="1"/>
    <col min="2050" max="2050" width="66.28515625" style="2524" bestFit="1" customWidth="1"/>
    <col min="2051" max="2051" width="10" style="2524" bestFit="1" customWidth="1"/>
    <col min="2052" max="2053" width="8.5703125" style="2524" bestFit="1" customWidth="1"/>
    <col min="2054" max="2054" width="17.42578125" style="2524" bestFit="1" customWidth="1"/>
    <col min="2055" max="2055" width="17.28515625" style="2524" bestFit="1" customWidth="1"/>
    <col min="2056" max="2057" width="10.7109375" style="2524" customWidth="1"/>
    <col min="2058" max="2059" width="10.7109375" style="2524" bestFit="1" customWidth="1"/>
    <col min="2060" max="2060" width="10.7109375" style="2524" customWidth="1"/>
    <col min="2061" max="2063" width="10.7109375" style="2524" bestFit="1" customWidth="1"/>
    <col min="2064" max="2065" width="10.7109375" style="2524" customWidth="1"/>
    <col min="2066" max="2067" width="10.7109375" style="2524" bestFit="1" customWidth="1"/>
    <col min="2068" max="2304" width="9.140625" style="2524"/>
    <col min="2305" max="2305" width="14.140625" style="2524" customWidth="1"/>
    <col min="2306" max="2306" width="66.28515625" style="2524" bestFit="1" customWidth="1"/>
    <col min="2307" max="2307" width="10" style="2524" bestFit="1" customWidth="1"/>
    <col min="2308" max="2309" width="8.5703125" style="2524" bestFit="1" customWidth="1"/>
    <col min="2310" max="2310" width="17.42578125" style="2524" bestFit="1" customWidth="1"/>
    <col min="2311" max="2311" width="17.28515625" style="2524" bestFit="1" customWidth="1"/>
    <col min="2312" max="2313" width="10.7109375" style="2524" customWidth="1"/>
    <col min="2314" max="2315" width="10.7109375" style="2524" bestFit="1" customWidth="1"/>
    <col min="2316" max="2316" width="10.7109375" style="2524" customWidth="1"/>
    <col min="2317" max="2319" width="10.7109375" style="2524" bestFit="1" customWidth="1"/>
    <col min="2320" max="2321" width="10.7109375" style="2524" customWidth="1"/>
    <col min="2322" max="2323" width="10.7109375" style="2524" bestFit="1" customWidth="1"/>
    <col min="2324" max="2560" width="9.140625" style="2524"/>
    <col min="2561" max="2561" width="14.140625" style="2524" customWidth="1"/>
    <col min="2562" max="2562" width="66.28515625" style="2524" bestFit="1" customWidth="1"/>
    <col min="2563" max="2563" width="10" style="2524" bestFit="1" customWidth="1"/>
    <col min="2564" max="2565" width="8.5703125" style="2524" bestFit="1" customWidth="1"/>
    <col min="2566" max="2566" width="17.42578125" style="2524" bestFit="1" customWidth="1"/>
    <col min="2567" max="2567" width="17.28515625" style="2524" bestFit="1" customWidth="1"/>
    <col min="2568" max="2569" width="10.7109375" style="2524" customWidth="1"/>
    <col min="2570" max="2571" width="10.7109375" style="2524" bestFit="1" customWidth="1"/>
    <col min="2572" max="2572" width="10.7109375" style="2524" customWidth="1"/>
    <col min="2573" max="2575" width="10.7109375" style="2524" bestFit="1" customWidth="1"/>
    <col min="2576" max="2577" width="10.7109375" style="2524" customWidth="1"/>
    <col min="2578" max="2579" width="10.7109375" style="2524" bestFit="1" customWidth="1"/>
    <col min="2580" max="2816" width="9.140625" style="2524"/>
    <col min="2817" max="2817" width="14.140625" style="2524" customWidth="1"/>
    <col min="2818" max="2818" width="66.28515625" style="2524" bestFit="1" customWidth="1"/>
    <col min="2819" max="2819" width="10" style="2524" bestFit="1" customWidth="1"/>
    <col min="2820" max="2821" width="8.5703125" style="2524" bestFit="1" customWidth="1"/>
    <col min="2822" max="2822" width="17.42578125" style="2524" bestFit="1" customWidth="1"/>
    <col min="2823" max="2823" width="17.28515625" style="2524" bestFit="1" customWidth="1"/>
    <col min="2824" max="2825" width="10.7109375" style="2524" customWidth="1"/>
    <col min="2826" max="2827" width="10.7109375" style="2524" bestFit="1" customWidth="1"/>
    <col min="2828" max="2828" width="10.7109375" style="2524" customWidth="1"/>
    <col min="2829" max="2831" width="10.7109375" style="2524" bestFit="1" customWidth="1"/>
    <col min="2832" max="2833" width="10.7109375" style="2524" customWidth="1"/>
    <col min="2834" max="2835" width="10.7109375" style="2524" bestFit="1" customWidth="1"/>
    <col min="2836" max="3072" width="9.140625" style="2524"/>
    <col min="3073" max="3073" width="14.140625" style="2524" customWidth="1"/>
    <col min="3074" max="3074" width="66.28515625" style="2524" bestFit="1" customWidth="1"/>
    <col min="3075" max="3075" width="10" style="2524" bestFit="1" customWidth="1"/>
    <col min="3076" max="3077" width="8.5703125" style="2524" bestFit="1" customWidth="1"/>
    <col min="3078" max="3078" width="17.42578125" style="2524" bestFit="1" customWidth="1"/>
    <col min="3079" max="3079" width="17.28515625" style="2524" bestFit="1" customWidth="1"/>
    <col min="3080" max="3081" width="10.7109375" style="2524" customWidth="1"/>
    <col min="3082" max="3083" width="10.7109375" style="2524" bestFit="1" customWidth="1"/>
    <col min="3084" max="3084" width="10.7109375" style="2524" customWidth="1"/>
    <col min="3085" max="3087" width="10.7109375" style="2524" bestFit="1" customWidth="1"/>
    <col min="3088" max="3089" width="10.7109375" style="2524" customWidth="1"/>
    <col min="3090" max="3091" width="10.7109375" style="2524" bestFit="1" customWidth="1"/>
    <col min="3092" max="3328" width="9.140625" style="2524"/>
    <col min="3329" max="3329" width="14.140625" style="2524" customWidth="1"/>
    <col min="3330" max="3330" width="66.28515625" style="2524" bestFit="1" customWidth="1"/>
    <col min="3331" max="3331" width="10" style="2524" bestFit="1" customWidth="1"/>
    <col min="3332" max="3333" width="8.5703125" style="2524" bestFit="1" customWidth="1"/>
    <col min="3334" max="3334" width="17.42578125" style="2524" bestFit="1" customWidth="1"/>
    <col min="3335" max="3335" width="17.28515625" style="2524" bestFit="1" customWidth="1"/>
    <col min="3336" max="3337" width="10.7109375" style="2524" customWidth="1"/>
    <col min="3338" max="3339" width="10.7109375" style="2524" bestFit="1" customWidth="1"/>
    <col min="3340" max="3340" width="10.7109375" style="2524" customWidth="1"/>
    <col min="3341" max="3343" width="10.7109375" style="2524" bestFit="1" customWidth="1"/>
    <col min="3344" max="3345" width="10.7109375" style="2524" customWidth="1"/>
    <col min="3346" max="3347" width="10.7109375" style="2524" bestFit="1" customWidth="1"/>
    <col min="3348" max="3584" width="9.140625" style="2524"/>
    <col min="3585" max="3585" width="14.140625" style="2524" customWidth="1"/>
    <col min="3586" max="3586" width="66.28515625" style="2524" bestFit="1" customWidth="1"/>
    <col min="3587" max="3587" width="10" style="2524" bestFit="1" customWidth="1"/>
    <col min="3588" max="3589" width="8.5703125" style="2524" bestFit="1" customWidth="1"/>
    <col min="3590" max="3590" width="17.42578125" style="2524" bestFit="1" customWidth="1"/>
    <col min="3591" max="3591" width="17.28515625" style="2524" bestFit="1" customWidth="1"/>
    <col min="3592" max="3593" width="10.7109375" style="2524" customWidth="1"/>
    <col min="3594" max="3595" width="10.7109375" style="2524" bestFit="1" customWidth="1"/>
    <col min="3596" max="3596" width="10.7109375" style="2524" customWidth="1"/>
    <col min="3597" max="3599" width="10.7109375" style="2524" bestFit="1" customWidth="1"/>
    <col min="3600" max="3601" width="10.7109375" style="2524" customWidth="1"/>
    <col min="3602" max="3603" width="10.7109375" style="2524" bestFit="1" customWidth="1"/>
    <col min="3604" max="3840" width="9.140625" style="2524"/>
    <col min="3841" max="3841" width="14.140625" style="2524" customWidth="1"/>
    <col min="3842" max="3842" width="66.28515625" style="2524" bestFit="1" customWidth="1"/>
    <col min="3843" max="3843" width="10" style="2524" bestFit="1" customWidth="1"/>
    <col min="3844" max="3845" width="8.5703125" style="2524" bestFit="1" customWidth="1"/>
    <col min="3846" max="3846" width="17.42578125" style="2524" bestFit="1" customWidth="1"/>
    <col min="3847" max="3847" width="17.28515625" style="2524" bestFit="1" customWidth="1"/>
    <col min="3848" max="3849" width="10.7109375" style="2524" customWidth="1"/>
    <col min="3850" max="3851" width="10.7109375" style="2524" bestFit="1" customWidth="1"/>
    <col min="3852" max="3852" width="10.7109375" style="2524" customWidth="1"/>
    <col min="3853" max="3855" width="10.7109375" style="2524" bestFit="1" customWidth="1"/>
    <col min="3856" max="3857" width="10.7109375" style="2524" customWidth="1"/>
    <col min="3858" max="3859" width="10.7109375" style="2524" bestFit="1" customWidth="1"/>
    <col min="3860" max="4096" width="9.140625" style="2524"/>
    <col min="4097" max="4097" width="14.140625" style="2524" customWidth="1"/>
    <col min="4098" max="4098" width="66.28515625" style="2524" bestFit="1" customWidth="1"/>
    <col min="4099" max="4099" width="10" style="2524" bestFit="1" customWidth="1"/>
    <col min="4100" max="4101" width="8.5703125" style="2524" bestFit="1" customWidth="1"/>
    <col min="4102" max="4102" width="17.42578125" style="2524" bestFit="1" customWidth="1"/>
    <col min="4103" max="4103" width="17.28515625" style="2524" bestFit="1" customWidth="1"/>
    <col min="4104" max="4105" width="10.7109375" style="2524" customWidth="1"/>
    <col min="4106" max="4107" width="10.7109375" style="2524" bestFit="1" customWidth="1"/>
    <col min="4108" max="4108" width="10.7109375" style="2524" customWidth="1"/>
    <col min="4109" max="4111" width="10.7109375" style="2524" bestFit="1" customWidth="1"/>
    <col min="4112" max="4113" width="10.7109375" style="2524" customWidth="1"/>
    <col min="4114" max="4115" width="10.7109375" style="2524" bestFit="1" customWidth="1"/>
    <col min="4116" max="4352" width="9.140625" style="2524"/>
    <col min="4353" max="4353" width="14.140625" style="2524" customWidth="1"/>
    <col min="4354" max="4354" width="66.28515625" style="2524" bestFit="1" customWidth="1"/>
    <col min="4355" max="4355" width="10" style="2524" bestFit="1" customWidth="1"/>
    <col min="4356" max="4357" width="8.5703125" style="2524" bestFit="1" customWidth="1"/>
    <col min="4358" max="4358" width="17.42578125" style="2524" bestFit="1" customWidth="1"/>
    <col min="4359" max="4359" width="17.28515625" style="2524" bestFit="1" customWidth="1"/>
    <col min="4360" max="4361" width="10.7109375" style="2524" customWidth="1"/>
    <col min="4362" max="4363" width="10.7109375" style="2524" bestFit="1" customWidth="1"/>
    <col min="4364" max="4364" width="10.7109375" style="2524" customWidth="1"/>
    <col min="4365" max="4367" width="10.7109375" style="2524" bestFit="1" customWidth="1"/>
    <col min="4368" max="4369" width="10.7109375" style="2524" customWidth="1"/>
    <col min="4370" max="4371" width="10.7109375" style="2524" bestFit="1" customWidth="1"/>
    <col min="4372" max="4608" width="9.140625" style="2524"/>
    <col min="4609" max="4609" width="14.140625" style="2524" customWidth="1"/>
    <col min="4610" max="4610" width="66.28515625" style="2524" bestFit="1" customWidth="1"/>
    <col min="4611" max="4611" width="10" style="2524" bestFit="1" customWidth="1"/>
    <col min="4612" max="4613" width="8.5703125" style="2524" bestFit="1" customWidth="1"/>
    <col min="4614" max="4614" width="17.42578125" style="2524" bestFit="1" customWidth="1"/>
    <col min="4615" max="4615" width="17.28515625" style="2524" bestFit="1" customWidth="1"/>
    <col min="4616" max="4617" width="10.7109375" style="2524" customWidth="1"/>
    <col min="4618" max="4619" width="10.7109375" style="2524" bestFit="1" customWidth="1"/>
    <col min="4620" max="4620" width="10.7109375" style="2524" customWidth="1"/>
    <col min="4621" max="4623" width="10.7109375" style="2524" bestFit="1" customWidth="1"/>
    <col min="4624" max="4625" width="10.7109375" style="2524" customWidth="1"/>
    <col min="4626" max="4627" width="10.7109375" style="2524" bestFit="1" customWidth="1"/>
    <col min="4628" max="4864" width="9.140625" style="2524"/>
    <col min="4865" max="4865" width="14.140625" style="2524" customWidth="1"/>
    <col min="4866" max="4866" width="66.28515625" style="2524" bestFit="1" customWidth="1"/>
    <col min="4867" max="4867" width="10" style="2524" bestFit="1" customWidth="1"/>
    <col min="4868" max="4869" width="8.5703125" style="2524" bestFit="1" customWidth="1"/>
    <col min="4870" max="4870" width="17.42578125" style="2524" bestFit="1" customWidth="1"/>
    <col min="4871" max="4871" width="17.28515625" style="2524" bestFit="1" customWidth="1"/>
    <col min="4872" max="4873" width="10.7109375" style="2524" customWidth="1"/>
    <col min="4874" max="4875" width="10.7109375" style="2524" bestFit="1" customWidth="1"/>
    <col min="4876" max="4876" width="10.7109375" style="2524" customWidth="1"/>
    <col min="4877" max="4879" width="10.7109375" style="2524" bestFit="1" customWidth="1"/>
    <col min="4880" max="4881" width="10.7109375" style="2524" customWidth="1"/>
    <col min="4882" max="4883" width="10.7109375" style="2524" bestFit="1" customWidth="1"/>
    <col min="4884" max="5120" width="9.140625" style="2524"/>
    <col min="5121" max="5121" width="14.140625" style="2524" customWidth="1"/>
    <col min="5122" max="5122" width="66.28515625" style="2524" bestFit="1" customWidth="1"/>
    <col min="5123" max="5123" width="10" style="2524" bestFit="1" customWidth="1"/>
    <col min="5124" max="5125" width="8.5703125" style="2524" bestFit="1" customWidth="1"/>
    <col min="5126" max="5126" width="17.42578125" style="2524" bestFit="1" customWidth="1"/>
    <col min="5127" max="5127" width="17.28515625" style="2524" bestFit="1" customWidth="1"/>
    <col min="5128" max="5129" width="10.7109375" style="2524" customWidth="1"/>
    <col min="5130" max="5131" width="10.7109375" style="2524" bestFit="1" customWidth="1"/>
    <col min="5132" max="5132" width="10.7109375" style="2524" customWidth="1"/>
    <col min="5133" max="5135" width="10.7109375" style="2524" bestFit="1" customWidth="1"/>
    <col min="5136" max="5137" width="10.7109375" style="2524" customWidth="1"/>
    <col min="5138" max="5139" width="10.7109375" style="2524" bestFit="1" customWidth="1"/>
    <col min="5140" max="5376" width="9.140625" style="2524"/>
    <col min="5377" max="5377" width="14.140625" style="2524" customWidth="1"/>
    <col min="5378" max="5378" width="66.28515625" style="2524" bestFit="1" customWidth="1"/>
    <col min="5379" max="5379" width="10" style="2524" bestFit="1" customWidth="1"/>
    <col min="5380" max="5381" width="8.5703125" style="2524" bestFit="1" customWidth="1"/>
    <col min="5382" max="5382" width="17.42578125" style="2524" bestFit="1" customWidth="1"/>
    <col min="5383" max="5383" width="17.28515625" style="2524" bestFit="1" customWidth="1"/>
    <col min="5384" max="5385" width="10.7109375" style="2524" customWidth="1"/>
    <col min="5386" max="5387" width="10.7109375" style="2524" bestFit="1" customWidth="1"/>
    <col min="5388" max="5388" width="10.7109375" style="2524" customWidth="1"/>
    <col min="5389" max="5391" width="10.7109375" style="2524" bestFit="1" customWidth="1"/>
    <col min="5392" max="5393" width="10.7109375" style="2524" customWidth="1"/>
    <col min="5394" max="5395" width="10.7109375" style="2524" bestFit="1" customWidth="1"/>
    <col min="5396" max="5632" width="9.140625" style="2524"/>
    <col min="5633" max="5633" width="14.140625" style="2524" customWidth="1"/>
    <col min="5634" max="5634" width="66.28515625" style="2524" bestFit="1" customWidth="1"/>
    <col min="5635" max="5635" width="10" style="2524" bestFit="1" customWidth="1"/>
    <col min="5636" max="5637" width="8.5703125" style="2524" bestFit="1" customWidth="1"/>
    <col min="5638" max="5638" width="17.42578125" style="2524" bestFit="1" customWidth="1"/>
    <col min="5639" max="5639" width="17.28515625" style="2524" bestFit="1" customWidth="1"/>
    <col min="5640" max="5641" width="10.7109375" style="2524" customWidth="1"/>
    <col min="5642" max="5643" width="10.7109375" style="2524" bestFit="1" customWidth="1"/>
    <col min="5644" max="5644" width="10.7109375" style="2524" customWidth="1"/>
    <col min="5645" max="5647" width="10.7109375" style="2524" bestFit="1" customWidth="1"/>
    <col min="5648" max="5649" width="10.7109375" style="2524" customWidth="1"/>
    <col min="5650" max="5651" width="10.7109375" style="2524" bestFit="1" customWidth="1"/>
    <col min="5652" max="5888" width="9.140625" style="2524"/>
    <col min="5889" max="5889" width="14.140625" style="2524" customWidth="1"/>
    <col min="5890" max="5890" width="66.28515625" style="2524" bestFit="1" customWidth="1"/>
    <col min="5891" max="5891" width="10" style="2524" bestFit="1" customWidth="1"/>
    <col min="5892" max="5893" width="8.5703125" style="2524" bestFit="1" customWidth="1"/>
    <col min="5894" max="5894" width="17.42578125" style="2524" bestFit="1" customWidth="1"/>
    <col min="5895" max="5895" width="17.28515625" style="2524" bestFit="1" customWidth="1"/>
    <col min="5896" max="5897" width="10.7109375" style="2524" customWidth="1"/>
    <col min="5898" max="5899" width="10.7109375" style="2524" bestFit="1" customWidth="1"/>
    <col min="5900" max="5900" width="10.7109375" style="2524" customWidth="1"/>
    <col min="5901" max="5903" width="10.7109375" style="2524" bestFit="1" customWidth="1"/>
    <col min="5904" max="5905" width="10.7109375" style="2524" customWidth="1"/>
    <col min="5906" max="5907" width="10.7109375" style="2524" bestFit="1" customWidth="1"/>
    <col min="5908" max="6144" width="9.140625" style="2524"/>
    <col min="6145" max="6145" width="14.140625" style="2524" customWidth="1"/>
    <col min="6146" max="6146" width="66.28515625" style="2524" bestFit="1" customWidth="1"/>
    <col min="6147" max="6147" width="10" style="2524" bestFit="1" customWidth="1"/>
    <col min="6148" max="6149" width="8.5703125" style="2524" bestFit="1" customWidth="1"/>
    <col min="6150" max="6150" width="17.42578125" style="2524" bestFit="1" customWidth="1"/>
    <col min="6151" max="6151" width="17.28515625" style="2524" bestFit="1" customWidth="1"/>
    <col min="6152" max="6153" width="10.7109375" style="2524" customWidth="1"/>
    <col min="6154" max="6155" width="10.7109375" style="2524" bestFit="1" customWidth="1"/>
    <col min="6156" max="6156" width="10.7109375" style="2524" customWidth="1"/>
    <col min="6157" max="6159" width="10.7109375" style="2524" bestFit="1" customWidth="1"/>
    <col min="6160" max="6161" width="10.7109375" style="2524" customWidth="1"/>
    <col min="6162" max="6163" width="10.7109375" style="2524" bestFit="1" customWidth="1"/>
    <col min="6164" max="6400" width="9.140625" style="2524"/>
    <col min="6401" max="6401" width="14.140625" style="2524" customWidth="1"/>
    <col min="6402" max="6402" width="66.28515625" style="2524" bestFit="1" customWidth="1"/>
    <col min="6403" max="6403" width="10" style="2524" bestFit="1" customWidth="1"/>
    <col min="6404" max="6405" width="8.5703125" style="2524" bestFit="1" customWidth="1"/>
    <col min="6406" max="6406" width="17.42578125" style="2524" bestFit="1" customWidth="1"/>
    <col min="6407" max="6407" width="17.28515625" style="2524" bestFit="1" customWidth="1"/>
    <col min="6408" max="6409" width="10.7109375" style="2524" customWidth="1"/>
    <col min="6410" max="6411" width="10.7109375" style="2524" bestFit="1" customWidth="1"/>
    <col min="6412" max="6412" width="10.7109375" style="2524" customWidth="1"/>
    <col min="6413" max="6415" width="10.7109375" style="2524" bestFit="1" customWidth="1"/>
    <col min="6416" max="6417" width="10.7109375" style="2524" customWidth="1"/>
    <col min="6418" max="6419" width="10.7109375" style="2524" bestFit="1" customWidth="1"/>
    <col min="6420" max="6656" width="9.140625" style="2524"/>
    <col min="6657" max="6657" width="14.140625" style="2524" customWidth="1"/>
    <col min="6658" max="6658" width="66.28515625" style="2524" bestFit="1" customWidth="1"/>
    <col min="6659" max="6659" width="10" style="2524" bestFit="1" customWidth="1"/>
    <col min="6660" max="6661" width="8.5703125" style="2524" bestFit="1" customWidth="1"/>
    <col min="6662" max="6662" width="17.42578125" style="2524" bestFit="1" customWidth="1"/>
    <col min="6663" max="6663" width="17.28515625" style="2524" bestFit="1" customWidth="1"/>
    <col min="6664" max="6665" width="10.7109375" style="2524" customWidth="1"/>
    <col min="6666" max="6667" width="10.7109375" style="2524" bestFit="1" customWidth="1"/>
    <col min="6668" max="6668" width="10.7109375" style="2524" customWidth="1"/>
    <col min="6669" max="6671" width="10.7109375" style="2524" bestFit="1" customWidth="1"/>
    <col min="6672" max="6673" width="10.7109375" style="2524" customWidth="1"/>
    <col min="6674" max="6675" width="10.7109375" style="2524" bestFit="1" customWidth="1"/>
    <col min="6676" max="6912" width="9.140625" style="2524"/>
    <col min="6913" max="6913" width="14.140625" style="2524" customWidth="1"/>
    <col min="6914" max="6914" width="66.28515625" style="2524" bestFit="1" customWidth="1"/>
    <col min="6915" max="6915" width="10" style="2524" bestFit="1" customWidth="1"/>
    <col min="6916" max="6917" width="8.5703125" style="2524" bestFit="1" customWidth="1"/>
    <col min="6918" max="6918" width="17.42578125" style="2524" bestFit="1" customWidth="1"/>
    <col min="6919" max="6919" width="17.28515625" style="2524" bestFit="1" customWidth="1"/>
    <col min="6920" max="6921" width="10.7109375" style="2524" customWidth="1"/>
    <col min="6922" max="6923" width="10.7109375" style="2524" bestFit="1" customWidth="1"/>
    <col min="6924" max="6924" width="10.7109375" style="2524" customWidth="1"/>
    <col min="6925" max="6927" width="10.7109375" style="2524" bestFit="1" customWidth="1"/>
    <col min="6928" max="6929" width="10.7109375" style="2524" customWidth="1"/>
    <col min="6930" max="6931" width="10.7109375" style="2524" bestFit="1" customWidth="1"/>
    <col min="6932" max="7168" width="9.140625" style="2524"/>
    <col min="7169" max="7169" width="14.140625" style="2524" customWidth="1"/>
    <col min="7170" max="7170" width="66.28515625" style="2524" bestFit="1" customWidth="1"/>
    <col min="7171" max="7171" width="10" style="2524" bestFit="1" customWidth="1"/>
    <col min="7172" max="7173" width="8.5703125" style="2524" bestFit="1" customWidth="1"/>
    <col min="7174" max="7174" width="17.42578125" style="2524" bestFit="1" customWidth="1"/>
    <col min="7175" max="7175" width="17.28515625" style="2524" bestFit="1" customWidth="1"/>
    <col min="7176" max="7177" width="10.7109375" style="2524" customWidth="1"/>
    <col min="7178" max="7179" width="10.7109375" style="2524" bestFit="1" customWidth="1"/>
    <col min="7180" max="7180" width="10.7109375" style="2524" customWidth="1"/>
    <col min="7181" max="7183" width="10.7109375" style="2524" bestFit="1" customWidth="1"/>
    <col min="7184" max="7185" width="10.7109375" style="2524" customWidth="1"/>
    <col min="7186" max="7187" width="10.7109375" style="2524" bestFit="1" customWidth="1"/>
    <col min="7188" max="7424" width="9.140625" style="2524"/>
    <col min="7425" max="7425" width="14.140625" style="2524" customWidth="1"/>
    <col min="7426" max="7426" width="66.28515625" style="2524" bestFit="1" customWidth="1"/>
    <col min="7427" max="7427" width="10" style="2524" bestFit="1" customWidth="1"/>
    <col min="7428" max="7429" width="8.5703125" style="2524" bestFit="1" customWidth="1"/>
    <col min="7430" max="7430" width="17.42578125" style="2524" bestFit="1" customWidth="1"/>
    <col min="7431" max="7431" width="17.28515625" style="2524" bestFit="1" customWidth="1"/>
    <col min="7432" max="7433" width="10.7109375" style="2524" customWidth="1"/>
    <col min="7434" max="7435" width="10.7109375" style="2524" bestFit="1" customWidth="1"/>
    <col min="7436" max="7436" width="10.7109375" style="2524" customWidth="1"/>
    <col min="7437" max="7439" width="10.7109375" style="2524" bestFit="1" customWidth="1"/>
    <col min="7440" max="7441" width="10.7109375" style="2524" customWidth="1"/>
    <col min="7442" max="7443" width="10.7109375" style="2524" bestFit="1" customWidth="1"/>
    <col min="7444" max="7680" width="9.140625" style="2524"/>
    <col min="7681" max="7681" width="14.140625" style="2524" customWidth="1"/>
    <col min="7682" max="7682" width="66.28515625" style="2524" bestFit="1" customWidth="1"/>
    <col min="7683" max="7683" width="10" style="2524" bestFit="1" customWidth="1"/>
    <col min="7684" max="7685" width="8.5703125" style="2524" bestFit="1" customWidth="1"/>
    <col min="7686" max="7686" width="17.42578125" style="2524" bestFit="1" customWidth="1"/>
    <col min="7687" max="7687" width="17.28515625" style="2524" bestFit="1" customWidth="1"/>
    <col min="7688" max="7689" width="10.7109375" style="2524" customWidth="1"/>
    <col min="7690" max="7691" width="10.7109375" style="2524" bestFit="1" customWidth="1"/>
    <col min="7692" max="7692" width="10.7109375" style="2524" customWidth="1"/>
    <col min="7693" max="7695" width="10.7109375" style="2524" bestFit="1" customWidth="1"/>
    <col min="7696" max="7697" width="10.7109375" style="2524" customWidth="1"/>
    <col min="7698" max="7699" width="10.7109375" style="2524" bestFit="1" customWidth="1"/>
    <col min="7700" max="7936" width="9.140625" style="2524"/>
    <col min="7937" max="7937" width="14.140625" style="2524" customWidth="1"/>
    <col min="7938" max="7938" width="66.28515625" style="2524" bestFit="1" customWidth="1"/>
    <col min="7939" max="7939" width="10" style="2524" bestFit="1" customWidth="1"/>
    <col min="7940" max="7941" width="8.5703125" style="2524" bestFit="1" customWidth="1"/>
    <col min="7942" max="7942" width="17.42578125" style="2524" bestFit="1" customWidth="1"/>
    <col min="7943" max="7943" width="17.28515625" style="2524" bestFit="1" customWidth="1"/>
    <col min="7944" max="7945" width="10.7109375" style="2524" customWidth="1"/>
    <col min="7946" max="7947" width="10.7109375" style="2524" bestFit="1" customWidth="1"/>
    <col min="7948" max="7948" width="10.7109375" style="2524" customWidth="1"/>
    <col min="7949" max="7951" width="10.7109375" style="2524" bestFit="1" customWidth="1"/>
    <col min="7952" max="7953" width="10.7109375" style="2524" customWidth="1"/>
    <col min="7954" max="7955" width="10.7109375" style="2524" bestFit="1" customWidth="1"/>
    <col min="7956" max="8192" width="9.140625" style="2524"/>
    <col min="8193" max="8193" width="14.140625" style="2524" customWidth="1"/>
    <col min="8194" max="8194" width="66.28515625" style="2524" bestFit="1" customWidth="1"/>
    <col min="8195" max="8195" width="10" style="2524" bestFit="1" customWidth="1"/>
    <col min="8196" max="8197" width="8.5703125" style="2524" bestFit="1" customWidth="1"/>
    <col min="8198" max="8198" width="17.42578125" style="2524" bestFit="1" customWidth="1"/>
    <col min="8199" max="8199" width="17.28515625" style="2524" bestFit="1" customWidth="1"/>
    <col min="8200" max="8201" width="10.7109375" style="2524" customWidth="1"/>
    <col min="8202" max="8203" width="10.7109375" style="2524" bestFit="1" customWidth="1"/>
    <col min="8204" max="8204" width="10.7109375" style="2524" customWidth="1"/>
    <col min="8205" max="8207" width="10.7109375" style="2524" bestFit="1" customWidth="1"/>
    <col min="8208" max="8209" width="10.7109375" style="2524" customWidth="1"/>
    <col min="8210" max="8211" width="10.7109375" style="2524" bestFit="1" customWidth="1"/>
    <col min="8212" max="8448" width="9.140625" style="2524"/>
    <col min="8449" max="8449" width="14.140625" style="2524" customWidth="1"/>
    <col min="8450" max="8450" width="66.28515625" style="2524" bestFit="1" customWidth="1"/>
    <col min="8451" max="8451" width="10" style="2524" bestFit="1" customWidth="1"/>
    <col min="8452" max="8453" width="8.5703125" style="2524" bestFit="1" customWidth="1"/>
    <col min="8454" max="8454" width="17.42578125" style="2524" bestFit="1" customWidth="1"/>
    <col min="8455" max="8455" width="17.28515625" style="2524" bestFit="1" customWidth="1"/>
    <col min="8456" max="8457" width="10.7109375" style="2524" customWidth="1"/>
    <col min="8458" max="8459" width="10.7109375" style="2524" bestFit="1" customWidth="1"/>
    <col min="8460" max="8460" width="10.7109375" style="2524" customWidth="1"/>
    <col min="8461" max="8463" width="10.7109375" style="2524" bestFit="1" customWidth="1"/>
    <col min="8464" max="8465" width="10.7109375" style="2524" customWidth="1"/>
    <col min="8466" max="8467" width="10.7109375" style="2524" bestFit="1" customWidth="1"/>
    <col min="8468" max="8704" width="9.140625" style="2524"/>
    <col min="8705" max="8705" width="14.140625" style="2524" customWidth="1"/>
    <col min="8706" max="8706" width="66.28515625" style="2524" bestFit="1" customWidth="1"/>
    <col min="8707" max="8707" width="10" style="2524" bestFit="1" customWidth="1"/>
    <col min="8708" max="8709" width="8.5703125" style="2524" bestFit="1" customWidth="1"/>
    <col min="8710" max="8710" width="17.42578125" style="2524" bestFit="1" customWidth="1"/>
    <col min="8711" max="8711" width="17.28515625" style="2524" bestFit="1" customWidth="1"/>
    <col min="8712" max="8713" width="10.7109375" style="2524" customWidth="1"/>
    <col min="8714" max="8715" width="10.7109375" style="2524" bestFit="1" customWidth="1"/>
    <col min="8716" max="8716" width="10.7109375" style="2524" customWidth="1"/>
    <col min="8717" max="8719" width="10.7109375" style="2524" bestFit="1" customWidth="1"/>
    <col min="8720" max="8721" width="10.7109375" style="2524" customWidth="1"/>
    <col min="8722" max="8723" width="10.7109375" style="2524" bestFit="1" customWidth="1"/>
    <col min="8724" max="8960" width="9.140625" style="2524"/>
    <col min="8961" max="8961" width="14.140625" style="2524" customWidth="1"/>
    <col min="8962" max="8962" width="66.28515625" style="2524" bestFit="1" customWidth="1"/>
    <col min="8963" max="8963" width="10" style="2524" bestFit="1" customWidth="1"/>
    <col min="8964" max="8965" width="8.5703125" style="2524" bestFit="1" customWidth="1"/>
    <col min="8966" max="8966" width="17.42578125" style="2524" bestFit="1" customWidth="1"/>
    <col min="8967" max="8967" width="17.28515625" style="2524" bestFit="1" customWidth="1"/>
    <col min="8968" max="8969" width="10.7109375" style="2524" customWidth="1"/>
    <col min="8970" max="8971" width="10.7109375" style="2524" bestFit="1" customWidth="1"/>
    <col min="8972" max="8972" width="10.7109375" style="2524" customWidth="1"/>
    <col min="8973" max="8975" width="10.7109375" style="2524" bestFit="1" customWidth="1"/>
    <col min="8976" max="8977" width="10.7109375" style="2524" customWidth="1"/>
    <col min="8978" max="8979" width="10.7109375" style="2524" bestFit="1" customWidth="1"/>
    <col min="8980" max="9216" width="9.140625" style="2524"/>
    <col min="9217" max="9217" width="14.140625" style="2524" customWidth="1"/>
    <col min="9218" max="9218" width="66.28515625" style="2524" bestFit="1" customWidth="1"/>
    <col min="9219" max="9219" width="10" style="2524" bestFit="1" customWidth="1"/>
    <col min="9220" max="9221" width="8.5703125" style="2524" bestFit="1" customWidth="1"/>
    <col min="9222" max="9222" width="17.42578125" style="2524" bestFit="1" customWidth="1"/>
    <col min="9223" max="9223" width="17.28515625" style="2524" bestFit="1" customWidth="1"/>
    <col min="9224" max="9225" width="10.7109375" style="2524" customWidth="1"/>
    <col min="9226" max="9227" width="10.7109375" style="2524" bestFit="1" customWidth="1"/>
    <col min="9228" max="9228" width="10.7109375" style="2524" customWidth="1"/>
    <col min="9229" max="9231" width="10.7109375" style="2524" bestFit="1" customWidth="1"/>
    <col min="9232" max="9233" width="10.7109375" style="2524" customWidth="1"/>
    <col min="9234" max="9235" width="10.7109375" style="2524" bestFit="1" customWidth="1"/>
    <col min="9236" max="9472" width="9.140625" style="2524"/>
    <col min="9473" max="9473" width="14.140625" style="2524" customWidth="1"/>
    <col min="9474" max="9474" width="66.28515625" style="2524" bestFit="1" customWidth="1"/>
    <col min="9475" max="9475" width="10" style="2524" bestFit="1" customWidth="1"/>
    <col min="9476" max="9477" width="8.5703125" style="2524" bestFit="1" customWidth="1"/>
    <col min="9478" max="9478" width="17.42578125" style="2524" bestFit="1" customWidth="1"/>
    <col min="9479" max="9479" width="17.28515625" style="2524" bestFit="1" customWidth="1"/>
    <col min="9480" max="9481" width="10.7109375" style="2524" customWidth="1"/>
    <col min="9482" max="9483" width="10.7109375" style="2524" bestFit="1" customWidth="1"/>
    <col min="9484" max="9484" width="10.7109375" style="2524" customWidth="1"/>
    <col min="9485" max="9487" width="10.7109375" style="2524" bestFit="1" customWidth="1"/>
    <col min="9488" max="9489" width="10.7109375" style="2524" customWidth="1"/>
    <col min="9490" max="9491" width="10.7109375" style="2524" bestFit="1" customWidth="1"/>
    <col min="9492" max="9728" width="9.140625" style="2524"/>
    <col min="9729" max="9729" width="14.140625" style="2524" customWidth="1"/>
    <col min="9730" max="9730" width="66.28515625" style="2524" bestFit="1" customWidth="1"/>
    <col min="9731" max="9731" width="10" style="2524" bestFit="1" customWidth="1"/>
    <col min="9732" max="9733" width="8.5703125" style="2524" bestFit="1" customWidth="1"/>
    <col min="9734" max="9734" width="17.42578125" style="2524" bestFit="1" customWidth="1"/>
    <col min="9735" max="9735" width="17.28515625" style="2524" bestFit="1" customWidth="1"/>
    <col min="9736" max="9737" width="10.7109375" style="2524" customWidth="1"/>
    <col min="9738" max="9739" width="10.7109375" style="2524" bestFit="1" customWidth="1"/>
    <col min="9740" max="9740" width="10.7109375" style="2524" customWidth="1"/>
    <col min="9741" max="9743" width="10.7109375" style="2524" bestFit="1" customWidth="1"/>
    <col min="9744" max="9745" width="10.7109375" style="2524" customWidth="1"/>
    <col min="9746" max="9747" width="10.7109375" style="2524" bestFit="1" customWidth="1"/>
    <col min="9748" max="9984" width="9.140625" style="2524"/>
    <col min="9985" max="9985" width="14.140625" style="2524" customWidth="1"/>
    <col min="9986" max="9986" width="66.28515625" style="2524" bestFit="1" customWidth="1"/>
    <col min="9987" max="9987" width="10" style="2524" bestFit="1" customWidth="1"/>
    <col min="9988" max="9989" width="8.5703125" style="2524" bestFit="1" customWidth="1"/>
    <col min="9990" max="9990" width="17.42578125" style="2524" bestFit="1" customWidth="1"/>
    <col min="9991" max="9991" width="17.28515625" style="2524" bestFit="1" customWidth="1"/>
    <col min="9992" max="9993" width="10.7109375" style="2524" customWidth="1"/>
    <col min="9994" max="9995" width="10.7109375" style="2524" bestFit="1" customWidth="1"/>
    <col min="9996" max="9996" width="10.7109375" style="2524" customWidth="1"/>
    <col min="9997" max="9999" width="10.7109375" style="2524" bestFit="1" customWidth="1"/>
    <col min="10000" max="10001" width="10.7109375" style="2524" customWidth="1"/>
    <col min="10002" max="10003" width="10.7109375" style="2524" bestFit="1" customWidth="1"/>
    <col min="10004" max="10240" width="9.140625" style="2524"/>
    <col min="10241" max="10241" width="14.140625" style="2524" customWidth="1"/>
    <col min="10242" max="10242" width="66.28515625" style="2524" bestFit="1" customWidth="1"/>
    <col min="10243" max="10243" width="10" style="2524" bestFit="1" customWidth="1"/>
    <col min="10244" max="10245" width="8.5703125" style="2524" bestFit="1" customWidth="1"/>
    <col min="10246" max="10246" width="17.42578125" style="2524" bestFit="1" customWidth="1"/>
    <col min="10247" max="10247" width="17.28515625" style="2524" bestFit="1" customWidth="1"/>
    <col min="10248" max="10249" width="10.7109375" style="2524" customWidth="1"/>
    <col min="10250" max="10251" width="10.7109375" style="2524" bestFit="1" customWidth="1"/>
    <col min="10252" max="10252" width="10.7109375" style="2524" customWidth="1"/>
    <col min="10253" max="10255" width="10.7109375" style="2524" bestFit="1" customWidth="1"/>
    <col min="10256" max="10257" width="10.7109375" style="2524" customWidth="1"/>
    <col min="10258" max="10259" width="10.7109375" style="2524" bestFit="1" customWidth="1"/>
    <col min="10260" max="10496" width="9.140625" style="2524"/>
    <col min="10497" max="10497" width="14.140625" style="2524" customWidth="1"/>
    <col min="10498" max="10498" width="66.28515625" style="2524" bestFit="1" customWidth="1"/>
    <col min="10499" max="10499" width="10" style="2524" bestFit="1" customWidth="1"/>
    <col min="10500" max="10501" width="8.5703125" style="2524" bestFit="1" customWidth="1"/>
    <col min="10502" max="10502" width="17.42578125" style="2524" bestFit="1" customWidth="1"/>
    <col min="10503" max="10503" width="17.28515625" style="2524" bestFit="1" customWidth="1"/>
    <col min="10504" max="10505" width="10.7109375" style="2524" customWidth="1"/>
    <col min="10506" max="10507" width="10.7109375" style="2524" bestFit="1" customWidth="1"/>
    <col min="10508" max="10508" width="10.7109375" style="2524" customWidth="1"/>
    <col min="10509" max="10511" width="10.7109375" style="2524" bestFit="1" customWidth="1"/>
    <col min="10512" max="10513" width="10.7109375" style="2524" customWidth="1"/>
    <col min="10514" max="10515" width="10.7109375" style="2524" bestFit="1" customWidth="1"/>
    <col min="10516" max="10752" width="9.140625" style="2524"/>
    <col min="10753" max="10753" width="14.140625" style="2524" customWidth="1"/>
    <col min="10754" max="10754" width="66.28515625" style="2524" bestFit="1" customWidth="1"/>
    <col min="10755" max="10755" width="10" style="2524" bestFit="1" customWidth="1"/>
    <col min="10756" max="10757" width="8.5703125" style="2524" bestFit="1" customWidth="1"/>
    <col min="10758" max="10758" width="17.42578125" style="2524" bestFit="1" customWidth="1"/>
    <col min="10759" max="10759" width="17.28515625" style="2524" bestFit="1" customWidth="1"/>
    <col min="10760" max="10761" width="10.7109375" style="2524" customWidth="1"/>
    <col min="10762" max="10763" width="10.7109375" style="2524" bestFit="1" customWidth="1"/>
    <col min="10764" max="10764" width="10.7109375" style="2524" customWidth="1"/>
    <col min="10765" max="10767" width="10.7109375" style="2524" bestFit="1" customWidth="1"/>
    <col min="10768" max="10769" width="10.7109375" style="2524" customWidth="1"/>
    <col min="10770" max="10771" width="10.7109375" style="2524" bestFit="1" customWidth="1"/>
    <col min="10772" max="11008" width="9.140625" style="2524"/>
    <col min="11009" max="11009" width="14.140625" style="2524" customWidth="1"/>
    <col min="11010" max="11010" width="66.28515625" style="2524" bestFit="1" customWidth="1"/>
    <col min="11011" max="11011" width="10" style="2524" bestFit="1" customWidth="1"/>
    <col min="11012" max="11013" width="8.5703125" style="2524" bestFit="1" customWidth="1"/>
    <col min="11014" max="11014" width="17.42578125" style="2524" bestFit="1" customWidth="1"/>
    <col min="11015" max="11015" width="17.28515625" style="2524" bestFit="1" customWidth="1"/>
    <col min="11016" max="11017" width="10.7109375" style="2524" customWidth="1"/>
    <col min="11018" max="11019" width="10.7109375" style="2524" bestFit="1" customWidth="1"/>
    <col min="11020" max="11020" width="10.7109375" style="2524" customWidth="1"/>
    <col min="11021" max="11023" width="10.7109375" style="2524" bestFit="1" customWidth="1"/>
    <col min="11024" max="11025" width="10.7109375" style="2524" customWidth="1"/>
    <col min="11026" max="11027" width="10.7109375" style="2524" bestFit="1" customWidth="1"/>
    <col min="11028" max="11264" width="9.140625" style="2524"/>
    <col min="11265" max="11265" width="14.140625" style="2524" customWidth="1"/>
    <col min="11266" max="11266" width="66.28515625" style="2524" bestFit="1" customWidth="1"/>
    <col min="11267" max="11267" width="10" style="2524" bestFit="1" customWidth="1"/>
    <col min="11268" max="11269" width="8.5703125" style="2524" bestFit="1" customWidth="1"/>
    <col min="11270" max="11270" width="17.42578125" style="2524" bestFit="1" customWidth="1"/>
    <col min="11271" max="11271" width="17.28515625" style="2524" bestFit="1" customWidth="1"/>
    <col min="11272" max="11273" width="10.7109375" style="2524" customWidth="1"/>
    <col min="11274" max="11275" width="10.7109375" style="2524" bestFit="1" customWidth="1"/>
    <col min="11276" max="11276" width="10.7109375" style="2524" customWidth="1"/>
    <col min="11277" max="11279" width="10.7109375" style="2524" bestFit="1" customWidth="1"/>
    <col min="11280" max="11281" width="10.7109375" style="2524" customWidth="1"/>
    <col min="11282" max="11283" width="10.7109375" style="2524" bestFit="1" customWidth="1"/>
    <col min="11284" max="11520" width="9.140625" style="2524"/>
    <col min="11521" max="11521" width="14.140625" style="2524" customWidth="1"/>
    <col min="11522" max="11522" width="66.28515625" style="2524" bestFit="1" customWidth="1"/>
    <col min="11523" max="11523" width="10" style="2524" bestFit="1" customWidth="1"/>
    <col min="11524" max="11525" width="8.5703125" style="2524" bestFit="1" customWidth="1"/>
    <col min="11526" max="11526" width="17.42578125" style="2524" bestFit="1" customWidth="1"/>
    <col min="11527" max="11527" width="17.28515625" style="2524" bestFit="1" customWidth="1"/>
    <col min="11528" max="11529" width="10.7109375" style="2524" customWidth="1"/>
    <col min="11530" max="11531" width="10.7109375" style="2524" bestFit="1" customWidth="1"/>
    <col min="11532" max="11532" width="10.7109375" style="2524" customWidth="1"/>
    <col min="11533" max="11535" width="10.7109375" style="2524" bestFit="1" customWidth="1"/>
    <col min="11536" max="11537" width="10.7109375" style="2524" customWidth="1"/>
    <col min="11538" max="11539" width="10.7109375" style="2524" bestFit="1" customWidth="1"/>
    <col min="11540" max="11776" width="9.140625" style="2524"/>
    <col min="11777" max="11777" width="14.140625" style="2524" customWidth="1"/>
    <col min="11778" max="11778" width="66.28515625" style="2524" bestFit="1" customWidth="1"/>
    <col min="11779" max="11779" width="10" style="2524" bestFit="1" customWidth="1"/>
    <col min="11780" max="11781" width="8.5703125" style="2524" bestFit="1" customWidth="1"/>
    <col min="11782" max="11782" width="17.42578125" style="2524" bestFit="1" customWidth="1"/>
    <col min="11783" max="11783" width="17.28515625" style="2524" bestFit="1" customWidth="1"/>
    <col min="11784" max="11785" width="10.7109375" style="2524" customWidth="1"/>
    <col min="11786" max="11787" width="10.7109375" style="2524" bestFit="1" customWidth="1"/>
    <col min="11788" max="11788" width="10.7109375" style="2524" customWidth="1"/>
    <col min="11789" max="11791" width="10.7109375" style="2524" bestFit="1" customWidth="1"/>
    <col min="11792" max="11793" width="10.7109375" style="2524" customWidth="1"/>
    <col min="11794" max="11795" width="10.7109375" style="2524" bestFit="1" customWidth="1"/>
    <col min="11796" max="12032" width="9.140625" style="2524"/>
    <col min="12033" max="12033" width="14.140625" style="2524" customWidth="1"/>
    <col min="12034" max="12034" width="66.28515625" style="2524" bestFit="1" customWidth="1"/>
    <col min="12035" max="12035" width="10" style="2524" bestFit="1" customWidth="1"/>
    <col min="12036" max="12037" width="8.5703125" style="2524" bestFit="1" customWidth="1"/>
    <col min="12038" max="12038" width="17.42578125" style="2524" bestFit="1" customWidth="1"/>
    <col min="12039" max="12039" width="17.28515625" style="2524" bestFit="1" customWidth="1"/>
    <col min="12040" max="12041" width="10.7109375" style="2524" customWidth="1"/>
    <col min="12042" max="12043" width="10.7109375" style="2524" bestFit="1" customWidth="1"/>
    <col min="12044" max="12044" width="10.7109375" style="2524" customWidth="1"/>
    <col min="12045" max="12047" width="10.7109375" style="2524" bestFit="1" customWidth="1"/>
    <col min="12048" max="12049" width="10.7109375" style="2524" customWidth="1"/>
    <col min="12050" max="12051" width="10.7109375" style="2524" bestFit="1" customWidth="1"/>
    <col min="12052" max="12288" width="9.140625" style="2524"/>
    <col min="12289" max="12289" width="14.140625" style="2524" customWidth="1"/>
    <col min="12290" max="12290" width="66.28515625" style="2524" bestFit="1" customWidth="1"/>
    <col min="12291" max="12291" width="10" style="2524" bestFit="1" customWidth="1"/>
    <col min="12292" max="12293" width="8.5703125" style="2524" bestFit="1" customWidth="1"/>
    <col min="12294" max="12294" width="17.42578125" style="2524" bestFit="1" customWidth="1"/>
    <col min="12295" max="12295" width="17.28515625" style="2524" bestFit="1" customWidth="1"/>
    <col min="12296" max="12297" width="10.7109375" style="2524" customWidth="1"/>
    <col min="12298" max="12299" width="10.7109375" style="2524" bestFit="1" customWidth="1"/>
    <col min="12300" max="12300" width="10.7109375" style="2524" customWidth="1"/>
    <col min="12301" max="12303" width="10.7109375" style="2524" bestFit="1" customWidth="1"/>
    <col min="12304" max="12305" width="10.7109375" style="2524" customWidth="1"/>
    <col min="12306" max="12307" width="10.7109375" style="2524" bestFit="1" customWidth="1"/>
    <col min="12308" max="12544" width="9.140625" style="2524"/>
    <col min="12545" max="12545" width="14.140625" style="2524" customWidth="1"/>
    <col min="12546" max="12546" width="66.28515625" style="2524" bestFit="1" customWidth="1"/>
    <col min="12547" max="12547" width="10" style="2524" bestFit="1" customWidth="1"/>
    <col min="12548" max="12549" width="8.5703125" style="2524" bestFit="1" customWidth="1"/>
    <col min="12550" max="12550" width="17.42578125" style="2524" bestFit="1" customWidth="1"/>
    <col min="12551" max="12551" width="17.28515625" style="2524" bestFit="1" customWidth="1"/>
    <col min="12552" max="12553" width="10.7109375" style="2524" customWidth="1"/>
    <col min="12554" max="12555" width="10.7109375" style="2524" bestFit="1" customWidth="1"/>
    <col min="12556" max="12556" width="10.7109375" style="2524" customWidth="1"/>
    <col min="12557" max="12559" width="10.7109375" style="2524" bestFit="1" customWidth="1"/>
    <col min="12560" max="12561" width="10.7109375" style="2524" customWidth="1"/>
    <col min="12562" max="12563" width="10.7109375" style="2524" bestFit="1" customWidth="1"/>
    <col min="12564" max="12800" width="9.140625" style="2524"/>
    <col min="12801" max="12801" width="14.140625" style="2524" customWidth="1"/>
    <col min="12802" max="12802" width="66.28515625" style="2524" bestFit="1" customWidth="1"/>
    <col min="12803" max="12803" width="10" style="2524" bestFit="1" customWidth="1"/>
    <col min="12804" max="12805" width="8.5703125" style="2524" bestFit="1" customWidth="1"/>
    <col min="12806" max="12806" width="17.42578125" style="2524" bestFit="1" customWidth="1"/>
    <col min="12807" max="12807" width="17.28515625" style="2524" bestFit="1" customWidth="1"/>
    <col min="12808" max="12809" width="10.7109375" style="2524" customWidth="1"/>
    <col min="12810" max="12811" width="10.7109375" style="2524" bestFit="1" customWidth="1"/>
    <col min="12812" max="12812" width="10.7109375" style="2524" customWidth="1"/>
    <col min="12813" max="12815" width="10.7109375" style="2524" bestFit="1" customWidth="1"/>
    <col min="12816" max="12817" width="10.7109375" style="2524" customWidth="1"/>
    <col min="12818" max="12819" width="10.7109375" style="2524" bestFit="1" customWidth="1"/>
    <col min="12820" max="13056" width="9.140625" style="2524"/>
    <col min="13057" max="13057" width="14.140625" style="2524" customWidth="1"/>
    <col min="13058" max="13058" width="66.28515625" style="2524" bestFit="1" customWidth="1"/>
    <col min="13059" max="13059" width="10" style="2524" bestFit="1" customWidth="1"/>
    <col min="13060" max="13061" width="8.5703125" style="2524" bestFit="1" customWidth="1"/>
    <col min="13062" max="13062" width="17.42578125" style="2524" bestFit="1" customWidth="1"/>
    <col min="13063" max="13063" width="17.28515625" style="2524" bestFit="1" customWidth="1"/>
    <col min="13064" max="13065" width="10.7109375" style="2524" customWidth="1"/>
    <col min="13066" max="13067" width="10.7109375" style="2524" bestFit="1" customWidth="1"/>
    <col min="13068" max="13068" width="10.7109375" style="2524" customWidth="1"/>
    <col min="13069" max="13071" width="10.7109375" style="2524" bestFit="1" customWidth="1"/>
    <col min="13072" max="13073" width="10.7109375" style="2524" customWidth="1"/>
    <col min="13074" max="13075" width="10.7109375" style="2524" bestFit="1" customWidth="1"/>
    <col min="13076" max="13312" width="9.140625" style="2524"/>
    <col min="13313" max="13313" width="14.140625" style="2524" customWidth="1"/>
    <col min="13314" max="13314" width="66.28515625" style="2524" bestFit="1" customWidth="1"/>
    <col min="13315" max="13315" width="10" style="2524" bestFit="1" customWidth="1"/>
    <col min="13316" max="13317" width="8.5703125" style="2524" bestFit="1" customWidth="1"/>
    <col min="13318" max="13318" width="17.42578125" style="2524" bestFit="1" customWidth="1"/>
    <col min="13319" max="13319" width="17.28515625" style="2524" bestFit="1" customWidth="1"/>
    <col min="13320" max="13321" width="10.7109375" style="2524" customWidth="1"/>
    <col min="13322" max="13323" width="10.7109375" style="2524" bestFit="1" customWidth="1"/>
    <col min="13324" max="13324" width="10.7109375" style="2524" customWidth="1"/>
    <col min="13325" max="13327" width="10.7109375" style="2524" bestFit="1" customWidth="1"/>
    <col min="13328" max="13329" width="10.7109375" style="2524" customWidth="1"/>
    <col min="13330" max="13331" width="10.7109375" style="2524" bestFit="1" customWidth="1"/>
    <col min="13332" max="13568" width="9.140625" style="2524"/>
    <col min="13569" max="13569" width="14.140625" style="2524" customWidth="1"/>
    <col min="13570" max="13570" width="66.28515625" style="2524" bestFit="1" customWidth="1"/>
    <col min="13571" max="13571" width="10" style="2524" bestFit="1" customWidth="1"/>
    <col min="13572" max="13573" width="8.5703125" style="2524" bestFit="1" customWidth="1"/>
    <col min="13574" max="13574" width="17.42578125" style="2524" bestFit="1" customWidth="1"/>
    <col min="13575" max="13575" width="17.28515625" style="2524" bestFit="1" customWidth="1"/>
    <col min="13576" max="13577" width="10.7109375" style="2524" customWidth="1"/>
    <col min="13578" max="13579" width="10.7109375" style="2524" bestFit="1" customWidth="1"/>
    <col min="13580" max="13580" width="10.7109375" style="2524" customWidth="1"/>
    <col min="13581" max="13583" width="10.7109375" style="2524" bestFit="1" customWidth="1"/>
    <col min="13584" max="13585" width="10.7109375" style="2524" customWidth="1"/>
    <col min="13586" max="13587" width="10.7109375" style="2524" bestFit="1" customWidth="1"/>
    <col min="13588" max="13824" width="9.140625" style="2524"/>
    <col min="13825" max="13825" width="14.140625" style="2524" customWidth="1"/>
    <col min="13826" max="13826" width="66.28515625" style="2524" bestFit="1" customWidth="1"/>
    <col min="13827" max="13827" width="10" style="2524" bestFit="1" customWidth="1"/>
    <col min="13828" max="13829" width="8.5703125" style="2524" bestFit="1" customWidth="1"/>
    <col min="13830" max="13830" width="17.42578125" style="2524" bestFit="1" customWidth="1"/>
    <col min="13831" max="13831" width="17.28515625" style="2524" bestFit="1" customWidth="1"/>
    <col min="13832" max="13833" width="10.7109375" style="2524" customWidth="1"/>
    <col min="13834" max="13835" width="10.7109375" style="2524" bestFit="1" customWidth="1"/>
    <col min="13836" max="13836" width="10.7109375" style="2524" customWidth="1"/>
    <col min="13837" max="13839" width="10.7109375" style="2524" bestFit="1" customWidth="1"/>
    <col min="13840" max="13841" width="10.7109375" style="2524" customWidth="1"/>
    <col min="13842" max="13843" width="10.7109375" style="2524" bestFit="1" customWidth="1"/>
    <col min="13844" max="14080" width="9.140625" style="2524"/>
    <col min="14081" max="14081" width="14.140625" style="2524" customWidth="1"/>
    <col min="14082" max="14082" width="66.28515625" style="2524" bestFit="1" customWidth="1"/>
    <col min="14083" max="14083" width="10" style="2524" bestFit="1" customWidth="1"/>
    <col min="14084" max="14085" width="8.5703125" style="2524" bestFit="1" customWidth="1"/>
    <col min="14086" max="14086" width="17.42578125" style="2524" bestFit="1" customWidth="1"/>
    <col min="14087" max="14087" width="17.28515625" style="2524" bestFit="1" customWidth="1"/>
    <col min="14088" max="14089" width="10.7109375" style="2524" customWidth="1"/>
    <col min="14090" max="14091" width="10.7109375" style="2524" bestFit="1" customWidth="1"/>
    <col min="14092" max="14092" width="10.7109375" style="2524" customWidth="1"/>
    <col min="14093" max="14095" width="10.7109375" style="2524" bestFit="1" customWidth="1"/>
    <col min="14096" max="14097" width="10.7109375" style="2524" customWidth="1"/>
    <col min="14098" max="14099" width="10.7109375" style="2524" bestFit="1" customWidth="1"/>
    <col min="14100" max="14336" width="9.140625" style="2524"/>
    <col min="14337" max="14337" width="14.140625" style="2524" customWidth="1"/>
    <col min="14338" max="14338" width="66.28515625" style="2524" bestFit="1" customWidth="1"/>
    <col min="14339" max="14339" width="10" style="2524" bestFit="1" customWidth="1"/>
    <col min="14340" max="14341" width="8.5703125" style="2524" bestFit="1" customWidth="1"/>
    <col min="14342" max="14342" width="17.42578125" style="2524" bestFit="1" customWidth="1"/>
    <col min="14343" max="14343" width="17.28515625" style="2524" bestFit="1" customWidth="1"/>
    <col min="14344" max="14345" width="10.7109375" style="2524" customWidth="1"/>
    <col min="14346" max="14347" width="10.7109375" style="2524" bestFit="1" customWidth="1"/>
    <col min="14348" max="14348" width="10.7109375" style="2524" customWidth="1"/>
    <col min="14349" max="14351" width="10.7109375" style="2524" bestFit="1" customWidth="1"/>
    <col min="14352" max="14353" width="10.7109375" style="2524" customWidth="1"/>
    <col min="14354" max="14355" width="10.7109375" style="2524" bestFit="1" customWidth="1"/>
    <col min="14356" max="14592" width="9.140625" style="2524"/>
    <col min="14593" max="14593" width="14.140625" style="2524" customWidth="1"/>
    <col min="14594" max="14594" width="66.28515625" style="2524" bestFit="1" customWidth="1"/>
    <col min="14595" max="14595" width="10" style="2524" bestFit="1" customWidth="1"/>
    <col min="14596" max="14597" width="8.5703125" style="2524" bestFit="1" customWidth="1"/>
    <col min="14598" max="14598" width="17.42578125" style="2524" bestFit="1" customWidth="1"/>
    <col min="14599" max="14599" width="17.28515625" style="2524" bestFit="1" customWidth="1"/>
    <col min="14600" max="14601" width="10.7109375" style="2524" customWidth="1"/>
    <col min="14602" max="14603" width="10.7109375" style="2524" bestFit="1" customWidth="1"/>
    <col min="14604" max="14604" width="10.7109375" style="2524" customWidth="1"/>
    <col min="14605" max="14607" width="10.7109375" style="2524" bestFit="1" customWidth="1"/>
    <col min="14608" max="14609" width="10.7109375" style="2524" customWidth="1"/>
    <col min="14610" max="14611" width="10.7109375" style="2524" bestFit="1" customWidth="1"/>
    <col min="14612" max="14848" width="9.140625" style="2524"/>
    <col min="14849" max="14849" width="14.140625" style="2524" customWidth="1"/>
    <col min="14850" max="14850" width="66.28515625" style="2524" bestFit="1" customWidth="1"/>
    <col min="14851" max="14851" width="10" style="2524" bestFit="1" customWidth="1"/>
    <col min="14852" max="14853" width="8.5703125" style="2524" bestFit="1" customWidth="1"/>
    <col min="14854" max="14854" width="17.42578125" style="2524" bestFit="1" customWidth="1"/>
    <col min="14855" max="14855" width="17.28515625" style="2524" bestFit="1" customWidth="1"/>
    <col min="14856" max="14857" width="10.7109375" style="2524" customWidth="1"/>
    <col min="14858" max="14859" width="10.7109375" style="2524" bestFit="1" customWidth="1"/>
    <col min="14860" max="14860" width="10.7109375" style="2524" customWidth="1"/>
    <col min="14861" max="14863" width="10.7109375" style="2524" bestFit="1" customWidth="1"/>
    <col min="14864" max="14865" width="10.7109375" style="2524" customWidth="1"/>
    <col min="14866" max="14867" width="10.7109375" style="2524" bestFit="1" customWidth="1"/>
    <col min="14868" max="15104" width="9.140625" style="2524"/>
    <col min="15105" max="15105" width="14.140625" style="2524" customWidth="1"/>
    <col min="15106" max="15106" width="66.28515625" style="2524" bestFit="1" customWidth="1"/>
    <col min="15107" max="15107" width="10" style="2524" bestFit="1" customWidth="1"/>
    <col min="15108" max="15109" width="8.5703125" style="2524" bestFit="1" customWidth="1"/>
    <col min="15110" max="15110" width="17.42578125" style="2524" bestFit="1" customWidth="1"/>
    <col min="15111" max="15111" width="17.28515625" style="2524" bestFit="1" customWidth="1"/>
    <col min="15112" max="15113" width="10.7109375" style="2524" customWidth="1"/>
    <col min="15114" max="15115" width="10.7109375" style="2524" bestFit="1" customWidth="1"/>
    <col min="15116" max="15116" width="10.7109375" style="2524" customWidth="1"/>
    <col min="15117" max="15119" width="10.7109375" style="2524" bestFit="1" customWidth="1"/>
    <col min="15120" max="15121" width="10.7109375" style="2524" customWidth="1"/>
    <col min="15122" max="15123" width="10.7109375" style="2524" bestFit="1" customWidth="1"/>
    <col min="15124" max="15360" width="9.140625" style="2524"/>
    <col min="15361" max="15361" width="14.140625" style="2524" customWidth="1"/>
    <col min="15362" max="15362" width="66.28515625" style="2524" bestFit="1" customWidth="1"/>
    <col min="15363" max="15363" width="10" style="2524" bestFit="1" customWidth="1"/>
    <col min="15364" max="15365" width="8.5703125" style="2524" bestFit="1" customWidth="1"/>
    <col min="15366" max="15366" width="17.42578125" style="2524" bestFit="1" customWidth="1"/>
    <col min="15367" max="15367" width="17.28515625" style="2524" bestFit="1" customWidth="1"/>
    <col min="15368" max="15369" width="10.7109375" style="2524" customWidth="1"/>
    <col min="15370" max="15371" width="10.7109375" style="2524" bestFit="1" customWidth="1"/>
    <col min="15372" max="15372" width="10.7109375" style="2524" customWidth="1"/>
    <col min="15373" max="15375" width="10.7109375" style="2524" bestFit="1" customWidth="1"/>
    <col min="15376" max="15377" width="10.7109375" style="2524" customWidth="1"/>
    <col min="15378" max="15379" width="10.7109375" style="2524" bestFit="1" customWidth="1"/>
    <col min="15380" max="15616" width="9.140625" style="2524"/>
    <col min="15617" max="15617" width="14.140625" style="2524" customWidth="1"/>
    <col min="15618" max="15618" width="66.28515625" style="2524" bestFit="1" customWidth="1"/>
    <col min="15619" max="15619" width="10" style="2524" bestFit="1" customWidth="1"/>
    <col min="15620" max="15621" width="8.5703125" style="2524" bestFit="1" customWidth="1"/>
    <col min="15622" max="15622" width="17.42578125" style="2524" bestFit="1" customWidth="1"/>
    <col min="15623" max="15623" width="17.28515625" style="2524" bestFit="1" customWidth="1"/>
    <col min="15624" max="15625" width="10.7109375" style="2524" customWidth="1"/>
    <col min="15626" max="15627" width="10.7109375" style="2524" bestFit="1" customWidth="1"/>
    <col min="15628" max="15628" width="10.7109375" style="2524" customWidth="1"/>
    <col min="15629" max="15631" width="10.7109375" style="2524" bestFit="1" customWidth="1"/>
    <col min="15632" max="15633" width="10.7109375" style="2524" customWidth="1"/>
    <col min="15634" max="15635" width="10.7109375" style="2524" bestFit="1" customWidth="1"/>
    <col min="15636" max="15872" width="9.140625" style="2524"/>
    <col min="15873" max="15873" width="14.140625" style="2524" customWidth="1"/>
    <col min="15874" max="15874" width="66.28515625" style="2524" bestFit="1" customWidth="1"/>
    <col min="15875" max="15875" width="10" style="2524" bestFit="1" customWidth="1"/>
    <col min="15876" max="15877" width="8.5703125" style="2524" bestFit="1" customWidth="1"/>
    <col min="15878" max="15878" width="17.42578125" style="2524" bestFit="1" customWidth="1"/>
    <col min="15879" max="15879" width="17.28515625" style="2524" bestFit="1" customWidth="1"/>
    <col min="15880" max="15881" width="10.7109375" style="2524" customWidth="1"/>
    <col min="15882" max="15883" width="10.7109375" style="2524" bestFit="1" customWidth="1"/>
    <col min="15884" max="15884" width="10.7109375" style="2524" customWidth="1"/>
    <col min="15885" max="15887" width="10.7109375" style="2524" bestFit="1" customWidth="1"/>
    <col min="15888" max="15889" width="10.7109375" style="2524" customWidth="1"/>
    <col min="15890" max="15891" width="10.7109375" style="2524" bestFit="1" customWidth="1"/>
    <col min="15892" max="16128" width="9.140625" style="2524"/>
    <col min="16129" max="16129" width="14.140625" style="2524" customWidth="1"/>
    <col min="16130" max="16130" width="66.28515625" style="2524" bestFit="1" customWidth="1"/>
    <col min="16131" max="16131" width="10" style="2524" bestFit="1" customWidth="1"/>
    <col min="16132" max="16133" width="8.5703125" style="2524" bestFit="1" customWidth="1"/>
    <col min="16134" max="16134" width="17.42578125" style="2524" bestFit="1" customWidth="1"/>
    <col min="16135" max="16135" width="17.28515625" style="2524" bestFit="1" customWidth="1"/>
    <col min="16136" max="16137" width="10.7109375" style="2524" customWidth="1"/>
    <col min="16138" max="16139" width="10.7109375" style="2524" bestFit="1" customWidth="1"/>
    <col min="16140" max="16140" width="10.7109375" style="2524" customWidth="1"/>
    <col min="16141" max="16143" width="10.7109375" style="2524" bestFit="1" customWidth="1"/>
    <col min="16144" max="16145" width="10.7109375" style="2524" customWidth="1"/>
    <col min="16146" max="16147" width="10.7109375" style="2524" bestFit="1" customWidth="1"/>
    <col min="16148" max="16384" width="9.140625" style="2524"/>
  </cols>
  <sheetData>
    <row r="1" spans="1:135" s="2525" customFormat="1" ht="24.95" customHeight="1">
      <c r="B1" s="2522" t="str">
        <f>IF(dms_DataQuality="backcast",INDEX(dms_Worksheet_List,MATCH(dms_Model,dms_Model_List))&amp;" BACKCAST",INDEX(dms_Worksheet_List,MATCH(dms_Model,dms_Model_List)))</f>
        <v>REGULATORY REPORTING STATEMENT</v>
      </c>
      <c r="C1" s="2769"/>
      <c r="D1" s="2769"/>
      <c r="E1" s="2769"/>
      <c r="F1" s="2769"/>
      <c r="G1" s="2769"/>
      <c r="H1" s="2769"/>
      <c r="I1" s="2769"/>
      <c r="J1" s="2769"/>
      <c r="K1" s="2769"/>
      <c r="L1" s="2769"/>
      <c r="M1" s="2769"/>
      <c r="N1" s="2769"/>
      <c r="O1" s="2769"/>
      <c r="P1" s="2769"/>
      <c r="Q1" s="2769"/>
      <c r="R1" s="2769"/>
      <c r="S1" s="2769"/>
      <c r="T1" s="2769"/>
      <c r="U1" s="2769"/>
      <c r="V1" s="2769"/>
      <c r="W1" s="2769"/>
      <c r="X1" s="2769"/>
      <c r="Y1" s="2769"/>
      <c r="Z1" s="2769"/>
      <c r="AA1" s="2769"/>
      <c r="AB1" s="2524"/>
      <c r="AC1" s="2524"/>
      <c r="AD1" s="2524"/>
      <c r="AE1" s="2524"/>
    </row>
    <row r="2" spans="1:135" s="2525" customFormat="1" ht="24.95" customHeight="1">
      <c r="B2" s="2526" t="str">
        <f>INDEX(dms_TradingNameFull_List,MATCH(dms_TradingName,dms_TradingName_List))</f>
        <v>AusNet Gas Services</v>
      </c>
      <c r="C2" s="2526"/>
      <c r="D2" s="2526"/>
      <c r="E2" s="2526"/>
      <c r="F2" s="2526"/>
      <c r="G2" s="2526"/>
      <c r="H2" s="2526"/>
      <c r="I2" s="2526"/>
      <c r="J2" s="2526"/>
      <c r="K2" s="2526"/>
      <c r="L2" s="2526"/>
      <c r="M2" s="2526"/>
      <c r="N2" s="2526"/>
      <c r="O2" s="2526"/>
      <c r="P2" s="2526"/>
      <c r="Q2" s="2526"/>
      <c r="R2" s="2526"/>
      <c r="S2" s="2526"/>
      <c r="T2" s="2526"/>
      <c r="U2" s="2526"/>
      <c r="V2" s="2526"/>
      <c r="W2" s="2526"/>
      <c r="X2" s="2526"/>
      <c r="Y2" s="2526"/>
      <c r="Z2" s="2526"/>
      <c r="AA2" s="2526"/>
      <c r="AB2" s="2524"/>
      <c r="AC2" s="2524"/>
      <c r="AD2" s="2524"/>
      <c r="AE2" s="2524"/>
    </row>
    <row r="3" spans="1:135" s="2525" customFormat="1" ht="24.95" customHeight="1">
      <c r="B3" s="2526" t="str">
        <f ca="1">IF(SUM(dms_SingleYear_Model)&gt;0,CRY,CONCATENATE(FRCP_y1," to ",dms_MultiYear_FinalYear_Result))</f>
        <v>2018 to 2022</v>
      </c>
      <c r="C3" s="2528"/>
      <c r="D3" s="2528"/>
      <c r="E3" s="2528"/>
      <c r="F3" s="2528"/>
      <c r="G3" s="2528"/>
      <c r="H3" s="2528"/>
      <c r="I3" s="2528"/>
      <c r="J3" s="2528"/>
      <c r="K3" s="2528"/>
      <c r="L3" s="2528"/>
      <c r="M3" s="2528"/>
      <c r="N3" s="2528"/>
      <c r="O3" s="2528"/>
      <c r="P3" s="2528"/>
      <c r="Q3" s="2528"/>
      <c r="R3" s="2528"/>
      <c r="S3" s="2528"/>
      <c r="T3" s="2528"/>
      <c r="U3" s="2528"/>
      <c r="V3" s="2528"/>
      <c r="W3" s="2528"/>
      <c r="X3" s="2528"/>
      <c r="Y3" s="2528"/>
      <c r="Z3" s="2528"/>
      <c r="AA3" s="2528"/>
      <c r="AB3" s="2524"/>
      <c r="AC3" s="2524"/>
      <c r="AD3" s="2524"/>
      <c r="AE3" s="2524"/>
    </row>
    <row r="4" spans="1:135" s="2525" customFormat="1" ht="24" customHeight="1">
      <c r="B4" s="2529" t="s">
        <v>1618</v>
      </c>
      <c r="C4" s="2770"/>
      <c r="D4" s="2770"/>
      <c r="E4" s="2770"/>
      <c r="F4" s="2770"/>
      <c r="G4" s="2770"/>
      <c r="H4" s="2770"/>
      <c r="I4" s="2770"/>
      <c r="J4" s="2770"/>
      <c r="K4" s="2770"/>
      <c r="L4" s="2770"/>
      <c r="M4" s="2770"/>
      <c r="N4" s="2770"/>
      <c r="O4" s="2770"/>
      <c r="P4" s="2770"/>
      <c r="Q4" s="2770"/>
      <c r="R4" s="2770"/>
      <c r="S4" s="2770"/>
      <c r="T4" s="2770"/>
      <c r="U4" s="2770"/>
      <c r="V4" s="2770"/>
      <c r="W4" s="2770"/>
      <c r="X4" s="2770"/>
      <c r="Y4" s="2770"/>
      <c r="Z4" s="2770"/>
      <c r="AA4" s="2770"/>
      <c r="AB4" s="2524"/>
      <c r="AC4" s="2524"/>
      <c r="AD4" s="2524"/>
      <c r="AE4" s="2524"/>
    </row>
    <row r="5" spans="1:135">
      <c r="A5" s="360"/>
      <c r="B5" s="2771"/>
      <c r="C5" s="2771"/>
      <c r="D5" s="2771"/>
      <c r="E5" s="2771"/>
      <c r="F5" s="2771"/>
      <c r="G5" s="2771"/>
      <c r="H5" s="2771"/>
      <c r="I5" s="2771"/>
      <c r="J5" s="2771"/>
      <c r="K5" s="2771"/>
      <c r="L5" s="2771"/>
      <c r="M5" s="2771"/>
      <c r="N5" s="2771"/>
      <c r="O5" s="2771"/>
      <c r="P5" s="2771"/>
      <c r="Q5" s="2771"/>
      <c r="R5" s="2771"/>
      <c r="S5" s="2771"/>
      <c r="T5" s="2771"/>
      <c r="U5" s="2771"/>
      <c r="V5" s="2771"/>
      <c r="W5" s="2771"/>
      <c r="X5" s="2771"/>
      <c r="Y5" s="2771"/>
      <c r="Z5" s="2771"/>
      <c r="AA5" s="2771"/>
    </row>
    <row r="6" spans="1:135">
      <c r="A6" s="2771"/>
      <c r="B6" s="2771"/>
      <c r="C6" s="2771"/>
      <c r="D6" s="2771"/>
      <c r="E6" s="2771"/>
      <c r="F6" s="2771"/>
      <c r="G6" s="2771"/>
      <c r="H6" s="2771"/>
      <c r="I6" s="2771"/>
      <c r="J6" s="2771"/>
      <c r="K6" s="2771"/>
      <c r="L6" s="2771"/>
      <c r="M6" s="2771"/>
      <c r="N6" s="2771"/>
      <c r="O6" s="2771"/>
      <c r="P6" s="2771"/>
      <c r="Q6" s="2771"/>
      <c r="R6" s="2771"/>
      <c r="S6" s="2771"/>
      <c r="T6" s="2771"/>
      <c r="U6" s="2771"/>
      <c r="V6" s="2771"/>
      <c r="W6" s="2771"/>
      <c r="X6" s="2771"/>
      <c r="Y6" s="2771"/>
      <c r="Z6" s="2771"/>
      <c r="AA6" s="2771"/>
    </row>
    <row r="7" spans="1:135">
      <c r="A7" s="2771"/>
      <c r="B7" s="4573" t="s">
        <v>59</v>
      </c>
      <c r="C7" s="4573"/>
      <c r="D7" s="4573"/>
      <c r="E7" s="4573"/>
      <c r="F7" s="4573"/>
      <c r="G7" s="4573"/>
      <c r="H7" s="2771"/>
      <c r="I7" s="2771"/>
      <c r="J7" s="2771"/>
      <c r="K7" s="2771"/>
      <c r="L7" s="2771"/>
      <c r="M7" s="2771"/>
      <c r="N7" s="2771"/>
      <c r="O7" s="2771"/>
      <c r="P7" s="2771"/>
      <c r="Q7" s="2771"/>
      <c r="R7" s="2771"/>
      <c r="S7" s="2771"/>
      <c r="T7" s="2771"/>
      <c r="U7" s="2771"/>
      <c r="V7" s="2771"/>
      <c r="W7" s="2771"/>
      <c r="X7" s="2771"/>
      <c r="Y7" s="2771"/>
      <c r="Z7" s="2771"/>
      <c r="AA7" s="2771"/>
    </row>
    <row r="8" spans="1:135">
      <c r="A8" s="2771"/>
      <c r="B8" s="4574" t="s">
        <v>226</v>
      </c>
      <c r="C8" s="4574"/>
      <c r="D8" s="4574"/>
      <c r="E8" s="4574"/>
      <c r="F8" s="4574"/>
      <c r="G8" s="4574"/>
      <c r="H8" s="2771"/>
      <c r="I8" s="2771"/>
      <c r="J8" s="2771"/>
      <c r="K8" s="2771"/>
      <c r="L8" s="2771"/>
      <c r="M8" s="2771"/>
      <c r="N8" s="2771"/>
      <c r="O8" s="2771"/>
      <c r="P8" s="2771"/>
      <c r="Q8" s="2771"/>
      <c r="R8" s="2771"/>
      <c r="S8" s="2771"/>
      <c r="T8" s="2771"/>
      <c r="U8" s="2771"/>
      <c r="V8" s="2771"/>
      <c r="W8" s="2771"/>
      <c r="X8" s="2771"/>
      <c r="Y8" s="2771"/>
      <c r="Z8" s="2771"/>
      <c r="AA8" s="2771"/>
    </row>
    <row r="9" spans="1:135" ht="29.25" customHeight="1">
      <c r="A9" s="2771"/>
      <c r="B9" s="4574" t="s">
        <v>475</v>
      </c>
      <c r="C9" s="4574"/>
      <c r="D9" s="4574"/>
      <c r="E9" s="4574"/>
      <c r="F9" s="4574"/>
      <c r="G9" s="4574"/>
      <c r="H9" s="2771"/>
      <c r="I9" s="2771"/>
      <c r="J9" s="2771"/>
      <c r="K9" s="2771"/>
      <c r="L9" s="2771"/>
      <c r="M9" s="2771"/>
      <c r="N9" s="2771"/>
      <c r="O9" s="2771"/>
      <c r="P9" s="2771"/>
      <c r="Q9" s="2771"/>
      <c r="R9" s="2771"/>
      <c r="S9" s="2771"/>
      <c r="T9" s="2771"/>
      <c r="U9" s="2771"/>
      <c r="V9" s="2771"/>
      <c r="W9" s="2771"/>
      <c r="X9" s="2771"/>
      <c r="Y9" s="2771"/>
      <c r="Z9" s="2771"/>
      <c r="AA9" s="2771"/>
    </row>
    <row r="10" spans="1:135" ht="27" customHeight="1">
      <c r="A10" s="2771"/>
      <c r="B10" s="4575" t="s">
        <v>387</v>
      </c>
      <c r="C10" s="4576"/>
      <c r="D10" s="4576"/>
      <c r="E10" s="4576"/>
      <c r="F10" s="4576"/>
      <c r="G10" s="4576"/>
      <c r="H10" s="2771"/>
      <c r="I10" s="2771"/>
      <c r="J10" s="2771"/>
      <c r="K10" s="2771"/>
      <c r="L10" s="2771"/>
      <c r="M10" s="2771"/>
      <c r="N10" s="2771"/>
      <c r="O10" s="2771"/>
      <c r="P10" s="2771"/>
      <c r="Q10" s="2771"/>
      <c r="R10" s="2771"/>
      <c r="S10" s="2771"/>
      <c r="T10" s="2771"/>
      <c r="U10" s="2771"/>
      <c r="V10" s="2771"/>
      <c r="W10" s="2771"/>
      <c r="X10" s="2771"/>
      <c r="Y10" s="2771"/>
      <c r="Z10" s="2771"/>
      <c r="AA10" s="2771"/>
    </row>
    <row r="11" spans="1:135" ht="35.25" customHeight="1">
      <c r="A11" s="2771"/>
      <c r="C11" s="2771"/>
      <c r="D11" s="2771"/>
      <c r="E11" s="2771"/>
      <c r="F11" s="2771"/>
      <c r="G11" s="2771"/>
      <c r="H11" s="2771"/>
      <c r="I11" s="2771"/>
      <c r="J11" s="2771"/>
      <c r="K11" s="2771"/>
      <c r="L11" s="2771"/>
      <c r="M11" s="2771"/>
      <c r="N11" s="2771"/>
      <c r="O11" s="2771"/>
      <c r="P11" s="2771"/>
      <c r="Q11" s="2771"/>
      <c r="R11" s="2771"/>
      <c r="S11" s="2771"/>
      <c r="T11" s="2771"/>
      <c r="U11" s="2771"/>
      <c r="V11" s="2771"/>
      <c r="W11" s="2771"/>
      <c r="X11" s="2771"/>
      <c r="Y11" s="2771"/>
      <c r="Z11" s="2771"/>
      <c r="AA11" s="2771"/>
    </row>
    <row r="12" spans="1:135">
      <c r="A12" s="2771"/>
      <c r="B12" s="3083" t="s">
        <v>247</v>
      </c>
      <c r="C12" s="2771"/>
      <c r="D12" s="2771"/>
      <c r="E12" s="2771"/>
      <c r="F12" s="2771"/>
      <c r="G12" s="2771"/>
      <c r="H12" s="2771"/>
      <c r="I12" s="2771"/>
      <c r="J12" s="2771"/>
      <c r="K12" s="2771"/>
      <c r="L12" s="2771"/>
      <c r="M12" s="2771"/>
      <c r="N12" s="2771"/>
      <c r="O12" s="2771"/>
      <c r="P12" s="2771"/>
      <c r="Q12" s="2771"/>
      <c r="R12" s="2771"/>
      <c r="S12" s="2771"/>
      <c r="T12" s="2771"/>
      <c r="U12" s="2771"/>
      <c r="V12" s="2771"/>
      <c r="W12" s="2771"/>
      <c r="X12" s="2771"/>
      <c r="Y12" s="2771"/>
      <c r="Z12" s="2771"/>
      <c r="AA12" s="2771"/>
    </row>
    <row r="13" spans="1:135" ht="24.75" customHeight="1">
      <c r="A13" s="2771"/>
      <c r="B13" s="3016" t="s">
        <v>1619</v>
      </c>
      <c r="C13" s="2771"/>
      <c r="D13" s="2771"/>
      <c r="E13" s="2771"/>
      <c r="F13" s="2771"/>
      <c r="G13" s="2771"/>
      <c r="H13" s="2771"/>
      <c r="I13" s="2771"/>
      <c r="J13" s="2771"/>
      <c r="K13" s="2771"/>
      <c r="L13" s="2771"/>
      <c r="M13" s="2771"/>
      <c r="N13" s="2771"/>
      <c r="O13" s="2771"/>
      <c r="P13" s="2771"/>
      <c r="Q13" s="2771"/>
      <c r="R13" s="2771"/>
      <c r="S13" s="2771"/>
      <c r="T13" s="2771"/>
      <c r="U13" s="2771"/>
      <c r="V13" s="2771"/>
      <c r="W13" s="2771"/>
      <c r="X13" s="2771"/>
      <c r="Y13" s="2771"/>
      <c r="Z13" s="2771"/>
      <c r="AA13" s="2771"/>
    </row>
    <row r="14" spans="1:135" ht="32.25" customHeight="1">
      <c r="A14" s="2771"/>
      <c r="C14" s="2771"/>
      <c r="D14" s="2771"/>
      <c r="E14" s="2771"/>
      <c r="F14" s="2771"/>
      <c r="G14" s="2771"/>
      <c r="H14" s="2771"/>
      <c r="I14" s="2771"/>
      <c r="J14" s="2771"/>
      <c r="K14" s="2771"/>
      <c r="L14" s="2771"/>
      <c r="M14" s="2771"/>
      <c r="N14" s="2771"/>
      <c r="O14" s="2771"/>
      <c r="P14" s="2771"/>
      <c r="Q14" s="2771"/>
      <c r="R14" s="2771"/>
      <c r="S14" s="2771"/>
      <c r="T14" s="2771"/>
      <c r="U14" s="2771"/>
      <c r="V14" s="2771"/>
      <c r="W14" s="2771"/>
      <c r="X14" s="2771"/>
      <c r="Y14" s="2771"/>
      <c r="Z14" s="2771"/>
      <c r="AA14" s="2771"/>
    </row>
    <row r="15" spans="1:135" ht="13.5" thickBot="1">
      <c r="A15" s="2771"/>
    </row>
    <row r="16" spans="1:135" s="3019" customFormat="1" ht="18.75" customHeight="1" thickBot="1">
      <c r="A16" s="3013"/>
      <c r="B16" s="2884" t="s">
        <v>1620</v>
      </c>
      <c r="C16" s="3084"/>
      <c r="D16" s="3085"/>
      <c r="E16" s="3085"/>
      <c r="F16" s="3085"/>
      <c r="G16" s="3085"/>
      <c r="H16" s="3085"/>
      <c r="I16" s="3085"/>
      <c r="J16" s="3085"/>
      <c r="K16" s="3085"/>
      <c r="L16" s="3085"/>
      <c r="M16" s="3085"/>
      <c r="N16" s="3085"/>
      <c r="O16" s="3085"/>
      <c r="P16" s="3085"/>
      <c r="Q16" s="3085"/>
      <c r="R16" s="3085"/>
      <c r="S16" s="3085"/>
      <c r="T16" s="3085"/>
      <c r="U16" s="3085"/>
      <c r="V16" s="3085"/>
      <c r="W16" s="3085"/>
      <c r="X16" s="3085"/>
      <c r="Y16" s="3085"/>
      <c r="Z16" s="3085"/>
      <c r="AA16" s="3085"/>
      <c r="AB16" s="3086"/>
      <c r="AC16" s="2524"/>
      <c r="AD16" s="2524"/>
      <c r="AE16" s="2524"/>
      <c r="AF16" s="2524"/>
      <c r="DF16" s="2524"/>
      <c r="DG16" s="2524"/>
      <c r="DH16" s="2524"/>
      <c r="DI16" s="2524"/>
      <c r="DJ16" s="2524"/>
      <c r="DK16" s="2524"/>
      <c r="DL16" s="2524"/>
      <c r="DM16" s="2524"/>
      <c r="DN16" s="2524"/>
      <c r="DO16" s="2524"/>
      <c r="DP16" s="2524"/>
      <c r="DQ16" s="2524"/>
      <c r="DR16" s="2524"/>
      <c r="DS16" s="2524"/>
      <c r="DT16" s="2524"/>
      <c r="DU16" s="2524"/>
      <c r="DV16" s="2524"/>
      <c r="DW16" s="2524"/>
      <c r="DX16" s="2524"/>
      <c r="DY16" s="2524"/>
      <c r="DZ16" s="2524"/>
      <c r="EA16" s="2524"/>
      <c r="EB16" s="2524"/>
      <c r="EC16" s="2524"/>
      <c r="ED16" s="2524"/>
      <c r="EE16" s="2524"/>
    </row>
    <row r="17" spans="1:135" ht="20.25" customHeight="1">
      <c r="A17" s="2771"/>
      <c r="B17" s="4577"/>
      <c r="C17" s="4578"/>
      <c r="D17" s="4583" t="s">
        <v>37</v>
      </c>
      <c r="E17" s="4584"/>
      <c r="F17" s="4584"/>
      <c r="G17" s="4584"/>
      <c r="H17" s="4584"/>
      <c r="I17" s="4585" t="s">
        <v>73</v>
      </c>
      <c r="J17" s="4585"/>
      <c r="K17" s="4585"/>
      <c r="L17" s="4585"/>
      <c r="M17" s="4585"/>
      <c r="N17" s="4586" t="s">
        <v>249</v>
      </c>
      <c r="O17" s="4586"/>
      <c r="P17" s="4586"/>
      <c r="Q17" s="4586"/>
      <c r="R17" s="4586"/>
      <c r="S17" s="4586"/>
      <c r="T17" s="4586"/>
      <c r="U17" s="4586"/>
      <c r="V17" s="4586"/>
      <c r="W17" s="4586"/>
      <c r="X17" s="4586"/>
      <c r="Y17" s="4586"/>
      <c r="Z17" s="4586"/>
      <c r="AA17" s="4586"/>
      <c r="AB17" s="4587"/>
    </row>
    <row r="18" spans="1:135" ht="20.25" customHeight="1">
      <c r="A18" s="2771"/>
      <c r="B18" s="4579"/>
      <c r="C18" s="4580"/>
      <c r="D18" s="4588" t="s">
        <v>337</v>
      </c>
      <c r="E18" s="4589"/>
      <c r="F18" s="4589"/>
      <c r="G18" s="4589"/>
      <c r="H18" s="4589"/>
      <c r="I18" s="4589"/>
      <c r="J18" s="4589"/>
      <c r="K18" s="4589"/>
      <c r="L18" s="4589"/>
      <c r="M18" s="4589"/>
      <c r="N18" s="4589"/>
      <c r="O18" s="4589"/>
      <c r="P18" s="4589"/>
      <c r="Q18" s="4589"/>
      <c r="R18" s="4589"/>
      <c r="S18" s="4589"/>
      <c r="T18" s="4589"/>
      <c r="U18" s="4589"/>
      <c r="V18" s="4589"/>
      <c r="W18" s="4589"/>
      <c r="X18" s="4589"/>
      <c r="Y18" s="4589"/>
      <c r="Z18" s="4589"/>
      <c r="AA18" s="4589"/>
      <c r="AB18" s="4590"/>
    </row>
    <row r="19" spans="1:135" ht="20.25" customHeight="1">
      <c r="A19" s="2771"/>
      <c r="B19" s="4579"/>
      <c r="C19" s="4580"/>
      <c r="D19" s="4588" t="s">
        <v>54</v>
      </c>
      <c r="E19" s="4589"/>
      <c r="F19" s="4591"/>
      <c r="G19" s="4592" t="s">
        <v>377</v>
      </c>
      <c r="H19" s="4593"/>
      <c r="I19" s="4593"/>
      <c r="J19" s="4593"/>
      <c r="K19" s="4593"/>
      <c r="L19" s="4593"/>
      <c r="M19" s="4593"/>
      <c r="N19" s="4593"/>
      <c r="O19" s="4593"/>
      <c r="P19" s="4593"/>
      <c r="Q19" s="4593"/>
      <c r="R19" s="4593"/>
      <c r="S19" s="4593"/>
      <c r="T19" s="4593"/>
      <c r="U19" s="4593"/>
      <c r="V19" s="4593"/>
      <c r="W19" s="4593"/>
      <c r="X19" s="4593"/>
      <c r="Y19" s="4593"/>
      <c r="Z19" s="4593"/>
      <c r="AA19" s="4593"/>
      <c r="AB19" s="4594"/>
    </row>
    <row r="20" spans="1:135" ht="20.25" customHeight="1" thickBot="1">
      <c r="A20" s="2771"/>
      <c r="B20" s="4581"/>
      <c r="C20" s="4582"/>
      <c r="D20" s="3017">
        <f>CRCP_y1</f>
        <v>2013</v>
      </c>
      <c r="E20" s="3017">
        <f>CRCP_y2</f>
        <v>2014</v>
      </c>
      <c r="F20" s="3017">
        <f>CRCP_y3</f>
        <v>2015</v>
      </c>
      <c r="G20" s="3017">
        <f>CRCP_y4</f>
        <v>2016</v>
      </c>
      <c r="H20" s="3017">
        <f>CRCP_y5</f>
        <v>2017</v>
      </c>
      <c r="I20" s="2908" t="str">
        <f>CONCATENATE(IF(dms_RPT="Calendar",H20+1,(LEFT(H20,4)+1&amp;"-"&amp;IF(MID(H20,6,2)&lt;"09","0"&amp;RIGHT(H20,1)+1,RIGHT(H20,2)+1))))</f>
        <v>2018</v>
      </c>
      <c r="J20" s="2908" t="str">
        <f t="shared" ref="J20:AB20" si="0">CONCATENATE(IF(dms_RPT="Calendar",I20+1,(LEFT(I20,4)+1&amp;"-"&amp;IF(MID(I20,6,2)&lt;"09","0"&amp;RIGHT(I20,1)+1,RIGHT(I20,2)+1))))</f>
        <v>2019</v>
      </c>
      <c r="K20" s="2908" t="str">
        <f t="shared" si="0"/>
        <v>2020</v>
      </c>
      <c r="L20" s="2908" t="str">
        <f t="shared" si="0"/>
        <v>2021</v>
      </c>
      <c r="M20" s="2908" t="str">
        <f t="shared" si="0"/>
        <v>2022</v>
      </c>
      <c r="N20" s="3017" t="str">
        <f t="shared" si="0"/>
        <v>2023</v>
      </c>
      <c r="O20" s="3017" t="str">
        <f t="shared" si="0"/>
        <v>2024</v>
      </c>
      <c r="P20" s="3017" t="str">
        <f t="shared" si="0"/>
        <v>2025</v>
      </c>
      <c r="Q20" s="3017" t="str">
        <f t="shared" si="0"/>
        <v>2026</v>
      </c>
      <c r="R20" s="3017" t="str">
        <f t="shared" si="0"/>
        <v>2027</v>
      </c>
      <c r="S20" s="3017" t="str">
        <f t="shared" si="0"/>
        <v>2028</v>
      </c>
      <c r="T20" s="3017" t="str">
        <f t="shared" si="0"/>
        <v>2029</v>
      </c>
      <c r="U20" s="3017" t="str">
        <f t="shared" si="0"/>
        <v>2030</v>
      </c>
      <c r="V20" s="3017" t="str">
        <f t="shared" si="0"/>
        <v>2031</v>
      </c>
      <c r="W20" s="3017" t="str">
        <f t="shared" si="0"/>
        <v>2032</v>
      </c>
      <c r="X20" s="3017" t="str">
        <f t="shared" si="0"/>
        <v>2033</v>
      </c>
      <c r="Y20" s="3017" t="str">
        <f t="shared" si="0"/>
        <v>2034</v>
      </c>
      <c r="Z20" s="3017" t="str">
        <f t="shared" si="0"/>
        <v>2035</v>
      </c>
      <c r="AA20" s="3017" t="str">
        <f t="shared" si="0"/>
        <v>2036</v>
      </c>
      <c r="AB20" s="3017" t="str">
        <f t="shared" si="0"/>
        <v>2037</v>
      </c>
    </row>
    <row r="21" spans="1:135" s="3019" customFormat="1" ht="18.75" customHeight="1" thickBot="1">
      <c r="A21" s="3013"/>
      <c r="B21" s="3087" t="s">
        <v>1621</v>
      </c>
      <c r="C21" s="3088"/>
      <c r="D21" s="3088"/>
      <c r="E21" s="3088"/>
      <c r="F21" s="3088"/>
      <c r="G21" s="3088"/>
      <c r="H21" s="3088"/>
      <c r="I21" s="3088"/>
      <c r="J21" s="3088"/>
      <c r="K21" s="3088"/>
      <c r="L21" s="3088"/>
      <c r="M21" s="3088"/>
      <c r="N21" s="3088"/>
      <c r="O21" s="3088"/>
      <c r="P21" s="3088"/>
      <c r="Q21" s="3088"/>
      <c r="R21" s="3088"/>
      <c r="S21" s="3088"/>
      <c r="T21" s="3088"/>
      <c r="U21" s="3088"/>
      <c r="V21" s="3088"/>
      <c r="W21" s="3088"/>
      <c r="X21" s="3088"/>
      <c r="Y21" s="3088"/>
      <c r="Z21" s="3088"/>
      <c r="AA21" s="3088"/>
      <c r="AB21" s="3089"/>
      <c r="AC21" s="2524"/>
      <c r="AD21" s="2524"/>
      <c r="AE21" s="2524"/>
      <c r="AF21" s="2524"/>
      <c r="DF21" s="2524"/>
      <c r="DG21" s="2524"/>
      <c r="DH21" s="2524"/>
      <c r="DI21" s="2524"/>
      <c r="DJ21" s="2524"/>
      <c r="DK21" s="2524"/>
      <c r="DL21" s="2524"/>
      <c r="DM21" s="2524"/>
      <c r="DN21" s="2524"/>
      <c r="DO21" s="2524"/>
      <c r="DP21" s="2524"/>
      <c r="DQ21" s="2524"/>
      <c r="DR21" s="2524"/>
      <c r="DS21" s="2524"/>
      <c r="DT21" s="2524"/>
      <c r="DU21" s="2524"/>
      <c r="DV21" s="2524"/>
      <c r="DW21" s="2524"/>
      <c r="DX21" s="2524"/>
      <c r="DY21" s="2524"/>
      <c r="DZ21" s="2524"/>
      <c r="EA21" s="2524"/>
      <c r="EB21" s="2524"/>
      <c r="EC21" s="2524"/>
      <c r="ED21" s="2524"/>
      <c r="EE21" s="2524"/>
    </row>
    <row r="22" spans="1:135" s="3096" customFormat="1" ht="25.5" customHeight="1">
      <c r="A22" s="3090"/>
      <c r="B22" s="3091" t="s">
        <v>1622</v>
      </c>
      <c r="C22" s="3092"/>
      <c r="D22" s="3093"/>
      <c r="E22" s="3093"/>
      <c r="F22" s="3093"/>
      <c r="G22" s="3093"/>
      <c r="H22" s="3093"/>
      <c r="I22" s="3093"/>
      <c r="J22" s="3093"/>
      <c r="K22" s="3093"/>
      <c r="L22" s="3093"/>
      <c r="M22" s="3093"/>
      <c r="N22" s="3093"/>
      <c r="O22" s="3093"/>
      <c r="P22" s="3093"/>
      <c r="Q22" s="3093"/>
      <c r="R22" s="3093"/>
      <c r="S22" s="3093"/>
      <c r="T22" s="3093"/>
      <c r="U22" s="3093"/>
      <c r="V22" s="3093"/>
      <c r="W22" s="3093"/>
      <c r="X22" s="3093"/>
      <c r="Y22" s="3093"/>
      <c r="Z22" s="3093"/>
      <c r="AA22" s="3093"/>
      <c r="AB22" s="3094"/>
      <c r="AC22" s="3095"/>
      <c r="AD22" s="3095"/>
      <c r="AE22" s="3095"/>
      <c r="AF22" s="3095"/>
      <c r="DF22" s="3095"/>
      <c r="DG22" s="3095"/>
      <c r="DH22" s="3095"/>
      <c r="DI22" s="3095"/>
      <c r="DJ22" s="3095"/>
      <c r="DK22" s="3095"/>
      <c r="DL22" s="3095"/>
      <c r="DM22" s="3095"/>
      <c r="DN22" s="3095"/>
      <c r="DO22" s="3095"/>
      <c r="DP22" s="3095"/>
      <c r="DQ22" s="3095"/>
      <c r="DR22" s="3095"/>
      <c r="DS22" s="3095"/>
      <c r="DT22" s="3095"/>
      <c r="DU22" s="3095"/>
      <c r="DV22" s="3095"/>
      <c r="DW22" s="3095"/>
      <c r="DX22" s="3095"/>
      <c r="DY22" s="3095"/>
      <c r="DZ22" s="3095"/>
      <c r="EA22" s="3095"/>
      <c r="EB22" s="3095"/>
      <c r="EC22" s="3095"/>
      <c r="ED22" s="3095"/>
      <c r="EE22" s="3095"/>
    </row>
    <row r="23" spans="1:135" s="3019" customFormat="1">
      <c r="A23" s="3013"/>
      <c r="B23" s="4570" t="s">
        <v>1623</v>
      </c>
      <c r="C23" s="3097" t="s">
        <v>713</v>
      </c>
      <c r="D23" s="3063"/>
      <c r="E23" s="463">
        <f>D24</f>
        <v>0</v>
      </c>
      <c r="F23" s="463">
        <f t="shared" ref="F23:AB23" si="1">E24</f>
        <v>0</v>
      </c>
      <c r="G23" s="463">
        <f>E24</f>
        <v>0</v>
      </c>
      <c r="H23" s="1190">
        <f>F24</f>
        <v>0</v>
      </c>
      <c r="I23" s="462">
        <f t="shared" si="1"/>
        <v>148.27117166204982</v>
      </c>
      <c r="J23" s="463">
        <f t="shared" si="1"/>
        <v>259.47455040858722</v>
      </c>
      <c r="K23" s="463">
        <f t="shared" si="1"/>
        <v>342.87708446849024</v>
      </c>
      <c r="L23" s="463">
        <f t="shared" si="1"/>
        <v>405.4289850134175</v>
      </c>
      <c r="M23" s="464">
        <f t="shared" si="1"/>
        <v>452.34291042211294</v>
      </c>
      <c r="N23" s="513">
        <f t="shared" si="1"/>
        <v>487.52835447863453</v>
      </c>
      <c r="O23" s="463">
        <f t="shared" si="1"/>
        <v>514.22513182238458</v>
      </c>
      <c r="P23" s="463">
        <f t="shared" si="1"/>
        <v>534.24771483019708</v>
      </c>
      <c r="Q23" s="463">
        <f t="shared" si="1"/>
        <v>549.26465208605646</v>
      </c>
      <c r="R23" s="463">
        <f t="shared" si="1"/>
        <v>560.52735502795099</v>
      </c>
      <c r="S23" s="463">
        <f t="shared" si="1"/>
        <v>568.97438223437189</v>
      </c>
      <c r="T23" s="463">
        <f t="shared" si="1"/>
        <v>575.30965263918756</v>
      </c>
      <c r="U23" s="463">
        <f t="shared" si="1"/>
        <v>580.06110544279932</v>
      </c>
      <c r="V23" s="463">
        <f t="shared" si="1"/>
        <v>583.62469504550813</v>
      </c>
      <c r="W23" s="463">
        <f t="shared" si="1"/>
        <v>586.29738724753975</v>
      </c>
      <c r="X23" s="463">
        <f t="shared" si="1"/>
        <v>588.30190639906345</v>
      </c>
      <c r="Y23" s="463">
        <f t="shared" si="1"/>
        <v>589.80529576270624</v>
      </c>
      <c r="Z23" s="463">
        <f t="shared" si="1"/>
        <v>590.93283778543832</v>
      </c>
      <c r="AA23" s="463">
        <f t="shared" si="1"/>
        <v>591.77849430248739</v>
      </c>
      <c r="AB23" s="464">
        <f t="shared" si="1"/>
        <v>592.41273669027419</v>
      </c>
      <c r="AC23" s="2524"/>
      <c r="AD23" s="2524"/>
      <c r="AE23" s="2524"/>
      <c r="AF23" s="2524"/>
    </row>
    <row r="24" spans="1:135" s="3019" customFormat="1">
      <c r="A24" s="3013"/>
      <c r="B24" s="4571"/>
      <c r="C24" s="3097" t="s">
        <v>714</v>
      </c>
      <c r="D24" s="3063"/>
      <c r="E24" s="3064"/>
      <c r="F24" s="3064"/>
      <c r="G24" s="3064"/>
      <c r="H24" s="625">
        <f>+'[13]Calc - residential CNs'!Q44</f>
        <v>148.27117166204982</v>
      </c>
      <c r="I24" s="459">
        <f>+'[13]Calc - residential CNs'!R44</f>
        <v>259.47455040858722</v>
      </c>
      <c r="J24" s="458">
        <f>+'[13]Calc - residential CNs'!S44</f>
        <v>342.87708446849024</v>
      </c>
      <c r="K24" s="458">
        <f>+'[13]Calc - residential CNs'!T44</f>
        <v>405.4289850134175</v>
      </c>
      <c r="L24" s="458">
        <f>+'[13]Calc - residential CNs'!U44</f>
        <v>452.34291042211294</v>
      </c>
      <c r="M24" s="460">
        <f>+'[13]Calc - residential CNs'!V44</f>
        <v>487.52835447863453</v>
      </c>
      <c r="N24" s="413">
        <f>N23+('[13]Calc - residential CNs'!$Y$255-N23-$AB$36)*0.25</f>
        <v>514.22513182238458</v>
      </c>
      <c r="O24" s="413">
        <f>O23+('[13]Calc - residential CNs'!$Y$255-O23-$AB$36)*0.25</f>
        <v>534.24771483019708</v>
      </c>
      <c r="P24" s="413">
        <f>P23+('[13]Calc - residential CNs'!$Y$255-P23-$AB$36)*0.25</f>
        <v>549.26465208605646</v>
      </c>
      <c r="Q24" s="413">
        <f>Q23+('[13]Calc - residential CNs'!$Y$255-Q23-$AB$36)*0.25</f>
        <v>560.52735502795099</v>
      </c>
      <c r="R24" s="413">
        <f>R23+('[13]Calc - residential CNs'!$Y$255-R23-$AB$36)*0.25</f>
        <v>568.97438223437189</v>
      </c>
      <c r="S24" s="413">
        <f>S23+('[13]Calc - residential CNs'!$Y$255-S23-$AB$36)*0.25</f>
        <v>575.30965263918756</v>
      </c>
      <c r="T24" s="413">
        <f>T23+('[13]Calc - residential CNs'!$Y$255-T23-$AB$36)*0.25</f>
        <v>580.06110544279932</v>
      </c>
      <c r="U24" s="413">
        <f>U23+('[13]Calc - residential CNs'!$Y$255-U23-$AB$36)*0.25</f>
        <v>583.62469504550813</v>
      </c>
      <c r="V24" s="413">
        <f>V23+('[13]Calc - residential CNs'!$Y$255-V23-$AB$36)*0.25</f>
        <v>586.29738724753975</v>
      </c>
      <c r="W24" s="413">
        <f>W23+('[13]Calc - residential CNs'!$Y$255-W23-$AB$36)*0.25</f>
        <v>588.30190639906345</v>
      </c>
      <c r="X24" s="413">
        <f>X23+('[13]Calc - residential CNs'!$Y$255-X23-$AB$36)*0.25</f>
        <v>589.80529576270624</v>
      </c>
      <c r="Y24" s="413">
        <f>Y23+('[13]Calc - residential CNs'!$Y$255-Y23-$AB$36)*0.25</f>
        <v>590.93283778543832</v>
      </c>
      <c r="Z24" s="413">
        <f>Z23+('[13]Calc - residential CNs'!$Y$255-Z23-$AB$36)*0.25</f>
        <v>591.77849430248739</v>
      </c>
      <c r="AA24" s="458">
        <f>AA23+('[13]Calc - residential CNs'!$Y$255-AA23-$AB$36)*0.25</f>
        <v>592.41273669027419</v>
      </c>
      <c r="AB24" s="460">
        <f>AB23+('[13]Calc - residential CNs'!$Y$255-AB23-$AB$36)*0.25</f>
        <v>592.88841848111429</v>
      </c>
      <c r="AC24" s="2524"/>
      <c r="AD24" s="2524"/>
      <c r="AE24" s="2524"/>
      <c r="AF24" s="2524"/>
    </row>
    <row r="25" spans="1:135" s="3019" customFormat="1">
      <c r="A25" s="3013"/>
      <c r="B25" s="4571"/>
      <c r="C25" s="3097" t="s">
        <v>68</v>
      </c>
      <c r="D25" s="462">
        <f t="shared" ref="D25:AB25" si="2">IF(ISERROR(AVERAGE(D23:D24)),0,AVERAGE(D23:D24))</f>
        <v>0</v>
      </c>
      <c r="E25" s="463">
        <f t="shared" si="2"/>
        <v>0</v>
      </c>
      <c r="F25" s="463">
        <f t="shared" si="2"/>
        <v>0</v>
      </c>
      <c r="G25" s="463">
        <f t="shared" si="2"/>
        <v>0</v>
      </c>
      <c r="H25" s="1190">
        <f t="shared" si="2"/>
        <v>74.135585831024912</v>
      </c>
      <c r="I25" s="462">
        <f t="shared" si="2"/>
        <v>203.87286103531852</v>
      </c>
      <c r="J25" s="463">
        <f t="shared" si="2"/>
        <v>301.17581743853873</v>
      </c>
      <c r="K25" s="463">
        <f t="shared" si="2"/>
        <v>374.1530347409539</v>
      </c>
      <c r="L25" s="463">
        <f t="shared" si="2"/>
        <v>428.88594771776525</v>
      </c>
      <c r="M25" s="464">
        <f t="shared" si="2"/>
        <v>469.93563245037376</v>
      </c>
      <c r="N25" s="513">
        <f t="shared" si="2"/>
        <v>500.87674315050958</v>
      </c>
      <c r="O25" s="463">
        <f t="shared" si="2"/>
        <v>524.23642332629083</v>
      </c>
      <c r="P25" s="463">
        <f t="shared" si="2"/>
        <v>541.75618345812677</v>
      </c>
      <c r="Q25" s="463">
        <f t="shared" si="2"/>
        <v>554.89600355700372</v>
      </c>
      <c r="R25" s="463">
        <f t="shared" si="2"/>
        <v>564.75086863116144</v>
      </c>
      <c r="S25" s="463">
        <f t="shared" si="2"/>
        <v>572.14201743677972</v>
      </c>
      <c r="T25" s="463">
        <f t="shared" si="2"/>
        <v>577.68537904099344</v>
      </c>
      <c r="U25" s="463">
        <f t="shared" si="2"/>
        <v>581.84290024415372</v>
      </c>
      <c r="V25" s="463">
        <f t="shared" si="2"/>
        <v>584.96104114652394</v>
      </c>
      <c r="W25" s="463">
        <f t="shared" si="2"/>
        <v>587.2996468233016</v>
      </c>
      <c r="X25" s="463">
        <f t="shared" si="2"/>
        <v>589.05360108088485</v>
      </c>
      <c r="Y25" s="463">
        <f t="shared" si="2"/>
        <v>590.36906677407228</v>
      </c>
      <c r="Z25" s="463">
        <f t="shared" si="2"/>
        <v>591.35566604396286</v>
      </c>
      <c r="AA25" s="463">
        <f t="shared" si="2"/>
        <v>592.09561549638079</v>
      </c>
      <c r="AB25" s="464">
        <f t="shared" si="2"/>
        <v>592.65057758569424</v>
      </c>
      <c r="AC25" s="2524"/>
      <c r="AD25" s="2524"/>
      <c r="AE25" s="2524"/>
      <c r="AF25" s="2524"/>
    </row>
    <row r="26" spans="1:135" s="3019" customFormat="1">
      <c r="A26" s="3013"/>
      <c r="B26" s="4571"/>
      <c r="C26" s="3097" t="s">
        <v>69</v>
      </c>
      <c r="D26" s="3063"/>
      <c r="E26" s="3064"/>
      <c r="F26" s="3064"/>
      <c r="G26" s="3064"/>
      <c r="H26" s="625">
        <f>+H24-H23+H27</f>
        <v>148.27117166204982</v>
      </c>
      <c r="I26" s="459">
        <f t="shared" ref="I26:AB26" si="3">+I24-I23+I27</f>
        <v>111.2033787465374</v>
      </c>
      <c r="J26" s="458">
        <f t="shared" si="3"/>
        <v>83.402534059903019</v>
      </c>
      <c r="K26" s="458">
        <f t="shared" si="3"/>
        <v>62.551900544927264</v>
      </c>
      <c r="L26" s="458">
        <f t="shared" si="3"/>
        <v>46.913925408695434</v>
      </c>
      <c r="M26" s="460">
        <f t="shared" si="3"/>
        <v>35.18544405652159</v>
      </c>
      <c r="N26" s="413">
        <f t="shared" si="3"/>
        <v>26.696777343750057</v>
      </c>
      <c r="O26" s="458">
        <f t="shared" si="3"/>
        <v>20.0225830078125</v>
      </c>
      <c r="P26" s="458">
        <f t="shared" si="3"/>
        <v>15.016937255859375</v>
      </c>
      <c r="Q26" s="458">
        <f t="shared" si="3"/>
        <v>11.262702941894531</v>
      </c>
      <c r="R26" s="458">
        <f t="shared" si="3"/>
        <v>8.4470272064208984</v>
      </c>
      <c r="S26" s="458">
        <f t="shared" si="3"/>
        <v>6.3352704048156738</v>
      </c>
      <c r="T26" s="458">
        <f t="shared" si="3"/>
        <v>4.7514528036117554</v>
      </c>
      <c r="U26" s="458">
        <f t="shared" si="3"/>
        <v>3.5635896027088165</v>
      </c>
      <c r="V26" s="458">
        <f t="shared" si="3"/>
        <v>2.6726922020316124</v>
      </c>
      <c r="W26" s="458">
        <f t="shared" si="3"/>
        <v>2.0045191515237093</v>
      </c>
      <c r="X26" s="458">
        <f t="shared" si="3"/>
        <v>1.503389363642782</v>
      </c>
      <c r="Y26" s="458">
        <f t="shared" si="3"/>
        <v>1.1275420227320865</v>
      </c>
      <c r="Z26" s="458">
        <f t="shared" si="3"/>
        <v>0.84565651704906486</v>
      </c>
      <c r="AA26" s="458">
        <f t="shared" si="3"/>
        <v>0.63424238778679864</v>
      </c>
      <c r="AB26" s="460">
        <f t="shared" si="3"/>
        <v>0.47568179084009898</v>
      </c>
      <c r="AC26" s="2524"/>
      <c r="AD26" s="2524"/>
      <c r="AE26" s="2524"/>
      <c r="AF26" s="2524"/>
    </row>
    <row r="27" spans="1:135" s="3019" customFormat="1" ht="13.5" thickBot="1">
      <c r="A27" s="3013"/>
      <c r="B27" s="4572"/>
      <c r="C27" s="3098" t="s">
        <v>58</v>
      </c>
      <c r="D27" s="3068"/>
      <c r="E27" s="3069"/>
      <c r="F27" s="3069"/>
      <c r="G27" s="3069"/>
      <c r="H27" s="3067">
        <v>0</v>
      </c>
      <c r="I27" s="3068">
        <v>0</v>
      </c>
      <c r="J27" s="3069">
        <v>0</v>
      </c>
      <c r="K27" s="3069">
        <v>0</v>
      </c>
      <c r="L27" s="3069">
        <v>0</v>
      </c>
      <c r="M27" s="3070">
        <v>0</v>
      </c>
      <c r="N27" s="1439">
        <v>0</v>
      </c>
      <c r="O27" s="411">
        <v>0</v>
      </c>
      <c r="P27" s="411">
        <v>0</v>
      </c>
      <c r="Q27" s="411">
        <v>0</v>
      </c>
      <c r="R27" s="411">
        <v>0</v>
      </c>
      <c r="S27" s="411">
        <v>0</v>
      </c>
      <c r="T27" s="411">
        <v>0</v>
      </c>
      <c r="U27" s="411">
        <v>0</v>
      </c>
      <c r="V27" s="411">
        <v>0</v>
      </c>
      <c r="W27" s="411">
        <v>0</v>
      </c>
      <c r="X27" s="411">
        <v>0</v>
      </c>
      <c r="Y27" s="411">
        <v>0</v>
      </c>
      <c r="Z27" s="411">
        <v>0</v>
      </c>
      <c r="AA27" s="411">
        <v>0</v>
      </c>
      <c r="AB27" s="570">
        <v>0</v>
      </c>
      <c r="AC27" s="2524"/>
      <c r="AD27" s="2524"/>
      <c r="AE27" s="2524"/>
      <c r="AF27" s="2524"/>
    </row>
    <row r="28" spans="1:135" s="3019" customFormat="1">
      <c r="A28" s="3013"/>
      <c r="B28" s="4599" t="s">
        <v>63</v>
      </c>
      <c r="C28" s="3099" t="s">
        <v>713</v>
      </c>
      <c r="D28" s="478">
        <f>+D23</f>
        <v>0</v>
      </c>
      <c r="E28" s="479">
        <f t="shared" ref="E28:AB28" si="4">+E23</f>
        <v>0</v>
      </c>
      <c r="F28" s="479">
        <f t="shared" si="4"/>
        <v>0</v>
      </c>
      <c r="G28" s="479">
        <f t="shared" si="4"/>
        <v>0</v>
      </c>
      <c r="H28" s="1200">
        <f t="shared" si="4"/>
        <v>0</v>
      </c>
      <c r="I28" s="478">
        <f t="shared" si="4"/>
        <v>148.27117166204982</v>
      </c>
      <c r="J28" s="479">
        <f t="shared" si="4"/>
        <v>259.47455040858722</v>
      </c>
      <c r="K28" s="479">
        <f t="shared" si="4"/>
        <v>342.87708446849024</v>
      </c>
      <c r="L28" s="479">
        <f t="shared" si="4"/>
        <v>405.4289850134175</v>
      </c>
      <c r="M28" s="425">
        <f t="shared" si="4"/>
        <v>452.34291042211294</v>
      </c>
      <c r="N28" s="1039">
        <f t="shared" si="4"/>
        <v>487.52835447863453</v>
      </c>
      <c r="O28" s="479">
        <f t="shared" si="4"/>
        <v>514.22513182238458</v>
      </c>
      <c r="P28" s="479">
        <f t="shared" si="4"/>
        <v>534.24771483019708</v>
      </c>
      <c r="Q28" s="479">
        <f t="shared" si="4"/>
        <v>549.26465208605646</v>
      </c>
      <c r="R28" s="479">
        <f t="shared" si="4"/>
        <v>560.52735502795099</v>
      </c>
      <c r="S28" s="479">
        <f t="shared" si="4"/>
        <v>568.97438223437189</v>
      </c>
      <c r="T28" s="479">
        <f t="shared" si="4"/>
        <v>575.30965263918756</v>
      </c>
      <c r="U28" s="479">
        <f t="shared" si="4"/>
        <v>580.06110544279932</v>
      </c>
      <c r="V28" s="479">
        <f t="shared" si="4"/>
        <v>583.62469504550813</v>
      </c>
      <c r="W28" s="479">
        <f t="shared" si="4"/>
        <v>586.29738724753975</v>
      </c>
      <c r="X28" s="479">
        <f t="shared" si="4"/>
        <v>588.30190639906345</v>
      </c>
      <c r="Y28" s="479">
        <f t="shared" si="4"/>
        <v>589.80529576270624</v>
      </c>
      <c r="Z28" s="479">
        <f t="shared" si="4"/>
        <v>590.93283778543832</v>
      </c>
      <c r="AA28" s="479">
        <f t="shared" si="4"/>
        <v>591.77849430248739</v>
      </c>
      <c r="AB28" s="1535">
        <f t="shared" si="4"/>
        <v>592.41273669027419</v>
      </c>
      <c r="AC28" s="2524"/>
      <c r="AD28" s="2524"/>
      <c r="AE28" s="2524"/>
      <c r="AF28" s="2524"/>
    </row>
    <row r="29" spans="1:135" s="3019" customFormat="1">
      <c r="A29" s="3013"/>
      <c r="B29" s="4600"/>
      <c r="C29" s="3099" t="s">
        <v>714</v>
      </c>
      <c r="D29" s="478">
        <f t="shared" ref="D29:AB32" si="5">+D24</f>
        <v>0</v>
      </c>
      <c r="E29" s="479">
        <f t="shared" si="5"/>
        <v>0</v>
      </c>
      <c r="F29" s="479">
        <f t="shared" si="5"/>
        <v>0</v>
      </c>
      <c r="G29" s="479">
        <f t="shared" si="5"/>
        <v>0</v>
      </c>
      <c r="H29" s="1200">
        <f t="shared" si="5"/>
        <v>148.27117166204982</v>
      </c>
      <c r="I29" s="478">
        <f t="shared" si="5"/>
        <v>259.47455040858722</v>
      </c>
      <c r="J29" s="479">
        <f t="shared" si="5"/>
        <v>342.87708446849024</v>
      </c>
      <c r="K29" s="479">
        <f t="shared" si="5"/>
        <v>405.4289850134175</v>
      </c>
      <c r="L29" s="479">
        <f t="shared" si="5"/>
        <v>452.34291042211294</v>
      </c>
      <c r="M29" s="425">
        <f t="shared" si="5"/>
        <v>487.52835447863453</v>
      </c>
      <c r="N29" s="1039">
        <f t="shared" si="5"/>
        <v>514.22513182238458</v>
      </c>
      <c r="O29" s="479">
        <f t="shared" si="5"/>
        <v>534.24771483019708</v>
      </c>
      <c r="P29" s="479">
        <f t="shared" si="5"/>
        <v>549.26465208605646</v>
      </c>
      <c r="Q29" s="479">
        <f t="shared" si="5"/>
        <v>560.52735502795099</v>
      </c>
      <c r="R29" s="479">
        <f t="shared" si="5"/>
        <v>568.97438223437189</v>
      </c>
      <c r="S29" s="479">
        <f t="shared" si="5"/>
        <v>575.30965263918756</v>
      </c>
      <c r="T29" s="479">
        <f t="shared" si="5"/>
        <v>580.06110544279932</v>
      </c>
      <c r="U29" s="479">
        <f t="shared" si="5"/>
        <v>583.62469504550813</v>
      </c>
      <c r="V29" s="479">
        <f t="shared" si="5"/>
        <v>586.29738724753975</v>
      </c>
      <c r="W29" s="479">
        <f t="shared" si="5"/>
        <v>588.30190639906345</v>
      </c>
      <c r="X29" s="479">
        <f t="shared" si="5"/>
        <v>589.80529576270624</v>
      </c>
      <c r="Y29" s="479">
        <f t="shared" si="5"/>
        <v>590.93283778543832</v>
      </c>
      <c r="Z29" s="479">
        <f t="shared" si="5"/>
        <v>591.77849430248739</v>
      </c>
      <c r="AA29" s="479">
        <f t="shared" si="5"/>
        <v>592.41273669027419</v>
      </c>
      <c r="AB29" s="1535">
        <f t="shared" si="5"/>
        <v>592.88841848111429</v>
      </c>
      <c r="AC29" s="2524"/>
      <c r="AD29" s="2524"/>
      <c r="AE29" s="2524"/>
      <c r="AF29" s="2524"/>
    </row>
    <row r="30" spans="1:135" s="3019" customFormat="1">
      <c r="A30" s="3013"/>
      <c r="B30" s="4600"/>
      <c r="C30" s="3100" t="s">
        <v>68</v>
      </c>
      <c r="D30" s="478">
        <f t="shared" si="5"/>
        <v>0</v>
      </c>
      <c r="E30" s="479">
        <f t="shared" si="5"/>
        <v>0</v>
      </c>
      <c r="F30" s="479">
        <f t="shared" si="5"/>
        <v>0</v>
      </c>
      <c r="G30" s="479">
        <f t="shared" si="5"/>
        <v>0</v>
      </c>
      <c r="H30" s="1200">
        <f t="shared" si="5"/>
        <v>74.135585831024912</v>
      </c>
      <c r="I30" s="478">
        <f t="shared" si="5"/>
        <v>203.87286103531852</v>
      </c>
      <c r="J30" s="479">
        <f t="shared" si="5"/>
        <v>301.17581743853873</v>
      </c>
      <c r="K30" s="479">
        <f t="shared" si="5"/>
        <v>374.1530347409539</v>
      </c>
      <c r="L30" s="479">
        <f t="shared" si="5"/>
        <v>428.88594771776525</v>
      </c>
      <c r="M30" s="425">
        <f t="shared" si="5"/>
        <v>469.93563245037376</v>
      </c>
      <c r="N30" s="1039">
        <f t="shared" si="5"/>
        <v>500.87674315050958</v>
      </c>
      <c r="O30" s="479">
        <f t="shared" si="5"/>
        <v>524.23642332629083</v>
      </c>
      <c r="P30" s="479">
        <f t="shared" si="5"/>
        <v>541.75618345812677</v>
      </c>
      <c r="Q30" s="479">
        <f t="shared" si="5"/>
        <v>554.89600355700372</v>
      </c>
      <c r="R30" s="479">
        <f t="shared" si="5"/>
        <v>564.75086863116144</v>
      </c>
      <c r="S30" s="479">
        <f t="shared" si="5"/>
        <v>572.14201743677972</v>
      </c>
      <c r="T30" s="479">
        <f t="shared" si="5"/>
        <v>577.68537904099344</v>
      </c>
      <c r="U30" s="479">
        <f t="shared" si="5"/>
        <v>581.84290024415372</v>
      </c>
      <c r="V30" s="479">
        <f t="shared" si="5"/>
        <v>584.96104114652394</v>
      </c>
      <c r="W30" s="479">
        <f t="shared" si="5"/>
        <v>587.2996468233016</v>
      </c>
      <c r="X30" s="479">
        <f t="shared" si="5"/>
        <v>589.05360108088485</v>
      </c>
      <c r="Y30" s="479">
        <f t="shared" si="5"/>
        <v>590.36906677407228</v>
      </c>
      <c r="Z30" s="479">
        <f t="shared" si="5"/>
        <v>591.35566604396286</v>
      </c>
      <c r="AA30" s="479">
        <f t="shared" si="5"/>
        <v>592.09561549638079</v>
      </c>
      <c r="AB30" s="1535">
        <f t="shared" si="5"/>
        <v>592.65057758569424</v>
      </c>
      <c r="AC30" s="2524"/>
      <c r="AD30" s="2524"/>
      <c r="AE30" s="2524"/>
      <c r="AF30" s="2524"/>
    </row>
    <row r="31" spans="1:135" s="3019" customFormat="1">
      <c r="A31" s="3013"/>
      <c r="B31" s="4600"/>
      <c r="C31" s="3100" t="s">
        <v>69</v>
      </c>
      <c r="D31" s="478">
        <f t="shared" si="5"/>
        <v>0</v>
      </c>
      <c r="E31" s="479">
        <f t="shared" si="5"/>
        <v>0</v>
      </c>
      <c r="F31" s="479">
        <f t="shared" si="5"/>
        <v>0</v>
      </c>
      <c r="G31" s="479">
        <f t="shared" si="5"/>
        <v>0</v>
      </c>
      <c r="H31" s="1200">
        <f t="shared" si="5"/>
        <v>148.27117166204982</v>
      </c>
      <c r="I31" s="478">
        <f t="shared" si="5"/>
        <v>111.2033787465374</v>
      </c>
      <c r="J31" s="479">
        <f t="shared" si="5"/>
        <v>83.402534059903019</v>
      </c>
      <c r="K31" s="479">
        <f t="shared" si="5"/>
        <v>62.551900544927264</v>
      </c>
      <c r="L31" s="479">
        <f t="shared" si="5"/>
        <v>46.913925408695434</v>
      </c>
      <c r="M31" s="425">
        <f t="shared" si="5"/>
        <v>35.18544405652159</v>
      </c>
      <c r="N31" s="1039">
        <f t="shared" si="5"/>
        <v>26.696777343750057</v>
      </c>
      <c r="O31" s="479">
        <f t="shared" si="5"/>
        <v>20.0225830078125</v>
      </c>
      <c r="P31" s="479">
        <f t="shared" si="5"/>
        <v>15.016937255859375</v>
      </c>
      <c r="Q31" s="479">
        <f t="shared" si="5"/>
        <v>11.262702941894531</v>
      </c>
      <c r="R31" s="479">
        <f t="shared" si="5"/>
        <v>8.4470272064208984</v>
      </c>
      <c r="S31" s="479">
        <f t="shared" si="5"/>
        <v>6.3352704048156738</v>
      </c>
      <c r="T31" s="479">
        <f t="shared" si="5"/>
        <v>4.7514528036117554</v>
      </c>
      <c r="U31" s="479">
        <f t="shared" si="5"/>
        <v>3.5635896027088165</v>
      </c>
      <c r="V31" s="479">
        <f t="shared" si="5"/>
        <v>2.6726922020316124</v>
      </c>
      <c r="W31" s="479">
        <f t="shared" si="5"/>
        <v>2.0045191515237093</v>
      </c>
      <c r="X31" s="479">
        <f t="shared" si="5"/>
        <v>1.503389363642782</v>
      </c>
      <c r="Y31" s="479">
        <f t="shared" si="5"/>
        <v>1.1275420227320865</v>
      </c>
      <c r="Z31" s="479">
        <f t="shared" si="5"/>
        <v>0.84565651704906486</v>
      </c>
      <c r="AA31" s="479">
        <f t="shared" si="5"/>
        <v>0.63424238778679864</v>
      </c>
      <c r="AB31" s="1535">
        <f t="shared" si="5"/>
        <v>0.47568179084009898</v>
      </c>
      <c r="AC31" s="2524"/>
      <c r="AD31" s="2524"/>
      <c r="AE31" s="2524"/>
      <c r="AF31" s="2524"/>
    </row>
    <row r="32" spans="1:135" s="3019" customFormat="1" ht="13.5" thickBot="1">
      <c r="A32" s="3013"/>
      <c r="B32" s="4601"/>
      <c r="C32" s="3101" t="s">
        <v>58</v>
      </c>
      <c r="D32" s="478">
        <f t="shared" si="5"/>
        <v>0</v>
      </c>
      <c r="E32" s="1536">
        <f t="shared" si="5"/>
        <v>0</v>
      </c>
      <c r="F32" s="1536">
        <f t="shared" si="5"/>
        <v>0</v>
      </c>
      <c r="G32" s="1536">
        <f t="shared" si="5"/>
        <v>0</v>
      </c>
      <c r="H32" s="1537">
        <f t="shared" si="5"/>
        <v>0</v>
      </c>
      <c r="I32" s="3102">
        <f t="shared" si="5"/>
        <v>0</v>
      </c>
      <c r="J32" s="1536">
        <f t="shared" si="5"/>
        <v>0</v>
      </c>
      <c r="K32" s="1536">
        <f t="shared" si="5"/>
        <v>0</v>
      </c>
      <c r="L32" s="1536">
        <f t="shared" si="5"/>
        <v>0</v>
      </c>
      <c r="M32" s="1538">
        <f t="shared" si="5"/>
        <v>0</v>
      </c>
      <c r="N32" s="1539">
        <f t="shared" si="5"/>
        <v>0</v>
      </c>
      <c r="O32" s="1536">
        <f t="shared" si="5"/>
        <v>0</v>
      </c>
      <c r="P32" s="1536">
        <f t="shared" si="5"/>
        <v>0</v>
      </c>
      <c r="Q32" s="1536">
        <f t="shared" si="5"/>
        <v>0</v>
      </c>
      <c r="R32" s="1536">
        <f t="shared" si="5"/>
        <v>0</v>
      </c>
      <c r="S32" s="1536">
        <f t="shared" si="5"/>
        <v>0</v>
      </c>
      <c r="T32" s="1536">
        <f t="shared" si="5"/>
        <v>0</v>
      </c>
      <c r="U32" s="1536">
        <f t="shared" si="5"/>
        <v>0</v>
      </c>
      <c r="V32" s="1536">
        <f t="shared" si="5"/>
        <v>0</v>
      </c>
      <c r="W32" s="1536">
        <f t="shared" si="5"/>
        <v>0</v>
      </c>
      <c r="X32" s="1536">
        <f t="shared" si="5"/>
        <v>0</v>
      </c>
      <c r="Y32" s="1536">
        <f t="shared" si="5"/>
        <v>0</v>
      </c>
      <c r="Z32" s="1536">
        <f t="shared" si="5"/>
        <v>0</v>
      </c>
      <c r="AA32" s="1536">
        <f t="shared" si="5"/>
        <v>0</v>
      </c>
      <c r="AB32" s="1540">
        <f t="shared" si="5"/>
        <v>0</v>
      </c>
      <c r="AC32" s="2524"/>
      <c r="AD32" s="2524"/>
      <c r="AE32" s="2524"/>
      <c r="AF32" s="2524"/>
    </row>
    <row r="33" spans="1:135" s="3096" customFormat="1" ht="25.5" customHeight="1">
      <c r="A33" s="3090"/>
      <c r="B33" s="3091" t="s">
        <v>1624</v>
      </c>
      <c r="C33" s="3092"/>
      <c r="D33" s="3093"/>
      <c r="E33" s="3093"/>
      <c r="F33" s="3093"/>
      <c r="G33" s="3093"/>
      <c r="H33" s="3093"/>
      <c r="I33" s="3093"/>
      <c r="J33" s="3093"/>
      <c r="K33" s="3093"/>
      <c r="L33" s="3093"/>
      <c r="M33" s="3093"/>
      <c r="N33" s="3093"/>
      <c r="O33" s="3093"/>
      <c r="P33" s="3093"/>
      <c r="Q33" s="3093"/>
      <c r="R33" s="3093"/>
      <c r="S33" s="3093"/>
      <c r="T33" s="3093"/>
      <c r="U33" s="3093"/>
      <c r="V33" s="3093"/>
      <c r="W33" s="3093"/>
      <c r="X33" s="3093"/>
      <c r="Y33" s="3093"/>
      <c r="Z33" s="3093"/>
      <c r="AA33" s="3093"/>
      <c r="AB33" s="3094"/>
      <c r="AC33" s="3095"/>
      <c r="AD33" s="3095"/>
      <c r="AE33" s="3095"/>
      <c r="AF33" s="3095"/>
      <c r="DF33" s="3095"/>
      <c r="DG33" s="3095"/>
      <c r="DH33" s="3095"/>
      <c r="DI33" s="3095"/>
      <c r="DJ33" s="3095"/>
      <c r="DK33" s="3095"/>
      <c r="DL33" s="3095"/>
      <c r="DM33" s="3095"/>
      <c r="DN33" s="3095"/>
      <c r="DO33" s="3095"/>
      <c r="DP33" s="3095"/>
      <c r="DQ33" s="3095"/>
      <c r="DR33" s="3095"/>
      <c r="DS33" s="3095"/>
      <c r="DT33" s="3095"/>
      <c r="DU33" s="3095"/>
      <c r="DV33" s="3095"/>
      <c r="DW33" s="3095"/>
      <c r="DX33" s="3095"/>
      <c r="DY33" s="3095"/>
      <c r="DZ33" s="3095"/>
      <c r="EA33" s="3095"/>
      <c r="EB33" s="3095"/>
      <c r="EC33" s="3095"/>
      <c r="ED33" s="3095"/>
      <c r="EE33" s="3095"/>
    </row>
    <row r="34" spans="1:135" s="3019" customFormat="1">
      <c r="A34" s="3013"/>
      <c r="B34" s="4570" t="s">
        <v>1623</v>
      </c>
      <c r="C34" s="3103" t="s">
        <v>713</v>
      </c>
      <c r="D34" s="3104"/>
      <c r="E34" s="1533">
        <f>D35</f>
        <v>0</v>
      </c>
      <c r="F34" s="1533">
        <f t="shared" ref="F34" si="6">E35</f>
        <v>0</v>
      </c>
      <c r="G34" s="1533">
        <f>E35</f>
        <v>0</v>
      </c>
      <c r="H34" s="1534">
        <f>F35</f>
        <v>0</v>
      </c>
      <c r="I34" s="462">
        <f t="shared" ref="I34:AB34" si="7">H35</f>
        <v>1.7288283379501763</v>
      </c>
      <c r="J34" s="463">
        <f t="shared" si="7"/>
        <v>3.0254495914128086</v>
      </c>
      <c r="K34" s="463">
        <f t="shared" si="7"/>
        <v>3.9979155315097756</v>
      </c>
      <c r="L34" s="463">
        <f t="shared" si="7"/>
        <v>4.7272649865825045</v>
      </c>
      <c r="M34" s="464">
        <f t="shared" si="7"/>
        <v>5.2742770778870494</v>
      </c>
      <c r="N34" s="513">
        <f t="shared" si="7"/>
        <v>5.6845361463654598</v>
      </c>
      <c r="O34" s="463">
        <f t="shared" si="7"/>
        <v>5.6845361463654598</v>
      </c>
      <c r="P34" s="463">
        <f t="shared" si="7"/>
        <v>5.6845361463654598</v>
      </c>
      <c r="Q34" s="463">
        <f t="shared" si="7"/>
        <v>5.6845361463654598</v>
      </c>
      <c r="R34" s="463">
        <f t="shared" si="7"/>
        <v>5.6845361463654598</v>
      </c>
      <c r="S34" s="463">
        <f t="shared" si="7"/>
        <v>5.6845361463654598</v>
      </c>
      <c r="T34" s="463">
        <f t="shared" si="7"/>
        <v>5.6845361463654598</v>
      </c>
      <c r="U34" s="463">
        <f t="shared" si="7"/>
        <v>5.6845361463654598</v>
      </c>
      <c r="V34" s="463">
        <f t="shared" si="7"/>
        <v>5.6845361463654598</v>
      </c>
      <c r="W34" s="463">
        <f t="shared" si="7"/>
        <v>5.6845361463654598</v>
      </c>
      <c r="X34" s="463">
        <f t="shared" si="7"/>
        <v>5.6845361463654598</v>
      </c>
      <c r="Y34" s="463">
        <f t="shared" si="7"/>
        <v>5.6845361463654598</v>
      </c>
      <c r="Z34" s="463">
        <f t="shared" si="7"/>
        <v>5.6845361463654598</v>
      </c>
      <c r="AA34" s="463">
        <f t="shared" si="7"/>
        <v>5.6845361463654598</v>
      </c>
      <c r="AB34" s="464">
        <f t="shared" si="7"/>
        <v>5.6845361463654598</v>
      </c>
      <c r="AC34" s="2524"/>
      <c r="AD34" s="2524"/>
      <c r="AE34" s="2524"/>
      <c r="AF34" s="2524"/>
    </row>
    <row r="35" spans="1:135" s="3019" customFormat="1">
      <c r="A35" s="3013"/>
      <c r="B35" s="4571"/>
      <c r="C35" s="2925" t="s">
        <v>714</v>
      </c>
      <c r="D35" s="3063"/>
      <c r="E35" s="3064"/>
      <c r="F35" s="3064"/>
      <c r="G35" s="3064"/>
      <c r="H35" s="460">
        <f>+'[13]Calc - commercial CNs'!Q44</f>
        <v>1.7288283379501763</v>
      </c>
      <c r="I35" s="459">
        <f>+'[13]Calc - commercial CNs'!R44</f>
        <v>3.0254495914128086</v>
      </c>
      <c r="J35" s="458">
        <f>+'[13]Calc - commercial CNs'!S44</f>
        <v>3.9979155315097756</v>
      </c>
      <c r="K35" s="458">
        <f>+'[13]Calc - commercial CNs'!T44</f>
        <v>4.7272649865825045</v>
      </c>
      <c r="L35" s="458">
        <f>+'[13]Calc - commercial CNs'!U44</f>
        <v>5.2742770778870494</v>
      </c>
      <c r="M35" s="460">
        <f>+'[13]Calc - commercial CNs'!V44</f>
        <v>5.6845361463654598</v>
      </c>
      <c r="N35" s="413">
        <f>+N34</f>
        <v>5.6845361463654598</v>
      </c>
      <c r="O35" s="458">
        <f t="shared" ref="O35:AB35" si="8">+O34</f>
        <v>5.6845361463654598</v>
      </c>
      <c r="P35" s="458">
        <f t="shared" si="8"/>
        <v>5.6845361463654598</v>
      </c>
      <c r="Q35" s="458">
        <f t="shared" si="8"/>
        <v>5.6845361463654598</v>
      </c>
      <c r="R35" s="458">
        <f t="shared" si="8"/>
        <v>5.6845361463654598</v>
      </c>
      <c r="S35" s="458">
        <f t="shared" si="8"/>
        <v>5.6845361463654598</v>
      </c>
      <c r="T35" s="458">
        <f t="shared" si="8"/>
        <v>5.6845361463654598</v>
      </c>
      <c r="U35" s="458">
        <f t="shared" si="8"/>
        <v>5.6845361463654598</v>
      </c>
      <c r="V35" s="458">
        <f t="shared" si="8"/>
        <v>5.6845361463654598</v>
      </c>
      <c r="W35" s="458">
        <f t="shared" si="8"/>
        <v>5.6845361463654598</v>
      </c>
      <c r="X35" s="458">
        <f t="shared" si="8"/>
        <v>5.6845361463654598</v>
      </c>
      <c r="Y35" s="458">
        <f t="shared" si="8"/>
        <v>5.6845361463654598</v>
      </c>
      <c r="Z35" s="458">
        <f t="shared" si="8"/>
        <v>5.6845361463654598</v>
      </c>
      <c r="AA35" s="458">
        <f t="shared" si="8"/>
        <v>5.6845361463654598</v>
      </c>
      <c r="AB35" s="460">
        <f t="shared" si="8"/>
        <v>5.6845361463654598</v>
      </c>
      <c r="AC35" s="2524"/>
      <c r="AD35" s="2524"/>
      <c r="AE35" s="2524"/>
      <c r="AF35" s="2524"/>
    </row>
    <row r="36" spans="1:135" s="3019" customFormat="1">
      <c r="A36" s="3013"/>
      <c r="B36" s="4571"/>
      <c r="C36" s="2925" t="s">
        <v>68</v>
      </c>
      <c r="D36" s="462">
        <f t="shared" ref="D36:AB36" si="9">IF(ISERROR(AVERAGE(D34:D35)),0,AVERAGE(D34:D35))</f>
        <v>0</v>
      </c>
      <c r="E36" s="463">
        <f t="shared" si="9"/>
        <v>0</v>
      </c>
      <c r="F36" s="463">
        <f t="shared" si="9"/>
        <v>0</v>
      </c>
      <c r="G36" s="463">
        <f t="shared" si="9"/>
        <v>0</v>
      </c>
      <c r="H36" s="464">
        <f t="shared" si="9"/>
        <v>0.86441416897508816</v>
      </c>
      <c r="I36" s="462">
        <f t="shared" si="9"/>
        <v>2.3771389646814924</v>
      </c>
      <c r="J36" s="463">
        <f t="shared" si="9"/>
        <v>3.5116825614612921</v>
      </c>
      <c r="K36" s="463">
        <f t="shared" si="9"/>
        <v>4.3625902590461401</v>
      </c>
      <c r="L36" s="463">
        <f t="shared" si="9"/>
        <v>5.0007710322347769</v>
      </c>
      <c r="M36" s="464">
        <f t="shared" si="9"/>
        <v>5.4794066121262546</v>
      </c>
      <c r="N36" s="513">
        <f t="shared" si="9"/>
        <v>5.6845361463654598</v>
      </c>
      <c r="O36" s="463">
        <f t="shared" si="9"/>
        <v>5.6845361463654598</v>
      </c>
      <c r="P36" s="463">
        <f t="shared" si="9"/>
        <v>5.6845361463654598</v>
      </c>
      <c r="Q36" s="463">
        <f t="shared" si="9"/>
        <v>5.6845361463654598</v>
      </c>
      <c r="R36" s="463">
        <f t="shared" si="9"/>
        <v>5.6845361463654598</v>
      </c>
      <c r="S36" s="463">
        <f t="shared" si="9"/>
        <v>5.6845361463654598</v>
      </c>
      <c r="T36" s="463">
        <f t="shared" si="9"/>
        <v>5.6845361463654598</v>
      </c>
      <c r="U36" s="463">
        <f t="shared" si="9"/>
        <v>5.6845361463654598</v>
      </c>
      <c r="V36" s="463">
        <f t="shared" si="9"/>
        <v>5.6845361463654598</v>
      </c>
      <c r="W36" s="463">
        <f t="shared" si="9"/>
        <v>5.6845361463654598</v>
      </c>
      <c r="X36" s="463">
        <f t="shared" si="9"/>
        <v>5.6845361463654598</v>
      </c>
      <c r="Y36" s="463">
        <f t="shared" si="9"/>
        <v>5.6845361463654598</v>
      </c>
      <c r="Z36" s="463">
        <f t="shared" si="9"/>
        <v>5.6845361463654598</v>
      </c>
      <c r="AA36" s="463">
        <f t="shared" si="9"/>
        <v>5.6845361463654598</v>
      </c>
      <c r="AB36" s="464">
        <f t="shared" si="9"/>
        <v>5.6845361463654598</v>
      </c>
      <c r="AC36" s="2524"/>
      <c r="AD36" s="2524"/>
      <c r="AE36" s="2524"/>
      <c r="AF36" s="2524"/>
    </row>
    <row r="37" spans="1:135" s="3019" customFormat="1">
      <c r="A37" s="3013"/>
      <c r="B37" s="4571"/>
      <c r="C37" s="2925" t="s">
        <v>69</v>
      </c>
      <c r="D37" s="3063"/>
      <c r="E37" s="3064"/>
      <c r="F37" s="3064"/>
      <c r="G37" s="3064"/>
      <c r="H37" s="625">
        <f>+H35-H34+H38</f>
        <v>1.7288283379501763</v>
      </c>
      <c r="I37" s="459">
        <f t="shared" ref="I37:AB37" si="10">+I35-I34+I38</f>
        <v>1.2966212534626322</v>
      </c>
      <c r="J37" s="458">
        <f t="shared" si="10"/>
        <v>0.97246594009696707</v>
      </c>
      <c r="K37" s="458">
        <f t="shared" si="10"/>
        <v>0.72934945507272886</v>
      </c>
      <c r="L37" s="458">
        <f t="shared" si="10"/>
        <v>0.54701209130454487</v>
      </c>
      <c r="M37" s="460">
        <f t="shared" si="10"/>
        <v>0.41025906847841043</v>
      </c>
      <c r="N37" s="413">
        <f t="shared" si="10"/>
        <v>0</v>
      </c>
      <c r="O37" s="458">
        <f t="shared" si="10"/>
        <v>0</v>
      </c>
      <c r="P37" s="458">
        <f t="shared" si="10"/>
        <v>0</v>
      </c>
      <c r="Q37" s="458">
        <f t="shared" si="10"/>
        <v>0</v>
      </c>
      <c r="R37" s="458">
        <f t="shared" si="10"/>
        <v>0</v>
      </c>
      <c r="S37" s="458">
        <f t="shared" si="10"/>
        <v>0</v>
      </c>
      <c r="T37" s="458">
        <f t="shared" si="10"/>
        <v>0</v>
      </c>
      <c r="U37" s="458">
        <f t="shared" si="10"/>
        <v>0</v>
      </c>
      <c r="V37" s="458">
        <f t="shared" si="10"/>
        <v>0</v>
      </c>
      <c r="W37" s="458">
        <f t="shared" si="10"/>
        <v>0</v>
      </c>
      <c r="X37" s="458">
        <f t="shared" si="10"/>
        <v>0</v>
      </c>
      <c r="Y37" s="458">
        <f t="shared" si="10"/>
        <v>0</v>
      </c>
      <c r="Z37" s="458">
        <f t="shared" si="10"/>
        <v>0</v>
      </c>
      <c r="AA37" s="458">
        <f t="shared" si="10"/>
        <v>0</v>
      </c>
      <c r="AB37" s="460">
        <f t="shared" si="10"/>
        <v>0</v>
      </c>
      <c r="AC37" s="2524"/>
      <c r="AD37" s="2524"/>
      <c r="AE37" s="2524"/>
      <c r="AF37" s="2524"/>
    </row>
    <row r="38" spans="1:135" s="3019" customFormat="1" ht="13.5" thickBot="1">
      <c r="A38" s="3013"/>
      <c r="B38" s="4572"/>
      <c r="C38" s="3105" t="s">
        <v>58</v>
      </c>
      <c r="D38" s="3068"/>
      <c r="E38" s="3069"/>
      <c r="F38" s="3069"/>
      <c r="G38" s="3069"/>
      <c r="H38" s="3106">
        <v>0</v>
      </c>
      <c r="I38" s="1440">
        <v>0</v>
      </c>
      <c r="J38" s="411">
        <v>0</v>
      </c>
      <c r="K38" s="411">
        <v>0</v>
      </c>
      <c r="L38" s="411">
        <v>0</v>
      </c>
      <c r="M38" s="570">
        <v>0</v>
      </c>
      <c r="N38" s="1439">
        <v>0</v>
      </c>
      <c r="O38" s="411">
        <v>0</v>
      </c>
      <c r="P38" s="411">
        <v>0</v>
      </c>
      <c r="Q38" s="411">
        <v>0</v>
      </c>
      <c r="R38" s="411">
        <v>0</v>
      </c>
      <c r="S38" s="411">
        <v>0</v>
      </c>
      <c r="T38" s="411">
        <v>0</v>
      </c>
      <c r="U38" s="411">
        <v>0</v>
      </c>
      <c r="V38" s="411">
        <v>0</v>
      </c>
      <c r="W38" s="411">
        <v>0</v>
      </c>
      <c r="X38" s="411">
        <v>0</v>
      </c>
      <c r="Y38" s="411">
        <v>0</v>
      </c>
      <c r="Z38" s="411">
        <v>0</v>
      </c>
      <c r="AA38" s="411">
        <v>0</v>
      </c>
      <c r="AB38" s="570">
        <v>0</v>
      </c>
      <c r="AC38" s="2524"/>
      <c r="AD38" s="2524"/>
      <c r="AE38" s="2524"/>
      <c r="AF38" s="2524"/>
    </row>
    <row r="39" spans="1:135" s="3019" customFormat="1">
      <c r="A39" s="3013"/>
      <c r="B39" s="4599" t="s">
        <v>63</v>
      </c>
      <c r="C39" s="3099" t="s">
        <v>713</v>
      </c>
      <c r="D39" s="478">
        <f>+D34</f>
        <v>0</v>
      </c>
      <c r="E39" s="479">
        <f t="shared" ref="E39:AB39" si="11">+E34</f>
        <v>0</v>
      </c>
      <c r="F39" s="479">
        <f t="shared" si="11"/>
        <v>0</v>
      </c>
      <c r="G39" s="479">
        <f t="shared" si="11"/>
        <v>0</v>
      </c>
      <c r="H39" s="1200">
        <f t="shared" si="11"/>
        <v>0</v>
      </c>
      <c r="I39" s="478">
        <f t="shared" si="11"/>
        <v>1.7288283379501763</v>
      </c>
      <c r="J39" s="479">
        <f t="shared" si="11"/>
        <v>3.0254495914128086</v>
      </c>
      <c r="K39" s="479">
        <f t="shared" si="11"/>
        <v>3.9979155315097756</v>
      </c>
      <c r="L39" s="479">
        <f t="shared" si="11"/>
        <v>4.7272649865825045</v>
      </c>
      <c r="M39" s="425">
        <f t="shared" si="11"/>
        <v>5.2742770778870494</v>
      </c>
      <c r="N39" s="1039">
        <f t="shared" si="11"/>
        <v>5.6845361463654598</v>
      </c>
      <c r="O39" s="479">
        <f t="shared" si="11"/>
        <v>5.6845361463654598</v>
      </c>
      <c r="P39" s="479">
        <f t="shared" si="11"/>
        <v>5.6845361463654598</v>
      </c>
      <c r="Q39" s="479">
        <f t="shared" si="11"/>
        <v>5.6845361463654598</v>
      </c>
      <c r="R39" s="479">
        <f t="shared" si="11"/>
        <v>5.6845361463654598</v>
      </c>
      <c r="S39" s="479">
        <f t="shared" si="11"/>
        <v>5.6845361463654598</v>
      </c>
      <c r="T39" s="479">
        <f t="shared" si="11"/>
        <v>5.6845361463654598</v>
      </c>
      <c r="U39" s="479">
        <f t="shared" si="11"/>
        <v>5.6845361463654598</v>
      </c>
      <c r="V39" s="479">
        <f t="shared" si="11"/>
        <v>5.6845361463654598</v>
      </c>
      <c r="W39" s="479">
        <f t="shared" si="11"/>
        <v>5.6845361463654598</v>
      </c>
      <c r="X39" s="479">
        <f t="shared" si="11"/>
        <v>5.6845361463654598</v>
      </c>
      <c r="Y39" s="479">
        <f t="shared" si="11"/>
        <v>5.6845361463654598</v>
      </c>
      <c r="Z39" s="479">
        <f t="shared" si="11"/>
        <v>5.6845361463654598</v>
      </c>
      <c r="AA39" s="479">
        <f t="shared" si="11"/>
        <v>5.6845361463654598</v>
      </c>
      <c r="AB39" s="1535">
        <f t="shared" si="11"/>
        <v>5.6845361463654598</v>
      </c>
      <c r="AC39" s="2524"/>
      <c r="AD39" s="2524"/>
      <c r="AE39" s="2524"/>
      <c r="AF39" s="2524"/>
    </row>
    <row r="40" spans="1:135" s="3019" customFormat="1">
      <c r="A40" s="3013"/>
      <c r="B40" s="4600"/>
      <c r="C40" s="3099" t="s">
        <v>714</v>
      </c>
      <c r="D40" s="478">
        <f t="shared" ref="D40:AB43" si="12">+D35</f>
        <v>0</v>
      </c>
      <c r="E40" s="479">
        <f t="shared" si="12"/>
        <v>0</v>
      </c>
      <c r="F40" s="479">
        <f t="shared" si="12"/>
        <v>0</v>
      </c>
      <c r="G40" s="479">
        <f t="shared" si="12"/>
        <v>0</v>
      </c>
      <c r="H40" s="1200">
        <f t="shared" si="12"/>
        <v>1.7288283379501763</v>
      </c>
      <c r="I40" s="478">
        <f t="shared" si="12"/>
        <v>3.0254495914128086</v>
      </c>
      <c r="J40" s="479">
        <f t="shared" si="12"/>
        <v>3.9979155315097756</v>
      </c>
      <c r="K40" s="479">
        <f t="shared" si="12"/>
        <v>4.7272649865825045</v>
      </c>
      <c r="L40" s="479">
        <f t="shared" si="12"/>
        <v>5.2742770778870494</v>
      </c>
      <c r="M40" s="425">
        <f t="shared" si="12"/>
        <v>5.6845361463654598</v>
      </c>
      <c r="N40" s="1039">
        <f t="shared" si="12"/>
        <v>5.6845361463654598</v>
      </c>
      <c r="O40" s="479">
        <f t="shared" si="12"/>
        <v>5.6845361463654598</v>
      </c>
      <c r="P40" s="479">
        <f t="shared" si="12"/>
        <v>5.6845361463654598</v>
      </c>
      <c r="Q40" s="479">
        <f t="shared" si="12"/>
        <v>5.6845361463654598</v>
      </c>
      <c r="R40" s="479">
        <f t="shared" si="12"/>
        <v>5.6845361463654598</v>
      </c>
      <c r="S40" s="479">
        <f t="shared" si="12"/>
        <v>5.6845361463654598</v>
      </c>
      <c r="T40" s="479">
        <f t="shared" si="12"/>
        <v>5.6845361463654598</v>
      </c>
      <c r="U40" s="479">
        <f t="shared" si="12"/>
        <v>5.6845361463654598</v>
      </c>
      <c r="V40" s="479">
        <f t="shared" si="12"/>
        <v>5.6845361463654598</v>
      </c>
      <c r="W40" s="479">
        <f t="shared" si="12"/>
        <v>5.6845361463654598</v>
      </c>
      <c r="X40" s="479">
        <f t="shared" si="12"/>
        <v>5.6845361463654598</v>
      </c>
      <c r="Y40" s="479">
        <f t="shared" si="12"/>
        <v>5.6845361463654598</v>
      </c>
      <c r="Z40" s="479">
        <f t="shared" si="12"/>
        <v>5.6845361463654598</v>
      </c>
      <c r="AA40" s="479">
        <f t="shared" si="12"/>
        <v>5.6845361463654598</v>
      </c>
      <c r="AB40" s="1535">
        <f t="shared" si="12"/>
        <v>5.6845361463654598</v>
      </c>
      <c r="AC40" s="2524"/>
      <c r="AD40" s="2524"/>
      <c r="AE40" s="2524"/>
      <c r="AF40" s="2524"/>
    </row>
    <row r="41" spans="1:135" s="3019" customFormat="1">
      <c r="A41" s="3013"/>
      <c r="B41" s="4600"/>
      <c r="C41" s="3100" t="s">
        <v>68</v>
      </c>
      <c r="D41" s="478">
        <f t="shared" si="12"/>
        <v>0</v>
      </c>
      <c r="E41" s="479">
        <f t="shared" si="12"/>
        <v>0</v>
      </c>
      <c r="F41" s="479">
        <f t="shared" si="12"/>
        <v>0</v>
      </c>
      <c r="G41" s="479">
        <f t="shared" si="12"/>
        <v>0</v>
      </c>
      <c r="H41" s="1200">
        <f t="shared" si="12"/>
        <v>0.86441416897508816</v>
      </c>
      <c r="I41" s="478">
        <f t="shared" si="12"/>
        <v>2.3771389646814924</v>
      </c>
      <c r="J41" s="479">
        <f t="shared" si="12"/>
        <v>3.5116825614612921</v>
      </c>
      <c r="K41" s="479">
        <f t="shared" si="12"/>
        <v>4.3625902590461401</v>
      </c>
      <c r="L41" s="479">
        <f t="shared" si="12"/>
        <v>5.0007710322347769</v>
      </c>
      <c r="M41" s="425">
        <f t="shared" si="12"/>
        <v>5.4794066121262546</v>
      </c>
      <c r="N41" s="1039">
        <f t="shared" si="12"/>
        <v>5.6845361463654598</v>
      </c>
      <c r="O41" s="479">
        <f t="shared" si="12"/>
        <v>5.6845361463654598</v>
      </c>
      <c r="P41" s="479">
        <f t="shared" si="12"/>
        <v>5.6845361463654598</v>
      </c>
      <c r="Q41" s="479">
        <f t="shared" si="12"/>
        <v>5.6845361463654598</v>
      </c>
      <c r="R41" s="479">
        <f t="shared" si="12"/>
        <v>5.6845361463654598</v>
      </c>
      <c r="S41" s="479">
        <f t="shared" si="12"/>
        <v>5.6845361463654598</v>
      </c>
      <c r="T41" s="479">
        <f t="shared" si="12"/>
        <v>5.6845361463654598</v>
      </c>
      <c r="U41" s="479">
        <f t="shared" si="12"/>
        <v>5.6845361463654598</v>
      </c>
      <c r="V41" s="479">
        <f t="shared" si="12"/>
        <v>5.6845361463654598</v>
      </c>
      <c r="W41" s="479">
        <f t="shared" si="12"/>
        <v>5.6845361463654598</v>
      </c>
      <c r="X41" s="479">
        <f t="shared" si="12"/>
        <v>5.6845361463654598</v>
      </c>
      <c r="Y41" s="479">
        <f t="shared" si="12"/>
        <v>5.6845361463654598</v>
      </c>
      <c r="Z41" s="479">
        <f t="shared" si="12"/>
        <v>5.6845361463654598</v>
      </c>
      <c r="AA41" s="479">
        <f t="shared" si="12"/>
        <v>5.6845361463654598</v>
      </c>
      <c r="AB41" s="1535">
        <f t="shared" si="12"/>
        <v>5.6845361463654598</v>
      </c>
      <c r="AC41" s="2524"/>
      <c r="AD41" s="2524"/>
      <c r="AE41" s="2524"/>
      <c r="AF41" s="2524"/>
    </row>
    <row r="42" spans="1:135" s="3019" customFormat="1">
      <c r="A42" s="3013"/>
      <c r="B42" s="4600"/>
      <c r="C42" s="3100" t="s">
        <v>69</v>
      </c>
      <c r="D42" s="478">
        <f t="shared" si="12"/>
        <v>0</v>
      </c>
      <c r="E42" s="479">
        <f t="shared" si="12"/>
        <v>0</v>
      </c>
      <c r="F42" s="479">
        <f t="shared" si="12"/>
        <v>0</v>
      </c>
      <c r="G42" s="479">
        <f t="shared" si="12"/>
        <v>0</v>
      </c>
      <c r="H42" s="1200">
        <f t="shared" si="12"/>
        <v>1.7288283379501763</v>
      </c>
      <c r="I42" s="478">
        <f t="shared" si="12"/>
        <v>1.2966212534626322</v>
      </c>
      <c r="J42" s="479">
        <f t="shared" si="12"/>
        <v>0.97246594009696707</v>
      </c>
      <c r="K42" s="479">
        <f t="shared" si="12"/>
        <v>0.72934945507272886</v>
      </c>
      <c r="L42" s="479">
        <f t="shared" si="12"/>
        <v>0.54701209130454487</v>
      </c>
      <c r="M42" s="425">
        <f t="shared" si="12"/>
        <v>0.41025906847841043</v>
      </c>
      <c r="N42" s="1039">
        <f t="shared" si="12"/>
        <v>0</v>
      </c>
      <c r="O42" s="479">
        <f t="shared" si="12"/>
        <v>0</v>
      </c>
      <c r="P42" s="479">
        <f t="shared" si="12"/>
        <v>0</v>
      </c>
      <c r="Q42" s="479">
        <f t="shared" si="12"/>
        <v>0</v>
      </c>
      <c r="R42" s="479">
        <f t="shared" si="12"/>
        <v>0</v>
      </c>
      <c r="S42" s="479">
        <f t="shared" si="12"/>
        <v>0</v>
      </c>
      <c r="T42" s="479">
        <f t="shared" si="12"/>
        <v>0</v>
      </c>
      <c r="U42" s="479">
        <f t="shared" si="12"/>
        <v>0</v>
      </c>
      <c r="V42" s="479">
        <f t="shared" si="12"/>
        <v>0</v>
      </c>
      <c r="W42" s="479">
        <f t="shared" si="12"/>
        <v>0</v>
      </c>
      <c r="X42" s="479">
        <f t="shared" si="12"/>
        <v>0</v>
      </c>
      <c r="Y42" s="479">
        <f t="shared" si="12"/>
        <v>0</v>
      </c>
      <c r="Z42" s="479">
        <f t="shared" si="12"/>
        <v>0</v>
      </c>
      <c r="AA42" s="479">
        <f t="shared" si="12"/>
        <v>0</v>
      </c>
      <c r="AB42" s="1535">
        <f t="shared" si="12"/>
        <v>0</v>
      </c>
      <c r="AC42" s="2524"/>
      <c r="AD42" s="2524"/>
      <c r="AE42" s="2524"/>
      <c r="AF42" s="2524"/>
    </row>
    <row r="43" spans="1:135" s="3019" customFormat="1" ht="13.5" thickBot="1">
      <c r="A43" s="3013"/>
      <c r="B43" s="4601"/>
      <c r="C43" s="3101" t="s">
        <v>58</v>
      </c>
      <c r="D43" s="478">
        <f t="shared" si="12"/>
        <v>0</v>
      </c>
      <c r="E43" s="1536">
        <f t="shared" si="12"/>
        <v>0</v>
      </c>
      <c r="F43" s="1536">
        <f t="shared" si="12"/>
        <v>0</v>
      </c>
      <c r="G43" s="1536">
        <f t="shared" si="12"/>
        <v>0</v>
      </c>
      <c r="H43" s="1537">
        <f t="shared" si="12"/>
        <v>0</v>
      </c>
      <c r="I43" s="3102">
        <f t="shared" si="12"/>
        <v>0</v>
      </c>
      <c r="J43" s="1536">
        <f t="shared" si="12"/>
        <v>0</v>
      </c>
      <c r="K43" s="1536">
        <f t="shared" si="12"/>
        <v>0</v>
      </c>
      <c r="L43" s="1536">
        <f t="shared" si="12"/>
        <v>0</v>
      </c>
      <c r="M43" s="1538">
        <f t="shared" si="12"/>
        <v>0</v>
      </c>
      <c r="N43" s="1539">
        <f t="shared" si="12"/>
        <v>0</v>
      </c>
      <c r="O43" s="1536">
        <f t="shared" si="12"/>
        <v>0</v>
      </c>
      <c r="P43" s="1536">
        <f t="shared" si="12"/>
        <v>0</v>
      </c>
      <c r="Q43" s="1536">
        <f t="shared" si="12"/>
        <v>0</v>
      </c>
      <c r="R43" s="1536">
        <f t="shared" si="12"/>
        <v>0</v>
      </c>
      <c r="S43" s="1536">
        <f t="shared" si="12"/>
        <v>0</v>
      </c>
      <c r="T43" s="1536">
        <f t="shared" si="12"/>
        <v>0</v>
      </c>
      <c r="U43" s="1536">
        <f t="shared" si="12"/>
        <v>0</v>
      </c>
      <c r="V43" s="1536">
        <f t="shared" si="12"/>
        <v>0</v>
      </c>
      <c r="W43" s="1536">
        <f t="shared" si="12"/>
        <v>0</v>
      </c>
      <c r="X43" s="1536">
        <f t="shared" si="12"/>
        <v>0</v>
      </c>
      <c r="Y43" s="1536">
        <f t="shared" si="12"/>
        <v>0</v>
      </c>
      <c r="Z43" s="1536">
        <f t="shared" si="12"/>
        <v>0</v>
      </c>
      <c r="AA43" s="1536">
        <f t="shared" si="12"/>
        <v>0</v>
      </c>
      <c r="AB43" s="1540">
        <f t="shared" si="12"/>
        <v>0</v>
      </c>
      <c r="AC43" s="2524"/>
      <c r="AD43" s="2524"/>
      <c r="AE43" s="2524"/>
      <c r="AF43" s="2524"/>
    </row>
    <row r="44" spans="1:135" ht="47.25" customHeight="1" thickBot="1">
      <c r="D44" s="3020"/>
      <c r="E44" s="3020"/>
      <c r="F44" s="3020"/>
      <c r="G44" s="3020"/>
      <c r="H44" s="3020"/>
      <c r="I44" s="3020"/>
      <c r="J44" s="3020"/>
      <c r="K44" s="3020"/>
      <c r="L44" s="3020"/>
      <c r="M44" s="3020"/>
      <c r="N44" s="3020"/>
      <c r="O44" s="3020"/>
      <c r="P44" s="3020"/>
      <c r="Q44" s="3020"/>
      <c r="R44" s="3020"/>
      <c r="S44" s="3020"/>
      <c r="T44" s="3020"/>
      <c r="U44" s="3020"/>
      <c r="V44" s="3020"/>
      <c r="W44" s="3020"/>
      <c r="X44" s="3020"/>
      <c r="Y44" s="3020"/>
      <c r="Z44" s="3020"/>
      <c r="AA44" s="3020"/>
      <c r="AB44" s="3020"/>
    </row>
    <row r="45" spans="1:135" s="3019" customFormat="1" ht="18.75" customHeight="1" thickBot="1">
      <c r="A45" s="3013"/>
      <c r="B45" s="3087" t="s">
        <v>1625</v>
      </c>
      <c r="C45" s="3088"/>
      <c r="D45" s="3088"/>
      <c r="E45" s="3088"/>
      <c r="F45" s="3088"/>
      <c r="G45" s="3088"/>
      <c r="H45" s="3088"/>
      <c r="I45" s="3088"/>
      <c r="J45" s="3088"/>
      <c r="K45" s="3088"/>
      <c r="L45" s="3088"/>
      <c r="M45" s="3088"/>
      <c r="N45" s="3088"/>
      <c r="O45" s="3088"/>
      <c r="P45" s="3088"/>
      <c r="Q45" s="3088"/>
      <c r="R45" s="3088"/>
      <c r="S45" s="3088"/>
      <c r="T45" s="3088"/>
      <c r="U45" s="3088"/>
      <c r="V45" s="3088"/>
      <c r="W45" s="3088"/>
      <c r="X45" s="3088"/>
      <c r="Y45" s="3088"/>
      <c r="Z45" s="3088"/>
      <c r="AA45" s="3088"/>
      <c r="AB45" s="3089"/>
      <c r="AC45" s="2524"/>
      <c r="AD45" s="2524"/>
      <c r="AE45" s="2524"/>
      <c r="AF45" s="2524"/>
      <c r="DF45" s="2524"/>
      <c r="DG45" s="2524"/>
      <c r="DH45" s="2524"/>
      <c r="DI45" s="2524"/>
      <c r="DJ45" s="2524"/>
      <c r="DK45" s="2524"/>
      <c r="DL45" s="2524"/>
      <c r="DM45" s="2524"/>
      <c r="DN45" s="2524"/>
      <c r="DO45" s="2524"/>
      <c r="DP45" s="2524"/>
      <c r="DQ45" s="2524"/>
      <c r="DR45" s="2524"/>
      <c r="DS45" s="2524"/>
      <c r="DT45" s="2524"/>
      <c r="DU45" s="2524"/>
      <c r="DV45" s="2524"/>
      <c r="DW45" s="2524"/>
      <c r="DX45" s="2524"/>
      <c r="DY45" s="2524"/>
      <c r="DZ45" s="2524"/>
      <c r="EA45" s="2524"/>
      <c r="EB45" s="2524"/>
      <c r="EC45" s="2524"/>
      <c r="ED45" s="2524"/>
      <c r="EE45" s="2524"/>
    </row>
    <row r="46" spans="1:135" s="3019" customFormat="1">
      <c r="A46" s="3013"/>
      <c r="B46" s="4602" t="s">
        <v>713</v>
      </c>
      <c r="C46" s="4603"/>
      <c r="D46" s="3107"/>
      <c r="E46" s="463">
        <f>D47</f>
        <v>0</v>
      </c>
      <c r="F46" s="463">
        <f t="shared" ref="F46:AB46" si="13">E47</f>
        <v>0</v>
      </c>
      <c r="G46" s="463">
        <f>E47</f>
        <v>0</v>
      </c>
      <c r="H46" s="463">
        <f>F47</f>
        <v>0</v>
      </c>
      <c r="I46" s="463">
        <f t="shared" si="13"/>
        <v>0</v>
      </c>
      <c r="J46" s="463">
        <f t="shared" si="13"/>
        <v>0</v>
      </c>
      <c r="K46" s="463">
        <f t="shared" si="13"/>
        <v>0</v>
      </c>
      <c r="L46" s="463">
        <f t="shared" si="13"/>
        <v>0</v>
      </c>
      <c r="M46" s="464">
        <f t="shared" si="13"/>
        <v>0</v>
      </c>
      <c r="N46" s="513">
        <f t="shared" si="13"/>
        <v>0</v>
      </c>
      <c r="O46" s="463">
        <f t="shared" si="13"/>
        <v>0</v>
      </c>
      <c r="P46" s="463">
        <f t="shared" si="13"/>
        <v>0</v>
      </c>
      <c r="Q46" s="463">
        <f t="shared" si="13"/>
        <v>0</v>
      </c>
      <c r="R46" s="463">
        <f t="shared" si="13"/>
        <v>0</v>
      </c>
      <c r="S46" s="463">
        <f t="shared" si="13"/>
        <v>0</v>
      </c>
      <c r="T46" s="463">
        <f t="shared" si="13"/>
        <v>0</v>
      </c>
      <c r="U46" s="463">
        <f t="shared" si="13"/>
        <v>0</v>
      </c>
      <c r="V46" s="463">
        <f t="shared" si="13"/>
        <v>0</v>
      </c>
      <c r="W46" s="463">
        <f t="shared" si="13"/>
        <v>0</v>
      </c>
      <c r="X46" s="463">
        <f t="shared" si="13"/>
        <v>0</v>
      </c>
      <c r="Y46" s="463">
        <f t="shared" si="13"/>
        <v>0</v>
      </c>
      <c r="Z46" s="463">
        <f t="shared" si="13"/>
        <v>0</v>
      </c>
      <c r="AA46" s="463">
        <f t="shared" si="13"/>
        <v>0</v>
      </c>
      <c r="AB46" s="464">
        <f t="shared" si="13"/>
        <v>0</v>
      </c>
      <c r="AC46" s="2524"/>
      <c r="AD46" s="2524"/>
      <c r="AE46" s="2524"/>
      <c r="AF46" s="2524"/>
    </row>
    <row r="47" spans="1:135" s="3019" customFormat="1">
      <c r="A47" s="3013"/>
      <c r="B47" s="4595" t="s">
        <v>714</v>
      </c>
      <c r="C47" s="4596"/>
      <c r="D47" s="3063"/>
      <c r="E47" s="3064"/>
      <c r="F47" s="3064"/>
      <c r="G47" s="3064"/>
      <c r="H47" s="3064"/>
      <c r="I47" s="3063"/>
      <c r="J47" s="3064"/>
      <c r="K47" s="3064"/>
      <c r="L47" s="3064"/>
      <c r="M47" s="3030"/>
      <c r="N47" s="3065"/>
      <c r="O47" s="3064"/>
      <c r="P47" s="3064"/>
      <c r="Q47" s="3064"/>
      <c r="R47" s="3064"/>
      <c r="S47" s="3064"/>
      <c r="T47" s="3064"/>
      <c r="U47" s="3064"/>
      <c r="V47" s="3064"/>
      <c r="W47" s="3064"/>
      <c r="X47" s="3064"/>
      <c r="Y47" s="3064"/>
      <c r="Z47" s="3064"/>
      <c r="AA47" s="3064"/>
      <c r="AB47" s="3030"/>
      <c r="AC47" s="2524"/>
      <c r="AD47" s="2524"/>
      <c r="AE47" s="2524"/>
      <c r="AF47" s="2524"/>
    </row>
    <row r="48" spans="1:135" s="3019" customFormat="1">
      <c r="A48" s="3013"/>
      <c r="B48" s="4595" t="s">
        <v>68</v>
      </c>
      <c r="C48" s="4596"/>
      <c r="D48" s="462">
        <f t="shared" ref="D48:AB48" si="14">IF(ISERROR(AVERAGE(D46:D47)),0,AVERAGE(D46:D47))</f>
        <v>0</v>
      </c>
      <c r="E48" s="463">
        <f t="shared" si="14"/>
        <v>0</v>
      </c>
      <c r="F48" s="463">
        <f t="shared" si="14"/>
        <v>0</v>
      </c>
      <c r="G48" s="463">
        <f t="shared" si="14"/>
        <v>0</v>
      </c>
      <c r="H48" s="463">
        <f t="shared" si="14"/>
        <v>0</v>
      </c>
      <c r="I48" s="462">
        <f t="shared" si="14"/>
        <v>0</v>
      </c>
      <c r="J48" s="463">
        <f t="shared" si="14"/>
        <v>0</v>
      </c>
      <c r="K48" s="463">
        <f t="shared" si="14"/>
        <v>0</v>
      </c>
      <c r="L48" s="463">
        <f t="shared" si="14"/>
        <v>0</v>
      </c>
      <c r="M48" s="464">
        <f t="shared" si="14"/>
        <v>0</v>
      </c>
      <c r="N48" s="513">
        <f t="shared" si="14"/>
        <v>0</v>
      </c>
      <c r="O48" s="463">
        <f t="shared" si="14"/>
        <v>0</v>
      </c>
      <c r="P48" s="463">
        <f t="shared" si="14"/>
        <v>0</v>
      </c>
      <c r="Q48" s="463">
        <f t="shared" si="14"/>
        <v>0</v>
      </c>
      <c r="R48" s="463">
        <f t="shared" si="14"/>
        <v>0</v>
      </c>
      <c r="S48" s="463">
        <f t="shared" si="14"/>
        <v>0</v>
      </c>
      <c r="T48" s="463">
        <f t="shared" si="14"/>
        <v>0</v>
      </c>
      <c r="U48" s="463">
        <f t="shared" si="14"/>
        <v>0</v>
      </c>
      <c r="V48" s="463">
        <f t="shared" si="14"/>
        <v>0</v>
      </c>
      <c r="W48" s="463">
        <f t="shared" si="14"/>
        <v>0</v>
      </c>
      <c r="X48" s="463">
        <f t="shared" si="14"/>
        <v>0</v>
      </c>
      <c r="Y48" s="463">
        <f t="shared" si="14"/>
        <v>0</v>
      </c>
      <c r="Z48" s="463">
        <f t="shared" si="14"/>
        <v>0</v>
      </c>
      <c r="AA48" s="463">
        <f t="shared" si="14"/>
        <v>0</v>
      </c>
      <c r="AB48" s="464">
        <f t="shared" si="14"/>
        <v>0</v>
      </c>
      <c r="AC48" s="2524"/>
      <c r="AD48" s="2524"/>
      <c r="AE48" s="2524"/>
      <c r="AF48" s="2524"/>
    </row>
    <row r="49" spans="1:32" s="3019" customFormat="1">
      <c r="A49" s="3013"/>
      <c r="B49" s="4595" t="s">
        <v>69</v>
      </c>
      <c r="C49" s="4596"/>
      <c r="D49" s="3063"/>
      <c r="E49" s="3064"/>
      <c r="F49" s="3064"/>
      <c r="G49" s="3064"/>
      <c r="H49" s="3064"/>
      <c r="I49" s="3063"/>
      <c r="J49" s="3064"/>
      <c r="K49" s="3064"/>
      <c r="L49" s="3064"/>
      <c r="M49" s="3030"/>
      <c r="N49" s="3065"/>
      <c r="O49" s="3064"/>
      <c r="P49" s="3064"/>
      <c r="Q49" s="3064"/>
      <c r="R49" s="3064"/>
      <c r="S49" s="3064"/>
      <c r="T49" s="3064"/>
      <c r="U49" s="3064"/>
      <c r="V49" s="3064"/>
      <c r="W49" s="3064"/>
      <c r="X49" s="3064"/>
      <c r="Y49" s="3064"/>
      <c r="Z49" s="3064"/>
      <c r="AA49" s="3064"/>
      <c r="AB49" s="3030"/>
      <c r="AC49" s="2524"/>
      <c r="AD49" s="2524"/>
      <c r="AE49" s="2524"/>
      <c r="AF49" s="2524"/>
    </row>
    <row r="50" spans="1:32" s="3019" customFormat="1" ht="13.5" thickBot="1">
      <c r="A50" s="3013"/>
      <c r="B50" s="4597" t="s">
        <v>58</v>
      </c>
      <c r="C50" s="4598"/>
      <c r="D50" s="3068"/>
      <c r="E50" s="3069"/>
      <c r="F50" s="3069"/>
      <c r="G50" s="3069"/>
      <c r="H50" s="3069"/>
      <c r="I50" s="3068"/>
      <c r="J50" s="3069"/>
      <c r="K50" s="3069"/>
      <c r="L50" s="3069"/>
      <c r="M50" s="3070"/>
      <c r="N50" s="3071"/>
      <c r="O50" s="3069"/>
      <c r="P50" s="3069"/>
      <c r="Q50" s="3069"/>
      <c r="R50" s="3069"/>
      <c r="S50" s="3069"/>
      <c r="T50" s="3069"/>
      <c r="U50" s="3069"/>
      <c r="V50" s="3069"/>
      <c r="W50" s="3069"/>
      <c r="X50" s="3069"/>
      <c r="Y50" s="3069"/>
      <c r="Z50" s="3069"/>
      <c r="AA50" s="3069"/>
      <c r="AB50" s="3070"/>
      <c r="AC50" s="2524"/>
      <c r="AD50" s="2524"/>
      <c r="AE50" s="2524"/>
      <c r="AF50" s="2524"/>
    </row>
    <row r="51" spans="1:32" ht="44.25" customHeight="1" thickBot="1">
      <c r="A51" s="2771"/>
      <c r="B51" s="3108"/>
      <c r="C51" s="3109" t="s">
        <v>121</v>
      </c>
      <c r="D51" s="3110"/>
      <c r="E51" s="3111"/>
      <c r="F51" s="3111"/>
      <c r="G51" s="3111"/>
      <c r="H51" s="3111"/>
      <c r="I51" s="3111"/>
      <c r="J51" s="3111"/>
      <c r="K51" s="3111"/>
      <c r="L51" s="3111"/>
      <c r="M51" s="3111"/>
      <c r="N51" s="3111"/>
      <c r="O51" s="3111"/>
      <c r="P51" s="3111"/>
      <c r="Q51" s="3111"/>
      <c r="R51" s="3111"/>
      <c r="S51" s="3111"/>
      <c r="T51" s="3111"/>
      <c r="U51" s="3111"/>
      <c r="V51" s="3111"/>
      <c r="W51" s="3111"/>
      <c r="X51" s="3111"/>
      <c r="Y51" s="3111"/>
      <c r="Z51" s="3111"/>
      <c r="AA51" s="3111"/>
      <c r="AB51" s="3112"/>
    </row>
  </sheetData>
  <mergeCells count="20">
    <mergeCell ref="B49:C49"/>
    <mergeCell ref="B50:C50"/>
    <mergeCell ref="B28:B32"/>
    <mergeCell ref="B34:B38"/>
    <mergeCell ref="B39:B43"/>
    <mergeCell ref="B46:C46"/>
    <mergeCell ref="B47:C47"/>
    <mergeCell ref="B48:C48"/>
    <mergeCell ref="I17:M17"/>
    <mergeCell ref="N17:AB17"/>
    <mergeCell ref="D18:AB18"/>
    <mergeCell ref="D19:F19"/>
    <mergeCell ref="G19:AB19"/>
    <mergeCell ref="B23:B27"/>
    <mergeCell ref="B7:G7"/>
    <mergeCell ref="B8:G8"/>
    <mergeCell ref="B9:G9"/>
    <mergeCell ref="B10:G10"/>
    <mergeCell ref="B17:C20"/>
    <mergeCell ref="D17:H17"/>
  </mergeCells>
  <pageMargins left="0.75" right="0.75" top="1" bottom="1" header="0.5" footer="0.5"/>
  <pageSetup paperSize="9" orientation="portrait" r:id="rId1"/>
  <headerFooter alignWithMargins="0"/>
  <customProperties>
    <customPr name="_pios_id" r:id="rId2"/>
  </customProperties>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EE51"/>
  <sheetViews>
    <sheetView showGridLines="0" topLeftCell="C16" zoomScale="85" zoomScaleNormal="85" workbookViewId="0">
      <selection activeCell="I20" sqref="I20:M20"/>
    </sheetView>
  </sheetViews>
  <sheetFormatPr defaultRowHeight="12.75"/>
  <cols>
    <col min="1" max="1" width="14.140625" style="2524" customWidth="1"/>
    <col min="2" max="2" width="54.5703125" style="2524" customWidth="1"/>
    <col min="3" max="3" width="57.7109375" style="2524" customWidth="1"/>
    <col min="4" max="27" width="12.7109375" style="2524" customWidth="1"/>
    <col min="28" max="256" width="9.140625" style="2524"/>
    <col min="257" max="257" width="14.140625" style="2524" customWidth="1"/>
    <col min="258" max="258" width="66.28515625" style="2524" bestFit="1" customWidth="1"/>
    <col min="259" max="259" width="10" style="2524" bestFit="1" customWidth="1"/>
    <col min="260" max="261" width="8.5703125" style="2524" bestFit="1" customWidth="1"/>
    <col min="262" max="262" width="17.42578125" style="2524" bestFit="1" customWidth="1"/>
    <col min="263" max="263" width="17.28515625" style="2524" bestFit="1" customWidth="1"/>
    <col min="264" max="265" width="10.7109375" style="2524" customWidth="1"/>
    <col min="266" max="267" width="10.7109375" style="2524" bestFit="1" customWidth="1"/>
    <col min="268" max="268" width="10.7109375" style="2524" customWidth="1"/>
    <col min="269" max="271" width="10.7109375" style="2524" bestFit="1" customWidth="1"/>
    <col min="272" max="273" width="10.7109375" style="2524" customWidth="1"/>
    <col min="274" max="275" width="10.7109375" style="2524" bestFit="1" customWidth="1"/>
    <col min="276" max="512" width="9.140625" style="2524"/>
    <col min="513" max="513" width="14.140625" style="2524" customWidth="1"/>
    <col min="514" max="514" width="66.28515625" style="2524" bestFit="1" customWidth="1"/>
    <col min="515" max="515" width="10" style="2524" bestFit="1" customWidth="1"/>
    <col min="516" max="517" width="8.5703125" style="2524" bestFit="1" customWidth="1"/>
    <col min="518" max="518" width="17.42578125" style="2524" bestFit="1" customWidth="1"/>
    <col min="519" max="519" width="17.28515625" style="2524" bestFit="1" customWidth="1"/>
    <col min="520" max="521" width="10.7109375" style="2524" customWidth="1"/>
    <col min="522" max="523" width="10.7109375" style="2524" bestFit="1" customWidth="1"/>
    <col min="524" max="524" width="10.7109375" style="2524" customWidth="1"/>
    <col min="525" max="527" width="10.7109375" style="2524" bestFit="1" customWidth="1"/>
    <col min="528" max="529" width="10.7109375" style="2524" customWidth="1"/>
    <col min="530" max="531" width="10.7109375" style="2524" bestFit="1" customWidth="1"/>
    <col min="532" max="768" width="9.140625" style="2524"/>
    <col min="769" max="769" width="14.140625" style="2524" customWidth="1"/>
    <col min="770" max="770" width="66.28515625" style="2524" bestFit="1" customWidth="1"/>
    <col min="771" max="771" width="10" style="2524" bestFit="1" customWidth="1"/>
    <col min="772" max="773" width="8.5703125" style="2524" bestFit="1" customWidth="1"/>
    <col min="774" max="774" width="17.42578125" style="2524" bestFit="1" customWidth="1"/>
    <col min="775" max="775" width="17.28515625" style="2524" bestFit="1" customWidth="1"/>
    <col min="776" max="777" width="10.7109375" style="2524" customWidth="1"/>
    <col min="778" max="779" width="10.7109375" style="2524" bestFit="1" customWidth="1"/>
    <col min="780" max="780" width="10.7109375" style="2524" customWidth="1"/>
    <col min="781" max="783" width="10.7109375" style="2524" bestFit="1" customWidth="1"/>
    <col min="784" max="785" width="10.7109375" style="2524" customWidth="1"/>
    <col min="786" max="787" width="10.7109375" style="2524" bestFit="1" customWidth="1"/>
    <col min="788" max="1024" width="9.140625" style="2524"/>
    <col min="1025" max="1025" width="14.140625" style="2524" customWidth="1"/>
    <col min="1026" max="1026" width="66.28515625" style="2524" bestFit="1" customWidth="1"/>
    <col min="1027" max="1027" width="10" style="2524" bestFit="1" customWidth="1"/>
    <col min="1028" max="1029" width="8.5703125" style="2524" bestFit="1" customWidth="1"/>
    <col min="1030" max="1030" width="17.42578125" style="2524" bestFit="1" customWidth="1"/>
    <col min="1031" max="1031" width="17.28515625" style="2524" bestFit="1" customWidth="1"/>
    <col min="1032" max="1033" width="10.7109375" style="2524" customWidth="1"/>
    <col min="1034" max="1035" width="10.7109375" style="2524" bestFit="1" customWidth="1"/>
    <col min="1036" max="1036" width="10.7109375" style="2524" customWidth="1"/>
    <col min="1037" max="1039" width="10.7109375" style="2524" bestFit="1" customWidth="1"/>
    <col min="1040" max="1041" width="10.7109375" style="2524" customWidth="1"/>
    <col min="1042" max="1043" width="10.7109375" style="2524" bestFit="1" customWidth="1"/>
    <col min="1044" max="1280" width="9.140625" style="2524"/>
    <col min="1281" max="1281" width="14.140625" style="2524" customWidth="1"/>
    <col min="1282" max="1282" width="66.28515625" style="2524" bestFit="1" customWidth="1"/>
    <col min="1283" max="1283" width="10" style="2524" bestFit="1" customWidth="1"/>
    <col min="1284" max="1285" width="8.5703125" style="2524" bestFit="1" customWidth="1"/>
    <col min="1286" max="1286" width="17.42578125" style="2524" bestFit="1" customWidth="1"/>
    <col min="1287" max="1287" width="17.28515625" style="2524" bestFit="1" customWidth="1"/>
    <col min="1288" max="1289" width="10.7109375" style="2524" customWidth="1"/>
    <col min="1290" max="1291" width="10.7109375" style="2524" bestFit="1" customWidth="1"/>
    <col min="1292" max="1292" width="10.7109375" style="2524" customWidth="1"/>
    <col min="1293" max="1295" width="10.7109375" style="2524" bestFit="1" customWidth="1"/>
    <col min="1296" max="1297" width="10.7109375" style="2524" customWidth="1"/>
    <col min="1298" max="1299" width="10.7109375" style="2524" bestFit="1" customWidth="1"/>
    <col min="1300" max="1536" width="9.140625" style="2524"/>
    <col min="1537" max="1537" width="14.140625" style="2524" customWidth="1"/>
    <col min="1538" max="1538" width="66.28515625" style="2524" bestFit="1" customWidth="1"/>
    <col min="1539" max="1539" width="10" style="2524" bestFit="1" customWidth="1"/>
    <col min="1540" max="1541" width="8.5703125" style="2524" bestFit="1" customWidth="1"/>
    <col min="1542" max="1542" width="17.42578125" style="2524" bestFit="1" customWidth="1"/>
    <col min="1543" max="1543" width="17.28515625" style="2524" bestFit="1" customWidth="1"/>
    <col min="1544" max="1545" width="10.7109375" style="2524" customWidth="1"/>
    <col min="1546" max="1547" width="10.7109375" style="2524" bestFit="1" customWidth="1"/>
    <col min="1548" max="1548" width="10.7109375" style="2524" customWidth="1"/>
    <col min="1549" max="1551" width="10.7109375" style="2524" bestFit="1" customWidth="1"/>
    <col min="1552" max="1553" width="10.7109375" style="2524" customWidth="1"/>
    <col min="1554" max="1555" width="10.7109375" style="2524" bestFit="1" customWidth="1"/>
    <col min="1556" max="1792" width="9.140625" style="2524"/>
    <col min="1793" max="1793" width="14.140625" style="2524" customWidth="1"/>
    <col min="1794" max="1794" width="66.28515625" style="2524" bestFit="1" customWidth="1"/>
    <col min="1795" max="1795" width="10" style="2524" bestFit="1" customWidth="1"/>
    <col min="1796" max="1797" width="8.5703125" style="2524" bestFit="1" customWidth="1"/>
    <col min="1798" max="1798" width="17.42578125" style="2524" bestFit="1" customWidth="1"/>
    <col min="1799" max="1799" width="17.28515625" style="2524" bestFit="1" customWidth="1"/>
    <col min="1800" max="1801" width="10.7109375" style="2524" customWidth="1"/>
    <col min="1802" max="1803" width="10.7109375" style="2524" bestFit="1" customWidth="1"/>
    <col min="1804" max="1804" width="10.7109375" style="2524" customWidth="1"/>
    <col min="1805" max="1807" width="10.7109375" style="2524" bestFit="1" customWidth="1"/>
    <col min="1808" max="1809" width="10.7109375" style="2524" customWidth="1"/>
    <col min="1810" max="1811" width="10.7109375" style="2524" bestFit="1" customWidth="1"/>
    <col min="1812" max="2048" width="9.140625" style="2524"/>
    <col min="2049" max="2049" width="14.140625" style="2524" customWidth="1"/>
    <col min="2050" max="2050" width="66.28515625" style="2524" bestFit="1" customWidth="1"/>
    <col min="2051" max="2051" width="10" style="2524" bestFit="1" customWidth="1"/>
    <col min="2052" max="2053" width="8.5703125" style="2524" bestFit="1" customWidth="1"/>
    <col min="2054" max="2054" width="17.42578125" style="2524" bestFit="1" customWidth="1"/>
    <col min="2055" max="2055" width="17.28515625" style="2524" bestFit="1" customWidth="1"/>
    <col min="2056" max="2057" width="10.7109375" style="2524" customWidth="1"/>
    <col min="2058" max="2059" width="10.7109375" style="2524" bestFit="1" customWidth="1"/>
    <col min="2060" max="2060" width="10.7109375" style="2524" customWidth="1"/>
    <col min="2061" max="2063" width="10.7109375" style="2524" bestFit="1" customWidth="1"/>
    <col min="2064" max="2065" width="10.7109375" style="2524" customWidth="1"/>
    <col min="2066" max="2067" width="10.7109375" style="2524" bestFit="1" customWidth="1"/>
    <col min="2068" max="2304" width="9.140625" style="2524"/>
    <col min="2305" max="2305" width="14.140625" style="2524" customWidth="1"/>
    <col min="2306" max="2306" width="66.28515625" style="2524" bestFit="1" customWidth="1"/>
    <col min="2307" max="2307" width="10" style="2524" bestFit="1" customWidth="1"/>
    <col min="2308" max="2309" width="8.5703125" style="2524" bestFit="1" customWidth="1"/>
    <col min="2310" max="2310" width="17.42578125" style="2524" bestFit="1" customWidth="1"/>
    <col min="2311" max="2311" width="17.28515625" style="2524" bestFit="1" customWidth="1"/>
    <col min="2312" max="2313" width="10.7109375" style="2524" customWidth="1"/>
    <col min="2314" max="2315" width="10.7109375" style="2524" bestFit="1" customWidth="1"/>
    <col min="2316" max="2316" width="10.7109375" style="2524" customWidth="1"/>
    <col min="2317" max="2319" width="10.7109375" style="2524" bestFit="1" customWidth="1"/>
    <col min="2320" max="2321" width="10.7109375" style="2524" customWidth="1"/>
    <col min="2322" max="2323" width="10.7109375" style="2524" bestFit="1" customWidth="1"/>
    <col min="2324" max="2560" width="9.140625" style="2524"/>
    <col min="2561" max="2561" width="14.140625" style="2524" customWidth="1"/>
    <col min="2562" max="2562" width="66.28515625" style="2524" bestFit="1" customWidth="1"/>
    <col min="2563" max="2563" width="10" style="2524" bestFit="1" customWidth="1"/>
    <col min="2564" max="2565" width="8.5703125" style="2524" bestFit="1" customWidth="1"/>
    <col min="2566" max="2566" width="17.42578125" style="2524" bestFit="1" customWidth="1"/>
    <col min="2567" max="2567" width="17.28515625" style="2524" bestFit="1" customWidth="1"/>
    <col min="2568" max="2569" width="10.7109375" style="2524" customWidth="1"/>
    <col min="2570" max="2571" width="10.7109375" style="2524" bestFit="1" customWidth="1"/>
    <col min="2572" max="2572" width="10.7109375" style="2524" customWidth="1"/>
    <col min="2573" max="2575" width="10.7109375" style="2524" bestFit="1" customWidth="1"/>
    <col min="2576" max="2577" width="10.7109375" style="2524" customWidth="1"/>
    <col min="2578" max="2579" width="10.7109375" style="2524" bestFit="1" customWidth="1"/>
    <col min="2580" max="2816" width="9.140625" style="2524"/>
    <col min="2817" max="2817" width="14.140625" style="2524" customWidth="1"/>
    <col min="2818" max="2818" width="66.28515625" style="2524" bestFit="1" customWidth="1"/>
    <col min="2819" max="2819" width="10" style="2524" bestFit="1" customWidth="1"/>
    <col min="2820" max="2821" width="8.5703125" style="2524" bestFit="1" customWidth="1"/>
    <col min="2822" max="2822" width="17.42578125" style="2524" bestFit="1" customWidth="1"/>
    <col min="2823" max="2823" width="17.28515625" style="2524" bestFit="1" customWidth="1"/>
    <col min="2824" max="2825" width="10.7109375" style="2524" customWidth="1"/>
    <col min="2826" max="2827" width="10.7109375" style="2524" bestFit="1" customWidth="1"/>
    <col min="2828" max="2828" width="10.7109375" style="2524" customWidth="1"/>
    <col min="2829" max="2831" width="10.7109375" style="2524" bestFit="1" customWidth="1"/>
    <col min="2832" max="2833" width="10.7109375" style="2524" customWidth="1"/>
    <col min="2834" max="2835" width="10.7109375" style="2524" bestFit="1" customWidth="1"/>
    <col min="2836" max="3072" width="9.140625" style="2524"/>
    <col min="3073" max="3073" width="14.140625" style="2524" customWidth="1"/>
    <col min="3074" max="3074" width="66.28515625" style="2524" bestFit="1" customWidth="1"/>
    <col min="3075" max="3075" width="10" style="2524" bestFit="1" customWidth="1"/>
    <col min="3076" max="3077" width="8.5703125" style="2524" bestFit="1" customWidth="1"/>
    <col min="3078" max="3078" width="17.42578125" style="2524" bestFit="1" customWidth="1"/>
    <col min="3079" max="3079" width="17.28515625" style="2524" bestFit="1" customWidth="1"/>
    <col min="3080" max="3081" width="10.7109375" style="2524" customWidth="1"/>
    <col min="3082" max="3083" width="10.7109375" style="2524" bestFit="1" customWidth="1"/>
    <col min="3084" max="3084" width="10.7109375" style="2524" customWidth="1"/>
    <col min="3085" max="3087" width="10.7109375" style="2524" bestFit="1" customWidth="1"/>
    <col min="3088" max="3089" width="10.7109375" style="2524" customWidth="1"/>
    <col min="3090" max="3091" width="10.7109375" style="2524" bestFit="1" customWidth="1"/>
    <col min="3092" max="3328" width="9.140625" style="2524"/>
    <col min="3329" max="3329" width="14.140625" style="2524" customWidth="1"/>
    <col min="3330" max="3330" width="66.28515625" style="2524" bestFit="1" customWidth="1"/>
    <col min="3331" max="3331" width="10" style="2524" bestFit="1" customWidth="1"/>
    <col min="3332" max="3333" width="8.5703125" style="2524" bestFit="1" customWidth="1"/>
    <col min="3334" max="3334" width="17.42578125" style="2524" bestFit="1" customWidth="1"/>
    <col min="3335" max="3335" width="17.28515625" style="2524" bestFit="1" customWidth="1"/>
    <col min="3336" max="3337" width="10.7109375" style="2524" customWidth="1"/>
    <col min="3338" max="3339" width="10.7109375" style="2524" bestFit="1" customWidth="1"/>
    <col min="3340" max="3340" width="10.7109375" style="2524" customWidth="1"/>
    <col min="3341" max="3343" width="10.7109375" style="2524" bestFit="1" customWidth="1"/>
    <col min="3344" max="3345" width="10.7109375" style="2524" customWidth="1"/>
    <col min="3346" max="3347" width="10.7109375" style="2524" bestFit="1" customWidth="1"/>
    <col min="3348" max="3584" width="9.140625" style="2524"/>
    <col min="3585" max="3585" width="14.140625" style="2524" customWidth="1"/>
    <col min="3586" max="3586" width="66.28515625" style="2524" bestFit="1" customWidth="1"/>
    <col min="3587" max="3587" width="10" style="2524" bestFit="1" customWidth="1"/>
    <col min="3588" max="3589" width="8.5703125" style="2524" bestFit="1" customWidth="1"/>
    <col min="3590" max="3590" width="17.42578125" style="2524" bestFit="1" customWidth="1"/>
    <col min="3591" max="3591" width="17.28515625" style="2524" bestFit="1" customWidth="1"/>
    <col min="3592" max="3593" width="10.7109375" style="2524" customWidth="1"/>
    <col min="3594" max="3595" width="10.7109375" style="2524" bestFit="1" customWidth="1"/>
    <col min="3596" max="3596" width="10.7109375" style="2524" customWidth="1"/>
    <col min="3597" max="3599" width="10.7109375" style="2524" bestFit="1" customWidth="1"/>
    <col min="3600" max="3601" width="10.7109375" style="2524" customWidth="1"/>
    <col min="3602" max="3603" width="10.7109375" style="2524" bestFit="1" customWidth="1"/>
    <col min="3604" max="3840" width="9.140625" style="2524"/>
    <col min="3841" max="3841" width="14.140625" style="2524" customWidth="1"/>
    <col min="3842" max="3842" width="66.28515625" style="2524" bestFit="1" customWidth="1"/>
    <col min="3843" max="3843" width="10" style="2524" bestFit="1" customWidth="1"/>
    <col min="3844" max="3845" width="8.5703125" style="2524" bestFit="1" customWidth="1"/>
    <col min="3846" max="3846" width="17.42578125" style="2524" bestFit="1" customWidth="1"/>
    <col min="3847" max="3847" width="17.28515625" style="2524" bestFit="1" customWidth="1"/>
    <col min="3848" max="3849" width="10.7109375" style="2524" customWidth="1"/>
    <col min="3850" max="3851" width="10.7109375" style="2524" bestFit="1" customWidth="1"/>
    <col min="3852" max="3852" width="10.7109375" style="2524" customWidth="1"/>
    <col min="3853" max="3855" width="10.7109375" style="2524" bestFit="1" customWidth="1"/>
    <col min="3856" max="3857" width="10.7109375" style="2524" customWidth="1"/>
    <col min="3858" max="3859" width="10.7109375" style="2524" bestFit="1" customWidth="1"/>
    <col min="3860" max="4096" width="9.140625" style="2524"/>
    <col min="4097" max="4097" width="14.140625" style="2524" customWidth="1"/>
    <col min="4098" max="4098" width="66.28515625" style="2524" bestFit="1" customWidth="1"/>
    <col min="4099" max="4099" width="10" style="2524" bestFit="1" customWidth="1"/>
    <col min="4100" max="4101" width="8.5703125" style="2524" bestFit="1" customWidth="1"/>
    <col min="4102" max="4102" width="17.42578125" style="2524" bestFit="1" customWidth="1"/>
    <col min="4103" max="4103" width="17.28515625" style="2524" bestFit="1" customWidth="1"/>
    <col min="4104" max="4105" width="10.7109375" style="2524" customWidth="1"/>
    <col min="4106" max="4107" width="10.7109375" style="2524" bestFit="1" customWidth="1"/>
    <col min="4108" max="4108" width="10.7109375" style="2524" customWidth="1"/>
    <col min="4109" max="4111" width="10.7109375" style="2524" bestFit="1" customWidth="1"/>
    <col min="4112" max="4113" width="10.7109375" style="2524" customWidth="1"/>
    <col min="4114" max="4115" width="10.7109375" style="2524" bestFit="1" customWidth="1"/>
    <col min="4116" max="4352" width="9.140625" style="2524"/>
    <col min="4353" max="4353" width="14.140625" style="2524" customWidth="1"/>
    <col min="4354" max="4354" width="66.28515625" style="2524" bestFit="1" customWidth="1"/>
    <col min="4355" max="4355" width="10" style="2524" bestFit="1" customWidth="1"/>
    <col min="4356" max="4357" width="8.5703125" style="2524" bestFit="1" customWidth="1"/>
    <col min="4358" max="4358" width="17.42578125" style="2524" bestFit="1" customWidth="1"/>
    <col min="4359" max="4359" width="17.28515625" style="2524" bestFit="1" customWidth="1"/>
    <col min="4360" max="4361" width="10.7109375" style="2524" customWidth="1"/>
    <col min="4362" max="4363" width="10.7109375" style="2524" bestFit="1" customWidth="1"/>
    <col min="4364" max="4364" width="10.7109375" style="2524" customWidth="1"/>
    <col min="4365" max="4367" width="10.7109375" style="2524" bestFit="1" customWidth="1"/>
    <col min="4368" max="4369" width="10.7109375" style="2524" customWidth="1"/>
    <col min="4370" max="4371" width="10.7109375" style="2524" bestFit="1" customWidth="1"/>
    <col min="4372" max="4608" width="9.140625" style="2524"/>
    <col min="4609" max="4609" width="14.140625" style="2524" customWidth="1"/>
    <col min="4610" max="4610" width="66.28515625" style="2524" bestFit="1" customWidth="1"/>
    <col min="4611" max="4611" width="10" style="2524" bestFit="1" customWidth="1"/>
    <col min="4612" max="4613" width="8.5703125" style="2524" bestFit="1" customWidth="1"/>
    <col min="4614" max="4614" width="17.42578125" style="2524" bestFit="1" customWidth="1"/>
    <col min="4615" max="4615" width="17.28515625" style="2524" bestFit="1" customWidth="1"/>
    <col min="4616" max="4617" width="10.7109375" style="2524" customWidth="1"/>
    <col min="4618" max="4619" width="10.7109375" style="2524" bestFit="1" customWidth="1"/>
    <col min="4620" max="4620" width="10.7109375" style="2524" customWidth="1"/>
    <col min="4621" max="4623" width="10.7109375" style="2524" bestFit="1" customWidth="1"/>
    <col min="4624" max="4625" width="10.7109375" style="2524" customWidth="1"/>
    <col min="4626" max="4627" width="10.7109375" style="2524" bestFit="1" customWidth="1"/>
    <col min="4628" max="4864" width="9.140625" style="2524"/>
    <col min="4865" max="4865" width="14.140625" style="2524" customWidth="1"/>
    <col min="4866" max="4866" width="66.28515625" style="2524" bestFit="1" customWidth="1"/>
    <col min="4867" max="4867" width="10" style="2524" bestFit="1" customWidth="1"/>
    <col min="4868" max="4869" width="8.5703125" style="2524" bestFit="1" customWidth="1"/>
    <col min="4870" max="4870" width="17.42578125" style="2524" bestFit="1" customWidth="1"/>
    <col min="4871" max="4871" width="17.28515625" style="2524" bestFit="1" customWidth="1"/>
    <col min="4872" max="4873" width="10.7109375" style="2524" customWidth="1"/>
    <col min="4874" max="4875" width="10.7109375" style="2524" bestFit="1" customWidth="1"/>
    <col min="4876" max="4876" width="10.7109375" style="2524" customWidth="1"/>
    <col min="4877" max="4879" width="10.7109375" style="2524" bestFit="1" customWidth="1"/>
    <col min="4880" max="4881" width="10.7109375" style="2524" customWidth="1"/>
    <col min="4882" max="4883" width="10.7109375" style="2524" bestFit="1" customWidth="1"/>
    <col min="4884" max="5120" width="9.140625" style="2524"/>
    <col min="5121" max="5121" width="14.140625" style="2524" customWidth="1"/>
    <col min="5122" max="5122" width="66.28515625" style="2524" bestFit="1" customWidth="1"/>
    <col min="5123" max="5123" width="10" style="2524" bestFit="1" customWidth="1"/>
    <col min="5124" max="5125" width="8.5703125" style="2524" bestFit="1" customWidth="1"/>
    <col min="5126" max="5126" width="17.42578125" style="2524" bestFit="1" customWidth="1"/>
    <col min="5127" max="5127" width="17.28515625" style="2524" bestFit="1" customWidth="1"/>
    <col min="5128" max="5129" width="10.7109375" style="2524" customWidth="1"/>
    <col min="5130" max="5131" width="10.7109375" style="2524" bestFit="1" customWidth="1"/>
    <col min="5132" max="5132" width="10.7109375" style="2524" customWidth="1"/>
    <col min="5133" max="5135" width="10.7109375" style="2524" bestFit="1" customWidth="1"/>
    <col min="5136" max="5137" width="10.7109375" style="2524" customWidth="1"/>
    <col min="5138" max="5139" width="10.7109375" style="2524" bestFit="1" customWidth="1"/>
    <col min="5140" max="5376" width="9.140625" style="2524"/>
    <col min="5377" max="5377" width="14.140625" style="2524" customWidth="1"/>
    <col min="5378" max="5378" width="66.28515625" style="2524" bestFit="1" customWidth="1"/>
    <col min="5379" max="5379" width="10" style="2524" bestFit="1" customWidth="1"/>
    <col min="5380" max="5381" width="8.5703125" style="2524" bestFit="1" customWidth="1"/>
    <col min="5382" max="5382" width="17.42578125" style="2524" bestFit="1" customWidth="1"/>
    <col min="5383" max="5383" width="17.28515625" style="2524" bestFit="1" customWidth="1"/>
    <col min="5384" max="5385" width="10.7109375" style="2524" customWidth="1"/>
    <col min="5386" max="5387" width="10.7109375" style="2524" bestFit="1" customWidth="1"/>
    <col min="5388" max="5388" width="10.7109375" style="2524" customWidth="1"/>
    <col min="5389" max="5391" width="10.7109375" style="2524" bestFit="1" customWidth="1"/>
    <col min="5392" max="5393" width="10.7109375" style="2524" customWidth="1"/>
    <col min="5394" max="5395" width="10.7109375" style="2524" bestFit="1" customWidth="1"/>
    <col min="5396" max="5632" width="9.140625" style="2524"/>
    <col min="5633" max="5633" width="14.140625" style="2524" customWidth="1"/>
    <col min="5634" max="5634" width="66.28515625" style="2524" bestFit="1" customWidth="1"/>
    <col min="5635" max="5635" width="10" style="2524" bestFit="1" customWidth="1"/>
    <col min="5636" max="5637" width="8.5703125" style="2524" bestFit="1" customWidth="1"/>
    <col min="5638" max="5638" width="17.42578125" style="2524" bestFit="1" customWidth="1"/>
    <col min="5639" max="5639" width="17.28515625" style="2524" bestFit="1" customWidth="1"/>
    <col min="5640" max="5641" width="10.7109375" style="2524" customWidth="1"/>
    <col min="5642" max="5643" width="10.7109375" style="2524" bestFit="1" customWidth="1"/>
    <col min="5644" max="5644" width="10.7109375" style="2524" customWidth="1"/>
    <col min="5645" max="5647" width="10.7109375" style="2524" bestFit="1" customWidth="1"/>
    <col min="5648" max="5649" width="10.7109375" style="2524" customWidth="1"/>
    <col min="5650" max="5651" width="10.7109375" style="2524" bestFit="1" customWidth="1"/>
    <col min="5652" max="5888" width="9.140625" style="2524"/>
    <col min="5889" max="5889" width="14.140625" style="2524" customWidth="1"/>
    <col min="5890" max="5890" width="66.28515625" style="2524" bestFit="1" customWidth="1"/>
    <col min="5891" max="5891" width="10" style="2524" bestFit="1" customWidth="1"/>
    <col min="5892" max="5893" width="8.5703125" style="2524" bestFit="1" customWidth="1"/>
    <col min="5894" max="5894" width="17.42578125" style="2524" bestFit="1" customWidth="1"/>
    <col min="5895" max="5895" width="17.28515625" style="2524" bestFit="1" customWidth="1"/>
    <col min="5896" max="5897" width="10.7109375" style="2524" customWidth="1"/>
    <col min="5898" max="5899" width="10.7109375" style="2524" bestFit="1" customWidth="1"/>
    <col min="5900" max="5900" width="10.7109375" style="2524" customWidth="1"/>
    <col min="5901" max="5903" width="10.7109375" style="2524" bestFit="1" customWidth="1"/>
    <col min="5904" max="5905" width="10.7109375" style="2524" customWidth="1"/>
    <col min="5906" max="5907" width="10.7109375" style="2524" bestFit="1" customWidth="1"/>
    <col min="5908" max="6144" width="9.140625" style="2524"/>
    <col min="6145" max="6145" width="14.140625" style="2524" customWidth="1"/>
    <col min="6146" max="6146" width="66.28515625" style="2524" bestFit="1" customWidth="1"/>
    <col min="6147" max="6147" width="10" style="2524" bestFit="1" customWidth="1"/>
    <col min="6148" max="6149" width="8.5703125" style="2524" bestFit="1" customWidth="1"/>
    <col min="6150" max="6150" width="17.42578125" style="2524" bestFit="1" customWidth="1"/>
    <col min="6151" max="6151" width="17.28515625" style="2524" bestFit="1" customWidth="1"/>
    <col min="6152" max="6153" width="10.7109375" style="2524" customWidth="1"/>
    <col min="6154" max="6155" width="10.7109375" style="2524" bestFit="1" customWidth="1"/>
    <col min="6156" max="6156" width="10.7109375" style="2524" customWidth="1"/>
    <col min="6157" max="6159" width="10.7109375" style="2524" bestFit="1" customWidth="1"/>
    <col min="6160" max="6161" width="10.7109375" style="2524" customWidth="1"/>
    <col min="6162" max="6163" width="10.7109375" style="2524" bestFit="1" customWidth="1"/>
    <col min="6164" max="6400" width="9.140625" style="2524"/>
    <col min="6401" max="6401" width="14.140625" style="2524" customWidth="1"/>
    <col min="6402" max="6402" width="66.28515625" style="2524" bestFit="1" customWidth="1"/>
    <col min="6403" max="6403" width="10" style="2524" bestFit="1" customWidth="1"/>
    <col min="6404" max="6405" width="8.5703125" style="2524" bestFit="1" customWidth="1"/>
    <col min="6406" max="6406" width="17.42578125" style="2524" bestFit="1" customWidth="1"/>
    <col min="6407" max="6407" width="17.28515625" style="2524" bestFit="1" customWidth="1"/>
    <col min="6408" max="6409" width="10.7109375" style="2524" customWidth="1"/>
    <col min="6410" max="6411" width="10.7109375" style="2524" bestFit="1" customWidth="1"/>
    <col min="6412" max="6412" width="10.7109375" style="2524" customWidth="1"/>
    <col min="6413" max="6415" width="10.7109375" style="2524" bestFit="1" customWidth="1"/>
    <col min="6416" max="6417" width="10.7109375" style="2524" customWidth="1"/>
    <col min="6418" max="6419" width="10.7109375" style="2524" bestFit="1" customWidth="1"/>
    <col min="6420" max="6656" width="9.140625" style="2524"/>
    <col min="6657" max="6657" width="14.140625" style="2524" customWidth="1"/>
    <col min="6658" max="6658" width="66.28515625" style="2524" bestFit="1" customWidth="1"/>
    <col min="6659" max="6659" width="10" style="2524" bestFit="1" customWidth="1"/>
    <col min="6660" max="6661" width="8.5703125" style="2524" bestFit="1" customWidth="1"/>
    <col min="6662" max="6662" width="17.42578125" style="2524" bestFit="1" customWidth="1"/>
    <col min="6663" max="6663" width="17.28515625" style="2524" bestFit="1" customWidth="1"/>
    <col min="6664" max="6665" width="10.7109375" style="2524" customWidth="1"/>
    <col min="6666" max="6667" width="10.7109375" style="2524" bestFit="1" customWidth="1"/>
    <col min="6668" max="6668" width="10.7109375" style="2524" customWidth="1"/>
    <col min="6669" max="6671" width="10.7109375" style="2524" bestFit="1" customWidth="1"/>
    <col min="6672" max="6673" width="10.7109375" style="2524" customWidth="1"/>
    <col min="6674" max="6675" width="10.7109375" style="2524" bestFit="1" customWidth="1"/>
    <col min="6676" max="6912" width="9.140625" style="2524"/>
    <col min="6913" max="6913" width="14.140625" style="2524" customWidth="1"/>
    <col min="6914" max="6914" width="66.28515625" style="2524" bestFit="1" customWidth="1"/>
    <col min="6915" max="6915" width="10" style="2524" bestFit="1" customWidth="1"/>
    <col min="6916" max="6917" width="8.5703125" style="2524" bestFit="1" customWidth="1"/>
    <col min="6918" max="6918" width="17.42578125" style="2524" bestFit="1" customWidth="1"/>
    <col min="6919" max="6919" width="17.28515625" style="2524" bestFit="1" customWidth="1"/>
    <col min="6920" max="6921" width="10.7109375" style="2524" customWidth="1"/>
    <col min="6922" max="6923" width="10.7109375" style="2524" bestFit="1" customWidth="1"/>
    <col min="6924" max="6924" width="10.7109375" style="2524" customWidth="1"/>
    <col min="6925" max="6927" width="10.7109375" style="2524" bestFit="1" customWidth="1"/>
    <col min="6928" max="6929" width="10.7109375" style="2524" customWidth="1"/>
    <col min="6930" max="6931" width="10.7109375" style="2524" bestFit="1" customWidth="1"/>
    <col min="6932" max="7168" width="9.140625" style="2524"/>
    <col min="7169" max="7169" width="14.140625" style="2524" customWidth="1"/>
    <col min="7170" max="7170" width="66.28515625" style="2524" bestFit="1" customWidth="1"/>
    <col min="7171" max="7171" width="10" style="2524" bestFit="1" customWidth="1"/>
    <col min="7172" max="7173" width="8.5703125" style="2524" bestFit="1" customWidth="1"/>
    <col min="7174" max="7174" width="17.42578125" style="2524" bestFit="1" customWidth="1"/>
    <col min="7175" max="7175" width="17.28515625" style="2524" bestFit="1" customWidth="1"/>
    <col min="7176" max="7177" width="10.7109375" style="2524" customWidth="1"/>
    <col min="7178" max="7179" width="10.7109375" style="2524" bestFit="1" customWidth="1"/>
    <col min="7180" max="7180" width="10.7109375" style="2524" customWidth="1"/>
    <col min="7181" max="7183" width="10.7109375" style="2524" bestFit="1" customWidth="1"/>
    <col min="7184" max="7185" width="10.7109375" style="2524" customWidth="1"/>
    <col min="7186" max="7187" width="10.7109375" style="2524" bestFit="1" customWidth="1"/>
    <col min="7188" max="7424" width="9.140625" style="2524"/>
    <col min="7425" max="7425" width="14.140625" style="2524" customWidth="1"/>
    <col min="7426" max="7426" width="66.28515625" style="2524" bestFit="1" customWidth="1"/>
    <col min="7427" max="7427" width="10" style="2524" bestFit="1" customWidth="1"/>
    <col min="7428" max="7429" width="8.5703125" style="2524" bestFit="1" customWidth="1"/>
    <col min="7430" max="7430" width="17.42578125" style="2524" bestFit="1" customWidth="1"/>
    <col min="7431" max="7431" width="17.28515625" style="2524" bestFit="1" customWidth="1"/>
    <col min="7432" max="7433" width="10.7109375" style="2524" customWidth="1"/>
    <col min="7434" max="7435" width="10.7109375" style="2524" bestFit="1" customWidth="1"/>
    <col min="7436" max="7436" width="10.7109375" style="2524" customWidth="1"/>
    <col min="7437" max="7439" width="10.7109375" style="2524" bestFit="1" customWidth="1"/>
    <col min="7440" max="7441" width="10.7109375" style="2524" customWidth="1"/>
    <col min="7442" max="7443" width="10.7109375" style="2524" bestFit="1" customWidth="1"/>
    <col min="7444" max="7680" width="9.140625" style="2524"/>
    <col min="7681" max="7681" width="14.140625" style="2524" customWidth="1"/>
    <col min="7682" max="7682" width="66.28515625" style="2524" bestFit="1" customWidth="1"/>
    <col min="7683" max="7683" width="10" style="2524" bestFit="1" customWidth="1"/>
    <col min="7684" max="7685" width="8.5703125" style="2524" bestFit="1" customWidth="1"/>
    <col min="7686" max="7686" width="17.42578125" style="2524" bestFit="1" customWidth="1"/>
    <col min="7687" max="7687" width="17.28515625" style="2524" bestFit="1" customWidth="1"/>
    <col min="7688" max="7689" width="10.7109375" style="2524" customWidth="1"/>
    <col min="7690" max="7691" width="10.7109375" style="2524" bestFit="1" customWidth="1"/>
    <col min="7692" max="7692" width="10.7109375" style="2524" customWidth="1"/>
    <col min="7693" max="7695" width="10.7109375" style="2524" bestFit="1" customWidth="1"/>
    <col min="7696" max="7697" width="10.7109375" style="2524" customWidth="1"/>
    <col min="7698" max="7699" width="10.7109375" style="2524" bestFit="1" customWidth="1"/>
    <col min="7700" max="7936" width="9.140625" style="2524"/>
    <col min="7937" max="7937" width="14.140625" style="2524" customWidth="1"/>
    <col min="7938" max="7938" width="66.28515625" style="2524" bestFit="1" customWidth="1"/>
    <col min="7939" max="7939" width="10" style="2524" bestFit="1" customWidth="1"/>
    <col min="7940" max="7941" width="8.5703125" style="2524" bestFit="1" customWidth="1"/>
    <col min="7942" max="7942" width="17.42578125" style="2524" bestFit="1" customWidth="1"/>
    <col min="7943" max="7943" width="17.28515625" style="2524" bestFit="1" customWidth="1"/>
    <col min="7944" max="7945" width="10.7109375" style="2524" customWidth="1"/>
    <col min="7946" max="7947" width="10.7109375" style="2524" bestFit="1" customWidth="1"/>
    <col min="7948" max="7948" width="10.7109375" style="2524" customWidth="1"/>
    <col min="7949" max="7951" width="10.7109375" style="2524" bestFit="1" customWidth="1"/>
    <col min="7952" max="7953" width="10.7109375" style="2524" customWidth="1"/>
    <col min="7954" max="7955" width="10.7109375" style="2524" bestFit="1" customWidth="1"/>
    <col min="7956" max="8192" width="9.140625" style="2524"/>
    <col min="8193" max="8193" width="14.140625" style="2524" customWidth="1"/>
    <col min="8194" max="8194" width="66.28515625" style="2524" bestFit="1" customWidth="1"/>
    <col min="8195" max="8195" width="10" style="2524" bestFit="1" customWidth="1"/>
    <col min="8196" max="8197" width="8.5703125" style="2524" bestFit="1" customWidth="1"/>
    <col min="8198" max="8198" width="17.42578125" style="2524" bestFit="1" customWidth="1"/>
    <col min="8199" max="8199" width="17.28515625" style="2524" bestFit="1" customWidth="1"/>
    <col min="8200" max="8201" width="10.7109375" style="2524" customWidth="1"/>
    <col min="8202" max="8203" width="10.7109375" style="2524" bestFit="1" customWidth="1"/>
    <col min="8204" max="8204" width="10.7109375" style="2524" customWidth="1"/>
    <col min="8205" max="8207" width="10.7109375" style="2524" bestFit="1" customWidth="1"/>
    <col min="8208" max="8209" width="10.7109375" style="2524" customWidth="1"/>
    <col min="8210" max="8211" width="10.7109375" style="2524" bestFit="1" customWidth="1"/>
    <col min="8212" max="8448" width="9.140625" style="2524"/>
    <col min="8449" max="8449" width="14.140625" style="2524" customWidth="1"/>
    <col min="8450" max="8450" width="66.28515625" style="2524" bestFit="1" customWidth="1"/>
    <col min="8451" max="8451" width="10" style="2524" bestFit="1" customWidth="1"/>
    <col min="8452" max="8453" width="8.5703125" style="2524" bestFit="1" customWidth="1"/>
    <col min="8454" max="8454" width="17.42578125" style="2524" bestFit="1" customWidth="1"/>
    <col min="8455" max="8455" width="17.28515625" style="2524" bestFit="1" customWidth="1"/>
    <col min="8456" max="8457" width="10.7109375" style="2524" customWidth="1"/>
    <col min="8458" max="8459" width="10.7109375" style="2524" bestFit="1" customWidth="1"/>
    <col min="8460" max="8460" width="10.7109375" style="2524" customWidth="1"/>
    <col min="8461" max="8463" width="10.7109375" style="2524" bestFit="1" customWidth="1"/>
    <col min="8464" max="8465" width="10.7109375" style="2524" customWidth="1"/>
    <col min="8466" max="8467" width="10.7109375" style="2524" bestFit="1" customWidth="1"/>
    <col min="8468" max="8704" width="9.140625" style="2524"/>
    <col min="8705" max="8705" width="14.140625" style="2524" customWidth="1"/>
    <col min="8706" max="8706" width="66.28515625" style="2524" bestFit="1" customWidth="1"/>
    <col min="8707" max="8707" width="10" style="2524" bestFit="1" customWidth="1"/>
    <col min="8708" max="8709" width="8.5703125" style="2524" bestFit="1" customWidth="1"/>
    <col min="8710" max="8710" width="17.42578125" style="2524" bestFit="1" customWidth="1"/>
    <col min="8711" max="8711" width="17.28515625" style="2524" bestFit="1" customWidth="1"/>
    <col min="8712" max="8713" width="10.7109375" style="2524" customWidth="1"/>
    <col min="8714" max="8715" width="10.7109375" style="2524" bestFit="1" customWidth="1"/>
    <col min="8716" max="8716" width="10.7109375" style="2524" customWidth="1"/>
    <col min="8717" max="8719" width="10.7109375" style="2524" bestFit="1" customWidth="1"/>
    <col min="8720" max="8721" width="10.7109375" style="2524" customWidth="1"/>
    <col min="8722" max="8723" width="10.7109375" style="2524" bestFit="1" customWidth="1"/>
    <col min="8724" max="8960" width="9.140625" style="2524"/>
    <col min="8961" max="8961" width="14.140625" style="2524" customWidth="1"/>
    <col min="8962" max="8962" width="66.28515625" style="2524" bestFit="1" customWidth="1"/>
    <col min="8963" max="8963" width="10" style="2524" bestFit="1" customWidth="1"/>
    <col min="8964" max="8965" width="8.5703125" style="2524" bestFit="1" customWidth="1"/>
    <col min="8966" max="8966" width="17.42578125" style="2524" bestFit="1" customWidth="1"/>
    <col min="8967" max="8967" width="17.28515625" style="2524" bestFit="1" customWidth="1"/>
    <col min="8968" max="8969" width="10.7109375" style="2524" customWidth="1"/>
    <col min="8970" max="8971" width="10.7109375" style="2524" bestFit="1" customWidth="1"/>
    <col min="8972" max="8972" width="10.7109375" style="2524" customWidth="1"/>
    <col min="8973" max="8975" width="10.7109375" style="2524" bestFit="1" customWidth="1"/>
    <col min="8976" max="8977" width="10.7109375" style="2524" customWidth="1"/>
    <col min="8978" max="8979" width="10.7109375" style="2524" bestFit="1" customWidth="1"/>
    <col min="8980" max="9216" width="9.140625" style="2524"/>
    <col min="9217" max="9217" width="14.140625" style="2524" customWidth="1"/>
    <col min="9218" max="9218" width="66.28515625" style="2524" bestFit="1" customWidth="1"/>
    <col min="9219" max="9219" width="10" style="2524" bestFit="1" customWidth="1"/>
    <col min="9220" max="9221" width="8.5703125" style="2524" bestFit="1" customWidth="1"/>
    <col min="9222" max="9222" width="17.42578125" style="2524" bestFit="1" customWidth="1"/>
    <col min="9223" max="9223" width="17.28515625" style="2524" bestFit="1" customWidth="1"/>
    <col min="9224" max="9225" width="10.7109375" style="2524" customWidth="1"/>
    <col min="9226" max="9227" width="10.7109375" style="2524" bestFit="1" customWidth="1"/>
    <col min="9228" max="9228" width="10.7109375" style="2524" customWidth="1"/>
    <col min="9229" max="9231" width="10.7109375" style="2524" bestFit="1" customWidth="1"/>
    <col min="9232" max="9233" width="10.7109375" style="2524" customWidth="1"/>
    <col min="9234" max="9235" width="10.7109375" style="2524" bestFit="1" customWidth="1"/>
    <col min="9236" max="9472" width="9.140625" style="2524"/>
    <col min="9473" max="9473" width="14.140625" style="2524" customWidth="1"/>
    <col min="9474" max="9474" width="66.28515625" style="2524" bestFit="1" customWidth="1"/>
    <col min="9475" max="9475" width="10" style="2524" bestFit="1" customWidth="1"/>
    <col min="9476" max="9477" width="8.5703125" style="2524" bestFit="1" customWidth="1"/>
    <col min="9478" max="9478" width="17.42578125" style="2524" bestFit="1" customWidth="1"/>
    <col min="9479" max="9479" width="17.28515625" style="2524" bestFit="1" customWidth="1"/>
    <col min="9480" max="9481" width="10.7109375" style="2524" customWidth="1"/>
    <col min="9482" max="9483" width="10.7109375" style="2524" bestFit="1" customWidth="1"/>
    <col min="9484" max="9484" width="10.7109375" style="2524" customWidth="1"/>
    <col min="9485" max="9487" width="10.7109375" style="2524" bestFit="1" customWidth="1"/>
    <col min="9488" max="9489" width="10.7109375" style="2524" customWidth="1"/>
    <col min="9490" max="9491" width="10.7109375" style="2524" bestFit="1" customWidth="1"/>
    <col min="9492" max="9728" width="9.140625" style="2524"/>
    <col min="9729" max="9729" width="14.140625" style="2524" customWidth="1"/>
    <col min="9730" max="9730" width="66.28515625" style="2524" bestFit="1" customWidth="1"/>
    <col min="9731" max="9731" width="10" style="2524" bestFit="1" customWidth="1"/>
    <col min="9732" max="9733" width="8.5703125" style="2524" bestFit="1" customWidth="1"/>
    <col min="9734" max="9734" width="17.42578125" style="2524" bestFit="1" customWidth="1"/>
    <col min="9735" max="9735" width="17.28515625" style="2524" bestFit="1" customWidth="1"/>
    <col min="9736" max="9737" width="10.7109375" style="2524" customWidth="1"/>
    <col min="9738" max="9739" width="10.7109375" style="2524" bestFit="1" customWidth="1"/>
    <col min="9740" max="9740" width="10.7109375" style="2524" customWidth="1"/>
    <col min="9741" max="9743" width="10.7109375" style="2524" bestFit="1" customWidth="1"/>
    <col min="9744" max="9745" width="10.7109375" style="2524" customWidth="1"/>
    <col min="9746" max="9747" width="10.7109375" style="2524" bestFit="1" customWidth="1"/>
    <col min="9748" max="9984" width="9.140625" style="2524"/>
    <col min="9985" max="9985" width="14.140625" style="2524" customWidth="1"/>
    <col min="9986" max="9986" width="66.28515625" style="2524" bestFit="1" customWidth="1"/>
    <col min="9987" max="9987" width="10" style="2524" bestFit="1" customWidth="1"/>
    <col min="9988" max="9989" width="8.5703125" style="2524" bestFit="1" customWidth="1"/>
    <col min="9990" max="9990" width="17.42578125" style="2524" bestFit="1" customWidth="1"/>
    <col min="9991" max="9991" width="17.28515625" style="2524" bestFit="1" customWidth="1"/>
    <col min="9992" max="9993" width="10.7109375" style="2524" customWidth="1"/>
    <col min="9994" max="9995" width="10.7109375" style="2524" bestFit="1" customWidth="1"/>
    <col min="9996" max="9996" width="10.7109375" style="2524" customWidth="1"/>
    <col min="9997" max="9999" width="10.7109375" style="2524" bestFit="1" customWidth="1"/>
    <col min="10000" max="10001" width="10.7109375" style="2524" customWidth="1"/>
    <col min="10002" max="10003" width="10.7109375" style="2524" bestFit="1" customWidth="1"/>
    <col min="10004" max="10240" width="9.140625" style="2524"/>
    <col min="10241" max="10241" width="14.140625" style="2524" customWidth="1"/>
    <col min="10242" max="10242" width="66.28515625" style="2524" bestFit="1" customWidth="1"/>
    <col min="10243" max="10243" width="10" style="2524" bestFit="1" customWidth="1"/>
    <col min="10244" max="10245" width="8.5703125" style="2524" bestFit="1" customWidth="1"/>
    <col min="10246" max="10246" width="17.42578125" style="2524" bestFit="1" customWidth="1"/>
    <col min="10247" max="10247" width="17.28515625" style="2524" bestFit="1" customWidth="1"/>
    <col min="10248" max="10249" width="10.7109375" style="2524" customWidth="1"/>
    <col min="10250" max="10251" width="10.7109375" style="2524" bestFit="1" customWidth="1"/>
    <col min="10252" max="10252" width="10.7109375" style="2524" customWidth="1"/>
    <col min="10253" max="10255" width="10.7109375" style="2524" bestFit="1" customWidth="1"/>
    <col min="10256" max="10257" width="10.7109375" style="2524" customWidth="1"/>
    <col min="10258" max="10259" width="10.7109375" style="2524" bestFit="1" customWidth="1"/>
    <col min="10260" max="10496" width="9.140625" style="2524"/>
    <col min="10497" max="10497" width="14.140625" style="2524" customWidth="1"/>
    <col min="10498" max="10498" width="66.28515625" style="2524" bestFit="1" customWidth="1"/>
    <col min="10499" max="10499" width="10" style="2524" bestFit="1" customWidth="1"/>
    <col min="10500" max="10501" width="8.5703125" style="2524" bestFit="1" customWidth="1"/>
    <col min="10502" max="10502" width="17.42578125" style="2524" bestFit="1" customWidth="1"/>
    <col min="10503" max="10503" width="17.28515625" style="2524" bestFit="1" customWidth="1"/>
    <col min="10504" max="10505" width="10.7109375" style="2524" customWidth="1"/>
    <col min="10506" max="10507" width="10.7109375" style="2524" bestFit="1" customWidth="1"/>
    <col min="10508" max="10508" width="10.7109375" style="2524" customWidth="1"/>
    <col min="10509" max="10511" width="10.7109375" style="2524" bestFit="1" customWidth="1"/>
    <col min="10512" max="10513" width="10.7109375" style="2524" customWidth="1"/>
    <col min="10514" max="10515" width="10.7109375" style="2524" bestFit="1" customWidth="1"/>
    <col min="10516" max="10752" width="9.140625" style="2524"/>
    <col min="10753" max="10753" width="14.140625" style="2524" customWidth="1"/>
    <col min="10754" max="10754" width="66.28515625" style="2524" bestFit="1" customWidth="1"/>
    <col min="10755" max="10755" width="10" style="2524" bestFit="1" customWidth="1"/>
    <col min="10756" max="10757" width="8.5703125" style="2524" bestFit="1" customWidth="1"/>
    <col min="10758" max="10758" width="17.42578125" style="2524" bestFit="1" customWidth="1"/>
    <col min="10759" max="10759" width="17.28515625" style="2524" bestFit="1" customWidth="1"/>
    <col min="10760" max="10761" width="10.7109375" style="2524" customWidth="1"/>
    <col min="10762" max="10763" width="10.7109375" style="2524" bestFit="1" customWidth="1"/>
    <col min="10764" max="10764" width="10.7109375" style="2524" customWidth="1"/>
    <col min="10765" max="10767" width="10.7109375" style="2524" bestFit="1" customWidth="1"/>
    <col min="10768" max="10769" width="10.7109375" style="2524" customWidth="1"/>
    <col min="10770" max="10771" width="10.7109375" style="2524" bestFit="1" customWidth="1"/>
    <col min="10772" max="11008" width="9.140625" style="2524"/>
    <col min="11009" max="11009" width="14.140625" style="2524" customWidth="1"/>
    <col min="11010" max="11010" width="66.28515625" style="2524" bestFit="1" customWidth="1"/>
    <col min="11011" max="11011" width="10" style="2524" bestFit="1" customWidth="1"/>
    <col min="11012" max="11013" width="8.5703125" style="2524" bestFit="1" customWidth="1"/>
    <col min="11014" max="11014" width="17.42578125" style="2524" bestFit="1" customWidth="1"/>
    <col min="11015" max="11015" width="17.28515625" style="2524" bestFit="1" customWidth="1"/>
    <col min="11016" max="11017" width="10.7109375" style="2524" customWidth="1"/>
    <col min="11018" max="11019" width="10.7109375" style="2524" bestFit="1" customWidth="1"/>
    <col min="11020" max="11020" width="10.7109375" style="2524" customWidth="1"/>
    <col min="11021" max="11023" width="10.7109375" style="2524" bestFit="1" customWidth="1"/>
    <col min="11024" max="11025" width="10.7109375" style="2524" customWidth="1"/>
    <col min="11026" max="11027" width="10.7109375" style="2524" bestFit="1" customWidth="1"/>
    <col min="11028" max="11264" width="9.140625" style="2524"/>
    <col min="11265" max="11265" width="14.140625" style="2524" customWidth="1"/>
    <col min="11266" max="11266" width="66.28515625" style="2524" bestFit="1" customWidth="1"/>
    <col min="11267" max="11267" width="10" style="2524" bestFit="1" customWidth="1"/>
    <col min="11268" max="11269" width="8.5703125" style="2524" bestFit="1" customWidth="1"/>
    <col min="11270" max="11270" width="17.42578125" style="2524" bestFit="1" customWidth="1"/>
    <col min="11271" max="11271" width="17.28515625" style="2524" bestFit="1" customWidth="1"/>
    <col min="11272" max="11273" width="10.7109375" style="2524" customWidth="1"/>
    <col min="11274" max="11275" width="10.7109375" style="2524" bestFit="1" customWidth="1"/>
    <col min="11276" max="11276" width="10.7109375" style="2524" customWidth="1"/>
    <col min="11277" max="11279" width="10.7109375" style="2524" bestFit="1" customWidth="1"/>
    <col min="11280" max="11281" width="10.7109375" style="2524" customWidth="1"/>
    <col min="11282" max="11283" width="10.7109375" style="2524" bestFit="1" customWidth="1"/>
    <col min="11284" max="11520" width="9.140625" style="2524"/>
    <col min="11521" max="11521" width="14.140625" style="2524" customWidth="1"/>
    <col min="11522" max="11522" width="66.28515625" style="2524" bestFit="1" customWidth="1"/>
    <col min="11523" max="11523" width="10" style="2524" bestFit="1" customWidth="1"/>
    <col min="11524" max="11525" width="8.5703125" style="2524" bestFit="1" customWidth="1"/>
    <col min="11526" max="11526" width="17.42578125" style="2524" bestFit="1" customWidth="1"/>
    <col min="11527" max="11527" width="17.28515625" style="2524" bestFit="1" customWidth="1"/>
    <col min="11528" max="11529" width="10.7109375" style="2524" customWidth="1"/>
    <col min="11530" max="11531" width="10.7109375" style="2524" bestFit="1" customWidth="1"/>
    <col min="11532" max="11532" width="10.7109375" style="2524" customWidth="1"/>
    <col min="11533" max="11535" width="10.7109375" style="2524" bestFit="1" customWidth="1"/>
    <col min="11536" max="11537" width="10.7109375" style="2524" customWidth="1"/>
    <col min="11538" max="11539" width="10.7109375" style="2524" bestFit="1" customWidth="1"/>
    <col min="11540" max="11776" width="9.140625" style="2524"/>
    <col min="11777" max="11777" width="14.140625" style="2524" customWidth="1"/>
    <col min="11778" max="11778" width="66.28515625" style="2524" bestFit="1" customWidth="1"/>
    <col min="11779" max="11779" width="10" style="2524" bestFit="1" customWidth="1"/>
    <col min="11780" max="11781" width="8.5703125" style="2524" bestFit="1" customWidth="1"/>
    <col min="11782" max="11782" width="17.42578125" style="2524" bestFit="1" customWidth="1"/>
    <col min="11783" max="11783" width="17.28515625" style="2524" bestFit="1" customWidth="1"/>
    <col min="11784" max="11785" width="10.7109375" style="2524" customWidth="1"/>
    <col min="11786" max="11787" width="10.7109375" style="2524" bestFit="1" customWidth="1"/>
    <col min="11788" max="11788" width="10.7109375" style="2524" customWidth="1"/>
    <col min="11789" max="11791" width="10.7109375" style="2524" bestFit="1" customWidth="1"/>
    <col min="11792" max="11793" width="10.7109375" style="2524" customWidth="1"/>
    <col min="11794" max="11795" width="10.7109375" style="2524" bestFit="1" customWidth="1"/>
    <col min="11796" max="12032" width="9.140625" style="2524"/>
    <col min="12033" max="12033" width="14.140625" style="2524" customWidth="1"/>
    <col min="12034" max="12034" width="66.28515625" style="2524" bestFit="1" customWidth="1"/>
    <col min="12035" max="12035" width="10" style="2524" bestFit="1" customWidth="1"/>
    <col min="12036" max="12037" width="8.5703125" style="2524" bestFit="1" customWidth="1"/>
    <col min="12038" max="12038" width="17.42578125" style="2524" bestFit="1" customWidth="1"/>
    <col min="12039" max="12039" width="17.28515625" style="2524" bestFit="1" customWidth="1"/>
    <col min="12040" max="12041" width="10.7109375" style="2524" customWidth="1"/>
    <col min="12042" max="12043" width="10.7109375" style="2524" bestFit="1" customWidth="1"/>
    <col min="12044" max="12044" width="10.7109375" style="2524" customWidth="1"/>
    <col min="12045" max="12047" width="10.7109375" style="2524" bestFit="1" customWidth="1"/>
    <col min="12048" max="12049" width="10.7109375" style="2524" customWidth="1"/>
    <col min="12050" max="12051" width="10.7109375" style="2524" bestFit="1" customWidth="1"/>
    <col min="12052" max="12288" width="9.140625" style="2524"/>
    <col min="12289" max="12289" width="14.140625" style="2524" customWidth="1"/>
    <col min="12290" max="12290" width="66.28515625" style="2524" bestFit="1" customWidth="1"/>
    <col min="12291" max="12291" width="10" style="2524" bestFit="1" customWidth="1"/>
    <col min="12292" max="12293" width="8.5703125" style="2524" bestFit="1" customWidth="1"/>
    <col min="12294" max="12294" width="17.42578125" style="2524" bestFit="1" customWidth="1"/>
    <col min="12295" max="12295" width="17.28515625" style="2524" bestFit="1" customWidth="1"/>
    <col min="12296" max="12297" width="10.7109375" style="2524" customWidth="1"/>
    <col min="12298" max="12299" width="10.7109375" style="2524" bestFit="1" customWidth="1"/>
    <col min="12300" max="12300" width="10.7109375" style="2524" customWidth="1"/>
    <col min="12301" max="12303" width="10.7109375" style="2524" bestFit="1" customWidth="1"/>
    <col min="12304" max="12305" width="10.7109375" style="2524" customWidth="1"/>
    <col min="12306" max="12307" width="10.7109375" style="2524" bestFit="1" customWidth="1"/>
    <col min="12308" max="12544" width="9.140625" style="2524"/>
    <col min="12545" max="12545" width="14.140625" style="2524" customWidth="1"/>
    <col min="12546" max="12546" width="66.28515625" style="2524" bestFit="1" customWidth="1"/>
    <col min="12547" max="12547" width="10" style="2524" bestFit="1" customWidth="1"/>
    <col min="12548" max="12549" width="8.5703125" style="2524" bestFit="1" customWidth="1"/>
    <col min="12550" max="12550" width="17.42578125" style="2524" bestFit="1" customWidth="1"/>
    <col min="12551" max="12551" width="17.28515625" style="2524" bestFit="1" customWidth="1"/>
    <col min="12552" max="12553" width="10.7109375" style="2524" customWidth="1"/>
    <col min="12554" max="12555" width="10.7109375" style="2524" bestFit="1" customWidth="1"/>
    <col min="12556" max="12556" width="10.7109375" style="2524" customWidth="1"/>
    <col min="12557" max="12559" width="10.7109375" style="2524" bestFit="1" customWidth="1"/>
    <col min="12560" max="12561" width="10.7109375" style="2524" customWidth="1"/>
    <col min="12562" max="12563" width="10.7109375" style="2524" bestFit="1" customWidth="1"/>
    <col min="12564" max="12800" width="9.140625" style="2524"/>
    <col min="12801" max="12801" width="14.140625" style="2524" customWidth="1"/>
    <col min="12802" max="12802" width="66.28515625" style="2524" bestFit="1" customWidth="1"/>
    <col min="12803" max="12803" width="10" style="2524" bestFit="1" customWidth="1"/>
    <col min="12804" max="12805" width="8.5703125" style="2524" bestFit="1" customWidth="1"/>
    <col min="12806" max="12806" width="17.42578125" style="2524" bestFit="1" customWidth="1"/>
    <col min="12807" max="12807" width="17.28515625" style="2524" bestFit="1" customWidth="1"/>
    <col min="12808" max="12809" width="10.7109375" style="2524" customWidth="1"/>
    <col min="12810" max="12811" width="10.7109375" style="2524" bestFit="1" customWidth="1"/>
    <col min="12812" max="12812" width="10.7109375" style="2524" customWidth="1"/>
    <col min="12813" max="12815" width="10.7109375" style="2524" bestFit="1" customWidth="1"/>
    <col min="12816" max="12817" width="10.7109375" style="2524" customWidth="1"/>
    <col min="12818" max="12819" width="10.7109375" style="2524" bestFit="1" customWidth="1"/>
    <col min="12820" max="13056" width="9.140625" style="2524"/>
    <col min="13057" max="13057" width="14.140625" style="2524" customWidth="1"/>
    <col min="13058" max="13058" width="66.28515625" style="2524" bestFit="1" customWidth="1"/>
    <col min="13059" max="13059" width="10" style="2524" bestFit="1" customWidth="1"/>
    <col min="13060" max="13061" width="8.5703125" style="2524" bestFit="1" customWidth="1"/>
    <col min="13062" max="13062" width="17.42578125" style="2524" bestFit="1" customWidth="1"/>
    <col min="13063" max="13063" width="17.28515625" style="2524" bestFit="1" customWidth="1"/>
    <col min="13064" max="13065" width="10.7109375" style="2524" customWidth="1"/>
    <col min="13066" max="13067" width="10.7109375" style="2524" bestFit="1" customWidth="1"/>
    <col min="13068" max="13068" width="10.7109375" style="2524" customWidth="1"/>
    <col min="13069" max="13071" width="10.7109375" style="2524" bestFit="1" customWidth="1"/>
    <col min="13072" max="13073" width="10.7109375" style="2524" customWidth="1"/>
    <col min="13074" max="13075" width="10.7109375" style="2524" bestFit="1" customWidth="1"/>
    <col min="13076" max="13312" width="9.140625" style="2524"/>
    <col min="13313" max="13313" width="14.140625" style="2524" customWidth="1"/>
    <col min="13314" max="13314" width="66.28515625" style="2524" bestFit="1" customWidth="1"/>
    <col min="13315" max="13315" width="10" style="2524" bestFit="1" customWidth="1"/>
    <col min="13316" max="13317" width="8.5703125" style="2524" bestFit="1" customWidth="1"/>
    <col min="13318" max="13318" width="17.42578125" style="2524" bestFit="1" customWidth="1"/>
    <col min="13319" max="13319" width="17.28515625" style="2524" bestFit="1" customWidth="1"/>
    <col min="13320" max="13321" width="10.7109375" style="2524" customWidth="1"/>
    <col min="13322" max="13323" width="10.7109375" style="2524" bestFit="1" customWidth="1"/>
    <col min="13324" max="13324" width="10.7109375" style="2524" customWidth="1"/>
    <col min="13325" max="13327" width="10.7109375" style="2524" bestFit="1" customWidth="1"/>
    <col min="13328" max="13329" width="10.7109375" style="2524" customWidth="1"/>
    <col min="13330" max="13331" width="10.7109375" style="2524" bestFit="1" customWidth="1"/>
    <col min="13332" max="13568" width="9.140625" style="2524"/>
    <col min="13569" max="13569" width="14.140625" style="2524" customWidth="1"/>
    <col min="13570" max="13570" width="66.28515625" style="2524" bestFit="1" customWidth="1"/>
    <col min="13571" max="13571" width="10" style="2524" bestFit="1" customWidth="1"/>
    <col min="13572" max="13573" width="8.5703125" style="2524" bestFit="1" customWidth="1"/>
    <col min="13574" max="13574" width="17.42578125" style="2524" bestFit="1" customWidth="1"/>
    <col min="13575" max="13575" width="17.28515625" style="2524" bestFit="1" customWidth="1"/>
    <col min="13576" max="13577" width="10.7109375" style="2524" customWidth="1"/>
    <col min="13578" max="13579" width="10.7109375" style="2524" bestFit="1" customWidth="1"/>
    <col min="13580" max="13580" width="10.7109375" style="2524" customWidth="1"/>
    <col min="13581" max="13583" width="10.7109375" style="2524" bestFit="1" customWidth="1"/>
    <col min="13584" max="13585" width="10.7109375" style="2524" customWidth="1"/>
    <col min="13586" max="13587" width="10.7109375" style="2524" bestFit="1" customWidth="1"/>
    <col min="13588" max="13824" width="9.140625" style="2524"/>
    <col min="13825" max="13825" width="14.140625" style="2524" customWidth="1"/>
    <col min="13826" max="13826" width="66.28515625" style="2524" bestFit="1" customWidth="1"/>
    <col min="13827" max="13827" width="10" style="2524" bestFit="1" customWidth="1"/>
    <col min="13828" max="13829" width="8.5703125" style="2524" bestFit="1" customWidth="1"/>
    <col min="13830" max="13830" width="17.42578125" style="2524" bestFit="1" customWidth="1"/>
    <col min="13831" max="13831" width="17.28515625" style="2524" bestFit="1" customWidth="1"/>
    <col min="13832" max="13833" width="10.7109375" style="2524" customWidth="1"/>
    <col min="13834" max="13835" width="10.7109375" style="2524" bestFit="1" customWidth="1"/>
    <col min="13836" max="13836" width="10.7109375" style="2524" customWidth="1"/>
    <col min="13837" max="13839" width="10.7109375" style="2524" bestFit="1" customWidth="1"/>
    <col min="13840" max="13841" width="10.7109375" style="2524" customWidth="1"/>
    <col min="13842" max="13843" width="10.7109375" style="2524" bestFit="1" customWidth="1"/>
    <col min="13844" max="14080" width="9.140625" style="2524"/>
    <col min="14081" max="14081" width="14.140625" style="2524" customWidth="1"/>
    <col min="14082" max="14082" width="66.28515625" style="2524" bestFit="1" customWidth="1"/>
    <col min="14083" max="14083" width="10" style="2524" bestFit="1" customWidth="1"/>
    <col min="14084" max="14085" width="8.5703125" style="2524" bestFit="1" customWidth="1"/>
    <col min="14086" max="14086" width="17.42578125" style="2524" bestFit="1" customWidth="1"/>
    <col min="14087" max="14087" width="17.28515625" style="2524" bestFit="1" customWidth="1"/>
    <col min="14088" max="14089" width="10.7109375" style="2524" customWidth="1"/>
    <col min="14090" max="14091" width="10.7109375" style="2524" bestFit="1" customWidth="1"/>
    <col min="14092" max="14092" width="10.7109375" style="2524" customWidth="1"/>
    <col min="14093" max="14095" width="10.7109375" style="2524" bestFit="1" customWidth="1"/>
    <col min="14096" max="14097" width="10.7109375" style="2524" customWidth="1"/>
    <col min="14098" max="14099" width="10.7109375" style="2524" bestFit="1" customWidth="1"/>
    <col min="14100" max="14336" width="9.140625" style="2524"/>
    <col min="14337" max="14337" width="14.140625" style="2524" customWidth="1"/>
    <col min="14338" max="14338" width="66.28515625" style="2524" bestFit="1" customWidth="1"/>
    <col min="14339" max="14339" width="10" style="2524" bestFit="1" customWidth="1"/>
    <col min="14340" max="14341" width="8.5703125" style="2524" bestFit="1" customWidth="1"/>
    <col min="14342" max="14342" width="17.42578125" style="2524" bestFit="1" customWidth="1"/>
    <col min="14343" max="14343" width="17.28515625" style="2524" bestFit="1" customWidth="1"/>
    <col min="14344" max="14345" width="10.7109375" style="2524" customWidth="1"/>
    <col min="14346" max="14347" width="10.7109375" style="2524" bestFit="1" customWidth="1"/>
    <col min="14348" max="14348" width="10.7109375" style="2524" customWidth="1"/>
    <col min="14349" max="14351" width="10.7109375" style="2524" bestFit="1" customWidth="1"/>
    <col min="14352" max="14353" width="10.7109375" style="2524" customWidth="1"/>
    <col min="14354" max="14355" width="10.7109375" style="2524" bestFit="1" customWidth="1"/>
    <col min="14356" max="14592" width="9.140625" style="2524"/>
    <col min="14593" max="14593" width="14.140625" style="2524" customWidth="1"/>
    <col min="14594" max="14594" width="66.28515625" style="2524" bestFit="1" customWidth="1"/>
    <col min="14595" max="14595" width="10" style="2524" bestFit="1" customWidth="1"/>
    <col min="14596" max="14597" width="8.5703125" style="2524" bestFit="1" customWidth="1"/>
    <col min="14598" max="14598" width="17.42578125" style="2524" bestFit="1" customWidth="1"/>
    <col min="14599" max="14599" width="17.28515625" style="2524" bestFit="1" customWidth="1"/>
    <col min="14600" max="14601" width="10.7109375" style="2524" customWidth="1"/>
    <col min="14602" max="14603" width="10.7109375" style="2524" bestFit="1" customWidth="1"/>
    <col min="14604" max="14604" width="10.7109375" style="2524" customWidth="1"/>
    <col min="14605" max="14607" width="10.7109375" style="2524" bestFit="1" customWidth="1"/>
    <col min="14608" max="14609" width="10.7109375" style="2524" customWidth="1"/>
    <col min="14610" max="14611" width="10.7109375" style="2524" bestFit="1" customWidth="1"/>
    <col min="14612" max="14848" width="9.140625" style="2524"/>
    <col min="14849" max="14849" width="14.140625" style="2524" customWidth="1"/>
    <col min="14850" max="14850" width="66.28515625" style="2524" bestFit="1" customWidth="1"/>
    <col min="14851" max="14851" width="10" style="2524" bestFit="1" customWidth="1"/>
    <col min="14852" max="14853" width="8.5703125" style="2524" bestFit="1" customWidth="1"/>
    <col min="14854" max="14854" width="17.42578125" style="2524" bestFit="1" customWidth="1"/>
    <col min="14855" max="14855" width="17.28515625" style="2524" bestFit="1" customWidth="1"/>
    <col min="14856" max="14857" width="10.7109375" style="2524" customWidth="1"/>
    <col min="14858" max="14859" width="10.7109375" style="2524" bestFit="1" customWidth="1"/>
    <col min="14860" max="14860" width="10.7109375" style="2524" customWidth="1"/>
    <col min="14861" max="14863" width="10.7109375" style="2524" bestFit="1" customWidth="1"/>
    <col min="14864" max="14865" width="10.7109375" style="2524" customWidth="1"/>
    <col min="14866" max="14867" width="10.7109375" style="2524" bestFit="1" customWidth="1"/>
    <col min="14868" max="15104" width="9.140625" style="2524"/>
    <col min="15105" max="15105" width="14.140625" style="2524" customWidth="1"/>
    <col min="15106" max="15106" width="66.28515625" style="2524" bestFit="1" customWidth="1"/>
    <col min="15107" max="15107" width="10" style="2524" bestFit="1" customWidth="1"/>
    <col min="15108" max="15109" width="8.5703125" style="2524" bestFit="1" customWidth="1"/>
    <col min="15110" max="15110" width="17.42578125" style="2524" bestFit="1" customWidth="1"/>
    <col min="15111" max="15111" width="17.28515625" style="2524" bestFit="1" customWidth="1"/>
    <col min="15112" max="15113" width="10.7109375" style="2524" customWidth="1"/>
    <col min="15114" max="15115" width="10.7109375" style="2524" bestFit="1" customWidth="1"/>
    <col min="15116" max="15116" width="10.7109375" style="2524" customWidth="1"/>
    <col min="15117" max="15119" width="10.7109375" style="2524" bestFit="1" customWidth="1"/>
    <col min="15120" max="15121" width="10.7109375" style="2524" customWidth="1"/>
    <col min="15122" max="15123" width="10.7109375" style="2524" bestFit="1" customWidth="1"/>
    <col min="15124" max="15360" width="9.140625" style="2524"/>
    <col min="15361" max="15361" width="14.140625" style="2524" customWidth="1"/>
    <col min="15362" max="15362" width="66.28515625" style="2524" bestFit="1" customWidth="1"/>
    <col min="15363" max="15363" width="10" style="2524" bestFit="1" customWidth="1"/>
    <col min="15364" max="15365" width="8.5703125" style="2524" bestFit="1" customWidth="1"/>
    <col min="15366" max="15366" width="17.42578125" style="2524" bestFit="1" customWidth="1"/>
    <col min="15367" max="15367" width="17.28515625" style="2524" bestFit="1" customWidth="1"/>
    <col min="15368" max="15369" width="10.7109375" style="2524" customWidth="1"/>
    <col min="15370" max="15371" width="10.7109375" style="2524" bestFit="1" customWidth="1"/>
    <col min="15372" max="15372" width="10.7109375" style="2524" customWidth="1"/>
    <col min="15373" max="15375" width="10.7109375" style="2524" bestFit="1" customWidth="1"/>
    <col min="15376" max="15377" width="10.7109375" style="2524" customWidth="1"/>
    <col min="15378" max="15379" width="10.7109375" style="2524" bestFit="1" customWidth="1"/>
    <col min="15380" max="15616" width="9.140625" style="2524"/>
    <col min="15617" max="15617" width="14.140625" style="2524" customWidth="1"/>
    <col min="15618" max="15618" width="66.28515625" style="2524" bestFit="1" customWidth="1"/>
    <col min="15619" max="15619" width="10" style="2524" bestFit="1" customWidth="1"/>
    <col min="15620" max="15621" width="8.5703125" style="2524" bestFit="1" customWidth="1"/>
    <col min="15622" max="15622" width="17.42578125" style="2524" bestFit="1" customWidth="1"/>
    <col min="15623" max="15623" width="17.28515625" style="2524" bestFit="1" customWidth="1"/>
    <col min="15624" max="15625" width="10.7109375" style="2524" customWidth="1"/>
    <col min="15626" max="15627" width="10.7109375" style="2524" bestFit="1" customWidth="1"/>
    <col min="15628" max="15628" width="10.7109375" style="2524" customWidth="1"/>
    <col min="15629" max="15631" width="10.7109375" style="2524" bestFit="1" customWidth="1"/>
    <col min="15632" max="15633" width="10.7109375" style="2524" customWidth="1"/>
    <col min="15634" max="15635" width="10.7109375" style="2524" bestFit="1" customWidth="1"/>
    <col min="15636" max="15872" width="9.140625" style="2524"/>
    <col min="15873" max="15873" width="14.140625" style="2524" customWidth="1"/>
    <col min="15874" max="15874" width="66.28515625" style="2524" bestFit="1" customWidth="1"/>
    <col min="15875" max="15875" width="10" style="2524" bestFit="1" customWidth="1"/>
    <col min="15876" max="15877" width="8.5703125" style="2524" bestFit="1" customWidth="1"/>
    <col min="15878" max="15878" width="17.42578125" style="2524" bestFit="1" customWidth="1"/>
    <col min="15879" max="15879" width="17.28515625" style="2524" bestFit="1" customWidth="1"/>
    <col min="15880" max="15881" width="10.7109375" style="2524" customWidth="1"/>
    <col min="15882" max="15883" width="10.7109375" style="2524" bestFit="1" customWidth="1"/>
    <col min="15884" max="15884" width="10.7109375" style="2524" customWidth="1"/>
    <col min="15885" max="15887" width="10.7109375" style="2524" bestFit="1" customWidth="1"/>
    <col min="15888" max="15889" width="10.7109375" style="2524" customWidth="1"/>
    <col min="15890" max="15891" width="10.7109375" style="2524" bestFit="1" customWidth="1"/>
    <col min="15892" max="16128" width="9.140625" style="2524"/>
    <col min="16129" max="16129" width="14.140625" style="2524" customWidth="1"/>
    <col min="16130" max="16130" width="66.28515625" style="2524" bestFit="1" customWidth="1"/>
    <col min="16131" max="16131" width="10" style="2524" bestFit="1" customWidth="1"/>
    <col min="16132" max="16133" width="8.5703125" style="2524" bestFit="1" customWidth="1"/>
    <col min="16134" max="16134" width="17.42578125" style="2524" bestFit="1" customWidth="1"/>
    <col min="16135" max="16135" width="17.28515625" style="2524" bestFit="1" customWidth="1"/>
    <col min="16136" max="16137" width="10.7109375" style="2524" customWidth="1"/>
    <col min="16138" max="16139" width="10.7109375" style="2524" bestFit="1" customWidth="1"/>
    <col min="16140" max="16140" width="10.7109375" style="2524" customWidth="1"/>
    <col min="16141" max="16143" width="10.7109375" style="2524" bestFit="1" customWidth="1"/>
    <col min="16144" max="16145" width="10.7109375" style="2524" customWidth="1"/>
    <col min="16146" max="16147" width="10.7109375" style="2524" bestFit="1" customWidth="1"/>
    <col min="16148" max="16384" width="9.140625" style="2524"/>
  </cols>
  <sheetData>
    <row r="1" spans="1:135" s="2525" customFormat="1" ht="24.95" customHeight="1">
      <c r="B1" s="2522" t="str">
        <f>IF(dms_DataQuality="backcast",INDEX(dms_Worksheet_List,MATCH(dms_Model,dms_Model_List))&amp;" BACKCAST",INDEX(dms_Worksheet_List,MATCH(dms_Model,dms_Model_List)))</f>
        <v>REGULATORY REPORTING STATEMENT</v>
      </c>
      <c r="C1" s="2769"/>
      <c r="D1" s="2769"/>
      <c r="E1" s="2769"/>
      <c r="F1" s="2769"/>
      <c r="G1" s="2769"/>
      <c r="H1" s="2769"/>
      <c r="I1" s="2769"/>
      <c r="J1" s="2769"/>
      <c r="K1" s="2769"/>
      <c r="L1" s="2769"/>
      <c r="M1" s="2769"/>
      <c r="N1" s="2769"/>
      <c r="O1" s="2769"/>
      <c r="P1" s="2769"/>
      <c r="Q1" s="2769"/>
      <c r="R1" s="2769"/>
      <c r="S1" s="2769"/>
      <c r="T1" s="2769"/>
      <c r="U1" s="2769"/>
      <c r="V1" s="2769"/>
      <c r="W1" s="2769"/>
      <c r="X1" s="2769"/>
      <c r="Y1" s="2769"/>
      <c r="Z1" s="2769"/>
      <c r="AA1" s="2769"/>
      <c r="AB1" s="2524"/>
      <c r="AC1" s="2524"/>
      <c r="AD1" s="2524"/>
      <c r="AE1" s="2524"/>
    </row>
    <row r="2" spans="1:135" s="2525" customFormat="1" ht="24.95" customHeight="1">
      <c r="B2" s="2526" t="str">
        <f>INDEX(dms_TradingNameFull_List,MATCH(dms_TradingName,dms_TradingName_List))</f>
        <v>AusNet Gas Services</v>
      </c>
      <c r="C2" s="2526"/>
      <c r="D2" s="2526"/>
      <c r="E2" s="2526"/>
      <c r="F2" s="2526"/>
      <c r="G2" s="2526"/>
      <c r="H2" s="2526"/>
      <c r="I2" s="2526"/>
      <c r="J2" s="2526"/>
      <c r="K2" s="2526"/>
      <c r="L2" s="2526"/>
      <c r="M2" s="2526"/>
      <c r="N2" s="2526"/>
      <c r="O2" s="2526"/>
      <c r="P2" s="2526"/>
      <c r="Q2" s="2526"/>
      <c r="R2" s="2526"/>
      <c r="S2" s="2526"/>
      <c r="T2" s="2526"/>
      <c r="U2" s="2526"/>
      <c r="V2" s="2526"/>
      <c r="W2" s="2526"/>
      <c r="X2" s="2526"/>
      <c r="Y2" s="2526"/>
      <c r="Z2" s="2526"/>
      <c r="AA2" s="2526"/>
      <c r="AB2" s="2524"/>
      <c r="AC2" s="2524"/>
      <c r="AD2" s="2524"/>
      <c r="AE2" s="2524"/>
    </row>
    <row r="3" spans="1:135" s="2525" customFormat="1" ht="24.95" customHeight="1">
      <c r="B3" s="2526" t="str">
        <f ca="1">IF(SUM(dms_SingleYear_Model)&gt;0,CRY,CONCATENATE(FRCP_y1," to ",dms_MultiYear_FinalYear_Result))</f>
        <v>2018 to 2022</v>
      </c>
      <c r="C3" s="2528"/>
      <c r="D3" s="2528"/>
      <c r="E3" s="2528"/>
      <c r="F3" s="2528"/>
      <c r="G3" s="2528"/>
      <c r="H3" s="2528"/>
      <c r="I3" s="2528"/>
      <c r="J3" s="2528"/>
      <c r="K3" s="2528"/>
      <c r="L3" s="2528"/>
      <c r="M3" s="2528"/>
      <c r="N3" s="2528"/>
      <c r="O3" s="2528"/>
      <c r="P3" s="2528"/>
      <c r="Q3" s="2528"/>
      <c r="R3" s="2528"/>
      <c r="S3" s="2528"/>
      <c r="T3" s="2528"/>
      <c r="U3" s="2528"/>
      <c r="V3" s="2528"/>
      <c r="W3" s="2528"/>
      <c r="X3" s="2528"/>
      <c r="Y3" s="2528"/>
      <c r="Z3" s="2528"/>
      <c r="AA3" s="2528"/>
      <c r="AB3" s="2524"/>
      <c r="AC3" s="2524"/>
      <c r="AD3" s="2524"/>
      <c r="AE3" s="2524"/>
    </row>
    <row r="4" spans="1:135" s="2525" customFormat="1" ht="24" customHeight="1">
      <c r="B4" s="2529" t="s">
        <v>1631</v>
      </c>
      <c r="C4" s="2770"/>
      <c r="D4" s="2770"/>
      <c r="E4" s="2770"/>
      <c r="F4" s="2770"/>
      <c r="G4" s="2770"/>
      <c r="H4" s="2770"/>
      <c r="I4" s="2770"/>
      <c r="J4" s="2770"/>
      <c r="K4" s="2770"/>
      <c r="L4" s="2770"/>
      <c r="M4" s="2770"/>
      <c r="N4" s="2770"/>
      <c r="O4" s="2770"/>
      <c r="P4" s="2770"/>
      <c r="Q4" s="2770"/>
      <c r="R4" s="2770"/>
      <c r="S4" s="2770"/>
      <c r="T4" s="2770"/>
      <c r="U4" s="2770"/>
      <c r="V4" s="2770"/>
      <c r="W4" s="2770"/>
      <c r="X4" s="2770"/>
      <c r="Y4" s="2770"/>
      <c r="Z4" s="2770"/>
      <c r="AA4" s="2770"/>
      <c r="AB4" s="2524"/>
      <c r="AC4" s="2524"/>
      <c r="AD4" s="2524"/>
      <c r="AE4" s="2524"/>
    </row>
    <row r="5" spans="1:135">
      <c r="A5" s="360"/>
      <c r="B5" s="2771"/>
      <c r="C5" s="2771"/>
      <c r="D5" s="2771"/>
      <c r="E5" s="2771"/>
      <c r="F5" s="2771"/>
      <c r="G5" s="2771"/>
      <c r="H5" s="2771"/>
      <c r="I5" s="2771"/>
      <c r="J5" s="2771"/>
      <c r="K5" s="2771"/>
      <c r="L5" s="2771"/>
      <c r="M5" s="2771"/>
      <c r="N5" s="2771"/>
      <c r="O5" s="2771"/>
      <c r="P5" s="2771"/>
      <c r="Q5" s="2771"/>
      <c r="R5" s="2771"/>
      <c r="S5" s="2771"/>
      <c r="T5" s="2771"/>
      <c r="U5" s="2771"/>
      <c r="V5" s="2771"/>
      <c r="W5" s="2771"/>
      <c r="X5" s="2771"/>
      <c r="Y5" s="2771"/>
      <c r="Z5" s="2771"/>
      <c r="AA5" s="2771"/>
    </row>
    <row r="6" spans="1:135">
      <c r="A6" s="2771"/>
      <c r="B6" s="2771"/>
      <c r="C6" s="2771"/>
      <c r="D6" s="2771"/>
      <c r="E6" s="2771"/>
      <c r="F6" s="2771"/>
      <c r="G6" s="2771"/>
      <c r="H6" s="2771"/>
      <c r="I6" s="2771"/>
      <c r="J6" s="2771"/>
      <c r="K6" s="2771"/>
      <c r="L6" s="2771"/>
      <c r="M6" s="2771"/>
      <c r="N6" s="2771"/>
      <c r="O6" s="2771"/>
      <c r="P6" s="2771"/>
      <c r="Q6" s="2771"/>
      <c r="R6" s="2771"/>
      <c r="S6" s="2771"/>
      <c r="T6" s="2771"/>
      <c r="U6" s="2771"/>
      <c r="V6" s="2771"/>
      <c r="W6" s="2771"/>
      <c r="X6" s="2771"/>
      <c r="Y6" s="2771"/>
      <c r="Z6" s="2771"/>
      <c r="AA6" s="2771"/>
    </row>
    <row r="7" spans="1:135">
      <c r="A7" s="2771"/>
      <c r="B7" s="4573" t="s">
        <v>59</v>
      </c>
      <c r="C7" s="4573"/>
      <c r="D7" s="4573"/>
      <c r="E7" s="4573"/>
      <c r="F7" s="4573"/>
      <c r="G7" s="4573"/>
      <c r="H7" s="2771"/>
      <c r="I7" s="2771"/>
      <c r="J7" s="2771"/>
      <c r="K7" s="2771"/>
      <c r="L7" s="2771"/>
      <c r="M7" s="2771"/>
      <c r="N7" s="2771"/>
      <c r="O7" s="2771"/>
      <c r="P7" s="2771"/>
      <c r="Q7" s="2771"/>
      <c r="R7" s="2771"/>
      <c r="S7" s="2771"/>
      <c r="T7" s="2771"/>
      <c r="U7" s="2771"/>
      <c r="V7" s="2771"/>
      <c r="W7" s="2771"/>
      <c r="X7" s="2771"/>
      <c r="Y7" s="2771"/>
      <c r="Z7" s="2771"/>
      <c r="AA7" s="2771"/>
    </row>
    <row r="8" spans="1:135">
      <c r="A8" s="2771"/>
      <c r="B8" s="4574" t="s">
        <v>226</v>
      </c>
      <c r="C8" s="4574"/>
      <c r="D8" s="4574"/>
      <c r="E8" s="4574"/>
      <c r="F8" s="4574"/>
      <c r="G8" s="4574"/>
      <c r="H8" s="2771"/>
      <c r="I8" s="2771"/>
      <c r="J8" s="2771"/>
      <c r="K8" s="2771"/>
      <c r="L8" s="2771"/>
      <c r="M8" s="2771"/>
      <c r="N8" s="2771"/>
      <c r="O8" s="2771"/>
      <c r="P8" s="2771"/>
      <c r="Q8" s="2771"/>
      <c r="R8" s="2771"/>
      <c r="S8" s="2771"/>
      <c r="T8" s="2771"/>
      <c r="U8" s="2771"/>
      <c r="V8" s="2771"/>
      <c r="W8" s="2771"/>
      <c r="X8" s="2771"/>
      <c r="Y8" s="2771"/>
      <c r="Z8" s="2771"/>
      <c r="AA8" s="2771"/>
    </row>
    <row r="9" spans="1:135" ht="29.25" customHeight="1">
      <c r="A9" s="2771"/>
      <c r="B9" s="4574" t="s">
        <v>475</v>
      </c>
      <c r="C9" s="4574"/>
      <c r="D9" s="4574"/>
      <c r="E9" s="4574"/>
      <c r="F9" s="4574"/>
      <c r="G9" s="4574"/>
      <c r="H9" s="2771"/>
      <c r="I9" s="2771"/>
      <c r="J9" s="2771"/>
      <c r="K9" s="2771"/>
      <c r="L9" s="2771"/>
      <c r="M9" s="2771"/>
      <c r="N9" s="2771"/>
      <c r="O9" s="2771"/>
      <c r="P9" s="2771"/>
      <c r="Q9" s="2771"/>
      <c r="R9" s="2771"/>
      <c r="S9" s="2771"/>
      <c r="T9" s="2771"/>
      <c r="U9" s="2771"/>
      <c r="V9" s="2771"/>
      <c r="W9" s="2771"/>
      <c r="X9" s="2771"/>
      <c r="Y9" s="2771"/>
      <c r="Z9" s="2771"/>
      <c r="AA9" s="2771"/>
    </row>
    <row r="10" spans="1:135" ht="27" customHeight="1">
      <c r="A10" s="2771"/>
      <c r="B10" s="4575" t="s">
        <v>387</v>
      </c>
      <c r="C10" s="4576"/>
      <c r="D10" s="4576"/>
      <c r="E10" s="4576"/>
      <c r="F10" s="4576"/>
      <c r="G10" s="4576"/>
      <c r="H10" s="2771"/>
      <c r="I10" s="2771"/>
      <c r="J10" s="2771"/>
      <c r="K10" s="2771"/>
      <c r="L10" s="2771"/>
      <c r="M10" s="2771"/>
      <c r="N10" s="2771"/>
      <c r="O10" s="2771"/>
      <c r="P10" s="2771"/>
      <c r="Q10" s="2771"/>
      <c r="R10" s="2771"/>
      <c r="S10" s="2771"/>
      <c r="T10" s="2771"/>
      <c r="U10" s="2771"/>
      <c r="V10" s="2771"/>
      <c r="W10" s="2771"/>
      <c r="X10" s="2771"/>
      <c r="Y10" s="2771"/>
      <c r="Z10" s="2771"/>
      <c r="AA10" s="2771"/>
    </row>
    <row r="11" spans="1:135" ht="35.25" customHeight="1">
      <c r="A11" s="2771"/>
      <c r="C11" s="2771"/>
      <c r="D11" s="2771"/>
      <c r="E11" s="2771"/>
      <c r="F11" s="2771"/>
      <c r="G11" s="2771"/>
      <c r="H11" s="2771"/>
      <c r="I11" s="2771"/>
      <c r="J11" s="2771"/>
      <c r="K11" s="2771"/>
      <c r="L11" s="2771"/>
      <c r="M11" s="2771"/>
      <c r="N11" s="2771"/>
      <c r="O11" s="2771"/>
      <c r="P11" s="2771"/>
      <c r="Q11" s="2771"/>
      <c r="R11" s="2771"/>
      <c r="S11" s="2771"/>
      <c r="T11" s="2771"/>
      <c r="U11" s="2771"/>
      <c r="V11" s="2771"/>
      <c r="W11" s="2771"/>
      <c r="X11" s="2771"/>
      <c r="Y11" s="2771"/>
      <c r="Z11" s="2771"/>
      <c r="AA11" s="2771"/>
    </row>
    <row r="12" spans="1:135">
      <c r="A12" s="2771"/>
      <c r="B12" s="3083" t="s">
        <v>247</v>
      </c>
      <c r="C12" s="2771"/>
      <c r="D12" s="2771"/>
      <c r="E12" s="2771"/>
      <c r="F12" s="2771"/>
      <c r="G12" s="2771"/>
      <c r="H12" s="2771"/>
      <c r="I12" s="2771"/>
      <c r="J12" s="2771"/>
      <c r="K12" s="2771"/>
      <c r="L12" s="2771"/>
      <c r="M12" s="2771"/>
      <c r="N12" s="2771"/>
      <c r="O12" s="2771"/>
      <c r="P12" s="2771"/>
      <c r="Q12" s="2771"/>
      <c r="R12" s="2771"/>
      <c r="S12" s="2771"/>
      <c r="T12" s="2771"/>
      <c r="U12" s="2771"/>
      <c r="V12" s="2771"/>
      <c r="W12" s="2771"/>
      <c r="X12" s="2771"/>
      <c r="Y12" s="2771"/>
      <c r="Z12" s="2771"/>
      <c r="AA12" s="2771"/>
    </row>
    <row r="13" spans="1:135" ht="24.75" customHeight="1">
      <c r="A13" s="2771"/>
      <c r="B13" s="3016" t="s">
        <v>1632</v>
      </c>
      <c r="C13" s="2771"/>
      <c r="D13" s="2771"/>
      <c r="E13" s="2771"/>
      <c r="F13" s="2771"/>
      <c r="G13" s="2771"/>
      <c r="H13" s="2771"/>
      <c r="I13" s="2771"/>
      <c r="J13" s="2771"/>
      <c r="K13" s="2771"/>
      <c r="L13" s="2771"/>
      <c r="M13" s="2771"/>
      <c r="N13" s="2771"/>
      <c r="O13" s="2771"/>
      <c r="P13" s="2771"/>
      <c r="Q13" s="2771"/>
      <c r="R13" s="2771"/>
      <c r="S13" s="2771"/>
      <c r="T13" s="2771"/>
      <c r="U13" s="2771"/>
      <c r="V13" s="2771"/>
      <c r="W13" s="2771"/>
      <c r="X13" s="2771"/>
      <c r="Y13" s="2771"/>
      <c r="Z13" s="2771"/>
      <c r="AA13" s="2771"/>
    </row>
    <row r="14" spans="1:135" ht="32.25" customHeight="1">
      <c r="A14" s="2771"/>
      <c r="C14" s="2771"/>
      <c r="D14" s="2771"/>
      <c r="E14" s="2771"/>
      <c r="F14" s="2771"/>
      <c r="G14" s="2771"/>
      <c r="H14" s="2771"/>
      <c r="I14" s="2771"/>
      <c r="J14" s="2771"/>
      <c r="K14" s="2771"/>
      <c r="L14" s="2771"/>
      <c r="M14" s="2771"/>
      <c r="N14" s="2771"/>
      <c r="O14" s="2771"/>
      <c r="P14" s="2771"/>
      <c r="Q14" s="2771"/>
      <c r="R14" s="2771"/>
      <c r="S14" s="2771"/>
      <c r="T14" s="2771"/>
      <c r="U14" s="2771"/>
      <c r="V14" s="2771"/>
      <c r="W14" s="2771"/>
      <c r="X14" s="2771"/>
      <c r="Y14" s="2771"/>
      <c r="Z14" s="2771"/>
      <c r="AA14" s="2771"/>
    </row>
    <row r="15" spans="1:135" ht="13.5" thickBot="1">
      <c r="A15" s="2771"/>
    </row>
    <row r="16" spans="1:135" s="3019" customFormat="1" ht="18.75" customHeight="1" thickBot="1">
      <c r="A16" s="3013"/>
      <c r="B16" s="2884" t="s">
        <v>1633</v>
      </c>
      <c r="C16" s="3084"/>
      <c r="D16" s="3085"/>
      <c r="E16" s="3085"/>
      <c r="F16" s="3085"/>
      <c r="G16" s="3085"/>
      <c r="H16" s="3085"/>
      <c r="I16" s="3085"/>
      <c r="J16" s="3085"/>
      <c r="K16" s="3085"/>
      <c r="L16" s="3085"/>
      <c r="M16" s="3085"/>
      <c r="N16" s="3085"/>
      <c r="O16" s="3085"/>
      <c r="P16" s="3085"/>
      <c r="Q16" s="3085"/>
      <c r="R16" s="3085"/>
      <c r="S16" s="3085"/>
      <c r="T16" s="3085"/>
      <c r="U16" s="3085"/>
      <c r="V16" s="3085"/>
      <c r="W16" s="3085"/>
      <c r="X16" s="3085"/>
      <c r="Y16" s="3085"/>
      <c r="Z16" s="3085"/>
      <c r="AA16" s="3085"/>
      <c r="AB16" s="3086"/>
      <c r="AC16" s="2524"/>
      <c r="AD16" s="2524"/>
      <c r="AE16" s="2524"/>
      <c r="AF16" s="2524"/>
      <c r="DF16" s="2524"/>
      <c r="DG16" s="2524"/>
      <c r="DH16" s="2524"/>
      <c r="DI16" s="2524"/>
      <c r="DJ16" s="2524"/>
      <c r="DK16" s="2524"/>
      <c r="DL16" s="2524"/>
      <c r="DM16" s="2524"/>
      <c r="DN16" s="2524"/>
      <c r="DO16" s="2524"/>
      <c r="DP16" s="2524"/>
      <c r="DQ16" s="2524"/>
      <c r="DR16" s="2524"/>
      <c r="DS16" s="2524"/>
      <c r="DT16" s="2524"/>
      <c r="DU16" s="2524"/>
      <c r="DV16" s="2524"/>
      <c r="DW16" s="2524"/>
      <c r="DX16" s="2524"/>
      <c r="DY16" s="2524"/>
      <c r="DZ16" s="2524"/>
      <c r="EA16" s="2524"/>
      <c r="EB16" s="2524"/>
      <c r="EC16" s="2524"/>
      <c r="ED16" s="2524"/>
      <c r="EE16" s="2524"/>
    </row>
    <row r="17" spans="1:135" ht="20.25" customHeight="1">
      <c r="A17" s="2771"/>
      <c r="B17" s="4577"/>
      <c r="C17" s="4578"/>
      <c r="D17" s="4583" t="s">
        <v>37</v>
      </c>
      <c r="E17" s="4584"/>
      <c r="F17" s="4584"/>
      <c r="G17" s="4584"/>
      <c r="H17" s="4584"/>
      <c r="I17" s="4585" t="s">
        <v>73</v>
      </c>
      <c r="J17" s="4585"/>
      <c r="K17" s="4585"/>
      <c r="L17" s="4585"/>
      <c r="M17" s="4585"/>
      <c r="N17" s="4586" t="s">
        <v>249</v>
      </c>
      <c r="O17" s="4586"/>
      <c r="P17" s="4586"/>
      <c r="Q17" s="4586"/>
      <c r="R17" s="4586"/>
      <c r="S17" s="4586"/>
      <c r="T17" s="4586"/>
      <c r="U17" s="4586"/>
      <c r="V17" s="4586"/>
      <c r="W17" s="4586"/>
      <c r="X17" s="4586"/>
      <c r="Y17" s="4586"/>
      <c r="Z17" s="4586"/>
      <c r="AA17" s="4586"/>
      <c r="AB17" s="4587"/>
    </row>
    <row r="18" spans="1:135" ht="20.25" customHeight="1">
      <c r="A18" s="2771"/>
      <c r="B18" s="4579"/>
      <c r="C18" s="4580"/>
      <c r="D18" s="4588" t="s">
        <v>337</v>
      </c>
      <c r="E18" s="4589"/>
      <c r="F18" s="4589"/>
      <c r="G18" s="4589"/>
      <c r="H18" s="4589"/>
      <c r="I18" s="4589"/>
      <c r="J18" s="4589"/>
      <c r="K18" s="4589"/>
      <c r="L18" s="4589"/>
      <c r="M18" s="4589"/>
      <c r="N18" s="4589"/>
      <c r="O18" s="4589"/>
      <c r="P18" s="4589"/>
      <c r="Q18" s="4589"/>
      <c r="R18" s="4589"/>
      <c r="S18" s="4589"/>
      <c r="T18" s="4589"/>
      <c r="U18" s="4589"/>
      <c r="V18" s="4589"/>
      <c r="W18" s="4589"/>
      <c r="X18" s="4589"/>
      <c r="Y18" s="4589"/>
      <c r="Z18" s="4589"/>
      <c r="AA18" s="4589"/>
      <c r="AB18" s="4590"/>
    </row>
    <row r="19" spans="1:135" ht="20.25" customHeight="1">
      <c r="A19" s="2771"/>
      <c r="B19" s="4579"/>
      <c r="C19" s="4580"/>
      <c r="D19" s="4588" t="s">
        <v>54</v>
      </c>
      <c r="E19" s="4589"/>
      <c r="F19" s="4591"/>
      <c r="G19" s="4592" t="s">
        <v>377</v>
      </c>
      <c r="H19" s="4593"/>
      <c r="I19" s="4593"/>
      <c r="J19" s="4593"/>
      <c r="K19" s="4593"/>
      <c r="L19" s="4593"/>
      <c r="M19" s="4593"/>
      <c r="N19" s="4593"/>
      <c r="O19" s="4593"/>
      <c r="P19" s="4593"/>
      <c r="Q19" s="4593"/>
      <c r="R19" s="4593"/>
      <c r="S19" s="4593"/>
      <c r="T19" s="4593"/>
      <c r="U19" s="4593"/>
      <c r="V19" s="4593"/>
      <c r="W19" s="4593"/>
      <c r="X19" s="4593"/>
      <c r="Y19" s="4593"/>
      <c r="Z19" s="4593"/>
      <c r="AA19" s="4593"/>
      <c r="AB19" s="4594"/>
    </row>
    <row r="20" spans="1:135" ht="20.25" customHeight="1" thickBot="1">
      <c r="A20" s="2771"/>
      <c r="B20" s="4581"/>
      <c r="C20" s="4582"/>
      <c r="D20" s="3017">
        <f>CRCP_y1</f>
        <v>2013</v>
      </c>
      <c r="E20" s="3017">
        <f>CRCP_y2</f>
        <v>2014</v>
      </c>
      <c r="F20" s="3017">
        <f>CRCP_y3</f>
        <v>2015</v>
      </c>
      <c r="G20" s="3017">
        <f>CRCP_y4</f>
        <v>2016</v>
      </c>
      <c r="H20" s="3017">
        <f>CRCP_y5</f>
        <v>2017</v>
      </c>
      <c r="I20" s="2908" t="str">
        <f>CONCATENATE(IF(dms_RPT="Calendar",H20+1,(LEFT(H20,4)+1&amp;"-"&amp;IF(MID(H20,6,2)&lt;"09","0"&amp;RIGHT(H20,1)+1,RIGHT(H20,2)+1))))</f>
        <v>2018</v>
      </c>
      <c r="J20" s="2908" t="str">
        <f t="shared" ref="J20:AB20" si="0">CONCATENATE(IF(dms_RPT="Calendar",I20+1,(LEFT(I20,4)+1&amp;"-"&amp;IF(MID(I20,6,2)&lt;"09","0"&amp;RIGHT(I20,1)+1,RIGHT(I20,2)+1))))</f>
        <v>2019</v>
      </c>
      <c r="K20" s="2908" t="str">
        <f t="shared" si="0"/>
        <v>2020</v>
      </c>
      <c r="L20" s="2908" t="str">
        <f t="shared" si="0"/>
        <v>2021</v>
      </c>
      <c r="M20" s="2908" t="str">
        <f t="shared" si="0"/>
        <v>2022</v>
      </c>
      <c r="N20" s="3017" t="str">
        <f t="shared" si="0"/>
        <v>2023</v>
      </c>
      <c r="O20" s="3017" t="str">
        <f t="shared" si="0"/>
        <v>2024</v>
      </c>
      <c r="P20" s="3017" t="str">
        <f t="shared" si="0"/>
        <v>2025</v>
      </c>
      <c r="Q20" s="3017" t="str">
        <f t="shared" si="0"/>
        <v>2026</v>
      </c>
      <c r="R20" s="3017" t="str">
        <f t="shared" si="0"/>
        <v>2027</v>
      </c>
      <c r="S20" s="3017" t="str">
        <f t="shared" si="0"/>
        <v>2028</v>
      </c>
      <c r="T20" s="3017" t="str">
        <f t="shared" si="0"/>
        <v>2029</v>
      </c>
      <c r="U20" s="3017" t="str">
        <f t="shared" si="0"/>
        <v>2030</v>
      </c>
      <c r="V20" s="3017" t="str">
        <f t="shared" si="0"/>
        <v>2031</v>
      </c>
      <c r="W20" s="3017" t="str">
        <f t="shared" si="0"/>
        <v>2032</v>
      </c>
      <c r="X20" s="3017" t="str">
        <f t="shared" si="0"/>
        <v>2033</v>
      </c>
      <c r="Y20" s="3017" t="str">
        <f t="shared" si="0"/>
        <v>2034</v>
      </c>
      <c r="Z20" s="3017" t="str">
        <f t="shared" si="0"/>
        <v>2035</v>
      </c>
      <c r="AA20" s="3017" t="str">
        <f t="shared" si="0"/>
        <v>2036</v>
      </c>
      <c r="AB20" s="3017" t="str">
        <f t="shared" si="0"/>
        <v>2037</v>
      </c>
    </row>
    <row r="21" spans="1:135" s="3019" customFormat="1" ht="18.75" customHeight="1" thickBot="1">
      <c r="A21" s="3013"/>
      <c r="B21" s="3087" t="s">
        <v>1634</v>
      </c>
      <c r="C21" s="3088"/>
      <c r="D21" s="3088"/>
      <c r="E21" s="3088"/>
      <c r="F21" s="3088"/>
      <c r="G21" s="3088"/>
      <c r="H21" s="3088"/>
      <c r="I21" s="3088"/>
      <c r="J21" s="3088"/>
      <c r="K21" s="3088"/>
      <c r="L21" s="3088"/>
      <c r="M21" s="3088"/>
      <c r="N21" s="3088"/>
      <c r="O21" s="3088"/>
      <c r="P21" s="3088"/>
      <c r="Q21" s="3088"/>
      <c r="R21" s="3088"/>
      <c r="S21" s="3088"/>
      <c r="T21" s="3088"/>
      <c r="U21" s="3088"/>
      <c r="V21" s="3088"/>
      <c r="W21" s="3088"/>
      <c r="X21" s="3088"/>
      <c r="Y21" s="3088"/>
      <c r="Z21" s="3088"/>
      <c r="AA21" s="3088"/>
      <c r="AB21" s="3089"/>
      <c r="AC21" s="2524"/>
      <c r="AD21" s="2524"/>
      <c r="AE21" s="2524"/>
      <c r="AF21" s="2524"/>
      <c r="DF21" s="2524"/>
      <c r="DG21" s="2524"/>
      <c r="DH21" s="2524"/>
      <c r="DI21" s="2524"/>
      <c r="DJ21" s="2524"/>
      <c r="DK21" s="2524"/>
      <c r="DL21" s="2524"/>
      <c r="DM21" s="2524"/>
      <c r="DN21" s="2524"/>
      <c r="DO21" s="2524"/>
      <c r="DP21" s="2524"/>
      <c r="DQ21" s="2524"/>
      <c r="DR21" s="2524"/>
      <c r="DS21" s="2524"/>
      <c r="DT21" s="2524"/>
      <c r="DU21" s="2524"/>
      <c r="DV21" s="2524"/>
      <c r="DW21" s="2524"/>
      <c r="DX21" s="2524"/>
      <c r="DY21" s="2524"/>
      <c r="DZ21" s="2524"/>
      <c r="EA21" s="2524"/>
      <c r="EB21" s="2524"/>
      <c r="EC21" s="2524"/>
      <c r="ED21" s="2524"/>
      <c r="EE21" s="2524"/>
    </row>
    <row r="22" spans="1:135" s="3096" customFormat="1" ht="25.5" customHeight="1">
      <c r="A22" s="3090"/>
      <c r="B22" s="3091" t="s">
        <v>1635</v>
      </c>
      <c r="C22" s="3092"/>
      <c r="D22" s="3093"/>
      <c r="E22" s="3093"/>
      <c r="F22" s="3093"/>
      <c r="G22" s="3093"/>
      <c r="H22" s="3093"/>
      <c r="I22" s="3093"/>
      <c r="J22" s="3093"/>
      <c r="K22" s="3093"/>
      <c r="L22" s="3093"/>
      <c r="M22" s="3093"/>
      <c r="N22" s="3093"/>
      <c r="O22" s="3093"/>
      <c r="P22" s="3093"/>
      <c r="Q22" s="3093"/>
      <c r="R22" s="3093"/>
      <c r="S22" s="3093"/>
      <c r="T22" s="3093"/>
      <c r="U22" s="3093"/>
      <c r="V22" s="3093"/>
      <c r="W22" s="3093"/>
      <c r="X22" s="3093"/>
      <c r="Y22" s="3093"/>
      <c r="Z22" s="3093"/>
      <c r="AA22" s="3093"/>
      <c r="AB22" s="3094"/>
      <c r="AC22" s="3095"/>
      <c r="AD22" s="3095"/>
      <c r="AE22" s="3095"/>
      <c r="AF22" s="3095"/>
      <c r="DF22" s="3095"/>
      <c r="DG22" s="3095"/>
      <c r="DH22" s="3095"/>
      <c r="DI22" s="3095"/>
      <c r="DJ22" s="3095"/>
      <c r="DK22" s="3095"/>
      <c r="DL22" s="3095"/>
      <c r="DM22" s="3095"/>
      <c r="DN22" s="3095"/>
      <c r="DO22" s="3095"/>
      <c r="DP22" s="3095"/>
      <c r="DQ22" s="3095"/>
      <c r="DR22" s="3095"/>
      <c r="DS22" s="3095"/>
      <c r="DT22" s="3095"/>
      <c r="DU22" s="3095"/>
      <c r="DV22" s="3095"/>
      <c r="DW22" s="3095"/>
      <c r="DX22" s="3095"/>
      <c r="DY22" s="3095"/>
      <c r="DZ22" s="3095"/>
      <c r="EA22" s="3095"/>
      <c r="EB22" s="3095"/>
      <c r="EC22" s="3095"/>
      <c r="ED22" s="3095"/>
      <c r="EE22" s="3095"/>
    </row>
    <row r="23" spans="1:135" s="3019" customFormat="1">
      <c r="A23" s="3013"/>
      <c r="B23" s="4570" t="s">
        <v>1623</v>
      </c>
      <c r="C23" s="3097" t="s">
        <v>713</v>
      </c>
      <c r="D23" s="3063"/>
      <c r="E23" s="463">
        <f>D24</f>
        <v>0</v>
      </c>
      <c r="F23" s="463">
        <f t="shared" ref="F23:AB23" si="1">E24</f>
        <v>0</v>
      </c>
      <c r="G23" s="463">
        <f>E24</f>
        <v>0</v>
      </c>
      <c r="H23" s="1190">
        <f>F24</f>
        <v>0</v>
      </c>
      <c r="I23" s="462">
        <f t="shared" si="1"/>
        <v>0</v>
      </c>
      <c r="J23" s="463">
        <f t="shared" si="1"/>
        <v>368.20674296075708</v>
      </c>
      <c r="K23" s="463">
        <f t="shared" si="1"/>
        <v>644.36180018132495</v>
      </c>
      <c r="L23" s="463">
        <f t="shared" si="1"/>
        <v>851.47809309675085</v>
      </c>
      <c r="M23" s="464">
        <f t="shared" si="1"/>
        <v>1006.8153127833202</v>
      </c>
      <c r="N23" s="513">
        <f t="shared" si="1"/>
        <v>1123.3182275482473</v>
      </c>
      <c r="O23" s="463">
        <f t="shared" si="1"/>
        <v>1211.7142236419973</v>
      </c>
      <c r="P23" s="463">
        <f t="shared" si="1"/>
        <v>1278.0112207123098</v>
      </c>
      <c r="Q23" s="463">
        <f t="shared" si="1"/>
        <v>1327.7339685150441</v>
      </c>
      <c r="R23" s="463">
        <f t="shared" si="1"/>
        <v>1365.0260293670949</v>
      </c>
      <c r="S23" s="463">
        <f t="shared" si="1"/>
        <v>1392.995075006133</v>
      </c>
      <c r="T23" s="463">
        <f t="shared" si="1"/>
        <v>1413.9718592354116</v>
      </c>
      <c r="U23" s="463">
        <f t="shared" si="1"/>
        <v>1429.7044474073705</v>
      </c>
      <c r="V23" s="463">
        <f t="shared" si="1"/>
        <v>1441.5038885363397</v>
      </c>
      <c r="W23" s="463">
        <f t="shared" si="1"/>
        <v>1450.3534693830666</v>
      </c>
      <c r="X23" s="463">
        <f t="shared" si="1"/>
        <v>1456.9906550181117</v>
      </c>
      <c r="Y23" s="463">
        <f t="shared" si="1"/>
        <v>1461.9685442443956</v>
      </c>
      <c r="Z23" s="463">
        <f t="shared" si="1"/>
        <v>1465.7019611641085</v>
      </c>
      <c r="AA23" s="463">
        <f t="shared" si="1"/>
        <v>1468.5020238538932</v>
      </c>
      <c r="AB23" s="464">
        <f t="shared" si="1"/>
        <v>1470.6020708712317</v>
      </c>
      <c r="AC23" s="2524"/>
      <c r="AD23" s="2524"/>
      <c r="AE23" s="2524"/>
      <c r="AF23" s="2524"/>
    </row>
    <row r="24" spans="1:135" s="3019" customFormat="1">
      <c r="A24" s="3013"/>
      <c r="B24" s="4571"/>
      <c r="C24" s="3097" t="s">
        <v>714</v>
      </c>
      <c r="D24" s="3063"/>
      <c r="E24" s="3064"/>
      <c r="F24" s="3064"/>
      <c r="G24" s="3064"/>
      <c r="H24" s="625">
        <f>+'[13]Calc - residential CNs'!Q45</f>
        <v>0</v>
      </c>
      <c r="I24" s="459">
        <f>+'[13]Calc - residential CNs'!R45</f>
        <v>368.20674296075708</v>
      </c>
      <c r="J24" s="458">
        <f>+'[13]Calc - residential CNs'!S45</f>
        <v>644.36180018132495</v>
      </c>
      <c r="K24" s="458">
        <f>+'[13]Calc - residential CNs'!T45</f>
        <v>851.47809309675085</v>
      </c>
      <c r="L24" s="458">
        <f>+'[13]Calc - residential CNs'!U45</f>
        <v>1006.8153127833202</v>
      </c>
      <c r="M24" s="460">
        <f>+'[13]Calc - residential CNs'!V45</f>
        <v>1123.3182275482473</v>
      </c>
      <c r="N24" s="413">
        <f>N23+('[13]Calc - residential CNs'!$Y$256-N23-$AB$36)*0.25</f>
        <v>1211.7142236419973</v>
      </c>
      <c r="O24" s="413">
        <f>O23+('[13]Calc - residential CNs'!$Y$256-O23-$AB$36)*0.25</f>
        <v>1278.0112207123098</v>
      </c>
      <c r="P24" s="413">
        <f>P23+('[13]Calc - residential CNs'!$Y$256-P23-$AB$36)*0.25</f>
        <v>1327.7339685150441</v>
      </c>
      <c r="Q24" s="413">
        <f>Q23+('[13]Calc - residential CNs'!$Y$256-Q23-$AB$36)*0.25</f>
        <v>1365.0260293670949</v>
      </c>
      <c r="R24" s="413">
        <f>R23+('[13]Calc - residential CNs'!$Y$256-R23-$AB$36)*0.25</f>
        <v>1392.995075006133</v>
      </c>
      <c r="S24" s="413">
        <f>S23+('[13]Calc - residential CNs'!$Y$256-S23-$AB$36)*0.25</f>
        <v>1413.9718592354116</v>
      </c>
      <c r="T24" s="413">
        <f>T23+('[13]Calc - residential CNs'!$Y$256-T23-$AB$36)*0.25</f>
        <v>1429.7044474073705</v>
      </c>
      <c r="U24" s="413">
        <f>U23+('[13]Calc - residential CNs'!$Y$256-U23-$AB$36)*0.25</f>
        <v>1441.5038885363397</v>
      </c>
      <c r="V24" s="413">
        <f>V23+('[13]Calc - residential CNs'!$Y$256-V23-$AB$36)*0.25</f>
        <v>1450.3534693830666</v>
      </c>
      <c r="W24" s="413">
        <f>W23+('[13]Calc - residential CNs'!$Y$256-W23-$AB$36)*0.25</f>
        <v>1456.9906550181117</v>
      </c>
      <c r="X24" s="413">
        <f>X23+('[13]Calc - residential CNs'!$Y$256-X23-$AB$36)*0.25</f>
        <v>1461.9685442443956</v>
      </c>
      <c r="Y24" s="413">
        <f>Y23+('[13]Calc - residential CNs'!$Y$256-Y23-$AB$36)*0.25</f>
        <v>1465.7019611641085</v>
      </c>
      <c r="Z24" s="413">
        <f>Z23+('[13]Calc - residential CNs'!$Y$256-Z23-$AB$36)*0.25</f>
        <v>1468.5020238538932</v>
      </c>
      <c r="AA24" s="458">
        <f>AA23+('[13]Calc - residential CNs'!$Y$256-AA23-$AB$36)*0.25</f>
        <v>1470.6020708712317</v>
      </c>
      <c r="AB24" s="460">
        <f>AB23+('[13]Calc - residential CNs'!$Y$256-AB23-$AB$36)*0.25</f>
        <v>1472.1771061342356</v>
      </c>
      <c r="AC24" s="2524"/>
      <c r="AD24" s="2524"/>
      <c r="AE24" s="2524"/>
      <c r="AF24" s="2524"/>
    </row>
    <row r="25" spans="1:135" s="3019" customFormat="1">
      <c r="A25" s="3013"/>
      <c r="B25" s="4571"/>
      <c r="C25" s="3097" t="s">
        <v>68</v>
      </c>
      <c r="D25" s="462">
        <f t="shared" ref="D25:AB25" si="2">IF(ISERROR(AVERAGE(D23:D24)),0,AVERAGE(D23:D24))</f>
        <v>0</v>
      </c>
      <c r="E25" s="463">
        <f t="shared" si="2"/>
        <v>0</v>
      </c>
      <c r="F25" s="463">
        <f t="shared" si="2"/>
        <v>0</v>
      </c>
      <c r="G25" s="463">
        <f t="shared" si="2"/>
        <v>0</v>
      </c>
      <c r="H25" s="1190">
        <f t="shared" si="2"/>
        <v>0</v>
      </c>
      <c r="I25" s="462">
        <f t="shared" si="2"/>
        <v>184.10337148037854</v>
      </c>
      <c r="J25" s="463">
        <f t="shared" si="2"/>
        <v>506.28427157104102</v>
      </c>
      <c r="K25" s="463">
        <f t="shared" si="2"/>
        <v>747.9199466390379</v>
      </c>
      <c r="L25" s="463">
        <f t="shared" si="2"/>
        <v>929.14670294003554</v>
      </c>
      <c r="M25" s="464">
        <f t="shared" si="2"/>
        <v>1065.0667701657837</v>
      </c>
      <c r="N25" s="513">
        <f t="shared" si="2"/>
        <v>1167.5162255951223</v>
      </c>
      <c r="O25" s="463">
        <f t="shared" si="2"/>
        <v>1244.8627221771535</v>
      </c>
      <c r="P25" s="463">
        <f t="shared" si="2"/>
        <v>1302.8725946136769</v>
      </c>
      <c r="Q25" s="463">
        <f t="shared" si="2"/>
        <v>1346.3799989410695</v>
      </c>
      <c r="R25" s="463">
        <f t="shared" si="2"/>
        <v>1379.0105521866139</v>
      </c>
      <c r="S25" s="463">
        <f t="shared" si="2"/>
        <v>1403.4834671207723</v>
      </c>
      <c r="T25" s="463">
        <f t="shared" si="2"/>
        <v>1421.838153321391</v>
      </c>
      <c r="U25" s="463">
        <f t="shared" si="2"/>
        <v>1435.6041679718551</v>
      </c>
      <c r="V25" s="463">
        <f t="shared" si="2"/>
        <v>1445.9286789597031</v>
      </c>
      <c r="W25" s="463">
        <f t="shared" si="2"/>
        <v>1453.6720622005892</v>
      </c>
      <c r="X25" s="463">
        <f t="shared" si="2"/>
        <v>1459.4795996312537</v>
      </c>
      <c r="Y25" s="463">
        <f t="shared" si="2"/>
        <v>1463.8352527042521</v>
      </c>
      <c r="Z25" s="463">
        <f t="shared" si="2"/>
        <v>1467.1019925090009</v>
      </c>
      <c r="AA25" s="463">
        <f t="shared" si="2"/>
        <v>1469.5520473625625</v>
      </c>
      <c r="AB25" s="464">
        <f t="shared" si="2"/>
        <v>1471.3895885027337</v>
      </c>
      <c r="AC25" s="2524"/>
      <c r="AD25" s="2524"/>
      <c r="AE25" s="2524"/>
      <c r="AF25" s="2524"/>
    </row>
    <row r="26" spans="1:135" s="3019" customFormat="1">
      <c r="A26" s="3013"/>
      <c r="B26" s="4571"/>
      <c r="C26" s="3097" t="s">
        <v>69</v>
      </c>
      <c r="D26" s="3063"/>
      <c r="E26" s="3064"/>
      <c r="F26" s="3064"/>
      <c r="G26" s="3064"/>
      <c r="H26" s="625">
        <f>+H24-H23+H27</f>
        <v>0</v>
      </c>
      <c r="I26" s="459">
        <f t="shared" ref="I26:AB26" si="3">+I24-I23+I27</f>
        <v>368.20674296075708</v>
      </c>
      <c r="J26" s="458">
        <f t="shared" si="3"/>
        <v>276.15505722056787</v>
      </c>
      <c r="K26" s="458">
        <f t="shared" si="3"/>
        <v>207.1162929154259</v>
      </c>
      <c r="L26" s="458">
        <f t="shared" si="3"/>
        <v>155.33721968656937</v>
      </c>
      <c r="M26" s="460">
        <f t="shared" si="3"/>
        <v>116.50291476492703</v>
      </c>
      <c r="N26" s="413">
        <f t="shared" si="3"/>
        <v>88.39599609375</v>
      </c>
      <c r="O26" s="458">
        <f t="shared" si="3"/>
        <v>66.2969970703125</v>
      </c>
      <c r="P26" s="458">
        <f t="shared" si="3"/>
        <v>49.722747802734375</v>
      </c>
      <c r="Q26" s="458">
        <f t="shared" si="3"/>
        <v>37.292060852050781</v>
      </c>
      <c r="R26" s="458">
        <f t="shared" si="3"/>
        <v>27.969045639038086</v>
      </c>
      <c r="S26" s="458">
        <f t="shared" si="3"/>
        <v>20.976784229278564</v>
      </c>
      <c r="T26" s="458">
        <f t="shared" si="3"/>
        <v>15.732588171958923</v>
      </c>
      <c r="U26" s="458">
        <f t="shared" si="3"/>
        <v>11.799441128969193</v>
      </c>
      <c r="V26" s="458">
        <f t="shared" si="3"/>
        <v>8.8495808467268944</v>
      </c>
      <c r="W26" s="458">
        <f t="shared" si="3"/>
        <v>6.6371856350451708</v>
      </c>
      <c r="X26" s="458">
        <f t="shared" si="3"/>
        <v>4.9778892262838781</v>
      </c>
      <c r="Y26" s="458">
        <f t="shared" si="3"/>
        <v>3.7334169197129086</v>
      </c>
      <c r="Z26" s="458">
        <f t="shared" si="3"/>
        <v>2.8000626897846814</v>
      </c>
      <c r="AA26" s="458">
        <f t="shared" si="3"/>
        <v>2.1000470173385111</v>
      </c>
      <c r="AB26" s="460">
        <f t="shared" si="3"/>
        <v>1.5750352630038833</v>
      </c>
      <c r="AC26" s="2524"/>
      <c r="AD26" s="2524"/>
      <c r="AE26" s="2524"/>
      <c r="AF26" s="2524"/>
    </row>
    <row r="27" spans="1:135" s="3019" customFormat="1" ht="13.5" thickBot="1">
      <c r="A27" s="3013"/>
      <c r="B27" s="4572"/>
      <c r="C27" s="3098" t="s">
        <v>58</v>
      </c>
      <c r="D27" s="3068"/>
      <c r="E27" s="3069"/>
      <c r="F27" s="3069"/>
      <c r="G27" s="3069"/>
      <c r="H27" s="3067">
        <v>0</v>
      </c>
      <c r="I27" s="3068">
        <v>0</v>
      </c>
      <c r="J27" s="3069">
        <v>0</v>
      </c>
      <c r="K27" s="3069">
        <v>0</v>
      </c>
      <c r="L27" s="3069">
        <v>0</v>
      </c>
      <c r="M27" s="3070">
        <v>0</v>
      </c>
      <c r="N27" s="1439">
        <v>0</v>
      </c>
      <c r="O27" s="411">
        <v>0</v>
      </c>
      <c r="P27" s="411">
        <v>0</v>
      </c>
      <c r="Q27" s="411">
        <v>0</v>
      </c>
      <c r="R27" s="411">
        <v>0</v>
      </c>
      <c r="S27" s="411">
        <v>0</v>
      </c>
      <c r="T27" s="411">
        <v>0</v>
      </c>
      <c r="U27" s="411">
        <v>0</v>
      </c>
      <c r="V27" s="411">
        <v>0</v>
      </c>
      <c r="W27" s="411">
        <v>0</v>
      </c>
      <c r="X27" s="411">
        <v>0</v>
      </c>
      <c r="Y27" s="411">
        <v>0</v>
      </c>
      <c r="Z27" s="411">
        <v>0</v>
      </c>
      <c r="AA27" s="411">
        <v>0</v>
      </c>
      <c r="AB27" s="570">
        <v>0</v>
      </c>
      <c r="AC27" s="2524"/>
      <c r="AD27" s="2524"/>
      <c r="AE27" s="2524"/>
      <c r="AF27" s="2524"/>
    </row>
    <row r="28" spans="1:135" s="3019" customFormat="1">
      <c r="A28" s="3013"/>
      <c r="B28" s="4599" t="s">
        <v>63</v>
      </c>
      <c r="C28" s="3099" t="s">
        <v>713</v>
      </c>
      <c r="D28" s="478">
        <f>+D23</f>
        <v>0</v>
      </c>
      <c r="E28" s="479">
        <f t="shared" ref="E28:AB28" si="4">+E23</f>
        <v>0</v>
      </c>
      <c r="F28" s="479">
        <f t="shared" si="4"/>
        <v>0</v>
      </c>
      <c r="G28" s="479">
        <f t="shared" si="4"/>
        <v>0</v>
      </c>
      <c r="H28" s="1200">
        <f t="shared" si="4"/>
        <v>0</v>
      </c>
      <c r="I28" s="478">
        <f t="shared" si="4"/>
        <v>0</v>
      </c>
      <c r="J28" s="479">
        <f t="shared" si="4"/>
        <v>368.20674296075708</v>
      </c>
      <c r="K28" s="479">
        <f t="shared" si="4"/>
        <v>644.36180018132495</v>
      </c>
      <c r="L28" s="479">
        <f t="shared" si="4"/>
        <v>851.47809309675085</v>
      </c>
      <c r="M28" s="425">
        <f t="shared" si="4"/>
        <v>1006.8153127833202</v>
      </c>
      <c r="N28" s="1039">
        <f t="shared" si="4"/>
        <v>1123.3182275482473</v>
      </c>
      <c r="O28" s="479">
        <f t="shared" si="4"/>
        <v>1211.7142236419973</v>
      </c>
      <c r="P28" s="479">
        <f t="shared" si="4"/>
        <v>1278.0112207123098</v>
      </c>
      <c r="Q28" s="479">
        <f t="shared" si="4"/>
        <v>1327.7339685150441</v>
      </c>
      <c r="R28" s="479">
        <f t="shared" si="4"/>
        <v>1365.0260293670949</v>
      </c>
      <c r="S28" s="479">
        <f t="shared" si="4"/>
        <v>1392.995075006133</v>
      </c>
      <c r="T28" s="479">
        <f t="shared" si="4"/>
        <v>1413.9718592354116</v>
      </c>
      <c r="U28" s="479">
        <f t="shared" si="4"/>
        <v>1429.7044474073705</v>
      </c>
      <c r="V28" s="479">
        <f t="shared" si="4"/>
        <v>1441.5038885363397</v>
      </c>
      <c r="W28" s="479">
        <f t="shared" si="4"/>
        <v>1450.3534693830666</v>
      </c>
      <c r="X28" s="479">
        <f t="shared" si="4"/>
        <v>1456.9906550181117</v>
      </c>
      <c r="Y28" s="479">
        <f t="shared" si="4"/>
        <v>1461.9685442443956</v>
      </c>
      <c r="Z28" s="479">
        <f t="shared" si="4"/>
        <v>1465.7019611641085</v>
      </c>
      <c r="AA28" s="479">
        <f t="shared" si="4"/>
        <v>1468.5020238538932</v>
      </c>
      <c r="AB28" s="1535">
        <f t="shared" si="4"/>
        <v>1470.6020708712317</v>
      </c>
      <c r="AC28" s="2524"/>
      <c r="AD28" s="2524"/>
      <c r="AE28" s="2524"/>
      <c r="AF28" s="2524"/>
    </row>
    <row r="29" spans="1:135" s="3019" customFormat="1">
      <c r="A29" s="3013"/>
      <c r="B29" s="4600"/>
      <c r="C29" s="3099" t="s">
        <v>714</v>
      </c>
      <c r="D29" s="478">
        <f t="shared" ref="D29:AB32" si="5">+D24</f>
        <v>0</v>
      </c>
      <c r="E29" s="479">
        <f t="shared" si="5"/>
        <v>0</v>
      </c>
      <c r="F29" s="479">
        <f t="shared" si="5"/>
        <v>0</v>
      </c>
      <c r="G29" s="479">
        <f t="shared" si="5"/>
        <v>0</v>
      </c>
      <c r="H29" s="1200">
        <f t="shared" si="5"/>
        <v>0</v>
      </c>
      <c r="I29" s="478">
        <f t="shared" si="5"/>
        <v>368.20674296075708</v>
      </c>
      <c r="J29" s="479">
        <f t="shared" si="5"/>
        <v>644.36180018132495</v>
      </c>
      <c r="K29" s="479">
        <f t="shared" si="5"/>
        <v>851.47809309675085</v>
      </c>
      <c r="L29" s="479">
        <f t="shared" si="5"/>
        <v>1006.8153127833202</v>
      </c>
      <c r="M29" s="425">
        <f t="shared" si="5"/>
        <v>1123.3182275482473</v>
      </c>
      <c r="N29" s="1039">
        <f t="shared" si="5"/>
        <v>1211.7142236419973</v>
      </c>
      <c r="O29" s="479">
        <f t="shared" si="5"/>
        <v>1278.0112207123098</v>
      </c>
      <c r="P29" s="479">
        <f t="shared" si="5"/>
        <v>1327.7339685150441</v>
      </c>
      <c r="Q29" s="479">
        <f t="shared" si="5"/>
        <v>1365.0260293670949</v>
      </c>
      <c r="R29" s="479">
        <f t="shared" si="5"/>
        <v>1392.995075006133</v>
      </c>
      <c r="S29" s="479">
        <f t="shared" si="5"/>
        <v>1413.9718592354116</v>
      </c>
      <c r="T29" s="479">
        <f t="shared" si="5"/>
        <v>1429.7044474073705</v>
      </c>
      <c r="U29" s="479">
        <f t="shared" si="5"/>
        <v>1441.5038885363397</v>
      </c>
      <c r="V29" s="479">
        <f t="shared" si="5"/>
        <v>1450.3534693830666</v>
      </c>
      <c r="W29" s="479">
        <f t="shared" si="5"/>
        <v>1456.9906550181117</v>
      </c>
      <c r="X29" s="479">
        <f t="shared" si="5"/>
        <v>1461.9685442443956</v>
      </c>
      <c r="Y29" s="479">
        <f t="shared" si="5"/>
        <v>1465.7019611641085</v>
      </c>
      <c r="Z29" s="479">
        <f t="shared" si="5"/>
        <v>1468.5020238538932</v>
      </c>
      <c r="AA29" s="479">
        <f t="shared" si="5"/>
        <v>1470.6020708712317</v>
      </c>
      <c r="AB29" s="1535">
        <f t="shared" si="5"/>
        <v>1472.1771061342356</v>
      </c>
      <c r="AC29" s="2524"/>
      <c r="AD29" s="2524"/>
      <c r="AE29" s="2524"/>
      <c r="AF29" s="2524"/>
    </row>
    <row r="30" spans="1:135" s="3019" customFormat="1">
      <c r="A30" s="3013"/>
      <c r="B30" s="4600"/>
      <c r="C30" s="3100" t="s">
        <v>68</v>
      </c>
      <c r="D30" s="478">
        <f t="shared" si="5"/>
        <v>0</v>
      </c>
      <c r="E30" s="479">
        <f t="shared" si="5"/>
        <v>0</v>
      </c>
      <c r="F30" s="479">
        <f t="shared" si="5"/>
        <v>0</v>
      </c>
      <c r="G30" s="479">
        <f t="shared" si="5"/>
        <v>0</v>
      </c>
      <c r="H30" s="1200">
        <f t="shared" si="5"/>
        <v>0</v>
      </c>
      <c r="I30" s="478">
        <f t="shared" si="5"/>
        <v>184.10337148037854</v>
      </c>
      <c r="J30" s="479">
        <f t="shared" si="5"/>
        <v>506.28427157104102</v>
      </c>
      <c r="K30" s="479">
        <f t="shared" si="5"/>
        <v>747.9199466390379</v>
      </c>
      <c r="L30" s="479">
        <f t="shared" si="5"/>
        <v>929.14670294003554</v>
      </c>
      <c r="M30" s="425">
        <f t="shared" si="5"/>
        <v>1065.0667701657837</v>
      </c>
      <c r="N30" s="1039">
        <f t="shared" si="5"/>
        <v>1167.5162255951223</v>
      </c>
      <c r="O30" s="479">
        <f t="shared" si="5"/>
        <v>1244.8627221771535</v>
      </c>
      <c r="P30" s="479">
        <f t="shared" si="5"/>
        <v>1302.8725946136769</v>
      </c>
      <c r="Q30" s="479">
        <f t="shared" si="5"/>
        <v>1346.3799989410695</v>
      </c>
      <c r="R30" s="479">
        <f t="shared" si="5"/>
        <v>1379.0105521866139</v>
      </c>
      <c r="S30" s="479">
        <f t="shared" si="5"/>
        <v>1403.4834671207723</v>
      </c>
      <c r="T30" s="479">
        <f t="shared" si="5"/>
        <v>1421.838153321391</v>
      </c>
      <c r="U30" s="479">
        <f t="shared" si="5"/>
        <v>1435.6041679718551</v>
      </c>
      <c r="V30" s="479">
        <f t="shared" si="5"/>
        <v>1445.9286789597031</v>
      </c>
      <c r="W30" s="479">
        <f t="shared" si="5"/>
        <v>1453.6720622005892</v>
      </c>
      <c r="X30" s="479">
        <f t="shared" si="5"/>
        <v>1459.4795996312537</v>
      </c>
      <c r="Y30" s="479">
        <f t="shared" si="5"/>
        <v>1463.8352527042521</v>
      </c>
      <c r="Z30" s="479">
        <f t="shared" si="5"/>
        <v>1467.1019925090009</v>
      </c>
      <c r="AA30" s="479">
        <f t="shared" si="5"/>
        <v>1469.5520473625625</v>
      </c>
      <c r="AB30" s="1535">
        <f t="shared" si="5"/>
        <v>1471.3895885027337</v>
      </c>
      <c r="AC30" s="2524"/>
      <c r="AD30" s="2524"/>
      <c r="AE30" s="2524"/>
      <c r="AF30" s="2524"/>
    </row>
    <row r="31" spans="1:135" s="3019" customFormat="1">
      <c r="A31" s="3013"/>
      <c r="B31" s="4600"/>
      <c r="C31" s="3100" t="s">
        <v>69</v>
      </c>
      <c r="D31" s="478">
        <f t="shared" si="5"/>
        <v>0</v>
      </c>
      <c r="E31" s="479">
        <f t="shared" si="5"/>
        <v>0</v>
      </c>
      <c r="F31" s="479">
        <f t="shared" si="5"/>
        <v>0</v>
      </c>
      <c r="G31" s="479">
        <f t="shared" si="5"/>
        <v>0</v>
      </c>
      <c r="H31" s="1200">
        <f t="shared" si="5"/>
        <v>0</v>
      </c>
      <c r="I31" s="478">
        <f t="shared" si="5"/>
        <v>368.20674296075708</v>
      </c>
      <c r="J31" s="479">
        <f t="shared" si="5"/>
        <v>276.15505722056787</v>
      </c>
      <c r="K31" s="479">
        <f t="shared" si="5"/>
        <v>207.1162929154259</v>
      </c>
      <c r="L31" s="479">
        <f t="shared" si="5"/>
        <v>155.33721968656937</v>
      </c>
      <c r="M31" s="425">
        <f t="shared" si="5"/>
        <v>116.50291476492703</v>
      </c>
      <c r="N31" s="1039">
        <f t="shared" si="5"/>
        <v>88.39599609375</v>
      </c>
      <c r="O31" s="479">
        <f t="shared" si="5"/>
        <v>66.2969970703125</v>
      </c>
      <c r="P31" s="479">
        <f t="shared" si="5"/>
        <v>49.722747802734375</v>
      </c>
      <c r="Q31" s="479">
        <f t="shared" si="5"/>
        <v>37.292060852050781</v>
      </c>
      <c r="R31" s="479">
        <f t="shared" si="5"/>
        <v>27.969045639038086</v>
      </c>
      <c r="S31" s="479">
        <f t="shared" si="5"/>
        <v>20.976784229278564</v>
      </c>
      <c r="T31" s="479">
        <f t="shared" si="5"/>
        <v>15.732588171958923</v>
      </c>
      <c r="U31" s="479">
        <f t="shared" si="5"/>
        <v>11.799441128969193</v>
      </c>
      <c r="V31" s="479">
        <f t="shared" si="5"/>
        <v>8.8495808467268944</v>
      </c>
      <c r="W31" s="479">
        <f t="shared" si="5"/>
        <v>6.6371856350451708</v>
      </c>
      <c r="X31" s="479">
        <f t="shared" si="5"/>
        <v>4.9778892262838781</v>
      </c>
      <c r="Y31" s="479">
        <f t="shared" si="5"/>
        <v>3.7334169197129086</v>
      </c>
      <c r="Z31" s="479">
        <f t="shared" si="5"/>
        <v>2.8000626897846814</v>
      </c>
      <c r="AA31" s="479">
        <f t="shared" si="5"/>
        <v>2.1000470173385111</v>
      </c>
      <c r="AB31" s="1535">
        <f t="shared" si="5"/>
        <v>1.5750352630038833</v>
      </c>
      <c r="AC31" s="2524"/>
      <c r="AD31" s="2524"/>
      <c r="AE31" s="2524"/>
      <c r="AF31" s="2524"/>
    </row>
    <row r="32" spans="1:135" s="3019" customFormat="1" ht="13.5" thickBot="1">
      <c r="A32" s="3013"/>
      <c r="B32" s="4601"/>
      <c r="C32" s="3101" t="s">
        <v>58</v>
      </c>
      <c r="D32" s="478">
        <f t="shared" si="5"/>
        <v>0</v>
      </c>
      <c r="E32" s="1536">
        <f t="shared" si="5"/>
        <v>0</v>
      </c>
      <c r="F32" s="1536">
        <f t="shared" si="5"/>
        <v>0</v>
      </c>
      <c r="G32" s="1536">
        <f t="shared" si="5"/>
        <v>0</v>
      </c>
      <c r="H32" s="1537">
        <f t="shared" si="5"/>
        <v>0</v>
      </c>
      <c r="I32" s="3102">
        <f t="shared" si="5"/>
        <v>0</v>
      </c>
      <c r="J32" s="1536">
        <f t="shared" si="5"/>
        <v>0</v>
      </c>
      <c r="K32" s="1536">
        <f t="shared" si="5"/>
        <v>0</v>
      </c>
      <c r="L32" s="1536">
        <f t="shared" si="5"/>
        <v>0</v>
      </c>
      <c r="M32" s="1538">
        <f t="shared" si="5"/>
        <v>0</v>
      </c>
      <c r="N32" s="1539">
        <f t="shared" si="5"/>
        <v>0</v>
      </c>
      <c r="O32" s="1536">
        <f t="shared" si="5"/>
        <v>0</v>
      </c>
      <c r="P32" s="1536">
        <f t="shared" si="5"/>
        <v>0</v>
      </c>
      <c r="Q32" s="1536">
        <f t="shared" si="5"/>
        <v>0</v>
      </c>
      <c r="R32" s="1536">
        <f t="shared" si="5"/>
        <v>0</v>
      </c>
      <c r="S32" s="1536">
        <f t="shared" si="5"/>
        <v>0</v>
      </c>
      <c r="T32" s="1536">
        <f t="shared" si="5"/>
        <v>0</v>
      </c>
      <c r="U32" s="1536">
        <f t="shared" si="5"/>
        <v>0</v>
      </c>
      <c r="V32" s="1536">
        <f t="shared" si="5"/>
        <v>0</v>
      </c>
      <c r="W32" s="1536">
        <f t="shared" si="5"/>
        <v>0</v>
      </c>
      <c r="X32" s="1536">
        <f t="shared" si="5"/>
        <v>0</v>
      </c>
      <c r="Y32" s="1536">
        <f t="shared" si="5"/>
        <v>0</v>
      </c>
      <c r="Z32" s="1536">
        <f t="shared" si="5"/>
        <v>0</v>
      </c>
      <c r="AA32" s="1536">
        <f t="shared" si="5"/>
        <v>0</v>
      </c>
      <c r="AB32" s="1540">
        <f t="shared" si="5"/>
        <v>0</v>
      </c>
      <c r="AC32" s="2524"/>
      <c r="AD32" s="2524"/>
      <c r="AE32" s="2524"/>
      <c r="AF32" s="2524"/>
    </row>
    <row r="33" spans="1:135" s="3096" customFormat="1" ht="25.5" customHeight="1">
      <c r="A33" s="3090"/>
      <c r="B33" s="3091" t="s">
        <v>1636</v>
      </c>
      <c r="C33" s="3092"/>
      <c r="D33" s="3093"/>
      <c r="E33" s="3093"/>
      <c r="F33" s="3093"/>
      <c r="G33" s="3093"/>
      <c r="H33" s="3093"/>
      <c r="I33" s="3093"/>
      <c r="J33" s="3093"/>
      <c r="K33" s="3093"/>
      <c r="L33" s="3093"/>
      <c r="M33" s="3093"/>
      <c r="N33" s="3093"/>
      <c r="O33" s="3093"/>
      <c r="P33" s="3093"/>
      <c r="Q33" s="3093"/>
      <c r="R33" s="3093"/>
      <c r="S33" s="3093"/>
      <c r="T33" s="3093"/>
      <c r="U33" s="3093"/>
      <c r="V33" s="3093"/>
      <c r="W33" s="3093"/>
      <c r="X33" s="3093"/>
      <c r="Y33" s="3093"/>
      <c r="Z33" s="3093"/>
      <c r="AA33" s="3093"/>
      <c r="AB33" s="3094"/>
      <c r="AC33" s="3095"/>
      <c r="AD33" s="3095"/>
      <c r="AE33" s="3095"/>
      <c r="AF33" s="3095"/>
      <c r="DF33" s="3095"/>
      <c r="DG33" s="3095"/>
      <c r="DH33" s="3095"/>
      <c r="DI33" s="3095"/>
      <c r="DJ33" s="3095"/>
      <c r="DK33" s="3095"/>
      <c r="DL33" s="3095"/>
      <c r="DM33" s="3095"/>
      <c r="DN33" s="3095"/>
      <c r="DO33" s="3095"/>
      <c r="DP33" s="3095"/>
      <c r="DQ33" s="3095"/>
      <c r="DR33" s="3095"/>
      <c r="DS33" s="3095"/>
      <c r="DT33" s="3095"/>
      <c r="DU33" s="3095"/>
      <c r="DV33" s="3095"/>
      <c r="DW33" s="3095"/>
      <c r="DX33" s="3095"/>
      <c r="DY33" s="3095"/>
      <c r="DZ33" s="3095"/>
      <c r="EA33" s="3095"/>
      <c r="EB33" s="3095"/>
      <c r="EC33" s="3095"/>
      <c r="ED33" s="3095"/>
      <c r="EE33" s="3095"/>
    </row>
    <row r="34" spans="1:135" s="3019" customFormat="1">
      <c r="A34" s="3013"/>
      <c r="B34" s="4570" t="s">
        <v>1623</v>
      </c>
      <c r="C34" s="3103" t="s">
        <v>713</v>
      </c>
      <c r="D34" s="3104"/>
      <c r="E34" s="1533">
        <f>D35</f>
        <v>0</v>
      </c>
      <c r="F34" s="1533">
        <f t="shared" ref="F34" si="6">E35</f>
        <v>0</v>
      </c>
      <c r="G34" s="1533">
        <f>E35</f>
        <v>0</v>
      </c>
      <c r="H34" s="1534">
        <f>F35</f>
        <v>0</v>
      </c>
      <c r="I34" s="462">
        <f t="shared" ref="I34:AB34" si="7">H35</f>
        <v>0</v>
      </c>
      <c r="J34" s="463">
        <f t="shared" si="7"/>
        <v>4.293257039242917</v>
      </c>
      <c r="K34" s="463">
        <f t="shared" si="7"/>
        <v>7.5131998186751048</v>
      </c>
      <c r="L34" s="463">
        <f t="shared" si="7"/>
        <v>9.9281569032492598</v>
      </c>
      <c r="M34" s="464">
        <f t="shared" si="7"/>
        <v>11.739374716679862</v>
      </c>
      <c r="N34" s="513">
        <f t="shared" si="7"/>
        <v>13.097788076752821</v>
      </c>
      <c r="O34" s="463">
        <f t="shared" si="7"/>
        <v>13.097788076752821</v>
      </c>
      <c r="P34" s="463">
        <f t="shared" si="7"/>
        <v>13.097788076752821</v>
      </c>
      <c r="Q34" s="463">
        <f t="shared" si="7"/>
        <v>13.097788076752821</v>
      </c>
      <c r="R34" s="463">
        <f t="shared" si="7"/>
        <v>13.097788076752821</v>
      </c>
      <c r="S34" s="463">
        <f t="shared" si="7"/>
        <v>13.097788076752821</v>
      </c>
      <c r="T34" s="463">
        <f t="shared" si="7"/>
        <v>13.097788076752821</v>
      </c>
      <c r="U34" s="463">
        <f t="shared" si="7"/>
        <v>13.097788076752821</v>
      </c>
      <c r="V34" s="463">
        <f t="shared" si="7"/>
        <v>13.097788076752821</v>
      </c>
      <c r="W34" s="463">
        <f t="shared" si="7"/>
        <v>13.097788076752821</v>
      </c>
      <c r="X34" s="463">
        <f t="shared" si="7"/>
        <v>13.097788076752821</v>
      </c>
      <c r="Y34" s="463">
        <f t="shared" si="7"/>
        <v>13.097788076752821</v>
      </c>
      <c r="Z34" s="463">
        <f t="shared" si="7"/>
        <v>13.097788076752821</v>
      </c>
      <c r="AA34" s="463">
        <f t="shared" si="7"/>
        <v>13.097788076752821</v>
      </c>
      <c r="AB34" s="464">
        <f t="shared" si="7"/>
        <v>13.097788076752821</v>
      </c>
      <c r="AC34" s="2524"/>
      <c r="AD34" s="2524"/>
      <c r="AE34" s="2524"/>
      <c r="AF34" s="2524"/>
    </row>
    <row r="35" spans="1:135" s="3019" customFormat="1">
      <c r="A35" s="3013"/>
      <c r="B35" s="4571"/>
      <c r="C35" s="2925" t="s">
        <v>714</v>
      </c>
      <c r="D35" s="3063"/>
      <c r="E35" s="3064"/>
      <c r="F35" s="3064"/>
      <c r="G35" s="3064"/>
      <c r="H35" s="460">
        <f>+'[13]Calc - commercial CNs'!Q45</f>
        <v>0</v>
      </c>
      <c r="I35" s="459">
        <f>+'[13]Calc - commercial CNs'!R45</f>
        <v>4.293257039242917</v>
      </c>
      <c r="J35" s="458">
        <f>+'[13]Calc - commercial CNs'!S45</f>
        <v>7.5131998186751048</v>
      </c>
      <c r="K35" s="458">
        <f>+'[13]Calc - commercial CNs'!T45</f>
        <v>9.9281569032492598</v>
      </c>
      <c r="L35" s="458">
        <f>+'[13]Calc - commercial CNs'!U45</f>
        <v>11.739374716679862</v>
      </c>
      <c r="M35" s="460">
        <f>+'[13]Calc - commercial CNs'!V45</f>
        <v>13.097788076752821</v>
      </c>
      <c r="N35" s="413">
        <f>+N34</f>
        <v>13.097788076752821</v>
      </c>
      <c r="O35" s="458">
        <f t="shared" ref="O35:AB35" si="8">+O34</f>
        <v>13.097788076752821</v>
      </c>
      <c r="P35" s="458">
        <f t="shared" si="8"/>
        <v>13.097788076752821</v>
      </c>
      <c r="Q35" s="458">
        <f t="shared" si="8"/>
        <v>13.097788076752821</v>
      </c>
      <c r="R35" s="458">
        <f t="shared" si="8"/>
        <v>13.097788076752821</v>
      </c>
      <c r="S35" s="458">
        <f t="shared" si="8"/>
        <v>13.097788076752821</v>
      </c>
      <c r="T35" s="458">
        <f t="shared" si="8"/>
        <v>13.097788076752821</v>
      </c>
      <c r="U35" s="458">
        <f t="shared" si="8"/>
        <v>13.097788076752821</v>
      </c>
      <c r="V35" s="458">
        <f t="shared" si="8"/>
        <v>13.097788076752821</v>
      </c>
      <c r="W35" s="458">
        <f t="shared" si="8"/>
        <v>13.097788076752821</v>
      </c>
      <c r="X35" s="458">
        <f t="shared" si="8"/>
        <v>13.097788076752821</v>
      </c>
      <c r="Y35" s="458">
        <f t="shared" si="8"/>
        <v>13.097788076752821</v>
      </c>
      <c r="Z35" s="458">
        <f t="shared" si="8"/>
        <v>13.097788076752821</v>
      </c>
      <c r="AA35" s="458">
        <f t="shared" si="8"/>
        <v>13.097788076752821</v>
      </c>
      <c r="AB35" s="460">
        <f t="shared" si="8"/>
        <v>13.097788076752821</v>
      </c>
      <c r="AC35" s="2524"/>
      <c r="AD35" s="2524"/>
      <c r="AE35" s="2524"/>
      <c r="AF35" s="2524"/>
    </row>
    <row r="36" spans="1:135" s="3019" customFormat="1">
      <c r="A36" s="3013"/>
      <c r="B36" s="4571"/>
      <c r="C36" s="2925" t="s">
        <v>68</v>
      </c>
      <c r="D36" s="462">
        <f t="shared" ref="D36:AB36" si="9">IF(ISERROR(AVERAGE(D34:D35)),0,AVERAGE(D34:D35))</f>
        <v>0</v>
      </c>
      <c r="E36" s="463">
        <f t="shared" si="9"/>
        <v>0</v>
      </c>
      <c r="F36" s="463">
        <f t="shared" si="9"/>
        <v>0</v>
      </c>
      <c r="G36" s="463">
        <f t="shared" si="9"/>
        <v>0</v>
      </c>
      <c r="H36" s="464">
        <f t="shared" si="9"/>
        <v>0</v>
      </c>
      <c r="I36" s="462">
        <f t="shared" si="9"/>
        <v>2.1466285196214585</v>
      </c>
      <c r="J36" s="463">
        <f t="shared" si="9"/>
        <v>5.9032284289590109</v>
      </c>
      <c r="K36" s="463">
        <f t="shared" si="9"/>
        <v>8.7206783609621823</v>
      </c>
      <c r="L36" s="463">
        <f t="shared" si="9"/>
        <v>10.833765809964561</v>
      </c>
      <c r="M36" s="464">
        <f t="shared" si="9"/>
        <v>12.418581396716341</v>
      </c>
      <c r="N36" s="513">
        <f t="shared" si="9"/>
        <v>13.097788076752821</v>
      </c>
      <c r="O36" s="463">
        <f t="shared" si="9"/>
        <v>13.097788076752821</v>
      </c>
      <c r="P36" s="463">
        <f t="shared" si="9"/>
        <v>13.097788076752821</v>
      </c>
      <c r="Q36" s="463">
        <f t="shared" si="9"/>
        <v>13.097788076752821</v>
      </c>
      <c r="R36" s="463">
        <f t="shared" si="9"/>
        <v>13.097788076752821</v>
      </c>
      <c r="S36" s="463">
        <f t="shared" si="9"/>
        <v>13.097788076752821</v>
      </c>
      <c r="T36" s="463">
        <f t="shared" si="9"/>
        <v>13.097788076752821</v>
      </c>
      <c r="U36" s="463">
        <f t="shared" si="9"/>
        <v>13.097788076752821</v>
      </c>
      <c r="V36" s="463">
        <f t="shared" si="9"/>
        <v>13.097788076752821</v>
      </c>
      <c r="W36" s="463">
        <f t="shared" si="9"/>
        <v>13.097788076752821</v>
      </c>
      <c r="X36" s="463">
        <f t="shared" si="9"/>
        <v>13.097788076752821</v>
      </c>
      <c r="Y36" s="463">
        <f t="shared" si="9"/>
        <v>13.097788076752821</v>
      </c>
      <c r="Z36" s="463">
        <f t="shared" si="9"/>
        <v>13.097788076752821</v>
      </c>
      <c r="AA36" s="463">
        <f t="shared" si="9"/>
        <v>13.097788076752821</v>
      </c>
      <c r="AB36" s="464">
        <f t="shared" si="9"/>
        <v>13.097788076752821</v>
      </c>
      <c r="AC36" s="2524"/>
      <c r="AD36" s="2524"/>
      <c r="AE36" s="2524"/>
      <c r="AF36" s="2524"/>
    </row>
    <row r="37" spans="1:135" s="3019" customFormat="1">
      <c r="A37" s="3013"/>
      <c r="B37" s="4571"/>
      <c r="C37" s="2925" t="s">
        <v>69</v>
      </c>
      <c r="D37" s="3063"/>
      <c r="E37" s="3064"/>
      <c r="F37" s="3064"/>
      <c r="G37" s="3064"/>
      <c r="H37" s="625">
        <f>+H35-H34+H38</f>
        <v>0</v>
      </c>
      <c r="I37" s="459">
        <f t="shared" ref="I37:AB37" si="10">+I35-I34+I38</f>
        <v>4.293257039242917</v>
      </c>
      <c r="J37" s="458">
        <f t="shared" si="10"/>
        <v>3.2199427794321878</v>
      </c>
      <c r="K37" s="458">
        <f t="shared" si="10"/>
        <v>2.414957084574155</v>
      </c>
      <c r="L37" s="458">
        <f t="shared" si="10"/>
        <v>1.8112178134306021</v>
      </c>
      <c r="M37" s="460">
        <f t="shared" si="10"/>
        <v>1.3584133600729587</v>
      </c>
      <c r="N37" s="413">
        <f t="shared" si="10"/>
        <v>0</v>
      </c>
      <c r="O37" s="458">
        <f t="shared" si="10"/>
        <v>0</v>
      </c>
      <c r="P37" s="458">
        <f t="shared" si="10"/>
        <v>0</v>
      </c>
      <c r="Q37" s="458">
        <f t="shared" si="10"/>
        <v>0</v>
      </c>
      <c r="R37" s="458">
        <f t="shared" si="10"/>
        <v>0</v>
      </c>
      <c r="S37" s="458">
        <f t="shared" si="10"/>
        <v>0</v>
      </c>
      <c r="T37" s="458">
        <f t="shared" si="10"/>
        <v>0</v>
      </c>
      <c r="U37" s="458">
        <f t="shared" si="10"/>
        <v>0</v>
      </c>
      <c r="V37" s="458">
        <f t="shared" si="10"/>
        <v>0</v>
      </c>
      <c r="W37" s="458">
        <f t="shared" si="10"/>
        <v>0</v>
      </c>
      <c r="X37" s="458">
        <f t="shared" si="10"/>
        <v>0</v>
      </c>
      <c r="Y37" s="458">
        <f t="shared" si="10"/>
        <v>0</v>
      </c>
      <c r="Z37" s="458">
        <f t="shared" si="10"/>
        <v>0</v>
      </c>
      <c r="AA37" s="458">
        <f t="shared" si="10"/>
        <v>0</v>
      </c>
      <c r="AB37" s="460">
        <f t="shared" si="10"/>
        <v>0</v>
      </c>
      <c r="AC37" s="2524"/>
      <c r="AD37" s="2524"/>
      <c r="AE37" s="2524"/>
      <c r="AF37" s="2524"/>
    </row>
    <row r="38" spans="1:135" s="3019" customFormat="1" ht="13.5" thickBot="1">
      <c r="A38" s="3013"/>
      <c r="B38" s="4572"/>
      <c r="C38" s="3105" t="s">
        <v>58</v>
      </c>
      <c r="D38" s="3068"/>
      <c r="E38" s="3069"/>
      <c r="F38" s="3069"/>
      <c r="G38" s="3069"/>
      <c r="H38" s="3106">
        <v>0</v>
      </c>
      <c r="I38" s="1440">
        <v>0</v>
      </c>
      <c r="J38" s="411">
        <v>0</v>
      </c>
      <c r="K38" s="411">
        <v>0</v>
      </c>
      <c r="L38" s="411">
        <v>0</v>
      </c>
      <c r="M38" s="570">
        <v>0</v>
      </c>
      <c r="N38" s="1439">
        <v>0</v>
      </c>
      <c r="O38" s="411">
        <v>0</v>
      </c>
      <c r="P38" s="411">
        <v>0</v>
      </c>
      <c r="Q38" s="411">
        <v>0</v>
      </c>
      <c r="R38" s="411">
        <v>0</v>
      </c>
      <c r="S38" s="411">
        <v>0</v>
      </c>
      <c r="T38" s="411">
        <v>0</v>
      </c>
      <c r="U38" s="411">
        <v>0</v>
      </c>
      <c r="V38" s="411">
        <v>0</v>
      </c>
      <c r="W38" s="411">
        <v>0</v>
      </c>
      <c r="X38" s="411">
        <v>0</v>
      </c>
      <c r="Y38" s="411">
        <v>0</v>
      </c>
      <c r="Z38" s="411">
        <v>0</v>
      </c>
      <c r="AA38" s="411">
        <v>0</v>
      </c>
      <c r="AB38" s="570">
        <v>0</v>
      </c>
      <c r="AC38" s="2524"/>
      <c r="AD38" s="2524"/>
      <c r="AE38" s="2524"/>
      <c r="AF38" s="2524"/>
    </row>
    <row r="39" spans="1:135" s="3019" customFormat="1">
      <c r="A39" s="3013"/>
      <c r="B39" s="4599" t="s">
        <v>63</v>
      </c>
      <c r="C39" s="3099" t="s">
        <v>713</v>
      </c>
      <c r="D39" s="478">
        <f>+D34</f>
        <v>0</v>
      </c>
      <c r="E39" s="479">
        <f t="shared" ref="E39:AB39" si="11">+E34</f>
        <v>0</v>
      </c>
      <c r="F39" s="479">
        <f t="shared" si="11"/>
        <v>0</v>
      </c>
      <c r="G39" s="479">
        <f t="shared" si="11"/>
        <v>0</v>
      </c>
      <c r="H39" s="1200">
        <f t="shared" si="11"/>
        <v>0</v>
      </c>
      <c r="I39" s="478">
        <f t="shared" si="11"/>
        <v>0</v>
      </c>
      <c r="J39" s="479">
        <f t="shared" si="11"/>
        <v>4.293257039242917</v>
      </c>
      <c r="K39" s="479">
        <f t="shared" si="11"/>
        <v>7.5131998186751048</v>
      </c>
      <c r="L39" s="479">
        <f t="shared" si="11"/>
        <v>9.9281569032492598</v>
      </c>
      <c r="M39" s="425">
        <f t="shared" si="11"/>
        <v>11.739374716679862</v>
      </c>
      <c r="N39" s="1039">
        <f t="shared" si="11"/>
        <v>13.097788076752821</v>
      </c>
      <c r="O39" s="479">
        <f t="shared" si="11"/>
        <v>13.097788076752821</v>
      </c>
      <c r="P39" s="479">
        <f t="shared" si="11"/>
        <v>13.097788076752821</v>
      </c>
      <c r="Q39" s="479">
        <f t="shared" si="11"/>
        <v>13.097788076752821</v>
      </c>
      <c r="R39" s="479">
        <f t="shared" si="11"/>
        <v>13.097788076752821</v>
      </c>
      <c r="S39" s="479">
        <f t="shared" si="11"/>
        <v>13.097788076752821</v>
      </c>
      <c r="T39" s="479">
        <f t="shared" si="11"/>
        <v>13.097788076752821</v>
      </c>
      <c r="U39" s="479">
        <f t="shared" si="11"/>
        <v>13.097788076752821</v>
      </c>
      <c r="V39" s="479">
        <f t="shared" si="11"/>
        <v>13.097788076752821</v>
      </c>
      <c r="W39" s="479">
        <f t="shared" si="11"/>
        <v>13.097788076752821</v>
      </c>
      <c r="X39" s="479">
        <f t="shared" si="11"/>
        <v>13.097788076752821</v>
      </c>
      <c r="Y39" s="479">
        <f t="shared" si="11"/>
        <v>13.097788076752821</v>
      </c>
      <c r="Z39" s="479">
        <f t="shared" si="11"/>
        <v>13.097788076752821</v>
      </c>
      <c r="AA39" s="479">
        <f t="shared" si="11"/>
        <v>13.097788076752821</v>
      </c>
      <c r="AB39" s="1535">
        <f t="shared" si="11"/>
        <v>13.097788076752821</v>
      </c>
      <c r="AC39" s="2524"/>
      <c r="AD39" s="2524"/>
      <c r="AE39" s="2524"/>
      <c r="AF39" s="2524"/>
    </row>
    <row r="40" spans="1:135" s="3019" customFormat="1">
      <c r="A40" s="3013"/>
      <c r="B40" s="4600"/>
      <c r="C40" s="3099" t="s">
        <v>714</v>
      </c>
      <c r="D40" s="478">
        <f t="shared" ref="D40:AB43" si="12">+D35</f>
        <v>0</v>
      </c>
      <c r="E40" s="479">
        <f t="shared" si="12"/>
        <v>0</v>
      </c>
      <c r="F40" s="479">
        <f t="shared" si="12"/>
        <v>0</v>
      </c>
      <c r="G40" s="479">
        <f t="shared" si="12"/>
        <v>0</v>
      </c>
      <c r="H40" s="1200">
        <f t="shared" si="12"/>
        <v>0</v>
      </c>
      <c r="I40" s="478">
        <f t="shared" si="12"/>
        <v>4.293257039242917</v>
      </c>
      <c r="J40" s="479">
        <f t="shared" si="12"/>
        <v>7.5131998186751048</v>
      </c>
      <c r="K40" s="479">
        <f t="shared" si="12"/>
        <v>9.9281569032492598</v>
      </c>
      <c r="L40" s="479">
        <f t="shared" si="12"/>
        <v>11.739374716679862</v>
      </c>
      <c r="M40" s="425">
        <f t="shared" si="12"/>
        <v>13.097788076752821</v>
      </c>
      <c r="N40" s="1039">
        <f t="shared" si="12"/>
        <v>13.097788076752821</v>
      </c>
      <c r="O40" s="479">
        <f t="shared" si="12"/>
        <v>13.097788076752821</v>
      </c>
      <c r="P40" s="479">
        <f t="shared" si="12"/>
        <v>13.097788076752821</v>
      </c>
      <c r="Q40" s="479">
        <f t="shared" si="12"/>
        <v>13.097788076752821</v>
      </c>
      <c r="R40" s="479">
        <f t="shared" si="12"/>
        <v>13.097788076752821</v>
      </c>
      <c r="S40" s="479">
        <f t="shared" si="12"/>
        <v>13.097788076752821</v>
      </c>
      <c r="T40" s="479">
        <f t="shared" si="12"/>
        <v>13.097788076752821</v>
      </c>
      <c r="U40" s="479">
        <f t="shared" si="12"/>
        <v>13.097788076752821</v>
      </c>
      <c r="V40" s="479">
        <f t="shared" si="12"/>
        <v>13.097788076752821</v>
      </c>
      <c r="W40" s="479">
        <f t="shared" si="12"/>
        <v>13.097788076752821</v>
      </c>
      <c r="X40" s="479">
        <f t="shared" si="12"/>
        <v>13.097788076752821</v>
      </c>
      <c r="Y40" s="479">
        <f t="shared" si="12"/>
        <v>13.097788076752821</v>
      </c>
      <c r="Z40" s="479">
        <f t="shared" si="12"/>
        <v>13.097788076752821</v>
      </c>
      <c r="AA40" s="479">
        <f t="shared" si="12"/>
        <v>13.097788076752821</v>
      </c>
      <c r="AB40" s="1535">
        <f t="shared" si="12"/>
        <v>13.097788076752821</v>
      </c>
      <c r="AC40" s="2524"/>
      <c r="AD40" s="2524"/>
      <c r="AE40" s="2524"/>
      <c r="AF40" s="2524"/>
    </row>
    <row r="41" spans="1:135" s="3019" customFormat="1">
      <c r="A41" s="3013"/>
      <c r="B41" s="4600"/>
      <c r="C41" s="3100" t="s">
        <v>68</v>
      </c>
      <c r="D41" s="478">
        <f t="shared" si="12"/>
        <v>0</v>
      </c>
      <c r="E41" s="479">
        <f t="shared" si="12"/>
        <v>0</v>
      </c>
      <c r="F41" s="479">
        <f t="shared" si="12"/>
        <v>0</v>
      </c>
      <c r="G41" s="479">
        <f t="shared" si="12"/>
        <v>0</v>
      </c>
      <c r="H41" s="1200">
        <f t="shared" si="12"/>
        <v>0</v>
      </c>
      <c r="I41" s="478">
        <f t="shared" si="12"/>
        <v>2.1466285196214585</v>
      </c>
      <c r="J41" s="479">
        <f t="shared" si="12"/>
        <v>5.9032284289590109</v>
      </c>
      <c r="K41" s="479">
        <f t="shared" si="12"/>
        <v>8.7206783609621823</v>
      </c>
      <c r="L41" s="479">
        <f t="shared" si="12"/>
        <v>10.833765809964561</v>
      </c>
      <c r="M41" s="425">
        <f t="shared" si="12"/>
        <v>12.418581396716341</v>
      </c>
      <c r="N41" s="1039">
        <f t="shared" si="12"/>
        <v>13.097788076752821</v>
      </c>
      <c r="O41" s="479">
        <f t="shared" si="12"/>
        <v>13.097788076752821</v>
      </c>
      <c r="P41" s="479">
        <f t="shared" si="12"/>
        <v>13.097788076752821</v>
      </c>
      <c r="Q41" s="479">
        <f t="shared" si="12"/>
        <v>13.097788076752821</v>
      </c>
      <c r="R41" s="479">
        <f t="shared" si="12"/>
        <v>13.097788076752821</v>
      </c>
      <c r="S41" s="479">
        <f t="shared" si="12"/>
        <v>13.097788076752821</v>
      </c>
      <c r="T41" s="479">
        <f t="shared" si="12"/>
        <v>13.097788076752821</v>
      </c>
      <c r="U41" s="479">
        <f t="shared" si="12"/>
        <v>13.097788076752821</v>
      </c>
      <c r="V41" s="479">
        <f t="shared" si="12"/>
        <v>13.097788076752821</v>
      </c>
      <c r="W41" s="479">
        <f t="shared" si="12"/>
        <v>13.097788076752821</v>
      </c>
      <c r="X41" s="479">
        <f t="shared" si="12"/>
        <v>13.097788076752821</v>
      </c>
      <c r="Y41" s="479">
        <f t="shared" si="12"/>
        <v>13.097788076752821</v>
      </c>
      <c r="Z41" s="479">
        <f t="shared" si="12"/>
        <v>13.097788076752821</v>
      </c>
      <c r="AA41" s="479">
        <f t="shared" si="12"/>
        <v>13.097788076752821</v>
      </c>
      <c r="AB41" s="1535">
        <f t="shared" si="12"/>
        <v>13.097788076752821</v>
      </c>
      <c r="AC41" s="2524"/>
      <c r="AD41" s="2524"/>
      <c r="AE41" s="2524"/>
      <c r="AF41" s="2524"/>
    </row>
    <row r="42" spans="1:135" s="3019" customFormat="1">
      <c r="A42" s="3013"/>
      <c r="B42" s="4600"/>
      <c r="C42" s="3100" t="s">
        <v>69</v>
      </c>
      <c r="D42" s="478">
        <f t="shared" si="12"/>
        <v>0</v>
      </c>
      <c r="E42" s="479">
        <f t="shared" si="12"/>
        <v>0</v>
      </c>
      <c r="F42" s="479">
        <f t="shared" si="12"/>
        <v>0</v>
      </c>
      <c r="G42" s="479">
        <f t="shared" si="12"/>
        <v>0</v>
      </c>
      <c r="H42" s="1200">
        <f t="shared" si="12"/>
        <v>0</v>
      </c>
      <c r="I42" s="478">
        <f t="shared" si="12"/>
        <v>4.293257039242917</v>
      </c>
      <c r="J42" s="479">
        <f t="shared" si="12"/>
        <v>3.2199427794321878</v>
      </c>
      <c r="K42" s="479">
        <f t="shared" si="12"/>
        <v>2.414957084574155</v>
      </c>
      <c r="L42" s="479">
        <f t="shared" si="12"/>
        <v>1.8112178134306021</v>
      </c>
      <c r="M42" s="425">
        <f t="shared" si="12"/>
        <v>1.3584133600729587</v>
      </c>
      <c r="N42" s="1039">
        <f t="shared" si="12"/>
        <v>0</v>
      </c>
      <c r="O42" s="479">
        <f t="shared" si="12"/>
        <v>0</v>
      </c>
      <c r="P42" s="479">
        <f t="shared" si="12"/>
        <v>0</v>
      </c>
      <c r="Q42" s="479">
        <f t="shared" si="12"/>
        <v>0</v>
      </c>
      <c r="R42" s="479">
        <f t="shared" si="12"/>
        <v>0</v>
      </c>
      <c r="S42" s="479">
        <f t="shared" si="12"/>
        <v>0</v>
      </c>
      <c r="T42" s="479">
        <f t="shared" si="12"/>
        <v>0</v>
      </c>
      <c r="U42" s="479">
        <f t="shared" si="12"/>
        <v>0</v>
      </c>
      <c r="V42" s="479">
        <f t="shared" si="12"/>
        <v>0</v>
      </c>
      <c r="W42" s="479">
        <f t="shared" si="12"/>
        <v>0</v>
      </c>
      <c r="X42" s="479">
        <f t="shared" si="12"/>
        <v>0</v>
      </c>
      <c r="Y42" s="479">
        <f t="shared" si="12"/>
        <v>0</v>
      </c>
      <c r="Z42" s="479">
        <f t="shared" si="12"/>
        <v>0</v>
      </c>
      <c r="AA42" s="479">
        <f t="shared" si="12"/>
        <v>0</v>
      </c>
      <c r="AB42" s="1535">
        <f t="shared" si="12"/>
        <v>0</v>
      </c>
      <c r="AC42" s="2524"/>
      <c r="AD42" s="2524"/>
      <c r="AE42" s="2524"/>
      <c r="AF42" s="2524"/>
    </row>
    <row r="43" spans="1:135" s="3019" customFormat="1" ht="13.5" thickBot="1">
      <c r="A43" s="3013"/>
      <c r="B43" s="4601"/>
      <c r="C43" s="3101" t="s">
        <v>58</v>
      </c>
      <c r="D43" s="478">
        <f t="shared" si="12"/>
        <v>0</v>
      </c>
      <c r="E43" s="1536">
        <f t="shared" si="12"/>
        <v>0</v>
      </c>
      <c r="F43" s="1536">
        <f t="shared" si="12"/>
        <v>0</v>
      </c>
      <c r="G43" s="1536">
        <f t="shared" si="12"/>
        <v>0</v>
      </c>
      <c r="H43" s="1537">
        <f t="shared" si="12"/>
        <v>0</v>
      </c>
      <c r="I43" s="3102">
        <f t="shared" si="12"/>
        <v>0</v>
      </c>
      <c r="J43" s="1536">
        <f t="shared" si="12"/>
        <v>0</v>
      </c>
      <c r="K43" s="1536">
        <f t="shared" si="12"/>
        <v>0</v>
      </c>
      <c r="L43" s="1536">
        <f t="shared" si="12"/>
        <v>0</v>
      </c>
      <c r="M43" s="1538">
        <f t="shared" si="12"/>
        <v>0</v>
      </c>
      <c r="N43" s="1539">
        <f t="shared" si="12"/>
        <v>0</v>
      </c>
      <c r="O43" s="1536">
        <f t="shared" si="12"/>
        <v>0</v>
      </c>
      <c r="P43" s="1536">
        <f t="shared" si="12"/>
        <v>0</v>
      </c>
      <c r="Q43" s="1536">
        <f t="shared" si="12"/>
        <v>0</v>
      </c>
      <c r="R43" s="1536">
        <f t="shared" si="12"/>
        <v>0</v>
      </c>
      <c r="S43" s="1536">
        <f t="shared" si="12"/>
        <v>0</v>
      </c>
      <c r="T43" s="1536">
        <f t="shared" si="12"/>
        <v>0</v>
      </c>
      <c r="U43" s="1536">
        <f t="shared" si="12"/>
        <v>0</v>
      </c>
      <c r="V43" s="1536">
        <f t="shared" si="12"/>
        <v>0</v>
      </c>
      <c r="W43" s="1536">
        <f t="shared" si="12"/>
        <v>0</v>
      </c>
      <c r="X43" s="1536">
        <f t="shared" si="12"/>
        <v>0</v>
      </c>
      <c r="Y43" s="1536">
        <f t="shared" si="12"/>
        <v>0</v>
      </c>
      <c r="Z43" s="1536">
        <f t="shared" si="12"/>
        <v>0</v>
      </c>
      <c r="AA43" s="1536">
        <f t="shared" si="12"/>
        <v>0</v>
      </c>
      <c r="AB43" s="1540">
        <f t="shared" si="12"/>
        <v>0</v>
      </c>
      <c r="AC43" s="2524"/>
      <c r="AD43" s="2524"/>
      <c r="AE43" s="2524"/>
      <c r="AF43" s="2524"/>
    </row>
    <row r="44" spans="1:135" ht="47.25" customHeight="1" thickBot="1">
      <c r="D44" s="3020"/>
      <c r="E44" s="3020"/>
      <c r="F44" s="3020"/>
      <c r="G44" s="3020"/>
      <c r="H44" s="3020"/>
      <c r="I44" s="3020"/>
      <c r="J44" s="3020"/>
      <c r="K44" s="3020"/>
      <c r="L44" s="3020"/>
      <c r="M44" s="3020"/>
      <c r="N44" s="3020"/>
      <c r="O44" s="3020"/>
      <c r="P44" s="3020"/>
      <c r="Q44" s="3020"/>
      <c r="R44" s="3020"/>
      <c r="S44" s="3020"/>
      <c r="T44" s="3020"/>
      <c r="U44" s="3020"/>
      <c r="V44" s="3020"/>
      <c r="W44" s="3020"/>
      <c r="X44" s="3020"/>
      <c r="Y44" s="3020"/>
      <c r="Z44" s="3020"/>
      <c r="AA44" s="3020"/>
      <c r="AB44" s="3020"/>
    </row>
    <row r="45" spans="1:135" s="3019" customFormat="1" ht="18.75" customHeight="1" thickBot="1">
      <c r="A45" s="3013"/>
      <c r="B45" s="3087" t="s">
        <v>1637</v>
      </c>
      <c r="C45" s="3088"/>
      <c r="D45" s="3088"/>
      <c r="E45" s="3088"/>
      <c r="F45" s="3088"/>
      <c r="G45" s="3088"/>
      <c r="H45" s="3088"/>
      <c r="I45" s="3088"/>
      <c r="J45" s="3088"/>
      <c r="K45" s="3088"/>
      <c r="L45" s="3088"/>
      <c r="M45" s="3088"/>
      <c r="N45" s="3088"/>
      <c r="O45" s="3088"/>
      <c r="P45" s="3088"/>
      <c r="Q45" s="3088"/>
      <c r="R45" s="3088"/>
      <c r="S45" s="3088"/>
      <c r="T45" s="3088"/>
      <c r="U45" s="3088"/>
      <c r="V45" s="3088"/>
      <c r="W45" s="3088"/>
      <c r="X45" s="3088"/>
      <c r="Y45" s="3088"/>
      <c r="Z45" s="3088"/>
      <c r="AA45" s="3088"/>
      <c r="AB45" s="3089"/>
      <c r="AC45" s="2524"/>
      <c r="AD45" s="2524"/>
      <c r="AE45" s="2524"/>
      <c r="AF45" s="2524"/>
      <c r="DF45" s="2524"/>
      <c r="DG45" s="2524"/>
      <c r="DH45" s="2524"/>
      <c r="DI45" s="2524"/>
      <c r="DJ45" s="2524"/>
      <c r="DK45" s="2524"/>
      <c r="DL45" s="2524"/>
      <c r="DM45" s="2524"/>
      <c r="DN45" s="2524"/>
      <c r="DO45" s="2524"/>
      <c r="DP45" s="2524"/>
      <c r="DQ45" s="2524"/>
      <c r="DR45" s="2524"/>
      <c r="DS45" s="2524"/>
      <c r="DT45" s="2524"/>
      <c r="DU45" s="2524"/>
      <c r="DV45" s="2524"/>
      <c r="DW45" s="2524"/>
      <c r="DX45" s="2524"/>
      <c r="DY45" s="2524"/>
      <c r="DZ45" s="2524"/>
      <c r="EA45" s="2524"/>
      <c r="EB45" s="2524"/>
      <c r="EC45" s="2524"/>
      <c r="ED45" s="2524"/>
      <c r="EE45" s="2524"/>
    </row>
    <row r="46" spans="1:135" s="3019" customFormat="1">
      <c r="A46" s="3013"/>
      <c r="B46" s="4602" t="s">
        <v>713</v>
      </c>
      <c r="C46" s="4603"/>
      <c r="D46" s="3107"/>
      <c r="E46" s="463">
        <f>D47</f>
        <v>0</v>
      </c>
      <c r="F46" s="463">
        <f t="shared" ref="F46:AB46" si="13">E47</f>
        <v>0</v>
      </c>
      <c r="G46" s="463">
        <f>E47</f>
        <v>0</v>
      </c>
      <c r="H46" s="463">
        <f>F47</f>
        <v>0</v>
      </c>
      <c r="I46" s="463">
        <f t="shared" si="13"/>
        <v>0</v>
      </c>
      <c r="J46" s="463">
        <f t="shared" si="13"/>
        <v>0</v>
      </c>
      <c r="K46" s="463">
        <f t="shared" si="13"/>
        <v>0</v>
      </c>
      <c r="L46" s="463">
        <f t="shared" si="13"/>
        <v>0</v>
      </c>
      <c r="M46" s="464">
        <f t="shared" si="13"/>
        <v>0</v>
      </c>
      <c r="N46" s="513">
        <f t="shared" si="13"/>
        <v>0</v>
      </c>
      <c r="O46" s="463">
        <f t="shared" si="13"/>
        <v>0</v>
      </c>
      <c r="P46" s="463">
        <f t="shared" si="13"/>
        <v>0</v>
      </c>
      <c r="Q46" s="463">
        <f t="shared" si="13"/>
        <v>0</v>
      </c>
      <c r="R46" s="463">
        <f t="shared" si="13"/>
        <v>0</v>
      </c>
      <c r="S46" s="463">
        <f t="shared" si="13"/>
        <v>0</v>
      </c>
      <c r="T46" s="463">
        <f t="shared" si="13"/>
        <v>0</v>
      </c>
      <c r="U46" s="463">
        <f t="shared" si="13"/>
        <v>0</v>
      </c>
      <c r="V46" s="463">
        <f t="shared" si="13"/>
        <v>0</v>
      </c>
      <c r="W46" s="463">
        <f t="shared" si="13"/>
        <v>0</v>
      </c>
      <c r="X46" s="463">
        <f t="shared" si="13"/>
        <v>0</v>
      </c>
      <c r="Y46" s="463">
        <f t="shared" si="13"/>
        <v>0</v>
      </c>
      <c r="Z46" s="463">
        <f t="shared" si="13"/>
        <v>0</v>
      </c>
      <c r="AA46" s="463">
        <f t="shared" si="13"/>
        <v>0</v>
      </c>
      <c r="AB46" s="464">
        <f t="shared" si="13"/>
        <v>0</v>
      </c>
      <c r="AC46" s="2524"/>
      <c r="AD46" s="2524"/>
      <c r="AE46" s="2524"/>
      <c r="AF46" s="2524"/>
    </row>
    <row r="47" spans="1:135" s="3019" customFormat="1">
      <c r="A47" s="3013"/>
      <c r="B47" s="4595" t="s">
        <v>714</v>
      </c>
      <c r="C47" s="4596"/>
      <c r="D47" s="3063"/>
      <c r="E47" s="3064"/>
      <c r="F47" s="3064"/>
      <c r="G47" s="3064"/>
      <c r="H47" s="3064"/>
      <c r="I47" s="3063"/>
      <c r="J47" s="3064"/>
      <c r="K47" s="3064"/>
      <c r="L47" s="3064"/>
      <c r="M47" s="3030"/>
      <c r="N47" s="3065"/>
      <c r="O47" s="3064"/>
      <c r="P47" s="3064"/>
      <c r="Q47" s="3064"/>
      <c r="R47" s="3064"/>
      <c r="S47" s="3064"/>
      <c r="T47" s="3064"/>
      <c r="U47" s="3064"/>
      <c r="V47" s="3064"/>
      <c r="W47" s="3064"/>
      <c r="X47" s="3064"/>
      <c r="Y47" s="3064"/>
      <c r="Z47" s="3064"/>
      <c r="AA47" s="3064"/>
      <c r="AB47" s="3030"/>
      <c r="AC47" s="2524"/>
      <c r="AD47" s="2524"/>
      <c r="AE47" s="2524"/>
      <c r="AF47" s="2524"/>
    </row>
    <row r="48" spans="1:135" s="3019" customFormat="1">
      <c r="A48" s="3013"/>
      <c r="B48" s="4595" t="s">
        <v>68</v>
      </c>
      <c r="C48" s="4596"/>
      <c r="D48" s="462">
        <f t="shared" ref="D48:AB48" si="14">IF(ISERROR(AVERAGE(D46:D47)),0,AVERAGE(D46:D47))</f>
        <v>0</v>
      </c>
      <c r="E48" s="463">
        <f t="shared" si="14"/>
        <v>0</v>
      </c>
      <c r="F48" s="463">
        <f t="shared" si="14"/>
        <v>0</v>
      </c>
      <c r="G48" s="463">
        <f t="shared" si="14"/>
        <v>0</v>
      </c>
      <c r="H48" s="463">
        <f t="shared" si="14"/>
        <v>0</v>
      </c>
      <c r="I48" s="462">
        <f t="shared" si="14"/>
        <v>0</v>
      </c>
      <c r="J48" s="463">
        <f t="shared" si="14"/>
        <v>0</v>
      </c>
      <c r="K48" s="463">
        <f t="shared" si="14"/>
        <v>0</v>
      </c>
      <c r="L48" s="463">
        <f t="shared" si="14"/>
        <v>0</v>
      </c>
      <c r="M48" s="464">
        <f t="shared" si="14"/>
        <v>0</v>
      </c>
      <c r="N48" s="513">
        <f t="shared" si="14"/>
        <v>0</v>
      </c>
      <c r="O48" s="463">
        <f t="shared" si="14"/>
        <v>0</v>
      </c>
      <c r="P48" s="463">
        <f t="shared" si="14"/>
        <v>0</v>
      </c>
      <c r="Q48" s="463">
        <f t="shared" si="14"/>
        <v>0</v>
      </c>
      <c r="R48" s="463">
        <f t="shared" si="14"/>
        <v>0</v>
      </c>
      <c r="S48" s="463">
        <f t="shared" si="14"/>
        <v>0</v>
      </c>
      <c r="T48" s="463">
        <f t="shared" si="14"/>
        <v>0</v>
      </c>
      <c r="U48" s="463">
        <f t="shared" si="14"/>
        <v>0</v>
      </c>
      <c r="V48" s="463">
        <f t="shared" si="14"/>
        <v>0</v>
      </c>
      <c r="W48" s="463">
        <f t="shared" si="14"/>
        <v>0</v>
      </c>
      <c r="X48" s="463">
        <f t="shared" si="14"/>
        <v>0</v>
      </c>
      <c r="Y48" s="463">
        <f t="shared" si="14"/>
        <v>0</v>
      </c>
      <c r="Z48" s="463">
        <f t="shared" si="14"/>
        <v>0</v>
      </c>
      <c r="AA48" s="463">
        <f t="shared" si="14"/>
        <v>0</v>
      </c>
      <c r="AB48" s="464">
        <f t="shared" si="14"/>
        <v>0</v>
      </c>
      <c r="AC48" s="2524"/>
      <c r="AD48" s="2524"/>
      <c r="AE48" s="2524"/>
      <c r="AF48" s="2524"/>
    </row>
    <row r="49" spans="1:32" s="3019" customFormat="1">
      <c r="A49" s="3013"/>
      <c r="B49" s="4595" t="s">
        <v>69</v>
      </c>
      <c r="C49" s="4596"/>
      <c r="D49" s="3063"/>
      <c r="E49" s="3064"/>
      <c r="F49" s="3064"/>
      <c r="G49" s="3064"/>
      <c r="H49" s="3064"/>
      <c r="I49" s="3063"/>
      <c r="J49" s="3064"/>
      <c r="K49" s="3064"/>
      <c r="L49" s="3064"/>
      <c r="M49" s="3030"/>
      <c r="N49" s="3065"/>
      <c r="O49" s="3064"/>
      <c r="P49" s="3064"/>
      <c r="Q49" s="3064"/>
      <c r="R49" s="3064"/>
      <c r="S49" s="3064"/>
      <c r="T49" s="3064"/>
      <c r="U49" s="3064"/>
      <c r="V49" s="3064"/>
      <c r="W49" s="3064"/>
      <c r="X49" s="3064"/>
      <c r="Y49" s="3064"/>
      <c r="Z49" s="3064"/>
      <c r="AA49" s="3064"/>
      <c r="AB49" s="3030"/>
      <c r="AC49" s="2524"/>
      <c r="AD49" s="2524"/>
      <c r="AE49" s="2524"/>
      <c r="AF49" s="2524"/>
    </row>
    <row r="50" spans="1:32" s="3019" customFormat="1" ht="13.5" thickBot="1">
      <c r="A50" s="3013"/>
      <c r="B50" s="4597" t="s">
        <v>58</v>
      </c>
      <c r="C50" s="4598"/>
      <c r="D50" s="3068"/>
      <c r="E50" s="3069"/>
      <c r="F50" s="3069"/>
      <c r="G50" s="3069"/>
      <c r="H50" s="3069"/>
      <c r="I50" s="3068"/>
      <c r="J50" s="3069"/>
      <c r="K50" s="3069"/>
      <c r="L50" s="3069"/>
      <c r="M50" s="3070"/>
      <c r="N50" s="3071"/>
      <c r="O50" s="3069"/>
      <c r="P50" s="3069"/>
      <c r="Q50" s="3069"/>
      <c r="R50" s="3069"/>
      <c r="S50" s="3069"/>
      <c r="T50" s="3069"/>
      <c r="U50" s="3069"/>
      <c r="V50" s="3069"/>
      <c r="W50" s="3069"/>
      <c r="X50" s="3069"/>
      <c r="Y50" s="3069"/>
      <c r="Z50" s="3069"/>
      <c r="AA50" s="3069"/>
      <c r="AB50" s="3070"/>
      <c r="AC50" s="2524"/>
      <c r="AD50" s="2524"/>
      <c r="AE50" s="2524"/>
      <c r="AF50" s="2524"/>
    </row>
    <row r="51" spans="1:32" ht="44.25" customHeight="1" thickBot="1">
      <c r="A51" s="2771"/>
      <c r="B51" s="3108"/>
      <c r="C51" s="3109" t="s">
        <v>121</v>
      </c>
      <c r="D51" s="3110"/>
      <c r="E51" s="3111"/>
      <c r="F51" s="3111"/>
      <c r="G51" s="3111"/>
      <c r="H51" s="3111"/>
      <c r="I51" s="3111"/>
      <c r="J51" s="3111"/>
      <c r="K51" s="3111"/>
      <c r="L51" s="3111"/>
      <c r="M51" s="3111"/>
      <c r="N51" s="3111"/>
      <c r="O51" s="3111"/>
      <c r="P51" s="3111"/>
      <c r="Q51" s="3111"/>
      <c r="R51" s="3111"/>
      <c r="S51" s="3111"/>
      <c r="T51" s="3111"/>
      <c r="U51" s="3111"/>
      <c r="V51" s="3111"/>
      <c r="W51" s="3111"/>
      <c r="X51" s="3111"/>
      <c r="Y51" s="3111"/>
      <c r="Z51" s="3111"/>
      <c r="AA51" s="3111"/>
      <c r="AB51" s="3112"/>
    </row>
  </sheetData>
  <mergeCells count="20">
    <mergeCell ref="B49:C49"/>
    <mergeCell ref="B50:C50"/>
    <mergeCell ref="B28:B32"/>
    <mergeCell ref="B34:B38"/>
    <mergeCell ref="B39:B43"/>
    <mergeCell ref="B46:C46"/>
    <mergeCell ref="B47:C47"/>
    <mergeCell ref="B48:C48"/>
    <mergeCell ref="I17:M17"/>
    <mergeCell ref="N17:AB17"/>
    <mergeCell ref="D18:AB18"/>
    <mergeCell ref="D19:F19"/>
    <mergeCell ref="G19:AB19"/>
    <mergeCell ref="B23:B27"/>
    <mergeCell ref="B7:G7"/>
    <mergeCell ref="B8:G8"/>
    <mergeCell ref="B9:G9"/>
    <mergeCell ref="B10:G10"/>
    <mergeCell ref="B17:C20"/>
    <mergeCell ref="D17:H17"/>
  </mergeCells>
  <pageMargins left="0.75" right="0.75" top="1" bottom="1" header="0.5" footer="0.5"/>
  <pageSetup paperSize="9" orientation="portrait" r:id="rId1"/>
  <headerFooter alignWithMargins="0"/>
  <customProperties>
    <customPr name="_pios_id" r:id="rId2"/>
  </customProperties>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EE51"/>
  <sheetViews>
    <sheetView showGridLines="0" zoomScale="40" zoomScaleNormal="40" workbookViewId="0">
      <selection activeCell="K94" sqref="K94"/>
    </sheetView>
  </sheetViews>
  <sheetFormatPr defaultRowHeight="12.75"/>
  <cols>
    <col min="1" max="1" width="14.140625" style="2524" customWidth="1"/>
    <col min="2" max="2" width="54.5703125" style="2524" customWidth="1"/>
    <col min="3" max="3" width="57.7109375" style="2524" customWidth="1"/>
    <col min="4" max="27" width="12.7109375" style="2524" customWidth="1"/>
    <col min="28" max="256" width="9.140625" style="2524"/>
    <col min="257" max="257" width="14.140625" style="2524" customWidth="1"/>
    <col min="258" max="258" width="66.28515625" style="2524" bestFit="1" customWidth="1"/>
    <col min="259" max="259" width="10" style="2524" bestFit="1" customWidth="1"/>
    <col min="260" max="261" width="8.5703125" style="2524" bestFit="1" customWidth="1"/>
    <col min="262" max="262" width="17.42578125" style="2524" bestFit="1" customWidth="1"/>
    <col min="263" max="263" width="17.28515625" style="2524" bestFit="1" customWidth="1"/>
    <col min="264" max="265" width="10.7109375" style="2524" customWidth="1"/>
    <col min="266" max="267" width="10.7109375" style="2524" bestFit="1" customWidth="1"/>
    <col min="268" max="268" width="10.7109375" style="2524" customWidth="1"/>
    <col min="269" max="271" width="10.7109375" style="2524" bestFit="1" customWidth="1"/>
    <col min="272" max="273" width="10.7109375" style="2524" customWidth="1"/>
    <col min="274" max="275" width="10.7109375" style="2524" bestFit="1" customWidth="1"/>
    <col min="276" max="512" width="9.140625" style="2524"/>
    <col min="513" max="513" width="14.140625" style="2524" customWidth="1"/>
    <col min="514" max="514" width="66.28515625" style="2524" bestFit="1" customWidth="1"/>
    <col min="515" max="515" width="10" style="2524" bestFit="1" customWidth="1"/>
    <col min="516" max="517" width="8.5703125" style="2524" bestFit="1" customWidth="1"/>
    <col min="518" max="518" width="17.42578125" style="2524" bestFit="1" customWidth="1"/>
    <col min="519" max="519" width="17.28515625" style="2524" bestFit="1" customWidth="1"/>
    <col min="520" max="521" width="10.7109375" style="2524" customWidth="1"/>
    <col min="522" max="523" width="10.7109375" style="2524" bestFit="1" customWidth="1"/>
    <col min="524" max="524" width="10.7109375" style="2524" customWidth="1"/>
    <col min="525" max="527" width="10.7109375" style="2524" bestFit="1" customWidth="1"/>
    <col min="528" max="529" width="10.7109375" style="2524" customWidth="1"/>
    <col min="530" max="531" width="10.7109375" style="2524" bestFit="1" customWidth="1"/>
    <col min="532" max="768" width="9.140625" style="2524"/>
    <col min="769" max="769" width="14.140625" style="2524" customWidth="1"/>
    <col min="770" max="770" width="66.28515625" style="2524" bestFit="1" customWidth="1"/>
    <col min="771" max="771" width="10" style="2524" bestFit="1" customWidth="1"/>
    <col min="772" max="773" width="8.5703125" style="2524" bestFit="1" customWidth="1"/>
    <col min="774" max="774" width="17.42578125" style="2524" bestFit="1" customWidth="1"/>
    <col min="775" max="775" width="17.28515625" style="2524" bestFit="1" customWidth="1"/>
    <col min="776" max="777" width="10.7109375" style="2524" customWidth="1"/>
    <col min="778" max="779" width="10.7109375" style="2524" bestFit="1" customWidth="1"/>
    <col min="780" max="780" width="10.7109375" style="2524" customWidth="1"/>
    <col min="781" max="783" width="10.7109375" style="2524" bestFit="1" customWidth="1"/>
    <col min="784" max="785" width="10.7109375" style="2524" customWidth="1"/>
    <col min="786" max="787" width="10.7109375" style="2524" bestFit="1" customWidth="1"/>
    <col min="788" max="1024" width="9.140625" style="2524"/>
    <col min="1025" max="1025" width="14.140625" style="2524" customWidth="1"/>
    <col min="1026" max="1026" width="66.28515625" style="2524" bestFit="1" customWidth="1"/>
    <col min="1027" max="1027" width="10" style="2524" bestFit="1" customWidth="1"/>
    <col min="1028" max="1029" width="8.5703125" style="2524" bestFit="1" customWidth="1"/>
    <col min="1030" max="1030" width="17.42578125" style="2524" bestFit="1" customWidth="1"/>
    <col min="1031" max="1031" width="17.28515625" style="2524" bestFit="1" customWidth="1"/>
    <col min="1032" max="1033" width="10.7109375" style="2524" customWidth="1"/>
    <col min="1034" max="1035" width="10.7109375" style="2524" bestFit="1" customWidth="1"/>
    <col min="1036" max="1036" width="10.7109375" style="2524" customWidth="1"/>
    <col min="1037" max="1039" width="10.7109375" style="2524" bestFit="1" customWidth="1"/>
    <col min="1040" max="1041" width="10.7109375" style="2524" customWidth="1"/>
    <col min="1042" max="1043" width="10.7109375" style="2524" bestFit="1" customWidth="1"/>
    <col min="1044" max="1280" width="9.140625" style="2524"/>
    <col min="1281" max="1281" width="14.140625" style="2524" customWidth="1"/>
    <col min="1282" max="1282" width="66.28515625" style="2524" bestFit="1" customWidth="1"/>
    <col min="1283" max="1283" width="10" style="2524" bestFit="1" customWidth="1"/>
    <col min="1284" max="1285" width="8.5703125" style="2524" bestFit="1" customWidth="1"/>
    <col min="1286" max="1286" width="17.42578125" style="2524" bestFit="1" customWidth="1"/>
    <col min="1287" max="1287" width="17.28515625" style="2524" bestFit="1" customWidth="1"/>
    <col min="1288" max="1289" width="10.7109375" style="2524" customWidth="1"/>
    <col min="1290" max="1291" width="10.7109375" style="2524" bestFit="1" customWidth="1"/>
    <col min="1292" max="1292" width="10.7109375" style="2524" customWidth="1"/>
    <col min="1293" max="1295" width="10.7109375" style="2524" bestFit="1" customWidth="1"/>
    <col min="1296" max="1297" width="10.7109375" style="2524" customWidth="1"/>
    <col min="1298" max="1299" width="10.7109375" style="2524" bestFit="1" customWidth="1"/>
    <col min="1300" max="1536" width="9.140625" style="2524"/>
    <col min="1537" max="1537" width="14.140625" style="2524" customWidth="1"/>
    <col min="1538" max="1538" width="66.28515625" style="2524" bestFit="1" customWidth="1"/>
    <col min="1539" max="1539" width="10" style="2524" bestFit="1" customWidth="1"/>
    <col min="1540" max="1541" width="8.5703125" style="2524" bestFit="1" customWidth="1"/>
    <col min="1542" max="1542" width="17.42578125" style="2524" bestFit="1" customWidth="1"/>
    <col min="1543" max="1543" width="17.28515625" style="2524" bestFit="1" customWidth="1"/>
    <col min="1544" max="1545" width="10.7109375" style="2524" customWidth="1"/>
    <col min="1546" max="1547" width="10.7109375" style="2524" bestFit="1" customWidth="1"/>
    <col min="1548" max="1548" width="10.7109375" style="2524" customWidth="1"/>
    <col min="1549" max="1551" width="10.7109375" style="2524" bestFit="1" customWidth="1"/>
    <col min="1552" max="1553" width="10.7109375" style="2524" customWidth="1"/>
    <col min="1554" max="1555" width="10.7109375" style="2524" bestFit="1" customWidth="1"/>
    <col min="1556" max="1792" width="9.140625" style="2524"/>
    <col min="1793" max="1793" width="14.140625" style="2524" customWidth="1"/>
    <col min="1794" max="1794" width="66.28515625" style="2524" bestFit="1" customWidth="1"/>
    <col min="1795" max="1795" width="10" style="2524" bestFit="1" customWidth="1"/>
    <col min="1796" max="1797" width="8.5703125" style="2524" bestFit="1" customWidth="1"/>
    <col min="1798" max="1798" width="17.42578125" style="2524" bestFit="1" customWidth="1"/>
    <col min="1799" max="1799" width="17.28515625" style="2524" bestFit="1" customWidth="1"/>
    <col min="1800" max="1801" width="10.7109375" style="2524" customWidth="1"/>
    <col min="1802" max="1803" width="10.7109375" style="2524" bestFit="1" customWidth="1"/>
    <col min="1804" max="1804" width="10.7109375" style="2524" customWidth="1"/>
    <col min="1805" max="1807" width="10.7109375" style="2524" bestFit="1" customWidth="1"/>
    <col min="1808" max="1809" width="10.7109375" style="2524" customWidth="1"/>
    <col min="1810" max="1811" width="10.7109375" style="2524" bestFit="1" customWidth="1"/>
    <col min="1812" max="2048" width="9.140625" style="2524"/>
    <col min="2049" max="2049" width="14.140625" style="2524" customWidth="1"/>
    <col min="2050" max="2050" width="66.28515625" style="2524" bestFit="1" customWidth="1"/>
    <col min="2051" max="2051" width="10" style="2524" bestFit="1" customWidth="1"/>
    <col min="2052" max="2053" width="8.5703125" style="2524" bestFit="1" customWidth="1"/>
    <col min="2054" max="2054" width="17.42578125" style="2524" bestFit="1" customWidth="1"/>
    <col min="2055" max="2055" width="17.28515625" style="2524" bestFit="1" customWidth="1"/>
    <col min="2056" max="2057" width="10.7109375" style="2524" customWidth="1"/>
    <col min="2058" max="2059" width="10.7109375" style="2524" bestFit="1" customWidth="1"/>
    <col min="2060" max="2060" width="10.7109375" style="2524" customWidth="1"/>
    <col min="2061" max="2063" width="10.7109375" style="2524" bestFit="1" customWidth="1"/>
    <col min="2064" max="2065" width="10.7109375" style="2524" customWidth="1"/>
    <col min="2066" max="2067" width="10.7109375" style="2524" bestFit="1" customWidth="1"/>
    <col min="2068" max="2304" width="9.140625" style="2524"/>
    <col min="2305" max="2305" width="14.140625" style="2524" customWidth="1"/>
    <col min="2306" max="2306" width="66.28515625" style="2524" bestFit="1" customWidth="1"/>
    <col min="2307" max="2307" width="10" style="2524" bestFit="1" customWidth="1"/>
    <col min="2308" max="2309" width="8.5703125" style="2524" bestFit="1" customWidth="1"/>
    <col min="2310" max="2310" width="17.42578125" style="2524" bestFit="1" customWidth="1"/>
    <col min="2311" max="2311" width="17.28515625" style="2524" bestFit="1" customWidth="1"/>
    <col min="2312" max="2313" width="10.7109375" style="2524" customWidth="1"/>
    <col min="2314" max="2315" width="10.7109375" style="2524" bestFit="1" customWidth="1"/>
    <col min="2316" max="2316" width="10.7109375" style="2524" customWidth="1"/>
    <col min="2317" max="2319" width="10.7109375" style="2524" bestFit="1" customWidth="1"/>
    <col min="2320" max="2321" width="10.7109375" style="2524" customWidth="1"/>
    <col min="2322" max="2323" width="10.7109375" style="2524" bestFit="1" customWidth="1"/>
    <col min="2324" max="2560" width="9.140625" style="2524"/>
    <col min="2561" max="2561" width="14.140625" style="2524" customWidth="1"/>
    <col min="2562" max="2562" width="66.28515625" style="2524" bestFit="1" customWidth="1"/>
    <col min="2563" max="2563" width="10" style="2524" bestFit="1" customWidth="1"/>
    <col min="2564" max="2565" width="8.5703125" style="2524" bestFit="1" customWidth="1"/>
    <col min="2566" max="2566" width="17.42578125" style="2524" bestFit="1" customWidth="1"/>
    <col min="2567" max="2567" width="17.28515625" style="2524" bestFit="1" customWidth="1"/>
    <col min="2568" max="2569" width="10.7109375" style="2524" customWidth="1"/>
    <col min="2570" max="2571" width="10.7109375" style="2524" bestFit="1" customWidth="1"/>
    <col min="2572" max="2572" width="10.7109375" style="2524" customWidth="1"/>
    <col min="2573" max="2575" width="10.7109375" style="2524" bestFit="1" customWidth="1"/>
    <col min="2576" max="2577" width="10.7109375" style="2524" customWidth="1"/>
    <col min="2578" max="2579" width="10.7109375" style="2524" bestFit="1" customWidth="1"/>
    <col min="2580" max="2816" width="9.140625" style="2524"/>
    <col min="2817" max="2817" width="14.140625" style="2524" customWidth="1"/>
    <col min="2818" max="2818" width="66.28515625" style="2524" bestFit="1" customWidth="1"/>
    <col min="2819" max="2819" width="10" style="2524" bestFit="1" customWidth="1"/>
    <col min="2820" max="2821" width="8.5703125" style="2524" bestFit="1" customWidth="1"/>
    <col min="2822" max="2822" width="17.42578125" style="2524" bestFit="1" customWidth="1"/>
    <col min="2823" max="2823" width="17.28515625" style="2524" bestFit="1" customWidth="1"/>
    <col min="2824" max="2825" width="10.7109375" style="2524" customWidth="1"/>
    <col min="2826" max="2827" width="10.7109375" style="2524" bestFit="1" customWidth="1"/>
    <col min="2828" max="2828" width="10.7109375" style="2524" customWidth="1"/>
    <col min="2829" max="2831" width="10.7109375" style="2524" bestFit="1" customWidth="1"/>
    <col min="2832" max="2833" width="10.7109375" style="2524" customWidth="1"/>
    <col min="2834" max="2835" width="10.7109375" style="2524" bestFit="1" customWidth="1"/>
    <col min="2836" max="3072" width="9.140625" style="2524"/>
    <col min="3073" max="3073" width="14.140625" style="2524" customWidth="1"/>
    <col min="3074" max="3074" width="66.28515625" style="2524" bestFit="1" customWidth="1"/>
    <col min="3075" max="3075" width="10" style="2524" bestFit="1" customWidth="1"/>
    <col min="3076" max="3077" width="8.5703125" style="2524" bestFit="1" customWidth="1"/>
    <col min="3078" max="3078" width="17.42578125" style="2524" bestFit="1" customWidth="1"/>
    <col min="3079" max="3079" width="17.28515625" style="2524" bestFit="1" customWidth="1"/>
    <col min="3080" max="3081" width="10.7109375" style="2524" customWidth="1"/>
    <col min="3082" max="3083" width="10.7109375" style="2524" bestFit="1" customWidth="1"/>
    <col min="3084" max="3084" width="10.7109375" style="2524" customWidth="1"/>
    <col min="3085" max="3087" width="10.7109375" style="2524" bestFit="1" customWidth="1"/>
    <col min="3088" max="3089" width="10.7109375" style="2524" customWidth="1"/>
    <col min="3090" max="3091" width="10.7109375" style="2524" bestFit="1" customWidth="1"/>
    <col min="3092" max="3328" width="9.140625" style="2524"/>
    <col min="3329" max="3329" width="14.140625" style="2524" customWidth="1"/>
    <col min="3330" max="3330" width="66.28515625" style="2524" bestFit="1" customWidth="1"/>
    <col min="3331" max="3331" width="10" style="2524" bestFit="1" customWidth="1"/>
    <col min="3332" max="3333" width="8.5703125" style="2524" bestFit="1" customWidth="1"/>
    <col min="3334" max="3334" width="17.42578125" style="2524" bestFit="1" customWidth="1"/>
    <col min="3335" max="3335" width="17.28515625" style="2524" bestFit="1" customWidth="1"/>
    <col min="3336" max="3337" width="10.7109375" style="2524" customWidth="1"/>
    <col min="3338" max="3339" width="10.7109375" style="2524" bestFit="1" customWidth="1"/>
    <col min="3340" max="3340" width="10.7109375" style="2524" customWidth="1"/>
    <col min="3341" max="3343" width="10.7109375" style="2524" bestFit="1" customWidth="1"/>
    <col min="3344" max="3345" width="10.7109375" style="2524" customWidth="1"/>
    <col min="3346" max="3347" width="10.7109375" style="2524" bestFit="1" customWidth="1"/>
    <col min="3348" max="3584" width="9.140625" style="2524"/>
    <col min="3585" max="3585" width="14.140625" style="2524" customWidth="1"/>
    <col min="3586" max="3586" width="66.28515625" style="2524" bestFit="1" customWidth="1"/>
    <col min="3587" max="3587" width="10" style="2524" bestFit="1" customWidth="1"/>
    <col min="3588" max="3589" width="8.5703125" style="2524" bestFit="1" customWidth="1"/>
    <col min="3590" max="3590" width="17.42578125" style="2524" bestFit="1" customWidth="1"/>
    <col min="3591" max="3591" width="17.28515625" style="2524" bestFit="1" customWidth="1"/>
    <col min="3592" max="3593" width="10.7109375" style="2524" customWidth="1"/>
    <col min="3594" max="3595" width="10.7109375" style="2524" bestFit="1" customWidth="1"/>
    <col min="3596" max="3596" width="10.7109375" style="2524" customWidth="1"/>
    <col min="3597" max="3599" width="10.7109375" style="2524" bestFit="1" customWidth="1"/>
    <col min="3600" max="3601" width="10.7109375" style="2524" customWidth="1"/>
    <col min="3602" max="3603" width="10.7109375" style="2524" bestFit="1" customWidth="1"/>
    <col min="3604" max="3840" width="9.140625" style="2524"/>
    <col min="3841" max="3841" width="14.140625" style="2524" customWidth="1"/>
    <col min="3842" max="3842" width="66.28515625" style="2524" bestFit="1" customWidth="1"/>
    <col min="3843" max="3843" width="10" style="2524" bestFit="1" customWidth="1"/>
    <col min="3844" max="3845" width="8.5703125" style="2524" bestFit="1" customWidth="1"/>
    <col min="3846" max="3846" width="17.42578125" style="2524" bestFit="1" customWidth="1"/>
    <col min="3847" max="3847" width="17.28515625" style="2524" bestFit="1" customWidth="1"/>
    <col min="3848" max="3849" width="10.7109375" style="2524" customWidth="1"/>
    <col min="3850" max="3851" width="10.7109375" style="2524" bestFit="1" customWidth="1"/>
    <col min="3852" max="3852" width="10.7109375" style="2524" customWidth="1"/>
    <col min="3853" max="3855" width="10.7109375" style="2524" bestFit="1" customWidth="1"/>
    <col min="3856" max="3857" width="10.7109375" style="2524" customWidth="1"/>
    <col min="3858" max="3859" width="10.7109375" style="2524" bestFit="1" customWidth="1"/>
    <col min="3860" max="4096" width="9.140625" style="2524"/>
    <col min="4097" max="4097" width="14.140625" style="2524" customWidth="1"/>
    <col min="4098" max="4098" width="66.28515625" style="2524" bestFit="1" customWidth="1"/>
    <col min="4099" max="4099" width="10" style="2524" bestFit="1" customWidth="1"/>
    <col min="4100" max="4101" width="8.5703125" style="2524" bestFit="1" customWidth="1"/>
    <col min="4102" max="4102" width="17.42578125" style="2524" bestFit="1" customWidth="1"/>
    <col min="4103" max="4103" width="17.28515625" style="2524" bestFit="1" customWidth="1"/>
    <col min="4104" max="4105" width="10.7109375" style="2524" customWidth="1"/>
    <col min="4106" max="4107" width="10.7109375" style="2524" bestFit="1" customWidth="1"/>
    <col min="4108" max="4108" width="10.7109375" style="2524" customWidth="1"/>
    <col min="4109" max="4111" width="10.7109375" style="2524" bestFit="1" customWidth="1"/>
    <col min="4112" max="4113" width="10.7109375" style="2524" customWidth="1"/>
    <col min="4114" max="4115" width="10.7109375" style="2524" bestFit="1" customWidth="1"/>
    <col min="4116" max="4352" width="9.140625" style="2524"/>
    <col min="4353" max="4353" width="14.140625" style="2524" customWidth="1"/>
    <col min="4354" max="4354" width="66.28515625" style="2524" bestFit="1" customWidth="1"/>
    <col min="4355" max="4355" width="10" style="2524" bestFit="1" customWidth="1"/>
    <col min="4356" max="4357" width="8.5703125" style="2524" bestFit="1" customWidth="1"/>
    <col min="4358" max="4358" width="17.42578125" style="2524" bestFit="1" customWidth="1"/>
    <col min="4359" max="4359" width="17.28515625" style="2524" bestFit="1" customWidth="1"/>
    <col min="4360" max="4361" width="10.7109375" style="2524" customWidth="1"/>
    <col min="4362" max="4363" width="10.7109375" style="2524" bestFit="1" customWidth="1"/>
    <col min="4364" max="4364" width="10.7109375" style="2524" customWidth="1"/>
    <col min="4365" max="4367" width="10.7109375" style="2524" bestFit="1" customWidth="1"/>
    <col min="4368" max="4369" width="10.7109375" style="2524" customWidth="1"/>
    <col min="4370" max="4371" width="10.7109375" style="2524" bestFit="1" customWidth="1"/>
    <col min="4372" max="4608" width="9.140625" style="2524"/>
    <col min="4609" max="4609" width="14.140625" style="2524" customWidth="1"/>
    <col min="4610" max="4610" width="66.28515625" style="2524" bestFit="1" customWidth="1"/>
    <col min="4611" max="4611" width="10" style="2524" bestFit="1" customWidth="1"/>
    <col min="4612" max="4613" width="8.5703125" style="2524" bestFit="1" customWidth="1"/>
    <col min="4614" max="4614" width="17.42578125" style="2524" bestFit="1" customWidth="1"/>
    <col min="4615" max="4615" width="17.28515625" style="2524" bestFit="1" customWidth="1"/>
    <col min="4616" max="4617" width="10.7109375" style="2524" customWidth="1"/>
    <col min="4618" max="4619" width="10.7109375" style="2524" bestFit="1" customWidth="1"/>
    <col min="4620" max="4620" width="10.7109375" style="2524" customWidth="1"/>
    <col min="4621" max="4623" width="10.7109375" style="2524" bestFit="1" customWidth="1"/>
    <col min="4624" max="4625" width="10.7109375" style="2524" customWidth="1"/>
    <col min="4626" max="4627" width="10.7109375" style="2524" bestFit="1" customWidth="1"/>
    <col min="4628" max="4864" width="9.140625" style="2524"/>
    <col min="4865" max="4865" width="14.140625" style="2524" customWidth="1"/>
    <col min="4866" max="4866" width="66.28515625" style="2524" bestFit="1" customWidth="1"/>
    <col min="4867" max="4867" width="10" style="2524" bestFit="1" customWidth="1"/>
    <col min="4868" max="4869" width="8.5703125" style="2524" bestFit="1" customWidth="1"/>
    <col min="4870" max="4870" width="17.42578125" style="2524" bestFit="1" customWidth="1"/>
    <col min="4871" max="4871" width="17.28515625" style="2524" bestFit="1" customWidth="1"/>
    <col min="4872" max="4873" width="10.7109375" style="2524" customWidth="1"/>
    <col min="4874" max="4875" width="10.7109375" style="2524" bestFit="1" customWidth="1"/>
    <col min="4876" max="4876" width="10.7109375" style="2524" customWidth="1"/>
    <col min="4877" max="4879" width="10.7109375" style="2524" bestFit="1" customWidth="1"/>
    <col min="4880" max="4881" width="10.7109375" style="2524" customWidth="1"/>
    <col min="4882" max="4883" width="10.7109375" style="2524" bestFit="1" customWidth="1"/>
    <col min="4884" max="5120" width="9.140625" style="2524"/>
    <col min="5121" max="5121" width="14.140625" style="2524" customWidth="1"/>
    <col min="5122" max="5122" width="66.28515625" style="2524" bestFit="1" customWidth="1"/>
    <col min="5123" max="5123" width="10" style="2524" bestFit="1" customWidth="1"/>
    <col min="5124" max="5125" width="8.5703125" style="2524" bestFit="1" customWidth="1"/>
    <col min="5126" max="5126" width="17.42578125" style="2524" bestFit="1" customWidth="1"/>
    <col min="5127" max="5127" width="17.28515625" style="2524" bestFit="1" customWidth="1"/>
    <col min="5128" max="5129" width="10.7109375" style="2524" customWidth="1"/>
    <col min="5130" max="5131" width="10.7109375" style="2524" bestFit="1" customWidth="1"/>
    <col min="5132" max="5132" width="10.7109375" style="2524" customWidth="1"/>
    <col min="5133" max="5135" width="10.7109375" style="2524" bestFit="1" customWidth="1"/>
    <col min="5136" max="5137" width="10.7109375" style="2524" customWidth="1"/>
    <col min="5138" max="5139" width="10.7109375" style="2524" bestFit="1" customWidth="1"/>
    <col min="5140" max="5376" width="9.140625" style="2524"/>
    <col min="5377" max="5377" width="14.140625" style="2524" customWidth="1"/>
    <col min="5378" max="5378" width="66.28515625" style="2524" bestFit="1" customWidth="1"/>
    <col min="5379" max="5379" width="10" style="2524" bestFit="1" customWidth="1"/>
    <col min="5380" max="5381" width="8.5703125" style="2524" bestFit="1" customWidth="1"/>
    <col min="5382" max="5382" width="17.42578125" style="2524" bestFit="1" customWidth="1"/>
    <col min="5383" max="5383" width="17.28515625" style="2524" bestFit="1" customWidth="1"/>
    <col min="5384" max="5385" width="10.7109375" style="2524" customWidth="1"/>
    <col min="5386" max="5387" width="10.7109375" style="2524" bestFit="1" customWidth="1"/>
    <col min="5388" max="5388" width="10.7109375" style="2524" customWidth="1"/>
    <col min="5389" max="5391" width="10.7109375" style="2524" bestFit="1" customWidth="1"/>
    <col min="5392" max="5393" width="10.7109375" style="2524" customWidth="1"/>
    <col min="5394" max="5395" width="10.7109375" style="2524" bestFit="1" customWidth="1"/>
    <col min="5396" max="5632" width="9.140625" style="2524"/>
    <col min="5633" max="5633" width="14.140625" style="2524" customWidth="1"/>
    <col min="5634" max="5634" width="66.28515625" style="2524" bestFit="1" customWidth="1"/>
    <col min="5635" max="5635" width="10" style="2524" bestFit="1" customWidth="1"/>
    <col min="5636" max="5637" width="8.5703125" style="2524" bestFit="1" customWidth="1"/>
    <col min="5638" max="5638" width="17.42578125" style="2524" bestFit="1" customWidth="1"/>
    <col min="5639" max="5639" width="17.28515625" style="2524" bestFit="1" customWidth="1"/>
    <col min="5640" max="5641" width="10.7109375" style="2524" customWidth="1"/>
    <col min="5642" max="5643" width="10.7109375" style="2524" bestFit="1" customWidth="1"/>
    <col min="5644" max="5644" width="10.7109375" style="2524" customWidth="1"/>
    <col min="5645" max="5647" width="10.7109375" style="2524" bestFit="1" customWidth="1"/>
    <col min="5648" max="5649" width="10.7109375" style="2524" customWidth="1"/>
    <col min="5650" max="5651" width="10.7109375" style="2524" bestFit="1" customWidth="1"/>
    <col min="5652" max="5888" width="9.140625" style="2524"/>
    <col min="5889" max="5889" width="14.140625" style="2524" customWidth="1"/>
    <col min="5890" max="5890" width="66.28515625" style="2524" bestFit="1" customWidth="1"/>
    <col min="5891" max="5891" width="10" style="2524" bestFit="1" customWidth="1"/>
    <col min="5892" max="5893" width="8.5703125" style="2524" bestFit="1" customWidth="1"/>
    <col min="5894" max="5894" width="17.42578125" style="2524" bestFit="1" customWidth="1"/>
    <col min="5895" max="5895" width="17.28515625" style="2524" bestFit="1" customWidth="1"/>
    <col min="5896" max="5897" width="10.7109375" style="2524" customWidth="1"/>
    <col min="5898" max="5899" width="10.7109375" style="2524" bestFit="1" customWidth="1"/>
    <col min="5900" max="5900" width="10.7109375" style="2524" customWidth="1"/>
    <col min="5901" max="5903" width="10.7109375" style="2524" bestFit="1" customWidth="1"/>
    <col min="5904" max="5905" width="10.7109375" style="2524" customWidth="1"/>
    <col min="5906" max="5907" width="10.7109375" style="2524" bestFit="1" customWidth="1"/>
    <col min="5908" max="6144" width="9.140625" style="2524"/>
    <col min="6145" max="6145" width="14.140625" style="2524" customWidth="1"/>
    <col min="6146" max="6146" width="66.28515625" style="2524" bestFit="1" customWidth="1"/>
    <col min="6147" max="6147" width="10" style="2524" bestFit="1" customWidth="1"/>
    <col min="6148" max="6149" width="8.5703125" style="2524" bestFit="1" customWidth="1"/>
    <col min="6150" max="6150" width="17.42578125" style="2524" bestFit="1" customWidth="1"/>
    <col min="6151" max="6151" width="17.28515625" style="2524" bestFit="1" customWidth="1"/>
    <col min="6152" max="6153" width="10.7109375" style="2524" customWidth="1"/>
    <col min="6154" max="6155" width="10.7109375" style="2524" bestFit="1" customWidth="1"/>
    <col min="6156" max="6156" width="10.7109375" style="2524" customWidth="1"/>
    <col min="6157" max="6159" width="10.7109375" style="2524" bestFit="1" customWidth="1"/>
    <col min="6160" max="6161" width="10.7109375" style="2524" customWidth="1"/>
    <col min="6162" max="6163" width="10.7109375" style="2524" bestFit="1" customWidth="1"/>
    <col min="6164" max="6400" width="9.140625" style="2524"/>
    <col min="6401" max="6401" width="14.140625" style="2524" customWidth="1"/>
    <col min="6402" max="6402" width="66.28515625" style="2524" bestFit="1" customWidth="1"/>
    <col min="6403" max="6403" width="10" style="2524" bestFit="1" customWidth="1"/>
    <col min="6404" max="6405" width="8.5703125" style="2524" bestFit="1" customWidth="1"/>
    <col min="6406" max="6406" width="17.42578125" style="2524" bestFit="1" customWidth="1"/>
    <col min="6407" max="6407" width="17.28515625" style="2524" bestFit="1" customWidth="1"/>
    <col min="6408" max="6409" width="10.7109375" style="2524" customWidth="1"/>
    <col min="6410" max="6411" width="10.7109375" style="2524" bestFit="1" customWidth="1"/>
    <col min="6412" max="6412" width="10.7109375" style="2524" customWidth="1"/>
    <col min="6413" max="6415" width="10.7109375" style="2524" bestFit="1" customWidth="1"/>
    <col min="6416" max="6417" width="10.7109375" style="2524" customWidth="1"/>
    <col min="6418" max="6419" width="10.7109375" style="2524" bestFit="1" customWidth="1"/>
    <col min="6420" max="6656" width="9.140625" style="2524"/>
    <col min="6657" max="6657" width="14.140625" style="2524" customWidth="1"/>
    <col min="6658" max="6658" width="66.28515625" style="2524" bestFit="1" customWidth="1"/>
    <col min="6659" max="6659" width="10" style="2524" bestFit="1" customWidth="1"/>
    <col min="6660" max="6661" width="8.5703125" style="2524" bestFit="1" customWidth="1"/>
    <col min="6662" max="6662" width="17.42578125" style="2524" bestFit="1" customWidth="1"/>
    <col min="6663" max="6663" width="17.28515625" style="2524" bestFit="1" customWidth="1"/>
    <col min="6664" max="6665" width="10.7109375" style="2524" customWidth="1"/>
    <col min="6666" max="6667" width="10.7109375" style="2524" bestFit="1" customWidth="1"/>
    <col min="6668" max="6668" width="10.7109375" style="2524" customWidth="1"/>
    <col min="6669" max="6671" width="10.7109375" style="2524" bestFit="1" customWidth="1"/>
    <col min="6672" max="6673" width="10.7109375" style="2524" customWidth="1"/>
    <col min="6674" max="6675" width="10.7109375" style="2524" bestFit="1" customWidth="1"/>
    <col min="6676" max="6912" width="9.140625" style="2524"/>
    <col min="6913" max="6913" width="14.140625" style="2524" customWidth="1"/>
    <col min="6914" max="6914" width="66.28515625" style="2524" bestFit="1" customWidth="1"/>
    <col min="6915" max="6915" width="10" style="2524" bestFit="1" customWidth="1"/>
    <col min="6916" max="6917" width="8.5703125" style="2524" bestFit="1" customWidth="1"/>
    <col min="6918" max="6918" width="17.42578125" style="2524" bestFit="1" customWidth="1"/>
    <col min="6919" max="6919" width="17.28515625" style="2524" bestFit="1" customWidth="1"/>
    <col min="6920" max="6921" width="10.7109375" style="2524" customWidth="1"/>
    <col min="6922" max="6923" width="10.7109375" style="2524" bestFit="1" customWidth="1"/>
    <col min="6924" max="6924" width="10.7109375" style="2524" customWidth="1"/>
    <col min="6925" max="6927" width="10.7109375" style="2524" bestFit="1" customWidth="1"/>
    <col min="6928" max="6929" width="10.7109375" style="2524" customWidth="1"/>
    <col min="6930" max="6931" width="10.7109375" style="2524" bestFit="1" customWidth="1"/>
    <col min="6932" max="7168" width="9.140625" style="2524"/>
    <col min="7169" max="7169" width="14.140625" style="2524" customWidth="1"/>
    <col min="7170" max="7170" width="66.28515625" style="2524" bestFit="1" customWidth="1"/>
    <col min="7171" max="7171" width="10" style="2524" bestFit="1" customWidth="1"/>
    <col min="7172" max="7173" width="8.5703125" style="2524" bestFit="1" customWidth="1"/>
    <col min="7174" max="7174" width="17.42578125" style="2524" bestFit="1" customWidth="1"/>
    <col min="7175" max="7175" width="17.28515625" style="2524" bestFit="1" customWidth="1"/>
    <col min="7176" max="7177" width="10.7109375" style="2524" customWidth="1"/>
    <col min="7178" max="7179" width="10.7109375" style="2524" bestFit="1" customWidth="1"/>
    <col min="7180" max="7180" width="10.7109375" style="2524" customWidth="1"/>
    <col min="7181" max="7183" width="10.7109375" style="2524" bestFit="1" customWidth="1"/>
    <col min="7184" max="7185" width="10.7109375" style="2524" customWidth="1"/>
    <col min="7186" max="7187" width="10.7109375" style="2524" bestFit="1" customWidth="1"/>
    <col min="7188" max="7424" width="9.140625" style="2524"/>
    <col min="7425" max="7425" width="14.140625" style="2524" customWidth="1"/>
    <col min="7426" max="7426" width="66.28515625" style="2524" bestFit="1" customWidth="1"/>
    <col min="7427" max="7427" width="10" style="2524" bestFit="1" customWidth="1"/>
    <col min="7428" max="7429" width="8.5703125" style="2524" bestFit="1" customWidth="1"/>
    <col min="7430" max="7430" width="17.42578125" style="2524" bestFit="1" customWidth="1"/>
    <col min="7431" max="7431" width="17.28515625" style="2524" bestFit="1" customWidth="1"/>
    <col min="7432" max="7433" width="10.7109375" style="2524" customWidth="1"/>
    <col min="7434" max="7435" width="10.7109375" style="2524" bestFit="1" customWidth="1"/>
    <col min="7436" max="7436" width="10.7109375" style="2524" customWidth="1"/>
    <col min="7437" max="7439" width="10.7109375" style="2524" bestFit="1" customWidth="1"/>
    <col min="7440" max="7441" width="10.7109375" style="2524" customWidth="1"/>
    <col min="7442" max="7443" width="10.7109375" style="2524" bestFit="1" customWidth="1"/>
    <col min="7444" max="7680" width="9.140625" style="2524"/>
    <col min="7681" max="7681" width="14.140625" style="2524" customWidth="1"/>
    <col min="7682" max="7682" width="66.28515625" style="2524" bestFit="1" customWidth="1"/>
    <col min="7683" max="7683" width="10" style="2524" bestFit="1" customWidth="1"/>
    <col min="7684" max="7685" width="8.5703125" style="2524" bestFit="1" customWidth="1"/>
    <col min="7686" max="7686" width="17.42578125" style="2524" bestFit="1" customWidth="1"/>
    <col min="7687" max="7687" width="17.28515625" style="2524" bestFit="1" customWidth="1"/>
    <col min="7688" max="7689" width="10.7109375" style="2524" customWidth="1"/>
    <col min="7690" max="7691" width="10.7109375" style="2524" bestFit="1" customWidth="1"/>
    <col min="7692" max="7692" width="10.7109375" style="2524" customWidth="1"/>
    <col min="7693" max="7695" width="10.7109375" style="2524" bestFit="1" customWidth="1"/>
    <col min="7696" max="7697" width="10.7109375" style="2524" customWidth="1"/>
    <col min="7698" max="7699" width="10.7109375" style="2524" bestFit="1" customWidth="1"/>
    <col min="7700" max="7936" width="9.140625" style="2524"/>
    <col min="7937" max="7937" width="14.140625" style="2524" customWidth="1"/>
    <col min="7938" max="7938" width="66.28515625" style="2524" bestFit="1" customWidth="1"/>
    <col min="7939" max="7939" width="10" style="2524" bestFit="1" customWidth="1"/>
    <col min="7940" max="7941" width="8.5703125" style="2524" bestFit="1" customWidth="1"/>
    <col min="7942" max="7942" width="17.42578125" style="2524" bestFit="1" customWidth="1"/>
    <col min="7943" max="7943" width="17.28515625" style="2524" bestFit="1" customWidth="1"/>
    <col min="7944" max="7945" width="10.7109375" style="2524" customWidth="1"/>
    <col min="7946" max="7947" width="10.7109375" style="2524" bestFit="1" customWidth="1"/>
    <col min="7948" max="7948" width="10.7109375" style="2524" customWidth="1"/>
    <col min="7949" max="7951" width="10.7109375" style="2524" bestFit="1" customWidth="1"/>
    <col min="7952" max="7953" width="10.7109375" style="2524" customWidth="1"/>
    <col min="7954" max="7955" width="10.7109375" style="2524" bestFit="1" customWidth="1"/>
    <col min="7956" max="8192" width="9.140625" style="2524"/>
    <col min="8193" max="8193" width="14.140625" style="2524" customWidth="1"/>
    <col min="8194" max="8194" width="66.28515625" style="2524" bestFit="1" customWidth="1"/>
    <col min="8195" max="8195" width="10" style="2524" bestFit="1" customWidth="1"/>
    <col min="8196" max="8197" width="8.5703125" style="2524" bestFit="1" customWidth="1"/>
    <col min="8198" max="8198" width="17.42578125" style="2524" bestFit="1" customWidth="1"/>
    <col min="8199" max="8199" width="17.28515625" style="2524" bestFit="1" customWidth="1"/>
    <col min="8200" max="8201" width="10.7109375" style="2524" customWidth="1"/>
    <col min="8202" max="8203" width="10.7109375" style="2524" bestFit="1" customWidth="1"/>
    <col min="8204" max="8204" width="10.7109375" style="2524" customWidth="1"/>
    <col min="8205" max="8207" width="10.7109375" style="2524" bestFit="1" customWidth="1"/>
    <col min="8208" max="8209" width="10.7109375" style="2524" customWidth="1"/>
    <col min="8210" max="8211" width="10.7109375" style="2524" bestFit="1" customWidth="1"/>
    <col min="8212" max="8448" width="9.140625" style="2524"/>
    <col min="8449" max="8449" width="14.140625" style="2524" customWidth="1"/>
    <col min="8450" max="8450" width="66.28515625" style="2524" bestFit="1" customWidth="1"/>
    <col min="8451" max="8451" width="10" style="2524" bestFit="1" customWidth="1"/>
    <col min="8452" max="8453" width="8.5703125" style="2524" bestFit="1" customWidth="1"/>
    <col min="8454" max="8454" width="17.42578125" style="2524" bestFit="1" customWidth="1"/>
    <col min="8455" max="8455" width="17.28515625" style="2524" bestFit="1" customWidth="1"/>
    <col min="8456" max="8457" width="10.7109375" style="2524" customWidth="1"/>
    <col min="8458" max="8459" width="10.7109375" style="2524" bestFit="1" customWidth="1"/>
    <col min="8460" max="8460" width="10.7109375" style="2524" customWidth="1"/>
    <col min="8461" max="8463" width="10.7109375" style="2524" bestFit="1" customWidth="1"/>
    <col min="8464" max="8465" width="10.7109375" style="2524" customWidth="1"/>
    <col min="8466" max="8467" width="10.7109375" style="2524" bestFit="1" customWidth="1"/>
    <col min="8468" max="8704" width="9.140625" style="2524"/>
    <col min="8705" max="8705" width="14.140625" style="2524" customWidth="1"/>
    <col min="8706" max="8706" width="66.28515625" style="2524" bestFit="1" customWidth="1"/>
    <col min="8707" max="8707" width="10" style="2524" bestFit="1" customWidth="1"/>
    <col min="8708" max="8709" width="8.5703125" style="2524" bestFit="1" customWidth="1"/>
    <col min="8710" max="8710" width="17.42578125" style="2524" bestFit="1" customWidth="1"/>
    <col min="8711" max="8711" width="17.28515625" style="2524" bestFit="1" customWidth="1"/>
    <col min="8712" max="8713" width="10.7109375" style="2524" customWidth="1"/>
    <col min="8714" max="8715" width="10.7109375" style="2524" bestFit="1" customWidth="1"/>
    <col min="8716" max="8716" width="10.7109375" style="2524" customWidth="1"/>
    <col min="8717" max="8719" width="10.7109375" style="2524" bestFit="1" customWidth="1"/>
    <col min="8720" max="8721" width="10.7109375" style="2524" customWidth="1"/>
    <col min="8722" max="8723" width="10.7109375" style="2524" bestFit="1" customWidth="1"/>
    <col min="8724" max="8960" width="9.140625" style="2524"/>
    <col min="8961" max="8961" width="14.140625" style="2524" customWidth="1"/>
    <col min="8962" max="8962" width="66.28515625" style="2524" bestFit="1" customWidth="1"/>
    <col min="8963" max="8963" width="10" style="2524" bestFit="1" customWidth="1"/>
    <col min="8964" max="8965" width="8.5703125" style="2524" bestFit="1" customWidth="1"/>
    <col min="8966" max="8966" width="17.42578125" style="2524" bestFit="1" customWidth="1"/>
    <col min="8967" max="8967" width="17.28515625" style="2524" bestFit="1" customWidth="1"/>
    <col min="8968" max="8969" width="10.7109375" style="2524" customWidth="1"/>
    <col min="8970" max="8971" width="10.7109375" style="2524" bestFit="1" customWidth="1"/>
    <col min="8972" max="8972" width="10.7109375" style="2524" customWidth="1"/>
    <col min="8973" max="8975" width="10.7109375" style="2524" bestFit="1" customWidth="1"/>
    <col min="8976" max="8977" width="10.7109375" style="2524" customWidth="1"/>
    <col min="8978" max="8979" width="10.7109375" style="2524" bestFit="1" customWidth="1"/>
    <col min="8980" max="9216" width="9.140625" style="2524"/>
    <col min="9217" max="9217" width="14.140625" style="2524" customWidth="1"/>
    <col min="9218" max="9218" width="66.28515625" style="2524" bestFit="1" customWidth="1"/>
    <col min="9219" max="9219" width="10" style="2524" bestFit="1" customWidth="1"/>
    <col min="9220" max="9221" width="8.5703125" style="2524" bestFit="1" customWidth="1"/>
    <col min="9222" max="9222" width="17.42578125" style="2524" bestFit="1" customWidth="1"/>
    <col min="9223" max="9223" width="17.28515625" style="2524" bestFit="1" customWidth="1"/>
    <col min="9224" max="9225" width="10.7109375" style="2524" customWidth="1"/>
    <col min="9226" max="9227" width="10.7109375" style="2524" bestFit="1" customWidth="1"/>
    <col min="9228" max="9228" width="10.7109375" style="2524" customWidth="1"/>
    <col min="9229" max="9231" width="10.7109375" style="2524" bestFit="1" customWidth="1"/>
    <col min="9232" max="9233" width="10.7109375" style="2524" customWidth="1"/>
    <col min="9234" max="9235" width="10.7109375" style="2524" bestFit="1" customWidth="1"/>
    <col min="9236" max="9472" width="9.140625" style="2524"/>
    <col min="9473" max="9473" width="14.140625" style="2524" customWidth="1"/>
    <col min="9474" max="9474" width="66.28515625" style="2524" bestFit="1" customWidth="1"/>
    <col min="9475" max="9475" width="10" style="2524" bestFit="1" customWidth="1"/>
    <col min="9476" max="9477" width="8.5703125" style="2524" bestFit="1" customWidth="1"/>
    <col min="9478" max="9478" width="17.42578125" style="2524" bestFit="1" customWidth="1"/>
    <col min="9479" max="9479" width="17.28515625" style="2524" bestFit="1" customWidth="1"/>
    <col min="9480" max="9481" width="10.7109375" style="2524" customWidth="1"/>
    <col min="9482" max="9483" width="10.7109375" style="2524" bestFit="1" customWidth="1"/>
    <col min="9484" max="9484" width="10.7109375" style="2524" customWidth="1"/>
    <col min="9485" max="9487" width="10.7109375" style="2524" bestFit="1" customWidth="1"/>
    <col min="9488" max="9489" width="10.7109375" style="2524" customWidth="1"/>
    <col min="9490" max="9491" width="10.7109375" style="2524" bestFit="1" customWidth="1"/>
    <col min="9492" max="9728" width="9.140625" style="2524"/>
    <col min="9729" max="9729" width="14.140625" style="2524" customWidth="1"/>
    <col min="9730" max="9730" width="66.28515625" style="2524" bestFit="1" customWidth="1"/>
    <col min="9731" max="9731" width="10" style="2524" bestFit="1" customWidth="1"/>
    <col min="9732" max="9733" width="8.5703125" style="2524" bestFit="1" customWidth="1"/>
    <col min="9734" max="9734" width="17.42578125" style="2524" bestFit="1" customWidth="1"/>
    <col min="9735" max="9735" width="17.28515625" style="2524" bestFit="1" customWidth="1"/>
    <col min="9736" max="9737" width="10.7109375" style="2524" customWidth="1"/>
    <col min="9738" max="9739" width="10.7109375" style="2524" bestFit="1" customWidth="1"/>
    <col min="9740" max="9740" width="10.7109375" style="2524" customWidth="1"/>
    <col min="9741" max="9743" width="10.7109375" style="2524" bestFit="1" customWidth="1"/>
    <col min="9744" max="9745" width="10.7109375" style="2524" customWidth="1"/>
    <col min="9746" max="9747" width="10.7109375" style="2524" bestFit="1" customWidth="1"/>
    <col min="9748" max="9984" width="9.140625" style="2524"/>
    <col min="9985" max="9985" width="14.140625" style="2524" customWidth="1"/>
    <col min="9986" max="9986" width="66.28515625" style="2524" bestFit="1" customWidth="1"/>
    <col min="9987" max="9987" width="10" style="2524" bestFit="1" customWidth="1"/>
    <col min="9988" max="9989" width="8.5703125" style="2524" bestFit="1" customWidth="1"/>
    <col min="9990" max="9990" width="17.42578125" style="2524" bestFit="1" customWidth="1"/>
    <col min="9991" max="9991" width="17.28515625" style="2524" bestFit="1" customWidth="1"/>
    <col min="9992" max="9993" width="10.7109375" style="2524" customWidth="1"/>
    <col min="9994" max="9995" width="10.7109375" style="2524" bestFit="1" customWidth="1"/>
    <col min="9996" max="9996" width="10.7109375" style="2524" customWidth="1"/>
    <col min="9997" max="9999" width="10.7109375" style="2524" bestFit="1" customWidth="1"/>
    <col min="10000" max="10001" width="10.7109375" style="2524" customWidth="1"/>
    <col min="10002" max="10003" width="10.7109375" style="2524" bestFit="1" customWidth="1"/>
    <col min="10004" max="10240" width="9.140625" style="2524"/>
    <col min="10241" max="10241" width="14.140625" style="2524" customWidth="1"/>
    <col min="10242" max="10242" width="66.28515625" style="2524" bestFit="1" customWidth="1"/>
    <col min="10243" max="10243" width="10" style="2524" bestFit="1" customWidth="1"/>
    <col min="10244" max="10245" width="8.5703125" style="2524" bestFit="1" customWidth="1"/>
    <col min="10246" max="10246" width="17.42578125" style="2524" bestFit="1" customWidth="1"/>
    <col min="10247" max="10247" width="17.28515625" style="2524" bestFit="1" customWidth="1"/>
    <col min="10248" max="10249" width="10.7109375" style="2524" customWidth="1"/>
    <col min="10250" max="10251" width="10.7109375" style="2524" bestFit="1" customWidth="1"/>
    <col min="10252" max="10252" width="10.7109375" style="2524" customWidth="1"/>
    <col min="10253" max="10255" width="10.7109375" style="2524" bestFit="1" customWidth="1"/>
    <col min="10256" max="10257" width="10.7109375" style="2524" customWidth="1"/>
    <col min="10258" max="10259" width="10.7109375" style="2524" bestFit="1" customWidth="1"/>
    <col min="10260" max="10496" width="9.140625" style="2524"/>
    <col min="10497" max="10497" width="14.140625" style="2524" customWidth="1"/>
    <col min="10498" max="10498" width="66.28515625" style="2524" bestFit="1" customWidth="1"/>
    <col min="10499" max="10499" width="10" style="2524" bestFit="1" customWidth="1"/>
    <col min="10500" max="10501" width="8.5703125" style="2524" bestFit="1" customWidth="1"/>
    <col min="10502" max="10502" width="17.42578125" style="2524" bestFit="1" customWidth="1"/>
    <col min="10503" max="10503" width="17.28515625" style="2524" bestFit="1" customWidth="1"/>
    <col min="10504" max="10505" width="10.7109375" style="2524" customWidth="1"/>
    <col min="10506" max="10507" width="10.7109375" style="2524" bestFit="1" customWidth="1"/>
    <col min="10508" max="10508" width="10.7109375" style="2524" customWidth="1"/>
    <col min="10509" max="10511" width="10.7109375" style="2524" bestFit="1" customWidth="1"/>
    <col min="10512" max="10513" width="10.7109375" style="2524" customWidth="1"/>
    <col min="10514" max="10515" width="10.7109375" style="2524" bestFit="1" customWidth="1"/>
    <col min="10516" max="10752" width="9.140625" style="2524"/>
    <col min="10753" max="10753" width="14.140625" style="2524" customWidth="1"/>
    <col min="10754" max="10754" width="66.28515625" style="2524" bestFit="1" customWidth="1"/>
    <col min="10755" max="10755" width="10" style="2524" bestFit="1" customWidth="1"/>
    <col min="10756" max="10757" width="8.5703125" style="2524" bestFit="1" customWidth="1"/>
    <col min="10758" max="10758" width="17.42578125" style="2524" bestFit="1" customWidth="1"/>
    <col min="10759" max="10759" width="17.28515625" style="2524" bestFit="1" customWidth="1"/>
    <col min="10760" max="10761" width="10.7109375" style="2524" customWidth="1"/>
    <col min="10762" max="10763" width="10.7109375" style="2524" bestFit="1" customWidth="1"/>
    <col min="10764" max="10764" width="10.7109375" style="2524" customWidth="1"/>
    <col min="10765" max="10767" width="10.7109375" style="2524" bestFit="1" customWidth="1"/>
    <col min="10768" max="10769" width="10.7109375" style="2524" customWidth="1"/>
    <col min="10770" max="10771" width="10.7109375" style="2524" bestFit="1" customWidth="1"/>
    <col min="10772" max="11008" width="9.140625" style="2524"/>
    <col min="11009" max="11009" width="14.140625" style="2524" customWidth="1"/>
    <col min="11010" max="11010" width="66.28515625" style="2524" bestFit="1" customWidth="1"/>
    <col min="11011" max="11011" width="10" style="2524" bestFit="1" customWidth="1"/>
    <col min="11012" max="11013" width="8.5703125" style="2524" bestFit="1" customWidth="1"/>
    <col min="11014" max="11014" width="17.42578125" style="2524" bestFit="1" customWidth="1"/>
    <col min="11015" max="11015" width="17.28515625" style="2524" bestFit="1" customWidth="1"/>
    <col min="11016" max="11017" width="10.7109375" style="2524" customWidth="1"/>
    <col min="11018" max="11019" width="10.7109375" style="2524" bestFit="1" customWidth="1"/>
    <col min="11020" max="11020" width="10.7109375" style="2524" customWidth="1"/>
    <col min="11021" max="11023" width="10.7109375" style="2524" bestFit="1" customWidth="1"/>
    <col min="11024" max="11025" width="10.7109375" style="2524" customWidth="1"/>
    <col min="11026" max="11027" width="10.7109375" style="2524" bestFit="1" customWidth="1"/>
    <col min="11028" max="11264" width="9.140625" style="2524"/>
    <col min="11265" max="11265" width="14.140625" style="2524" customWidth="1"/>
    <col min="11266" max="11266" width="66.28515625" style="2524" bestFit="1" customWidth="1"/>
    <col min="11267" max="11267" width="10" style="2524" bestFit="1" customWidth="1"/>
    <col min="11268" max="11269" width="8.5703125" style="2524" bestFit="1" customWidth="1"/>
    <col min="11270" max="11270" width="17.42578125" style="2524" bestFit="1" customWidth="1"/>
    <col min="11271" max="11271" width="17.28515625" style="2524" bestFit="1" customWidth="1"/>
    <col min="11272" max="11273" width="10.7109375" style="2524" customWidth="1"/>
    <col min="11274" max="11275" width="10.7109375" style="2524" bestFit="1" customWidth="1"/>
    <col min="11276" max="11276" width="10.7109375" style="2524" customWidth="1"/>
    <col min="11277" max="11279" width="10.7109375" style="2524" bestFit="1" customWidth="1"/>
    <col min="11280" max="11281" width="10.7109375" style="2524" customWidth="1"/>
    <col min="11282" max="11283" width="10.7109375" style="2524" bestFit="1" customWidth="1"/>
    <col min="11284" max="11520" width="9.140625" style="2524"/>
    <col min="11521" max="11521" width="14.140625" style="2524" customWidth="1"/>
    <col min="11522" max="11522" width="66.28515625" style="2524" bestFit="1" customWidth="1"/>
    <col min="11523" max="11523" width="10" style="2524" bestFit="1" customWidth="1"/>
    <col min="11524" max="11525" width="8.5703125" style="2524" bestFit="1" customWidth="1"/>
    <col min="11526" max="11526" width="17.42578125" style="2524" bestFit="1" customWidth="1"/>
    <col min="11527" max="11527" width="17.28515625" style="2524" bestFit="1" customWidth="1"/>
    <col min="11528" max="11529" width="10.7109375" style="2524" customWidth="1"/>
    <col min="11530" max="11531" width="10.7109375" style="2524" bestFit="1" customWidth="1"/>
    <col min="11532" max="11532" width="10.7109375" style="2524" customWidth="1"/>
    <col min="11533" max="11535" width="10.7109375" style="2524" bestFit="1" customWidth="1"/>
    <col min="11536" max="11537" width="10.7109375" style="2524" customWidth="1"/>
    <col min="11538" max="11539" width="10.7109375" style="2524" bestFit="1" customWidth="1"/>
    <col min="11540" max="11776" width="9.140625" style="2524"/>
    <col min="11777" max="11777" width="14.140625" style="2524" customWidth="1"/>
    <col min="11778" max="11778" width="66.28515625" style="2524" bestFit="1" customWidth="1"/>
    <col min="11779" max="11779" width="10" style="2524" bestFit="1" customWidth="1"/>
    <col min="11780" max="11781" width="8.5703125" style="2524" bestFit="1" customWidth="1"/>
    <col min="11782" max="11782" width="17.42578125" style="2524" bestFit="1" customWidth="1"/>
    <col min="11783" max="11783" width="17.28515625" style="2524" bestFit="1" customWidth="1"/>
    <col min="11784" max="11785" width="10.7109375" style="2524" customWidth="1"/>
    <col min="11786" max="11787" width="10.7109375" style="2524" bestFit="1" customWidth="1"/>
    <col min="11788" max="11788" width="10.7109375" style="2524" customWidth="1"/>
    <col min="11789" max="11791" width="10.7109375" style="2524" bestFit="1" customWidth="1"/>
    <col min="11792" max="11793" width="10.7109375" style="2524" customWidth="1"/>
    <col min="11794" max="11795" width="10.7109375" style="2524" bestFit="1" customWidth="1"/>
    <col min="11796" max="12032" width="9.140625" style="2524"/>
    <col min="12033" max="12033" width="14.140625" style="2524" customWidth="1"/>
    <col min="12034" max="12034" width="66.28515625" style="2524" bestFit="1" customWidth="1"/>
    <col min="12035" max="12035" width="10" style="2524" bestFit="1" customWidth="1"/>
    <col min="12036" max="12037" width="8.5703125" style="2524" bestFit="1" customWidth="1"/>
    <col min="12038" max="12038" width="17.42578125" style="2524" bestFit="1" customWidth="1"/>
    <col min="12039" max="12039" width="17.28515625" style="2524" bestFit="1" customWidth="1"/>
    <col min="12040" max="12041" width="10.7109375" style="2524" customWidth="1"/>
    <col min="12042" max="12043" width="10.7109375" style="2524" bestFit="1" customWidth="1"/>
    <col min="12044" max="12044" width="10.7109375" style="2524" customWidth="1"/>
    <col min="12045" max="12047" width="10.7109375" style="2524" bestFit="1" customWidth="1"/>
    <col min="12048" max="12049" width="10.7109375" style="2524" customWidth="1"/>
    <col min="12050" max="12051" width="10.7109375" style="2524" bestFit="1" customWidth="1"/>
    <col min="12052" max="12288" width="9.140625" style="2524"/>
    <col min="12289" max="12289" width="14.140625" style="2524" customWidth="1"/>
    <col min="12290" max="12290" width="66.28515625" style="2524" bestFit="1" customWidth="1"/>
    <col min="12291" max="12291" width="10" style="2524" bestFit="1" customWidth="1"/>
    <col min="12292" max="12293" width="8.5703125" style="2524" bestFit="1" customWidth="1"/>
    <col min="12294" max="12294" width="17.42578125" style="2524" bestFit="1" customWidth="1"/>
    <col min="12295" max="12295" width="17.28515625" style="2524" bestFit="1" customWidth="1"/>
    <col min="12296" max="12297" width="10.7109375" style="2524" customWidth="1"/>
    <col min="12298" max="12299" width="10.7109375" style="2524" bestFit="1" customWidth="1"/>
    <col min="12300" max="12300" width="10.7109375" style="2524" customWidth="1"/>
    <col min="12301" max="12303" width="10.7109375" style="2524" bestFit="1" customWidth="1"/>
    <col min="12304" max="12305" width="10.7109375" style="2524" customWidth="1"/>
    <col min="12306" max="12307" width="10.7109375" style="2524" bestFit="1" customWidth="1"/>
    <col min="12308" max="12544" width="9.140625" style="2524"/>
    <col min="12545" max="12545" width="14.140625" style="2524" customWidth="1"/>
    <col min="12546" max="12546" width="66.28515625" style="2524" bestFit="1" customWidth="1"/>
    <col min="12547" max="12547" width="10" style="2524" bestFit="1" customWidth="1"/>
    <col min="12548" max="12549" width="8.5703125" style="2524" bestFit="1" customWidth="1"/>
    <col min="12550" max="12550" width="17.42578125" style="2524" bestFit="1" customWidth="1"/>
    <col min="12551" max="12551" width="17.28515625" style="2524" bestFit="1" customWidth="1"/>
    <col min="12552" max="12553" width="10.7109375" style="2524" customWidth="1"/>
    <col min="12554" max="12555" width="10.7109375" style="2524" bestFit="1" customWidth="1"/>
    <col min="12556" max="12556" width="10.7109375" style="2524" customWidth="1"/>
    <col min="12557" max="12559" width="10.7109375" style="2524" bestFit="1" customWidth="1"/>
    <col min="12560" max="12561" width="10.7109375" style="2524" customWidth="1"/>
    <col min="12562" max="12563" width="10.7109375" style="2524" bestFit="1" customWidth="1"/>
    <col min="12564" max="12800" width="9.140625" style="2524"/>
    <col min="12801" max="12801" width="14.140625" style="2524" customWidth="1"/>
    <col min="12802" max="12802" width="66.28515625" style="2524" bestFit="1" customWidth="1"/>
    <col min="12803" max="12803" width="10" style="2524" bestFit="1" customWidth="1"/>
    <col min="12804" max="12805" width="8.5703125" style="2524" bestFit="1" customWidth="1"/>
    <col min="12806" max="12806" width="17.42578125" style="2524" bestFit="1" customWidth="1"/>
    <col min="12807" max="12807" width="17.28515625" style="2524" bestFit="1" customWidth="1"/>
    <col min="12808" max="12809" width="10.7109375" style="2524" customWidth="1"/>
    <col min="12810" max="12811" width="10.7109375" style="2524" bestFit="1" customWidth="1"/>
    <col min="12812" max="12812" width="10.7109375" style="2524" customWidth="1"/>
    <col min="12813" max="12815" width="10.7109375" style="2524" bestFit="1" customWidth="1"/>
    <col min="12816" max="12817" width="10.7109375" style="2524" customWidth="1"/>
    <col min="12818" max="12819" width="10.7109375" style="2524" bestFit="1" customWidth="1"/>
    <col min="12820" max="13056" width="9.140625" style="2524"/>
    <col min="13057" max="13057" width="14.140625" style="2524" customWidth="1"/>
    <col min="13058" max="13058" width="66.28515625" style="2524" bestFit="1" customWidth="1"/>
    <col min="13059" max="13059" width="10" style="2524" bestFit="1" customWidth="1"/>
    <col min="13060" max="13061" width="8.5703125" style="2524" bestFit="1" customWidth="1"/>
    <col min="13062" max="13062" width="17.42578125" style="2524" bestFit="1" customWidth="1"/>
    <col min="13063" max="13063" width="17.28515625" style="2524" bestFit="1" customWidth="1"/>
    <col min="13064" max="13065" width="10.7109375" style="2524" customWidth="1"/>
    <col min="13066" max="13067" width="10.7109375" style="2524" bestFit="1" customWidth="1"/>
    <col min="13068" max="13068" width="10.7109375" style="2524" customWidth="1"/>
    <col min="13069" max="13071" width="10.7109375" style="2524" bestFit="1" customWidth="1"/>
    <col min="13072" max="13073" width="10.7109375" style="2524" customWidth="1"/>
    <col min="13074" max="13075" width="10.7109375" style="2524" bestFit="1" customWidth="1"/>
    <col min="13076" max="13312" width="9.140625" style="2524"/>
    <col min="13313" max="13313" width="14.140625" style="2524" customWidth="1"/>
    <col min="13314" max="13314" width="66.28515625" style="2524" bestFit="1" customWidth="1"/>
    <col min="13315" max="13315" width="10" style="2524" bestFit="1" customWidth="1"/>
    <col min="13316" max="13317" width="8.5703125" style="2524" bestFit="1" customWidth="1"/>
    <col min="13318" max="13318" width="17.42578125" style="2524" bestFit="1" customWidth="1"/>
    <col min="13319" max="13319" width="17.28515625" style="2524" bestFit="1" customWidth="1"/>
    <col min="13320" max="13321" width="10.7109375" style="2524" customWidth="1"/>
    <col min="13322" max="13323" width="10.7109375" style="2524" bestFit="1" customWidth="1"/>
    <col min="13324" max="13324" width="10.7109375" style="2524" customWidth="1"/>
    <col min="13325" max="13327" width="10.7109375" style="2524" bestFit="1" customWidth="1"/>
    <col min="13328" max="13329" width="10.7109375" style="2524" customWidth="1"/>
    <col min="13330" max="13331" width="10.7109375" style="2524" bestFit="1" customWidth="1"/>
    <col min="13332" max="13568" width="9.140625" style="2524"/>
    <col min="13569" max="13569" width="14.140625" style="2524" customWidth="1"/>
    <col min="13570" max="13570" width="66.28515625" style="2524" bestFit="1" customWidth="1"/>
    <col min="13571" max="13571" width="10" style="2524" bestFit="1" customWidth="1"/>
    <col min="13572" max="13573" width="8.5703125" style="2524" bestFit="1" customWidth="1"/>
    <col min="13574" max="13574" width="17.42578125" style="2524" bestFit="1" customWidth="1"/>
    <col min="13575" max="13575" width="17.28515625" style="2524" bestFit="1" customWidth="1"/>
    <col min="13576" max="13577" width="10.7109375" style="2524" customWidth="1"/>
    <col min="13578" max="13579" width="10.7109375" style="2524" bestFit="1" customWidth="1"/>
    <col min="13580" max="13580" width="10.7109375" style="2524" customWidth="1"/>
    <col min="13581" max="13583" width="10.7109375" style="2524" bestFit="1" customWidth="1"/>
    <col min="13584" max="13585" width="10.7109375" style="2524" customWidth="1"/>
    <col min="13586" max="13587" width="10.7109375" style="2524" bestFit="1" customWidth="1"/>
    <col min="13588" max="13824" width="9.140625" style="2524"/>
    <col min="13825" max="13825" width="14.140625" style="2524" customWidth="1"/>
    <col min="13826" max="13826" width="66.28515625" style="2524" bestFit="1" customWidth="1"/>
    <col min="13827" max="13827" width="10" style="2524" bestFit="1" customWidth="1"/>
    <col min="13828" max="13829" width="8.5703125" style="2524" bestFit="1" customWidth="1"/>
    <col min="13830" max="13830" width="17.42578125" style="2524" bestFit="1" customWidth="1"/>
    <col min="13831" max="13831" width="17.28515625" style="2524" bestFit="1" customWidth="1"/>
    <col min="13832" max="13833" width="10.7109375" style="2524" customWidth="1"/>
    <col min="13834" max="13835" width="10.7109375" style="2524" bestFit="1" customWidth="1"/>
    <col min="13836" max="13836" width="10.7109375" style="2524" customWidth="1"/>
    <col min="13837" max="13839" width="10.7109375" style="2524" bestFit="1" customWidth="1"/>
    <col min="13840" max="13841" width="10.7109375" style="2524" customWidth="1"/>
    <col min="13842" max="13843" width="10.7109375" style="2524" bestFit="1" customWidth="1"/>
    <col min="13844" max="14080" width="9.140625" style="2524"/>
    <col min="14081" max="14081" width="14.140625" style="2524" customWidth="1"/>
    <col min="14082" max="14082" width="66.28515625" style="2524" bestFit="1" customWidth="1"/>
    <col min="14083" max="14083" width="10" style="2524" bestFit="1" customWidth="1"/>
    <col min="14084" max="14085" width="8.5703125" style="2524" bestFit="1" customWidth="1"/>
    <col min="14086" max="14086" width="17.42578125" style="2524" bestFit="1" customWidth="1"/>
    <col min="14087" max="14087" width="17.28515625" style="2524" bestFit="1" customWidth="1"/>
    <col min="14088" max="14089" width="10.7109375" style="2524" customWidth="1"/>
    <col min="14090" max="14091" width="10.7109375" style="2524" bestFit="1" customWidth="1"/>
    <col min="14092" max="14092" width="10.7109375" style="2524" customWidth="1"/>
    <col min="14093" max="14095" width="10.7109375" style="2524" bestFit="1" customWidth="1"/>
    <col min="14096" max="14097" width="10.7109375" style="2524" customWidth="1"/>
    <col min="14098" max="14099" width="10.7109375" style="2524" bestFit="1" customWidth="1"/>
    <col min="14100" max="14336" width="9.140625" style="2524"/>
    <col min="14337" max="14337" width="14.140625" style="2524" customWidth="1"/>
    <col min="14338" max="14338" width="66.28515625" style="2524" bestFit="1" customWidth="1"/>
    <col min="14339" max="14339" width="10" style="2524" bestFit="1" customWidth="1"/>
    <col min="14340" max="14341" width="8.5703125" style="2524" bestFit="1" customWidth="1"/>
    <col min="14342" max="14342" width="17.42578125" style="2524" bestFit="1" customWidth="1"/>
    <col min="14343" max="14343" width="17.28515625" style="2524" bestFit="1" customWidth="1"/>
    <col min="14344" max="14345" width="10.7109375" style="2524" customWidth="1"/>
    <col min="14346" max="14347" width="10.7109375" style="2524" bestFit="1" customWidth="1"/>
    <col min="14348" max="14348" width="10.7109375" style="2524" customWidth="1"/>
    <col min="14349" max="14351" width="10.7109375" style="2524" bestFit="1" customWidth="1"/>
    <col min="14352" max="14353" width="10.7109375" style="2524" customWidth="1"/>
    <col min="14354" max="14355" width="10.7109375" style="2524" bestFit="1" customWidth="1"/>
    <col min="14356" max="14592" width="9.140625" style="2524"/>
    <col min="14593" max="14593" width="14.140625" style="2524" customWidth="1"/>
    <col min="14594" max="14594" width="66.28515625" style="2524" bestFit="1" customWidth="1"/>
    <col min="14595" max="14595" width="10" style="2524" bestFit="1" customWidth="1"/>
    <col min="14596" max="14597" width="8.5703125" style="2524" bestFit="1" customWidth="1"/>
    <col min="14598" max="14598" width="17.42578125" style="2524" bestFit="1" customWidth="1"/>
    <col min="14599" max="14599" width="17.28515625" style="2524" bestFit="1" customWidth="1"/>
    <col min="14600" max="14601" width="10.7109375" style="2524" customWidth="1"/>
    <col min="14602" max="14603" width="10.7109375" style="2524" bestFit="1" customWidth="1"/>
    <col min="14604" max="14604" width="10.7109375" style="2524" customWidth="1"/>
    <col min="14605" max="14607" width="10.7109375" style="2524" bestFit="1" customWidth="1"/>
    <col min="14608" max="14609" width="10.7109375" style="2524" customWidth="1"/>
    <col min="14610" max="14611" width="10.7109375" style="2524" bestFit="1" customWidth="1"/>
    <col min="14612" max="14848" width="9.140625" style="2524"/>
    <col min="14849" max="14849" width="14.140625" style="2524" customWidth="1"/>
    <col min="14850" max="14850" width="66.28515625" style="2524" bestFit="1" customWidth="1"/>
    <col min="14851" max="14851" width="10" style="2524" bestFit="1" customWidth="1"/>
    <col min="14852" max="14853" width="8.5703125" style="2524" bestFit="1" customWidth="1"/>
    <col min="14854" max="14854" width="17.42578125" style="2524" bestFit="1" customWidth="1"/>
    <col min="14855" max="14855" width="17.28515625" style="2524" bestFit="1" customWidth="1"/>
    <col min="14856" max="14857" width="10.7109375" style="2524" customWidth="1"/>
    <col min="14858" max="14859" width="10.7109375" style="2524" bestFit="1" customWidth="1"/>
    <col min="14860" max="14860" width="10.7109375" style="2524" customWidth="1"/>
    <col min="14861" max="14863" width="10.7109375" style="2524" bestFit="1" customWidth="1"/>
    <col min="14864" max="14865" width="10.7109375" style="2524" customWidth="1"/>
    <col min="14866" max="14867" width="10.7109375" style="2524" bestFit="1" customWidth="1"/>
    <col min="14868" max="15104" width="9.140625" style="2524"/>
    <col min="15105" max="15105" width="14.140625" style="2524" customWidth="1"/>
    <col min="15106" max="15106" width="66.28515625" style="2524" bestFit="1" customWidth="1"/>
    <col min="15107" max="15107" width="10" style="2524" bestFit="1" customWidth="1"/>
    <col min="15108" max="15109" width="8.5703125" style="2524" bestFit="1" customWidth="1"/>
    <col min="15110" max="15110" width="17.42578125" style="2524" bestFit="1" customWidth="1"/>
    <col min="15111" max="15111" width="17.28515625" style="2524" bestFit="1" customWidth="1"/>
    <col min="15112" max="15113" width="10.7109375" style="2524" customWidth="1"/>
    <col min="15114" max="15115" width="10.7109375" style="2524" bestFit="1" customWidth="1"/>
    <col min="15116" max="15116" width="10.7109375" style="2524" customWidth="1"/>
    <col min="15117" max="15119" width="10.7109375" style="2524" bestFit="1" customWidth="1"/>
    <col min="15120" max="15121" width="10.7109375" style="2524" customWidth="1"/>
    <col min="15122" max="15123" width="10.7109375" style="2524" bestFit="1" customWidth="1"/>
    <col min="15124" max="15360" width="9.140625" style="2524"/>
    <col min="15361" max="15361" width="14.140625" style="2524" customWidth="1"/>
    <col min="15362" max="15362" width="66.28515625" style="2524" bestFit="1" customWidth="1"/>
    <col min="15363" max="15363" width="10" style="2524" bestFit="1" customWidth="1"/>
    <col min="15364" max="15365" width="8.5703125" style="2524" bestFit="1" customWidth="1"/>
    <col min="15366" max="15366" width="17.42578125" style="2524" bestFit="1" customWidth="1"/>
    <col min="15367" max="15367" width="17.28515625" style="2524" bestFit="1" customWidth="1"/>
    <col min="15368" max="15369" width="10.7109375" style="2524" customWidth="1"/>
    <col min="15370" max="15371" width="10.7109375" style="2524" bestFit="1" customWidth="1"/>
    <col min="15372" max="15372" width="10.7109375" style="2524" customWidth="1"/>
    <col min="15373" max="15375" width="10.7109375" style="2524" bestFit="1" customWidth="1"/>
    <col min="15376" max="15377" width="10.7109375" style="2524" customWidth="1"/>
    <col min="15378" max="15379" width="10.7109375" style="2524" bestFit="1" customWidth="1"/>
    <col min="15380" max="15616" width="9.140625" style="2524"/>
    <col min="15617" max="15617" width="14.140625" style="2524" customWidth="1"/>
    <col min="15618" max="15618" width="66.28515625" style="2524" bestFit="1" customWidth="1"/>
    <col min="15619" max="15619" width="10" style="2524" bestFit="1" customWidth="1"/>
    <col min="15620" max="15621" width="8.5703125" style="2524" bestFit="1" customWidth="1"/>
    <col min="15622" max="15622" width="17.42578125" style="2524" bestFit="1" customWidth="1"/>
    <col min="15623" max="15623" width="17.28515625" style="2524" bestFit="1" customWidth="1"/>
    <col min="15624" max="15625" width="10.7109375" style="2524" customWidth="1"/>
    <col min="15626" max="15627" width="10.7109375" style="2524" bestFit="1" customWidth="1"/>
    <col min="15628" max="15628" width="10.7109375" style="2524" customWidth="1"/>
    <col min="15629" max="15631" width="10.7109375" style="2524" bestFit="1" customWidth="1"/>
    <col min="15632" max="15633" width="10.7109375" style="2524" customWidth="1"/>
    <col min="15634" max="15635" width="10.7109375" style="2524" bestFit="1" customWidth="1"/>
    <col min="15636" max="15872" width="9.140625" style="2524"/>
    <col min="15873" max="15873" width="14.140625" style="2524" customWidth="1"/>
    <col min="15874" max="15874" width="66.28515625" style="2524" bestFit="1" customWidth="1"/>
    <col min="15875" max="15875" width="10" style="2524" bestFit="1" customWidth="1"/>
    <col min="15876" max="15877" width="8.5703125" style="2524" bestFit="1" customWidth="1"/>
    <col min="15878" max="15878" width="17.42578125" style="2524" bestFit="1" customWidth="1"/>
    <col min="15879" max="15879" width="17.28515625" style="2524" bestFit="1" customWidth="1"/>
    <col min="15880" max="15881" width="10.7109375" style="2524" customWidth="1"/>
    <col min="15882" max="15883" width="10.7109375" style="2524" bestFit="1" customWidth="1"/>
    <col min="15884" max="15884" width="10.7109375" style="2524" customWidth="1"/>
    <col min="15885" max="15887" width="10.7109375" style="2524" bestFit="1" customWidth="1"/>
    <col min="15888" max="15889" width="10.7109375" style="2524" customWidth="1"/>
    <col min="15890" max="15891" width="10.7109375" style="2524" bestFit="1" customWidth="1"/>
    <col min="15892" max="16128" width="9.140625" style="2524"/>
    <col min="16129" max="16129" width="14.140625" style="2524" customWidth="1"/>
    <col min="16130" max="16130" width="66.28515625" style="2524" bestFit="1" customWidth="1"/>
    <col min="16131" max="16131" width="10" style="2524" bestFit="1" customWidth="1"/>
    <col min="16132" max="16133" width="8.5703125" style="2524" bestFit="1" customWidth="1"/>
    <col min="16134" max="16134" width="17.42578125" style="2524" bestFit="1" customWidth="1"/>
    <col min="16135" max="16135" width="17.28515625" style="2524" bestFit="1" customWidth="1"/>
    <col min="16136" max="16137" width="10.7109375" style="2524" customWidth="1"/>
    <col min="16138" max="16139" width="10.7109375" style="2524" bestFit="1" customWidth="1"/>
    <col min="16140" max="16140" width="10.7109375" style="2524" customWidth="1"/>
    <col min="16141" max="16143" width="10.7109375" style="2524" bestFit="1" customWidth="1"/>
    <col min="16144" max="16145" width="10.7109375" style="2524" customWidth="1"/>
    <col min="16146" max="16147" width="10.7109375" style="2524" bestFit="1" customWidth="1"/>
    <col min="16148" max="16384" width="9.140625" style="2524"/>
  </cols>
  <sheetData>
    <row r="1" spans="1:135" s="2525" customFormat="1" ht="24.95" customHeight="1">
      <c r="B1" s="2522" t="str">
        <f>IF(dms_DataQuality="backcast",INDEX(dms_Worksheet_List,MATCH(dms_Model,dms_Model_List))&amp;" BACKCAST",INDEX(dms_Worksheet_List,MATCH(dms_Model,dms_Model_List)))</f>
        <v>REGULATORY REPORTING STATEMENT</v>
      </c>
      <c r="C1" s="2769"/>
      <c r="D1" s="2769"/>
      <c r="E1" s="2769"/>
      <c r="F1" s="2769"/>
      <c r="G1" s="2769"/>
      <c r="H1" s="2769"/>
      <c r="I1" s="2769"/>
      <c r="J1" s="2769"/>
      <c r="K1" s="2769"/>
      <c r="L1" s="2769"/>
      <c r="M1" s="2769"/>
      <c r="N1" s="2769"/>
      <c r="O1" s="2769"/>
      <c r="P1" s="2769"/>
      <c r="Q1" s="2769"/>
      <c r="R1" s="2769"/>
      <c r="S1" s="2769"/>
      <c r="T1" s="2769"/>
      <c r="U1" s="2769"/>
      <c r="V1" s="2769"/>
      <c r="W1" s="2769"/>
      <c r="X1" s="2769"/>
      <c r="Y1" s="2769"/>
      <c r="Z1" s="2769"/>
      <c r="AA1" s="2769"/>
      <c r="AB1" s="2524"/>
      <c r="AC1" s="2524"/>
      <c r="AD1" s="2524"/>
      <c r="AE1" s="2524"/>
    </row>
    <row r="2" spans="1:135" s="2525" customFormat="1" ht="24.95" customHeight="1">
      <c r="B2" s="2526" t="str">
        <f>INDEX(dms_TradingNameFull_List,MATCH(dms_TradingName,dms_TradingName_List))</f>
        <v>AusNet Gas Services</v>
      </c>
      <c r="C2" s="2526"/>
      <c r="D2" s="2526"/>
      <c r="E2" s="2526"/>
      <c r="F2" s="2526"/>
      <c r="G2" s="2526"/>
      <c r="H2" s="2526"/>
      <c r="I2" s="2526"/>
      <c r="J2" s="2526"/>
      <c r="K2" s="2526"/>
      <c r="L2" s="2526"/>
      <c r="M2" s="2526"/>
      <c r="N2" s="2526"/>
      <c r="O2" s="2526"/>
      <c r="P2" s="2526"/>
      <c r="Q2" s="2526"/>
      <c r="R2" s="2526"/>
      <c r="S2" s="2526"/>
      <c r="T2" s="2526"/>
      <c r="U2" s="2526"/>
      <c r="V2" s="2526"/>
      <c r="W2" s="2526"/>
      <c r="X2" s="2526"/>
      <c r="Y2" s="2526"/>
      <c r="Z2" s="2526"/>
      <c r="AA2" s="2526"/>
      <c r="AB2" s="2524"/>
      <c r="AC2" s="2524"/>
      <c r="AD2" s="2524"/>
      <c r="AE2" s="2524"/>
    </row>
    <row r="3" spans="1:135" s="2525" customFormat="1" ht="24.95" customHeight="1">
      <c r="B3" s="2526" t="str">
        <f ca="1">IF(SUM(dms_SingleYear_Model)&gt;0,CRY,CONCATENATE(FRCP_y1," to ",dms_MultiYear_FinalYear_Result))</f>
        <v>2018 to 2022</v>
      </c>
      <c r="C3" s="2528"/>
      <c r="D3" s="2528"/>
      <c r="E3" s="2528"/>
      <c r="F3" s="2528"/>
      <c r="G3" s="2528"/>
      <c r="H3" s="2528"/>
      <c r="I3" s="2528"/>
      <c r="J3" s="2528"/>
      <c r="K3" s="2528"/>
      <c r="L3" s="2528"/>
      <c r="M3" s="2528"/>
      <c r="N3" s="2528"/>
      <c r="O3" s="2528"/>
      <c r="P3" s="2528"/>
      <c r="Q3" s="2528"/>
      <c r="R3" s="2528"/>
      <c r="S3" s="2528"/>
      <c r="T3" s="2528"/>
      <c r="U3" s="2528"/>
      <c r="V3" s="2528"/>
      <c r="W3" s="2528"/>
      <c r="X3" s="2528"/>
      <c r="Y3" s="2528"/>
      <c r="Z3" s="2528"/>
      <c r="AA3" s="2528"/>
      <c r="AB3" s="2524"/>
      <c r="AC3" s="2524"/>
      <c r="AD3" s="2524"/>
      <c r="AE3" s="2524"/>
    </row>
    <row r="4" spans="1:135" s="2525" customFormat="1" ht="24" customHeight="1">
      <c r="B4" s="2529" t="s">
        <v>1643</v>
      </c>
      <c r="C4" s="2770"/>
      <c r="D4" s="2770"/>
      <c r="E4" s="2770"/>
      <c r="F4" s="2770"/>
      <c r="G4" s="2770"/>
      <c r="H4" s="2770"/>
      <c r="I4" s="2770"/>
      <c r="J4" s="2770"/>
      <c r="K4" s="2770"/>
      <c r="L4" s="2770"/>
      <c r="M4" s="2770"/>
      <c r="N4" s="2770"/>
      <c r="O4" s="2770"/>
      <c r="P4" s="2770"/>
      <c r="Q4" s="2770"/>
      <c r="R4" s="2770"/>
      <c r="S4" s="2770"/>
      <c r="T4" s="2770"/>
      <c r="U4" s="2770"/>
      <c r="V4" s="2770"/>
      <c r="W4" s="2770"/>
      <c r="X4" s="2770"/>
      <c r="Y4" s="2770"/>
      <c r="Z4" s="2770"/>
      <c r="AA4" s="2770"/>
      <c r="AB4" s="2524"/>
      <c r="AC4" s="2524"/>
      <c r="AD4" s="2524"/>
      <c r="AE4" s="2524"/>
    </row>
    <row r="5" spans="1:135">
      <c r="A5" s="360"/>
      <c r="B5" s="2771"/>
      <c r="C5" s="2771"/>
      <c r="D5" s="2771"/>
      <c r="E5" s="2771"/>
      <c r="F5" s="2771"/>
      <c r="G5" s="2771"/>
      <c r="H5" s="2771"/>
      <c r="I5" s="2771"/>
      <c r="J5" s="2771"/>
      <c r="K5" s="2771"/>
      <c r="L5" s="2771"/>
      <c r="M5" s="2771"/>
      <c r="N5" s="2771"/>
      <c r="O5" s="2771"/>
      <c r="P5" s="2771"/>
      <c r="Q5" s="2771"/>
      <c r="R5" s="2771"/>
      <c r="S5" s="2771"/>
      <c r="T5" s="2771"/>
      <c r="U5" s="2771"/>
      <c r="V5" s="2771"/>
      <c r="W5" s="2771"/>
      <c r="X5" s="2771"/>
      <c r="Y5" s="2771"/>
      <c r="Z5" s="2771"/>
      <c r="AA5" s="2771"/>
    </row>
    <row r="6" spans="1:135">
      <c r="A6" s="2771"/>
      <c r="B6" s="2771"/>
      <c r="C6" s="2771"/>
      <c r="D6" s="2771"/>
      <c r="E6" s="2771"/>
      <c r="F6" s="2771"/>
      <c r="G6" s="2771"/>
      <c r="H6" s="2771"/>
      <c r="I6" s="2771"/>
      <c r="J6" s="2771"/>
      <c r="K6" s="2771"/>
      <c r="L6" s="2771"/>
      <c r="M6" s="2771"/>
      <c r="N6" s="2771"/>
      <c r="O6" s="2771"/>
      <c r="P6" s="2771"/>
      <c r="Q6" s="2771"/>
      <c r="R6" s="2771"/>
      <c r="S6" s="2771"/>
      <c r="T6" s="2771"/>
      <c r="U6" s="2771"/>
      <c r="V6" s="2771"/>
      <c r="W6" s="2771"/>
      <c r="X6" s="2771"/>
      <c r="Y6" s="2771"/>
      <c r="Z6" s="2771"/>
      <c r="AA6" s="2771"/>
    </row>
    <row r="7" spans="1:135">
      <c r="A7" s="2771"/>
      <c r="B7" s="4573" t="s">
        <v>59</v>
      </c>
      <c r="C7" s="4573"/>
      <c r="D7" s="4573"/>
      <c r="E7" s="4573"/>
      <c r="F7" s="4573"/>
      <c r="G7" s="4573"/>
      <c r="H7" s="2771"/>
      <c r="I7" s="2771"/>
      <c r="J7" s="2771"/>
      <c r="K7" s="2771"/>
      <c r="L7" s="2771"/>
      <c r="M7" s="2771"/>
      <c r="N7" s="2771"/>
      <c r="O7" s="2771"/>
      <c r="P7" s="2771"/>
      <c r="Q7" s="2771"/>
      <c r="R7" s="2771"/>
      <c r="S7" s="2771"/>
      <c r="T7" s="2771"/>
      <c r="U7" s="2771"/>
      <c r="V7" s="2771"/>
      <c r="W7" s="2771"/>
      <c r="X7" s="2771"/>
      <c r="Y7" s="2771"/>
      <c r="Z7" s="2771"/>
      <c r="AA7" s="2771"/>
    </row>
    <row r="8" spans="1:135">
      <c r="A8" s="2771"/>
      <c r="B8" s="4574" t="s">
        <v>226</v>
      </c>
      <c r="C8" s="4574"/>
      <c r="D8" s="4574"/>
      <c r="E8" s="4574"/>
      <c r="F8" s="4574"/>
      <c r="G8" s="4574"/>
      <c r="H8" s="2771"/>
      <c r="I8" s="2771"/>
      <c r="J8" s="2771"/>
      <c r="K8" s="2771"/>
      <c r="L8" s="2771"/>
      <c r="M8" s="2771"/>
      <c r="N8" s="2771"/>
      <c r="O8" s="2771"/>
      <c r="P8" s="2771"/>
      <c r="Q8" s="2771"/>
      <c r="R8" s="2771"/>
      <c r="S8" s="2771"/>
      <c r="T8" s="2771"/>
      <c r="U8" s="2771"/>
      <c r="V8" s="2771"/>
      <c r="W8" s="2771"/>
      <c r="X8" s="2771"/>
      <c r="Y8" s="2771"/>
      <c r="Z8" s="2771"/>
      <c r="AA8" s="2771"/>
    </row>
    <row r="9" spans="1:135" ht="29.25" customHeight="1">
      <c r="A9" s="2771"/>
      <c r="B9" s="4574" t="s">
        <v>475</v>
      </c>
      <c r="C9" s="4574"/>
      <c r="D9" s="4574"/>
      <c r="E9" s="4574"/>
      <c r="F9" s="4574"/>
      <c r="G9" s="4574"/>
      <c r="H9" s="2771"/>
      <c r="I9" s="2771"/>
      <c r="J9" s="2771"/>
      <c r="K9" s="2771"/>
      <c r="L9" s="2771"/>
      <c r="M9" s="2771"/>
      <c r="N9" s="2771"/>
      <c r="O9" s="2771"/>
      <c r="P9" s="2771"/>
      <c r="Q9" s="2771"/>
      <c r="R9" s="2771"/>
      <c r="S9" s="2771"/>
      <c r="T9" s="2771"/>
      <c r="U9" s="2771"/>
      <c r="V9" s="2771"/>
      <c r="W9" s="2771"/>
      <c r="X9" s="2771"/>
      <c r="Y9" s="2771"/>
      <c r="Z9" s="2771"/>
      <c r="AA9" s="2771"/>
    </row>
    <row r="10" spans="1:135" ht="27" customHeight="1">
      <c r="A10" s="2771"/>
      <c r="B10" s="4575" t="s">
        <v>387</v>
      </c>
      <c r="C10" s="4576"/>
      <c r="D10" s="4576"/>
      <c r="E10" s="4576"/>
      <c r="F10" s="4576"/>
      <c r="G10" s="4576"/>
      <c r="H10" s="2771"/>
      <c r="I10" s="2771"/>
      <c r="J10" s="2771"/>
      <c r="K10" s="2771"/>
      <c r="L10" s="2771"/>
      <c r="M10" s="2771"/>
      <c r="N10" s="2771"/>
      <c r="O10" s="2771"/>
      <c r="P10" s="2771"/>
      <c r="Q10" s="2771"/>
      <c r="R10" s="2771"/>
      <c r="S10" s="2771"/>
      <c r="T10" s="2771"/>
      <c r="U10" s="2771"/>
      <c r="V10" s="2771"/>
      <c r="W10" s="2771"/>
      <c r="X10" s="2771"/>
      <c r="Y10" s="2771"/>
      <c r="Z10" s="2771"/>
      <c r="AA10" s="2771"/>
    </row>
    <row r="11" spans="1:135" ht="35.25" customHeight="1">
      <c r="A11" s="2771"/>
      <c r="C11" s="2771"/>
      <c r="D11" s="2771"/>
      <c r="E11" s="2771"/>
      <c r="F11" s="2771"/>
      <c r="G11" s="2771"/>
      <c r="H11" s="2771"/>
      <c r="I11" s="2771"/>
      <c r="J11" s="2771"/>
      <c r="K11" s="2771"/>
      <c r="L11" s="2771"/>
      <c r="M11" s="2771"/>
      <c r="N11" s="2771"/>
      <c r="O11" s="2771"/>
      <c r="P11" s="2771"/>
      <c r="Q11" s="2771"/>
      <c r="R11" s="2771"/>
      <c r="S11" s="2771"/>
      <c r="T11" s="2771"/>
      <c r="U11" s="2771"/>
      <c r="V11" s="2771"/>
      <c r="W11" s="2771"/>
      <c r="X11" s="2771"/>
      <c r="Y11" s="2771"/>
      <c r="Z11" s="2771"/>
      <c r="AA11" s="2771"/>
    </row>
    <row r="12" spans="1:135">
      <c r="A12" s="2771"/>
      <c r="B12" s="3083" t="s">
        <v>247</v>
      </c>
      <c r="C12" s="2771"/>
      <c r="D12" s="2771"/>
      <c r="E12" s="2771"/>
      <c r="F12" s="2771"/>
      <c r="G12" s="2771"/>
      <c r="H12" s="2771"/>
      <c r="I12" s="2771"/>
      <c r="J12" s="2771"/>
      <c r="K12" s="2771"/>
      <c r="L12" s="2771"/>
      <c r="M12" s="2771"/>
      <c r="N12" s="2771"/>
      <c r="O12" s="2771"/>
      <c r="P12" s="2771"/>
      <c r="Q12" s="2771"/>
      <c r="R12" s="2771"/>
      <c r="S12" s="2771"/>
      <c r="T12" s="2771"/>
      <c r="U12" s="2771"/>
      <c r="V12" s="2771"/>
      <c r="W12" s="2771"/>
      <c r="X12" s="2771"/>
      <c r="Y12" s="2771"/>
      <c r="Z12" s="2771"/>
      <c r="AA12" s="2771"/>
    </row>
    <row r="13" spans="1:135" ht="24.75" customHeight="1">
      <c r="A13" s="2771"/>
      <c r="B13" s="3016" t="s">
        <v>1644</v>
      </c>
      <c r="C13" s="2771"/>
      <c r="D13" s="2771"/>
      <c r="E13" s="2771"/>
      <c r="F13" s="2771"/>
      <c r="G13" s="2771"/>
      <c r="H13" s="2771"/>
      <c r="I13" s="2771"/>
      <c r="J13" s="2771"/>
      <c r="K13" s="2771"/>
      <c r="L13" s="2771"/>
      <c r="M13" s="2771"/>
      <c r="N13" s="2771"/>
      <c r="O13" s="2771"/>
      <c r="P13" s="2771"/>
      <c r="Q13" s="2771"/>
      <c r="R13" s="2771"/>
      <c r="S13" s="2771"/>
      <c r="T13" s="2771"/>
      <c r="U13" s="2771"/>
      <c r="V13" s="2771"/>
      <c r="W13" s="2771"/>
      <c r="X13" s="2771"/>
      <c r="Y13" s="2771"/>
      <c r="Z13" s="2771"/>
      <c r="AA13" s="2771"/>
    </row>
    <row r="14" spans="1:135" ht="32.25" customHeight="1">
      <c r="A14" s="2771"/>
      <c r="C14" s="2771"/>
      <c r="D14" s="2771"/>
      <c r="E14" s="2771"/>
      <c r="F14" s="2771"/>
      <c r="G14" s="2771"/>
      <c r="H14" s="2771"/>
      <c r="I14" s="2771"/>
      <c r="J14" s="2771"/>
      <c r="K14" s="2771"/>
      <c r="L14" s="2771"/>
      <c r="M14" s="2771"/>
      <c r="N14" s="2771"/>
      <c r="O14" s="2771"/>
      <c r="P14" s="2771"/>
      <c r="Q14" s="2771"/>
      <c r="R14" s="2771"/>
      <c r="S14" s="2771"/>
      <c r="T14" s="2771"/>
      <c r="U14" s="2771"/>
      <c r="V14" s="2771"/>
      <c r="W14" s="2771"/>
      <c r="X14" s="2771"/>
      <c r="Y14" s="2771"/>
      <c r="Z14" s="2771"/>
      <c r="AA14" s="2771"/>
    </row>
    <row r="15" spans="1:135" ht="13.5" thickBot="1">
      <c r="A15" s="2771"/>
    </row>
    <row r="16" spans="1:135" s="3019" customFormat="1" ht="18.75" customHeight="1" thickBot="1">
      <c r="A16" s="3013"/>
      <c r="B16" s="2884" t="s">
        <v>1645</v>
      </c>
      <c r="C16" s="3084"/>
      <c r="D16" s="3085"/>
      <c r="E16" s="3085"/>
      <c r="F16" s="3085"/>
      <c r="G16" s="3085"/>
      <c r="H16" s="3085"/>
      <c r="I16" s="3085"/>
      <c r="J16" s="3085"/>
      <c r="K16" s="3085"/>
      <c r="L16" s="3085"/>
      <c r="M16" s="3085"/>
      <c r="N16" s="3085"/>
      <c r="O16" s="3085"/>
      <c r="P16" s="3085"/>
      <c r="Q16" s="3085"/>
      <c r="R16" s="3085"/>
      <c r="S16" s="3085"/>
      <c r="T16" s="3085"/>
      <c r="U16" s="3085"/>
      <c r="V16" s="3085"/>
      <c r="W16" s="3085"/>
      <c r="X16" s="3085"/>
      <c r="Y16" s="3085"/>
      <c r="Z16" s="3085"/>
      <c r="AA16" s="3085"/>
      <c r="AB16" s="3086"/>
      <c r="AC16" s="2524"/>
      <c r="AD16" s="2524"/>
      <c r="AE16" s="2524"/>
      <c r="AF16" s="2524"/>
      <c r="DF16" s="2524"/>
      <c r="DG16" s="2524"/>
      <c r="DH16" s="2524"/>
      <c r="DI16" s="2524"/>
      <c r="DJ16" s="2524"/>
      <c r="DK16" s="2524"/>
      <c r="DL16" s="2524"/>
      <c r="DM16" s="2524"/>
      <c r="DN16" s="2524"/>
      <c r="DO16" s="2524"/>
      <c r="DP16" s="2524"/>
      <c r="DQ16" s="2524"/>
      <c r="DR16" s="2524"/>
      <c r="DS16" s="2524"/>
      <c r="DT16" s="2524"/>
      <c r="DU16" s="2524"/>
      <c r="DV16" s="2524"/>
      <c r="DW16" s="2524"/>
      <c r="DX16" s="2524"/>
      <c r="DY16" s="2524"/>
      <c r="DZ16" s="2524"/>
      <c r="EA16" s="2524"/>
      <c r="EB16" s="2524"/>
      <c r="EC16" s="2524"/>
      <c r="ED16" s="2524"/>
      <c r="EE16" s="2524"/>
    </row>
    <row r="17" spans="1:135" ht="20.25" customHeight="1">
      <c r="A17" s="2771"/>
      <c r="B17" s="4577"/>
      <c r="C17" s="4578"/>
      <c r="D17" s="4583" t="s">
        <v>37</v>
      </c>
      <c r="E17" s="4584"/>
      <c r="F17" s="4584"/>
      <c r="G17" s="4584"/>
      <c r="H17" s="4584"/>
      <c r="I17" s="4585" t="s">
        <v>73</v>
      </c>
      <c r="J17" s="4585"/>
      <c r="K17" s="4585"/>
      <c r="L17" s="4585"/>
      <c r="M17" s="4585"/>
      <c r="N17" s="4586" t="s">
        <v>249</v>
      </c>
      <c r="O17" s="4586"/>
      <c r="P17" s="4586"/>
      <c r="Q17" s="4586"/>
      <c r="R17" s="4586"/>
      <c r="S17" s="4586"/>
      <c r="T17" s="4586"/>
      <c r="U17" s="4586"/>
      <c r="V17" s="4586"/>
      <c r="W17" s="4586"/>
      <c r="X17" s="4586"/>
      <c r="Y17" s="4586"/>
      <c r="Z17" s="4586"/>
      <c r="AA17" s="4586"/>
      <c r="AB17" s="4587"/>
    </row>
    <row r="18" spans="1:135" ht="20.25" customHeight="1">
      <c r="A18" s="2771"/>
      <c r="B18" s="4579"/>
      <c r="C18" s="4580"/>
      <c r="D18" s="4588" t="s">
        <v>337</v>
      </c>
      <c r="E18" s="4589"/>
      <c r="F18" s="4589"/>
      <c r="G18" s="4589"/>
      <c r="H18" s="4589"/>
      <c r="I18" s="4589"/>
      <c r="J18" s="4589"/>
      <c r="K18" s="4589"/>
      <c r="L18" s="4589"/>
      <c r="M18" s="4589"/>
      <c r="N18" s="4589"/>
      <c r="O18" s="4589"/>
      <c r="P18" s="4589"/>
      <c r="Q18" s="4589"/>
      <c r="R18" s="4589"/>
      <c r="S18" s="4589"/>
      <c r="T18" s="4589"/>
      <c r="U18" s="4589"/>
      <c r="V18" s="4589"/>
      <c r="W18" s="4589"/>
      <c r="X18" s="4589"/>
      <c r="Y18" s="4589"/>
      <c r="Z18" s="4589"/>
      <c r="AA18" s="4589"/>
      <c r="AB18" s="4590"/>
    </row>
    <row r="19" spans="1:135" ht="20.25" customHeight="1">
      <c r="A19" s="2771"/>
      <c r="B19" s="4579"/>
      <c r="C19" s="4580"/>
      <c r="D19" s="4588" t="s">
        <v>54</v>
      </c>
      <c r="E19" s="4589"/>
      <c r="F19" s="4591"/>
      <c r="G19" s="4592" t="s">
        <v>377</v>
      </c>
      <c r="H19" s="4593"/>
      <c r="I19" s="4593"/>
      <c r="J19" s="4593"/>
      <c r="K19" s="4593"/>
      <c r="L19" s="4593"/>
      <c r="M19" s="4593"/>
      <c r="N19" s="4593"/>
      <c r="O19" s="4593"/>
      <c r="P19" s="4593"/>
      <c r="Q19" s="4593"/>
      <c r="R19" s="4593"/>
      <c r="S19" s="4593"/>
      <c r="T19" s="4593"/>
      <c r="U19" s="4593"/>
      <c r="V19" s="4593"/>
      <c r="W19" s="4593"/>
      <c r="X19" s="4593"/>
      <c r="Y19" s="4593"/>
      <c r="Z19" s="4593"/>
      <c r="AA19" s="4593"/>
      <c r="AB19" s="4594"/>
    </row>
    <row r="20" spans="1:135" ht="20.25" customHeight="1" thickBot="1">
      <c r="A20" s="2771"/>
      <c r="B20" s="4581"/>
      <c r="C20" s="4582"/>
      <c r="D20" s="3017">
        <f>CRCP_y1</f>
        <v>2013</v>
      </c>
      <c r="E20" s="3017">
        <f>CRCP_y2</f>
        <v>2014</v>
      </c>
      <c r="F20" s="3017">
        <f>CRCP_y3</f>
        <v>2015</v>
      </c>
      <c r="G20" s="3017">
        <f>CRCP_y4</f>
        <v>2016</v>
      </c>
      <c r="H20" s="3017">
        <f>CRCP_y5</f>
        <v>2017</v>
      </c>
      <c r="I20" s="2908" t="str">
        <f>CONCATENATE(IF(dms_RPT="Calendar",H20+1,(LEFT(H20,4)+1&amp;"-"&amp;IF(MID(H20,6,2)&lt;"09","0"&amp;RIGHT(H20,1)+1,RIGHT(H20,2)+1))))</f>
        <v>2018</v>
      </c>
      <c r="J20" s="2908" t="str">
        <f t="shared" ref="J20:AB20" si="0">CONCATENATE(IF(dms_RPT="Calendar",I20+1,(LEFT(I20,4)+1&amp;"-"&amp;IF(MID(I20,6,2)&lt;"09","0"&amp;RIGHT(I20,1)+1,RIGHT(I20,2)+1))))</f>
        <v>2019</v>
      </c>
      <c r="K20" s="2908" t="str">
        <f t="shared" si="0"/>
        <v>2020</v>
      </c>
      <c r="L20" s="2908" t="str">
        <f t="shared" si="0"/>
        <v>2021</v>
      </c>
      <c r="M20" s="2908" t="str">
        <f t="shared" si="0"/>
        <v>2022</v>
      </c>
      <c r="N20" s="3017" t="str">
        <f t="shared" si="0"/>
        <v>2023</v>
      </c>
      <c r="O20" s="3017" t="str">
        <f t="shared" si="0"/>
        <v>2024</v>
      </c>
      <c r="P20" s="3017" t="str">
        <f t="shared" si="0"/>
        <v>2025</v>
      </c>
      <c r="Q20" s="3017" t="str">
        <f t="shared" si="0"/>
        <v>2026</v>
      </c>
      <c r="R20" s="3017" t="str">
        <f t="shared" si="0"/>
        <v>2027</v>
      </c>
      <c r="S20" s="3017" t="str">
        <f t="shared" si="0"/>
        <v>2028</v>
      </c>
      <c r="T20" s="3017" t="str">
        <f t="shared" si="0"/>
        <v>2029</v>
      </c>
      <c r="U20" s="3017" t="str">
        <f t="shared" si="0"/>
        <v>2030</v>
      </c>
      <c r="V20" s="3017" t="str">
        <f t="shared" si="0"/>
        <v>2031</v>
      </c>
      <c r="W20" s="3017" t="str">
        <f t="shared" si="0"/>
        <v>2032</v>
      </c>
      <c r="X20" s="3017" t="str">
        <f t="shared" si="0"/>
        <v>2033</v>
      </c>
      <c r="Y20" s="3017" t="str">
        <f t="shared" si="0"/>
        <v>2034</v>
      </c>
      <c r="Z20" s="3017" t="str">
        <f t="shared" si="0"/>
        <v>2035</v>
      </c>
      <c r="AA20" s="3017" t="str">
        <f t="shared" si="0"/>
        <v>2036</v>
      </c>
      <c r="AB20" s="3017" t="str">
        <f t="shared" si="0"/>
        <v>2037</v>
      </c>
    </row>
    <row r="21" spans="1:135" s="3019" customFormat="1" ht="18.75" customHeight="1" thickBot="1">
      <c r="A21" s="3013"/>
      <c r="B21" s="3087" t="s">
        <v>1646</v>
      </c>
      <c r="C21" s="3088"/>
      <c r="D21" s="3088"/>
      <c r="E21" s="3088"/>
      <c r="F21" s="3088"/>
      <c r="G21" s="3088"/>
      <c r="H21" s="3088"/>
      <c r="I21" s="3088"/>
      <c r="J21" s="3088"/>
      <c r="K21" s="3088"/>
      <c r="L21" s="3088"/>
      <c r="M21" s="3088"/>
      <c r="N21" s="3088"/>
      <c r="O21" s="3088"/>
      <c r="P21" s="3088"/>
      <c r="Q21" s="3088"/>
      <c r="R21" s="3088"/>
      <c r="S21" s="3088"/>
      <c r="T21" s="3088"/>
      <c r="U21" s="3088"/>
      <c r="V21" s="3088"/>
      <c r="W21" s="3088"/>
      <c r="X21" s="3088"/>
      <c r="Y21" s="3088"/>
      <c r="Z21" s="3088"/>
      <c r="AA21" s="3088"/>
      <c r="AB21" s="3089"/>
      <c r="AC21" s="2524"/>
      <c r="AD21" s="2524"/>
      <c r="AE21" s="2524"/>
      <c r="AF21" s="2524"/>
      <c r="DF21" s="2524"/>
      <c r="DG21" s="2524"/>
      <c r="DH21" s="2524"/>
      <c r="DI21" s="2524"/>
      <c r="DJ21" s="2524"/>
      <c r="DK21" s="2524"/>
      <c r="DL21" s="2524"/>
      <c r="DM21" s="2524"/>
      <c r="DN21" s="2524"/>
      <c r="DO21" s="2524"/>
      <c r="DP21" s="2524"/>
      <c r="DQ21" s="2524"/>
      <c r="DR21" s="2524"/>
      <c r="DS21" s="2524"/>
      <c r="DT21" s="2524"/>
      <c r="DU21" s="2524"/>
      <c r="DV21" s="2524"/>
      <c r="DW21" s="2524"/>
      <c r="DX21" s="2524"/>
      <c r="DY21" s="2524"/>
      <c r="DZ21" s="2524"/>
      <c r="EA21" s="2524"/>
      <c r="EB21" s="2524"/>
      <c r="EC21" s="2524"/>
      <c r="ED21" s="2524"/>
      <c r="EE21" s="2524"/>
    </row>
    <row r="22" spans="1:135" s="3096" customFormat="1" ht="25.5" customHeight="1">
      <c r="A22" s="3090"/>
      <c r="B22" s="3091" t="s">
        <v>1647</v>
      </c>
      <c r="C22" s="3092"/>
      <c r="D22" s="3093"/>
      <c r="E22" s="3093"/>
      <c r="F22" s="3093"/>
      <c r="G22" s="3093"/>
      <c r="H22" s="3093"/>
      <c r="I22" s="3093"/>
      <c r="J22" s="3093"/>
      <c r="K22" s="3093"/>
      <c r="L22" s="3093"/>
      <c r="M22" s="3093"/>
      <c r="N22" s="3093"/>
      <c r="O22" s="3093"/>
      <c r="P22" s="3093"/>
      <c r="Q22" s="3093"/>
      <c r="R22" s="3093"/>
      <c r="S22" s="3093"/>
      <c r="T22" s="3093"/>
      <c r="U22" s="3093"/>
      <c r="V22" s="3093"/>
      <c r="W22" s="3093"/>
      <c r="X22" s="3093"/>
      <c r="Y22" s="3093"/>
      <c r="Z22" s="3093"/>
      <c r="AA22" s="3093"/>
      <c r="AB22" s="3094"/>
      <c r="AC22" s="3095"/>
      <c r="AD22" s="3095"/>
      <c r="AE22" s="3095"/>
      <c r="AF22" s="3095"/>
      <c r="DF22" s="3095"/>
      <c r="DG22" s="3095"/>
      <c r="DH22" s="3095"/>
      <c r="DI22" s="3095"/>
      <c r="DJ22" s="3095"/>
      <c r="DK22" s="3095"/>
      <c r="DL22" s="3095"/>
      <c r="DM22" s="3095"/>
      <c r="DN22" s="3095"/>
      <c r="DO22" s="3095"/>
      <c r="DP22" s="3095"/>
      <c r="DQ22" s="3095"/>
      <c r="DR22" s="3095"/>
      <c r="DS22" s="3095"/>
      <c r="DT22" s="3095"/>
      <c r="DU22" s="3095"/>
      <c r="DV22" s="3095"/>
      <c r="DW22" s="3095"/>
      <c r="DX22" s="3095"/>
      <c r="DY22" s="3095"/>
      <c r="DZ22" s="3095"/>
      <c r="EA22" s="3095"/>
      <c r="EB22" s="3095"/>
      <c r="EC22" s="3095"/>
      <c r="ED22" s="3095"/>
      <c r="EE22" s="3095"/>
    </row>
    <row r="23" spans="1:135" s="3019" customFormat="1">
      <c r="A23" s="3013"/>
      <c r="B23" s="4570" t="s">
        <v>1623</v>
      </c>
      <c r="C23" s="3097" t="s">
        <v>713</v>
      </c>
      <c r="D23" s="3063"/>
      <c r="E23" s="463">
        <f>D24</f>
        <v>0</v>
      </c>
      <c r="F23" s="463">
        <f t="shared" ref="F23:AB23" si="1">E24</f>
        <v>0</v>
      </c>
      <c r="G23" s="463">
        <f>E24</f>
        <v>0</v>
      </c>
      <c r="H23" s="1190">
        <f>F24</f>
        <v>0</v>
      </c>
      <c r="I23" s="462">
        <f t="shared" si="1"/>
        <v>160.62710263388732</v>
      </c>
      <c r="J23" s="463">
        <f t="shared" si="1"/>
        <v>281.09742960930282</v>
      </c>
      <c r="K23" s="463">
        <f t="shared" si="1"/>
        <v>371.45017484086441</v>
      </c>
      <c r="L23" s="463">
        <f t="shared" si="1"/>
        <v>439.21473376453559</v>
      </c>
      <c r="M23" s="464">
        <f t="shared" si="1"/>
        <v>490.03815295728901</v>
      </c>
      <c r="N23" s="513">
        <f t="shared" si="1"/>
        <v>528.15571735185404</v>
      </c>
      <c r="O23" s="463">
        <f t="shared" si="1"/>
        <v>557.07722614091654</v>
      </c>
      <c r="P23" s="463">
        <f t="shared" si="1"/>
        <v>578.76835773271341</v>
      </c>
      <c r="Q23" s="463">
        <f t="shared" si="1"/>
        <v>595.03670642656107</v>
      </c>
      <c r="R23" s="463">
        <f t="shared" si="1"/>
        <v>607.23796794694681</v>
      </c>
      <c r="S23" s="463">
        <f t="shared" si="1"/>
        <v>616.38891408723612</v>
      </c>
      <c r="T23" s="463">
        <f t="shared" si="1"/>
        <v>623.2521236924531</v>
      </c>
      <c r="U23" s="463">
        <f t="shared" si="1"/>
        <v>628.39953089636583</v>
      </c>
      <c r="V23" s="463">
        <f t="shared" si="1"/>
        <v>632.26008629930038</v>
      </c>
      <c r="W23" s="463">
        <f t="shared" si="1"/>
        <v>635.1555028515013</v>
      </c>
      <c r="X23" s="463">
        <f t="shared" si="1"/>
        <v>637.32706526565198</v>
      </c>
      <c r="Y23" s="463">
        <f t="shared" si="1"/>
        <v>638.955737076265</v>
      </c>
      <c r="Z23" s="463">
        <f t="shared" si="1"/>
        <v>640.17724093422476</v>
      </c>
      <c r="AA23" s="463">
        <f t="shared" si="1"/>
        <v>641.09336882769458</v>
      </c>
      <c r="AB23" s="464">
        <f t="shared" si="1"/>
        <v>641.78046474779694</v>
      </c>
      <c r="AC23" s="2524"/>
      <c r="AD23" s="2524"/>
      <c r="AE23" s="2524"/>
      <c r="AF23" s="2524"/>
    </row>
    <row r="24" spans="1:135" s="3019" customFormat="1">
      <c r="A24" s="3013"/>
      <c r="B24" s="4571"/>
      <c r="C24" s="3097" t="s">
        <v>714</v>
      </c>
      <c r="D24" s="3063"/>
      <c r="E24" s="3064"/>
      <c r="F24" s="3064"/>
      <c r="G24" s="3064"/>
      <c r="H24" s="625">
        <f>+'[13]Calc - residential CNs'!Q46</f>
        <v>160.62710263388732</v>
      </c>
      <c r="I24" s="459">
        <f>+'[13]Calc - residential CNs'!R46</f>
        <v>281.09742960930282</v>
      </c>
      <c r="J24" s="458">
        <f>+'[13]Calc - residential CNs'!S46</f>
        <v>371.45017484086441</v>
      </c>
      <c r="K24" s="458">
        <f>+'[13]Calc - residential CNs'!T46</f>
        <v>439.21473376453559</v>
      </c>
      <c r="L24" s="458">
        <f>+'[13]Calc - residential CNs'!U46</f>
        <v>490.03815295728901</v>
      </c>
      <c r="M24" s="460">
        <f>+'[13]Calc - residential CNs'!V46</f>
        <v>528.15571735185404</v>
      </c>
      <c r="N24" s="413">
        <f>N23+('[13]Calc - residential CNs'!$Y$257-N23-$AB$36)*0.25</f>
        <v>557.07722614091654</v>
      </c>
      <c r="O24" s="413">
        <f>O23+('[13]Calc - residential CNs'!$Y$257-O23-$AB$36)*0.25</f>
        <v>578.76835773271341</v>
      </c>
      <c r="P24" s="413">
        <f>P23+('[13]Calc - residential CNs'!$Y$257-P23-$AB$36)*0.25</f>
        <v>595.03670642656107</v>
      </c>
      <c r="Q24" s="413">
        <f>Q23+('[13]Calc - residential CNs'!$Y$257-Q23-$AB$36)*0.25</f>
        <v>607.23796794694681</v>
      </c>
      <c r="R24" s="413">
        <f>R23+('[13]Calc - residential CNs'!$Y$257-R23-$AB$36)*0.25</f>
        <v>616.38891408723612</v>
      </c>
      <c r="S24" s="413">
        <f>S23+('[13]Calc - residential CNs'!$Y$257-S23-$AB$36)*0.25</f>
        <v>623.2521236924531</v>
      </c>
      <c r="T24" s="413">
        <f>T23+('[13]Calc - residential CNs'!$Y$257-T23-$AB$36)*0.25</f>
        <v>628.39953089636583</v>
      </c>
      <c r="U24" s="413">
        <f>U23+('[13]Calc - residential CNs'!$Y$257-U23-$AB$36)*0.25</f>
        <v>632.26008629930038</v>
      </c>
      <c r="V24" s="413">
        <f>V23+('[13]Calc - residential CNs'!$Y$257-V23-$AB$36)*0.25</f>
        <v>635.1555028515013</v>
      </c>
      <c r="W24" s="413">
        <f>W23+('[13]Calc - residential CNs'!$Y$257-W23-$AB$36)*0.25</f>
        <v>637.32706526565198</v>
      </c>
      <c r="X24" s="413">
        <f>X23+('[13]Calc - residential CNs'!$Y$257-X23-$AB$36)*0.25</f>
        <v>638.955737076265</v>
      </c>
      <c r="Y24" s="413">
        <f>Y23+('[13]Calc - residential CNs'!$Y$257-Y23-$AB$36)*0.25</f>
        <v>640.17724093422476</v>
      </c>
      <c r="Z24" s="413">
        <f>Z23+('[13]Calc - residential CNs'!$Y$257-Z23-$AB$36)*0.25</f>
        <v>641.09336882769458</v>
      </c>
      <c r="AA24" s="458">
        <f>AA23+('[13]Calc - residential CNs'!$Y$257-AA23-$AB$36)*0.25</f>
        <v>641.78046474779694</v>
      </c>
      <c r="AB24" s="460">
        <f>AB23+('[13]Calc - residential CNs'!$Y$257-AB23-$AB$36)*0.25</f>
        <v>642.29578668787371</v>
      </c>
      <c r="AC24" s="2524"/>
      <c r="AD24" s="2524"/>
      <c r="AE24" s="2524"/>
      <c r="AF24" s="2524"/>
    </row>
    <row r="25" spans="1:135" s="3019" customFormat="1">
      <c r="A25" s="3013"/>
      <c r="B25" s="4571"/>
      <c r="C25" s="3097" t="s">
        <v>68</v>
      </c>
      <c r="D25" s="462">
        <f t="shared" ref="D25:AB25" si="2">IF(ISERROR(AVERAGE(D23:D24)),0,AVERAGE(D23:D24))</f>
        <v>0</v>
      </c>
      <c r="E25" s="463">
        <f t="shared" si="2"/>
        <v>0</v>
      </c>
      <c r="F25" s="463">
        <f t="shared" si="2"/>
        <v>0</v>
      </c>
      <c r="G25" s="463">
        <f t="shared" si="2"/>
        <v>0</v>
      </c>
      <c r="H25" s="1190">
        <f t="shared" si="2"/>
        <v>80.313551316943659</v>
      </c>
      <c r="I25" s="462">
        <f t="shared" si="2"/>
        <v>220.86226612159507</v>
      </c>
      <c r="J25" s="463">
        <f t="shared" si="2"/>
        <v>326.27380222508361</v>
      </c>
      <c r="K25" s="463">
        <f t="shared" si="2"/>
        <v>405.3324543027</v>
      </c>
      <c r="L25" s="463">
        <f t="shared" si="2"/>
        <v>464.62644336091228</v>
      </c>
      <c r="M25" s="464">
        <f t="shared" si="2"/>
        <v>509.0969351545715</v>
      </c>
      <c r="N25" s="513">
        <f t="shared" si="2"/>
        <v>542.61647174638529</v>
      </c>
      <c r="O25" s="463">
        <f t="shared" si="2"/>
        <v>567.92279193681497</v>
      </c>
      <c r="P25" s="463">
        <f t="shared" si="2"/>
        <v>586.90253207963724</v>
      </c>
      <c r="Q25" s="463">
        <f t="shared" si="2"/>
        <v>601.13733718675394</v>
      </c>
      <c r="R25" s="463">
        <f t="shared" si="2"/>
        <v>611.81344101709146</v>
      </c>
      <c r="S25" s="463">
        <f t="shared" si="2"/>
        <v>619.82051888984461</v>
      </c>
      <c r="T25" s="463">
        <f t="shared" si="2"/>
        <v>625.82582729440946</v>
      </c>
      <c r="U25" s="463">
        <f t="shared" si="2"/>
        <v>630.32980859783311</v>
      </c>
      <c r="V25" s="463">
        <f t="shared" si="2"/>
        <v>633.70779457540084</v>
      </c>
      <c r="W25" s="463">
        <f t="shared" si="2"/>
        <v>636.24128405857664</v>
      </c>
      <c r="X25" s="463">
        <f t="shared" si="2"/>
        <v>638.14140117095849</v>
      </c>
      <c r="Y25" s="463">
        <f t="shared" si="2"/>
        <v>639.56648900524488</v>
      </c>
      <c r="Z25" s="463">
        <f t="shared" si="2"/>
        <v>640.63530488095967</v>
      </c>
      <c r="AA25" s="463">
        <f t="shared" si="2"/>
        <v>641.43691678774576</v>
      </c>
      <c r="AB25" s="464">
        <f t="shared" si="2"/>
        <v>642.03812571783533</v>
      </c>
      <c r="AC25" s="2524"/>
      <c r="AD25" s="2524"/>
      <c r="AE25" s="2524"/>
      <c r="AF25" s="2524"/>
    </row>
    <row r="26" spans="1:135" s="3019" customFormat="1">
      <c r="A26" s="3013"/>
      <c r="B26" s="4571"/>
      <c r="C26" s="3097" t="s">
        <v>69</v>
      </c>
      <c r="D26" s="3063"/>
      <c r="E26" s="3064"/>
      <c r="F26" s="3064"/>
      <c r="G26" s="3064"/>
      <c r="H26" s="625">
        <f>+H24-H23+H27</f>
        <v>160.62710263388732</v>
      </c>
      <c r="I26" s="459">
        <f t="shared" ref="I26:AB26" si="3">+I24-I23+I27</f>
        <v>120.4703269754155</v>
      </c>
      <c r="J26" s="458">
        <f t="shared" si="3"/>
        <v>90.352745231561585</v>
      </c>
      <c r="K26" s="458">
        <f t="shared" si="3"/>
        <v>67.764558923671188</v>
      </c>
      <c r="L26" s="458">
        <f t="shared" si="3"/>
        <v>50.82341919275342</v>
      </c>
      <c r="M26" s="460">
        <f t="shared" si="3"/>
        <v>38.117564394565022</v>
      </c>
      <c r="N26" s="413">
        <f t="shared" si="3"/>
        <v>28.9215087890625</v>
      </c>
      <c r="O26" s="458">
        <f t="shared" si="3"/>
        <v>21.691131591796875</v>
      </c>
      <c r="P26" s="458">
        <f t="shared" si="3"/>
        <v>16.268348693847656</v>
      </c>
      <c r="Q26" s="458">
        <f t="shared" si="3"/>
        <v>12.201261520385742</v>
      </c>
      <c r="R26" s="458">
        <f t="shared" si="3"/>
        <v>9.1509461402893066</v>
      </c>
      <c r="S26" s="458">
        <f t="shared" si="3"/>
        <v>6.86320960521698</v>
      </c>
      <c r="T26" s="458">
        <f t="shared" si="3"/>
        <v>5.147407203912735</v>
      </c>
      <c r="U26" s="458">
        <f t="shared" si="3"/>
        <v>3.8605554029345512</v>
      </c>
      <c r="V26" s="458">
        <f t="shared" si="3"/>
        <v>2.8954165522009134</v>
      </c>
      <c r="W26" s="458">
        <f t="shared" si="3"/>
        <v>2.1715624141506851</v>
      </c>
      <c r="X26" s="458">
        <f t="shared" si="3"/>
        <v>1.6286718106130138</v>
      </c>
      <c r="Y26" s="458">
        <f t="shared" si="3"/>
        <v>1.2215038579597604</v>
      </c>
      <c r="Z26" s="458">
        <f t="shared" si="3"/>
        <v>0.91612789346982026</v>
      </c>
      <c r="AA26" s="458">
        <f t="shared" si="3"/>
        <v>0.6870959201023652</v>
      </c>
      <c r="AB26" s="460">
        <f t="shared" si="3"/>
        <v>0.5153219400767739</v>
      </c>
      <c r="AC26" s="2524"/>
      <c r="AD26" s="2524"/>
      <c r="AE26" s="2524"/>
      <c r="AF26" s="2524"/>
    </row>
    <row r="27" spans="1:135" s="3019" customFormat="1" ht="13.5" thickBot="1">
      <c r="A27" s="3013"/>
      <c r="B27" s="4572"/>
      <c r="C27" s="3098" t="s">
        <v>58</v>
      </c>
      <c r="D27" s="3068"/>
      <c r="E27" s="3069"/>
      <c r="F27" s="3069"/>
      <c r="G27" s="3069"/>
      <c r="H27" s="3067">
        <v>0</v>
      </c>
      <c r="I27" s="3068">
        <v>0</v>
      </c>
      <c r="J27" s="3069">
        <v>0</v>
      </c>
      <c r="K27" s="3069">
        <v>0</v>
      </c>
      <c r="L27" s="3069">
        <v>0</v>
      </c>
      <c r="M27" s="3070">
        <v>0</v>
      </c>
      <c r="N27" s="1439">
        <v>0</v>
      </c>
      <c r="O27" s="411">
        <v>0</v>
      </c>
      <c r="P27" s="411">
        <v>0</v>
      </c>
      <c r="Q27" s="411">
        <v>0</v>
      </c>
      <c r="R27" s="411">
        <v>0</v>
      </c>
      <c r="S27" s="411">
        <v>0</v>
      </c>
      <c r="T27" s="411">
        <v>0</v>
      </c>
      <c r="U27" s="411">
        <v>0</v>
      </c>
      <c r="V27" s="411">
        <v>0</v>
      </c>
      <c r="W27" s="411">
        <v>0</v>
      </c>
      <c r="X27" s="411">
        <v>0</v>
      </c>
      <c r="Y27" s="411">
        <v>0</v>
      </c>
      <c r="Z27" s="411">
        <v>0</v>
      </c>
      <c r="AA27" s="411">
        <v>0</v>
      </c>
      <c r="AB27" s="570">
        <v>0</v>
      </c>
      <c r="AC27" s="2524"/>
      <c r="AD27" s="2524"/>
      <c r="AE27" s="2524"/>
      <c r="AF27" s="2524"/>
    </row>
    <row r="28" spans="1:135" s="3019" customFormat="1">
      <c r="A28" s="3013"/>
      <c r="B28" s="4599" t="s">
        <v>63</v>
      </c>
      <c r="C28" s="3099" t="s">
        <v>713</v>
      </c>
      <c r="D28" s="478">
        <f>+D23</f>
        <v>0</v>
      </c>
      <c r="E28" s="479">
        <f t="shared" ref="E28:AB28" si="4">+E23</f>
        <v>0</v>
      </c>
      <c r="F28" s="479">
        <f t="shared" si="4"/>
        <v>0</v>
      </c>
      <c r="G28" s="479">
        <f t="shared" si="4"/>
        <v>0</v>
      </c>
      <c r="H28" s="1200">
        <f t="shared" si="4"/>
        <v>0</v>
      </c>
      <c r="I28" s="478">
        <f t="shared" si="4"/>
        <v>160.62710263388732</v>
      </c>
      <c r="J28" s="479">
        <f t="shared" si="4"/>
        <v>281.09742960930282</v>
      </c>
      <c r="K28" s="479">
        <f t="shared" si="4"/>
        <v>371.45017484086441</v>
      </c>
      <c r="L28" s="479">
        <f t="shared" si="4"/>
        <v>439.21473376453559</v>
      </c>
      <c r="M28" s="425">
        <f t="shared" si="4"/>
        <v>490.03815295728901</v>
      </c>
      <c r="N28" s="1039">
        <f t="shared" si="4"/>
        <v>528.15571735185404</v>
      </c>
      <c r="O28" s="479">
        <f t="shared" si="4"/>
        <v>557.07722614091654</v>
      </c>
      <c r="P28" s="479">
        <f t="shared" si="4"/>
        <v>578.76835773271341</v>
      </c>
      <c r="Q28" s="479">
        <f t="shared" si="4"/>
        <v>595.03670642656107</v>
      </c>
      <c r="R28" s="479">
        <f t="shared" si="4"/>
        <v>607.23796794694681</v>
      </c>
      <c r="S28" s="479">
        <f t="shared" si="4"/>
        <v>616.38891408723612</v>
      </c>
      <c r="T28" s="479">
        <f t="shared" si="4"/>
        <v>623.2521236924531</v>
      </c>
      <c r="U28" s="479">
        <f t="shared" si="4"/>
        <v>628.39953089636583</v>
      </c>
      <c r="V28" s="479">
        <f t="shared" si="4"/>
        <v>632.26008629930038</v>
      </c>
      <c r="W28" s="479">
        <f t="shared" si="4"/>
        <v>635.1555028515013</v>
      </c>
      <c r="X28" s="479">
        <f t="shared" si="4"/>
        <v>637.32706526565198</v>
      </c>
      <c r="Y28" s="479">
        <f t="shared" si="4"/>
        <v>638.955737076265</v>
      </c>
      <c r="Z28" s="479">
        <f t="shared" si="4"/>
        <v>640.17724093422476</v>
      </c>
      <c r="AA28" s="479">
        <f t="shared" si="4"/>
        <v>641.09336882769458</v>
      </c>
      <c r="AB28" s="1535">
        <f t="shared" si="4"/>
        <v>641.78046474779694</v>
      </c>
      <c r="AC28" s="2524"/>
      <c r="AD28" s="2524"/>
      <c r="AE28" s="2524"/>
      <c r="AF28" s="2524"/>
    </row>
    <row r="29" spans="1:135" s="3019" customFormat="1">
      <c r="A29" s="3013"/>
      <c r="B29" s="4600"/>
      <c r="C29" s="3099" t="s">
        <v>714</v>
      </c>
      <c r="D29" s="478">
        <f t="shared" ref="D29:AB32" si="5">+D24</f>
        <v>0</v>
      </c>
      <c r="E29" s="479">
        <f t="shared" si="5"/>
        <v>0</v>
      </c>
      <c r="F29" s="479">
        <f t="shared" si="5"/>
        <v>0</v>
      </c>
      <c r="G29" s="479">
        <f t="shared" si="5"/>
        <v>0</v>
      </c>
      <c r="H29" s="1200">
        <f t="shared" si="5"/>
        <v>160.62710263388732</v>
      </c>
      <c r="I29" s="478">
        <f t="shared" si="5"/>
        <v>281.09742960930282</v>
      </c>
      <c r="J29" s="479">
        <f t="shared" si="5"/>
        <v>371.45017484086441</v>
      </c>
      <c r="K29" s="479">
        <f t="shared" si="5"/>
        <v>439.21473376453559</v>
      </c>
      <c r="L29" s="479">
        <f t="shared" si="5"/>
        <v>490.03815295728901</v>
      </c>
      <c r="M29" s="425">
        <f t="shared" si="5"/>
        <v>528.15571735185404</v>
      </c>
      <c r="N29" s="1039">
        <f t="shared" si="5"/>
        <v>557.07722614091654</v>
      </c>
      <c r="O29" s="479">
        <f t="shared" si="5"/>
        <v>578.76835773271341</v>
      </c>
      <c r="P29" s="479">
        <f t="shared" si="5"/>
        <v>595.03670642656107</v>
      </c>
      <c r="Q29" s="479">
        <f t="shared" si="5"/>
        <v>607.23796794694681</v>
      </c>
      <c r="R29" s="479">
        <f t="shared" si="5"/>
        <v>616.38891408723612</v>
      </c>
      <c r="S29" s="479">
        <f t="shared" si="5"/>
        <v>623.2521236924531</v>
      </c>
      <c r="T29" s="479">
        <f t="shared" si="5"/>
        <v>628.39953089636583</v>
      </c>
      <c r="U29" s="479">
        <f t="shared" si="5"/>
        <v>632.26008629930038</v>
      </c>
      <c r="V29" s="479">
        <f t="shared" si="5"/>
        <v>635.1555028515013</v>
      </c>
      <c r="W29" s="479">
        <f t="shared" si="5"/>
        <v>637.32706526565198</v>
      </c>
      <c r="X29" s="479">
        <f t="shared" si="5"/>
        <v>638.955737076265</v>
      </c>
      <c r="Y29" s="479">
        <f t="shared" si="5"/>
        <v>640.17724093422476</v>
      </c>
      <c r="Z29" s="479">
        <f t="shared" si="5"/>
        <v>641.09336882769458</v>
      </c>
      <c r="AA29" s="479">
        <f t="shared" si="5"/>
        <v>641.78046474779694</v>
      </c>
      <c r="AB29" s="1535">
        <f t="shared" si="5"/>
        <v>642.29578668787371</v>
      </c>
      <c r="AC29" s="2524"/>
      <c r="AD29" s="2524"/>
      <c r="AE29" s="2524"/>
      <c r="AF29" s="2524"/>
    </row>
    <row r="30" spans="1:135" s="3019" customFormat="1">
      <c r="A30" s="3013"/>
      <c r="B30" s="4600"/>
      <c r="C30" s="3100" t="s">
        <v>68</v>
      </c>
      <c r="D30" s="478">
        <f t="shared" si="5"/>
        <v>0</v>
      </c>
      <c r="E30" s="479">
        <f t="shared" si="5"/>
        <v>0</v>
      </c>
      <c r="F30" s="479">
        <f t="shared" si="5"/>
        <v>0</v>
      </c>
      <c r="G30" s="479">
        <f t="shared" si="5"/>
        <v>0</v>
      </c>
      <c r="H30" s="1200">
        <f t="shared" si="5"/>
        <v>80.313551316943659</v>
      </c>
      <c r="I30" s="478">
        <f t="shared" si="5"/>
        <v>220.86226612159507</v>
      </c>
      <c r="J30" s="479">
        <f t="shared" si="5"/>
        <v>326.27380222508361</v>
      </c>
      <c r="K30" s="479">
        <f t="shared" si="5"/>
        <v>405.3324543027</v>
      </c>
      <c r="L30" s="479">
        <f t="shared" si="5"/>
        <v>464.62644336091228</v>
      </c>
      <c r="M30" s="425">
        <f t="shared" si="5"/>
        <v>509.0969351545715</v>
      </c>
      <c r="N30" s="1039">
        <f t="shared" si="5"/>
        <v>542.61647174638529</v>
      </c>
      <c r="O30" s="479">
        <f t="shared" si="5"/>
        <v>567.92279193681497</v>
      </c>
      <c r="P30" s="479">
        <f t="shared" si="5"/>
        <v>586.90253207963724</v>
      </c>
      <c r="Q30" s="479">
        <f t="shared" si="5"/>
        <v>601.13733718675394</v>
      </c>
      <c r="R30" s="479">
        <f t="shared" si="5"/>
        <v>611.81344101709146</v>
      </c>
      <c r="S30" s="479">
        <f t="shared" si="5"/>
        <v>619.82051888984461</v>
      </c>
      <c r="T30" s="479">
        <f t="shared" si="5"/>
        <v>625.82582729440946</v>
      </c>
      <c r="U30" s="479">
        <f t="shared" si="5"/>
        <v>630.32980859783311</v>
      </c>
      <c r="V30" s="479">
        <f t="shared" si="5"/>
        <v>633.70779457540084</v>
      </c>
      <c r="W30" s="479">
        <f t="shared" si="5"/>
        <v>636.24128405857664</v>
      </c>
      <c r="X30" s="479">
        <f t="shared" si="5"/>
        <v>638.14140117095849</v>
      </c>
      <c r="Y30" s="479">
        <f t="shared" si="5"/>
        <v>639.56648900524488</v>
      </c>
      <c r="Z30" s="479">
        <f t="shared" si="5"/>
        <v>640.63530488095967</v>
      </c>
      <c r="AA30" s="479">
        <f t="shared" si="5"/>
        <v>641.43691678774576</v>
      </c>
      <c r="AB30" s="1535">
        <f t="shared" si="5"/>
        <v>642.03812571783533</v>
      </c>
      <c r="AC30" s="2524"/>
      <c r="AD30" s="2524"/>
      <c r="AE30" s="2524"/>
      <c r="AF30" s="2524"/>
    </row>
    <row r="31" spans="1:135" s="3019" customFormat="1">
      <c r="A31" s="3013"/>
      <c r="B31" s="4600"/>
      <c r="C31" s="3100" t="s">
        <v>69</v>
      </c>
      <c r="D31" s="478">
        <f t="shared" si="5"/>
        <v>0</v>
      </c>
      <c r="E31" s="479">
        <f t="shared" si="5"/>
        <v>0</v>
      </c>
      <c r="F31" s="479">
        <f t="shared" si="5"/>
        <v>0</v>
      </c>
      <c r="G31" s="479">
        <f t="shared" si="5"/>
        <v>0</v>
      </c>
      <c r="H31" s="1200">
        <f t="shared" si="5"/>
        <v>160.62710263388732</v>
      </c>
      <c r="I31" s="478">
        <f t="shared" si="5"/>
        <v>120.4703269754155</v>
      </c>
      <c r="J31" s="479">
        <f t="shared" si="5"/>
        <v>90.352745231561585</v>
      </c>
      <c r="K31" s="479">
        <f t="shared" si="5"/>
        <v>67.764558923671188</v>
      </c>
      <c r="L31" s="479">
        <f t="shared" si="5"/>
        <v>50.82341919275342</v>
      </c>
      <c r="M31" s="425">
        <f t="shared" si="5"/>
        <v>38.117564394565022</v>
      </c>
      <c r="N31" s="1039">
        <f t="shared" si="5"/>
        <v>28.9215087890625</v>
      </c>
      <c r="O31" s="479">
        <f t="shared" si="5"/>
        <v>21.691131591796875</v>
      </c>
      <c r="P31" s="479">
        <f t="shared" si="5"/>
        <v>16.268348693847656</v>
      </c>
      <c r="Q31" s="479">
        <f t="shared" si="5"/>
        <v>12.201261520385742</v>
      </c>
      <c r="R31" s="479">
        <f t="shared" si="5"/>
        <v>9.1509461402893066</v>
      </c>
      <c r="S31" s="479">
        <f t="shared" si="5"/>
        <v>6.86320960521698</v>
      </c>
      <c r="T31" s="479">
        <f t="shared" si="5"/>
        <v>5.147407203912735</v>
      </c>
      <c r="U31" s="479">
        <f t="shared" si="5"/>
        <v>3.8605554029345512</v>
      </c>
      <c r="V31" s="479">
        <f t="shared" si="5"/>
        <v>2.8954165522009134</v>
      </c>
      <c r="W31" s="479">
        <f t="shared" si="5"/>
        <v>2.1715624141506851</v>
      </c>
      <c r="X31" s="479">
        <f t="shared" si="5"/>
        <v>1.6286718106130138</v>
      </c>
      <c r="Y31" s="479">
        <f t="shared" si="5"/>
        <v>1.2215038579597604</v>
      </c>
      <c r="Z31" s="479">
        <f t="shared" si="5"/>
        <v>0.91612789346982026</v>
      </c>
      <c r="AA31" s="479">
        <f t="shared" si="5"/>
        <v>0.6870959201023652</v>
      </c>
      <c r="AB31" s="1535">
        <f t="shared" si="5"/>
        <v>0.5153219400767739</v>
      </c>
      <c r="AC31" s="2524"/>
      <c r="AD31" s="2524"/>
      <c r="AE31" s="2524"/>
      <c r="AF31" s="2524"/>
    </row>
    <row r="32" spans="1:135" s="3019" customFormat="1" ht="13.5" thickBot="1">
      <c r="A32" s="3013"/>
      <c r="B32" s="4601"/>
      <c r="C32" s="3101" t="s">
        <v>58</v>
      </c>
      <c r="D32" s="478">
        <f t="shared" si="5"/>
        <v>0</v>
      </c>
      <c r="E32" s="1536">
        <f t="shared" si="5"/>
        <v>0</v>
      </c>
      <c r="F32" s="1536">
        <f t="shared" si="5"/>
        <v>0</v>
      </c>
      <c r="G32" s="1536">
        <f t="shared" si="5"/>
        <v>0</v>
      </c>
      <c r="H32" s="1537">
        <f t="shared" si="5"/>
        <v>0</v>
      </c>
      <c r="I32" s="3102">
        <f t="shared" si="5"/>
        <v>0</v>
      </c>
      <c r="J32" s="1536">
        <f t="shared" si="5"/>
        <v>0</v>
      </c>
      <c r="K32" s="1536">
        <f t="shared" si="5"/>
        <v>0</v>
      </c>
      <c r="L32" s="1536">
        <f t="shared" si="5"/>
        <v>0</v>
      </c>
      <c r="M32" s="1538">
        <f t="shared" si="5"/>
        <v>0</v>
      </c>
      <c r="N32" s="1539">
        <f t="shared" si="5"/>
        <v>0</v>
      </c>
      <c r="O32" s="1536">
        <f t="shared" si="5"/>
        <v>0</v>
      </c>
      <c r="P32" s="1536">
        <f t="shared" si="5"/>
        <v>0</v>
      </c>
      <c r="Q32" s="1536">
        <f t="shared" si="5"/>
        <v>0</v>
      </c>
      <c r="R32" s="1536">
        <f t="shared" si="5"/>
        <v>0</v>
      </c>
      <c r="S32" s="1536">
        <f t="shared" si="5"/>
        <v>0</v>
      </c>
      <c r="T32" s="1536">
        <f t="shared" si="5"/>
        <v>0</v>
      </c>
      <c r="U32" s="1536">
        <f t="shared" si="5"/>
        <v>0</v>
      </c>
      <c r="V32" s="1536">
        <f t="shared" si="5"/>
        <v>0</v>
      </c>
      <c r="W32" s="1536">
        <f t="shared" si="5"/>
        <v>0</v>
      </c>
      <c r="X32" s="1536">
        <f t="shared" si="5"/>
        <v>0</v>
      </c>
      <c r="Y32" s="1536">
        <f t="shared" si="5"/>
        <v>0</v>
      </c>
      <c r="Z32" s="1536">
        <f t="shared" si="5"/>
        <v>0</v>
      </c>
      <c r="AA32" s="1536">
        <f t="shared" si="5"/>
        <v>0</v>
      </c>
      <c r="AB32" s="1540">
        <f t="shared" si="5"/>
        <v>0</v>
      </c>
      <c r="AC32" s="2524"/>
      <c r="AD32" s="2524"/>
      <c r="AE32" s="2524"/>
      <c r="AF32" s="2524"/>
    </row>
    <row r="33" spans="1:135" s="3096" customFormat="1" ht="25.5" customHeight="1">
      <c r="A33" s="3090"/>
      <c r="B33" s="3091" t="s">
        <v>1648</v>
      </c>
      <c r="C33" s="3092"/>
      <c r="D33" s="3093"/>
      <c r="E33" s="3093"/>
      <c r="F33" s="3093"/>
      <c r="G33" s="3093"/>
      <c r="H33" s="3093"/>
      <c r="I33" s="3093"/>
      <c r="J33" s="3093"/>
      <c r="K33" s="3093"/>
      <c r="L33" s="3093"/>
      <c r="M33" s="3093"/>
      <c r="N33" s="3093"/>
      <c r="O33" s="3093"/>
      <c r="P33" s="3093"/>
      <c r="Q33" s="3093"/>
      <c r="R33" s="3093"/>
      <c r="S33" s="3093"/>
      <c r="T33" s="3093"/>
      <c r="U33" s="3093"/>
      <c r="V33" s="3093"/>
      <c r="W33" s="3093"/>
      <c r="X33" s="3093"/>
      <c r="Y33" s="3093"/>
      <c r="Z33" s="3093"/>
      <c r="AA33" s="3093"/>
      <c r="AB33" s="3094"/>
      <c r="AC33" s="3095"/>
      <c r="AD33" s="3095"/>
      <c r="AE33" s="3095"/>
      <c r="AF33" s="3095"/>
      <c r="DF33" s="3095"/>
      <c r="DG33" s="3095"/>
      <c r="DH33" s="3095"/>
      <c r="DI33" s="3095"/>
      <c r="DJ33" s="3095"/>
      <c r="DK33" s="3095"/>
      <c r="DL33" s="3095"/>
      <c r="DM33" s="3095"/>
      <c r="DN33" s="3095"/>
      <c r="DO33" s="3095"/>
      <c r="DP33" s="3095"/>
      <c r="DQ33" s="3095"/>
      <c r="DR33" s="3095"/>
      <c r="DS33" s="3095"/>
      <c r="DT33" s="3095"/>
      <c r="DU33" s="3095"/>
      <c r="DV33" s="3095"/>
      <c r="DW33" s="3095"/>
      <c r="DX33" s="3095"/>
      <c r="DY33" s="3095"/>
      <c r="DZ33" s="3095"/>
      <c r="EA33" s="3095"/>
      <c r="EB33" s="3095"/>
      <c r="EC33" s="3095"/>
      <c r="ED33" s="3095"/>
      <c r="EE33" s="3095"/>
    </row>
    <row r="34" spans="1:135" s="3019" customFormat="1">
      <c r="A34" s="3013"/>
      <c r="B34" s="4570" t="s">
        <v>1623</v>
      </c>
      <c r="C34" s="3103" t="s">
        <v>713</v>
      </c>
      <c r="D34" s="3104"/>
      <c r="E34" s="1533">
        <f>D35</f>
        <v>0</v>
      </c>
      <c r="F34" s="1533">
        <f t="shared" ref="F34" si="6">E35</f>
        <v>0</v>
      </c>
      <c r="G34" s="1533">
        <f>E35</f>
        <v>0</v>
      </c>
      <c r="H34" s="1534">
        <f>F35</f>
        <v>0</v>
      </c>
      <c r="I34" s="462">
        <f t="shared" ref="I34:AB34" si="7">H35</f>
        <v>1.8728973661126815</v>
      </c>
      <c r="J34" s="463">
        <f t="shared" si="7"/>
        <v>3.2775703906971927</v>
      </c>
      <c r="K34" s="463">
        <f t="shared" si="7"/>
        <v>4.3310751591355796</v>
      </c>
      <c r="L34" s="463">
        <f t="shared" si="7"/>
        <v>5.1212037354643627</v>
      </c>
      <c r="M34" s="464">
        <f t="shared" si="7"/>
        <v>5.7138001677109571</v>
      </c>
      <c r="N34" s="513">
        <f t="shared" si="7"/>
        <v>6.1582474918958994</v>
      </c>
      <c r="O34" s="463">
        <f t="shared" si="7"/>
        <v>6.1582474918958994</v>
      </c>
      <c r="P34" s="463">
        <f t="shared" si="7"/>
        <v>6.1582474918958994</v>
      </c>
      <c r="Q34" s="463">
        <f t="shared" si="7"/>
        <v>6.1582474918958994</v>
      </c>
      <c r="R34" s="463">
        <f t="shared" si="7"/>
        <v>6.1582474918958994</v>
      </c>
      <c r="S34" s="463">
        <f t="shared" si="7"/>
        <v>6.1582474918958994</v>
      </c>
      <c r="T34" s="463">
        <f t="shared" si="7"/>
        <v>6.1582474918958994</v>
      </c>
      <c r="U34" s="463">
        <f t="shared" si="7"/>
        <v>6.1582474918958994</v>
      </c>
      <c r="V34" s="463">
        <f t="shared" si="7"/>
        <v>6.1582474918958994</v>
      </c>
      <c r="W34" s="463">
        <f t="shared" si="7"/>
        <v>6.1582474918958994</v>
      </c>
      <c r="X34" s="463">
        <f t="shared" si="7"/>
        <v>6.1582474918958994</v>
      </c>
      <c r="Y34" s="463">
        <f t="shared" si="7"/>
        <v>6.1582474918958994</v>
      </c>
      <c r="Z34" s="463">
        <f t="shared" si="7"/>
        <v>6.1582474918958994</v>
      </c>
      <c r="AA34" s="463">
        <f t="shared" si="7"/>
        <v>6.1582474918958994</v>
      </c>
      <c r="AB34" s="464">
        <f t="shared" si="7"/>
        <v>6.1582474918958994</v>
      </c>
      <c r="AC34" s="2524"/>
      <c r="AD34" s="2524"/>
      <c r="AE34" s="2524"/>
      <c r="AF34" s="2524"/>
    </row>
    <row r="35" spans="1:135" s="3019" customFormat="1">
      <c r="A35" s="3013"/>
      <c r="B35" s="4571"/>
      <c r="C35" s="2925" t="s">
        <v>714</v>
      </c>
      <c r="D35" s="3063"/>
      <c r="E35" s="3064"/>
      <c r="F35" s="3064"/>
      <c r="G35" s="3064"/>
      <c r="H35" s="460">
        <f>+'[13]Calc - commercial CNs'!Q46</f>
        <v>1.8728973661126815</v>
      </c>
      <c r="I35" s="459">
        <f>+'[13]Calc - commercial CNs'!R46</f>
        <v>3.2775703906971927</v>
      </c>
      <c r="J35" s="458">
        <f>+'[13]Calc - commercial CNs'!S46</f>
        <v>4.3310751591355796</v>
      </c>
      <c r="K35" s="458">
        <f>+'[13]Calc - commercial CNs'!T46</f>
        <v>5.1212037354643627</v>
      </c>
      <c r="L35" s="458">
        <f>+'[13]Calc - commercial CNs'!U46</f>
        <v>5.7138001677109571</v>
      </c>
      <c r="M35" s="460">
        <f>+'[13]Calc - commercial CNs'!V46</f>
        <v>6.1582474918958994</v>
      </c>
      <c r="N35" s="413">
        <f>+N34</f>
        <v>6.1582474918958994</v>
      </c>
      <c r="O35" s="458">
        <f t="shared" ref="O35:AB35" si="8">+O34</f>
        <v>6.1582474918958994</v>
      </c>
      <c r="P35" s="458">
        <f t="shared" si="8"/>
        <v>6.1582474918958994</v>
      </c>
      <c r="Q35" s="458">
        <f t="shared" si="8"/>
        <v>6.1582474918958994</v>
      </c>
      <c r="R35" s="458">
        <f t="shared" si="8"/>
        <v>6.1582474918958994</v>
      </c>
      <c r="S35" s="458">
        <f t="shared" si="8"/>
        <v>6.1582474918958994</v>
      </c>
      <c r="T35" s="458">
        <f t="shared" si="8"/>
        <v>6.1582474918958994</v>
      </c>
      <c r="U35" s="458">
        <f t="shared" si="8"/>
        <v>6.1582474918958994</v>
      </c>
      <c r="V35" s="458">
        <f t="shared" si="8"/>
        <v>6.1582474918958994</v>
      </c>
      <c r="W35" s="458">
        <f t="shared" si="8"/>
        <v>6.1582474918958994</v>
      </c>
      <c r="X35" s="458">
        <f t="shared" si="8"/>
        <v>6.1582474918958994</v>
      </c>
      <c r="Y35" s="458">
        <f t="shared" si="8"/>
        <v>6.1582474918958994</v>
      </c>
      <c r="Z35" s="458">
        <f t="shared" si="8"/>
        <v>6.1582474918958994</v>
      </c>
      <c r="AA35" s="458">
        <f t="shared" si="8"/>
        <v>6.1582474918958994</v>
      </c>
      <c r="AB35" s="460">
        <f t="shared" si="8"/>
        <v>6.1582474918958994</v>
      </c>
      <c r="AC35" s="2524"/>
      <c r="AD35" s="2524"/>
      <c r="AE35" s="2524"/>
      <c r="AF35" s="2524"/>
    </row>
    <row r="36" spans="1:135" s="3019" customFormat="1">
      <c r="A36" s="3013"/>
      <c r="B36" s="4571"/>
      <c r="C36" s="2925" t="s">
        <v>68</v>
      </c>
      <c r="D36" s="462">
        <f t="shared" ref="D36:AB36" si="9">IF(ISERROR(AVERAGE(D34:D35)),0,AVERAGE(D34:D35))</f>
        <v>0</v>
      </c>
      <c r="E36" s="463">
        <f t="shared" si="9"/>
        <v>0</v>
      </c>
      <c r="F36" s="463">
        <f t="shared" si="9"/>
        <v>0</v>
      </c>
      <c r="G36" s="463">
        <f t="shared" si="9"/>
        <v>0</v>
      </c>
      <c r="H36" s="464">
        <f t="shared" si="9"/>
        <v>0.93644868305634077</v>
      </c>
      <c r="I36" s="462">
        <f t="shared" si="9"/>
        <v>2.5752338784049371</v>
      </c>
      <c r="J36" s="463">
        <f t="shared" si="9"/>
        <v>3.8043227749163862</v>
      </c>
      <c r="K36" s="463">
        <f t="shared" si="9"/>
        <v>4.7261394472999712</v>
      </c>
      <c r="L36" s="463">
        <f t="shared" si="9"/>
        <v>5.4175019515876599</v>
      </c>
      <c r="M36" s="464">
        <f t="shared" si="9"/>
        <v>5.9360238298034282</v>
      </c>
      <c r="N36" s="513">
        <f t="shared" si="9"/>
        <v>6.1582474918958994</v>
      </c>
      <c r="O36" s="463">
        <f t="shared" si="9"/>
        <v>6.1582474918958994</v>
      </c>
      <c r="P36" s="463">
        <f t="shared" si="9"/>
        <v>6.1582474918958994</v>
      </c>
      <c r="Q36" s="463">
        <f t="shared" si="9"/>
        <v>6.1582474918958994</v>
      </c>
      <c r="R36" s="463">
        <f t="shared" si="9"/>
        <v>6.1582474918958994</v>
      </c>
      <c r="S36" s="463">
        <f t="shared" si="9"/>
        <v>6.1582474918958994</v>
      </c>
      <c r="T36" s="463">
        <f t="shared" si="9"/>
        <v>6.1582474918958994</v>
      </c>
      <c r="U36" s="463">
        <f t="shared" si="9"/>
        <v>6.1582474918958994</v>
      </c>
      <c r="V36" s="463">
        <f t="shared" si="9"/>
        <v>6.1582474918958994</v>
      </c>
      <c r="W36" s="463">
        <f t="shared" si="9"/>
        <v>6.1582474918958994</v>
      </c>
      <c r="X36" s="463">
        <f t="shared" si="9"/>
        <v>6.1582474918958994</v>
      </c>
      <c r="Y36" s="463">
        <f t="shared" si="9"/>
        <v>6.1582474918958994</v>
      </c>
      <c r="Z36" s="463">
        <f t="shared" si="9"/>
        <v>6.1582474918958994</v>
      </c>
      <c r="AA36" s="463">
        <f t="shared" si="9"/>
        <v>6.1582474918958994</v>
      </c>
      <c r="AB36" s="464">
        <f t="shared" si="9"/>
        <v>6.1582474918958994</v>
      </c>
      <c r="AC36" s="2524"/>
      <c r="AD36" s="2524"/>
      <c r="AE36" s="2524"/>
      <c r="AF36" s="2524"/>
    </row>
    <row r="37" spans="1:135" s="3019" customFormat="1">
      <c r="A37" s="3013"/>
      <c r="B37" s="4571"/>
      <c r="C37" s="2925" t="s">
        <v>69</v>
      </c>
      <c r="D37" s="3063"/>
      <c r="E37" s="3064"/>
      <c r="F37" s="3064"/>
      <c r="G37" s="3064"/>
      <c r="H37" s="625">
        <f>+H35-H34+H38</f>
        <v>1.8728973661126815</v>
      </c>
      <c r="I37" s="459">
        <f t="shared" ref="I37:AB37" si="10">+I35-I34+I38</f>
        <v>1.4046730245845112</v>
      </c>
      <c r="J37" s="458">
        <f t="shared" si="10"/>
        <v>1.0535047684383869</v>
      </c>
      <c r="K37" s="458">
        <f t="shared" si="10"/>
        <v>0.79012857632878308</v>
      </c>
      <c r="L37" s="458">
        <f t="shared" si="10"/>
        <v>0.59259643224659442</v>
      </c>
      <c r="M37" s="460">
        <f t="shared" si="10"/>
        <v>0.44444732418494226</v>
      </c>
      <c r="N37" s="413">
        <f t="shared" si="10"/>
        <v>0</v>
      </c>
      <c r="O37" s="458">
        <f t="shared" si="10"/>
        <v>0</v>
      </c>
      <c r="P37" s="458">
        <f t="shared" si="10"/>
        <v>0</v>
      </c>
      <c r="Q37" s="458">
        <f t="shared" si="10"/>
        <v>0</v>
      </c>
      <c r="R37" s="458">
        <f t="shared" si="10"/>
        <v>0</v>
      </c>
      <c r="S37" s="458">
        <f t="shared" si="10"/>
        <v>0</v>
      </c>
      <c r="T37" s="458">
        <f t="shared" si="10"/>
        <v>0</v>
      </c>
      <c r="U37" s="458">
        <f t="shared" si="10"/>
        <v>0</v>
      </c>
      <c r="V37" s="458">
        <f t="shared" si="10"/>
        <v>0</v>
      </c>
      <c r="W37" s="458">
        <f t="shared" si="10"/>
        <v>0</v>
      </c>
      <c r="X37" s="458">
        <f t="shared" si="10"/>
        <v>0</v>
      </c>
      <c r="Y37" s="458">
        <f t="shared" si="10"/>
        <v>0</v>
      </c>
      <c r="Z37" s="458">
        <f t="shared" si="10"/>
        <v>0</v>
      </c>
      <c r="AA37" s="458">
        <f t="shared" si="10"/>
        <v>0</v>
      </c>
      <c r="AB37" s="460">
        <f t="shared" si="10"/>
        <v>0</v>
      </c>
      <c r="AC37" s="2524"/>
      <c r="AD37" s="2524"/>
      <c r="AE37" s="2524"/>
      <c r="AF37" s="2524"/>
    </row>
    <row r="38" spans="1:135" s="3019" customFormat="1" ht="13.5" thickBot="1">
      <c r="A38" s="3013"/>
      <c r="B38" s="4572"/>
      <c r="C38" s="3105" t="s">
        <v>58</v>
      </c>
      <c r="D38" s="3068"/>
      <c r="E38" s="3069"/>
      <c r="F38" s="3069"/>
      <c r="G38" s="3069"/>
      <c r="H38" s="3106">
        <v>0</v>
      </c>
      <c r="I38" s="1440">
        <v>0</v>
      </c>
      <c r="J38" s="411">
        <v>0</v>
      </c>
      <c r="K38" s="411">
        <v>0</v>
      </c>
      <c r="L38" s="411">
        <v>0</v>
      </c>
      <c r="M38" s="570">
        <v>0</v>
      </c>
      <c r="N38" s="1439">
        <v>0</v>
      </c>
      <c r="O38" s="411">
        <v>0</v>
      </c>
      <c r="P38" s="411">
        <v>0</v>
      </c>
      <c r="Q38" s="411">
        <v>0</v>
      </c>
      <c r="R38" s="411">
        <v>0</v>
      </c>
      <c r="S38" s="411">
        <v>0</v>
      </c>
      <c r="T38" s="411">
        <v>0</v>
      </c>
      <c r="U38" s="411">
        <v>0</v>
      </c>
      <c r="V38" s="411">
        <v>0</v>
      </c>
      <c r="W38" s="411">
        <v>0</v>
      </c>
      <c r="X38" s="411">
        <v>0</v>
      </c>
      <c r="Y38" s="411">
        <v>0</v>
      </c>
      <c r="Z38" s="411">
        <v>0</v>
      </c>
      <c r="AA38" s="411">
        <v>0</v>
      </c>
      <c r="AB38" s="570">
        <v>0</v>
      </c>
      <c r="AC38" s="2524"/>
      <c r="AD38" s="2524"/>
      <c r="AE38" s="2524"/>
      <c r="AF38" s="2524"/>
    </row>
    <row r="39" spans="1:135" s="3019" customFormat="1">
      <c r="A39" s="3013"/>
      <c r="B39" s="4599" t="s">
        <v>63</v>
      </c>
      <c r="C39" s="3099" t="s">
        <v>713</v>
      </c>
      <c r="D39" s="478">
        <f>+D34</f>
        <v>0</v>
      </c>
      <c r="E39" s="479">
        <f t="shared" ref="E39:AB39" si="11">+E34</f>
        <v>0</v>
      </c>
      <c r="F39" s="479">
        <f t="shared" si="11"/>
        <v>0</v>
      </c>
      <c r="G39" s="479">
        <f t="shared" si="11"/>
        <v>0</v>
      </c>
      <c r="H39" s="1200">
        <f t="shared" si="11"/>
        <v>0</v>
      </c>
      <c r="I39" s="478">
        <f t="shared" si="11"/>
        <v>1.8728973661126815</v>
      </c>
      <c r="J39" s="479">
        <f t="shared" si="11"/>
        <v>3.2775703906971927</v>
      </c>
      <c r="K39" s="479">
        <f t="shared" si="11"/>
        <v>4.3310751591355796</v>
      </c>
      <c r="L39" s="479">
        <f t="shared" si="11"/>
        <v>5.1212037354643627</v>
      </c>
      <c r="M39" s="425">
        <f t="shared" si="11"/>
        <v>5.7138001677109571</v>
      </c>
      <c r="N39" s="1039">
        <f t="shared" si="11"/>
        <v>6.1582474918958994</v>
      </c>
      <c r="O39" s="479">
        <f t="shared" si="11"/>
        <v>6.1582474918958994</v>
      </c>
      <c r="P39" s="479">
        <f t="shared" si="11"/>
        <v>6.1582474918958994</v>
      </c>
      <c r="Q39" s="479">
        <f t="shared" si="11"/>
        <v>6.1582474918958994</v>
      </c>
      <c r="R39" s="479">
        <f t="shared" si="11"/>
        <v>6.1582474918958994</v>
      </c>
      <c r="S39" s="479">
        <f t="shared" si="11"/>
        <v>6.1582474918958994</v>
      </c>
      <c r="T39" s="479">
        <f t="shared" si="11"/>
        <v>6.1582474918958994</v>
      </c>
      <c r="U39" s="479">
        <f t="shared" si="11"/>
        <v>6.1582474918958994</v>
      </c>
      <c r="V39" s="479">
        <f t="shared" si="11"/>
        <v>6.1582474918958994</v>
      </c>
      <c r="W39" s="479">
        <f t="shared" si="11"/>
        <v>6.1582474918958994</v>
      </c>
      <c r="X39" s="479">
        <f t="shared" si="11"/>
        <v>6.1582474918958994</v>
      </c>
      <c r="Y39" s="479">
        <f t="shared" si="11"/>
        <v>6.1582474918958994</v>
      </c>
      <c r="Z39" s="479">
        <f t="shared" si="11"/>
        <v>6.1582474918958994</v>
      </c>
      <c r="AA39" s="479">
        <f t="shared" si="11"/>
        <v>6.1582474918958994</v>
      </c>
      <c r="AB39" s="1535">
        <f t="shared" si="11"/>
        <v>6.1582474918958994</v>
      </c>
      <c r="AC39" s="2524"/>
      <c r="AD39" s="2524"/>
      <c r="AE39" s="2524"/>
      <c r="AF39" s="2524"/>
    </row>
    <row r="40" spans="1:135" s="3019" customFormat="1">
      <c r="A40" s="3013"/>
      <c r="B40" s="4600"/>
      <c r="C40" s="3099" t="s">
        <v>714</v>
      </c>
      <c r="D40" s="478">
        <f t="shared" ref="D40:AB43" si="12">+D35</f>
        <v>0</v>
      </c>
      <c r="E40" s="479">
        <f t="shared" si="12"/>
        <v>0</v>
      </c>
      <c r="F40" s="479">
        <f t="shared" si="12"/>
        <v>0</v>
      </c>
      <c r="G40" s="479">
        <f t="shared" si="12"/>
        <v>0</v>
      </c>
      <c r="H40" s="1200">
        <f t="shared" si="12"/>
        <v>1.8728973661126815</v>
      </c>
      <c r="I40" s="478">
        <f t="shared" si="12"/>
        <v>3.2775703906971927</v>
      </c>
      <c r="J40" s="479">
        <f t="shared" si="12"/>
        <v>4.3310751591355796</v>
      </c>
      <c r="K40" s="479">
        <f t="shared" si="12"/>
        <v>5.1212037354643627</v>
      </c>
      <c r="L40" s="479">
        <f t="shared" si="12"/>
        <v>5.7138001677109571</v>
      </c>
      <c r="M40" s="425">
        <f t="shared" si="12"/>
        <v>6.1582474918958994</v>
      </c>
      <c r="N40" s="1039">
        <f t="shared" si="12"/>
        <v>6.1582474918958994</v>
      </c>
      <c r="O40" s="479">
        <f t="shared" si="12"/>
        <v>6.1582474918958994</v>
      </c>
      <c r="P40" s="479">
        <f t="shared" si="12"/>
        <v>6.1582474918958994</v>
      </c>
      <c r="Q40" s="479">
        <f t="shared" si="12"/>
        <v>6.1582474918958994</v>
      </c>
      <c r="R40" s="479">
        <f t="shared" si="12"/>
        <v>6.1582474918958994</v>
      </c>
      <c r="S40" s="479">
        <f t="shared" si="12"/>
        <v>6.1582474918958994</v>
      </c>
      <c r="T40" s="479">
        <f t="shared" si="12"/>
        <v>6.1582474918958994</v>
      </c>
      <c r="U40" s="479">
        <f t="shared" si="12"/>
        <v>6.1582474918958994</v>
      </c>
      <c r="V40" s="479">
        <f t="shared" si="12"/>
        <v>6.1582474918958994</v>
      </c>
      <c r="W40" s="479">
        <f t="shared" si="12"/>
        <v>6.1582474918958994</v>
      </c>
      <c r="X40" s="479">
        <f t="shared" si="12"/>
        <v>6.1582474918958994</v>
      </c>
      <c r="Y40" s="479">
        <f t="shared" si="12"/>
        <v>6.1582474918958994</v>
      </c>
      <c r="Z40" s="479">
        <f t="shared" si="12"/>
        <v>6.1582474918958994</v>
      </c>
      <c r="AA40" s="479">
        <f t="shared" si="12"/>
        <v>6.1582474918958994</v>
      </c>
      <c r="AB40" s="1535">
        <f t="shared" si="12"/>
        <v>6.1582474918958994</v>
      </c>
      <c r="AC40" s="2524"/>
      <c r="AD40" s="2524"/>
      <c r="AE40" s="2524"/>
      <c r="AF40" s="2524"/>
    </row>
    <row r="41" spans="1:135" s="3019" customFormat="1">
      <c r="A41" s="3013"/>
      <c r="B41" s="4600"/>
      <c r="C41" s="3100" t="s">
        <v>68</v>
      </c>
      <c r="D41" s="478">
        <f t="shared" si="12"/>
        <v>0</v>
      </c>
      <c r="E41" s="479">
        <f t="shared" si="12"/>
        <v>0</v>
      </c>
      <c r="F41" s="479">
        <f t="shared" si="12"/>
        <v>0</v>
      </c>
      <c r="G41" s="479">
        <f t="shared" si="12"/>
        <v>0</v>
      </c>
      <c r="H41" s="1200">
        <f t="shared" si="12"/>
        <v>0.93644868305634077</v>
      </c>
      <c r="I41" s="478">
        <f t="shared" si="12"/>
        <v>2.5752338784049371</v>
      </c>
      <c r="J41" s="479">
        <f t="shared" si="12"/>
        <v>3.8043227749163862</v>
      </c>
      <c r="K41" s="479">
        <f t="shared" si="12"/>
        <v>4.7261394472999712</v>
      </c>
      <c r="L41" s="479">
        <f t="shared" si="12"/>
        <v>5.4175019515876599</v>
      </c>
      <c r="M41" s="425">
        <f t="shared" si="12"/>
        <v>5.9360238298034282</v>
      </c>
      <c r="N41" s="1039">
        <f t="shared" si="12"/>
        <v>6.1582474918958994</v>
      </c>
      <c r="O41" s="479">
        <f t="shared" si="12"/>
        <v>6.1582474918958994</v>
      </c>
      <c r="P41" s="479">
        <f t="shared" si="12"/>
        <v>6.1582474918958994</v>
      </c>
      <c r="Q41" s="479">
        <f t="shared" si="12"/>
        <v>6.1582474918958994</v>
      </c>
      <c r="R41" s="479">
        <f t="shared" si="12"/>
        <v>6.1582474918958994</v>
      </c>
      <c r="S41" s="479">
        <f t="shared" si="12"/>
        <v>6.1582474918958994</v>
      </c>
      <c r="T41" s="479">
        <f t="shared" si="12"/>
        <v>6.1582474918958994</v>
      </c>
      <c r="U41" s="479">
        <f t="shared" si="12"/>
        <v>6.1582474918958994</v>
      </c>
      <c r="V41" s="479">
        <f t="shared" si="12"/>
        <v>6.1582474918958994</v>
      </c>
      <c r="W41" s="479">
        <f t="shared" si="12"/>
        <v>6.1582474918958994</v>
      </c>
      <c r="X41" s="479">
        <f t="shared" si="12"/>
        <v>6.1582474918958994</v>
      </c>
      <c r="Y41" s="479">
        <f t="shared" si="12"/>
        <v>6.1582474918958994</v>
      </c>
      <c r="Z41" s="479">
        <f t="shared" si="12"/>
        <v>6.1582474918958994</v>
      </c>
      <c r="AA41" s="479">
        <f t="shared" si="12"/>
        <v>6.1582474918958994</v>
      </c>
      <c r="AB41" s="1535">
        <f t="shared" si="12"/>
        <v>6.1582474918958994</v>
      </c>
      <c r="AC41" s="2524"/>
      <c r="AD41" s="2524"/>
      <c r="AE41" s="2524"/>
      <c r="AF41" s="2524"/>
    </row>
    <row r="42" spans="1:135" s="3019" customFormat="1">
      <c r="A42" s="3013"/>
      <c r="B42" s="4600"/>
      <c r="C42" s="3100" t="s">
        <v>69</v>
      </c>
      <c r="D42" s="478">
        <f t="shared" si="12"/>
        <v>0</v>
      </c>
      <c r="E42" s="479">
        <f t="shared" si="12"/>
        <v>0</v>
      </c>
      <c r="F42" s="479">
        <f t="shared" si="12"/>
        <v>0</v>
      </c>
      <c r="G42" s="479">
        <f t="shared" si="12"/>
        <v>0</v>
      </c>
      <c r="H42" s="1200">
        <f t="shared" si="12"/>
        <v>1.8728973661126815</v>
      </c>
      <c r="I42" s="478">
        <f t="shared" si="12"/>
        <v>1.4046730245845112</v>
      </c>
      <c r="J42" s="479">
        <f t="shared" si="12"/>
        <v>1.0535047684383869</v>
      </c>
      <c r="K42" s="479">
        <f t="shared" si="12"/>
        <v>0.79012857632878308</v>
      </c>
      <c r="L42" s="479">
        <f t="shared" si="12"/>
        <v>0.59259643224659442</v>
      </c>
      <c r="M42" s="425">
        <f t="shared" si="12"/>
        <v>0.44444732418494226</v>
      </c>
      <c r="N42" s="1039">
        <f t="shared" si="12"/>
        <v>0</v>
      </c>
      <c r="O42" s="479">
        <f t="shared" si="12"/>
        <v>0</v>
      </c>
      <c r="P42" s="479">
        <f t="shared" si="12"/>
        <v>0</v>
      </c>
      <c r="Q42" s="479">
        <f t="shared" si="12"/>
        <v>0</v>
      </c>
      <c r="R42" s="479">
        <f t="shared" si="12"/>
        <v>0</v>
      </c>
      <c r="S42" s="479">
        <f t="shared" si="12"/>
        <v>0</v>
      </c>
      <c r="T42" s="479">
        <f t="shared" si="12"/>
        <v>0</v>
      </c>
      <c r="U42" s="479">
        <f t="shared" si="12"/>
        <v>0</v>
      </c>
      <c r="V42" s="479">
        <f t="shared" si="12"/>
        <v>0</v>
      </c>
      <c r="W42" s="479">
        <f t="shared" si="12"/>
        <v>0</v>
      </c>
      <c r="X42" s="479">
        <f t="shared" si="12"/>
        <v>0</v>
      </c>
      <c r="Y42" s="479">
        <f t="shared" si="12"/>
        <v>0</v>
      </c>
      <c r="Z42" s="479">
        <f t="shared" si="12"/>
        <v>0</v>
      </c>
      <c r="AA42" s="479">
        <f t="shared" si="12"/>
        <v>0</v>
      </c>
      <c r="AB42" s="1535">
        <f t="shared" si="12"/>
        <v>0</v>
      </c>
      <c r="AC42" s="2524"/>
      <c r="AD42" s="2524"/>
      <c r="AE42" s="2524"/>
      <c r="AF42" s="2524"/>
    </row>
    <row r="43" spans="1:135" s="3019" customFormat="1" ht="13.5" thickBot="1">
      <c r="A43" s="3013"/>
      <c r="B43" s="4601"/>
      <c r="C43" s="3101" t="s">
        <v>58</v>
      </c>
      <c r="D43" s="478">
        <f t="shared" si="12"/>
        <v>0</v>
      </c>
      <c r="E43" s="1536">
        <f t="shared" si="12"/>
        <v>0</v>
      </c>
      <c r="F43" s="1536">
        <f t="shared" si="12"/>
        <v>0</v>
      </c>
      <c r="G43" s="1536">
        <f t="shared" si="12"/>
        <v>0</v>
      </c>
      <c r="H43" s="1537">
        <f t="shared" si="12"/>
        <v>0</v>
      </c>
      <c r="I43" s="3102">
        <f t="shared" si="12"/>
        <v>0</v>
      </c>
      <c r="J43" s="1536">
        <f t="shared" si="12"/>
        <v>0</v>
      </c>
      <c r="K43" s="1536">
        <f t="shared" si="12"/>
        <v>0</v>
      </c>
      <c r="L43" s="1536">
        <f t="shared" si="12"/>
        <v>0</v>
      </c>
      <c r="M43" s="1538">
        <f t="shared" si="12"/>
        <v>0</v>
      </c>
      <c r="N43" s="1539">
        <f t="shared" si="12"/>
        <v>0</v>
      </c>
      <c r="O43" s="1536">
        <f t="shared" si="12"/>
        <v>0</v>
      </c>
      <c r="P43" s="1536">
        <f t="shared" si="12"/>
        <v>0</v>
      </c>
      <c r="Q43" s="1536">
        <f t="shared" si="12"/>
        <v>0</v>
      </c>
      <c r="R43" s="1536">
        <f t="shared" si="12"/>
        <v>0</v>
      </c>
      <c r="S43" s="1536">
        <f t="shared" si="12"/>
        <v>0</v>
      </c>
      <c r="T43" s="1536">
        <f t="shared" si="12"/>
        <v>0</v>
      </c>
      <c r="U43" s="1536">
        <f t="shared" si="12"/>
        <v>0</v>
      </c>
      <c r="V43" s="1536">
        <f t="shared" si="12"/>
        <v>0</v>
      </c>
      <c r="W43" s="1536">
        <f t="shared" si="12"/>
        <v>0</v>
      </c>
      <c r="X43" s="1536">
        <f t="shared" si="12"/>
        <v>0</v>
      </c>
      <c r="Y43" s="1536">
        <f t="shared" si="12"/>
        <v>0</v>
      </c>
      <c r="Z43" s="1536">
        <f t="shared" si="12"/>
        <v>0</v>
      </c>
      <c r="AA43" s="1536">
        <f t="shared" si="12"/>
        <v>0</v>
      </c>
      <c r="AB43" s="1540">
        <f t="shared" si="12"/>
        <v>0</v>
      </c>
      <c r="AC43" s="2524"/>
      <c r="AD43" s="2524"/>
      <c r="AE43" s="2524"/>
      <c r="AF43" s="2524"/>
    </row>
    <row r="44" spans="1:135" ht="47.25" customHeight="1" thickBot="1">
      <c r="D44" s="3020"/>
      <c r="E44" s="3020"/>
      <c r="F44" s="3020"/>
      <c r="G44" s="3020"/>
      <c r="H44" s="3020"/>
      <c r="I44" s="3020"/>
      <c r="J44" s="3020"/>
      <c r="K44" s="3020"/>
      <c r="L44" s="3020"/>
      <c r="M44" s="3020"/>
      <c r="N44" s="3020"/>
      <c r="O44" s="3020"/>
      <c r="P44" s="3020"/>
      <c r="Q44" s="3020"/>
      <c r="R44" s="3020"/>
      <c r="S44" s="3020"/>
      <c r="T44" s="3020"/>
      <c r="U44" s="3020"/>
      <c r="V44" s="3020"/>
      <c r="W44" s="3020"/>
      <c r="X44" s="3020"/>
      <c r="Y44" s="3020"/>
      <c r="Z44" s="3020"/>
      <c r="AA44" s="3020"/>
      <c r="AB44" s="3020"/>
    </row>
    <row r="45" spans="1:135" s="3019" customFormat="1" ht="18.75" customHeight="1" thickBot="1">
      <c r="A45" s="3013"/>
      <c r="B45" s="3087" t="s">
        <v>1649</v>
      </c>
      <c r="C45" s="3088"/>
      <c r="D45" s="3088"/>
      <c r="E45" s="3088"/>
      <c r="F45" s="3088"/>
      <c r="G45" s="3088"/>
      <c r="H45" s="3088"/>
      <c r="I45" s="3088"/>
      <c r="J45" s="3088"/>
      <c r="K45" s="3088"/>
      <c r="L45" s="3088"/>
      <c r="M45" s="3088"/>
      <c r="N45" s="3088"/>
      <c r="O45" s="3088"/>
      <c r="P45" s="3088"/>
      <c r="Q45" s="3088"/>
      <c r="R45" s="3088"/>
      <c r="S45" s="3088"/>
      <c r="T45" s="3088"/>
      <c r="U45" s="3088"/>
      <c r="V45" s="3088"/>
      <c r="W45" s="3088"/>
      <c r="X45" s="3088"/>
      <c r="Y45" s="3088"/>
      <c r="Z45" s="3088"/>
      <c r="AA45" s="3088"/>
      <c r="AB45" s="3089"/>
      <c r="AC45" s="2524"/>
      <c r="AD45" s="2524"/>
      <c r="AE45" s="2524"/>
      <c r="AF45" s="2524"/>
      <c r="DF45" s="2524"/>
      <c r="DG45" s="2524"/>
      <c r="DH45" s="2524"/>
      <c r="DI45" s="2524"/>
      <c r="DJ45" s="2524"/>
      <c r="DK45" s="2524"/>
      <c r="DL45" s="2524"/>
      <c r="DM45" s="2524"/>
      <c r="DN45" s="2524"/>
      <c r="DO45" s="2524"/>
      <c r="DP45" s="2524"/>
      <c r="DQ45" s="2524"/>
      <c r="DR45" s="2524"/>
      <c r="DS45" s="2524"/>
      <c r="DT45" s="2524"/>
      <c r="DU45" s="2524"/>
      <c r="DV45" s="2524"/>
      <c r="DW45" s="2524"/>
      <c r="DX45" s="2524"/>
      <c r="DY45" s="2524"/>
      <c r="DZ45" s="2524"/>
      <c r="EA45" s="2524"/>
      <c r="EB45" s="2524"/>
      <c r="EC45" s="2524"/>
      <c r="ED45" s="2524"/>
      <c r="EE45" s="2524"/>
    </row>
    <row r="46" spans="1:135" s="3019" customFormat="1">
      <c r="A46" s="3013"/>
      <c r="B46" s="4602" t="s">
        <v>713</v>
      </c>
      <c r="C46" s="4603"/>
      <c r="D46" s="3107"/>
      <c r="E46" s="463">
        <f>D47</f>
        <v>0</v>
      </c>
      <c r="F46" s="463">
        <f t="shared" ref="F46:AB46" si="13">E47</f>
        <v>0</v>
      </c>
      <c r="G46" s="463">
        <f>E47</f>
        <v>0</v>
      </c>
      <c r="H46" s="463">
        <f>F47</f>
        <v>0</v>
      </c>
      <c r="I46" s="463">
        <f t="shared" si="13"/>
        <v>0</v>
      </c>
      <c r="J46" s="463">
        <f t="shared" si="13"/>
        <v>0</v>
      </c>
      <c r="K46" s="463">
        <f t="shared" si="13"/>
        <v>0</v>
      </c>
      <c r="L46" s="463">
        <f t="shared" si="13"/>
        <v>0</v>
      </c>
      <c r="M46" s="464">
        <f t="shared" si="13"/>
        <v>0</v>
      </c>
      <c r="N46" s="513">
        <f t="shared" si="13"/>
        <v>0</v>
      </c>
      <c r="O46" s="463">
        <f t="shared" si="13"/>
        <v>0</v>
      </c>
      <c r="P46" s="463">
        <f t="shared" si="13"/>
        <v>0</v>
      </c>
      <c r="Q46" s="463">
        <f t="shared" si="13"/>
        <v>0</v>
      </c>
      <c r="R46" s="463">
        <f t="shared" si="13"/>
        <v>0</v>
      </c>
      <c r="S46" s="463">
        <f t="shared" si="13"/>
        <v>0</v>
      </c>
      <c r="T46" s="463">
        <f t="shared" si="13"/>
        <v>0</v>
      </c>
      <c r="U46" s="463">
        <f t="shared" si="13"/>
        <v>0</v>
      </c>
      <c r="V46" s="463">
        <f t="shared" si="13"/>
        <v>0</v>
      </c>
      <c r="W46" s="463">
        <f t="shared" si="13"/>
        <v>0</v>
      </c>
      <c r="X46" s="463">
        <f t="shared" si="13"/>
        <v>0</v>
      </c>
      <c r="Y46" s="463">
        <f t="shared" si="13"/>
        <v>0</v>
      </c>
      <c r="Z46" s="463">
        <f t="shared" si="13"/>
        <v>0</v>
      </c>
      <c r="AA46" s="463">
        <f t="shared" si="13"/>
        <v>0</v>
      </c>
      <c r="AB46" s="464">
        <f t="shared" si="13"/>
        <v>0</v>
      </c>
      <c r="AC46" s="2524"/>
      <c r="AD46" s="2524"/>
      <c r="AE46" s="2524"/>
      <c r="AF46" s="2524"/>
    </row>
    <row r="47" spans="1:135" s="3019" customFormat="1">
      <c r="A47" s="3013"/>
      <c r="B47" s="4595" t="s">
        <v>714</v>
      </c>
      <c r="C47" s="4596"/>
      <c r="D47" s="3063"/>
      <c r="E47" s="3064"/>
      <c r="F47" s="3064"/>
      <c r="G47" s="3064"/>
      <c r="H47" s="3064"/>
      <c r="I47" s="3063"/>
      <c r="J47" s="3064"/>
      <c r="K47" s="3064"/>
      <c r="L47" s="3064"/>
      <c r="M47" s="3030"/>
      <c r="N47" s="3065"/>
      <c r="O47" s="3064"/>
      <c r="P47" s="3064"/>
      <c r="Q47" s="3064"/>
      <c r="R47" s="3064"/>
      <c r="S47" s="3064"/>
      <c r="T47" s="3064"/>
      <c r="U47" s="3064"/>
      <c r="V47" s="3064"/>
      <c r="W47" s="3064"/>
      <c r="X47" s="3064"/>
      <c r="Y47" s="3064"/>
      <c r="Z47" s="3064"/>
      <c r="AA47" s="3064"/>
      <c r="AB47" s="3030"/>
      <c r="AC47" s="2524"/>
      <c r="AD47" s="2524"/>
      <c r="AE47" s="2524"/>
      <c r="AF47" s="2524"/>
    </row>
    <row r="48" spans="1:135" s="3019" customFormat="1">
      <c r="A48" s="3013"/>
      <c r="B48" s="4595" t="s">
        <v>68</v>
      </c>
      <c r="C48" s="4596"/>
      <c r="D48" s="462">
        <f t="shared" ref="D48:AB48" si="14">IF(ISERROR(AVERAGE(D46:D47)),0,AVERAGE(D46:D47))</f>
        <v>0</v>
      </c>
      <c r="E48" s="463">
        <f t="shared" si="14"/>
        <v>0</v>
      </c>
      <c r="F48" s="463">
        <f t="shared" si="14"/>
        <v>0</v>
      </c>
      <c r="G48" s="463">
        <f t="shared" si="14"/>
        <v>0</v>
      </c>
      <c r="H48" s="463">
        <f t="shared" si="14"/>
        <v>0</v>
      </c>
      <c r="I48" s="462">
        <f t="shared" si="14"/>
        <v>0</v>
      </c>
      <c r="J48" s="463">
        <f t="shared" si="14"/>
        <v>0</v>
      </c>
      <c r="K48" s="463">
        <f t="shared" si="14"/>
        <v>0</v>
      </c>
      <c r="L48" s="463">
        <f t="shared" si="14"/>
        <v>0</v>
      </c>
      <c r="M48" s="464">
        <f t="shared" si="14"/>
        <v>0</v>
      </c>
      <c r="N48" s="513">
        <f t="shared" si="14"/>
        <v>0</v>
      </c>
      <c r="O48" s="463">
        <f t="shared" si="14"/>
        <v>0</v>
      </c>
      <c r="P48" s="463">
        <f t="shared" si="14"/>
        <v>0</v>
      </c>
      <c r="Q48" s="463">
        <f t="shared" si="14"/>
        <v>0</v>
      </c>
      <c r="R48" s="463">
        <f t="shared" si="14"/>
        <v>0</v>
      </c>
      <c r="S48" s="463">
        <f t="shared" si="14"/>
        <v>0</v>
      </c>
      <c r="T48" s="463">
        <f t="shared" si="14"/>
        <v>0</v>
      </c>
      <c r="U48" s="463">
        <f t="shared" si="14"/>
        <v>0</v>
      </c>
      <c r="V48" s="463">
        <f t="shared" si="14"/>
        <v>0</v>
      </c>
      <c r="W48" s="463">
        <f t="shared" si="14"/>
        <v>0</v>
      </c>
      <c r="X48" s="463">
        <f t="shared" si="14"/>
        <v>0</v>
      </c>
      <c r="Y48" s="463">
        <f t="shared" si="14"/>
        <v>0</v>
      </c>
      <c r="Z48" s="463">
        <f t="shared" si="14"/>
        <v>0</v>
      </c>
      <c r="AA48" s="463">
        <f t="shared" si="14"/>
        <v>0</v>
      </c>
      <c r="AB48" s="464">
        <f t="shared" si="14"/>
        <v>0</v>
      </c>
      <c r="AC48" s="2524"/>
      <c r="AD48" s="2524"/>
      <c r="AE48" s="2524"/>
      <c r="AF48" s="2524"/>
    </row>
    <row r="49" spans="1:32" s="3019" customFormat="1">
      <c r="A49" s="3013"/>
      <c r="B49" s="4595" t="s">
        <v>69</v>
      </c>
      <c r="C49" s="4596"/>
      <c r="D49" s="3063"/>
      <c r="E49" s="3064"/>
      <c r="F49" s="3064"/>
      <c r="G49" s="3064"/>
      <c r="H49" s="3064"/>
      <c r="I49" s="3063"/>
      <c r="J49" s="3064"/>
      <c r="K49" s="3064"/>
      <c r="L49" s="3064"/>
      <c r="M49" s="3030"/>
      <c r="N49" s="3065"/>
      <c r="O49" s="3064"/>
      <c r="P49" s="3064"/>
      <c r="Q49" s="3064"/>
      <c r="R49" s="3064"/>
      <c r="S49" s="3064"/>
      <c r="T49" s="3064"/>
      <c r="U49" s="3064"/>
      <c r="V49" s="3064"/>
      <c r="W49" s="3064"/>
      <c r="X49" s="3064"/>
      <c r="Y49" s="3064"/>
      <c r="Z49" s="3064"/>
      <c r="AA49" s="3064"/>
      <c r="AB49" s="3030"/>
      <c r="AC49" s="2524"/>
      <c r="AD49" s="2524"/>
      <c r="AE49" s="2524"/>
      <c r="AF49" s="2524"/>
    </row>
    <row r="50" spans="1:32" s="3019" customFormat="1" ht="13.5" thickBot="1">
      <c r="A50" s="3013"/>
      <c r="B50" s="4597" t="s">
        <v>58</v>
      </c>
      <c r="C50" s="4598"/>
      <c r="D50" s="3068"/>
      <c r="E50" s="3069"/>
      <c r="F50" s="3069"/>
      <c r="G50" s="3069"/>
      <c r="H50" s="3069"/>
      <c r="I50" s="3068"/>
      <c r="J50" s="3069"/>
      <c r="K50" s="3069"/>
      <c r="L50" s="3069"/>
      <c r="M50" s="3070"/>
      <c r="N50" s="3071"/>
      <c r="O50" s="3069"/>
      <c r="P50" s="3069"/>
      <c r="Q50" s="3069"/>
      <c r="R50" s="3069"/>
      <c r="S50" s="3069"/>
      <c r="T50" s="3069"/>
      <c r="U50" s="3069"/>
      <c r="V50" s="3069"/>
      <c r="W50" s="3069"/>
      <c r="X50" s="3069"/>
      <c r="Y50" s="3069"/>
      <c r="Z50" s="3069"/>
      <c r="AA50" s="3069"/>
      <c r="AB50" s="3070"/>
      <c r="AC50" s="2524"/>
      <c r="AD50" s="2524"/>
      <c r="AE50" s="2524"/>
      <c r="AF50" s="2524"/>
    </row>
    <row r="51" spans="1:32" ht="44.25" customHeight="1" thickBot="1">
      <c r="A51" s="2771"/>
      <c r="B51" s="3108"/>
      <c r="C51" s="3109" t="s">
        <v>121</v>
      </c>
      <c r="D51" s="3110"/>
      <c r="E51" s="3111"/>
      <c r="F51" s="3111"/>
      <c r="G51" s="3111"/>
      <c r="H51" s="3111"/>
      <c r="I51" s="3111"/>
      <c r="J51" s="3111"/>
      <c r="K51" s="3111"/>
      <c r="L51" s="3111"/>
      <c r="M51" s="3111"/>
      <c r="N51" s="3111"/>
      <c r="O51" s="3111"/>
      <c r="P51" s="3111"/>
      <c r="Q51" s="3111"/>
      <c r="R51" s="3111"/>
      <c r="S51" s="3111"/>
      <c r="T51" s="3111"/>
      <c r="U51" s="3111"/>
      <c r="V51" s="3111"/>
      <c r="W51" s="3111"/>
      <c r="X51" s="3111"/>
      <c r="Y51" s="3111"/>
      <c r="Z51" s="3111"/>
      <c r="AA51" s="3111"/>
      <c r="AB51" s="3112"/>
    </row>
  </sheetData>
  <mergeCells count="20">
    <mergeCell ref="B49:C49"/>
    <mergeCell ref="B50:C50"/>
    <mergeCell ref="B28:B32"/>
    <mergeCell ref="B34:B38"/>
    <mergeCell ref="B39:B43"/>
    <mergeCell ref="B46:C46"/>
    <mergeCell ref="B47:C47"/>
    <mergeCell ref="B48:C48"/>
    <mergeCell ref="I17:M17"/>
    <mergeCell ref="N17:AB17"/>
    <mergeCell ref="D18:AB18"/>
    <mergeCell ref="D19:F19"/>
    <mergeCell ref="G19:AB19"/>
    <mergeCell ref="B23:B27"/>
    <mergeCell ref="B7:G7"/>
    <mergeCell ref="B8:G8"/>
    <mergeCell ref="B9:G9"/>
    <mergeCell ref="B10:G10"/>
    <mergeCell ref="B17:C20"/>
    <mergeCell ref="D17:H17"/>
  </mergeCells>
  <pageMargins left="0.75" right="0.75" top="1" bottom="1" header="0.5" footer="0.5"/>
  <pageSetup paperSize="9" orientation="portrait" r:id="rId1"/>
  <headerFooter alignWithMargins="0"/>
  <customProperties>
    <customPr name="_pios_id" r:id="rId2"/>
  </customProperties>
  <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EE51"/>
  <sheetViews>
    <sheetView showGridLines="0" topLeftCell="A6" zoomScale="70" zoomScaleNormal="70" workbookViewId="0">
      <selection activeCell="J44" sqref="J44"/>
    </sheetView>
  </sheetViews>
  <sheetFormatPr defaultRowHeight="12.75"/>
  <cols>
    <col min="1" max="1" width="14.140625" style="2524" customWidth="1"/>
    <col min="2" max="2" width="54.5703125" style="2524" customWidth="1"/>
    <col min="3" max="3" width="57.7109375" style="2524" customWidth="1"/>
    <col min="4" max="27" width="12.7109375" style="2524" customWidth="1"/>
    <col min="28" max="256" width="9.140625" style="2524"/>
    <col min="257" max="257" width="14.140625" style="2524" customWidth="1"/>
    <col min="258" max="258" width="66.28515625" style="2524" bestFit="1" customWidth="1"/>
    <col min="259" max="259" width="10" style="2524" bestFit="1" customWidth="1"/>
    <col min="260" max="261" width="8.5703125" style="2524" bestFit="1" customWidth="1"/>
    <col min="262" max="262" width="17.42578125" style="2524" bestFit="1" customWidth="1"/>
    <col min="263" max="263" width="17.28515625" style="2524" bestFit="1" customWidth="1"/>
    <col min="264" max="265" width="10.7109375" style="2524" customWidth="1"/>
    <col min="266" max="267" width="10.7109375" style="2524" bestFit="1" customWidth="1"/>
    <col min="268" max="268" width="10.7109375" style="2524" customWidth="1"/>
    <col min="269" max="271" width="10.7109375" style="2524" bestFit="1" customWidth="1"/>
    <col min="272" max="273" width="10.7109375" style="2524" customWidth="1"/>
    <col min="274" max="275" width="10.7109375" style="2524" bestFit="1" customWidth="1"/>
    <col min="276" max="512" width="9.140625" style="2524"/>
    <col min="513" max="513" width="14.140625" style="2524" customWidth="1"/>
    <col min="514" max="514" width="66.28515625" style="2524" bestFit="1" customWidth="1"/>
    <col min="515" max="515" width="10" style="2524" bestFit="1" customWidth="1"/>
    <col min="516" max="517" width="8.5703125" style="2524" bestFit="1" customWidth="1"/>
    <col min="518" max="518" width="17.42578125" style="2524" bestFit="1" customWidth="1"/>
    <col min="519" max="519" width="17.28515625" style="2524" bestFit="1" customWidth="1"/>
    <col min="520" max="521" width="10.7109375" style="2524" customWidth="1"/>
    <col min="522" max="523" width="10.7109375" style="2524" bestFit="1" customWidth="1"/>
    <col min="524" max="524" width="10.7109375" style="2524" customWidth="1"/>
    <col min="525" max="527" width="10.7109375" style="2524" bestFit="1" customWidth="1"/>
    <col min="528" max="529" width="10.7109375" style="2524" customWidth="1"/>
    <col min="530" max="531" width="10.7109375" style="2524" bestFit="1" customWidth="1"/>
    <col min="532" max="768" width="9.140625" style="2524"/>
    <col min="769" max="769" width="14.140625" style="2524" customWidth="1"/>
    <col min="770" max="770" width="66.28515625" style="2524" bestFit="1" customWidth="1"/>
    <col min="771" max="771" width="10" style="2524" bestFit="1" customWidth="1"/>
    <col min="772" max="773" width="8.5703125" style="2524" bestFit="1" customWidth="1"/>
    <col min="774" max="774" width="17.42578125" style="2524" bestFit="1" customWidth="1"/>
    <col min="775" max="775" width="17.28515625" style="2524" bestFit="1" customWidth="1"/>
    <col min="776" max="777" width="10.7109375" style="2524" customWidth="1"/>
    <col min="778" max="779" width="10.7109375" style="2524" bestFit="1" customWidth="1"/>
    <col min="780" max="780" width="10.7109375" style="2524" customWidth="1"/>
    <col min="781" max="783" width="10.7109375" style="2524" bestFit="1" customWidth="1"/>
    <col min="784" max="785" width="10.7109375" style="2524" customWidth="1"/>
    <col min="786" max="787" width="10.7109375" style="2524" bestFit="1" customWidth="1"/>
    <col min="788" max="1024" width="9.140625" style="2524"/>
    <col min="1025" max="1025" width="14.140625" style="2524" customWidth="1"/>
    <col min="1026" max="1026" width="66.28515625" style="2524" bestFit="1" customWidth="1"/>
    <col min="1027" max="1027" width="10" style="2524" bestFit="1" customWidth="1"/>
    <col min="1028" max="1029" width="8.5703125" style="2524" bestFit="1" customWidth="1"/>
    <col min="1030" max="1030" width="17.42578125" style="2524" bestFit="1" customWidth="1"/>
    <col min="1031" max="1031" width="17.28515625" style="2524" bestFit="1" customWidth="1"/>
    <col min="1032" max="1033" width="10.7109375" style="2524" customWidth="1"/>
    <col min="1034" max="1035" width="10.7109375" style="2524" bestFit="1" customWidth="1"/>
    <col min="1036" max="1036" width="10.7109375" style="2524" customWidth="1"/>
    <col min="1037" max="1039" width="10.7109375" style="2524" bestFit="1" customWidth="1"/>
    <col min="1040" max="1041" width="10.7109375" style="2524" customWidth="1"/>
    <col min="1042" max="1043" width="10.7109375" style="2524" bestFit="1" customWidth="1"/>
    <col min="1044" max="1280" width="9.140625" style="2524"/>
    <col min="1281" max="1281" width="14.140625" style="2524" customWidth="1"/>
    <col min="1282" max="1282" width="66.28515625" style="2524" bestFit="1" customWidth="1"/>
    <col min="1283" max="1283" width="10" style="2524" bestFit="1" customWidth="1"/>
    <col min="1284" max="1285" width="8.5703125" style="2524" bestFit="1" customWidth="1"/>
    <col min="1286" max="1286" width="17.42578125" style="2524" bestFit="1" customWidth="1"/>
    <col min="1287" max="1287" width="17.28515625" style="2524" bestFit="1" customWidth="1"/>
    <col min="1288" max="1289" width="10.7109375" style="2524" customWidth="1"/>
    <col min="1290" max="1291" width="10.7109375" style="2524" bestFit="1" customWidth="1"/>
    <col min="1292" max="1292" width="10.7109375" style="2524" customWidth="1"/>
    <col min="1293" max="1295" width="10.7109375" style="2524" bestFit="1" customWidth="1"/>
    <col min="1296" max="1297" width="10.7109375" style="2524" customWidth="1"/>
    <col min="1298" max="1299" width="10.7109375" style="2524" bestFit="1" customWidth="1"/>
    <col min="1300" max="1536" width="9.140625" style="2524"/>
    <col min="1537" max="1537" width="14.140625" style="2524" customWidth="1"/>
    <col min="1538" max="1538" width="66.28515625" style="2524" bestFit="1" customWidth="1"/>
    <col min="1539" max="1539" width="10" style="2524" bestFit="1" customWidth="1"/>
    <col min="1540" max="1541" width="8.5703125" style="2524" bestFit="1" customWidth="1"/>
    <col min="1542" max="1542" width="17.42578125" style="2524" bestFit="1" customWidth="1"/>
    <col min="1543" max="1543" width="17.28515625" style="2524" bestFit="1" customWidth="1"/>
    <col min="1544" max="1545" width="10.7109375" style="2524" customWidth="1"/>
    <col min="1546" max="1547" width="10.7109375" style="2524" bestFit="1" customWidth="1"/>
    <col min="1548" max="1548" width="10.7109375" style="2524" customWidth="1"/>
    <col min="1549" max="1551" width="10.7109375" style="2524" bestFit="1" customWidth="1"/>
    <col min="1552" max="1553" width="10.7109375" style="2524" customWidth="1"/>
    <col min="1554" max="1555" width="10.7109375" style="2524" bestFit="1" customWidth="1"/>
    <col min="1556" max="1792" width="9.140625" style="2524"/>
    <col min="1793" max="1793" width="14.140625" style="2524" customWidth="1"/>
    <col min="1794" max="1794" width="66.28515625" style="2524" bestFit="1" customWidth="1"/>
    <col min="1795" max="1795" width="10" style="2524" bestFit="1" customWidth="1"/>
    <col min="1796" max="1797" width="8.5703125" style="2524" bestFit="1" customWidth="1"/>
    <col min="1798" max="1798" width="17.42578125" style="2524" bestFit="1" customWidth="1"/>
    <col min="1799" max="1799" width="17.28515625" style="2524" bestFit="1" customWidth="1"/>
    <col min="1800" max="1801" width="10.7109375" style="2524" customWidth="1"/>
    <col min="1802" max="1803" width="10.7109375" style="2524" bestFit="1" customWidth="1"/>
    <col min="1804" max="1804" width="10.7109375" style="2524" customWidth="1"/>
    <col min="1805" max="1807" width="10.7109375" style="2524" bestFit="1" customWidth="1"/>
    <col min="1808" max="1809" width="10.7109375" style="2524" customWidth="1"/>
    <col min="1810" max="1811" width="10.7109375" style="2524" bestFit="1" customWidth="1"/>
    <col min="1812" max="2048" width="9.140625" style="2524"/>
    <col min="2049" max="2049" width="14.140625" style="2524" customWidth="1"/>
    <col min="2050" max="2050" width="66.28515625" style="2524" bestFit="1" customWidth="1"/>
    <col min="2051" max="2051" width="10" style="2524" bestFit="1" customWidth="1"/>
    <col min="2052" max="2053" width="8.5703125" style="2524" bestFit="1" customWidth="1"/>
    <col min="2054" max="2054" width="17.42578125" style="2524" bestFit="1" customWidth="1"/>
    <col min="2055" max="2055" width="17.28515625" style="2524" bestFit="1" customWidth="1"/>
    <col min="2056" max="2057" width="10.7109375" style="2524" customWidth="1"/>
    <col min="2058" max="2059" width="10.7109375" style="2524" bestFit="1" customWidth="1"/>
    <col min="2060" max="2060" width="10.7109375" style="2524" customWidth="1"/>
    <col min="2061" max="2063" width="10.7109375" style="2524" bestFit="1" customWidth="1"/>
    <col min="2064" max="2065" width="10.7109375" style="2524" customWidth="1"/>
    <col min="2066" max="2067" width="10.7109375" style="2524" bestFit="1" customWidth="1"/>
    <col min="2068" max="2304" width="9.140625" style="2524"/>
    <col min="2305" max="2305" width="14.140625" style="2524" customWidth="1"/>
    <col min="2306" max="2306" width="66.28515625" style="2524" bestFit="1" customWidth="1"/>
    <col min="2307" max="2307" width="10" style="2524" bestFit="1" customWidth="1"/>
    <col min="2308" max="2309" width="8.5703125" style="2524" bestFit="1" customWidth="1"/>
    <col min="2310" max="2310" width="17.42578125" style="2524" bestFit="1" customWidth="1"/>
    <col min="2311" max="2311" width="17.28515625" style="2524" bestFit="1" customWidth="1"/>
    <col min="2312" max="2313" width="10.7109375" style="2524" customWidth="1"/>
    <col min="2314" max="2315" width="10.7109375" style="2524" bestFit="1" customWidth="1"/>
    <col min="2316" max="2316" width="10.7109375" style="2524" customWidth="1"/>
    <col min="2317" max="2319" width="10.7109375" style="2524" bestFit="1" customWidth="1"/>
    <col min="2320" max="2321" width="10.7109375" style="2524" customWidth="1"/>
    <col min="2322" max="2323" width="10.7109375" style="2524" bestFit="1" customWidth="1"/>
    <col min="2324" max="2560" width="9.140625" style="2524"/>
    <col min="2561" max="2561" width="14.140625" style="2524" customWidth="1"/>
    <col min="2562" max="2562" width="66.28515625" style="2524" bestFit="1" customWidth="1"/>
    <col min="2563" max="2563" width="10" style="2524" bestFit="1" customWidth="1"/>
    <col min="2564" max="2565" width="8.5703125" style="2524" bestFit="1" customWidth="1"/>
    <col min="2566" max="2566" width="17.42578125" style="2524" bestFit="1" customWidth="1"/>
    <col min="2567" max="2567" width="17.28515625" style="2524" bestFit="1" customWidth="1"/>
    <col min="2568" max="2569" width="10.7109375" style="2524" customWidth="1"/>
    <col min="2570" max="2571" width="10.7109375" style="2524" bestFit="1" customWidth="1"/>
    <col min="2572" max="2572" width="10.7109375" style="2524" customWidth="1"/>
    <col min="2573" max="2575" width="10.7109375" style="2524" bestFit="1" customWidth="1"/>
    <col min="2576" max="2577" width="10.7109375" style="2524" customWidth="1"/>
    <col min="2578" max="2579" width="10.7109375" style="2524" bestFit="1" customWidth="1"/>
    <col min="2580" max="2816" width="9.140625" style="2524"/>
    <col min="2817" max="2817" width="14.140625" style="2524" customWidth="1"/>
    <col min="2818" max="2818" width="66.28515625" style="2524" bestFit="1" customWidth="1"/>
    <col min="2819" max="2819" width="10" style="2524" bestFit="1" customWidth="1"/>
    <col min="2820" max="2821" width="8.5703125" style="2524" bestFit="1" customWidth="1"/>
    <col min="2822" max="2822" width="17.42578125" style="2524" bestFit="1" customWidth="1"/>
    <col min="2823" max="2823" width="17.28515625" style="2524" bestFit="1" customWidth="1"/>
    <col min="2824" max="2825" width="10.7109375" style="2524" customWidth="1"/>
    <col min="2826" max="2827" width="10.7109375" style="2524" bestFit="1" customWidth="1"/>
    <col min="2828" max="2828" width="10.7109375" style="2524" customWidth="1"/>
    <col min="2829" max="2831" width="10.7109375" style="2524" bestFit="1" customWidth="1"/>
    <col min="2832" max="2833" width="10.7109375" style="2524" customWidth="1"/>
    <col min="2834" max="2835" width="10.7109375" style="2524" bestFit="1" customWidth="1"/>
    <col min="2836" max="3072" width="9.140625" style="2524"/>
    <col min="3073" max="3073" width="14.140625" style="2524" customWidth="1"/>
    <col min="3074" max="3074" width="66.28515625" style="2524" bestFit="1" customWidth="1"/>
    <col min="3075" max="3075" width="10" style="2524" bestFit="1" customWidth="1"/>
    <col min="3076" max="3077" width="8.5703125" style="2524" bestFit="1" customWidth="1"/>
    <col min="3078" max="3078" width="17.42578125" style="2524" bestFit="1" customWidth="1"/>
    <col min="3079" max="3079" width="17.28515625" style="2524" bestFit="1" customWidth="1"/>
    <col min="3080" max="3081" width="10.7109375" style="2524" customWidth="1"/>
    <col min="3082" max="3083" width="10.7109375" style="2524" bestFit="1" customWidth="1"/>
    <col min="3084" max="3084" width="10.7109375" style="2524" customWidth="1"/>
    <col min="3085" max="3087" width="10.7109375" style="2524" bestFit="1" customWidth="1"/>
    <col min="3088" max="3089" width="10.7109375" style="2524" customWidth="1"/>
    <col min="3090" max="3091" width="10.7109375" style="2524" bestFit="1" customWidth="1"/>
    <col min="3092" max="3328" width="9.140625" style="2524"/>
    <col min="3329" max="3329" width="14.140625" style="2524" customWidth="1"/>
    <col min="3330" max="3330" width="66.28515625" style="2524" bestFit="1" customWidth="1"/>
    <col min="3331" max="3331" width="10" style="2524" bestFit="1" customWidth="1"/>
    <col min="3332" max="3333" width="8.5703125" style="2524" bestFit="1" customWidth="1"/>
    <col min="3334" max="3334" width="17.42578125" style="2524" bestFit="1" customWidth="1"/>
    <col min="3335" max="3335" width="17.28515625" style="2524" bestFit="1" customWidth="1"/>
    <col min="3336" max="3337" width="10.7109375" style="2524" customWidth="1"/>
    <col min="3338" max="3339" width="10.7109375" style="2524" bestFit="1" customWidth="1"/>
    <col min="3340" max="3340" width="10.7109375" style="2524" customWidth="1"/>
    <col min="3341" max="3343" width="10.7109375" style="2524" bestFit="1" customWidth="1"/>
    <col min="3344" max="3345" width="10.7109375" style="2524" customWidth="1"/>
    <col min="3346" max="3347" width="10.7109375" style="2524" bestFit="1" customWidth="1"/>
    <col min="3348" max="3584" width="9.140625" style="2524"/>
    <col min="3585" max="3585" width="14.140625" style="2524" customWidth="1"/>
    <col min="3586" max="3586" width="66.28515625" style="2524" bestFit="1" customWidth="1"/>
    <col min="3587" max="3587" width="10" style="2524" bestFit="1" customWidth="1"/>
    <col min="3588" max="3589" width="8.5703125" style="2524" bestFit="1" customWidth="1"/>
    <col min="3590" max="3590" width="17.42578125" style="2524" bestFit="1" customWidth="1"/>
    <col min="3591" max="3591" width="17.28515625" style="2524" bestFit="1" customWidth="1"/>
    <col min="3592" max="3593" width="10.7109375" style="2524" customWidth="1"/>
    <col min="3594" max="3595" width="10.7109375" style="2524" bestFit="1" customWidth="1"/>
    <col min="3596" max="3596" width="10.7109375" style="2524" customWidth="1"/>
    <col min="3597" max="3599" width="10.7109375" style="2524" bestFit="1" customWidth="1"/>
    <col min="3600" max="3601" width="10.7109375" style="2524" customWidth="1"/>
    <col min="3602" max="3603" width="10.7109375" style="2524" bestFit="1" customWidth="1"/>
    <col min="3604" max="3840" width="9.140625" style="2524"/>
    <col min="3841" max="3841" width="14.140625" style="2524" customWidth="1"/>
    <col min="3842" max="3842" width="66.28515625" style="2524" bestFit="1" customWidth="1"/>
    <col min="3843" max="3843" width="10" style="2524" bestFit="1" customWidth="1"/>
    <col min="3844" max="3845" width="8.5703125" style="2524" bestFit="1" customWidth="1"/>
    <col min="3846" max="3846" width="17.42578125" style="2524" bestFit="1" customWidth="1"/>
    <col min="3847" max="3847" width="17.28515625" style="2524" bestFit="1" customWidth="1"/>
    <col min="3848" max="3849" width="10.7109375" style="2524" customWidth="1"/>
    <col min="3850" max="3851" width="10.7109375" style="2524" bestFit="1" customWidth="1"/>
    <col min="3852" max="3852" width="10.7109375" style="2524" customWidth="1"/>
    <col min="3853" max="3855" width="10.7109375" style="2524" bestFit="1" customWidth="1"/>
    <col min="3856" max="3857" width="10.7109375" style="2524" customWidth="1"/>
    <col min="3858" max="3859" width="10.7109375" style="2524" bestFit="1" customWidth="1"/>
    <col min="3860" max="4096" width="9.140625" style="2524"/>
    <col min="4097" max="4097" width="14.140625" style="2524" customWidth="1"/>
    <col min="4098" max="4098" width="66.28515625" style="2524" bestFit="1" customWidth="1"/>
    <col min="4099" max="4099" width="10" style="2524" bestFit="1" customWidth="1"/>
    <col min="4100" max="4101" width="8.5703125" style="2524" bestFit="1" customWidth="1"/>
    <col min="4102" max="4102" width="17.42578125" style="2524" bestFit="1" customWidth="1"/>
    <col min="4103" max="4103" width="17.28515625" style="2524" bestFit="1" customWidth="1"/>
    <col min="4104" max="4105" width="10.7109375" style="2524" customWidth="1"/>
    <col min="4106" max="4107" width="10.7109375" style="2524" bestFit="1" customWidth="1"/>
    <col min="4108" max="4108" width="10.7109375" style="2524" customWidth="1"/>
    <col min="4109" max="4111" width="10.7109375" style="2524" bestFit="1" customWidth="1"/>
    <col min="4112" max="4113" width="10.7109375" style="2524" customWidth="1"/>
    <col min="4114" max="4115" width="10.7109375" style="2524" bestFit="1" customWidth="1"/>
    <col min="4116" max="4352" width="9.140625" style="2524"/>
    <col min="4353" max="4353" width="14.140625" style="2524" customWidth="1"/>
    <col min="4354" max="4354" width="66.28515625" style="2524" bestFit="1" customWidth="1"/>
    <col min="4355" max="4355" width="10" style="2524" bestFit="1" customWidth="1"/>
    <col min="4356" max="4357" width="8.5703125" style="2524" bestFit="1" customWidth="1"/>
    <col min="4358" max="4358" width="17.42578125" style="2524" bestFit="1" customWidth="1"/>
    <col min="4359" max="4359" width="17.28515625" style="2524" bestFit="1" customWidth="1"/>
    <col min="4360" max="4361" width="10.7109375" style="2524" customWidth="1"/>
    <col min="4362" max="4363" width="10.7109375" style="2524" bestFit="1" customWidth="1"/>
    <col min="4364" max="4364" width="10.7109375" style="2524" customWidth="1"/>
    <col min="4365" max="4367" width="10.7109375" style="2524" bestFit="1" customWidth="1"/>
    <col min="4368" max="4369" width="10.7109375" style="2524" customWidth="1"/>
    <col min="4370" max="4371" width="10.7109375" style="2524" bestFit="1" customWidth="1"/>
    <col min="4372" max="4608" width="9.140625" style="2524"/>
    <col min="4609" max="4609" width="14.140625" style="2524" customWidth="1"/>
    <col min="4610" max="4610" width="66.28515625" style="2524" bestFit="1" customWidth="1"/>
    <col min="4611" max="4611" width="10" style="2524" bestFit="1" customWidth="1"/>
    <col min="4612" max="4613" width="8.5703125" style="2524" bestFit="1" customWidth="1"/>
    <col min="4614" max="4614" width="17.42578125" style="2524" bestFit="1" customWidth="1"/>
    <col min="4615" max="4615" width="17.28515625" style="2524" bestFit="1" customWidth="1"/>
    <col min="4616" max="4617" width="10.7109375" style="2524" customWidth="1"/>
    <col min="4618" max="4619" width="10.7109375" style="2524" bestFit="1" customWidth="1"/>
    <col min="4620" max="4620" width="10.7109375" style="2524" customWidth="1"/>
    <col min="4621" max="4623" width="10.7109375" style="2524" bestFit="1" customWidth="1"/>
    <col min="4624" max="4625" width="10.7109375" style="2524" customWidth="1"/>
    <col min="4626" max="4627" width="10.7109375" style="2524" bestFit="1" customWidth="1"/>
    <col min="4628" max="4864" width="9.140625" style="2524"/>
    <col min="4865" max="4865" width="14.140625" style="2524" customWidth="1"/>
    <col min="4866" max="4866" width="66.28515625" style="2524" bestFit="1" customWidth="1"/>
    <col min="4867" max="4867" width="10" style="2524" bestFit="1" customWidth="1"/>
    <col min="4868" max="4869" width="8.5703125" style="2524" bestFit="1" customWidth="1"/>
    <col min="4870" max="4870" width="17.42578125" style="2524" bestFit="1" customWidth="1"/>
    <col min="4871" max="4871" width="17.28515625" style="2524" bestFit="1" customWidth="1"/>
    <col min="4872" max="4873" width="10.7109375" style="2524" customWidth="1"/>
    <col min="4874" max="4875" width="10.7109375" style="2524" bestFit="1" customWidth="1"/>
    <col min="4876" max="4876" width="10.7109375" style="2524" customWidth="1"/>
    <col min="4877" max="4879" width="10.7109375" style="2524" bestFit="1" customWidth="1"/>
    <col min="4880" max="4881" width="10.7109375" style="2524" customWidth="1"/>
    <col min="4882" max="4883" width="10.7109375" style="2524" bestFit="1" customWidth="1"/>
    <col min="4884" max="5120" width="9.140625" style="2524"/>
    <col min="5121" max="5121" width="14.140625" style="2524" customWidth="1"/>
    <col min="5122" max="5122" width="66.28515625" style="2524" bestFit="1" customWidth="1"/>
    <col min="5123" max="5123" width="10" style="2524" bestFit="1" customWidth="1"/>
    <col min="5124" max="5125" width="8.5703125" style="2524" bestFit="1" customWidth="1"/>
    <col min="5126" max="5126" width="17.42578125" style="2524" bestFit="1" customWidth="1"/>
    <col min="5127" max="5127" width="17.28515625" style="2524" bestFit="1" customWidth="1"/>
    <col min="5128" max="5129" width="10.7109375" style="2524" customWidth="1"/>
    <col min="5130" max="5131" width="10.7109375" style="2524" bestFit="1" customWidth="1"/>
    <col min="5132" max="5132" width="10.7109375" style="2524" customWidth="1"/>
    <col min="5133" max="5135" width="10.7109375" style="2524" bestFit="1" customWidth="1"/>
    <col min="5136" max="5137" width="10.7109375" style="2524" customWidth="1"/>
    <col min="5138" max="5139" width="10.7109375" style="2524" bestFit="1" customWidth="1"/>
    <col min="5140" max="5376" width="9.140625" style="2524"/>
    <col min="5377" max="5377" width="14.140625" style="2524" customWidth="1"/>
    <col min="5378" max="5378" width="66.28515625" style="2524" bestFit="1" customWidth="1"/>
    <col min="5379" max="5379" width="10" style="2524" bestFit="1" customWidth="1"/>
    <col min="5380" max="5381" width="8.5703125" style="2524" bestFit="1" customWidth="1"/>
    <col min="5382" max="5382" width="17.42578125" style="2524" bestFit="1" customWidth="1"/>
    <col min="5383" max="5383" width="17.28515625" style="2524" bestFit="1" customWidth="1"/>
    <col min="5384" max="5385" width="10.7109375" style="2524" customWidth="1"/>
    <col min="5386" max="5387" width="10.7109375" style="2524" bestFit="1" customWidth="1"/>
    <col min="5388" max="5388" width="10.7109375" style="2524" customWidth="1"/>
    <col min="5389" max="5391" width="10.7109375" style="2524" bestFit="1" customWidth="1"/>
    <col min="5392" max="5393" width="10.7109375" style="2524" customWidth="1"/>
    <col min="5394" max="5395" width="10.7109375" style="2524" bestFit="1" customWidth="1"/>
    <col min="5396" max="5632" width="9.140625" style="2524"/>
    <col min="5633" max="5633" width="14.140625" style="2524" customWidth="1"/>
    <col min="5634" max="5634" width="66.28515625" style="2524" bestFit="1" customWidth="1"/>
    <col min="5635" max="5635" width="10" style="2524" bestFit="1" customWidth="1"/>
    <col min="5636" max="5637" width="8.5703125" style="2524" bestFit="1" customWidth="1"/>
    <col min="5638" max="5638" width="17.42578125" style="2524" bestFit="1" customWidth="1"/>
    <col min="5639" max="5639" width="17.28515625" style="2524" bestFit="1" customWidth="1"/>
    <col min="5640" max="5641" width="10.7109375" style="2524" customWidth="1"/>
    <col min="5642" max="5643" width="10.7109375" style="2524" bestFit="1" customWidth="1"/>
    <col min="5644" max="5644" width="10.7109375" style="2524" customWidth="1"/>
    <col min="5645" max="5647" width="10.7109375" style="2524" bestFit="1" customWidth="1"/>
    <col min="5648" max="5649" width="10.7109375" style="2524" customWidth="1"/>
    <col min="5650" max="5651" width="10.7109375" style="2524" bestFit="1" customWidth="1"/>
    <col min="5652" max="5888" width="9.140625" style="2524"/>
    <col min="5889" max="5889" width="14.140625" style="2524" customWidth="1"/>
    <col min="5890" max="5890" width="66.28515625" style="2524" bestFit="1" customWidth="1"/>
    <col min="5891" max="5891" width="10" style="2524" bestFit="1" customWidth="1"/>
    <col min="5892" max="5893" width="8.5703125" style="2524" bestFit="1" customWidth="1"/>
    <col min="5894" max="5894" width="17.42578125" style="2524" bestFit="1" customWidth="1"/>
    <col min="5895" max="5895" width="17.28515625" style="2524" bestFit="1" customWidth="1"/>
    <col min="5896" max="5897" width="10.7109375" style="2524" customWidth="1"/>
    <col min="5898" max="5899" width="10.7109375" style="2524" bestFit="1" customWidth="1"/>
    <col min="5900" max="5900" width="10.7109375" style="2524" customWidth="1"/>
    <col min="5901" max="5903" width="10.7109375" style="2524" bestFit="1" customWidth="1"/>
    <col min="5904" max="5905" width="10.7109375" style="2524" customWidth="1"/>
    <col min="5906" max="5907" width="10.7109375" style="2524" bestFit="1" customWidth="1"/>
    <col min="5908" max="6144" width="9.140625" style="2524"/>
    <col min="6145" max="6145" width="14.140625" style="2524" customWidth="1"/>
    <col min="6146" max="6146" width="66.28515625" style="2524" bestFit="1" customWidth="1"/>
    <col min="6147" max="6147" width="10" style="2524" bestFit="1" customWidth="1"/>
    <col min="6148" max="6149" width="8.5703125" style="2524" bestFit="1" customWidth="1"/>
    <col min="6150" max="6150" width="17.42578125" style="2524" bestFit="1" customWidth="1"/>
    <col min="6151" max="6151" width="17.28515625" style="2524" bestFit="1" customWidth="1"/>
    <col min="6152" max="6153" width="10.7109375" style="2524" customWidth="1"/>
    <col min="6154" max="6155" width="10.7109375" style="2524" bestFit="1" customWidth="1"/>
    <col min="6156" max="6156" width="10.7109375" style="2524" customWidth="1"/>
    <col min="6157" max="6159" width="10.7109375" style="2524" bestFit="1" customWidth="1"/>
    <col min="6160" max="6161" width="10.7109375" style="2524" customWidth="1"/>
    <col min="6162" max="6163" width="10.7109375" style="2524" bestFit="1" customWidth="1"/>
    <col min="6164" max="6400" width="9.140625" style="2524"/>
    <col min="6401" max="6401" width="14.140625" style="2524" customWidth="1"/>
    <col min="6402" max="6402" width="66.28515625" style="2524" bestFit="1" customWidth="1"/>
    <col min="6403" max="6403" width="10" style="2524" bestFit="1" customWidth="1"/>
    <col min="6404" max="6405" width="8.5703125" style="2524" bestFit="1" customWidth="1"/>
    <col min="6406" max="6406" width="17.42578125" style="2524" bestFit="1" customWidth="1"/>
    <col min="6407" max="6407" width="17.28515625" style="2524" bestFit="1" customWidth="1"/>
    <col min="6408" max="6409" width="10.7109375" style="2524" customWidth="1"/>
    <col min="6410" max="6411" width="10.7109375" style="2524" bestFit="1" customWidth="1"/>
    <col min="6412" max="6412" width="10.7109375" style="2524" customWidth="1"/>
    <col min="6413" max="6415" width="10.7109375" style="2524" bestFit="1" customWidth="1"/>
    <col min="6416" max="6417" width="10.7109375" style="2524" customWidth="1"/>
    <col min="6418" max="6419" width="10.7109375" style="2524" bestFit="1" customWidth="1"/>
    <col min="6420" max="6656" width="9.140625" style="2524"/>
    <col min="6657" max="6657" width="14.140625" style="2524" customWidth="1"/>
    <col min="6658" max="6658" width="66.28515625" style="2524" bestFit="1" customWidth="1"/>
    <col min="6659" max="6659" width="10" style="2524" bestFit="1" customWidth="1"/>
    <col min="6660" max="6661" width="8.5703125" style="2524" bestFit="1" customWidth="1"/>
    <col min="6662" max="6662" width="17.42578125" style="2524" bestFit="1" customWidth="1"/>
    <col min="6663" max="6663" width="17.28515625" style="2524" bestFit="1" customWidth="1"/>
    <col min="6664" max="6665" width="10.7109375" style="2524" customWidth="1"/>
    <col min="6666" max="6667" width="10.7109375" style="2524" bestFit="1" customWidth="1"/>
    <col min="6668" max="6668" width="10.7109375" style="2524" customWidth="1"/>
    <col min="6669" max="6671" width="10.7109375" style="2524" bestFit="1" customWidth="1"/>
    <col min="6672" max="6673" width="10.7109375" style="2524" customWidth="1"/>
    <col min="6674" max="6675" width="10.7109375" style="2524" bestFit="1" customWidth="1"/>
    <col min="6676" max="6912" width="9.140625" style="2524"/>
    <col min="6913" max="6913" width="14.140625" style="2524" customWidth="1"/>
    <col min="6914" max="6914" width="66.28515625" style="2524" bestFit="1" customWidth="1"/>
    <col min="6915" max="6915" width="10" style="2524" bestFit="1" customWidth="1"/>
    <col min="6916" max="6917" width="8.5703125" style="2524" bestFit="1" customWidth="1"/>
    <col min="6918" max="6918" width="17.42578125" style="2524" bestFit="1" customWidth="1"/>
    <col min="6919" max="6919" width="17.28515625" style="2524" bestFit="1" customWidth="1"/>
    <col min="6920" max="6921" width="10.7109375" style="2524" customWidth="1"/>
    <col min="6922" max="6923" width="10.7109375" style="2524" bestFit="1" customWidth="1"/>
    <col min="6924" max="6924" width="10.7109375" style="2524" customWidth="1"/>
    <col min="6925" max="6927" width="10.7109375" style="2524" bestFit="1" customWidth="1"/>
    <col min="6928" max="6929" width="10.7109375" style="2524" customWidth="1"/>
    <col min="6930" max="6931" width="10.7109375" style="2524" bestFit="1" customWidth="1"/>
    <col min="6932" max="7168" width="9.140625" style="2524"/>
    <col min="7169" max="7169" width="14.140625" style="2524" customWidth="1"/>
    <col min="7170" max="7170" width="66.28515625" style="2524" bestFit="1" customWidth="1"/>
    <col min="7171" max="7171" width="10" style="2524" bestFit="1" customWidth="1"/>
    <col min="7172" max="7173" width="8.5703125" style="2524" bestFit="1" customWidth="1"/>
    <col min="7174" max="7174" width="17.42578125" style="2524" bestFit="1" customWidth="1"/>
    <col min="7175" max="7175" width="17.28515625" style="2524" bestFit="1" customWidth="1"/>
    <col min="7176" max="7177" width="10.7109375" style="2524" customWidth="1"/>
    <col min="7178" max="7179" width="10.7109375" style="2524" bestFit="1" customWidth="1"/>
    <col min="7180" max="7180" width="10.7109375" style="2524" customWidth="1"/>
    <col min="7181" max="7183" width="10.7109375" style="2524" bestFit="1" customWidth="1"/>
    <col min="7184" max="7185" width="10.7109375" style="2524" customWidth="1"/>
    <col min="7186" max="7187" width="10.7109375" style="2524" bestFit="1" customWidth="1"/>
    <col min="7188" max="7424" width="9.140625" style="2524"/>
    <col min="7425" max="7425" width="14.140625" style="2524" customWidth="1"/>
    <col min="7426" max="7426" width="66.28515625" style="2524" bestFit="1" customWidth="1"/>
    <col min="7427" max="7427" width="10" style="2524" bestFit="1" customWidth="1"/>
    <col min="7428" max="7429" width="8.5703125" style="2524" bestFit="1" customWidth="1"/>
    <col min="7430" max="7430" width="17.42578125" style="2524" bestFit="1" customWidth="1"/>
    <col min="7431" max="7431" width="17.28515625" style="2524" bestFit="1" customWidth="1"/>
    <col min="7432" max="7433" width="10.7109375" style="2524" customWidth="1"/>
    <col min="7434" max="7435" width="10.7109375" style="2524" bestFit="1" customWidth="1"/>
    <col min="7436" max="7436" width="10.7109375" style="2524" customWidth="1"/>
    <col min="7437" max="7439" width="10.7109375" style="2524" bestFit="1" customWidth="1"/>
    <col min="7440" max="7441" width="10.7109375" style="2524" customWidth="1"/>
    <col min="7442" max="7443" width="10.7109375" style="2524" bestFit="1" customWidth="1"/>
    <col min="7444" max="7680" width="9.140625" style="2524"/>
    <col min="7681" max="7681" width="14.140625" style="2524" customWidth="1"/>
    <col min="7682" max="7682" width="66.28515625" style="2524" bestFit="1" customWidth="1"/>
    <col min="7683" max="7683" width="10" style="2524" bestFit="1" customWidth="1"/>
    <col min="7684" max="7685" width="8.5703125" style="2524" bestFit="1" customWidth="1"/>
    <col min="7686" max="7686" width="17.42578125" style="2524" bestFit="1" customWidth="1"/>
    <col min="7687" max="7687" width="17.28515625" style="2524" bestFit="1" customWidth="1"/>
    <col min="7688" max="7689" width="10.7109375" style="2524" customWidth="1"/>
    <col min="7690" max="7691" width="10.7109375" style="2524" bestFit="1" customWidth="1"/>
    <col min="7692" max="7692" width="10.7109375" style="2524" customWidth="1"/>
    <col min="7693" max="7695" width="10.7109375" style="2524" bestFit="1" customWidth="1"/>
    <col min="7696" max="7697" width="10.7109375" style="2524" customWidth="1"/>
    <col min="7698" max="7699" width="10.7109375" style="2524" bestFit="1" customWidth="1"/>
    <col min="7700" max="7936" width="9.140625" style="2524"/>
    <col min="7937" max="7937" width="14.140625" style="2524" customWidth="1"/>
    <col min="7938" max="7938" width="66.28515625" style="2524" bestFit="1" customWidth="1"/>
    <col min="7939" max="7939" width="10" style="2524" bestFit="1" customWidth="1"/>
    <col min="7940" max="7941" width="8.5703125" style="2524" bestFit="1" customWidth="1"/>
    <col min="7942" max="7942" width="17.42578125" style="2524" bestFit="1" customWidth="1"/>
    <col min="7943" max="7943" width="17.28515625" style="2524" bestFit="1" customWidth="1"/>
    <col min="7944" max="7945" width="10.7109375" style="2524" customWidth="1"/>
    <col min="7946" max="7947" width="10.7109375" style="2524" bestFit="1" customWidth="1"/>
    <col min="7948" max="7948" width="10.7109375" style="2524" customWidth="1"/>
    <col min="7949" max="7951" width="10.7109375" style="2524" bestFit="1" customWidth="1"/>
    <col min="7952" max="7953" width="10.7109375" style="2524" customWidth="1"/>
    <col min="7954" max="7955" width="10.7109375" style="2524" bestFit="1" customWidth="1"/>
    <col min="7956" max="8192" width="9.140625" style="2524"/>
    <col min="8193" max="8193" width="14.140625" style="2524" customWidth="1"/>
    <col min="8194" max="8194" width="66.28515625" style="2524" bestFit="1" customWidth="1"/>
    <col min="8195" max="8195" width="10" style="2524" bestFit="1" customWidth="1"/>
    <col min="8196" max="8197" width="8.5703125" style="2524" bestFit="1" customWidth="1"/>
    <col min="8198" max="8198" width="17.42578125" style="2524" bestFit="1" customWidth="1"/>
    <col min="8199" max="8199" width="17.28515625" style="2524" bestFit="1" customWidth="1"/>
    <col min="8200" max="8201" width="10.7109375" style="2524" customWidth="1"/>
    <col min="8202" max="8203" width="10.7109375" style="2524" bestFit="1" customWidth="1"/>
    <col min="8204" max="8204" width="10.7109375" style="2524" customWidth="1"/>
    <col min="8205" max="8207" width="10.7109375" style="2524" bestFit="1" customWidth="1"/>
    <col min="8208" max="8209" width="10.7109375" style="2524" customWidth="1"/>
    <col min="8210" max="8211" width="10.7109375" style="2524" bestFit="1" customWidth="1"/>
    <col min="8212" max="8448" width="9.140625" style="2524"/>
    <col min="8449" max="8449" width="14.140625" style="2524" customWidth="1"/>
    <col min="8450" max="8450" width="66.28515625" style="2524" bestFit="1" customWidth="1"/>
    <col min="8451" max="8451" width="10" style="2524" bestFit="1" customWidth="1"/>
    <col min="8452" max="8453" width="8.5703125" style="2524" bestFit="1" customWidth="1"/>
    <col min="8454" max="8454" width="17.42578125" style="2524" bestFit="1" customWidth="1"/>
    <col min="8455" max="8455" width="17.28515625" style="2524" bestFit="1" customWidth="1"/>
    <col min="8456" max="8457" width="10.7109375" style="2524" customWidth="1"/>
    <col min="8458" max="8459" width="10.7109375" style="2524" bestFit="1" customWidth="1"/>
    <col min="8460" max="8460" width="10.7109375" style="2524" customWidth="1"/>
    <col min="8461" max="8463" width="10.7109375" style="2524" bestFit="1" customWidth="1"/>
    <col min="8464" max="8465" width="10.7109375" style="2524" customWidth="1"/>
    <col min="8466" max="8467" width="10.7109375" style="2524" bestFit="1" customWidth="1"/>
    <col min="8468" max="8704" width="9.140625" style="2524"/>
    <col min="8705" max="8705" width="14.140625" style="2524" customWidth="1"/>
    <col min="8706" max="8706" width="66.28515625" style="2524" bestFit="1" customWidth="1"/>
    <col min="8707" max="8707" width="10" style="2524" bestFit="1" customWidth="1"/>
    <col min="8708" max="8709" width="8.5703125" style="2524" bestFit="1" customWidth="1"/>
    <col min="8710" max="8710" width="17.42578125" style="2524" bestFit="1" customWidth="1"/>
    <col min="8711" max="8711" width="17.28515625" style="2524" bestFit="1" customWidth="1"/>
    <col min="8712" max="8713" width="10.7109375" style="2524" customWidth="1"/>
    <col min="8714" max="8715" width="10.7109375" style="2524" bestFit="1" customWidth="1"/>
    <col min="8716" max="8716" width="10.7109375" style="2524" customWidth="1"/>
    <col min="8717" max="8719" width="10.7109375" style="2524" bestFit="1" customWidth="1"/>
    <col min="8720" max="8721" width="10.7109375" style="2524" customWidth="1"/>
    <col min="8722" max="8723" width="10.7109375" style="2524" bestFit="1" customWidth="1"/>
    <col min="8724" max="8960" width="9.140625" style="2524"/>
    <col min="8961" max="8961" width="14.140625" style="2524" customWidth="1"/>
    <col min="8962" max="8962" width="66.28515625" style="2524" bestFit="1" customWidth="1"/>
    <col min="8963" max="8963" width="10" style="2524" bestFit="1" customWidth="1"/>
    <col min="8964" max="8965" width="8.5703125" style="2524" bestFit="1" customWidth="1"/>
    <col min="8966" max="8966" width="17.42578125" style="2524" bestFit="1" customWidth="1"/>
    <col min="8967" max="8967" width="17.28515625" style="2524" bestFit="1" customWidth="1"/>
    <col min="8968" max="8969" width="10.7109375" style="2524" customWidth="1"/>
    <col min="8970" max="8971" width="10.7109375" style="2524" bestFit="1" customWidth="1"/>
    <col min="8972" max="8972" width="10.7109375" style="2524" customWidth="1"/>
    <col min="8973" max="8975" width="10.7109375" style="2524" bestFit="1" customWidth="1"/>
    <col min="8976" max="8977" width="10.7109375" style="2524" customWidth="1"/>
    <col min="8978" max="8979" width="10.7109375" style="2524" bestFit="1" customWidth="1"/>
    <col min="8980" max="9216" width="9.140625" style="2524"/>
    <col min="9217" max="9217" width="14.140625" style="2524" customWidth="1"/>
    <col min="9218" max="9218" width="66.28515625" style="2524" bestFit="1" customWidth="1"/>
    <col min="9219" max="9219" width="10" style="2524" bestFit="1" customWidth="1"/>
    <col min="9220" max="9221" width="8.5703125" style="2524" bestFit="1" customWidth="1"/>
    <col min="9222" max="9222" width="17.42578125" style="2524" bestFit="1" customWidth="1"/>
    <col min="9223" max="9223" width="17.28515625" style="2524" bestFit="1" customWidth="1"/>
    <col min="9224" max="9225" width="10.7109375" style="2524" customWidth="1"/>
    <col min="9226" max="9227" width="10.7109375" style="2524" bestFit="1" customWidth="1"/>
    <col min="9228" max="9228" width="10.7109375" style="2524" customWidth="1"/>
    <col min="9229" max="9231" width="10.7109375" style="2524" bestFit="1" customWidth="1"/>
    <col min="9232" max="9233" width="10.7109375" style="2524" customWidth="1"/>
    <col min="9234" max="9235" width="10.7109375" style="2524" bestFit="1" customWidth="1"/>
    <col min="9236" max="9472" width="9.140625" style="2524"/>
    <col min="9473" max="9473" width="14.140625" style="2524" customWidth="1"/>
    <col min="9474" max="9474" width="66.28515625" style="2524" bestFit="1" customWidth="1"/>
    <col min="9475" max="9475" width="10" style="2524" bestFit="1" customWidth="1"/>
    <col min="9476" max="9477" width="8.5703125" style="2524" bestFit="1" customWidth="1"/>
    <col min="9478" max="9478" width="17.42578125" style="2524" bestFit="1" customWidth="1"/>
    <col min="9479" max="9479" width="17.28515625" style="2524" bestFit="1" customWidth="1"/>
    <col min="9480" max="9481" width="10.7109375" style="2524" customWidth="1"/>
    <col min="9482" max="9483" width="10.7109375" style="2524" bestFit="1" customWidth="1"/>
    <col min="9484" max="9484" width="10.7109375" style="2524" customWidth="1"/>
    <col min="9485" max="9487" width="10.7109375" style="2524" bestFit="1" customWidth="1"/>
    <col min="9488" max="9489" width="10.7109375" style="2524" customWidth="1"/>
    <col min="9490" max="9491" width="10.7109375" style="2524" bestFit="1" customWidth="1"/>
    <col min="9492" max="9728" width="9.140625" style="2524"/>
    <col min="9729" max="9729" width="14.140625" style="2524" customWidth="1"/>
    <col min="9730" max="9730" width="66.28515625" style="2524" bestFit="1" customWidth="1"/>
    <col min="9731" max="9731" width="10" style="2524" bestFit="1" customWidth="1"/>
    <col min="9732" max="9733" width="8.5703125" style="2524" bestFit="1" customWidth="1"/>
    <col min="9734" max="9734" width="17.42578125" style="2524" bestFit="1" customWidth="1"/>
    <col min="9735" max="9735" width="17.28515625" style="2524" bestFit="1" customWidth="1"/>
    <col min="9736" max="9737" width="10.7109375" style="2524" customWidth="1"/>
    <col min="9738" max="9739" width="10.7109375" style="2524" bestFit="1" customWidth="1"/>
    <col min="9740" max="9740" width="10.7109375" style="2524" customWidth="1"/>
    <col min="9741" max="9743" width="10.7109375" style="2524" bestFit="1" customWidth="1"/>
    <col min="9744" max="9745" width="10.7109375" style="2524" customWidth="1"/>
    <col min="9746" max="9747" width="10.7109375" style="2524" bestFit="1" customWidth="1"/>
    <col min="9748" max="9984" width="9.140625" style="2524"/>
    <col min="9985" max="9985" width="14.140625" style="2524" customWidth="1"/>
    <col min="9986" max="9986" width="66.28515625" style="2524" bestFit="1" customWidth="1"/>
    <col min="9987" max="9987" width="10" style="2524" bestFit="1" customWidth="1"/>
    <col min="9988" max="9989" width="8.5703125" style="2524" bestFit="1" customWidth="1"/>
    <col min="9990" max="9990" width="17.42578125" style="2524" bestFit="1" customWidth="1"/>
    <col min="9991" max="9991" width="17.28515625" style="2524" bestFit="1" customWidth="1"/>
    <col min="9992" max="9993" width="10.7109375" style="2524" customWidth="1"/>
    <col min="9994" max="9995" width="10.7109375" style="2524" bestFit="1" customWidth="1"/>
    <col min="9996" max="9996" width="10.7109375" style="2524" customWidth="1"/>
    <col min="9997" max="9999" width="10.7109375" style="2524" bestFit="1" customWidth="1"/>
    <col min="10000" max="10001" width="10.7109375" style="2524" customWidth="1"/>
    <col min="10002" max="10003" width="10.7109375" style="2524" bestFit="1" customWidth="1"/>
    <col min="10004" max="10240" width="9.140625" style="2524"/>
    <col min="10241" max="10241" width="14.140625" style="2524" customWidth="1"/>
    <col min="10242" max="10242" width="66.28515625" style="2524" bestFit="1" customWidth="1"/>
    <col min="10243" max="10243" width="10" style="2524" bestFit="1" customWidth="1"/>
    <col min="10244" max="10245" width="8.5703125" style="2524" bestFit="1" customWidth="1"/>
    <col min="10246" max="10246" width="17.42578125" style="2524" bestFit="1" customWidth="1"/>
    <col min="10247" max="10247" width="17.28515625" style="2524" bestFit="1" customWidth="1"/>
    <col min="10248" max="10249" width="10.7109375" style="2524" customWidth="1"/>
    <col min="10250" max="10251" width="10.7109375" style="2524" bestFit="1" customWidth="1"/>
    <col min="10252" max="10252" width="10.7109375" style="2524" customWidth="1"/>
    <col min="10253" max="10255" width="10.7109375" style="2524" bestFit="1" customWidth="1"/>
    <col min="10256" max="10257" width="10.7109375" style="2524" customWidth="1"/>
    <col min="10258" max="10259" width="10.7109375" style="2524" bestFit="1" customWidth="1"/>
    <col min="10260" max="10496" width="9.140625" style="2524"/>
    <col min="10497" max="10497" width="14.140625" style="2524" customWidth="1"/>
    <col min="10498" max="10498" width="66.28515625" style="2524" bestFit="1" customWidth="1"/>
    <col min="10499" max="10499" width="10" style="2524" bestFit="1" customWidth="1"/>
    <col min="10500" max="10501" width="8.5703125" style="2524" bestFit="1" customWidth="1"/>
    <col min="10502" max="10502" width="17.42578125" style="2524" bestFit="1" customWidth="1"/>
    <col min="10503" max="10503" width="17.28515625" style="2524" bestFit="1" customWidth="1"/>
    <col min="10504" max="10505" width="10.7109375" style="2524" customWidth="1"/>
    <col min="10506" max="10507" width="10.7109375" style="2524" bestFit="1" customWidth="1"/>
    <col min="10508" max="10508" width="10.7109375" style="2524" customWidth="1"/>
    <col min="10509" max="10511" width="10.7109375" style="2524" bestFit="1" customWidth="1"/>
    <col min="10512" max="10513" width="10.7109375" style="2524" customWidth="1"/>
    <col min="10514" max="10515" width="10.7109375" style="2524" bestFit="1" customWidth="1"/>
    <col min="10516" max="10752" width="9.140625" style="2524"/>
    <col min="10753" max="10753" width="14.140625" style="2524" customWidth="1"/>
    <col min="10754" max="10754" width="66.28515625" style="2524" bestFit="1" customWidth="1"/>
    <col min="10755" max="10755" width="10" style="2524" bestFit="1" customWidth="1"/>
    <col min="10756" max="10757" width="8.5703125" style="2524" bestFit="1" customWidth="1"/>
    <col min="10758" max="10758" width="17.42578125" style="2524" bestFit="1" customWidth="1"/>
    <col min="10759" max="10759" width="17.28515625" style="2524" bestFit="1" customWidth="1"/>
    <col min="10760" max="10761" width="10.7109375" style="2524" customWidth="1"/>
    <col min="10762" max="10763" width="10.7109375" style="2524" bestFit="1" customWidth="1"/>
    <col min="10764" max="10764" width="10.7109375" style="2524" customWidth="1"/>
    <col min="10765" max="10767" width="10.7109375" style="2524" bestFit="1" customWidth="1"/>
    <col min="10768" max="10769" width="10.7109375" style="2524" customWidth="1"/>
    <col min="10770" max="10771" width="10.7109375" style="2524" bestFit="1" customWidth="1"/>
    <col min="10772" max="11008" width="9.140625" style="2524"/>
    <col min="11009" max="11009" width="14.140625" style="2524" customWidth="1"/>
    <col min="11010" max="11010" width="66.28515625" style="2524" bestFit="1" customWidth="1"/>
    <col min="11011" max="11011" width="10" style="2524" bestFit="1" customWidth="1"/>
    <col min="11012" max="11013" width="8.5703125" style="2524" bestFit="1" customWidth="1"/>
    <col min="11014" max="11014" width="17.42578125" style="2524" bestFit="1" customWidth="1"/>
    <col min="11015" max="11015" width="17.28515625" style="2524" bestFit="1" customWidth="1"/>
    <col min="11016" max="11017" width="10.7109375" style="2524" customWidth="1"/>
    <col min="11018" max="11019" width="10.7109375" style="2524" bestFit="1" customWidth="1"/>
    <col min="11020" max="11020" width="10.7109375" style="2524" customWidth="1"/>
    <col min="11021" max="11023" width="10.7109375" style="2524" bestFit="1" customWidth="1"/>
    <col min="11024" max="11025" width="10.7109375" style="2524" customWidth="1"/>
    <col min="11026" max="11027" width="10.7109375" style="2524" bestFit="1" customWidth="1"/>
    <col min="11028" max="11264" width="9.140625" style="2524"/>
    <col min="11265" max="11265" width="14.140625" style="2524" customWidth="1"/>
    <col min="11266" max="11266" width="66.28515625" style="2524" bestFit="1" customWidth="1"/>
    <col min="11267" max="11267" width="10" style="2524" bestFit="1" customWidth="1"/>
    <col min="11268" max="11269" width="8.5703125" style="2524" bestFit="1" customWidth="1"/>
    <col min="11270" max="11270" width="17.42578125" style="2524" bestFit="1" customWidth="1"/>
    <col min="11271" max="11271" width="17.28515625" style="2524" bestFit="1" customWidth="1"/>
    <col min="11272" max="11273" width="10.7109375" style="2524" customWidth="1"/>
    <col min="11274" max="11275" width="10.7109375" style="2524" bestFit="1" customWidth="1"/>
    <col min="11276" max="11276" width="10.7109375" style="2524" customWidth="1"/>
    <col min="11277" max="11279" width="10.7109375" style="2524" bestFit="1" customWidth="1"/>
    <col min="11280" max="11281" width="10.7109375" style="2524" customWidth="1"/>
    <col min="11282" max="11283" width="10.7109375" style="2524" bestFit="1" customWidth="1"/>
    <col min="11284" max="11520" width="9.140625" style="2524"/>
    <col min="11521" max="11521" width="14.140625" style="2524" customWidth="1"/>
    <col min="11522" max="11522" width="66.28515625" style="2524" bestFit="1" customWidth="1"/>
    <col min="11523" max="11523" width="10" style="2524" bestFit="1" customWidth="1"/>
    <col min="11524" max="11525" width="8.5703125" style="2524" bestFit="1" customWidth="1"/>
    <col min="11526" max="11526" width="17.42578125" style="2524" bestFit="1" customWidth="1"/>
    <col min="11527" max="11527" width="17.28515625" style="2524" bestFit="1" customWidth="1"/>
    <col min="11528" max="11529" width="10.7109375" style="2524" customWidth="1"/>
    <col min="11530" max="11531" width="10.7109375" style="2524" bestFit="1" customWidth="1"/>
    <col min="11532" max="11532" width="10.7109375" style="2524" customWidth="1"/>
    <col min="11533" max="11535" width="10.7109375" style="2524" bestFit="1" customWidth="1"/>
    <col min="11536" max="11537" width="10.7109375" style="2524" customWidth="1"/>
    <col min="11538" max="11539" width="10.7109375" style="2524" bestFit="1" customWidth="1"/>
    <col min="11540" max="11776" width="9.140625" style="2524"/>
    <col min="11777" max="11777" width="14.140625" style="2524" customWidth="1"/>
    <col min="11778" max="11778" width="66.28515625" style="2524" bestFit="1" customWidth="1"/>
    <col min="11779" max="11779" width="10" style="2524" bestFit="1" customWidth="1"/>
    <col min="11780" max="11781" width="8.5703125" style="2524" bestFit="1" customWidth="1"/>
    <col min="11782" max="11782" width="17.42578125" style="2524" bestFit="1" customWidth="1"/>
    <col min="11783" max="11783" width="17.28515625" style="2524" bestFit="1" customWidth="1"/>
    <col min="11784" max="11785" width="10.7109375" style="2524" customWidth="1"/>
    <col min="11786" max="11787" width="10.7109375" style="2524" bestFit="1" customWidth="1"/>
    <col min="11788" max="11788" width="10.7109375" style="2524" customWidth="1"/>
    <col min="11789" max="11791" width="10.7109375" style="2524" bestFit="1" customWidth="1"/>
    <col min="11792" max="11793" width="10.7109375" style="2524" customWidth="1"/>
    <col min="11794" max="11795" width="10.7109375" style="2524" bestFit="1" customWidth="1"/>
    <col min="11796" max="12032" width="9.140625" style="2524"/>
    <col min="12033" max="12033" width="14.140625" style="2524" customWidth="1"/>
    <col min="12034" max="12034" width="66.28515625" style="2524" bestFit="1" customWidth="1"/>
    <col min="12035" max="12035" width="10" style="2524" bestFit="1" customWidth="1"/>
    <col min="12036" max="12037" width="8.5703125" style="2524" bestFit="1" customWidth="1"/>
    <col min="12038" max="12038" width="17.42578125" style="2524" bestFit="1" customWidth="1"/>
    <col min="12039" max="12039" width="17.28515625" style="2524" bestFit="1" customWidth="1"/>
    <col min="12040" max="12041" width="10.7109375" style="2524" customWidth="1"/>
    <col min="12042" max="12043" width="10.7109375" style="2524" bestFit="1" customWidth="1"/>
    <col min="12044" max="12044" width="10.7109375" style="2524" customWidth="1"/>
    <col min="12045" max="12047" width="10.7109375" style="2524" bestFit="1" customWidth="1"/>
    <col min="12048" max="12049" width="10.7109375" style="2524" customWidth="1"/>
    <col min="12050" max="12051" width="10.7109375" style="2524" bestFit="1" customWidth="1"/>
    <col min="12052" max="12288" width="9.140625" style="2524"/>
    <col min="12289" max="12289" width="14.140625" style="2524" customWidth="1"/>
    <col min="12290" max="12290" width="66.28515625" style="2524" bestFit="1" customWidth="1"/>
    <col min="12291" max="12291" width="10" style="2524" bestFit="1" customWidth="1"/>
    <col min="12292" max="12293" width="8.5703125" style="2524" bestFit="1" customWidth="1"/>
    <col min="12294" max="12294" width="17.42578125" style="2524" bestFit="1" customWidth="1"/>
    <col min="12295" max="12295" width="17.28515625" style="2524" bestFit="1" customWidth="1"/>
    <col min="12296" max="12297" width="10.7109375" style="2524" customWidth="1"/>
    <col min="12298" max="12299" width="10.7109375" style="2524" bestFit="1" customWidth="1"/>
    <col min="12300" max="12300" width="10.7109375" style="2524" customWidth="1"/>
    <col min="12301" max="12303" width="10.7109375" style="2524" bestFit="1" customWidth="1"/>
    <col min="12304" max="12305" width="10.7109375" style="2524" customWidth="1"/>
    <col min="12306" max="12307" width="10.7109375" style="2524" bestFit="1" customWidth="1"/>
    <col min="12308" max="12544" width="9.140625" style="2524"/>
    <col min="12545" max="12545" width="14.140625" style="2524" customWidth="1"/>
    <col min="12546" max="12546" width="66.28515625" style="2524" bestFit="1" customWidth="1"/>
    <col min="12547" max="12547" width="10" style="2524" bestFit="1" customWidth="1"/>
    <col min="12548" max="12549" width="8.5703125" style="2524" bestFit="1" customWidth="1"/>
    <col min="12550" max="12550" width="17.42578125" style="2524" bestFit="1" customWidth="1"/>
    <col min="12551" max="12551" width="17.28515625" style="2524" bestFit="1" customWidth="1"/>
    <col min="12552" max="12553" width="10.7109375" style="2524" customWidth="1"/>
    <col min="12554" max="12555" width="10.7109375" style="2524" bestFit="1" customWidth="1"/>
    <col min="12556" max="12556" width="10.7109375" style="2524" customWidth="1"/>
    <col min="12557" max="12559" width="10.7109375" style="2524" bestFit="1" customWidth="1"/>
    <col min="12560" max="12561" width="10.7109375" style="2524" customWidth="1"/>
    <col min="12562" max="12563" width="10.7109375" style="2524" bestFit="1" customWidth="1"/>
    <col min="12564" max="12800" width="9.140625" style="2524"/>
    <col min="12801" max="12801" width="14.140625" style="2524" customWidth="1"/>
    <col min="12802" max="12802" width="66.28515625" style="2524" bestFit="1" customWidth="1"/>
    <col min="12803" max="12803" width="10" style="2524" bestFit="1" customWidth="1"/>
    <col min="12804" max="12805" width="8.5703125" style="2524" bestFit="1" customWidth="1"/>
    <col min="12806" max="12806" width="17.42578125" style="2524" bestFit="1" customWidth="1"/>
    <col min="12807" max="12807" width="17.28515625" style="2524" bestFit="1" customWidth="1"/>
    <col min="12808" max="12809" width="10.7109375" style="2524" customWidth="1"/>
    <col min="12810" max="12811" width="10.7109375" style="2524" bestFit="1" customWidth="1"/>
    <col min="12812" max="12812" width="10.7109375" style="2524" customWidth="1"/>
    <col min="12813" max="12815" width="10.7109375" style="2524" bestFit="1" customWidth="1"/>
    <col min="12816" max="12817" width="10.7109375" style="2524" customWidth="1"/>
    <col min="12818" max="12819" width="10.7109375" style="2524" bestFit="1" customWidth="1"/>
    <col min="12820" max="13056" width="9.140625" style="2524"/>
    <col min="13057" max="13057" width="14.140625" style="2524" customWidth="1"/>
    <col min="13058" max="13058" width="66.28515625" style="2524" bestFit="1" customWidth="1"/>
    <col min="13059" max="13059" width="10" style="2524" bestFit="1" customWidth="1"/>
    <col min="13060" max="13061" width="8.5703125" style="2524" bestFit="1" customWidth="1"/>
    <col min="13062" max="13062" width="17.42578125" style="2524" bestFit="1" customWidth="1"/>
    <col min="13063" max="13063" width="17.28515625" style="2524" bestFit="1" customWidth="1"/>
    <col min="13064" max="13065" width="10.7109375" style="2524" customWidth="1"/>
    <col min="13066" max="13067" width="10.7109375" style="2524" bestFit="1" customWidth="1"/>
    <col min="13068" max="13068" width="10.7109375" style="2524" customWidth="1"/>
    <col min="13069" max="13071" width="10.7109375" style="2524" bestFit="1" customWidth="1"/>
    <col min="13072" max="13073" width="10.7109375" style="2524" customWidth="1"/>
    <col min="13074" max="13075" width="10.7109375" style="2524" bestFit="1" customWidth="1"/>
    <col min="13076" max="13312" width="9.140625" style="2524"/>
    <col min="13313" max="13313" width="14.140625" style="2524" customWidth="1"/>
    <col min="13314" max="13314" width="66.28515625" style="2524" bestFit="1" customWidth="1"/>
    <col min="13315" max="13315" width="10" style="2524" bestFit="1" customWidth="1"/>
    <col min="13316" max="13317" width="8.5703125" style="2524" bestFit="1" customWidth="1"/>
    <col min="13318" max="13318" width="17.42578125" style="2524" bestFit="1" customWidth="1"/>
    <col min="13319" max="13319" width="17.28515625" style="2524" bestFit="1" customWidth="1"/>
    <col min="13320" max="13321" width="10.7109375" style="2524" customWidth="1"/>
    <col min="13322" max="13323" width="10.7109375" style="2524" bestFit="1" customWidth="1"/>
    <col min="13324" max="13324" width="10.7109375" style="2524" customWidth="1"/>
    <col min="13325" max="13327" width="10.7109375" style="2524" bestFit="1" customWidth="1"/>
    <col min="13328" max="13329" width="10.7109375" style="2524" customWidth="1"/>
    <col min="13330" max="13331" width="10.7109375" style="2524" bestFit="1" customWidth="1"/>
    <col min="13332" max="13568" width="9.140625" style="2524"/>
    <col min="13569" max="13569" width="14.140625" style="2524" customWidth="1"/>
    <col min="13570" max="13570" width="66.28515625" style="2524" bestFit="1" customWidth="1"/>
    <col min="13571" max="13571" width="10" style="2524" bestFit="1" customWidth="1"/>
    <col min="13572" max="13573" width="8.5703125" style="2524" bestFit="1" customWidth="1"/>
    <col min="13574" max="13574" width="17.42578125" style="2524" bestFit="1" customWidth="1"/>
    <col min="13575" max="13575" width="17.28515625" style="2524" bestFit="1" customWidth="1"/>
    <col min="13576" max="13577" width="10.7109375" style="2524" customWidth="1"/>
    <col min="13578" max="13579" width="10.7109375" style="2524" bestFit="1" customWidth="1"/>
    <col min="13580" max="13580" width="10.7109375" style="2524" customWidth="1"/>
    <col min="13581" max="13583" width="10.7109375" style="2524" bestFit="1" customWidth="1"/>
    <col min="13584" max="13585" width="10.7109375" style="2524" customWidth="1"/>
    <col min="13586" max="13587" width="10.7109375" style="2524" bestFit="1" customWidth="1"/>
    <col min="13588" max="13824" width="9.140625" style="2524"/>
    <col min="13825" max="13825" width="14.140625" style="2524" customWidth="1"/>
    <col min="13826" max="13826" width="66.28515625" style="2524" bestFit="1" customWidth="1"/>
    <col min="13827" max="13827" width="10" style="2524" bestFit="1" customWidth="1"/>
    <col min="13828" max="13829" width="8.5703125" style="2524" bestFit="1" customWidth="1"/>
    <col min="13830" max="13830" width="17.42578125" style="2524" bestFit="1" customWidth="1"/>
    <col min="13831" max="13831" width="17.28515625" style="2524" bestFit="1" customWidth="1"/>
    <col min="13832" max="13833" width="10.7109375" style="2524" customWidth="1"/>
    <col min="13834" max="13835" width="10.7109375" style="2524" bestFit="1" customWidth="1"/>
    <col min="13836" max="13836" width="10.7109375" style="2524" customWidth="1"/>
    <col min="13837" max="13839" width="10.7109375" style="2524" bestFit="1" customWidth="1"/>
    <col min="13840" max="13841" width="10.7109375" style="2524" customWidth="1"/>
    <col min="13842" max="13843" width="10.7109375" style="2524" bestFit="1" customWidth="1"/>
    <col min="13844" max="14080" width="9.140625" style="2524"/>
    <col min="14081" max="14081" width="14.140625" style="2524" customWidth="1"/>
    <col min="14082" max="14082" width="66.28515625" style="2524" bestFit="1" customWidth="1"/>
    <col min="14083" max="14083" width="10" style="2524" bestFit="1" customWidth="1"/>
    <col min="14084" max="14085" width="8.5703125" style="2524" bestFit="1" customWidth="1"/>
    <col min="14086" max="14086" width="17.42578125" style="2524" bestFit="1" customWidth="1"/>
    <col min="14087" max="14087" width="17.28515625" style="2524" bestFit="1" customWidth="1"/>
    <col min="14088" max="14089" width="10.7109375" style="2524" customWidth="1"/>
    <col min="14090" max="14091" width="10.7109375" style="2524" bestFit="1" customWidth="1"/>
    <col min="14092" max="14092" width="10.7109375" style="2524" customWidth="1"/>
    <col min="14093" max="14095" width="10.7109375" style="2524" bestFit="1" customWidth="1"/>
    <col min="14096" max="14097" width="10.7109375" style="2524" customWidth="1"/>
    <col min="14098" max="14099" width="10.7109375" style="2524" bestFit="1" customWidth="1"/>
    <col min="14100" max="14336" width="9.140625" style="2524"/>
    <col min="14337" max="14337" width="14.140625" style="2524" customWidth="1"/>
    <col min="14338" max="14338" width="66.28515625" style="2524" bestFit="1" customWidth="1"/>
    <col min="14339" max="14339" width="10" style="2524" bestFit="1" customWidth="1"/>
    <col min="14340" max="14341" width="8.5703125" style="2524" bestFit="1" customWidth="1"/>
    <col min="14342" max="14342" width="17.42578125" style="2524" bestFit="1" customWidth="1"/>
    <col min="14343" max="14343" width="17.28515625" style="2524" bestFit="1" customWidth="1"/>
    <col min="14344" max="14345" width="10.7109375" style="2524" customWidth="1"/>
    <col min="14346" max="14347" width="10.7109375" style="2524" bestFit="1" customWidth="1"/>
    <col min="14348" max="14348" width="10.7109375" style="2524" customWidth="1"/>
    <col min="14349" max="14351" width="10.7109375" style="2524" bestFit="1" customWidth="1"/>
    <col min="14352" max="14353" width="10.7109375" style="2524" customWidth="1"/>
    <col min="14354" max="14355" width="10.7109375" style="2524" bestFit="1" customWidth="1"/>
    <col min="14356" max="14592" width="9.140625" style="2524"/>
    <col min="14593" max="14593" width="14.140625" style="2524" customWidth="1"/>
    <col min="14594" max="14594" width="66.28515625" style="2524" bestFit="1" customWidth="1"/>
    <col min="14595" max="14595" width="10" style="2524" bestFit="1" customWidth="1"/>
    <col min="14596" max="14597" width="8.5703125" style="2524" bestFit="1" customWidth="1"/>
    <col min="14598" max="14598" width="17.42578125" style="2524" bestFit="1" customWidth="1"/>
    <col min="14599" max="14599" width="17.28515625" style="2524" bestFit="1" customWidth="1"/>
    <col min="14600" max="14601" width="10.7109375" style="2524" customWidth="1"/>
    <col min="14602" max="14603" width="10.7109375" style="2524" bestFit="1" customWidth="1"/>
    <col min="14604" max="14604" width="10.7109375" style="2524" customWidth="1"/>
    <col min="14605" max="14607" width="10.7109375" style="2524" bestFit="1" customWidth="1"/>
    <col min="14608" max="14609" width="10.7109375" style="2524" customWidth="1"/>
    <col min="14610" max="14611" width="10.7109375" style="2524" bestFit="1" customWidth="1"/>
    <col min="14612" max="14848" width="9.140625" style="2524"/>
    <col min="14849" max="14849" width="14.140625" style="2524" customWidth="1"/>
    <col min="14850" max="14850" width="66.28515625" style="2524" bestFit="1" customWidth="1"/>
    <col min="14851" max="14851" width="10" style="2524" bestFit="1" customWidth="1"/>
    <col min="14852" max="14853" width="8.5703125" style="2524" bestFit="1" customWidth="1"/>
    <col min="14854" max="14854" width="17.42578125" style="2524" bestFit="1" customWidth="1"/>
    <col min="14855" max="14855" width="17.28515625" style="2524" bestFit="1" customWidth="1"/>
    <col min="14856" max="14857" width="10.7109375" style="2524" customWidth="1"/>
    <col min="14858" max="14859" width="10.7109375" style="2524" bestFit="1" customWidth="1"/>
    <col min="14860" max="14860" width="10.7109375" style="2524" customWidth="1"/>
    <col min="14861" max="14863" width="10.7109375" style="2524" bestFit="1" customWidth="1"/>
    <col min="14864" max="14865" width="10.7109375" style="2524" customWidth="1"/>
    <col min="14866" max="14867" width="10.7109375" style="2524" bestFit="1" customWidth="1"/>
    <col min="14868" max="15104" width="9.140625" style="2524"/>
    <col min="15105" max="15105" width="14.140625" style="2524" customWidth="1"/>
    <col min="15106" max="15106" width="66.28515625" style="2524" bestFit="1" customWidth="1"/>
    <col min="15107" max="15107" width="10" style="2524" bestFit="1" customWidth="1"/>
    <col min="15108" max="15109" width="8.5703125" style="2524" bestFit="1" customWidth="1"/>
    <col min="15110" max="15110" width="17.42578125" style="2524" bestFit="1" customWidth="1"/>
    <col min="15111" max="15111" width="17.28515625" style="2524" bestFit="1" customWidth="1"/>
    <col min="15112" max="15113" width="10.7109375" style="2524" customWidth="1"/>
    <col min="15114" max="15115" width="10.7109375" style="2524" bestFit="1" customWidth="1"/>
    <col min="15116" max="15116" width="10.7109375" style="2524" customWidth="1"/>
    <col min="15117" max="15119" width="10.7109375" style="2524" bestFit="1" customWidth="1"/>
    <col min="15120" max="15121" width="10.7109375" style="2524" customWidth="1"/>
    <col min="15122" max="15123" width="10.7109375" style="2524" bestFit="1" customWidth="1"/>
    <col min="15124" max="15360" width="9.140625" style="2524"/>
    <col min="15361" max="15361" width="14.140625" style="2524" customWidth="1"/>
    <col min="15362" max="15362" width="66.28515625" style="2524" bestFit="1" customWidth="1"/>
    <col min="15363" max="15363" width="10" style="2524" bestFit="1" customWidth="1"/>
    <col min="15364" max="15365" width="8.5703125" style="2524" bestFit="1" customWidth="1"/>
    <col min="15366" max="15366" width="17.42578125" style="2524" bestFit="1" customWidth="1"/>
    <col min="15367" max="15367" width="17.28515625" style="2524" bestFit="1" customWidth="1"/>
    <col min="15368" max="15369" width="10.7109375" style="2524" customWidth="1"/>
    <col min="15370" max="15371" width="10.7109375" style="2524" bestFit="1" customWidth="1"/>
    <col min="15372" max="15372" width="10.7109375" style="2524" customWidth="1"/>
    <col min="15373" max="15375" width="10.7109375" style="2524" bestFit="1" customWidth="1"/>
    <col min="15376" max="15377" width="10.7109375" style="2524" customWidth="1"/>
    <col min="15378" max="15379" width="10.7109375" style="2524" bestFit="1" customWidth="1"/>
    <col min="15380" max="15616" width="9.140625" style="2524"/>
    <col min="15617" max="15617" width="14.140625" style="2524" customWidth="1"/>
    <col min="15618" max="15618" width="66.28515625" style="2524" bestFit="1" customWidth="1"/>
    <col min="15619" max="15619" width="10" style="2524" bestFit="1" customWidth="1"/>
    <col min="15620" max="15621" width="8.5703125" style="2524" bestFit="1" customWidth="1"/>
    <col min="15622" max="15622" width="17.42578125" style="2524" bestFit="1" customWidth="1"/>
    <col min="15623" max="15623" width="17.28515625" style="2524" bestFit="1" customWidth="1"/>
    <col min="15624" max="15625" width="10.7109375" style="2524" customWidth="1"/>
    <col min="15626" max="15627" width="10.7109375" style="2524" bestFit="1" customWidth="1"/>
    <col min="15628" max="15628" width="10.7109375" style="2524" customWidth="1"/>
    <col min="15629" max="15631" width="10.7109375" style="2524" bestFit="1" customWidth="1"/>
    <col min="15632" max="15633" width="10.7109375" style="2524" customWidth="1"/>
    <col min="15634" max="15635" width="10.7109375" style="2524" bestFit="1" customWidth="1"/>
    <col min="15636" max="15872" width="9.140625" style="2524"/>
    <col min="15873" max="15873" width="14.140625" style="2524" customWidth="1"/>
    <col min="15874" max="15874" width="66.28515625" style="2524" bestFit="1" customWidth="1"/>
    <col min="15875" max="15875" width="10" style="2524" bestFit="1" customWidth="1"/>
    <col min="15876" max="15877" width="8.5703125" style="2524" bestFit="1" customWidth="1"/>
    <col min="15878" max="15878" width="17.42578125" style="2524" bestFit="1" customWidth="1"/>
    <col min="15879" max="15879" width="17.28515625" style="2524" bestFit="1" customWidth="1"/>
    <col min="15880" max="15881" width="10.7109375" style="2524" customWidth="1"/>
    <col min="15882" max="15883" width="10.7109375" style="2524" bestFit="1" customWidth="1"/>
    <col min="15884" max="15884" width="10.7109375" style="2524" customWidth="1"/>
    <col min="15885" max="15887" width="10.7109375" style="2524" bestFit="1" customWidth="1"/>
    <col min="15888" max="15889" width="10.7109375" style="2524" customWidth="1"/>
    <col min="15890" max="15891" width="10.7109375" style="2524" bestFit="1" customWidth="1"/>
    <col min="15892" max="16128" width="9.140625" style="2524"/>
    <col min="16129" max="16129" width="14.140625" style="2524" customWidth="1"/>
    <col min="16130" max="16130" width="66.28515625" style="2524" bestFit="1" customWidth="1"/>
    <col min="16131" max="16131" width="10" style="2524" bestFit="1" customWidth="1"/>
    <col min="16132" max="16133" width="8.5703125" style="2524" bestFit="1" customWidth="1"/>
    <col min="16134" max="16134" width="17.42578125" style="2524" bestFit="1" customWidth="1"/>
    <col min="16135" max="16135" width="17.28515625" style="2524" bestFit="1" customWidth="1"/>
    <col min="16136" max="16137" width="10.7109375" style="2524" customWidth="1"/>
    <col min="16138" max="16139" width="10.7109375" style="2524" bestFit="1" customWidth="1"/>
    <col min="16140" max="16140" width="10.7109375" style="2524" customWidth="1"/>
    <col min="16141" max="16143" width="10.7109375" style="2524" bestFit="1" customWidth="1"/>
    <col min="16144" max="16145" width="10.7109375" style="2524" customWidth="1"/>
    <col min="16146" max="16147" width="10.7109375" style="2524" bestFit="1" customWidth="1"/>
    <col min="16148" max="16384" width="9.140625" style="2524"/>
  </cols>
  <sheetData>
    <row r="1" spans="1:135" s="2525" customFormat="1" ht="24.95" customHeight="1">
      <c r="B1" s="2522" t="str">
        <f>IF(dms_DataQuality="backcast",INDEX(dms_Worksheet_List,MATCH(dms_Model,dms_Model_List))&amp;" BACKCAST",INDEX(dms_Worksheet_List,MATCH(dms_Model,dms_Model_List)))</f>
        <v>REGULATORY REPORTING STATEMENT</v>
      </c>
      <c r="C1" s="2769"/>
      <c r="D1" s="2769"/>
      <c r="E1" s="2769"/>
      <c r="F1" s="2769"/>
      <c r="G1" s="2769"/>
      <c r="H1" s="2769"/>
      <c r="I1" s="2769"/>
      <c r="J1" s="2769"/>
      <c r="K1" s="2769"/>
      <c r="L1" s="2769"/>
      <c r="M1" s="2769"/>
      <c r="N1" s="2769"/>
      <c r="O1" s="2769"/>
      <c r="P1" s="2769"/>
      <c r="Q1" s="2769"/>
      <c r="R1" s="2769"/>
      <c r="S1" s="2769"/>
      <c r="T1" s="2769"/>
      <c r="U1" s="2769"/>
      <c r="V1" s="2769"/>
      <c r="W1" s="2769"/>
      <c r="X1" s="2769"/>
      <c r="Y1" s="2769"/>
      <c r="Z1" s="2769"/>
      <c r="AA1" s="2769"/>
      <c r="AB1" s="2524"/>
      <c r="AC1" s="2524"/>
      <c r="AD1" s="2524"/>
      <c r="AE1" s="2524"/>
    </row>
    <row r="2" spans="1:135" s="2525" customFormat="1" ht="24.95" customHeight="1">
      <c r="B2" s="2526" t="str">
        <f>INDEX(dms_TradingNameFull_List,MATCH(dms_TradingName,dms_TradingName_List))</f>
        <v>AusNet Gas Services</v>
      </c>
      <c r="C2" s="2526"/>
      <c r="D2" s="2526"/>
      <c r="E2" s="2526"/>
      <c r="F2" s="2526"/>
      <c r="G2" s="2526"/>
      <c r="H2" s="2526"/>
      <c r="I2" s="2526"/>
      <c r="J2" s="2526"/>
      <c r="K2" s="2526"/>
      <c r="L2" s="2526"/>
      <c r="M2" s="2526"/>
      <c r="N2" s="2526"/>
      <c r="O2" s="2526"/>
      <c r="P2" s="2526"/>
      <c r="Q2" s="2526"/>
      <c r="R2" s="2526"/>
      <c r="S2" s="2526"/>
      <c r="T2" s="2526"/>
      <c r="U2" s="2526"/>
      <c r="V2" s="2526"/>
      <c r="W2" s="2526"/>
      <c r="X2" s="2526"/>
      <c r="Y2" s="2526"/>
      <c r="Z2" s="2526"/>
      <c r="AA2" s="2526"/>
      <c r="AB2" s="2524"/>
      <c r="AC2" s="2524"/>
      <c r="AD2" s="2524"/>
      <c r="AE2" s="2524"/>
    </row>
    <row r="3" spans="1:135" s="2525" customFormat="1" ht="24.95" customHeight="1">
      <c r="B3" s="2526" t="str">
        <f ca="1">IF(SUM(dms_SingleYear_Model)&gt;0,CRY,CONCATENATE(FRCP_y1," to ",dms_MultiYear_FinalYear_Result))</f>
        <v>2018 to 2022</v>
      </c>
      <c r="C3" s="2528"/>
      <c r="D3" s="2528"/>
      <c r="E3" s="2528"/>
      <c r="F3" s="2528"/>
      <c r="G3" s="2528"/>
      <c r="H3" s="2528"/>
      <c r="I3" s="2528"/>
      <c r="J3" s="2528"/>
      <c r="K3" s="2528"/>
      <c r="L3" s="2528"/>
      <c r="M3" s="2528"/>
      <c r="N3" s="2528"/>
      <c r="O3" s="2528"/>
      <c r="P3" s="2528"/>
      <c r="Q3" s="2528"/>
      <c r="R3" s="2528"/>
      <c r="S3" s="2528"/>
      <c r="T3" s="2528"/>
      <c r="U3" s="2528"/>
      <c r="V3" s="2528"/>
      <c r="W3" s="2528"/>
      <c r="X3" s="2528"/>
      <c r="Y3" s="2528"/>
      <c r="Z3" s="2528"/>
      <c r="AA3" s="2528"/>
      <c r="AB3" s="2524"/>
      <c r="AC3" s="2524"/>
      <c r="AD3" s="2524"/>
      <c r="AE3" s="2524"/>
    </row>
    <row r="4" spans="1:135" s="2525" customFormat="1" ht="24" customHeight="1">
      <c r="B4" s="2529" t="s">
        <v>1655</v>
      </c>
      <c r="C4" s="2770"/>
      <c r="D4" s="2770"/>
      <c r="E4" s="2770"/>
      <c r="F4" s="2770"/>
      <c r="G4" s="2770"/>
      <c r="H4" s="2770"/>
      <c r="I4" s="2770"/>
      <c r="J4" s="2770"/>
      <c r="K4" s="2770"/>
      <c r="L4" s="2770"/>
      <c r="M4" s="2770"/>
      <c r="N4" s="2770"/>
      <c r="O4" s="2770"/>
      <c r="P4" s="2770"/>
      <c r="Q4" s="2770"/>
      <c r="R4" s="2770"/>
      <c r="S4" s="2770"/>
      <c r="T4" s="2770"/>
      <c r="U4" s="2770"/>
      <c r="V4" s="2770"/>
      <c r="W4" s="2770"/>
      <c r="X4" s="2770"/>
      <c r="Y4" s="2770"/>
      <c r="Z4" s="2770"/>
      <c r="AA4" s="2770"/>
      <c r="AB4" s="2524"/>
      <c r="AC4" s="2524"/>
      <c r="AD4" s="2524"/>
      <c r="AE4" s="2524"/>
    </row>
    <row r="5" spans="1:135">
      <c r="A5" s="360"/>
      <c r="B5" s="2771"/>
      <c r="C5" s="2771"/>
      <c r="D5" s="2771"/>
      <c r="E5" s="2771"/>
      <c r="F5" s="2771"/>
      <c r="G5" s="2771"/>
      <c r="H5" s="2771"/>
      <c r="I5" s="2771"/>
      <c r="J5" s="2771"/>
      <c r="K5" s="2771"/>
      <c r="L5" s="2771"/>
      <c r="M5" s="2771"/>
      <c r="N5" s="2771"/>
      <c r="O5" s="2771"/>
      <c r="P5" s="2771"/>
      <c r="Q5" s="2771"/>
      <c r="R5" s="2771"/>
      <c r="S5" s="2771"/>
      <c r="T5" s="2771"/>
      <c r="U5" s="2771"/>
      <c r="V5" s="2771"/>
      <c r="W5" s="2771"/>
      <c r="X5" s="2771"/>
      <c r="Y5" s="2771"/>
      <c r="Z5" s="2771"/>
      <c r="AA5" s="2771"/>
    </row>
    <row r="6" spans="1:135">
      <c r="A6" s="2771"/>
      <c r="B6" s="2771"/>
      <c r="C6" s="2771"/>
      <c r="D6" s="2771"/>
      <c r="E6" s="2771"/>
      <c r="F6" s="2771"/>
      <c r="G6" s="2771"/>
      <c r="H6" s="2771"/>
      <c r="I6" s="2771"/>
      <c r="J6" s="2771"/>
      <c r="K6" s="2771"/>
      <c r="L6" s="2771"/>
      <c r="M6" s="2771"/>
      <c r="N6" s="2771"/>
      <c r="O6" s="2771"/>
      <c r="P6" s="2771"/>
      <c r="Q6" s="2771"/>
      <c r="R6" s="2771"/>
      <c r="S6" s="2771"/>
      <c r="T6" s="2771"/>
      <c r="U6" s="2771"/>
      <c r="V6" s="2771"/>
      <c r="W6" s="2771"/>
      <c r="X6" s="2771"/>
      <c r="Y6" s="2771"/>
      <c r="Z6" s="2771"/>
      <c r="AA6" s="2771"/>
    </row>
    <row r="7" spans="1:135">
      <c r="A7" s="2771"/>
      <c r="B7" s="4573" t="s">
        <v>59</v>
      </c>
      <c r="C7" s="4573"/>
      <c r="D7" s="4573"/>
      <c r="E7" s="4573"/>
      <c r="F7" s="4573"/>
      <c r="G7" s="4573"/>
      <c r="H7" s="2771"/>
      <c r="I7" s="2771"/>
      <c r="J7" s="2771"/>
      <c r="K7" s="2771"/>
      <c r="L7" s="2771"/>
      <c r="M7" s="2771"/>
      <c r="N7" s="2771"/>
      <c r="O7" s="2771"/>
      <c r="P7" s="2771"/>
      <c r="Q7" s="2771"/>
      <c r="R7" s="2771"/>
      <c r="S7" s="2771"/>
      <c r="T7" s="2771"/>
      <c r="U7" s="2771"/>
      <c r="V7" s="2771"/>
      <c r="W7" s="2771"/>
      <c r="X7" s="2771"/>
      <c r="Y7" s="2771"/>
      <c r="Z7" s="2771"/>
      <c r="AA7" s="2771"/>
    </row>
    <row r="8" spans="1:135">
      <c r="A8" s="2771"/>
      <c r="B8" s="4574" t="s">
        <v>226</v>
      </c>
      <c r="C8" s="4574"/>
      <c r="D8" s="4574"/>
      <c r="E8" s="4574"/>
      <c r="F8" s="4574"/>
      <c r="G8" s="4574"/>
      <c r="H8" s="2771"/>
      <c r="I8" s="2771"/>
      <c r="J8" s="2771"/>
      <c r="K8" s="2771"/>
      <c r="L8" s="2771"/>
      <c r="M8" s="2771"/>
      <c r="N8" s="2771"/>
      <c r="O8" s="2771"/>
      <c r="P8" s="2771"/>
      <c r="Q8" s="2771"/>
      <c r="R8" s="2771"/>
      <c r="S8" s="2771"/>
      <c r="T8" s="2771"/>
      <c r="U8" s="2771"/>
      <c r="V8" s="2771"/>
      <c r="W8" s="2771"/>
      <c r="X8" s="2771"/>
      <c r="Y8" s="2771"/>
      <c r="Z8" s="2771"/>
      <c r="AA8" s="2771"/>
    </row>
    <row r="9" spans="1:135" ht="29.25" customHeight="1">
      <c r="A9" s="2771"/>
      <c r="B9" s="4574" t="s">
        <v>475</v>
      </c>
      <c r="C9" s="4574"/>
      <c r="D9" s="4574"/>
      <c r="E9" s="4574"/>
      <c r="F9" s="4574"/>
      <c r="G9" s="4574"/>
      <c r="H9" s="2771"/>
      <c r="I9" s="2771"/>
      <c r="J9" s="2771"/>
      <c r="K9" s="2771"/>
      <c r="L9" s="2771"/>
      <c r="M9" s="2771"/>
      <c r="N9" s="2771"/>
      <c r="O9" s="2771"/>
      <c r="P9" s="2771"/>
      <c r="Q9" s="2771"/>
      <c r="R9" s="2771"/>
      <c r="S9" s="2771"/>
      <c r="T9" s="2771"/>
      <c r="U9" s="2771"/>
      <c r="V9" s="2771"/>
      <c r="W9" s="2771"/>
      <c r="X9" s="2771"/>
      <c r="Y9" s="2771"/>
      <c r="Z9" s="2771"/>
      <c r="AA9" s="2771"/>
    </row>
    <row r="10" spans="1:135" ht="27" customHeight="1">
      <c r="A10" s="2771"/>
      <c r="B10" s="4575" t="s">
        <v>387</v>
      </c>
      <c r="C10" s="4576"/>
      <c r="D10" s="4576"/>
      <c r="E10" s="4576"/>
      <c r="F10" s="4576"/>
      <c r="G10" s="4576"/>
      <c r="H10" s="2771"/>
      <c r="I10" s="2771"/>
      <c r="J10" s="2771"/>
      <c r="K10" s="2771"/>
      <c r="L10" s="2771"/>
      <c r="M10" s="2771"/>
      <c r="N10" s="2771"/>
      <c r="O10" s="2771"/>
      <c r="P10" s="2771"/>
      <c r="Q10" s="2771"/>
      <c r="R10" s="2771"/>
      <c r="S10" s="2771"/>
      <c r="T10" s="2771"/>
      <c r="U10" s="2771"/>
      <c r="V10" s="2771"/>
      <c r="W10" s="2771"/>
      <c r="X10" s="2771"/>
      <c r="Y10" s="2771"/>
      <c r="Z10" s="2771"/>
      <c r="AA10" s="2771"/>
    </row>
    <row r="11" spans="1:135" ht="35.25" customHeight="1">
      <c r="A11" s="2771"/>
      <c r="C11" s="2771"/>
      <c r="D11" s="2771"/>
      <c r="E11" s="2771"/>
      <c r="F11" s="2771"/>
      <c r="G11" s="2771"/>
      <c r="H11" s="2771"/>
      <c r="I11" s="2771"/>
      <c r="J11" s="2771"/>
      <c r="K11" s="2771"/>
      <c r="L11" s="2771"/>
      <c r="M11" s="2771"/>
      <c r="N11" s="2771"/>
      <c r="O11" s="2771"/>
      <c r="P11" s="2771"/>
      <c r="Q11" s="2771"/>
      <c r="R11" s="2771"/>
      <c r="S11" s="2771"/>
      <c r="T11" s="2771"/>
      <c r="U11" s="2771"/>
      <c r="V11" s="2771"/>
      <c r="W11" s="2771"/>
      <c r="X11" s="2771"/>
      <c r="Y11" s="2771"/>
      <c r="Z11" s="2771"/>
      <c r="AA11" s="2771"/>
    </row>
    <row r="12" spans="1:135">
      <c r="A12" s="2771"/>
      <c r="B12" s="3083" t="s">
        <v>247</v>
      </c>
      <c r="C12" s="2771"/>
      <c r="D12" s="2771"/>
      <c r="E12" s="2771"/>
      <c r="F12" s="2771"/>
      <c r="G12" s="2771"/>
      <c r="H12" s="2771"/>
      <c r="I12" s="2771"/>
      <c r="J12" s="2771"/>
      <c r="K12" s="2771"/>
      <c r="L12" s="2771"/>
      <c r="M12" s="2771"/>
      <c r="N12" s="2771"/>
      <c r="O12" s="2771"/>
      <c r="P12" s="2771"/>
      <c r="Q12" s="2771"/>
      <c r="R12" s="2771"/>
      <c r="S12" s="2771"/>
      <c r="T12" s="2771"/>
      <c r="U12" s="2771"/>
      <c r="V12" s="2771"/>
      <c r="W12" s="2771"/>
      <c r="X12" s="2771"/>
      <c r="Y12" s="2771"/>
      <c r="Z12" s="2771"/>
      <c r="AA12" s="2771"/>
    </row>
    <row r="13" spans="1:135" ht="24.75" customHeight="1">
      <c r="A13" s="2771"/>
      <c r="B13" s="3016" t="s">
        <v>1597</v>
      </c>
      <c r="C13" s="2771"/>
      <c r="D13" s="2771"/>
      <c r="E13" s="2771"/>
      <c r="F13" s="2771"/>
      <c r="G13" s="2771"/>
      <c r="H13" s="2771"/>
      <c r="I13" s="2771"/>
      <c r="J13" s="2771"/>
      <c r="K13" s="2771"/>
      <c r="L13" s="2771"/>
      <c r="M13" s="2771"/>
      <c r="N13" s="2771"/>
      <c r="O13" s="2771"/>
      <c r="P13" s="2771"/>
      <c r="Q13" s="2771"/>
      <c r="R13" s="2771"/>
      <c r="S13" s="2771"/>
      <c r="T13" s="2771"/>
      <c r="U13" s="2771"/>
      <c r="V13" s="2771"/>
      <c r="W13" s="2771"/>
      <c r="X13" s="2771"/>
      <c r="Y13" s="2771"/>
      <c r="Z13" s="2771"/>
      <c r="AA13" s="2771"/>
    </row>
    <row r="14" spans="1:135" ht="32.25" customHeight="1">
      <c r="A14" s="2771"/>
      <c r="C14" s="2771"/>
      <c r="D14" s="2771"/>
      <c r="E14" s="2771"/>
      <c r="F14" s="2771"/>
      <c r="G14" s="2771"/>
      <c r="H14" s="2771"/>
      <c r="I14" s="2771"/>
      <c r="J14" s="2771"/>
      <c r="K14" s="2771"/>
      <c r="L14" s="2771"/>
      <c r="M14" s="2771"/>
      <c r="N14" s="2771"/>
      <c r="O14" s="2771"/>
      <c r="P14" s="2771"/>
      <c r="Q14" s="2771"/>
      <c r="R14" s="2771"/>
      <c r="S14" s="2771"/>
      <c r="T14" s="2771"/>
      <c r="U14" s="2771"/>
      <c r="V14" s="2771"/>
      <c r="W14" s="2771"/>
      <c r="X14" s="2771"/>
      <c r="Y14" s="2771"/>
      <c r="Z14" s="2771"/>
      <c r="AA14" s="2771"/>
    </row>
    <row r="15" spans="1:135" ht="13.5" thickBot="1">
      <c r="A15" s="2771"/>
    </row>
    <row r="16" spans="1:135" s="3019" customFormat="1" ht="18.75" customHeight="1" thickBot="1">
      <c r="A16" s="3013"/>
      <c r="B16" s="2884" t="s">
        <v>1656</v>
      </c>
      <c r="C16" s="3084"/>
      <c r="D16" s="3085"/>
      <c r="E16" s="3085"/>
      <c r="F16" s="3085"/>
      <c r="G16" s="3085"/>
      <c r="H16" s="3085"/>
      <c r="I16" s="3085"/>
      <c r="J16" s="3085"/>
      <c r="K16" s="3085"/>
      <c r="L16" s="3085"/>
      <c r="M16" s="3085"/>
      <c r="N16" s="3085"/>
      <c r="O16" s="3085"/>
      <c r="P16" s="3085"/>
      <c r="Q16" s="3085"/>
      <c r="R16" s="3085"/>
      <c r="S16" s="3085"/>
      <c r="T16" s="3085"/>
      <c r="U16" s="3085"/>
      <c r="V16" s="3085"/>
      <c r="W16" s="3085"/>
      <c r="X16" s="3085"/>
      <c r="Y16" s="3085"/>
      <c r="Z16" s="3085"/>
      <c r="AA16" s="3085"/>
      <c r="AB16" s="3086"/>
      <c r="AC16" s="2524"/>
      <c r="AD16" s="2524"/>
      <c r="AE16" s="2524"/>
      <c r="AF16" s="2524"/>
      <c r="DF16" s="2524"/>
      <c r="DG16" s="2524"/>
      <c r="DH16" s="2524"/>
      <c r="DI16" s="2524"/>
      <c r="DJ16" s="2524"/>
      <c r="DK16" s="2524"/>
      <c r="DL16" s="2524"/>
      <c r="DM16" s="2524"/>
      <c r="DN16" s="2524"/>
      <c r="DO16" s="2524"/>
      <c r="DP16" s="2524"/>
      <c r="DQ16" s="2524"/>
      <c r="DR16" s="2524"/>
      <c r="DS16" s="2524"/>
      <c r="DT16" s="2524"/>
      <c r="DU16" s="2524"/>
      <c r="DV16" s="2524"/>
      <c r="DW16" s="2524"/>
      <c r="DX16" s="2524"/>
      <c r="DY16" s="2524"/>
      <c r="DZ16" s="2524"/>
      <c r="EA16" s="2524"/>
      <c r="EB16" s="2524"/>
      <c r="EC16" s="2524"/>
      <c r="ED16" s="2524"/>
      <c r="EE16" s="2524"/>
    </row>
    <row r="17" spans="1:135" ht="20.25" customHeight="1">
      <c r="A17" s="2771"/>
      <c r="B17" s="4577"/>
      <c r="C17" s="4578"/>
      <c r="D17" s="4583" t="s">
        <v>37</v>
      </c>
      <c r="E17" s="4584"/>
      <c r="F17" s="4584"/>
      <c r="G17" s="4584"/>
      <c r="H17" s="4584"/>
      <c r="I17" s="4585" t="s">
        <v>73</v>
      </c>
      <c r="J17" s="4585"/>
      <c r="K17" s="4585"/>
      <c r="L17" s="4585"/>
      <c r="M17" s="4585"/>
      <c r="N17" s="4586" t="s">
        <v>249</v>
      </c>
      <c r="O17" s="4586"/>
      <c r="P17" s="4586"/>
      <c r="Q17" s="4586"/>
      <c r="R17" s="4586"/>
      <c r="S17" s="4586"/>
      <c r="T17" s="4586"/>
      <c r="U17" s="4586"/>
      <c r="V17" s="4586"/>
      <c r="W17" s="4586"/>
      <c r="X17" s="4586"/>
      <c r="Y17" s="4586"/>
      <c r="Z17" s="4586"/>
      <c r="AA17" s="4586"/>
      <c r="AB17" s="4587"/>
    </row>
    <row r="18" spans="1:135" ht="20.25" customHeight="1">
      <c r="A18" s="2771"/>
      <c r="B18" s="4579"/>
      <c r="C18" s="4580"/>
      <c r="D18" s="4588" t="s">
        <v>337</v>
      </c>
      <c r="E18" s="4589"/>
      <c r="F18" s="4589"/>
      <c r="G18" s="4589"/>
      <c r="H18" s="4589"/>
      <c r="I18" s="4589"/>
      <c r="J18" s="4589"/>
      <c r="K18" s="4589"/>
      <c r="L18" s="4589"/>
      <c r="M18" s="4589"/>
      <c r="N18" s="4589"/>
      <c r="O18" s="4589"/>
      <c r="P18" s="4589"/>
      <c r="Q18" s="4589"/>
      <c r="R18" s="4589"/>
      <c r="S18" s="4589"/>
      <c r="T18" s="4589"/>
      <c r="U18" s="4589"/>
      <c r="V18" s="4589"/>
      <c r="W18" s="4589"/>
      <c r="X18" s="4589"/>
      <c r="Y18" s="4589"/>
      <c r="Z18" s="4589"/>
      <c r="AA18" s="4589"/>
      <c r="AB18" s="4590"/>
    </row>
    <row r="19" spans="1:135" ht="20.25" customHeight="1">
      <c r="A19" s="2771"/>
      <c r="B19" s="4579"/>
      <c r="C19" s="4580"/>
      <c r="D19" s="4588" t="s">
        <v>54</v>
      </c>
      <c r="E19" s="4589"/>
      <c r="F19" s="4591"/>
      <c r="G19" s="4592" t="s">
        <v>377</v>
      </c>
      <c r="H19" s="4593"/>
      <c r="I19" s="4593"/>
      <c r="J19" s="4593"/>
      <c r="K19" s="4593"/>
      <c r="L19" s="4593"/>
      <c r="M19" s="4593"/>
      <c r="N19" s="4593"/>
      <c r="O19" s="4593"/>
      <c r="P19" s="4593"/>
      <c r="Q19" s="4593"/>
      <c r="R19" s="4593"/>
      <c r="S19" s="4593"/>
      <c r="T19" s="4593"/>
      <c r="U19" s="4593"/>
      <c r="V19" s="4593"/>
      <c r="W19" s="4593"/>
      <c r="X19" s="4593"/>
      <c r="Y19" s="4593"/>
      <c r="Z19" s="4593"/>
      <c r="AA19" s="4593"/>
      <c r="AB19" s="4594"/>
    </row>
    <row r="20" spans="1:135" ht="20.25" customHeight="1" thickBot="1">
      <c r="A20" s="2771"/>
      <c r="B20" s="4581"/>
      <c r="C20" s="4582"/>
      <c r="D20" s="3017">
        <f>CRCP_y1</f>
        <v>2013</v>
      </c>
      <c r="E20" s="3017">
        <f>CRCP_y2</f>
        <v>2014</v>
      </c>
      <c r="F20" s="3017">
        <f>CRCP_y3</f>
        <v>2015</v>
      </c>
      <c r="G20" s="3017">
        <f>CRCP_y4</f>
        <v>2016</v>
      </c>
      <c r="H20" s="3017">
        <f>CRCP_y5</f>
        <v>2017</v>
      </c>
      <c r="I20" s="2908" t="str">
        <f>CONCATENATE(IF(dms_RPT="Calendar",H20+1,(LEFT(H20,4)+1&amp;"-"&amp;IF(MID(H20,6,2)&lt;"09","0"&amp;RIGHT(H20,1)+1,RIGHT(H20,2)+1))))</f>
        <v>2018</v>
      </c>
      <c r="J20" s="2908" t="str">
        <f t="shared" ref="J20:AB20" si="0">CONCATENATE(IF(dms_RPT="Calendar",I20+1,(LEFT(I20,4)+1&amp;"-"&amp;IF(MID(I20,6,2)&lt;"09","0"&amp;RIGHT(I20,1)+1,RIGHT(I20,2)+1))))</f>
        <v>2019</v>
      </c>
      <c r="K20" s="2908" t="str">
        <f t="shared" si="0"/>
        <v>2020</v>
      </c>
      <c r="L20" s="2908" t="str">
        <f t="shared" si="0"/>
        <v>2021</v>
      </c>
      <c r="M20" s="2908" t="str">
        <f t="shared" si="0"/>
        <v>2022</v>
      </c>
      <c r="N20" s="3017" t="str">
        <f t="shared" si="0"/>
        <v>2023</v>
      </c>
      <c r="O20" s="3017" t="str">
        <f t="shared" si="0"/>
        <v>2024</v>
      </c>
      <c r="P20" s="3017" t="str">
        <f t="shared" si="0"/>
        <v>2025</v>
      </c>
      <c r="Q20" s="3017" t="str">
        <f t="shared" si="0"/>
        <v>2026</v>
      </c>
      <c r="R20" s="3017" t="str">
        <f t="shared" si="0"/>
        <v>2027</v>
      </c>
      <c r="S20" s="3017" t="str">
        <f t="shared" si="0"/>
        <v>2028</v>
      </c>
      <c r="T20" s="3017" t="str">
        <f t="shared" si="0"/>
        <v>2029</v>
      </c>
      <c r="U20" s="3017" t="str">
        <f t="shared" si="0"/>
        <v>2030</v>
      </c>
      <c r="V20" s="3017" t="str">
        <f t="shared" si="0"/>
        <v>2031</v>
      </c>
      <c r="W20" s="3017" t="str">
        <f t="shared" si="0"/>
        <v>2032</v>
      </c>
      <c r="X20" s="3017" t="str">
        <f t="shared" si="0"/>
        <v>2033</v>
      </c>
      <c r="Y20" s="3017" t="str">
        <f t="shared" si="0"/>
        <v>2034</v>
      </c>
      <c r="Z20" s="3017" t="str">
        <f t="shared" si="0"/>
        <v>2035</v>
      </c>
      <c r="AA20" s="3017" t="str">
        <f t="shared" si="0"/>
        <v>2036</v>
      </c>
      <c r="AB20" s="3017" t="str">
        <f t="shared" si="0"/>
        <v>2037</v>
      </c>
    </row>
    <row r="21" spans="1:135" s="3019" customFormat="1" ht="18.75" customHeight="1" thickBot="1">
      <c r="A21" s="3013"/>
      <c r="B21" s="3087" t="s">
        <v>1657</v>
      </c>
      <c r="C21" s="3088"/>
      <c r="D21" s="3088"/>
      <c r="E21" s="3088"/>
      <c r="F21" s="3088"/>
      <c r="G21" s="3088"/>
      <c r="H21" s="3088"/>
      <c r="I21" s="3088"/>
      <c r="J21" s="3088"/>
      <c r="K21" s="3088"/>
      <c r="L21" s="3088"/>
      <c r="M21" s="3088"/>
      <c r="N21" s="3088"/>
      <c r="O21" s="3088"/>
      <c r="P21" s="3088"/>
      <c r="Q21" s="3088"/>
      <c r="R21" s="3088"/>
      <c r="S21" s="3088"/>
      <c r="T21" s="3088"/>
      <c r="U21" s="3088"/>
      <c r="V21" s="3088"/>
      <c r="W21" s="3088"/>
      <c r="X21" s="3088"/>
      <c r="Y21" s="3088"/>
      <c r="Z21" s="3088"/>
      <c r="AA21" s="3088"/>
      <c r="AB21" s="3089"/>
      <c r="AC21" s="2524"/>
      <c r="AD21" s="2524"/>
      <c r="AE21" s="2524"/>
      <c r="AF21" s="2524"/>
      <c r="DF21" s="2524"/>
      <c r="DG21" s="2524"/>
      <c r="DH21" s="2524"/>
      <c r="DI21" s="2524"/>
      <c r="DJ21" s="2524"/>
      <c r="DK21" s="2524"/>
      <c r="DL21" s="2524"/>
      <c r="DM21" s="2524"/>
      <c r="DN21" s="2524"/>
      <c r="DO21" s="2524"/>
      <c r="DP21" s="2524"/>
      <c r="DQ21" s="2524"/>
      <c r="DR21" s="2524"/>
      <c r="DS21" s="2524"/>
      <c r="DT21" s="2524"/>
      <c r="DU21" s="2524"/>
      <c r="DV21" s="2524"/>
      <c r="DW21" s="2524"/>
      <c r="DX21" s="2524"/>
      <c r="DY21" s="2524"/>
      <c r="DZ21" s="2524"/>
      <c r="EA21" s="2524"/>
      <c r="EB21" s="2524"/>
      <c r="EC21" s="2524"/>
      <c r="ED21" s="2524"/>
      <c r="EE21" s="2524"/>
    </row>
    <row r="22" spans="1:135" s="3096" customFormat="1" ht="25.5" customHeight="1">
      <c r="A22" s="3090"/>
      <c r="B22" s="3091" t="s">
        <v>1658</v>
      </c>
      <c r="C22" s="3092"/>
      <c r="D22" s="3093"/>
      <c r="E22" s="3093"/>
      <c r="F22" s="3093"/>
      <c r="G22" s="3093"/>
      <c r="H22" s="3093"/>
      <c r="I22" s="3093"/>
      <c r="J22" s="3093"/>
      <c r="K22" s="3093"/>
      <c r="L22" s="3093"/>
      <c r="M22" s="3093"/>
      <c r="N22" s="3093"/>
      <c r="O22" s="3093"/>
      <c r="P22" s="3093"/>
      <c r="Q22" s="3093"/>
      <c r="R22" s="3093"/>
      <c r="S22" s="3093"/>
      <c r="T22" s="3093"/>
      <c r="U22" s="3093"/>
      <c r="V22" s="3093"/>
      <c r="W22" s="3093"/>
      <c r="X22" s="3093"/>
      <c r="Y22" s="3093"/>
      <c r="Z22" s="3093"/>
      <c r="AA22" s="3093"/>
      <c r="AB22" s="3094"/>
      <c r="AC22" s="3095"/>
      <c r="AD22" s="3095"/>
      <c r="AE22" s="3095"/>
      <c r="AF22" s="3095"/>
      <c r="DF22" s="3095"/>
      <c r="DG22" s="3095"/>
      <c r="DH22" s="3095"/>
      <c r="DI22" s="3095"/>
      <c r="DJ22" s="3095"/>
      <c r="DK22" s="3095"/>
      <c r="DL22" s="3095"/>
      <c r="DM22" s="3095"/>
      <c r="DN22" s="3095"/>
      <c r="DO22" s="3095"/>
      <c r="DP22" s="3095"/>
      <c r="DQ22" s="3095"/>
      <c r="DR22" s="3095"/>
      <c r="DS22" s="3095"/>
      <c r="DT22" s="3095"/>
      <c r="DU22" s="3095"/>
      <c r="DV22" s="3095"/>
      <c r="DW22" s="3095"/>
      <c r="DX22" s="3095"/>
      <c r="DY22" s="3095"/>
      <c r="DZ22" s="3095"/>
      <c r="EA22" s="3095"/>
      <c r="EB22" s="3095"/>
      <c r="EC22" s="3095"/>
      <c r="ED22" s="3095"/>
      <c r="EE22" s="3095"/>
    </row>
    <row r="23" spans="1:135" s="3019" customFormat="1">
      <c r="A23" s="3013"/>
      <c r="B23" s="4570" t="s">
        <v>1623</v>
      </c>
      <c r="C23" s="3097" t="s">
        <v>713</v>
      </c>
      <c r="D23" s="462">
        <v>0</v>
      </c>
      <c r="E23" s="463">
        <f>D24</f>
        <v>0</v>
      </c>
      <c r="F23" s="463">
        <f t="shared" ref="F23" si="1">E24</f>
        <v>186</v>
      </c>
      <c r="G23" s="463">
        <f>+F24</f>
        <v>342</v>
      </c>
      <c r="H23" s="464">
        <f t="shared" ref="H23:AB23" si="2">+G24</f>
        <v>400.5</v>
      </c>
      <c r="I23" s="462">
        <f t="shared" si="2"/>
        <v>444.375</v>
      </c>
      <c r="J23" s="463">
        <f t="shared" si="2"/>
        <v>477.28125</v>
      </c>
      <c r="K23" s="463">
        <f t="shared" si="2"/>
        <v>501.9609375</v>
      </c>
      <c r="L23" s="463">
        <f t="shared" si="2"/>
        <v>520.470703125</v>
      </c>
      <c r="M23" s="464">
        <f t="shared" si="2"/>
        <v>534.35302734375</v>
      </c>
      <c r="N23" s="513">
        <f t="shared" si="2"/>
        <v>544.7647705078125</v>
      </c>
      <c r="O23" s="463">
        <f t="shared" si="2"/>
        <v>552.57357788085937</v>
      </c>
      <c r="P23" s="463">
        <f t="shared" si="2"/>
        <v>558.43018341064453</v>
      </c>
      <c r="Q23" s="463">
        <f t="shared" si="2"/>
        <v>562.8226375579834</v>
      </c>
      <c r="R23" s="463">
        <f t="shared" si="2"/>
        <v>566.11697816848755</v>
      </c>
      <c r="S23" s="463">
        <f t="shared" si="2"/>
        <v>568.58773362636566</v>
      </c>
      <c r="T23" s="463">
        <f t="shared" si="2"/>
        <v>570.44080021977425</v>
      </c>
      <c r="U23" s="463">
        <f t="shared" si="2"/>
        <v>571.83060016483068</v>
      </c>
      <c r="V23" s="463">
        <f t="shared" si="2"/>
        <v>572.87295012362301</v>
      </c>
      <c r="W23" s="463">
        <f t="shared" si="2"/>
        <v>573.65471259271726</v>
      </c>
      <c r="X23" s="463">
        <f t="shared" si="2"/>
        <v>574.24103444453795</v>
      </c>
      <c r="Y23" s="463">
        <f t="shared" si="2"/>
        <v>574.68077583340346</v>
      </c>
      <c r="Z23" s="463">
        <f t="shared" si="2"/>
        <v>575.01058187505259</v>
      </c>
      <c r="AA23" s="463">
        <f t="shared" si="2"/>
        <v>575.25793640628945</v>
      </c>
      <c r="AB23" s="464">
        <f t="shared" si="2"/>
        <v>575.44345230471708</v>
      </c>
      <c r="AC23" s="2524"/>
      <c r="AD23" s="2524"/>
      <c r="AE23" s="2524"/>
      <c r="AF23" s="2524"/>
    </row>
    <row r="24" spans="1:135" s="3019" customFormat="1">
      <c r="A24" s="3013"/>
      <c r="B24" s="4571"/>
      <c r="C24" s="3097" t="s">
        <v>714</v>
      </c>
      <c r="D24" s="459">
        <v>0</v>
      </c>
      <c r="E24" s="458">
        <v>186</v>
      </c>
      <c r="F24" s="458">
        <v>342</v>
      </c>
      <c r="G24" s="458">
        <f>G23+(580-G23-$AB$36)*0.25</f>
        <v>400.5</v>
      </c>
      <c r="H24" s="460">
        <f t="shared" ref="H24:AB24" si="3">H23+(580-H23-$AB$36)*0.25</f>
        <v>444.375</v>
      </c>
      <c r="I24" s="459">
        <f t="shared" si="3"/>
        <v>477.28125</v>
      </c>
      <c r="J24" s="458">
        <f t="shared" si="3"/>
        <v>501.9609375</v>
      </c>
      <c r="K24" s="458">
        <f t="shared" si="3"/>
        <v>520.470703125</v>
      </c>
      <c r="L24" s="458">
        <f t="shared" si="3"/>
        <v>534.35302734375</v>
      </c>
      <c r="M24" s="460">
        <f t="shared" si="3"/>
        <v>544.7647705078125</v>
      </c>
      <c r="N24" s="413">
        <f t="shared" si="3"/>
        <v>552.57357788085937</v>
      </c>
      <c r="O24" s="413">
        <f t="shared" si="3"/>
        <v>558.43018341064453</v>
      </c>
      <c r="P24" s="413">
        <f t="shared" si="3"/>
        <v>562.8226375579834</v>
      </c>
      <c r="Q24" s="413">
        <f t="shared" si="3"/>
        <v>566.11697816848755</v>
      </c>
      <c r="R24" s="413">
        <f t="shared" si="3"/>
        <v>568.58773362636566</v>
      </c>
      <c r="S24" s="413">
        <f t="shared" si="3"/>
        <v>570.44080021977425</v>
      </c>
      <c r="T24" s="413">
        <f t="shared" si="3"/>
        <v>571.83060016483068</v>
      </c>
      <c r="U24" s="413">
        <f t="shared" si="3"/>
        <v>572.87295012362301</v>
      </c>
      <c r="V24" s="413">
        <f t="shared" si="3"/>
        <v>573.65471259271726</v>
      </c>
      <c r="W24" s="413">
        <f t="shared" si="3"/>
        <v>574.24103444453795</v>
      </c>
      <c r="X24" s="413">
        <f t="shared" si="3"/>
        <v>574.68077583340346</v>
      </c>
      <c r="Y24" s="413">
        <f t="shared" si="3"/>
        <v>575.01058187505259</v>
      </c>
      <c r="Z24" s="413">
        <f t="shared" si="3"/>
        <v>575.25793640628945</v>
      </c>
      <c r="AA24" s="458">
        <f t="shared" si="3"/>
        <v>575.44345230471708</v>
      </c>
      <c r="AB24" s="460">
        <f t="shared" si="3"/>
        <v>575.58258922853781</v>
      </c>
      <c r="AC24" s="2524"/>
      <c r="AD24" s="2524"/>
      <c r="AE24" s="2524"/>
      <c r="AF24" s="2524"/>
    </row>
    <row r="25" spans="1:135" s="3019" customFormat="1">
      <c r="A25" s="3013"/>
      <c r="B25" s="4571"/>
      <c r="C25" s="3097" t="s">
        <v>68</v>
      </c>
      <c r="D25" s="462">
        <f t="shared" ref="D25:AB25" si="4">IF(ISERROR(AVERAGE(D23:D24)),0,AVERAGE(D23:D24))</f>
        <v>0</v>
      </c>
      <c r="E25" s="463">
        <f>IF(ISERROR(AVERAGE(E23:E24)),0,AVERAGE(E23:E24))</f>
        <v>93</v>
      </c>
      <c r="F25" s="463">
        <f t="shared" si="4"/>
        <v>264</v>
      </c>
      <c r="G25" s="463">
        <f t="shared" si="4"/>
        <v>371.25</v>
      </c>
      <c r="H25" s="464">
        <f t="shared" si="4"/>
        <v>422.4375</v>
      </c>
      <c r="I25" s="462">
        <f t="shared" si="4"/>
        <v>460.828125</v>
      </c>
      <c r="J25" s="463">
        <f t="shared" si="4"/>
        <v>489.62109375</v>
      </c>
      <c r="K25" s="463">
        <f t="shared" si="4"/>
        <v>511.2158203125</v>
      </c>
      <c r="L25" s="463">
        <f t="shared" si="4"/>
        <v>527.411865234375</v>
      </c>
      <c r="M25" s="464">
        <f t="shared" si="4"/>
        <v>539.55889892578125</v>
      </c>
      <c r="N25" s="513">
        <f t="shared" si="4"/>
        <v>548.66917419433594</v>
      </c>
      <c r="O25" s="463">
        <f t="shared" si="4"/>
        <v>555.50188064575195</v>
      </c>
      <c r="P25" s="463">
        <f t="shared" si="4"/>
        <v>560.62641048431396</v>
      </c>
      <c r="Q25" s="463">
        <f t="shared" si="4"/>
        <v>564.46980786323547</v>
      </c>
      <c r="R25" s="463">
        <f t="shared" si="4"/>
        <v>567.35235589742661</v>
      </c>
      <c r="S25" s="463">
        <f t="shared" si="4"/>
        <v>569.51426692306995</v>
      </c>
      <c r="T25" s="463">
        <f t="shared" si="4"/>
        <v>571.13570019230247</v>
      </c>
      <c r="U25" s="463">
        <f t="shared" si="4"/>
        <v>572.35177514422685</v>
      </c>
      <c r="V25" s="463">
        <f t="shared" si="4"/>
        <v>573.26383135817014</v>
      </c>
      <c r="W25" s="463">
        <f t="shared" si="4"/>
        <v>573.9478735186276</v>
      </c>
      <c r="X25" s="463">
        <f t="shared" si="4"/>
        <v>574.4609051389707</v>
      </c>
      <c r="Y25" s="463">
        <f t="shared" si="4"/>
        <v>574.84567885422803</v>
      </c>
      <c r="Z25" s="463">
        <f t="shared" si="4"/>
        <v>575.13425914067102</v>
      </c>
      <c r="AA25" s="463">
        <f t="shared" si="4"/>
        <v>575.35069435550326</v>
      </c>
      <c r="AB25" s="464">
        <f t="shared" si="4"/>
        <v>575.51302076662751</v>
      </c>
      <c r="AC25" s="2524"/>
      <c r="AD25" s="2524"/>
      <c r="AE25" s="2524"/>
      <c r="AF25" s="2524"/>
    </row>
    <row r="26" spans="1:135" s="3019" customFormat="1">
      <c r="A26" s="3013"/>
      <c r="B26" s="4571"/>
      <c r="C26" s="3097" t="s">
        <v>69</v>
      </c>
      <c r="D26" s="459">
        <f>+D24-D23+D27</f>
        <v>0</v>
      </c>
      <c r="E26" s="458">
        <f>+E24-E23+E27</f>
        <v>186</v>
      </c>
      <c r="F26" s="458">
        <f>+F24-F23+F27</f>
        <v>157</v>
      </c>
      <c r="G26" s="458">
        <f t="shared" ref="G26:AB26" si="5">+G24-G23+G27</f>
        <v>58.5</v>
      </c>
      <c r="H26" s="460">
        <f t="shared" si="5"/>
        <v>43.875</v>
      </c>
      <c r="I26" s="459">
        <f t="shared" si="5"/>
        <v>32.90625</v>
      </c>
      <c r="J26" s="458">
        <f t="shared" si="5"/>
        <v>24.6796875</v>
      </c>
      <c r="K26" s="458">
        <f t="shared" si="5"/>
        <v>18.509765625</v>
      </c>
      <c r="L26" s="458">
        <f t="shared" si="5"/>
        <v>13.88232421875</v>
      </c>
      <c r="M26" s="460">
        <f t="shared" si="5"/>
        <v>10.4117431640625</v>
      </c>
      <c r="N26" s="413">
        <f t="shared" si="5"/>
        <v>7.808807373046875</v>
      </c>
      <c r="O26" s="458">
        <f t="shared" si="5"/>
        <v>5.8566055297851562</v>
      </c>
      <c r="P26" s="458">
        <f t="shared" si="5"/>
        <v>4.3924541473388672</v>
      </c>
      <c r="Q26" s="458">
        <f t="shared" si="5"/>
        <v>3.2943406105041504</v>
      </c>
      <c r="R26" s="458">
        <f t="shared" si="5"/>
        <v>2.4707554578781128</v>
      </c>
      <c r="S26" s="458">
        <f t="shared" si="5"/>
        <v>1.8530665934085846</v>
      </c>
      <c r="T26" s="458">
        <f t="shared" si="5"/>
        <v>1.3897999450564384</v>
      </c>
      <c r="U26" s="458">
        <f t="shared" si="5"/>
        <v>1.0423499587923288</v>
      </c>
      <c r="V26" s="458">
        <f t="shared" si="5"/>
        <v>0.78176246909424663</v>
      </c>
      <c r="W26" s="458">
        <f t="shared" si="5"/>
        <v>0.58632185182068497</v>
      </c>
      <c r="X26" s="458">
        <f t="shared" si="5"/>
        <v>0.43974138886551373</v>
      </c>
      <c r="Y26" s="458">
        <f t="shared" si="5"/>
        <v>0.3298060416491353</v>
      </c>
      <c r="Z26" s="458">
        <f t="shared" si="5"/>
        <v>0.24735453123685147</v>
      </c>
      <c r="AA26" s="458">
        <f t="shared" si="5"/>
        <v>0.1855158984276386</v>
      </c>
      <c r="AB26" s="460">
        <f t="shared" si="5"/>
        <v>0.13913692382072895</v>
      </c>
      <c r="AC26" s="2524"/>
      <c r="AD26" s="2524"/>
      <c r="AE26" s="2524"/>
      <c r="AF26" s="2524"/>
    </row>
    <row r="27" spans="1:135" s="3019" customFormat="1" ht="13.5" thickBot="1">
      <c r="A27" s="3013"/>
      <c r="B27" s="4572"/>
      <c r="C27" s="3098" t="s">
        <v>58</v>
      </c>
      <c r="D27" s="3068">
        <v>0</v>
      </c>
      <c r="E27" s="3069">
        <v>0</v>
      </c>
      <c r="F27" s="3069">
        <v>1</v>
      </c>
      <c r="G27" s="3069"/>
      <c r="H27" s="3070">
        <v>0</v>
      </c>
      <c r="I27" s="3068">
        <v>0</v>
      </c>
      <c r="J27" s="3069">
        <v>0</v>
      </c>
      <c r="K27" s="3069">
        <v>0</v>
      </c>
      <c r="L27" s="3069">
        <v>0</v>
      </c>
      <c r="M27" s="3070">
        <v>0</v>
      </c>
      <c r="N27" s="1439">
        <v>0</v>
      </c>
      <c r="O27" s="411">
        <v>0</v>
      </c>
      <c r="P27" s="411">
        <v>0</v>
      </c>
      <c r="Q27" s="411">
        <v>0</v>
      </c>
      <c r="R27" s="411">
        <v>0</v>
      </c>
      <c r="S27" s="411">
        <v>0</v>
      </c>
      <c r="T27" s="411">
        <v>0</v>
      </c>
      <c r="U27" s="411">
        <v>0</v>
      </c>
      <c r="V27" s="411">
        <v>0</v>
      </c>
      <c r="W27" s="411">
        <v>0</v>
      </c>
      <c r="X27" s="411">
        <v>0</v>
      </c>
      <c r="Y27" s="411">
        <v>0</v>
      </c>
      <c r="Z27" s="411">
        <v>0</v>
      </c>
      <c r="AA27" s="411">
        <v>0</v>
      </c>
      <c r="AB27" s="570">
        <v>0</v>
      </c>
      <c r="AC27" s="2524"/>
      <c r="AD27" s="2524"/>
      <c r="AE27" s="2524"/>
      <c r="AF27" s="2524"/>
    </row>
    <row r="28" spans="1:135" s="3019" customFormat="1">
      <c r="A28" s="3013"/>
      <c r="B28" s="4599" t="s">
        <v>63</v>
      </c>
      <c r="C28" s="3099" t="s">
        <v>713</v>
      </c>
      <c r="D28" s="478">
        <f>+D23</f>
        <v>0</v>
      </c>
      <c r="E28" s="479">
        <f t="shared" ref="E28:AB28" si="6">+E23</f>
        <v>0</v>
      </c>
      <c r="F28" s="479">
        <f t="shared" si="6"/>
        <v>186</v>
      </c>
      <c r="G28" s="479">
        <f t="shared" si="6"/>
        <v>342</v>
      </c>
      <c r="H28" s="1200">
        <f t="shared" si="6"/>
        <v>400.5</v>
      </c>
      <c r="I28" s="478">
        <f t="shared" si="6"/>
        <v>444.375</v>
      </c>
      <c r="J28" s="479">
        <f t="shared" si="6"/>
        <v>477.28125</v>
      </c>
      <c r="K28" s="479">
        <f t="shared" si="6"/>
        <v>501.9609375</v>
      </c>
      <c r="L28" s="479">
        <f t="shared" si="6"/>
        <v>520.470703125</v>
      </c>
      <c r="M28" s="425">
        <f t="shared" si="6"/>
        <v>534.35302734375</v>
      </c>
      <c r="N28" s="1039">
        <f t="shared" si="6"/>
        <v>544.7647705078125</v>
      </c>
      <c r="O28" s="479">
        <f t="shared" si="6"/>
        <v>552.57357788085937</v>
      </c>
      <c r="P28" s="479">
        <f t="shared" si="6"/>
        <v>558.43018341064453</v>
      </c>
      <c r="Q28" s="479">
        <f t="shared" si="6"/>
        <v>562.8226375579834</v>
      </c>
      <c r="R28" s="479">
        <f t="shared" si="6"/>
        <v>566.11697816848755</v>
      </c>
      <c r="S28" s="479">
        <f t="shared" si="6"/>
        <v>568.58773362636566</v>
      </c>
      <c r="T28" s="479">
        <f t="shared" si="6"/>
        <v>570.44080021977425</v>
      </c>
      <c r="U28" s="479">
        <f t="shared" si="6"/>
        <v>571.83060016483068</v>
      </c>
      <c r="V28" s="479">
        <f t="shared" si="6"/>
        <v>572.87295012362301</v>
      </c>
      <c r="W28" s="479">
        <f t="shared" si="6"/>
        <v>573.65471259271726</v>
      </c>
      <c r="X28" s="479">
        <f t="shared" si="6"/>
        <v>574.24103444453795</v>
      </c>
      <c r="Y28" s="479">
        <f t="shared" si="6"/>
        <v>574.68077583340346</v>
      </c>
      <c r="Z28" s="479">
        <f t="shared" si="6"/>
        <v>575.01058187505259</v>
      </c>
      <c r="AA28" s="479">
        <f t="shared" si="6"/>
        <v>575.25793640628945</v>
      </c>
      <c r="AB28" s="1535">
        <f t="shared" si="6"/>
        <v>575.44345230471708</v>
      </c>
      <c r="AC28" s="2524"/>
      <c r="AD28" s="2524"/>
      <c r="AE28" s="2524"/>
      <c r="AF28" s="2524"/>
    </row>
    <row r="29" spans="1:135" s="3019" customFormat="1">
      <c r="A29" s="3013"/>
      <c r="B29" s="4600"/>
      <c r="C29" s="3099" t="s">
        <v>714</v>
      </c>
      <c r="D29" s="478">
        <f t="shared" ref="D29:AB32" si="7">+D24</f>
        <v>0</v>
      </c>
      <c r="E29" s="479">
        <f t="shared" si="7"/>
        <v>186</v>
      </c>
      <c r="F29" s="479">
        <f t="shared" si="7"/>
        <v>342</v>
      </c>
      <c r="G29" s="479">
        <f t="shared" si="7"/>
        <v>400.5</v>
      </c>
      <c r="H29" s="1200">
        <f t="shared" si="7"/>
        <v>444.375</v>
      </c>
      <c r="I29" s="478">
        <f t="shared" si="7"/>
        <v>477.28125</v>
      </c>
      <c r="J29" s="479">
        <f t="shared" si="7"/>
        <v>501.9609375</v>
      </c>
      <c r="K29" s="479">
        <f t="shared" si="7"/>
        <v>520.470703125</v>
      </c>
      <c r="L29" s="479">
        <f t="shared" si="7"/>
        <v>534.35302734375</v>
      </c>
      <c r="M29" s="425">
        <f t="shared" si="7"/>
        <v>544.7647705078125</v>
      </c>
      <c r="N29" s="1039">
        <f t="shared" si="7"/>
        <v>552.57357788085937</v>
      </c>
      <c r="O29" s="479">
        <f t="shared" si="7"/>
        <v>558.43018341064453</v>
      </c>
      <c r="P29" s="479">
        <f t="shared" si="7"/>
        <v>562.8226375579834</v>
      </c>
      <c r="Q29" s="479">
        <f t="shared" si="7"/>
        <v>566.11697816848755</v>
      </c>
      <c r="R29" s="479">
        <f t="shared" si="7"/>
        <v>568.58773362636566</v>
      </c>
      <c r="S29" s="479">
        <f t="shared" si="7"/>
        <v>570.44080021977425</v>
      </c>
      <c r="T29" s="479">
        <f t="shared" si="7"/>
        <v>571.83060016483068</v>
      </c>
      <c r="U29" s="479">
        <f t="shared" si="7"/>
        <v>572.87295012362301</v>
      </c>
      <c r="V29" s="479">
        <f t="shared" si="7"/>
        <v>573.65471259271726</v>
      </c>
      <c r="W29" s="479">
        <f t="shared" si="7"/>
        <v>574.24103444453795</v>
      </c>
      <c r="X29" s="479">
        <f t="shared" si="7"/>
        <v>574.68077583340346</v>
      </c>
      <c r="Y29" s="479">
        <f t="shared" si="7"/>
        <v>575.01058187505259</v>
      </c>
      <c r="Z29" s="479">
        <f t="shared" si="7"/>
        <v>575.25793640628945</v>
      </c>
      <c r="AA29" s="479">
        <f t="shared" si="7"/>
        <v>575.44345230471708</v>
      </c>
      <c r="AB29" s="1535">
        <f t="shared" si="7"/>
        <v>575.58258922853781</v>
      </c>
      <c r="AC29" s="2524"/>
      <c r="AD29" s="2524"/>
      <c r="AE29" s="2524"/>
      <c r="AF29" s="2524"/>
    </row>
    <row r="30" spans="1:135" s="3019" customFormat="1">
      <c r="A30" s="3013"/>
      <c r="B30" s="4600"/>
      <c r="C30" s="3100" t="s">
        <v>68</v>
      </c>
      <c r="D30" s="478">
        <f t="shared" si="7"/>
        <v>0</v>
      </c>
      <c r="E30" s="479">
        <f t="shared" si="7"/>
        <v>93</v>
      </c>
      <c r="F30" s="479">
        <f t="shared" si="7"/>
        <v>264</v>
      </c>
      <c r="G30" s="479">
        <f t="shared" si="7"/>
        <v>371.25</v>
      </c>
      <c r="H30" s="1200">
        <f t="shared" si="7"/>
        <v>422.4375</v>
      </c>
      <c r="I30" s="478">
        <f t="shared" si="7"/>
        <v>460.828125</v>
      </c>
      <c r="J30" s="479">
        <f t="shared" si="7"/>
        <v>489.62109375</v>
      </c>
      <c r="K30" s="479">
        <f t="shared" si="7"/>
        <v>511.2158203125</v>
      </c>
      <c r="L30" s="479">
        <f t="shared" si="7"/>
        <v>527.411865234375</v>
      </c>
      <c r="M30" s="425">
        <f t="shared" si="7"/>
        <v>539.55889892578125</v>
      </c>
      <c r="N30" s="1039">
        <f t="shared" si="7"/>
        <v>548.66917419433594</v>
      </c>
      <c r="O30" s="479">
        <f t="shared" si="7"/>
        <v>555.50188064575195</v>
      </c>
      <c r="P30" s="479">
        <f t="shared" si="7"/>
        <v>560.62641048431396</v>
      </c>
      <c r="Q30" s="479">
        <f t="shared" si="7"/>
        <v>564.46980786323547</v>
      </c>
      <c r="R30" s="479">
        <f t="shared" si="7"/>
        <v>567.35235589742661</v>
      </c>
      <c r="S30" s="479">
        <f t="shared" si="7"/>
        <v>569.51426692306995</v>
      </c>
      <c r="T30" s="479">
        <f t="shared" si="7"/>
        <v>571.13570019230247</v>
      </c>
      <c r="U30" s="479">
        <f t="shared" si="7"/>
        <v>572.35177514422685</v>
      </c>
      <c r="V30" s="479">
        <f t="shared" si="7"/>
        <v>573.26383135817014</v>
      </c>
      <c r="W30" s="479">
        <f t="shared" si="7"/>
        <v>573.9478735186276</v>
      </c>
      <c r="X30" s="479">
        <f t="shared" si="7"/>
        <v>574.4609051389707</v>
      </c>
      <c r="Y30" s="479">
        <f t="shared" si="7"/>
        <v>574.84567885422803</v>
      </c>
      <c r="Z30" s="479">
        <f t="shared" si="7"/>
        <v>575.13425914067102</v>
      </c>
      <c r="AA30" s="479">
        <f t="shared" si="7"/>
        <v>575.35069435550326</v>
      </c>
      <c r="AB30" s="1535">
        <f t="shared" si="7"/>
        <v>575.51302076662751</v>
      </c>
      <c r="AC30" s="2524"/>
      <c r="AD30" s="2524"/>
      <c r="AE30" s="2524"/>
      <c r="AF30" s="2524"/>
    </row>
    <row r="31" spans="1:135" s="3019" customFormat="1">
      <c r="A31" s="3013"/>
      <c r="B31" s="4600"/>
      <c r="C31" s="3100" t="s">
        <v>69</v>
      </c>
      <c r="D31" s="478">
        <f t="shared" si="7"/>
        <v>0</v>
      </c>
      <c r="E31" s="479">
        <f t="shared" si="7"/>
        <v>186</v>
      </c>
      <c r="F31" s="479">
        <f t="shared" si="7"/>
        <v>157</v>
      </c>
      <c r="G31" s="479">
        <f t="shared" si="7"/>
        <v>58.5</v>
      </c>
      <c r="H31" s="1200">
        <f t="shared" si="7"/>
        <v>43.875</v>
      </c>
      <c r="I31" s="478">
        <f t="shared" si="7"/>
        <v>32.90625</v>
      </c>
      <c r="J31" s="479">
        <f t="shared" si="7"/>
        <v>24.6796875</v>
      </c>
      <c r="K31" s="479">
        <f t="shared" si="7"/>
        <v>18.509765625</v>
      </c>
      <c r="L31" s="479">
        <f t="shared" si="7"/>
        <v>13.88232421875</v>
      </c>
      <c r="M31" s="425">
        <f t="shared" si="7"/>
        <v>10.4117431640625</v>
      </c>
      <c r="N31" s="1039">
        <f t="shared" si="7"/>
        <v>7.808807373046875</v>
      </c>
      <c r="O31" s="479">
        <f t="shared" si="7"/>
        <v>5.8566055297851562</v>
      </c>
      <c r="P31" s="479">
        <f t="shared" si="7"/>
        <v>4.3924541473388672</v>
      </c>
      <c r="Q31" s="479">
        <f t="shared" si="7"/>
        <v>3.2943406105041504</v>
      </c>
      <c r="R31" s="479">
        <f t="shared" si="7"/>
        <v>2.4707554578781128</v>
      </c>
      <c r="S31" s="479">
        <f t="shared" si="7"/>
        <v>1.8530665934085846</v>
      </c>
      <c r="T31" s="479">
        <f t="shared" si="7"/>
        <v>1.3897999450564384</v>
      </c>
      <c r="U31" s="479">
        <f t="shared" si="7"/>
        <v>1.0423499587923288</v>
      </c>
      <c r="V31" s="479">
        <f t="shared" si="7"/>
        <v>0.78176246909424663</v>
      </c>
      <c r="W31" s="479">
        <f t="shared" si="7"/>
        <v>0.58632185182068497</v>
      </c>
      <c r="X31" s="479">
        <f t="shared" si="7"/>
        <v>0.43974138886551373</v>
      </c>
      <c r="Y31" s="479">
        <f t="shared" si="7"/>
        <v>0.3298060416491353</v>
      </c>
      <c r="Z31" s="479">
        <f t="shared" si="7"/>
        <v>0.24735453123685147</v>
      </c>
      <c r="AA31" s="479">
        <f t="shared" si="7"/>
        <v>0.1855158984276386</v>
      </c>
      <c r="AB31" s="1535">
        <f t="shared" si="7"/>
        <v>0.13913692382072895</v>
      </c>
      <c r="AC31" s="2524"/>
      <c r="AD31" s="2524"/>
      <c r="AE31" s="2524"/>
      <c r="AF31" s="2524"/>
    </row>
    <row r="32" spans="1:135" s="3019" customFormat="1" ht="13.5" thickBot="1">
      <c r="A32" s="3013"/>
      <c r="B32" s="4601"/>
      <c r="C32" s="3101" t="s">
        <v>58</v>
      </c>
      <c r="D32" s="478">
        <f t="shared" si="7"/>
        <v>0</v>
      </c>
      <c r="E32" s="1536">
        <f t="shared" si="7"/>
        <v>0</v>
      </c>
      <c r="F32" s="1536">
        <f t="shared" si="7"/>
        <v>1</v>
      </c>
      <c r="G32" s="1536">
        <f t="shared" si="7"/>
        <v>0</v>
      </c>
      <c r="H32" s="1537">
        <f t="shared" si="7"/>
        <v>0</v>
      </c>
      <c r="I32" s="3102">
        <f t="shared" si="7"/>
        <v>0</v>
      </c>
      <c r="J32" s="1536">
        <f t="shared" si="7"/>
        <v>0</v>
      </c>
      <c r="K32" s="1536">
        <f t="shared" si="7"/>
        <v>0</v>
      </c>
      <c r="L32" s="1536">
        <f t="shared" si="7"/>
        <v>0</v>
      </c>
      <c r="M32" s="1538">
        <f t="shared" si="7"/>
        <v>0</v>
      </c>
      <c r="N32" s="1539">
        <f t="shared" si="7"/>
        <v>0</v>
      </c>
      <c r="O32" s="1536">
        <f t="shared" si="7"/>
        <v>0</v>
      </c>
      <c r="P32" s="1536">
        <f t="shared" si="7"/>
        <v>0</v>
      </c>
      <c r="Q32" s="1536">
        <f t="shared" si="7"/>
        <v>0</v>
      </c>
      <c r="R32" s="1536">
        <f t="shared" si="7"/>
        <v>0</v>
      </c>
      <c r="S32" s="1536">
        <f t="shared" si="7"/>
        <v>0</v>
      </c>
      <c r="T32" s="1536">
        <f t="shared" si="7"/>
        <v>0</v>
      </c>
      <c r="U32" s="1536">
        <f t="shared" si="7"/>
        <v>0</v>
      </c>
      <c r="V32" s="1536">
        <f t="shared" si="7"/>
        <v>0</v>
      </c>
      <c r="W32" s="1536">
        <f t="shared" si="7"/>
        <v>0</v>
      </c>
      <c r="X32" s="1536">
        <f t="shared" si="7"/>
        <v>0</v>
      </c>
      <c r="Y32" s="1536">
        <f t="shared" si="7"/>
        <v>0</v>
      </c>
      <c r="Z32" s="1536">
        <f t="shared" si="7"/>
        <v>0</v>
      </c>
      <c r="AA32" s="1536">
        <f t="shared" si="7"/>
        <v>0</v>
      </c>
      <c r="AB32" s="1540">
        <f t="shared" si="7"/>
        <v>0</v>
      </c>
      <c r="AC32" s="2524"/>
      <c r="AD32" s="2524"/>
      <c r="AE32" s="2524"/>
      <c r="AF32" s="2524"/>
    </row>
    <row r="33" spans="1:135" s="3096" customFormat="1" ht="25.5" customHeight="1">
      <c r="A33" s="3090"/>
      <c r="B33" s="3091" t="s">
        <v>1659</v>
      </c>
      <c r="C33" s="3092"/>
      <c r="D33" s="3093"/>
      <c r="E33" s="3093"/>
      <c r="F33" s="3093"/>
      <c r="G33" s="3093"/>
      <c r="H33" s="3093"/>
      <c r="I33" s="3093"/>
      <c r="J33" s="3093"/>
      <c r="K33" s="3093"/>
      <c r="L33" s="3093"/>
      <c r="M33" s="3093"/>
      <c r="N33" s="3093"/>
      <c r="O33" s="3093"/>
      <c r="P33" s="3093"/>
      <c r="Q33" s="3093"/>
      <c r="R33" s="3093"/>
      <c r="S33" s="3093"/>
      <c r="T33" s="3093"/>
      <c r="U33" s="3093"/>
      <c r="V33" s="3093"/>
      <c r="W33" s="3093"/>
      <c r="X33" s="3093"/>
      <c r="Y33" s="3093"/>
      <c r="Z33" s="3093"/>
      <c r="AA33" s="3093"/>
      <c r="AB33" s="3094"/>
      <c r="AC33" s="3095"/>
      <c r="AD33" s="3095"/>
      <c r="AE33" s="3095"/>
      <c r="AF33" s="3095"/>
      <c r="DF33" s="3095"/>
      <c r="DG33" s="3095"/>
      <c r="DH33" s="3095"/>
      <c r="DI33" s="3095"/>
      <c r="DJ33" s="3095"/>
      <c r="DK33" s="3095"/>
      <c r="DL33" s="3095"/>
      <c r="DM33" s="3095"/>
      <c r="DN33" s="3095"/>
      <c r="DO33" s="3095"/>
      <c r="DP33" s="3095"/>
      <c r="DQ33" s="3095"/>
      <c r="DR33" s="3095"/>
      <c r="DS33" s="3095"/>
      <c r="DT33" s="3095"/>
      <c r="DU33" s="3095"/>
      <c r="DV33" s="3095"/>
      <c r="DW33" s="3095"/>
      <c r="DX33" s="3095"/>
      <c r="DY33" s="3095"/>
      <c r="DZ33" s="3095"/>
      <c r="EA33" s="3095"/>
      <c r="EB33" s="3095"/>
      <c r="EC33" s="3095"/>
      <c r="ED33" s="3095"/>
      <c r="EE33" s="3095"/>
    </row>
    <row r="34" spans="1:135" s="3019" customFormat="1">
      <c r="A34" s="3013"/>
      <c r="B34" s="4570" t="s">
        <v>1623</v>
      </c>
      <c r="C34" s="3103" t="s">
        <v>713</v>
      </c>
      <c r="D34" s="462"/>
      <c r="E34" s="463">
        <f>D35</f>
        <v>0</v>
      </c>
      <c r="F34" s="463">
        <f t="shared" ref="F34" si="8">E35</f>
        <v>0</v>
      </c>
      <c r="G34" s="463">
        <f>E35</f>
        <v>0</v>
      </c>
      <c r="H34" s="464">
        <f>F35</f>
        <v>4</v>
      </c>
      <c r="I34" s="462">
        <f t="shared" ref="I34:AB34" si="9">H35</f>
        <v>4</v>
      </c>
      <c r="J34" s="463">
        <f t="shared" si="9"/>
        <v>4</v>
      </c>
      <c r="K34" s="463">
        <f t="shared" si="9"/>
        <v>4</v>
      </c>
      <c r="L34" s="463">
        <f t="shared" si="9"/>
        <v>4</v>
      </c>
      <c r="M34" s="464">
        <f t="shared" si="9"/>
        <v>4</v>
      </c>
      <c r="N34" s="513">
        <f t="shared" si="9"/>
        <v>4</v>
      </c>
      <c r="O34" s="463">
        <f t="shared" si="9"/>
        <v>4</v>
      </c>
      <c r="P34" s="463">
        <f t="shared" si="9"/>
        <v>4</v>
      </c>
      <c r="Q34" s="463">
        <f t="shared" si="9"/>
        <v>4</v>
      </c>
      <c r="R34" s="463">
        <f t="shared" si="9"/>
        <v>4</v>
      </c>
      <c r="S34" s="463">
        <f t="shared" si="9"/>
        <v>4</v>
      </c>
      <c r="T34" s="463">
        <f t="shared" si="9"/>
        <v>4</v>
      </c>
      <c r="U34" s="463">
        <f t="shared" si="9"/>
        <v>4</v>
      </c>
      <c r="V34" s="463">
        <f t="shared" si="9"/>
        <v>4</v>
      </c>
      <c r="W34" s="463">
        <f t="shared" si="9"/>
        <v>4</v>
      </c>
      <c r="X34" s="463">
        <f t="shared" si="9"/>
        <v>4</v>
      </c>
      <c r="Y34" s="463">
        <f t="shared" si="9"/>
        <v>4</v>
      </c>
      <c r="Z34" s="463">
        <f t="shared" si="9"/>
        <v>4</v>
      </c>
      <c r="AA34" s="463">
        <f t="shared" si="9"/>
        <v>4</v>
      </c>
      <c r="AB34" s="464">
        <f t="shared" si="9"/>
        <v>4</v>
      </c>
      <c r="AC34" s="2524"/>
      <c r="AD34" s="2524"/>
      <c r="AE34" s="2524"/>
      <c r="AF34" s="2524"/>
    </row>
    <row r="35" spans="1:135" s="3019" customFormat="1">
      <c r="A35" s="3013"/>
      <c r="B35" s="4571"/>
      <c r="C35" s="2925" t="s">
        <v>714</v>
      </c>
      <c r="D35" s="459"/>
      <c r="E35" s="458">
        <v>0</v>
      </c>
      <c r="F35" s="458">
        <v>4</v>
      </c>
      <c r="G35" s="458">
        <f>+F35</f>
        <v>4</v>
      </c>
      <c r="H35" s="460">
        <f t="shared" ref="H35:AB35" si="10">+G35</f>
        <v>4</v>
      </c>
      <c r="I35" s="459">
        <f t="shared" si="10"/>
        <v>4</v>
      </c>
      <c r="J35" s="458">
        <f t="shared" si="10"/>
        <v>4</v>
      </c>
      <c r="K35" s="458">
        <f t="shared" si="10"/>
        <v>4</v>
      </c>
      <c r="L35" s="458">
        <f t="shared" si="10"/>
        <v>4</v>
      </c>
      <c r="M35" s="460">
        <f t="shared" si="10"/>
        <v>4</v>
      </c>
      <c r="N35" s="413">
        <f t="shared" si="10"/>
        <v>4</v>
      </c>
      <c r="O35" s="458">
        <f t="shared" si="10"/>
        <v>4</v>
      </c>
      <c r="P35" s="458">
        <f t="shared" si="10"/>
        <v>4</v>
      </c>
      <c r="Q35" s="458">
        <f t="shared" si="10"/>
        <v>4</v>
      </c>
      <c r="R35" s="458">
        <f t="shared" si="10"/>
        <v>4</v>
      </c>
      <c r="S35" s="458">
        <f t="shared" si="10"/>
        <v>4</v>
      </c>
      <c r="T35" s="458">
        <f t="shared" si="10"/>
        <v>4</v>
      </c>
      <c r="U35" s="458">
        <f t="shared" si="10"/>
        <v>4</v>
      </c>
      <c r="V35" s="458">
        <f t="shared" si="10"/>
        <v>4</v>
      </c>
      <c r="W35" s="458">
        <f t="shared" si="10"/>
        <v>4</v>
      </c>
      <c r="X35" s="458">
        <f t="shared" si="10"/>
        <v>4</v>
      </c>
      <c r="Y35" s="458">
        <f t="shared" si="10"/>
        <v>4</v>
      </c>
      <c r="Z35" s="458">
        <f t="shared" si="10"/>
        <v>4</v>
      </c>
      <c r="AA35" s="458">
        <f t="shared" si="10"/>
        <v>4</v>
      </c>
      <c r="AB35" s="460">
        <f t="shared" si="10"/>
        <v>4</v>
      </c>
      <c r="AC35" s="2524"/>
      <c r="AD35" s="2524"/>
      <c r="AE35" s="2524"/>
      <c r="AF35" s="2524"/>
    </row>
    <row r="36" spans="1:135" s="3019" customFormat="1">
      <c r="A36" s="3013"/>
      <c r="B36" s="4571"/>
      <c r="C36" s="2925" t="s">
        <v>68</v>
      </c>
      <c r="D36" s="462">
        <f t="shared" ref="D36:AB36" si="11">IF(ISERROR(AVERAGE(D34:D35)),0,AVERAGE(D34:D35))</f>
        <v>0</v>
      </c>
      <c r="E36" s="463">
        <f t="shared" si="11"/>
        <v>0</v>
      </c>
      <c r="F36" s="463">
        <f t="shared" si="11"/>
        <v>2</v>
      </c>
      <c r="G36" s="463">
        <f t="shared" si="11"/>
        <v>2</v>
      </c>
      <c r="H36" s="464">
        <f t="shared" si="11"/>
        <v>4</v>
      </c>
      <c r="I36" s="462">
        <f t="shared" si="11"/>
        <v>4</v>
      </c>
      <c r="J36" s="463">
        <f t="shared" si="11"/>
        <v>4</v>
      </c>
      <c r="K36" s="463">
        <f t="shared" si="11"/>
        <v>4</v>
      </c>
      <c r="L36" s="463">
        <f t="shared" si="11"/>
        <v>4</v>
      </c>
      <c r="M36" s="464">
        <f t="shared" si="11"/>
        <v>4</v>
      </c>
      <c r="N36" s="513">
        <f t="shared" si="11"/>
        <v>4</v>
      </c>
      <c r="O36" s="463">
        <f t="shared" si="11"/>
        <v>4</v>
      </c>
      <c r="P36" s="463">
        <f t="shared" si="11"/>
        <v>4</v>
      </c>
      <c r="Q36" s="463">
        <f t="shared" si="11"/>
        <v>4</v>
      </c>
      <c r="R36" s="463">
        <f t="shared" si="11"/>
        <v>4</v>
      </c>
      <c r="S36" s="463">
        <f t="shared" si="11"/>
        <v>4</v>
      </c>
      <c r="T36" s="463">
        <f t="shared" si="11"/>
        <v>4</v>
      </c>
      <c r="U36" s="463">
        <f t="shared" si="11"/>
        <v>4</v>
      </c>
      <c r="V36" s="463">
        <f t="shared" si="11"/>
        <v>4</v>
      </c>
      <c r="W36" s="463">
        <f t="shared" si="11"/>
        <v>4</v>
      </c>
      <c r="X36" s="463">
        <f t="shared" si="11"/>
        <v>4</v>
      </c>
      <c r="Y36" s="463">
        <f t="shared" si="11"/>
        <v>4</v>
      </c>
      <c r="Z36" s="463">
        <f t="shared" si="11"/>
        <v>4</v>
      </c>
      <c r="AA36" s="463">
        <f t="shared" si="11"/>
        <v>4</v>
      </c>
      <c r="AB36" s="464">
        <f t="shared" si="11"/>
        <v>4</v>
      </c>
      <c r="AC36" s="2524"/>
      <c r="AD36" s="2524"/>
      <c r="AE36" s="2524"/>
      <c r="AF36" s="2524"/>
    </row>
    <row r="37" spans="1:135" s="3019" customFormat="1">
      <c r="A37" s="3013"/>
      <c r="B37" s="4571"/>
      <c r="C37" s="2925" t="s">
        <v>69</v>
      </c>
      <c r="D37" s="459">
        <f>+D35-D34+D38</f>
        <v>0</v>
      </c>
      <c r="E37" s="458">
        <f t="shared" ref="E37:H37" si="12">+E35-E34+E38</f>
        <v>0</v>
      </c>
      <c r="F37" s="458">
        <f t="shared" si="12"/>
        <v>4</v>
      </c>
      <c r="G37" s="458">
        <f t="shared" si="12"/>
        <v>4</v>
      </c>
      <c r="H37" s="460">
        <f t="shared" si="12"/>
        <v>0</v>
      </c>
      <c r="I37" s="459">
        <f>+I35-I34+I38</f>
        <v>0</v>
      </c>
      <c r="J37" s="458">
        <f t="shared" ref="J37:AB37" si="13">+J35-J34+J38</f>
        <v>0</v>
      </c>
      <c r="K37" s="458">
        <f t="shared" si="13"/>
        <v>0</v>
      </c>
      <c r="L37" s="458">
        <f t="shared" si="13"/>
        <v>0</v>
      </c>
      <c r="M37" s="460">
        <f t="shared" si="13"/>
        <v>0</v>
      </c>
      <c r="N37" s="413">
        <f t="shared" si="13"/>
        <v>0</v>
      </c>
      <c r="O37" s="458">
        <f t="shared" si="13"/>
        <v>0</v>
      </c>
      <c r="P37" s="458">
        <f t="shared" si="13"/>
        <v>0</v>
      </c>
      <c r="Q37" s="458">
        <f t="shared" si="13"/>
        <v>0</v>
      </c>
      <c r="R37" s="458">
        <f t="shared" si="13"/>
        <v>0</v>
      </c>
      <c r="S37" s="458">
        <f t="shared" si="13"/>
        <v>0</v>
      </c>
      <c r="T37" s="458">
        <f t="shared" si="13"/>
        <v>0</v>
      </c>
      <c r="U37" s="458">
        <f t="shared" si="13"/>
        <v>0</v>
      </c>
      <c r="V37" s="458">
        <f t="shared" si="13"/>
        <v>0</v>
      </c>
      <c r="W37" s="458">
        <f t="shared" si="13"/>
        <v>0</v>
      </c>
      <c r="X37" s="458">
        <f t="shared" si="13"/>
        <v>0</v>
      </c>
      <c r="Y37" s="458">
        <f t="shared" si="13"/>
        <v>0</v>
      </c>
      <c r="Z37" s="458">
        <f t="shared" si="13"/>
        <v>0</v>
      </c>
      <c r="AA37" s="458">
        <f t="shared" si="13"/>
        <v>0</v>
      </c>
      <c r="AB37" s="460">
        <f t="shared" si="13"/>
        <v>0</v>
      </c>
      <c r="AC37" s="2524"/>
      <c r="AD37" s="2524"/>
      <c r="AE37" s="2524"/>
      <c r="AF37" s="2524"/>
    </row>
    <row r="38" spans="1:135" s="3019" customFormat="1" ht="13.5" thickBot="1">
      <c r="A38" s="3013"/>
      <c r="B38" s="4572"/>
      <c r="C38" s="3105" t="s">
        <v>58</v>
      </c>
      <c r="D38" s="1440">
        <v>0</v>
      </c>
      <c r="E38" s="411">
        <v>0</v>
      </c>
      <c r="F38" s="411">
        <v>0</v>
      </c>
      <c r="G38" s="411">
        <v>0</v>
      </c>
      <c r="H38" s="570">
        <v>0</v>
      </c>
      <c r="I38" s="1440">
        <v>0</v>
      </c>
      <c r="J38" s="411">
        <v>0</v>
      </c>
      <c r="K38" s="411">
        <v>0</v>
      </c>
      <c r="L38" s="411">
        <v>0</v>
      </c>
      <c r="M38" s="570">
        <v>0</v>
      </c>
      <c r="N38" s="1439">
        <v>0</v>
      </c>
      <c r="O38" s="411">
        <v>0</v>
      </c>
      <c r="P38" s="411">
        <v>0</v>
      </c>
      <c r="Q38" s="411">
        <v>0</v>
      </c>
      <c r="R38" s="411">
        <v>0</v>
      </c>
      <c r="S38" s="411">
        <v>0</v>
      </c>
      <c r="T38" s="411">
        <v>0</v>
      </c>
      <c r="U38" s="411">
        <v>0</v>
      </c>
      <c r="V38" s="411">
        <v>0</v>
      </c>
      <c r="W38" s="411">
        <v>0</v>
      </c>
      <c r="X38" s="411">
        <v>0</v>
      </c>
      <c r="Y38" s="411">
        <v>0</v>
      </c>
      <c r="Z38" s="411">
        <v>0</v>
      </c>
      <c r="AA38" s="411">
        <v>0</v>
      </c>
      <c r="AB38" s="570">
        <v>0</v>
      </c>
      <c r="AC38" s="2524"/>
      <c r="AD38" s="2524"/>
      <c r="AE38" s="2524"/>
      <c r="AF38" s="2524"/>
    </row>
    <row r="39" spans="1:135" s="3019" customFormat="1">
      <c r="A39" s="3013"/>
      <c r="B39" s="4599" t="s">
        <v>63</v>
      </c>
      <c r="C39" s="3099" t="s">
        <v>713</v>
      </c>
      <c r="D39" s="478">
        <f>+D34</f>
        <v>0</v>
      </c>
      <c r="E39" s="479">
        <f t="shared" ref="E39:AB39" si="14">+E34</f>
        <v>0</v>
      </c>
      <c r="F39" s="479">
        <f t="shared" si="14"/>
        <v>0</v>
      </c>
      <c r="G39" s="479">
        <f t="shared" si="14"/>
        <v>0</v>
      </c>
      <c r="H39" s="1200">
        <f t="shared" si="14"/>
        <v>4</v>
      </c>
      <c r="I39" s="478">
        <f t="shared" si="14"/>
        <v>4</v>
      </c>
      <c r="J39" s="479">
        <f t="shared" si="14"/>
        <v>4</v>
      </c>
      <c r="K39" s="479">
        <f t="shared" si="14"/>
        <v>4</v>
      </c>
      <c r="L39" s="479">
        <f t="shared" si="14"/>
        <v>4</v>
      </c>
      <c r="M39" s="425">
        <f t="shared" si="14"/>
        <v>4</v>
      </c>
      <c r="N39" s="1039">
        <f t="shared" si="14"/>
        <v>4</v>
      </c>
      <c r="O39" s="479">
        <f t="shared" si="14"/>
        <v>4</v>
      </c>
      <c r="P39" s="479">
        <f t="shared" si="14"/>
        <v>4</v>
      </c>
      <c r="Q39" s="479">
        <f t="shared" si="14"/>
        <v>4</v>
      </c>
      <c r="R39" s="479">
        <f t="shared" si="14"/>
        <v>4</v>
      </c>
      <c r="S39" s="479">
        <f t="shared" si="14"/>
        <v>4</v>
      </c>
      <c r="T39" s="479">
        <f t="shared" si="14"/>
        <v>4</v>
      </c>
      <c r="U39" s="479">
        <f t="shared" si="14"/>
        <v>4</v>
      </c>
      <c r="V39" s="479">
        <f t="shared" si="14"/>
        <v>4</v>
      </c>
      <c r="W39" s="479">
        <f t="shared" si="14"/>
        <v>4</v>
      </c>
      <c r="X39" s="479">
        <f t="shared" si="14"/>
        <v>4</v>
      </c>
      <c r="Y39" s="479">
        <f t="shared" si="14"/>
        <v>4</v>
      </c>
      <c r="Z39" s="479">
        <f t="shared" si="14"/>
        <v>4</v>
      </c>
      <c r="AA39" s="479">
        <f t="shared" si="14"/>
        <v>4</v>
      </c>
      <c r="AB39" s="1535">
        <f t="shared" si="14"/>
        <v>4</v>
      </c>
      <c r="AC39" s="2524"/>
      <c r="AD39" s="2524"/>
      <c r="AE39" s="2524"/>
      <c r="AF39" s="2524"/>
    </row>
    <row r="40" spans="1:135" s="3019" customFormat="1">
      <c r="A40" s="3013"/>
      <c r="B40" s="4600"/>
      <c r="C40" s="3099" t="s">
        <v>714</v>
      </c>
      <c r="D40" s="478">
        <f t="shared" ref="D40:AB43" si="15">+D35</f>
        <v>0</v>
      </c>
      <c r="E40" s="479">
        <f t="shared" si="15"/>
        <v>0</v>
      </c>
      <c r="F40" s="479">
        <f t="shared" si="15"/>
        <v>4</v>
      </c>
      <c r="G40" s="479">
        <f t="shared" si="15"/>
        <v>4</v>
      </c>
      <c r="H40" s="1200">
        <f t="shared" si="15"/>
        <v>4</v>
      </c>
      <c r="I40" s="478">
        <f t="shared" si="15"/>
        <v>4</v>
      </c>
      <c r="J40" s="479">
        <f t="shared" si="15"/>
        <v>4</v>
      </c>
      <c r="K40" s="479">
        <f t="shared" si="15"/>
        <v>4</v>
      </c>
      <c r="L40" s="479">
        <f t="shared" si="15"/>
        <v>4</v>
      </c>
      <c r="M40" s="425">
        <f t="shared" si="15"/>
        <v>4</v>
      </c>
      <c r="N40" s="1039">
        <f t="shared" si="15"/>
        <v>4</v>
      </c>
      <c r="O40" s="479">
        <f t="shared" si="15"/>
        <v>4</v>
      </c>
      <c r="P40" s="479">
        <f t="shared" si="15"/>
        <v>4</v>
      </c>
      <c r="Q40" s="479">
        <f t="shared" si="15"/>
        <v>4</v>
      </c>
      <c r="R40" s="479">
        <f t="shared" si="15"/>
        <v>4</v>
      </c>
      <c r="S40" s="479">
        <f t="shared" si="15"/>
        <v>4</v>
      </c>
      <c r="T40" s="479">
        <f t="shared" si="15"/>
        <v>4</v>
      </c>
      <c r="U40" s="479">
        <f t="shared" si="15"/>
        <v>4</v>
      </c>
      <c r="V40" s="479">
        <f t="shared" si="15"/>
        <v>4</v>
      </c>
      <c r="W40" s="479">
        <f t="shared" si="15"/>
        <v>4</v>
      </c>
      <c r="X40" s="479">
        <f t="shared" si="15"/>
        <v>4</v>
      </c>
      <c r="Y40" s="479">
        <f t="shared" si="15"/>
        <v>4</v>
      </c>
      <c r="Z40" s="479">
        <f t="shared" si="15"/>
        <v>4</v>
      </c>
      <c r="AA40" s="479">
        <f t="shared" si="15"/>
        <v>4</v>
      </c>
      <c r="AB40" s="1535">
        <f t="shared" si="15"/>
        <v>4</v>
      </c>
      <c r="AC40" s="2524"/>
      <c r="AD40" s="2524"/>
      <c r="AE40" s="2524"/>
      <c r="AF40" s="2524"/>
    </row>
    <row r="41" spans="1:135" s="3019" customFormat="1">
      <c r="A41" s="3013"/>
      <c r="B41" s="4600"/>
      <c r="C41" s="3100" t="s">
        <v>68</v>
      </c>
      <c r="D41" s="478">
        <f t="shared" si="15"/>
        <v>0</v>
      </c>
      <c r="E41" s="479">
        <f t="shared" si="15"/>
        <v>0</v>
      </c>
      <c r="F41" s="479">
        <f t="shared" si="15"/>
        <v>2</v>
      </c>
      <c r="G41" s="479">
        <f t="shared" si="15"/>
        <v>2</v>
      </c>
      <c r="H41" s="1200">
        <f t="shared" si="15"/>
        <v>4</v>
      </c>
      <c r="I41" s="478">
        <f t="shared" si="15"/>
        <v>4</v>
      </c>
      <c r="J41" s="479">
        <f t="shared" si="15"/>
        <v>4</v>
      </c>
      <c r="K41" s="479">
        <f t="shared" si="15"/>
        <v>4</v>
      </c>
      <c r="L41" s="479">
        <f t="shared" si="15"/>
        <v>4</v>
      </c>
      <c r="M41" s="425">
        <f t="shared" si="15"/>
        <v>4</v>
      </c>
      <c r="N41" s="1039">
        <f t="shared" si="15"/>
        <v>4</v>
      </c>
      <c r="O41" s="479">
        <f t="shared" si="15"/>
        <v>4</v>
      </c>
      <c r="P41" s="479">
        <f t="shared" si="15"/>
        <v>4</v>
      </c>
      <c r="Q41" s="479">
        <f t="shared" si="15"/>
        <v>4</v>
      </c>
      <c r="R41" s="479">
        <f t="shared" si="15"/>
        <v>4</v>
      </c>
      <c r="S41" s="479">
        <f t="shared" si="15"/>
        <v>4</v>
      </c>
      <c r="T41" s="479">
        <f t="shared" si="15"/>
        <v>4</v>
      </c>
      <c r="U41" s="479">
        <f t="shared" si="15"/>
        <v>4</v>
      </c>
      <c r="V41" s="479">
        <f t="shared" si="15"/>
        <v>4</v>
      </c>
      <c r="W41" s="479">
        <f t="shared" si="15"/>
        <v>4</v>
      </c>
      <c r="X41" s="479">
        <f t="shared" si="15"/>
        <v>4</v>
      </c>
      <c r="Y41" s="479">
        <f t="shared" si="15"/>
        <v>4</v>
      </c>
      <c r="Z41" s="479">
        <f t="shared" si="15"/>
        <v>4</v>
      </c>
      <c r="AA41" s="479">
        <f t="shared" si="15"/>
        <v>4</v>
      </c>
      <c r="AB41" s="1535">
        <f t="shared" si="15"/>
        <v>4</v>
      </c>
      <c r="AC41" s="2524"/>
      <c r="AD41" s="2524"/>
      <c r="AE41" s="2524"/>
      <c r="AF41" s="2524"/>
    </row>
    <row r="42" spans="1:135" s="3019" customFormat="1">
      <c r="A42" s="3013"/>
      <c r="B42" s="4600"/>
      <c r="C42" s="3100" t="s">
        <v>69</v>
      </c>
      <c r="D42" s="478">
        <f t="shared" si="15"/>
        <v>0</v>
      </c>
      <c r="E42" s="479">
        <f t="shared" si="15"/>
        <v>0</v>
      </c>
      <c r="F42" s="479">
        <f t="shared" si="15"/>
        <v>4</v>
      </c>
      <c r="G42" s="479">
        <f t="shared" si="15"/>
        <v>4</v>
      </c>
      <c r="H42" s="1200">
        <f t="shared" si="15"/>
        <v>0</v>
      </c>
      <c r="I42" s="478">
        <f t="shared" si="15"/>
        <v>0</v>
      </c>
      <c r="J42" s="479">
        <f t="shared" si="15"/>
        <v>0</v>
      </c>
      <c r="K42" s="479">
        <f t="shared" si="15"/>
        <v>0</v>
      </c>
      <c r="L42" s="479">
        <f t="shared" si="15"/>
        <v>0</v>
      </c>
      <c r="M42" s="425">
        <f t="shared" si="15"/>
        <v>0</v>
      </c>
      <c r="N42" s="1039">
        <f t="shared" si="15"/>
        <v>0</v>
      </c>
      <c r="O42" s="479">
        <f t="shared" si="15"/>
        <v>0</v>
      </c>
      <c r="P42" s="479">
        <f t="shared" si="15"/>
        <v>0</v>
      </c>
      <c r="Q42" s="479">
        <f t="shared" si="15"/>
        <v>0</v>
      </c>
      <c r="R42" s="479">
        <f t="shared" si="15"/>
        <v>0</v>
      </c>
      <c r="S42" s="479">
        <f t="shared" si="15"/>
        <v>0</v>
      </c>
      <c r="T42" s="479">
        <f t="shared" si="15"/>
        <v>0</v>
      </c>
      <c r="U42" s="479">
        <f t="shared" si="15"/>
        <v>0</v>
      </c>
      <c r="V42" s="479">
        <f t="shared" si="15"/>
        <v>0</v>
      </c>
      <c r="W42" s="479">
        <f t="shared" si="15"/>
        <v>0</v>
      </c>
      <c r="X42" s="479">
        <f t="shared" si="15"/>
        <v>0</v>
      </c>
      <c r="Y42" s="479">
        <f t="shared" si="15"/>
        <v>0</v>
      </c>
      <c r="Z42" s="479">
        <f t="shared" si="15"/>
        <v>0</v>
      </c>
      <c r="AA42" s="479">
        <f t="shared" si="15"/>
        <v>0</v>
      </c>
      <c r="AB42" s="1535">
        <f t="shared" si="15"/>
        <v>0</v>
      </c>
      <c r="AC42" s="2524"/>
      <c r="AD42" s="2524"/>
      <c r="AE42" s="2524"/>
      <c r="AF42" s="2524"/>
    </row>
    <row r="43" spans="1:135" s="3019" customFormat="1" ht="13.5" thickBot="1">
      <c r="A43" s="3013"/>
      <c r="B43" s="4601"/>
      <c r="C43" s="3101" t="s">
        <v>58</v>
      </c>
      <c r="D43" s="478">
        <f t="shared" si="15"/>
        <v>0</v>
      </c>
      <c r="E43" s="1536">
        <f t="shared" si="15"/>
        <v>0</v>
      </c>
      <c r="F43" s="1536">
        <f t="shared" si="15"/>
        <v>0</v>
      </c>
      <c r="G43" s="1536">
        <f t="shared" si="15"/>
        <v>0</v>
      </c>
      <c r="H43" s="1537">
        <f t="shared" si="15"/>
        <v>0</v>
      </c>
      <c r="I43" s="3102">
        <f t="shared" si="15"/>
        <v>0</v>
      </c>
      <c r="J43" s="1536">
        <f t="shared" si="15"/>
        <v>0</v>
      </c>
      <c r="K43" s="1536">
        <f t="shared" si="15"/>
        <v>0</v>
      </c>
      <c r="L43" s="1536">
        <f t="shared" si="15"/>
        <v>0</v>
      </c>
      <c r="M43" s="1538">
        <f t="shared" si="15"/>
        <v>0</v>
      </c>
      <c r="N43" s="1539">
        <f t="shared" si="15"/>
        <v>0</v>
      </c>
      <c r="O43" s="1536">
        <f t="shared" si="15"/>
        <v>0</v>
      </c>
      <c r="P43" s="1536">
        <f t="shared" si="15"/>
        <v>0</v>
      </c>
      <c r="Q43" s="1536">
        <f t="shared" si="15"/>
        <v>0</v>
      </c>
      <c r="R43" s="1536">
        <f t="shared" si="15"/>
        <v>0</v>
      </c>
      <c r="S43" s="1536">
        <f t="shared" si="15"/>
        <v>0</v>
      </c>
      <c r="T43" s="1536">
        <f t="shared" si="15"/>
        <v>0</v>
      </c>
      <c r="U43" s="1536">
        <f t="shared" si="15"/>
        <v>0</v>
      </c>
      <c r="V43" s="1536">
        <f t="shared" si="15"/>
        <v>0</v>
      </c>
      <c r="W43" s="1536">
        <f t="shared" si="15"/>
        <v>0</v>
      </c>
      <c r="X43" s="1536">
        <f t="shared" si="15"/>
        <v>0</v>
      </c>
      <c r="Y43" s="1536">
        <f t="shared" si="15"/>
        <v>0</v>
      </c>
      <c r="Z43" s="1536">
        <f t="shared" si="15"/>
        <v>0</v>
      </c>
      <c r="AA43" s="1536">
        <f t="shared" si="15"/>
        <v>0</v>
      </c>
      <c r="AB43" s="1540">
        <f t="shared" si="15"/>
        <v>0</v>
      </c>
      <c r="AC43" s="2524"/>
      <c r="AD43" s="2524"/>
      <c r="AE43" s="2524"/>
      <c r="AF43" s="2524"/>
    </row>
    <row r="44" spans="1:135" ht="47.25" customHeight="1" thickBot="1">
      <c r="D44" s="3020"/>
      <c r="E44" s="3020"/>
      <c r="F44" s="3020"/>
      <c r="G44" s="3020"/>
      <c r="H44" s="3020"/>
      <c r="I44" s="3020"/>
      <c r="J44" s="3020"/>
      <c r="K44" s="3020"/>
      <c r="L44" s="3020"/>
      <c r="M44" s="3020"/>
      <c r="N44" s="3020"/>
      <c r="O44" s="3020"/>
      <c r="P44" s="3020"/>
      <c r="Q44" s="3020"/>
      <c r="R44" s="3020"/>
      <c r="S44" s="3020"/>
      <c r="T44" s="3020"/>
      <c r="U44" s="3020"/>
      <c r="V44" s="3020"/>
      <c r="W44" s="3020"/>
      <c r="X44" s="3020"/>
      <c r="Y44" s="3020"/>
      <c r="Z44" s="3020"/>
      <c r="AA44" s="3020"/>
      <c r="AB44" s="3020"/>
    </row>
    <row r="45" spans="1:135" s="3019" customFormat="1" ht="18.75" customHeight="1" thickBot="1">
      <c r="A45" s="3013"/>
      <c r="B45" s="3087" t="s">
        <v>1660</v>
      </c>
      <c r="C45" s="3088"/>
      <c r="D45" s="3088"/>
      <c r="E45" s="3088"/>
      <c r="F45" s="3088"/>
      <c r="G45" s="3088"/>
      <c r="H45" s="3088"/>
      <c r="I45" s="3088"/>
      <c r="J45" s="3088"/>
      <c r="K45" s="3088"/>
      <c r="L45" s="3088"/>
      <c r="M45" s="3088"/>
      <c r="N45" s="3088"/>
      <c r="O45" s="3088"/>
      <c r="P45" s="3088"/>
      <c r="Q45" s="3088"/>
      <c r="R45" s="3088"/>
      <c r="S45" s="3088"/>
      <c r="T45" s="3088"/>
      <c r="U45" s="3088"/>
      <c r="V45" s="3088"/>
      <c r="W45" s="3088"/>
      <c r="X45" s="3088"/>
      <c r="Y45" s="3088"/>
      <c r="Z45" s="3088"/>
      <c r="AA45" s="3088"/>
      <c r="AB45" s="3089"/>
      <c r="AC45" s="2524"/>
      <c r="AD45" s="2524"/>
      <c r="AE45" s="2524"/>
      <c r="AF45" s="2524"/>
      <c r="DF45" s="2524"/>
      <c r="DG45" s="2524"/>
      <c r="DH45" s="2524"/>
      <c r="DI45" s="2524"/>
      <c r="DJ45" s="2524"/>
      <c r="DK45" s="2524"/>
      <c r="DL45" s="2524"/>
      <c r="DM45" s="2524"/>
      <c r="DN45" s="2524"/>
      <c r="DO45" s="2524"/>
      <c r="DP45" s="2524"/>
      <c r="DQ45" s="2524"/>
      <c r="DR45" s="2524"/>
      <c r="DS45" s="2524"/>
      <c r="DT45" s="2524"/>
      <c r="DU45" s="2524"/>
      <c r="DV45" s="2524"/>
      <c r="DW45" s="2524"/>
      <c r="DX45" s="2524"/>
      <c r="DY45" s="2524"/>
      <c r="DZ45" s="2524"/>
      <c r="EA45" s="2524"/>
      <c r="EB45" s="2524"/>
      <c r="EC45" s="2524"/>
      <c r="ED45" s="2524"/>
      <c r="EE45" s="2524"/>
    </row>
    <row r="46" spans="1:135" s="3019" customFormat="1">
      <c r="A46" s="3013"/>
      <c r="B46" s="4602" t="s">
        <v>713</v>
      </c>
      <c r="C46" s="4603"/>
      <c r="D46" s="3107"/>
      <c r="E46" s="463">
        <f>D47</f>
        <v>0</v>
      </c>
      <c r="F46" s="463">
        <f t="shared" ref="F46:AB46" si="16">E47</f>
        <v>0</v>
      </c>
      <c r="G46" s="463">
        <f>E47</f>
        <v>0</v>
      </c>
      <c r="H46" s="463">
        <f>F47</f>
        <v>0</v>
      </c>
      <c r="I46" s="463">
        <f t="shared" si="16"/>
        <v>0</v>
      </c>
      <c r="J46" s="463">
        <f t="shared" si="16"/>
        <v>0</v>
      </c>
      <c r="K46" s="463">
        <f t="shared" si="16"/>
        <v>0</v>
      </c>
      <c r="L46" s="463">
        <f t="shared" si="16"/>
        <v>0</v>
      </c>
      <c r="M46" s="464">
        <f t="shared" si="16"/>
        <v>0</v>
      </c>
      <c r="N46" s="513">
        <f t="shared" si="16"/>
        <v>0</v>
      </c>
      <c r="O46" s="463">
        <f t="shared" si="16"/>
        <v>0</v>
      </c>
      <c r="P46" s="463">
        <f t="shared" si="16"/>
        <v>0</v>
      </c>
      <c r="Q46" s="463">
        <f t="shared" si="16"/>
        <v>0</v>
      </c>
      <c r="R46" s="463">
        <f t="shared" si="16"/>
        <v>0</v>
      </c>
      <c r="S46" s="463">
        <f t="shared" si="16"/>
        <v>0</v>
      </c>
      <c r="T46" s="463">
        <f t="shared" si="16"/>
        <v>0</v>
      </c>
      <c r="U46" s="463">
        <f t="shared" si="16"/>
        <v>0</v>
      </c>
      <c r="V46" s="463">
        <f t="shared" si="16"/>
        <v>0</v>
      </c>
      <c r="W46" s="463">
        <f t="shared" si="16"/>
        <v>0</v>
      </c>
      <c r="X46" s="463">
        <f t="shared" si="16"/>
        <v>0</v>
      </c>
      <c r="Y46" s="463">
        <f t="shared" si="16"/>
        <v>0</v>
      </c>
      <c r="Z46" s="463">
        <f t="shared" si="16"/>
        <v>0</v>
      </c>
      <c r="AA46" s="463">
        <f t="shared" si="16"/>
        <v>0</v>
      </c>
      <c r="AB46" s="464">
        <f t="shared" si="16"/>
        <v>0</v>
      </c>
      <c r="AC46" s="2524"/>
      <c r="AD46" s="2524"/>
      <c r="AE46" s="2524"/>
      <c r="AF46" s="2524"/>
    </row>
    <row r="47" spans="1:135" s="3019" customFormat="1">
      <c r="A47" s="3013"/>
      <c r="B47" s="4595" t="s">
        <v>714</v>
      </c>
      <c r="C47" s="4596"/>
      <c r="D47" s="3063"/>
      <c r="E47" s="3064"/>
      <c r="F47" s="3064"/>
      <c r="G47" s="3064"/>
      <c r="H47" s="3064"/>
      <c r="I47" s="3063"/>
      <c r="J47" s="3064"/>
      <c r="K47" s="3064"/>
      <c r="L47" s="3064"/>
      <c r="M47" s="3030"/>
      <c r="N47" s="3065"/>
      <c r="O47" s="3064"/>
      <c r="P47" s="3064"/>
      <c r="Q47" s="3064"/>
      <c r="R47" s="3064"/>
      <c r="S47" s="3064"/>
      <c r="T47" s="3064"/>
      <c r="U47" s="3064"/>
      <c r="V47" s="3064"/>
      <c r="W47" s="3064"/>
      <c r="X47" s="3064"/>
      <c r="Y47" s="3064"/>
      <c r="Z47" s="3064"/>
      <c r="AA47" s="3064"/>
      <c r="AB47" s="3030"/>
      <c r="AC47" s="2524"/>
      <c r="AD47" s="2524"/>
      <c r="AE47" s="2524"/>
      <c r="AF47" s="2524"/>
    </row>
    <row r="48" spans="1:135" s="3019" customFormat="1">
      <c r="A48" s="3013"/>
      <c r="B48" s="4595" t="s">
        <v>68</v>
      </c>
      <c r="C48" s="4596"/>
      <c r="D48" s="462">
        <f t="shared" ref="D48:AB48" si="17">IF(ISERROR(AVERAGE(D46:D47)),0,AVERAGE(D46:D47))</f>
        <v>0</v>
      </c>
      <c r="E48" s="463">
        <f t="shared" si="17"/>
        <v>0</v>
      </c>
      <c r="F48" s="463">
        <f t="shared" si="17"/>
        <v>0</v>
      </c>
      <c r="G48" s="463">
        <f t="shared" si="17"/>
        <v>0</v>
      </c>
      <c r="H48" s="463">
        <f t="shared" si="17"/>
        <v>0</v>
      </c>
      <c r="I48" s="462">
        <f t="shared" si="17"/>
        <v>0</v>
      </c>
      <c r="J48" s="463">
        <f t="shared" si="17"/>
        <v>0</v>
      </c>
      <c r="K48" s="463">
        <f t="shared" si="17"/>
        <v>0</v>
      </c>
      <c r="L48" s="463">
        <f t="shared" si="17"/>
        <v>0</v>
      </c>
      <c r="M48" s="464">
        <f t="shared" si="17"/>
        <v>0</v>
      </c>
      <c r="N48" s="513">
        <f t="shared" si="17"/>
        <v>0</v>
      </c>
      <c r="O48" s="463">
        <f t="shared" si="17"/>
        <v>0</v>
      </c>
      <c r="P48" s="463">
        <f t="shared" si="17"/>
        <v>0</v>
      </c>
      <c r="Q48" s="463">
        <f t="shared" si="17"/>
        <v>0</v>
      </c>
      <c r="R48" s="463">
        <f t="shared" si="17"/>
        <v>0</v>
      </c>
      <c r="S48" s="463">
        <f t="shared" si="17"/>
        <v>0</v>
      </c>
      <c r="T48" s="463">
        <f t="shared" si="17"/>
        <v>0</v>
      </c>
      <c r="U48" s="463">
        <f t="shared" si="17"/>
        <v>0</v>
      </c>
      <c r="V48" s="463">
        <f t="shared" si="17"/>
        <v>0</v>
      </c>
      <c r="W48" s="463">
        <f t="shared" si="17"/>
        <v>0</v>
      </c>
      <c r="X48" s="463">
        <f t="shared" si="17"/>
        <v>0</v>
      </c>
      <c r="Y48" s="463">
        <f t="shared" si="17"/>
        <v>0</v>
      </c>
      <c r="Z48" s="463">
        <f t="shared" si="17"/>
        <v>0</v>
      </c>
      <c r="AA48" s="463">
        <f t="shared" si="17"/>
        <v>0</v>
      </c>
      <c r="AB48" s="464">
        <f t="shared" si="17"/>
        <v>0</v>
      </c>
      <c r="AC48" s="2524"/>
      <c r="AD48" s="2524"/>
      <c r="AE48" s="2524"/>
      <c r="AF48" s="2524"/>
    </row>
    <row r="49" spans="1:32" s="3019" customFormat="1">
      <c r="A49" s="3013"/>
      <c r="B49" s="4595" t="s">
        <v>69</v>
      </c>
      <c r="C49" s="4596"/>
      <c r="D49" s="3063"/>
      <c r="E49" s="3064"/>
      <c r="F49" s="3064"/>
      <c r="G49" s="3064"/>
      <c r="H49" s="3064"/>
      <c r="I49" s="3063"/>
      <c r="J49" s="3064"/>
      <c r="K49" s="3064"/>
      <c r="L49" s="3064"/>
      <c r="M49" s="3030"/>
      <c r="N49" s="3065"/>
      <c r="O49" s="3064"/>
      <c r="P49" s="3064"/>
      <c r="Q49" s="3064"/>
      <c r="R49" s="3064"/>
      <c r="S49" s="3064"/>
      <c r="T49" s="3064"/>
      <c r="U49" s="3064"/>
      <c r="V49" s="3064"/>
      <c r="W49" s="3064"/>
      <c r="X49" s="3064"/>
      <c r="Y49" s="3064"/>
      <c r="Z49" s="3064"/>
      <c r="AA49" s="3064"/>
      <c r="AB49" s="3030"/>
      <c r="AC49" s="2524"/>
      <c r="AD49" s="2524"/>
      <c r="AE49" s="2524"/>
      <c r="AF49" s="2524"/>
    </row>
    <row r="50" spans="1:32" s="3019" customFormat="1" ht="13.5" thickBot="1">
      <c r="A50" s="3013"/>
      <c r="B50" s="4597" t="s">
        <v>58</v>
      </c>
      <c r="C50" s="4598"/>
      <c r="D50" s="3068"/>
      <c r="E50" s="3069"/>
      <c r="F50" s="3069"/>
      <c r="G50" s="3069"/>
      <c r="H50" s="3069"/>
      <c r="I50" s="3068"/>
      <c r="J50" s="3069"/>
      <c r="K50" s="3069"/>
      <c r="L50" s="3069"/>
      <c r="M50" s="3070"/>
      <c r="N50" s="3071"/>
      <c r="O50" s="3069"/>
      <c r="P50" s="3069"/>
      <c r="Q50" s="3069"/>
      <c r="R50" s="3069"/>
      <c r="S50" s="3069"/>
      <c r="T50" s="3069"/>
      <c r="U50" s="3069"/>
      <c r="V50" s="3069"/>
      <c r="W50" s="3069"/>
      <c r="X50" s="3069"/>
      <c r="Y50" s="3069"/>
      <c r="Z50" s="3069"/>
      <c r="AA50" s="3069"/>
      <c r="AB50" s="3070"/>
      <c r="AC50" s="2524"/>
      <c r="AD50" s="2524"/>
      <c r="AE50" s="2524"/>
      <c r="AF50" s="2524"/>
    </row>
    <row r="51" spans="1:32" ht="44.25" customHeight="1" thickBot="1">
      <c r="A51" s="2771"/>
      <c r="B51" s="3108"/>
      <c r="C51" s="3109" t="s">
        <v>121</v>
      </c>
      <c r="D51" s="3110"/>
      <c r="E51" s="3111"/>
      <c r="F51" s="3111"/>
      <c r="G51" s="3111"/>
      <c r="H51" s="3111"/>
      <c r="I51" s="3111"/>
      <c r="J51" s="3111"/>
      <c r="K51" s="3111"/>
      <c r="L51" s="3111"/>
      <c r="M51" s="3111"/>
      <c r="N51" s="3111"/>
      <c r="O51" s="3111"/>
      <c r="P51" s="3111"/>
      <c r="Q51" s="3111"/>
      <c r="R51" s="3111"/>
      <c r="S51" s="3111"/>
      <c r="T51" s="3111"/>
      <c r="U51" s="3111"/>
      <c r="V51" s="3111"/>
      <c r="W51" s="3111"/>
      <c r="X51" s="3111"/>
      <c r="Y51" s="3111"/>
      <c r="Z51" s="3111"/>
      <c r="AA51" s="3111"/>
      <c r="AB51" s="3112"/>
    </row>
  </sheetData>
  <mergeCells count="20">
    <mergeCell ref="B49:C49"/>
    <mergeCell ref="B50:C50"/>
    <mergeCell ref="B28:B32"/>
    <mergeCell ref="B34:B38"/>
    <mergeCell ref="B39:B43"/>
    <mergeCell ref="B46:C46"/>
    <mergeCell ref="B47:C47"/>
    <mergeCell ref="B48:C48"/>
    <mergeCell ref="I17:M17"/>
    <mergeCell ref="N17:AB17"/>
    <mergeCell ref="D18:AB18"/>
    <mergeCell ref="D19:F19"/>
    <mergeCell ref="G19:AB19"/>
    <mergeCell ref="B23:B27"/>
    <mergeCell ref="B7:G7"/>
    <mergeCell ref="B8:G8"/>
    <mergeCell ref="B9:G9"/>
    <mergeCell ref="B10:G10"/>
    <mergeCell ref="B17:C20"/>
    <mergeCell ref="D17:H17"/>
  </mergeCells>
  <pageMargins left="0.75" right="0.75" top="1" bottom="1" header="0.5" footer="0.5"/>
  <pageSetup paperSize="9" orientation="portrait" r:id="rId1"/>
  <headerFooter alignWithMargins="0"/>
  <customProperties>
    <customPr name="_pios_id" r:id="rId2"/>
  </customProperties>
  <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EE58"/>
  <sheetViews>
    <sheetView showGridLines="0" topLeftCell="A7" zoomScale="70" zoomScaleNormal="70" workbookViewId="0">
      <selection activeCell="I22" sqref="I22"/>
    </sheetView>
  </sheetViews>
  <sheetFormatPr defaultRowHeight="12.75"/>
  <cols>
    <col min="1" max="1" width="16.28515625" style="2524" bestFit="1" customWidth="1"/>
    <col min="2" max="2" width="41.7109375" style="3082" customWidth="1"/>
    <col min="3" max="3" width="38" style="2524" customWidth="1"/>
    <col min="4" max="4" width="33.85546875" style="2524" bestFit="1" customWidth="1"/>
    <col min="5" max="28" width="15.7109375" style="2524" customWidth="1"/>
    <col min="29" max="29" width="13.85546875" style="2524" customWidth="1"/>
    <col min="30" max="254" width="9.140625" style="2524"/>
    <col min="255" max="255" width="16.28515625" style="2524" bestFit="1" customWidth="1"/>
    <col min="256" max="256" width="63.28515625" style="2524" customWidth="1"/>
    <col min="257" max="257" width="22" style="2524" customWidth="1"/>
    <col min="258" max="260" width="8" style="2524" bestFit="1" customWidth="1"/>
    <col min="261" max="261" width="13.85546875" style="2524" customWidth="1"/>
    <col min="262" max="262" width="17.28515625" style="2524" bestFit="1" customWidth="1"/>
    <col min="263" max="274" width="10.7109375" style="2524" bestFit="1" customWidth="1"/>
    <col min="275" max="510" width="9.140625" style="2524"/>
    <col min="511" max="511" width="16.28515625" style="2524" bestFit="1" customWidth="1"/>
    <col min="512" max="512" width="63.28515625" style="2524" customWidth="1"/>
    <col min="513" max="513" width="22" style="2524" customWidth="1"/>
    <col min="514" max="516" width="8" style="2524" bestFit="1" customWidth="1"/>
    <col min="517" max="517" width="13.85546875" style="2524" customWidth="1"/>
    <col min="518" max="518" width="17.28515625" style="2524" bestFit="1" customWidth="1"/>
    <col min="519" max="530" width="10.7109375" style="2524" bestFit="1" customWidth="1"/>
    <col min="531" max="766" width="9.140625" style="2524"/>
    <col min="767" max="767" width="16.28515625" style="2524" bestFit="1" customWidth="1"/>
    <col min="768" max="768" width="63.28515625" style="2524" customWidth="1"/>
    <col min="769" max="769" width="22" style="2524" customWidth="1"/>
    <col min="770" max="772" width="8" style="2524" bestFit="1" customWidth="1"/>
    <col min="773" max="773" width="13.85546875" style="2524" customWidth="1"/>
    <col min="774" max="774" width="17.28515625" style="2524" bestFit="1" customWidth="1"/>
    <col min="775" max="786" width="10.7109375" style="2524" bestFit="1" customWidth="1"/>
    <col min="787" max="1022" width="9.140625" style="2524"/>
    <col min="1023" max="1023" width="16.28515625" style="2524" bestFit="1" customWidth="1"/>
    <col min="1024" max="1024" width="63.28515625" style="2524" customWidth="1"/>
    <col min="1025" max="1025" width="22" style="2524" customWidth="1"/>
    <col min="1026" max="1028" width="8" style="2524" bestFit="1" customWidth="1"/>
    <col min="1029" max="1029" width="13.85546875" style="2524" customWidth="1"/>
    <col min="1030" max="1030" width="17.28515625" style="2524" bestFit="1" customWidth="1"/>
    <col min="1031" max="1042" width="10.7109375" style="2524" bestFit="1" customWidth="1"/>
    <col min="1043" max="1278" width="9.140625" style="2524"/>
    <col min="1279" max="1279" width="16.28515625" style="2524" bestFit="1" customWidth="1"/>
    <col min="1280" max="1280" width="63.28515625" style="2524" customWidth="1"/>
    <col min="1281" max="1281" width="22" style="2524" customWidth="1"/>
    <col min="1282" max="1284" width="8" style="2524" bestFit="1" customWidth="1"/>
    <col min="1285" max="1285" width="13.85546875" style="2524" customWidth="1"/>
    <col min="1286" max="1286" width="17.28515625" style="2524" bestFit="1" customWidth="1"/>
    <col min="1287" max="1298" width="10.7109375" style="2524" bestFit="1" customWidth="1"/>
    <col min="1299" max="1534" width="9.140625" style="2524"/>
    <col min="1535" max="1535" width="16.28515625" style="2524" bestFit="1" customWidth="1"/>
    <col min="1536" max="1536" width="63.28515625" style="2524" customWidth="1"/>
    <col min="1537" max="1537" width="22" style="2524" customWidth="1"/>
    <col min="1538" max="1540" width="8" style="2524" bestFit="1" customWidth="1"/>
    <col min="1541" max="1541" width="13.85546875" style="2524" customWidth="1"/>
    <col min="1542" max="1542" width="17.28515625" style="2524" bestFit="1" customWidth="1"/>
    <col min="1543" max="1554" width="10.7109375" style="2524" bestFit="1" customWidth="1"/>
    <col min="1555" max="1790" width="9.140625" style="2524"/>
    <col min="1791" max="1791" width="16.28515625" style="2524" bestFit="1" customWidth="1"/>
    <col min="1792" max="1792" width="63.28515625" style="2524" customWidth="1"/>
    <col min="1793" max="1793" width="22" style="2524" customWidth="1"/>
    <col min="1794" max="1796" width="8" style="2524" bestFit="1" customWidth="1"/>
    <col min="1797" max="1797" width="13.85546875" style="2524" customWidth="1"/>
    <col min="1798" max="1798" width="17.28515625" style="2524" bestFit="1" customWidth="1"/>
    <col min="1799" max="1810" width="10.7109375" style="2524" bestFit="1" customWidth="1"/>
    <col min="1811" max="2046" width="9.140625" style="2524"/>
    <col min="2047" max="2047" width="16.28515625" style="2524" bestFit="1" customWidth="1"/>
    <col min="2048" max="2048" width="63.28515625" style="2524" customWidth="1"/>
    <col min="2049" max="2049" width="22" style="2524" customWidth="1"/>
    <col min="2050" max="2052" width="8" style="2524" bestFit="1" customWidth="1"/>
    <col min="2053" max="2053" width="13.85546875" style="2524" customWidth="1"/>
    <col min="2054" max="2054" width="17.28515625" style="2524" bestFit="1" customWidth="1"/>
    <col min="2055" max="2066" width="10.7109375" style="2524" bestFit="1" customWidth="1"/>
    <col min="2067" max="2302" width="9.140625" style="2524"/>
    <col min="2303" max="2303" width="16.28515625" style="2524" bestFit="1" customWidth="1"/>
    <col min="2304" max="2304" width="63.28515625" style="2524" customWidth="1"/>
    <col min="2305" max="2305" width="22" style="2524" customWidth="1"/>
    <col min="2306" max="2308" width="8" style="2524" bestFit="1" customWidth="1"/>
    <col min="2309" max="2309" width="13.85546875" style="2524" customWidth="1"/>
    <col min="2310" max="2310" width="17.28515625" style="2524" bestFit="1" customWidth="1"/>
    <col min="2311" max="2322" width="10.7109375" style="2524" bestFit="1" customWidth="1"/>
    <col min="2323" max="2558" width="9.140625" style="2524"/>
    <col min="2559" max="2559" width="16.28515625" style="2524" bestFit="1" customWidth="1"/>
    <col min="2560" max="2560" width="63.28515625" style="2524" customWidth="1"/>
    <col min="2561" max="2561" width="22" style="2524" customWidth="1"/>
    <col min="2562" max="2564" width="8" style="2524" bestFit="1" customWidth="1"/>
    <col min="2565" max="2565" width="13.85546875" style="2524" customWidth="1"/>
    <col min="2566" max="2566" width="17.28515625" style="2524" bestFit="1" customWidth="1"/>
    <col min="2567" max="2578" width="10.7109375" style="2524" bestFit="1" customWidth="1"/>
    <col min="2579" max="2814" width="9.140625" style="2524"/>
    <col min="2815" max="2815" width="16.28515625" style="2524" bestFit="1" customWidth="1"/>
    <col min="2816" max="2816" width="63.28515625" style="2524" customWidth="1"/>
    <col min="2817" max="2817" width="22" style="2524" customWidth="1"/>
    <col min="2818" max="2820" width="8" style="2524" bestFit="1" customWidth="1"/>
    <col min="2821" max="2821" width="13.85546875" style="2524" customWidth="1"/>
    <col min="2822" max="2822" width="17.28515625" style="2524" bestFit="1" customWidth="1"/>
    <col min="2823" max="2834" width="10.7109375" style="2524" bestFit="1" customWidth="1"/>
    <col min="2835" max="3070" width="9.140625" style="2524"/>
    <col min="3071" max="3071" width="16.28515625" style="2524" bestFit="1" customWidth="1"/>
    <col min="3072" max="3072" width="63.28515625" style="2524" customWidth="1"/>
    <col min="3073" max="3073" width="22" style="2524" customWidth="1"/>
    <col min="3074" max="3076" width="8" style="2524" bestFit="1" customWidth="1"/>
    <col min="3077" max="3077" width="13.85546875" style="2524" customWidth="1"/>
    <col min="3078" max="3078" width="17.28515625" style="2524" bestFit="1" customWidth="1"/>
    <col min="3079" max="3090" width="10.7109375" style="2524" bestFit="1" customWidth="1"/>
    <col min="3091" max="3326" width="9.140625" style="2524"/>
    <col min="3327" max="3327" width="16.28515625" style="2524" bestFit="1" customWidth="1"/>
    <col min="3328" max="3328" width="63.28515625" style="2524" customWidth="1"/>
    <col min="3329" max="3329" width="22" style="2524" customWidth="1"/>
    <col min="3330" max="3332" width="8" style="2524" bestFit="1" customWidth="1"/>
    <col min="3333" max="3333" width="13.85546875" style="2524" customWidth="1"/>
    <col min="3334" max="3334" width="17.28515625" style="2524" bestFit="1" customWidth="1"/>
    <col min="3335" max="3346" width="10.7109375" style="2524" bestFit="1" customWidth="1"/>
    <col min="3347" max="3582" width="9.140625" style="2524"/>
    <col min="3583" max="3583" width="16.28515625" style="2524" bestFit="1" customWidth="1"/>
    <col min="3584" max="3584" width="63.28515625" style="2524" customWidth="1"/>
    <col min="3585" max="3585" width="22" style="2524" customWidth="1"/>
    <col min="3586" max="3588" width="8" style="2524" bestFit="1" customWidth="1"/>
    <col min="3589" max="3589" width="13.85546875" style="2524" customWidth="1"/>
    <col min="3590" max="3590" width="17.28515625" style="2524" bestFit="1" customWidth="1"/>
    <col min="3591" max="3602" width="10.7109375" style="2524" bestFit="1" customWidth="1"/>
    <col min="3603" max="3838" width="9.140625" style="2524"/>
    <col min="3839" max="3839" width="16.28515625" style="2524" bestFit="1" customWidth="1"/>
    <col min="3840" max="3840" width="63.28515625" style="2524" customWidth="1"/>
    <col min="3841" max="3841" width="22" style="2524" customWidth="1"/>
    <col min="3842" max="3844" width="8" style="2524" bestFit="1" customWidth="1"/>
    <col min="3845" max="3845" width="13.85546875" style="2524" customWidth="1"/>
    <col min="3846" max="3846" width="17.28515625" style="2524" bestFit="1" customWidth="1"/>
    <col min="3847" max="3858" width="10.7109375" style="2524" bestFit="1" customWidth="1"/>
    <col min="3859" max="4094" width="9.140625" style="2524"/>
    <col min="4095" max="4095" width="16.28515625" style="2524" bestFit="1" customWidth="1"/>
    <col min="4096" max="4096" width="63.28515625" style="2524" customWidth="1"/>
    <col min="4097" max="4097" width="22" style="2524" customWidth="1"/>
    <col min="4098" max="4100" width="8" style="2524" bestFit="1" customWidth="1"/>
    <col min="4101" max="4101" width="13.85546875" style="2524" customWidth="1"/>
    <col min="4102" max="4102" width="17.28515625" style="2524" bestFit="1" customWidth="1"/>
    <col min="4103" max="4114" width="10.7109375" style="2524" bestFit="1" customWidth="1"/>
    <col min="4115" max="4350" width="9.140625" style="2524"/>
    <col min="4351" max="4351" width="16.28515625" style="2524" bestFit="1" customWidth="1"/>
    <col min="4352" max="4352" width="63.28515625" style="2524" customWidth="1"/>
    <col min="4353" max="4353" width="22" style="2524" customWidth="1"/>
    <col min="4354" max="4356" width="8" style="2524" bestFit="1" customWidth="1"/>
    <col min="4357" max="4357" width="13.85546875" style="2524" customWidth="1"/>
    <col min="4358" max="4358" width="17.28515625" style="2524" bestFit="1" customWidth="1"/>
    <col min="4359" max="4370" width="10.7109375" style="2524" bestFit="1" customWidth="1"/>
    <col min="4371" max="4606" width="9.140625" style="2524"/>
    <col min="4607" max="4607" width="16.28515625" style="2524" bestFit="1" customWidth="1"/>
    <col min="4608" max="4608" width="63.28515625" style="2524" customWidth="1"/>
    <col min="4609" max="4609" width="22" style="2524" customWidth="1"/>
    <col min="4610" max="4612" width="8" style="2524" bestFit="1" customWidth="1"/>
    <col min="4613" max="4613" width="13.85546875" style="2524" customWidth="1"/>
    <col min="4614" max="4614" width="17.28515625" style="2524" bestFit="1" customWidth="1"/>
    <col min="4615" max="4626" width="10.7109375" style="2524" bestFit="1" customWidth="1"/>
    <col min="4627" max="4862" width="9.140625" style="2524"/>
    <col min="4863" max="4863" width="16.28515625" style="2524" bestFit="1" customWidth="1"/>
    <col min="4864" max="4864" width="63.28515625" style="2524" customWidth="1"/>
    <col min="4865" max="4865" width="22" style="2524" customWidth="1"/>
    <col min="4866" max="4868" width="8" style="2524" bestFit="1" customWidth="1"/>
    <col min="4869" max="4869" width="13.85546875" style="2524" customWidth="1"/>
    <col min="4870" max="4870" width="17.28515625" style="2524" bestFit="1" customWidth="1"/>
    <col min="4871" max="4882" width="10.7109375" style="2524" bestFit="1" customWidth="1"/>
    <col min="4883" max="5118" width="9.140625" style="2524"/>
    <col min="5119" max="5119" width="16.28515625" style="2524" bestFit="1" customWidth="1"/>
    <col min="5120" max="5120" width="63.28515625" style="2524" customWidth="1"/>
    <col min="5121" max="5121" width="22" style="2524" customWidth="1"/>
    <col min="5122" max="5124" width="8" style="2524" bestFit="1" customWidth="1"/>
    <col min="5125" max="5125" width="13.85546875" style="2524" customWidth="1"/>
    <col min="5126" max="5126" width="17.28515625" style="2524" bestFit="1" customWidth="1"/>
    <col min="5127" max="5138" width="10.7109375" style="2524" bestFit="1" customWidth="1"/>
    <col min="5139" max="5374" width="9.140625" style="2524"/>
    <col min="5375" max="5375" width="16.28515625" style="2524" bestFit="1" customWidth="1"/>
    <col min="5376" max="5376" width="63.28515625" style="2524" customWidth="1"/>
    <col min="5377" max="5377" width="22" style="2524" customWidth="1"/>
    <col min="5378" max="5380" width="8" style="2524" bestFit="1" customWidth="1"/>
    <col min="5381" max="5381" width="13.85546875" style="2524" customWidth="1"/>
    <col min="5382" max="5382" width="17.28515625" style="2524" bestFit="1" customWidth="1"/>
    <col min="5383" max="5394" width="10.7109375" style="2524" bestFit="1" customWidth="1"/>
    <col min="5395" max="5630" width="9.140625" style="2524"/>
    <col min="5631" max="5631" width="16.28515625" style="2524" bestFit="1" customWidth="1"/>
    <col min="5632" max="5632" width="63.28515625" style="2524" customWidth="1"/>
    <col min="5633" max="5633" width="22" style="2524" customWidth="1"/>
    <col min="5634" max="5636" width="8" style="2524" bestFit="1" customWidth="1"/>
    <col min="5637" max="5637" width="13.85546875" style="2524" customWidth="1"/>
    <col min="5638" max="5638" width="17.28515625" style="2524" bestFit="1" customWidth="1"/>
    <col min="5639" max="5650" width="10.7109375" style="2524" bestFit="1" customWidth="1"/>
    <col min="5651" max="5886" width="9.140625" style="2524"/>
    <col min="5887" max="5887" width="16.28515625" style="2524" bestFit="1" customWidth="1"/>
    <col min="5888" max="5888" width="63.28515625" style="2524" customWidth="1"/>
    <col min="5889" max="5889" width="22" style="2524" customWidth="1"/>
    <col min="5890" max="5892" width="8" style="2524" bestFit="1" customWidth="1"/>
    <col min="5893" max="5893" width="13.85546875" style="2524" customWidth="1"/>
    <col min="5894" max="5894" width="17.28515625" style="2524" bestFit="1" customWidth="1"/>
    <col min="5895" max="5906" width="10.7109375" style="2524" bestFit="1" customWidth="1"/>
    <col min="5907" max="6142" width="9.140625" style="2524"/>
    <col min="6143" max="6143" width="16.28515625" style="2524" bestFit="1" customWidth="1"/>
    <col min="6144" max="6144" width="63.28515625" style="2524" customWidth="1"/>
    <col min="6145" max="6145" width="22" style="2524" customWidth="1"/>
    <col min="6146" max="6148" width="8" style="2524" bestFit="1" customWidth="1"/>
    <col min="6149" max="6149" width="13.85546875" style="2524" customWidth="1"/>
    <col min="6150" max="6150" width="17.28515625" style="2524" bestFit="1" customWidth="1"/>
    <col min="6151" max="6162" width="10.7109375" style="2524" bestFit="1" customWidth="1"/>
    <col min="6163" max="6398" width="9.140625" style="2524"/>
    <col min="6399" max="6399" width="16.28515625" style="2524" bestFit="1" customWidth="1"/>
    <col min="6400" max="6400" width="63.28515625" style="2524" customWidth="1"/>
    <col min="6401" max="6401" width="22" style="2524" customWidth="1"/>
    <col min="6402" max="6404" width="8" style="2524" bestFit="1" customWidth="1"/>
    <col min="6405" max="6405" width="13.85546875" style="2524" customWidth="1"/>
    <col min="6406" max="6406" width="17.28515625" style="2524" bestFit="1" customWidth="1"/>
    <col min="6407" max="6418" width="10.7109375" style="2524" bestFit="1" customWidth="1"/>
    <col min="6419" max="6654" width="9.140625" style="2524"/>
    <col min="6655" max="6655" width="16.28515625" style="2524" bestFit="1" customWidth="1"/>
    <col min="6656" max="6656" width="63.28515625" style="2524" customWidth="1"/>
    <col min="6657" max="6657" width="22" style="2524" customWidth="1"/>
    <col min="6658" max="6660" width="8" style="2524" bestFit="1" customWidth="1"/>
    <col min="6661" max="6661" width="13.85546875" style="2524" customWidth="1"/>
    <col min="6662" max="6662" width="17.28515625" style="2524" bestFit="1" customWidth="1"/>
    <col min="6663" max="6674" width="10.7109375" style="2524" bestFit="1" customWidth="1"/>
    <col min="6675" max="6910" width="9.140625" style="2524"/>
    <col min="6911" max="6911" width="16.28515625" style="2524" bestFit="1" customWidth="1"/>
    <col min="6912" max="6912" width="63.28515625" style="2524" customWidth="1"/>
    <col min="6913" max="6913" width="22" style="2524" customWidth="1"/>
    <col min="6914" max="6916" width="8" style="2524" bestFit="1" customWidth="1"/>
    <col min="6917" max="6917" width="13.85546875" style="2524" customWidth="1"/>
    <col min="6918" max="6918" width="17.28515625" style="2524" bestFit="1" customWidth="1"/>
    <col min="6919" max="6930" width="10.7109375" style="2524" bestFit="1" customWidth="1"/>
    <col min="6931" max="7166" width="9.140625" style="2524"/>
    <col min="7167" max="7167" width="16.28515625" style="2524" bestFit="1" customWidth="1"/>
    <col min="7168" max="7168" width="63.28515625" style="2524" customWidth="1"/>
    <col min="7169" max="7169" width="22" style="2524" customWidth="1"/>
    <col min="7170" max="7172" width="8" style="2524" bestFit="1" customWidth="1"/>
    <col min="7173" max="7173" width="13.85546875" style="2524" customWidth="1"/>
    <col min="7174" max="7174" width="17.28515625" style="2524" bestFit="1" customWidth="1"/>
    <col min="7175" max="7186" width="10.7109375" style="2524" bestFit="1" customWidth="1"/>
    <col min="7187" max="7422" width="9.140625" style="2524"/>
    <col min="7423" max="7423" width="16.28515625" style="2524" bestFit="1" customWidth="1"/>
    <col min="7424" max="7424" width="63.28515625" style="2524" customWidth="1"/>
    <col min="7425" max="7425" width="22" style="2524" customWidth="1"/>
    <col min="7426" max="7428" width="8" style="2524" bestFit="1" customWidth="1"/>
    <col min="7429" max="7429" width="13.85546875" style="2524" customWidth="1"/>
    <col min="7430" max="7430" width="17.28515625" style="2524" bestFit="1" customWidth="1"/>
    <col min="7431" max="7442" width="10.7109375" style="2524" bestFit="1" customWidth="1"/>
    <col min="7443" max="7678" width="9.140625" style="2524"/>
    <col min="7679" max="7679" width="16.28515625" style="2524" bestFit="1" customWidth="1"/>
    <col min="7680" max="7680" width="63.28515625" style="2524" customWidth="1"/>
    <col min="7681" max="7681" width="22" style="2524" customWidth="1"/>
    <col min="7682" max="7684" width="8" style="2524" bestFit="1" customWidth="1"/>
    <col min="7685" max="7685" width="13.85546875" style="2524" customWidth="1"/>
    <col min="7686" max="7686" width="17.28515625" style="2524" bestFit="1" customWidth="1"/>
    <col min="7687" max="7698" width="10.7109375" style="2524" bestFit="1" customWidth="1"/>
    <col min="7699" max="7934" width="9.140625" style="2524"/>
    <col min="7935" max="7935" width="16.28515625" style="2524" bestFit="1" customWidth="1"/>
    <col min="7936" max="7936" width="63.28515625" style="2524" customWidth="1"/>
    <col min="7937" max="7937" width="22" style="2524" customWidth="1"/>
    <col min="7938" max="7940" width="8" style="2524" bestFit="1" customWidth="1"/>
    <col min="7941" max="7941" width="13.85546875" style="2524" customWidth="1"/>
    <col min="7942" max="7942" width="17.28515625" style="2524" bestFit="1" customWidth="1"/>
    <col min="7943" max="7954" width="10.7109375" style="2524" bestFit="1" customWidth="1"/>
    <col min="7955" max="8190" width="9.140625" style="2524"/>
    <col min="8191" max="8191" width="16.28515625" style="2524" bestFit="1" customWidth="1"/>
    <col min="8192" max="8192" width="63.28515625" style="2524" customWidth="1"/>
    <col min="8193" max="8193" width="22" style="2524" customWidth="1"/>
    <col min="8194" max="8196" width="8" style="2524" bestFit="1" customWidth="1"/>
    <col min="8197" max="8197" width="13.85546875" style="2524" customWidth="1"/>
    <col min="8198" max="8198" width="17.28515625" style="2524" bestFit="1" customWidth="1"/>
    <col min="8199" max="8210" width="10.7109375" style="2524" bestFit="1" customWidth="1"/>
    <col min="8211" max="8446" width="9.140625" style="2524"/>
    <col min="8447" max="8447" width="16.28515625" style="2524" bestFit="1" customWidth="1"/>
    <col min="8448" max="8448" width="63.28515625" style="2524" customWidth="1"/>
    <col min="8449" max="8449" width="22" style="2524" customWidth="1"/>
    <col min="8450" max="8452" width="8" style="2524" bestFit="1" customWidth="1"/>
    <col min="8453" max="8453" width="13.85546875" style="2524" customWidth="1"/>
    <col min="8454" max="8454" width="17.28515625" style="2524" bestFit="1" customWidth="1"/>
    <col min="8455" max="8466" width="10.7109375" style="2524" bestFit="1" customWidth="1"/>
    <col min="8467" max="8702" width="9.140625" style="2524"/>
    <col min="8703" max="8703" width="16.28515625" style="2524" bestFit="1" customWidth="1"/>
    <col min="8704" max="8704" width="63.28515625" style="2524" customWidth="1"/>
    <col min="8705" max="8705" width="22" style="2524" customWidth="1"/>
    <col min="8706" max="8708" width="8" style="2524" bestFit="1" customWidth="1"/>
    <col min="8709" max="8709" width="13.85546875" style="2524" customWidth="1"/>
    <col min="8710" max="8710" width="17.28515625" style="2524" bestFit="1" customWidth="1"/>
    <col min="8711" max="8722" width="10.7109375" style="2524" bestFit="1" customWidth="1"/>
    <col min="8723" max="8958" width="9.140625" style="2524"/>
    <col min="8959" max="8959" width="16.28515625" style="2524" bestFit="1" customWidth="1"/>
    <col min="8960" max="8960" width="63.28515625" style="2524" customWidth="1"/>
    <col min="8961" max="8961" width="22" style="2524" customWidth="1"/>
    <col min="8962" max="8964" width="8" style="2524" bestFit="1" customWidth="1"/>
    <col min="8965" max="8965" width="13.85546875" style="2524" customWidth="1"/>
    <col min="8966" max="8966" width="17.28515625" style="2524" bestFit="1" customWidth="1"/>
    <col min="8967" max="8978" width="10.7109375" style="2524" bestFit="1" customWidth="1"/>
    <col min="8979" max="9214" width="9.140625" style="2524"/>
    <col min="9215" max="9215" width="16.28515625" style="2524" bestFit="1" customWidth="1"/>
    <col min="9216" max="9216" width="63.28515625" style="2524" customWidth="1"/>
    <col min="9217" max="9217" width="22" style="2524" customWidth="1"/>
    <col min="9218" max="9220" width="8" style="2524" bestFit="1" customWidth="1"/>
    <col min="9221" max="9221" width="13.85546875" style="2524" customWidth="1"/>
    <col min="9222" max="9222" width="17.28515625" style="2524" bestFit="1" customWidth="1"/>
    <col min="9223" max="9234" width="10.7109375" style="2524" bestFit="1" customWidth="1"/>
    <col min="9235" max="9470" width="9.140625" style="2524"/>
    <col min="9471" max="9471" width="16.28515625" style="2524" bestFit="1" customWidth="1"/>
    <col min="9472" max="9472" width="63.28515625" style="2524" customWidth="1"/>
    <col min="9473" max="9473" width="22" style="2524" customWidth="1"/>
    <col min="9474" max="9476" width="8" style="2524" bestFit="1" customWidth="1"/>
    <col min="9477" max="9477" width="13.85546875" style="2524" customWidth="1"/>
    <col min="9478" max="9478" width="17.28515625" style="2524" bestFit="1" customWidth="1"/>
    <col min="9479" max="9490" width="10.7109375" style="2524" bestFit="1" customWidth="1"/>
    <col min="9491" max="9726" width="9.140625" style="2524"/>
    <col min="9727" max="9727" width="16.28515625" style="2524" bestFit="1" customWidth="1"/>
    <col min="9728" max="9728" width="63.28515625" style="2524" customWidth="1"/>
    <col min="9729" max="9729" width="22" style="2524" customWidth="1"/>
    <col min="9730" max="9732" width="8" style="2524" bestFit="1" customWidth="1"/>
    <col min="9733" max="9733" width="13.85546875" style="2524" customWidth="1"/>
    <col min="9734" max="9734" width="17.28515625" style="2524" bestFit="1" customWidth="1"/>
    <col min="9735" max="9746" width="10.7109375" style="2524" bestFit="1" customWidth="1"/>
    <col min="9747" max="9982" width="9.140625" style="2524"/>
    <col min="9983" max="9983" width="16.28515625" style="2524" bestFit="1" customWidth="1"/>
    <col min="9984" max="9984" width="63.28515625" style="2524" customWidth="1"/>
    <col min="9985" max="9985" width="22" style="2524" customWidth="1"/>
    <col min="9986" max="9988" width="8" style="2524" bestFit="1" customWidth="1"/>
    <col min="9989" max="9989" width="13.85546875" style="2524" customWidth="1"/>
    <col min="9990" max="9990" width="17.28515625" style="2524" bestFit="1" customWidth="1"/>
    <col min="9991" max="10002" width="10.7109375" style="2524" bestFit="1" customWidth="1"/>
    <col min="10003" max="10238" width="9.140625" style="2524"/>
    <col min="10239" max="10239" width="16.28515625" style="2524" bestFit="1" customWidth="1"/>
    <col min="10240" max="10240" width="63.28515625" style="2524" customWidth="1"/>
    <col min="10241" max="10241" width="22" style="2524" customWidth="1"/>
    <col min="10242" max="10244" width="8" style="2524" bestFit="1" customWidth="1"/>
    <col min="10245" max="10245" width="13.85546875" style="2524" customWidth="1"/>
    <col min="10246" max="10246" width="17.28515625" style="2524" bestFit="1" customWidth="1"/>
    <col min="10247" max="10258" width="10.7109375" style="2524" bestFit="1" customWidth="1"/>
    <col min="10259" max="10494" width="9.140625" style="2524"/>
    <col min="10495" max="10495" width="16.28515625" style="2524" bestFit="1" customWidth="1"/>
    <col min="10496" max="10496" width="63.28515625" style="2524" customWidth="1"/>
    <col min="10497" max="10497" width="22" style="2524" customWidth="1"/>
    <col min="10498" max="10500" width="8" style="2524" bestFit="1" customWidth="1"/>
    <col min="10501" max="10501" width="13.85546875" style="2524" customWidth="1"/>
    <col min="10502" max="10502" width="17.28515625" style="2524" bestFit="1" customWidth="1"/>
    <col min="10503" max="10514" width="10.7109375" style="2524" bestFit="1" customWidth="1"/>
    <col min="10515" max="10750" width="9.140625" style="2524"/>
    <col min="10751" max="10751" width="16.28515625" style="2524" bestFit="1" customWidth="1"/>
    <col min="10752" max="10752" width="63.28515625" style="2524" customWidth="1"/>
    <col min="10753" max="10753" width="22" style="2524" customWidth="1"/>
    <col min="10754" max="10756" width="8" style="2524" bestFit="1" customWidth="1"/>
    <col min="10757" max="10757" width="13.85546875" style="2524" customWidth="1"/>
    <col min="10758" max="10758" width="17.28515625" style="2524" bestFit="1" customWidth="1"/>
    <col min="10759" max="10770" width="10.7109375" style="2524" bestFit="1" customWidth="1"/>
    <col min="10771" max="11006" width="9.140625" style="2524"/>
    <col min="11007" max="11007" width="16.28515625" style="2524" bestFit="1" customWidth="1"/>
    <col min="11008" max="11008" width="63.28515625" style="2524" customWidth="1"/>
    <col min="11009" max="11009" width="22" style="2524" customWidth="1"/>
    <col min="11010" max="11012" width="8" style="2524" bestFit="1" customWidth="1"/>
    <col min="11013" max="11013" width="13.85546875" style="2524" customWidth="1"/>
    <col min="11014" max="11014" width="17.28515625" style="2524" bestFit="1" customWidth="1"/>
    <col min="11015" max="11026" width="10.7109375" style="2524" bestFit="1" customWidth="1"/>
    <col min="11027" max="11262" width="9.140625" style="2524"/>
    <col min="11263" max="11263" width="16.28515625" style="2524" bestFit="1" customWidth="1"/>
    <col min="11264" max="11264" width="63.28515625" style="2524" customWidth="1"/>
    <col min="11265" max="11265" width="22" style="2524" customWidth="1"/>
    <col min="11266" max="11268" width="8" style="2524" bestFit="1" customWidth="1"/>
    <col min="11269" max="11269" width="13.85546875" style="2524" customWidth="1"/>
    <col min="11270" max="11270" width="17.28515625" style="2524" bestFit="1" customWidth="1"/>
    <col min="11271" max="11282" width="10.7109375" style="2524" bestFit="1" customWidth="1"/>
    <col min="11283" max="11518" width="9.140625" style="2524"/>
    <col min="11519" max="11519" width="16.28515625" style="2524" bestFit="1" customWidth="1"/>
    <col min="11520" max="11520" width="63.28515625" style="2524" customWidth="1"/>
    <col min="11521" max="11521" width="22" style="2524" customWidth="1"/>
    <col min="11522" max="11524" width="8" style="2524" bestFit="1" customWidth="1"/>
    <col min="11525" max="11525" width="13.85546875" style="2524" customWidth="1"/>
    <col min="11526" max="11526" width="17.28515625" style="2524" bestFit="1" customWidth="1"/>
    <col min="11527" max="11538" width="10.7109375" style="2524" bestFit="1" customWidth="1"/>
    <col min="11539" max="11774" width="9.140625" style="2524"/>
    <col min="11775" max="11775" width="16.28515625" style="2524" bestFit="1" customWidth="1"/>
    <col min="11776" max="11776" width="63.28515625" style="2524" customWidth="1"/>
    <col min="11777" max="11777" width="22" style="2524" customWidth="1"/>
    <col min="11778" max="11780" width="8" style="2524" bestFit="1" customWidth="1"/>
    <col min="11781" max="11781" width="13.85546875" style="2524" customWidth="1"/>
    <col min="11782" max="11782" width="17.28515625" style="2524" bestFit="1" customWidth="1"/>
    <col min="11783" max="11794" width="10.7109375" style="2524" bestFit="1" customWidth="1"/>
    <col min="11795" max="12030" width="9.140625" style="2524"/>
    <col min="12031" max="12031" width="16.28515625" style="2524" bestFit="1" customWidth="1"/>
    <col min="12032" max="12032" width="63.28515625" style="2524" customWidth="1"/>
    <col min="12033" max="12033" width="22" style="2524" customWidth="1"/>
    <col min="12034" max="12036" width="8" style="2524" bestFit="1" customWidth="1"/>
    <col min="12037" max="12037" width="13.85546875" style="2524" customWidth="1"/>
    <col min="12038" max="12038" width="17.28515625" style="2524" bestFit="1" customWidth="1"/>
    <col min="12039" max="12050" width="10.7109375" style="2524" bestFit="1" customWidth="1"/>
    <col min="12051" max="12286" width="9.140625" style="2524"/>
    <col min="12287" max="12287" width="16.28515625" style="2524" bestFit="1" customWidth="1"/>
    <col min="12288" max="12288" width="63.28515625" style="2524" customWidth="1"/>
    <col min="12289" max="12289" width="22" style="2524" customWidth="1"/>
    <col min="12290" max="12292" width="8" style="2524" bestFit="1" customWidth="1"/>
    <col min="12293" max="12293" width="13.85546875" style="2524" customWidth="1"/>
    <col min="12294" max="12294" width="17.28515625" style="2524" bestFit="1" customWidth="1"/>
    <col min="12295" max="12306" width="10.7109375" style="2524" bestFit="1" customWidth="1"/>
    <col min="12307" max="12542" width="9.140625" style="2524"/>
    <col min="12543" max="12543" width="16.28515625" style="2524" bestFit="1" customWidth="1"/>
    <col min="12544" max="12544" width="63.28515625" style="2524" customWidth="1"/>
    <col min="12545" max="12545" width="22" style="2524" customWidth="1"/>
    <col min="12546" max="12548" width="8" style="2524" bestFit="1" customWidth="1"/>
    <col min="12549" max="12549" width="13.85546875" style="2524" customWidth="1"/>
    <col min="12550" max="12550" width="17.28515625" style="2524" bestFit="1" customWidth="1"/>
    <col min="12551" max="12562" width="10.7109375" style="2524" bestFit="1" customWidth="1"/>
    <col min="12563" max="12798" width="9.140625" style="2524"/>
    <col min="12799" max="12799" width="16.28515625" style="2524" bestFit="1" customWidth="1"/>
    <col min="12800" max="12800" width="63.28515625" style="2524" customWidth="1"/>
    <col min="12801" max="12801" width="22" style="2524" customWidth="1"/>
    <col min="12802" max="12804" width="8" style="2524" bestFit="1" customWidth="1"/>
    <col min="12805" max="12805" width="13.85546875" style="2524" customWidth="1"/>
    <col min="12806" max="12806" width="17.28515625" style="2524" bestFit="1" customWidth="1"/>
    <col min="12807" max="12818" width="10.7109375" style="2524" bestFit="1" customWidth="1"/>
    <col min="12819" max="13054" width="9.140625" style="2524"/>
    <col min="13055" max="13055" width="16.28515625" style="2524" bestFit="1" customWidth="1"/>
    <col min="13056" max="13056" width="63.28515625" style="2524" customWidth="1"/>
    <col min="13057" max="13057" width="22" style="2524" customWidth="1"/>
    <col min="13058" max="13060" width="8" style="2524" bestFit="1" customWidth="1"/>
    <col min="13061" max="13061" width="13.85546875" style="2524" customWidth="1"/>
    <col min="13062" max="13062" width="17.28515625" style="2524" bestFit="1" customWidth="1"/>
    <col min="13063" max="13074" width="10.7109375" style="2524" bestFit="1" customWidth="1"/>
    <col min="13075" max="13310" width="9.140625" style="2524"/>
    <col min="13311" max="13311" width="16.28515625" style="2524" bestFit="1" customWidth="1"/>
    <col min="13312" max="13312" width="63.28515625" style="2524" customWidth="1"/>
    <col min="13313" max="13313" width="22" style="2524" customWidth="1"/>
    <col min="13314" max="13316" width="8" style="2524" bestFit="1" customWidth="1"/>
    <col min="13317" max="13317" width="13.85546875" style="2524" customWidth="1"/>
    <col min="13318" max="13318" width="17.28515625" style="2524" bestFit="1" customWidth="1"/>
    <col min="13319" max="13330" width="10.7109375" style="2524" bestFit="1" customWidth="1"/>
    <col min="13331" max="13566" width="9.140625" style="2524"/>
    <col min="13567" max="13567" width="16.28515625" style="2524" bestFit="1" customWidth="1"/>
    <col min="13568" max="13568" width="63.28515625" style="2524" customWidth="1"/>
    <col min="13569" max="13569" width="22" style="2524" customWidth="1"/>
    <col min="13570" max="13572" width="8" style="2524" bestFit="1" customWidth="1"/>
    <col min="13573" max="13573" width="13.85546875" style="2524" customWidth="1"/>
    <col min="13574" max="13574" width="17.28515625" style="2524" bestFit="1" customWidth="1"/>
    <col min="13575" max="13586" width="10.7109375" style="2524" bestFit="1" customWidth="1"/>
    <col min="13587" max="13822" width="9.140625" style="2524"/>
    <col min="13823" max="13823" width="16.28515625" style="2524" bestFit="1" customWidth="1"/>
    <col min="13824" max="13824" width="63.28515625" style="2524" customWidth="1"/>
    <col min="13825" max="13825" width="22" style="2524" customWidth="1"/>
    <col min="13826" max="13828" width="8" style="2524" bestFit="1" customWidth="1"/>
    <col min="13829" max="13829" width="13.85546875" style="2524" customWidth="1"/>
    <col min="13830" max="13830" width="17.28515625" style="2524" bestFit="1" customWidth="1"/>
    <col min="13831" max="13842" width="10.7109375" style="2524" bestFit="1" customWidth="1"/>
    <col min="13843" max="14078" width="9.140625" style="2524"/>
    <col min="14079" max="14079" width="16.28515625" style="2524" bestFit="1" customWidth="1"/>
    <col min="14080" max="14080" width="63.28515625" style="2524" customWidth="1"/>
    <col min="14081" max="14081" width="22" style="2524" customWidth="1"/>
    <col min="14082" max="14084" width="8" style="2524" bestFit="1" customWidth="1"/>
    <col min="14085" max="14085" width="13.85546875" style="2524" customWidth="1"/>
    <col min="14086" max="14086" width="17.28515625" style="2524" bestFit="1" customWidth="1"/>
    <col min="14087" max="14098" width="10.7109375" style="2524" bestFit="1" customWidth="1"/>
    <col min="14099" max="14334" width="9.140625" style="2524"/>
    <col min="14335" max="14335" width="16.28515625" style="2524" bestFit="1" customWidth="1"/>
    <col min="14336" max="14336" width="63.28515625" style="2524" customWidth="1"/>
    <col min="14337" max="14337" width="22" style="2524" customWidth="1"/>
    <col min="14338" max="14340" width="8" style="2524" bestFit="1" customWidth="1"/>
    <col min="14341" max="14341" width="13.85546875" style="2524" customWidth="1"/>
    <col min="14342" max="14342" width="17.28515625" style="2524" bestFit="1" customWidth="1"/>
    <col min="14343" max="14354" width="10.7109375" style="2524" bestFit="1" customWidth="1"/>
    <col min="14355" max="14590" width="9.140625" style="2524"/>
    <col min="14591" max="14591" width="16.28515625" style="2524" bestFit="1" customWidth="1"/>
    <col min="14592" max="14592" width="63.28515625" style="2524" customWidth="1"/>
    <col min="14593" max="14593" width="22" style="2524" customWidth="1"/>
    <col min="14594" max="14596" width="8" style="2524" bestFit="1" customWidth="1"/>
    <col min="14597" max="14597" width="13.85546875" style="2524" customWidth="1"/>
    <col min="14598" max="14598" width="17.28515625" style="2524" bestFit="1" customWidth="1"/>
    <col min="14599" max="14610" width="10.7109375" style="2524" bestFit="1" customWidth="1"/>
    <col min="14611" max="14846" width="9.140625" style="2524"/>
    <col min="14847" max="14847" width="16.28515625" style="2524" bestFit="1" customWidth="1"/>
    <col min="14848" max="14848" width="63.28515625" style="2524" customWidth="1"/>
    <col min="14849" max="14849" width="22" style="2524" customWidth="1"/>
    <col min="14850" max="14852" width="8" style="2524" bestFit="1" customWidth="1"/>
    <col min="14853" max="14853" width="13.85546875" style="2524" customWidth="1"/>
    <col min="14854" max="14854" width="17.28515625" style="2524" bestFit="1" customWidth="1"/>
    <col min="14855" max="14866" width="10.7109375" style="2524" bestFit="1" customWidth="1"/>
    <col min="14867" max="15102" width="9.140625" style="2524"/>
    <col min="15103" max="15103" width="16.28515625" style="2524" bestFit="1" customWidth="1"/>
    <col min="15104" max="15104" width="63.28515625" style="2524" customWidth="1"/>
    <col min="15105" max="15105" width="22" style="2524" customWidth="1"/>
    <col min="15106" max="15108" width="8" style="2524" bestFit="1" customWidth="1"/>
    <col min="15109" max="15109" width="13.85546875" style="2524" customWidth="1"/>
    <col min="15110" max="15110" width="17.28515625" style="2524" bestFit="1" customWidth="1"/>
    <col min="15111" max="15122" width="10.7109375" style="2524" bestFit="1" customWidth="1"/>
    <col min="15123" max="15358" width="9.140625" style="2524"/>
    <col min="15359" max="15359" width="16.28515625" style="2524" bestFit="1" customWidth="1"/>
    <col min="15360" max="15360" width="63.28515625" style="2524" customWidth="1"/>
    <col min="15361" max="15361" width="22" style="2524" customWidth="1"/>
    <col min="15362" max="15364" width="8" style="2524" bestFit="1" customWidth="1"/>
    <col min="15365" max="15365" width="13.85546875" style="2524" customWidth="1"/>
    <col min="15366" max="15366" width="17.28515625" style="2524" bestFit="1" customWidth="1"/>
    <col min="15367" max="15378" width="10.7109375" style="2524" bestFit="1" customWidth="1"/>
    <col min="15379" max="15614" width="9.140625" style="2524"/>
    <col min="15615" max="15615" width="16.28515625" style="2524" bestFit="1" customWidth="1"/>
    <col min="15616" max="15616" width="63.28515625" style="2524" customWidth="1"/>
    <col min="15617" max="15617" width="22" style="2524" customWidth="1"/>
    <col min="15618" max="15620" width="8" style="2524" bestFit="1" customWidth="1"/>
    <col min="15621" max="15621" width="13.85546875" style="2524" customWidth="1"/>
    <col min="15622" max="15622" width="17.28515625" style="2524" bestFit="1" customWidth="1"/>
    <col min="15623" max="15634" width="10.7109375" style="2524" bestFit="1" customWidth="1"/>
    <col min="15635" max="15870" width="9.140625" style="2524"/>
    <col min="15871" max="15871" width="16.28515625" style="2524" bestFit="1" customWidth="1"/>
    <col min="15872" max="15872" width="63.28515625" style="2524" customWidth="1"/>
    <col min="15873" max="15873" width="22" style="2524" customWidth="1"/>
    <col min="15874" max="15876" width="8" style="2524" bestFit="1" customWidth="1"/>
    <col min="15877" max="15877" width="13.85546875" style="2524" customWidth="1"/>
    <col min="15878" max="15878" width="17.28515625" style="2524" bestFit="1" customWidth="1"/>
    <col min="15879" max="15890" width="10.7109375" style="2524" bestFit="1" customWidth="1"/>
    <col min="15891" max="16126" width="9.140625" style="2524"/>
    <col min="16127" max="16127" width="16.28515625" style="2524" bestFit="1" customWidth="1"/>
    <col min="16128" max="16128" width="63.28515625" style="2524" customWidth="1"/>
    <col min="16129" max="16129" width="22" style="2524" customWidth="1"/>
    <col min="16130" max="16132" width="8" style="2524" bestFit="1" customWidth="1"/>
    <col min="16133" max="16133" width="13.85546875" style="2524" customWidth="1"/>
    <col min="16134" max="16134" width="17.28515625" style="2524" bestFit="1" customWidth="1"/>
    <col min="16135" max="16146" width="10.7109375" style="2524" bestFit="1" customWidth="1"/>
    <col min="16147" max="16384" width="9.140625" style="2524"/>
  </cols>
  <sheetData>
    <row r="1" spans="1:31" s="2525" customFormat="1" ht="24.95" customHeight="1">
      <c r="B1" s="2522" t="str">
        <f>IF(dms_DataQuality="backcast",INDEX(dms_Worksheet_List,MATCH(dms_Model,dms_Model_List))&amp;" BACKCAST",INDEX(dms_Worksheet_List,MATCH(dms_Model,dms_Model_List)))</f>
        <v>REGULATORY REPORTING STATEMENT</v>
      </c>
      <c r="C1" s="2769"/>
      <c r="D1" s="2769"/>
      <c r="E1" s="2769"/>
      <c r="F1" s="2769"/>
      <c r="G1" s="2769"/>
      <c r="H1" s="2769"/>
      <c r="I1" s="2769"/>
      <c r="J1" s="2769"/>
      <c r="K1" s="2769"/>
      <c r="L1" s="2769"/>
      <c r="M1" s="2769"/>
      <c r="N1" s="2769"/>
      <c r="O1" s="2769"/>
      <c r="P1" s="2769"/>
      <c r="Q1" s="2769"/>
      <c r="R1" s="2769"/>
      <c r="S1" s="2769"/>
      <c r="T1" s="2769"/>
      <c r="U1" s="2769"/>
      <c r="V1" s="2769"/>
      <c r="W1" s="2769"/>
      <c r="X1" s="2769"/>
      <c r="Y1" s="2769"/>
      <c r="Z1" s="2769"/>
      <c r="AA1" s="2769"/>
      <c r="AB1" s="2769"/>
      <c r="AC1" s="2524"/>
      <c r="AD1" s="2524"/>
      <c r="AE1" s="2524"/>
    </row>
    <row r="2" spans="1:31" s="2525" customFormat="1" ht="24.95" customHeight="1">
      <c r="B2" s="2526" t="str">
        <f>INDEX(dms_TradingNameFull_List,MATCH(dms_TradingName,dms_TradingName_List))</f>
        <v>AusNet Gas Services</v>
      </c>
      <c r="C2" s="2526"/>
      <c r="D2" s="2526"/>
      <c r="E2" s="2526"/>
      <c r="F2" s="2526"/>
      <c r="G2" s="2526"/>
      <c r="H2" s="2526"/>
      <c r="I2" s="2526"/>
      <c r="J2" s="2526"/>
      <c r="K2" s="2526"/>
      <c r="L2" s="2526"/>
      <c r="M2" s="2526"/>
      <c r="N2" s="2526"/>
      <c r="O2" s="2526"/>
      <c r="P2" s="2526"/>
      <c r="Q2" s="2526"/>
      <c r="R2" s="2526"/>
      <c r="S2" s="2526"/>
      <c r="T2" s="2526"/>
      <c r="U2" s="2526"/>
      <c r="V2" s="2526"/>
      <c r="W2" s="2526"/>
      <c r="X2" s="2526"/>
      <c r="Y2" s="2526"/>
      <c r="Z2" s="2526"/>
      <c r="AA2" s="2526"/>
      <c r="AB2" s="2526"/>
      <c r="AC2" s="2524"/>
      <c r="AD2" s="2524"/>
      <c r="AE2" s="2524"/>
    </row>
    <row r="3" spans="1:31" s="2525" customFormat="1" ht="24.95" customHeight="1">
      <c r="B3" s="2526" t="str">
        <f ca="1">IF(SUM(dms_SingleYear_Model)&gt;0,CRY,CONCATENATE(FRCP_y1," to ",dms_MultiYear_FinalYear_Result))</f>
        <v>2018 to 2022</v>
      </c>
      <c r="C3" s="2528"/>
      <c r="D3" s="2528"/>
      <c r="E3" s="2528"/>
      <c r="F3" s="2528"/>
      <c r="G3" s="2528"/>
      <c r="H3" s="2528"/>
      <c r="I3" s="2528"/>
      <c r="J3" s="2528"/>
      <c r="K3" s="2528"/>
      <c r="L3" s="2528"/>
      <c r="M3" s="2528"/>
      <c r="N3" s="2528"/>
      <c r="O3" s="2528"/>
      <c r="P3" s="2528"/>
      <c r="Q3" s="2528"/>
      <c r="R3" s="2528"/>
      <c r="S3" s="2528"/>
      <c r="T3" s="2528"/>
      <c r="U3" s="2528"/>
      <c r="V3" s="2528"/>
      <c r="W3" s="2528"/>
      <c r="X3" s="2528"/>
      <c r="Y3" s="2528"/>
      <c r="Z3" s="2528"/>
      <c r="AA3" s="2528"/>
      <c r="AB3" s="2528"/>
      <c r="AC3" s="2524"/>
      <c r="AD3" s="2524"/>
      <c r="AE3" s="2524"/>
    </row>
    <row r="4" spans="1:31" s="2525" customFormat="1" ht="24" customHeight="1">
      <c r="B4" s="2529" t="s">
        <v>1626</v>
      </c>
      <c r="C4" s="2770"/>
      <c r="D4" s="2770"/>
      <c r="E4" s="2770"/>
      <c r="F4" s="2770"/>
      <c r="G4" s="2770"/>
      <c r="H4" s="2770"/>
      <c r="I4" s="2770"/>
      <c r="J4" s="2770"/>
      <c r="K4" s="2770"/>
      <c r="L4" s="2770"/>
      <c r="M4" s="2770"/>
      <c r="N4" s="2770"/>
      <c r="O4" s="2770"/>
      <c r="P4" s="2770"/>
      <c r="Q4" s="2770"/>
      <c r="R4" s="2770"/>
      <c r="S4" s="2770"/>
      <c r="T4" s="2770"/>
      <c r="U4" s="2770"/>
      <c r="V4" s="2770"/>
      <c r="W4" s="2770"/>
      <c r="X4" s="2770"/>
      <c r="Y4" s="2770"/>
      <c r="Z4" s="2770"/>
      <c r="AA4" s="2770"/>
      <c r="AB4" s="2770"/>
      <c r="AC4" s="2524"/>
      <c r="AD4" s="2524"/>
      <c r="AE4" s="2524"/>
    </row>
    <row r="5" spans="1:31">
      <c r="A5" s="360"/>
      <c r="B5" s="3011"/>
      <c r="C5" s="2771"/>
      <c r="D5" s="2771"/>
      <c r="E5" s="2771"/>
      <c r="F5" s="2771"/>
      <c r="G5" s="2771"/>
      <c r="H5" s="2771"/>
      <c r="I5" s="2771"/>
      <c r="J5" s="2771"/>
      <c r="K5" s="2771"/>
      <c r="L5" s="2771"/>
      <c r="M5" s="2771"/>
      <c r="N5" s="2771"/>
      <c r="O5" s="2771"/>
      <c r="P5" s="2771"/>
      <c r="Q5" s="2771"/>
      <c r="R5" s="2771"/>
      <c r="S5" s="2771"/>
      <c r="T5" s="2771"/>
      <c r="U5" s="2771"/>
      <c r="V5" s="2771"/>
      <c r="W5" s="2771"/>
      <c r="X5" s="2771"/>
      <c r="Y5" s="2771"/>
      <c r="Z5" s="2771"/>
      <c r="AA5" s="2771"/>
      <c r="AB5" s="2771"/>
    </row>
    <row r="6" spans="1:31">
      <c r="A6" s="2771"/>
      <c r="B6" s="2771"/>
      <c r="C6" s="2771"/>
      <c r="D6" s="2771"/>
      <c r="E6" s="2771"/>
      <c r="F6" s="2771"/>
      <c r="G6" s="2771"/>
      <c r="H6" s="2771"/>
      <c r="I6" s="2771"/>
      <c r="J6" s="2771"/>
      <c r="K6" s="2771"/>
      <c r="L6" s="2771"/>
      <c r="M6" s="2771"/>
      <c r="N6" s="2771"/>
      <c r="O6" s="2771"/>
      <c r="P6" s="2771"/>
      <c r="Q6" s="2771"/>
      <c r="R6" s="2771"/>
      <c r="S6" s="2771"/>
      <c r="T6" s="2771"/>
      <c r="U6" s="2771"/>
      <c r="V6" s="2771"/>
      <c r="W6" s="2771"/>
      <c r="X6" s="2771"/>
      <c r="Y6" s="2771"/>
      <c r="Z6" s="2771"/>
      <c r="AA6" s="2771"/>
      <c r="AB6" s="2771"/>
    </row>
    <row r="7" spans="1:31">
      <c r="A7" s="2771"/>
      <c r="B7" s="4608" t="s">
        <v>59</v>
      </c>
      <c r="C7" s="4608"/>
      <c r="D7" s="4608"/>
      <c r="E7" s="4608"/>
      <c r="F7" s="4608"/>
      <c r="G7" s="4608"/>
      <c r="H7" s="4608"/>
      <c r="I7" s="2771"/>
      <c r="J7" s="2771"/>
      <c r="K7" s="2771"/>
      <c r="L7" s="2771"/>
      <c r="M7" s="2771"/>
      <c r="N7" s="2771"/>
      <c r="O7" s="2771"/>
      <c r="P7" s="2771"/>
      <c r="Q7" s="2771"/>
      <c r="R7" s="2771"/>
      <c r="S7" s="2771"/>
      <c r="T7" s="2771"/>
      <c r="U7" s="2771"/>
      <c r="V7" s="2771"/>
      <c r="W7" s="2771"/>
      <c r="X7" s="2771"/>
      <c r="Y7" s="2771"/>
      <c r="Z7" s="2771"/>
      <c r="AA7" s="2771"/>
      <c r="AB7" s="2771"/>
    </row>
    <row r="8" spans="1:31" ht="12.75" customHeight="1">
      <c r="A8" s="2771"/>
      <c r="B8" s="4609" t="s">
        <v>226</v>
      </c>
      <c r="C8" s="4609"/>
      <c r="D8" s="4609"/>
      <c r="E8" s="4609"/>
      <c r="F8" s="4609"/>
      <c r="G8" s="4609"/>
      <c r="H8" s="4609"/>
      <c r="I8" s="2771"/>
      <c r="J8" s="2771"/>
      <c r="K8" s="2771"/>
      <c r="L8" s="2771"/>
      <c r="M8" s="2771"/>
      <c r="N8" s="2771"/>
      <c r="O8" s="2771"/>
      <c r="P8" s="2771"/>
      <c r="Q8" s="2771"/>
      <c r="R8" s="2771"/>
      <c r="S8" s="2771"/>
      <c r="T8" s="2771"/>
      <c r="U8" s="2771"/>
      <c r="V8" s="2771"/>
      <c r="W8" s="2771"/>
      <c r="X8" s="2771"/>
      <c r="Y8" s="2771"/>
      <c r="Z8" s="2771"/>
      <c r="AA8" s="2771"/>
      <c r="AB8" s="2771"/>
    </row>
    <row r="9" spans="1:31" ht="12.75" customHeight="1">
      <c r="A9" s="2771"/>
      <c r="B9" s="4610" t="s">
        <v>476</v>
      </c>
      <c r="C9" s="4610"/>
      <c r="D9" s="3012"/>
      <c r="E9" s="3012"/>
      <c r="F9" s="3012"/>
      <c r="G9" s="3012"/>
      <c r="H9" s="3012"/>
      <c r="I9" s="3013"/>
      <c r="J9" s="3013"/>
      <c r="K9" s="3013"/>
      <c r="L9" s="3013"/>
      <c r="M9" s="3013"/>
      <c r="N9" s="3013"/>
      <c r="O9" s="3013"/>
      <c r="P9" s="2771"/>
      <c r="Q9" s="2771"/>
      <c r="R9" s="2771"/>
      <c r="S9" s="3013"/>
      <c r="T9" s="3013"/>
      <c r="U9" s="2771"/>
      <c r="V9" s="2771"/>
      <c r="W9" s="2771"/>
      <c r="X9" s="3013"/>
      <c r="Y9" s="3013"/>
      <c r="Z9" s="2771"/>
      <c r="AA9" s="2771"/>
      <c r="AB9" s="2771"/>
    </row>
    <row r="10" spans="1:31" ht="20.25" customHeight="1">
      <c r="A10" s="2771"/>
      <c r="B10" s="4611" t="s">
        <v>386</v>
      </c>
      <c r="C10" s="4612"/>
      <c r="D10" s="4612"/>
      <c r="E10" s="4612"/>
      <c r="F10" s="4612"/>
      <c r="G10" s="4612"/>
      <c r="H10" s="4612"/>
      <c r="I10" s="2771"/>
      <c r="J10" s="2771"/>
      <c r="K10" s="2771"/>
      <c r="L10" s="2771"/>
      <c r="M10" s="2771"/>
      <c r="N10" s="2771"/>
      <c r="O10" s="2771"/>
      <c r="P10" s="2771"/>
      <c r="Q10" s="2771"/>
      <c r="R10" s="2771"/>
      <c r="S10" s="2771"/>
      <c r="T10" s="2771"/>
      <c r="U10" s="2771"/>
      <c r="V10" s="2771"/>
      <c r="W10" s="2771"/>
      <c r="X10" s="2771"/>
      <c r="Y10" s="2771"/>
      <c r="Z10" s="2771"/>
      <c r="AA10" s="2771"/>
      <c r="AB10" s="2771"/>
    </row>
    <row r="11" spans="1:31" ht="33.75" customHeight="1" thickBot="1">
      <c r="A11" s="2771"/>
      <c r="B11" s="3014"/>
      <c r="C11" s="2771"/>
      <c r="D11" s="2771"/>
      <c r="E11" s="2771"/>
      <c r="F11" s="2771"/>
      <c r="G11" s="2771"/>
      <c r="H11" s="2771"/>
      <c r="I11" s="2771"/>
      <c r="J11" s="2771"/>
      <c r="K11" s="2771"/>
      <c r="L11" s="2771"/>
      <c r="M11" s="2771"/>
      <c r="N11" s="2771"/>
      <c r="O11" s="2771"/>
      <c r="P11" s="2771"/>
      <c r="Q11" s="2771"/>
      <c r="R11" s="2771"/>
      <c r="S11" s="2771"/>
      <c r="T11" s="2771"/>
      <c r="U11" s="2771"/>
      <c r="V11" s="2771"/>
      <c r="W11" s="2771"/>
      <c r="X11" s="2771"/>
      <c r="Y11" s="2771"/>
      <c r="Z11" s="2771"/>
      <c r="AA11" s="2771"/>
      <c r="AB11" s="2771"/>
    </row>
    <row r="12" spans="1:31">
      <c r="A12" s="2771"/>
      <c r="B12" s="3015" t="s">
        <v>247</v>
      </c>
      <c r="C12" s="2771"/>
      <c r="D12" s="2771"/>
      <c r="E12" s="2771"/>
      <c r="F12" s="2771"/>
      <c r="G12" s="2771"/>
      <c r="H12" s="2771"/>
      <c r="I12" s="2771"/>
      <c r="J12" s="2771"/>
      <c r="K12" s="2771"/>
      <c r="L12" s="2771"/>
      <c r="M12" s="2771"/>
      <c r="N12" s="2771"/>
      <c r="O12" s="2771"/>
      <c r="P12" s="2771"/>
      <c r="Q12" s="2771"/>
      <c r="R12" s="2771"/>
      <c r="S12" s="2771"/>
      <c r="T12" s="2771"/>
      <c r="U12" s="2771"/>
      <c r="V12" s="2771"/>
      <c r="W12" s="2771"/>
      <c r="X12" s="2771"/>
      <c r="Y12" s="2771"/>
      <c r="Z12" s="2771"/>
      <c r="AA12" s="2771"/>
      <c r="AB12" s="2771"/>
    </row>
    <row r="13" spans="1:31" ht="27" customHeight="1" thickBot="1">
      <c r="A13" s="2771"/>
      <c r="B13" s="3113" t="s">
        <v>1619</v>
      </c>
      <c r="C13" s="2771"/>
      <c r="D13" s="2771"/>
      <c r="E13" s="2771"/>
      <c r="F13" s="2771"/>
      <c r="G13" s="2771"/>
      <c r="H13" s="2771"/>
      <c r="I13" s="2771"/>
      <c r="J13" s="2771"/>
      <c r="K13" s="2771"/>
      <c r="L13" s="2771"/>
      <c r="M13" s="2771"/>
      <c r="N13" s="2771"/>
      <c r="O13" s="2771"/>
      <c r="P13" s="2771"/>
      <c r="Q13" s="2771"/>
      <c r="R13" s="2771"/>
      <c r="S13" s="2771"/>
      <c r="T13" s="2771"/>
      <c r="U13" s="2771"/>
      <c r="V13" s="2771"/>
      <c r="W13" s="2771"/>
      <c r="X13" s="2771"/>
      <c r="Y13" s="2771"/>
      <c r="Z13" s="2771"/>
      <c r="AA13" s="2771"/>
      <c r="AB13" s="2771"/>
    </row>
    <row r="14" spans="1:31">
      <c r="A14" s="2771"/>
      <c r="B14" s="2771"/>
      <c r="C14" s="2771"/>
      <c r="D14" s="2771"/>
      <c r="E14" s="2771"/>
      <c r="F14" s="2771"/>
      <c r="G14" s="2771"/>
      <c r="H14" s="2771"/>
      <c r="I14" s="2771"/>
      <c r="J14" s="2771"/>
      <c r="K14" s="2771"/>
      <c r="L14" s="2771"/>
      <c r="M14" s="2771"/>
      <c r="N14" s="2771"/>
      <c r="O14" s="2771"/>
      <c r="P14" s="2771"/>
      <c r="Q14" s="2771"/>
      <c r="R14" s="2771"/>
      <c r="S14" s="2771"/>
      <c r="T14" s="2771"/>
      <c r="U14" s="2771"/>
      <c r="V14" s="2771"/>
      <c r="W14" s="2771"/>
      <c r="X14" s="2771"/>
      <c r="Y14" s="2771"/>
      <c r="Z14" s="2771"/>
      <c r="AA14" s="2771"/>
      <c r="AB14" s="2771"/>
    </row>
    <row r="15" spans="1:31" ht="13.5" thickBot="1">
      <c r="A15" s="2771"/>
      <c r="B15" s="2771"/>
      <c r="C15" s="2771"/>
      <c r="D15" s="2771"/>
      <c r="E15" s="2771"/>
      <c r="F15" s="2771"/>
      <c r="G15" s="2771"/>
      <c r="H15" s="2771"/>
      <c r="I15" s="2771"/>
      <c r="J15" s="2771"/>
      <c r="K15" s="2771"/>
      <c r="L15" s="2771"/>
      <c r="M15" s="2771"/>
      <c r="N15" s="2771"/>
      <c r="O15" s="2771"/>
      <c r="P15" s="2771"/>
      <c r="Q15" s="2771"/>
      <c r="R15" s="2771"/>
      <c r="S15" s="2771"/>
      <c r="T15" s="2771"/>
      <c r="U15" s="2771"/>
      <c r="V15" s="2771"/>
      <c r="W15" s="2771"/>
      <c r="X15" s="2771"/>
      <c r="Y15" s="2771"/>
      <c r="Z15" s="2771"/>
      <c r="AA15" s="2771"/>
      <c r="AB15" s="2771"/>
    </row>
    <row r="16" spans="1:31" ht="34.5" customHeight="1" thickBot="1">
      <c r="A16" s="2771"/>
      <c r="B16" s="2780" t="s">
        <v>1627</v>
      </c>
      <c r="C16" s="2781"/>
      <c r="D16" s="2781"/>
      <c r="E16" s="2781"/>
      <c r="F16" s="2781"/>
      <c r="G16" s="2781"/>
      <c r="H16" s="2781"/>
      <c r="I16" s="2781"/>
      <c r="J16" s="2781"/>
      <c r="K16" s="2782"/>
      <c r="L16" s="2782"/>
      <c r="M16" s="2782"/>
      <c r="N16" s="2782"/>
      <c r="O16" s="2782"/>
      <c r="P16" s="2782"/>
      <c r="Q16" s="2782"/>
      <c r="R16" s="2782"/>
      <c r="S16" s="2782"/>
      <c r="T16" s="2782"/>
      <c r="U16" s="2782"/>
      <c r="V16" s="2782"/>
      <c r="W16" s="2782"/>
      <c r="X16" s="2782"/>
      <c r="Y16" s="2782"/>
      <c r="Z16" s="2782"/>
      <c r="AA16" s="2782"/>
      <c r="AB16" s="2782"/>
      <c r="AC16" s="2782"/>
    </row>
    <row r="17" spans="1:135" ht="20.25" customHeight="1">
      <c r="A17" s="2771"/>
      <c r="B17" s="4613"/>
      <c r="C17" s="4616" t="s">
        <v>634</v>
      </c>
      <c r="D17" s="4619" t="s">
        <v>70</v>
      </c>
      <c r="E17" s="4622" t="s">
        <v>37</v>
      </c>
      <c r="F17" s="4623"/>
      <c r="G17" s="4623"/>
      <c r="H17" s="4623"/>
      <c r="I17" s="4623"/>
      <c r="J17" s="4585" t="s">
        <v>73</v>
      </c>
      <c r="K17" s="4585"/>
      <c r="L17" s="4585"/>
      <c r="M17" s="4585"/>
      <c r="N17" s="4585"/>
      <c r="O17" s="4586" t="s">
        <v>249</v>
      </c>
      <c r="P17" s="4586"/>
      <c r="Q17" s="4586"/>
      <c r="R17" s="4586"/>
      <c r="S17" s="4586"/>
      <c r="T17" s="4586"/>
      <c r="U17" s="4586"/>
      <c r="V17" s="4586"/>
      <c r="W17" s="4586"/>
      <c r="X17" s="4586"/>
      <c r="Y17" s="4586"/>
      <c r="Z17" s="4586"/>
      <c r="AA17" s="4586"/>
      <c r="AB17" s="4586"/>
      <c r="AC17" s="4587"/>
    </row>
    <row r="18" spans="1:135" ht="20.25" customHeight="1">
      <c r="A18" s="2771"/>
      <c r="B18" s="4614"/>
      <c r="C18" s="4617"/>
      <c r="D18" s="4620"/>
      <c r="E18" s="4588" t="s">
        <v>337</v>
      </c>
      <c r="F18" s="4589"/>
      <c r="G18" s="4589"/>
      <c r="H18" s="4589"/>
      <c r="I18" s="4589"/>
      <c r="J18" s="4589"/>
      <c r="K18" s="4589"/>
      <c r="L18" s="4589"/>
      <c r="M18" s="4589"/>
      <c r="N18" s="4589"/>
      <c r="O18" s="4589"/>
      <c r="P18" s="4589"/>
      <c r="Q18" s="4589"/>
      <c r="R18" s="4589"/>
      <c r="S18" s="4589"/>
      <c r="T18" s="4589"/>
      <c r="U18" s="4589"/>
      <c r="V18" s="4589"/>
      <c r="W18" s="4589"/>
      <c r="X18" s="4589"/>
      <c r="Y18" s="4589"/>
      <c r="Z18" s="4589"/>
      <c r="AA18" s="4589"/>
      <c r="AB18" s="4589"/>
      <c r="AC18" s="4590"/>
    </row>
    <row r="19" spans="1:135" ht="20.25" customHeight="1">
      <c r="A19" s="2771"/>
      <c r="B19" s="4614"/>
      <c r="C19" s="4617"/>
      <c r="D19" s="4620"/>
      <c r="E19" s="4588" t="s">
        <v>54</v>
      </c>
      <c r="F19" s="4589"/>
      <c r="G19" s="4591"/>
      <c r="H19" s="4592" t="s">
        <v>377</v>
      </c>
      <c r="I19" s="4593"/>
      <c r="J19" s="4593"/>
      <c r="K19" s="4593"/>
      <c r="L19" s="4593"/>
      <c r="M19" s="4593"/>
      <c r="N19" s="4593"/>
      <c r="O19" s="4593"/>
      <c r="P19" s="4593"/>
      <c r="Q19" s="4593"/>
      <c r="R19" s="4593"/>
      <c r="S19" s="4593"/>
      <c r="T19" s="4593"/>
      <c r="U19" s="4593"/>
      <c r="V19" s="4593"/>
      <c r="W19" s="4593"/>
      <c r="X19" s="4593"/>
      <c r="Y19" s="4593"/>
      <c r="Z19" s="4593"/>
      <c r="AA19" s="4593"/>
      <c r="AB19" s="4593"/>
      <c r="AC19" s="4594"/>
    </row>
    <row r="20" spans="1:135" ht="20.25" customHeight="1" thickBot="1">
      <c r="A20" s="2771"/>
      <c r="B20" s="4615"/>
      <c r="C20" s="4618"/>
      <c r="D20" s="4621"/>
      <c r="E20" s="3017">
        <f>CRCP_y1</f>
        <v>2013</v>
      </c>
      <c r="F20" s="3017">
        <f>CRCP_y2</f>
        <v>2014</v>
      </c>
      <c r="G20" s="3017">
        <f>CRCP_y3</f>
        <v>2015</v>
      </c>
      <c r="H20" s="3017">
        <f>CRCP_y4</f>
        <v>2016</v>
      </c>
      <c r="I20" s="3017">
        <f>CRCP_y5</f>
        <v>2017</v>
      </c>
      <c r="J20" s="3017" t="str">
        <f>CONCATENATE(IF(dms_RPT="Calendar",I20+1,(LEFT(I20,4)+1&amp;"-"&amp;IF(MID(I20,6,2)&lt;"09","0"&amp;RIGHT(I20,1)+1,RIGHT(I20,2)+1))))</f>
        <v>2018</v>
      </c>
      <c r="K20" s="3017" t="str">
        <f t="shared" ref="K20:AC20" si="0">CONCATENATE(IF(dms_RPT="Calendar",J20+1,(LEFT(J20,4)+1&amp;"-"&amp;IF(MID(J20,6,2)&lt;"09","0"&amp;RIGHT(J20,1)+1,RIGHT(J20,2)+1))))</f>
        <v>2019</v>
      </c>
      <c r="L20" s="3017" t="str">
        <f t="shared" si="0"/>
        <v>2020</v>
      </c>
      <c r="M20" s="3017" t="str">
        <f t="shared" si="0"/>
        <v>2021</v>
      </c>
      <c r="N20" s="3017" t="str">
        <f t="shared" si="0"/>
        <v>2022</v>
      </c>
      <c r="O20" s="3017" t="str">
        <f t="shared" si="0"/>
        <v>2023</v>
      </c>
      <c r="P20" s="3017" t="str">
        <f t="shared" si="0"/>
        <v>2024</v>
      </c>
      <c r="Q20" s="3017" t="str">
        <f t="shared" si="0"/>
        <v>2025</v>
      </c>
      <c r="R20" s="3017" t="str">
        <f t="shared" si="0"/>
        <v>2026</v>
      </c>
      <c r="S20" s="3017" t="str">
        <f t="shared" si="0"/>
        <v>2027</v>
      </c>
      <c r="T20" s="3017" t="str">
        <f t="shared" si="0"/>
        <v>2028</v>
      </c>
      <c r="U20" s="3017" t="str">
        <f t="shared" si="0"/>
        <v>2029</v>
      </c>
      <c r="V20" s="3017" t="str">
        <f t="shared" si="0"/>
        <v>2030</v>
      </c>
      <c r="W20" s="3017" t="str">
        <f t="shared" si="0"/>
        <v>2031</v>
      </c>
      <c r="X20" s="3017" t="str">
        <f t="shared" si="0"/>
        <v>2032</v>
      </c>
      <c r="Y20" s="3017" t="str">
        <f t="shared" si="0"/>
        <v>2033</v>
      </c>
      <c r="Z20" s="3017" t="str">
        <f t="shared" si="0"/>
        <v>2034</v>
      </c>
      <c r="AA20" s="3017" t="str">
        <f t="shared" si="0"/>
        <v>2035</v>
      </c>
      <c r="AB20" s="3017" t="str">
        <f t="shared" si="0"/>
        <v>2036</v>
      </c>
      <c r="AC20" s="3017" t="str">
        <f t="shared" si="0"/>
        <v>2037</v>
      </c>
    </row>
    <row r="21" spans="1:135" s="3019" customFormat="1" ht="18.75" customHeight="1" thickBot="1">
      <c r="A21" s="3013"/>
      <c r="B21" s="2783" t="s">
        <v>1628</v>
      </c>
      <c r="C21" s="2784"/>
      <c r="D21" s="2784"/>
      <c r="E21" s="2784"/>
      <c r="F21" s="2784"/>
      <c r="G21" s="2784"/>
      <c r="H21" s="2784"/>
      <c r="I21" s="2784"/>
      <c r="J21" s="2784"/>
      <c r="K21" s="3018"/>
      <c r="L21" s="3018"/>
      <c r="M21" s="3018"/>
      <c r="N21" s="3018"/>
      <c r="O21" s="3018"/>
      <c r="P21" s="3018"/>
      <c r="Q21" s="3018"/>
      <c r="R21" s="3018"/>
      <c r="S21" s="3018"/>
      <c r="T21" s="3018"/>
      <c r="U21" s="3018"/>
      <c r="V21" s="3018"/>
      <c r="W21" s="3018"/>
      <c r="X21" s="3018"/>
      <c r="Y21" s="3018"/>
      <c r="Z21" s="3018"/>
      <c r="AA21" s="3018"/>
      <c r="AB21" s="3018"/>
      <c r="AC21" s="2785"/>
      <c r="AD21" s="2524"/>
      <c r="AE21" s="2524"/>
      <c r="AF21" s="2524"/>
      <c r="DF21" s="2524"/>
      <c r="DG21" s="2524"/>
      <c r="DH21" s="2524"/>
      <c r="DI21" s="2524"/>
      <c r="DJ21" s="2524"/>
      <c r="DK21" s="2524"/>
      <c r="DL21" s="2524"/>
      <c r="DM21" s="2524"/>
      <c r="DN21" s="2524"/>
      <c r="DO21" s="2524"/>
      <c r="DP21" s="2524"/>
      <c r="DQ21" s="2524"/>
      <c r="DR21" s="2524"/>
      <c r="DS21" s="2524"/>
      <c r="DT21" s="2524"/>
      <c r="DU21" s="2524"/>
      <c r="DV21" s="2524"/>
      <c r="DW21" s="2524"/>
      <c r="DX21" s="2524"/>
      <c r="DY21" s="2524"/>
      <c r="DZ21" s="2524"/>
      <c r="EA21" s="2524"/>
      <c r="EB21" s="2524"/>
      <c r="EC21" s="2524"/>
      <c r="ED21" s="2524"/>
      <c r="EE21" s="2524"/>
    </row>
    <row r="22" spans="1:135" s="3020" customFormat="1">
      <c r="B22" s="4604" t="str">
        <f>+'29.2.1 Gas extenstions cust no'!B23</f>
        <v>Declining block tariff</v>
      </c>
      <c r="C22" s="4606" t="s">
        <v>47</v>
      </c>
      <c r="D22" s="4607"/>
      <c r="E22" s="3021">
        <f>+'29.2.1 Gas extenstions cust no'!D25</f>
        <v>0</v>
      </c>
      <c r="F22" s="3022">
        <f>+'29.2.1 Gas extenstions cust no'!E25</f>
        <v>0</v>
      </c>
      <c r="G22" s="3022">
        <f>+'29.2.1 Gas extenstions cust no'!F25</f>
        <v>0</v>
      </c>
      <c r="H22" s="3022">
        <f>+'29.2.1 Gas extenstions cust no'!G25</f>
        <v>0</v>
      </c>
      <c r="I22" s="3023">
        <f>+'29.2.1 Gas extenstions cust no'!H25</f>
        <v>74.135585831024912</v>
      </c>
      <c r="J22" s="3024">
        <f>+'29.2.1 Gas extenstions cust no'!I25</f>
        <v>203.87286103531852</v>
      </c>
      <c r="K22" s="3025">
        <f>+'29.2.1 Gas extenstions cust no'!J25</f>
        <v>301.17581743853873</v>
      </c>
      <c r="L22" s="3025">
        <f>+'29.2.1 Gas extenstions cust no'!K25</f>
        <v>374.1530347409539</v>
      </c>
      <c r="M22" s="3025">
        <f>+'29.2.1 Gas extenstions cust no'!L25</f>
        <v>428.88594771776525</v>
      </c>
      <c r="N22" s="3026">
        <f>+'29.2.1 Gas extenstions cust no'!M25</f>
        <v>469.93563245037376</v>
      </c>
      <c r="O22" s="3027">
        <f>+'29.2.1 Gas extenstions cust no'!N25</f>
        <v>500.87674315050958</v>
      </c>
      <c r="P22" s="3025">
        <f>+'29.2.1 Gas extenstions cust no'!O25</f>
        <v>524.23642332629083</v>
      </c>
      <c r="Q22" s="3025">
        <f>+'29.2.1 Gas extenstions cust no'!P25</f>
        <v>541.75618345812677</v>
      </c>
      <c r="R22" s="3025">
        <f>+'29.2.1 Gas extenstions cust no'!Q25</f>
        <v>554.89600355700372</v>
      </c>
      <c r="S22" s="3025">
        <f>+'29.2.1 Gas extenstions cust no'!R25</f>
        <v>564.75086863116144</v>
      </c>
      <c r="T22" s="3025">
        <f>+'29.2.1 Gas extenstions cust no'!S25</f>
        <v>572.14201743677972</v>
      </c>
      <c r="U22" s="3025">
        <f>+'29.2.1 Gas extenstions cust no'!T25</f>
        <v>577.68537904099344</v>
      </c>
      <c r="V22" s="3025">
        <f>+'29.2.1 Gas extenstions cust no'!U25</f>
        <v>581.84290024415372</v>
      </c>
      <c r="W22" s="3025">
        <f>+'29.2.1 Gas extenstions cust no'!V25</f>
        <v>584.96104114652394</v>
      </c>
      <c r="X22" s="3025">
        <f>+'29.2.1 Gas extenstions cust no'!W25</f>
        <v>587.2996468233016</v>
      </c>
      <c r="Y22" s="3025">
        <f>+'29.2.1 Gas extenstions cust no'!X25</f>
        <v>589.05360108088485</v>
      </c>
      <c r="Z22" s="3025">
        <f>+'29.2.1 Gas extenstions cust no'!Y25</f>
        <v>590.36906677407228</v>
      </c>
      <c r="AA22" s="3025">
        <f>+'29.2.1 Gas extenstions cust no'!Z25</f>
        <v>591.35566604396286</v>
      </c>
      <c r="AB22" s="3025">
        <f>+'29.2.1 Gas extenstions cust no'!AA25</f>
        <v>592.09561549638079</v>
      </c>
      <c r="AC22" s="3026">
        <f>+'29.2.1 Gas extenstions cust no'!AB25</f>
        <v>592.65057758569424</v>
      </c>
      <c r="AD22" s="2524"/>
      <c r="AE22" s="2524"/>
      <c r="AF22" s="3028"/>
      <c r="AG22" s="3028"/>
      <c r="AH22" s="3028"/>
      <c r="AI22" s="3028"/>
      <c r="AJ22" s="3028"/>
      <c r="AK22" s="3028"/>
      <c r="AL22" s="3028"/>
      <c r="AM22" s="3028"/>
      <c r="AN22" s="3028"/>
      <c r="AO22" s="3028"/>
      <c r="AP22" s="3028"/>
      <c r="AQ22" s="3028"/>
      <c r="AR22" s="3028"/>
      <c r="AS22" s="3028"/>
      <c r="AT22" s="3028"/>
      <c r="AU22" s="3028"/>
      <c r="AV22" s="3028"/>
      <c r="AW22" s="3028"/>
      <c r="AX22" s="3028"/>
      <c r="AY22" s="3028"/>
      <c r="AZ22" s="3028"/>
      <c r="BA22" s="3028"/>
      <c r="BB22" s="3028"/>
      <c r="BC22" s="3028"/>
      <c r="BD22" s="3028"/>
      <c r="BE22" s="3028"/>
      <c r="BF22" s="3028"/>
      <c r="BG22" s="3028"/>
      <c r="BH22" s="3028"/>
      <c r="BI22" s="3028"/>
      <c r="BJ22" s="3028"/>
      <c r="BK22" s="3028"/>
      <c r="BL22" s="3028"/>
      <c r="BM22" s="3028"/>
      <c r="BN22" s="3028"/>
      <c r="BO22" s="3028"/>
      <c r="BP22" s="3028"/>
      <c r="BQ22" s="3028"/>
      <c r="BR22" s="3028"/>
      <c r="BS22" s="3028"/>
      <c r="BT22" s="3028"/>
      <c r="BU22" s="3028"/>
      <c r="BV22" s="3028"/>
      <c r="BW22" s="3028"/>
      <c r="BX22" s="3028"/>
      <c r="BY22" s="3028"/>
      <c r="BZ22" s="3028"/>
      <c r="CA22" s="3028"/>
      <c r="CB22" s="3028"/>
      <c r="CC22" s="3028"/>
      <c r="CD22" s="3028"/>
      <c r="CE22" s="3028"/>
      <c r="CF22" s="3028"/>
      <c r="CG22" s="3028"/>
      <c r="CH22" s="3028"/>
      <c r="CI22" s="3028"/>
      <c r="CJ22" s="3028"/>
      <c r="CK22" s="3028"/>
      <c r="CL22" s="3028"/>
      <c r="CM22" s="3028"/>
      <c r="CN22" s="3028"/>
      <c r="CO22" s="3028"/>
      <c r="CP22" s="3028"/>
      <c r="CQ22" s="3028"/>
      <c r="CR22" s="3028"/>
      <c r="CS22" s="3028"/>
      <c r="CT22" s="3028"/>
      <c r="CU22" s="3028"/>
      <c r="CV22" s="3028"/>
      <c r="CW22" s="3028"/>
      <c r="CX22" s="3028"/>
      <c r="CY22" s="3028"/>
      <c r="CZ22" s="3028"/>
      <c r="DA22" s="3028"/>
      <c r="DB22" s="3028"/>
      <c r="DC22" s="3028"/>
      <c r="DD22" s="3028"/>
      <c r="DE22" s="3028"/>
      <c r="DF22" s="3028"/>
      <c r="DG22" s="3028"/>
      <c r="DH22" s="3028"/>
      <c r="DI22" s="3028"/>
      <c r="DJ22" s="3028"/>
      <c r="DK22" s="3028"/>
      <c r="DL22" s="3028"/>
      <c r="DM22" s="3028"/>
      <c r="DN22" s="3028"/>
      <c r="DO22" s="3028"/>
      <c r="DP22" s="3028"/>
    </row>
    <row r="23" spans="1:135" s="3020" customFormat="1">
      <c r="B23" s="4604"/>
      <c r="C23" s="3029" t="s">
        <v>1600</v>
      </c>
      <c r="D23" s="3030" t="s">
        <v>1601</v>
      </c>
      <c r="E23" s="3114"/>
      <c r="F23" s="3115"/>
      <c r="G23" s="3115"/>
      <c r="H23" s="3115"/>
      <c r="I23" s="625">
        <v>761.46462474909833</v>
      </c>
      <c r="J23" s="459">
        <v>2054.5904058871952</v>
      </c>
      <c r="K23" s="458">
        <v>2996.3922289961524</v>
      </c>
      <c r="L23" s="458">
        <v>3679.9819002388626</v>
      </c>
      <c r="M23" s="458">
        <v>4172.4114728431678</v>
      </c>
      <c r="N23" s="460">
        <v>4468.8331864700567</v>
      </c>
      <c r="O23" s="459">
        <f>+O$22*(N23/N$22)</f>
        <v>4763.0663809227299</v>
      </c>
      <c r="P23" s="458">
        <f>+P$22*(O23/O$22)</f>
        <v>4985.2042797888726</v>
      </c>
      <c r="Q23" s="458">
        <f t="shared" ref="Q23:AC30" si="1">+Q$22*(P23/P$22)</f>
        <v>5151.8077039384798</v>
      </c>
      <c r="R23" s="458">
        <f t="shared" si="1"/>
        <v>5276.7602720506848</v>
      </c>
      <c r="S23" s="458">
        <f t="shared" si="1"/>
        <v>5370.4746981348389</v>
      </c>
      <c r="T23" s="458">
        <f t="shared" si="1"/>
        <v>5440.7605176979541</v>
      </c>
      <c r="U23" s="458">
        <f t="shared" si="1"/>
        <v>5493.4748823702912</v>
      </c>
      <c r="V23" s="458">
        <f t="shared" si="1"/>
        <v>5533.0106558745438</v>
      </c>
      <c r="W23" s="458">
        <f t="shared" si="1"/>
        <v>5562.6624860027332</v>
      </c>
      <c r="X23" s="458">
        <f t="shared" si="1"/>
        <v>5584.901358598875</v>
      </c>
      <c r="Y23" s="458">
        <f t="shared" si="1"/>
        <v>5601.5805130459812</v>
      </c>
      <c r="Z23" s="458">
        <f t="shared" si="1"/>
        <v>5614.0898788813111</v>
      </c>
      <c r="AA23" s="458">
        <f t="shared" si="1"/>
        <v>5623.4719032578087</v>
      </c>
      <c r="AB23" s="458">
        <f t="shared" si="1"/>
        <v>5630.5084215401821</v>
      </c>
      <c r="AC23" s="460">
        <f t="shared" si="1"/>
        <v>5635.7858102519613</v>
      </c>
      <c r="AD23" s="2524"/>
      <c r="AE23" s="2524"/>
      <c r="AF23" s="3028"/>
      <c r="AG23" s="3028"/>
      <c r="AH23" s="3028"/>
      <c r="AI23" s="3028"/>
      <c r="AJ23" s="3028"/>
      <c r="AK23" s="3028"/>
      <c r="AL23" s="3028"/>
      <c r="AM23" s="3028"/>
      <c r="AN23" s="3028"/>
      <c r="AO23" s="3028"/>
      <c r="AP23" s="3028"/>
      <c r="AQ23" s="3028"/>
      <c r="AR23" s="3028"/>
      <c r="AS23" s="3028"/>
      <c r="AT23" s="3028"/>
      <c r="AU23" s="3028"/>
      <c r="AV23" s="3028"/>
      <c r="AW23" s="3028"/>
      <c r="AX23" s="3028"/>
      <c r="AY23" s="3028"/>
      <c r="AZ23" s="3028"/>
      <c r="BA23" s="3028"/>
      <c r="BB23" s="3028"/>
      <c r="BC23" s="3028"/>
      <c r="BD23" s="3028"/>
      <c r="BE23" s="3028"/>
      <c r="BF23" s="3028"/>
      <c r="BG23" s="3028"/>
      <c r="BH23" s="3028"/>
      <c r="BI23" s="3028"/>
      <c r="BJ23" s="3028"/>
      <c r="BK23" s="3028"/>
      <c r="BL23" s="3028"/>
      <c r="BM23" s="3028"/>
      <c r="BN23" s="3028"/>
      <c r="BO23" s="3028"/>
      <c r="BP23" s="3028"/>
      <c r="BQ23" s="3028"/>
      <c r="BR23" s="3028"/>
      <c r="BS23" s="3028"/>
      <c r="BT23" s="3028"/>
      <c r="BU23" s="3028"/>
      <c r="BV23" s="3028"/>
      <c r="BW23" s="3028"/>
      <c r="BX23" s="3028"/>
      <c r="BY23" s="3028"/>
      <c r="BZ23" s="3028"/>
      <c r="CA23" s="3028"/>
      <c r="CB23" s="3028"/>
      <c r="CC23" s="3028"/>
      <c r="CD23" s="3028"/>
      <c r="CE23" s="3028"/>
      <c r="CF23" s="3028"/>
      <c r="CG23" s="3028"/>
      <c r="CH23" s="3028"/>
      <c r="CI23" s="3028"/>
      <c r="CJ23" s="3028"/>
      <c r="CK23" s="3028"/>
      <c r="CL23" s="3028"/>
      <c r="CM23" s="3028"/>
      <c r="CN23" s="3028"/>
      <c r="CO23" s="3028"/>
      <c r="CP23" s="3028"/>
      <c r="CQ23" s="3028"/>
      <c r="CR23" s="3028"/>
      <c r="CS23" s="3028"/>
      <c r="CT23" s="3028"/>
      <c r="CU23" s="3028"/>
      <c r="CV23" s="3028"/>
      <c r="CW23" s="3028"/>
      <c r="CX23" s="3028"/>
      <c r="CY23" s="3028"/>
      <c r="CZ23" s="3028"/>
      <c r="DA23" s="3028"/>
      <c r="DB23" s="3028"/>
      <c r="DC23" s="3028"/>
      <c r="DD23" s="3028"/>
      <c r="DE23" s="3028"/>
      <c r="DF23" s="3028"/>
      <c r="DG23" s="3028"/>
      <c r="DH23" s="3028"/>
      <c r="DI23" s="3028"/>
      <c r="DJ23" s="3028"/>
      <c r="DK23" s="3028"/>
      <c r="DL23" s="3028"/>
      <c r="DM23" s="3028"/>
      <c r="DN23" s="3028"/>
      <c r="DO23" s="3028"/>
      <c r="DP23" s="3028"/>
    </row>
    <row r="24" spans="1:135" s="3020" customFormat="1">
      <c r="B24" s="4604"/>
      <c r="C24" s="3029" t="s">
        <v>1602</v>
      </c>
      <c r="D24" s="3030" t="s">
        <v>1603</v>
      </c>
      <c r="E24" s="3114"/>
      <c r="F24" s="3115"/>
      <c r="G24" s="3115"/>
      <c r="H24" s="3115"/>
      <c r="I24" s="625">
        <v>580.06176476609676</v>
      </c>
      <c r="J24" s="459">
        <v>1561.5488631707181</v>
      </c>
      <c r="K24" s="458">
        <v>2272.1123023572409</v>
      </c>
      <c r="L24" s="458">
        <v>2783.7303811098927</v>
      </c>
      <c r="M24" s="458">
        <v>3148.2138763861544</v>
      </c>
      <c r="N24" s="460">
        <v>3362.7696270941656</v>
      </c>
      <c r="O24" s="459">
        <f t="shared" ref="O24:P30" si="2">+O$22*(N24/N$22)</f>
        <v>3584.1783054453708</v>
      </c>
      <c r="P24" s="458">
        <f t="shared" si="2"/>
        <v>3751.3357150338984</v>
      </c>
      <c r="Q24" s="458">
        <f t="shared" si="1"/>
        <v>3876.7037722252944</v>
      </c>
      <c r="R24" s="458">
        <f t="shared" si="1"/>
        <v>3970.7298151188411</v>
      </c>
      <c r="S24" s="458">
        <f t="shared" si="1"/>
        <v>4041.249347289001</v>
      </c>
      <c r="T24" s="458">
        <f t="shared" si="1"/>
        <v>4094.138996416621</v>
      </c>
      <c r="U24" s="458">
        <f t="shared" si="1"/>
        <v>4133.8062332623358</v>
      </c>
      <c r="V24" s="458">
        <f t="shared" si="1"/>
        <v>4163.5566608966219</v>
      </c>
      <c r="W24" s="458">
        <f t="shared" si="1"/>
        <v>4185.8694816223369</v>
      </c>
      <c r="X24" s="458">
        <f t="shared" si="1"/>
        <v>4202.6040971666225</v>
      </c>
      <c r="Y24" s="458">
        <f t="shared" si="1"/>
        <v>4215.1550588248374</v>
      </c>
      <c r="Z24" s="458">
        <f t="shared" si="1"/>
        <v>4224.5682800684981</v>
      </c>
      <c r="AA24" s="458">
        <f t="shared" si="1"/>
        <v>4231.6281960012439</v>
      </c>
      <c r="AB24" s="458">
        <f t="shared" si="1"/>
        <v>4236.9231329508029</v>
      </c>
      <c r="AC24" s="460">
        <f t="shared" si="1"/>
        <v>4240.8943356629725</v>
      </c>
      <c r="AD24" s="2524"/>
      <c r="AE24" s="2524"/>
      <c r="AF24" s="3028"/>
      <c r="AG24" s="3028"/>
      <c r="AH24" s="3028"/>
      <c r="AI24" s="3028"/>
      <c r="AJ24" s="3028"/>
      <c r="AK24" s="3028"/>
      <c r="AL24" s="3028"/>
      <c r="AM24" s="3028"/>
      <c r="AN24" s="3028"/>
      <c r="AO24" s="3028"/>
      <c r="AP24" s="3028"/>
      <c r="AQ24" s="3028"/>
      <c r="AR24" s="3028"/>
      <c r="AS24" s="3028"/>
      <c r="AT24" s="3028"/>
      <c r="AU24" s="3028"/>
      <c r="AV24" s="3028"/>
      <c r="AW24" s="3028"/>
      <c r="AX24" s="3028"/>
      <c r="AY24" s="3028"/>
      <c r="AZ24" s="3028"/>
      <c r="BA24" s="3028"/>
      <c r="BB24" s="3028"/>
      <c r="BC24" s="3028"/>
      <c r="BD24" s="3028"/>
      <c r="BE24" s="3028"/>
      <c r="BF24" s="3028"/>
      <c r="BG24" s="3028"/>
      <c r="BH24" s="3028"/>
      <c r="BI24" s="3028"/>
      <c r="BJ24" s="3028"/>
      <c r="BK24" s="3028"/>
      <c r="BL24" s="3028"/>
      <c r="BM24" s="3028"/>
      <c r="BN24" s="3028"/>
      <c r="BO24" s="3028"/>
      <c r="BP24" s="3028"/>
      <c r="BQ24" s="3028"/>
      <c r="BR24" s="3028"/>
      <c r="BS24" s="3028"/>
      <c r="BT24" s="3028"/>
      <c r="BU24" s="3028"/>
      <c r="BV24" s="3028"/>
      <c r="BW24" s="3028"/>
      <c r="BX24" s="3028"/>
      <c r="BY24" s="3028"/>
      <c r="BZ24" s="3028"/>
      <c r="CA24" s="3028"/>
      <c r="CB24" s="3028"/>
      <c r="CC24" s="3028"/>
      <c r="CD24" s="3028"/>
      <c r="CE24" s="3028"/>
      <c r="CF24" s="3028"/>
      <c r="CG24" s="3028"/>
      <c r="CH24" s="3028"/>
      <c r="CI24" s="3028"/>
      <c r="CJ24" s="3028"/>
      <c r="CK24" s="3028"/>
      <c r="CL24" s="3028"/>
      <c r="CM24" s="3028"/>
      <c r="CN24" s="3028"/>
      <c r="CO24" s="3028"/>
      <c r="CP24" s="3028"/>
      <c r="CQ24" s="3028"/>
      <c r="CR24" s="3028"/>
      <c r="CS24" s="3028"/>
      <c r="CT24" s="3028"/>
      <c r="CU24" s="3028"/>
      <c r="CV24" s="3028"/>
      <c r="CW24" s="3028"/>
      <c r="CX24" s="3028"/>
      <c r="CY24" s="3028"/>
      <c r="CZ24" s="3028"/>
      <c r="DA24" s="3028"/>
      <c r="DB24" s="3028"/>
      <c r="DC24" s="3028"/>
      <c r="DD24" s="3028"/>
      <c r="DE24" s="3028"/>
      <c r="DF24" s="3028"/>
      <c r="DG24" s="3028"/>
      <c r="DH24" s="3028"/>
      <c r="DI24" s="3028"/>
      <c r="DJ24" s="3028"/>
      <c r="DK24" s="3028"/>
      <c r="DL24" s="3028"/>
      <c r="DM24" s="3028"/>
      <c r="DN24" s="3028"/>
      <c r="DO24" s="3028"/>
      <c r="DP24" s="3028"/>
    </row>
    <row r="25" spans="1:135" s="3020" customFormat="1">
      <c r="B25" s="4604"/>
      <c r="C25" s="3029" t="s">
        <v>1604</v>
      </c>
      <c r="D25" s="3030" t="s">
        <v>1605</v>
      </c>
      <c r="E25" s="3114"/>
      <c r="F25" s="3115"/>
      <c r="G25" s="3115"/>
      <c r="H25" s="3115"/>
      <c r="I25" s="625">
        <v>1121.5346032277141</v>
      </c>
      <c r="J25" s="459">
        <v>3013.3375185268428</v>
      </c>
      <c r="K25" s="458">
        <v>4380.1904094025049</v>
      </c>
      <c r="L25" s="458">
        <v>5364.1181480026662</v>
      </c>
      <c r="M25" s="458">
        <v>6066.0011304336285</v>
      </c>
      <c r="N25" s="460">
        <v>6489.8094482775587</v>
      </c>
      <c r="O25" s="459">
        <f t="shared" si="2"/>
        <v>6917.1060793393635</v>
      </c>
      <c r="P25" s="458">
        <f t="shared" si="2"/>
        <v>7239.7031812510531</v>
      </c>
      <c r="Q25" s="458">
        <f t="shared" si="1"/>
        <v>7481.651007684819</v>
      </c>
      <c r="R25" s="458">
        <f t="shared" si="1"/>
        <v>7663.111877510144</v>
      </c>
      <c r="S25" s="458">
        <f t="shared" si="1"/>
        <v>7799.2075298791378</v>
      </c>
      <c r="T25" s="458">
        <f t="shared" si="1"/>
        <v>7901.2792691558834</v>
      </c>
      <c r="U25" s="458">
        <f t="shared" si="1"/>
        <v>7977.8330736134421</v>
      </c>
      <c r="V25" s="458">
        <f t="shared" si="1"/>
        <v>8035.2484269566112</v>
      </c>
      <c r="W25" s="458">
        <f t="shared" si="1"/>
        <v>8078.3099419639884</v>
      </c>
      <c r="X25" s="458">
        <f t="shared" si="1"/>
        <v>8110.6060782195209</v>
      </c>
      <c r="Y25" s="458">
        <f t="shared" si="1"/>
        <v>8134.8281804111703</v>
      </c>
      <c r="Z25" s="458">
        <f t="shared" si="1"/>
        <v>8152.9947570549075</v>
      </c>
      <c r="AA25" s="458">
        <f t="shared" si="1"/>
        <v>8166.6196895377107</v>
      </c>
      <c r="AB25" s="458">
        <f t="shared" si="1"/>
        <v>8176.8383888998123</v>
      </c>
      <c r="AC25" s="460">
        <f t="shared" si="1"/>
        <v>8184.5024134213891</v>
      </c>
      <c r="AD25" s="2524"/>
      <c r="AE25" s="2524"/>
      <c r="AF25" s="3028"/>
      <c r="AG25" s="3028"/>
      <c r="AH25" s="3028"/>
      <c r="AI25" s="3028"/>
      <c r="AJ25" s="3028"/>
      <c r="AK25" s="3028"/>
      <c r="AL25" s="3028"/>
      <c r="AM25" s="3028"/>
      <c r="AN25" s="3028"/>
      <c r="AO25" s="3028"/>
      <c r="AP25" s="3028"/>
      <c r="AQ25" s="3028"/>
      <c r="AR25" s="3028"/>
      <c r="AS25" s="3028"/>
      <c r="AT25" s="3028"/>
      <c r="AU25" s="3028"/>
      <c r="AV25" s="3028"/>
      <c r="AW25" s="3028"/>
      <c r="AX25" s="3028"/>
      <c r="AY25" s="3028"/>
      <c r="AZ25" s="3028"/>
      <c r="BA25" s="3028"/>
      <c r="BB25" s="3028"/>
      <c r="BC25" s="3028"/>
      <c r="BD25" s="3028"/>
      <c r="BE25" s="3028"/>
      <c r="BF25" s="3028"/>
      <c r="BG25" s="3028"/>
      <c r="BH25" s="3028"/>
      <c r="BI25" s="3028"/>
      <c r="BJ25" s="3028"/>
      <c r="BK25" s="3028"/>
      <c r="BL25" s="3028"/>
      <c r="BM25" s="3028"/>
      <c r="BN25" s="3028"/>
      <c r="BO25" s="3028"/>
      <c r="BP25" s="3028"/>
      <c r="BQ25" s="3028"/>
      <c r="BR25" s="3028"/>
      <c r="BS25" s="3028"/>
      <c r="BT25" s="3028"/>
      <c r="BU25" s="3028"/>
      <c r="BV25" s="3028"/>
      <c r="BW25" s="3028"/>
      <c r="BX25" s="3028"/>
      <c r="BY25" s="3028"/>
      <c r="BZ25" s="3028"/>
      <c r="CA25" s="3028"/>
      <c r="CB25" s="3028"/>
      <c r="CC25" s="3028"/>
      <c r="CD25" s="3028"/>
      <c r="CE25" s="3028"/>
      <c r="CF25" s="3028"/>
      <c r="CG25" s="3028"/>
      <c r="CH25" s="3028"/>
      <c r="CI25" s="3028"/>
      <c r="CJ25" s="3028"/>
      <c r="CK25" s="3028"/>
      <c r="CL25" s="3028"/>
      <c r="CM25" s="3028"/>
      <c r="CN25" s="3028"/>
      <c r="CO25" s="3028"/>
      <c r="CP25" s="3028"/>
      <c r="CQ25" s="3028"/>
      <c r="CR25" s="3028"/>
      <c r="CS25" s="3028"/>
      <c r="CT25" s="3028"/>
      <c r="CU25" s="3028"/>
      <c r="CV25" s="3028"/>
      <c r="CW25" s="3028"/>
      <c r="CX25" s="3028"/>
      <c r="CY25" s="3028"/>
      <c r="CZ25" s="3028"/>
      <c r="DA25" s="3028"/>
      <c r="DB25" s="3028"/>
      <c r="DC25" s="3028"/>
      <c r="DD25" s="3028"/>
      <c r="DE25" s="3028"/>
      <c r="DF25" s="3028"/>
      <c r="DG25" s="3028"/>
      <c r="DH25" s="3028"/>
      <c r="DI25" s="3028"/>
      <c r="DJ25" s="3028"/>
      <c r="DK25" s="3028"/>
      <c r="DL25" s="3028"/>
      <c r="DM25" s="3028"/>
      <c r="DN25" s="3028"/>
      <c r="DO25" s="3028"/>
      <c r="DP25" s="3028"/>
    </row>
    <row r="26" spans="1:135" s="3020" customFormat="1">
      <c r="B26" s="4604"/>
      <c r="C26" s="3029" t="s">
        <v>1606</v>
      </c>
      <c r="D26" s="3030" t="s">
        <v>1607</v>
      </c>
      <c r="E26" s="3114"/>
      <c r="F26" s="3115"/>
      <c r="G26" s="3115"/>
      <c r="H26" s="3115"/>
      <c r="I26" s="625">
        <v>8.0069003733058643</v>
      </c>
      <c r="J26" s="459">
        <v>22.092754965694215</v>
      </c>
      <c r="K26" s="458">
        <v>32.898257085923682</v>
      </c>
      <c r="L26" s="458">
        <v>41.208782311797918</v>
      </c>
      <c r="M26" s="458">
        <v>47.620294137279544</v>
      </c>
      <c r="N26" s="460">
        <v>51.81495213810026</v>
      </c>
      <c r="O26" s="459">
        <f t="shared" si="2"/>
        <v>55.226509081904695</v>
      </c>
      <c r="P26" s="458">
        <f t="shared" si="2"/>
        <v>57.80213992725723</v>
      </c>
      <c r="Q26" s="458">
        <f t="shared" si="1"/>
        <v>59.733863061271634</v>
      </c>
      <c r="R26" s="458">
        <f t="shared" si="1"/>
        <v>61.182655411782434</v>
      </c>
      <c r="S26" s="458">
        <f t="shared" si="1"/>
        <v>62.269249674665531</v>
      </c>
      <c r="T26" s="458">
        <f t="shared" si="1"/>
        <v>63.08419537182786</v>
      </c>
      <c r="U26" s="458">
        <f t="shared" si="1"/>
        <v>63.695404644699607</v>
      </c>
      <c r="V26" s="458">
        <f t="shared" si="1"/>
        <v>64.153811599353418</v>
      </c>
      <c r="W26" s="458">
        <f t="shared" si="1"/>
        <v>64.497616815343775</v>
      </c>
      <c r="X26" s="458">
        <f t="shared" si="1"/>
        <v>64.755470727336544</v>
      </c>
      <c r="Y26" s="458">
        <f t="shared" si="1"/>
        <v>64.948861161331124</v>
      </c>
      <c r="Z26" s="458">
        <f t="shared" si="1"/>
        <v>65.093903986827058</v>
      </c>
      <c r="AA26" s="458">
        <f t="shared" si="1"/>
        <v>65.202686105949013</v>
      </c>
      <c r="AB26" s="458">
        <f t="shared" si="1"/>
        <v>65.284272695290483</v>
      </c>
      <c r="AC26" s="460">
        <f t="shared" si="1"/>
        <v>65.345462637296578</v>
      </c>
      <c r="AD26" s="2524"/>
      <c r="AE26" s="2524"/>
      <c r="AF26" s="3028"/>
      <c r="AG26" s="3028"/>
      <c r="AH26" s="3028"/>
      <c r="AI26" s="3028"/>
      <c r="AJ26" s="3028"/>
      <c r="AK26" s="3028"/>
      <c r="AL26" s="3028"/>
      <c r="AM26" s="3028"/>
      <c r="AN26" s="3028"/>
      <c r="AO26" s="3028"/>
      <c r="AP26" s="3028"/>
      <c r="AQ26" s="3028"/>
      <c r="AR26" s="3028"/>
      <c r="AS26" s="3028"/>
      <c r="AT26" s="3028"/>
      <c r="AU26" s="3028"/>
      <c r="AV26" s="3028"/>
      <c r="AW26" s="3028"/>
      <c r="AX26" s="3028"/>
      <c r="AY26" s="3028"/>
      <c r="AZ26" s="3028"/>
      <c r="BA26" s="3028"/>
      <c r="BB26" s="3028"/>
      <c r="BC26" s="3028"/>
      <c r="BD26" s="3028"/>
      <c r="BE26" s="3028"/>
      <c r="BF26" s="3028"/>
      <c r="BG26" s="3028"/>
      <c r="BH26" s="3028"/>
      <c r="BI26" s="3028"/>
      <c r="BJ26" s="3028"/>
      <c r="BK26" s="3028"/>
      <c r="BL26" s="3028"/>
      <c r="BM26" s="3028"/>
      <c r="BN26" s="3028"/>
      <c r="BO26" s="3028"/>
      <c r="BP26" s="3028"/>
      <c r="BQ26" s="3028"/>
      <c r="BR26" s="3028"/>
      <c r="BS26" s="3028"/>
      <c r="BT26" s="3028"/>
      <c r="BU26" s="3028"/>
      <c r="BV26" s="3028"/>
      <c r="BW26" s="3028"/>
      <c r="BX26" s="3028"/>
      <c r="BY26" s="3028"/>
      <c r="BZ26" s="3028"/>
      <c r="CA26" s="3028"/>
      <c r="CB26" s="3028"/>
      <c r="CC26" s="3028"/>
      <c r="CD26" s="3028"/>
      <c r="CE26" s="3028"/>
      <c r="CF26" s="3028"/>
      <c r="CG26" s="3028"/>
      <c r="CH26" s="3028"/>
      <c r="CI26" s="3028"/>
      <c r="CJ26" s="3028"/>
      <c r="CK26" s="3028"/>
      <c r="CL26" s="3028"/>
      <c r="CM26" s="3028"/>
      <c r="CN26" s="3028"/>
      <c r="CO26" s="3028"/>
      <c r="CP26" s="3028"/>
      <c r="CQ26" s="3028"/>
      <c r="CR26" s="3028"/>
      <c r="CS26" s="3028"/>
      <c r="CT26" s="3028"/>
      <c r="CU26" s="3028"/>
      <c r="CV26" s="3028"/>
      <c r="CW26" s="3028"/>
      <c r="CX26" s="3028"/>
      <c r="CY26" s="3028"/>
      <c r="CZ26" s="3028"/>
      <c r="DA26" s="3028"/>
      <c r="DB26" s="3028"/>
      <c r="DC26" s="3028"/>
      <c r="DD26" s="3028"/>
      <c r="DE26" s="3028"/>
      <c r="DF26" s="3028"/>
      <c r="DG26" s="3028"/>
      <c r="DH26" s="3028"/>
      <c r="DI26" s="3028"/>
      <c r="DJ26" s="3028"/>
      <c r="DK26" s="3028"/>
      <c r="DL26" s="3028"/>
      <c r="DM26" s="3028"/>
      <c r="DN26" s="3028"/>
      <c r="DO26" s="3028"/>
      <c r="DP26" s="3028"/>
    </row>
    <row r="27" spans="1:135" s="3020" customFormat="1">
      <c r="B27" s="4604"/>
      <c r="C27" s="3031" t="s">
        <v>1608</v>
      </c>
      <c r="D27" s="3030" t="s">
        <v>1609</v>
      </c>
      <c r="E27" s="3114"/>
      <c r="F27" s="3115"/>
      <c r="G27" s="3115"/>
      <c r="H27" s="3115"/>
      <c r="I27" s="625">
        <v>926.55573774458855</v>
      </c>
      <c r="J27" s="459">
        <v>2472.1145424059478</v>
      </c>
      <c r="K27" s="458">
        <v>3567.7044285453817</v>
      </c>
      <c r="L27" s="458">
        <v>4337.8004223310627</v>
      </c>
      <c r="M27" s="458">
        <v>4870.0905105412503</v>
      </c>
      <c r="N27" s="460">
        <v>5173.7560674898532</v>
      </c>
      <c r="O27" s="459">
        <f t="shared" si="2"/>
        <v>5514.4022074409613</v>
      </c>
      <c r="P27" s="458">
        <f t="shared" si="2"/>
        <v>5771.580592518696</v>
      </c>
      <c r="Q27" s="458">
        <f t="shared" si="1"/>
        <v>5964.4643813269959</v>
      </c>
      <c r="R27" s="458">
        <f t="shared" si="1"/>
        <v>6109.1272229332217</v>
      </c>
      <c r="S27" s="458">
        <f t="shared" si="1"/>
        <v>6217.6243541378908</v>
      </c>
      <c r="T27" s="458">
        <f t="shared" si="1"/>
        <v>6298.9972025413927</v>
      </c>
      <c r="U27" s="458">
        <f t="shared" si="1"/>
        <v>6360.026838844019</v>
      </c>
      <c r="V27" s="458">
        <f t="shared" si="1"/>
        <v>6405.7990660709884</v>
      </c>
      <c r="W27" s="458">
        <f t="shared" si="1"/>
        <v>6440.1282364912158</v>
      </c>
      <c r="X27" s="458">
        <f t="shared" si="1"/>
        <v>6465.8751143063864</v>
      </c>
      <c r="Y27" s="458">
        <f t="shared" si="1"/>
        <v>6485.1852726677644</v>
      </c>
      <c r="Z27" s="458">
        <f t="shared" si="1"/>
        <v>6499.6678914387976</v>
      </c>
      <c r="AA27" s="458">
        <f t="shared" si="1"/>
        <v>6510.5298555170721</v>
      </c>
      <c r="AB27" s="458">
        <f t="shared" si="1"/>
        <v>6518.6763285757788</v>
      </c>
      <c r="AC27" s="460">
        <f t="shared" si="1"/>
        <v>6524.7861833698089</v>
      </c>
      <c r="AD27" s="2524"/>
      <c r="AE27" s="2524"/>
      <c r="AF27" s="3028"/>
      <c r="AG27" s="3028"/>
      <c r="AH27" s="3028"/>
      <c r="AI27" s="3028"/>
      <c r="AJ27" s="3028"/>
      <c r="AK27" s="3028"/>
      <c r="AL27" s="3028"/>
      <c r="AM27" s="3028"/>
      <c r="AN27" s="3028"/>
      <c r="AO27" s="3028"/>
      <c r="AP27" s="3028"/>
      <c r="AQ27" s="3028"/>
      <c r="AR27" s="3028"/>
      <c r="AS27" s="3028"/>
      <c r="AT27" s="3028"/>
      <c r="AU27" s="3028"/>
      <c r="AV27" s="3028"/>
      <c r="AW27" s="3028"/>
      <c r="AX27" s="3028"/>
      <c r="AY27" s="3028"/>
      <c r="AZ27" s="3028"/>
      <c r="BA27" s="3028"/>
      <c r="BB27" s="3028"/>
      <c r="BC27" s="3028"/>
      <c r="BD27" s="3028"/>
      <c r="BE27" s="3028"/>
      <c r="BF27" s="3028"/>
      <c r="BG27" s="3028"/>
      <c r="BH27" s="3028"/>
      <c r="BI27" s="3028"/>
      <c r="BJ27" s="3028"/>
      <c r="BK27" s="3028"/>
      <c r="BL27" s="3028"/>
      <c r="BM27" s="3028"/>
      <c r="BN27" s="3028"/>
      <c r="BO27" s="3028"/>
      <c r="BP27" s="3028"/>
      <c r="BQ27" s="3028"/>
      <c r="BR27" s="3028"/>
      <c r="BS27" s="3028"/>
      <c r="BT27" s="3028"/>
      <c r="BU27" s="3028"/>
      <c r="BV27" s="3028"/>
      <c r="BW27" s="3028"/>
      <c r="BX27" s="3028"/>
      <c r="BY27" s="3028"/>
      <c r="BZ27" s="3028"/>
      <c r="CA27" s="3028"/>
      <c r="CB27" s="3028"/>
      <c r="CC27" s="3028"/>
      <c r="CD27" s="3028"/>
      <c r="CE27" s="3028"/>
      <c r="CF27" s="3028"/>
      <c r="CG27" s="3028"/>
      <c r="CH27" s="3028"/>
      <c r="CI27" s="3028"/>
      <c r="CJ27" s="3028"/>
      <c r="CK27" s="3028"/>
      <c r="CL27" s="3028"/>
      <c r="CM27" s="3028"/>
      <c r="CN27" s="3028"/>
      <c r="CO27" s="3028"/>
      <c r="CP27" s="3028"/>
      <c r="CQ27" s="3028"/>
      <c r="CR27" s="3028"/>
      <c r="CS27" s="3028"/>
      <c r="CT27" s="3028"/>
      <c r="CU27" s="3028"/>
      <c r="CV27" s="3028"/>
      <c r="CW27" s="3028"/>
      <c r="CX27" s="3028"/>
      <c r="CY27" s="3028"/>
      <c r="CZ27" s="3028"/>
      <c r="DA27" s="3028"/>
      <c r="DB27" s="3028"/>
      <c r="DC27" s="3028"/>
      <c r="DD27" s="3028"/>
      <c r="DE27" s="3028"/>
      <c r="DF27" s="3028"/>
      <c r="DG27" s="3028"/>
      <c r="DH27" s="3028"/>
      <c r="DI27" s="3028"/>
      <c r="DJ27" s="3028"/>
      <c r="DK27" s="3028"/>
      <c r="DL27" s="3028"/>
      <c r="DM27" s="3028"/>
      <c r="DN27" s="3028"/>
      <c r="DO27" s="3028"/>
      <c r="DP27" s="3028"/>
    </row>
    <row r="28" spans="1:135" s="3020" customFormat="1">
      <c r="B28" s="4604"/>
      <c r="C28" s="3031" t="s">
        <v>1610</v>
      </c>
      <c r="D28" s="3030" t="s">
        <v>1611</v>
      </c>
      <c r="E28" s="3114"/>
      <c r="F28" s="3115"/>
      <c r="G28" s="3115"/>
      <c r="H28" s="3115"/>
      <c r="I28" s="625">
        <v>253.14151017386152</v>
      </c>
      <c r="J28" s="459">
        <v>664.5565503078999</v>
      </c>
      <c r="K28" s="458">
        <v>943.80600745179765</v>
      </c>
      <c r="L28" s="458">
        <v>1128.4610435541335</v>
      </c>
      <c r="M28" s="458">
        <v>1244.6986485208167</v>
      </c>
      <c r="N28" s="460">
        <v>1298.7961079890376</v>
      </c>
      <c r="O28" s="459">
        <f t="shared" si="2"/>
        <v>1384.3103601104451</v>
      </c>
      <c r="P28" s="458">
        <f t="shared" si="2"/>
        <v>1448.8712480302972</v>
      </c>
      <c r="Q28" s="458">
        <f t="shared" si="1"/>
        <v>1497.2919139701862</v>
      </c>
      <c r="R28" s="458">
        <f t="shared" si="1"/>
        <v>1533.607413425103</v>
      </c>
      <c r="S28" s="458">
        <f t="shared" si="1"/>
        <v>1560.8440380162906</v>
      </c>
      <c r="T28" s="458">
        <f t="shared" si="1"/>
        <v>1581.2715064596812</v>
      </c>
      <c r="U28" s="458">
        <f t="shared" si="1"/>
        <v>1596.5921077922242</v>
      </c>
      <c r="V28" s="458">
        <f t="shared" si="1"/>
        <v>1608.0825587916315</v>
      </c>
      <c r="W28" s="458">
        <f t="shared" si="1"/>
        <v>1616.700397041187</v>
      </c>
      <c r="X28" s="458">
        <f t="shared" si="1"/>
        <v>1623.1637757283536</v>
      </c>
      <c r="Y28" s="458">
        <f t="shared" si="1"/>
        <v>1628.0113097437284</v>
      </c>
      <c r="Z28" s="458">
        <f t="shared" si="1"/>
        <v>1631.6469602552597</v>
      </c>
      <c r="AA28" s="458">
        <f t="shared" si="1"/>
        <v>1634.3736981389081</v>
      </c>
      <c r="AB28" s="458">
        <f t="shared" si="1"/>
        <v>1636.4187515516444</v>
      </c>
      <c r="AC28" s="460">
        <f t="shared" si="1"/>
        <v>1637.9525416111965</v>
      </c>
      <c r="AD28" s="2524"/>
      <c r="AE28" s="2524"/>
      <c r="AF28" s="3028"/>
      <c r="AG28" s="3028"/>
      <c r="AH28" s="3028"/>
      <c r="AI28" s="3028"/>
      <c r="AJ28" s="3028"/>
      <c r="AK28" s="3028"/>
      <c r="AL28" s="3028"/>
      <c r="AM28" s="3028"/>
      <c r="AN28" s="3028"/>
      <c r="AO28" s="3028"/>
      <c r="AP28" s="3028"/>
      <c r="AQ28" s="3028"/>
      <c r="AR28" s="3028"/>
      <c r="AS28" s="3028"/>
      <c r="AT28" s="3028"/>
      <c r="AU28" s="3028"/>
      <c r="AV28" s="3028"/>
      <c r="AW28" s="3028"/>
      <c r="AX28" s="3028"/>
      <c r="AY28" s="3028"/>
      <c r="AZ28" s="3028"/>
      <c r="BA28" s="3028"/>
      <c r="BB28" s="3028"/>
      <c r="BC28" s="3028"/>
      <c r="BD28" s="3028"/>
      <c r="BE28" s="3028"/>
      <c r="BF28" s="3028"/>
      <c r="BG28" s="3028"/>
      <c r="BH28" s="3028"/>
      <c r="BI28" s="3028"/>
      <c r="BJ28" s="3028"/>
      <c r="BK28" s="3028"/>
      <c r="BL28" s="3028"/>
      <c r="BM28" s="3028"/>
      <c r="BN28" s="3028"/>
      <c r="BO28" s="3028"/>
      <c r="BP28" s="3028"/>
      <c r="BQ28" s="3028"/>
      <c r="BR28" s="3028"/>
      <c r="BS28" s="3028"/>
      <c r="BT28" s="3028"/>
      <c r="BU28" s="3028"/>
      <c r="BV28" s="3028"/>
      <c r="BW28" s="3028"/>
      <c r="BX28" s="3028"/>
      <c r="BY28" s="3028"/>
      <c r="BZ28" s="3028"/>
      <c r="CA28" s="3028"/>
      <c r="CB28" s="3028"/>
      <c r="CC28" s="3028"/>
      <c r="CD28" s="3028"/>
      <c r="CE28" s="3028"/>
      <c r="CF28" s="3028"/>
      <c r="CG28" s="3028"/>
      <c r="CH28" s="3028"/>
      <c r="CI28" s="3028"/>
      <c r="CJ28" s="3028"/>
      <c r="CK28" s="3028"/>
      <c r="CL28" s="3028"/>
      <c r="CM28" s="3028"/>
      <c r="CN28" s="3028"/>
      <c r="CO28" s="3028"/>
      <c r="CP28" s="3028"/>
      <c r="CQ28" s="3028"/>
      <c r="CR28" s="3028"/>
      <c r="CS28" s="3028"/>
      <c r="CT28" s="3028"/>
      <c r="CU28" s="3028"/>
      <c r="CV28" s="3028"/>
      <c r="CW28" s="3028"/>
      <c r="CX28" s="3028"/>
      <c r="CY28" s="3028"/>
      <c r="CZ28" s="3028"/>
      <c r="DA28" s="3028"/>
      <c r="DB28" s="3028"/>
      <c r="DC28" s="3028"/>
      <c r="DD28" s="3028"/>
      <c r="DE28" s="3028"/>
      <c r="DF28" s="3028"/>
      <c r="DG28" s="3028"/>
      <c r="DH28" s="3028"/>
      <c r="DI28" s="3028"/>
      <c r="DJ28" s="3028"/>
      <c r="DK28" s="3028"/>
      <c r="DL28" s="3028"/>
      <c r="DM28" s="3028"/>
      <c r="DN28" s="3028"/>
      <c r="DO28" s="3028"/>
      <c r="DP28" s="3028"/>
    </row>
    <row r="29" spans="1:135" s="3020" customFormat="1">
      <c r="B29" s="4604"/>
      <c r="C29" s="3031" t="s">
        <v>1612</v>
      </c>
      <c r="D29" s="3030" t="s">
        <v>1613</v>
      </c>
      <c r="E29" s="3114"/>
      <c r="F29" s="3115"/>
      <c r="G29" s="3115"/>
      <c r="H29" s="3115"/>
      <c r="I29" s="625">
        <v>153.16152457421703</v>
      </c>
      <c r="J29" s="459">
        <v>400.77708286508266</v>
      </c>
      <c r="K29" s="458">
        <v>567.52864023471921</v>
      </c>
      <c r="L29" s="458">
        <v>676.48858025158688</v>
      </c>
      <c r="M29" s="458">
        <v>743.68933583579917</v>
      </c>
      <c r="N29" s="460">
        <v>773.55607090359285</v>
      </c>
      <c r="O29" s="459">
        <f t="shared" si="2"/>
        <v>824.48790575465148</v>
      </c>
      <c r="P29" s="458">
        <f t="shared" si="2"/>
        <v>862.94002805940158</v>
      </c>
      <c r="Q29" s="458">
        <f t="shared" si="1"/>
        <v>891.77911978796419</v>
      </c>
      <c r="R29" s="458">
        <f t="shared" si="1"/>
        <v>913.4084385843862</v>
      </c>
      <c r="S29" s="458">
        <f t="shared" si="1"/>
        <v>929.63042768170271</v>
      </c>
      <c r="T29" s="458">
        <f t="shared" si="1"/>
        <v>941.79691950468998</v>
      </c>
      <c r="U29" s="458">
        <f t="shared" si="1"/>
        <v>950.92178837193057</v>
      </c>
      <c r="V29" s="458">
        <f t="shared" si="1"/>
        <v>957.76544002236096</v>
      </c>
      <c r="W29" s="458">
        <f t="shared" si="1"/>
        <v>962.89817876018378</v>
      </c>
      <c r="X29" s="458">
        <f t="shared" si="1"/>
        <v>966.74773281355078</v>
      </c>
      <c r="Y29" s="458">
        <f t="shared" si="1"/>
        <v>969.63489835357609</v>
      </c>
      <c r="Z29" s="458">
        <f t="shared" si="1"/>
        <v>971.80027250859519</v>
      </c>
      <c r="AA29" s="458">
        <f t="shared" si="1"/>
        <v>973.42430312485942</v>
      </c>
      <c r="AB29" s="458">
        <f t="shared" si="1"/>
        <v>974.64232608705754</v>
      </c>
      <c r="AC29" s="460">
        <f t="shared" si="1"/>
        <v>975.55584330870624</v>
      </c>
      <c r="AD29" s="2524"/>
      <c r="AE29" s="2524"/>
      <c r="AF29" s="3028"/>
      <c r="AG29" s="3028"/>
      <c r="AH29" s="3028"/>
      <c r="AI29" s="3028"/>
      <c r="AJ29" s="3028"/>
      <c r="AK29" s="3028"/>
      <c r="AL29" s="3028"/>
      <c r="AM29" s="3028"/>
      <c r="AN29" s="3028"/>
      <c r="AO29" s="3028"/>
      <c r="AP29" s="3028"/>
      <c r="AQ29" s="3028"/>
      <c r="AR29" s="3028"/>
      <c r="AS29" s="3028"/>
      <c r="AT29" s="3028"/>
      <c r="AU29" s="3028"/>
      <c r="AV29" s="3028"/>
      <c r="AW29" s="3028"/>
      <c r="AX29" s="3028"/>
      <c r="AY29" s="3028"/>
      <c r="AZ29" s="3028"/>
      <c r="BA29" s="3028"/>
      <c r="BB29" s="3028"/>
      <c r="BC29" s="3028"/>
      <c r="BD29" s="3028"/>
      <c r="BE29" s="3028"/>
      <c r="BF29" s="3028"/>
      <c r="BG29" s="3028"/>
      <c r="BH29" s="3028"/>
      <c r="BI29" s="3028"/>
      <c r="BJ29" s="3028"/>
      <c r="BK29" s="3028"/>
      <c r="BL29" s="3028"/>
      <c r="BM29" s="3028"/>
      <c r="BN29" s="3028"/>
      <c r="BO29" s="3028"/>
      <c r="BP29" s="3028"/>
      <c r="BQ29" s="3028"/>
      <c r="BR29" s="3028"/>
      <c r="BS29" s="3028"/>
      <c r="BT29" s="3028"/>
      <c r="BU29" s="3028"/>
      <c r="BV29" s="3028"/>
      <c r="BW29" s="3028"/>
      <c r="BX29" s="3028"/>
      <c r="BY29" s="3028"/>
      <c r="BZ29" s="3028"/>
      <c r="CA29" s="3028"/>
      <c r="CB29" s="3028"/>
      <c r="CC29" s="3028"/>
      <c r="CD29" s="3028"/>
      <c r="CE29" s="3028"/>
      <c r="CF29" s="3028"/>
      <c r="CG29" s="3028"/>
      <c r="CH29" s="3028"/>
      <c r="CI29" s="3028"/>
      <c r="CJ29" s="3028"/>
      <c r="CK29" s="3028"/>
      <c r="CL29" s="3028"/>
      <c r="CM29" s="3028"/>
      <c r="CN29" s="3028"/>
      <c r="CO29" s="3028"/>
      <c r="CP29" s="3028"/>
      <c r="CQ29" s="3028"/>
      <c r="CR29" s="3028"/>
      <c r="CS29" s="3028"/>
      <c r="CT29" s="3028"/>
      <c r="CU29" s="3028"/>
      <c r="CV29" s="3028"/>
      <c r="CW29" s="3028"/>
      <c r="CX29" s="3028"/>
      <c r="CY29" s="3028"/>
      <c r="CZ29" s="3028"/>
      <c r="DA29" s="3028"/>
      <c r="DB29" s="3028"/>
      <c r="DC29" s="3028"/>
      <c r="DD29" s="3028"/>
      <c r="DE29" s="3028"/>
      <c r="DF29" s="3028"/>
      <c r="DG29" s="3028"/>
      <c r="DH29" s="3028"/>
      <c r="DI29" s="3028"/>
      <c r="DJ29" s="3028"/>
      <c r="DK29" s="3028"/>
      <c r="DL29" s="3028"/>
      <c r="DM29" s="3028"/>
      <c r="DN29" s="3028"/>
      <c r="DO29" s="3028"/>
      <c r="DP29" s="3028"/>
    </row>
    <row r="30" spans="1:135" s="3020" customFormat="1">
      <c r="B30" s="4604"/>
      <c r="C30" s="3031" t="s">
        <v>1614</v>
      </c>
      <c r="D30" s="3030" t="s">
        <v>1615</v>
      </c>
      <c r="E30" s="3114"/>
      <c r="F30" s="3115"/>
      <c r="G30" s="3115"/>
      <c r="H30" s="3115"/>
      <c r="I30" s="625">
        <v>4.2508114920109685</v>
      </c>
      <c r="J30" s="459">
        <v>11.696868303989387</v>
      </c>
      <c r="K30" s="458">
        <v>17.357834338437907</v>
      </c>
      <c r="L30" s="458">
        <v>21.653376236349274</v>
      </c>
      <c r="M30" s="458">
        <v>24.906860870397281</v>
      </c>
      <c r="N30" s="460">
        <v>26.932632064369919</v>
      </c>
      <c r="O30" s="459">
        <f t="shared" si="2"/>
        <v>28.705908003894891</v>
      </c>
      <c r="P30" s="458">
        <f t="shared" si="2"/>
        <v>30.044682142036269</v>
      </c>
      <c r="Q30" s="458">
        <f t="shared" si="1"/>
        <v>31.0487627456423</v>
      </c>
      <c r="R30" s="458">
        <f t="shared" si="1"/>
        <v>31.801823198346824</v>
      </c>
      <c r="S30" s="458">
        <f t="shared" si="1"/>
        <v>32.366618537875219</v>
      </c>
      <c r="T30" s="458">
        <f t="shared" si="1"/>
        <v>32.790215042521517</v>
      </c>
      <c r="U30" s="458">
        <f t="shared" si="1"/>
        <v>33.107912421006233</v>
      </c>
      <c r="V30" s="458">
        <f t="shared" si="1"/>
        <v>33.346185454869776</v>
      </c>
      <c r="W30" s="458">
        <f t="shared" si="1"/>
        <v>33.524890230267431</v>
      </c>
      <c r="X30" s="458">
        <f t="shared" si="1"/>
        <v>33.658918811815674</v>
      </c>
      <c r="Y30" s="458">
        <f t="shared" si="1"/>
        <v>33.759440247976855</v>
      </c>
      <c r="Z30" s="458">
        <f t="shared" si="1"/>
        <v>33.834831325097745</v>
      </c>
      <c r="AA30" s="458">
        <f t="shared" si="1"/>
        <v>33.891374632938408</v>
      </c>
      <c r="AB30" s="458">
        <f t="shared" si="1"/>
        <v>33.933782113818907</v>
      </c>
      <c r="AC30" s="460">
        <f t="shared" si="1"/>
        <v>33.965587724479278</v>
      </c>
      <c r="AD30" s="2524"/>
      <c r="AE30" s="2524"/>
      <c r="AF30" s="3028"/>
      <c r="AG30" s="3028"/>
      <c r="AH30" s="3028"/>
      <c r="AI30" s="3028"/>
      <c r="AJ30" s="3028"/>
      <c r="AK30" s="3028"/>
      <c r="AL30" s="3028"/>
      <c r="AM30" s="3028"/>
      <c r="AN30" s="3028"/>
      <c r="AO30" s="3028"/>
      <c r="AP30" s="3028"/>
      <c r="AQ30" s="3028"/>
      <c r="AR30" s="3028"/>
      <c r="AS30" s="3028"/>
      <c r="AT30" s="3028"/>
      <c r="AU30" s="3028"/>
      <c r="AV30" s="3028"/>
      <c r="AW30" s="3028"/>
      <c r="AX30" s="3028"/>
      <c r="AY30" s="3028"/>
      <c r="AZ30" s="3028"/>
      <c r="BA30" s="3028"/>
      <c r="BB30" s="3028"/>
      <c r="BC30" s="3028"/>
      <c r="BD30" s="3028"/>
      <c r="BE30" s="3028"/>
      <c r="BF30" s="3028"/>
      <c r="BG30" s="3028"/>
      <c r="BH30" s="3028"/>
      <c r="BI30" s="3028"/>
      <c r="BJ30" s="3028"/>
      <c r="BK30" s="3028"/>
      <c r="BL30" s="3028"/>
      <c r="BM30" s="3028"/>
      <c r="BN30" s="3028"/>
      <c r="BO30" s="3028"/>
      <c r="BP30" s="3028"/>
      <c r="BQ30" s="3028"/>
      <c r="BR30" s="3028"/>
      <c r="BS30" s="3028"/>
      <c r="BT30" s="3028"/>
      <c r="BU30" s="3028"/>
      <c r="BV30" s="3028"/>
      <c r="BW30" s="3028"/>
      <c r="BX30" s="3028"/>
      <c r="BY30" s="3028"/>
      <c r="BZ30" s="3028"/>
      <c r="CA30" s="3028"/>
      <c r="CB30" s="3028"/>
      <c r="CC30" s="3028"/>
      <c r="CD30" s="3028"/>
      <c r="CE30" s="3028"/>
      <c r="CF30" s="3028"/>
      <c r="CG30" s="3028"/>
      <c r="CH30" s="3028"/>
      <c r="CI30" s="3028"/>
      <c r="CJ30" s="3028"/>
      <c r="CK30" s="3028"/>
      <c r="CL30" s="3028"/>
      <c r="CM30" s="3028"/>
      <c r="CN30" s="3028"/>
      <c r="CO30" s="3028"/>
      <c r="CP30" s="3028"/>
      <c r="CQ30" s="3028"/>
      <c r="CR30" s="3028"/>
      <c r="CS30" s="3028"/>
      <c r="CT30" s="3028"/>
      <c r="CU30" s="3028"/>
      <c r="CV30" s="3028"/>
      <c r="CW30" s="3028"/>
      <c r="CX30" s="3028"/>
      <c r="CY30" s="3028"/>
      <c r="CZ30" s="3028"/>
      <c r="DA30" s="3028"/>
      <c r="DB30" s="3028"/>
      <c r="DC30" s="3028"/>
      <c r="DD30" s="3028"/>
      <c r="DE30" s="3028"/>
      <c r="DF30" s="3028"/>
      <c r="DG30" s="3028"/>
      <c r="DH30" s="3028"/>
      <c r="DI30" s="3028"/>
      <c r="DJ30" s="3028"/>
      <c r="DK30" s="3028"/>
      <c r="DL30" s="3028"/>
      <c r="DM30" s="3028"/>
      <c r="DN30" s="3028"/>
      <c r="DO30" s="3028"/>
      <c r="DP30" s="3028"/>
    </row>
    <row r="31" spans="1:135" s="3020" customFormat="1" ht="13.5" thickBot="1">
      <c r="B31" s="4605"/>
      <c r="C31" s="3032" t="s">
        <v>63</v>
      </c>
      <c r="D31" s="3033"/>
      <c r="E31" s="3116">
        <f t="shared" ref="E31:O31" si="3">SUM(E23:E30)</f>
        <v>0</v>
      </c>
      <c r="F31" s="3117">
        <f t="shared" si="3"/>
        <v>0</v>
      </c>
      <c r="G31" s="3117">
        <f t="shared" si="3"/>
        <v>0</v>
      </c>
      <c r="H31" s="3117">
        <f t="shared" si="3"/>
        <v>0</v>
      </c>
      <c r="I31" s="627">
        <f t="shared" si="3"/>
        <v>3808.1774771008936</v>
      </c>
      <c r="J31" s="1370">
        <f t="shared" si="3"/>
        <v>10200.714586433369</v>
      </c>
      <c r="K31" s="356">
        <f t="shared" si="3"/>
        <v>14777.990108412159</v>
      </c>
      <c r="L31" s="356">
        <f t="shared" si="3"/>
        <v>18033.44263403635</v>
      </c>
      <c r="M31" s="356">
        <f t="shared" si="3"/>
        <v>20317.632129568494</v>
      </c>
      <c r="N31" s="503">
        <f t="shared" si="3"/>
        <v>21646.268092426737</v>
      </c>
      <c r="O31" s="1370">
        <f t="shared" si="3"/>
        <v>23071.483656099324</v>
      </c>
      <c r="P31" s="356">
        <f t="shared" ref="P31:AC31" si="4">SUM(P23:P30)</f>
        <v>24147.481866751514</v>
      </c>
      <c r="Q31" s="356">
        <f t="shared" si="4"/>
        <v>24954.480524740651</v>
      </c>
      <c r="R31" s="356">
        <f t="shared" si="4"/>
        <v>25559.729518232511</v>
      </c>
      <c r="S31" s="356">
        <f t="shared" si="4"/>
        <v>26013.666263351399</v>
      </c>
      <c r="T31" s="356">
        <f t="shared" si="4"/>
        <v>26354.118822190569</v>
      </c>
      <c r="U31" s="356">
        <f t="shared" si="4"/>
        <v>26609.45824131995</v>
      </c>
      <c r="V31" s="356">
        <f t="shared" si="4"/>
        <v>26800.962805666979</v>
      </c>
      <c r="W31" s="356">
        <f t="shared" si="4"/>
        <v>26944.591228927253</v>
      </c>
      <c r="X31" s="356">
        <f t="shared" si="4"/>
        <v>27052.312546372461</v>
      </c>
      <c r="Y31" s="356">
        <f t="shared" si="4"/>
        <v>27133.103534456364</v>
      </c>
      <c r="Z31" s="356">
        <f t="shared" si="4"/>
        <v>27193.696775519293</v>
      </c>
      <c r="AA31" s="356">
        <f t="shared" si="4"/>
        <v>27239.141706316492</v>
      </c>
      <c r="AB31" s="356">
        <f t="shared" si="4"/>
        <v>27273.225404414392</v>
      </c>
      <c r="AC31" s="503">
        <f t="shared" si="4"/>
        <v>27298.788177987812</v>
      </c>
      <c r="AD31" s="2524"/>
      <c r="AE31" s="2524"/>
      <c r="AF31" s="3028"/>
      <c r="AG31" s="3028"/>
      <c r="AH31" s="3028"/>
      <c r="AI31" s="3028"/>
      <c r="AJ31" s="3028"/>
      <c r="AK31" s="3028"/>
      <c r="AL31" s="3028"/>
      <c r="AM31" s="3028"/>
      <c r="AN31" s="3028"/>
      <c r="AO31" s="3028"/>
      <c r="AP31" s="3028"/>
      <c r="AQ31" s="3028"/>
      <c r="AR31" s="3028"/>
      <c r="AS31" s="3028"/>
      <c r="AT31" s="3028"/>
      <c r="AU31" s="3028"/>
      <c r="AV31" s="3028"/>
      <c r="AW31" s="3028"/>
      <c r="AX31" s="3028"/>
      <c r="AY31" s="3028"/>
      <c r="AZ31" s="3028"/>
      <c r="BA31" s="3028"/>
      <c r="BB31" s="3028"/>
      <c r="BC31" s="3028"/>
      <c r="BD31" s="3028"/>
      <c r="BE31" s="3028"/>
      <c r="BF31" s="3028"/>
      <c r="BG31" s="3028"/>
      <c r="BH31" s="3028"/>
      <c r="BI31" s="3028"/>
      <c r="BJ31" s="3028"/>
      <c r="BK31" s="3028"/>
      <c r="BL31" s="3028"/>
      <c r="BM31" s="3028"/>
      <c r="BN31" s="3028"/>
      <c r="BO31" s="3028"/>
      <c r="BP31" s="3028"/>
      <c r="BQ31" s="3028"/>
      <c r="BR31" s="3028"/>
      <c r="BS31" s="3028"/>
      <c r="BT31" s="3028"/>
      <c r="BU31" s="3028"/>
      <c r="BV31" s="3028"/>
      <c r="BW31" s="3028"/>
      <c r="BX31" s="3028"/>
      <c r="BY31" s="3028"/>
      <c r="BZ31" s="3028"/>
      <c r="CA31" s="3028"/>
      <c r="CB31" s="3028"/>
      <c r="CC31" s="3028"/>
      <c r="CD31" s="3028"/>
      <c r="CE31" s="3028"/>
      <c r="CF31" s="3028"/>
      <c r="CG31" s="3028"/>
      <c r="CH31" s="3028"/>
      <c r="CI31" s="3028"/>
      <c r="CJ31" s="3028"/>
      <c r="CK31" s="3028"/>
      <c r="CL31" s="3028"/>
      <c r="CM31" s="3028"/>
      <c r="CN31" s="3028"/>
      <c r="CO31" s="3028"/>
      <c r="CP31" s="3028"/>
      <c r="CQ31" s="3028"/>
      <c r="CR31" s="3028"/>
      <c r="CS31" s="3028"/>
      <c r="CT31" s="3028"/>
      <c r="CU31" s="3028"/>
      <c r="CV31" s="3028"/>
      <c r="CW31" s="3028"/>
      <c r="CX31" s="3028"/>
      <c r="CY31" s="3028"/>
      <c r="CZ31" s="3028"/>
      <c r="DA31" s="3028"/>
      <c r="DB31" s="3028"/>
      <c r="DC31" s="3028"/>
      <c r="DD31" s="3028"/>
      <c r="DE31" s="3028"/>
      <c r="DF31" s="3028"/>
      <c r="DG31" s="3028"/>
      <c r="DH31" s="3028"/>
      <c r="DI31" s="3028"/>
      <c r="DJ31" s="3028"/>
      <c r="DK31" s="3028"/>
      <c r="DL31" s="3028"/>
      <c r="DM31" s="3028"/>
      <c r="DN31" s="3028"/>
      <c r="DO31" s="3028"/>
      <c r="DP31" s="3028"/>
    </row>
    <row r="32" spans="1:135" ht="24" customHeight="1">
      <c r="A32" s="2771"/>
      <c r="B32" s="3034" t="s">
        <v>63</v>
      </c>
      <c r="C32" s="3035"/>
      <c r="D32" s="3036"/>
      <c r="E32" s="3037">
        <f>E31</f>
        <v>0</v>
      </c>
      <c r="F32" s="3038">
        <f t="shared" ref="F32:AC32" si="5">F31</f>
        <v>0</v>
      </c>
      <c r="G32" s="3038">
        <f t="shared" si="5"/>
        <v>0</v>
      </c>
      <c r="H32" s="3038">
        <f t="shared" si="5"/>
        <v>0</v>
      </c>
      <c r="I32" s="3039">
        <f t="shared" si="5"/>
        <v>3808.1774771008936</v>
      </c>
      <c r="J32" s="3040">
        <f t="shared" si="5"/>
        <v>10200.714586433369</v>
      </c>
      <c r="K32" s="3039">
        <f t="shared" si="5"/>
        <v>14777.990108412159</v>
      </c>
      <c r="L32" s="3039">
        <f t="shared" si="5"/>
        <v>18033.44263403635</v>
      </c>
      <c r="M32" s="3039">
        <f t="shared" si="5"/>
        <v>20317.632129568494</v>
      </c>
      <c r="N32" s="3041">
        <f t="shared" si="5"/>
        <v>21646.268092426737</v>
      </c>
      <c r="O32" s="3040">
        <f t="shared" si="5"/>
        <v>23071.483656099324</v>
      </c>
      <c r="P32" s="3039">
        <f t="shared" si="5"/>
        <v>24147.481866751514</v>
      </c>
      <c r="Q32" s="3039">
        <f t="shared" si="5"/>
        <v>24954.480524740651</v>
      </c>
      <c r="R32" s="3039">
        <f t="shared" si="5"/>
        <v>25559.729518232511</v>
      </c>
      <c r="S32" s="3039">
        <f t="shared" si="5"/>
        <v>26013.666263351399</v>
      </c>
      <c r="T32" s="3039">
        <f t="shared" si="5"/>
        <v>26354.118822190569</v>
      </c>
      <c r="U32" s="3039">
        <f t="shared" si="5"/>
        <v>26609.45824131995</v>
      </c>
      <c r="V32" s="3039">
        <f t="shared" si="5"/>
        <v>26800.962805666979</v>
      </c>
      <c r="W32" s="3039">
        <f t="shared" si="5"/>
        <v>26944.591228927253</v>
      </c>
      <c r="X32" s="3039">
        <f t="shared" si="5"/>
        <v>27052.312546372461</v>
      </c>
      <c r="Y32" s="3039">
        <f t="shared" si="5"/>
        <v>27133.103534456364</v>
      </c>
      <c r="Z32" s="3039">
        <f t="shared" si="5"/>
        <v>27193.696775519293</v>
      </c>
      <c r="AA32" s="3039">
        <f t="shared" si="5"/>
        <v>27239.141706316492</v>
      </c>
      <c r="AB32" s="3039">
        <f t="shared" si="5"/>
        <v>27273.225404414392</v>
      </c>
      <c r="AC32" s="3042">
        <f t="shared" si="5"/>
        <v>27298.788177987812</v>
      </c>
    </row>
    <row r="33" spans="1:135" ht="27" customHeight="1" thickBot="1">
      <c r="B33" s="2524"/>
      <c r="I33" s="3043"/>
      <c r="J33" s="3043"/>
      <c r="K33" s="3043"/>
      <c r="L33" s="3043"/>
      <c r="M33" s="3043"/>
      <c r="N33" s="3043"/>
      <c r="O33" s="3043"/>
      <c r="P33" s="3043"/>
      <c r="Q33" s="3043"/>
      <c r="R33" s="3043"/>
      <c r="S33" s="3043"/>
      <c r="T33" s="3043"/>
      <c r="U33" s="3043"/>
      <c r="V33" s="3043"/>
      <c r="W33" s="3043"/>
      <c r="X33" s="3043"/>
      <c r="Y33" s="3043"/>
      <c r="Z33" s="3043"/>
      <c r="AA33" s="3043"/>
      <c r="AB33" s="3043"/>
      <c r="AC33" s="3043"/>
    </row>
    <row r="34" spans="1:135" s="3019" customFormat="1" ht="18.75" customHeight="1" thickBot="1">
      <c r="A34" s="3013"/>
      <c r="B34" s="2783" t="s">
        <v>1629</v>
      </c>
      <c r="C34" s="2784"/>
      <c r="D34" s="2784"/>
      <c r="E34" s="2784"/>
      <c r="F34" s="2784"/>
      <c r="G34" s="2784"/>
      <c r="H34" s="2784"/>
      <c r="I34" s="2784"/>
      <c r="J34" s="2784"/>
      <c r="K34" s="2784"/>
      <c r="L34" s="2784"/>
      <c r="M34" s="2784"/>
      <c r="N34" s="2784"/>
      <c r="O34" s="2784"/>
      <c r="P34" s="2784"/>
      <c r="Q34" s="2784"/>
      <c r="R34" s="2784"/>
      <c r="S34" s="2784"/>
      <c r="T34" s="2784"/>
      <c r="U34" s="2784"/>
      <c r="V34" s="2784"/>
      <c r="W34" s="2784"/>
      <c r="X34" s="2784"/>
      <c r="Y34" s="2784"/>
      <c r="Z34" s="2784"/>
      <c r="AA34" s="2784"/>
      <c r="AB34" s="2784"/>
      <c r="AC34" s="2785"/>
      <c r="AD34" s="2524"/>
      <c r="AE34" s="2524"/>
      <c r="AF34" s="2524"/>
      <c r="DF34" s="2524"/>
      <c r="DG34" s="2524"/>
      <c r="DH34" s="2524"/>
      <c r="DI34" s="2524"/>
      <c r="DJ34" s="2524"/>
      <c r="DK34" s="2524"/>
      <c r="DL34" s="2524"/>
      <c r="DM34" s="2524"/>
      <c r="DN34" s="2524"/>
      <c r="DO34" s="2524"/>
      <c r="DP34" s="2524"/>
      <c r="DQ34" s="2524"/>
      <c r="DR34" s="2524"/>
      <c r="DS34" s="2524"/>
      <c r="DT34" s="2524"/>
      <c r="DU34" s="2524"/>
      <c r="DV34" s="2524"/>
      <c r="DW34" s="2524"/>
      <c r="DX34" s="2524"/>
      <c r="DY34" s="2524"/>
      <c r="DZ34" s="2524"/>
      <c r="EA34" s="2524"/>
      <c r="EB34" s="2524"/>
      <c r="EC34" s="2524"/>
      <c r="ED34" s="2524"/>
      <c r="EE34" s="2524"/>
    </row>
    <row r="35" spans="1:135">
      <c r="A35" s="2771"/>
      <c r="B35" s="4633" t="str">
        <f>+'29.2.1 Gas extenstions cust no'!B34</f>
        <v>Declining block tariff</v>
      </c>
      <c r="C35" s="4606" t="s">
        <v>47</v>
      </c>
      <c r="D35" s="4607"/>
      <c r="E35" s="3047">
        <f>+'29.2.1 Gas extenstions cust no'!D36</f>
        <v>0</v>
      </c>
      <c r="F35" s="3045">
        <f>+'29.2.1 Gas extenstions cust no'!E36</f>
        <v>0</v>
      </c>
      <c r="G35" s="3045">
        <f>+'29.2.1 Gas extenstions cust no'!F36</f>
        <v>0</v>
      </c>
      <c r="H35" s="3045">
        <f>+'29.2.1 Gas extenstions cust no'!G36</f>
        <v>0</v>
      </c>
      <c r="I35" s="3045">
        <f>+'29.2.1 Gas extenstions cust no'!H36</f>
        <v>0.86441416897508816</v>
      </c>
      <c r="J35" s="3044">
        <f>+'29.2.1 Gas extenstions cust no'!I36</f>
        <v>2.3771389646814924</v>
      </c>
      <c r="K35" s="3045">
        <f>+'29.2.1 Gas extenstions cust no'!J36</f>
        <v>3.5116825614612921</v>
      </c>
      <c r="L35" s="3045">
        <f>+'29.2.1 Gas extenstions cust no'!K36</f>
        <v>4.3625902590461401</v>
      </c>
      <c r="M35" s="3045">
        <f>+'29.2.1 Gas extenstions cust no'!L36</f>
        <v>5.0007710322347769</v>
      </c>
      <c r="N35" s="3046">
        <f>+'29.2.1 Gas extenstions cust no'!M36</f>
        <v>5.4794066121262546</v>
      </c>
      <c r="O35" s="3047">
        <f>+'29.2.1 Gas extenstions cust no'!N36</f>
        <v>5.6845361463654598</v>
      </c>
      <c r="P35" s="3045">
        <f>+'29.2.1 Gas extenstions cust no'!O36</f>
        <v>5.6845361463654598</v>
      </c>
      <c r="Q35" s="3045">
        <f>+'29.2.1 Gas extenstions cust no'!P36</f>
        <v>5.6845361463654598</v>
      </c>
      <c r="R35" s="3045">
        <f>+'29.2.1 Gas extenstions cust no'!Q36</f>
        <v>5.6845361463654598</v>
      </c>
      <c r="S35" s="3045">
        <f>+'29.2.1 Gas extenstions cust no'!R36</f>
        <v>5.6845361463654598</v>
      </c>
      <c r="T35" s="3045">
        <f>+'29.2.1 Gas extenstions cust no'!S36</f>
        <v>5.6845361463654598</v>
      </c>
      <c r="U35" s="3045">
        <f>+'29.2.1 Gas extenstions cust no'!T36</f>
        <v>5.6845361463654598</v>
      </c>
      <c r="V35" s="3045">
        <f>+'29.2.1 Gas extenstions cust no'!U36</f>
        <v>5.6845361463654598</v>
      </c>
      <c r="W35" s="3045">
        <f>+'29.2.1 Gas extenstions cust no'!V36</f>
        <v>5.6845361463654598</v>
      </c>
      <c r="X35" s="3045">
        <f>+'29.2.1 Gas extenstions cust no'!W36</f>
        <v>5.6845361463654598</v>
      </c>
      <c r="Y35" s="3045">
        <f>+'29.2.1 Gas extenstions cust no'!X36</f>
        <v>5.6845361463654598</v>
      </c>
      <c r="Z35" s="3045">
        <f>+'29.2.1 Gas extenstions cust no'!Y36</f>
        <v>5.6845361463654598</v>
      </c>
      <c r="AA35" s="3045">
        <f>+'29.2.1 Gas extenstions cust no'!Z36</f>
        <v>5.6845361463654598</v>
      </c>
      <c r="AB35" s="3045">
        <f>+'29.2.1 Gas extenstions cust no'!AA36</f>
        <v>5.6845361463654598</v>
      </c>
      <c r="AC35" s="3048">
        <f>+'29.2.1 Gas extenstions cust no'!AB36</f>
        <v>5.6845361463654598</v>
      </c>
    </row>
    <row r="36" spans="1:135">
      <c r="A36" s="2771"/>
      <c r="B36" s="4633"/>
      <c r="C36" s="3029" t="s">
        <v>1600</v>
      </c>
      <c r="D36" s="3030" t="s">
        <v>1601</v>
      </c>
      <c r="E36" s="3114"/>
      <c r="F36" s="3115"/>
      <c r="G36" s="3115"/>
      <c r="H36" s="3115"/>
      <c r="I36" s="2969">
        <v>9.0273371936332865</v>
      </c>
      <c r="J36" s="3049">
        <v>24.203874037101041</v>
      </c>
      <c r="K36" s="2969">
        <v>34.817368925860222</v>
      </c>
      <c r="L36" s="2969">
        <v>44.520870194719535</v>
      </c>
      <c r="M36" s="2969">
        <v>51.161848463468523</v>
      </c>
      <c r="N36" s="3050">
        <v>54.38556005612849</v>
      </c>
      <c r="O36" s="459">
        <f>+O$35*(N36/N$35)</f>
        <v>56.421562381446506</v>
      </c>
      <c r="P36" s="458">
        <f t="shared" ref="P36:AC36" si="6">+P$35*(O36/O$35)</f>
        <v>56.421562381446506</v>
      </c>
      <c r="Q36" s="458">
        <f t="shared" si="6"/>
        <v>56.421562381446506</v>
      </c>
      <c r="R36" s="458">
        <f t="shared" si="6"/>
        <v>56.421562381446506</v>
      </c>
      <c r="S36" s="458">
        <f t="shared" si="6"/>
        <v>56.421562381446506</v>
      </c>
      <c r="T36" s="458">
        <f t="shared" si="6"/>
        <v>56.421562381446506</v>
      </c>
      <c r="U36" s="458">
        <f t="shared" si="6"/>
        <v>56.421562381446506</v>
      </c>
      <c r="V36" s="458">
        <f t="shared" si="6"/>
        <v>56.421562381446506</v>
      </c>
      <c r="W36" s="458">
        <f t="shared" si="6"/>
        <v>56.421562381446506</v>
      </c>
      <c r="X36" s="458">
        <f t="shared" si="6"/>
        <v>56.421562381446506</v>
      </c>
      <c r="Y36" s="458">
        <f t="shared" si="6"/>
        <v>56.421562381446506</v>
      </c>
      <c r="Z36" s="458">
        <f t="shared" si="6"/>
        <v>56.421562381446506</v>
      </c>
      <c r="AA36" s="458">
        <f t="shared" si="6"/>
        <v>56.421562381446506</v>
      </c>
      <c r="AB36" s="458">
        <f t="shared" si="6"/>
        <v>56.421562381446506</v>
      </c>
      <c r="AC36" s="460">
        <f t="shared" si="6"/>
        <v>56.421562381446506</v>
      </c>
    </row>
    <row r="37" spans="1:135">
      <c r="A37" s="2771"/>
      <c r="B37" s="4633"/>
      <c r="C37" s="3029" t="s">
        <v>1602</v>
      </c>
      <c r="D37" s="3030" t="s">
        <v>1603</v>
      </c>
      <c r="E37" s="3114"/>
      <c r="F37" s="3115"/>
      <c r="G37" s="3115"/>
      <c r="H37" s="3115"/>
      <c r="I37" s="2969">
        <v>7.6753465816397712</v>
      </c>
      <c r="J37" s="3049">
        <v>20.348404861541834</v>
      </c>
      <c r="K37" s="2969">
        <v>30.243802558034822</v>
      </c>
      <c r="L37" s="2969">
        <v>37.302430989572407</v>
      </c>
      <c r="M37" s="2969">
        <v>43.083507922259869</v>
      </c>
      <c r="N37" s="3050">
        <v>46.092014650588659</v>
      </c>
      <c r="O37" s="413">
        <f t="shared" ref="O37:AC43" si="7">+O$35*(N37/N$35)</f>
        <v>47.817536074112468</v>
      </c>
      <c r="P37" s="458">
        <f t="shared" si="7"/>
        <v>47.817536074112468</v>
      </c>
      <c r="Q37" s="458">
        <f t="shared" si="7"/>
        <v>47.817536074112468</v>
      </c>
      <c r="R37" s="458">
        <f t="shared" si="7"/>
        <v>47.817536074112468</v>
      </c>
      <c r="S37" s="458">
        <f t="shared" si="7"/>
        <v>47.817536074112468</v>
      </c>
      <c r="T37" s="458">
        <f t="shared" si="7"/>
        <v>47.817536074112468</v>
      </c>
      <c r="U37" s="458">
        <f t="shared" si="7"/>
        <v>47.817536074112468</v>
      </c>
      <c r="V37" s="458">
        <f t="shared" si="7"/>
        <v>47.817536074112468</v>
      </c>
      <c r="W37" s="458">
        <f t="shared" si="7"/>
        <v>47.817536074112468</v>
      </c>
      <c r="X37" s="458">
        <f t="shared" si="7"/>
        <v>47.817536074112468</v>
      </c>
      <c r="Y37" s="458">
        <f t="shared" si="7"/>
        <v>47.817536074112468</v>
      </c>
      <c r="Z37" s="458">
        <f t="shared" si="7"/>
        <v>47.817536074112468</v>
      </c>
      <c r="AA37" s="458">
        <f t="shared" si="7"/>
        <v>47.817536074112468</v>
      </c>
      <c r="AB37" s="458">
        <f t="shared" si="7"/>
        <v>47.817536074112468</v>
      </c>
      <c r="AC37" s="460">
        <f t="shared" si="7"/>
        <v>47.817536074112468</v>
      </c>
    </row>
    <row r="38" spans="1:135">
      <c r="A38" s="2771"/>
      <c r="B38" s="4633"/>
      <c r="C38" s="3029" t="s">
        <v>1604</v>
      </c>
      <c r="D38" s="3030" t="s">
        <v>1605</v>
      </c>
      <c r="E38" s="3114"/>
      <c r="F38" s="3115"/>
      <c r="G38" s="3115"/>
      <c r="H38" s="3115"/>
      <c r="I38" s="2969">
        <v>48.412881260985074</v>
      </c>
      <c r="J38" s="3049">
        <v>121.06454178357592</v>
      </c>
      <c r="K38" s="2969">
        <v>182.00400646444822</v>
      </c>
      <c r="L38" s="2969">
        <v>221.77268773700408</v>
      </c>
      <c r="M38" s="2969">
        <v>254.30171927680195</v>
      </c>
      <c r="N38" s="3050">
        <v>271.73278907597938</v>
      </c>
      <c r="O38" s="413">
        <f t="shared" si="7"/>
        <v>281.90550017526499</v>
      </c>
      <c r="P38" s="458">
        <f t="shared" si="7"/>
        <v>281.90550017526499</v>
      </c>
      <c r="Q38" s="458">
        <f t="shared" si="7"/>
        <v>281.90550017526499</v>
      </c>
      <c r="R38" s="458">
        <f t="shared" si="7"/>
        <v>281.90550017526499</v>
      </c>
      <c r="S38" s="458">
        <f t="shared" si="7"/>
        <v>281.90550017526499</v>
      </c>
      <c r="T38" s="458">
        <f t="shared" si="7"/>
        <v>281.90550017526499</v>
      </c>
      <c r="U38" s="458">
        <f t="shared" si="7"/>
        <v>281.90550017526499</v>
      </c>
      <c r="V38" s="458">
        <f t="shared" si="7"/>
        <v>281.90550017526499</v>
      </c>
      <c r="W38" s="458">
        <f t="shared" si="7"/>
        <v>281.90550017526499</v>
      </c>
      <c r="X38" s="458">
        <f t="shared" si="7"/>
        <v>281.90550017526499</v>
      </c>
      <c r="Y38" s="458">
        <f t="shared" si="7"/>
        <v>281.90550017526499</v>
      </c>
      <c r="Z38" s="458">
        <f t="shared" si="7"/>
        <v>281.90550017526499</v>
      </c>
      <c r="AA38" s="458">
        <f t="shared" si="7"/>
        <v>281.90550017526499</v>
      </c>
      <c r="AB38" s="458">
        <f t="shared" si="7"/>
        <v>281.90550017526499</v>
      </c>
      <c r="AC38" s="460">
        <f t="shared" si="7"/>
        <v>281.90550017526499</v>
      </c>
    </row>
    <row r="39" spans="1:135">
      <c r="A39" s="2771"/>
      <c r="B39" s="4633"/>
      <c r="C39" s="3029" t="s">
        <v>1606</v>
      </c>
      <c r="D39" s="3030" t="s">
        <v>1607</v>
      </c>
      <c r="E39" s="3114"/>
      <c r="F39" s="3115"/>
      <c r="G39" s="3115"/>
      <c r="H39" s="3115"/>
      <c r="I39" s="2969">
        <v>112.93535041837842</v>
      </c>
      <c r="J39" s="3049">
        <v>276.15495025729433</v>
      </c>
      <c r="K39" s="2969">
        <v>360.09292787486322</v>
      </c>
      <c r="L39" s="2969">
        <v>496.30519397035147</v>
      </c>
      <c r="M39" s="2969">
        <v>551.85644555093302</v>
      </c>
      <c r="N39" s="3050">
        <v>586.02178350314296</v>
      </c>
      <c r="O39" s="413">
        <f t="shared" si="7"/>
        <v>607.96035897552997</v>
      </c>
      <c r="P39" s="458">
        <f t="shared" si="7"/>
        <v>607.96035897552997</v>
      </c>
      <c r="Q39" s="458">
        <f t="shared" si="7"/>
        <v>607.96035897552997</v>
      </c>
      <c r="R39" s="458">
        <f t="shared" si="7"/>
        <v>607.96035897552997</v>
      </c>
      <c r="S39" s="458">
        <f t="shared" si="7"/>
        <v>607.96035897552997</v>
      </c>
      <c r="T39" s="458">
        <f t="shared" si="7"/>
        <v>607.96035897552997</v>
      </c>
      <c r="U39" s="458">
        <f t="shared" si="7"/>
        <v>607.96035897552997</v>
      </c>
      <c r="V39" s="458">
        <f t="shared" si="7"/>
        <v>607.96035897552997</v>
      </c>
      <c r="W39" s="458">
        <f t="shared" si="7"/>
        <v>607.96035897552997</v>
      </c>
      <c r="X39" s="458">
        <f t="shared" si="7"/>
        <v>607.96035897552997</v>
      </c>
      <c r="Y39" s="458">
        <f t="shared" si="7"/>
        <v>607.96035897552997</v>
      </c>
      <c r="Z39" s="458">
        <f t="shared" si="7"/>
        <v>607.96035897552997</v>
      </c>
      <c r="AA39" s="458">
        <f t="shared" si="7"/>
        <v>607.96035897552997</v>
      </c>
      <c r="AB39" s="458">
        <f t="shared" si="7"/>
        <v>607.96035897552997</v>
      </c>
      <c r="AC39" s="460">
        <f t="shared" si="7"/>
        <v>607.96035897552997</v>
      </c>
    </row>
    <row r="40" spans="1:135">
      <c r="A40" s="2771"/>
      <c r="B40" s="4633"/>
      <c r="C40" s="3031" t="s">
        <v>1608</v>
      </c>
      <c r="D40" s="3030" t="s">
        <v>1609</v>
      </c>
      <c r="E40" s="3114"/>
      <c r="F40" s="3115"/>
      <c r="G40" s="3115"/>
      <c r="H40" s="3115"/>
      <c r="I40" s="2969">
        <v>14.549481959830059</v>
      </c>
      <c r="J40" s="3049">
        <v>38.840031839738543</v>
      </c>
      <c r="K40" s="2969">
        <v>57.95711932909515</v>
      </c>
      <c r="L40" s="2969">
        <v>71.054649686448428</v>
      </c>
      <c r="M40" s="2969">
        <v>81.580395416275323</v>
      </c>
      <c r="N40" s="3050">
        <v>86.691796472398948</v>
      </c>
      <c r="O40" s="413">
        <f t="shared" si="7"/>
        <v>89.93722961718295</v>
      </c>
      <c r="P40" s="458">
        <f t="shared" si="7"/>
        <v>89.93722961718295</v>
      </c>
      <c r="Q40" s="458">
        <f t="shared" si="7"/>
        <v>89.93722961718295</v>
      </c>
      <c r="R40" s="458">
        <f t="shared" si="7"/>
        <v>89.93722961718295</v>
      </c>
      <c r="S40" s="458">
        <f t="shared" si="7"/>
        <v>89.93722961718295</v>
      </c>
      <c r="T40" s="458">
        <f t="shared" si="7"/>
        <v>89.93722961718295</v>
      </c>
      <c r="U40" s="458">
        <f t="shared" si="7"/>
        <v>89.93722961718295</v>
      </c>
      <c r="V40" s="458">
        <f t="shared" si="7"/>
        <v>89.93722961718295</v>
      </c>
      <c r="W40" s="458">
        <f t="shared" si="7"/>
        <v>89.93722961718295</v>
      </c>
      <c r="X40" s="458">
        <f t="shared" si="7"/>
        <v>89.93722961718295</v>
      </c>
      <c r="Y40" s="458">
        <f t="shared" si="7"/>
        <v>89.93722961718295</v>
      </c>
      <c r="Z40" s="458">
        <f t="shared" si="7"/>
        <v>89.93722961718295</v>
      </c>
      <c r="AA40" s="458">
        <f t="shared" si="7"/>
        <v>89.93722961718295</v>
      </c>
      <c r="AB40" s="458">
        <f t="shared" si="7"/>
        <v>89.93722961718295</v>
      </c>
      <c r="AC40" s="460">
        <f t="shared" si="7"/>
        <v>89.93722961718295</v>
      </c>
    </row>
    <row r="41" spans="1:135">
      <c r="A41" s="2771"/>
      <c r="B41" s="4633"/>
      <c r="C41" s="3031" t="s">
        <v>1610</v>
      </c>
      <c r="D41" s="3030" t="s">
        <v>1611</v>
      </c>
      <c r="E41" s="3114"/>
      <c r="F41" s="3115"/>
      <c r="G41" s="3115"/>
      <c r="H41" s="3115"/>
      <c r="I41" s="2969">
        <v>10.966300165148239</v>
      </c>
      <c r="J41" s="3049">
        <v>28.933391591684028</v>
      </c>
      <c r="K41" s="2969">
        <v>41.876536877502446</v>
      </c>
      <c r="L41" s="2969">
        <v>52.329345051511822</v>
      </c>
      <c r="M41" s="2969">
        <v>60.217733751122772</v>
      </c>
      <c r="N41" s="3050">
        <v>64.578489572715171</v>
      </c>
      <c r="O41" s="413">
        <f t="shared" si="7"/>
        <v>66.996078999023865</v>
      </c>
      <c r="P41" s="458">
        <f t="shared" si="7"/>
        <v>66.996078999023865</v>
      </c>
      <c r="Q41" s="458">
        <f t="shared" si="7"/>
        <v>66.996078999023865</v>
      </c>
      <c r="R41" s="458">
        <f t="shared" si="7"/>
        <v>66.996078999023865</v>
      </c>
      <c r="S41" s="458">
        <f t="shared" si="7"/>
        <v>66.996078999023865</v>
      </c>
      <c r="T41" s="458">
        <f t="shared" si="7"/>
        <v>66.996078999023865</v>
      </c>
      <c r="U41" s="458">
        <f t="shared" si="7"/>
        <v>66.996078999023865</v>
      </c>
      <c r="V41" s="458">
        <f t="shared" si="7"/>
        <v>66.996078999023865</v>
      </c>
      <c r="W41" s="458">
        <f t="shared" si="7"/>
        <v>66.996078999023865</v>
      </c>
      <c r="X41" s="458">
        <f t="shared" si="7"/>
        <v>66.996078999023865</v>
      </c>
      <c r="Y41" s="458">
        <f t="shared" si="7"/>
        <v>66.996078999023865</v>
      </c>
      <c r="Z41" s="458">
        <f t="shared" si="7"/>
        <v>66.996078999023865</v>
      </c>
      <c r="AA41" s="458">
        <f t="shared" si="7"/>
        <v>66.996078999023865</v>
      </c>
      <c r="AB41" s="458">
        <f t="shared" si="7"/>
        <v>66.996078999023865</v>
      </c>
      <c r="AC41" s="460">
        <f t="shared" si="7"/>
        <v>66.996078999023865</v>
      </c>
    </row>
    <row r="42" spans="1:135">
      <c r="A42" s="2771"/>
      <c r="B42" s="4633"/>
      <c r="C42" s="3031" t="s">
        <v>1612</v>
      </c>
      <c r="D42" s="3030" t="s">
        <v>1613</v>
      </c>
      <c r="E42" s="3114"/>
      <c r="F42" s="3115"/>
      <c r="G42" s="3115"/>
      <c r="H42" s="3115"/>
      <c r="I42" s="2969">
        <v>65.798475655606694</v>
      </c>
      <c r="J42" s="3049">
        <v>171.10413915848503</v>
      </c>
      <c r="K42" s="2969">
        <v>255.82623793652778</v>
      </c>
      <c r="L42" s="2969">
        <v>311.30491059179064</v>
      </c>
      <c r="M42" s="2969">
        <v>356.70140736286322</v>
      </c>
      <c r="N42" s="3050">
        <v>381.16060792617412</v>
      </c>
      <c r="O42" s="413">
        <f t="shared" si="7"/>
        <v>395.42990814587222</v>
      </c>
      <c r="P42" s="458">
        <f t="shared" si="7"/>
        <v>395.42990814587222</v>
      </c>
      <c r="Q42" s="458">
        <f t="shared" si="7"/>
        <v>395.42990814587222</v>
      </c>
      <c r="R42" s="458">
        <f t="shared" si="7"/>
        <v>395.42990814587222</v>
      </c>
      <c r="S42" s="458">
        <f t="shared" si="7"/>
        <v>395.42990814587222</v>
      </c>
      <c r="T42" s="458">
        <f t="shared" si="7"/>
        <v>395.42990814587222</v>
      </c>
      <c r="U42" s="458">
        <f t="shared" si="7"/>
        <v>395.42990814587222</v>
      </c>
      <c r="V42" s="458">
        <f t="shared" si="7"/>
        <v>395.42990814587222</v>
      </c>
      <c r="W42" s="458">
        <f t="shared" si="7"/>
        <v>395.42990814587222</v>
      </c>
      <c r="X42" s="458">
        <f t="shared" si="7"/>
        <v>395.42990814587222</v>
      </c>
      <c r="Y42" s="458">
        <f t="shared" si="7"/>
        <v>395.42990814587222</v>
      </c>
      <c r="Z42" s="458">
        <f t="shared" si="7"/>
        <v>395.42990814587222</v>
      </c>
      <c r="AA42" s="458">
        <f t="shared" si="7"/>
        <v>395.42990814587222</v>
      </c>
      <c r="AB42" s="458">
        <f t="shared" si="7"/>
        <v>395.42990814587222</v>
      </c>
      <c r="AC42" s="460">
        <f t="shared" si="7"/>
        <v>395.42990814587222</v>
      </c>
    </row>
    <row r="43" spans="1:135">
      <c r="A43" s="2771"/>
      <c r="B43" s="4633"/>
      <c r="C43" s="3031" t="s">
        <v>1614</v>
      </c>
      <c r="D43" s="3030" t="s">
        <v>1615</v>
      </c>
      <c r="E43" s="3114"/>
      <c r="F43" s="3115"/>
      <c r="G43" s="3115"/>
      <c r="H43" s="3115"/>
      <c r="I43" s="2969">
        <v>118.51402178050301</v>
      </c>
      <c r="J43" s="3049">
        <v>292.35408586582258</v>
      </c>
      <c r="K43" s="2969">
        <v>426.86971145740108</v>
      </c>
      <c r="L43" s="2969">
        <v>494.91343405989903</v>
      </c>
      <c r="M43" s="2969">
        <v>554.42808858652734</v>
      </c>
      <c r="N43" s="3050">
        <v>591.9801657168573</v>
      </c>
      <c r="O43" s="413">
        <f t="shared" si="7"/>
        <v>614.14180186986857</v>
      </c>
      <c r="P43" s="458">
        <f t="shared" si="7"/>
        <v>614.14180186986857</v>
      </c>
      <c r="Q43" s="458">
        <f t="shared" si="7"/>
        <v>614.14180186986857</v>
      </c>
      <c r="R43" s="458">
        <f t="shared" si="7"/>
        <v>614.14180186986857</v>
      </c>
      <c r="S43" s="458">
        <f t="shared" si="7"/>
        <v>614.14180186986857</v>
      </c>
      <c r="T43" s="458">
        <f t="shared" si="7"/>
        <v>614.14180186986857</v>
      </c>
      <c r="U43" s="458">
        <f t="shared" si="7"/>
        <v>614.14180186986857</v>
      </c>
      <c r="V43" s="458">
        <f t="shared" si="7"/>
        <v>614.14180186986857</v>
      </c>
      <c r="W43" s="458">
        <f t="shared" si="7"/>
        <v>614.14180186986857</v>
      </c>
      <c r="X43" s="458">
        <f t="shared" si="7"/>
        <v>614.14180186986857</v>
      </c>
      <c r="Y43" s="458">
        <f t="shared" si="7"/>
        <v>614.14180186986857</v>
      </c>
      <c r="Z43" s="458">
        <f t="shared" si="7"/>
        <v>614.14180186986857</v>
      </c>
      <c r="AA43" s="458">
        <f t="shared" si="7"/>
        <v>614.14180186986857</v>
      </c>
      <c r="AB43" s="458">
        <f t="shared" si="7"/>
        <v>614.14180186986857</v>
      </c>
      <c r="AC43" s="460">
        <f t="shared" si="7"/>
        <v>614.14180186986857</v>
      </c>
    </row>
    <row r="44" spans="1:135" s="3020" customFormat="1" ht="13.5" thickBot="1">
      <c r="B44" s="4634"/>
      <c r="C44" s="3032" t="s">
        <v>63</v>
      </c>
      <c r="D44" s="3033"/>
      <c r="E44" s="502">
        <f t="shared" ref="E44:AC44" si="8">SUM(E35:E43)</f>
        <v>0</v>
      </c>
      <c r="F44" s="356">
        <f t="shared" si="8"/>
        <v>0</v>
      </c>
      <c r="G44" s="356">
        <f t="shared" si="8"/>
        <v>0</v>
      </c>
      <c r="H44" s="356">
        <f t="shared" si="8"/>
        <v>0</v>
      </c>
      <c r="I44" s="627">
        <f t="shared" si="8"/>
        <v>388.74360918469961</v>
      </c>
      <c r="J44" s="1370">
        <f t="shared" si="8"/>
        <v>975.38055835992486</v>
      </c>
      <c r="K44" s="356">
        <f t="shared" si="8"/>
        <v>1393.1993939851941</v>
      </c>
      <c r="L44" s="356">
        <f t="shared" si="8"/>
        <v>1733.8661125403437</v>
      </c>
      <c r="M44" s="356">
        <f t="shared" si="8"/>
        <v>1958.3319173624868</v>
      </c>
      <c r="N44" s="503">
        <f t="shared" si="8"/>
        <v>2088.1226135861116</v>
      </c>
      <c r="O44" s="1370">
        <f t="shared" si="8"/>
        <v>2166.2945123846671</v>
      </c>
      <c r="P44" s="356">
        <f t="shared" si="8"/>
        <v>2166.2945123846671</v>
      </c>
      <c r="Q44" s="356">
        <f t="shared" si="8"/>
        <v>2166.2945123846671</v>
      </c>
      <c r="R44" s="356">
        <f t="shared" si="8"/>
        <v>2166.2945123846671</v>
      </c>
      <c r="S44" s="356">
        <f t="shared" si="8"/>
        <v>2166.2945123846671</v>
      </c>
      <c r="T44" s="356">
        <f t="shared" si="8"/>
        <v>2166.2945123846671</v>
      </c>
      <c r="U44" s="356">
        <f t="shared" si="8"/>
        <v>2166.2945123846671</v>
      </c>
      <c r="V44" s="356">
        <f t="shared" si="8"/>
        <v>2166.2945123846671</v>
      </c>
      <c r="W44" s="356">
        <f t="shared" si="8"/>
        <v>2166.2945123846671</v>
      </c>
      <c r="X44" s="356">
        <f t="shared" si="8"/>
        <v>2166.2945123846671</v>
      </c>
      <c r="Y44" s="356">
        <f t="shared" si="8"/>
        <v>2166.2945123846671</v>
      </c>
      <c r="Z44" s="356">
        <f t="shared" si="8"/>
        <v>2166.2945123846671</v>
      </c>
      <c r="AA44" s="356">
        <f t="shared" si="8"/>
        <v>2166.2945123846671</v>
      </c>
      <c r="AB44" s="356">
        <f t="shared" si="8"/>
        <v>2166.2945123846671</v>
      </c>
      <c r="AC44" s="503">
        <f t="shared" si="8"/>
        <v>2166.2945123846671</v>
      </c>
      <c r="AD44" s="2524"/>
      <c r="AE44" s="2524"/>
      <c r="AF44" s="3028"/>
      <c r="AG44" s="3028"/>
      <c r="AH44" s="3028"/>
      <c r="AI44" s="3028"/>
      <c r="AJ44" s="3028"/>
      <c r="AK44" s="3028"/>
      <c r="AL44" s="3028"/>
      <c r="AM44" s="3028"/>
      <c r="AN44" s="3028"/>
      <c r="AO44" s="3028"/>
      <c r="AP44" s="3028"/>
      <c r="AQ44" s="3028"/>
      <c r="AR44" s="3028"/>
      <c r="AS44" s="3028"/>
      <c r="AT44" s="3028"/>
      <c r="AU44" s="3028"/>
      <c r="AV44" s="3028"/>
      <c r="AW44" s="3028"/>
      <c r="AX44" s="3028"/>
      <c r="AY44" s="3028"/>
      <c r="AZ44" s="3028"/>
      <c r="BA44" s="3028"/>
      <c r="BB44" s="3028"/>
      <c r="BC44" s="3028"/>
      <c r="BD44" s="3028"/>
      <c r="BE44" s="3028"/>
      <c r="BF44" s="3028"/>
      <c r="BG44" s="3028"/>
      <c r="BH44" s="3028"/>
      <c r="BI44" s="3028"/>
      <c r="BJ44" s="3028"/>
      <c r="BK44" s="3028"/>
      <c r="BL44" s="3028"/>
      <c r="BM44" s="3028"/>
      <c r="BN44" s="3028"/>
      <c r="BO44" s="3028"/>
      <c r="BP44" s="3028"/>
      <c r="BQ44" s="3028"/>
      <c r="BR44" s="3028"/>
      <c r="BS44" s="3028"/>
      <c r="BT44" s="3028"/>
      <c r="BU44" s="3028"/>
      <c r="BV44" s="3028"/>
      <c r="BW44" s="3028"/>
      <c r="BX44" s="3028"/>
      <c r="BY44" s="3028"/>
      <c r="BZ44" s="3028"/>
      <c r="CA44" s="3028"/>
      <c r="CB44" s="3028"/>
      <c r="CC44" s="3028"/>
      <c r="CD44" s="3028"/>
      <c r="CE44" s="3028"/>
      <c r="CF44" s="3028"/>
      <c r="CG44" s="3028"/>
      <c r="CH44" s="3028"/>
      <c r="CI44" s="3028"/>
      <c r="CJ44" s="3028"/>
      <c r="CK44" s="3028"/>
      <c r="CL44" s="3028"/>
      <c r="CM44" s="3028"/>
      <c r="CN44" s="3028"/>
      <c r="CO44" s="3028"/>
      <c r="CP44" s="3028"/>
      <c r="CQ44" s="3028"/>
      <c r="CR44" s="3028"/>
      <c r="CS44" s="3028"/>
      <c r="CT44" s="3028"/>
      <c r="CU44" s="3028"/>
      <c r="CV44" s="3028"/>
      <c r="CW44" s="3028"/>
      <c r="CX44" s="3028"/>
      <c r="CY44" s="3028"/>
      <c r="CZ44" s="3028"/>
      <c r="DA44" s="3028"/>
      <c r="DB44" s="3028"/>
      <c r="DC44" s="3028"/>
      <c r="DD44" s="3028"/>
      <c r="DE44" s="3028"/>
      <c r="DF44" s="3028"/>
      <c r="DG44" s="3028"/>
      <c r="DH44" s="3028"/>
      <c r="DI44" s="3028"/>
      <c r="DJ44" s="3028"/>
      <c r="DK44" s="3028"/>
      <c r="DL44" s="3028"/>
      <c r="DM44" s="3028"/>
      <c r="DN44" s="3028"/>
      <c r="DO44" s="3028"/>
      <c r="DP44" s="3028"/>
    </row>
    <row r="45" spans="1:135" ht="24" customHeight="1" thickBot="1">
      <c r="A45" s="2771"/>
      <c r="B45" s="4635" t="s">
        <v>63</v>
      </c>
      <c r="C45" s="4636"/>
      <c r="D45" s="4637"/>
      <c r="E45" s="3051">
        <f>E44</f>
        <v>0</v>
      </c>
      <c r="F45" s="356">
        <f t="shared" ref="F45:AC45" si="9">F44</f>
        <v>0</v>
      </c>
      <c r="G45" s="356">
        <f t="shared" si="9"/>
        <v>0</v>
      </c>
      <c r="H45" s="356">
        <f t="shared" si="9"/>
        <v>0</v>
      </c>
      <c r="I45" s="356">
        <f t="shared" si="9"/>
        <v>388.74360918469961</v>
      </c>
      <c r="J45" s="3051">
        <f t="shared" si="9"/>
        <v>975.38055835992486</v>
      </c>
      <c r="K45" s="356">
        <f t="shared" si="9"/>
        <v>1393.1993939851941</v>
      </c>
      <c r="L45" s="356">
        <f t="shared" si="9"/>
        <v>1733.8661125403437</v>
      </c>
      <c r="M45" s="356">
        <f t="shared" si="9"/>
        <v>1958.3319173624868</v>
      </c>
      <c r="N45" s="3052">
        <f t="shared" si="9"/>
        <v>2088.1226135861116</v>
      </c>
      <c r="O45" s="502">
        <f t="shared" si="9"/>
        <v>2166.2945123846671</v>
      </c>
      <c r="P45" s="356">
        <f t="shared" si="9"/>
        <v>2166.2945123846671</v>
      </c>
      <c r="Q45" s="356">
        <f t="shared" si="9"/>
        <v>2166.2945123846671</v>
      </c>
      <c r="R45" s="356">
        <f t="shared" si="9"/>
        <v>2166.2945123846671</v>
      </c>
      <c r="S45" s="356">
        <f t="shared" si="9"/>
        <v>2166.2945123846671</v>
      </c>
      <c r="T45" s="356">
        <f t="shared" si="9"/>
        <v>2166.2945123846671</v>
      </c>
      <c r="U45" s="356">
        <f t="shared" si="9"/>
        <v>2166.2945123846671</v>
      </c>
      <c r="V45" s="356">
        <f t="shared" si="9"/>
        <v>2166.2945123846671</v>
      </c>
      <c r="W45" s="356">
        <f t="shared" si="9"/>
        <v>2166.2945123846671</v>
      </c>
      <c r="X45" s="356">
        <f t="shared" si="9"/>
        <v>2166.2945123846671</v>
      </c>
      <c r="Y45" s="356">
        <f t="shared" si="9"/>
        <v>2166.2945123846671</v>
      </c>
      <c r="Z45" s="356">
        <f t="shared" si="9"/>
        <v>2166.2945123846671</v>
      </c>
      <c r="AA45" s="356">
        <f t="shared" si="9"/>
        <v>2166.2945123846671</v>
      </c>
      <c r="AB45" s="356">
        <f t="shared" si="9"/>
        <v>2166.2945123846671</v>
      </c>
      <c r="AC45" s="503">
        <f t="shared" si="9"/>
        <v>2166.2945123846671</v>
      </c>
    </row>
    <row r="46" spans="1:135" ht="24" customHeight="1" thickBot="1">
      <c r="A46" s="2771"/>
      <c r="B46" s="4635" t="s">
        <v>270</v>
      </c>
      <c r="C46" s="4636"/>
      <c r="D46" s="4637"/>
      <c r="E46" s="3053"/>
      <c r="F46" s="3054"/>
      <c r="G46" s="3054"/>
      <c r="H46" s="3054"/>
      <c r="I46" s="3054"/>
      <c r="J46" s="3055"/>
      <c r="K46" s="3054"/>
      <c r="L46" s="3054"/>
      <c r="M46" s="3054"/>
      <c r="N46" s="3054"/>
      <c r="O46" s="3055"/>
      <c r="P46" s="3054"/>
      <c r="Q46" s="3054"/>
      <c r="R46" s="3054"/>
      <c r="S46" s="3054"/>
      <c r="T46" s="3054"/>
      <c r="U46" s="3054"/>
      <c r="V46" s="3054"/>
      <c r="W46" s="3054"/>
      <c r="X46" s="3054"/>
      <c r="Y46" s="3054"/>
      <c r="Z46" s="3054"/>
      <c r="AA46" s="3054"/>
      <c r="AB46" s="3054"/>
      <c r="AC46" s="3056"/>
    </row>
    <row r="47" spans="1:135" ht="30" customHeight="1" thickBot="1">
      <c r="B47" s="2524"/>
    </row>
    <row r="48" spans="1:135" s="3019" customFormat="1" ht="18.75" customHeight="1" thickBot="1">
      <c r="A48" s="3013"/>
      <c r="B48" s="2783" t="s">
        <v>1630</v>
      </c>
      <c r="C48" s="2784"/>
      <c r="D48" s="2784"/>
      <c r="E48" s="3018"/>
      <c r="F48" s="3018"/>
      <c r="G48" s="3018"/>
      <c r="H48" s="3018"/>
      <c r="I48" s="3018"/>
      <c r="J48" s="3018"/>
      <c r="K48" s="3018"/>
      <c r="L48" s="3018"/>
      <c r="M48" s="3018"/>
      <c r="N48" s="3018"/>
      <c r="O48" s="3018"/>
      <c r="P48" s="3018"/>
      <c r="Q48" s="3018"/>
      <c r="R48" s="3018"/>
      <c r="S48" s="3018"/>
      <c r="T48" s="3018"/>
      <c r="U48" s="3018"/>
      <c r="V48" s="3018"/>
      <c r="W48" s="3018"/>
      <c r="X48" s="3018"/>
      <c r="Y48" s="3018"/>
      <c r="Z48" s="3018"/>
      <c r="AA48" s="3018"/>
      <c r="AB48" s="3018"/>
      <c r="AC48" s="3057"/>
      <c r="AD48" s="2524"/>
      <c r="AE48" s="2524"/>
      <c r="AF48" s="2524"/>
      <c r="DF48" s="2524"/>
      <c r="DG48" s="2524"/>
      <c r="DH48" s="2524"/>
      <c r="DI48" s="2524"/>
      <c r="DJ48" s="2524"/>
      <c r="DK48" s="2524"/>
      <c r="DL48" s="2524"/>
      <c r="DM48" s="2524"/>
      <c r="DN48" s="2524"/>
      <c r="DO48" s="2524"/>
      <c r="DP48" s="2524"/>
      <c r="DQ48" s="2524"/>
      <c r="DR48" s="2524"/>
      <c r="DS48" s="2524"/>
      <c r="DT48" s="2524"/>
      <c r="DU48" s="2524"/>
      <c r="DV48" s="2524"/>
      <c r="DW48" s="2524"/>
      <c r="DX48" s="2524"/>
      <c r="DY48" s="2524"/>
      <c r="DZ48" s="2524"/>
      <c r="EA48" s="2524"/>
      <c r="EB48" s="2524"/>
      <c r="EC48" s="2524"/>
      <c r="ED48" s="2524"/>
      <c r="EE48" s="2524"/>
    </row>
    <row r="49" spans="1:120">
      <c r="A49" s="2771"/>
      <c r="B49" s="4638"/>
      <c r="C49" s="4606" t="s">
        <v>47</v>
      </c>
      <c r="D49" s="4607"/>
      <c r="E49" s="3058">
        <f>'29.2.1 Gas extenstions cust no'!D47</f>
        <v>0</v>
      </c>
      <c r="F49" s="3059">
        <f>'29.2.1 Gas extenstions cust no'!E47</f>
        <v>0</v>
      </c>
      <c r="G49" s="3059">
        <f>'29.2.1 Gas extenstions cust no'!E47</f>
        <v>0</v>
      </c>
      <c r="H49" s="3059">
        <f>'29.2.1 Gas extenstions cust no'!F47</f>
        <v>0</v>
      </c>
      <c r="I49" s="3060">
        <f>'29.2.1 Gas extenstions cust no'!H47</f>
        <v>0</v>
      </c>
      <c r="J49" s="3058">
        <f>'29.2.1 Gas extenstions cust no'!I47</f>
        <v>0</v>
      </c>
      <c r="K49" s="3059">
        <f>'29.2.1 Gas extenstions cust no'!J47</f>
        <v>0</v>
      </c>
      <c r="L49" s="3059">
        <f>'29.2.1 Gas extenstions cust no'!K47</f>
        <v>0</v>
      </c>
      <c r="M49" s="3059">
        <f>'29.2.1 Gas extenstions cust no'!L47</f>
        <v>0</v>
      </c>
      <c r="N49" s="3060">
        <f>'29.2.1 Gas extenstions cust no'!M47</f>
        <v>0</v>
      </c>
      <c r="O49" s="3061">
        <f>'29.2.1 Gas extenstions cust no'!N47</f>
        <v>0</v>
      </c>
      <c r="P49" s="3059">
        <f>'29.2.1 Gas extenstions cust no'!O47</f>
        <v>0</v>
      </c>
      <c r="Q49" s="3059">
        <f>'29.2.1 Gas extenstions cust no'!P47</f>
        <v>0</v>
      </c>
      <c r="R49" s="3059">
        <f>'29.2.1 Gas extenstions cust no'!Q47</f>
        <v>0</v>
      </c>
      <c r="S49" s="3059">
        <f>'29.2.1 Gas extenstions cust no'!R47</f>
        <v>0</v>
      </c>
      <c r="T49" s="3059">
        <f>'29.2.1 Gas extenstions cust no'!S47</f>
        <v>0</v>
      </c>
      <c r="U49" s="3059">
        <f>'29.2.1 Gas extenstions cust no'!T47</f>
        <v>0</v>
      </c>
      <c r="V49" s="3059">
        <f>'29.2.1 Gas extenstions cust no'!U47</f>
        <v>0</v>
      </c>
      <c r="W49" s="3059">
        <f>'29.2.1 Gas extenstions cust no'!V47</f>
        <v>0</v>
      </c>
      <c r="X49" s="3059">
        <f>'29.2.1 Gas extenstions cust no'!W47</f>
        <v>0</v>
      </c>
      <c r="Y49" s="3059">
        <f>'29.2.1 Gas extenstions cust no'!X47</f>
        <v>0</v>
      </c>
      <c r="Z49" s="3059">
        <f>'29.2.1 Gas extenstions cust no'!Y47</f>
        <v>0</v>
      </c>
      <c r="AA49" s="3059">
        <f>'29.2.1 Gas extenstions cust no'!Z47</f>
        <v>0</v>
      </c>
      <c r="AB49" s="3059">
        <f>'29.2.1 Gas extenstions cust no'!AA47</f>
        <v>0</v>
      </c>
      <c r="AC49" s="3060">
        <f>'29.2.1 Gas extenstions cust no'!AB47</f>
        <v>0</v>
      </c>
    </row>
    <row r="50" spans="1:120">
      <c r="A50" s="2771"/>
      <c r="B50" s="4639"/>
      <c r="C50" s="3029" t="s">
        <v>269</v>
      </c>
      <c r="D50" s="3062" t="s">
        <v>268</v>
      </c>
      <c r="E50" s="3063"/>
      <c r="F50" s="3064"/>
      <c r="G50" s="3064"/>
      <c r="H50" s="3064"/>
      <c r="I50" s="3030"/>
      <c r="J50" s="3063"/>
      <c r="K50" s="3064"/>
      <c r="L50" s="3064"/>
      <c r="M50" s="3064"/>
      <c r="N50" s="3030"/>
      <c r="O50" s="3065"/>
      <c r="P50" s="3064"/>
      <c r="Q50" s="3064"/>
      <c r="R50" s="3064"/>
      <c r="S50" s="3064"/>
      <c r="T50" s="3064"/>
      <c r="U50" s="3064"/>
      <c r="V50" s="3064"/>
      <c r="W50" s="3064"/>
      <c r="X50" s="3064"/>
      <c r="Y50" s="3064"/>
      <c r="Z50" s="3064"/>
      <c r="AA50" s="3064"/>
      <c r="AB50" s="3064"/>
      <c r="AC50" s="3030"/>
    </row>
    <row r="51" spans="1:120">
      <c r="A51" s="2771"/>
      <c r="B51" s="4639"/>
      <c r="C51" s="3029" t="s">
        <v>269</v>
      </c>
      <c r="D51" s="3062" t="s">
        <v>268</v>
      </c>
      <c r="E51" s="3063"/>
      <c r="F51" s="3064"/>
      <c r="G51" s="3064"/>
      <c r="H51" s="3064"/>
      <c r="I51" s="3030"/>
      <c r="J51" s="3063"/>
      <c r="K51" s="3064"/>
      <c r="L51" s="3064"/>
      <c r="M51" s="3064"/>
      <c r="N51" s="3030"/>
      <c r="O51" s="3065"/>
      <c r="P51" s="3064"/>
      <c r="Q51" s="3064"/>
      <c r="R51" s="3064"/>
      <c r="S51" s="3064"/>
      <c r="T51" s="3064"/>
      <c r="U51" s="3064"/>
      <c r="V51" s="3064"/>
      <c r="W51" s="3064"/>
      <c r="X51" s="3064"/>
      <c r="Y51" s="3064"/>
      <c r="Z51" s="3064"/>
      <c r="AA51" s="3064"/>
      <c r="AB51" s="3064"/>
      <c r="AC51" s="3030"/>
    </row>
    <row r="52" spans="1:120" ht="13.5" thickBot="1">
      <c r="A52" s="2771"/>
      <c r="B52" s="4640"/>
      <c r="C52" s="3066" t="s">
        <v>269</v>
      </c>
      <c r="D52" s="3067" t="s">
        <v>268</v>
      </c>
      <c r="E52" s="3068"/>
      <c r="F52" s="3069"/>
      <c r="G52" s="3069"/>
      <c r="H52" s="3069"/>
      <c r="I52" s="3070"/>
      <c r="J52" s="3068"/>
      <c r="K52" s="3069"/>
      <c r="L52" s="3069"/>
      <c r="M52" s="3069"/>
      <c r="N52" s="3070"/>
      <c r="O52" s="3071"/>
      <c r="P52" s="3069"/>
      <c r="Q52" s="3069"/>
      <c r="R52" s="3069"/>
      <c r="S52" s="3069"/>
      <c r="T52" s="3069"/>
      <c r="U52" s="3069"/>
      <c r="V52" s="3069"/>
      <c r="W52" s="3069"/>
      <c r="X52" s="3069"/>
      <c r="Y52" s="3069"/>
      <c r="Z52" s="3069"/>
      <c r="AA52" s="3069"/>
      <c r="AB52" s="3069"/>
      <c r="AC52" s="3070"/>
    </row>
    <row r="53" spans="1:120" ht="23.25" customHeight="1" thickBot="1">
      <c r="B53" s="2524"/>
    </row>
    <row r="54" spans="1:120" s="3020" customFormat="1" ht="18" customHeight="1">
      <c r="B54" s="4624" t="s">
        <v>120</v>
      </c>
      <c r="C54" s="4625"/>
      <c r="D54" s="4626"/>
      <c r="E54" s="3072">
        <f t="shared" ref="E54:AC54" si="10">SUM(E50:E52)</f>
        <v>0</v>
      </c>
      <c r="F54" s="3073">
        <f t="shared" si="10"/>
        <v>0</v>
      </c>
      <c r="G54" s="3073">
        <f t="shared" si="10"/>
        <v>0</v>
      </c>
      <c r="H54" s="3073">
        <f t="shared" si="10"/>
        <v>0</v>
      </c>
      <c r="I54" s="3074">
        <f t="shared" si="10"/>
        <v>0</v>
      </c>
      <c r="J54" s="3075">
        <f t="shared" si="10"/>
        <v>0</v>
      </c>
      <c r="K54" s="3073">
        <f t="shared" si="10"/>
        <v>0</v>
      </c>
      <c r="L54" s="3073">
        <f t="shared" si="10"/>
        <v>0</v>
      </c>
      <c r="M54" s="3073">
        <f t="shared" si="10"/>
        <v>0</v>
      </c>
      <c r="N54" s="3076">
        <f t="shared" si="10"/>
        <v>0</v>
      </c>
      <c r="O54" s="3072">
        <f t="shared" si="10"/>
        <v>0</v>
      </c>
      <c r="P54" s="3073">
        <f t="shared" si="10"/>
        <v>0</v>
      </c>
      <c r="Q54" s="3073">
        <f t="shared" si="10"/>
        <v>0</v>
      </c>
      <c r="R54" s="3073">
        <f t="shared" si="10"/>
        <v>0</v>
      </c>
      <c r="S54" s="3073">
        <f t="shared" si="10"/>
        <v>0</v>
      </c>
      <c r="T54" s="3073">
        <f t="shared" si="10"/>
        <v>0</v>
      </c>
      <c r="U54" s="3073">
        <f t="shared" si="10"/>
        <v>0</v>
      </c>
      <c r="V54" s="3073">
        <f t="shared" si="10"/>
        <v>0</v>
      </c>
      <c r="W54" s="3073">
        <f t="shared" si="10"/>
        <v>0</v>
      </c>
      <c r="X54" s="3073">
        <f t="shared" si="10"/>
        <v>0</v>
      </c>
      <c r="Y54" s="3073">
        <f t="shared" si="10"/>
        <v>0</v>
      </c>
      <c r="Z54" s="3073">
        <f t="shared" si="10"/>
        <v>0</v>
      </c>
      <c r="AA54" s="3073">
        <f t="shared" si="10"/>
        <v>0</v>
      </c>
      <c r="AB54" s="3073">
        <f t="shared" si="10"/>
        <v>0</v>
      </c>
      <c r="AC54" s="3074">
        <f t="shared" si="10"/>
        <v>0</v>
      </c>
      <c r="AD54" s="2524"/>
      <c r="AE54" s="2524"/>
      <c r="AF54" s="2524"/>
      <c r="AG54" s="3028"/>
      <c r="AH54" s="3028"/>
      <c r="AI54" s="3028"/>
      <c r="AJ54" s="3028"/>
      <c r="AK54" s="3028"/>
      <c r="AL54" s="3028"/>
      <c r="AM54" s="3028"/>
      <c r="AN54" s="3028"/>
      <c r="AO54" s="3028"/>
      <c r="AP54" s="3028"/>
      <c r="AQ54" s="3028"/>
      <c r="AR54" s="3028"/>
      <c r="AS54" s="3028"/>
      <c r="AT54" s="3028"/>
      <c r="AU54" s="3028"/>
      <c r="AV54" s="3028"/>
      <c r="AW54" s="3028"/>
      <c r="AX54" s="3028"/>
      <c r="AY54" s="3028"/>
      <c r="AZ54" s="3028"/>
      <c r="BA54" s="3028"/>
      <c r="BB54" s="3028"/>
      <c r="BC54" s="3028"/>
      <c r="BD54" s="3028"/>
      <c r="BE54" s="3028"/>
      <c r="BF54" s="3028"/>
      <c r="BG54" s="3028"/>
      <c r="BH54" s="3028"/>
      <c r="BI54" s="3028"/>
      <c r="BJ54" s="3028"/>
      <c r="BK54" s="3028"/>
      <c r="BL54" s="3028"/>
      <c r="BM54" s="3028"/>
      <c r="BN54" s="3028"/>
      <c r="BO54" s="3028"/>
      <c r="BP54" s="3028"/>
      <c r="BQ54" s="3028"/>
      <c r="BR54" s="3028"/>
      <c r="BS54" s="3028"/>
      <c r="BT54" s="3028"/>
      <c r="BU54" s="3028"/>
      <c r="BV54" s="3028"/>
      <c r="BW54" s="3028"/>
      <c r="BX54" s="3028"/>
      <c r="BY54" s="3028"/>
      <c r="BZ54" s="3028"/>
      <c r="CA54" s="3028"/>
      <c r="CB54" s="3028"/>
      <c r="CC54" s="3028"/>
      <c r="CD54" s="3028"/>
      <c r="CE54" s="3028"/>
      <c r="CF54" s="3028"/>
      <c r="CG54" s="3028"/>
      <c r="CH54" s="3028"/>
      <c r="CI54" s="3028"/>
      <c r="CJ54" s="3028"/>
      <c r="CK54" s="3028"/>
      <c r="CL54" s="3028"/>
      <c r="CM54" s="3028"/>
      <c r="CN54" s="3028"/>
      <c r="CO54" s="3028"/>
      <c r="CP54" s="3028"/>
      <c r="CQ54" s="3028"/>
      <c r="CR54" s="3028"/>
      <c r="CS54" s="3028"/>
      <c r="CT54" s="3028"/>
      <c r="CU54" s="3028"/>
      <c r="CV54" s="3028"/>
      <c r="CW54" s="3028"/>
      <c r="CX54" s="3028"/>
      <c r="CY54" s="3028"/>
      <c r="CZ54" s="3028"/>
      <c r="DA54" s="3028"/>
      <c r="DB54" s="3028"/>
      <c r="DC54" s="3028"/>
      <c r="DD54" s="3028"/>
      <c r="DE54" s="3028"/>
      <c r="DF54" s="3028"/>
      <c r="DG54" s="3028"/>
      <c r="DH54" s="3028"/>
      <c r="DI54" s="3028"/>
      <c r="DJ54" s="3028"/>
      <c r="DK54" s="3028"/>
      <c r="DL54" s="3028"/>
      <c r="DM54" s="3028"/>
      <c r="DN54" s="3028"/>
      <c r="DO54" s="3028"/>
      <c r="DP54" s="3028"/>
    </row>
    <row r="55" spans="1:120" s="3020" customFormat="1" ht="18" customHeight="1" thickBot="1">
      <c r="B55" s="4627" t="s">
        <v>119</v>
      </c>
      <c r="C55" s="4628"/>
      <c r="D55" s="4629"/>
      <c r="E55" s="3077">
        <f t="shared" ref="E55:AC55" si="11">IF(ISERROR(E54/E49),0,(E54/E49))</f>
        <v>0</v>
      </c>
      <c r="F55" s="3078">
        <f t="shared" si="11"/>
        <v>0</v>
      </c>
      <c r="G55" s="3078">
        <f t="shared" si="11"/>
        <v>0</v>
      </c>
      <c r="H55" s="3078">
        <f t="shared" si="11"/>
        <v>0</v>
      </c>
      <c r="I55" s="3079">
        <f t="shared" si="11"/>
        <v>0</v>
      </c>
      <c r="J55" s="3080">
        <f t="shared" si="11"/>
        <v>0</v>
      </c>
      <c r="K55" s="3078">
        <f t="shared" si="11"/>
        <v>0</v>
      </c>
      <c r="L55" s="3078">
        <f t="shared" si="11"/>
        <v>0</v>
      </c>
      <c r="M55" s="3078">
        <f t="shared" si="11"/>
        <v>0</v>
      </c>
      <c r="N55" s="3081">
        <f t="shared" si="11"/>
        <v>0</v>
      </c>
      <c r="O55" s="3077">
        <f t="shared" si="11"/>
        <v>0</v>
      </c>
      <c r="P55" s="3078">
        <f t="shared" si="11"/>
        <v>0</v>
      </c>
      <c r="Q55" s="3078">
        <f t="shared" si="11"/>
        <v>0</v>
      </c>
      <c r="R55" s="3078">
        <f t="shared" si="11"/>
        <v>0</v>
      </c>
      <c r="S55" s="3078">
        <f t="shared" si="11"/>
        <v>0</v>
      </c>
      <c r="T55" s="3078">
        <f t="shared" si="11"/>
        <v>0</v>
      </c>
      <c r="U55" s="3078">
        <f t="shared" si="11"/>
        <v>0</v>
      </c>
      <c r="V55" s="3078">
        <f t="shared" si="11"/>
        <v>0</v>
      </c>
      <c r="W55" s="3078">
        <f t="shared" si="11"/>
        <v>0</v>
      </c>
      <c r="X55" s="3078">
        <f t="shared" si="11"/>
        <v>0</v>
      </c>
      <c r="Y55" s="3078">
        <f t="shared" si="11"/>
        <v>0</v>
      </c>
      <c r="Z55" s="3078">
        <f t="shared" si="11"/>
        <v>0</v>
      </c>
      <c r="AA55" s="3078">
        <f t="shared" si="11"/>
        <v>0</v>
      </c>
      <c r="AB55" s="3078">
        <f t="shared" si="11"/>
        <v>0</v>
      </c>
      <c r="AC55" s="3079">
        <f t="shared" si="11"/>
        <v>0</v>
      </c>
      <c r="AD55" s="2524"/>
      <c r="AE55" s="2524"/>
      <c r="AF55" s="2524"/>
      <c r="AG55" s="3028"/>
      <c r="AH55" s="3028"/>
      <c r="AI55" s="3028"/>
      <c r="AJ55" s="3028"/>
      <c r="AK55" s="3028"/>
      <c r="AL55" s="3028"/>
      <c r="AM55" s="3028"/>
      <c r="AN55" s="3028"/>
      <c r="AO55" s="3028"/>
      <c r="AP55" s="3028"/>
      <c r="AQ55" s="3028"/>
      <c r="AR55" s="3028"/>
      <c r="AS55" s="3028"/>
      <c r="AT55" s="3028"/>
      <c r="AU55" s="3028"/>
      <c r="AV55" s="3028"/>
      <c r="AW55" s="3028"/>
      <c r="AX55" s="3028"/>
      <c r="AY55" s="3028"/>
      <c r="AZ55" s="3028"/>
      <c r="BA55" s="3028"/>
      <c r="BB55" s="3028"/>
      <c r="BC55" s="3028"/>
      <c r="BD55" s="3028"/>
      <c r="BE55" s="3028"/>
      <c r="BF55" s="3028"/>
      <c r="BG55" s="3028"/>
      <c r="BH55" s="3028"/>
      <c r="BI55" s="3028"/>
      <c r="BJ55" s="3028"/>
      <c r="BK55" s="3028"/>
      <c r="BL55" s="3028"/>
      <c r="BM55" s="3028"/>
      <c r="BN55" s="3028"/>
      <c r="BO55" s="3028"/>
      <c r="BP55" s="3028"/>
      <c r="BQ55" s="3028"/>
      <c r="BR55" s="3028"/>
      <c r="BS55" s="3028"/>
      <c r="BT55" s="3028"/>
      <c r="BU55" s="3028"/>
      <c r="BV55" s="3028"/>
      <c r="BW55" s="3028"/>
      <c r="BX55" s="3028"/>
      <c r="BY55" s="3028"/>
      <c r="BZ55" s="3028"/>
      <c r="CA55" s="3028"/>
      <c r="CB55" s="3028"/>
      <c r="CC55" s="3028"/>
      <c r="CD55" s="3028"/>
      <c r="CE55" s="3028"/>
      <c r="CF55" s="3028"/>
      <c r="CG55" s="3028"/>
      <c r="CH55" s="3028"/>
      <c r="CI55" s="3028"/>
      <c r="CJ55" s="3028"/>
      <c r="CK55" s="3028"/>
      <c r="CL55" s="3028"/>
      <c r="CM55" s="3028"/>
      <c r="CN55" s="3028"/>
      <c r="CO55" s="3028"/>
      <c r="CP55" s="3028"/>
      <c r="CQ55" s="3028"/>
      <c r="CR55" s="3028"/>
      <c r="CS55" s="3028"/>
      <c r="CT55" s="3028"/>
      <c r="CU55" s="3028"/>
      <c r="CV55" s="3028"/>
      <c r="CW55" s="3028"/>
      <c r="CX55" s="3028"/>
      <c r="CY55" s="3028"/>
      <c r="CZ55" s="3028"/>
      <c r="DA55" s="3028"/>
      <c r="DB55" s="3028"/>
      <c r="DC55" s="3028"/>
      <c r="DD55" s="3028"/>
      <c r="DE55" s="3028"/>
      <c r="DF55" s="3028"/>
      <c r="DG55" s="3028"/>
      <c r="DH55" s="3028"/>
      <c r="DI55" s="3028"/>
      <c r="DJ55" s="3028"/>
      <c r="DK55" s="3028"/>
      <c r="DL55" s="3028"/>
      <c r="DM55" s="3028"/>
      <c r="DN55" s="3028"/>
      <c r="DO55" s="3028"/>
      <c r="DP55" s="3028"/>
    </row>
    <row r="56" spans="1:120" ht="34.5" customHeight="1" thickBot="1">
      <c r="A56" s="2896"/>
      <c r="B56" s="4630" t="s">
        <v>121</v>
      </c>
      <c r="C56" s="4631"/>
      <c r="D56" s="4632"/>
      <c r="E56" s="3938"/>
      <c r="F56" s="3938"/>
      <c r="G56" s="3938"/>
      <c r="H56" s="3938"/>
      <c r="I56" s="3938"/>
      <c r="J56" s="3938"/>
      <c r="K56" s="3938"/>
      <c r="L56" s="3938"/>
      <c r="M56" s="3938"/>
      <c r="N56" s="3938"/>
      <c r="O56" s="3938"/>
      <c r="P56" s="3938"/>
      <c r="Q56" s="3938"/>
      <c r="R56" s="3938"/>
      <c r="S56" s="3938"/>
      <c r="T56" s="3938"/>
      <c r="U56" s="3938"/>
      <c r="V56" s="3938"/>
      <c r="W56" s="3938"/>
      <c r="X56" s="3938"/>
      <c r="Y56" s="3938"/>
      <c r="Z56" s="3938"/>
      <c r="AA56" s="3938"/>
      <c r="AB56" s="3938"/>
      <c r="AC56" s="3939"/>
    </row>
    <row r="57" spans="1:120">
      <c r="A57" s="2771"/>
    </row>
    <row r="58" spans="1:120">
      <c r="A58" s="2771"/>
    </row>
  </sheetData>
  <mergeCells count="25">
    <mergeCell ref="B54:D54"/>
    <mergeCell ref="B55:D55"/>
    <mergeCell ref="B56:D56"/>
    <mergeCell ref="E56:AC56"/>
    <mergeCell ref="B35:B44"/>
    <mergeCell ref="C35:D35"/>
    <mergeCell ref="B45:D45"/>
    <mergeCell ref="B46:D46"/>
    <mergeCell ref="B49:B52"/>
    <mergeCell ref="C49:D49"/>
    <mergeCell ref="J17:N17"/>
    <mergeCell ref="O17:AC17"/>
    <mergeCell ref="E18:AC18"/>
    <mergeCell ref="E19:G19"/>
    <mergeCell ref="H19:AC19"/>
    <mergeCell ref="B22:B31"/>
    <mergeCell ref="C22:D22"/>
    <mergeCell ref="B7:H7"/>
    <mergeCell ref="B8:H8"/>
    <mergeCell ref="B9:C9"/>
    <mergeCell ref="B10:H10"/>
    <mergeCell ref="B17:B20"/>
    <mergeCell ref="C17:C20"/>
    <mergeCell ref="D17:D20"/>
    <mergeCell ref="E17:I17"/>
  </mergeCells>
  <pageMargins left="0.75" right="0.75" top="1" bottom="1" header="0.5" footer="0.5"/>
  <pageSetup paperSize="9" orientation="portrait" r:id="rId1"/>
  <headerFooter alignWithMargins="0"/>
  <customProperties>
    <customPr name="_pios_id" r:id="rId2"/>
  </customPropertie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Q96"/>
  <sheetViews>
    <sheetView showGridLines="0" tabSelected="1" topLeftCell="B1" zoomScale="85" zoomScaleNormal="85" workbookViewId="0">
      <selection activeCell="D92" sqref="D92"/>
    </sheetView>
  </sheetViews>
  <sheetFormatPr defaultColWidth="9.140625" defaultRowHeight="15"/>
  <cols>
    <col min="1" max="1" width="36.28515625" style="2148" customWidth="1"/>
    <col min="2" max="2" width="44.5703125" style="2525" customWidth="1"/>
    <col min="3" max="3" width="21.85546875" style="2525" customWidth="1"/>
    <col min="4" max="4" width="33.42578125" style="2525" customWidth="1"/>
    <col min="5" max="7" width="17.28515625" style="2525" customWidth="1"/>
    <col min="8" max="9" width="13.28515625" style="2525" customWidth="1"/>
    <col min="10" max="10" width="20.140625" style="2524" customWidth="1"/>
    <col min="11" max="12" width="9.140625" style="2524"/>
    <col min="13" max="13" width="11.42578125" style="2524" customWidth="1"/>
    <col min="14" max="14" width="9.85546875" style="2524" customWidth="1"/>
    <col min="15" max="15" width="9.140625" style="2617"/>
    <col min="16" max="19" width="9.140625" style="2524"/>
    <col min="20" max="22" width="17.28515625" style="2525" customWidth="1"/>
    <col min="23" max="24" width="13.28515625" style="2525" customWidth="1"/>
    <col min="25" max="39" width="9.140625" style="2525"/>
    <col min="40" max="40" width="37" style="2525" customWidth="1"/>
    <col min="41" max="16384" width="9.140625" style="2525"/>
  </cols>
  <sheetData>
    <row r="1" spans="2:43" ht="24" customHeight="1">
      <c r="B1" s="2522" t="str">
        <f>IF(dms_DataQuality="backcast",INDEX(dms_Worksheet_List,MATCH(dms_Model,dms_Model_List))&amp;" BACKCAST",INDEX(dms_Worksheet_List,MATCH(dms_Model,dms_Model_List)))</f>
        <v>REGULATORY REPORTING STATEMENT</v>
      </c>
      <c r="C1" s="2523"/>
      <c r="D1" s="2523"/>
      <c r="E1" s="2523"/>
      <c r="F1" s="2523"/>
      <c r="G1" s="2523"/>
      <c r="H1" s="2523"/>
      <c r="I1" s="2523"/>
      <c r="M1" s="2148"/>
      <c r="N1" s="2148"/>
      <c r="O1" s="2148"/>
      <c r="P1" s="2148"/>
      <c r="Q1" s="2148"/>
      <c r="R1" s="2148"/>
      <c r="S1" s="2148"/>
      <c r="T1" s="2148"/>
      <c r="U1" s="2148"/>
      <c r="V1" s="2148"/>
      <c r="W1" s="2148"/>
      <c r="X1" s="2148"/>
      <c r="Y1" s="2148"/>
      <c r="Z1" s="2148"/>
      <c r="AA1" s="2148"/>
      <c r="AB1" s="2148"/>
      <c r="AC1" s="2148"/>
      <c r="AD1" s="2148"/>
      <c r="AE1" s="2148"/>
      <c r="AF1" s="2148"/>
      <c r="AG1" s="2148"/>
      <c r="AH1" s="2148"/>
      <c r="AI1" s="2148"/>
      <c r="AJ1" s="2148"/>
      <c r="AK1" s="2148"/>
      <c r="AL1" s="2148"/>
      <c r="AM1" s="2148"/>
      <c r="AN1" s="2148"/>
      <c r="AO1" s="2148"/>
      <c r="AP1" s="2148"/>
      <c r="AQ1" s="2148"/>
    </row>
    <row r="2" spans="2:43" ht="24" customHeight="1">
      <c r="B2" s="2526" t="str">
        <f>INDEX(dms_TradingNameFull_List,MATCH(dms_TradingName,dms_TradingName_List))</f>
        <v>AusNet Gas Services</v>
      </c>
      <c r="C2" s="2523"/>
      <c r="D2" s="2523"/>
      <c r="E2" s="2523"/>
      <c r="F2" s="2523"/>
      <c r="G2" s="2523"/>
      <c r="H2" s="2523"/>
      <c r="I2" s="2523"/>
      <c r="M2" s="2148"/>
      <c r="N2" s="2148"/>
      <c r="O2" s="2148"/>
      <c r="P2" s="2148"/>
      <c r="Q2" s="2148"/>
      <c r="R2" s="2148"/>
      <c r="S2" s="2148"/>
      <c r="T2" s="2148"/>
      <c r="U2" s="2148"/>
      <c r="V2" s="2148"/>
      <c r="W2" s="2148"/>
      <c r="X2" s="2148"/>
      <c r="Y2" s="2148"/>
      <c r="Z2" s="2148"/>
      <c r="AA2" s="2148"/>
      <c r="AB2" s="2148"/>
      <c r="AC2" s="2148"/>
      <c r="AD2" s="2148"/>
      <c r="AE2" s="2148"/>
      <c r="AF2" s="2148"/>
      <c r="AG2" s="2148"/>
      <c r="AH2" s="2148"/>
      <c r="AI2" s="2148"/>
      <c r="AJ2" s="2148"/>
      <c r="AK2" s="2148"/>
      <c r="AL2" s="2148"/>
      <c r="AM2" s="2148"/>
      <c r="AN2" s="2148"/>
      <c r="AO2" s="2148"/>
      <c r="AP2" s="2148"/>
      <c r="AQ2" s="2148"/>
    </row>
    <row r="3" spans="2:43" ht="24" customHeight="1">
      <c r="B3" s="2526" t="str">
        <f ca="1">IF(SUM(dms_SingleYear_Model)&gt;0,CRY,CONCATENATE(FRCP_y1," to ",dms_MultiYear_FinalYear_Result))</f>
        <v>2018 to 2022</v>
      </c>
      <c r="C3" s="2527"/>
      <c r="D3" s="2528"/>
      <c r="E3" s="2528"/>
      <c r="F3" s="2528"/>
      <c r="G3" s="2528"/>
      <c r="H3" s="2528"/>
      <c r="I3" s="2528"/>
      <c r="M3" s="2148"/>
      <c r="N3" s="2148"/>
      <c r="O3" s="2148"/>
      <c r="P3" s="2148"/>
      <c r="Q3" s="2148"/>
      <c r="R3" s="2148"/>
      <c r="S3" s="2148"/>
      <c r="T3" s="2148"/>
      <c r="U3" s="2148"/>
      <c r="V3" s="2148"/>
      <c r="W3" s="2148"/>
      <c r="X3" s="2148"/>
      <c r="Y3" s="2148"/>
      <c r="Z3" s="2148"/>
      <c r="AA3" s="2148"/>
      <c r="AB3" s="2148"/>
      <c r="AC3" s="2148"/>
      <c r="AD3" s="2148"/>
      <c r="AE3" s="2148"/>
      <c r="AF3" s="2148"/>
      <c r="AG3" s="2148"/>
      <c r="AH3" s="2148"/>
      <c r="AI3" s="2148"/>
      <c r="AJ3" s="2148"/>
      <c r="AK3" s="2148"/>
      <c r="AL3" s="2148"/>
      <c r="AM3" s="2148"/>
      <c r="AN3" s="2148"/>
      <c r="AO3" s="2148"/>
      <c r="AP3" s="2148"/>
      <c r="AQ3" s="2148"/>
    </row>
    <row r="4" spans="2:43" ht="24" customHeight="1">
      <c r="B4" s="2529" t="s">
        <v>545</v>
      </c>
      <c r="C4" s="2529"/>
      <c r="D4" s="2529"/>
      <c r="E4" s="2529"/>
      <c r="F4" s="2529"/>
      <c r="G4" s="2529"/>
      <c r="H4" s="2529"/>
      <c r="I4" s="2529"/>
      <c r="M4" s="2148"/>
      <c r="N4" s="2148"/>
      <c r="O4" s="2148"/>
      <c r="P4" s="2148"/>
      <c r="Q4" s="2148"/>
      <c r="R4" s="2148"/>
      <c r="S4" s="2148"/>
      <c r="T4" s="2148"/>
      <c r="U4" s="2148"/>
      <c r="V4" s="2148"/>
      <c r="W4" s="2148"/>
      <c r="X4" s="2148"/>
      <c r="Y4" s="2148"/>
      <c r="Z4" s="2148"/>
      <c r="AA4" s="2148"/>
      <c r="AB4" s="2148"/>
      <c r="AC4" s="2148"/>
      <c r="AD4" s="2148"/>
      <c r="AE4" s="2148"/>
      <c r="AF4" s="2148"/>
      <c r="AG4" s="2148"/>
      <c r="AH4" s="2148"/>
      <c r="AI4" s="2148"/>
      <c r="AJ4" s="2148"/>
      <c r="AK4" s="2148"/>
      <c r="AL4" s="2148"/>
      <c r="AM4" s="2148"/>
      <c r="AN4" s="2148"/>
      <c r="AO4" s="2148"/>
      <c r="AP4" s="2148"/>
      <c r="AQ4" s="2148"/>
    </row>
    <row r="5" spans="2:43">
      <c r="B5" s="2530"/>
      <c r="M5" s="2148"/>
      <c r="N5" s="2148"/>
      <c r="O5" s="2148"/>
      <c r="P5" s="2148"/>
      <c r="Q5" s="2148"/>
      <c r="R5" s="2148"/>
      <c r="S5" s="2148"/>
      <c r="T5" s="2148"/>
      <c r="U5" s="2148"/>
      <c r="V5" s="2148"/>
      <c r="W5" s="2148"/>
      <c r="X5" s="2148"/>
      <c r="Y5" s="2148"/>
      <c r="Z5" s="2148"/>
      <c r="AA5" s="2148"/>
      <c r="AB5" s="2148"/>
      <c r="AC5" s="2148"/>
      <c r="AD5" s="2148"/>
      <c r="AE5" s="2148"/>
      <c r="AF5" s="2148"/>
      <c r="AG5" s="2148"/>
      <c r="AH5" s="2148"/>
      <c r="AI5" s="2148"/>
      <c r="AJ5" s="2148"/>
      <c r="AK5" s="2148"/>
      <c r="AL5" s="2148"/>
      <c r="AM5" s="2148"/>
      <c r="AN5" s="2148"/>
      <c r="AO5" s="2148"/>
      <c r="AP5" s="2148"/>
      <c r="AQ5" s="2148"/>
    </row>
    <row r="6" spans="2:43">
      <c r="B6" s="2530"/>
      <c r="M6" s="2148"/>
      <c r="N6" s="2148"/>
      <c r="O6" s="2148"/>
      <c r="P6" s="2148"/>
      <c r="Q6" s="2148"/>
      <c r="R6" s="2148"/>
      <c r="S6" s="2148"/>
      <c r="T6" s="2148"/>
      <c r="U6" s="2148"/>
      <c r="V6" s="2148"/>
      <c r="W6" s="2148"/>
      <c r="X6" s="2148"/>
      <c r="Y6" s="2148"/>
      <c r="Z6" s="2148"/>
      <c r="AA6" s="2148"/>
      <c r="AB6" s="2148"/>
      <c r="AC6" s="2148"/>
      <c r="AD6" s="2148"/>
      <c r="AE6" s="2148"/>
      <c r="AF6" s="2148"/>
      <c r="AG6" s="2148"/>
      <c r="AH6" s="2148"/>
      <c r="AI6" s="2148"/>
      <c r="AJ6" s="2148"/>
      <c r="AK6" s="2148"/>
      <c r="AL6" s="2148"/>
      <c r="AM6" s="2148"/>
      <c r="AN6" s="2148"/>
      <c r="AO6" s="2148"/>
      <c r="AP6" s="2148"/>
      <c r="AQ6" s="2148"/>
    </row>
    <row r="7" spans="2:43">
      <c r="B7" s="2531" t="s">
        <v>59</v>
      </c>
      <c r="C7" s="2532"/>
      <c r="D7" s="2532"/>
      <c r="E7" s="2532"/>
      <c r="F7" s="2532"/>
      <c r="G7" s="2532"/>
      <c r="H7" s="2532"/>
      <c r="I7" s="2532"/>
      <c r="M7" s="2148"/>
      <c r="N7" s="2148"/>
      <c r="O7" s="2148"/>
      <c r="P7" s="2148"/>
      <c r="Q7" s="2148"/>
      <c r="R7" s="2148"/>
      <c r="S7" s="2148"/>
      <c r="T7" s="2148"/>
      <c r="U7" s="2148"/>
      <c r="V7" s="2148"/>
      <c r="W7" s="2148"/>
      <c r="X7" s="2148"/>
      <c r="Y7" s="2148"/>
      <c r="Z7" s="2148"/>
      <c r="AA7" s="2148"/>
      <c r="AB7" s="2148"/>
      <c r="AC7" s="2148"/>
      <c r="AD7" s="2148"/>
      <c r="AE7" s="2148"/>
      <c r="AF7" s="2148"/>
      <c r="AG7" s="2148"/>
      <c r="AH7" s="2148"/>
      <c r="AI7" s="2148"/>
      <c r="AJ7" s="2148"/>
      <c r="AK7" s="2148"/>
      <c r="AL7" s="2148"/>
      <c r="AM7" s="2148"/>
      <c r="AN7" s="2148"/>
      <c r="AO7" s="2148"/>
      <c r="AP7" s="2148"/>
      <c r="AQ7" s="2148"/>
    </row>
    <row r="8" spans="2:43" ht="38.25" customHeight="1">
      <c r="B8" s="3921" t="s">
        <v>1229</v>
      </c>
      <c r="C8" s="3922"/>
      <c r="D8" s="3921"/>
      <c r="E8" s="3921"/>
      <c r="F8" s="3921"/>
      <c r="G8" s="3921"/>
      <c r="H8" s="3921"/>
      <c r="I8" s="3921"/>
      <c r="M8" s="2148"/>
      <c r="N8" s="2148"/>
      <c r="O8" s="2148"/>
      <c r="P8" s="2148"/>
      <c r="Q8" s="2148"/>
      <c r="R8" s="2148"/>
      <c r="S8" s="2148"/>
      <c r="T8" s="2148"/>
      <c r="U8" s="2148"/>
      <c r="V8" s="2148"/>
      <c r="W8" s="2148"/>
      <c r="X8" s="2148"/>
      <c r="Y8" s="2148"/>
      <c r="Z8" s="2148"/>
      <c r="AA8" s="2148"/>
      <c r="AB8" s="2148"/>
      <c r="AC8" s="2148"/>
      <c r="AD8" s="2148"/>
      <c r="AE8" s="2148"/>
      <c r="AF8" s="2148"/>
      <c r="AG8" s="2148"/>
      <c r="AH8" s="2148"/>
      <c r="AI8" s="2148"/>
      <c r="AJ8" s="2148"/>
      <c r="AK8" s="2148"/>
      <c r="AL8" s="2148"/>
      <c r="AM8" s="2148"/>
      <c r="AN8" s="2148"/>
      <c r="AO8" s="2148"/>
      <c r="AP8" s="2148"/>
      <c r="AQ8" s="2148"/>
    </row>
    <row r="9" spans="2:43">
      <c r="B9" s="2533"/>
      <c r="C9" s="2534"/>
      <c r="D9" s="2534"/>
      <c r="E9" s="2534"/>
      <c r="F9" s="2534"/>
      <c r="G9" s="2534"/>
      <c r="H9" s="2534"/>
      <c r="I9" s="2534"/>
      <c r="M9" s="2148"/>
      <c r="N9" s="2148"/>
      <c r="O9" s="2148"/>
      <c r="P9" s="2148"/>
      <c r="Q9" s="2148"/>
      <c r="R9" s="2148"/>
      <c r="S9" s="2148"/>
      <c r="T9" s="2148"/>
      <c r="U9" s="2148"/>
      <c r="V9" s="2148"/>
      <c r="W9" s="2148"/>
      <c r="X9" s="2148"/>
      <c r="Y9" s="2148"/>
      <c r="Z9" s="2148"/>
      <c r="AA9" s="2148"/>
      <c r="AB9" s="2148"/>
      <c r="AC9" s="2148"/>
      <c r="AD9" s="2148"/>
      <c r="AE9" s="2148"/>
      <c r="AF9" s="2148"/>
      <c r="AG9" s="2148"/>
      <c r="AH9" s="2148"/>
      <c r="AI9" s="2148"/>
      <c r="AJ9" s="2148"/>
      <c r="AK9" s="2148"/>
      <c r="AL9" s="2148"/>
      <c r="AM9" s="2148"/>
      <c r="AN9" s="2148"/>
      <c r="AO9" s="2148"/>
      <c r="AP9" s="2148"/>
      <c r="AQ9" s="2148"/>
    </row>
    <row r="10" spans="2:43" ht="15.75">
      <c r="B10" s="2535" t="s">
        <v>544</v>
      </c>
      <c r="C10" s="2535"/>
      <c r="D10" s="2535"/>
      <c r="E10" s="2535"/>
      <c r="F10" s="2535"/>
      <c r="G10" s="2535"/>
      <c r="H10" s="2535"/>
      <c r="I10" s="2535"/>
      <c r="M10" s="2148"/>
      <c r="N10" s="2148"/>
      <c r="O10" s="2148"/>
      <c r="P10" s="2148"/>
      <c r="Q10" s="2148"/>
      <c r="R10" s="2148"/>
      <c r="S10" s="2148"/>
      <c r="T10" s="2148"/>
      <c r="U10" s="2148"/>
      <c r="V10" s="2148"/>
      <c r="W10" s="2148"/>
      <c r="X10" s="2148"/>
      <c r="Y10" s="2148"/>
      <c r="Z10" s="2148"/>
      <c r="AA10" s="2148"/>
      <c r="AB10" s="2148"/>
      <c r="AC10" s="2148"/>
      <c r="AD10" s="2148"/>
      <c r="AE10" s="2148"/>
      <c r="AF10" s="2148"/>
      <c r="AG10" s="2148"/>
      <c r="AH10" s="2148"/>
      <c r="AI10" s="2148"/>
      <c r="AJ10" s="2148"/>
      <c r="AK10" s="2148"/>
      <c r="AL10" s="2148"/>
      <c r="AM10" s="2148"/>
      <c r="AN10" s="2148"/>
      <c r="AO10" s="2148"/>
      <c r="AP10" s="2148"/>
      <c r="AQ10" s="2148"/>
    </row>
    <row r="11" spans="2:43" ht="15.75" thickBot="1">
      <c r="B11" s="2536"/>
      <c r="C11" s="2536"/>
      <c r="D11" s="2536"/>
      <c r="E11" s="2536"/>
      <c r="F11" s="2536"/>
      <c r="G11" s="2536"/>
      <c r="H11" s="2536"/>
      <c r="I11" s="2536"/>
      <c r="M11" s="2148"/>
      <c r="N11" s="2148"/>
      <c r="O11" s="2148"/>
      <c r="P11" s="2148"/>
      <c r="Q11" s="2148"/>
      <c r="R11" s="2148"/>
      <c r="S11" s="2148"/>
      <c r="T11" s="2148"/>
      <c r="U11" s="2148"/>
      <c r="V11" s="2148"/>
      <c r="W11" s="2148"/>
      <c r="X11" s="2148"/>
      <c r="Y11" s="2148"/>
      <c r="Z11" s="2148"/>
      <c r="AA11" s="2148"/>
      <c r="AB11" s="2148"/>
      <c r="AC11" s="2148"/>
      <c r="AD11" s="2148"/>
      <c r="AE11" s="2148"/>
      <c r="AF11" s="2148"/>
      <c r="AG11" s="2148"/>
      <c r="AH11" s="2148"/>
      <c r="AI11" s="2148"/>
      <c r="AJ11" s="2148"/>
      <c r="AK11" s="2148"/>
      <c r="AL11" s="2148"/>
      <c r="AM11" s="2148"/>
      <c r="AN11" s="2148"/>
      <c r="AO11" s="2148"/>
      <c r="AP11" s="2148"/>
      <c r="AQ11" s="2148"/>
    </row>
    <row r="12" spans="2:43" ht="20.25">
      <c r="B12" s="3923" t="s">
        <v>1230</v>
      </c>
      <c r="C12" s="3924"/>
      <c r="D12" s="3924"/>
      <c r="E12" s="3924"/>
      <c r="F12" s="3924"/>
      <c r="G12" s="3924"/>
      <c r="H12" s="3924"/>
      <c r="I12" s="3925"/>
      <c r="M12" s="2148"/>
      <c r="N12" s="2148"/>
      <c r="O12" s="2148"/>
      <c r="P12" s="2148"/>
      <c r="Q12" s="2148"/>
      <c r="R12" s="2148"/>
      <c r="S12" s="2148"/>
      <c r="T12" s="2148"/>
      <c r="U12" s="2148"/>
      <c r="V12" s="2148"/>
      <c r="W12" s="2148"/>
      <c r="X12" s="2148"/>
      <c r="Y12" s="2148"/>
      <c r="Z12" s="2148"/>
      <c r="AA12" s="2148"/>
      <c r="AB12" s="2148"/>
      <c r="AC12" s="2148"/>
      <c r="AD12" s="2148"/>
      <c r="AE12" s="2148"/>
      <c r="AF12" s="2148"/>
      <c r="AG12" s="2148"/>
      <c r="AH12" s="2148"/>
      <c r="AI12" s="2148"/>
      <c r="AJ12" s="2148"/>
      <c r="AK12" s="2148"/>
      <c r="AL12" s="2148"/>
      <c r="AM12" s="2148"/>
      <c r="AN12" s="2148"/>
      <c r="AO12" s="2148"/>
      <c r="AP12" s="2148"/>
      <c r="AQ12" s="2148"/>
    </row>
    <row r="13" spans="2:43" ht="20.25">
      <c r="B13" s="2537"/>
      <c r="C13" s="2538"/>
      <c r="D13" s="2538"/>
      <c r="E13" s="2539"/>
      <c r="F13" s="2539"/>
      <c r="G13" s="2539"/>
      <c r="H13" s="2539"/>
      <c r="I13" s="2540"/>
      <c r="M13" s="2148"/>
      <c r="N13" s="2148"/>
      <c r="O13" s="2148"/>
      <c r="P13" s="2148"/>
      <c r="Q13" s="2148"/>
      <c r="R13" s="2148"/>
      <c r="S13" s="2148"/>
      <c r="T13" s="2148"/>
      <c r="U13" s="2148"/>
      <c r="V13" s="2148"/>
      <c r="W13" s="2148"/>
      <c r="X13" s="2148"/>
      <c r="Y13" s="2148"/>
      <c r="Z13" s="2148"/>
      <c r="AA13" s="2148"/>
      <c r="AB13" s="2148"/>
      <c r="AC13" s="2148"/>
      <c r="AD13" s="2148"/>
      <c r="AE13" s="2148"/>
      <c r="AF13" s="2148"/>
      <c r="AG13" s="2148"/>
      <c r="AH13" s="2148"/>
      <c r="AI13" s="2148"/>
      <c r="AJ13" s="2148"/>
      <c r="AK13" s="2148"/>
      <c r="AL13" s="2148"/>
      <c r="AM13" s="2148"/>
      <c r="AN13" s="2148"/>
      <c r="AO13" s="2148"/>
      <c r="AP13" s="2148"/>
      <c r="AQ13" s="2148"/>
    </row>
    <row r="14" spans="2:43" ht="15.75">
      <c r="B14" s="2541" t="s">
        <v>1231</v>
      </c>
      <c r="C14" s="3908" t="s">
        <v>845</v>
      </c>
      <c r="D14" s="3909"/>
      <c r="E14" s="3909"/>
      <c r="F14" s="2542" t="s">
        <v>1232</v>
      </c>
      <c r="G14" s="2539"/>
      <c r="H14" s="2539"/>
      <c r="I14" s="2540"/>
      <c r="M14" s="2148"/>
      <c r="N14" s="2148"/>
      <c r="O14" s="2148"/>
      <c r="P14" s="2148"/>
      <c r="Q14" s="2148"/>
      <c r="R14" s="2148"/>
      <c r="S14" s="2148"/>
      <c r="T14" s="2148"/>
      <c r="U14" s="2148"/>
      <c r="V14" s="2148"/>
      <c r="W14" s="2148"/>
      <c r="X14" s="2148"/>
      <c r="Y14" s="2148"/>
      <c r="Z14" s="2148"/>
      <c r="AA14" s="2148"/>
      <c r="AB14" s="2148"/>
      <c r="AC14" s="2148"/>
      <c r="AD14" s="2148"/>
      <c r="AE14" s="2148"/>
      <c r="AF14" s="2148"/>
      <c r="AG14" s="2148"/>
      <c r="AH14" s="2148"/>
      <c r="AI14" s="2148"/>
      <c r="AJ14" s="2148"/>
      <c r="AK14" s="2148"/>
      <c r="AL14" s="2148"/>
      <c r="AM14" s="2148"/>
      <c r="AN14" s="2148"/>
      <c r="AO14" s="2148"/>
      <c r="AP14" s="2148"/>
      <c r="AQ14" s="2148"/>
    </row>
    <row r="15" spans="2:43">
      <c r="B15" s="2543" t="s">
        <v>272</v>
      </c>
      <c r="C15" s="3926" t="str">
        <f>INDEX(dms_ABN_List,MATCH(dms_TradingName,dms_TradingName_List))</f>
        <v xml:space="preserve">086 015 036 </v>
      </c>
      <c r="D15" s="3926"/>
      <c r="E15" s="3926"/>
      <c r="F15" s="2544"/>
      <c r="G15" s="2544"/>
      <c r="H15" s="2544"/>
      <c r="I15" s="2540"/>
      <c r="M15" s="2148"/>
      <c r="N15" s="2148"/>
      <c r="O15" s="2148"/>
      <c r="P15" s="2148"/>
      <c r="Q15" s="2148"/>
      <c r="R15" s="2148"/>
      <c r="S15" s="2148"/>
      <c r="T15" s="2148"/>
      <c r="U15" s="2148"/>
      <c r="V15" s="2148"/>
      <c r="W15" s="2148"/>
      <c r="X15" s="2148"/>
      <c r="Y15" s="2148"/>
      <c r="Z15" s="2148"/>
      <c r="AA15" s="2148"/>
      <c r="AB15" s="2148"/>
      <c r="AC15" s="2148"/>
      <c r="AD15" s="2148"/>
      <c r="AE15" s="2148"/>
      <c r="AF15" s="2148"/>
      <c r="AG15" s="2148"/>
      <c r="AH15" s="2148"/>
      <c r="AI15" s="2148"/>
      <c r="AJ15" s="2148"/>
      <c r="AK15" s="2148"/>
      <c r="AL15" s="2148"/>
      <c r="AM15" s="2148"/>
      <c r="AN15" s="2148"/>
      <c r="AO15" s="2148"/>
      <c r="AP15" s="2148"/>
      <c r="AQ15" s="2148"/>
    </row>
    <row r="16" spans="2:43" ht="15.75" thickBot="1">
      <c r="B16" s="2545"/>
      <c r="C16" s="2546"/>
      <c r="D16" s="2546"/>
      <c r="E16" s="2546"/>
      <c r="F16" s="2547"/>
      <c r="G16" s="2547"/>
      <c r="H16" s="2547"/>
      <c r="I16" s="2548"/>
      <c r="M16" s="2148"/>
      <c r="N16" s="2148"/>
      <c r="O16" s="2148"/>
      <c r="P16" s="2148"/>
      <c r="Q16" s="2148"/>
      <c r="R16" s="2148"/>
      <c r="S16" s="2148"/>
      <c r="T16" s="2148"/>
      <c r="U16" s="2148"/>
      <c r="V16" s="2148"/>
      <c r="W16" s="2148"/>
      <c r="X16" s="2148"/>
      <c r="Y16" s="2148"/>
      <c r="Z16" s="2148"/>
      <c r="AA16" s="2148"/>
      <c r="AB16" s="2148"/>
      <c r="AC16" s="2148"/>
      <c r="AD16" s="2148"/>
      <c r="AE16" s="2148"/>
      <c r="AF16" s="2148"/>
      <c r="AG16" s="2148"/>
      <c r="AH16" s="2148"/>
      <c r="AI16" s="2148"/>
      <c r="AJ16" s="2148"/>
      <c r="AK16" s="2148"/>
      <c r="AL16" s="2148"/>
      <c r="AM16" s="2148"/>
      <c r="AN16" s="2148"/>
      <c r="AO16" s="2148"/>
      <c r="AP16" s="2148"/>
      <c r="AQ16" s="2148"/>
    </row>
    <row r="17" spans="2:43" ht="29.25" customHeight="1">
      <c r="B17" s="2549"/>
      <c r="C17" s="2550"/>
      <c r="D17" s="2550"/>
      <c r="E17" s="2550"/>
      <c r="F17" s="2551"/>
      <c r="G17" s="2551"/>
      <c r="H17" s="2551"/>
      <c r="I17" s="2552"/>
      <c r="M17" s="2148"/>
      <c r="N17" s="2148"/>
      <c r="O17" s="2148"/>
      <c r="P17" s="2148"/>
      <c r="Q17" s="2148"/>
      <c r="R17" s="2148"/>
      <c r="S17" s="2148"/>
      <c r="T17" s="2148"/>
      <c r="U17" s="2148"/>
      <c r="V17" s="2148"/>
      <c r="W17" s="2148"/>
      <c r="X17" s="2148"/>
      <c r="Y17" s="2148"/>
      <c r="Z17" s="2148"/>
      <c r="AA17" s="2148"/>
      <c r="AB17" s="2148"/>
      <c r="AC17" s="2148"/>
      <c r="AD17" s="2148"/>
      <c r="AE17" s="2148"/>
      <c r="AF17" s="2148"/>
      <c r="AG17" s="2148"/>
      <c r="AH17" s="2148"/>
      <c r="AI17" s="2148"/>
      <c r="AJ17" s="2148"/>
      <c r="AK17" s="2148"/>
      <c r="AL17" s="2148"/>
      <c r="AM17" s="2148"/>
      <c r="AN17" s="2148"/>
      <c r="AO17" s="2148"/>
      <c r="AP17" s="2148"/>
      <c r="AQ17" s="2148"/>
    </row>
    <row r="18" spans="2:43">
      <c r="B18" s="2541" t="s">
        <v>28</v>
      </c>
      <c r="C18" s="3911" t="s">
        <v>277</v>
      </c>
      <c r="D18" s="3912"/>
      <c r="E18" s="3908" t="s">
        <v>1741</v>
      </c>
      <c r="F18" s="3909"/>
      <c r="G18" s="3909"/>
      <c r="H18" s="3910"/>
      <c r="I18" s="2553"/>
      <c r="M18" s="2148"/>
      <c r="N18" s="2148"/>
      <c r="O18" s="2148"/>
      <c r="P18" s="2148"/>
      <c r="Q18" s="2148"/>
      <c r="R18" s="2148"/>
      <c r="S18" s="2148"/>
      <c r="T18" s="2148"/>
      <c r="U18" s="2148"/>
      <c r="V18" s="2148"/>
      <c r="W18" s="2148"/>
      <c r="X18" s="2148"/>
      <c r="Y18" s="2148"/>
      <c r="Z18" s="2148"/>
      <c r="AA18" s="2148"/>
      <c r="AB18" s="2148"/>
      <c r="AC18" s="2148"/>
      <c r="AD18" s="2148"/>
      <c r="AE18" s="2148"/>
      <c r="AF18" s="2148"/>
      <c r="AG18" s="2148"/>
      <c r="AH18" s="2148"/>
      <c r="AI18" s="2148"/>
      <c r="AJ18" s="2148"/>
      <c r="AK18" s="2148"/>
      <c r="AL18" s="2148"/>
      <c r="AM18" s="2148"/>
      <c r="AN18" s="2148"/>
      <c r="AO18" s="2148"/>
      <c r="AP18" s="2148"/>
      <c r="AQ18" s="2148"/>
    </row>
    <row r="19" spans="2:43">
      <c r="B19" s="2554"/>
      <c r="C19" s="2555"/>
      <c r="D19" s="2555" t="s">
        <v>280</v>
      </c>
      <c r="E19" s="3908" t="s">
        <v>1742</v>
      </c>
      <c r="F19" s="3909"/>
      <c r="G19" s="3909"/>
      <c r="H19" s="3910"/>
      <c r="I19" s="2553"/>
      <c r="M19" s="2148"/>
      <c r="N19" s="2148"/>
      <c r="O19" s="2148"/>
      <c r="P19" s="2148"/>
      <c r="Q19" s="2148"/>
      <c r="R19" s="2148"/>
      <c r="S19" s="2148"/>
      <c r="T19" s="2148"/>
      <c r="U19" s="2148"/>
      <c r="V19" s="2148"/>
      <c r="W19" s="2148"/>
      <c r="X19" s="2148"/>
      <c r="Y19" s="2148"/>
      <c r="Z19" s="2148"/>
      <c r="AA19" s="2148"/>
      <c r="AB19" s="2148"/>
      <c r="AC19" s="2148"/>
      <c r="AD19" s="2148"/>
      <c r="AE19" s="2148"/>
      <c r="AF19" s="2148"/>
      <c r="AG19" s="2148"/>
      <c r="AH19" s="2148"/>
      <c r="AI19" s="2148"/>
      <c r="AJ19" s="2148"/>
      <c r="AK19" s="2148"/>
      <c r="AL19" s="2148"/>
      <c r="AM19" s="2148"/>
      <c r="AN19" s="2148"/>
      <c r="AO19" s="2148"/>
      <c r="AP19" s="2148"/>
      <c r="AQ19" s="2148"/>
    </row>
    <row r="20" spans="2:43">
      <c r="B20" s="2554"/>
      <c r="C20" s="3911" t="s">
        <v>29</v>
      </c>
      <c r="D20" s="3912"/>
      <c r="E20" s="3908"/>
      <c r="F20" s="3909"/>
      <c r="G20" s="3909"/>
      <c r="H20" s="3910"/>
      <c r="I20" s="2553"/>
      <c r="M20" s="2148"/>
      <c r="N20" s="2148"/>
      <c r="O20" s="2148"/>
      <c r="P20" s="2148"/>
      <c r="Q20" s="2148"/>
      <c r="R20" s="2148"/>
      <c r="S20" s="2148"/>
      <c r="T20" s="2148"/>
      <c r="U20" s="2148"/>
      <c r="V20" s="2148"/>
      <c r="W20" s="2148"/>
      <c r="X20" s="2148"/>
      <c r="Y20" s="2148"/>
      <c r="Z20" s="2148"/>
      <c r="AA20" s="2148"/>
      <c r="AB20" s="2148"/>
      <c r="AC20" s="2148"/>
      <c r="AD20" s="2148"/>
      <c r="AE20" s="2148"/>
      <c r="AF20" s="2148"/>
      <c r="AG20" s="2148"/>
      <c r="AH20" s="2148"/>
      <c r="AI20" s="2148"/>
      <c r="AJ20" s="2148"/>
      <c r="AK20" s="2148"/>
      <c r="AL20" s="2148"/>
      <c r="AM20" s="2148"/>
      <c r="AN20" s="2148"/>
      <c r="AO20" s="2148"/>
      <c r="AP20" s="2148"/>
      <c r="AQ20" s="2148"/>
    </row>
    <row r="21" spans="2:43">
      <c r="B21" s="2554"/>
      <c r="C21" s="2556"/>
      <c r="D21" s="2555" t="s">
        <v>30</v>
      </c>
      <c r="E21" s="2557" t="s">
        <v>659</v>
      </c>
      <c r="F21" s="2555" t="s">
        <v>288</v>
      </c>
      <c r="G21" s="2558">
        <v>3006</v>
      </c>
      <c r="H21" s="2539"/>
      <c r="I21" s="2540"/>
      <c r="M21" s="2148"/>
      <c r="N21" s="2148"/>
      <c r="O21" s="2148"/>
      <c r="P21" s="2148"/>
      <c r="Q21" s="2148"/>
      <c r="R21" s="2148"/>
      <c r="S21" s="2148"/>
      <c r="T21" s="2148"/>
      <c r="U21" s="2148"/>
      <c r="V21" s="2148"/>
      <c r="W21" s="2148"/>
      <c r="X21" s="2148"/>
      <c r="Y21" s="2148"/>
      <c r="Z21" s="2148"/>
      <c r="AA21" s="2148"/>
      <c r="AB21" s="2148"/>
      <c r="AC21" s="2148"/>
      <c r="AD21" s="2148"/>
      <c r="AE21" s="2148"/>
      <c r="AF21" s="2148"/>
      <c r="AG21" s="2148"/>
      <c r="AH21" s="2148"/>
      <c r="AI21" s="2148"/>
      <c r="AJ21" s="2148"/>
      <c r="AK21" s="2148"/>
      <c r="AL21" s="2148"/>
      <c r="AM21" s="2148"/>
      <c r="AN21" s="2148"/>
      <c r="AO21" s="2148"/>
      <c r="AP21" s="2148"/>
      <c r="AQ21" s="2148"/>
    </row>
    <row r="22" spans="2:43">
      <c r="B22" s="2554"/>
      <c r="C22" s="2556"/>
      <c r="D22" s="2556"/>
      <c r="E22" s="2556"/>
      <c r="F22" s="2539"/>
      <c r="G22" s="2556"/>
      <c r="H22" s="2539"/>
      <c r="I22" s="2540"/>
      <c r="M22" s="2148"/>
      <c r="N22" s="2148"/>
      <c r="O22" s="2148"/>
      <c r="P22" s="2148"/>
      <c r="Q22" s="2148"/>
      <c r="R22" s="2148"/>
      <c r="S22" s="2148"/>
      <c r="T22" s="2148"/>
      <c r="U22" s="2148"/>
      <c r="V22" s="2148"/>
      <c r="W22" s="2148"/>
      <c r="X22" s="2148"/>
      <c r="Y22" s="2148"/>
      <c r="Z22" s="2148"/>
      <c r="AA22" s="2148"/>
      <c r="AB22" s="2148"/>
      <c r="AC22" s="2148"/>
      <c r="AD22" s="2148"/>
      <c r="AE22" s="2148"/>
      <c r="AF22" s="2148"/>
      <c r="AG22" s="2148"/>
      <c r="AH22" s="2148"/>
      <c r="AI22" s="2148"/>
      <c r="AJ22" s="2148"/>
      <c r="AK22" s="2148"/>
      <c r="AL22" s="2148"/>
      <c r="AM22" s="2148"/>
      <c r="AN22" s="2148"/>
      <c r="AO22" s="2148"/>
      <c r="AP22" s="2148"/>
      <c r="AQ22" s="2148"/>
    </row>
    <row r="23" spans="2:43">
      <c r="B23" s="2541" t="s">
        <v>31</v>
      </c>
      <c r="C23" s="3911" t="s">
        <v>277</v>
      </c>
      <c r="D23" s="3912"/>
      <c r="E23" s="3908" t="s">
        <v>1741</v>
      </c>
      <c r="F23" s="3909"/>
      <c r="G23" s="3909"/>
      <c r="H23" s="3910"/>
      <c r="I23" s="2559"/>
      <c r="M23" s="2148"/>
      <c r="N23" s="2148"/>
      <c r="O23" s="2148"/>
      <c r="P23" s="2148"/>
      <c r="Q23" s="2148"/>
      <c r="R23" s="2148"/>
      <c r="S23" s="2148"/>
      <c r="T23" s="2148"/>
      <c r="U23" s="2148"/>
      <c r="V23" s="2148"/>
      <c r="W23" s="2148"/>
      <c r="X23" s="2148"/>
      <c r="Y23" s="2148"/>
      <c r="Z23" s="2148"/>
      <c r="AA23" s="2148"/>
      <c r="AB23" s="2148"/>
      <c r="AC23" s="2148"/>
      <c r="AD23" s="2148"/>
      <c r="AE23" s="2148"/>
      <c r="AF23" s="2148"/>
      <c r="AG23" s="2148"/>
      <c r="AH23" s="2148"/>
      <c r="AI23" s="2148"/>
      <c r="AJ23" s="2148"/>
      <c r="AK23" s="2148"/>
      <c r="AL23" s="2148"/>
      <c r="AM23" s="2148"/>
      <c r="AN23" s="2148"/>
      <c r="AO23" s="2148"/>
      <c r="AP23" s="2148"/>
      <c r="AQ23" s="2148"/>
    </row>
    <row r="24" spans="2:43">
      <c r="B24" s="2554"/>
      <c r="C24" s="2555"/>
      <c r="D24" s="2555" t="s">
        <v>280</v>
      </c>
      <c r="E24" s="3908" t="s">
        <v>1742</v>
      </c>
      <c r="F24" s="3909"/>
      <c r="G24" s="3909"/>
      <c r="H24" s="3910"/>
      <c r="I24" s="2559"/>
      <c r="M24" s="2148"/>
      <c r="N24" s="2148"/>
      <c r="O24" s="2148"/>
      <c r="P24" s="2148"/>
      <c r="Q24" s="2148"/>
      <c r="R24" s="2148"/>
      <c r="S24" s="2148"/>
      <c r="T24" s="2148"/>
      <c r="U24" s="2148"/>
      <c r="V24" s="2148"/>
      <c r="W24" s="2148"/>
      <c r="X24" s="2148"/>
      <c r="Y24" s="2148"/>
      <c r="Z24" s="2148"/>
      <c r="AA24" s="2148"/>
      <c r="AB24" s="2148"/>
      <c r="AC24" s="2148"/>
      <c r="AD24" s="2148"/>
      <c r="AE24" s="2148"/>
      <c r="AF24" s="2148"/>
      <c r="AG24" s="2148"/>
      <c r="AH24" s="2148"/>
      <c r="AI24" s="2148"/>
      <c r="AJ24" s="2148"/>
      <c r="AK24" s="2148"/>
      <c r="AL24" s="2148"/>
      <c r="AM24" s="2148"/>
      <c r="AN24" s="2148"/>
      <c r="AO24" s="2148"/>
      <c r="AP24" s="2148"/>
      <c r="AQ24" s="2148"/>
    </row>
    <row r="25" spans="2:43">
      <c r="B25" s="2554"/>
      <c r="C25" s="3911" t="s">
        <v>29</v>
      </c>
      <c r="D25" s="3912"/>
      <c r="E25" s="3908"/>
      <c r="F25" s="3909"/>
      <c r="G25" s="3909"/>
      <c r="H25" s="3910"/>
      <c r="I25" s="2559"/>
      <c r="M25" s="2148"/>
      <c r="N25" s="2148"/>
      <c r="O25" s="2148"/>
      <c r="P25" s="2148"/>
      <c r="Q25" s="2148"/>
      <c r="R25" s="2148"/>
      <c r="S25" s="2148"/>
      <c r="T25" s="2148"/>
      <c r="U25" s="2148"/>
      <c r="V25" s="2148"/>
      <c r="W25" s="2148"/>
      <c r="X25" s="2148"/>
      <c r="Y25" s="2148"/>
      <c r="Z25" s="2148"/>
      <c r="AA25" s="2148"/>
      <c r="AB25" s="2148"/>
      <c r="AC25" s="2148"/>
      <c r="AD25" s="2148"/>
      <c r="AE25" s="2148"/>
      <c r="AF25" s="2148"/>
      <c r="AG25" s="2148"/>
      <c r="AH25" s="2148"/>
      <c r="AI25" s="2148"/>
      <c r="AJ25" s="2148"/>
      <c r="AK25" s="2148"/>
      <c r="AL25" s="2148"/>
      <c r="AM25" s="2148"/>
      <c r="AN25" s="2148"/>
      <c r="AO25" s="2148"/>
      <c r="AP25" s="2148"/>
      <c r="AQ25" s="2148"/>
    </row>
    <row r="26" spans="2:43">
      <c r="B26" s="2560"/>
      <c r="C26" s="2556"/>
      <c r="D26" s="2555" t="s">
        <v>30</v>
      </c>
      <c r="E26" s="2558" t="s">
        <v>659</v>
      </c>
      <c r="F26" s="2555" t="s">
        <v>288</v>
      </c>
      <c r="G26" s="2558">
        <v>3006</v>
      </c>
      <c r="H26" s="2539"/>
      <c r="I26" s="2540"/>
      <c r="M26" s="2148"/>
      <c r="N26" s="2148"/>
      <c r="O26" s="2148"/>
      <c r="P26" s="2148"/>
      <c r="Q26" s="2148"/>
      <c r="R26" s="2148"/>
      <c r="S26" s="2148"/>
      <c r="T26" s="2148"/>
      <c r="U26" s="2148"/>
      <c r="V26" s="2148"/>
      <c r="W26" s="2148"/>
      <c r="X26" s="2148"/>
      <c r="Y26" s="2148"/>
      <c r="Z26" s="2148"/>
      <c r="AA26" s="2148"/>
      <c r="AB26" s="2148"/>
      <c r="AC26" s="2148"/>
      <c r="AD26" s="2148"/>
      <c r="AE26" s="2148"/>
      <c r="AF26" s="2148"/>
      <c r="AG26" s="2148"/>
      <c r="AH26" s="2148"/>
      <c r="AI26" s="2148"/>
      <c r="AJ26" s="2148"/>
      <c r="AK26" s="2148"/>
      <c r="AL26" s="2148"/>
      <c r="AM26" s="2148"/>
      <c r="AN26" s="2148"/>
      <c r="AO26" s="2148"/>
      <c r="AP26" s="2148"/>
      <c r="AQ26" s="2148"/>
    </row>
    <row r="27" spans="2:43">
      <c r="B27" s="2561"/>
      <c r="C27" s="2562"/>
      <c r="D27" s="2562"/>
      <c r="E27" s="2562"/>
      <c r="F27" s="2563"/>
      <c r="G27" s="2563"/>
      <c r="H27" s="2563"/>
      <c r="I27" s="2564"/>
      <c r="M27" s="2148"/>
      <c r="N27" s="2148"/>
      <c r="O27" s="2148"/>
      <c r="P27" s="2148"/>
      <c r="Q27" s="2148"/>
      <c r="R27" s="2148"/>
      <c r="S27" s="2148"/>
      <c r="T27" s="2148"/>
      <c r="U27" s="2148"/>
      <c r="V27" s="2148"/>
      <c r="W27" s="2148"/>
      <c r="X27" s="2148"/>
      <c r="Y27" s="2148"/>
      <c r="Z27" s="2148"/>
      <c r="AA27" s="2148"/>
      <c r="AB27" s="2148"/>
      <c r="AC27" s="2148"/>
      <c r="AD27" s="2148"/>
      <c r="AE27" s="2148"/>
      <c r="AF27" s="2148"/>
      <c r="AG27" s="2148"/>
      <c r="AH27" s="2148"/>
      <c r="AI27" s="2148"/>
      <c r="AJ27" s="2148"/>
      <c r="AK27" s="2148"/>
      <c r="AL27" s="2148"/>
      <c r="AM27" s="2148"/>
      <c r="AN27" s="2148"/>
      <c r="AO27" s="2148"/>
      <c r="AP27" s="2148"/>
      <c r="AQ27" s="2148"/>
    </row>
    <row r="28" spans="2:43">
      <c r="B28" s="2560"/>
      <c r="C28" s="2565"/>
      <c r="D28" s="2565"/>
      <c r="E28" s="2565"/>
      <c r="F28" s="2539"/>
      <c r="G28" s="2539"/>
      <c r="H28" s="2539"/>
      <c r="I28" s="2540"/>
      <c r="M28" s="2148"/>
      <c r="N28" s="2148"/>
      <c r="O28" s="2148"/>
      <c r="P28" s="2148"/>
      <c r="Q28" s="2148"/>
      <c r="R28" s="2148"/>
      <c r="S28" s="2148"/>
      <c r="T28" s="2148"/>
      <c r="U28" s="2148"/>
      <c r="V28" s="2148"/>
      <c r="W28" s="2148"/>
      <c r="X28" s="2148"/>
      <c r="Y28" s="2148"/>
      <c r="Z28" s="2148"/>
      <c r="AA28" s="2148"/>
      <c r="AB28" s="2148"/>
      <c r="AC28" s="2148"/>
      <c r="AD28" s="2148"/>
      <c r="AE28" s="2148"/>
      <c r="AF28" s="2148"/>
      <c r="AG28" s="2148"/>
      <c r="AH28" s="2148"/>
      <c r="AI28" s="2148"/>
      <c r="AJ28" s="2148"/>
      <c r="AK28" s="2148"/>
      <c r="AL28" s="2148"/>
      <c r="AM28" s="2148"/>
      <c r="AN28" s="2148"/>
      <c r="AO28" s="2148"/>
      <c r="AP28" s="2148"/>
      <c r="AQ28" s="2148"/>
    </row>
    <row r="29" spans="2:43">
      <c r="B29" s="2566" t="s">
        <v>32</v>
      </c>
      <c r="C29" s="2567" t="s">
        <v>2123</v>
      </c>
      <c r="D29" s="2568"/>
      <c r="E29" s="2569"/>
      <c r="F29" s="2567"/>
      <c r="G29" s="2568"/>
      <c r="H29" s="2570"/>
      <c r="I29" s="2571"/>
      <c r="M29" s="2148"/>
      <c r="N29" s="2148"/>
      <c r="O29" s="2148"/>
      <c r="P29" s="2148"/>
      <c r="Q29" s="2148"/>
      <c r="R29" s="2148"/>
      <c r="S29" s="2148"/>
      <c r="T29" s="2148"/>
      <c r="U29" s="2148"/>
      <c r="V29" s="2148"/>
      <c r="W29" s="2148"/>
      <c r="X29" s="2148"/>
      <c r="Y29" s="2148"/>
      <c r="Z29" s="2148"/>
      <c r="AA29" s="2148"/>
      <c r="AB29" s="2148"/>
      <c r="AC29" s="2148"/>
      <c r="AD29" s="2148"/>
      <c r="AE29" s="2148"/>
      <c r="AF29" s="2148"/>
      <c r="AG29" s="2148"/>
      <c r="AH29" s="2148"/>
      <c r="AI29" s="2148"/>
      <c r="AJ29" s="2148"/>
      <c r="AK29" s="2148"/>
      <c r="AL29" s="2148"/>
      <c r="AM29" s="2148"/>
      <c r="AN29" s="2148"/>
      <c r="AO29" s="2148"/>
      <c r="AP29" s="2148"/>
      <c r="AQ29" s="2148"/>
    </row>
    <row r="30" spans="2:43">
      <c r="B30" s="2541" t="s">
        <v>33</v>
      </c>
      <c r="C30" s="2567" t="s">
        <v>2124</v>
      </c>
      <c r="D30" s="2572"/>
      <c r="E30" s="2573"/>
      <c r="F30" s="2574"/>
      <c r="G30" s="2572"/>
      <c r="H30" s="2539"/>
      <c r="I30" s="2540"/>
      <c r="M30" s="2148"/>
      <c r="N30" s="2148"/>
      <c r="O30" s="2148"/>
      <c r="P30" s="2148"/>
      <c r="Q30" s="2148"/>
      <c r="R30" s="2148"/>
      <c r="S30" s="2148"/>
      <c r="T30" s="2148"/>
      <c r="U30" s="2148"/>
      <c r="V30" s="2148"/>
      <c r="W30" s="2148"/>
      <c r="X30" s="2148"/>
      <c r="Y30" s="2148"/>
      <c r="Z30" s="2148"/>
      <c r="AA30" s="2148"/>
      <c r="AB30" s="2148"/>
      <c r="AC30" s="2148"/>
      <c r="AD30" s="2148"/>
      <c r="AE30" s="2148"/>
      <c r="AF30" s="2148"/>
      <c r="AG30" s="2148"/>
      <c r="AH30" s="2148"/>
      <c r="AI30" s="2148"/>
      <c r="AJ30" s="2148"/>
      <c r="AK30" s="2148"/>
      <c r="AL30" s="2148"/>
      <c r="AM30" s="2148"/>
      <c r="AN30" s="2148"/>
      <c r="AO30" s="2148"/>
      <c r="AP30" s="2148"/>
      <c r="AQ30" s="2148"/>
    </row>
    <row r="31" spans="2:43">
      <c r="B31" s="2541" t="s">
        <v>34</v>
      </c>
      <c r="C31" s="2567" t="s">
        <v>2125</v>
      </c>
      <c r="D31" s="2568"/>
      <c r="E31" s="2573"/>
      <c r="F31" s="2575"/>
      <c r="G31" s="2568"/>
      <c r="H31" s="2539"/>
      <c r="I31" s="2540"/>
      <c r="M31" s="2148"/>
      <c r="N31" s="2148"/>
      <c r="O31" s="2148"/>
      <c r="P31" s="2148"/>
      <c r="Q31" s="2148"/>
      <c r="R31" s="2148"/>
      <c r="S31" s="2148"/>
      <c r="T31" s="2148"/>
      <c r="U31" s="2148"/>
      <c r="V31" s="2148"/>
      <c r="W31" s="2148"/>
      <c r="X31" s="2148"/>
      <c r="Y31" s="2148"/>
      <c r="Z31" s="2148"/>
      <c r="AA31" s="2148"/>
      <c r="AB31" s="2148"/>
      <c r="AC31" s="2148"/>
      <c r="AD31" s="2148"/>
      <c r="AE31" s="2148"/>
      <c r="AF31" s="2148"/>
      <c r="AG31" s="2148"/>
      <c r="AH31" s="2148"/>
      <c r="AI31" s="2148"/>
      <c r="AJ31" s="2148"/>
      <c r="AK31" s="2148"/>
      <c r="AL31" s="2148"/>
      <c r="AM31" s="2148"/>
      <c r="AN31" s="2148"/>
      <c r="AO31" s="2148"/>
      <c r="AP31" s="2148"/>
      <c r="AQ31" s="2148"/>
    </row>
    <row r="32" spans="2:43" ht="15.75" thickBot="1">
      <c r="B32" s="2545"/>
      <c r="C32" s="2546"/>
      <c r="D32" s="2546"/>
      <c r="E32" s="2546"/>
      <c r="F32" s="2547"/>
      <c r="G32" s="2547"/>
      <c r="H32" s="2547"/>
      <c r="I32" s="2548"/>
      <c r="M32" s="2148"/>
      <c r="N32" s="2148"/>
      <c r="O32" s="2148"/>
      <c r="P32" s="2148"/>
      <c r="Q32" s="2148"/>
      <c r="R32" s="2148"/>
      <c r="S32" s="2148"/>
      <c r="T32" s="2148"/>
      <c r="U32" s="2148"/>
      <c r="V32" s="2148"/>
      <c r="W32" s="2148"/>
      <c r="X32" s="2148"/>
      <c r="Y32" s="2148"/>
      <c r="Z32" s="2148"/>
      <c r="AA32" s="2148"/>
      <c r="AB32" s="2148"/>
      <c r="AC32" s="2148"/>
      <c r="AD32" s="2148"/>
      <c r="AE32" s="2148"/>
      <c r="AF32" s="2148"/>
      <c r="AG32" s="2148"/>
      <c r="AH32" s="2148"/>
      <c r="AI32" s="2148"/>
      <c r="AJ32" s="2148"/>
      <c r="AK32" s="2148"/>
      <c r="AL32" s="2148"/>
      <c r="AM32" s="2148"/>
      <c r="AN32" s="2148"/>
      <c r="AO32" s="2148"/>
      <c r="AP32" s="2148"/>
      <c r="AQ32" s="2148"/>
    </row>
    <row r="33" spans="2:43" ht="20.25">
      <c r="B33" s="3913" t="s">
        <v>1233</v>
      </c>
      <c r="C33" s="3914"/>
      <c r="D33" s="3914"/>
      <c r="E33" s="3914"/>
      <c r="F33" s="3914"/>
      <c r="G33" s="3914"/>
      <c r="H33" s="3914"/>
      <c r="I33" s="3915"/>
      <c r="M33" s="2148"/>
      <c r="N33" s="2148"/>
      <c r="O33" s="2148"/>
      <c r="P33" s="2148"/>
      <c r="Q33" s="2148"/>
      <c r="R33" s="2148"/>
      <c r="S33" s="2148"/>
      <c r="T33" s="2148"/>
      <c r="U33" s="2148"/>
      <c r="V33" s="2148"/>
      <c r="W33" s="2148"/>
      <c r="X33" s="2148"/>
      <c r="Y33" s="2148"/>
      <c r="Z33" s="2148"/>
      <c r="AA33" s="2148"/>
      <c r="AB33" s="2148"/>
      <c r="AC33" s="2148"/>
      <c r="AD33" s="2148"/>
      <c r="AE33" s="2148"/>
      <c r="AF33" s="2148"/>
      <c r="AG33" s="2148"/>
      <c r="AH33" s="2148"/>
      <c r="AI33" s="2148"/>
      <c r="AJ33" s="2148"/>
      <c r="AK33" s="2148"/>
      <c r="AL33" s="2148"/>
      <c r="AM33" s="2148"/>
      <c r="AN33" s="2148"/>
      <c r="AO33" s="2148"/>
      <c r="AP33" s="2148"/>
      <c r="AQ33" s="2148"/>
    </row>
    <row r="34" spans="2:43" ht="15.75" thickBot="1">
      <c r="B34" s="2576"/>
      <c r="C34" s="2577"/>
      <c r="D34" s="2577"/>
      <c r="E34" s="2578"/>
      <c r="F34" s="2578"/>
      <c r="G34" s="2578"/>
      <c r="H34" s="2578"/>
      <c r="I34" s="2579"/>
      <c r="M34" s="2148"/>
      <c r="N34" s="2148"/>
      <c r="O34" s="2148"/>
      <c r="P34" s="2148"/>
      <c r="Q34" s="2148"/>
      <c r="R34" s="2148"/>
      <c r="S34" s="2148"/>
      <c r="T34" s="2148"/>
      <c r="U34" s="2148"/>
      <c r="V34" s="2148"/>
      <c r="W34" s="2148"/>
      <c r="X34" s="2148"/>
      <c r="Y34" s="2148"/>
      <c r="Z34" s="2148"/>
      <c r="AA34" s="2148"/>
      <c r="AB34" s="2148"/>
      <c r="AC34" s="2148"/>
      <c r="AD34" s="2148"/>
      <c r="AE34" s="2148"/>
      <c r="AF34" s="2148"/>
      <c r="AG34" s="2148"/>
      <c r="AH34" s="2148"/>
      <c r="AI34" s="2148"/>
      <c r="AJ34" s="2148"/>
      <c r="AK34" s="2148"/>
      <c r="AL34" s="2148"/>
      <c r="AM34" s="2148"/>
      <c r="AN34" s="2148"/>
      <c r="AO34" s="2148"/>
      <c r="AP34" s="2148"/>
      <c r="AQ34" s="2148"/>
    </row>
    <row r="35" spans="2:43" ht="15.75" thickBot="1">
      <c r="B35" s="2580" t="s">
        <v>294</v>
      </c>
      <c r="C35" s="2581" t="s">
        <v>725</v>
      </c>
      <c r="D35" s="2582">
        <f>dms_FRCP_y2</f>
        <v>2019</v>
      </c>
      <c r="E35" s="2583">
        <f>dms_FRCP_y3</f>
        <v>2020</v>
      </c>
      <c r="F35" s="2583">
        <f>dms_FRCP_y4</f>
        <v>2021</v>
      </c>
      <c r="G35" s="2583">
        <f>dms_FRCP_y5</f>
        <v>2022</v>
      </c>
      <c r="H35" s="2583">
        <f>dms_FRCP_y6</f>
        <v>2023</v>
      </c>
      <c r="I35" s="2584">
        <f>dms_FRCP_y7</f>
        <v>2024</v>
      </c>
      <c r="J35" s="2585">
        <f>dms_FRCP_y8</f>
        <v>2025</v>
      </c>
      <c r="K35" s="2585">
        <f>dms_FRCP_y9</f>
        <v>2026</v>
      </c>
      <c r="L35" s="2585">
        <f>dms_FRCP_y10</f>
        <v>2027</v>
      </c>
      <c r="M35" s="2148"/>
      <c r="N35" s="2148"/>
      <c r="O35" s="2148"/>
      <c r="P35" s="2148"/>
      <c r="Q35" s="2148"/>
      <c r="R35" s="2148"/>
      <c r="S35" s="2148"/>
      <c r="T35" s="2148"/>
      <c r="U35" s="2148"/>
      <c r="V35" s="2148"/>
      <c r="W35" s="2148"/>
      <c r="X35" s="2148"/>
      <c r="Y35" s="2148"/>
      <c r="Z35" s="2148"/>
      <c r="AA35" s="2148"/>
      <c r="AB35" s="2148"/>
      <c r="AC35" s="2148"/>
      <c r="AD35" s="2148"/>
      <c r="AE35" s="2148"/>
      <c r="AF35" s="2148"/>
      <c r="AG35" s="2148"/>
      <c r="AH35" s="2148"/>
      <c r="AI35" s="2148"/>
      <c r="AJ35" s="2148"/>
      <c r="AK35" s="2148"/>
      <c r="AL35" s="2148"/>
      <c r="AM35" s="2148"/>
      <c r="AN35" s="2148"/>
      <c r="AO35" s="2148"/>
      <c r="AP35" s="2148"/>
      <c r="AQ35" s="2148"/>
    </row>
    <row r="36" spans="2:43" ht="15.75" thickBot="1">
      <c r="B36" s="2586"/>
      <c r="C36" s="2587"/>
      <c r="D36" s="2587"/>
      <c r="E36" s="2587"/>
      <c r="F36" s="2588"/>
      <c r="G36" s="2588"/>
      <c r="H36" s="2588"/>
      <c r="I36" s="2589"/>
      <c r="M36" s="2148"/>
      <c r="N36" s="2148"/>
      <c r="O36" s="2148"/>
      <c r="P36" s="2148"/>
      <c r="Q36" s="2148"/>
      <c r="R36" s="2148"/>
      <c r="S36" s="2148"/>
      <c r="T36" s="2148"/>
      <c r="U36" s="2148"/>
      <c r="V36" s="2148"/>
      <c r="W36" s="2148"/>
      <c r="X36" s="2148"/>
      <c r="Y36" s="2148"/>
      <c r="Z36" s="2148"/>
      <c r="AA36" s="2148"/>
      <c r="AB36" s="2148"/>
      <c r="AC36" s="2148"/>
      <c r="AD36" s="2148"/>
      <c r="AE36" s="2148"/>
      <c r="AF36" s="2148"/>
      <c r="AG36" s="2148"/>
      <c r="AH36" s="2148"/>
      <c r="AI36" s="2148"/>
      <c r="AJ36" s="2148"/>
      <c r="AK36" s="2148"/>
      <c r="AL36" s="2148"/>
      <c r="AM36" s="2148"/>
      <c r="AN36" s="2148"/>
      <c r="AO36" s="2148"/>
      <c r="AP36" s="2148"/>
      <c r="AQ36" s="2148"/>
    </row>
    <row r="37" spans="2:43">
      <c r="B37" s="2590"/>
      <c r="C37" s="2591"/>
      <c r="D37" s="2591"/>
      <c r="E37" s="2591"/>
      <c r="F37" s="2592"/>
      <c r="G37" s="2592"/>
      <c r="H37" s="2592"/>
      <c r="I37" s="2593"/>
      <c r="M37" s="2148"/>
      <c r="N37" s="2148"/>
      <c r="O37" s="2148"/>
      <c r="P37" s="2148"/>
      <c r="Q37" s="2148"/>
      <c r="R37" s="2148"/>
      <c r="S37" s="2148"/>
      <c r="T37" s="2148"/>
      <c r="U37" s="2148"/>
      <c r="V37" s="2148"/>
      <c r="W37" s="2148"/>
      <c r="X37" s="2148"/>
      <c r="Y37" s="2148"/>
      <c r="Z37" s="2148"/>
      <c r="AA37" s="2148"/>
      <c r="AB37" s="2148"/>
      <c r="AC37" s="2148"/>
      <c r="AD37" s="2148"/>
      <c r="AE37" s="2148"/>
      <c r="AF37" s="2148"/>
      <c r="AG37" s="2148"/>
      <c r="AH37" s="2148"/>
      <c r="AI37" s="2148"/>
      <c r="AJ37" s="2148"/>
      <c r="AK37" s="2148"/>
      <c r="AL37" s="2148"/>
      <c r="AM37" s="2148"/>
      <c r="AN37" s="2148"/>
      <c r="AO37" s="2148"/>
      <c r="AP37" s="2148"/>
      <c r="AQ37" s="2148"/>
    </row>
    <row r="38" spans="2:43">
      <c r="B38" s="2580" t="s">
        <v>298</v>
      </c>
      <c r="C38" s="2583">
        <f>dms_CRCP_FirstYear_Result</f>
        <v>2013</v>
      </c>
      <c r="D38" s="2594">
        <f>IF(dms_RPT="financial",VALUE(LEFT(CRCP_y1,4)+1)&amp;"-"&amp;TEXT(MID(CRCP_y1,3,2)+2,"00"),VALUE(LEFT(CRCP_y1,4)+1))</f>
        <v>2014</v>
      </c>
      <c r="E38" s="2594">
        <f>IF(dms_RPT="financial",VALUE(LEFT(CRCP_y2,4)+1)&amp;"-"&amp;TEXT(VALUE(MID(CRCP_y2,3,2)+2),"00"),VALUE(LEFT(CRCP_y2,4)+1))</f>
        <v>2015</v>
      </c>
      <c r="F38" s="2594">
        <f>IF(dms_RPT="financial",VALUE(LEFT(CRCP_y3,4)+1)&amp;"-"&amp;TEXT(VALUE(MID(CRCP_y3,3,2)+2),"00"),VALUE(LEFT(CRCP_y3,4)+1))</f>
        <v>2016</v>
      </c>
      <c r="G38" s="2594">
        <f>IF(dms_RPT="financial",VALUE(LEFT(CRCP_y4,4)+1)&amp;"-"&amp;TEXT(VALUE(MID(CRCP_y4,3,2)+2),"00"),VALUE(LEFT(CRCP_y4,4)+1))</f>
        <v>2017</v>
      </c>
      <c r="H38" s="2594">
        <f>IF(dms_RPT="financial",VALUE(LEFT(CRCP_y5,4)+1)&amp;"-"&amp;TEXT(VALUE(MID(CRCP_y5,3,2)+2),"00"),VALUE(LEFT(CRCP_y5,4)+1))</f>
        <v>2018</v>
      </c>
      <c r="I38" s="2595">
        <f>IF(dms_RPT="financial",VALUE(LEFT(CRCP_y6,4)+1)&amp;"-"&amp;TEXT(VALUE(MID(CRCP_y6,3,2)+2),"00"),VALUE(LEFT(CRCP_y6,4)+1))</f>
        <v>2019</v>
      </c>
      <c r="J38" s="2585">
        <f>IF(dms_RPT="financial",VALUE(LEFT(CRCP_y7,4)+1)&amp;"-"&amp;TEXT(VALUE(MID(CRCP_y7,3,2)+2),"00"),VALUE(LEFT(CRCP_y7,4)+1))</f>
        <v>2020</v>
      </c>
      <c r="K38" s="2585">
        <f>IF(dms_RPT="financial",VALUE(LEFT(CRCP_y8,4)+1)&amp;"-"&amp;TEXT(VALUE(MID(CRCP_y8,3,2)+2),"00"),VALUE(LEFT(CRCP_y8,4)+1))</f>
        <v>2021</v>
      </c>
      <c r="L38" s="2585">
        <f>IF(dms_RPT="financial",VALUE(LEFT(CRCP_y9,4)+1)&amp;"-"&amp;TEXT(VALUE(MID(CRCP_y9,3,2)+2),"00"),VALUE(LEFT(CRCP_y9,4)+1))</f>
        <v>2022</v>
      </c>
      <c r="M38" s="2148"/>
      <c r="N38" s="2148"/>
      <c r="O38" s="2148"/>
      <c r="P38" s="2148"/>
      <c r="Q38" s="2148"/>
      <c r="R38" s="2148"/>
      <c r="S38" s="2148"/>
      <c r="T38" s="2148"/>
      <c r="U38" s="2148"/>
      <c r="V38" s="2148"/>
      <c r="W38" s="2148"/>
      <c r="X38" s="2148"/>
      <c r="Y38" s="2148"/>
      <c r="Z38" s="2148"/>
      <c r="AA38" s="2148"/>
      <c r="AB38" s="2148"/>
      <c r="AC38" s="2148"/>
      <c r="AD38" s="2148"/>
      <c r="AE38" s="2148"/>
      <c r="AF38" s="2148"/>
      <c r="AG38" s="2148"/>
      <c r="AH38" s="2148"/>
      <c r="AI38" s="2148"/>
      <c r="AJ38" s="2148"/>
      <c r="AK38" s="2148"/>
      <c r="AL38" s="2148"/>
      <c r="AM38" s="2148"/>
      <c r="AN38" s="2148"/>
      <c r="AO38" s="2148"/>
      <c r="AP38" s="2148"/>
      <c r="AQ38" s="2148"/>
    </row>
    <row r="39" spans="2:43" ht="15.75" thickBot="1">
      <c r="B39" s="2586"/>
      <c r="C39" s="2587"/>
      <c r="D39" s="2587"/>
      <c r="E39" s="2587"/>
      <c r="F39" s="2588"/>
      <c r="G39" s="2588"/>
      <c r="H39" s="2588"/>
      <c r="I39" s="2589"/>
      <c r="M39" s="2148"/>
      <c r="N39" s="2148"/>
      <c r="O39" s="2148"/>
      <c r="P39" s="2148"/>
      <c r="Q39" s="2148"/>
      <c r="R39" s="2148"/>
      <c r="S39" s="2148"/>
      <c r="T39" s="2148"/>
      <c r="U39" s="2148"/>
      <c r="V39" s="2148"/>
      <c r="W39" s="2148"/>
      <c r="X39" s="2148"/>
      <c r="Y39" s="2148"/>
      <c r="Z39" s="2148"/>
      <c r="AA39" s="2148"/>
      <c r="AB39" s="2148"/>
      <c r="AC39" s="2148"/>
      <c r="AD39" s="2148"/>
      <c r="AE39" s="2148"/>
      <c r="AF39" s="2148"/>
      <c r="AG39" s="2148"/>
      <c r="AH39" s="2148"/>
      <c r="AI39" s="2148"/>
      <c r="AJ39" s="2148"/>
      <c r="AK39" s="2148"/>
      <c r="AL39" s="2148"/>
      <c r="AM39" s="2148"/>
      <c r="AN39" s="2148"/>
      <c r="AO39" s="2148"/>
      <c r="AP39" s="2148"/>
      <c r="AQ39" s="2148"/>
    </row>
    <row r="40" spans="2:43">
      <c r="B40" s="2590"/>
      <c r="C40" s="2591"/>
      <c r="D40" s="2591"/>
      <c r="E40" s="2591"/>
      <c r="F40" s="2592"/>
      <c r="G40" s="2592"/>
      <c r="H40" s="2592"/>
      <c r="I40" s="2593"/>
      <c r="M40" s="2148"/>
      <c r="N40" s="2148"/>
      <c r="O40" s="2148"/>
      <c r="P40" s="2148"/>
      <c r="Q40" s="2148"/>
      <c r="R40" s="2148"/>
      <c r="S40" s="2148"/>
      <c r="T40" s="2148"/>
      <c r="U40" s="2148"/>
      <c r="V40" s="2148"/>
      <c r="W40" s="2148"/>
      <c r="X40" s="2148"/>
      <c r="Y40" s="2148"/>
      <c r="Z40" s="2148"/>
      <c r="AA40" s="2148"/>
      <c r="AB40" s="2148"/>
      <c r="AC40" s="2148"/>
      <c r="AD40" s="2148"/>
      <c r="AE40" s="2148"/>
      <c r="AF40" s="2148"/>
      <c r="AG40" s="2148"/>
      <c r="AH40" s="2148"/>
      <c r="AI40" s="2148"/>
      <c r="AJ40" s="2148"/>
      <c r="AK40" s="2148"/>
      <c r="AL40" s="2148"/>
      <c r="AM40" s="2148"/>
      <c r="AN40" s="2148"/>
      <c r="AO40" s="2148"/>
      <c r="AP40" s="2148"/>
      <c r="AQ40" s="2148"/>
    </row>
    <row r="41" spans="2:43">
      <c r="B41" s="2580" t="s">
        <v>301</v>
      </c>
      <c r="C41" s="2583">
        <f>IF(dms_RPT="financial",VALUE(LEFT(PRCP_y2,4)-1)&amp;"-"&amp;TEXT(VALUE(MID(PRCP_y2,3,2)),"00"),VALUE(LEFT(PRCP_y2,4)-1))</f>
        <v>2008</v>
      </c>
      <c r="D41" s="2583">
        <f>IF(dms_RPT="financial",VALUE(LEFT(PRCP_y3,4)-1)&amp;"-"&amp;TEXT(VALUE(MID(PRCP_y3,3,2)),"00"),VALUE(LEFT(PRCP_y3,4)-1))</f>
        <v>2009</v>
      </c>
      <c r="E41" s="2583">
        <f>IF(dms_RPT="financial",VALUE(LEFT(PRCP_y4,4)-1)&amp;"-"&amp;TEXT(VALUE(MID(PRCP_y4,3,2)),"00"),VALUE(LEFT(PRCP_y4,4)-1))</f>
        <v>2010</v>
      </c>
      <c r="F41" s="2583">
        <f>IF(dms_RPT="financial",VALUE(LEFT(PRCP_y5,4)-1)&amp;"-"&amp;TEXT(VALUE(RIGHT(PRCP_y5,2)-1),"00"),VALUE(LEFT(PRCP_y5,4)-1))</f>
        <v>2011</v>
      </c>
      <c r="G41" s="2594">
        <f>IF(dms_RPT="financial",VALUE(LEFT(CRCP_y1,4)-1)&amp;"-"&amp;TEXT(VALUE(RIGHT(CRCP_y1,2)-1),"00"),VALUE(LEFT(CRCP_y1,4)-1))</f>
        <v>2012</v>
      </c>
      <c r="H41" s="2594"/>
      <c r="I41" s="2596"/>
      <c r="M41" s="2148"/>
      <c r="N41" s="2148"/>
      <c r="O41" s="2148"/>
      <c r="P41" s="2148"/>
      <c r="Q41" s="2148"/>
      <c r="R41" s="2148"/>
      <c r="S41" s="2148"/>
      <c r="T41" s="2148"/>
      <c r="U41" s="2148"/>
      <c r="V41" s="2148"/>
      <c r="W41" s="2148"/>
      <c r="X41" s="2148"/>
      <c r="Y41" s="2148"/>
      <c r="Z41" s="2148"/>
      <c r="AA41" s="2148"/>
      <c r="AB41" s="2148"/>
      <c r="AC41" s="2148"/>
      <c r="AD41" s="2148"/>
      <c r="AE41" s="2148"/>
      <c r="AF41" s="2148"/>
      <c r="AG41" s="2148"/>
      <c r="AH41" s="2148"/>
      <c r="AI41" s="2148"/>
      <c r="AJ41" s="2148"/>
      <c r="AK41" s="2148"/>
      <c r="AL41" s="2148"/>
      <c r="AM41" s="2148"/>
      <c r="AN41" s="2148"/>
      <c r="AO41" s="2148"/>
      <c r="AP41" s="2148"/>
      <c r="AQ41" s="2148"/>
    </row>
    <row r="42" spans="2:43" ht="15.75" thickBot="1">
      <c r="B42" s="2597"/>
      <c r="C42" s="2598"/>
      <c r="D42" s="2598"/>
      <c r="E42" s="2588"/>
      <c r="F42" s="2599"/>
      <c r="G42" s="2599"/>
      <c r="H42" s="2599"/>
      <c r="I42" s="2600"/>
      <c r="M42" s="2148"/>
      <c r="N42" s="2148"/>
      <c r="O42" s="2148"/>
      <c r="P42" s="2148"/>
      <c r="Q42" s="2148"/>
      <c r="R42" s="2148"/>
      <c r="S42" s="2148"/>
      <c r="T42" s="2148"/>
      <c r="U42" s="2148"/>
      <c r="V42" s="2148"/>
      <c r="W42" s="2148"/>
      <c r="X42" s="2148"/>
      <c r="Y42" s="2148"/>
      <c r="Z42" s="2148"/>
      <c r="AA42" s="2148"/>
      <c r="AB42" s="2148"/>
      <c r="AC42" s="2148"/>
      <c r="AD42" s="2148"/>
      <c r="AE42" s="2148"/>
      <c r="AF42" s="2148"/>
      <c r="AG42" s="2148"/>
      <c r="AH42" s="2148"/>
      <c r="AI42" s="2148"/>
      <c r="AJ42" s="2148"/>
      <c r="AK42" s="2148"/>
      <c r="AL42" s="2148"/>
      <c r="AM42" s="2148"/>
      <c r="AN42" s="2148"/>
      <c r="AO42" s="2148"/>
      <c r="AP42" s="2148"/>
      <c r="AQ42" s="2148"/>
    </row>
    <row r="43" spans="2:43" ht="15" hidden="1" customHeight="1" thickBot="1">
      <c r="B43" s="2601"/>
      <c r="C43" s="2602"/>
      <c r="D43" s="2602"/>
      <c r="E43" s="2602"/>
      <c r="F43" s="2603"/>
      <c r="G43" s="2603"/>
      <c r="H43" s="2603"/>
      <c r="I43" s="2604"/>
      <c r="M43" s="2148"/>
      <c r="N43" s="2148"/>
      <c r="O43" s="2148"/>
      <c r="P43" s="2148"/>
      <c r="Q43" s="2148"/>
      <c r="R43" s="2148"/>
      <c r="S43" s="2148"/>
      <c r="T43" s="2148"/>
      <c r="U43" s="2148"/>
      <c r="V43" s="2148"/>
      <c r="W43" s="2148"/>
      <c r="X43" s="2148"/>
      <c r="Y43" s="2148"/>
      <c r="Z43" s="2148"/>
      <c r="AA43" s="2148"/>
      <c r="AB43" s="2148"/>
      <c r="AC43" s="2148"/>
      <c r="AD43" s="2148"/>
      <c r="AE43" s="2148"/>
      <c r="AF43" s="2148"/>
      <c r="AG43" s="2148"/>
      <c r="AH43" s="2148"/>
      <c r="AI43" s="2148"/>
      <c r="AJ43" s="2148"/>
      <c r="AK43" s="2148"/>
      <c r="AL43" s="2148"/>
      <c r="AM43" s="2148"/>
      <c r="AN43" s="2148"/>
      <c r="AO43" s="2148"/>
      <c r="AP43" s="2148"/>
      <c r="AQ43" s="2148"/>
    </row>
    <row r="44" spans="2:43" ht="15" hidden="1" customHeight="1" thickBot="1">
      <c r="B44" s="2605" t="s">
        <v>1234</v>
      </c>
      <c r="C44" s="2606" t="s">
        <v>106</v>
      </c>
      <c r="D44" s="2607" t="s">
        <v>1235</v>
      </c>
      <c r="E44" s="2608"/>
      <c r="F44" s="2609"/>
      <c r="G44" s="2609"/>
      <c r="H44" s="2609"/>
      <c r="I44" s="2610"/>
      <c r="M44" s="2148"/>
      <c r="N44" s="2148"/>
      <c r="O44" s="2148"/>
      <c r="P44" s="2148"/>
      <c r="Q44" s="2148"/>
      <c r="R44" s="2148"/>
      <c r="S44" s="2148"/>
      <c r="T44" s="2148"/>
      <c r="U44" s="2148"/>
      <c r="V44" s="2148"/>
      <c r="W44" s="2148"/>
      <c r="X44" s="2148"/>
      <c r="Y44" s="2148"/>
      <c r="Z44" s="2148"/>
      <c r="AA44" s="2148"/>
      <c r="AB44" s="2148"/>
      <c r="AC44" s="2148"/>
      <c r="AD44" s="2148"/>
      <c r="AE44" s="2148"/>
      <c r="AF44" s="2148"/>
      <c r="AG44" s="2148"/>
      <c r="AH44" s="2148"/>
      <c r="AI44" s="2148"/>
      <c r="AJ44" s="2148"/>
      <c r="AK44" s="2148"/>
      <c r="AL44" s="2148"/>
      <c r="AM44" s="2148"/>
      <c r="AN44" s="2148"/>
      <c r="AO44" s="2148"/>
      <c r="AP44" s="2148"/>
      <c r="AQ44" s="2148"/>
    </row>
    <row r="45" spans="2:43" ht="14.25" hidden="1" customHeight="1">
      <c r="B45" s="2611"/>
      <c r="C45" s="2612"/>
      <c r="D45" s="2612"/>
      <c r="E45" s="2612"/>
      <c r="F45" s="2612"/>
      <c r="G45" s="2612"/>
      <c r="H45" s="2612"/>
      <c r="I45" s="2610"/>
      <c r="M45" s="2148"/>
      <c r="N45" s="2148"/>
      <c r="O45" s="2148"/>
      <c r="P45" s="2148"/>
      <c r="Q45" s="2148"/>
      <c r="R45" s="2148"/>
      <c r="S45" s="2148"/>
      <c r="T45" s="2148"/>
      <c r="U45" s="2148"/>
      <c r="V45" s="2148"/>
      <c r="W45" s="2148"/>
      <c r="X45" s="2148"/>
      <c r="Y45" s="2148"/>
      <c r="Z45" s="2148"/>
      <c r="AA45" s="2148"/>
      <c r="AB45" s="2148"/>
      <c r="AC45" s="2148"/>
      <c r="AD45" s="2148"/>
      <c r="AE45" s="2148"/>
      <c r="AF45" s="2148"/>
      <c r="AG45" s="2148"/>
      <c r="AH45" s="2148"/>
      <c r="AI45" s="2148"/>
      <c r="AJ45" s="2148"/>
      <c r="AK45" s="2148"/>
      <c r="AL45" s="2148"/>
      <c r="AM45" s="2148"/>
      <c r="AN45" s="2148"/>
      <c r="AO45" s="2148"/>
      <c r="AP45" s="2148"/>
      <c r="AQ45" s="2148"/>
    </row>
    <row r="46" spans="2:43" ht="15" hidden="1" customHeight="1" thickBot="1">
      <c r="B46" s="2613"/>
      <c r="C46" s="2614"/>
      <c r="D46" s="2614"/>
      <c r="E46" s="2614"/>
      <c r="F46" s="2615"/>
      <c r="G46" s="2615"/>
      <c r="H46" s="2615"/>
      <c r="I46" s="2616"/>
    </row>
    <row r="47" spans="2:43" ht="15.75" hidden="1">
      <c r="B47" s="2524"/>
      <c r="C47" s="2618" t="s">
        <v>988</v>
      </c>
      <c r="E47" s="2619"/>
      <c r="F47" s="2524"/>
      <c r="G47" s="2524"/>
      <c r="H47" s="2524"/>
      <c r="I47" s="2524"/>
    </row>
    <row r="48" spans="2:43" ht="15.75" hidden="1">
      <c r="B48" s="2524"/>
      <c r="C48" s="2618" t="s">
        <v>1236</v>
      </c>
      <c r="E48" s="2619"/>
      <c r="F48" s="2524"/>
      <c r="G48" s="2524"/>
      <c r="H48" s="2524"/>
      <c r="I48" s="2524"/>
    </row>
    <row r="49" spans="1:11" ht="15.75" thickBot="1">
      <c r="E49" s="2620"/>
    </row>
    <row r="50" spans="1:11" ht="15.75" thickBot="1">
      <c r="B50" s="2621" t="s">
        <v>311</v>
      </c>
      <c r="C50" s="3916" t="s">
        <v>312</v>
      </c>
      <c r="D50" s="3917"/>
      <c r="E50" s="2622" t="s">
        <v>1237</v>
      </c>
      <c r="F50" s="2623"/>
      <c r="G50" s="2623"/>
      <c r="H50" s="2623"/>
      <c r="I50" s="2624"/>
    </row>
    <row r="51" spans="1:11" ht="15.75" thickBot="1">
      <c r="B51" s="2625" t="s">
        <v>547</v>
      </c>
      <c r="C51" s="2626" t="s">
        <v>317</v>
      </c>
      <c r="D51" s="2627"/>
      <c r="E51" s="2627"/>
      <c r="F51" s="2627"/>
      <c r="G51" s="2627"/>
      <c r="H51" s="2627"/>
      <c r="I51" s="2628"/>
    </row>
    <row r="52" spans="1:11" ht="39" customHeight="1" thickBot="1">
      <c r="B52" s="2629" t="s">
        <v>319</v>
      </c>
      <c r="C52" s="3918"/>
      <c r="D52" s="3919"/>
      <c r="E52" s="3919"/>
      <c r="F52" s="3919"/>
      <c r="G52" s="3919"/>
      <c r="H52" s="3919"/>
      <c r="I52" s="3920"/>
    </row>
    <row r="53" spans="1:11" ht="15" customHeight="1">
      <c r="B53" s="2630" t="s">
        <v>1238</v>
      </c>
      <c r="C53" s="2631">
        <v>42720</v>
      </c>
      <c r="D53" s="2632" t="s">
        <v>1239</v>
      </c>
      <c r="E53" s="2622" t="s">
        <v>1240</v>
      </c>
      <c r="F53" s="2633"/>
      <c r="G53" s="2633"/>
      <c r="H53" s="2633"/>
      <c r="I53" s="2634"/>
      <c r="K53" s="2148"/>
    </row>
    <row r="54" spans="1:11" ht="15.75" thickBot="1">
      <c r="B54" s="2635" t="s">
        <v>1241</v>
      </c>
      <c r="C54" s="2636" t="s">
        <v>1242</v>
      </c>
      <c r="D54" s="2637"/>
      <c r="E54" s="2637"/>
      <c r="F54" s="2637"/>
      <c r="G54" s="2637"/>
      <c r="H54" s="2637"/>
      <c r="I54" s="2638"/>
    </row>
    <row r="55" spans="1:11" s="2646" customFormat="1" hidden="1">
      <c r="A55" s="2148"/>
      <c r="B55" s="2639" t="s">
        <v>305</v>
      </c>
      <c r="C55" s="2640" t="str">
        <f>INDEX(dms_Sector_List,MATCH(dms_TradingName,dms_TradingName_List))</f>
        <v>Gas</v>
      </c>
      <c r="D55" s="2641" t="s">
        <v>1243</v>
      </c>
      <c r="E55" s="2642" t="s">
        <v>1244</v>
      </c>
      <c r="F55" s="2643"/>
      <c r="G55" s="2643"/>
      <c r="H55" s="2643"/>
      <c r="I55" s="2644"/>
      <c r="J55" s="2645"/>
    </row>
    <row r="56" spans="1:11" hidden="1">
      <c r="B56" s="2647" t="s">
        <v>308</v>
      </c>
      <c r="C56" s="2648" t="str">
        <f>INDEX(dms_Segment_List,MATCH(dms_TradingName,dms_TradingName_List))</f>
        <v>Distribution</v>
      </c>
      <c r="D56" s="2649" t="s">
        <v>1245</v>
      </c>
      <c r="E56" s="2650" t="s">
        <v>1246</v>
      </c>
      <c r="F56" s="2651"/>
      <c r="G56" s="2651"/>
      <c r="H56" s="2651"/>
      <c r="I56" s="2652"/>
    </row>
    <row r="57" spans="1:11" hidden="1">
      <c r="B57" s="2647" t="s">
        <v>313</v>
      </c>
      <c r="C57" s="2653" t="str">
        <f ca="1">IF(dms_MultiYear_Flag=1,LEFT(dms_Specified_FinalYear,2)&amp;RIGHT(dms_Specified_FinalYear,2),INDEX(dms_RYE_Formula_Result,MATCH(dms_Model,dms_Model_List)))</f>
        <v>2022</v>
      </c>
      <c r="D57" s="2649" t="s">
        <v>1247</v>
      </c>
      <c r="E57" s="2650" t="s">
        <v>1248</v>
      </c>
      <c r="F57" s="2651"/>
      <c r="G57" s="2651"/>
      <c r="H57" s="2651"/>
      <c r="I57" s="2652"/>
    </row>
    <row r="58" spans="1:11" hidden="1">
      <c r="B58" s="2647" t="s">
        <v>314</v>
      </c>
      <c r="C58" s="2648" t="str">
        <f>INDEX(dms_RPT_List,MATCH(dms_TradingName,dms_TradingName_List))</f>
        <v>Calendar</v>
      </c>
      <c r="D58" s="2649" t="s">
        <v>1249</v>
      </c>
      <c r="E58" s="2650" t="s">
        <v>1250</v>
      </c>
      <c r="F58" s="2651"/>
      <c r="G58" s="2651"/>
      <c r="H58" s="2651"/>
      <c r="I58" s="2652"/>
    </row>
    <row r="59" spans="1:11" hidden="1">
      <c r="B59" s="2647" t="s">
        <v>315</v>
      </c>
      <c r="C59" s="2654" t="s">
        <v>283</v>
      </c>
      <c r="D59" s="2655" t="s">
        <v>1251</v>
      </c>
      <c r="E59" s="2656" t="s">
        <v>1252</v>
      </c>
      <c r="F59" s="2651"/>
      <c r="G59" s="2651"/>
      <c r="H59" s="2651"/>
      <c r="I59" s="2652"/>
    </row>
    <row r="60" spans="1:11" hidden="1">
      <c r="B60" s="2647" t="s">
        <v>316</v>
      </c>
      <c r="C60" s="2648" t="s">
        <v>1164</v>
      </c>
      <c r="D60" s="2655" t="s">
        <v>1253</v>
      </c>
      <c r="E60" s="2656" t="s">
        <v>1254</v>
      </c>
      <c r="F60" s="2651"/>
      <c r="G60" s="2651"/>
      <c r="H60" s="2651"/>
      <c r="I60" s="2652"/>
    </row>
    <row r="61" spans="1:11" hidden="1">
      <c r="B61" s="2657" t="s">
        <v>320</v>
      </c>
      <c r="C61" s="2658">
        <v>5</v>
      </c>
      <c r="D61" s="2659" t="s">
        <v>1255</v>
      </c>
      <c r="E61" s="2660"/>
      <c r="F61" s="2661"/>
      <c r="G61" s="2661"/>
      <c r="H61" s="2661"/>
      <c r="I61" s="2662"/>
    </row>
    <row r="62" spans="1:11" hidden="1">
      <c r="B62" s="2647" t="s">
        <v>1256</v>
      </c>
      <c r="C62" s="2648" t="str">
        <f>INDEX(dms_RPTMonth_List,MATCH(dms_TradingName,dms_TradingName_List))</f>
        <v>December</v>
      </c>
      <c r="D62" s="2655" t="s">
        <v>1257</v>
      </c>
      <c r="E62" s="2650" t="s">
        <v>1258</v>
      </c>
      <c r="F62" s="2651"/>
      <c r="G62" s="2651"/>
      <c r="H62" s="2651"/>
      <c r="I62" s="2652"/>
      <c r="K62" s="2148"/>
    </row>
    <row r="63" spans="1:11" ht="14.25" hidden="1" customHeight="1">
      <c r="B63" s="2647" t="s">
        <v>1259</v>
      </c>
      <c r="C63" s="2663" t="str">
        <f>CONCATENATE(dms_RPTMonth)&amp;" "&amp;VALUE((LEFT(dms_CRCP_FinalYear_Result,2)&amp;RIGHT(dms_CRCP_FinalYear_Result,2)))</f>
        <v>December 2017</v>
      </c>
      <c r="D63" s="2649" t="s">
        <v>1260</v>
      </c>
      <c r="E63" s="2650" t="s">
        <v>1261</v>
      </c>
      <c r="F63" s="2651"/>
      <c r="G63" s="2651"/>
      <c r="H63" s="2651"/>
      <c r="I63" s="2652"/>
      <c r="K63" s="2148"/>
    </row>
    <row r="64" spans="1:11" ht="15" hidden="1" customHeight="1">
      <c r="B64" s="2647" t="s">
        <v>388</v>
      </c>
      <c r="C64" s="2648" t="str">
        <f>INDEX(dms_FormControl_List,MATCH(dms_TradingName,dms_TradingName_List))</f>
        <v>Weighted average price cap</v>
      </c>
      <c r="D64" s="2649" t="s">
        <v>650</v>
      </c>
      <c r="E64" s="2650" t="s">
        <v>1262</v>
      </c>
      <c r="F64" s="2651"/>
      <c r="G64" s="2651"/>
      <c r="H64" s="2651"/>
      <c r="I64" s="2652"/>
      <c r="K64" s="2148"/>
    </row>
    <row r="65" spans="1:19" ht="15" hidden="1" customHeight="1">
      <c r="B65" s="2647" t="s">
        <v>318</v>
      </c>
      <c r="C65" s="2648">
        <v>1</v>
      </c>
      <c r="D65" s="2655" t="s">
        <v>1263</v>
      </c>
      <c r="E65" s="2656"/>
      <c r="F65" s="2651"/>
      <c r="G65" s="2651"/>
      <c r="H65" s="2651"/>
      <c r="I65" s="2652"/>
      <c r="K65" s="2148"/>
    </row>
    <row r="66" spans="1:19" ht="15.75" hidden="1" customHeight="1" thickBot="1">
      <c r="B66" s="2664" t="s">
        <v>1264</v>
      </c>
      <c r="C66" s="2665" t="str">
        <f>INDEX(dms_JurisdictionList,MATCH(dms_TradingName,dms_TradingName_List))</f>
        <v>Vic</v>
      </c>
      <c r="D66" s="2666" t="s">
        <v>1265</v>
      </c>
      <c r="E66" s="2667" t="s">
        <v>1266</v>
      </c>
      <c r="F66" s="2668"/>
      <c r="G66" s="2668"/>
      <c r="H66" s="2668"/>
      <c r="I66" s="2669"/>
    </row>
    <row r="67" spans="1:19" ht="15" hidden="1" customHeight="1">
      <c r="B67" s="2670" t="s">
        <v>1267</v>
      </c>
      <c r="C67" s="2671">
        <v>0</v>
      </c>
      <c r="D67" s="2641" t="s">
        <v>1268</v>
      </c>
      <c r="E67" s="2642" t="s">
        <v>1269</v>
      </c>
      <c r="F67" s="2643"/>
      <c r="G67" s="2643"/>
      <c r="H67" s="2643"/>
      <c r="I67" s="2644"/>
    </row>
    <row r="68" spans="1:19" ht="15" hidden="1" customHeight="1">
      <c r="B68" s="2672"/>
      <c r="C68" s="2673">
        <v>2013</v>
      </c>
      <c r="D68" s="2674" t="s">
        <v>1270</v>
      </c>
      <c r="E68" s="2675" t="s">
        <v>1271</v>
      </c>
      <c r="F68" s="2676"/>
      <c r="G68" s="2676"/>
      <c r="H68" s="2676"/>
      <c r="I68" s="2677"/>
    </row>
    <row r="69" spans="1:19" ht="15" hidden="1" customHeight="1">
      <c r="B69" s="2678" t="s">
        <v>1272</v>
      </c>
      <c r="C69" s="2679">
        <f>IF(dms_Model="EB",1,0)</f>
        <v>0</v>
      </c>
      <c r="D69" s="2680" t="s">
        <v>1273</v>
      </c>
      <c r="E69" s="2681"/>
      <c r="F69" s="2682"/>
      <c r="G69" s="2682"/>
      <c r="H69" s="2682"/>
      <c r="I69" s="2683"/>
    </row>
    <row r="70" spans="1:19" ht="15" hidden="1" customHeight="1">
      <c r="B70" s="2678"/>
      <c r="C70" s="2679">
        <f>IF(dms_Model="CA",1,0)</f>
        <v>0</v>
      </c>
      <c r="D70" s="2649" t="s">
        <v>1274</v>
      </c>
      <c r="E70" s="2650" t="s">
        <v>1275</v>
      </c>
      <c r="F70" s="2651"/>
      <c r="G70" s="2651"/>
      <c r="H70" s="2651"/>
      <c r="I70" s="2652"/>
    </row>
    <row r="71" spans="1:19" hidden="1">
      <c r="B71" s="2684"/>
      <c r="C71" s="2679">
        <f>IF(dms_Model="ARR",1,0)</f>
        <v>0</v>
      </c>
      <c r="D71" s="2649" t="s">
        <v>1276</v>
      </c>
      <c r="E71" s="2650"/>
      <c r="F71" s="2651"/>
      <c r="G71" s="2651"/>
      <c r="H71" s="2651"/>
      <c r="I71" s="2652"/>
    </row>
    <row r="72" spans="1:19" ht="15" hidden="1" customHeight="1">
      <c r="B72" s="2685" t="s">
        <v>1277</v>
      </c>
      <c r="C72" s="2686" t="s">
        <v>1235</v>
      </c>
      <c r="D72" s="2649" t="s">
        <v>1278</v>
      </c>
      <c r="E72" s="2650" t="s">
        <v>1279</v>
      </c>
      <c r="F72" s="2627"/>
      <c r="G72" s="2627"/>
      <c r="H72" s="2627"/>
      <c r="I72" s="2628"/>
    </row>
    <row r="73" spans="1:19" ht="15" hidden="1" customHeight="1">
      <c r="B73" s="2687" t="s">
        <v>1280</v>
      </c>
      <c r="C73" s="2688" t="e">
        <f ca="1">INDIRECT(dms_SingleYear_FinalYear_Ref)</f>
        <v>#REF!</v>
      </c>
      <c r="D73" s="2649" t="s">
        <v>1281</v>
      </c>
      <c r="E73" s="2650" t="s">
        <v>1282</v>
      </c>
      <c r="F73" s="2627"/>
      <c r="G73" s="2627"/>
      <c r="H73" s="2627"/>
      <c r="I73" s="2689" t="s">
        <v>1283</v>
      </c>
      <c r="K73" s="2148"/>
      <c r="L73" s="2148"/>
      <c r="M73" s="2148"/>
    </row>
    <row r="74" spans="1:19" ht="15" hidden="1" customHeight="1">
      <c r="B74" s="2690" t="s">
        <v>1284</v>
      </c>
      <c r="C74" s="2648">
        <f>INDEX(dms_FRCPlength_List,MATCH(dms_TradingName,dms_TradingName_List))</f>
        <v>5</v>
      </c>
      <c r="D74" s="2649" t="s">
        <v>1285</v>
      </c>
      <c r="E74" s="2650" t="s">
        <v>1286</v>
      </c>
      <c r="F74" s="2651"/>
      <c r="G74" s="2651"/>
      <c r="H74" s="2651"/>
      <c r="I74" s="2652"/>
      <c r="K74" s="2148"/>
      <c r="L74" s="2148"/>
      <c r="M74" s="2148"/>
    </row>
    <row r="75" spans="1:19" ht="15" hidden="1" customHeight="1">
      <c r="B75" s="2685" t="s">
        <v>1287</v>
      </c>
      <c r="C75" s="2663" t="str">
        <f>INDEX(dms_FinalYear_List,MATCH(dms_FRCPlength_Num,dms_FRCPlength_Num_List))</f>
        <v>dms_FRCP_y5</v>
      </c>
      <c r="D75" s="2649" t="s">
        <v>1288</v>
      </c>
      <c r="E75" s="2650" t="s">
        <v>1289</v>
      </c>
      <c r="F75" s="2627"/>
      <c r="G75" s="2627"/>
      <c r="H75" s="2627"/>
      <c r="I75" s="2628"/>
      <c r="K75" s="2148"/>
      <c r="L75" s="2148"/>
      <c r="M75" s="2148"/>
    </row>
    <row r="76" spans="1:19" ht="15" hidden="1" customHeight="1">
      <c r="B76" s="2687" t="s">
        <v>1290</v>
      </c>
      <c r="C76" s="2688">
        <f ca="1">IF(dms_MultiYear_Flag=0,INDIRECT(dms_MultiYear_FinalYear_Ref),dms_Specified_FinalYear)</f>
        <v>2022</v>
      </c>
      <c r="D76" s="2649" t="s">
        <v>1291</v>
      </c>
      <c r="E76" s="2650" t="s">
        <v>1292</v>
      </c>
      <c r="F76" s="2627"/>
      <c r="G76" s="2627"/>
      <c r="H76" s="2627"/>
      <c r="I76" s="2689" t="s">
        <v>1283</v>
      </c>
      <c r="K76" s="2148"/>
      <c r="L76" s="2148"/>
      <c r="M76" s="2148"/>
    </row>
    <row r="77" spans="1:19" hidden="1">
      <c r="B77" s="2690" t="s">
        <v>1293</v>
      </c>
      <c r="C77" s="2648">
        <f>INDEX(dms_CRCPlength_List,MATCH(dms_TradingName,dms_TradingName_List))</f>
        <v>5</v>
      </c>
      <c r="D77" s="2691" t="s">
        <v>1294</v>
      </c>
      <c r="E77" s="2692" t="s">
        <v>1295</v>
      </c>
      <c r="F77" s="2651"/>
      <c r="G77" s="2651"/>
      <c r="H77" s="2651"/>
      <c r="I77" s="2652"/>
      <c r="K77" s="2148"/>
      <c r="L77" s="2148"/>
      <c r="M77" s="2148"/>
    </row>
    <row r="78" spans="1:19" s="2695" customFormat="1" hidden="1">
      <c r="A78" s="2148"/>
      <c r="B78" s="2690" t="s">
        <v>1296</v>
      </c>
      <c r="C78" s="2648" t="str">
        <f>INDEX(dms_CFinalYear_List,MATCH(dms_CRCPlength_Num,dms_CRCPlength_Num_List))</f>
        <v>CRCP_y5</v>
      </c>
      <c r="D78" s="2691" t="s">
        <v>1297</v>
      </c>
      <c r="E78" s="2692" t="s">
        <v>1298</v>
      </c>
      <c r="F78" s="2651"/>
      <c r="G78" s="2651"/>
      <c r="H78" s="2651"/>
      <c r="I78" s="2652"/>
      <c r="J78" s="2693"/>
      <c r="K78" s="2693"/>
      <c r="L78" s="2693"/>
      <c r="M78" s="2693"/>
      <c r="N78" s="2693"/>
      <c r="O78" s="2694"/>
      <c r="P78" s="2693"/>
      <c r="Q78" s="2693"/>
      <c r="R78" s="2693"/>
      <c r="S78" s="2693"/>
    </row>
    <row r="79" spans="1:19" s="2695" customFormat="1" hidden="1">
      <c r="A79" s="2148"/>
      <c r="B79" s="2696" t="s">
        <v>1299</v>
      </c>
      <c r="C79" s="2648">
        <f>INDEX(dms_CRCP_years,MATCH(dms_CRCPlength_Num,dms_CRCP_index))</f>
        <v>2013</v>
      </c>
      <c r="D79" s="2697" t="s">
        <v>1300</v>
      </c>
      <c r="E79" s="2692" t="s">
        <v>1301</v>
      </c>
      <c r="F79" s="2698"/>
      <c r="G79" s="2698"/>
      <c r="H79" s="2698"/>
      <c r="I79" s="2634"/>
      <c r="J79" s="2693"/>
      <c r="K79" s="2693"/>
      <c r="L79" s="2693"/>
      <c r="M79" s="2693"/>
      <c r="N79" s="2693"/>
      <c r="O79" s="2694"/>
      <c r="P79" s="2693"/>
      <c r="Q79" s="2693"/>
      <c r="R79" s="2693"/>
      <c r="S79" s="2693"/>
    </row>
    <row r="80" spans="1:19" s="2524" customFormat="1" ht="15.75" hidden="1" thickBot="1">
      <c r="A80" s="2148"/>
      <c r="B80" s="2699" t="s">
        <v>1302</v>
      </c>
      <c r="C80" s="2700">
        <f>IF(dms_MultiYear_Flag=0,(IF(SUM(dms_SingleYear_Model)&gt;0,CRY,dms_CRCP_yZ)),dms_Specified_FinalYear)</f>
        <v>2017</v>
      </c>
      <c r="D80" s="2701" t="s">
        <v>1303</v>
      </c>
      <c r="E80" s="2702" t="s">
        <v>1304</v>
      </c>
      <c r="F80" s="2668"/>
      <c r="G80" s="2668"/>
      <c r="H80" s="2668"/>
      <c r="I80" s="2703"/>
      <c r="O80" s="2617"/>
    </row>
    <row r="81" spans="1:15" hidden="1">
      <c r="B81" s="2704" t="s">
        <v>1305</v>
      </c>
      <c r="C81" s="2705" t="str">
        <f>INDEX(dms_663_List,MATCH(dms_TradingName,dms_TradingName_List))</f>
        <v>X</v>
      </c>
      <c r="D81" s="2680" t="s">
        <v>1306</v>
      </c>
      <c r="E81" s="2706"/>
      <c r="F81" s="2707"/>
      <c r="G81" s="2707"/>
      <c r="H81" s="2707"/>
      <c r="I81" s="2708"/>
    </row>
    <row r="82" spans="1:15" s="2524" customFormat="1" ht="14.25" hidden="1" customHeight="1" thickBot="1">
      <c r="A82" s="2148"/>
      <c r="B82" s="2709" t="s">
        <v>1307</v>
      </c>
      <c r="C82" s="2710">
        <f>INDEX(dms_DeterminationRef_List,MATCH(dms_TradingName,dms_TradingName_List))</f>
        <v>0</v>
      </c>
      <c r="D82" s="2711"/>
      <c r="E82" s="2712"/>
      <c r="F82" s="2713"/>
      <c r="G82" s="2713"/>
      <c r="H82" s="2713"/>
      <c r="I82" s="2714"/>
      <c r="O82" s="2617"/>
    </row>
    <row r="83" spans="1:15" hidden="1">
      <c r="B83" s="2639" t="s">
        <v>1308</v>
      </c>
      <c r="C83" s="2715" t="s">
        <v>1023</v>
      </c>
      <c r="D83" s="2716" t="s">
        <v>1309</v>
      </c>
      <c r="E83" s="3905" t="s">
        <v>1310</v>
      </c>
      <c r="F83" s="3906"/>
      <c r="G83" s="3906"/>
      <c r="H83" s="3906"/>
      <c r="I83" s="3907"/>
    </row>
    <row r="84" spans="1:15" hidden="1">
      <c r="B84" s="2647" t="s">
        <v>1311</v>
      </c>
      <c r="C84" s="2717" t="s">
        <v>1023</v>
      </c>
      <c r="D84" s="2649" t="s">
        <v>1312</v>
      </c>
      <c r="E84" s="2718" t="s">
        <v>1313</v>
      </c>
      <c r="F84" s="2719"/>
      <c r="G84" s="2719"/>
      <c r="H84" s="2719"/>
      <c r="I84" s="2720"/>
    </row>
    <row r="85" spans="1:15" hidden="1">
      <c r="B85" s="2647"/>
      <c r="C85" s="2717"/>
      <c r="D85" s="2649"/>
      <c r="E85" s="2718"/>
      <c r="F85" s="2719"/>
      <c r="G85" s="2719"/>
      <c r="H85" s="2719"/>
      <c r="I85" s="2720"/>
    </row>
    <row r="86" spans="1:15" ht="15.75" hidden="1" thickBot="1">
      <c r="B86" s="2664" t="s">
        <v>1314</v>
      </c>
      <c r="C86" s="2721" t="s">
        <v>794</v>
      </c>
      <c r="D86" s="2666" t="s">
        <v>1315</v>
      </c>
      <c r="E86" s="2722" t="s">
        <v>1316</v>
      </c>
      <c r="F86" s="2723"/>
      <c r="G86" s="2723"/>
      <c r="H86" s="2723"/>
      <c r="I86" s="2724"/>
    </row>
    <row r="87" spans="1:15" hidden="1"/>
    <row r="88" spans="1:15" ht="20.25" hidden="1">
      <c r="B88" s="2725" t="s">
        <v>1317</v>
      </c>
      <c r="C88" s="2726" t="s">
        <v>1318</v>
      </c>
      <c r="D88" s="2727" t="s">
        <v>1319</v>
      </c>
      <c r="E88" s="2728"/>
      <c r="F88" s="2728"/>
      <c r="G88" s="2728"/>
      <c r="H88" s="2728"/>
      <c r="I88" s="2728"/>
    </row>
    <row r="90" spans="1:15">
      <c r="E90" s="2148"/>
      <c r="F90" s="2148"/>
      <c r="G90" s="2148"/>
      <c r="H90" s="2148"/>
    </row>
    <row r="91" spans="1:15">
      <c r="C91" s="2148"/>
      <c r="D91" s="2148"/>
      <c r="E91" s="2148"/>
      <c r="F91" s="2148"/>
      <c r="G91" s="2148"/>
      <c r="H91" s="2148"/>
    </row>
    <row r="92" spans="1:15">
      <c r="C92" s="2148"/>
      <c r="D92" s="2148"/>
      <c r="E92" s="2148"/>
      <c r="F92" s="2148"/>
      <c r="G92" s="2148"/>
      <c r="H92" s="2148"/>
    </row>
    <row r="93" spans="1:15">
      <c r="C93" s="2148"/>
      <c r="D93" s="2148"/>
      <c r="E93" s="2148"/>
      <c r="F93" s="2148"/>
      <c r="G93" s="2148"/>
      <c r="H93" s="2148"/>
    </row>
    <row r="94" spans="1:15">
      <c r="C94" s="2148"/>
      <c r="D94" s="2148"/>
      <c r="E94" s="2148"/>
      <c r="F94" s="2148"/>
      <c r="G94" s="2148"/>
      <c r="H94" s="2148"/>
    </row>
    <row r="95" spans="1:15">
      <c r="C95" s="2148"/>
      <c r="D95" s="2148"/>
      <c r="E95" s="2148"/>
      <c r="F95" s="2148"/>
      <c r="G95" s="2148"/>
      <c r="H95" s="2148"/>
    </row>
    <row r="96" spans="1:15">
      <c r="C96" s="2148"/>
      <c r="D96" s="2148"/>
      <c r="E96" s="2148"/>
      <c r="F96" s="2148"/>
      <c r="G96" s="2148"/>
      <c r="H96" s="2148"/>
    </row>
  </sheetData>
  <sheetProtection algorithmName="SHA-256" hashValue="gRiTw+9qgAQYIxsErrFYgKkw9dyZPX9lBEE++lHw080=" saltValue="iZ4UCDZvP4U7P8RjsHCcXQ==" spinCount="100000" sheet="1" objects="1" scenarios="1" formatColumns="0" formatRows="0" autoFilter="0"/>
  <dataConsolidate/>
  <mergeCells count="18">
    <mergeCell ref="B8:I8"/>
    <mergeCell ref="B12:I12"/>
    <mergeCell ref="C14:E14"/>
    <mergeCell ref="C15:E15"/>
    <mergeCell ref="C18:D18"/>
    <mergeCell ref="E18:H18"/>
    <mergeCell ref="E83:I83"/>
    <mergeCell ref="E19:H19"/>
    <mergeCell ref="C20:D20"/>
    <mergeCell ref="E20:H20"/>
    <mergeCell ref="C23:D23"/>
    <mergeCell ref="E23:H23"/>
    <mergeCell ref="E24:H24"/>
    <mergeCell ref="C25:D25"/>
    <mergeCell ref="E25:H25"/>
    <mergeCell ref="B33:I33"/>
    <mergeCell ref="C50:D50"/>
    <mergeCell ref="C52:I52"/>
  </mergeCells>
  <conditionalFormatting sqref="H35">
    <cfRule type="expression" dxfId="3" priority="4">
      <formula>dms_FRCPlength_Num&lt;6</formula>
    </cfRule>
  </conditionalFormatting>
  <conditionalFormatting sqref="H38">
    <cfRule type="expression" dxfId="2" priority="3">
      <formula>dms_CRCPlength_Num&lt;6</formula>
    </cfRule>
  </conditionalFormatting>
  <conditionalFormatting sqref="C84">
    <cfRule type="expression" dxfId="1" priority="2">
      <formula>SUM(dms_SingleYear_Model)&gt;0</formula>
    </cfRule>
  </conditionalFormatting>
  <conditionalFormatting sqref="C68">
    <cfRule type="expression" dxfId="0" priority="1">
      <formula>dms_MultiYear_Flag=1</formula>
    </cfRule>
  </conditionalFormatting>
  <dataValidations count="15">
    <dataValidation type="list" allowBlank="1" showInputMessage="1" showErrorMessage="1" sqref="C35">
      <formula1>IF(dms_RPT="financial",dms_FRCP_ListF,dms_FRCP_ListC)</formula1>
    </dataValidation>
    <dataValidation type="list" allowBlank="1" showInputMessage="1" showErrorMessage="1" sqref="C59">
      <formula1>dms_Model_List</formula1>
    </dataValidation>
    <dataValidation type="textLength" operator="lessThan" allowBlank="1" showInputMessage="1" showErrorMessage="1" promptTitle="Amendment reason" prompt="If this submission is a resubmission because data has been amended, NSP to provide amendment reason. _x000a__x000a_eg. corrected data errors in tables 3.1.1 &amp; 3.5.1" sqref="C52:I52">
      <formula1>150</formula1>
    </dataValidation>
    <dataValidation type="list" allowBlank="1" showInputMessage="1" showErrorMessage="1" sqref="C51">
      <formula1>dms_DataQuality_List</formula1>
    </dataValidation>
    <dataValidation type="list" allowBlank="1" showInputMessage="1" showErrorMessage="1" sqref="C58">
      <formula1>"Financial, Calendar, Other"</formula1>
    </dataValidation>
    <dataValidation type="textLength" operator="greaterThan" showInputMessage="1" showErrorMessage="1" sqref="E18:H18 E20:H20 E23:H23 E25:H25">
      <formula1>1</formula1>
    </dataValidation>
    <dataValidation type="list" operator="lessThanOrEqual" showInputMessage="1" showErrorMessage="1" sqref="E26">
      <formula1>"ACT,Qld,NSW,Vic,Tas,SA"</formula1>
    </dataValidation>
    <dataValidation type="list" allowBlank="1" showInputMessage="1" showErrorMessage="1" sqref="C60">
      <formula1>"Public, Confidential"</formula1>
    </dataValidation>
    <dataValidation type="list" allowBlank="1" showInputMessage="1" showErrorMessage="1" sqref="C54">
      <formula1>"Yes, No"</formula1>
    </dataValidation>
    <dataValidation type="list" operator="lessThanOrEqual" showInputMessage="1" showErrorMessage="1" sqref="H14">
      <formula1>dms_TradingName_List</formula1>
    </dataValidation>
    <dataValidation type="list" allowBlank="1" showInputMessage="1" showErrorMessage="1" prompt="Please use drop down to select correct state." sqref="E21">
      <formula1>"ACT, NSW,NT,SA,Qld,Vic,-,Tas,WA"</formula1>
    </dataValidation>
    <dataValidation type="list" allowBlank="1" showInputMessage="1" showErrorMessage="1" sqref="C50:D50">
      <formula1>dms_SourceList</formula1>
    </dataValidation>
    <dataValidation type="list" operator="lessThanOrEqual" showInputMessage="1" showErrorMessage="1" prompt="Please use drop down to select correct business name. ABN will auto populate." sqref="C14:E14">
      <formula1>dms_TradingName_List</formula1>
    </dataValidation>
    <dataValidation type="whole" allowBlank="1" showInputMessage="1" showErrorMessage="1" sqref="G21 G26">
      <formula1>1</formula1>
      <formula2>9999</formula2>
    </dataValidation>
    <dataValidation type="list" allowBlank="1" showInputMessage="1" showErrorMessage="1" sqref="C44">
      <formula1>IF(dms_RPT="financial",dms_CRY_ListF,dms_CRY_ListC)</formula1>
    </dataValidation>
  </dataValidations>
  <pageMargins left="0.25" right="0.25" top="0.75" bottom="0.75" header="0.3" footer="0.3"/>
  <pageSetup paperSize="9" scale="90" orientation="landscape" r:id="rId1"/>
  <customProperties>
    <customPr name="_pios_id" r:id="rId2"/>
  </customProperties>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EE58"/>
  <sheetViews>
    <sheetView showGridLines="0" topLeftCell="A10" zoomScale="70" zoomScaleNormal="70" workbookViewId="0">
      <selection activeCell="A35" sqref="A35"/>
    </sheetView>
  </sheetViews>
  <sheetFormatPr defaultRowHeight="12.75"/>
  <cols>
    <col min="1" max="1" width="16.28515625" style="2524" bestFit="1" customWidth="1"/>
    <col min="2" max="2" width="41.7109375" style="3082" customWidth="1"/>
    <col min="3" max="3" width="38" style="2524" customWidth="1"/>
    <col min="4" max="4" width="33.85546875" style="2524" bestFit="1" customWidth="1"/>
    <col min="5" max="28" width="15.7109375" style="2524" customWidth="1"/>
    <col min="29" max="29" width="13.85546875" style="2524" customWidth="1"/>
    <col min="30" max="254" width="9.140625" style="2524"/>
    <col min="255" max="255" width="16.28515625" style="2524" bestFit="1" customWidth="1"/>
    <col min="256" max="256" width="63.28515625" style="2524" customWidth="1"/>
    <col min="257" max="257" width="22" style="2524" customWidth="1"/>
    <col min="258" max="260" width="8" style="2524" bestFit="1" customWidth="1"/>
    <col min="261" max="261" width="13.85546875" style="2524" customWidth="1"/>
    <col min="262" max="262" width="17.28515625" style="2524" bestFit="1" customWidth="1"/>
    <col min="263" max="274" width="10.7109375" style="2524" bestFit="1" customWidth="1"/>
    <col min="275" max="510" width="9.140625" style="2524"/>
    <col min="511" max="511" width="16.28515625" style="2524" bestFit="1" customWidth="1"/>
    <col min="512" max="512" width="63.28515625" style="2524" customWidth="1"/>
    <col min="513" max="513" width="22" style="2524" customWidth="1"/>
    <col min="514" max="516" width="8" style="2524" bestFit="1" customWidth="1"/>
    <col min="517" max="517" width="13.85546875" style="2524" customWidth="1"/>
    <col min="518" max="518" width="17.28515625" style="2524" bestFit="1" customWidth="1"/>
    <col min="519" max="530" width="10.7109375" style="2524" bestFit="1" customWidth="1"/>
    <col min="531" max="766" width="9.140625" style="2524"/>
    <col min="767" max="767" width="16.28515625" style="2524" bestFit="1" customWidth="1"/>
    <col min="768" max="768" width="63.28515625" style="2524" customWidth="1"/>
    <col min="769" max="769" width="22" style="2524" customWidth="1"/>
    <col min="770" max="772" width="8" style="2524" bestFit="1" customWidth="1"/>
    <col min="773" max="773" width="13.85546875" style="2524" customWidth="1"/>
    <col min="774" max="774" width="17.28515625" style="2524" bestFit="1" customWidth="1"/>
    <col min="775" max="786" width="10.7109375" style="2524" bestFit="1" customWidth="1"/>
    <col min="787" max="1022" width="9.140625" style="2524"/>
    <col min="1023" max="1023" width="16.28515625" style="2524" bestFit="1" customWidth="1"/>
    <col min="1024" max="1024" width="63.28515625" style="2524" customWidth="1"/>
    <col min="1025" max="1025" width="22" style="2524" customWidth="1"/>
    <col min="1026" max="1028" width="8" style="2524" bestFit="1" customWidth="1"/>
    <col min="1029" max="1029" width="13.85546875" style="2524" customWidth="1"/>
    <col min="1030" max="1030" width="17.28515625" style="2524" bestFit="1" customWidth="1"/>
    <col min="1031" max="1042" width="10.7109375" style="2524" bestFit="1" customWidth="1"/>
    <col min="1043" max="1278" width="9.140625" style="2524"/>
    <col min="1279" max="1279" width="16.28515625" style="2524" bestFit="1" customWidth="1"/>
    <col min="1280" max="1280" width="63.28515625" style="2524" customWidth="1"/>
    <col min="1281" max="1281" width="22" style="2524" customWidth="1"/>
    <col min="1282" max="1284" width="8" style="2524" bestFit="1" customWidth="1"/>
    <col min="1285" max="1285" width="13.85546875" style="2524" customWidth="1"/>
    <col min="1286" max="1286" width="17.28515625" style="2524" bestFit="1" customWidth="1"/>
    <col min="1287" max="1298" width="10.7109375" style="2524" bestFit="1" customWidth="1"/>
    <col min="1299" max="1534" width="9.140625" style="2524"/>
    <col min="1535" max="1535" width="16.28515625" style="2524" bestFit="1" customWidth="1"/>
    <col min="1536" max="1536" width="63.28515625" style="2524" customWidth="1"/>
    <col min="1537" max="1537" width="22" style="2524" customWidth="1"/>
    <col min="1538" max="1540" width="8" style="2524" bestFit="1" customWidth="1"/>
    <col min="1541" max="1541" width="13.85546875" style="2524" customWidth="1"/>
    <col min="1542" max="1542" width="17.28515625" style="2524" bestFit="1" customWidth="1"/>
    <col min="1543" max="1554" width="10.7109375" style="2524" bestFit="1" customWidth="1"/>
    <col min="1555" max="1790" width="9.140625" style="2524"/>
    <col min="1791" max="1791" width="16.28515625" style="2524" bestFit="1" customWidth="1"/>
    <col min="1792" max="1792" width="63.28515625" style="2524" customWidth="1"/>
    <col min="1793" max="1793" width="22" style="2524" customWidth="1"/>
    <col min="1794" max="1796" width="8" style="2524" bestFit="1" customWidth="1"/>
    <col min="1797" max="1797" width="13.85546875" style="2524" customWidth="1"/>
    <col min="1798" max="1798" width="17.28515625" style="2524" bestFit="1" customWidth="1"/>
    <col min="1799" max="1810" width="10.7109375" style="2524" bestFit="1" customWidth="1"/>
    <col min="1811" max="2046" width="9.140625" style="2524"/>
    <col min="2047" max="2047" width="16.28515625" style="2524" bestFit="1" customWidth="1"/>
    <col min="2048" max="2048" width="63.28515625" style="2524" customWidth="1"/>
    <col min="2049" max="2049" width="22" style="2524" customWidth="1"/>
    <col min="2050" max="2052" width="8" style="2524" bestFit="1" customWidth="1"/>
    <col min="2053" max="2053" width="13.85546875" style="2524" customWidth="1"/>
    <col min="2054" max="2054" width="17.28515625" style="2524" bestFit="1" customWidth="1"/>
    <col min="2055" max="2066" width="10.7109375" style="2524" bestFit="1" customWidth="1"/>
    <col min="2067" max="2302" width="9.140625" style="2524"/>
    <col min="2303" max="2303" width="16.28515625" style="2524" bestFit="1" customWidth="1"/>
    <col min="2304" max="2304" width="63.28515625" style="2524" customWidth="1"/>
    <col min="2305" max="2305" width="22" style="2524" customWidth="1"/>
    <col min="2306" max="2308" width="8" style="2524" bestFit="1" customWidth="1"/>
    <col min="2309" max="2309" width="13.85546875" style="2524" customWidth="1"/>
    <col min="2310" max="2310" width="17.28515625" style="2524" bestFit="1" customWidth="1"/>
    <col min="2311" max="2322" width="10.7109375" style="2524" bestFit="1" customWidth="1"/>
    <col min="2323" max="2558" width="9.140625" style="2524"/>
    <col min="2559" max="2559" width="16.28515625" style="2524" bestFit="1" customWidth="1"/>
    <col min="2560" max="2560" width="63.28515625" style="2524" customWidth="1"/>
    <col min="2561" max="2561" width="22" style="2524" customWidth="1"/>
    <col min="2562" max="2564" width="8" style="2524" bestFit="1" customWidth="1"/>
    <col min="2565" max="2565" width="13.85546875" style="2524" customWidth="1"/>
    <col min="2566" max="2566" width="17.28515625" style="2524" bestFit="1" customWidth="1"/>
    <col min="2567" max="2578" width="10.7109375" style="2524" bestFit="1" customWidth="1"/>
    <col min="2579" max="2814" width="9.140625" style="2524"/>
    <col min="2815" max="2815" width="16.28515625" style="2524" bestFit="1" customWidth="1"/>
    <col min="2816" max="2816" width="63.28515625" style="2524" customWidth="1"/>
    <col min="2817" max="2817" width="22" style="2524" customWidth="1"/>
    <col min="2818" max="2820" width="8" style="2524" bestFit="1" customWidth="1"/>
    <col min="2821" max="2821" width="13.85546875" style="2524" customWidth="1"/>
    <col min="2822" max="2822" width="17.28515625" style="2524" bestFit="1" customWidth="1"/>
    <col min="2823" max="2834" width="10.7109375" style="2524" bestFit="1" customWidth="1"/>
    <col min="2835" max="3070" width="9.140625" style="2524"/>
    <col min="3071" max="3071" width="16.28515625" style="2524" bestFit="1" customWidth="1"/>
    <col min="3072" max="3072" width="63.28515625" style="2524" customWidth="1"/>
    <col min="3073" max="3073" width="22" style="2524" customWidth="1"/>
    <col min="3074" max="3076" width="8" style="2524" bestFit="1" customWidth="1"/>
    <col min="3077" max="3077" width="13.85546875" style="2524" customWidth="1"/>
    <col min="3078" max="3078" width="17.28515625" style="2524" bestFit="1" customWidth="1"/>
    <col min="3079" max="3090" width="10.7109375" style="2524" bestFit="1" customWidth="1"/>
    <col min="3091" max="3326" width="9.140625" style="2524"/>
    <col min="3327" max="3327" width="16.28515625" style="2524" bestFit="1" customWidth="1"/>
    <col min="3328" max="3328" width="63.28515625" style="2524" customWidth="1"/>
    <col min="3329" max="3329" width="22" style="2524" customWidth="1"/>
    <col min="3330" max="3332" width="8" style="2524" bestFit="1" customWidth="1"/>
    <col min="3333" max="3333" width="13.85546875" style="2524" customWidth="1"/>
    <col min="3334" max="3334" width="17.28515625" style="2524" bestFit="1" customWidth="1"/>
    <col min="3335" max="3346" width="10.7109375" style="2524" bestFit="1" customWidth="1"/>
    <col min="3347" max="3582" width="9.140625" style="2524"/>
    <col min="3583" max="3583" width="16.28515625" style="2524" bestFit="1" customWidth="1"/>
    <col min="3584" max="3584" width="63.28515625" style="2524" customWidth="1"/>
    <col min="3585" max="3585" width="22" style="2524" customWidth="1"/>
    <col min="3586" max="3588" width="8" style="2524" bestFit="1" customWidth="1"/>
    <col min="3589" max="3589" width="13.85546875" style="2524" customWidth="1"/>
    <col min="3590" max="3590" width="17.28515625" style="2524" bestFit="1" customWidth="1"/>
    <col min="3591" max="3602" width="10.7109375" style="2524" bestFit="1" customWidth="1"/>
    <col min="3603" max="3838" width="9.140625" style="2524"/>
    <col min="3839" max="3839" width="16.28515625" style="2524" bestFit="1" customWidth="1"/>
    <col min="3840" max="3840" width="63.28515625" style="2524" customWidth="1"/>
    <col min="3841" max="3841" width="22" style="2524" customWidth="1"/>
    <col min="3842" max="3844" width="8" style="2524" bestFit="1" customWidth="1"/>
    <col min="3845" max="3845" width="13.85546875" style="2524" customWidth="1"/>
    <col min="3846" max="3846" width="17.28515625" style="2524" bestFit="1" customWidth="1"/>
    <col min="3847" max="3858" width="10.7109375" style="2524" bestFit="1" customWidth="1"/>
    <col min="3859" max="4094" width="9.140625" style="2524"/>
    <col min="4095" max="4095" width="16.28515625" style="2524" bestFit="1" customWidth="1"/>
    <col min="4096" max="4096" width="63.28515625" style="2524" customWidth="1"/>
    <col min="4097" max="4097" width="22" style="2524" customWidth="1"/>
    <col min="4098" max="4100" width="8" style="2524" bestFit="1" customWidth="1"/>
    <col min="4101" max="4101" width="13.85546875" style="2524" customWidth="1"/>
    <col min="4102" max="4102" width="17.28515625" style="2524" bestFit="1" customWidth="1"/>
    <col min="4103" max="4114" width="10.7109375" style="2524" bestFit="1" customWidth="1"/>
    <col min="4115" max="4350" width="9.140625" style="2524"/>
    <col min="4351" max="4351" width="16.28515625" style="2524" bestFit="1" customWidth="1"/>
    <col min="4352" max="4352" width="63.28515625" style="2524" customWidth="1"/>
    <col min="4353" max="4353" width="22" style="2524" customWidth="1"/>
    <col min="4354" max="4356" width="8" style="2524" bestFit="1" customWidth="1"/>
    <col min="4357" max="4357" width="13.85546875" style="2524" customWidth="1"/>
    <col min="4358" max="4358" width="17.28515625" style="2524" bestFit="1" customWidth="1"/>
    <col min="4359" max="4370" width="10.7109375" style="2524" bestFit="1" customWidth="1"/>
    <col min="4371" max="4606" width="9.140625" style="2524"/>
    <col min="4607" max="4607" width="16.28515625" style="2524" bestFit="1" customWidth="1"/>
    <col min="4608" max="4608" width="63.28515625" style="2524" customWidth="1"/>
    <col min="4609" max="4609" width="22" style="2524" customWidth="1"/>
    <col min="4610" max="4612" width="8" style="2524" bestFit="1" customWidth="1"/>
    <col min="4613" max="4613" width="13.85546875" style="2524" customWidth="1"/>
    <col min="4614" max="4614" width="17.28515625" style="2524" bestFit="1" customWidth="1"/>
    <col min="4615" max="4626" width="10.7109375" style="2524" bestFit="1" customWidth="1"/>
    <col min="4627" max="4862" width="9.140625" style="2524"/>
    <col min="4863" max="4863" width="16.28515625" style="2524" bestFit="1" customWidth="1"/>
    <col min="4864" max="4864" width="63.28515625" style="2524" customWidth="1"/>
    <col min="4865" max="4865" width="22" style="2524" customWidth="1"/>
    <col min="4866" max="4868" width="8" style="2524" bestFit="1" customWidth="1"/>
    <col min="4869" max="4869" width="13.85546875" style="2524" customWidth="1"/>
    <col min="4870" max="4870" width="17.28515625" style="2524" bestFit="1" customWidth="1"/>
    <col min="4871" max="4882" width="10.7109375" style="2524" bestFit="1" customWidth="1"/>
    <col min="4883" max="5118" width="9.140625" style="2524"/>
    <col min="5119" max="5119" width="16.28515625" style="2524" bestFit="1" customWidth="1"/>
    <col min="5120" max="5120" width="63.28515625" style="2524" customWidth="1"/>
    <col min="5121" max="5121" width="22" style="2524" customWidth="1"/>
    <col min="5122" max="5124" width="8" style="2524" bestFit="1" customWidth="1"/>
    <col min="5125" max="5125" width="13.85546875" style="2524" customWidth="1"/>
    <col min="5126" max="5126" width="17.28515625" style="2524" bestFit="1" customWidth="1"/>
    <col min="5127" max="5138" width="10.7109375" style="2524" bestFit="1" customWidth="1"/>
    <col min="5139" max="5374" width="9.140625" style="2524"/>
    <col min="5375" max="5375" width="16.28515625" style="2524" bestFit="1" customWidth="1"/>
    <col min="5376" max="5376" width="63.28515625" style="2524" customWidth="1"/>
    <col min="5377" max="5377" width="22" style="2524" customWidth="1"/>
    <col min="5378" max="5380" width="8" style="2524" bestFit="1" customWidth="1"/>
    <col min="5381" max="5381" width="13.85546875" style="2524" customWidth="1"/>
    <col min="5382" max="5382" width="17.28515625" style="2524" bestFit="1" customWidth="1"/>
    <col min="5383" max="5394" width="10.7109375" style="2524" bestFit="1" customWidth="1"/>
    <col min="5395" max="5630" width="9.140625" style="2524"/>
    <col min="5631" max="5631" width="16.28515625" style="2524" bestFit="1" customWidth="1"/>
    <col min="5632" max="5632" width="63.28515625" style="2524" customWidth="1"/>
    <col min="5633" max="5633" width="22" style="2524" customWidth="1"/>
    <col min="5634" max="5636" width="8" style="2524" bestFit="1" customWidth="1"/>
    <col min="5637" max="5637" width="13.85546875" style="2524" customWidth="1"/>
    <col min="5638" max="5638" width="17.28515625" style="2524" bestFit="1" customWidth="1"/>
    <col min="5639" max="5650" width="10.7109375" style="2524" bestFit="1" customWidth="1"/>
    <col min="5651" max="5886" width="9.140625" style="2524"/>
    <col min="5887" max="5887" width="16.28515625" style="2524" bestFit="1" customWidth="1"/>
    <col min="5888" max="5888" width="63.28515625" style="2524" customWidth="1"/>
    <col min="5889" max="5889" width="22" style="2524" customWidth="1"/>
    <col min="5890" max="5892" width="8" style="2524" bestFit="1" customWidth="1"/>
    <col min="5893" max="5893" width="13.85546875" style="2524" customWidth="1"/>
    <col min="5894" max="5894" width="17.28515625" style="2524" bestFit="1" customWidth="1"/>
    <col min="5895" max="5906" width="10.7109375" style="2524" bestFit="1" customWidth="1"/>
    <col min="5907" max="6142" width="9.140625" style="2524"/>
    <col min="6143" max="6143" width="16.28515625" style="2524" bestFit="1" customWidth="1"/>
    <col min="6144" max="6144" width="63.28515625" style="2524" customWidth="1"/>
    <col min="6145" max="6145" width="22" style="2524" customWidth="1"/>
    <col min="6146" max="6148" width="8" style="2524" bestFit="1" customWidth="1"/>
    <col min="6149" max="6149" width="13.85546875" style="2524" customWidth="1"/>
    <col min="6150" max="6150" width="17.28515625" style="2524" bestFit="1" customWidth="1"/>
    <col min="6151" max="6162" width="10.7109375" style="2524" bestFit="1" customWidth="1"/>
    <col min="6163" max="6398" width="9.140625" style="2524"/>
    <col min="6399" max="6399" width="16.28515625" style="2524" bestFit="1" customWidth="1"/>
    <col min="6400" max="6400" width="63.28515625" style="2524" customWidth="1"/>
    <col min="6401" max="6401" width="22" style="2524" customWidth="1"/>
    <col min="6402" max="6404" width="8" style="2524" bestFit="1" customWidth="1"/>
    <col min="6405" max="6405" width="13.85546875" style="2524" customWidth="1"/>
    <col min="6406" max="6406" width="17.28515625" style="2524" bestFit="1" customWidth="1"/>
    <col min="6407" max="6418" width="10.7109375" style="2524" bestFit="1" customWidth="1"/>
    <col min="6419" max="6654" width="9.140625" style="2524"/>
    <col min="6655" max="6655" width="16.28515625" style="2524" bestFit="1" customWidth="1"/>
    <col min="6656" max="6656" width="63.28515625" style="2524" customWidth="1"/>
    <col min="6657" max="6657" width="22" style="2524" customWidth="1"/>
    <col min="6658" max="6660" width="8" style="2524" bestFit="1" customWidth="1"/>
    <col min="6661" max="6661" width="13.85546875" style="2524" customWidth="1"/>
    <col min="6662" max="6662" width="17.28515625" style="2524" bestFit="1" customWidth="1"/>
    <col min="6663" max="6674" width="10.7109375" style="2524" bestFit="1" customWidth="1"/>
    <col min="6675" max="6910" width="9.140625" style="2524"/>
    <col min="6911" max="6911" width="16.28515625" style="2524" bestFit="1" customWidth="1"/>
    <col min="6912" max="6912" width="63.28515625" style="2524" customWidth="1"/>
    <col min="6913" max="6913" width="22" style="2524" customWidth="1"/>
    <col min="6914" max="6916" width="8" style="2524" bestFit="1" customWidth="1"/>
    <col min="6917" max="6917" width="13.85546875" style="2524" customWidth="1"/>
    <col min="6918" max="6918" width="17.28515625" style="2524" bestFit="1" customWidth="1"/>
    <col min="6919" max="6930" width="10.7109375" style="2524" bestFit="1" customWidth="1"/>
    <col min="6931" max="7166" width="9.140625" style="2524"/>
    <col min="7167" max="7167" width="16.28515625" style="2524" bestFit="1" customWidth="1"/>
    <col min="7168" max="7168" width="63.28515625" style="2524" customWidth="1"/>
    <col min="7169" max="7169" width="22" style="2524" customWidth="1"/>
    <col min="7170" max="7172" width="8" style="2524" bestFit="1" customWidth="1"/>
    <col min="7173" max="7173" width="13.85546875" style="2524" customWidth="1"/>
    <col min="7174" max="7174" width="17.28515625" style="2524" bestFit="1" customWidth="1"/>
    <col min="7175" max="7186" width="10.7109375" style="2524" bestFit="1" customWidth="1"/>
    <col min="7187" max="7422" width="9.140625" style="2524"/>
    <col min="7423" max="7423" width="16.28515625" style="2524" bestFit="1" customWidth="1"/>
    <col min="7424" max="7424" width="63.28515625" style="2524" customWidth="1"/>
    <col min="7425" max="7425" width="22" style="2524" customWidth="1"/>
    <col min="7426" max="7428" width="8" style="2524" bestFit="1" customWidth="1"/>
    <col min="7429" max="7429" width="13.85546875" style="2524" customWidth="1"/>
    <col min="7430" max="7430" width="17.28515625" style="2524" bestFit="1" customWidth="1"/>
    <col min="7431" max="7442" width="10.7109375" style="2524" bestFit="1" customWidth="1"/>
    <col min="7443" max="7678" width="9.140625" style="2524"/>
    <col min="7679" max="7679" width="16.28515625" style="2524" bestFit="1" customWidth="1"/>
    <col min="7680" max="7680" width="63.28515625" style="2524" customWidth="1"/>
    <col min="7681" max="7681" width="22" style="2524" customWidth="1"/>
    <col min="7682" max="7684" width="8" style="2524" bestFit="1" customWidth="1"/>
    <col min="7685" max="7685" width="13.85546875" style="2524" customWidth="1"/>
    <col min="7686" max="7686" width="17.28515625" style="2524" bestFit="1" customWidth="1"/>
    <col min="7687" max="7698" width="10.7109375" style="2524" bestFit="1" customWidth="1"/>
    <col min="7699" max="7934" width="9.140625" style="2524"/>
    <col min="7935" max="7935" width="16.28515625" style="2524" bestFit="1" customWidth="1"/>
    <col min="7936" max="7936" width="63.28515625" style="2524" customWidth="1"/>
    <col min="7937" max="7937" width="22" style="2524" customWidth="1"/>
    <col min="7938" max="7940" width="8" style="2524" bestFit="1" customWidth="1"/>
    <col min="7941" max="7941" width="13.85546875" style="2524" customWidth="1"/>
    <col min="7942" max="7942" width="17.28515625" style="2524" bestFit="1" customWidth="1"/>
    <col min="7943" max="7954" width="10.7109375" style="2524" bestFit="1" customWidth="1"/>
    <col min="7955" max="8190" width="9.140625" style="2524"/>
    <col min="8191" max="8191" width="16.28515625" style="2524" bestFit="1" customWidth="1"/>
    <col min="8192" max="8192" width="63.28515625" style="2524" customWidth="1"/>
    <col min="8193" max="8193" width="22" style="2524" customWidth="1"/>
    <col min="8194" max="8196" width="8" style="2524" bestFit="1" customWidth="1"/>
    <col min="8197" max="8197" width="13.85546875" style="2524" customWidth="1"/>
    <col min="8198" max="8198" width="17.28515625" style="2524" bestFit="1" customWidth="1"/>
    <col min="8199" max="8210" width="10.7109375" style="2524" bestFit="1" customWidth="1"/>
    <col min="8211" max="8446" width="9.140625" style="2524"/>
    <col min="8447" max="8447" width="16.28515625" style="2524" bestFit="1" customWidth="1"/>
    <col min="8448" max="8448" width="63.28515625" style="2524" customWidth="1"/>
    <col min="8449" max="8449" width="22" style="2524" customWidth="1"/>
    <col min="8450" max="8452" width="8" style="2524" bestFit="1" customWidth="1"/>
    <col min="8453" max="8453" width="13.85546875" style="2524" customWidth="1"/>
    <col min="8454" max="8454" width="17.28515625" style="2524" bestFit="1" customWidth="1"/>
    <col min="8455" max="8466" width="10.7109375" style="2524" bestFit="1" customWidth="1"/>
    <col min="8467" max="8702" width="9.140625" style="2524"/>
    <col min="8703" max="8703" width="16.28515625" style="2524" bestFit="1" customWidth="1"/>
    <col min="8704" max="8704" width="63.28515625" style="2524" customWidth="1"/>
    <col min="8705" max="8705" width="22" style="2524" customWidth="1"/>
    <col min="8706" max="8708" width="8" style="2524" bestFit="1" customWidth="1"/>
    <col min="8709" max="8709" width="13.85546875" style="2524" customWidth="1"/>
    <col min="8710" max="8710" width="17.28515625" style="2524" bestFit="1" customWidth="1"/>
    <col min="8711" max="8722" width="10.7109375" style="2524" bestFit="1" customWidth="1"/>
    <col min="8723" max="8958" width="9.140625" style="2524"/>
    <col min="8959" max="8959" width="16.28515625" style="2524" bestFit="1" customWidth="1"/>
    <col min="8960" max="8960" width="63.28515625" style="2524" customWidth="1"/>
    <col min="8961" max="8961" width="22" style="2524" customWidth="1"/>
    <col min="8962" max="8964" width="8" style="2524" bestFit="1" customWidth="1"/>
    <col min="8965" max="8965" width="13.85546875" style="2524" customWidth="1"/>
    <col min="8966" max="8966" width="17.28515625" style="2524" bestFit="1" customWidth="1"/>
    <col min="8967" max="8978" width="10.7109375" style="2524" bestFit="1" customWidth="1"/>
    <col min="8979" max="9214" width="9.140625" style="2524"/>
    <col min="9215" max="9215" width="16.28515625" style="2524" bestFit="1" customWidth="1"/>
    <col min="9216" max="9216" width="63.28515625" style="2524" customWidth="1"/>
    <col min="9217" max="9217" width="22" style="2524" customWidth="1"/>
    <col min="9218" max="9220" width="8" style="2524" bestFit="1" customWidth="1"/>
    <col min="9221" max="9221" width="13.85546875" style="2524" customWidth="1"/>
    <col min="9222" max="9222" width="17.28515625" style="2524" bestFit="1" customWidth="1"/>
    <col min="9223" max="9234" width="10.7109375" style="2524" bestFit="1" customWidth="1"/>
    <col min="9235" max="9470" width="9.140625" style="2524"/>
    <col min="9471" max="9471" width="16.28515625" style="2524" bestFit="1" customWidth="1"/>
    <col min="9472" max="9472" width="63.28515625" style="2524" customWidth="1"/>
    <col min="9473" max="9473" width="22" style="2524" customWidth="1"/>
    <col min="9474" max="9476" width="8" style="2524" bestFit="1" customWidth="1"/>
    <col min="9477" max="9477" width="13.85546875" style="2524" customWidth="1"/>
    <col min="9478" max="9478" width="17.28515625" style="2524" bestFit="1" customWidth="1"/>
    <col min="9479" max="9490" width="10.7109375" style="2524" bestFit="1" customWidth="1"/>
    <col min="9491" max="9726" width="9.140625" style="2524"/>
    <col min="9727" max="9727" width="16.28515625" style="2524" bestFit="1" customWidth="1"/>
    <col min="9728" max="9728" width="63.28515625" style="2524" customWidth="1"/>
    <col min="9729" max="9729" width="22" style="2524" customWidth="1"/>
    <col min="9730" max="9732" width="8" style="2524" bestFit="1" customWidth="1"/>
    <col min="9733" max="9733" width="13.85546875" style="2524" customWidth="1"/>
    <col min="9734" max="9734" width="17.28515625" style="2524" bestFit="1" customWidth="1"/>
    <col min="9735" max="9746" width="10.7109375" style="2524" bestFit="1" customWidth="1"/>
    <col min="9747" max="9982" width="9.140625" style="2524"/>
    <col min="9983" max="9983" width="16.28515625" style="2524" bestFit="1" customWidth="1"/>
    <col min="9984" max="9984" width="63.28515625" style="2524" customWidth="1"/>
    <col min="9985" max="9985" width="22" style="2524" customWidth="1"/>
    <col min="9986" max="9988" width="8" style="2524" bestFit="1" customWidth="1"/>
    <col min="9989" max="9989" width="13.85546875" style="2524" customWidth="1"/>
    <col min="9990" max="9990" width="17.28515625" style="2524" bestFit="1" customWidth="1"/>
    <col min="9991" max="10002" width="10.7109375" style="2524" bestFit="1" customWidth="1"/>
    <col min="10003" max="10238" width="9.140625" style="2524"/>
    <col min="10239" max="10239" width="16.28515625" style="2524" bestFit="1" customWidth="1"/>
    <col min="10240" max="10240" width="63.28515625" style="2524" customWidth="1"/>
    <col min="10241" max="10241" width="22" style="2524" customWidth="1"/>
    <col min="10242" max="10244" width="8" style="2524" bestFit="1" customWidth="1"/>
    <col min="10245" max="10245" width="13.85546875" style="2524" customWidth="1"/>
    <col min="10246" max="10246" width="17.28515625" style="2524" bestFit="1" customWidth="1"/>
    <col min="10247" max="10258" width="10.7109375" style="2524" bestFit="1" customWidth="1"/>
    <col min="10259" max="10494" width="9.140625" style="2524"/>
    <col min="10495" max="10495" width="16.28515625" style="2524" bestFit="1" customWidth="1"/>
    <col min="10496" max="10496" width="63.28515625" style="2524" customWidth="1"/>
    <col min="10497" max="10497" width="22" style="2524" customWidth="1"/>
    <col min="10498" max="10500" width="8" style="2524" bestFit="1" customWidth="1"/>
    <col min="10501" max="10501" width="13.85546875" style="2524" customWidth="1"/>
    <col min="10502" max="10502" width="17.28515625" style="2524" bestFit="1" customWidth="1"/>
    <col min="10503" max="10514" width="10.7109375" style="2524" bestFit="1" customWidth="1"/>
    <col min="10515" max="10750" width="9.140625" style="2524"/>
    <col min="10751" max="10751" width="16.28515625" style="2524" bestFit="1" customWidth="1"/>
    <col min="10752" max="10752" width="63.28515625" style="2524" customWidth="1"/>
    <col min="10753" max="10753" width="22" style="2524" customWidth="1"/>
    <col min="10754" max="10756" width="8" style="2524" bestFit="1" customWidth="1"/>
    <col min="10757" max="10757" width="13.85546875" style="2524" customWidth="1"/>
    <col min="10758" max="10758" width="17.28515625" style="2524" bestFit="1" customWidth="1"/>
    <col min="10759" max="10770" width="10.7109375" style="2524" bestFit="1" customWidth="1"/>
    <col min="10771" max="11006" width="9.140625" style="2524"/>
    <col min="11007" max="11007" width="16.28515625" style="2524" bestFit="1" customWidth="1"/>
    <col min="11008" max="11008" width="63.28515625" style="2524" customWidth="1"/>
    <col min="11009" max="11009" width="22" style="2524" customWidth="1"/>
    <col min="11010" max="11012" width="8" style="2524" bestFit="1" customWidth="1"/>
    <col min="11013" max="11013" width="13.85546875" style="2524" customWidth="1"/>
    <col min="11014" max="11014" width="17.28515625" style="2524" bestFit="1" customWidth="1"/>
    <col min="11015" max="11026" width="10.7109375" style="2524" bestFit="1" customWidth="1"/>
    <col min="11027" max="11262" width="9.140625" style="2524"/>
    <col min="11263" max="11263" width="16.28515625" style="2524" bestFit="1" customWidth="1"/>
    <col min="11264" max="11264" width="63.28515625" style="2524" customWidth="1"/>
    <col min="11265" max="11265" width="22" style="2524" customWidth="1"/>
    <col min="11266" max="11268" width="8" style="2524" bestFit="1" customWidth="1"/>
    <col min="11269" max="11269" width="13.85546875" style="2524" customWidth="1"/>
    <col min="11270" max="11270" width="17.28515625" style="2524" bestFit="1" customWidth="1"/>
    <col min="11271" max="11282" width="10.7109375" style="2524" bestFit="1" customWidth="1"/>
    <col min="11283" max="11518" width="9.140625" style="2524"/>
    <col min="11519" max="11519" width="16.28515625" style="2524" bestFit="1" customWidth="1"/>
    <col min="11520" max="11520" width="63.28515625" style="2524" customWidth="1"/>
    <col min="11521" max="11521" width="22" style="2524" customWidth="1"/>
    <col min="11522" max="11524" width="8" style="2524" bestFit="1" customWidth="1"/>
    <col min="11525" max="11525" width="13.85546875" style="2524" customWidth="1"/>
    <col min="11526" max="11526" width="17.28515625" style="2524" bestFit="1" customWidth="1"/>
    <col min="11527" max="11538" width="10.7109375" style="2524" bestFit="1" customWidth="1"/>
    <col min="11539" max="11774" width="9.140625" style="2524"/>
    <col min="11775" max="11775" width="16.28515625" style="2524" bestFit="1" customWidth="1"/>
    <col min="11776" max="11776" width="63.28515625" style="2524" customWidth="1"/>
    <col min="11777" max="11777" width="22" style="2524" customWidth="1"/>
    <col min="11778" max="11780" width="8" style="2524" bestFit="1" customWidth="1"/>
    <col min="11781" max="11781" width="13.85546875" style="2524" customWidth="1"/>
    <col min="11782" max="11782" width="17.28515625" style="2524" bestFit="1" customWidth="1"/>
    <col min="11783" max="11794" width="10.7109375" style="2524" bestFit="1" customWidth="1"/>
    <col min="11795" max="12030" width="9.140625" style="2524"/>
    <col min="12031" max="12031" width="16.28515625" style="2524" bestFit="1" customWidth="1"/>
    <col min="12032" max="12032" width="63.28515625" style="2524" customWidth="1"/>
    <col min="12033" max="12033" width="22" style="2524" customWidth="1"/>
    <col min="12034" max="12036" width="8" style="2524" bestFit="1" customWidth="1"/>
    <col min="12037" max="12037" width="13.85546875" style="2524" customWidth="1"/>
    <col min="12038" max="12038" width="17.28515625" style="2524" bestFit="1" customWidth="1"/>
    <col min="12039" max="12050" width="10.7109375" style="2524" bestFit="1" customWidth="1"/>
    <col min="12051" max="12286" width="9.140625" style="2524"/>
    <col min="12287" max="12287" width="16.28515625" style="2524" bestFit="1" customWidth="1"/>
    <col min="12288" max="12288" width="63.28515625" style="2524" customWidth="1"/>
    <col min="12289" max="12289" width="22" style="2524" customWidth="1"/>
    <col min="12290" max="12292" width="8" style="2524" bestFit="1" customWidth="1"/>
    <col min="12293" max="12293" width="13.85546875" style="2524" customWidth="1"/>
    <col min="12294" max="12294" width="17.28515625" style="2524" bestFit="1" customWidth="1"/>
    <col min="12295" max="12306" width="10.7109375" style="2524" bestFit="1" customWidth="1"/>
    <col min="12307" max="12542" width="9.140625" style="2524"/>
    <col min="12543" max="12543" width="16.28515625" style="2524" bestFit="1" customWidth="1"/>
    <col min="12544" max="12544" width="63.28515625" style="2524" customWidth="1"/>
    <col min="12545" max="12545" width="22" style="2524" customWidth="1"/>
    <col min="12546" max="12548" width="8" style="2524" bestFit="1" customWidth="1"/>
    <col min="12549" max="12549" width="13.85546875" style="2524" customWidth="1"/>
    <col min="12550" max="12550" width="17.28515625" style="2524" bestFit="1" customWidth="1"/>
    <col min="12551" max="12562" width="10.7109375" style="2524" bestFit="1" customWidth="1"/>
    <col min="12563" max="12798" width="9.140625" style="2524"/>
    <col min="12799" max="12799" width="16.28515625" style="2524" bestFit="1" customWidth="1"/>
    <col min="12800" max="12800" width="63.28515625" style="2524" customWidth="1"/>
    <col min="12801" max="12801" width="22" style="2524" customWidth="1"/>
    <col min="12802" max="12804" width="8" style="2524" bestFit="1" customWidth="1"/>
    <col min="12805" max="12805" width="13.85546875" style="2524" customWidth="1"/>
    <col min="12806" max="12806" width="17.28515625" style="2524" bestFit="1" customWidth="1"/>
    <col min="12807" max="12818" width="10.7109375" style="2524" bestFit="1" customWidth="1"/>
    <col min="12819" max="13054" width="9.140625" style="2524"/>
    <col min="13055" max="13055" width="16.28515625" style="2524" bestFit="1" customWidth="1"/>
    <col min="13056" max="13056" width="63.28515625" style="2524" customWidth="1"/>
    <col min="13057" max="13057" width="22" style="2524" customWidth="1"/>
    <col min="13058" max="13060" width="8" style="2524" bestFit="1" customWidth="1"/>
    <col min="13061" max="13061" width="13.85546875" style="2524" customWidth="1"/>
    <col min="13062" max="13062" width="17.28515625" style="2524" bestFit="1" customWidth="1"/>
    <col min="13063" max="13074" width="10.7109375" style="2524" bestFit="1" customWidth="1"/>
    <col min="13075" max="13310" width="9.140625" style="2524"/>
    <col min="13311" max="13311" width="16.28515625" style="2524" bestFit="1" customWidth="1"/>
    <col min="13312" max="13312" width="63.28515625" style="2524" customWidth="1"/>
    <col min="13313" max="13313" width="22" style="2524" customWidth="1"/>
    <col min="13314" max="13316" width="8" style="2524" bestFit="1" customWidth="1"/>
    <col min="13317" max="13317" width="13.85546875" style="2524" customWidth="1"/>
    <col min="13318" max="13318" width="17.28515625" style="2524" bestFit="1" customWidth="1"/>
    <col min="13319" max="13330" width="10.7109375" style="2524" bestFit="1" customWidth="1"/>
    <col min="13331" max="13566" width="9.140625" style="2524"/>
    <col min="13567" max="13567" width="16.28515625" style="2524" bestFit="1" customWidth="1"/>
    <col min="13568" max="13568" width="63.28515625" style="2524" customWidth="1"/>
    <col min="13569" max="13569" width="22" style="2524" customWidth="1"/>
    <col min="13570" max="13572" width="8" style="2524" bestFit="1" customWidth="1"/>
    <col min="13573" max="13573" width="13.85546875" style="2524" customWidth="1"/>
    <col min="13574" max="13574" width="17.28515625" style="2524" bestFit="1" customWidth="1"/>
    <col min="13575" max="13586" width="10.7109375" style="2524" bestFit="1" customWidth="1"/>
    <col min="13587" max="13822" width="9.140625" style="2524"/>
    <col min="13823" max="13823" width="16.28515625" style="2524" bestFit="1" customWidth="1"/>
    <col min="13824" max="13824" width="63.28515625" style="2524" customWidth="1"/>
    <col min="13825" max="13825" width="22" style="2524" customWidth="1"/>
    <col min="13826" max="13828" width="8" style="2524" bestFit="1" customWidth="1"/>
    <col min="13829" max="13829" width="13.85546875" style="2524" customWidth="1"/>
    <col min="13830" max="13830" width="17.28515625" style="2524" bestFit="1" customWidth="1"/>
    <col min="13831" max="13842" width="10.7109375" style="2524" bestFit="1" customWidth="1"/>
    <col min="13843" max="14078" width="9.140625" style="2524"/>
    <col min="14079" max="14079" width="16.28515625" style="2524" bestFit="1" customWidth="1"/>
    <col min="14080" max="14080" width="63.28515625" style="2524" customWidth="1"/>
    <col min="14081" max="14081" width="22" style="2524" customWidth="1"/>
    <col min="14082" max="14084" width="8" style="2524" bestFit="1" customWidth="1"/>
    <col min="14085" max="14085" width="13.85546875" style="2524" customWidth="1"/>
    <col min="14086" max="14086" width="17.28515625" style="2524" bestFit="1" customWidth="1"/>
    <col min="14087" max="14098" width="10.7109375" style="2524" bestFit="1" customWidth="1"/>
    <col min="14099" max="14334" width="9.140625" style="2524"/>
    <col min="14335" max="14335" width="16.28515625" style="2524" bestFit="1" customWidth="1"/>
    <col min="14336" max="14336" width="63.28515625" style="2524" customWidth="1"/>
    <col min="14337" max="14337" width="22" style="2524" customWidth="1"/>
    <col min="14338" max="14340" width="8" style="2524" bestFit="1" customWidth="1"/>
    <col min="14341" max="14341" width="13.85546875" style="2524" customWidth="1"/>
    <col min="14342" max="14342" width="17.28515625" style="2524" bestFit="1" customWidth="1"/>
    <col min="14343" max="14354" width="10.7109375" style="2524" bestFit="1" customWidth="1"/>
    <col min="14355" max="14590" width="9.140625" style="2524"/>
    <col min="14591" max="14591" width="16.28515625" style="2524" bestFit="1" customWidth="1"/>
    <col min="14592" max="14592" width="63.28515625" style="2524" customWidth="1"/>
    <col min="14593" max="14593" width="22" style="2524" customWidth="1"/>
    <col min="14594" max="14596" width="8" style="2524" bestFit="1" customWidth="1"/>
    <col min="14597" max="14597" width="13.85546875" style="2524" customWidth="1"/>
    <col min="14598" max="14598" width="17.28515625" style="2524" bestFit="1" customWidth="1"/>
    <col min="14599" max="14610" width="10.7109375" style="2524" bestFit="1" customWidth="1"/>
    <col min="14611" max="14846" width="9.140625" style="2524"/>
    <col min="14847" max="14847" width="16.28515625" style="2524" bestFit="1" customWidth="1"/>
    <col min="14848" max="14848" width="63.28515625" style="2524" customWidth="1"/>
    <col min="14849" max="14849" width="22" style="2524" customWidth="1"/>
    <col min="14850" max="14852" width="8" style="2524" bestFit="1" customWidth="1"/>
    <col min="14853" max="14853" width="13.85546875" style="2524" customWidth="1"/>
    <col min="14854" max="14854" width="17.28515625" style="2524" bestFit="1" customWidth="1"/>
    <col min="14855" max="14866" width="10.7109375" style="2524" bestFit="1" customWidth="1"/>
    <col min="14867" max="15102" width="9.140625" style="2524"/>
    <col min="15103" max="15103" width="16.28515625" style="2524" bestFit="1" customWidth="1"/>
    <col min="15104" max="15104" width="63.28515625" style="2524" customWidth="1"/>
    <col min="15105" max="15105" width="22" style="2524" customWidth="1"/>
    <col min="15106" max="15108" width="8" style="2524" bestFit="1" customWidth="1"/>
    <col min="15109" max="15109" width="13.85546875" style="2524" customWidth="1"/>
    <col min="15110" max="15110" width="17.28515625" style="2524" bestFit="1" customWidth="1"/>
    <col min="15111" max="15122" width="10.7109375" style="2524" bestFit="1" customWidth="1"/>
    <col min="15123" max="15358" width="9.140625" style="2524"/>
    <col min="15359" max="15359" width="16.28515625" style="2524" bestFit="1" customWidth="1"/>
    <col min="15360" max="15360" width="63.28515625" style="2524" customWidth="1"/>
    <col min="15361" max="15361" width="22" style="2524" customWidth="1"/>
    <col min="15362" max="15364" width="8" style="2524" bestFit="1" customWidth="1"/>
    <col min="15365" max="15365" width="13.85546875" style="2524" customWidth="1"/>
    <col min="15366" max="15366" width="17.28515625" style="2524" bestFit="1" customWidth="1"/>
    <col min="15367" max="15378" width="10.7109375" style="2524" bestFit="1" customWidth="1"/>
    <col min="15379" max="15614" width="9.140625" style="2524"/>
    <col min="15615" max="15615" width="16.28515625" style="2524" bestFit="1" customWidth="1"/>
    <col min="15616" max="15616" width="63.28515625" style="2524" customWidth="1"/>
    <col min="15617" max="15617" width="22" style="2524" customWidth="1"/>
    <col min="15618" max="15620" width="8" style="2524" bestFit="1" customWidth="1"/>
    <col min="15621" max="15621" width="13.85546875" style="2524" customWidth="1"/>
    <col min="15622" max="15622" width="17.28515625" style="2524" bestFit="1" customWidth="1"/>
    <col min="15623" max="15634" width="10.7109375" style="2524" bestFit="1" customWidth="1"/>
    <col min="15635" max="15870" width="9.140625" style="2524"/>
    <col min="15871" max="15871" width="16.28515625" style="2524" bestFit="1" customWidth="1"/>
    <col min="15872" max="15872" width="63.28515625" style="2524" customWidth="1"/>
    <col min="15873" max="15873" width="22" style="2524" customWidth="1"/>
    <col min="15874" max="15876" width="8" style="2524" bestFit="1" customWidth="1"/>
    <col min="15877" max="15877" width="13.85546875" style="2524" customWidth="1"/>
    <col min="15878" max="15878" width="17.28515625" style="2524" bestFit="1" customWidth="1"/>
    <col min="15879" max="15890" width="10.7109375" style="2524" bestFit="1" customWidth="1"/>
    <col min="15891" max="16126" width="9.140625" style="2524"/>
    <col min="16127" max="16127" width="16.28515625" style="2524" bestFit="1" customWidth="1"/>
    <col min="16128" max="16128" width="63.28515625" style="2524" customWidth="1"/>
    <col min="16129" max="16129" width="22" style="2524" customWidth="1"/>
    <col min="16130" max="16132" width="8" style="2524" bestFit="1" customWidth="1"/>
    <col min="16133" max="16133" width="13.85546875" style="2524" customWidth="1"/>
    <col min="16134" max="16134" width="17.28515625" style="2524" bestFit="1" customWidth="1"/>
    <col min="16135" max="16146" width="10.7109375" style="2524" bestFit="1" customWidth="1"/>
    <col min="16147" max="16384" width="9.140625" style="2524"/>
  </cols>
  <sheetData>
    <row r="1" spans="1:31" s="2525" customFormat="1" ht="24.95" customHeight="1">
      <c r="B1" s="2522" t="str">
        <f>IF(dms_DataQuality="backcast",INDEX(dms_Worksheet_List,MATCH(dms_Model,dms_Model_List))&amp;" BACKCAST",INDEX(dms_Worksheet_List,MATCH(dms_Model,dms_Model_List)))</f>
        <v>REGULATORY REPORTING STATEMENT</v>
      </c>
      <c r="C1" s="2769"/>
      <c r="D1" s="2769"/>
      <c r="E1" s="2769"/>
      <c r="F1" s="2769"/>
      <c r="G1" s="2769"/>
      <c r="H1" s="2769"/>
      <c r="I1" s="2769"/>
      <c r="J1" s="2769"/>
      <c r="K1" s="2769"/>
      <c r="L1" s="2769"/>
      <c r="M1" s="2769"/>
      <c r="N1" s="2769"/>
      <c r="O1" s="2769"/>
      <c r="P1" s="2769"/>
      <c r="Q1" s="2769"/>
      <c r="R1" s="2769"/>
      <c r="S1" s="2769"/>
      <c r="T1" s="2769"/>
      <c r="U1" s="2769"/>
      <c r="V1" s="2769"/>
      <c r="W1" s="2769"/>
      <c r="X1" s="2769"/>
      <c r="Y1" s="2769"/>
      <c r="Z1" s="2769"/>
      <c r="AA1" s="2769"/>
      <c r="AB1" s="2769"/>
      <c r="AC1" s="2524"/>
      <c r="AD1" s="2524"/>
      <c r="AE1" s="2524"/>
    </row>
    <row r="2" spans="1:31" s="2525" customFormat="1" ht="24.95" customHeight="1">
      <c r="B2" s="2526" t="str">
        <f>INDEX(dms_TradingNameFull_List,MATCH(dms_TradingName,dms_TradingName_List))</f>
        <v>AusNet Gas Services</v>
      </c>
      <c r="C2" s="2526"/>
      <c r="D2" s="2526"/>
      <c r="E2" s="2526"/>
      <c r="F2" s="2526"/>
      <c r="G2" s="2526"/>
      <c r="H2" s="2526"/>
      <c r="I2" s="2526"/>
      <c r="J2" s="2526"/>
      <c r="K2" s="2526"/>
      <c r="L2" s="2526"/>
      <c r="M2" s="2526"/>
      <c r="N2" s="2526"/>
      <c r="O2" s="2526"/>
      <c r="P2" s="2526"/>
      <c r="Q2" s="2526"/>
      <c r="R2" s="2526"/>
      <c r="S2" s="2526"/>
      <c r="T2" s="2526"/>
      <c r="U2" s="2526"/>
      <c r="V2" s="2526"/>
      <c r="W2" s="2526"/>
      <c r="X2" s="2526"/>
      <c r="Y2" s="2526"/>
      <c r="Z2" s="2526"/>
      <c r="AA2" s="2526"/>
      <c r="AB2" s="2526"/>
      <c r="AC2" s="2524"/>
      <c r="AD2" s="2524"/>
      <c r="AE2" s="2524"/>
    </row>
    <row r="3" spans="1:31" s="2525" customFormat="1" ht="24.95" customHeight="1">
      <c r="B3" s="2526" t="str">
        <f ca="1">IF(SUM(dms_SingleYear_Model)&gt;0,CRY,CONCATENATE(FRCP_y1," to ",dms_MultiYear_FinalYear_Result))</f>
        <v>2018 to 2022</v>
      </c>
      <c r="C3" s="2528"/>
      <c r="D3" s="2528"/>
      <c r="E3" s="2528"/>
      <c r="F3" s="2528"/>
      <c r="G3" s="2528"/>
      <c r="H3" s="2528"/>
      <c r="I3" s="2528"/>
      <c r="J3" s="2528"/>
      <c r="K3" s="2528"/>
      <c r="L3" s="2528"/>
      <c r="M3" s="2528"/>
      <c r="N3" s="2528"/>
      <c r="O3" s="2528"/>
      <c r="P3" s="2528"/>
      <c r="Q3" s="2528"/>
      <c r="R3" s="2528"/>
      <c r="S3" s="2528"/>
      <c r="T3" s="2528"/>
      <c r="U3" s="2528"/>
      <c r="V3" s="2528"/>
      <c r="W3" s="2528"/>
      <c r="X3" s="2528"/>
      <c r="Y3" s="2528"/>
      <c r="Z3" s="2528"/>
      <c r="AA3" s="2528"/>
      <c r="AB3" s="2528"/>
      <c r="AC3" s="2524"/>
      <c r="AD3" s="2524"/>
      <c r="AE3" s="2524"/>
    </row>
    <row r="4" spans="1:31" s="2525" customFormat="1" ht="24" customHeight="1">
      <c r="B4" s="2529" t="s">
        <v>1638</v>
      </c>
      <c r="C4" s="2770"/>
      <c r="D4" s="2770"/>
      <c r="E4" s="2770"/>
      <c r="F4" s="2770"/>
      <c r="G4" s="2770"/>
      <c r="H4" s="2770"/>
      <c r="I4" s="2770"/>
      <c r="J4" s="2770"/>
      <c r="K4" s="2770"/>
      <c r="L4" s="2770"/>
      <c r="M4" s="2770"/>
      <c r="N4" s="2770"/>
      <c r="O4" s="2770"/>
      <c r="P4" s="2770"/>
      <c r="Q4" s="2770"/>
      <c r="R4" s="2770"/>
      <c r="S4" s="2770"/>
      <c r="T4" s="2770"/>
      <c r="U4" s="2770"/>
      <c r="V4" s="2770"/>
      <c r="W4" s="2770"/>
      <c r="X4" s="2770"/>
      <c r="Y4" s="2770"/>
      <c r="Z4" s="2770"/>
      <c r="AA4" s="2770"/>
      <c r="AB4" s="2770"/>
      <c r="AC4" s="2524"/>
      <c r="AD4" s="2524"/>
      <c r="AE4" s="2524"/>
    </row>
    <row r="5" spans="1:31">
      <c r="A5" s="360"/>
      <c r="B5" s="3011"/>
      <c r="C5" s="2771"/>
      <c r="D5" s="2771"/>
      <c r="E5" s="2771"/>
      <c r="F5" s="2771"/>
      <c r="G5" s="2771"/>
      <c r="H5" s="2771"/>
      <c r="I5" s="2771"/>
      <c r="J5" s="2771"/>
      <c r="K5" s="2771"/>
      <c r="L5" s="2771"/>
      <c r="M5" s="2771"/>
      <c r="N5" s="2771"/>
      <c r="O5" s="2771"/>
      <c r="P5" s="2771"/>
      <c r="Q5" s="2771"/>
      <c r="R5" s="2771"/>
      <c r="S5" s="2771"/>
      <c r="T5" s="2771"/>
      <c r="U5" s="2771"/>
      <c r="V5" s="2771"/>
      <c r="W5" s="2771"/>
      <c r="X5" s="2771"/>
      <c r="Y5" s="2771"/>
      <c r="Z5" s="2771"/>
      <c r="AA5" s="2771"/>
      <c r="AB5" s="2771"/>
    </row>
    <row r="6" spans="1:31">
      <c r="A6" s="2771"/>
      <c r="B6" s="2771"/>
      <c r="C6" s="2771"/>
      <c r="D6" s="2771"/>
      <c r="E6" s="2771"/>
      <c r="F6" s="2771"/>
      <c r="G6" s="2771"/>
      <c r="H6" s="2771"/>
      <c r="I6" s="2771"/>
      <c r="J6" s="2771"/>
      <c r="K6" s="2771"/>
      <c r="L6" s="2771"/>
      <c r="M6" s="2771"/>
      <c r="N6" s="2771"/>
      <c r="O6" s="2771"/>
      <c r="P6" s="2771"/>
      <c r="Q6" s="2771"/>
      <c r="R6" s="2771"/>
      <c r="S6" s="2771"/>
      <c r="T6" s="2771"/>
      <c r="U6" s="2771"/>
      <c r="V6" s="2771"/>
      <c r="W6" s="2771"/>
      <c r="X6" s="2771"/>
      <c r="Y6" s="2771"/>
      <c r="Z6" s="2771"/>
      <c r="AA6" s="2771"/>
      <c r="AB6" s="2771"/>
    </row>
    <row r="7" spans="1:31">
      <c r="A7" s="2771"/>
      <c r="B7" s="4608" t="s">
        <v>59</v>
      </c>
      <c r="C7" s="4608"/>
      <c r="D7" s="4608"/>
      <c r="E7" s="4608"/>
      <c r="F7" s="4608"/>
      <c r="G7" s="4608"/>
      <c r="H7" s="4608"/>
      <c r="I7" s="2771"/>
      <c r="J7" s="2771"/>
      <c r="K7" s="2771"/>
      <c r="L7" s="2771"/>
      <c r="M7" s="2771"/>
      <c r="N7" s="2771"/>
      <c r="O7" s="2771"/>
      <c r="P7" s="2771"/>
      <c r="Q7" s="2771"/>
      <c r="R7" s="2771"/>
      <c r="S7" s="2771"/>
      <c r="T7" s="2771"/>
      <c r="U7" s="2771"/>
      <c r="V7" s="2771"/>
      <c r="W7" s="2771"/>
      <c r="X7" s="2771"/>
      <c r="Y7" s="2771"/>
      <c r="Z7" s="2771"/>
      <c r="AA7" s="2771"/>
      <c r="AB7" s="2771"/>
    </row>
    <row r="8" spans="1:31" ht="12.75" customHeight="1">
      <c r="A8" s="2771"/>
      <c r="B8" s="4609" t="s">
        <v>226</v>
      </c>
      <c r="C8" s="4609"/>
      <c r="D8" s="4609"/>
      <c r="E8" s="4609"/>
      <c r="F8" s="4609"/>
      <c r="G8" s="4609"/>
      <c r="H8" s="4609"/>
      <c r="I8" s="2771"/>
      <c r="J8" s="2771"/>
      <c r="K8" s="2771"/>
      <c r="L8" s="2771"/>
      <c r="M8" s="2771"/>
      <c r="N8" s="2771"/>
      <c r="O8" s="2771"/>
      <c r="P8" s="2771"/>
      <c r="Q8" s="2771"/>
      <c r="R8" s="2771"/>
      <c r="S8" s="2771"/>
      <c r="T8" s="2771"/>
      <c r="U8" s="2771"/>
      <c r="V8" s="2771"/>
      <c r="W8" s="2771"/>
      <c r="X8" s="2771"/>
      <c r="Y8" s="2771"/>
      <c r="Z8" s="2771"/>
      <c r="AA8" s="2771"/>
      <c r="AB8" s="2771"/>
    </row>
    <row r="9" spans="1:31" ht="12.75" customHeight="1">
      <c r="A9" s="2771"/>
      <c r="B9" s="4610" t="s">
        <v>476</v>
      </c>
      <c r="C9" s="4610"/>
      <c r="D9" s="3012"/>
      <c r="E9" s="3012"/>
      <c r="F9" s="3012"/>
      <c r="G9" s="3012"/>
      <c r="H9" s="3012"/>
      <c r="I9" s="3013"/>
      <c r="J9" s="3013"/>
      <c r="K9" s="3013"/>
      <c r="L9" s="3013"/>
      <c r="M9" s="3013"/>
      <c r="N9" s="3013"/>
      <c r="O9" s="3013"/>
      <c r="P9" s="2771"/>
      <c r="Q9" s="2771"/>
      <c r="R9" s="2771"/>
      <c r="S9" s="3013"/>
      <c r="T9" s="3013"/>
      <c r="U9" s="2771"/>
      <c r="V9" s="2771"/>
      <c r="W9" s="2771"/>
      <c r="X9" s="3013"/>
      <c r="Y9" s="3013"/>
      <c r="Z9" s="2771"/>
      <c r="AA9" s="2771"/>
      <c r="AB9" s="2771"/>
    </row>
    <row r="10" spans="1:31" ht="20.25" customHeight="1">
      <c r="A10" s="2771"/>
      <c r="B10" s="4611" t="s">
        <v>386</v>
      </c>
      <c r="C10" s="4612"/>
      <c r="D10" s="4612"/>
      <c r="E10" s="4612"/>
      <c r="F10" s="4612"/>
      <c r="G10" s="4612"/>
      <c r="H10" s="4612"/>
      <c r="I10" s="2771"/>
      <c r="J10" s="2771"/>
      <c r="K10" s="2771"/>
      <c r="L10" s="2771"/>
      <c r="M10" s="2771"/>
      <c r="N10" s="2771"/>
      <c r="O10" s="2771"/>
      <c r="P10" s="2771"/>
      <c r="Q10" s="2771"/>
      <c r="R10" s="2771"/>
      <c r="S10" s="2771"/>
      <c r="T10" s="2771"/>
      <c r="U10" s="2771"/>
      <c r="V10" s="2771"/>
      <c r="W10" s="2771"/>
      <c r="X10" s="2771"/>
      <c r="Y10" s="2771"/>
      <c r="Z10" s="2771"/>
      <c r="AA10" s="2771"/>
      <c r="AB10" s="2771"/>
    </row>
    <row r="11" spans="1:31" ht="33.75" customHeight="1" thickBot="1">
      <c r="A11" s="2771"/>
      <c r="B11" s="3014"/>
      <c r="C11" s="2771"/>
      <c r="D11" s="2771"/>
      <c r="E11" s="2771"/>
      <c r="F11" s="2771"/>
      <c r="G11" s="2771"/>
      <c r="H11" s="2771"/>
      <c r="I11" s="2771"/>
      <c r="J11" s="2771"/>
      <c r="K11" s="2771"/>
      <c r="L11" s="2771"/>
      <c r="M11" s="2771"/>
      <c r="N11" s="2771"/>
      <c r="O11" s="2771"/>
      <c r="P11" s="2771"/>
      <c r="Q11" s="2771"/>
      <c r="R11" s="2771"/>
      <c r="S11" s="2771"/>
      <c r="T11" s="2771"/>
      <c r="U11" s="2771"/>
      <c r="V11" s="2771"/>
      <c r="W11" s="2771"/>
      <c r="X11" s="2771"/>
      <c r="Y11" s="2771"/>
      <c r="Z11" s="2771"/>
      <c r="AA11" s="2771"/>
      <c r="AB11" s="2771"/>
    </row>
    <row r="12" spans="1:31">
      <c r="A12" s="2771"/>
      <c r="B12" s="3015" t="s">
        <v>247</v>
      </c>
      <c r="C12" s="2771"/>
      <c r="D12" s="2771"/>
      <c r="E12" s="2771"/>
      <c r="F12" s="2771"/>
      <c r="G12" s="2771"/>
      <c r="H12" s="2771"/>
      <c r="I12" s="2771"/>
      <c r="J12" s="2771"/>
      <c r="K12" s="2771"/>
      <c r="L12" s="2771"/>
      <c r="M12" s="2771"/>
      <c r="N12" s="2771"/>
      <c r="O12" s="2771"/>
      <c r="P12" s="2771"/>
      <c r="Q12" s="2771"/>
      <c r="R12" s="2771"/>
      <c r="S12" s="2771"/>
      <c r="T12" s="2771"/>
      <c r="U12" s="2771"/>
      <c r="V12" s="2771"/>
      <c r="W12" s="2771"/>
      <c r="X12" s="2771"/>
      <c r="Y12" s="2771"/>
      <c r="Z12" s="2771"/>
      <c r="AA12" s="2771"/>
      <c r="AB12" s="2771"/>
    </row>
    <row r="13" spans="1:31" ht="27" customHeight="1">
      <c r="A13" s="2771"/>
      <c r="B13" s="3016" t="s">
        <v>1632</v>
      </c>
      <c r="C13" s="2771"/>
      <c r="D13" s="2771"/>
      <c r="E13" s="2771"/>
      <c r="F13" s="2771"/>
      <c r="G13" s="2771"/>
      <c r="H13" s="2771"/>
      <c r="I13" s="2771"/>
      <c r="J13" s="2771"/>
      <c r="K13" s="2771"/>
      <c r="L13" s="2771"/>
      <c r="M13" s="2771"/>
      <c r="N13" s="2771"/>
      <c r="O13" s="2771"/>
      <c r="P13" s="2771"/>
      <c r="Q13" s="2771"/>
      <c r="R13" s="2771"/>
      <c r="S13" s="2771"/>
      <c r="T13" s="2771"/>
      <c r="U13" s="2771"/>
      <c r="V13" s="2771"/>
      <c r="W13" s="2771"/>
      <c r="X13" s="2771"/>
      <c r="Y13" s="2771"/>
      <c r="Z13" s="2771"/>
      <c r="AA13" s="2771"/>
      <c r="AB13" s="2771"/>
    </row>
    <row r="14" spans="1:31">
      <c r="A14" s="2771"/>
      <c r="B14" s="2771"/>
      <c r="C14" s="2771"/>
      <c r="D14" s="2771"/>
      <c r="E14" s="2771"/>
      <c r="F14" s="2771"/>
      <c r="G14" s="2771"/>
      <c r="H14" s="2771"/>
      <c r="I14" s="2771"/>
      <c r="J14" s="2771"/>
      <c r="K14" s="2771"/>
      <c r="L14" s="2771"/>
      <c r="M14" s="2771"/>
      <c r="N14" s="2771"/>
      <c r="O14" s="2771"/>
      <c r="P14" s="2771"/>
      <c r="Q14" s="2771"/>
      <c r="R14" s="2771"/>
      <c r="S14" s="2771"/>
      <c r="T14" s="2771"/>
      <c r="U14" s="2771"/>
      <c r="V14" s="2771"/>
      <c r="W14" s="2771"/>
      <c r="X14" s="2771"/>
      <c r="Y14" s="2771"/>
      <c r="Z14" s="2771"/>
      <c r="AA14" s="2771"/>
      <c r="AB14" s="2771"/>
    </row>
    <row r="15" spans="1:31" ht="13.5" thickBot="1">
      <c r="A15" s="2771"/>
      <c r="B15" s="2771"/>
      <c r="C15" s="2771"/>
      <c r="D15" s="2771"/>
      <c r="E15" s="2771"/>
      <c r="F15" s="2771"/>
      <c r="G15" s="2771"/>
      <c r="H15" s="2771"/>
      <c r="I15" s="2771"/>
      <c r="J15" s="2771"/>
      <c r="K15" s="2771"/>
      <c r="L15" s="2771"/>
      <c r="M15" s="2771"/>
      <c r="N15" s="2771"/>
      <c r="O15" s="2771"/>
      <c r="P15" s="2771"/>
      <c r="Q15" s="2771"/>
      <c r="R15" s="2771"/>
      <c r="S15" s="2771"/>
      <c r="T15" s="2771"/>
      <c r="U15" s="2771"/>
      <c r="V15" s="2771"/>
      <c r="W15" s="2771"/>
      <c r="X15" s="2771"/>
      <c r="Y15" s="2771"/>
      <c r="Z15" s="2771"/>
      <c r="AA15" s="2771"/>
      <c r="AB15" s="2771"/>
    </row>
    <row r="16" spans="1:31" ht="34.5" customHeight="1" thickBot="1">
      <c r="A16" s="2771"/>
      <c r="B16" s="2780" t="s">
        <v>1639</v>
      </c>
      <c r="C16" s="2781"/>
      <c r="D16" s="2781"/>
      <c r="E16" s="2781"/>
      <c r="F16" s="2781"/>
      <c r="G16" s="2781"/>
      <c r="H16" s="2781"/>
      <c r="I16" s="2781"/>
      <c r="J16" s="2781"/>
      <c r="K16" s="2782"/>
      <c r="L16" s="2782"/>
      <c r="M16" s="2782"/>
      <c r="N16" s="2782"/>
      <c r="O16" s="2782"/>
      <c r="P16" s="2782"/>
      <c r="Q16" s="2782"/>
      <c r="R16" s="2782"/>
      <c r="S16" s="2782"/>
      <c r="T16" s="2782"/>
      <c r="U16" s="2782"/>
      <c r="V16" s="2782"/>
      <c r="W16" s="2782"/>
      <c r="X16" s="2782"/>
      <c r="Y16" s="2782"/>
      <c r="Z16" s="2782"/>
      <c r="AA16" s="2782"/>
      <c r="AB16" s="2782"/>
      <c r="AC16" s="2782"/>
    </row>
    <row r="17" spans="1:135" ht="20.25" customHeight="1">
      <c r="A17" s="2771"/>
      <c r="B17" s="4613"/>
      <c r="C17" s="4616" t="s">
        <v>634</v>
      </c>
      <c r="D17" s="4619" t="s">
        <v>70</v>
      </c>
      <c r="E17" s="4622" t="s">
        <v>37</v>
      </c>
      <c r="F17" s="4623"/>
      <c r="G17" s="4623"/>
      <c r="H17" s="4623"/>
      <c r="I17" s="4623"/>
      <c r="J17" s="4585" t="s">
        <v>73</v>
      </c>
      <c r="K17" s="4585"/>
      <c r="L17" s="4585"/>
      <c r="M17" s="4585"/>
      <c r="N17" s="4585"/>
      <c r="O17" s="4586" t="s">
        <v>249</v>
      </c>
      <c r="P17" s="4586"/>
      <c r="Q17" s="4586"/>
      <c r="R17" s="4586"/>
      <c r="S17" s="4586"/>
      <c r="T17" s="4586"/>
      <c r="U17" s="4586"/>
      <c r="V17" s="4586"/>
      <c r="W17" s="4586"/>
      <c r="X17" s="4586"/>
      <c r="Y17" s="4586"/>
      <c r="Z17" s="4586"/>
      <c r="AA17" s="4586"/>
      <c r="AB17" s="4586"/>
      <c r="AC17" s="4587"/>
    </row>
    <row r="18" spans="1:135" ht="20.25" customHeight="1">
      <c r="A18" s="2771"/>
      <c r="B18" s="4614"/>
      <c r="C18" s="4617"/>
      <c r="D18" s="4620"/>
      <c r="E18" s="4588" t="s">
        <v>337</v>
      </c>
      <c r="F18" s="4589"/>
      <c r="G18" s="4589"/>
      <c r="H18" s="4589"/>
      <c r="I18" s="4589"/>
      <c r="J18" s="4589"/>
      <c r="K18" s="4589"/>
      <c r="L18" s="4589"/>
      <c r="M18" s="4589"/>
      <c r="N18" s="4589"/>
      <c r="O18" s="4589"/>
      <c r="P18" s="4589"/>
      <c r="Q18" s="4589"/>
      <c r="R18" s="4589"/>
      <c r="S18" s="4589"/>
      <c r="T18" s="4589"/>
      <c r="U18" s="4589"/>
      <c r="V18" s="4589"/>
      <c r="W18" s="4589"/>
      <c r="X18" s="4589"/>
      <c r="Y18" s="4589"/>
      <c r="Z18" s="4589"/>
      <c r="AA18" s="4589"/>
      <c r="AB18" s="4589"/>
      <c r="AC18" s="4590"/>
    </row>
    <row r="19" spans="1:135" ht="20.25" customHeight="1">
      <c r="A19" s="2771"/>
      <c r="B19" s="4614"/>
      <c r="C19" s="4617"/>
      <c r="D19" s="4620"/>
      <c r="E19" s="4588" t="s">
        <v>54</v>
      </c>
      <c r="F19" s="4589"/>
      <c r="G19" s="4591"/>
      <c r="H19" s="4592" t="s">
        <v>377</v>
      </c>
      <c r="I19" s="4593"/>
      <c r="J19" s="4593"/>
      <c r="K19" s="4593"/>
      <c r="L19" s="4593"/>
      <c r="M19" s="4593"/>
      <c r="N19" s="4593"/>
      <c r="O19" s="4593"/>
      <c r="P19" s="4593"/>
      <c r="Q19" s="4593"/>
      <c r="R19" s="4593"/>
      <c r="S19" s="4593"/>
      <c r="T19" s="4593"/>
      <c r="U19" s="4593"/>
      <c r="V19" s="4593"/>
      <c r="W19" s="4593"/>
      <c r="X19" s="4593"/>
      <c r="Y19" s="4593"/>
      <c r="Z19" s="4593"/>
      <c r="AA19" s="4593"/>
      <c r="AB19" s="4593"/>
      <c r="AC19" s="4594"/>
    </row>
    <row r="20" spans="1:135" ht="20.25" customHeight="1" thickBot="1">
      <c r="A20" s="2771"/>
      <c r="B20" s="4615"/>
      <c r="C20" s="4618"/>
      <c r="D20" s="4621"/>
      <c r="E20" s="3017">
        <f>CRCP_y1</f>
        <v>2013</v>
      </c>
      <c r="F20" s="3017">
        <f>CRCP_y2</f>
        <v>2014</v>
      </c>
      <c r="G20" s="3017">
        <f>CRCP_y3</f>
        <v>2015</v>
      </c>
      <c r="H20" s="3017">
        <f>CRCP_y4</f>
        <v>2016</v>
      </c>
      <c r="I20" s="3017">
        <f>CRCP_y5</f>
        <v>2017</v>
      </c>
      <c r="J20" s="3017" t="str">
        <f>CONCATENATE(IF(dms_RPT="Calendar",I20+1,(LEFT(I20,4)+1&amp;"-"&amp;IF(MID(I20,6,2)&lt;"09","0"&amp;RIGHT(I20,1)+1,RIGHT(I20,2)+1))))</f>
        <v>2018</v>
      </c>
      <c r="K20" s="3017" t="str">
        <f t="shared" ref="K20:AC20" si="0">CONCATENATE(IF(dms_RPT="Calendar",J20+1,(LEFT(J20,4)+1&amp;"-"&amp;IF(MID(J20,6,2)&lt;"09","0"&amp;RIGHT(J20,1)+1,RIGHT(J20,2)+1))))</f>
        <v>2019</v>
      </c>
      <c r="L20" s="3017" t="str">
        <f t="shared" si="0"/>
        <v>2020</v>
      </c>
      <c r="M20" s="3017" t="str">
        <f t="shared" si="0"/>
        <v>2021</v>
      </c>
      <c r="N20" s="3017" t="str">
        <f t="shared" si="0"/>
        <v>2022</v>
      </c>
      <c r="O20" s="3017" t="str">
        <f t="shared" si="0"/>
        <v>2023</v>
      </c>
      <c r="P20" s="3017" t="str">
        <f t="shared" si="0"/>
        <v>2024</v>
      </c>
      <c r="Q20" s="3017" t="str">
        <f t="shared" si="0"/>
        <v>2025</v>
      </c>
      <c r="R20" s="3017" t="str">
        <f t="shared" si="0"/>
        <v>2026</v>
      </c>
      <c r="S20" s="3017" t="str">
        <f t="shared" si="0"/>
        <v>2027</v>
      </c>
      <c r="T20" s="3017" t="str">
        <f t="shared" si="0"/>
        <v>2028</v>
      </c>
      <c r="U20" s="3017" t="str">
        <f t="shared" si="0"/>
        <v>2029</v>
      </c>
      <c r="V20" s="3017" t="str">
        <f t="shared" si="0"/>
        <v>2030</v>
      </c>
      <c r="W20" s="3017" t="str">
        <f t="shared" si="0"/>
        <v>2031</v>
      </c>
      <c r="X20" s="3017" t="str">
        <f t="shared" si="0"/>
        <v>2032</v>
      </c>
      <c r="Y20" s="3017" t="str">
        <f t="shared" si="0"/>
        <v>2033</v>
      </c>
      <c r="Z20" s="3017" t="str">
        <f t="shared" si="0"/>
        <v>2034</v>
      </c>
      <c r="AA20" s="3017" t="str">
        <f t="shared" si="0"/>
        <v>2035</v>
      </c>
      <c r="AB20" s="3017" t="str">
        <f t="shared" si="0"/>
        <v>2036</v>
      </c>
      <c r="AC20" s="3017" t="str">
        <f t="shared" si="0"/>
        <v>2037</v>
      </c>
    </row>
    <row r="21" spans="1:135" s="3019" customFormat="1" ht="18.75" customHeight="1" thickBot="1">
      <c r="A21" s="3013"/>
      <c r="B21" s="2783" t="s">
        <v>1640</v>
      </c>
      <c r="C21" s="2784"/>
      <c r="D21" s="2784"/>
      <c r="E21" s="2784"/>
      <c r="F21" s="2784"/>
      <c r="G21" s="2784"/>
      <c r="H21" s="2784"/>
      <c r="I21" s="2784"/>
      <c r="J21" s="2784"/>
      <c r="K21" s="3018"/>
      <c r="L21" s="3018"/>
      <c r="M21" s="3018"/>
      <c r="N21" s="3018"/>
      <c r="O21" s="3018"/>
      <c r="P21" s="3018"/>
      <c r="Q21" s="3018"/>
      <c r="R21" s="3018"/>
      <c r="S21" s="3018"/>
      <c r="T21" s="3018"/>
      <c r="U21" s="3018"/>
      <c r="V21" s="3018"/>
      <c r="W21" s="3018"/>
      <c r="X21" s="3018"/>
      <c r="Y21" s="3018"/>
      <c r="Z21" s="3018"/>
      <c r="AA21" s="3018"/>
      <c r="AB21" s="3018"/>
      <c r="AC21" s="2785"/>
      <c r="AD21" s="2524"/>
      <c r="AE21" s="2524"/>
      <c r="AF21" s="2524"/>
      <c r="DF21" s="2524"/>
      <c r="DG21" s="2524"/>
      <c r="DH21" s="2524"/>
      <c r="DI21" s="2524"/>
      <c r="DJ21" s="2524"/>
      <c r="DK21" s="2524"/>
      <c r="DL21" s="2524"/>
      <c r="DM21" s="2524"/>
      <c r="DN21" s="2524"/>
      <c r="DO21" s="2524"/>
      <c r="DP21" s="2524"/>
      <c r="DQ21" s="2524"/>
      <c r="DR21" s="2524"/>
      <c r="DS21" s="2524"/>
      <c r="DT21" s="2524"/>
      <c r="DU21" s="2524"/>
      <c r="DV21" s="2524"/>
      <c r="DW21" s="2524"/>
      <c r="DX21" s="2524"/>
      <c r="DY21" s="2524"/>
      <c r="DZ21" s="2524"/>
      <c r="EA21" s="2524"/>
      <c r="EB21" s="2524"/>
      <c r="EC21" s="2524"/>
      <c r="ED21" s="2524"/>
      <c r="EE21" s="2524"/>
    </row>
    <row r="22" spans="1:135" s="3020" customFormat="1">
      <c r="B22" s="4604" t="str">
        <f>+'29.2.2 Gas extenstions cust no'!B23</f>
        <v>Declining block tariff</v>
      </c>
      <c r="C22" s="4606" t="s">
        <v>47</v>
      </c>
      <c r="D22" s="4607"/>
      <c r="E22" s="3021">
        <f>+'29.2.2 Gas extenstions cust no'!D25</f>
        <v>0</v>
      </c>
      <c r="F22" s="3022">
        <f>+'29.2.2 Gas extenstions cust no'!E25</f>
        <v>0</v>
      </c>
      <c r="G22" s="3022">
        <f>+'29.2.2 Gas extenstions cust no'!F25</f>
        <v>0</v>
      </c>
      <c r="H22" s="3022">
        <f>+'29.2.2 Gas extenstions cust no'!G25</f>
        <v>0</v>
      </c>
      <c r="I22" s="3023">
        <f>+'29.2.2 Gas extenstions cust no'!H25</f>
        <v>0</v>
      </c>
      <c r="J22" s="3024">
        <f>+'29.2.2 Gas extenstions cust no'!I25</f>
        <v>184.10337148037854</v>
      </c>
      <c r="K22" s="3025">
        <f>+'29.2.2 Gas extenstions cust no'!J25</f>
        <v>506.28427157104102</v>
      </c>
      <c r="L22" s="3025">
        <f>+'29.2.2 Gas extenstions cust no'!K25</f>
        <v>747.9199466390379</v>
      </c>
      <c r="M22" s="3025">
        <f>+'29.2.2 Gas extenstions cust no'!L25</f>
        <v>929.14670294003554</v>
      </c>
      <c r="N22" s="3026">
        <f>+'29.2.2 Gas extenstions cust no'!M25</f>
        <v>1065.0667701657837</v>
      </c>
      <c r="O22" s="3027">
        <f>+'29.2.2 Gas extenstions cust no'!N25</f>
        <v>1167.5162255951223</v>
      </c>
      <c r="P22" s="3025">
        <f>+'29.2.2 Gas extenstions cust no'!O25</f>
        <v>1244.8627221771535</v>
      </c>
      <c r="Q22" s="3025">
        <f>+'29.2.2 Gas extenstions cust no'!P25</f>
        <v>1302.8725946136769</v>
      </c>
      <c r="R22" s="3025">
        <f>+'29.2.2 Gas extenstions cust no'!Q25</f>
        <v>1346.3799989410695</v>
      </c>
      <c r="S22" s="3025">
        <f>+'29.2.2 Gas extenstions cust no'!R25</f>
        <v>1379.0105521866139</v>
      </c>
      <c r="T22" s="3025">
        <f>+'29.2.2 Gas extenstions cust no'!S25</f>
        <v>1403.4834671207723</v>
      </c>
      <c r="U22" s="3025">
        <f>+'29.2.2 Gas extenstions cust no'!T25</f>
        <v>1421.838153321391</v>
      </c>
      <c r="V22" s="3025">
        <f>+'29.2.2 Gas extenstions cust no'!U25</f>
        <v>1435.6041679718551</v>
      </c>
      <c r="W22" s="3025">
        <f>+'29.2.2 Gas extenstions cust no'!V25</f>
        <v>1445.9286789597031</v>
      </c>
      <c r="X22" s="3025">
        <f>+'29.2.2 Gas extenstions cust no'!W25</f>
        <v>1453.6720622005892</v>
      </c>
      <c r="Y22" s="3025">
        <f>+'29.2.2 Gas extenstions cust no'!X25</f>
        <v>1459.4795996312537</v>
      </c>
      <c r="Z22" s="3025">
        <f>+'29.2.2 Gas extenstions cust no'!Y25</f>
        <v>1463.8352527042521</v>
      </c>
      <c r="AA22" s="3025">
        <f>+'29.2.2 Gas extenstions cust no'!Z25</f>
        <v>1467.1019925090009</v>
      </c>
      <c r="AB22" s="3025">
        <f>+'29.2.2 Gas extenstions cust no'!AA25</f>
        <v>1469.5520473625625</v>
      </c>
      <c r="AC22" s="3026">
        <f>+'29.2.2 Gas extenstions cust no'!AB25</f>
        <v>1471.3895885027337</v>
      </c>
      <c r="AD22" s="2524"/>
      <c r="AE22" s="2524"/>
      <c r="AF22" s="3028"/>
      <c r="AG22" s="3028"/>
      <c r="AH22" s="3028"/>
      <c r="AI22" s="3028"/>
      <c r="AJ22" s="3028"/>
      <c r="AK22" s="3028"/>
      <c r="AL22" s="3028"/>
      <c r="AM22" s="3028"/>
      <c r="AN22" s="3028"/>
      <c r="AO22" s="3028"/>
      <c r="AP22" s="3028"/>
      <c r="AQ22" s="3028"/>
      <c r="AR22" s="3028"/>
      <c r="AS22" s="3028"/>
      <c r="AT22" s="3028"/>
      <c r="AU22" s="3028"/>
      <c r="AV22" s="3028"/>
      <c r="AW22" s="3028"/>
      <c r="AX22" s="3028"/>
      <c r="AY22" s="3028"/>
      <c r="AZ22" s="3028"/>
      <c r="BA22" s="3028"/>
      <c r="BB22" s="3028"/>
      <c r="BC22" s="3028"/>
      <c r="BD22" s="3028"/>
      <c r="BE22" s="3028"/>
      <c r="BF22" s="3028"/>
      <c r="BG22" s="3028"/>
      <c r="BH22" s="3028"/>
      <c r="BI22" s="3028"/>
      <c r="BJ22" s="3028"/>
      <c r="BK22" s="3028"/>
      <c r="BL22" s="3028"/>
      <c r="BM22" s="3028"/>
      <c r="BN22" s="3028"/>
      <c r="BO22" s="3028"/>
      <c r="BP22" s="3028"/>
      <c r="BQ22" s="3028"/>
      <c r="BR22" s="3028"/>
      <c r="BS22" s="3028"/>
      <c r="BT22" s="3028"/>
      <c r="BU22" s="3028"/>
      <c r="BV22" s="3028"/>
      <c r="BW22" s="3028"/>
      <c r="BX22" s="3028"/>
      <c r="BY22" s="3028"/>
      <c r="BZ22" s="3028"/>
      <c r="CA22" s="3028"/>
      <c r="CB22" s="3028"/>
      <c r="CC22" s="3028"/>
      <c r="CD22" s="3028"/>
      <c r="CE22" s="3028"/>
      <c r="CF22" s="3028"/>
      <c r="CG22" s="3028"/>
      <c r="CH22" s="3028"/>
      <c r="CI22" s="3028"/>
      <c r="CJ22" s="3028"/>
      <c r="CK22" s="3028"/>
      <c r="CL22" s="3028"/>
      <c r="CM22" s="3028"/>
      <c r="CN22" s="3028"/>
      <c r="CO22" s="3028"/>
      <c r="CP22" s="3028"/>
      <c r="CQ22" s="3028"/>
      <c r="CR22" s="3028"/>
      <c r="CS22" s="3028"/>
      <c r="CT22" s="3028"/>
      <c r="CU22" s="3028"/>
      <c r="CV22" s="3028"/>
      <c r="CW22" s="3028"/>
      <c r="CX22" s="3028"/>
      <c r="CY22" s="3028"/>
      <c r="CZ22" s="3028"/>
      <c r="DA22" s="3028"/>
      <c r="DB22" s="3028"/>
      <c r="DC22" s="3028"/>
      <c r="DD22" s="3028"/>
      <c r="DE22" s="3028"/>
      <c r="DF22" s="3028"/>
      <c r="DG22" s="3028"/>
      <c r="DH22" s="3028"/>
      <c r="DI22" s="3028"/>
      <c r="DJ22" s="3028"/>
      <c r="DK22" s="3028"/>
      <c r="DL22" s="3028"/>
      <c r="DM22" s="3028"/>
      <c r="DN22" s="3028"/>
      <c r="DO22" s="3028"/>
      <c r="DP22" s="3028"/>
    </row>
    <row r="23" spans="1:135" s="3020" customFormat="1">
      <c r="B23" s="4604"/>
      <c r="C23" s="3029" t="s">
        <v>1600</v>
      </c>
      <c r="D23" s="3030" t="s">
        <v>1601</v>
      </c>
      <c r="E23" s="3114"/>
      <c r="F23" s="3115"/>
      <c r="G23" s="3115"/>
      <c r="H23" s="3115"/>
      <c r="I23" s="625">
        <v>0</v>
      </c>
      <c r="J23" s="459">
        <v>1738.0796845438194</v>
      </c>
      <c r="K23" s="458">
        <v>4461.0124506917864</v>
      </c>
      <c r="L23" s="458">
        <v>6308.5262128150907</v>
      </c>
      <c r="M23" s="458">
        <v>7596.0110278754091</v>
      </c>
      <c r="N23" s="460">
        <v>8350.1064918286847</v>
      </c>
      <c r="O23" s="459">
        <f>+O$22*(N23/N$22)</f>
        <v>9153.3085884743959</v>
      </c>
      <c r="P23" s="458">
        <f>+P$22*(O23/O$22)</f>
        <v>9759.7038881130229</v>
      </c>
      <c r="Q23" s="458">
        <f t="shared" ref="Q23:AC30" si="1">+Q$22*(P23/P$22)</f>
        <v>10214.500362841993</v>
      </c>
      <c r="R23" s="458">
        <f t="shared" si="1"/>
        <v>10555.597718888719</v>
      </c>
      <c r="S23" s="458">
        <f t="shared" si="1"/>
        <v>10811.420735923764</v>
      </c>
      <c r="T23" s="458">
        <f t="shared" si="1"/>
        <v>11003.287998700049</v>
      </c>
      <c r="U23" s="458">
        <f t="shared" si="1"/>
        <v>11147.188445782262</v>
      </c>
      <c r="V23" s="458">
        <f t="shared" si="1"/>
        <v>11255.113781093922</v>
      </c>
      <c r="W23" s="458">
        <f t="shared" si="1"/>
        <v>11336.057782577667</v>
      </c>
      <c r="X23" s="458">
        <f t="shared" si="1"/>
        <v>11396.765783690476</v>
      </c>
      <c r="Y23" s="458">
        <f t="shared" si="1"/>
        <v>11442.296784525084</v>
      </c>
      <c r="Z23" s="458">
        <f t="shared" si="1"/>
        <v>11476.44503515104</v>
      </c>
      <c r="AA23" s="458">
        <f t="shared" si="1"/>
        <v>11502.056223120508</v>
      </c>
      <c r="AB23" s="458">
        <f t="shared" si="1"/>
        <v>11521.264614097607</v>
      </c>
      <c r="AC23" s="460">
        <f t="shared" si="1"/>
        <v>11535.670907330432</v>
      </c>
      <c r="AD23" s="2524"/>
      <c r="AE23" s="2524"/>
      <c r="AF23" s="3028"/>
      <c r="AG23" s="3028"/>
      <c r="AH23" s="3028"/>
      <c r="AI23" s="3028"/>
      <c r="AJ23" s="3028"/>
      <c r="AK23" s="3028"/>
      <c r="AL23" s="3028"/>
      <c r="AM23" s="3028"/>
      <c r="AN23" s="3028"/>
      <c r="AO23" s="3028"/>
      <c r="AP23" s="3028"/>
      <c r="AQ23" s="3028"/>
      <c r="AR23" s="3028"/>
      <c r="AS23" s="3028"/>
      <c r="AT23" s="3028"/>
      <c r="AU23" s="3028"/>
      <c r="AV23" s="3028"/>
      <c r="AW23" s="3028"/>
      <c r="AX23" s="3028"/>
      <c r="AY23" s="3028"/>
      <c r="AZ23" s="3028"/>
      <c r="BA23" s="3028"/>
      <c r="BB23" s="3028"/>
      <c r="BC23" s="3028"/>
      <c r="BD23" s="3028"/>
      <c r="BE23" s="3028"/>
      <c r="BF23" s="3028"/>
      <c r="BG23" s="3028"/>
      <c r="BH23" s="3028"/>
      <c r="BI23" s="3028"/>
      <c r="BJ23" s="3028"/>
      <c r="BK23" s="3028"/>
      <c r="BL23" s="3028"/>
      <c r="BM23" s="3028"/>
      <c r="BN23" s="3028"/>
      <c r="BO23" s="3028"/>
      <c r="BP23" s="3028"/>
      <c r="BQ23" s="3028"/>
      <c r="BR23" s="3028"/>
      <c r="BS23" s="3028"/>
      <c r="BT23" s="3028"/>
      <c r="BU23" s="3028"/>
      <c r="BV23" s="3028"/>
      <c r="BW23" s="3028"/>
      <c r="BX23" s="3028"/>
      <c r="BY23" s="3028"/>
      <c r="BZ23" s="3028"/>
      <c r="CA23" s="3028"/>
      <c r="CB23" s="3028"/>
      <c r="CC23" s="3028"/>
      <c r="CD23" s="3028"/>
      <c r="CE23" s="3028"/>
      <c r="CF23" s="3028"/>
      <c r="CG23" s="3028"/>
      <c r="CH23" s="3028"/>
      <c r="CI23" s="3028"/>
      <c r="CJ23" s="3028"/>
      <c r="CK23" s="3028"/>
      <c r="CL23" s="3028"/>
      <c r="CM23" s="3028"/>
      <c r="CN23" s="3028"/>
      <c r="CO23" s="3028"/>
      <c r="CP23" s="3028"/>
      <c r="CQ23" s="3028"/>
      <c r="CR23" s="3028"/>
      <c r="CS23" s="3028"/>
      <c r="CT23" s="3028"/>
      <c r="CU23" s="3028"/>
      <c r="CV23" s="3028"/>
      <c r="CW23" s="3028"/>
      <c r="CX23" s="3028"/>
      <c r="CY23" s="3028"/>
      <c r="CZ23" s="3028"/>
      <c r="DA23" s="3028"/>
      <c r="DB23" s="3028"/>
      <c r="DC23" s="3028"/>
      <c r="DD23" s="3028"/>
      <c r="DE23" s="3028"/>
      <c r="DF23" s="3028"/>
      <c r="DG23" s="3028"/>
      <c r="DH23" s="3028"/>
      <c r="DI23" s="3028"/>
      <c r="DJ23" s="3028"/>
      <c r="DK23" s="3028"/>
      <c r="DL23" s="3028"/>
      <c r="DM23" s="3028"/>
      <c r="DN23" s="3028"/>
      <c r="DO23" s="3028"/>
      <c r="DP23" s="3028"/>
    </row>
    <row r="24" spans="1:135" s="3020" customFormat="1">
      <c r="B24" s="4604"/>
      <c r="C24" s="3029" t="s">
        <v>1602</v>
      </c>
      <c r="D24" s="3030" t="s">
        <v>1603</v>
      </c>
      <c r="E24" s="3114"/>
      <c r="F24" s="3115"/>
      <c r="G24" s="3115"/>
      <c r="H24" s="3115"/>
      <c r="I24" s="625">
        <v>0</v>
      </c>
      <c r="J24" s="459">
        <v>1075.5213351712175</v>
      </c>
      <c r="K24" s="458">
        <v>2754.8838638244879</v>
      </c>
      <c r="L24" s="458">
        <v>3886.7494808054553</v>
      </c>
      <c r="M24" s="458">
        <v>4668.0444192067571</v>
      </c>
      <c r="N24" s="460">
        <v>5117.4866397628393</v>
      </c>
      <c r="O24" s="459">
        <f t="shared" ref="O24:P30" si="2">+O$22*(N24/N$22)</f>
        <v>5609.7409604276463</v>
      </c>
      <c r="P24" s="458">
        <f t="shared" si="2"/>
        <v>5981.3793158608887</v>
      </c>
      <c r="Q24" s="458">
        <f t="shared" si="1"/>
        <v>6260.1080824358205</v>
      </c>
      <c r="R24" s="458">
        <f t="shared" si="1"/>
        <v>6469.1546573670194</v>
      </c>
      <c r="S24" s="458">
        <f t="shared" si="1"/>
        <v>6625.9395885654185</v>
      </c>
      <c r="T24" s="458">
        <f t="shared" si="1"/>
        <v>6743.5282869642178</v>
      </c>
      <c r="U24" s="458">
        <f t="shared" si="1"/>
        <v>6831.7198107633176</v>
      </c>
      <c r="V24" s="458">
        <f t="shared" si="1"/>
        <v>6897.8634536126419</v>
      </c>
      <c r="W24" s="458">
        <f t="shared" si="1"/>
        <v>6947.4711857496359</v>
      </c>
      <c r="X24" s="458">
        <f t="shared" si="1"/>
        <v>6984.6769848523809</v>
      </c>
      <c r="Y24" s="458">
        <f t="shared" si="1"/>
        <v>7012.5813341794401</v>
      </c>
      <c r="Z24" s="458">
        <f t="shared" si="1"/>
        <v>7033.5095961747338</v>
      </c>
      <c r="AA24" s="458">
        <f t="shared" si="1"/>
        <v>7049.2057926712041</v>
      </c>
      <c r="AB24" s="458">
        <f t="shared" si="1"/>
        <v>7060.9779400435573</v>
      </c>
      <c r="AC24" s="460">
        <f t="shared" si="1"/>
        <v>7069.8070505728219</v>
      </c>
      <c r="AD24" s="2524"/>
      <c r="AE24" s="2524"/>
      <c r="AF24" s="3028"/>
      <c r="AG24" s="3028"/>
      <c r="AH24" s="3028"/>
      <c r="AI24" s="3028"/>
      <c r="AJ24" s="3028"/>
      <c r="AK24" s="3028"/>
      <c r="AL24" s="3028"/>
      <c r="AM24" s="3028"/>
      <c r="AN24" s="3028"/>
      <c r="AO24" s="3028"/>
      <c r="AP24" s="3028"/>
      <c r="AQ24" s="3028"/>
      <c r="AR24" s="3028"/>
      <c r="AS24" s="3028"/>
      <c r="AT24" s="3028"/>
      <c r="AU24" s="3028"/>
      <c r="AV24" s="3028"/>
      <c r="AW24" s="3028"/>
      <c r="AX24" s="3028"/>
      <c r="AY24" s="3028"/>
      <c r="AZ24" s="3028"/>
      <c r="BA24" s="3028"/>
      <c r="BB24" s="3028"/>
      <c r="BC24" s="3028"/>
      <c r="BD24" s="3028"/>
      <c r="BE24" s="3028"/>
      <c r="BF24" s="3028"/>
      <c r="BG24" s="3028"/>
      <c r="BH24" s="3028"/>
      <c r="BI24" s="3028"/>
      <c r="BJ24" s="3028"/>
      <c r="BK24" s="3028"/>
      <c r="BL24" s="3028"/>
      <c r="BM24" s="3028"/>
      <c r="BN24" s="3028"/>
      <c r="BO24" s="3028"/>
      <c r="BP24" s="3028"/>
      <c r="BQ24" s="3028"/>
      <c r="BR24" s="3028"/>
      <c r="BS24" s="3028"/>
      <c r="BT24" s="3028"/>
      <c r="BU24" s="3028"/>
      <c r="BV24" s="3028"/>
      <c r="BW24" s="3028"/>
      <c r="BX24" s="3028"/>
      <c r="BY24" s="3028"/>
      <c r="BZ24" s="3028"/>
      <c r="CA24" s="3028"/>
      <c r="CB24" s="3028"/>
      <c r="CC24" s="3028"/>
      <c r="CD24" s="3028"/>
      <c r="CE24" s="3028"/>
      <c r="CF24" s="3028"/>
      <c r="CG24" s="3028"/>
      <c r="CH24" s="3028"/>
      <c r="CI24" s="3028"/>
      <c r="CJ24" s="3028"/>
      <c r="CK24" s="3028"/>
      <c r="CL24" s="3028"/>
      <c r="CM24" s="3028"/>
      <c r="CN24" s="3028"/>
      <c r="CO24" s="3028"/>
      <c r="CP24" s="3028"/>
      <c r="CQ24" s="3028"/>
      <c r="CR24" s="3028"/>
      <c r="CS24" s="3028"/>
      <c r="CT24" s="3028"/>
      <c r="CU24" s="3028"/>
      <c r="CV24" s="3028"/>
      <c r="CW24" s="3028"/>
      <c r="CX24" s="3028"/>
      <c r="CY24" s="3028"/>
      <c r="CZ24" s="3028"/>
      <c r="DA24" s="3028"/>
      <c r="DB24" s="3028"/>
      <c r="DC24" s="3028"/>
      <c r="DD24" s="3028"/>
      <c r="DE24" s="3028"/>
      <c r="DF24" s="3028"/>
      <c r="DG24" s="3028"/>
      <c r="DH24" s="3028"/>
      <c r="DI24" s="3028"/>
      <c r="DJ24" s="3028"/>
      <c r="DK24" s="3028"/>
      <c r="DL24" s="3028"/>
      <c r="DM24" s="3028"/>
      <c r="DN24" s="3028"/>
      <c r="DO24" s="3028"/>
      <c r="DP24" s="3028"/>
    </row>
    <row r="25" spans="1:135" s="3020" customFormat="1">
      <c r="B25" s="4604"/>
      <c r="C25" s="3029" t="s">
        <v>1604</v>
      </c>
      <c r="D25" s="3030" t="s">
        <v>1605</v>
      </c>
      <c r="E25" s="3114"/>
      <c r="F25" s="3115"/>
      <c r="G25" s="3115"/>
      <c r="H25" s="3115"/>
      <c r="I25" s="625">
        <v>0</v>
      </c>
      <c r="J25" s="459">
        <v>1393.7372181045798</v>
      </c>
      <c r="K25" s="458">
        <v>3540.652934387449</v>
      </c>
      <c r="L25" s="458">
        <v>4973.8089836856943</v>
      </c>
      <c r="M25" s="458">
        <v>5961.230006516862</v>
      </c>
      <c r="N25" s="460">
        <v>6541.5616579654261</v>
      </c>
      <c r="O25" s="459">
        <f t="shared" si="2"/>
        <v>7170.7986675959883</v>
      </c>
      <c r="P25" s="458">
        <f t="shared" si="2"/>
        <v>7645.8551528717544</v>
      </c>
      <c r="Q25" s="458">
        <f t="shared" si="1"/>
        <v>8002.1475168285788</v>
      </c>
      <c r="R25" s="458">
        <f t="shared" si="1"/>
        <v>8269.3667897961968</v>
      </c>
      <c r="S25" s="458">
        <f t="shared" si="1"/>
        <v>8469.7812445219097</v>
      </c>
      <c r="T25" s="458">
        <f t="shared" si="1"/>
        <v>8620.0920855661952</v>
      </c>
      <c r="U25" s="458">
        <f t="shared" si="1"/>
        <v>8732.8252163494089</v>
      </c>
      <c r="V25" s="458">
        <f t="shared" si="1"/>
        <v>8817.3750644368192</v>
      </c>
      <c r="W25" s="458">
        <f t="shared" si="1"/>
        <v>8880.7874505023774</v>
      </c>
      <c r="X25" s="458">
        <f t="shared" si="1"/>
        <v>8928.3467400515456</v>
      </c>
      <c r="Y25" s="458">
        <f t="shared" si="1"/>
        <v>8964.0162072134208</v>
      </c>
      <c r="Z25" s="458">
        <f t="shared" si="1"/>
        <v>8990.768307584829</v>
      </c>
      <c r="AA25" s="458">
        <f t="shared" si="1"/>
        <v>9010.8323828633838</v>
      </c>
      <c r="AB25" s="458">
        <f t="shared" si="1"/>
        <v>9025.8804393222999</v>
      </c>
      <c r="AC25" s="460">
        <f t="shared" si="1"/>
        <v>9037.166481666487</v>
      </c>
      <c r="AD25" s="2524"/>
      <c r="AE25" s="2524"/>
      <c r="AF25" s="3028"/>
      <c r="AG25" s="3028"/>
      <c r="AH25" s="3028"/>
      <c r="AI25" s="3028"/>
      <c r="AJ25" s="3028"/>
      <c r="AK25" s="3028"/>
      <c r="AL25" s="3028"/>
      <c r="AM25" s="3028"/>
      <c r="AN25" s="3028"/>
      <c r="AO25" s="3028"/>
      <c r="AP25" s="3028"/>
      <c r="AQ25" s="3028"/>
      <c r="AR25" s="3028"/>
      <c r="AS25" s="3028"/>
      <c r="AT25" s="3028"/>
      <c r="AU25" s="3028"/>
      <c r="AV25" s="3028"/>
      <c r="AW25" s="3028"/>
      <c r="AX25" s="3028"/>
      <c r="AY25" s="3028"/>
      <c r="AZ25" s="3028"/>
      <c r="BA25" s="3028"/>
      <c r="BB25" s="3028"/>
      <c r="BC25" s="3028"/>
      <c r="BD25" s="3028"/>
      <c r="BE25" s="3028"/>
      <c r="BF25" s="3028"/>
      <c r="BG25" s="3028"/>
      <c r="BH25" s="3028"/>
      <c r="BI25" s="3028"/>
      <c r="BJ25" s="3028"/>
      <c r="BK25" s="3028"/>
      <c r="BL25" s="3028"/>
      <c r="BM25" s="3028"/>
      <c r="BN25" s="3028"/>
      <c r="BO25" s="3028"/>
      <c r="BP25" s="3028"/>
      <c r="BQ25" s="3028"/>
      <c r="BR25" s="3028"/>
      <c r="BS25" s="3028"/>
      <c r="BT25" s="3028"/>
      <c r="BU25" s="3028"/>
      <c r="BV25" s="3028"/>
      <c r="BW25" s="3028"/>
      <c r="BX25" s="3028"/>
      <c r="BY25" s="3028"/>
      <c r="BZ25" s="3028"/>
      <c r="CA25" s="3028"/>
      <c r="CB25" s="3028"/>
      <c r="CC25" s="3028"/>
      <c r="CD25" s="3028"/>
      <c r="CE25" s="3028"/>
      <c r="CF25" s="3028"/>
      <c r="CG25" s="3028"/>
      <c r="CH25" s="3028"/>
      <c r="CI25" s="3028"/>
      <c r="CJ25" s="3028"/>
      <c r="CK25" s="3028"/>
      <c r="CL25" s="3028"/>
      <c r="CM25" s="3028"/>
      <c r="CN25" s="3028"/>
      <c r="CO25" s="3028"/>
      <c r="CP25" s="3028"/>
      <c r="CQ25" s="3028"/>
      <c r="CR25" s="3028"/>
      <c r="CS25" s="3028"/>
      <c r="CT25" s="3028"/>
      <c r="CU25" s="3028"/>
      <c r="CV25" s="3028"/>
      <c r="CW25" s="3028"/>
      <c r="CX25" s="3028"/>
      <c r="CY25" s="3028"/>
      <c r="CZ25" s="3028"/>
      <c r="DA25" s="3028"/>
      <c r="DB25" s="3028"/>
      <c r="DC25" s="3028"/>
      <c r="DD25" s="3028"/>
      <c r="DE25" s="3028"/>
      <c r="DF25" s="3028"/>
      <c r="DG25" s="3028"/>
      <c r="DH25" s="3028"/>
      <c r="DI25" s="3028"/>
      <c r="DJ25" s="3028"/>
      <c r="DK25" s="3028"/>
      <c r="DL25" s="3028"/>
      <c r="DM25" s="3028"/>
      <c r="DN25" s="3028"/>
      <c r="DO25" s="3028"/>
      <c r="DP25" s="3028"/>
    </row>
    <row r="26" spans="1:135" s="3020" customFormat="1">
      <c r="B26" s="4604"/>
      <c r="C26" s="3029" t="s">
        <v>1606</v>
      </c>
      <c r="D26" s="3030" t="s">
        <v>1607</v>
      </c>
      <c r="E26" s="3114"/>
      <c r="F26" s="3115"/>
      <c r="G26" s="3115"/>
      <c r="H26" s="3115"/>
      <c r="I26" s="625">
        <v>0</v>
      </c>
      <c r="J26" s="459">
        <v>76.245599306027216</v>
      </c>
      <c r="K26" s="458">
        <v>202.3385888513842</v>
      </c>
      <c r="L26" s="458">
        <v>293.64041715337828</v>
      </c>
      <c r="M26" s="458">
        <v>361.35237152801352</v>
      </c>
      <c r="N26" s="460">
        <v>403.8384100757246</v>
      </c>
      <c r="O26" s="459">
        <f t="shared" si="2"/>
        <v>442.6838856389777</v>
      </c>
      <c r="P26" s="458">
        <f t="shared" si="2"/>
        <v>472.01114199470175</v>
      </c>
      <c r="Q26" s="458">
        <f t="shared" si="1"/>
        <v>494.00658426149482</v>
      </c>
      <c r="R26" s="458">
        <f t="shared" si="1"/>
        <v>510.50316596158956</v>
      </c>
      <c r="S26" s="458">
        <f t="shared" si="1"/>
        <v>522.87560223666071</v>
      </c>
      <c r="T26" s="458">
        <f t="shared" si="1"/>
        <v>532.15492944296409</v>
      </c>
      <c r="U26" s="458">
        <f t="shared" si="1"/>
        <v>539.11442484769157</v>
      </c>
      <c r="V26" s="458">
        <f t="shared" si="1"/>
        <v>544.33404640123717</v>
      </c>
      <c r="W26" s="458">
        <f t="shared" si="1"/>
        <v>548.24876256639641</v>
      </c>
      <c r="X26" s="458">
        <f t="shared" si="1"/>
        <v>551.18479969026589</v>
      </c>
      <c r="Y26" s="458">
        <f t="shared" si="1"/>
        <v>553.38682753316789</v>
      </c>
      <c r="Z26" s="458">
        <f t="shared" si="1"/>
        <v>555.03834841534444</v>
      </c>
      <c r="AA26" s="458">
        <f t="shared" si="1"/>
        <v>556.27698907697686</v>
      </c>
      <c r="AB26" s="458">
        <f t="shared" si="1"/>
        <v>557.20596957320117</v>
      </c>
      <c r="AC26" s="460">
        <f t="shared" si="1"/>
        <v>557.90270494536935</v>
      </c>
      <c r="AD26" s="2524"/>
      <c r="AE26" s="2524"/>
      <c r="AF26" s="3028"/>
      <c r="AG26" s="3028"/>
      <c r="AH26" s="3028"/>
      <c r="AI26" s="3028"/>
      <c r="AJ26" s="3028"/>
      <c r="AK26" s="3028"/>
      <c r="AL26" s="3028"/>
      <c r="AM26" s="3028"/>
      <c r="AN26" s="3028"/>
      <c r="AO26" s="3028"/>
      <c r="AP26" s="3028"/>
      <c r="AQ26" s="3028"/>
      <c r="AR26" s="3028"/>
      <c r="AS26" s="3028"/>
      <c r="AT26" s="3028"/>
      <c r="AU26" s="3028"/>
      <c r="AV26" s="3028"/>
      <c r="AW26" s="3028"/>
      <c r="AX26" s="3028"/>
      <c r="AY26" s="3028"/>
      <c r="AZ26" s="3028"/>
      <c r="BA26" s="3028"/>
      <c r="BB26" s="3028"/>
      <c r="BC26" s="3028"/>
      <c r="BD26" s="3028"/>
      <c r="BE26" s="3028"/>
      <c r="BF26" s="3028"/>
      <c r="BG26" s="3028"/>
      <c r="BH26" s="3028"/>
      <c r="BI26" s="3028"/>
      <c r="BJ26" s="3028"/>
      <c r="BK26" s="3028"/>
      <c r="BL26" s="3028"/>
      <c r="BM26" s="3028"/>
      <c r="BN26" s="3028"/>
      <c r="BO26" s="3028"/>
      <c r="BP26" s="3028"/>
      <c r="BQ26" s="3028"/>
      <c r="BR26" s="3028"/>
      <c r="BS26" s="3028"/>
      <c r="BT26" s="3028"/>
      <c r="BU26" s="3028"/>
      <c r="BV26" s="3028"/>
      <c r="BW26" s="3028"/>
      <c r="BX26" s="3028"/>
      <c r="BY26" s="3028"/>
      <c r="BZ26" s="3028"/>
      <c r="CA26" s="3028"/>
      <c r="CB26" s="3028"/>
      <c r="CC26" s="3028"/>
      <c r="CD26" s="3028"/>
      <c r="CE26" s="3028"/>
      <c r="CF26" s="3028"/>
      <c r="CG26" s="3028"/>
      <c r="CH26" s="3028"/>
      <c r="CI26" s="3028"/>
      <c r="CJ26" s="3028"/>
      <c r="CK26" s="3028"/>
      <c r="CL26" s="3028"/>
      <c r="CM26" s="3028"/>
      <c r="CN26" s="3028"/>
      <c r="CO26" s="3028"/>
      <c r="CP26" s="3028"/>
      <c r="CQ26" s="3028"/>
      <c r="CR26" s="3028"/>
      <c r="CS26" s="3028"/>
      <c r="CT26" s="3028"/>
      <c r="CU26" s="3028"/>
      <c r="CV26" s="3028"/>
      <c r="CW26" s="3028"/>
      <c r="CX26" s="3028"/>
      <c r="CY26" s="3028"/>
      <c r="CZ26" s="3028"/>
      <c r="DA26" s="3028"/>
      <c r="DB26" s="3028"/>
      <c r="DC26" s="3028"/>
      <c r="DD26" s="3028"/>
      <c r="DE26" s="3028"/>
      <c r="DF26" s="3028"/>
      <c r="DG26" s="3028"/>
      <c r="DH26" s="3028"/>
      <c r="DI26" s="3028"/>
      <c r="DJ26" s="3028"/>
      <c r="DK26" s="3028"/>
      <c r="DL26" s="3028"/>
      <c r="DM26" s="3028"/>
      <c r="DN26" s="3028"/>
      <c r="DO26" s="3028"/>
      <c r="DP26" s="3028"/>
    </row>
    <row r="27" spans="1:135" s="3020" customFormat="1">
      <c r="B27" s="4604"/>
      <c r="C27" s="3031" t="s">
        <v>1608</v>
      </c>
      <c r="D27" s="3030" t="s">
        <v>1609</v>
      </c>
      <c r="E27" s="3114"/>
      <c r="F27" s="3115"/>
      <c r="G27" s="3115"/>
      <c r="H27" s="3115"/>
      <c r="I27" s="625">
        <v>0</v>
      </c>
      <c r="J27" s="459">
        <v>1946.760390578474</v>
      </c>
      <c r="K27" s="458">
        <v>4910.2985023184337</v>
      </c>
      <c r="L27" s="458">
        <v>6849.9265064645488</v>
      </c>
      <c r="M27" s="458">
        <v>8153.3040567485778</v>
      </c>
      <c r="N27" s="460">
        <v>8885.7576790466373</v>
      </c>
      <c r="O27" s="459">
        <f t="shared" si="2"/>
        <v>9740.4844067931899</v>
      </c>
      <c r="P27" s="458">
        <f t="shared" si="2"/>
        <v>10385.779373459138</v>
      </c>
      <c r="Q27" s="458">
        <f t="shared" si="1"/>
        <v>10869.750598458601</v>
      </c>
      <c r="R27" s="458">
        <f t="shared" si="1"/>
        <v>11232.729017208196</v>
      </c>
      <c r="S27" s="458">
        <f t="shared" si="1"/>
        <v>11504.962831270394</v>
      </c>
      <c r="T27" s="458">
        <f t="shared" si="1"/>
        <v>11709.138191817041</v>
      </c>
      <c r="U27" s="458">
        <f t="shared" si="1"/>
        <v>11862.269712227026</v>
      </c>
      <c r="V27" s="458">
        <f t="shared" si="1"/>
        <v>11977.118352534515</v>
      </c>
      <c r="W27" s="458">
        <f t="shared" si="1"/>
        <v>12063.254832765133</v>
      </c>
      <c r="X27" s="458">
        <f t="shared" si="1"/>
        <v>12127.857192938096</v>
      </c>
      <c r="Y27" s="458">
        <f t="shared" si="1"/>
        <v>12176.308963067817</v>
      </c>
      <c r="Z27" s="458">
        <f t="shared" si="1"/>
        <v>12212.647790665109</v>
      </c>
      <c r="AA27" s="458">
        <f t="shared" si="1"/>
        <v>12239.901911363077</v>
      </c>
      <c r="AB27" s="458">
        <f t="shared" si="1"/>
        <v>12260.342501886555</v>
      </c>
      <c r="AC27" s="460">
        <f t="shared" si="1"/>
        <v>12275.672944779162</v>
      </c>
      <c r="AD27" s="2524"/>
      <c r="AE27" s="2524"/>
      <c r="AF27" s="3028"/>
      <c r="AG27" s="3028"/>
      <c r="AH27" s="3028"/>
      <c r="AI27" s="3028"/>
      <c r="AJ27" s="3028"/>
      <c r="AK27" s="3028"/>
      <c r="AL27" s="3028"/>
      <c r="AM27" s="3028"/>
      <c r="AN27" s="3028"/>
      <c r="AO27" s="3028"/>
      <c r="AP27" s="3028"/>
      <c r="AQ27" s="3028"/>
      <c r="AR27" s="3028"/>
      <c r="AS27" s="3028"/>
      <c r="AT27" s="3028"/>
      <c r="AU27" s="3028"/>
      <c r="AV27" s="3028"/>
      <c r="AW27" s="3028"/>
      <c r="AX27" s="3028"/>
      <c r="AY27" s="3028"/>
      <c r="AZ27" s="3028"/>
      <c r="BA27" s="3028"/>
      <c r="BB27" s="3028"/>
      <c r="BC27" s="3028"/>
      <c r="BD27" s="3028"/>
      <c r="BE27" s="3028"/>
      <c r="BF27" s="3028"/>
      <c r="BG27" s="3028"/>
      <c r="BH27" s="3028"/>
      <c r="BI27" s="3028"/>
      <c r="BJ27" s="3028"/>
      <c r="BK27" s="3028"/>
      <c r="BL27" s="3028"/>
      <c r="BM27" s="3028"/>
      <c r="BN27" s="3028"/>
      <c r="BO27" s="3028"/>
      <c r="BP27" s="3028"/>
      <c r="BQ27" s="3028"/>
      <c r="BR27" s="3028"/>
      <c r="BS27" s="3028"/>
      <c r="BT27" s="3028"/>
      <c r="BU27" s="3028"/>
      <c r="BV27" s="3028"/>
      <c r="BW27" s="3028"/>
      <c r="BX27" s="3028"/>
      <c r="BY27" s="3028"/>
      <c r="BZ27" s="3028"/>
      <c r="CA27" s="3028"/>
      <c r="CB27" s="3028"/>
      <c r="CC27" s="3028"/>
      <c r="CD27" s="3028"/>
      <c r="CE27" s="3028"/>
      <c r="CF27" s="3028"/>
      <c r="CG27" s="3028"/>
      <c r="CH27" s="3028"/>
      <c r="CI27" s="3028"/>
      <c r="CJ27" s="3028"/>
      <c r="CK27" s="3028"/>
      <c r="CL27" s="3028"/>
      <c r="CM27" s="3028"/>
      <c r="CN27" s="3028"/>
      <c r="CO27" s="3028"/>
      <c r="CP27" s="3028"/>
      <c r="CQ27" s="3028"/>
      <c r="CR27" s="3028"/>
      <c r="CS27" s="3028"/>
      <c r="CT27" s="3028"/>
      <c r="CU27" s="3028"/>
      <c r="CV27" s="3028"/>
      <c r="CW27" s="3028"/>
      <c r="CX27" s="3028"/>
      <c r="CY27" s="3028"/>
      <c r="CZ27" s="3028"/>
      <c r="DA27" s="3028"/>
      <c r="DB27" s="3028"/>
      <c r="DC27" s="3028"/>
      <c r="DD27" s="3028"/>
      <c r="DE27" s="3028"/>
      <c r="DF27" s="3028"/>
      <c r="DG27" s="3028"/>
      <c r="DH27" s="3028"/>
      <c r="DI27" s="3028"/>
      <c r="DJ27" s="3028"/>
      <c r="DK27" s="3028"/>
      <c r="DL27" s="3028"/>
      <c r="DM27" s="3028"/>
      <c r="DN27" s="3028"/>
      <c r="DO27" s="3028"/>
      <c r="DP27" s="3028"/>
    </row>
    <row r="28" spans="1:135" s="3020" customFormat="1">
      <c r="B28" s="4604"/>
      <c r="C28" s="3031" t="s">
        <v>1610</v>
      </c>
      <c r="D28" s="3030" t="s">
        <v>1611</v>
      </c>
      <c r="E28" s="3114"/>
      <c r="F28" s="3115"/>
      <c r="G28" s="3115"/>
      <c r="H28" s="3115"/>
      <c r="I28" s="625">
        <v>0</v>
      </c>
      <c r="J28" s="459">
        <v>305.23128545870895</v>
      </c>
      <c r="K28" s="458">
        <v>756.15504805371484</v>
      </c>
      <c r="L28" s="458">
        <v>1036.1026344823763</v>
      </c>
      <c r="M28" s="458">
        <v>1210.7208491127524</v>
      </c>
      <c r="N28" s="460">
        <v>1295.6673057041291</v>
      </c>
      <c r="O28" s="459">
        <f t="shared" si="2"/>
        <v>1420.2983744833425</v>
      </c>
      <c r="P28" s="458">
        <f t="shared" si="2"/>
        <v>1514.3913737574583</v>
      </c>
      <c r="Q28" s="458">
        <f t="shared" si="1"/>
        <v>1584.9611232130453</v>
      </c>
      <c r="R28" s="458">
        <f t="shared" si="1"/>
        <v>1637.8884353047354</v>
      </c>
      <c r="S28" s="458">
        <f t="shared" si="1"/>
        <v>1677.583919373503</v>
      </c>
      <c r="T28" s="458">
        <f t="shared" si="1"/>
        <v>1707.3555324250788</v>
      </c>
      <c r="U28" s="458">
        <f t="shared" si="1"/>
        <v>1729.6842422137606</v>
      </c>
      <c r="V28" s="458">
        <f t="shared" si="1"/>
        <v>1746.4307745552719</v>
      </c>
      <c r="W28" s="458">
        <f t="shared" si="1"/>
        <v>1758.9906738114055</v>
      </c>
      <c r="X28" s="458">
        <f t="shared" si="1"/>
        <v>1768.4105982535057</v>
      </c>
      <c r="Y28" s="458">
        <f t="shared" si="1"/>
        <v>1775.4755415850807</v>
      </c>
      <c r="Z28" s="458">
        <f t="shared" si="1"/>
        <v>1780.774249083762</v>
      </c>
      <c r="AA28" s="458">
        <f t="shared" si="1"/>
        <v>1784.748279707773</v>
      </c>
      <c r="AB28" s="458">
        <f t="shared" si="1"/>
        <v>1787.7288026757813</v>
      </c>
      <c r="AC28" s="460">
        <f t="shared" si="1"/>
        <v>1789.9641949017876</v>
      </c>
      <c r="AD28" s="2524"/>
      <c r="AE28" s="2524"/>
      <c r="AF28" s="3028"/>
      <c r="AG28" s="3028"/>
      <c r="AH28" s="3028"/>
      <c r="AI28" s="3028"/>
      <c r="AJ28" s="3028"/>
      <c r="AK28" s="3028"/>
      <c r="AL28" s="3028"/>
      <c r="AM28" s="3028"/>
      <c r="AN28" s="3028"/>
      <c r="AO28" s="3028"/>
      <c r="AP28" s="3028"/>
      <c r="AQ28" s="3028"/>
      <c r="AR28" s="3028"/>
      <c r="AS28" s="3028"/>
      <c r="AT28" s="3028"/>
      <c r="AU28" s="3028"/>
      <c r="AV28" s="3028"/>
      <c r="AW28" s="3028"/>
      <c r="AX28" s="3028"/>
      <c r="AY28" s="3028"/>
      <c r="AZ28" s="3028"/>
      <c r="BA28" s="3028"/>
      <c r="BB28" s="3028"/>
      <c r="BC28" s="3028"/>
      <c r="BD28" s="3028"/>
      <c r="BE28" s="3028"/>
      <c r="BF28" s="3028"/>
      <c r="BG28" s="3028"/>
      <c r="BH28" s="3028"/>
      <c r="BI28" s="3028"/>
      <c r="BJ28" s="3028"/>
      <c r="BK28" s="3028"/>
      <c r="BL28" s="3028"/>
      <c r="BM28" s="3028"/>
      <c r="BN28" s="3028"/>
      <c r="BO28" s="3028"/>
      <c r="BP28" s="3028"/>
      <c r="BQ28" s="3028"/>
      <c r="BR28" s="3028"/>
      <c r="BS28" s="3028"/>
      <c r="BT28" s="3028"/>
      <c r="BU28" s="3028"/>
      <c r="BV28" s="3028"/>
      <c r="BW28" s="3028"/>
      <c r="BX28" s="3028"/>
      <c r="BY28" s="3028"/>
      <c r="BZ28" s="3028"/>
      <c r="CA28" s="3028"/>
      <c r="CB28" s="3028"/>
      <c r="CC28" s="3028"/>
      <c r="CD28" s="3028"/>
      <c r="CE28" s="3028"/>
      <c r="CF28" s="3028"/>
      <c r="CG28" s="3028"/>
      <c r="CH28" s="3028"/>
      <c r="CI28" s="3028"/>
      <c r="CJ28" s="3028"/>
      <c r="CK28" s="3028"/>
      <c r="CL28" s="3028"/>
      <c r="CM28" s="3028"/>
      <c r="CN28" s="3028"/>
      <c r="CO28" s="3028"/>
      <c r="CP28" s="3028"/>
      <c r="CQ28" s="3028"/>
      <c r="CR28" s="3028"/>
      <c r="CS28" s="3028"/>
      <c r="CT28" s="3028"/>
      <c r="CU28" s="3028"/>
      <c r="CV28" s="3028"/>
      <c r="CW28" s="3028"/>
      <c r="CX28" s="3028"/>
      <c r="CY28" s="3028"/>
      <c r="CZ28" s="3028"/>
      <c r="DA28" s="3028"/>
      <c r="DB28" s="3028"/>
      <c r="DC28" s="3028"/>
      <c r="DD28" s="3028"/>
      <c r="DE28" s="3028"/>
      <c r="DF28" s="3028"/>
      <c r="DG28" s="3028"/>
      <c r="DH28" s="3028"/>
      <c r="DI28" s="3028"/>
      <c r="DJ28" s="3028"/>
      <c r="DK28" s="3028"/>
      <c r="DL28" s="3028"/>
      <c r="DM28" s="3028"/>
      <c r="DN28" s="3028"/>
      <c r="DO28" s="3028"/>
      <c r="DP28" s="3028"/>
    </row>
    <row r="29" spans="1:135" s="3020" customFormat="1">
      <c r="B29" s="4604"/>
      <c r="C29" s="3031" t="s">
        <v>1612</v>
      </c>
      <c r="D29" s="3030" t="s">
        <v>1613</v>
      </c>
      <c r="E29" s="3114"/>
      <c r="F29" s="3115"/>
      <c r="G29" s="3115"/>
      <c r="H29" s="3115"/>
      <c r="I29" s="625">
        <v>0</v>
      </c>
      <c r="J29" s="459">
        <v>207.79039133155683</v>
      </c>
      <c r="K29" s="458">
        <v>512.79205799961471</v>
      </c>
      <c r="L29" s="458">
        <v>700.12659162931061</v>
      </c>
      <c r="M29" s="458">
        <v>815.16551412015531</v>
      </c>
      <c r="N29" s="460">
        <v>869.51317495511557</v>
      </c>
      <c r="O29" s="459">
        <f t="shared" si="2"/>
        <v>953.15220469305461</v>
      </c>
      <c r="P29" s="458">
        <f t="shared" si="2"/>
        <v>1016.2973517379</v>
      </c>
      <c r="Q29" s="458">
        <f t="shared" si="1"/>
        <v>1063.6562120215342</v>
      </c>
      <c r="R29" s="458">
        <f t="shared" si="1"/>
        <v>1099.1753572342598</v>
      </c>
      <c r="S29" s="458">
        <f t="shared" si="1"/>
        <v>1125.8147161438039</v>
      </c>
      <c r="T29" s="458">
        <f t="shared" si="1"/>
        <v>1145.7942353259621</v>
      </c>
      <c r="U29" s="458">
        <f t="shared" si="1"/>
        <v>1160.7788747125808</v>
      </c>
      <c r="V29" s="458">
        <f t="shared" si="1"/>
        <v>1172.0173542525447</v>
      </c>
      <c r="W29" s="458">
        <f t="shared" si="1"/>
        <v>1180.4462139075176</v>
      </c>
      <c r="X29" s="458">
        <f t="shared" si="1"/>
        <v>1186.7678586487473</v>
      </c>
      <c r="Y29" s="458">
        <f t="shared" si="1"/>
        <v>1191.5090922046695</v>
      </c>
      <c r="Z29" s="458">
        <f t="shared" si="1"/>
        <v>1195.0650173716112</v>
      </c>
      <c r="AA29" s="458">
        <f t="shared" si="1"/>
        <v>1197.7319612468177</v>
      </c>
      <c r="AB29" s="458">
        <f t="shared" si="1"/>
        <v>1199.7321691532225</v>
      </c>
      <c r="AC29" s="460">
        <f t="shared" si="1"/>
        <v>1201.2323250830261</v>
      </c>
      <c r="AD29" s="2524"/>
      <c r="AE29" s="2524"/>
      <c r="AF29" s="3028"/>
      <c r="AG29" s="3028"/>
      <c r="AH29" s="3028"/>
      <c r="AI29" s="3028"/>
      <c r="AJ29" s="3028"/>
      <c r="AK29" s="3028"/>
      <c r="AL29" s="3028"/>
      <c r="AM29" s="3028"/>
      <c r="AN29" s="3028"/>
      <c r="AO29" s="3028"/>
      <c r="AP29" s="3028"/>
      <c r="AQ29" s="3028"/>
      <c r="AR29" s="3028"/>
      <c r="AS29" s="3028"/>
      <c r="AT29" s="3028"/>
      <c r="AU29" s="3028"/>
      <c r="AV29" s="3028"/>
      <c r="AW29" s="3028"/>
      <c r="AX29" s="3028"/>
      <c r="AY29" s="3028"/>
      <c r="AZ29" s="3028"/>
      <c r="BA29" s="3028"/>
      <c r="BB29" s="3028"/>
      <c r="BC29" s="3028"/>
      <c r="BD29" s="3028"/>
      <c r="BE29" s="3028"/>
      <c r="BF29" s="3028"/>
      <c r="BG29" s="3028"/>
      <c r="BH29" s="3028"/>
      <c r="BI29" s="3028"/>
      <c r="BJ29" s="3028"/>
      <c r="BK29" s="3028"/>
      <c r="BL29" s="3028"/>
      <c r="BM29" s="3028"/>
      <c r="BN29" s="3028"/>
      <c r="BO29" s="3028"/>
      <c r="BP29" s="3028"/>
      <c r="BQ29" s="3028"/>
      <c r="BR29" s="3028"/>
      <c r="BS29" s="3028"/>
      <c r="BT29" s="3028"/>
      <c r="BU29" s="3028"/>
      <c r="BV29" s="3028"/>
      <c r="BW29" s="3028"/>
      <c r="BX29" s="3028"/>
      <c r="BY29" s="3028"/>
      <c r="BZ29" s="3028"/>
      <c r="CA29" s="3028"/>
      <c r="CB29" s="3028"/>
      <c r="CC29" s="3028"/>
      <c r="CD29" s="3028"/>
      <c r="CE29" s="3028"/>
      <c r="CF29" s="3028"/>
      <c r="CG29" s="3028"/>
      <c r="CH29" s="3028"/>
      <c r="CI29" s="3028"/>
      <c r="CJ29" s="3028"/>
      <c r="CK29" s="3028"/>
      <c r="CL29" s="3028"/>
      <c r="CM29" s="3028"/>
      <c r="CN29" s="3028"/>
      <c r="CO29" s="3028"/>
      <c r="CP29" s="3028"/>
      <c r="CQ29" s="3028"/>
      <c r="CR29" s="3028"/>
      <c r="CS29" s="3028"/>
      <c r="CT29" s="3028"/>
      <c r="CU29" s="3028"/>
      <c r="CV29" s="3028"/>
      <c r="CW29" s="3028"/>
      <c r="CX29" s="3028"/>
      <c r="CY29" s="3028"/>
      <c r="CZ29" s="3028"/>
      <c r="DA29" s="3028"/>
      <c r="DB29" s="3028"/>
      <c r="DC29" s="3028"/>
      <c r="DD29" s="3028"/>
      <c r="DE29" s="3028"/>
      <c r="DF29" s="3028"/>
      <c r="DG29" s="3028"/>
      <c r="DH29" s="3028"/>
      <c r="DI29" s="3028"/>
      <c r="DJ29" s="3028"/>
      <c r="DK29" s="3028"/>
      <c r="DL29" s="3028"/>
      <c r="DM29" s="3028"/>
      <c r="DN29" s="3028"/>
      <c r="DO29" s="3028"/>
      <c r="DP29" s="3028"/>
    </row>
    <row r="30" spans="1:135" s="3020" customFormat="1">
      <c r="B30" s="4604"/>
      <c r="C30" s="3031" t="s">
        <v>1614</v>
      </c>
      <c r="D30" s="3030" t="s">
        <v>1615</v>
      </c>
      <c r="E30" s="3114"/>
      <c r="F30" s="3115"/>
      <c r="G30" s="3115"/>
      <c r="H30" s="3115"/>
      <c r="I30" s="625">
        <v>0</v>
      </c>
      <c r="J30" s="459">
        <v>59.359490803893678</v>
      </c>
      <c r="K30" s="458">
        <v>157.72084181332394</v>
      </c>
      <c r="L30" s="458">
        <v>228.38106695543206</v>
      </c>
      <c r="M30" s="458">
        <v>279.88407958637492</v>
      </c>
      <c r="N30" s="460">
        <v>310.84630024768751</v>
      </c>
      <c r="O30" s="459">
        <f t="shared" si="2"/>
        <v>340.74680514997004</v>
      </c>
      <c r="P30" s="458">
        <f t="shared" si="2"/>
        <v>363.32085681801937</v>
      </c>
      <c r="Q30" s="458">
        <f t="shared" si="1"/>
        <v>380.2513955690564</v>
      </c>
      <c r="R30" s="458">
        <f t="shared" si="1"/>
        <v>392.94929963233415</v>
      </c>
      <c r="S30" s="458">
        <f t="shared" si="1"/>
        <v>402.47272767979246</v>
      </c>
      <c r="T30" s="458">
        <f t="shared" si="1"/>
        <v>409.61529871538619</v>
      </c>
      <c r="U30" s="458">
        <f t="shared" si="1"/>
        <v>414.97222699208146</v>
      </c>
      <c r="V30" s="458">
        <f t="shared" si="1"/>
        <v>418.98992319960297</v>
      </c>
      <c r="W30" s="458">
        <f t="shared" si="1"/>
        <v>422.00319535524409</v>
      </c>
      <c r="X30" s="458">
        <f t="shared" si="1"/>
        <v>424.26314947197488</v>
      </c>
      <c r="Y30" s="458">
        <f t="shared" si="1"/>
        <v>425.95811505952304</v>
      </c>
      <c r="Z30" s="458">
        <f t="shared" si="1"/>
        <v>427.22933925018413</v>
      </c>
      <c r="AA30" s="458">
        <f t="shared" si="1"/>
        <v>428.18275739317994</v>
      </c>
      <c r="AB30" s="458">
        <f t="shared" si="1"/>
        <v>428.8978210004268</v>
      </c>
      <c r="AC30" s="460">
        <f t="shared" si="1"/>
        <v>429.43411870586192</v>
      </c>
      <c r="AD30" s="2524"/>
      <c r="AE30" s="2524"/>
      <c r="AF30" s="3028"/>
      <c r="AG30" s="3028"/>
      <c r="AH30" s="3028"/>
      <c r="AI30" s="3028"/>
      <c r="AJ30" s="3028"/>
      <c r="AK30" s="3028"/>
      <c r="AL30" s="3028"/>
      <c r="AM30" s="3028"/>
      <c r="AN30" s="3028"/>
      <c r="AO30" s="3028"/>
      <c r="AP30" s="3028"/>
      <c r="AQ30" s="3028"/>
      <c r="AR30" s="3028"/>
      <c r="AS30" s="3028"/>
      <c r="AT30" s="3028"/>
      <c r="AU30" s="3028"/>
      <c r="AV30" s="3028"/>
      <c r="AW30" s="3028"/>
      <c r="AX30" s="3028"/>
      <c r="AY30" s="3028"/>
      <c r="AZ30" s="3028"/>
      <c r="BA30" s="3028"/>
      <c r="BB30" s="3028"/>
      <c r="BC30" s="3028"/>
      <c r="BD30" s="3028"/>
      <c r="BE30" s="3028"/>
      <c r="BF30" s="3028"/>
      <c r="BG30" s="3028"/>
      <c r="BH30" s="3028"/>
      <c r="BI30" s="3028"/>
      <c r="BJ30" s="3028"/>
      <c r="BK30" s="3028"/>
      <c r="BL30" s="3028"/>
      <c r="BM30" s="3028"/>
      <c r="BN30" s="3028"/>
      <c r="BO30" s="3028"/>
      <c r="BP30" s="3028"/>
      <c r="BQ30" s="3028"/>
      <c r="BR30" s="3028"/>
      <c r="BS30" s="3028"/>
      <c r="BT30" s="3028"/>
      <c r="BU30" s="3028"/>
      <c r="BV30" s="3028"/>
      <c r="BW30" s="3028"/>
      <c r="BX30" s="3028"/>
      <c r="BY30" s="3028"/>
      <c r="BZ30" s="3028"/>
      <c r="CA30" s="3028"/>
      <c r="CB30" s="3028"/>
      <c r="CC30" s="3028"/>
      <c r="CD30" s="3028"/>
      <c r="CE30" s="3028"/>
      <c r="CF30" s="3028"/>
      <c r="CG30" s="3028"/>
      <c r="CH30" s="3028"/>
      <c r="CI30" s="3028"/>
      <c r="CJ30" s="3028"/>
      <c r="CK30" s="3028"/>
      <c r="CL30" s="3028"/>
      <c r="CM30" s="3028"/>
      <c r="CN30" s="3028"/>
      <c r="CO30" s="3028"/>
      <c r="CP30" s="3028"/>
      <c r="CQ30" s="3028"/>
      <c r="CR30" s="3028"/>
      <c r="CS30" s="3028"/>
      <c r="CT30" s="3028"/>
      <c r="CU30" s="3028"/>
      <c r="CV30" s="3028"/>
      <c r="CW30" s="3028"/>
      <c r="CX30" s="3028"/>
      <c r="CY30" s="3028"/>
      <c r="CZ30" s="3028"/>
      <c r="DA30" s="3028"/>
      <c r="DB30" s="3028"/>
      <c r="DC30" s="3028"/>
      <c r="DD30" s="3028"/>
      <c r="DE30" s="3028"/>
      <c r="DF30" s="3028"/>
      <c r="DG30" s="3028"/>
      <c r="DH30" s="3028"/>
      <c r="DI30" s="3028"/>
      <c r="DJ30" s="3028"/>
      <c r="DK30" s="3028"/>
      <c r="DL30" s="3028"/>
      <c r="DM30" s="3028"/>
      <c r="DN30" s="3028"/>
      <c r="DO30" s="3028"/>
      <c r="DP30" s="3028"/>
    </row>
    <row r="31" spans="1:135" s="3020" customFormat="1" ht="13.5" thickBot="1">
      <c r="B31" s="4605"/>
      <c r="C31" s="3032" t="s">
        <v>63</v>
      </c>
      <c r="D31" s="3033"/>
      <c r="E31" s="3116">
        <f t="shared" ref="E31:O31" si="3">SUM(E23:E30)</f>
        <v>0</v>
      </c>
      <c r="F31" s="3117">
        <f t="shared" si="3"/>
        <v>0</v>
      </c>
      <c r="G31" s="3117">
        <f t="shared" si="3"/>
        <v>0</v>
      </c>
      <c r="H31" s="3117">
        <f t="shared" si="3"/>
        <v>0</v>
      </c>
      <c r="I31" s="627">
        <f t="shared" si="3"/>
        <v>0</v>
      </c>
      <c r="J31" s="1370">
        <f t="shared" si="3"/>
        <v>6802.7253952982774</v>
      </c>
      <c r="K31" s="356">
        <f t="shared" si="3"/>
        <v>17295.854287940194</v>
      </c>
      <c r="L31" s="356">
        <f t="shared" si="3"/>
        <v>24277.26189399129</v>
      </c>
      <c r="M31" s="356">
        <f t="shared" si="3"/>
        <v>29045.712324694901</v>
      </c>
      <c r="N31" s="503">
        <f t="shared" si="3"/>
        <v>31774.777659586245</v>
      </c>
      <c r="O31" s="1370">
        <f t="shared" si="3"/>
        <v>34831.213893256558</v>
      </c>
      <c r="P31" s="356">
        <f t="shared" ref="P31:AC31" si="4">SUM(P23:P30)</f>
        <v>37138.738454612881</v>
      </c>
      <c r="Q31" s="356">
        <f t="shared" si="4"/>
        <v>38869.381875630126</v>
      </c>
      <c r="R31" s="356">
        <f t="shared" si="4"/>
        <v>40167.364441393038</v>
      </c>
      <c r="S31" s="356">
        <f t="shared" si="4"/>
        <v>41140.851365715243</v>
      </c>
      <c r="T31" s="356">
        <f t="shared" si="4"/>
        <v>41870.96655895689</v>
      </c>
      <c r="U31" s="356">
        <f t="shared" si="4"/>
        <v>42418.552953888131</v>
      </c>
      <c r="V31" s="356">
        <f t="shared" si="4"/>
        <v>42829.242750086552</v>
      </c>
      <c r="W31" s="356">
        <f t="shared" si="4"/>
        <v>43137.260097235383</v>
      </c>
      <c r="X31" s="356">
        <f t="shared" si="4"/>
        <v>43368.273107596993</v>
      </c>
      <c r="Y31" s="356">
        <f t="shared" si="4"/>
        <v>43541.532865368208</v>
      </c>
      <c r="Z31" s="356">
        <f t="shared" si="4"/>
        <v>43671.477683696619</v>
      </c>
      <c r="AA31" s="356">
        <f t="shared" si="4"/>
        <v>43768.936297442924</v>
      </c>
      <c r="AB31" s="356">
        <f t="shared" si="4"/>
        <v>43842.030257752653</v>
      </c>
      <c r="AC31" s="503">
        <f t="shared" si="4"/>
        <v>43896.850727984944</v>
      </c>
      <c r="AD31" s="2524"/>
      <c r="AE31" s="2524"/>
      <c r="AF31" s="3028"/>
      <c r="AG31" s="3028"/>
      <c r="AH31" s="3028"/>
      <c r="AI31" s="3028"/>
      <c r="AJ31" s="3028"/>
      <c r="AK31" s="3028"/>
      <c r="AL31" s="3028"/>
      <c r="AM31" s="3028"/>
      <c r="AN31" s="3028"/>
      <c r="AO31" s="3028"/>
      <c r="AP31" s="3028"/>
      <c r="AQ31" s="3028"/>
      <c r="AR31" s="3028"/>
      <c r="AS31" s="3028"/>
      <c r="AT31" s="3028"/>
      <c r="AU31" s="3028"/>
      <c r="AV31" s="3028"/>
      <c r="AW31" s="3028"/>
      <c r="AX31" s="3028"/>
      <c r="AY31" s="3028"/>
      <c r="AZ31" s="3028"/>
      <c r="BA31" s="3028"/>
      <c r="BB31" s="3028"/>
      <c r="BC31" s="3028"/>
      <c r="BD31" s="3028"/>
      <c r="BE31" s="3028"/>
      <c r="BF31" s="3028"/>
      <c r="BG31" s="3028"/>
      <c r="BH31" s="3028"/>
      <c r="BI31" s="3028"/>
      <c r="BJ31" s="3028"/>
      <c r="BK31" s="3028"/>
      <c r="BL31" s="3028"/>
      <c r="BM31" s="3028"/>
      <c r="BN31" s="3028"/>
      <c r="BO31" s="3028"/>
      <c r="BP31" s="3028"/>
      <c r="BQ31" s="3028"/>
      <c r="BR31" s="3028"/>
      <c r="BS31" s="3028"/>
      <c r="BT31" s="3028"/>
      <c r="BU31" s="3028"/>
      <c r="BV31" s="3028"/>
      <c r="BW31" s="3028"/>
      <c r="BX31" s="3028"/>
      <c r="BY31" s="3028"/>
      <c r="BZ31" s="3028"/>
      <c r="CA31" s="3028"/>
      <c r="CB31" s="3028"/>
      <c r="CC31" s="3028"/>
      <c r="CD31" s="3028"/>
      <c r="CE31" s="3028"/>
      <c r="CF31" s="3028"/>
      <c r="CG31" s="3028"/>
      <c r="CH31" s="3028"/>
      <c r="CI31" s="3028"/>
      <c r="CJ31" s="3028"/>
      <c r="CK31" s="3028"/>
      <c r="CL31" s="3028"/>
      <c r="CM31" s="3028"/>
      <c r="CN31" s="3028"/>
      <c r="CO31" s="3028"/>
      <c r="CP31" s="3028"/>
      <c r="CQ31" s="3028"/>
      <c r="CR31" s="3028"/>
      <c r="CS31" s="3028"/>
      <c r="CT31" s="3028"/>
      <c r="CU31" s="3028"/>
      <c r="CV31" s="3028"/>
      <c r="CW31" s="3028"/>
      <c r="CX31" s="3028"/>
      <c r="CY31" s="3028"/>
      <c r="CZ31" s="3028"/>
      <c r="DA31" s="3028"/>
      <c r="DB31" s="3028"/>
      <c r="DC31" s="3028"/>
      <c r="DD31" s="3028"/>
      <c r="DE31" s="3028"/>
      <c r="DF31" s="3028"/>
      <c r="DG31" s="3028"/>
      <c r="DH31" s="3028"/>
      <c r="DI31" s="3028"/>
      <c r="DJ31" s="3028"/>
      <c r="DK31" s="3028"/>
      <c r="DL31" s="3028"/>
      <c r="DM31" s="3028"/>
      <c r="DN31" s="3028"/>
      <c r="DO31" s="3028"/>
      <c r="DP31" s="3028"/>
    </row>
    <row r="32" spans="1:135" ht="24" customHeight="1">
      <c r="A32" s="2771"/>
      <c r="B32" s="3034" t="s">
        <v>63</v>
      </c>
      <c r="C32" s="3035"/>
      <c r="D32" s="3036"/>
      <c r="E32" s="3037">
        <f>E31</f>
        <v>0</v>
      </c>
      <c r="F32" s="3038">
        <f t="shared" ref="F32:AC32" si="5">F31</f>
        <v>0</v>
      </c>
      <c r="G32" s="3038">
        <f t="shared" si="5"/>
        <v>0</v>
      </c>
      <c r="H32" s="3038">
        <f t="shared" si="5"/>
        <v>0</v>
      </c>
      <c r="I32" s="3039">
        <f t="shared" si="5"/>
        <v>0</v>
      </c>
      <c r="J32" s="3040">
        <f t="shared" si="5"/>
        <v>6802.7253952982774</v>
      </c>
      <c r="K32" s="3039">
        <f t="shared" si="5"/>
        <v>17295.854287940194</v>
      </c>
      <c r="L32" s="3039">
        <f t="shared" si="5"/>
        <v>24277.26189399129</v>
      </c>
      <c r="M32" s="3039">
        <f t="shared" si="5"/>
        <v>29045.712324694901</v>
      </c>
      <c r="N32" s="3041">
        <f t="shared" si="5"/>
        <v>31774.777659586245</v>
      </c>
      <c r="O32" s="3040">
        <f t="shared" si="5"/>
        <v>34831.213893256558</v>
      </c>
      <c r="P32" s="3039">
        <f t="shared" si="5"/>
        <v>37138.738454612881</v>
      </c>
      <c r="Q32" s="3039">
        <f t="shared" si="5"/>
        <v>38869.381875630126</v>
      </c>
      <c r="R32" s="3039">
        <f t="shared" si="5"/>
        <v>40167.364441393038</v>
      </c>
      <c r="S32" s="3039">
        <f t="shared" si="5"/>
        <v>41140.851365715243</v>
      </c>
      <c r="T32" s="3039">
        <f t="shared" si="5"/>
        <v>41870.96655895689</v>
      </c>
      <c r="U32" s="3039">
        <f t="shared" si="5"/>
        <v>42418.552953888131</v>
      </c>
      <c r="V32" s="3039">
        <f t="shared" si="5"/>
        <v>42829.242750086552</v>
      </c>
      <c r="W32" s="3039">
        <f t="shared" si="5"/>
        <v>43137.260097235383</v>
      </c>
      <c r="X32" s="3039">
        <f t="shared" si="5"/>
        <v>43368.273107596993</v>
      </c>
      <c r="Y32" s="3039">
        <f t="shared" si="5"/>
        <v>43541.532865368208</v>
      </c>
      <c r="Z32" s="3039">
        <f t="shared" si="5"/>
        <v>43671.477683696619</v>
      </c>
      <c r="AA32" s="3039">
        <f t="shared" si="5"/>
        <v>43768.936297442924</v>
      </c>
      <c r="AB32" s="3039">
        <f t="shared" si="5"/>
        <v>43842.030257752653</v>
      </c>
      <c r="AC32" s="3042">
        <f t="shared" si="5"/>
        <v>43896.850727984944</v>
      </c>
    </row>
    <row r="33" spans="1:135" ht="27" customHeight="1" thickBot="1">
      <c r="B33" s="2524"/>
      <c r="I33" s="3043"/>
      <c r="J33" s="3043"/>
      <c r="K33" s="3043"/>
      <c r="L33" s="3043"/>
      <c r="M33" s="3043"/>
      <c r="N33" s="3043"/>
      <c r="O33" s="3043"/>
      <c r="P33" s="3043"/>
      <c r="Q33" s="3043"/>
      <c r="R33" s="3043"/>
      <c r="S33" s="3043"/>
      <c r="T33" s="3043"/>
      <c r="U33" s="3043"/>
      <c r="V33" s="3043"/>
      <c r="W33" s="3043"/>
      <c r="X33" s="3043"/>
      <c r="Y33" s="3043"/>
      <c r="Z33" s="3043"/>
      <c r="AA33" s="3043"/>
      <c r="AB33" s="3043"/>
      <c r="AC33" s="3043"/>
    </row>
    <row r="34" spans="1:135" s="3019" customFormat="1" ht="18.75" customHeight="1" thickBot="1">
      <c r="A34" s="3013"/>
      <c r="B34" s="2783" t="s">
        <v>1641</v>
      </c>
      <c r="C34" s="2784"/>
      <c r="D34" s="2784"/>
      <c r="E34" s="2784"/>
      <c r="F34" s="2784"/>
      <c r="G34" s="2784"/>
      <c r="H34" s="2784"/>
      <c r="I34" s="2784"/>
      <c r="J34" s="2784"/>
      <c r="K34" s="2784"/>
      <c r="L34" s="2784"/>
      <c r="M34" s="2784"/>
      <c r="N34" s="2784"/>
      <c r="O34" s="2784"/>
      <c r="P34" s="2784"/>
      <c r="Q34" s="2784"/>
      <c r="R34" s="2784"/>
      <c r="S34" s="2784"/>
      <c r="T34" s="2784"/>
      <c r="U34" s="2784"/>
      <c r="V34" s="2784"/>
      <c r="W34" s="2784"/>
      <c r="X34" s="2784"/>
      <c r="Y34" s="2784"/>
      <c r="Z34" s="2784"/>
      <c r="AA34" s="2784"/>
      <c r="AB34" s="2784"/>
      <c r="AC34" s="2785"/>
      <c r="AD34" s="2524"/>
      <c r="AE34" s="2524"/>
      <c r="AF34" s="2524"/>
      <c r="DF34" s="2524"/>
      <c r="DG34" s="2524"/>
      <c r="DH34" s="2524"/>
      <c r="DI34" s="2524"/>
      <c r="DJ34" s="2524"/>
      <c r="DK34" s="2524"/>
      <c r="DL34" s="2524"/>
      <c r="DM34" s="2524"/>
      <c r="DN34" s="2524"/>
      <c r="DO34" s="2524"/>
      <c r="DP34" s="2524"/>
      <c r="DQ34" s="2524"/>
      <c r="DR34" s="2524"/>
      <c r="DS34" s="2524"/>
      <c r="DT34" s="2524"/>
      <c r="DU34" s="2524"/>
      <c r="DV34" s="2524"/>
      <c r="DW34" s="2524"/>
      <c r="DX34" s="2524"/>
      <c r="DY34" s="2524"/>
      <c r="DZ34" s="2524"/>
      <c r="EA34" s="2524"/>
      <c r="EB34" s="2524"/>
      <c r="EC34" s="2524"/>
      <c r="ED34" s="2524"/>
      <c r="EE34" s="2524"/>
    </row>
    <row r="35" spans="1:135">
      <c r="A35" s="2771"/>
      <c r="B35" s="4633" t="str">
        <f>+'29.2.2 Gas extenstions cust no'!B34</f>
        <v>Declining block tariff</v>
      </c>
      <c r="C35" s="4606" t="s">
        <v>47</v>
      </c>
      <c r="D35" s="4607"/>
      <c r="E35" s="3047">
        <f>+'29.2.2 Gas extenstions cust no'!D36</f>
        <v>0</v>
      </c>
      <c r="F35" s="3045">
        <f>+'29.2.2 Gas extenstions cust no'!E36</f>
        <v>0</v>
      </c>
      <c r="G35" s="3045">
        <f>+'29.2.2 Gas extenstions cust no'!F36</f>
        <v>0</v>
      </c>
      <c r="H35" s="3045">
        <f>+'29.2.2 Gas extenstions cust no'!G36</f>
        <v>0</v>
      </c>
      <c r="I35" s="3045">
        <f>+'29.2.2 Gas extenstions cust no'!H36</f>
        <v>0</v>
      </c>
      <c r="J35" s="3044">
        <f>+'29.2.2 Gas extenstions cust no'!I36</f>
        <v>2.1466285196214585</v>
      </c>
      <c r="K35" s="3045">
        <f>+'29.2.2 Gas extenstions cust no'!J36</f>
        <v>5.9032284289590109</v>
      </c>
      <c r="L35" s="3045">
        <f>+'29.2.2 Gas extenstions cust no'!K36</f>
        <v>8.7206783609621823</v>
      </c>
      <c r="M35" s="3045">
        <f>+'29.2.2 Gas extenstions cust no'!L36</f>
        <v>10.833765809964561</v>
      </c>
      <c r="N35" s="3046">
        <f>+'29.2.2 Gas extenstions cust no'!M36</f>
        <v>12.418581396716341</v>
      </c>
      <c r="O35" s="3047">
        <f>+'29.2.2 Gas extenstions cust no'!N36</f>
        <v>13.097788076752821</v>
      </c>
      <c r="P35" s="3045">
        <f>+'29.2.2 Gas extenstions cust no'!O36</f>
        <v>13.097788076752821</v>
      </c>
      <c r="Q35" s="3045">
        <f>+'29.2.2 Gas extenstions cust no'!P36</f>
        <v>13.097788076752821</v>
      </c>
      <c r="R35" s="3045">
        <f>+'29.2.2 Gas extenstions cust no'!Q36</f>
        <v>13.097788076752821</v>
      </c>
      <c r="S35" s="3045">
        <f>+'29.2.2 Gas extenstions cust no'!R36</f>
        <v>13.097788076752821</v>
      </c>
      <c r="T35" s="3045">
        <f>+'29.2.2 Gas extenstions cust no'!S36</f>
        <v>13.097788076752821</v>
      </c>
      <c r="U35" s="3045">
        <f>+'29.2.2 Gas extenstions cust no'!T36</f>
        <v>13.097788076752821</v>
      </c>
      <c r="V35" s="3045">
        <f>+'29.2.2 Gas extenstions cust no'!U36</f>
        <v>13.097788076752821</v>
      </c>
      <c r="W35" s="3045">
        <f>+'29.2.2 Gas extenstions cust no'!V36</f>
        <v>13.097788076752821</v>
      </c>
      <c r="X35" s="3045">
        <f>+'29.2.2 Gas extenstions cust no'!W36</f>
        <v>13.097788076752821</v>
      </c>
      <c r="Y35" s="3045">
        <f>+'29.2.2 Gas extenstions cust no'!X36</f>
        <v>13.097788076752821</v>
      </c>
      <c r="Z35" s="3045">
        <f>+'29.2.2 Gas extenstions cust no'!Y36</f>
        <v>13.097788076752821</v>
      </c>
      <c r="AA35" s="3045">
        <f>+'29.2.2 Gas extenstions cust no'!Z36</f>
        <v>13.097788076752821</v>
      </c>
      <c r="AB35" s="3045">
        <f>+'29.2.2 Gas extenstions cust no'!AA36</f>
        <v>13.097788076752821</v>
      </c>
      <c r="AC35" s="3048">
        <f>+'29.2.2 Gas extenstions cust no'!AB36</f>
        <v>13.097788076752821</v>
      </c>
    </row>
    <row r="36" spans="1:135">
      <c r="A36" s="2771"/>
      <c r="B36" s="4633"/>
      <c r="C36" s="3029" t="s">
        <v>1600</v>
      </c>
      <c r="D36" s="3030" t="s">
        <v>1601</v>
      </c>
      <c r="E36" s="3114"/>
      <c r="F36" s="3115"/>
      <c r="G36" s="3115"/>
      <c r="H36" s="3115"/>
      <c r="I36" s="2969">
        <v>0</v>
      </c>
      <c r="J36" s="3049">
        <v>17.74231404037528</v>
      </c>
      <c r="K36" s="2969">
        <v>50.99164989316801</v>
      </c>
      <c r="L36" s="2969">
        <v>81.847119286591962</v>
      </c>
      <c r="M36" s="2969">
        <v>98.040767054814026</v>
      </c>
      <c r="N36" s="3050">
        <v>131.52080923850997</v>
      </c>
      <c r="O36" s="459">
        <f>+O$35*(N36/N$35)</f>
        <v>138.71404728599094</v>
      </c>
      <c r="P36" s="458">
        <f t="shared" ref="P36:AC36" si="6">+P$35*(O36/O$35)</f>
        <v>138.71404728599094</v>
      </c>
      <c r="Q36" s="458">
        <f t="shared" si="6"/>
        <v>138.71404728599094</v>
      </c>
      <c r="R36" s="458">
        <f t="shared" si="6"/>
        <v>138.71404728599094</v>
      </c>
      <c r="S36" s="458">
        <f t="shared" si="6"/>
        <v>138.71404728599094</v>
      </c>
      <c r="T36" s="458">
        <f t="shared" si="6"/>
        <v>138.71404728599094</v>
      </c>
      <c r="U36" s="458">
        <f t="shared" si="6"/>
        <v>138.71404728599094</v>
      </c>
      <c r="V36" s="458">
        <f t="shared" si="6"/>
        <v>138.71404728599094</v>
      </c>
      <c r="W36" s="458">
        <f t="shared" si="6"/>
        <v>138.71404728599094</v>
      </c>
      <c r="X36" s="458">
        <f t="shared" si="6"/>
        <v>138.71404728599094</v>
      </c>
      <c r="Y36" s="458">
        <f t="shared" si="6"/>
        <v>138.71404728599094</v>
      </c>
      <c r="Z36" s="458">
        <f t="shared" si="6"/>
        <v>138.71404728599094</v>
      </c>
      <c r="AA36" s="458">
        <f t="shared" si="6"/>
        <v>138.71404728599094</v>
      </c>
      <c r="AB36" s="458">
        <f t="shared" si="6"/>
        <v>138.71404728599094</v>
      </c>
      <c r="AC36" s="460">
        <f t="shared" si="6"/>
        <v>138.71404728599094</v>
      </c>
    </row>
    <row r="37" spans="1:135">
      <c r="A37" s="2771"/>
      <c r="B37" s="4633"/>
      <c r="C37" s="3029" t="s">
        <v>1602</v>
      </c>
      <c r="D37" s="3030" t="s">
        <v>1603</v>
      </c>
      <c r="E37" s="3114"/>
      <c r="F37" s="3115"/>
      <c r="G37" s="3115"/>
      <c r="H37" s="3115"/>
      <c r="I37" s="2969">
        <v>0</v>
      </c>
      <c r="J37" s="3049">
        <v>14.312688587146466</v>
      </c>
      <c r="K37" s="2969">
        <v>39.858161076151312</v>
      </c>
      <c r="L37" s="2969">
        <v>68.141442784033842</v>
      </c>
      <c r="M37" s="2969">
        <v>81.845070683573027</v>
      </c>
      <c r="N37" s="3050">
        <v>110.80833660140136</v>
      </c>
      <c r="O37" s="413">
        <f t="shared" ref="O37:AC43" si="7">+O$35*(N37/N$35)</f>
        <v>116.86875204010059</v>
      </c>
      <c r="P37" s="458">
        <f t="shared" si="7"/>
        <v>116.86875204010059</v>
      </c>
      <c r="Q37" s="458">
        <f t="shared" si="7"/>
        <v>116.86875204010059</v>
      </c>
      <c r="R37" s="458">
        <f t="shared" si="7"/>
        <v>116.86875204010059</v>
      </c>
      <c r="S37" s="458">
        <f t="shared" si="7"/>
        <v>116.86875204010059</v>
      </c>
      <c r="T37" s="458">
        <f t="shared" si="7"/>
        <v>116.86875204010059</v>
      </c>
      <c r="U37" s="458">
        <f t="shared" si="7"/>
        <v>116.86875204010059</v>
      </c>
      <c r="V37" s="458">
        <f t="shared" si="7"/>
        <v>116.86875204010059</v>
      </c>
      <c r="W37" s="458">
        <f t="shared" si="7"/>
        <v>116.86875204010059</v>
      </c>
      <c r="X37" s="458">
        <f t="shared" si="7"/>
        <v>116.86875204010059</v>
      </c>
      <c r="Y37" s="458">
        <f t="shared" si="7"/>
        <v>116.86875204010059</v>
      </c>
      <c r="Z37" s="458">
        <f t="shared" si="7"/>
        <v>116.86875204010059</v>
      </c>
      <c r="AA37" s="458">
        <f t="shared" si="7"/>
        <v>116.86875204010059</v>
      </c>
      <c r="AB37" s="458">
        <f t="shared" si="7"/>
        <v>116.86875204010059</v>
      </c>
      <c r="AC37" s="460">
        <f t="shared" si="7"/>
        <v>116.86875204010059</v>
      </c>
    </row>
    <row r="38" spans="1:135">
      <c r="A38" s="2771"/>
      <c r="B38" s="4633"/>
      <c r="C38" s="3029" t="s">
        <v>1604</v>
      </c>
      <c r="D38" s="3030" t="s">
        <v>1605</v>
      </c>
      <c r="E38" s="3114"/>
      <c r="F38" s="3115"/>
      <c r="G38" s="3115"/>
      <c r="H38" s="3115"/>
      <c r="I38" s="2969">
        <v>0</v>
      </c>
      <c r="J38" s="3049">
        <v>83.236808825433826</v>
      </c>
      <c r="K38" s="2969">
        <v>246.49826721287192</v>
      </c>
      <c r="L38" s="2969">
        <v>352.88515676912169</v>
      </c>
      <c r="M38" s="2969">
        <v>416.88479614711764</v>
      </c>
      <c r="N38" s="3050">
        <v>570.08678169001882</v>
      </c>
      <c r="O38" s="413">
        <f t="shared" si="7"/>
        <v>601.26640985807535</v>
      </c>
      <c r="P38" s="458">
        <f t="shared" si="7"/>
        <v>601.26640985807535</v>
      </c>
      <c r="Q38" s="458">
        <f t="shared" si="7"/>
        <v>601.26640985807535</v>
      </c>
      <c r="R38" s="458">
        <f t="shared" si="7"/>
        <v>601.26640985807535</v>
      </c>
      <c r="S38" s="458">
        <f t="shared" si="7"/>
        <v>601.26640985807535</v>
      </c>
      <c r="T38" s="458">
        <f t="shared" si="7"/>
        <v>601.26640985807535</v>
      </c>
      <c r="U38" s="458">
        <f t="shared" si="7"/>
        <v>601.26640985807535</v>
      </c>
      <c r="V38" s="458">
        <f t="shared" si="7"/>
        <v>601.26640985807535</v>
      </c>
      <c r="W38" s="458">
        <f t="shared" si="7"/>
        <v>601.26640985807535</v>
      </c>
      <c r="X38" s="458">
        <f t="shared" si="7"/>
        <v>601.26640985807535</v>
      </c>
      <c r="Y38" s="458">
        <f t="shared" si="7"/>
        <v>601.26640985807535</v>
      </c>
      <c r="Z38" s="458">
        <f t="shared" si="7"/>
        <v>601.26640985807535</v>
      </c>
      <c r="AA38" s="458">
        <f t="shared" si="7"/>
        <v>601.26640985807535</v>
      </c>
      <c r="AB38" s="458">
        <f t="shared" si="7"/>
        <v>601.26640985807535</v>
      </c>
      <c r="AC38" s="460">
        <f t="shared" si="7"/>
        <v>601.26640985807535</v>
      </c>
    </row>
    <row r="39" spans="1:135">
      <c r="A39" s="2771"/>
      <c r="B39" s="4633"/>
      <c r="C39" s="3029" t="s">
        <v>1606</v>
      </c>
      <c r="D39" s="3030" t="s">
        <v>1607</v>
      </c>
      <c r="E39" s="3114"/>
      <c r="F39" s="3115"/>
      <c r="G39" s="3115"/>
      <c r="H39" s="3115"/>
      <c r="I39" s="2969">
        <v>0</v>
      </c>
      <c r="J39" s="3049">
        <v>88.356431979590212</v>
      </c>
      <c r="K39" s="2969">
        <v>206.80058649475228</v>
      </c>
      <c r="L39" s="2969">
        <v>377.38897101107568</v>
      </c>
      <c r="M39" s="2969">
        <v>455.64146487050238</v>
      </c>
      <c r="N39" s="3050">
        <v>581.27399707914321</v>
      </c>
      <c r="O39" s="413">
        <f t="shared" si="7"/>
        <v>613.06548510305322</v>
      </c>
      <c r="P39" s="458">
        <f t="shared" si="7"/>
        <v>613.06548510305322</v>
      </c>
      <c r="Q39" s="458">
        <f t="shared" si="7"/>
        <v>613.06548510305322</v>
      </c>
      <c r="R39" s="458">
        <f t="shared" si="7"/>
        <v>613.06548510305322</v>
      </c>
      <c r="S39" s="458">
        <f t="shared" si="7"/>
        <v>613.06548510305322</v>
      </c>
      <c r="T39" s="458">
        <f t="shared" si="7"/>
        <v>613.06548510305322</v>
      </c>
      <c r="U39" s="458">
        <f t="shared" si="7"/>
        <v>613.06548510305322</v>
      </c>
      <c r="V39" s="458">
        <f t="shared" si="7"/>
        <v>613.06548510305322</v>
      </c>
      <c r="W39" s="458">
        <f t="shared" si="7"/>
        <v>613.06548510305322</v>
      </c>
      <c r="X39" s="458">
        <f t="shared" si="7"/>
        <v>613.06548510305322</v>
      </c>
      <c r="Y39" s="458">
        <f t="shared" si="7"/>
        <v>613.06548510305322</v>
      </c>
      <c r="Z39" s="458">
        <f t="shared" si="7"/>
        <v>613.06548510305322</v>
      </c>
      <c r="AA39" s="458">
        <f t="shared" si="7"/>
        <v>613.06548510305322</v>
      </c>
      <c r="AB39" s="458">
        <f t="shared" si="7"/>
        <v>613.06548510305322</v>
      </c>
      <c r="AC39" s="460">
        <f t="shared" si="7"/>
        <v>613.06548510305322</v>
      </c>
    </row>
    <row r="40" spans="1:135">
      <c r="A40" s="2771"/>
      <c r="B40" s="4633"/>
      <c r="C40" s="3031" t="s">
        <v>1608</v>
      </c>
      <c r="D40" s="3030" t="s">
        <v>1609</v>
      </c>
      <c r="E40" s="3114"/>
      <c r="F40" s="3115"/>
      <c r="G40" s="3115"/>
      <c r="H40" s="3115"/>
      <c r="I40" s="2969">
        <v>0</v>
      </c>
      <c r="J40" s="3049">
        <v>27.330874311820413</v>
      </c>
      <c r="K40" s="2969">
        <v>72.760132682089306</v>
      </c>
      <c r="L40" s="2969">
        <v>125.44534328200378</v>
      </c>
      <c r="M40" s="2969">
        <v>149.04829084131839</v>
      </c>
      <c r="N40" s="3050">
        <v>201.61985273536447</v>
      </c>
      <c r="O40" s="413">
        <f t="shared" si="7"/>
        <v>212.64700200718389</v>
      </c>
      <c r="P40" s="458">
        <f t="shared" si="7"/>
        <v>212.64700200718389</v>
      </c>
      <c r="Q40" s="458">
        <f t="shared" si="7"/>
        <v>212.64700200718389</v>
      </c>
      <c r="R40" s="458">
        <f t="shared" si="7"/>
        <v>212.64700200718389</v>
      </c>
      <c r="S40" s="458">
        <f t="shared" si="7"/>
        <v>212.64700200718389</v>
      </c>
      <c r="T40" s="458">
        <f t="shared" si="7"/>
        <v>212.64700200718389</v>
      </c>
      <c r="U40" s="458">
        <f t="shared" si="7"/>
        <v>212.64700200718389</v>
      </c>
      <c r="V40" s="458">
        <f t="shared" si="7"/>
        <v>212.64700200718389</v>
      </c>
      <c r="W40" s="458">
        <f t="shared" si="7"/>
        <v>212.64700200718389</v>
      </c>
      <c r="X40" s="458">
        <f t="shared" si="7"/>
        <v>212.64700200718389</v>
      </c>
      <c r="Y40" s="458">
        <f t="shared" si="7"/>
        <v>212.64700200718389</v>
      </c>
      <c r="Z40" s="458">
        <f t="shared" si="7"/>
        <v>212.64700200718389</v>
      </c>
      <c r="AA40" s="458">
        <f t="shared" si="7"/>
        <v>212.64700200718389</v>
      </c>
      <c r="AB40" s="458">
        <f t="shared" si="7"/>
        <v>212.64700200718389</v>
      </c>
      <c r="AC40" s="460">
        <f t="shared" si="7"/>
        <v>212.64700200718389</v>
      </c>
    </row>
    <row r="41" spans="1:135">
      <c r="A41" s="2771"/>
      <c r="B41" s="4633"/>
      <c r="C41" s="3031" t="s">
        <v>1610</v>
      </c>
      <c r="D41" s="3030" t="s">
        <v>1611</v>
      </c>
      <c r="E41" s="3114"/>
      <c r="F41" s="3115"/>
      <c r="G41" s="3115"/>
      <c r="H41" s="3115"/>
      <c r="I41" s="2969">
        <v>0</v>
      </c>
      <c r="J41" s="3049">
        <v>17.880556917038902</v>
      </c>
      <c r="K41" s="2969">
        <v>54.823063781652365</v>
      </c>
      <c r="L41" s="2969">
        <v>97.639944810207027</v>
      </c>
      <c r="M41" s="2969">
        <v>115.34104940781685</v>
      </c>
      <c r="N41" s="3050">
        <v>158.98232934204199</v>
      </c>
      <c r="O41" s="413">
        <f t="shared" si="7"/>
        <v>167.67751413387552</v>
      </c>
      <c r="P41" s="458">
        <f t="shared" si="7"/>
        <v>167.67751413387552</v>
      </c>
      <c r="Q41" s="458">
        <f t="shared" si="7"/>
        <v>167.67751413387552</v>
      </c>
      <c r="R41" s="458">
        <f t="shared" si="7"/>
        <v>167.67751413387552</v>
      </c>
      <c r="S41" s="458">
        <f t="shared" si="7"/>
        <v>167.67751413387552</v>
      </c>
      <c r="T41" s="458">
        <f t="shared" si="7"/>
        <v>167.67751413387552</v>
      </c>
      <c r="U41" s="458">
        <f t="shared" si="7"/>
        <v>167.67751413387552</v>
      </c>
      <c r="V41" s="458">
        <f t="shared" si="7"/>
        <v>167.67751413387552</v>
      </c>
      <c r="W41" s="458">
        <f t="shared" si="7"/>
        <v>167.67751413387552</v>
      </c>
      <c r="X41" s="458">
        <f t="shared" si="7"/>
        <v>167.67751413387552</v>
      </c>
      <c r="Y41" s="458">
        <f t="shared" si="7"/>
        <v>167.67751413387552</v>
      </c>
      <c r="Z41" s="458">
        <f t="shared" si="7"/>
        <v>167.67751413387552</v>
      </c>
      <c r="AA41" s="458">
        <f t="shared" si="7"/>
        <v>167.67751413387552</v>
      </c>
      <c r="AB41" s="458">
        <f t="shared" si="7"/>
        <v>167.67751413387552</v>
      </c>
      <c r="AC41" s="460">
        <f t="shared" si="7"/>
        <v>167.67751413387552</v>
      </c>
    </row>
    <row r="42" spans="1:135">
      <c r="A42" s="2771"/>
      <c r="B42" s="4633"/>
      <c r="C42" s="3031" t="s">
        <v>1612</v>
      </c>
      <c r="D42" s="3030" t="s">
        <v>1613</v>
      </c>
      <c r="E42" s="3114"/>
      <c r="F42" s="3115"/>
      <c r="G42" s="3115"/>
      <c r="H42" s="3115"/>
      <c r="I42" s="2969">
        <v>0</v>
      </c>
      <c r="J42" s="3049">
        <v>164.34261658686904</v>
      </c>
      <c r="K42" s="2969">
        <v>446.7418973896805</v>
      </c>
      <c r="L42" s="2969">
        <v>585.63747831850276</v>
      </c>
      <c r="M42" s="2969">
        <v>699.05526801428732</v>
      </c>
      <c r="N42" s="3050">
        <v>943.35064437336337</v>
      </c>
      <c r="O42" s="413">
        <f t="shared" si="7"/>
        <v>994.94510905549885</v>
      </c>
      <c r="P42" s="458">
        <f t="shared" si="7"/>
        <v>994.94510905549885</v>
      </c>
      <c r="Q42" s="458">
        <f t="shared" si="7"/>
        <v>994.94510905549885</v>
      </c>
      <c r="R42" s="458">
        <f t="shared" si="7"/>
        <v>994.94510905549885</v>
      </c>
      <c r="S42" s="458">
        <f t="shared" si="7"/>
        <v>994.94510905549885</v>
      </c>
      <c r="T42" s="458">
        <f t="shared" si="7"/>
        <v>994.94510905549885</v>
      </c>
      <c r="U42" s="458">
        <f t="shared" si="7"/>
        <v>994.94510905549885</v>
      </c>
      <c r="V42" s="458">
        <f t="shared" si="7"/>
        <v>994.94510905549885</v>
      </c>
      <c r="W42" s="458">
        <f t="shared" si="7"/>
        <v>994.94510905549885</v>
      </c>
      <c r="X42" s="458">
        <f t="shared" si="7"/>
        <v>994.94510905549885</v>
      </c>
      <c r="Y42" s="458">
        <f t="shared" si="7"/>
        <v>994.94510905549885</v>
      </c>
      <c r="Z42" s="458">
        <f t="shared" si="7"/>
        <v>994.94510905549885</v>
      </c>
      <c r="AA42" s="458">
        <f t="shared" si="7"/>
        <v>994.94510905549885</v>
      </c>
      <c r="AB42" s="458">
        <f t="shared" si="7"/>
        <v>994.94510905549885</v>
      </c>
      <c r="AC42" s="460">
        <f t="shared" si="7"/>
        <v>994.94510905549885</v>
      </c>
    </row>
    <row r="43" spans="1:135">
      <c r="A43" s="2771"/>
      <c r="B43" s="4633"/>
      <c r="C43" s="3031" t="s">
        <v>1614</v>
      </c>
      <c r="D43" s="3030" t="s">
        <v>1615</v>
      </c>
      <c r="E43" s="3114"/>
      <c r="F43" s="3115"/>
      <c r="G43" s="3115"/>
      <c r="H43" s="3115"/>
      <c r="I43" s="2969">
        <v>0</v>
      </c>
      <c r="J43" s="3049">
        <v>146.66968158024795</v>
      </c>
      <c r="K43" s="2969">
        <v>378.76163063032823</v>
      </c>
      <c r="L43" s="2969">
        <v>552.00925060628288</v>
      </c>
      <c r="M43" s="2969">
        <v>673.74294065861216</v>
      </c>
      <c r="N43" s="3050">
        <v>860.67156239881069</v>
      </c>
      <c r="O43" s="413">
        <f t="shared" si="7"/>
        <v>907.74407864074431</v>
      </c>
      <c r="P43" s="458">
        <f t="shared" si="7"/>
        <v>907.74407864074431</v>
      </c>
      <c r="Q43" s="458">
        <f t="shared" si="7"/>
        <v>907.74407864074431</v>
      </c>
      <c r="R43" s="458">
        <f t="shared" si="7"/>
        <v>907.74407864074431</v>
      </c>
      <c r="S43" s="458">
        <f t="shared" si="7"/>
        <v>907.74407864074431</v>
      </c>
      <c r="T43" s="458">
        <f t="shared" si="7"/>
        <v>907.74407864074431</v>
      </c>
      <c r="U43" s="458">
        <f t="shared" si="7"/>
        <v>907.74407864074431</v>
      </c>
      <c r="V43" s="458">
        <f t="shared" si="7"/>
        <v>907.74407864074431</v>
      </c>
      <c r="W43" s="458">
        <f t="shared" si="7"/>
        <v>907.74407864074431</v>
      </c>
      <c r="X43" s="458">
        <f t="shared" si="7"/>
        <v>907.74407864074431</v>
      </c>
      <c r="Y43" s="458">
        <f t="shared" si="7"/>
        <v>907.74407864074431</v>
      </c>
      <c r="Z43" s="458">
        <f t="shared" si="7"/>
        <v>907.74407864074431</v>
      </c>
      <c r="AA43" s="458">
        <f t="shared" si="7"/>
        <v>907.74407864074431</v>
      </c>
      <c r="AB43" s="458">
        <f t="shared" si="7"/>
        <v>907.74407864074431</v>
      </c>
      <c r="AC43" s="460">
        <f t="shared" si="7"/>
        <v>907.74407864074431</v>
      </c>
    </row>
    <row r="44" spans="1:135" s="3020" customFormat="1" ht="13.5" thickBot="1">
      <c r="B44" s="4634"/>
      <c r="C44" s="3032" t="s">
        <v>63</v>
      </c>
      <c r="D44" s="3033"/>
      <c r="E44" s="502">
        <f t="shared" ref="E44:AC44" si="8">SUM(E35:E43)</f>
        <v>0</v>
      </c>
      <c r="F44" s="356">
        <f t="shared" si="8"/>
        <v>0</v>
      </c>
      <c r="G44" s="356">
        <f t="shared" si="8"/>
        <v>0</v>
      </c>
      <c r="H44" s="356">
        <f t="shared" si="8"/>
        <v>0</v>
      </c>
      <c r="I44" s="627">
        <f t="shared" si="8"/>
        <v>0</v>
      </c>
      <c r="J44" s="1370">
        <f t="shared" si="8"/>
        <v>562.01860134814353</v>
      </c>
      <c r="K44" s="356">
        <f t="shared" si="8"/>
        <v>1503.138617589653</v>
      </c>
      <c r="L44" s="356">
        <f t="shared" si="8"/>
        <v>2249.715385228782</v>
      </c>
      <c r="M44" s="356">
        <f t="shared" si="8"/>
        <v>2700.4334134880064</v>
      </c>
      <c r="N44" s="503">
        <f t="shared" si="8"/>
        <v>3570.7328948553704</v>
      </c>
      <c r="O44" s="1370">
        <f t="shared" si="8"/>
        <v>3766.0261862012753</v>
      </c>
      <c r="P44" s="356">
        <f t="shared" si="8"/>
        <v>3766.0261862012753</v>
      </c>
      <c r="Q44" s="356">
        <f t="shared" si="8"/>
        <v>3766.0261862012753</v>
      </c>
      <c r="R44" s="356">
        <f t="shared" si="8"/>
        <v>3766.0261862012753</v>
      </c>
      <c r="S44" s="356">
        <f t="shared" si="8"/>
        <v>3766.0261862012753</v>
      </c>
      <c r="T44" s="356">
        <f t="shared" si="8"/>
        <v>3766.0261862012753</v>
      </c>
      <c r="U44" s="356">
        <f t="shared" si="8"/>
        <v>3766.0261862012753</v>
      </c>
      <c r="V44" s="356">
        <f t="shared" si="8"/>
        <v>3766.0261862012753</v>
      </c>
      <c r="W44" s="356">
        <f t="shared" si="8"/>
        <v>3766.0261862012753</v>
      </c>
      <c r="X44" s="356">
        <f t="shared" si="8"/>
        <v>3766.0261862012753</v>
      </c>
      <c r="Y44" s="356">
        <f t="shared" si="8"/>
        <v>3766.0261862012753</v>
      </c>
      <c r="Z44" s="356">
        <f t="shared" si="8"/>
        <v>3766.0261862012753</v>
      </c>
      <c r="AA44" s="356">
        <f t="shared" si="8"/>
        <v>3766.0261862012753</v>
      </c>
      <c r="AB44" s="356">
        <f t="shared" si="8"/>
        <v>3766.0261862012753</v>
      </c>
      <c r="AC44" s="503">
        <f t="shared" si="8"/>
        <v>3766.0261862012753</v>
      </c>
      <c r="AD44" s="2524"/>
      <c r="AE44" s="2524"/>
      <c r="AF44" s="3028"/>
      <c r="AG44" s="3028"/>
      <c r="AH44" s="3028"/>
      <c r="AI44" s="3028"/>
      <c r="AJ44" s="3028"/>
      <c r="AK44" s="3028"/>
      <c r="AL44" s="3028"/>
      <c r="AM44" s="3028"/>
      <c r="AN44" s="3028"/>
      <c r="AO44" s="3028"/>
      <c r="AP44" s="3028"/>
      <c r="AQ44" s="3028"/>
      <c r="AR44" s="3028"/>
      <c r="AS44" s="3028"/>
      <c r="AT44" s="3028"/>
      <c r="AU44" s="3028"/>
      <c r="AV44" s="3028"/>
      <c r="AW44" s="3028"/>
      <c r="AX44" s="3028"/>
      <c r="AY44" s="3028"/>
      <c r="AZ44" s="3028"/>
      <c r="BA44" s="3028"/>
      <c r="BB44" s="3028"/>
      <c r="BC44" s="3028"/>
      <c r="BD44" s="3028"/>
      <c r="BE44" s="3028"/>
      <c r="BF44" s="3028"/>
      <c r="BG44" s="3028"/>
      <c r="BH44" s="3028"/>
      <c r="BI44" s="3028"/>
      <c r="BJ44" s="3028"/>
      <c r="BK44" s="3028"/>
      <c r="BL44" s="3028"/>
      <c r="BM44" s="3028"/>
      <c r="BN44" s="3028"/>
      <c r="BO44" s="3028"/>
      <c r="BP44" s="3028"/>
      <c r="BQ44" s="3028"/>
      <c r="BR44" s="3028"/>
      <c r="BS44" s="3028"/>
      <c r="BT44" s="3028"/>
      <c r="BU44" s="3028"/>
      <c r="BV44" s="3028"/>
      <c r="BW44" s="3028"/>
      <c r="BX44" s="3028"/>
      <c r="BY44" s="3028"/>
      <c r="BZ44" s="3028"/>
      <c r="CA44" s="3028"/>
      <c r="CB44" s="3028"/>
      <c r="CC44" s="3028"/>
      <c r="CD44" s="3028"/>
      <c r="CE44" s="3028"/>
      <c r="CF44" s="3028"/>
      <c r="CG44" s="3028"/>
      <c r="CH44" s="3028"/>
      <c r="CI44" s="3028"/>
      <c r="CJ44" s="3028"/>
      <c r="CK44" s="3028"/>
      <c r="CL44" s="3028"/>
      <c r="CM44" s="3028"/>
      <c r="CN44" s="3028"/>
      <c r="CO44" s="3028"/>
      <c r="CP44" s="3028"/>
      <c r="CQ44" s="3028"/>
      <c r="CR44" s="3028"/>
      <c r="CS44" s="3028"/>
      <c r="CT44" s="3028"/>
      <c r="CU44" s="3028"/>
      <c r="CV44" s="3028"/>
      <c r="CW44" s="3028"/>
      <c r="CX44" s="3028"/>
      <c r="CY44" s="3028"/>
      <c r="CZ44" s="3028"/>
      <c r="DA44" s="3028"/>
      <c r="DB44" s="3028"/>
      <c r="DC44" s="3028"/>
      <c r="DD44" s="3028"/>
      <c r="DE44" s="3028"/>
      <c r="DF44" s="3028"/>
      <c r="DG44" s="3028"/>
      <c r="DH44" s="3028"/>
      <c r="DI44" s="3028"/>
      <c r="DJ44" s="3028"/>
      <c r="DK44" s="3028"/>
      <c r="DL44" s="3028"/>
      <c r="DM44" s="3028"/>
      <c r="DN44" s="3028"/>
      <c r="DO44" s="3028"/>
      <c r="DP44" s="3028"/>
    </row>
    <row r="45" spans="1:135" ht="24" customHeight="1" thickBot="1">
      <c r="A45" s="2771"/>
      <c r="B45" s="4635" t="s">
        <v>63</v>
      </c>
      <c r="C45" s="4636"/>
      <c r="D45" s="4637"/>
      <c r="E45" s="3051">
        <f>E44</f>
        <v>0</v>
      </c>
      <c r="F45" s="356">
        <f t="shared" ref="F45:AC45" si="9">F44</f>
        <v>0</v>
      </c>
      <c r="G45" s="356">
        <f t="shared" si="9"/>
        <v>0</v>
      </c>
      <c r="H45" s="356">
        <f t="shared" si="9"/>
        <v>0</v>
      </c>
      <c r="I45" s="356">
        <f t="shared" si="9"/>
        <v>0</v>
      </c>
      <c r="J45" s="3051">
        <f t="shared" si="9"/>
        <v>562.01860134814353</v>
      </c>
      <c r="K45" s="356">
        <f t="shared" si="9"/>
        <v>1503.138617589653</v>
      </c>
      <c r="L45" s="356">
        <f t="shared" si="9"/>
        <v>2249.715385228782</v>
      </c>
      <c r="M45" s="356">
        <f t="shared" si="9"/>
        <v>2700.4334134880064</v>
      </c>
      <c r="N45" s="3052">
        <f t="shared" si="9"/>
        <v>3570.7328948553704</v>
      </c>
      <c r="O45" s="502">
        <f t="shared" si="9"/>
        <v>3766.0261862012753</v>
      </c>
      <c r="P45" s="356">
        <f t="shared" si="9"/>
        <v>3766.0261862012753</v>
      </c>
      <c r="Q45" s="356">
        <f t="shared" si="9"/>
        <v>3766.0261862012753</v>
      </c>
      <c r="R45" s="356">
        <f t="shared" si="9"/>
        <v>3766.0261862012753</v>
      </c>
      <c r="S45" s="356">
        <f t="shared" si="9"/>
        <v>3766.0261862012753</v>
      </c>
      <c r="T45" s="356">
        <f t="shared" si="9"/>
        <v>3766.0261862012753</v>
      </c>
      <c r="U45" s="356">
        <f t="shared" si="9"/>
        <v>3766.0261862012753</v>
      </c>
      <c r="V45" s="356">
        <f t="shared" si="9"/>
        <v>3766.0261862012753</v>
      </c>
      <c r="W45" s="356">
        <f t="shared" si="9"/>
        <v>3766.0261862012753</v>
      </c>
      <c r="X45" s="356">
        <f t="shared" si="9"/>
        <v>3766.0261862012753</v>
      </c>
      <c r="Y45" s="356">
        <f t="shared" si="9"/>
        <v>3766.0261862012753</v>
      </c>
      <c r="Z45" s="356">
        <f t="shared" si="9"/>
        <v>3766.0261862012753</v>
      </c>
      <c r="AA45" s="356">
        <f t="shared" si="9"/>
        <v>3766.0261862012753</v>
      </c>
      <c r="AB45" s="356">
        <f t="shared" si="9"/>
        <v>3766.0261862012753</v>
      </c>
      <c r="AC45" s="503">
        <f t="shared" si="9"/>
        <v>3766.0261862012753</v>
      </c>
    </row>
    <row r="46" spans="1:135" ht="24" customHeight="1" thickBot="1">
      <c r="A46" s="2771"/>
      <c r="B46" s="4635" t="s">
        <v>270</v>
      </c>
      <c r="C46" s="4636"/>
      <c r="D46" s="4637"/>
      <c r="E46" s="3053"/>
      <c r="F46" s="3054"/>
      <c r="G46" s="3054"/>
      <c r="H46" s="3054"/>
      <c r="I46" s="3054"/>
      <c r="J46" s="3055"/>
      <c r="K46" s="3054"/>
      <c r="L46" s="3054"/>
      <c r="M46" s="3054"/>
      <c r="N46" s="3054"/>
      <c r="O46" s="3055"/>
      <c r="P46" s="3054"/>
      <c r="Q46" s="3054"/>
      <c r="R46" s="3054"/>
      <c r="S46" s="3054"/>
      <c r="T46" s="3054"/>
      <c r="U46" s="3054"/>
      <c r="V46" s="3054"/>
      <c r="W46" s="3054"/>
      <c r="X46" s="3054"/>
      <c r="Y46" s="3054"/>
      <c r="Z46" s="3054"/>
      <c r="AA46" s="3054"/>
      <c r="AB46" s="3054"/>
      <c r="AC46" s="3056"/>
    </row>
    <row r="47" spans="1:135" ht="30" customHeight="1" thickBot="1">
      <c r="B47" s="2524"/>
    </row>
    <row r="48" spans="1:135" s="3019" customFormat="1" ht="18.75" customHeight="1" thickBot="1">
      <c r="A48" s="3013"/>
      <c r="B48" s="2783" t="s">
        <v>1642</v>
      </c>
      <c r="C48" s="2784"/>
      <c r="D48" s="2784"/>
      <c r="E48" s="3018"/>
      <c r="F48" s="3018"/>
      <c r="G48" s="3018"/>
      <c r="H48" s="3018"/>
      <c r="I48" s="3018"/>
      <c r="J48" s="3018"/>
      <c r="K48" s="3018"/>
      <c r="L48" s="3018"/>
      <c r="M48" s="3018"/>
      <c r="N48" s="3018"/>
      <c r="O48" s="3018"/>
      <c r="P48" s="3018"/>
      <c r="Q48" s="3018"/>
      <c r="R48" s="3018"/>
      <c r="S48" s="3018"/>
      <c r="T48" s="3018"/>
      <c r="U48" s="3018"/>
      <c r="V48" s="3018"/>
      <c r="W48" s="3018"/>
      <c r="X48" s="3018"/>
      <c r="Y48" s="3018"/>
      <c r="Z48" s="3018"/>
      <c r="AA48" s="3018"/>
      <c r="AB48" s="3018"/>
      <c r="AC48" s="3057"/>
      <c r="AD48" s="2524"/>
      <c r="AE48" s="2524"/>
      <c r="AF48" s="2524"/>
      <c r="DF48" s="2524"/>
      <c r="DG48" s="2524"/>
      <c r="DH48" s="2524"/>
      <c r="DI48" s="2524"/>
      <c r="DJ48" s="2524"/>
      <c r="DK48" s="2524"/>
      <c r="DL48" s="2524"/>
      <c r="DM48" s="2524"/>
      <c r="DN48" s="2524"/>
      <c r="DO48" s="2524"/>
      <c r="DP48" s="2524"/>
      <c r="DQ48" s="2524"/>
      <c r="DR48" s="2524"/>
      <c r="DS48" s="2524"/>
      <c r="DT48" s="2524"/>
      <c r="DU48" s="2524"/>
      <c r="DV48" s="2524"/>
      <c r="DW48" s="2524"/>
      <c r="DX48" s="2524"/>
      <c r="DY48" s="2524"/>
      <c r="DZ48" s="2524"/>
      <c r="EA48" s="2524"/>
      <c r="EB48" s="2524"/>
      <c r="EC48" s="2524"/>
      <c r="ED48" s="2524"/>
      <c r="EE48" s="2524"/>
    </row>
    <row r="49" spans="1:120">
      <c r="A49" s="2771"/>
      <c r="B49" s="4638"/>
      <c r="C49" s="4606" t="s">
        <v>47</v>
      </c>
      <c r="D49" s="4607"/>
      <c r="E49" s="3058">
        <f>'29.2.2 Gas extenstions cust no'!D47</f>
        <v>0</v>
      </c>
      <c r="F49" s="3059">
        <f>'29.2.2 Gas extenstions cust no'!E47</f>
        <v>0</v>
      </c>
      <c r="G49" s="3059">
        <f>'29.2.2 Gas extenstions cust no'!E47</f>
        <v>0</v>
      </c>
      <c r="H49" s="3059">
        <f>'29.2.2 Gas extenstions cust no'!F47</f>
        <v>0</v>
      </c>
      <c r="I49" s="3060">
        <f>'29.2.2 Gas extenstions cust no'!H47</f>
        <v>0</v>
      </c>
      <c r="J49" s="3058">
        <f>'29.2.2 Gas extenstions cust no'!I47</f>
        <v>0</v>
      </c>
      <c r="K49" s="3059">
        <f>'29.2.2 Gas extenstions cust no'!J47</f>
        <v>0</v>
      </c>
      <c r="L49" s="3059">
        <f>'29.2.2 Gas extenstions cust no'!K47</f>
        <v>0</v>
      </c>
      <c r="M49" s="3059">
        <f>'29.2.2 Gas extenstions cust no'!L47</f>
        <v>0</v>
      </c>
      <c r="N49" s="3060">
        <f>'29.2.2 Gas extenstions cust no'!M47</f>
        <v>0</v>
      </c>
      <c r="O49" s="3061">
        <f>'29.2.2 Gas extenstions cust no'!N47</f>
        <v>0</v>
      </c>
      <c r="P49" s="3059">
        <f>'29.2.2 Gas extenstions cust no'!O47</f>
        <v>0</v>
      </c>
      <c r="Q49" s="3059">
        <f>'29.2.2 Gas extenstions cust no'!P47</f>
        <v>0</v>
      </c>
      <c r="R49" s="3059">
        <f>'29.2.2 Gas extenstions cust no'!Q47</f>
        <v>0</v>
      </c>
      <c r="S49" s="3059">
        <f>'29.2.2 Gas extenstions cust no'!R47</f>
        <v>0</v>
      </c>
      <c r="T49" s="3059">
        <f>'29.2.2 Gas extenstions cust no'!S47</f>
        <v>0</v>
      </c>
      <c r="U49" s="3059">
        <f>'29.2.2 Gas extenstions cust no'!T47</f>
        <v>0</v>
      </c>
      <c r="V49" s="3059">
        <f>'29.2.2 Gas extenstions cust no'!U47</f>
        <v>0</v>
      </c>
      <c r="W49" s="3059">
        <f>'29.2.2 Gas extenstions cust no'!V47</f>
        <v>0</v>
      </c>
      <c r="X49" s="3059">
        <f>'29.2.2 Gas extenstions cust no'!W47</f>
        <v>0</v>
      </c>
      <c r="Y49" s="3059">
        <f>'29.2.2 Gas extenstions cust no'!X47</f>
        <v>0</v>
      </c>
      <c r="Z49" s="3059">
        <f>'29.2.2 Gas extenstions cust no'!Y47</f>
        <v>0</v>
      </c>
      <c r="AA49" s="3059">
        <f>'29.2.2 Gas extenstions cust no'!Z47</f>
        <v>0</v>
      </c>
      <c r="AB49" s="3059">
        <f>'29.2.2 Gas extenstions cust no'!AA47</f>
        <v>0</v>
      </c>
      <c r="AC49" s="3060">
        <f>'29.2.2 Gas extenstions cust no'!AB47</f>
        <v>0</v>
      </c>
    </row>
    <row r="50" spans="1:120">
      <c r="A50" s="2771"/>
      <c r="B50" s="4639"/>
      <c r="C50" s="3029" t="s">
        <v>269</v>
      </c>
      <c r="D50" s="3062" t="s">
        <v>268</v>
      </c>
      <c r="E50" s="3063"/>
      <c r="F50" s="3064"/>
      <c r="G50" s="3064"/>
      <c r="H50" s="3064"/>
      <c r="I50" s="3030"/>
      <c r="J50" s="3063"/>
      <c r="K50" s="3064"/>
      <c r="L50" s="3064"/>
      <c r="M50" s="3064"/>
      <c r="N50" s="3030"/>
      <c r="O50" s="3065"/>
      <c r="P50" s="3064"/>
      <c r="Q50" s="3064"/>
      <c r="R50" s="3064"/>
      <c r="S50" s="3064"/>
      <c r="T50" s="3064"/>
      <c r="U50" s="3064"/>
      <c r="V50" s="3064"/>
      <c r="W50" s="3064"/>
      <c r="X50" s="3064"/>
      <c r="Y50" s="3064"/>
      <c r="Z50" s="3064"/>
      <c r="AA50" s="3064"/>
      <c r="AB50" s="3064"/>
      <c r="AC50" s="3030"/>
    </row>
    <row r="51" spans="1:120">
      <c r="A51" s="2771"/>
      <c r="B51" s="4639"/>
      <c r="C51" s="3029" t="s">
        <v>269</v>
      </c>
      <c r="D51" s="3062" t="s">
        <v>268</v>
      </c>
      <c r="E51" s="3063"/>
      <c r="F51" s="3064"/>
      <c r="G51" s="3064"/>
      <c r="H51" s="3064"/>
      <c r="I51" s="3030"/>
      <c r="J51" s="3063"/>
      <c r="K51" s="3064"/>
      <c r="L51" s="3064"/>
      <c r="M51" s="3064"/>
      <c r="N51" s="3030"/>
      <c r="O51" s="3065"/>
      <c r="P51" s="3064"/>
      <c r="Q51" s="3064"/>
      <c r="R51" s="3064"/>
      <c r="S51" s="3064"/>
      <c r="T51" s="3064"/>
      <c r="U51" s="3064"/>
      <c r="V51" s="3064"/>
      <c r="W51" s="3064"/>
      <c r="X51" s="3064"/>
      <c r="Y51" s="3064"/>
      <c r="Z51" s="3064"/>
      <c r="AA51" s="3064"/>
      <c r="AB51" s="3064"/>
      <c r="AC51" s="3030"/>
    </row>
    <row r="52" spans="1:120" ht="13.5" thickBot="1">
      <c r="A52" s="2771"/>
      <c r="B52" s="4640"/>
      <c r="C52" s="3066" t="s">
        <v>269</v>
      </c>
      <c r="D52" s="3067" t="s">
        <v>268</v>
      </c>
      <c r="E52" s="3068"/>
      <c r="F52" s="3069"/>
      <c r="G52" s="3069"/>
      <c r="H52" s="3069"/>
      <c r="I52" s="3070"/>
      <c r="J52" s="3068"/>
      <c r="K52" s="3069"/>
      <c r="L52" s="3069"/>
      <c r="M52" s="3069"/>
      <c r="N52" s="3070"/>
      <c r="O52" s="3071"/>
      <c r="P52" s="3069"/>
      <c r="Q52" s="3069"/>
      <c r="R52" s="3069"/>
      <c r="S52" s="3069"/>
      <c r="T52" s="3069"/>
      <c r="U52" s="3069"/>
      <c r="V52" s="3069"/>
      <c r="W52" s="3069"/>
      <c r="X52" s="3069"/>
      <c r="Y52" s="3069"/>
      <c r="Z52" s="3069"/>
      <c r="AA52" s="3069"/>
      <c r="AB52" s="3069"/>
      <c r="AC52" s="3070"/>
    </row>
    <row r="53" spans="1:120" ht="23.25" customHeight="1" thickBot="1">
      <c r="B53" s="2524"/>
    </row>
    <row r="54" spans="1:120" s="3020" customFormat="1" ht="18" customHeight="1">
      <c r="B54" s="4624" t="s">
        <v>120</v>
      </c>
      <c r="C54" s="4625"/>
      <c r="D54" s="4626"/>
      <c r="E54" s="3072">
        <f t="shared" ref="E54:AC54" si="10">SUM(E50:E52)</f>
        <v>0</v>
      </c>
      <c r="F54" s="3073">
        <f t="shared" si="10"/>
        <v>0</v>
      </c>
      <c r="G54" s="3073">
        <f t="shared" si="10"/>
        <v>0</v>
      </c>
      <c r="H54" s="3073">
        <f t="shared" si="10"/>
        <v>0</v>
      </c>
      <c r="I54" s="3074">
        <f t="shared" si="10"/>
        <v>0</v>
      </c>
      <c r="J54" s="3075">
        <f t="shared" si="10"/>
        <v>0</v>
      </c>
      <c r="K54" s="3073">
        <f t="shared" si="10"/>
        <v>0</v>
      </c>
      <c r="L54" s="3073">
        <f t="shared" si="10"/>
        <v>0</v>
      </c>
      <c r="M54" s="3073">
        <f t="shared" si="10"/>
        <v>0</v>
      </c>
      <c r="N54" s="3076">
        <f t="shared" si="10"/>
        <v>0</v>
      </c>
      <c r="O54" s="3072">
        <f t="shared" si="10"/>
        <v>0</v>
      </c>
      <c r="P54" s="3073">
        <f t="shared" si="10"/>
        <v>0</v>
      </c>
      <c r="Q54" s="3073">
        <f t="shared" si="10"/>
        <v>0</v>
      </c>
      <c r="R54" s="3073">
        <f t="shared" si="10"/>
        <v>0</v>
      </c>
      <c r="S54" s="3073">
        <f t="shared" si="10"/>
        <v>0</v>
      </c>
      <c r="T54" s="3073">
        <f t="shared" si="10"/>
        <v>0</v>
      </c>
      <c r="U54" s="3073">
        <f t="shared" si="10"/>
        <v>0</v>
      </c>
      <c r="V54" s="3073">
        <f t="shared" si="10"/>
        <v>0</v>
      </c>
      <c r="W54" s="3073">
        <f t="shared" si="10"/>
        <v>0</v>
      </c>
      <c r="X54" s="3073">
        <f t="shared" si="10"/>
        <v>0</v>
      </c>
      <c r="Y54" s="3073">
        <f t="shared" si="10"/>
        <v>0</v>
      </c>
      <c r="Z54" s="3073">
        <f t="shared" si="10"/>
        <v>0</v>
      </c>
      <c r="AA54" s="3073">
        <f t="shared" si="10"/>
        <v>0</v>
      </c>
      <c r="AB54" s="3073">
        <f t="shared" si="10"/>
        <v>0</v>
      </c>
      <c r="AC54" s="3074">
        <f t="shared" si="10"/>
        <v>0</v>
      </c>
      <c r="AD54" s="2524"/>
      <c r="AE54" s="2524"/>
      <c r="AF54" s="2524"/>
      <c r="AG54" s="3028"/>
      <c r="AH54" s="3028"/>
      <c r="AI54" s="3028"/>
      <c r="AJ54" s="3028"/>
      <c r="AK54" s="3028"/>
      <c r="AL54" s="3028"/>
      <c r="AM54" s="3028"/>
      <c r="AN54" s="3028"/>
      <c r="AO54" s="3028"/>
      <c r="AP54" s="3028"/>
      <c r="AQ54" s="3028"/>
      <c r="AR54" s="3028"/>
      <c r="AS54" s="3028"/>
      <c r="AT54" s="3028"/>
      <c r="AU54" s="3028"/>
      <c r="AV54" s="3028"/>
      <c r="AW54" s="3028"/>
      <c r="AX54" s="3028"/>
      <c r="AY54" s="3028"/>
      <c r="AZ54" s="3028"/>
      <c r="BA54" s="3028"/>
      <c r="BB54" s="3028"/>
      <c r="BC54" s="3028"/>
      <c r="BD54" s="3028"/>
      <c r="BE54" s="3028"/>
      <c r="BF54" s="3028"/>
      <c r="BG54" s="3028"/>
      <c r="BH54" s="3028"/>
      <c r="BI54" s="3028"/>
      <c r="BJ54" s="3028"/>
      <c r="BK54" s="3028"/>
      <c r="BL54" s="3028"/>
      <c r="BM54" s="3028"/>
      <c r="BN54" s="3028"/>
      <c r="BO54" s="3028"/>
      <c r="BP54" s="3028"/>
      <c r="BQ54" s="3028"/>
      <c r="BR54" s="3028"/>
      <c r="BS54" s="3028"/>
      <c r="BT54" s="3028"/>
      <c r="BU54" s="3028"/>
      <c r="BV54" s="3028"/>
      <c r="BW54" s="3028"/>
      <c r="BX54" s="3028"/>
      <c r="BY54" s="3028"/>
      <c r="BZ54" s="3028"/>
      <c r="CA54" s="3028"/>
      <c r="CB54" s="3028"/>
      <c r="CC54" s="3028"/>
      <c r="CD54" s="3028"/>
      <c r="CE54" s="3028"/>
      <c r="CF54" s="3028"/>
      <c r="CG54" s="3028"/>
      <c r="CH54" s="3028"/>
      <c r="CI54" s="3028"/>
      <c r="CJ54" s="3028"/>
      <c r="CK54" s="3028"/>
      <c r="CL54" s="3028"/>
      <c r="CM54" s="3028"/>
      <c r="CN54" s="3028"/>
      <c r="CO54" s="3028"/>
      <c r="CP54" s="3028"/>
      <c r="CQ54" s="3028"/>
      <c r="CR54" s="3028"/>
      <c r="CS54" s="3028"/>
      <c r="CT54" s="3028"/>
      <c r="CU54" s="3028"/>
      <c r="CV54" s="3028"/>
      <c r="CW54" s="3028"/>
      <c r="CX54" s="3028"/>
      <c r="CY54" s="3028"/>
      <c r="CZ54" s="3028"/>
      <c r="DA54" s="3028"/>
      <c r="DB54" s="3028"/>
      <c r="DC54" s="3028"/>
      <c r="DD54" s="3028"/>
      <c r="DE54" s="3028"/>
      <c r="DF54" s="3028"/>
      <c r="DG54" s="3028"/>
      <c r="DH54" s="3028"/>
      <c r="DI54" s="3028"/>
      <c r="DJ54" s="3028"/>
      <c r="DK54" s="3028"/>
      <c r="DL54" s="3028"/>
      <c r="DM54" s="3028"/>
      <c r="DN54" s="3028"/>
      <c r="DO54" s="3028"/>
      <c r="DP54" s="3028"/>
    </row>
    <row r="55" spans="1:120" s="3020" customFormat="1" ht="18" customHeight="1" thickBot="1">
      <c r="B55" s="4627" t="s">
        <v>119</v>
      </c>
      <c r="C55" s="4628"/>
      <c r="D55" s="4629"/>
      <c r="E55" s="3077">
        <f t="shared" ref="E55:AC55" si="11">IF(ISERROR(E54/E49),0,(E54/E49))</f>
        <v>0</v>
      </c>
      <c r="F55" s="3078">
        <f t="shared" si="11"/>
        <v>0</v>
      </c>
      <c r="G55" s="3078">
        <f t="shared" si="11"/>
        <v>0</v>
      </c>
      <c r="H55" s="3078">
        <f t="shared" si="11"/>
        <v>0</v>
      </c>
      <c r="I55" s="3079">
        <f t="shared" si="11"/>
        <v>0</v>
      </c>
      <c r="J55" s="3080">
        <f t="shared" si="11"/>
        <v>0</v>
      </c>
      <c r="K55" s="3078">
        <f t="shared" si="11"/>
        <v>0</v>
      </c>
      <c r="L55" s="3078">
        <f t="shared" si="11"/>
        <v>0</v>
      </c>
      <c r="M55" s="3078">
        <f t="shared" si="11"/>
        <v>0</v>
      </c>
      <c r="N55" s="3081">
        <f t="shared" si="11"/>
        <v>0</v>
      </c>
      <c r="O55" s="3077">
        <f t="shared" si="11"/>
        <v>0</v>
      </c>
      <c r="P55" s="3078">
        <f t="shared" si="11"/>
        <v>0</v>
      </c>
      <c r="Q55" s="3078">
        <f t="shared" si="11"/>
        <v>0</v>
      </c>
      <c r="R55" s="3078">
        <f t="shared" si="11"/>
        <v>0</v>
      </c>
      <c r="S55" s="3078">
        <f t="shared" si="11"/>
        <v>0</v>
      </c>
      <c r="T55" s="3078">
        <f t="shared" si="11"/>
        <v>0</v>
      </c>
      <c r="U55" s="3078">
        <f t="shared" si="11"/>
        <v>0</v>
      </c>
      <c r="V55" s="3078">
        <f t="shared" si="11"/>
        <v>0</v>
      </c>
      <c r="W55" s="3078">
        <f t="shared" si="11"/>
        <v>0</v>
      </c>
      <c r="X55" s="3078">
        <f t="shared" si="11"/>
        <v>0</v>
      </c>
      <c r="Y55" s="3078">
        <f t="shared" si="11"/>
        <v>0</v>
      </c>
      <c r="Z55" s="3078">
        <f t="shared" si="11"/>
        <v>0</v>
      </c>
      <c r="AA55" s="3078">
        <f t="shared" si="11"/>
        <v>0</v>
      </c>
      <c r="AB55" s="3078">
        <f t="shared" si="11"/>
        <v>0</v>
      </c>
      <c r="AC55" s="3079">
        <f t="shared" si="11"/>
        <v>0</v>
      </c>
      <c r="AD55" s="2524"/>
      <c r="AE55" s="2524"/>
      <c r="AF55" s="2524"/>
      <c r="AG55" s="3028"/>
      <c r="AH55" s="3028"/>
      <c r="AI55" s="3028"/>
      <c r="AJ55" s="3028"/>
      <c r="AK55" s="3028"/>
      <c r="AL55" s="3028"/>
      <c r="AM55" s="3028"/>
      <c r="AN55" s="3028"/>
      <c r="AO55" s="3028"/>
      <c r="AP55" s="3028"/>
      <c r="AQ55" s="3028"/>
      <c r="AR55" s="3028"/>
      <c r="AS55" s="3028"/>
      <c r="AT55" s="3028"/>
      <c r="AU55" s="3028"/>
      <c r="AV55" s="3028"/>
      <c r="AW55" s="3028"/>
      <c r="AX55" s="3028"/>
      <c r="AY55" s="3028"/>
      <c r="AZ55" s="3028"/>
      <c r="BA55" s="3028"/>
      <c r="BB55" s="3028"/>
      <c r="BC55" s="3028"/>
      <c r="BD55" s="3028"/>
      <c r="BE55" s="3028"/>
      <c r="BF55" s="3028"/>
      <c r="BG55" s="3028"/>
      <c r="BH55" s="3028"/>
      <c r="BI55" s="3028"/>
      <c r="BJ55" s="3028"/>
      <c r="BK55" s="3028"/>
      <c r="BL55" s="3028"/>
      <c r="BM55" s="3028"/>
      <c r="BN55" s="3028"/>
      <c r="BO55" s="3028"/>
      <c r="BP55" s="3028"/>
      <c r="BQ55" s="3028"/>
      <c r="BR55" s="3028"/>
      <c r="BS55" s="3028"/>
      <c r="BT55" s="3028"/>
      <c r="BU55" s="3028"/>
      <c r="BV55" s="3028"/>
      <c r="BW55" s="3028"/>
      <c r="BX55" s="3028"/>
      <c r="BY55" s="3028"/>
      <c r="BZ55" s="3028"/>
      <c r="CA55" s="3028"/>
      <c r="CB55" s="3028"/>
      <c r="CC55" s="3028"/>
      <c r="CD55" s="3028"/>
      <c r="CE55" s="3028"/>
      <c r="CF55" s="3028"/>
      <c r="CG55" s="3028"/>
      <c r="CH55" s="3028"/>
      <c r="CI55" s="3028"/>
      <c r="CJ55" s="3028"/>
      <c r="CK55" s="3028"/>
      <c r="CL55" s="3028"/>
      <c r="CM55" s="3028"/>
      <c r="CN55" s="3028"/>
      <c r="CO55" s="3028"/>
      <c r="CP55" s="3028"/>
      <c r="CQ55" s="3028"/>
      <c r="CR55" s="3028"/>
      <c r="CS55" s="3028"/>
      <c r="CT55" s="3028"/>
      <c r="CU55" s="3028"/>
      <c r="CV55" s="3028"/>
      <c r="CW55" s="3028"/>
      <c r="CX55" s="3028"/>
      <c r="CY55" s="3028"/>
      <c r="CZ55" s="3028"/>
      <c r="DA55" s="3028"/>
      <c r="DB55" s="3028"/>
      <c r="DC55" s="3028"/>
      <c r="DD55" s="3028"/>
      <c r="DE55" s="3028"/>
      <c r="DF55" s="3028"/>
      <c r="DG55" s="3028"/>
      <c r="DH55" s="3028"/>
      <c r="DI55" s="3028"/>
      <c r="DJ55" s="3028"/>
      <c r="DK55" s="3028"/>
      <c r="DL55" s="3028"/>
      <c r="DM55" s="3028"/>
      <c r="DN55" s="3028"/>
      <c r="DO55" s="3028"/>
      <c r="DP55" s="3028"/>
    </row>
    <row r="56" spans="1:120" ht="34.5" customHeight="1" thickBot="1">
      <c r="A56" s="2896"/>
      <c r="B56" s="4630" t="s">
        <v>121</v>
      </c>
      <c r="C56" s="4631"/>
      <c r="D56" s="4632"/>
      <c r="E56" s="3938"/>
      <c r="F56" s="3938"/>
      <c r="G56" s="3938"/>
      <c r="H56" s="3938"/>
      <c r="I56" s="3938"/>
      <c r="J56" s="3938"/>
      <c r="K56" s="3938"/>
      <c r="L56" s="3938"/>
      <c r="M56" s="3938"/>
      <c r="N56" s="3938"/>
      <c r="O56" s="3938"/>
      <c r="P56" s="3938"/>
      <c r="Q56" s="3938"/>
      <c r="R56" s="3938"/>
      <c r="S56" s="3938"/>
      <c r="T56" s="3938"/>
      <c r="U56" s="3938"/>
      <c r="V56" s="3938"/>
      <c r="W56" s="3938"/>
      <c r="X56" s="3938"/>
      <c r="Y56" s="3938"/>
      <c r="Z56" s="3938"/>
      <c r="AA56" s="3938"/>
      <c r="AB56" s="3938"/>
      <c r="AC56" s="3939"/>
    </row>
    <row r="57" spans="1:120">
      <c r="A57" s="2771"/>
    </row>
    <row r="58" spans="1:120">
      <c r="A58" s="2771"/>
    </row>
  </sheetData>
  <mergeCells count="25">
    <mergeCell ref="B54:D54"/>
    <mergeCell ref="B55:D55"/>
    <mergeCell ref="B56:D56"/>
    <mergeCell ref="E56:AC56"/>
    <mergeCell ref="B35:B44"/>
    <mergeCell ref="C35:D35"/>
    <mergeCell ref="B45:D45"/>
    <mergeCell ref="B46:D46"/>
    <mergeCell ref="B49:B52"/>
    <mergeCell ref="C49:D49"/>
    <mergeCell ref="J17:N17"/>
    <mergeCell ref="O17:AC17"/>
    <mergeCell ref="E18:AC18"/>
    <mergeCell ref="E19:G19"/>
    <mergeCell ref="H19:AC19"/>
    <mergeCell ref="B22:B31"/>
    <mergeCell ref="C22:D22"/>
    <mergeCell ref="B7:H7"/>
    <mergeCell ref="B8:H8"/>
    <mergeCell ref="B9:C9"/>
    <mergeCell ref="B10:H10"/>
    <mergeCell ref="B17:B20"/>
    <mergeCell ref="C17:C20"/>
    <mergeCell ref="D17:D20"/>
    <mergeCell ref="E17:I17"/>
  </mergeCells>
  <pageMargins left="0.75" right="0.75" top="1" bottom="1" header="0.5" footer="0.5"/>
  <pageSetup paperSize="9" orientation="portrait" r:id="rId1"/>
  <headerFooter alignWithMargins="0"/>
  <customProperties>
    <customPr name="_pios_id" r:id="rId2"/>
  </customProperties>
  <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EE58"/>
  <sheetViews>
    <sheetView showGridLines="0" topLeftCell="A5" zoomScale="70" zoomScaleNormal="70" workbookViewId="0">
      <selection activeCell="A41" sqref="A41"/>
    </sheetView>
  </sheetViews>
  <sheetFormatPr defaultRowHeight="12.75"/>
  <cols>
    <col min="1" max="1" width="16.28515625" style="2524" bestFit="1" customWidth="1"/>
    <col min="2" max="2" width="41.7109375" style="3082" customWidth="1"/>
    <col min="3" max="3" width="38" style="2524" customWidth="1"/>
    <col min="4" max="4" width="33.85546875" style="2524" bestFit="1" customWidth="1"/>
    <col min="5" max="28" width="15.7109375" style="2524" customWidth="1"/>
    <col min="29" max="29" width="13.85546875" style="2524" customWidth="1"/>
    <col min="30" max="254" width="9.140625" style="2524"/>
    <col min="255" max="255" width="16.28515625" style="2524" bestFit="1" customWidth="1"/>
    <col min="256" max="256" width="63.28515625" style="2524" customWidth="1"/>
    <col min="257" max="257" width="22" style="2524" customWidth="1"/>
    <col min="258" max="260" width="8" style="2524" bestFit="1" customWidth="1"/>
    <col min="261" max="261" width="13.85546875" style="2524" customWidth="1"/>
    <col min="262" max="262" width="17.28515625" style="2524" bestFit="1" customWidth="1"/>
    <col min="263" max="274" width="10.7109375" style="2524" bestFit="1" customWidth="1"/>
    <col min="275" max="510" width="9.140625" style="2524"/>
    <col min="511" max="511" width="16.28515625" style="2524" bestFit="1" customWidth="1"/>
    <col min="512" max="512" width="63.28515625" style="2524" customWidth="1"/>
    <col min="513" max="513" width="22" style="2524" customWidth="1"/>
    <col min="514" max="516" width="8" style="2524" bestFit="1" customWidth="1"/>
    <col min="517" max="517" width="13.85546875" style="2524" customWidth="1"/>
    <col min="518" max="518" width="17.28515625" style="2524" bestFit="1" customWidth="1"/>
    <col min="519" max="530" width="10.7109375" style="2524" bestFit="1" customWidth="1"/>
    <col min="531" max="766" width="9.140625" style="2524"/>
    <col min="767" max="767" width="16.28515625" style="2524" bestFit="1" customWidth="1"/>
    <col min="768" max="768" width="63.28515625" style="2524" customWidth="1"/>
    <col min="769" max="769" width="22" style="2524" customWidth="1"/>
    <col min="770" max="772" width="8" style="2524" bestFit="1" customWidth="1"/>
    <col min="773" max="773" width="13.85546875" style="2524" customWidth="1"/>
    <col min="774" max="774" width="17.28515625" style="2524" bestFit="1" customWidth="1"/>
    <col min="775" max="786" width="10.7109375" style="2524" bestFit="1" customWidth="1"/>
    <col min="787" max="1022" width="9.140625" style="2524"/>
    <col min="1023" max="1023" width="16.28515625" style="2524" bestFit="1" customWidth="1"/>
    <col min="1024" max="1024" width="63.28515625" style="2524" customWidth="1"/>
    <col min="1025" max="1025" width="22" style="2524" customWidth="1"/>
    <col min="1026" max="1028" width="8" style="2524" bestFit="1" customWidth="1"/>
    <col min="1029" max="1029" width="13.85546875" style="2524" customWidth="1"/>
    <col min="1030" max="1030" width="17.28515625" style="2524" bestFit="1" customWidth="1"/>
    <col min="1031" max="1042" width="10.7109375" style="2524" bestFit="1" customWidth="1"/>
    <col min="1043" max="1278" width="9.140625" style="2524"/>
    <col min="1279" max="1279" width="16.28515625" style="2524" bestFit="1" customWidth="1"/>
    <col min="1280" max="1280" width="63.28515625" style="2524" customWidth="1"/>
    <col min="1281" max="1281" width="22" style="2524" customWidth="1"/>
    <col min="1282" max="1284" width="8" style="2524" bestFit="1" customWidth="1"/>
    <col min="1285" max="1285" width="13.85546875" style="2524" customWidth="1"/>
    <col min="1286" max="1286" width="17.28515625" style="2524" bestFit="1" customWidth="1"/>
    <col min="1287" max="1298" width="10.7109375" style="2524" bestFit="1" customWidth="1"/>
    <col min="1299" max="1534" width="9.140625" style="2524"/>
    <col min="1535" max="1535" width="16.28515625" style="2524" bestFit="1" customWidth="1"/>
    <col min="1536" max="1536" width="63.28515625" style="2524" customWidth="1"/>
    <col min="1537" max="1537" width="22" style="2524" customWidth="1"/>
    <col min="1538" max="1540" width="8" style="2524" bestFit="1" customWidth="1"/>
    <col min="1541" max="1541" width="13.85546875" style="2524" customWidth="1"/>
    <col min="1542" max="1542" width="17.28515625" style="2524" bestFit="1" customWidth="1"/>
    <col min="1543" max="1554" width="10.7109375" style="2524" bestFit="1" customWidth="1"/>
    <col min="1555" max="1790" width="9.140625" style="2524"/>
    <col min="1791" max="1791" width="16.28515625" style="2524" bestFit="1" customWidth="1"/>
    <col min="1792" max="1792" width="63.28515625" style="2524" customWidth="1"/>
    <col min="1793" max="1793" width="22" style="2524" customWidth="1"/>
    <col min="1794" max="1796" width="8" style="2524" bestFit="1" customWidth="1"/>
    <col min="1797" max="1797" width="13.85546875" style="2524" customWidth="1"/>
    <col min="1798" max="1798" width="17.28515625" style="2524" bestFit="1" customWidth="1"/>
    <col min="1799" max="1810" width="10.7109375" style="2524" bestFit="1" customWidth="1"/>
    <col min="1811" max="2046" width="9.140625" style="2524"/>
    <col min="2047" max="2047" width="16.28515625" style="2524" bestFit="1" customWidth="1"/>
    <col min="2048" max="2048" width="63.28515625" style="2524" customWidth="1"/>
    <col min="2049" max="2049" width="22" style="2524" customWidth="1"/>
    <col min="2050" max="2052" width="8" style="2524" bestFit="1" customWidth="1"/>
    <col min="2053" max="2053" width="13.85546875" style="2524" customWidth="1"/>
    <col min="2054" max="2054" width="17.28515625" style="2524" bestFit="1" customWidth="1"/>
    <col min="2055" max="2066" width="10.7109375" style="2524" bestFit="1" customWidth="1"/>
    <col min="2067" max="2302" width="9.140625" style="2524"/>
    <col min="2303" max="2303" width="16.28515625" style="2524" bestFit="1" customWidth="1"/>
    <col min="2304" max="2304" width="63.28515625" style="2524" customWidth="1"/>
    <col min="2305" max="2305" width="22" style="2524" customWidth="1"/>
    <col min="2306" max="2308" width="8" style="2524" bestFit="1" customWidth="1"/>
    <col min="2309" max="2309" width="13.85546875" style="2524" customWidth="1"/>
    <col min="2310" max="2310" width="17.28515625" style="2524" bestFit="1" customWidth="1"/>
    <col min="2311" max="2322" width="10.7109375" style="2524" bestFit="1" customWidth="1"/>
    <col min="2323" max="2558" width="9.140625" style="2524"/>
    <col min="2559" max="2559" width="16.28515625" style="2524" bestFit="1" customWidth="1"/>
    <col min="2560" max="2560" width="63.28515625" style="2524" customWidth="1"/>
    <col min="2561" max="2561" width="22" style="2524" customWidth="1"/>
    <col min="2562" max="2564" width="8" style="2524" bestFit="1" customWidth="1"/>
    <col min="2565" max="2565" width="13.85546875" style="2524" customWidth="1"/>
    <col min="2566" max="2566" width="17.28515625" style="2524" bestFit="1" customWidth="1"/>
    <col min="2567" max="2578" width="10.7109375" style="2524" bestFit="1" customWidth="1"/>
    <col min="2579" max="2814" width="9.140625" style="2524"/>
    <col min="2815" max="2815" width="16.28515625" style="2524" bestFit="1" customWidth="1"/>
    <col min="2816" max="2816" width="63.28515625" style="2524" customWidth="1"/>
    <col min="2817" max="2817" width="22" style="2524" customWidth="1"/>
    <col min="2818" max="2820" width="8" style="2524" bestFit="1" customWidth="1"/>
    <col min="2821" max="2821" width="13.85546875" style="2524" customWidth="1"/>
    <col min="2822" max="2822" width="17.28515625" style="2524" bestFit="1" customWidth="1"/>
    <col min="2823" max="2834" width="10.7109375" style="2524" bestFit="1" customWidth="1"/>
    <col min="2835" max="3070" width="9.140625" style="2524"/>
    <col min="3071" max="3071" width="16.28515625" style="2524" bestFit="1" customWidth="1"/>
    <col min="3072" max="3072" width="63.28515625" style="2524" customWidth="1"/>
    <col min="3073" max="3073" width="22" style="2524" customWidth="1"/>
    <col min="3074" max="3076" width="8" style="2524" bestFit="1" customWidth="1"/>
    <col min="3077" max="3077" width="13.85546875" style="2524" customWidth="1"/>
    <col min="3078" max="3078" width="17.28515625" style="2524" bestFit="1" customWidth="1"/>
    <col min="3079" max="3090" width="10.7109375" style="2524" bestFit="1" customWidth="1"/>
    <col min="3091" max="3326" width="9.140625" style="2524"/>
    <col min="3327" max="3327" width="16.28515625" style="2524" bestFit="1" customWidth="1"/>
    <col min="3328" max="3328" width="63.28515625" style="2524" customWidth="1"/>
    <col min="3329" max="3329" width="22" style="2524" customWidth="1"/>
    <col min="3330" max="3332" width="8" style="2524" bestFit="1" customWidth="1"/>
    <col min="3333" max="3333" width="13.85546875" style="2524" customWidth="1"/>
    <col min="3334" max="3334" width="17.28515625" style="2524" bestFit="1" customWidth="1"/>
    <col min="3335" max="3346" width="10.7109375" style="2524" bestFit="1" customWidth="1"/>
    <col min="3347" max="3582" width="9.140625" style="2524"/>
    <col min="3583" max="3583" width="16.28515625" style="2524" bestFit="1" customWidth="1"/>
    <col min="3584" max="3584" width="63.28515625" style="2524" customWidth="1"/>
    <col min="3585" max="3585" width="22" style="2524" customWidth="1"/>
    <col min="3586" max="3588" width="8" style="2524" bestFit="1" customWidth="1"/>
    <col min="3589" max="3589" width="13.85546875" style="2524" customWidth="1"/>
    <col min="3590" max="3590" width="17.28515625" style="2524" bestFit="1" customWidth="1"/>
    <col min="3591" max="3602" width="10.7109375" style="2524" bestFit="1" customWidth="1"/>
    <col min="3603" max="3838" width="9.140625" style="2524"/>
    <col min="3839" max="3839" width="16.28515625" style="2524" bestFit="1" customWidth="1"/>
    <col min="3840" max="3840" width="63.28515625" style="2524" customWidth="1"/>
    <col min="3841" max="3841" width="22" style="2524" customWidth="1"/>
    <col min="3842" max="3844" width="8" style="2524" bestFit="1" customWidth="1"/>
    <col min="3845" max="3845" width="13.85546875" style="2524" customWidth="1"/>
    <col min="3846" max="3846" width="17.28515625" style="2524" bestFit="1" customWidth="1"/>
    <col min="3847" max="3858" width="10.7109375" style="2524" bestFit="1" customWidth="1"/>
    <col min="3859" max="4094" width="9.140625" style="2524"/>
    <col min="4095" max="4095" width="16.28515625" style="2524" bestFit="1" customWidth="1"/>
    <col min="4096" max="4096" width="63.28515625" style="2524" customWidth="1"/>
    <col min="4097" max="4097" width="22" style="2524" customWidth="1"/>
    <col min="4098" max="4100" width="8" style="2524" bestFit="1" customWidth="1"/>
    <col min="4101" max="4101" width="13.85546875" style="2524" customWidth="1"/>
    <col min="4102" max="4102" width="17.28515625" style="2524" bestFit="1" customWidth="1"/>
    <col min="4103" max="4114" width="10.7109375" style="2524" bestFit="1" customWidth="1"/>
    <col min="4115" max="4350" width="9.140625" style="2524"/>
    <col min="4351" max="4351" width="16.28515625" style="2524" bestFit="1" customWidth="1"/>
    <col min="4352" max="4352" width="63.28515625" style="2524" customWidth="1"/>
    <col min="4353" max="4353" width="22" style="2524" customWidth="1"/>
    <col min="4354" max="4356" width="8" style="2524" bestFit="1" customWidth="1"/>
    <col min="4357" max="4357" width="13.85546875" style="2524" customWidth="1"/>
    <col min="4358" max="4358" width="17.28515625" style="2524" bestFit="1" customWidth="1"/>
    <col min="4359" max="4370" width="10.7109375" style="2524" bestFit="1" customWidth="1"/>
    <col min="4371" max="4606" width="9.140625" style="2524"/>
    <col min="4607" max="4607" width="16.28515625" style="2524" bestFit="1" customWidth="1"/>
    <col min="4608" max="4608" width="63.28515625" style="2524" customWidth="1"/>
    <col min="4609" max="4609" width="22" style="2524" customWidth="1"/>
    <col min="4610" max="4612" width="8" style="2524" bestFit="1" customWidth="1"/>
    <col min="4613" max="4613" width="13.85546875" style="2524" customWidth="1"/>
    <col min="4614" max="4614" width="17.28515625" style="2524" bestFit="1" customWidth="1"/>
    <col min="4615" max="4626" width="10.7109375" style="2524" bestFit="1" customWidth="1"/>
    <col min="4627" max="4862" width="9.140625" style="2524"/>
    <col min="4863" max="4863" width="16.28515625" style="2524" bestFit="1" customWidth="1"/>
    <col min="4864" max="4864" width="63.28515625" style="2524" customWidth="1"/>
    <col min="4865" max="4865" width="22" style="2524" customWidth="1"/>
    <col min="4866" max="4868" width="8" style="2524" bestFit="1" customWidth="1"/>
    <col min="4869" max="4869" width="13.85546875" style="2524" customWidth="1"/>
    <col min="4870" max="4870" width="17.28515625" style="2524" bestFit="1" customWidth="1"/>
    <col min="4871" max="4882" width="10.7109375" style="2524" bestFit="1" customWidth="1"/>
    <col min="4883" max="5118" width="9.140625" style="2524"/>
    <col min="5119" max="5119" width="16.28515625" style="2524" bestFit="1" customWidth="1"/>
    <col min="5120" max="5120" width="63.28515625" style="2524" customWidth="1"/>
    <col min="5121" max="5121" width="22" style="2524" customWidth="1"/>
    <col min="5122" max="5124" width="8" style="2524" bestFit="1" customWidth="1"/>
    <col min="5125" max="5125" width="13.85546875" style="2524" customWidth="1"/>
    <col min="5126" max="5126" width="17.28515625" style="2524" bestFit="1" customWidth="1"/>
    <col min="5127" max="5138" width="10.7109375" style="2524" bestFit="1" customWidth="1"/>
    <col min="5139" max="5374" width="9.140625" style="2524"/>
    <col min="5375" max="5375" width="16.28515625" style="2524" bestFit="1" customWidth="1"/>
    <col min="5376" max="5376" width="63.28515625" style="2524" customWidth="1"/>
    <col min="5377" max="5377" width="22" style="2524" customWidth="1"/>
    <col min="5378" max="5380" width="8" style="2524" bestFit="1" customWidth="1"/>
    <col min="5381" max="5381" width="13.85546875" style="2524" customWidth="1"/>
    <col min="5382" max="5382" width="17.28515625" style="2524" bestFit="1" customWidth="1"/>
    <col min="5383" max="5394" width="10.7109375" style="2524" bestFit="1" customWidth="1"/>
    <col min="5395" max="5630" width="9.140625" style="2524"/>
    <col min="5631" max="5631" width="16.28515625" style="2524" bestFit="1" customWidth="1"/>
    <col min="5632" max="5632" width="63.28515625" style="2524" customWidth="1"/>
    <col min="5633" max="5633" width="22" style="2524" customWidth="1"/>
    <col min="5634" max="5636" width="8" style="2524" bestFit="1" customWidth="1"/>
    <col min="5637" max="5637" width="13.85546875" style="2524" customWidth="1"/>
    <col min="5638" max="5638" width="17.28515625" style="2524" bestFit="1" customWidth="1"/>
    <col min="5639" max="5650" width="10.7109375" style="2524" bestFit="1" customWidth="1"/>
    <col min="5651" max="5886" width="9.140625" style="2524"/>
    <col min="5887" max="5887" width="16.28515625" style="2524" bestFit="1" customWidth="1"/>
    <col min="5888" max="5888" width="63.28515625" style="2524" customWidth="1"/>
    <col min="5889" max="5889" width="22" style="2524" customWidth="1"/>
    <col min="5890" max="5892" width="8" style="2524" bestFit="1" customWidth="1"/>
    <col min="5893" max="5893" width="13.85546875" style="2524" customWidth="1"/>
    <col min="5894" max="5894" width="17.28515625" style="2524" bestFit="1" customWidth="1"/>
    <col min="5895" max="5906" width="10.7109375" style="2524" bestFit="1" customWidth="1"/>
    <col min="5907" max="6142" width="9.140625" style="2524"/>
    <col min="6143" max="6143" width="16.28515625" style="2524" bestFit="1" customWidth="1"/>
    <col min="6144" max="6144" width="63.28515625" style="2524" customWidth="1"/>
    <col min="6145" max="6145" width="22" style="2524" customWidth="1"/>
    <col min="6146" max="6148" width="8" style="2524" bestFit="1" customWidth="1"/>
    <col min="6149" max="6149" width="13.85546875" style="2524" customWidth="1"/>
    <col min="6150" max="6150" width="17.28515625" style="2524" bestFit="1" customWidth="1"/>
    <col min="6151" max="6162" width="10.7109375" style="2524" bestFit="1" customWidth="1"/>
    <col min="6163" max="6398" width="9.140625" style="2524"/>
    <col min="6399" max="6399" width="16.28515625" style="2524" bestFit="1" customWidth="1"/>
    <col min="6400" max="6400" width="63.28515625" style="2524" customWidth="1"/>
    <col min="6401" max="6401" width="22" style="2524" customWidth="1"/>
    <col min="6402" max="6404" width="8" style="2524" bestFit="1" customWidth="1"/>
    <col min="6405" max="6405" width="13.85546875" style="2524" customWidth="1"/>
    <col min="6406" max="6406" width="17.28515625" style="2524" bestFit="1" customWidth="1"/>
    <col min="6407" max="6418" width="10.7109375" style="2524" bestFit="1" customWidth="1"/>
    <col min="6419" max="6654" width="9.140625" style="2524"/>
    <col min="6655" max="6655" width="16.28515625" style="2524" bestFit="1" customWidth="1"/>
    <col min="6656" max="6656" width="63.28515625" style="2524" customWidth="1"/>
    <col min="6657" max="6657" width="22" style="2524" customWidth="1"/>
    <col min="6658" max="6660" width="8" style="2524" bestFit="1" customWidth="1"/>
    <col min="6661" max="6661" width="13.85546875" style="2524" customWidth="1"/>
    <col min="6662" max="6662" width="17.28515625" style="2524" bestFit="1" customWidth="1"/>
    <col min="6663" max="6674" width="10.7109375" style="2524" bestFit="1" customWidth="1"/>
    <col min="6675" max="6910" width="9.140625" style="2524"/>
    <col min="6911" max="6911" width="16.28515625" style="2524" bestFit="1" customWidth="1"/>
    <col min="6912" max="6912" width="63.28515625" style="2524" customWidth="1"/>
    <col min="6913" max="6913" width="22" style="2524" customWidth="1"/>
    <col min="6914" max="6916" width="8" style="2524" bestFit="1" customWidth="1"/>
    <col min="6917" max="6917" width="13.85546875" style="2524" customWidth="1"/>
    <col min="6918" max="6918" width="17.28515625" style="2524" bestFit="1" customWidth="1"/>
    <col min="6919" max="6930" width="10.7109375" style="2524" bestFit="1" customWidth="1"/>
    <col min="6931" max="7166" width="9.140625" style="2524"/>
    <col min="7167" max="7167" width="16.28515625" style="2524" bestFit="1" customWidth="1"/>
    <col min="7168" max="7168" width="63.28515625" style="2524" customWidth="1"/>
    <col min="7169" max="7169" width="22" style="2524" customWidth="1"/>
    <col min="7170" max="7172" width="8" style="2524" bestFit="1" customWidth="1"/>
    <col min="7173" max="7173" width="13.85546875" style="2524" customWidth="1"/>
    <col min="7174" max="7174" width="17.28515625" style="2524" bestFit="1" customWidth="1"/>
    <col min="7175" max="7186" width="10.7109375" style="2524" bestFit="1" customWidth="1"/>
    <col min="7187" max="7422" width="9.140625" style="2524"/>
    <col min="7423" max="7423" width="16.28515625" style="2524" bestFit="1" customWidth="1"/>
    <col min="7424" max="7424" width="63.28515625" style="2524" customWidth="1"/>
    <col min="7425" max="7425" width="22" style="2524" customWidth="1"/>
    <col min="7426" max="7428" width="8" style="2524" bestFit="1" customWidth="1"/>
    <col min="7429" max="7429" width="13.85546875" style="2524" customWidth="1"/>
    <col min="7430" max="7430" width="17.28515625" style="2524" bestFit="1" customWidth="1"/>
    <col min="7431" max="7442" width="10.7109375" style="2524" bestFit="1" customWidth="1"/>
    <col min="7443" max="7678" width="9.140625" style="2524"/>
    <col min="7679" max="7679" width="16.28515625" style="2524" bestFit="1" customWidth="1"/>
    <col min="7680" max="7680" width="63.28515625" style="2524" customWidth="1"/>
    <col min="7681" max="7681" width="22" style="2524" customWidth="1"/>
    <col min="7682" max="7684" width="8" style="2524" bestFit="1" customWidth="1"/>
    <col min="7685" max="7685" width="13.85546875" style="2524" customWidth="1"/>
    <col min="7686" max="7686" width="17.28515625" style="2524" bestFit="1" customWidth="1"/>
    <col min="7687" max="7698" width="10.7109375" style="2524" bestFit="1" customWidth="1"/>
    <col min="7699" max="7934" width="9.140625" style="2524"/>
    <col min="7935" max="7935" width="16.28515625" style="2524" bestFit="1" customWidth="1"/>
    <col min="7936" max="7936" width="63.28515625" style="2524" customWidth="1"/>
    <col min="7937" max="7937" width="22" style="2524" customWidth="1"/>
    <col min="7938" max="7940" width="8" style="2524" bestFit="1" customWidth="1"/>
    <col min="7941" max="7941" width="13.85546875" style="2524" customWidth="1"/>
    <col min="7942" max="7942" width="17.28515625" style="2524" bestFit="1" customWidth="1"/>
    <col min="7943" max="7954" width="10.7109375" style="2524" bestFit="1" customWidth="1"/>
    <col min="7955" max="8190" width="9.140625" style="2524"/>
    <col min="8191" max="8191" width="16.28515625" style="2524" bestFit="1" customWidth="1"/>
    <col min="8192" max="8192" width="63.28515625" style="2524" customWidth="1"/>
    <col min="8193" max="8193" width="22" style="2524" customWidth="1"/>
    <col min="8194" max="8196" width="8" style="2524" bestFit="1" customWidth="1"/>
    <col min="8197" max="8197" width="13.85546875" style="2524" customWidth="1"/>
    <col min="8198" max="8198" width="17.28515625" style="2524" bestFit="1" customWidth="1"/>
    <col min="8199" max="8210" width="10.7109375" style="2524" bestFit="1" customWidth="1"/>
    <col min="8211" max="8446" width="9.140625" style="2524"/>
    <col min="8447" max="8447" width="16.28515625" style="2524" bestFit="1" customWidth="1"/>
    <col min="8448" max="8448" width="63.28515625" style="2524" customWidth="1"/>
    <col min="8449" max="8449" width="22" style="2524" customWidth="1"/>
    <col min="8450" max="8452" width="8" style="2524" bestFit="1" customWidth="1"/>
    <col min="8453" max="8453" width="13.85546875" style="2524" customWidth="1"/>
    <col min="8454" max="8454" width="17.28515625" style="2524" bestFit="1" customWidth="1"/>
    <col min="8455" max="8466" width="10.7109375" style="2524" bestFit="1" customWidth="1"/>
    <col min="8467" max="8702" width="9.140625" style="2524"/>
    <col min="8703" max="8703" width="16.28515625" style="2524" bestFit="1" customWidth="1"/>
    <col min="8704" max="8704" width="63.28515625" style="2524" customWidth="1"/>
    <col min="8705" max="8705" width="22" style="2524" customWidth="1"/>
    <col min="8706" max="8708" width="8" style="2524" bestFit="1" customWidth="1"/>
    <col min="8709" max="8709" width="13.85546875" style="2524" customWidth="1"/>
    <col min="8710" max="8710" width="17.28515625" style="2524" bestFit="1" customWidth="1"/>
    <col min="8711" max="8722" width="10.7109375" style="2524" bestFit="1" customWidth="1"/>
    <col min="8723" max="8958" width="9.140625" style="2524"/>
    <col min="8959" max="8959" width="16.28515625" style="2524" bestFit="1" customWidth="1"/>
    <col min="8960" max="8960" width="63.28515625" style="2524" customWidth="1"/>
    <col min="8961" max="8961" width="22" style="2524" customWidth="1"/>
    <col min="8962" max="8964" width="8" style="2524" bestFit="1" customWidth="1"/>
    <col min="8965" max="8965" width="13.85546875" style="2524" customWidth="1"/>
    <col min="8966" max="8966" width="17.28515625" style="2524" bestFit="1" customWidth="1"/>
    <col min="8967" max="8978" width="10.7109375" style="2524" bestFit="1" customWidth="1"/>
    <col min="8979" max="9214" width="9.140625" style="2524"/>
    <col min="9215" max="9215" width="16.28515625" style="2524" bestFit="1" customWidth="1"/>
    <col min="9216" max="9216" width="63.28515625" style="2524" customWidth="1"/>
    <col min="9217" max="9217" width="22" style="2524" customWidth="1"/>
    <col min="9218" max="9220" width="8" style="2524" bestFit="1" customWidth="1"/>
    <col min="9221" max="9221" width="13.85546875" style="2524" customWidth="1"/>
    <col min="9222" max="9222" width="17.28515625" style="2524" bestFit="1" customWidth="1"/>
    <col min="9223" max="9234" width="10.7109375" style="2524" bestFit="1" customWidth="1"/>
    <col min="9235" max="9470" width="9.140625" style="2524"/>
    <col min="9471" max="9471" width="16.28515625" style="2524" bestFit="1" customWidth="1"/>
    <col min="9472" max="9472" width="63.28515625" style="2524" customWidth="1"/>
    <col min="9473" max="9473" width="22" style="2524" customWidth="1"/>
    <col min="9474" max="9476" width="8" style="2524" bestFit="1" customWidth="1"/>
    <col min="9477" max="9477" width="13.85546875" style="2524" customWidth="1"/>
    <col min="9478" max="9478" width="17.28515625" style="2524" bestFit="1" customWidth="1"/>
    <col min="9479" max="9490" width="10.7109375" style="2524" bestFit="1" customWidth="1"/>
    <col min="9491" max="9726" width="9.140625" style="2524"/>
    <col min="9727" max="9727" width="16.28515625" style="2524" bestFit="1" customWidth="1"/>
    <col min="9728" max="9728" width="63.28515625" style="2524" customWidth="1"/>
    <col min="9729" max="9729" width="22" style="2524" customWidth="1"/>
    <col min="9730" max="9732" width="8" style="2524" bestFit="1" customWidth="1"/>
    <col min="9733" max="9733" width="13.85546875" style="2524" customWidth="1"/>
    <col min="9734" max="9734" width="17.28515625" style="2524" bestFit="1" customWidth="1"/>
    <col min="9735" max="9746" width="10.7109375" style="2524" bestFit="1" customWidth="1"/>
    <col min="9747" max="9982" width="9.140625" style="2524"/>
    <col min="9983" max="9983" width="16.28515625" style="2524" bestFit="1" customWidth="1"/>
    <col min="9984" max="9984" width="63.28515625" style="2524" customWidth="1"/>
    <col min="9985" max="9985" width="22" style="2524" customWidth="1"/>
    <col min="9986" max="9988" width="8" style="2524" bestFit="1" customWidth="1"/>
    <col min="9989" max="9989" width="13.85546875" style="2524" customWidth="1"/>
    <col min="9990" max="9990" width="17.28515625" style="2524" bestFit="1" customWidth="1"/>
    <col min="9991" max="10002" width="10.7109375" style="2524" bestFit="1" customWidth="1"/>
    <col min="10003" max="10238" width="9.140625" style="2524"/>
    <col min="10239" max="10239" width="16.28515625" style="2524" bestFit="1" customWidth="1"/>
    <col min="10240" max="10240" width="63.28515625" style="2524" customWidth="1"/>
    <col min="10241" max="10241" width="22" style="2524" customWidth="1"/>
    <col min="10242" max="10244" width="8" style="2524" bestFit="1" customWidth="1"/>
    <col min="10245" max="10245" width="13.85546875" style="2524" customWidth="1"/>
    <col min="10246" max="10246" width="17.28515625" style="2524" bestFit="1" customWidth="1"/>
    <col min="10247" max="10258" width="10.7109375" style="2524" bestFit="1" customWidth="1"/>
    <col min="10259" max="10494" width="9.140625" style="2524"/>
    <col min="10495" max="10495" width="16.28515625" style="2524" bestFit="1" customWidth="1"/>
    <col min="10496" max="10496" width="63.28515625" style="2524" customWidth="1"/>
    <col min="10497" max="10497" width="22" style="2524" customWidth="1"/>
    <col min="10498" max="10500" width="8" style="2524" bestFit="1" customWidth="1"/>
    <col min="10501" max="10501" width="13.85546875" style="2524" customWidth="1"/>
    <col min="10502" max="10502" width="17.28515625" style="2524" bestFit="1" customWidth="1"/>
    <col min="10503" max="10514" width="10.7109375" style="2524" bestFit="1" customWidth="1"/>
    <col min="10515" max="10750" width="9.140625" style="2524"/>
    <col min="10751" max="10751" width="16.28515625" style="2524" bestFit="1" customWidth="1"/>
    <col min="10752" max="10752" width="63.28515625" style="2524" customWidth="1"/>
    <col min="10753" max="10753" width="22" style="2524" customWidth="1"/>
    <col min="10754" max="10756" width="8" style="2524" bestFit="1" customWidth="1"/>
    <col min="10757" max="10757" width="13.85546875" style="2524" customWidth="1"/>
    <col min="10758" max="10758" width="17.28515625" style="2524" bestFit="1" customWidth="1"/>
    <col min="10759" max="10770" width="10.7109375" style="2524" bestFit="1" customWidth="1"/>
    <col min="10771" max="11006" width="9.140625" style="2524"/>
    <col min="11007" max="11007" width="16.28515625" style="2524" bestFit="1" customWidth="1"/>
    <col min="11008" max="11008" width="63.28515625" style="2524" customWidth="1"/>
    <col min="11009" max="11009" width="22" style="2524" customWidth="1"/>
    <col min="11010" max="11012" width="8" style="2524" bestFit="1" customWidth="1"/>
    <col min="11013" max="11013" width="13.85546875" style="2524" customWidth="1"/>
    <col min="11014" max="11014" width="17.28515625" style="2524" bestFit="1" customWidth="1"/>
    <col min="11015" max="11026" width="10.7109375" style="2524" bestFit="1" customWidth="1"/>
    <col min="11027" max="11262" width="9.140625" style="2524"/>
    <col min="11263" max="11263" width="16.28515625" style="2524" bestFit="1" customWidth="1"/>
    <col min="11264" max="11264" width="63.28515625" style="2524" customWidth="1"/>
    <col min="11265" max="11265" width="22" style="2524" customWidth="1"/>
    <col min="11266" max="11268" width="8" style="2524" bestFit="1" customWidth="1"/>
    <col min="11269" max="11269" width="13.85546875" style="2524" customWidth="1"/>
    <col min="11270" max="11270" width="17.28515625" style="2524" bestFit="1" customWidth="1"/>
    <col min="11271" max="11282" width="10.7109375" style="2524" bestFit="1" customWidth="1"/>
    <col min="11283" max="11518" width="9.140625" style="2524"/>
    <col min="11519" max="11519" width="16.28515625" style="2524" bestFit="1" customWidth="1"/>
    <col min="11520" max="11520" width="63.28515625" style="2524" customWidth="1"/>
    <col min="11521" max="11521" width="22" style="2524" customWidth="1"/>
    <col min="11522" max="11524" width="8" style="2524" bestFit="1" customWidth="1"/>
    <col min="11525" max="11525" width="13.85546875" style="2524" customWidth="1"/>
    <col min="11526" max="11526" width="17.28515625" style="2524" bestFit="1" customWidth="1"/>
    <col min="11527" max="11538" width="10.7109375" style="2524" bestFit="1" customWidth="1"/>
    <col min="11539" max="11774" width="9.140625" style="2524"/>
    <col min="11775" max="11775" width="16.28515625" style="2524" bestFit="1" customWidth="1"/>
    <col min="11776" max="11776" width="63.28515625" style="2524" customWidth="1"/>
    <col min="11777" max="11777" width="22" style="2524" customWidth="1"/>
    <col min="11778" max="11780" width="8" style="2524" bestFit="1" customWidth="1"/>
    <col min="11781" max="11781" width="13.85546875" style="2524" customWidth="1"/>
    <col min="11782" max="11782" width="17.28515625" style="2524" bestFit="1" customWidth="1"/>
    <col min="11783" max="11794" width="10.7109375" style="2524" bestFit="1" customWidth="1"/>
    <col min="11795" max="12030" width="9.140625" style="2524"/>
    <col min="12031" max="12031" width="16.28515625" style="2524" bestFit="1" customWidth="1"/>
    <col min="12032" max="12032" width="63.28515625" style="2524" customWidth="1"/>
    <col min="12033" max="12033" width="22" style="2524" customWidth="1"/>
    <col min="12034" max="12036" width="8" style="2524" bestFit="1" customWidth="1"/>
    <col min="12037" max="12037" width="13.85546875" style="2524" customWidth="1"/>
    <col min="12038" max="12038" width="17.28515625" style="2524" bestFit="1" customWidth="1"/>
    <col min="12039" max="12050" width="10.7109375" style="2524" bestFit="1" customWidth="1"/>
    <col min="12051" max="12286" width="9.140625" style="2524"/>
    <col min="12287" max="12287" width="16.28515625" style="2524" bestFit="1" customWidth="1"/>
    <col min="12288" max="12288" width="63.28515625" style="2524" customWidth="1"/>
    <col min="12289" max="12289" width="22" style="2524" customWidth="1"/>
    <col min="12290" max="12292" width="8" style="2524" bestFit="1" customWidth="1"/>
    <col min="12293" max="12293" width="13.85546875" style="2524" customWidth="1"/>
    <col min="12294" max="12294" width="17.28515625" style="2524" bestFit="1" customWidth="1"/>
    <col min="12295" max="12306" width="10.7109375" style="2524" bestFit="1" customWidth="1"/>
    <col min="12307" max="12542" width="9.140625" style="2524"/>
    <col min="12543" max="12543" width="16.28515625" style="2524" bestFit="1" customWidth="1"/>
    <col min="12544" max="12544" width="63.28515625" style="2524" customWidth="1"/>
    <col min="12545" max="12545" width="22" style="2524" customWidth="1"/>
    <col min="12546" max="12548" width="8" style="2524" bestFit="1" customWidth="1"/>
    <col min="12549" max="12549" width="13.85546875" style="2524" customWidth="1"/>
    <col min="12550" max="12550" width="17.28515625" style="2524" bestFit="1" customWidth="1"/>
    <col min="12551" max="12562" width="10.7109375" style="2524" bestFit="1" customWidth="1"/>
    <col min="12563" max="12798" width="9.140625" style="2524"/>
    <col min="12799" max="12799" width="16.28515625" style="2524" bestFit="1" customWidth="1"/>
    <col min="12800" max="12800" width="63.28515625" style="2524" customWidth="1"/>
    <col min="12801" max="12801" width="22" style="2524" customWidth="1"/>
    <col min="12802" max="12804" width="8" style="2524" bestFit="1" customWidth="1"/>
    <col min="12805" max="12805" width="13.85546875" style="2524" customWidth="1"/>
    <col min="12806" max="12806" width="17.28515625" style="2524" bestFit="1" customWidth="1"/>
    <col min="12807" max="12818" width="10.7109375" style="2524" bestFit="1" customWidth="1"/>
    <col min="12819" max="13054" width="9.140625" style="2524"/>
    <col min="13055" max="13055" width="16.28515625" style="2524" bestFit="1" customWidth="1"/>
    <col min="13056" max="13056" width="63.28515625" style="2524" customWidth="1"/>
    <col min="13057" max="13057" width="22" style="2524" customWidth="1"/>
    <col min="13058" max="13060" width="8" style="2524" bestFit="1" customWidth="1"/>
    <col min="13061" max="13061" width="13.85546875" style="2524" customWidth="1"/>
    <col min="13062" max="13062" width="17.28515625" style="2524" bestFit="1" customWidth="1"/>
    <col min="13063" max="13074" width="10.7109375" style="2524" bestFit="1" customWidth="1"/>
    <col min="13075" max="13310" width="9.140625" style="2524"/>
    <col min="13311" max="13311" width="16.28515625" style="2524" bestFit="1" customWidth="1"/>
    <col min="13312" max="13312" width="63.28515625" style="2524" customWidth="1"/>
    <col min="13313" max="13313" width="22" style="2524" customWidth="1"/>
    <col min="13314" max="13316" width="8" style="2524" bestFit="1" customWidth="1"/>
    <col min="13317" max="13317" width="13.85546875" style="2524" customWidth="1"/>
    <col min="13318" max="13318" width="17.28515625" style="2524" bestFit="1" customWidth="1"/>
    <col min="13319" max="13330" width="10.7109375" style="2524" bestFit="1" customWidth="1"/>
    <col min="13331" max="13566" width="9.140625" style="2524"/>
    <col min="13567" max="13567" width="16.28515625" style="2524" bestFit="1" customWidth="1"/>
    <col min="13568" max="13568" width="63.28515625" style="2524" customWidth="1"/>
    <col min="13569" max="13569" width="22" style="2524" customWidth="1"/>
    <col min="13570" max="13572" width="8" style="2524" bestFit="1" customWidth="1"/>
    <col min="13573" max="13573" width="13.85546875" style="2524" customWidth="1"/>
    <col min="13574" max="13574" width="17.28515625" style="2524" bestFit="1" customWidth="1"/>
    <col min="13575" max="13586" width="10.7109375" style="2524" bestFit="1" customWidth="1"/>
    <col min="13587" max="13822" width="9.140625" style="2524"/>
    <col min="13823" max="13823" width="16.28515625" style="2524" bestFit="1" customWidth="1"/>
    <col min="13824" max="13824" width="63.28515625" style="2524" customWidth="1"/>
    <col min="13825" max="13825" width="22" style="2524" customWidth="1"/>
    <col min="13826" max="13828" width="8" style="2524" bestFit="1" customWidth="1"/>
    <col min="13829" max="13829" width="13.85546875" style="2524" customWidth="1"/>
    <col min="13830" max="13830" width="17.28515625" style="2524" bestFit="1" customWidth="1"/>
    <col min="13831" max="13842" width="10.7109375" style="2524" bestFit="1" customWidth="1"/>
    <col min="13843" max="14078" width="9.140625" style="2524"/>
    <col min="14079" max="14079" width="16.28515625" style="2524" bestFit="1" customWidth="1"/>
    <col min="14080" max="14080" width="63.28515625" style="2524" customWidth="1"/>
    <col min="14081" max="14081" width="22" style="2524" customWidth="1"/>
    <col min="14082" max="14084" width="8" style="2524" bestFit="1" customWidth="1"/>
    <col min="14085" max="14085" width="13.85546875" style="2524" customWidth="1"/>
    <col min="14086" max="14086" width="17.28515625" style="2524" bestFit="1" customWidth="1"/>
    <col min="14087" max="14098" width="10.7109375" style="2524" bestFit="1" customWidth="1"/>
    <col min="14099" max="14334" width="9.140625" style="2524"/>
    <col min="14335" max="14335" width="16.28515625" style="2524" bestFit="1" customWidth="1"/>
    <col min="14336" max="14336" width="63.28515625" style="2524" customWidth="1"/>
    <col min="14337" max="14337" width="22" style="2524" customWidth="1"/>
    <col min="14338" max="14340" width="8" style="2524" bestFit="1" customWidth="1"/>
    <col min="14341" max="14341" width="13.85546875" style="2524" customWidth="1"/>
    <col min="14342" max="14342" width="17.28515625" style="2524" bestFit="1" customWidth="1"/>
    <col min="14343" max="14354" width="10.7109375" style="2524" bestFit="1" customWidth="1"/>
    <col min="14355" max="14590" width="9.140625" style="2524"/>
    <col min="14591" max="14591" width="16.28515625" style="2524" bestFit="1" customWidth="1"/>
    <col min="14592" max="14592" width="63.28515625" style="2524" customWidth="1"/>
    <col min="14593" max="14593" width="22" style="2524" customWidth="1"/>
    <col min="14594" max="14596" width="8" style="2524" bestFit="1" customWidth="1"/>
    <col min="14597" max="14597" width="13.85546875" style="2524" customWidth="1"/>
    <col min="14598" max="14598" width="17.28515625" style="2524" bestFit="1" customWidth="1"/>
    <col min="14599" max="14610" width="10.7109375" style="2524" bestFit="1" customWidth="1"/>
    <col min="14611" max="14846" width="9.140625" style="2524"/>
    <col min="14847" max="14847" width="16.28515625" style="2524" bestFit="1" customWidth="1"/>
    <col min="14848" max="14848" width="63.28515625" style="2524" customWidth="1"/>
    <col min="14849" max="14849" width="22" style="2524" customWidth="1"/>
    <col min="14850" max="14852" width="8" style="2524" bestFit="1" customWidth="1"/>
    <col min="14853" max="14853" width="13.85546875" style="2524" customWidth="1"/>
    <col min="14854" max="14854" width="17.28515625" style="2524" bestFit="1" customWidth="1"/>
    <col min="14855" max="14866" width="10.7109375" style="2524" bestFit="1" customWidth="1"/>
    <col min="14867" max="15102" width="9.140625" style="2524"/>
    <col min="15103" max="15103" width="16.28515625" style="2524" bestFit="1" customWidth="1"/>
    <col min="15104" max="15104" width="63.28515625" style="2524" customWidth="1"/>
    <col min="15105" max="15105" width="22" style="2524" customWidth="1"/>
    <col min="15106" max="15108" width="8" style="2524" bestFit="1" customWidth="1"/>
    <col min="15109" max="15109" width="13.85546875" style="2524" customWidth="1"/>
    <col min="15110" max="15110" width="17.28515625" style="2524" bestFit="1" customWidth="1"/>
    <col min="15111" max="15122" width="10.7109375" style="2524" bestFit="1" customWidth="1"/>
    <col min="15123" max="15358" width="9.140625" style="2524"/>
    <col min="15359" max="15359" width="16.28515625" style="2524" bestFit="1" customWidth="1"/>
    <col min="15360" max="15360" width="63.28515625" style="2524" customWidth="1"/>
    <col min="15361" max="15361" width="22" style="2524" customWidth="1"/>
    <col min="15362" max="15364" width="8" style="2524" bestFit="1" customWidth="1"/>
    <col min="15365" max="15365" width="13.85546875" style="2524" customWidth="1"/>
    <col min="15366" max="15366" width="17.28515625" style="2524" bestFit="1" customWidth="1"/>
    <col min="15367" max="15378" width="10.7109375" style="2524" bestFit="1" customWidth="1"/>
    <col min="15379" max="15614" width="9.140625" style="2524"/>
    <col min="15615" max="15615" width="16.28515625" style="2524" bestFit="1" customWidth="1"/>
    <col min="15616" max="15616" width="63.28515625" style="2524" customWidth="1"/>
    <col min="15617" max="15617" width="22" style="2524" customWidth="1"/>
    <col min="15618" max="15620" width="8" style="2524" bestFit="1" customWidth="1"/>
    <col min="15621" max="15621" width="13.85546875" style="2524" customWidth="1"/>
    <col min="15622" max="15622" width="17.28515625" style="2524" bestFit="1" customWidth="1"/>
    <col min="15623" max="15634" width="10.7109375" style="2524" bestFit="1" customWidth="1"/>
    <col min="15635" max="15870" width="9.140625" style="2524"/>
    <col min="15871" max="15871" width="16.28515625" style="2524" bestFit="1" customWidth="1"/>
    <col min="15872" max="15872" width="63.28515625" style="2524" customWidth="1"/>
    <col min="15873" max="15873" width="22" style="2524" customWidth="1"/>
    <col min="15874" max="15876" width="8" style="2524" bestFit="1" customWidth="1"/>
    <col min="15877" max="15877" width="13.85546875" style="2524" customWidth="1"/>
    <col min="15878" max="15878" width="17.28515625" style="2524" bestFit="1" customWidth="1"/>
    <col min="15879" max="15890" width="10.7109375" style="2524" bestFit="1" customWidth="1"/>
    <col min="15891" max="16126" width="9.140625" style="2524"/>
    <col min="16127" max="16127" width="16.28515625" style="2524" bestFit="1" customWidth="1"/>
    <col min="16128" max="16128" width="63.28515625" style="2524" customWidth="1"/>
    <col min="16129" max="16129" width="22" style="2524" customWidth="1"/>
    <col min="16130" max="16132" width="8" style="2524" bestFit="1" customWidth="1"/>
    <col min="16133" max="16133" width="13.85546875" style="2524" customWidth="1"/>
    <col min="16134" max="16134" width="17.28515625" style="2524" bestFit="1" customWidth="1"/>
    <col min="16135" max="16146" width="10.7109375" style="2524" bestFit="1" customWidth="1"/>
    <col min="16147" max="16384" width="9.140625" style="2524"/>
  </cols>
  <sheetData>
    <row r="1" spans="1:31" s="2525" customFormat="1" ht="24.95" customHeight="1">
      <c r="B1" s="2522" t="str">
        <f>IF(dms_DataQuality="backcast",INDEX(dms_Worksheet_List,MATCH(dms_Model,dms_Model_List))&amp;" BACKCAST",INDEX(dms_Worksheet_List,MATCH(dms_Model,dms_Model_List)))</f>
        <v>REGULATORY REPORTING STATEMENT</v>
      </c>
      <c r="C1" s="2769"/>
      <c r="D1" s="2769"/>
      <c r="E1" s="2769"/>
      <c r="F1" s="2769"/>
      <c r="G1" s="2769"/>
      <c r="H1" s="2769"/>
      <c r="I1" s="2769"/>
      <c r="J1" s="2769"/>
      <c r="K1" s="2769"/>
      <c r="L1" s="2769"/>
      <c r="M1" s="2769"/>
      <c r="N1" s="2769"/>
      <c r="O1" s="2769"/>
      <c r="P1" s="2769"/>
      <c r="Q1" s="2769"/>
      <c r="R1" s="2769"/>
      <c r="S1" s="2769"/>
      <c r="T1" s="2769"/>
      <c r="U1" s="2769"/>
      <c r="V1" s="2769"/>
      <c r="W1" s="2769"/>
      <c r="X1" s="2769"/>
      <c r="Y1" s="2769"/>
      <c r="Z1" s="2769"/>
      <c r="AA1" s="2769"/>
      <c r="AB1" s="2769"/>
      <c r="AC1" s="2524"/>
      <c r="AD1" s="2524"/>
      <c r="AE1" s="2524"/>
    </row>
    <row r="2" spans="1:31" s="2525" customFormat="1" ht="24.95" customHeight="1">
      <c r="B2" s="2526" t="str">
        <f>INDEX(dms_TradingNameFull_List,MATCH(dms_TradingName,dms_TradingName_List))</f>
        <v>AusNet Gas Services</v>
      </c>
      <c r="C2" s="2526"/>
      <c r="D2" s="2526"/>
      <c r="E2" s="2526"/>
      <c r="F2" s="2526"/>
      <c r="G2" s="2526"/>
      <c r="H2" s="2526"/>
      <c r="I2" s="2526"/>
      <c r="J2" s="2526"/>
      <c r="K2" s="2526"/>
      <c r="L2" s="2526"/>
      <c r="M2" s="2526"/>
      <c r="N2" s="2526"/>
      <c r="O2" s="2526"/>
      <c r="P2" s="2526"/>
      <c r="Q2" s="2526"/>
      <c r="R2" s="2526"/>
      <c r="S2" s="2526"/>
      <c r="T2" s="2526"/>
      <c r="U2" s="2526"/>
      <c r="V2" s="2526"/>
      <c r="W2" s="2526"/>
      <c r="X2" s="2526"/>
      <c r="Y2" s="2526"/>
      <c r="Z2" s="2526"/>
      <c r="AA2" s="2526"/>
      <c r="AB2" s="2526"/>
      <c r="AC2" s="2524"/>
      <c r="AD2" s="2524"/>
      <c r="AE2" s="2524"/>
    </row>
    <row r="3" spans="1:31" s="2525" customFormat="1" ht="24.95" customHeight="1">
      <c r="B3" s="2526" t="str">
        <f ca="1">IF(SUM(dms_SingleYear_Model)&gt;0,CRY,CONCATENATE(FRCP_y1," to ",dms_MultiYear_FinalYear_Result))</f>
        <v>2018 to 2022</v>
      </c>
      <c r="C3" s="2528"/>
      <c r="D3" s="2528"/>
      <c r="E3" s="2528"/>
      <c r="F3" s="2528"/>
      <c r="G3" s="2528"/>
      <c r="H3" s="2528"/>
      <c r="I3" s="2528"/>
      <c r="J3" s="2528"/>
      <c r="K3" s="2528"/>
      <c r="L3" s="2528"/>
      <c r="M3" s="2528"/>
      <c r="N3" s="2528"/>
      <c r="O3" s="2528"/>
      <c r="P3" s="2528"/>
      <c r="Q3" s="2528"/>
      <c r="R3" s="2528"/>
      <c r="S3" s="2528"/>
      <c r="T3" s="2528"/>
      <c r="U3" s="2528"/>
      <c r="V3" s="2528"/>
      <c r="W3" s="2528"/>
      <c r="X3" s="2528"/>
      <c r="Y3" s="2528"/>
      <c r="Z3" s="2528"/>
      <c r="AA3" s="2528"/>
      <c r="AB3" s="2528"/>
      <c r="AC3" s="2524"/>
      <c r="AD3" s="2524"/>
      <c r="AE3" s="2524"/>
    </row>
    <row r="4" spans="1:31" s="2525" customFormat="1" ht="24" customHeight="1">
      <c r="B4" s="2529" t="s">
        <v>1650</v>
      </c>
      <c r="C4" s="2770"/>
      <c r="D4" s="2770"/>
      <c r="E4" s="2770"/>
      <c r="F4" s="2770"/>
      <c r="G4" s="2770"/>
      <c r="H4" s="2770"/>
      <c r="I4" s="2770"/>
      <c r="J4" s="2770"/>
      <c r="K4" s="2770"/>
      <c r="L4" s="2770"/>
      <c r="M4" s="2770"/>
      <c r="N4" s="2770"/>
      <c r="O4" s="2770"/>
      <c r="P4" s="2770"/>
      <c r="Q4" s="2770"/>
      <c r="R4" s="2770"/>
      <c r="S4" s="2770"/>
      <c r="T4" s="2770"/>
      <c r="U4" s="2770"/>
      <c r="V4" s="2770"/>
      <c r="W4" s="2770"/>
      <c r="X4" s="2770"/>
      <c r="Y4" s="2770"/>
      <c r="Z4" s="2770"/>
      <c r="AA4" s="2770"/>
      <c r="AB4" s="2770"/>
      <c r="AC4" s="2524"/>
      <c r="AD4" s="2524"/>
      <c r="AE4" s="2524"/>
    </row>
    <row r="5" spans="1:31">
      <c r="A5" s="360"/>
      <c r="B5" s="3011"/>
      <c r="C5" s="2771"/>
      <c r="D5" s="2771"/>
      <c r="E5" s="2771"/>
      <c r="F5" s="2771"/>
      <c r="G5" s="2771"/>
      <c r="H5" s="2771"/>
      <c r="I5" s="2771"/>
      <c r="J5" s="2771"/>
      <c r="K5" s="2771"/>
      <c r="L5" s="2771"/>
      <c r="M5" s="2771"/>
      <c r="N5" s="2771"/>
      <c r="O5" s="2771"/>
      <c r="P5" s="2771"/>
      <c r="Q5" s="2771"/>
      <c r="R5" s="2771"/>
      <c r="S5" s="2771"/>
      <c r="T5" s="2771"/>
      <c r="U5" s="2771"/>
      <c r="V5" s="2771"/>
      <c r="W5" s="2771"/>
      <c r="X5" s="2771"/>
      <c r="Y5" s="2771"/>
      <c r="Z5" s="2771"/>
      <c r="AA5" s="2771"/>
      <c r="AB5" s="2771"/>
    </row>
    <row r="6" spans="1:31">
      <c r="A6" s="2771"/>
      <c r="B6" s="2771"/>
      <c r="C6" s="2771"/>
      <c r="D6" s="2771"/>
      <c r="E6" s="2771"/>
      <c r="F6" s="2771"/>
      <c r="G6" s="2771"/>
      <c r="H6" s="2771"/>
      <c r="I6" s="2771"/>
      <c r="J6" s="2771"/>
      <c r="K6" s="2771"/>
      <c r="L6" s="2771"/>
      <c r="M6" s="2771"/>
      <c r="N6" s="2771"/>
      <c r="O6" s="2771"/>
      <c r="P6" s="2771"/>
      <c r="Q6" s="2771"/>
      <c r="R6" s="2771"/>
      <c r="S6" s="2771"/>
      <c r="T6" s="2771"/>
      <c r="U6" s="2771"/>
      <c r="V6" s="2771"/>
      <c r="W6" s="2771"/>
      <c r="X6" s="2771"/>
      <c r="Y6" s="2771"/>
      <c r="Z6" s="2771"/>
      <c r="AA6" s="2771"/>
      <c r="AB6" s="2771"/>
    </row>
    <row r="7" spans="1:31">
      <c r="A7" s="2771"/>
      <c r="B7" s="4608" t="s">
        <v>59</v>
      </c>
      <c r="C7" s="4608"/>
      <c r="D7" s="4608"/>
      <c r="E7" s="4608"/>
      <c r="F7" s="4608"/>
      <c r="G7" s="4608"/>
      <c r="H7" s="4608"/>
      <c r="I7" s="2771"/>
      <c r="J7" s="2771"/>
      <c r="K7" s="2771"/>
      <c r="L7" s="2771"/>
      <c r="M7" s="2771"/>
      <c r="N7" s="2771"/>
      <c r="O7" s="2771"/>
      <c r="P7" s="2771"/>
      <c r="Q7" s="2771"/>
      <c r="R7" s="2771"/>
      <c r="S7" s="2771"/>
      <c r="T7" s="2771"/>
      <c r="U7" s="2771"/>
      <c r="V7" s="2771"/>
      <c r="W7" s="2771"/>
      <c r="X7" s="2771"/>
      <c r="Y7" s="2771"/>
      <c r="Z7" s="2771"/>
      <c r="AA7" s="2771"/>
      <c r="AB7" s="2771"/>
    </row>
    <row r="8" spans="1:31" ht="12.75" customHeight="1">
      <c r="A8" s="2771"/>
      <c r="B8" s="4609" t="s">
        <v>226</v>
      </c>
      <c r="C8" s="4609"/>
      <c r="D8" s="4609"/>
      <c r="E8" s="4609"/>
      <c r="F8" s="4609"/>
      <c r="G8" s="4609"/>
      <c r="H8" s="4609"/>
      <c r="I8" s="2771"/>
      <c r="J8" s="2771"/>
      <c r="K8" s="2771"/>
      <c r="L8" s="2771"/>
      <c r="M8" s="2771"/>
      <c r="N8" s="2771"/>
      <c r="O8" s="2771"/>
      <c r="P8" s="2771"/>
      <c r="Q8" s="2771"/>
      <c r="R8" s="2771"/>
      <c r="S8" s="2771"/>
      <c r="T8" s="2771"/>
      <c r="U8" s="2771"/>
      <c r="V8" s="2771"/>
      <c r="W8" s="2771"/>
      <c r="X8" s="2771"/>
      <c r="Y8" s="2771"/>
      <c r="Z8" s="2771"/>
      <c r="AA8" s="2771"/>
      <c r="AB8" s="2771"/>
    </row>
    <row r="9" spans="1:31" ht="12.75" customHeight="1">
      <c r="A9" s="2771"/>
      <c r="B9" s="4610" t="s">
        <v>476</v>
      </c>
      <c r="C9" s="4610"/>
      <c r="D9" s="3012"/>
      <c r="E9" s="3012"/>
      <c r="F9" s="3012"/>
      <c r="G9" s="3012"/>
      <c r="H9" s="3012"/>
      <c r="I9" s="3013"/>
      <c r="J9" s="3013"/>
      <c r="K9" s="3013"/>
      <c r="L9" s="3013"/>
      <c r="M9" s="3013"/>
      <c r="N9" s="3013"/>
      <c r="O9" s="3013"/>
      <c r="P9" s="2771"/>
      <c r="Q9" s="2771"/>
      <c r="R9" s="2771"/>
      <c r="S9" s="3013"/>
      <c r="T9" s="3013"/>
      <c r="U9" s="2771"/>
      <c r="V9" s="2771"/>
      <c r="W9" s="2771"/>
      <c r="X9" s="3013"/>
      <c r="Y9" s="3013"/>
      <c r="Z9" s="2771"/>
      <c r="AA9" s="2771"/>
      <c r="AB9" s="2771"/>
    </row>
    <row r="10" spans="1:31" ht="20.25" customHeight="1">
      <c r="A10" s="2771"/>
      <c r="B10" s="4611" t="s">
        <v>386</v>
      </c>
      <c r="C10" s="4612"/>
      <c r="D10" s="4612"/>
      <c r="E10" s="4612"/>
      <c r="F10" s="4612"/>
      <c r="G10" s="4612"/>
      <c r="H10" s="4612"/>
      <c r="I10" s="2771"/>
      <c r="J10" s="2771"/>
      <c r="K10" s="2771"/>
      <c r="L10" s="2771"/>
      <c r="M10" s="2771"/>
      <c r="N10" s="2771"/>
      <c r="O10" s="2771"/>
      <c r="P10" s="2771"/>
      <c r="Q10" s="2771"/>
      <c r="R10" s="2771"/>
      <c r="S10" s="2771"/>
      <c r="T10" s="2771"/>
      <c r="U10" s="2771"/>
      <c r="V10" s="2771"/>
      <c r="W10" s="2771"/>
      <c r="X10" s="2771"/>
      <c r="Y10" s="2771"/>
      <c r="Z10" s="2771"/>
      <c r="AA10" s="2771"/>
      <c r="AB10" s="2771"/>
    </row>
    <row r="11" spans="1:31" ht="33.75" customHeight="1" thickBot="1">
      <c r="A11" s="2771"/>
      <c r="B11" s="3014"/>
      <c r="C11" s="2771"/>
      <c r="D11" s="2771"/>
      <c r="E11" s="2771"/>
      <c r="F11" s="2771"/>
      <c r="G11" s="2771"/>
      <c r="H11" s="2771"/>
      <c r="I11" s="2771"/>
      <c r="J11" s="2771"/>
      <c r="K11" s="2771"/>
      <c r="L11" s="2771"/>
      <c r="M11" s="2771"/>
      <c r="N11" s="2771"/>
      <c r="O11" s="2771"/>
      <c r="P11" s="2771"/>
      <c r="Q11" s="2771"/>
      <c r="R11" s="2771"/>
      <c r="S11" s="2771"/>
      <c r="T11" s="2771"/>
      <c r="U11" s="2771"/>
      <c r="V11" s="2771"/>
      <c r="W11" s="2771"/>
      <c r="X11" s="2771"/>
      <c r="Y11" s="2771"/>
      <c r="Z11" s="2771"/>
      <c r="AA11" s="2771"/>
      <c r="AB11" s="2771"/>
    </row>
    <row r="12" spans="1:31">
      <c r="A12" s="2771"/>
      <c r="B12" s="3015" t="s">
        <v>247</v>
      </c>
      <c r="C12" s="2771"/>
      <c r="D12" s="2771"/>
      <c r="E12" s="2771"/>
      <c r="F12" s="2771"/>
      <c r="G12" s="2771"/>
      <c r="H12" s="2771"/>
      <c r="I12" s="2771"/>
      <c r="J12" s="2771"/>
      <c r="K12" s="2771"/>
      <c r="L12" s="2771"/>
      <c r="M12" s="2771"/>
      <c r="N12" s="2771"/>
      <c r="O12" s="2771"/>
      <c r="P12" s="2771"/>
      <c r="Q12" s="2771"/>
      <c r="R12" s="2771"/>
      <c r="S12" s="2771"/>
      <c r="T12" s="2771"/>
      <c r="U12" s="2771"/>
      <c r="V12" s="2771"/>
      <c r="W12" s="2771"/>
      <c r="X12" s="2771"/>
      <c r="Y12" s="2771"/>
      <c r="Z12" s="2771"/>
      <c r="AA12" s="2771"/>
      <c r="AB12" s="2771"/>
    </row>
    <row r="13" spans="1:31" ht="27" customHeight="1">
      <c r="A13" s="2771"/>
      <c r="B13" s="3016" t="s">
        <v>1644</v>
      </c>
      <c r="C13" s="2771"/>
      <c r="D13" s="2771"/>
      <c r="E13" s="2771"/>
      <c r="F13" s="2771"/>
      <c r="G13" s="2771"/>
      <c r="H13" s="2771"/>
      <c r="I13" s="2771"/>
      <c r="J13" s="2771"/>
      <c r="K13" s="2771"/>
      <c r="L13" s="2771"/>
      <c r="M13" s="2771"/>
      <c r="N13" s="2771"/>
      <c r="O13" s="2771"/>
      <c r="P13" s="2771"/>
      <c r="Q13" s="2771"/>
      <c r="R13" s="2771"/>
      <c r="S13" s="2771"/>
      <c r="T13" s="2771"/>
      <c r="U13" s="2771"/>
      <c r="V13" s="2771"/>
      <c r="W13" s="2771"/>
      <c r="X13" s="2771"/>
      <c r="Y13" s="2771"/>
      <c r="Z13" s="2771"/>
      <c r="AA13" s="2771"/>
      <c r="AB13" s="2771"/>
    </row>
    <row r="14" spans="1:31">
      <c r="A14" s="2771"/>
      <c r="B14" s="2771"/>
      <c r="C14" s="2771"/>
      <c r="D14" s="2771"/>
      <c r="E14" s="2771"/>
      <c r="F14" s="2771"/>
      <c r="G14" s="2771"/>
      <c r="H14" s="2771"/>
      <c r="I14" s="2771"/>
      <c r="J14" s="2771"/>
      <c r="K14" s="2771"/>
      <c r="L14" s="2771"/>
      <c r="M14" s="2771"/>
      <c r="N14" s="2771"/>
      <c r="O14" s="2771"/>
      <c r="P14" s="2771"/>
      <c r="Q14" s="2771"/>
      <c r="R14" s="2771"/>
      <c r="S14" s="2771"/>
      <c r="T14" s="2771"/>
      <c r="U14" s="2771"/>
      <c r="V14" s="2771"/>
      <c r="W14" s="2771"/>
      <c r="X14" s="2771"/>
      <c r="Y14" s="2771"/>
      <c r="Z14" s="2771"/>
      <c r="AA14" s="2771"/>
      <c r="AB14" s="2771"/>
    </row>
    <row r="15" spans="1:31" ht="13.5" thickBot="1">
      <c r="A15" s="2771"/>
      <c r="B15" s="2771"/>
      <c r="C15" s="2771"/>
      <c r="D15" s="2771"/>
      <c r="E15" s="2771"/>
      <c r="F15" s="2771"/>
      <c r="G15" s="2771"/>
      <c r="H15" s="2771"/>
      <c r="I15" s="2771"/>
      <c r="J15" s="2771"/>
      <c r="K15" s="2771"/>
      <c r="L15" s="2771"/>
      <c r="M15" s="2771"/>
      <c r="N15" s="2771"/>
      <c r="O15" s="2771"/>
      <c r="P15" s="2771"/>
      <c r="Q15" s="2771"/>
      <c r="R15" s="2771"/>
      <c r="S15" s="2771"/>
      <c r="T15" s="2771"/>
      <c r="U15" s="2771"/>
      <c r="V15" s="2771"/>
      <c r="W15" s="2771"/>
      <c r="X15" s="2771"/>
      <c r="Y15" s="2771"/>
      <c r="Z15" s="2771"/>
      <c r="AA15" s="2771"/>
      <c r="AB15" s="2771"/>
    </row>
    <row r="16" spans="1:31" ht="34.5" customHeight="1" thickBot="1">
      <c r="A16" s="2771"/>
      <c r="B16" s="2780" t="s">
        <v>1651</v>
      </c>
      <c r="C16" s="2781"/>
      <c r="D16" s="2781"/>
      <c r="E16" s="2781"/>
      <c r="F16" s="2781"/>
      <c r="G16" s="2781"/>
      <c r="H16" s="2781"/>
      <c r="I16" s="2781"/>
      <c r="J16" s="2781"/>
      <c r="K16" s="2782"/>
      <c r="L16" s="2782"/>
      <c r="M16" s="2782"/>
      <c r="N16" s="2782"/>
      <c r="O16" s="2782"/>
      <c r="P16" s="2782"/>
      <c r="Q16" s="2782"/>
      <c r="R16" s="2782"/>
      <c r="S16" s="2782"/>
      <c r="T16" s="2782"/>
      <c r="U16" s="2782"/>
      <c r="V16" s="2782"/>
      <c r="W16" s="2782"/>
      <c r="X16" s="2782"/>
      <c r="Y16" s="2782"/>
      <c r="Z16" s="2782"/>
      <c r="AA16" s="2782"/>
      <c r="AB16" s="2782"/>
      <c r="AC16" s="2782"/>
    </row>
    <row r="17" spans="1:135" ht="20.25" customHeight="1">
      <c r="A17" s="2771"/>
      <c r="B17" s="4613"/>
      <c r="C17" s="4616" t="s">
        <v>634</v>
      </c>
      <c r="D17" s="4619" t="s">
        <v>70</v>
      </c>
      <c r="E17" s="4622" t="s">
        <v>37</v>
      </c>
      <c r="F17" s="4623"/>
      <c r="G17" s="4623"/>
      <c r="H17" s="4623"/>
      <c r="I17" s="4623"/>
      <c r="J17" s="4585" t="s">
        <v>73</v>
      </c>
      <c r="K17" s="4585"/>
      <c r="L17" s="4585"/>
      <c r="M17" s="4585"/>
      <c r="N17" s="4585"/>
      <c r="O17" s="4586" t="s">
        <v>249</v>
      </c>
      <c r="P17" s="4586"/>
      <c r="Q17" s="4586"/>
      <c r="R17" s="4586"/>
      <c r="S17" s="4586"/>
      <c r="T17" s="4586"/>
      <c r="U17" s="4586"/>
      <c r="V17" s="4586"/>
      <c r="W17" s="4586"/>
      <c r="X17" s="4586"/>
      <c r="Y17" s="4586"/>
      <c r="Z17" s="4586"/>
      <c r="AA17" s="4586"/>
      <c r="AB17" s="4586"/>
      <c r="AC17" s="4587"/>
    </row>
    <row r="18" spans="1:135" ht="20.25" customHeight="1">
      <c r="A18" s="2771"/>
      <c r="B18" s="4614"/>
      <c r="C18" s="4617"/>
      <c r="D18" s="4620"/>
      <c r="E18" s="4588" t="s">
        <v>337</v>
      </c>
      <c r="F18" s="4589"/>
      <c r="G18" s="4589"/>
      <c r="H18" s="4589"/>
      <c r="I18" s="4589"/>
      <c r="J18" s="4589"/>
      <c r="K18" s="4589"/>
      <c r="L18" s="4589"/>
      <c r="M18" s="4589"/>
      <c r="N18" s="4589"/>
      <c r="O18" s="4589"/>
      <c r="P18" s="4589"/>
      <c r="Q18" s="4589"/>
      <c r="R18" s="4589"/>
      <c r="S18" s="4589"/>
      <c r="T18" s="4589"/>
      <c r="U18" s="4589"/>
      <c r="V18" s="4589"/>
      <c r="W18" s="4589"/>
      <c r="X18" s="4589"/>
      <c r="Y18" s="4589"/>
      <c r="Z18" s="4589"/>
      <c r="AA18" s="4589"/>
      <c r="AB18" s="4589"/>
      <c r="AC18" s="4590"/>
    </row>
    <row r="19" spans="1:135" ht="20.25" customHeight="1">
      <c r="A19" s="2771"/>
      <c r="B19" s="4614"/>
      <c r="C19" s="4617"/>
      <c r="D19" s="4620"/>
      <c r="E19" s="4588" t="s">
        <v>54</v>
      </c>
      <c r="F19" s="4589"/>
      <c r="G19" s="4591"/>
      <c r="H19" s="4592" t="s">
        <v>377</v>
      </c>
      <c r="I19" s="4593"/>
      <c r="J19" s="4593"/>
      <c r="K19" s="4593"/>
      <c r="L19" s="4593"/>
      <c r="M19" s="4593"/>
      <c r="N19" s="4593"/>
      <c r="O19" s="4593"/>
      <c r="P19" s="4593"/>
      <c r="Q19" s="4593"/>
      <c r="R19" s="4593"/>
      <c r="S19" s="4593"/>
      <c r="T19" s="4593"/>
      <c r="U19" s="4593"/>
      <c r="V19" s="4593"/>
      <c r="W19" s="4593"/>
      <c r="X19" s="4593"/>
      <c r="Y19" s="4593"/>
      <c r="Z19" s="4593"/>
      <c r="AA19" s="4593"/>
      <c r="AB19" s="4593"/>
      <c r="AC19" s="4594"/>
    </row>
    <row r="20" spans="1:135" ht="20.25" customHeight="1" thickBot="1">
      <c r="A20" s="2771"/>
      <c r="B20" s="4615"/>
      <c r="C20" s="4618"/>
      <c r="D20" s="4621"/>
      <c r="E20" s="3017">
        <f>CRCP_y1</f>
        <v>2013</v>
      </c>
      <c r="F20" s="3017">
        <f>CRCP_y2</f>
        <v>2014</v>
      </c>
      <c r="G20" s="3017">
        <f>CRCP_y3</f>
        <v>2015</v>
      </c>
      <c r="H20" s="3017">
        <f>CRCP_y4</f>
        <v>2016</v>
      </c>
      <c r="I20" s="3017">
        <f>CRCP_y5</f>
        <v>2017</v>
      </c>
      <c r="J20" s="3017" t="str">
        <f>CONCATENATE(IF(dms_RPT="Calendar",I20+1,(LEFT(I20,4)+1&amp;"-"&amp;IF(MID(I20,6,2)&lt;"09","0"&amp;RIGHT(I20,1)+1,RIGHT(I20,2)+1))))</f>
        <v>2018</v>
      </c>
      <c r="K20" s="3017" t="str">
        <f t="shared" ref="K20:AC20" si="0">CONCATENATE(IF(dms_RPT="Calendar",J20+1,(LEFT(J20,4)+1&amp;"-"&amp;IF(MID(J20,6,2)&lt;"09","0"&amp;RIGHT(J20,1)+1,RIGHT(J20,2)+1))))</f>
        <v>2019</v>
      </c>
      <c r="L20" s="3017" t="str">
        <f t="shared" si="0"/>
        <v>2020</v>
      </c>
      <c r="M20" s="3017" t="str">
        <f t="shared" si="0"/>
        <v>2021</v>
      </c>
      <c r="N20" s="3017" t="str">
        <f t="shared" si="0"/>
        <v>2022</v>
      </c>
      <c r="O20" s="3017" t="str">
        <f t="shared" si="0"/>
        <v>2023</v>
      </c>
      <c r="P20" s="3017" t="str">
        <f t="shared" si="0"/>
        <v>2024</v>
      </c>
      <c r="Q20" s="3017" t="str">
        <f t="shared" si="0"/>
        <v>2025</v>
      </c>
      <c r="R20" s="3017" t="str">
        <f t="shared" si="0"/>
        <v>2026</v>
      </c>
      <c r="S20" s="3017" t="str">
        <f t="shared" si="0"/>
        <v>2027</v>
      </c>
      <c r="T20" s="3017" t="str">
        <f t="shared" si="0"/>
        <v>2028</v>
      </c>
      <c r="U20" s="3017" t="str">
        <f t="shared" si="0"/>
        <v>2029</v>
      </c>
      <c r="V20" s="3017" t="str">
        <f t="shared" si="0"/>
        <v>2030</v>
      </c>
      <c r="W20" s="3017" t="str">
        <f t="shared" si="0"/>
        <v>2031</v>
      </c>
      <c r="X20" s="3017" t="str">
        <f t="shared" si="0"/>
        <v>2032</v>
      </c>
      <c r="Y20" s="3017" t="str">
        <f t="shared" si="0"/>
        <v>2033</v>
      </c>
      <c r="Z20" s="3017" t="str">
        <f t="shared" si="0"/>
        <v>2034</v>
      </c>
      <c r="AA20" s="3017" t="str">
        <f t="shared" si="0"/>
        <v>2035</v>
      </c>
      <c r="AB20" s="3017" t="str">
        <f t="shared" si="0"/>
        <v>2036</v>
      </c>
      <c r="AC20" s="3017" t="str">
        <f t="shared" si="0"/>
        <v>2037</v>
      </c>
    </row>
    <row r="21" spans="1:135" s="3019" customFormat="1" ht="18.75" customHeight="1" thickBot="1">
      <c r="A21" s="3013"/>
      <c r="B21" s="2783" t="s">
        <v>1652</v>
      </c>
      <c r="C21" s="2784"/>
      <c r="D21" s="2784"/>
      <c r="E21" s="2784"/>
      <c r="F21" s="2784"/>
      <c r="G21" s="2784"/>
      <c r="H21" s="2784"/>
      <c r="I21" s="2784"/>
      <c r="J21" s="2784"/>
      <c r="K21" s="3018"/>
      <c r="L21" s="3018"/>
      <c r="M21" s="3018"/>
      <c r="N21" s="3018"/>
      <c r="O21" s="3018"/>
      <c r="P21" s="3018"/>
      <c r="Q21" s="3018"/>
      <c r="R21" s="3018"/>
      <c r="S21" s="3018"/>
      <c r="T21" s="3018"/>
      <c r="U21" s="3018"/>
      <c r="V21" s="3018"/>
      <c r="W21" s="3018"/>
      <c r="X21" s="3018"/>
      <c r="Y21" s="3018"/>
      <c r="Z21" s="3018"/>
      <c r="AA21" s="3018"/>
      <c r="AB21" s="3018"/>
      <c r="AC21" s="2785"/>
      <c r="AD21" s="2524"/>
      <c r="AE21" s="2524"/>
      <c r="AF21" s="2524"/>
      <c r="DF21" s="2524"/>
      <c r="DG21" s="2524"/>
      <c r="DH21" s="2524"/>
      <c r="DI21" s="2524"/>
      <c r="DJ21" s="2524"/>
      <c r="DK21" s="2524"/>
      <c r="DL21" s="2524"/>
      <c r="DM21" s="2524"/>
      <c r="DN21" s="2524"/>
      <c r="DO21" s="2524"/>
      <c r="DP21" s="2524"/>
      <c r="DQ21" s="2524"/>
      <c r="DR21" s="2524"/>
      <c r="DS21" s="2524"/>
      <c r="DT21" s="2524"/>
      <c r="DU21" s="2524"/>
      <c r="DV21" s="2524"/>
      <c r="DW21" s="2524"/>
      <c r="DX21" s="2524"/>
      <c r="DY21" s="2524"/>
      <c r="DZ21" s="2524"/>
      <c r="EA21" s="2524"/>
      <c r="EB21" s="2524"/>
      <c r="EC21" s="2524"/>
      <c r="ED21" s="2524"/>
      <c r="EE21" s="2524"/>
    </row>
    <row r="22" spans="1:135" s="3020" customFormat="1">
      <c r="B22" s="4604" t="str">
        <f>+'29.2.3 Gas extenstions cust no'!B23</f>
        <v>Declining block tariff</v>
      </c>
      <c r="C22" s="4606" t="s">
        <v>47</v>
      </c>
      <c r="D22" s="4607"/>
      <c r="E22" s="3021">
        <f>+'29.2.3 Gas extenstions cust no'!D25</f>
        <v>0</v>
      </c>
      <c r="F22" s="3022">
        <f>+'29.2.3 Gas extenstions cust no'!E25</f>
        <v>0</v>
      </c>
      <c r="G22" s="3022">
        <f>+'29.2.3 Gas extenstions cust no'!F25</f>
        <v>0</v>
      </c>
      <c r="H22" s="3022">
        <f>+'29.2.3 Gas extenstions cust no'!G25</f>
        <v>0</v>
      </c>
      <c r="I22" s="3023">
        <f>+'29.2.3 Gas extenstions cust no'!H25</f>
        <v>80.313551316943659</v>
      </c>
      <c r="J22" s="3024">
        <f>+'29.2.3 Gas extenstions cust no'!I25</f>
        <v>220.86226612159507</v>
      </c>
      <c r="K22" s="3025">
        <f>+'29.2.3 Gas extenstions cust no'!J25</f>
        <v>326.27380222508361</v>
      </c>
      <c r="L22" s="3025">
        <f>+'29.2.3 Gas extenstions cust no'!K25</f>
        <v>405.3324543027</v>
      </c>
      <c r="M22" s="3025">
        <f>+'29.2.3 Gas extenstions cust no'!L25</f>
        <v>464.62644336091228</v>
      </c>
      <c r="N22" s="3026">
        <f>+'29.2.3 Gas extenstions cust no'!M25</f>
        <v>509.0969351545715</v>
      </c>
      <c r="O22" s="3027">
        <f>+'29.2.3 Gas extenstions cust no'!N25</f>
        <v>542.61647174638529</v>
      </c>
      <c r="P22" s="3025">
        <f>+'29.2.3 Gas extenstions cust no'!O25</f>
        <v>567.92279193681497</v>
      </c>
      <c r="Q22" s="3025">
        <f>+'29.2.3 Gas extenstions cust no'!P25</f>
        <v>586.90253207963724</v>
      </c>
      <c r="R22" s="3025">
        <f>+'29.2.3 Gas extenstions cust no'!Q25</f>
        <v>601.13733718675394</v>
      </c>
      <c r="S22" s="3025">
        <f>+'29.2.3 Gas extenstions cust no'!R25</f>
        <v>611.81344101709146</v>
      </c>
      <c r="T22" s="3025">
        <f>+'29.2.3 Gas extenstions cust no'!S25</f>
        <v>619.82051888984461</v>
      </c>
      <c r="U22" s="3025">
        <f>+'29.2.3 Gas extenstions cust no'!T25</f>
        <v>625.82582729440946</v>
      </c>
      <c r="V22" s="3025">
        <f>+'29.2.3 Gas extenstions cust no'!U25</f>
        <v>630.32980859783311</v>
      </c>
      <c r="W22" s="3025">
        <f>+'29.2.3 Gas extenstions cust no'!V25</f>
        <v>633.70779457540084</v>
      </c>
      <c r="X22" s="3025">
        <f>+'29.2.3 Gas extenstions cust no'!W25</f>
        <v>636.24128405857664</v>
      </c>
      <c r="Y22" s="3025">
        <f>+'29.2.3 Gas extenstions cust no'!X25</f>
        <v>638.14140117095849</v>
      </c>
      <c r="Z22" s="3025">
        <f>+'29.2.3 Gas extenstions cust no'!Y25</f>
        <v>639.56648900524488</v>
      </c>
      <c r="AA22" s="3025">
        <f>+'29.2.3 Gas extenstions cust no'!Z25</f>
        <v>640.63530488095967</v>
      </c>
      <c r="AB22" s="3025">
        <f>+'29.2.3 Gas extenstions cust no'!AA25</f>
        <v>641.43691678774576</v>
      </c>
      <c r="AC22" s="3026">
        <f>+'29.2.3 Gas extenstions cust no'!AB25</f>
        <v>642.03812571783533</v>
      </c>
      <c r="AD22" s="2524"/>
      <c r="AE22" s="2524"/>
      <c r="AF22" s="3028"/>
      <c r="AG22" s="3028"/>
      <c r="AH22" s="3028"/>
      <c r="AI22" s="3028"/>
      <c r="AJ22" s="3028"/>
      <c r="AK22" s="3028"/>
      <c r="AL22" s="3028"/>
      <c r="AM22" s="3028"/>
      <c r="AN22" s="3028"/>
      <c r="AO22" s="3028"/>
      <c r="AP22" s="3028"/>
      <c r="AQ22" s="3028"/>
      <c r="AR22" s="3028"/>
      <c r="AS22" s="3028"/>
      <c r="AT22" s="3028"/>
      <c r="AU22" s="3028"/>
      <c r="AV22" s="3028"/>
      <c r="AW22" s="3028"/>
      <c r="AX22" s="3028"/>
      <c r="AY22" s="3028"/>
      <c r="AZ22" s="3028"/>
      <c r="BA22" s="3028"/>
      <c r="BB22" s="3028"/>
      <c r="BC22" s="3028"/>
      <c r="BD22" s="3028"/>
      <c r="BE22" s="3028"/>
      <c r="BF22" s="3028"/>
      <c r="BG22" s="3028"/>
      <c r="BH22" s="3028"/>
      <c r="BI22" s="3028"/>
      <c r="BJ22" s="3028"/>
      <c r="BK22" s="3028"/>
      <c r="BL22" s="3028"/>
      <c r="BM22" s="3028"/>
      <c r="BN22" s="3028"/>
      <c r="BO22" s="3028"/>
      <c r="BP22" s="3028"/>
      <c r="BQ22" s="3028"/>
      <c r="BR22" s="3028"/>
      <c r="BS22" s="3028"/>
      <c r="BT22" s="3028"/>
      <c r="BU22" s="3028"/>
      <c r="BV22" s="3028"/>
      <c r="BW22" s="3028"/>
      <c r="BX22" s="3028"/>
      <c r="BY22" s="3028"/>
      <c r="BZ22" s="3028"/>
      <c r="CA22" s="3028"/>
      <c r="CB22" s="3028"/>
      <c r="CC22" s="3028"/>
      <c r="CD22" s="3028"/>
      <c r="CE22" s="3028"/>
      <c r="CF22" s="3028"/>
      <c r="CG22" s="3028"/>
      <c r="CH22" s="3028"/>
      <c r="CI22" s="3028"/>
      <c r="CJ22" s="3028"/>
      <c r="CK22" s="3028"/>
      <c r="CL22" s="3028"/>
      <c r="CM22" s="3028"/>
      <c r="CN22" s="3028"/>
      <c r="CO22" s="3028"/>
      <c r="CP22" s="3028"/>
      <c r="CQ22" s="3028"/>
      <c r="CR22" s="3028"/>
      <c r="CS22" s="3028"/>
      <c r="CT22" s="3028"/>
      <c r="CU22" s="3028"/>
      <c r="CV22" s="3028"/>
      <c r="CW22" s="3028"/>
      <c r="CX22" s="3028"/>
      <c r="CY22" s="3028"/>
      <c r="CZ22" s="3028"/>
      <c r="DA22" s="3028"/>
      <c r="DB22" s="3028"/>
      <c r="DC22" s="3028"/>
      <c r="DD22" s="3028"/>
      <c r="DE22" s="3028"/>
      <c r="DF22" s="3028"/>
      <c r="DG22" s="3028"/>
      <c r="DH22" s="3028"/>
      <c r="DI22" s="3028"/>
      <c r="DJ22" s="3028"/>
      <c r="DK22" s="3028"/>
      <c r="DL22" s="3028"/>
      <c r="DM22" s="3028"/>
      <c r="DN22" s="3028"/>
      <c r="DO22" s="3028"/>
      <c r="DP22" s="3028"/>
    </row>
    <row r="23" spans="1:135" s="3020" customFormat="1">
      <c r="B23" s="4604"/>
      <c r="C23" s="3029" t="s">
        <v>1600</v>
      </c>
      <c r="D23" s="3030" t="s">
        <v>1601</v>
      </c>
      <c r="E23" s="3114"/>
      <c r="F23" s="3115"/>
      <c r="G23" s="3115"/>
      <c r="H23" s="3115"/>
      <c r="I23" s="625">
        <v>824.92001014485652</v>
      </c>
      <c r="J23" s="459">
        <v>2225.8062730444612</v>
      </c>
      <c r="K23" s="458">
        <v>3246.0915814124987</v>
      </c>
      <c r="L23" s="458">
        <v>3986.6470585921006</v>
      </c>
      <c r="M23" s="458">
        <v>4520.1124289134304</v>
      </c>
      <c r="N23" s="460">
        <v>4841.2359520092277</v>
      </c>
      <c r="O23" s="459">
        <f>+O$22*(N23/N$22)</f>
        <v>5159.9885793329568</v>
      </c>
      <c r="P23" s="458">
        <f>+P$22*(O23/O$22)</f>
        <v>5400.6379697712782</v>
      </c>
      <c r="Q23" s="458">
        <f t="shared" ref="Q23:AC30" si="1">+Q$22*(P23/P$22)</f>
        <v>5581.1250126000186</v>
      </c>
      <c r="R23" s="458">
        <f t="shared" si="1"/>
        <v>5716.4902947215742</v>
      </c>
      <c r="S23" s="458">
        <f t="shared" si="1"/>
        <v>5818.0142563127411</v>
      </c>
      <c r="T23" s="458">
        <f t="shared" si="1"/>
        <v>5894.1572275061162</v>
      </c>
      <c r="U23" s="458">
        <f t="shared" si="1"/>
        <v>5951.2644559011478</v>
      </c>
      <c r="V23" s="458">
        <f t="shared" si="1"/>
        <v>5994.0948771974208</v>
      </c>
      <c r="W23" s="458">
        <f t="shared" si="1"/>
        <v>6026.2176931696267</v>
      </c>
      <c r="X23" s="458">
        <f t="shared" si="1"/>
        <v>6050.3098051487805</v>
      </c>
      <c r="Y23" s="458">
        <f t="shared" si="1"/>
        <v>6068.378889133146</v>
      </c>
      <c r="Z23" s="458">
        <f t="shared" si="1"/>
        <v>6081.9307021214199</v>
      </c>
      <c r="AA23" s="458">
        <f t="shared" si="1"/>
        <v>6092.0945618626247</v>
      </c>
      <c r="AB23" s="458">
        <f t="shared" si="1"/>
        <v>6099.7174566685289</v>
      </c>
      <c r="AC23" s="460">
        <f t="shared" si="1"/>
        <v>6105.4346277729574</v>
      </c>
      <c r="AD23" s="2524"/>
      <c r="AE23" s="2524"/>
      <c r="AF23" s="3028"/>
      <c r="AG23" s="3028"/>
      <c r="AH23" s="3028"/>
      <c r="AI23" s="3028"/>
      <c r="AJ23" s="3028"/>
      <c r="AK23" s="3028"/>
      <c r="AL23" s="3028"/>
      <c r="AM23" s="3028"/>
      <c r="AN23" s="3028"/>
      <c r="AO23" s="3028"/>
      <c r="AP23" s="3028"/>
      <c r="AQ23" s="3028"/>
      <c r="AR23" s="3028"/>
      <c r="AS23" s="3028"/>
      <c r="AT23" s="3028"/>
      <c r="AU23" s="3028"/>
      <c r="AV23" s="3028"/>
      <c r="AW23" s="3028"/>
      <c r="AX23" s="3028"/>
      <c r="AY23" s="3028"/>
      <c r="AZ23" s="3028"/>
      <c r="BA23" s="3028"/>
      <c r="BB23" s="3028"/>
      <c r="BC23" s="3028"/>
      <c r="BD23" s="3028"/>
      <c r="BE23" s="3028"/>
      <c r="BF23" s="3028"/>
      <c r="BG23" s="3028"/>
      <c r="BH23" s="3028"/>
      <c r="BI23" s="3028"/>
      <c r="BJ23" s="3028"/>
      <c r="BK23" s="3028"/>
      <c r="BL23" s="3028"/>
      <c r="BM23" s="3028"/>
      <c r="BN23" s="3028"/>
      <c r="BO23" s="3028"/>
      <c r="BP23" s="3028"/>
      <c r="BQ23" s="3028"/>
      <c r="BR23" s="3028"/>
      <c r="BS23" s="3028"/>
      <c r="BT23" s="3028"/>
      <c r="BU23" s="3028"/>
      <c r="BV23" s="3028"/>
      <c r="BW23" s="3028"/>
      <c r="BX23" s="3028"/>
      <c r="BY23" s="3028"/>
      <c r="BZ23" s="3028"/>
      <c r="CA23" s="3028"/>
      <c r="CB23" s="3028"/>
      <c r="CC23" s="3028"/>
      <c r="CD23" s="3028"/>
      <c r="CE23" s="3028"/>
      <c r="CF23" s="3028"/>
      <c r="CG23" s="3028"/>
      <c r="CH23" s="3028"/>
      <c r="CI23" s="3028"/>
      <c r="CJ23" s="3028"/>
      <c r="CK23" s="3028"/>
      <c r="CL23" s="3028"/>
      <c r="CM23" s="3028"/>
      <c r="CN23" s="3028"/>
      <c r="CO23" s="3028"/>
      <c r="CP23" s="3028"/>
      <c r="CQ23" s="3028"/>
      <c r="CR23" s="3028"/>
      <c r="CS23" s="3028"/>
      <c r="CT23" s="3028"/>
      <c r="CU23" s="3028"/>
      <c r="CV23" s="3028"/>
      <c r="CW23" s="3028"/>
      <c r="CX23" s="3028"/>
      <c r="CY23" s="3028"/>
      <c r="CZ23" s="3028"/>
      <c r="DA23" s="3028"/>
      <c r="DB23" s="3028"/>
      <c r="DC23" s="3028"/>
      <c r="DD23" s="3028"/>
      <c r="DE23" s="3028"/>
      <c r="DF23" s="3028"/>
      <c r="DG23" s="3028"/>
      <c r="DH23" s="3028"/>
      <c r="DI23" s="3028"/>
      <c r="DJ23" s="3028"/>
      <c r="DK23" s="3028"/>
      <c r="DL23" s="3028"/>
      <c r="DM23" s="3028"/>
      <c r="DN23" s="3028"/>
      <c r="DO23" s="3028"/>
      <c r="DP23" s="3028"/>
    </row>
    <row r="24" spans="1:135" s="3020" customFormat="1">
      <c r="B24" s="4604"/>
      <c r="C24" s="3029" t="s">
        <v>1602</v>
      </c>
      <c r="D24" s="3030" t="s">
        <v>1603</v>
      </c>
      <c r="E24" s="3114"/>
      <c r="F24" s="3115"/>
      <c r="G24" s="3115"/>
      <c r="H24" s="3115"/>
      <c r="I24" s="625">
        <v>628.40024516327151</v>
      </c>
      <c r="J24" s="459">
        <v>1691.6779351016112</v>
      </c>
      <c r="K24" s="458">
        <v>2461.4549942203439</v>
      </c>
      <c r="L24" s="458">
        <v>3015.7079128690502</v>
      </c>
      <c r="M24" s="458">
        <v>3410.5650327516664</v>
      </c>
      <c r="N24" s="460">
        <v>3643.0004293520124</v>
      </c>
      <c r="O24" s="459">
        <f t="shared" ref="O24:P30" si="2">+O$22*(N24/N$22)</f>
        <v>3882.8598308991513</v>
      </c>
      <c r="P24" s="458">
        <f t="shared" si="2"/>
        <v>4063.9470246200563</v>
      </c>
      <c r="Q24" s="458">
        <f t="shared" si="1"/>
        <v>4199.7624199107349</v>
      </c>
      <c r="R24" s="458">
        <f t="shared" si="1"/>
        <v>4301.6239663787437</v>
      </c>
      <c r="S24" s="458">
        <f t="shared" si="1"/>
        <v>4378.0201262297505</v>
      </c>
      <c r="T24" s="458">
        <f t="shared" si="1"/>
        <v>4435.3172461180056</v>
      </c>
      <c r="U24" s="458">
        <f t="shared" si="1"/>
        <v>4478.290086034197</v>
      </c>
      <c r="V24" s="458">
        <f t="shared" si="1"/>
        <v>4510.5197159713407</v>
      </c>
      <c r="W24" s="458">
        <f t="shared" si="1"/>
        <v>4534.6919384241983</v>
      </c>
      <c r="X24" s="458">
        <f t="shared" si="1"/>
        <v>4552.8211052638417</v>
      </c>
      <c r="Y24" s="458">
        <f t="shared" si="1"/>
        <v>4566.417980393574</v>
      </c>
      <c r="Z24" s="458">
        <f t="shared" si="1"/>
        <v>4576.615636740873</v>
      </c>
      <c r="AA24" s="458">
        <f t="shared" si="1"/>
        <v>4584.263879001347</v>
      </c>
      <c r="AB24" s="458">
        <f t="shared" si="1"/>
        <v>4590.0000606967023</v>
      </c>
      <c r="AC24" s="460">
        <f t="shared" si="1"/>
        <v>4594.3021969682195</v>
      </c>
      <c r="AD24" s="2524"/>
      <c r="AE24" s="2524"/>
      <c r="AF24" s="3028"/>
      <c r="AG24" s="3028"/>
      <c r="AH24" s="3028"/>
      <c r="AI24" s="3028"/>
      <c r="AJ24" s="3028"/>
      <c r="AK24" s="3028"/>
      <c r="AL24" s="3028"/>
      <c r="AM24" s="3028"/>
      <c r="AN24" s="3028"/>
      <c r="AO24" s="3028"/>
      <c r="AP24" s="3028"/>
      <c r="AQ24" s="3028"/>
      <c r="AR24" s="3028"/>
      <c r="AS24" s="3028"/>
      <c r="AT24" s="3028"/>
      <c r="AU24" s="3028"/>
      <c r="AV24" s="3028"/>
      <c r="AW24" s="3028"/>
      <c r="AX24" s="3028"/>
      <c r="AY24" s="3028"/>
      <c r="AZ24" s="3028"/>
      <c r="BA24" s="3028"/>
      <c r="BB24" s="3028"/>
      <c r="BC24" s="3028"/>
      <c r="BD24" s="3028"/>
      <c r="BE24" s="3028"/>
      <c r="BF24" s="3028"/>
      <c r="BG24" s="3028"/>
      <c r="BH24" s="3028"/>
      <c r="BI24" s="3028"/>
      <c r="BJ24" s="3028"/>
      <c r="BK24" s="3028"/>
      <c r="BL24" s="3028"/>
      <c r="BM24" s="3028"/>
      <c r="BN24" s="3028"/>
      <c r="BO24" s="3028"/>
      <c r="BP24" s="3028"/>
      <c r="BQ24" s="3028"/>
      <c r="BR24" s="3028"/>
      <c r="BS24" s="3028"/>
      <c r="BT24" s="3028"/>
      <c r="BU24" s="3028"/>
      <c r="BV24" s="3028"/>
      <c r="BW24" s="3028"/>
      <c r="BX24" s="3028"/>
      <c r="BY24" s="3028"/>
      <c r="BZ24" s="3028"/>
      <c r="CA24" s="3028"/>
      <c r="CB24" s="3028"/>
      <c r="CC24" s="3028"/>
      <c r="CD24" s="3028"/>
      <c r="CE24" s="3028"/>
      <c r="CF24" s="3028"/>
      <c r="CG24" s="3028"/>
      <c r="CH24" s="3028"/>
      <c r="CI24" s="3028"/>
      <c r="CJ24" s="3028"/>
      <c r="CK24" s="3028"/>
      <c r="CL24" s="3028"/>
      <c r="CM24" s="3028"/>
      <c r="CN24" s="3028"/>
      <c r="CO24" s="3028"/>
      <c r="CP24" s="3028"/>
      <c r="CQ24" s="3028"/>
      <c r="CR24" s="3028"/>
      <c r="CS24" s="3028"/>
      <c r="CT24" s="3028"/>
      <c r="CU24" s="3028"/>
      <c r="CV24" s="3028"/>
      <c r="CW24" s="3028"/>
      <c r="CX24" s="3028"/>
      <c r="CY24" s="3028"/>
      <c r="CZ24" s="3028"/>
      <c r="DA24" s="3028"/>
      <c r="DB24" s="3028"/>
      <c r="DC24" s="3028"/>
      <c r="DD24" s="3028"/>
      <c r="DE24" s="3028"/>
      <c r="DF24" s="3028"/>
      <c r="DG24" s="3028"/>
      <c r="DH24" s="3028"/>
      <c r="DI24" s="3028"/>
      <c r="DJ24" s="3028"/>
      <c r="DK24" s="3028"/>
      <c r="DL24" s="3028"/>
      <c r="DM24" s="3028"/>
      <c r="DN24" s="3028"/>
      <c r="DO24" s="3028"/>
      <c r="DP24" s="3028"/>
    </row>
    <row r="25" spans="1:135" s="3020" customFormat="1">
      <c r="B25" s="4604"/>
      <c r="C25" s="3029" t="s">
        <v>1604</v>
      </c>
      <c r="D25" s="3030" t="s">
        <v>1605</v>
      </c>
      <c r="E25" s="3114"/>
      <c r="F25" s="3115"/>
      <c r="G25" s="3115"/>
      <c r="H25" s="3115"/>
      <c r="I25" s="625">
        <v>1214.9958201633569</v>
      </c>
      <c r="J25" s="459">
        <v>3264.4489784040798</v>
      </c>
      <c r="K25" s="458">
        <v>4745.2062768527139</v>
      </c>
      <c r="L25" s="458">
        <v>5811.1279936695546</v>
      </c>
      <c r="M25" s="458">
        <v>6571.5012246364304</v>
      </c>
      <c r="N25" s="460">
        <v>7030.626902300688</v>
      </c>
      <c r="O25" s="459">
        <f t="shared" si="2"/>
        <v>7493.5315859509765</v>
      </c>
      <c r="P25" s="458">
        <f t="shared" si="2"/>
        <v>7843.0117796886389</v>
      </c>
      <c r="Q25" s="458">
        <f t="shared" si="1"/>
        <v>8105.1219249918859</v>
      </c>
      <c r="R25" s="458">
        <f t="shared" si="1"/>
        <v>8301.7045339693213</v>
      </c>
      <c r="S25" s="458">
        <f t="shared" si="1"/>
        <v>8449.1414907023973</v>
      </c>
      <c r="T25" s="458">
        <f t="shared" si="1"/>
        <v>8559.7192082522051</v>
      </c>
      <c r="U25" s="458">
        <f t="shared" si="1"/>
        <v>8642.652496414561</v>
      </c>
      <c r="V25" s="458">
        <f t="shared" si="1"/>
        <v>8704.8524625363279</v>
      </c>
      <c r="W25" s="458">
        <f t="shared" si="1"/>
        <v>8751.5024371276522</v>
      </c>
      <c r="X25" s="458">
        <f t="shared" si="1"/>
        <v>8786.4899180711473</v>
      </c>
      <c r="Y25" s="458">
        <f t="shared" si="1"/>
        <v>8812.7305287787676</v>
      </c>
      <c r="Z25" s="458">
        <f t="shared" si="1"/>
        <v>8832.4109868094838</v>
      </c>
      <c r="AA25" s="458">
        <f t="shared" si="1"/>
        <v>8847.1713303325214</v>
      </c>
      <c r="AB25" s="458">
        <f t="shared" si="1"/>
        <v>8858.2415879747987</v>
      </c>
      <c r="AC25" s="460">
        <f t="shared" si="1"/>
        <v>8866.5442812065066</v>
      </c>
      <c r="AD25" s="2524"/>
      <c r="AE25" s="2524"/>
      <c r="AF25" s="3028"/>
      <c r="AG25" s="3028"/>
      <c r="AH25" s="3028"/>
      <c r="AI25" s="3028"/>
      <c r="AJ25" s="3028"/>
      <c r="AK25" s="3028"/>
      <c r="AL25" s="3028"/>
      <c r="AM25" s="3028"/>
      <c r="AN25" s="3028"/>
      <c r="AO25" s="3028"/>
      <c r="AP25" s="3028"/>
      <c r="AQ25" s="3028"/>
      <c r="AR25" s="3028"/>
      <c r="AS25" s="3028"/>
      <c r="AT25" s="3028"/>
      <c r="AU25" s="3028"/>
      <c r="AV25" s="3028"/>
      <c r="AW25" s="3028"/>
      <c r="AX25" s="3028"/>
      <c r="AY25" s="3028"/>
      <c r="AZ25" s="3028"/>
      <c r="BA25" s="3028"/>
      <c r="BB25" s="3028"/>
      <c r="BC25" s="3028"/>
      <c r="BD25" s="3028"/>
      <c r="BE25" s="3028"/>
      <c r="BF25" s="3028"/>
      <c r="BG25" s="3028"/>
      <c r="BH25" s="3028"/>
      <c r="BI25" s="3028"/>
      <c r="BJ25" s="3028"/>
      <c r="BK25" s="3028"/>
      <c r="BL25" s="3028"/>
      <c r="BM25" s="3028"/>
      <c r="BN25" s="3028"/>
      <c r="BO25" s="3028"/>
      <c r="BP25" s="3028"/>
      <c r="BQ25" s="3028"/>
      <c r="BR25" s="3028"/>
      <c r="BS25" s="3028"/>
      <c r="BT25" s="3028"/>
      <c r="BU25" s="3028"/>
      <c r="BV25" s="3028"/>
      <c r="BW25" s="3028"/>
      <c r="BX25" s="3028"/>
      <c r="BY25" s="3028"/>
      <c r="BZ25" s="3028"/>
      <c r="CA25" s="3028"/>
      <c r="CB25" s="3028"/>
      <c r="CC25" s="3028"/>
      <c r="CD25" s="3028"/>
      <c r="CE25" s="3028"/>
      <c r="CF25" s="3028"/>
      <c r="CG25" s="3028"/>
      <c r="CH25" s="3028"/>
      <c r="CI25" s="3028"/>
      <c r="CJ25" s="3028"/>
      <c r="CK25" s="3028"/>
      <c r="CL25" s="3028"/>
      <c r="CM25" s="3028"/>
      <c r="CN25" s="3028"/>
      <c r="CO25" s="3028"/>
      <c r="CP25" s="3028"/>
      <c r="CQ25" s="3028"/>
      <c r="CR25" s="3028"/>
      <c r="CS25" s="3028"/>
      <c r="CT25" s="3028"/>
      <c r="CU25" s="3028"/>
      <c r="CV25" s="3028"/>
      <c r="CW25" s="3028"/>
      <c r="CX25" s="3028"/>
      <c r="CY25" s="3028"/>
      <c r="CZ25" s="3028"/>
      <c r="DA25" s="3028"/>
      <c r="DB25" s="3028"/>
      <c r="DC25" s="3028"/>
      <c r="DD25" s="3028"/>
      <c r="DE25" s="3028"/>
      <c r="DF25" s="3028"/>
      <c r="DG25" s="3028"/>
      <c r="DH25" s="3028"/>
      <c r="DI25" s="3028"/>
      <c r="DJ25" s="3028"/>
      <c r="DK25" s="3028"/>
      <c r="DL25" s="3028"/>
      <c r="DM25" s="3028"/>
      <c r="DN25" s="3028"/>
      <c r="DO25" s="3028"/>
      <c r="DP25" s="3028"/>
    </row>
    <row r="26" spans="1:135" s="3020" customFormat="1">
      <c r="B26" s="4604"/>
      <c r="C26" s="3029" t="s">
        <v>1606</v>
      </c>
      <c r="D26" s="3030" t="s">
        <v>1607</v>
      </c>
      <c r="E26" s="3114"/>
      <c r="F26" s="3115"/>
      <c r="G26" s="3115"/>
      <c r="H26" s="3115"/>
      <c r="I26" s="625">
        <v>8.6741420710813539</v>
      </c>
      <c r="J26" s="459">
        <v>23.933817879502069</v>
      </c>
      <c r="K26" s="458">
        <v>35.639778509750656</v>
      </c>
      <c r="L26" s="458">
        <v>44.642847504447737</v>
      </c>
      <c r="M26" s="458">
        <v>51.588651982052831</v>
      </c>
      <c r="N26" s="460">
        <v>56.132864816275273</v>
      </c>
      <c r="O26" s="459">
        <f t="shared" si="2"/>
        <v>59.828718172063404</v>
      </c>
      <c r="P26" s="458">
        <f t="shared" si="2"/>
        <v>62.61898492119532</v>
      </c>
      <c r="Q26" s="458">
        <f t="shared" si="1"/>
        <v>64.71168498304425</v>
      </c>
      <c r="R26" s="458">
        <f t="shared" si="1"/>
        <v>66.281210029430952</v>
      </c>
      <c r="S26" s="458">
        <f t="shared" si="1"/>
        <v>67.45835381422097</v>
      </c>
      <c r="T26" s="458">
        <f t="shared" si="1"/>
        <v>68.341211652813485</v>
      </c>
      <c r="U26" s="458">
        <f t="shared" si="1"/>
        <v>69.003355031757877</v>
      </c>
      <c r="V26" s="458">
        <f t="shared" si="1"/>
        <v>69.499962565966172</v>
      </c>
      <c r="W26" s="458">
        <f t="shared" si="1"/>
        <v>69.872418216622393</v>
      </c>
      <c r="X26" s="458">
        <f t="shared" si="1"/>
        <v>70.151759954614548</v>
      </c>
      <c r="Y26" s="458">
        <f t="shared" si="1"/>
        <v>70.361266258108671</v>
      </c>
      <c r="Z26" s="458">
        <f t="shared" si="1"/>
        <v>70.518395985729256</v>
      </c>
      <c r="AA26" s="458">
        <f t="shared" si="1"/>
        <v>70.636243281444706</v>
      </c>
      <c r="AB26" s="458">
        <f t="shared" si="1"/>
        <v>70.724628753231286</v>
      </c>
      <c r="AC26" s="460">
        <f t="shared" si="1"/>
        <v>70.790917857071221</v>
      </c>
      <c r="AD26" s="2524"/>
      <c r="AE26" s="2524"/>
      <c r="AF26" s="3028"/>
      <c r="AG26" s="3028"/>
      <c r="AH26" s="3028"/>
      <c r="AI26" s="3028"/>
      <c r="AJ26" s="3028"/>
      <c r="AK26" s="3028"/>
      <c r="AL26" s="3028"/>
      <c r="AM26" s="3028"/>
      <c r="AN26" s="3028"/>
      <c r="AO26" s="3028"/>
      <c r="AP26" s="3028"/>
      <c r="AQ26" s="3028"/>
      <c r="AR26" s="3028"/>
      <c r="AS26" s="3028"/>
      <c r="AT26" s="3028"/>
      <c r="AU26" s="3028"/>
      <c r="AV26" s="3028"/>
      <c r="AW26" s="3028"/>
      <c r="AX26" s="3028"/>
      <c r="AY26" s="3028"/>
      <c r="AZ26" s="3028"/>
      <c r="BA26" s="3028"/>
      <c r="BB26" s="3028"/>
      <c r="BC26" s="3028"/>
      <c r="BD26" s="3028"/>
      <c r="BE26" s="3028"/>
      <c r="BF26" s="3028"/>
      <c r="BG26" s="3028"/>
      <c r="BH26" s="3028"/>
      <c r="BI26" s="3028"/>
      <c r="BJ26" s="3028"/>
      <c r="BK26" s="3028"/>
      <c r="BL26" s="3028"/>
      <c r="BM26" s="3028"/>
      <c r="BN26" s="3028"/>
      <c r="BO26" s="3028"/>
      <c r="BP26" s="3028"/>
      <c r="BQ26" s="3028"/>
      <c r="BR26" s="3028"/>
      <c r="BS26" s="3028"/>
      <c r="BT26" s="3028"/>
      <c r="BU26" s="3028"/>
      <c r="BV26" s="3028"/>
      <c r="BW26" s="3028"/>
      <c r="BX26" s="3028"/>
      <c r="BY26" s="3028"/>
      <c r="BZ26" s="3028"/>
      <c r="CA26" s="3028"/>
      <c r="CB26" s="3028"/>
      <c r="CC26" s="3028"/>
      <c r="CD26" s="3028"/>
      <c r="CE26" s="3028"/>
      <c r="CF26" s="3028"/>
      <c r="CG26" s="3028"/>
      <c r="CH26" s="3028"/>
      <c r="CI26" s="3028"/>
      <c r="CJ26" s="3028"/>
      <c r="CK26" s="3028"/>
      <c r="CL26" s="3028"/>
      <c r="CM26" s="3028"/>
      <c r="CN26" s="3028"/>
      <c r="CO26" s="3028"/>
      <c r="CP26" s="3028"/>
      <c r="CQ26" s="3028"/>
      <c r="CR26" s="3028"/>
      <c r="CS26" s="3028"/>
      <c r="CT26" s="3028"/>
      <c r="CU26" s="3028"/>
      <c r="CV26" s="3028"/>
      <c r="CW26" s="3028"/>
      <c r="CX26" s="3028"/>
      <c r="CY26" s="3028"/>
      <c r="CZ26" s="3028"/>
      <c r="DA26" s="3028"/>
      <c r="DB26" s="3028"/>
      <c r="DC26" s="3028"/>
      <c r="DD26" s="3028"/>
      <c r="DE26" s="3028"/>
      <c r="DF26" s="3028"/>
      <c r="DG26" s="3028"/>
      <c r="DH26" s="3028"/>
      <c r="DI26" s="3028"/>
      <c r="DJ26" s="3028"/>
      <c r="DK26" s="3028"/>
      <c r="DL26" s="3028"/>
      <c r="DM26" s="3028"/>
      <c r="DN26" s="3028"/>
      <c r="DO26" s="3028"/>
      <c r="DP26" s="3028"/>
    </row>
    <row r="27" spans="1:135" s="3020" customFormat="1">
      <c r="B27" s="4604"/>
      <c r="C27" s="3031" t="s">
        <v>1608</v>
      </c>
      <c r="D27" s="3030" t="s">
        <v>1609</v>
      </c>
      <c r="E27" s="3114"/>
      <c r="F27" s="3115"/>
      <c r="G27" s="3115"/>
      <c r="H27" s="3115"/>
      <c r="I27" s="625">
        <v>1003.768715889971</v>
      </c>
      <c r="J27" s="459">
        <v>2678.1240876064435</v>
      </c>
      <c r="K27" s="458">
        <v>3865.0131309241638</v>
      </c>
      <c r="L27" s="458">
        <v>4699.2837908586507</v>
      </c>
      <c r="M27" s="458">
        <v>5275.9313864196865</v>
      </c>
      <c r="N27" s="460">
        <v>5604.9024064473406</v>
      </c>
      <c r="O27" s="459">
        <f t="shared" si="2"/>
        <v>5973.9357247277085</v>
      </c>
      <c r="P27" s="458">
        <f t="shared" si="2"/>
        <v>6252.5456418952535</v>
      </c>
      <c r="Q27" s="458">
        <f t="shared" si="1"/>
        <v>6461.5030797709123</v>
      </c>
      <c r="R27" s="458">
        <f t="shared" si="1"/>
        <v>6618.2211581776564</v>
      </c>
      <c r="S27" s="458">
        <f t="shared" si="1"/>
        <v>6735.759716982715</v>
      </c>
      <c r="T27" s="458">
        <f t="shared" si="1"/>
        <v>6823.9136360865086</v>
      </c>
      <c r="U27" s="458">
        <f t="shared" si="1"/>
        <v>6890.0290754143534</v>
      </c>
      <c r="V27" s="458">
        <f t="shared" si="1"/>
        <v>6939.615654910237</v>
      </c>
      <c r="W27" s="458">
        <f t="shared" si="1"/>
        <v>6976.8055895321504</v>
      </c>
      <c r="X27" s="458">
        <f t="shared" si="1"/>
        <v>7004.6980404985852</v>
      </c>
      <c r="Y27" s="458">
        <f t="shared" si="1"/>
        <v>7025.6173787234111</v>
      </c>
      <c r="Z27" s="458">
        <f t="shared" si="1"/>
        <v>7041.3068823920303</v>
      </c>
      <c r="AA27" s="458">
        <f t="shared" si="1"/>
        <v>7053.0740101434949</v>
      </c>
      <c r="AB27" s="458">
        <f t="shared" si="1"/>
        <v>7061.8993559570936</v>
      </c>
      <c r="AC27" s="460">
        <f t="shared" si="1"/>
        <v>7068.5183653172926</v>
      </c>
      <c r="AD27" s="2524"/>
      <c r="AE27" s="2524"/>
      <c r="AF27" s="3028"/>
      <c r="AG27" s="3028"/>
      <c r="AH27" s="3028"/>
      <c r="AI27" s="3028"/>
      <c r="AJ27" s="3028"/>
      <c r="AK27" s="3028"/>
      <c r="AL27" s="3028"/>
      <c r="AM27" s="3028"/>
      <c r="AN27" s="3028"/>
      <c r="AO27" s="3028"/>
      <c r="AP27" s="3028"/>
      <c r="AQ27" s="3028"/>
      <c r="AR27" s="3028"/>
      <c r="AS27" s="3028"/>
      <c r="AT27" s="3028"/>
      <c r="AU27" s="3028"/>
      <c r="AV27" s="3028"/>
      <c r="AW27" s="3028"/>
      <c r="AX27" s="3028"/>
      <c r="AY27" s="3028"/>
      <c r="AZ27" s="3028"/>
      <c r="BA27" s="3028"/>
      <c r="BB27" s="3028"/>
      <c r="BC27" s="3028"/>
      <c r="BD27" s="3028"/>
      <c r="BE27" s="3028"/>
      <c r="BF27" s="3028"/>
      <c r="BG27" s="3028"/>
      <c r="BH27" s="3028"/>
      <c r="BI27" s="3028"/>
      <c r="BJ27" s="3028"/>
      <c r="BK27" s="3028"/>
      <c r="BL27" s="3028"/>
      <c r="BM27" s="3028"/>
      <c r="BN27" s="3028"/>
      <c r="BO27" s="3028"/>
      <c r="BP27" s="3028"/>
      <c r="BQ27" s="3028"/>
      <c r="BR27" s="3028"/>
      <c r="BS27" s="3028"/>
      <c r="BT27" s="3028"/>
      <c r="BU27" s="3028"/>
      <c r="BV27" s="3028"/>
      <c r="BW27" s="3028"/>
      <c r="BX27" s="3028"/>
      <c r="BY27" s="3028"/>
      <c r="BZ27" s="3028"/>
      <c r="CA27" s="3028"/>
      <c r="CB27" s="3028"/>
      <c r="CC27" s="3028"/>
      <c r="CD27" s="3028"/>
      <c r="CE27" s="3028"/>
      <c r="CF27" s="3028"/>
      <c r="CG27" s="3028"/>
      <c r="CH27" s="3028"/>
      <c r="CI27" s="3028"/>
      <c r="CJ27" s="3028"/>
      <c r="CK27" s="3028"/>
      <c r="CL27" s="3028"/>
      <c r="CM27" s="3028"/>
      <c r="CN27" s="3028"/>
      <c r="CO27" s="3028"/>
      <c r="CP27" s="3028"/>
      <c r="CQ27" s="3028"/>
      <c r="CR27" s="3028"/>
      <c r="CS27" s="3028"/>
      <c r="CT27" s="3028"/>
      <c r="CU27" s="3028"/>
      <c r="CV27" s="3028"/>
      <c r="CW27" s="3028"/>
      <c r="CX27" s="3028"/>
      <c r="CY27" s="3028"/>
      <c r="CZ27" s="3028"/>
      <c r="DA27" s="3028"/>
      <c r="DB27" s="3028"/>
      <c r="DC27" s="3028"/>
      <c r="DD27" s="3028"/>
      <c r="DE27" s="3028"/>
      <c r="DF27" s="3028"/>
      <c r="DG27" s="3028"/>
      <c r="DH27" s="3028"/>
      <c r="DI27" s="3028"/>
      <c r="DJ27" s="3028"/>
      <c r="DK27" s="3028"/>
      <c r="DL27" s="3028"/>
      <c r="DM27" s="3028"/>
      <c r="DN27" s="3028"/>
      <c r="DO27" s="3028"/>
      <c r="DP27" s="3028"/>
    </row>
    <row r="28" spans="1:135" s="3020" customFormat="1">
      <c r="B28" s="4604"/>
      <c r="C28" s="3031" t="s">
        <v>1610</v>
      </c>
      <c r="D28" s="3030" t="s">
        <v>1611</v>
      </c>
      <c r="E28" s="3114"/>
      <c r="F28" s="3115"/>
      <c r="G28" s="3115"/>
      <c r="H28" s="3115"/>
      <c r="I28" s="625">
        <v>274.2366360216833</v>
      </c>
      <c r="J28" s="459">
        <v>719.93626283355832</v>
      </c>
      <c r="K28" s="458">
        <v>1022.4565080727808</v>
      </c>
      <c r="L28" s="458">
        <v>1222.4994638503113</v>
      </c>
      <c r="M28" s="458">
        <v>1348.4235358975513</v>
      </c>
      <c r="N28" s="460">
        <v>1407.0291169881241</v>
      </c>
      <c r="O28" s="459">
        <f t="shared" si="2"/>
        <v>1499.6695567863155</v>
      </c>
      <c r="P28" s="458">
        <f t="shared" si="2"/>
        <v>1569.6105186994885</v>
      </c>
      <c r="Q28" s="458">
        <f t="shared" si="1"/>
        <v>1622.0662401343684</v>
      </c>
      <c r="R28" s="458">
        <f t="shared" si="1"/>
        <v>1661.4080312105282</v>
      </c>
      <c r="S28" s="458">
        <f t="shared" si="1"/>
        <v>1690.914374517648</v>
      </c>
      <c r="T28" s="458">
        <f t="shared" si="1"/>
        <v>1713.044131997988</v>
      </c>
      <c r="U28" s="458">
        <f t="shared" si="1"/>
        <v>1729.6414501082429</v>
      </c>
      <c r="V28" s="458">
        <f t="shared" si="1"/>
        <v>1742.089438690934</v>
      </c>
      <c r="W28" s="458">
        <f t="shared" si="1"/>
        <v>1751.4254301279525</v>
      </c>
      <c r="X28" s="458">
        <f t="shared" si="1"/>
        <v>1758.4274237057164</v>
      </c>
      <c r="Y28" s="458">
        <f t="shared" si="1"/>
        <v>1763.6789188890391</v>
      </c>
      <c r="Z28" s="458">
        <f t="shared" si="1"/>
        <v>1767.6175402765314</v>
      </c>
      <c r="AA28" s="458">
        <f t="shared" si="1"/>
        <v>1770.5715063171504</v>
      </c>
      <c r="AB28" s="458">
        <f t="shared" si="1"/>
        <v>1772.7869808476148</v>
      </c>
      <c r="AC28" s="460">
        <f t="shared" si="1"/>
        <v>1774.448586745463</v>
      </c>
      <c r="AD28" s="2524"/>
      <c r="AE28" s="2524"/>
      <c r="AF28" s="3028"/>
      <c r="AG28" s="3028"/>
      <c r="AH28" s="3028"/>
      <c r="AI28" s="3028"/>
      <c r="AJ28" s="3028"/>
      <c r="AK28" s="3028"/>
      <c r="AL28" s="3028"/>
      <c r="AM28" s="3028"/>
      <c r="AN28" s="3028"/>
      <c r="AO28" s="3028"/>
      <c r="AP28" s="3028"/>
      <c r="AQ28" s="3028"/>
      <c r="AR28" s="3028"/>
      <c r="AS28" s="3028"/>
      <c r="AT28" s="3028"/>
      <c r="AU28" s="3028"/>
      <c r="AV28" s="3028"/>
      <c r="AW28" s="3028"/>
      <c r="AX28" s="3028"/>
      <c r="AY28" s="3028"/>
      <c r="AZ28" s="3028"/>
      <c r="BA28" s="3028"/>
      <c r="BB28" s="3028"/>
      <c r="BC28" s="3028"/>
      <c r="BD28" s="3028"/>
      <c r="BE28" s="3028"/>
      <c r="BF28" s="3028"/>
      <c r="BG28" s="3028"/>
      <c r="BH28" s="3028"/>
      <c r="BI28" s="3028"/>
      <c r="BJ28" s="3028"/>
      <c r="BK28" s="3028"/>
      <c r="BL28" s="3028"/>
      <c r="BM28" s="3028"/>
      <c r="BN28" s="3028"/>
      <c r="BO28" s="3028"/>
      <c r="BP28" s="3028"/>
      <c r="BQ28" s="3028"/>
      <c r="BR28" s="3028"/>
      <c r="BS28" s="3028"/>
      <c r="BT28" s="3028"/>
      <c r="BU28" s="3028"/>
      <c r="BV28" s="3028"/>
      <c r="BW28" s="3028"/>
      <c r="BX28" s="3028"/>
      <c r="BY28" s="3028"/>
      <c r="BZ28" s="3028"/>
      <c r="CA28" s="3028"/>
      <c r="CB28" s="3028"/>
      <c r="CC28" s="3028"/>
      <c r="CD28" s="3028"/>
      <c r="CE28" s="3028"/>
      <c r="CF28" s="3028"/>
      <c r="CG28" s="3028"/>
      <c r="CH28" s="3028"/>
      <c r="CI28" s="3028"/>
      <c r="CJ28" s="3028"/>
      <c r="CK28" s="3028"/>
      <c r="CL28" s="3028"/>
      <c r="CM28" s="3028"/>
      <c r="CN28" s="3028"/>
      <c r="CO28" s="3028"/>
      <c r="CP28" s="3028"/>
      <c r="CQ28" s="3028"/>
      <c r="CR28" s="3028"/>
      <c r="CS28" s="3028"/>
      <c r="CT28" s="3028"/>
      <c r="CU28" s="3028"/>
      <c r="CV28" s="3028"/>
      <c r="CW28" s="3028"/>
      <c r="CX28" s="3028"/>
      <c r="CY28" s="3028"/>
      <c r="CZ28" s="3028"/>
      <c r="DA28" s="3028"/>
      <c r="DB28" s="3028"/>
      <c r="DC28" s="3028"/>
      <c r="DD28" s="3028"/>
      <c r="DE28" s="3028"/>
      <c r="DF28" s="3028"/>
      <c r="DG28" s="3028"/>
      <c r="DH28" s="3028"/>
      <c r="DI28" s="3028"/>
      <c r="DJ28" s="3028"/>
      <c r="DK28" s="3028"/>
      <c r="DL28" s="3028"/>
      <c r="DM28" s="3028"/>
      <c r="DN28" s="3028"/>
      <c r="DO28" s="3028"/>
      <c r="DP28" s="3028"/>
    </row>
    <row r="29" spans="1:135" s="3020" customFormat="1">
      <c r="B29" s="4604"/>
      <c r="C29" s="3031" t="s">
        <v>1612</v>
      </c>
      <c r="D29" s="3030" t="s">
        <v>1613</v>
      </c>
      <c r="E29" s="3114"/>
      <c r="F29" s="3115"/>
      <c r="G29" s="3115"/>
      <c r="H29" s="3115"/>
      <c r="I29" s="625">
        <v>165.92498495540181</v>
      </c>
      <c r="J29" s="459">
        <v>434.1751731038396</v>
      </c>
      <c r="K29" s="458">
        <v>614.82269358761243</v>
      </c>
      <c r="L29" s="458">
        <v>732.86262860588567</v>
      </c>
      <c r="M29" s="458">
        <v>805.66344715544892</v>
      </c>
      <c r="N29" s="460">
        <v>838.01907681222553</v>
      </c>
      <c r="O29" s="459">
        <f t="shared" si="2"/>
        <v>893.19523123420561</v>
      </c>
      <c r="P29" s="458">
        <f t="shared" si="2"/>
        <v>934.85169706435158</v>
      </c>
      <c r="Q29" s="458">
        <f t="shared" si="1"/>
        <v>966.09404643696109</v>
      </c>
      <c r="R29" s="458">
        <f t="shared" si="1"/>
        <v>989.5258084664182</v>
      </c>
      <c r="S29" s="458">
        <f t="shared" si="1"/>
        <v>1007.0996299885111</v>
      </c>
      <c r="T29" s="458">
        <f t="shared" si="1"/>
        <v>1020.2799961300807</v>
      </c>
      <c r="U29" s="458">
        <f t="shared" si="1"/>
        <v>1030.165270736258</v>
      </c>
      <c r="V29" s="458">
        <f t="shared" si="1"/>
        <v>1037.5792266908909</v>
      </c>
      <c r="W29" s="458">
        <f t="shared" si="1"/>
        <v>1043.1396936568656</v>
      </c>
      <c r="X29" s="458">
        <f t="shared" si="1"/>
        <v>1047.3100438813465</v>
      </c>
      <c r="Y29" s="458">
        <f t="shared" si="1"/>
        <v>1050.4378065497071</v>
      </c>
      <c r="Z29" s="458">
        <f t="shared" si="1"/>
        <v>1052.7836285509777</v>
      </c>
      <c r="AA29" s="458">
        <f t="shared" si="1"/>
        <v>1054.5429950519308</v>
      </c>
      <c r="AB29" s="458">
        <f t="shared" si="1"/>
        <v>1055.8625199276455</v>
      </c>
      <c r="AC29" s="460">
        <f t="shared" si="1"/>
        <v>1056.8521635844315</v>
      </c>
      <c r="AD29" s="2524"/>
      <c r="AE29" s="2524"/>
      <c r="AF29" s="3028"/>
      <c r="AG29" s="3028"/>
      <c r="AH29" s="3028"/>
      <c r="AI29" s="3028"/>
      <c r="AJ29" s="3028"/>
      <c r="AK29" s="3028"/>
      <c r="AL29" s="3028"/>
      <c r="AM29" s="3028"/>
      <c r="AN29" s="3028"/>
      <c r="AO29" s="3028"/>
      <c r="AP29" s="3028"/>
      <c r="AQ29" s="3028"/>
      <c r="AR29" s="3028"/>
      <c r="AS29" s="3028"/>
      <c r="AT29" s="3028"/>
      <c r="AU29" s="3028"/>
      <c r="AV29" s="3028"/>
      <c r="AW29" s="3028"/>
      <c r="AX29" s="3028"/>
      <c r="AY29" s="3028"/>
      <c r="AZ29" s="3028"/>
      <c r="BA29" s="3028"/>
      <c r="BB29" s="3028"/>
      <c r="BC29" s="3028"/>
      <c r="BD29" s="3028"/>
      <c r="BE29" s="3028"/>
      <c r="BF29" s="3028"/>
      <c r="BG29" s="3028"/>
      <c r="BH29" s="3028"/>
      <c r="BI29" s="3028"/>
      <c r="BJ29" s="3028"/>
      <c r="BK29" s="3028"/>
      <c r="BL29" s="3028"/>
      <c r="BM29" s="3028"/>
      <c r="BN29" s="3028"/>
      <c r="BO29" s="3028"/>
      <c r="BP29" s="3028"/>
      <c r="BQ29" s="3028"/>
      <c r="BR29" s="3028"/>
      <c r="BS29" s="3028"/>
      <c r="BT29" s="3028"/>
      <c r="BU29" s="3028"/>
      <c r="BV29" s="3028"/>
      <c r="BW29" s="3028"/>
      <c r="BX29" s="3028"/>
      <c r="BY29" s="3028"/>
      <c r="BZ29" s="3028"/>
      <c r="CA29" s="3028"/>
      <c r="CB29" s="3028"/>
      <c r="CC29" s="3028"/>
      <c r="CD29" s="3028"/>
      <c r="CE29" s="3028"/>
      <c r="CF29" s="3028"/>
      <c r="CG29" s="3028"/>
      <c r="CH29" s="3028"/>
      <c r="CI29" s="3028"/>
      <c r="CJ29" s="3028"/>
      <c r="CK29" s="3028"/>
      <c r="CL29" s="3028"/>
      <c r="CM29" s="3028"/>
      <c r="CN29" s="3028"/>
      <c r="CO29" s="3028"/>
      <c r="CP29" s="3028"/>
      <c r="CQ29" s="3028"/>
      <c r="CR29" s="3028"/>
      <c r="CS29" s="3028"/>
      <c r="CT29" s="3028"/>
      <c r="CU29" s="3028"/>
      <c r="CV29" s="3028"/>
      <c r="CW29" s="3028"/>
      <c r="CX29" s="3028"/>
      <c r="CY29" s="3028"/>
      <c r="CZ29" s="3028"/>
      <c r="DA29" s="3028"/>
      <c r="DB29" s="3028"/>
      <c r="DC29" s="3028"/>
      <c r="DD29" s="3028"/>
      <c r="DE29" s="3028"/>
      <c r="DF29" s="3028"/>
      <c r="DG29" s="3028"/>
      <c r="DH29" s="3028"/>
      <c r="DI29" s="3028"/>
      <c r="DJ29" s="3028"/>
      <c r="DK29" s="3028"/>
      <c r="DL29" s="3028"/>
      <c r="DM29" s="3028"/>
      <c r="DN29" s="3028"/>
      <c r="DO29" s="3028"/>
      <c r="DP29" s="3028"/>
    </row>
    <row r="30" spans="1:135" s="3020" customFormat="1">
      <c r="B30" s="4604"/>
      <c r="C30" s="3031" t="s">
        <v>1614</v>
      </c>
      <c r="D30" s="3030" t="s">
        <v>1615</v>
      </c>
      <c r="E30" s="3114"/>
      <c r="F30" s="3115"/>
      <c r="G30" s="3115"/>
      <c r="H30" s="3115"/>
      <c r="I30" s="625">
        <v>4.6050457830118825</v>
      </c>
      <c r="J30" s="459">
        <v>12.671607329321835</v>
      </c>
      <c r="K30" s="458">
        <v>18.804320533307731</v>
      </c>
      <c r="L30" s="458">
        <v>23.457824256045043</v>
      </c>
      <c r="M30" s="458">
        <v>26.982432609597051</v>
      </c>
      <c r="N30" s="460">
        <v>29.177018069734075</v>
      </c>
      <c r="O30" s="459">
        <f t="shared" si="2"/>
        <v>31.098067004219459</v>
      </c>
      <c r="P30" s="458">
        <f t="shared" si="2"/>
        <v>32.548405653872621</v>
      </c>
      <c r="Q30" s="458">
        <f t="shared" si="1"/>
        <v>33.636159641112492</v>
      </c>
      <c r="R30" s="458">
        <f t="shared" si="1"/>
        <v>34.45197513154239</v>
      </c>
      <c r="S30" s="458">
        <f t="shared" si="1"/>
        <v>35.063836749364818</v>
      </c>
      <c r="T30" s="458">
        <f t="shared" si="1"/>
        <v>35.522732962731638</v>
      </c>
      <c r="U30" s="458">
        <f t="shared" si="1"/>
        <v>35.866905122756755</v>
      </c>
      <c r="V30" s="458">
        <f t="shared" si="1"/>
        <v>36.125034242775591</v>
      </c>
      <c r="W30" s="458">
        <f t="shared" si="1"/>
        <v>36.318631082789722</v>
      </c>
      <c r="X30" s="458">
        <f t="shared" si="1"/>
        <v>36.463828712800321</v>
      </c>
      <c r="Y30" s="458">
        <f t="shared" si="1"/>
        <v>36.572726935308268</v>
      </c>
      <c r="Z30" s="458">
        <f t="shared" si="1"/>
        <v>36.654400602189227</v>
      </c>
      <c r="AA30" s="458">
        <f t="shared" si="1"/>
        <v>36.715655852349947</v>
      </c>
      <c r="AB30" s="458">
        <f t="shared" si="1"/>
        <v>36.761597289970489</v>
      </c>
      <c r="AC30" s="460">
        <f t="shared" si="1"/>
        <v>36.796053368185895</v>
      </c>
      <c r="AD30" s="2524"/>
      <c r="AE30" s="2524"/>
      <c r="AF30" s="3028"/>
      <c r="AG30" s="3028"/>
      <c r="AH30" s="3028"/>
      <c r="AI30" s="3028"/>
      <c r="AJ30" s="3028"/>
      <c r="AK30" s="3028"/>
      <c r="AL30" s="3028"/>
      <c r="AM30" s="3028"/>
      <c r="AN30" s="3028"/>
      <c r="AO30" s="3028"/>
      <c r="AP30" s="3028"/>
      <c r="AQ30" s="3028"/>
      <c r="AR30" s="3028"/>
      <c r="AS30" s="3028"/>
      <c r="AT30" s="3028"/>
      <c r="AU30" s="3028"/>
      <c r="AV30" s="3028"/>
      <c r="AW30" s="3028"/>
      <c r="AX30" s="3028"/>
      <c r="AY30" s="3028"/>
      <c r="AZ30" s="3028"/>
      <c r="BA30" s="3028"/>
      <c r="BB30" s="3028"/>
      <c r="BC30" s="3028"/>
      <c r="BD30" s="3028"/>
      <c r="BE30" s="3028"/>
      <c r="BF30" s="3028"/>
      <c r="BG30" s="3028"/>
      <c r="BH30" s="3028"/>
      <c r="BI30" s="3028"/>
      <c r="BJ30" s="3028"/>
      <c r="BK30" s="3028"/>
      <c r="BL30" s="3028"/>
      <c r="BM30" s="3028"/>
      <c r="BN30" s="3028"/>
      <c r="BO30" s="3028"/>
      <c r="BP30" s="3028"/>
      <c r="BQ30" s="3028"/>
      <c r="BR30" s="3028"/>
      <c r="BS30" s="3028"/>
      <c r="BT30" s="3028"/>
      <c r="BU30" s="3028"/>
      <c r="BV30" s="3028"/>
      <c r="BW30" s="3028"/>
      <c r="BX30" s="3028"/>
      <c r="BY30" s="3028"/>
      <c r="BZ30" s="3028"/>
      <c r="CA30" s="3028"/>
      <c r="CB30" s="3028"/>
      <c r="CC30" s="3028"/>
      <c r="CD30" s="3028"/>
      <c r="CE30" s="3028"/>
      <c r="CF30" s="3028"/>
      <c r="CG30" s="3028"/>
      <c r="CH30" s="3028"/>
      <c r="CI30" s="3028"/>
      <c r="CJ30" s="3028"/>
      <c r="CK30" s="3028"/>
      <c r="CL30" s="3028"/>
      <c r="CM30" s="3028"/>
      <c r="CN30" s="3028"/>
      <c r="CO30" s="3028"/>
      <c r="CP30" s="3028"/>
      <c r="CQ30" s="3028"/>
      <c r="CR30" s="3028"/>
      <c r="CS30" s="3028"/>
      <c r="CT30" s="3028"/>
      <c r="CU30" s="3028"/>
      <c r="CV30" s="3028"/>
      <c r="CW30" s="3028"/>
      <c r="CX30" s="3028"/>
      <c r="CY30" s="3028"/>
      <c r="CZ30" s="3028"/>
      <c r="DA30" s="3028"/>
      <c r="DB30" s="3028"/>
      <c r="DC30" s="3028"/>
      <c r="DD30" s="3028"/>
      <c r="DE30" s="3028"/>
      <c r="DF30" s="3028"/>
      <c r="DG30" s="3028"/>
      <c r="DH30" s="3028"/>
      <c r="DI30" s="3028"/>
      <c r="DJ30" s="3028"/>
      <c r="DK30" s="3028"/>
      <c r="DL30" s="3028"/>
      <c r="DM30" s="3028"/>
      <c r="DN30" s="3028"/>
      <c r="DO30" s="3028"/>
      <c r="DP30" s="3028"/>
    </row>
    <row r="31" spans="1:135" s="3020" customFormat="1" ht="13.5" thickBot="1">
      <c r="B31" s="4605"/>
      <c r="C31" s="3032" t="s">
        <v>63</v>
      </c>
      <c r="D31" s="3033"/>
      <c r="E31" s="3116">
        <f t="shared" ref="E31:O31" si="3">SUM(E23:E30)</f>
        <v>0</v>
      </c>
      <c r="F31" s="3117">
        <f t="shared" si="3"/>
        <v>0</v>
      </c>
      <c r="G31" s="3117">
        <f t="shared" si="3"/>
        <v>0</v>
      </c>
      <c r="H31" s="3117">
        <f t="shared" si="3"/>
        <v>0</v>
      </c>
      <c r="I31" s="627">
        <f t="shared" si="3"/>
        <v>4125.5256001926346</v>
      </c>
      <c r="J31" s="1370">
        <f t="shared" si="3"/>
        <v>11050.774135302818</v>
      </c>
      <c r="K31" s="356">
        <f t="shared" si="3"/>
        <v>16009.489284113171</v>
      </c>
      <c r="L31" s="356">
        <f t="shared" si="3"/>
        <v>19536.229520206049</v>
      </c>
      <c r="M31" s="356">
        <f t="shared" si="3"/>
        <v>22010.768140365868</v>
      </c>
      <c r="N31" s="503">
        <f t="shared" si="3"/>
        <v>23450.123766795627</v>
      </c>
      <c r="O31" s="1370">
        <f t="shared" si="3"/>
        <v>24994.107294107598</v>
      </c>
      <c r="P31" s="356">
        <f t="shared" ref="P31:AC31" si="4">SUM(P23:P30)</f>
        <v>26159.772022314137</v>
      </c>
      <c r="Q31" s="356">
        <f t="shared" si="4"/>
        <v>27034.020568469037</v>
      </c>
      <c r="R31" s="356">
        <f t="shared" si="4"/>
        <v>27689.706978085214</v>
      </c>
      <c r="S31" s="356">
        <f t="shared" si="4"/>
        <v>28181.471785297352</v>
      </c>
      <c r="T31" s="356">
        <f t="shared" si="4"/>
        <v>28550.295390706448</v>
      </c>
      <c r="U31" s="356">
        <f t="shared" si="4"/>
        <v>28826.913094763273</v>
      </c>
      <c r="V31" s="356">
        <f t="shared" si="4"/>
        <v>29034.376372805891</v>
      </c>
      <c r="W31" s="356">
        <f t="shared" si="4"/>
        <v>29189.973831337862</v>
      </c>
      <c r="X31" s="356">
        <f t="shared" si="4"/>
        <v>29306.671925236831</v>
      </c>
      <c r="Y31" s="356">
        <f t="shared" si="4"/>
        <v>29394.195495661061</v>
      </c>
      <c r="Z31" s="356">
        <f t="shared" si="4"/>
        <v>29459.838173479235</v>
      </c>
      <c r="AA31" s="356">
        <f t="shared" si="4"/>
        <v>29509.070181842872</v>
      </c>
      <c r="AB31" s="356">
        <f t="shared" si="4"/>
        <v>29545.994188115586</v>
      </c>
      <c r="AC31" s="503">
        <f t="shared" si="4"/>
        <v>29573.687192820125</v>
      </c>
      <c r="AD31" s="2524"/>
      <c r="AE31" s="2524"/>
      <c r="AF31" s="3028"/>
      <c r="AG31" s="3028"/>
      <c r="AH31" s="3028"/>
      <c r="AI31" s="3028"/>
      <c r="AJ31" s="3028"/>
      <c r="AK31" s="3028"/>
      <c r="AL31" s="3028"/>
      <c r="AM31" s="3028"/>
      <c r="AN31" s="3028"/>
      <c r="AO31" s="3028"/>
      <c r="AP31" s="3028"/>
      <c r="AQ31" s="3028"/>
      <c r="AR31" s="3028"/>
      <c r="AS31" s="3028"/>
      <c r="AT31" s="3028"/>
      <c r="AU31" s="3028"/>
      <c r="AV31" s="3028"/>
      <c r="AW31" s="3028"/>
      <c r="AX31" s="3028"/>
      <c r="AY31" s="3028"/>
      <c r="AZ31" s="3028"/>
      <c r="BA31" s="3028"/>
      <c r="BB31" s="3028"/>
      <c r="BC31" s="3028"/>
      <c r="BD31" s="3028"/>
      <c r="BE31" s="3028"/>
      <c r="BF31" s="3028"/>
      <c r="BG31" s="3028"/>
      <c r="BH31" s="3028"/>
      <c r="BI31" s="3028"/>
      <c r="BJ31" s="3028"/>
      <c r="BK31" s="3028"/>
      <c r="BL31" s="3028"/>
      <c r="BM31" s="3028"/>
      <c r="BN31" s="3028"/>
      <c r="BO31" s="3028"/>
      <c r="BP31" s="3028"/>
      <c r="BQ31" s="3028"/>
      <c r="BR31" s="3028"/>
      <c r="BS31" s="3028"/>
      <c r="BT31" s="3028"/>
      <c r="BU31" s="3028"/>
      <c r="BV31" s="3028"/>
      <c r="BW31" s="3028"/>
      <c r="BX31" s="3028"/>
      <c r="BY31" s="3028"/>
      <c r="BZ31" s="3028"/>
      <c r="CA31" s="3028"/>
      <c r="CB31" s="3028"/>
      <c r="CC31" s="3028"/>
      <c r="CD31" s="3028"/>
      <c r="CE31" s="3028"/>
      <c r="CF31" s="3028"/>
      <c r="CG31" s="3028"/>
      <c r="CH31" s="3028"/>
      <c r="CI31" s="3028"/>
      <c r="CJ31" s="3028"/>
      <c r="CK31" s="3028"/>
      <c r="CL31" s="3028"/>
      <c r="CM31" s="3028"/>
      <c r="CN31" s="3028"/>
      <c r="CO31" s="3028"/>
      <c r="CP31" s="3028"/>
      <c r="CQ31" s="3028"/>
      <c r="CR31" s="3028"/>
      <c r="CS31" s="3028"/>
      <c r="CT31" s="3028"/>
      <c r="CU31" s="3028"/>
      <c r="CV31" s="3028"/>
      <c r="CW31" s="3028"/>
      <c r="CX31" s="3028"/>
      <c r="CY31" s="3028"/>
      <c r="CZ31" s="3028"/>
      <c r="DA31" s="3028"/>
      <c r="DB31" s="3028"/>
      <c r="DC31" s="3028"/>
      <c r="DD31" s="3028"/>
      <c r="DE31" s="3028"/>
      <c r="DF31" s="3028"/>
      <c r="DG31" s="3028"/>
      <c r="DH31" s="3028"/>
      <c r="DI31" s="3028"/>
      <c r="DJ31" s="3028"/>
      <c r="DK31" s="3028"/>
      <c r="DL31" s="3028"/>
      <c r="DM31" s="3028"/>
      <c r="DN31" s="3028"/>
      <c r="DO31" s="3028"/>
      <c r="DP31" s="3028"/>
    </row>
    <row r="32" spans="1:135" ht="24" customHeight="1">
      <c r="A32" s="2771"/>
      <c r="B32" s="3034" t="s">
        <v>63</v>
      </c>
      <c r="C32" s="3035"/>
      <c r="D32" s="3036"/>
      <c r="E32" s="3037">
        <f>E31</f>
        <v>0</v>
      </c>
      <c r="F32" s="3038">
        <f t="shared" ref="F32:AC32" si="5">F31</f>
        <v>0</v>
      </c>
      <c r="G32" s="3038">
        <f t="shared" si="5"/>
        <v>0</v>
      </c>
      <c r="H32" s="3038">
        <f t="shared" si="5"/>
        <v>0</v>
      </c>
      <c r="I32" s="3039">
        <f t="shared" si="5"/>
        <v>4125.5256001926346</v>
      </c>
      <c r="J32" s="3040">
        <f t="shared" si="5"/>
        <v>11050.774135302818</v>
      </c>
      <c r="K32" s="3039">
        <f t="shared" si="5"/>
        <v>16009.489284113171</v>
      </c>
      <c r="L32" s="3039">
        <f t="shared" si="5"/>
        <v>19536.229520206049</v>
      </c>
      <c r="M32" s="3039">
        <f t="shared" si="5"/>
        <v>22010.768140365868</v>
      </c>
      <c r="N32" s="3041">
        <f t="shared" si="5"/>
        <v>23450.123766795627</v>
      </c>
      <c r="O32" s="3040">
        <f t="shared" si="5"/>
        <v>24994.107294107598</v>
      </c>
      <c r="P32" s="3039">
        <f t="shared" si="5"/>
        <v>26159.772022314137</v>
      </c>
      <c r="Q32" s="3039">
        <f t="shared" si="5"/>
        <v>27034.020568469037</v>
      </c>
      <c r="R32" s="3039">
        <f t="shared" si="5"/>
        <v>27689.706978085214</v>
      </c>
      <c r="S32" s="3039">
        <f t="shared" si="5"/>
        <v>28181.471785297352</v>
      </c>
      <c r="T32" s="3039">
        <f t="shared" si="5"/>
        <v>28550.295390706448</v>
      </c>
      <c r="U32" s="3039">
        <f t="shared" si="5"/>
        <v>28826.913094763273</v>
      </c>
      <c r="V32" s="3039">
        <f t="shared" si="5"/>
        <v>29034.376372805891</v>
      </c>
      <c r="W32" s="3039">
        <f t="shared" si="5"/>
        <v>29189.973831337862</v>
      </c>
      <c r="X32" s="3039">
        <f t="shared" si="5"/>
        <v>29306.671925236831</v>
      </c>
      <c r="Y32" s="3039">
        <f t="shared" si="5"/>
        <v>29394.195495661061</v>
      </c>
      <c r="Z32" s="3039">
        <f t="shared" si="5"/>
        <v>29459.838173479235</v>
      </c>
      <c r="AA32" s="3039">
        <f t="shared" si="5"/>
        <v>29509.070181842872</v>
      </c>
      <c r="AB32" s="3039">
        <f t="shared" si="5"/>
        <v>29545.994188115586</v>
      </c>
      <c r="AC32" s="3042">
        <f t="shared" si="5"/>
        <v>29573.687192820125</v>
      </c>
    </row>
    <row r="33" spans="1:135" ht="27" customHeight="1" thickBot="1">
      <c r="B33" s="2524"/>
      <c r="I33" s="3043"/>
      <c r="J33" s="3043"/>
      <c r="K33" s="3043"/>
      <c r="L33" s="3043"/>
      <c r="M33" s="3043"/>
      <c r="N33" s="3043"/>
      <c r="O33" s="3043"/>
      <c r="P33" s="3043"/>
      <c r="Q33" s="3043"/>
      <c r="R33" s="3043"/>
      <c r="S33" s="3043"/>
      <c r="T33" s="3043"/>
      <c r="U33" s="3043"/>
      <c r="V33" s="3043"/>
      <c r="W33" s="3043"/>
      <c r="X33" s="3043"/>
      <c r="Y33" s="3043"/>
      <c r="Z33" s="3043"/>
      <c r="AA33" s="3043"/>
      <c r="AB33" s="3043"/>
      <c r="AC33" s="3043"/>
    </row>
    <row r="34" spans="1:135" s="3019" customFormat="1" ht="18.75" customHeight="1" thickBot="1">
      <c r="A34" s="3013"/>
      <c r="B34" s="2783" t="s">
        <v>1653</v>
      </c>
      <c r="C34" s="2784"/>
      <c r="D34" s="2784"/>
      <c r="E34" s="2784"/>
      <c r="F34" s="2784"/>
      <c r="G34" s="2784"/>
      <c r="H34" s="2784"/>
      <c r="I34" s="2784"/>
      <c r="J34" s="2784"/>
      <c r="K34" s="2784"/>
      <c r="L34" s="2784"/>
      <c r="M34" s="2784"/>
      <c r="N34" s="2784"/>
      <c r="O34" s="2784"/>
      <c r="P34" s="2784"/>
      <c r="Q34" s="2784"/>
      <c r="R34" s="2784"/>
      <c r="S34" s="2784"/>
      <c r="T34" s="2784"/>
      <c r="U34" s="2784"/>
      <c r="V34" s="2784"/>
      <c r="W34" s="2784"/>
      <c r="X34" s="2784"/>
      <c r="Y34" s="2784"/>
      <c r="Z34" s="2784"/>
      <c r="AA34" s="2784"/>
      <c r="AB34" s="2784"/>
      <c r="AC34" s="2785"/>
      <c r="AD34" s="2524"/>
      <c r="AE34" s="2524"/>
      <c r="AF34" s="2524"/>
      <c r="DF34" s="2524"/>
      <c r="DG34" s="2524"/>
      <c r="DH34" s="2524"/>
      <c r="DI34" s="2524"/>
      <c r="DJ34" s="2524"/>
      <c r="DK34" s="2524"/>
      <c r="DL34" s="2524"/>
      <c r="DM34" s="2524"/>
      <c r="DN34" s="2524"/>
      <c r="DO34" s="2524"/>
      <c r="DP34" s="2524"/>
      <c r="DQ34" s="2524"/>
      <c r="DR34" s="2524"/>
      <c r="DS34" s="2524"/>
      <c r="DT34" s="2524"/>
      <c r="DU34" s="2524"/>
      <c r="DV34" s="2524"/>
      <c r="DW34" s="2524"/>
      <c r="DX34" s="2524"/>
      <c r="DY34" s="2524"/>
      <c r="DZ34" s="2524"/>
      <c r="EA34" s="2524"/>
      <c r="EB34" s="2524"/>
      <c r="EC34" s="2524"/>
      <c r="ED34" s="2524"/>
      <c r="EE34" s="2524"/>
    </row>
    <row r="35" spans="1:135">
      <c r="A35" s="2771"/>
      <c r="B35" s="4633" t="str">
        <f>+'29.2.3 Gas extenstions cust no'!B34</f>
        <v>Declining block tariff</v>
      </c>
      <c r="C35" s="4606" t="s">
        <v>47</v>
      </c>
      <c r="D35" s="4607"/>
      <c r="E35" s="3047">
        <f>+'29.2.3 Gas extenstions cust no'!D36</f>
        <v>0</v>
      </c>
      <c r="F35" s="3045">
        <f>+'29.2.3 Gas extenstions cust no'!E36</f>
        <v>0</v>
      </c>
      <c r="G35" s="3045">
        <f>+'29.2.3 Gas extenstions cust no'!F36</f>
        <v>0</v>
      </c>
      <c r="H35" s="3045">
        <f>+'29.2.3 Gas extenstions cust no'!G36</f>
        <v>0</v>
      </c>
      <c r="I35" s="3045">
        <f>+'29.2.3 Gas extenstions cust no'!H36</f>
        <v>0.93644868305634077</v>
      </c>
      <c r="J35" s="3044">
        <f>+'29.2.3 Gas extenstions cust no'!I36</f>
        <v>2.5752338784049371</v>
      </c>
      <c r="K35" s="3045">
        <f>+'29.2.3 Gas extenstions cust no'!J36</f>
        <v>3.8043227749163862</v>
      </c>
      <c r="L35" s="3045">
        <f>+'29.2.3 Gas extenstions cust no'!K36</f>
        <v>4.7261394472999712</v>
      </c>
      <c r="M35" s="3045">
        <f>+'29.2.3 Gas extenstions cust no'!L36</f>
        <v>5.4175019515876599</v>
      </c>
      <c r="N35" s="3046">
        <f>+'29.2.3 Gas extenstions cust no'!M36</f>
        <v>5.9360238298034282</v>
      </c>
      <c r="O35" s="3047">
        <f>+'29.2.3 Gas extenstions cust no'!N36</f>
        <v>6.1582474918958994</v>
      </c>
      <c r="P35" s="3045">
        <f>+'29.2.3 Gas extenstions cust no'!O36</f>
        <v>6.1582474918958994</v>
      </c>
      <c r="Q35" s="3045">
        <f>+'29.2.3 Gas extenstions cust no'!P36</f>
        <v>6.1582474918958994</v>
      </c>
      <c r="R35" s="3045">
        <f>+'29.2.3 Gas extenstions cust no'!Q36</f>
        <v>6.1582474918958994</v>
      </c>
      <c r="S35" s="3045">
        <f>+'29.2.3 Gas extenstions cust no'!R36</f>
        <v>6.1582474918958994</v>
      </c>
      <c r="T35" s="3045">
        <f>+'29.2.3 Gas extenstions cust no'!S36</f>
        <v>6.1582474918958994</v>
      </c>
      <c r="U35" s="3045">
        <f>+'29.2.3 Gas extenstions cust no'!T36</f>
        <v>6.1582474918958994</v>
      </c>
      <c r="V35" s="3045">
        <f>+'29.2.3 Gas extenstions cust no'!U36</f>
        <v>6.1582474918958994</v>
      </c>
      <c r="W35" s="3045">
        <f>+'29.2.3 Gas extenstions cust no'!V36</f>
        <v>6.1582474918958994</v>
      </c>
      <c r="X35" s="3045">
        <f>+'29.2.3 Gas extenstions cust no'!W36</f>
        <v>6.1582474918958994</v>
      </c>
      <c r="Y35" s="3045">
        <f>+'29.2.3 Gas extenstions cust no'!X36</f>
        <v>6.1582474918958994</v>
      </c>
      <c r="Z35" s="3045">
        <f>+'29.2.3 Gas extenstions cust no'!Y36</f>
        <v>6.1582474918958994</v>
      </c>
      <c r="AA35" s="3045">
        <f>+'29.2.3 Gas extenstions cust no'!Z36</f>
        <v>6.1582474918958994</v>
      </c>
      <c r="AB35" s="3045">
        <f>+'29.2.3 Gas extenstions cust no'!AA36</f>
        <v>6.1582474918958994</v>
      </c>
      <c r="AC35" s="3048">
        <f>+'29.2.3 Gas extenstions cust no'!AB36</f>
        <v>6.1582474918958994</v>
      </c>
    </row>
    <row r="36" spans="1:135">
      <c r="A36" s="2771"/>
      <c r="B36" s="4633"/>
      <c r="C36" s="3029" t="s">
        <v>1600</v>
      </c>
      <c r="D36" s="3030" t="s">
        <v>1601</v>
      </c>
      <c r="E36" s="3114"/>
      <c r="F36" s="3115"/>
      <c r="G36" s="3115"/>
      <c r="H36" s="3115"/>
      <c r="I36" s="2969">
        <v>9.7796152931026779</v>
      </c>
      <c r="J36" s="3049">
        <v>26.22086354019266</v>
      </c>
      <c r="K36" s="2969">
        <v>37.718816336348439</v>
      </c>
      <c r="L36" s="2969">
        <v>48.230942710946024</v>
      </c>
      <c r="M36" s="2969">
        <v>55.425335835424079</v>
      </c>
      <c r="N36" s="3050">
        <v>58.917690060805718</v>
      </c>
      <c r="O36" s="459">
        <f>+O$35*(N36/N$35)</f>
        <v>61.123359246566892</v>
      </c>
      <c r="P36" s="458">
        <f t="shared" ref="P36:AC36" si="6">+P$35*(O36/O$35)</f>
        <v>61.123359246566892</v>
      </c>
      <c r="Q36" s="458">
        <f t="shared" si="6"/>
        <v>61.123359246566892</v>
      </c>
      <c r="R36" s="458">
        <f t="shared" si="6"/>
        <v>61.123359246566892</v>
      </c>
      <c r="S36" s="458">
        <f t="shared" si="6"/>
        <v>61.123359246566892</v>
      </c>
      <c r="T36" s="458">
        <f t="shared" si="6"/>
        <v>61.123359246566892</v>
      </c>
      <c r="U36" s="458">
        <f t="shared" si="6"/>
        <v>61.123359246566892</v>
      </c>
      <c r="V36" s="458">
        <f t="shared" si="6"/>
        <v>61.123359246566892</v>
      </c>
      <c r="W36" s="458">
        <f t="shared" si="6"/>
        <v>61.123359246566892</v>
      </c>
      <c r="X36" s="458">
        <f t="shared" si="6"/>
        <v>61.123359246566892</v>
      </c>
      <c r="Y36" s="458">
        <f t="shared" si="6"/>
        <v>61.123359246566892</v>
      </c>
      <c r="Z36" s="458">
        <f t="shared" si="6"/>
        <v>61.123359246566892</v>
      </c>
      <c r="AA36" s="458">
        <f t="shared" si="6"/>
        <v>61.123359246566892</v>
      </c>
      <c r="AB36" s="458">
        <f t="shared" si="6"/>
        <v>61.123359246566892</v>
      </c>
      <c r="AC36" s="460">
        <f t="shared" si="6"/>
        <v>61.123359246566892</v>
      </c>
    </row>
    <row r="37" spans="1:135">
      <c r="A37" s="2771"/>
      <c r="B37" s="4633"/>
      <c r="C37" s="3029" t="s">
        <v>1602</v>
      </c>
      <c r="D37" s="3030" t="s">
        <v>1603</v>
      </c>
      <c r="E37" s="3114"/>
      <c r="F37" s="3115"/>
      <c r="G37" s="3115"/>
      <c r="H37" s="3115"/>
      <c r="I37" s="2969">
        <v>8.3149587967763772</v>
      </c>
      <c r="J37" s="3049">
        <v>22.044105266670208</v>
      </c>
      <c r="K37" s="2969">
        <v>32.764119437870939</v>
      </c>
      <c r="L37" s="2969">
        <v>40.410966905369989</v>
      </c>
      <c r="M37" s="2969">
        <v>46.673800249114727</v>
      </c>
      <c r="N37" s="3050">
        <v>49.933015871470928</v>
      </c>
      <c r="O37" s="413">
        <f t="shared" ref="O37:AC43" si="7">+O$35*(N37/N$35)</f>
        <v>51.802330746955043</v>
      </c>
      <c r="P37" s="458">
        <f t="shared" si="7"/>
        <v>51.802330746955043</v>
      </c>
      <c r="Q37" s="458">
        <f t="shared" si="7"/>
        <v>51.802330746955043</v>
      </c>
      <c r="R37" s="458">
        <f t="shared" si="7"/>
        <v>51.802330746955043</v>
      </c>
      <c r="S37" s="458">
        <f t="shared" si="7"/>
        <v>51.802330746955043</v>
      </c>
      <c r="T37" s="458">
        <f t="shared" si="7"/>
        <v>51.802330746955043</v>
      </c>
      <c r="U37" s="458">
        <f t="shared" si="7"/>
        <v>51.802330746955043</v>
      </c>
      <c r="V37" s="458">
        <f t="shared" si="7"/>
        <v>51.802330746955043</v>
      </c>
      <c r="W37" s="458">
        <f t="shared" si="7"/>
        <v>51.802330746955043</v>
      </c>
      <c r="X37" s="458">
        <f t="shared" si="7"/>
        <v>51.802330746955043</v>
      </c>
      <c r="Y37" s="458">
        <f t="shared" si="7"/>
        <v>51.802330746955043</v>
      </c>
      <c r="Z37" s="458">
        <f t="shared" si="7"/>
        <v>51.802330746955043</v>
      </c>
      <c r="AA37" s="458">
        <f t="shared" si="7"/>
        <v>51.802330746955043</v>
      </c>
      <c r="AB37" s="458">
        <f t="shared" si="7"/>
        <v>51.802330746955043</v>
      </c>
      <c r="AC37" s="460">
        <f t="shared" si="7"/>
        <v>51.802330746955043</v>
      </c>
    </row>
    <row r="38" spans="1:135">
      <c r="A38" s="2771"/>
      <c r="B38" s="4633"/>
      <c r="C38" s="3029" t="s">
        <v>1604</v>
      </c>
      <c r="D38" s="3030" t="s">
        <v>1605</v>
      </c>
      <c r="E38" s="3114"/>
      <c r="F38" s="3115"/>
      <c r="G38" s="3115"/>
      <c r="H38" s="3115"/>
      <c r="I38" s="2969">
        <v>52.447288032733567</v>
      </c>
      <c r="J38" s="3049">
        <v>131.15325359887325</v>
      </c>
      <c r="K38" s="2969">
        <v>197.17100700315154</v>
      </c>
      <c r="L38" s="2969">
        <v>240.25374504842037</v>
      </c>
      <c r="M38" s="2969">
        <v>275.49352921653468</v>
      </c>
      <c r="N38" s="3050">
        <v>294.37718816564364</v>
      </c>
      <c r="O38" s="413">
        <f t="shared" si="7"/>
        <v>305.3976251898697</v>
      </c>
      <c r="P38" s="458">
        <f t="shared" si="7"/>
        <v>305.3976251898697</v>
      </c>
      <c r="Q38" s="458">
        <f t="shared" si="7"/>
        <v>305.3976251898697</v>
      </c>
      <c r="R38" s="458">
        <f t="shared" si="7"/>
        <v>305.3976251898697</v>
      </c>
      <c r="S38" s="458">
        <f t="shared" si="7"/>
        <v>305.3976251898697</v>
      </c>
      <c r="T38" s="458">
        <f t="shared" si="7"/>
        <v>305.3976251898697</v>
      </c>
      <c r="U38" s="458">
        <f t="shared" si="7"/>
        <v>305.3976251898697</v>
      </c>
      <c r="V38" s="458">
        <f t="shared" si="7"/>
        <v>305.3976251898697</v>
      </c>
      <c r="W38" s="458">
        <f t="shared" si="7"/>
        <v>305.3976251898697</v>
      </c>
      <c r="X38" s="458">
        <f t="shared" si="7"/>
        <v>305.3976251898697</v>
      </c>
      <c r="Y38" s="458">
        <f t="shared" si="7"/>
        <v>305.3976251898697</v>
      </c>
      <c r="Z38" s="458">
        <f t="shared" si="7"/>
        <v>305.3976251898697</v>
      </c>
      <c r="AA38" s="458">
        <f t="shared" si="7"/>
        <v>305.3976251898697</v>
      </c>
      <c r="AB38" s="458">
        <f t="shared" si="7"/>
        <v>305.3976251898697</v>
      </c>
      <c r="AC38" s="460">
        <f t="shared" si="7"/>
        <v>305.3976251898697</v>
      </c>
    </row>
    <row r="39" spans="1:135">
      <c r="A39" s="2771"/>
      <c r="B39" s="4633"/>
      <c r="C39" s="3029" t="s">
        <v>1606</v>
      </c>
      <c r="D39" s="3030" t="s">
        <v>1607</v>
      </c>
      <c r="E39" s="3114"/>
      <c r="F39" s="3115"/>
      <c r="G39" s="3115"/>
      <c r="H39" s="3115"/>
      <c r="I39" s="2969">
        <v>122.34662961990934</v>
      </c>
      <c r="J39" s="3049">
        <v>299.16786277873399</v>
      </c>
      <c r="K39" s="2969">
        <v>390.10067186443376</v>
      </c>
      <c r="L39" s="2969">
        <v>537.66396013454585</v>
      </c>
      <c r="M39" s="2969">
        <v>597.84448268017582</v>
      </c>
      <c r="N39" s="3050">
        <v>634.8569321284034</v>
      </c>
      <c r="O39" s="413">
        <f t="shared" si="7"/>
        <v>658.62372222348915</v>
      </c>
      <c r="P39" s="458">
        <f t="shared" si="7"/>
        <v>658.62372222348915</v>
      </c>
      <c r="Q39" s="458">
        <f t="shared" si="7"/>
        <v>658.62372222348915</v>
      </c>
      <c r="R39" s="458">
        <f t="shared" si="7"/>
        <v>658.62372222348915</v>
      </c>
      <c r="S39" s="458">
        <f t="shared" si="7"/>
        <v>658.62372222348915</v>
      </c>
      <c r="T39" s="458">
        <f t="shared" si="7"/>
        <v>658.62372222348915</v>
      </c>
      <c r="U39" s="458">
        <f t="shared" si="7"/>
        <v>658.62372222348915</v>
      </c>
      <c r="V39" s="458">
        <f t="shared" si="7"/>
        <v>658.62372222348915</v>
      </c>
      <c r="W39" s="458">
        <f t="shared" si="7"/>
        <v>658.62372222348915</v>
      </c>
      <c r="X39" s="458">
        <f t="shared" si="7"/>
        <v>658.62372222348915</v>
      </c>
      <c r="Y39" s="458">
        <f t="shared" si="7"/>
        <v>658.62372222348915</v>
      </c>
      <c r="Z39" s="458">
        <f t="shared" si="7"/>
        <v>658.62372222348915</v>
      </c>
      <c r="AA39" s="458">
        <f t="shared" si="7"/>
        <v>658.62372222348915</v>
      </c>
      <c r="AB39" s="458">
        <f t="shared" si="7"/>
        <v>658.62372222348915</v>
      </c>
      <c r="AC39" s="460">
        <f t="shared" si="7"/>
        <v>658.62372222348915</v>
      </c>
    </row>
    <row r="40" spans="1:135">
      <c r="A40" s="2771"/>
      <c r="B40" s="4633"/>
      <c r="C40" s="3031" t="s">
        <v>1608</v>
      </c>
      <c r="D40" s="3030" t="s">
        <v>1609</v>
      </c>
      <c r="E40" s="3114"/>
      <c r="F40" s="3115"/>
      <c r="G40" s="3115"/>
      <c r="H40" s="3115"/>
      <c r="I40" s="2969">
        <v>15.761938789815817</v>
      </c>
      <c r="J40" s="3049">
        <v>42.076701159716542</v>
      </c>
      <c r="K40" s="2969">
        <v>62.786879273186187</v>
      </c>
      <c r="L40" s="2969">
        <v>76.975870493652238</v>
      </c>
      <c r="M40" s="2969">
        <v>88.378761700964688</v>
      </c>
      <c r="N40" s="3050">
        <v>93.916112845098638</v>
      </c>
      <c r="O40" s="413">
        <f t="shared" si="7"/>
        <v>97.431998751947958</v>
      </c>
      <c r="P40" s="458">
        <f t="shared" si="7"/>
        <v>97.431998751947958</v>
      </c>
      <c r="Q40" s="458">
        <f t="shared" si="7"/>
        <v>97.431998751947958</v>
      </c>
      <c r="R40" s="458">
        <f t="shared" si="7"/>
        <v>97.431998751947958</v>
      </c>
      <c r="S40" s="458">
        <f t="shared" si="7"/>
        <v>97.431998751947958</v>
      </c>
      <c r="T40" s="458">
        <f t="shared" si="7"/>
        <v>97.431998751947958</v>
      </c>
      <c r="U40" s="458">
        <f t="shared" si="7"/>
        <v>97.431998751947958</v>
      </c>
      <c r="V40" s="458">
        <f t="shared" si="7"/>
        <v>97.431998751947958</v>
      </c>
      <c r="W40" s="458">
        <f t="shared" si="7"/>
        <v>97.431998751947958</v>
      </c>
      <c r="X40" s="458">
        <f t="shared" si="7"/>
        <v>97.431998751947958</v>
      </c>
      <c r="Y40" s="458">
        <f t="shared" si="7"/>
        <v>97.431998751947958</v>
      </c>
      <c r="Z40" s="458">
        <f t="shared" si="7"/>
        <v>97.431998751947958</v>
      </c>
      <c r="AA40" s="458">
        <f t="shared" si="7"/>
        <v>97.431998751947958</v>
      </c>
      <c r="AB40" s="458">
        <f t="shared" si="7"/>
        <v>97.431998751947958</v>
      </c>
      <c r="AC40" s="460">
        <f t="shared" si="7"/>
        <v>97.431998751947958</v>
      </c>
    </row>
    <row r="41" spans="1:135">
      <c r="A41" s="2771"/>
      <c r="B41" s="4633"/>
      <c r="C41" s="3031" t="s">
        <v>1610</v>
      </c>
      <c r="D41" s="3030" t="s">
        <v>1611</v>
      </c>
      <c r="E41" s="3114"/>
      <c r="F41" s="3115"/>
      <c r="G41" s="3115"/>
      <c r="H41" s="3115"/>
      <c r="I41" s="2969">
        <v>11.880158512243865</v>
      </c>
      <c r="J41" s="3049">
        <v>31.34450755765754</v>
      </c>
      <c r="K41" s="2969">
        <v>45.366248283960822</v>
      </c>
      <c r="L41" s="2969">
        <v>56.690123805804305</v>
      </c>
      <c r="M41" s="2969">
        <v>65.235878230382824</v>
      </c>
      <c r="N41" s="3050">
        <v>69.96003037044126</v>
      </c>
      <c r="O41" s="413">
        <f t="shared" si="7"/>
        <v>72.579085582275681</v>
      </c>
      <c r="P41" s="458">
        <f t="shared" si="7"/>
        <v>72.579085582275681</v>
      </c>
      <c r="Q41" s="458">
        <f t="shared" si="7"/>
        <v>72.579085582275681</v>
      </c>
      <c r="R41" s="458">
        <f t="shared" si="7"/>
        <v>72.579085582275681</v>
      </c>
      <c r="S41" s="458">
        <f t="shared" si="7"/>
        <v>72.579085582275681</v>
      </c>
      <c r="T41" s="458">
        <f t="shared" si="7"/>
        <v>72.579085582275681</v>
      </c>
      <c r="U41" s="458">
        <f t="shared" si="7"/>
        <v>72.579085582275681</v>
      </c>
      <c r="V41" s="458">
        <f t="shared" si="7"/>
        <v>72.579085582275681</v>
      </c>
      <c r="W41" s="458">
        <f t="shared" si="7"/>
        <v>72.579085582275681</v>
      </c>
      <c r="X41" s="458">
        <f t="shared" si="7"/>
        <v>72.579085582275681</v>
      </c>
      <c r="Y41" s="458">
        <f t="shared" si="7"/>
        <v>72.579085582275681</v>
      </c>
      <c r="Z41" s="458">
        <f t="shared" si="7"/>
        <v>72.579085582275681</v>
      </c>
      <c r="AA41" s="458">
        <f t="shared" si="7"/>
        <v>72.579085582275681</v>
      </c>
      <c r="AB41" s="458">
        <f t="shared" si="7"/>
        <v>72.579085582275681</v>
      </c>
      <c r="AC41" s="460">
        <f t="shared" si="7"/>
        <v>72.579085582275681</v>
      </c>
    </row>
    <row r="42" spans="1:135">
      <c r="A42" s="2771"/>
      <c r="B42" s="4633"/>
      <c r="C42" s="3031" t="s">
        <v>1612</v>
      </c>
      <c r="D42" s="3030" t="s">
        <v>1613</v>
      </c>
      <c r="E42" s="3114"/>
      <c r="F42" s="3115"/>
      <c r="G42" s="3115"/>
      <c r="H42" s="3115"/>
      <c r="I42" s="2969">
        <v>71.281681960240221</v>
      </c>
      <c r="J42" s="3049">
        <v>185.36281742169118</v>
      </c>
      <c r="K42" s="2969">
        <v>277.14509109790407</v>
      </c>
      <c r="L42" s="2969">
        <v>337.24698647443887</v>
      </c>
      <c r="M42" s="2969">
        <v>386.42652464310072</v>
      </c>
      <c r="N42" s="3050">
        <v>412.92399192002097</v>
      </c>
      <c r="O42" s="413">
        <f t="shared" si="7"/>
        <v>428.3824004913605</v>
      </c>
      <c r="P42" s="458">
        <f t="shared" si="7"/>
        <v>428.3824004913605</v>
      </c>
      <c r="Q42" s="458">
        <f t="shared" si="7"/>
        <v>428.3824004913605</v>
      </c>
      <c r="R42" s="458">
        <f t="shared" si="7"/>
        <v>428.3824004913605</v>
      </c>
      <c r="S42" s="458">
        <f t="shared" si="7"/>
        <v>428.3824004913605</v>
      </c>
      <c r="T42" s="458">
        <f t="shared" si="7"/>
        <v>428.3824004913605</v>
      </c>
      <c r="U42" s="458">
        <f t="shared" si="7"/>
        <v>428.3824004913605</v>
      </c>
      <c r="V42" s="458">
        <f t="shared" si="7"/>
        <v>428.3824004913605</v>
      </c>
      <c r="W42" s="458">
        <f t="shared" si="7"/>
        <v>428.3824004913605</v>
      </c>
      <c r="X42" s="458">
        <f t="shared" si="7"/>
        <v>428.3824004913605</v>
      </c>
      <c r="Y42" s="458">
        <f t="shared" si="7"/>
        <v>428.3824004913605</v>
      </c>
      <c r="Z42" s="458">
        <f t="shared" si="7"/>
        <v>428.3824004913605</v>
      </c>
      <c r="AA42" s="458">
        <f t="shared" si="7"/>
        <v>428.3824004913605</v>
      </c>
      <c r="AB42" s="458">
        <f t="shared" si="7"/>
        <v>428.3824004913605</v>
      </c>
      <c r="AC42" s="460">
        <f t="shared" si="7"/>
        <v>428.3824004913605</v>
      </c>
    </row>
    <row r="43" spans="1:135">
      <c r="A43" s="2771"/>
      <c r="B43" s="4633"/>
      <c r="C43" s="3031" t="s">
        <v>1614</v>
      </c>
      <c r="D43" s="3030" t="s">
        <v>1615</v>
      </c>
      <c r="E43" s="3114"/>
      <c r="F43" s="3115"/>
      <c r="G43" s="3115"/>
      <c r="H43" s="3115"/>
      <c r="I43" s="2969">
        <v>128.39019026221095</v>
      </c>
      <c r="J43" s="3049">
        <v>316.71692635463955</v>
      </c>
      <c r="K43" s="2969">
        <v>462.44218741218288</v>
      </c>
      <c r="L43" s="2969">
        <v>536.15622023155572</v>
      </c>
      <c r="M43" s="2969">
        <v>600.63042930206962</v>
      </c>
      <c r="N43" s="3050">
        <v>641.31184619326064</v>
      </c>
      <c r="O43" s="413">
        <f t="shared" si="7"/>
        <v>665.32028535902282</v>
      </c>
      <c r="P43" s="458">
        <f t="shared" si="7"/>
        <v>665.32028535902282</v>
      </c>
      <c r="Q43" s="458">
        <f t="shared" si="7"/>
        <v>665.32028535902282</v>
      </c>
      <c r="R43" s="458">
        <f t="shared" si="7"/>
        <v>665.32028535902282</v>
      </c>
      <c r="S43" s="458">
        <f t="shared" si="7"/>
        <v>665.32028535902282</v>
      </c>
      <c r="T43" s="458">
        <f t="shared" si="7"/>
        <v>665.32028535902282</v>
      </c>
      <c r="U43" s="458">
        <f t="shared" si="7"/>
        <v>665.32028535902282</v>
      </c>
      <c r="V43" s="458">
        <f t="shared" si="7"/>
        <v>665.32028535902282</v>
      </c>
      <c r="W43" s="458">
        <f t="shared" si="7"/>
        <v>665.32028535902282</v>
      </c>
      <c r="X43" s="458">
        <f t="shared" si="7"/>
        <v>665.32028535902282</v>
      </c>
      <c r="Y43" s="458">
        <f t="shared" si="7"/>
        <v>665.32028535902282</v>
      </c>
      <c r="Z43" s="458">
        <f t="shared" si="7"/>
        <v>665.32028535902282</v>
      </c>
      <c r="AA43" s="458">
        <f t="shared" si="7"/>
        <v>665.32028535902282</v>
      </c>
      <c r="AB43" s="458">
        <f t="shared" si="7"/>
        <v>665.32028535902282</v>
      </c>
      <c r="AC43" s="460">
        <f t="shared" si="7"/>
        <v>665.32028535902282</v>
      </c>
    </row>
    <row r="44" spans="1:135" s="3020" customFormat="1" ht="13.5" thickBot="1">
      <c r="B44" s="4634"/>
      <c r="C44" s="3032" t="s">
        <v>63</v>
      </c>
      <c r="D44" s="3033"/>
      <c r="E44" s="502">
        <f t="shared" ref="E44:AC44" si="8">SUM(E35:E43)</f>
        <v>0</v>
      </c>
      <c r="F44" s="356">
        <f t="shared" si="8"/>
        <v>0</v>
      </c>
      <c r="G44" s="356">
        <f t="shared" si="8"/>
        <v>0</v>
      </c>
      <c r="H44" s="356">
        <f t="shared" si="8"/>
        <v>0</v>
      </c>
      <c r="I44" s="627">
        <f t="shared" si="8"/>
        <v>421.1389099500891</v>
      </c>
      <c r="J44" s="1370">
        <f t="shared" si="8"/>
        <v>1056.6622715565798</v>
      </c>
      <c r="K44" s="356">
        <f t="shared" si="8"/>
        <v>1509.299343483955</v>
      </c>
      <c r="L44" s="356">
        <f t="shared" si="8"/>
        <v>1878.3549552520335</v>
      </c>
      <c r="M44" s="356">
        <f t="shared" si="8"/>
        <v>2121.526243809355</v>
      </c>
      <c r="N44" s="503">
        <f t="shared" si="8"/>
        <v>2262.132831384949</v>
      </c>
      <c r="O44" s="1370">
        <f t="shared" si="8"/>
        <v>2346.8190550833838</v>
      </c>
      <c r="P44" s="356">
        <f t="shared" si="8"/>
        <v>2346.8190550833838</v>
      </c>
      <c r="Q44" s="356">
        <f t="shared" si="8"/>
        <v>2346.8190550833838</v>
      </c>
      <c r="R44" s="356">
        <f t="shared" si="8"/>
        <v>2346.8190550833838</v>
      </c>
      <c r="S44" s="356">
        <f t="shared" si="8"/>
        <v>2346.8190550833838</v>
      </c>
      <c r="T44" s="356">
        <f t="shared" si="8"/>
        <v>2346.8190550833838</v>
      </c>
      <c r="U44" s="356">
        <f t="shared" si="8"/>
        <v>2346.8190550833838</v>
      </c>
      <c r="V44" s="356">
        <f t="shared" si="8"/>
        <v>2346.8190550833838</v>
      </c>
      <c r="W44" s="356">
        <f t="shared" si="8"/>
        <v>2346.8190550833838</v>
      </c>
      <c r="X44" s="356">
        <f t="shared" si="8"/>
        <v>2346.8190550833838</v>
      </c>
      <c r="Y44" s="356">
        <f t="shared" si="8"/>
        <v>2346.8190550833838</v>
      </c>
      <c r="Z44" s="356">
        <f t="shared" si="8"/>
        <v>2346.8190550833838</v>
      </c>
      <c r="AA44" s="356">
        <f t="shared" si="8"/>
        <v>2346.8190550833838</v>
      </c>
      <c r="AB44" s="356">
        <f t="shared" si="8"/>
        <v>2346.8190550833838</v>
      </c>
      <c r="AC44" s="503">
        <f t="shared" si="8"/>
        <v>2346.8190550833838</v>
      </c>
      <c r="AD44" s="2524"/>
      <c r="AE44" s="2524"/>
      <c r="AF44" s="3028"/>
      <c r="AG44" s="3028"/>
      <c r="AH44" s="3028"/>
      <c r="AI44" s="3028"/>
      <c r="AJ44" s="3028"/>
      <c r="AK44" s="3028"/>
      <c r="AL44" s="3028"/>
      <c r="AM44" s="3028"/>
      <c r="AN44" s="3028"/>
      <c r="AO44" s="3028"/>
      <c r="AP44" s="3028"/>
      <c r="AQ44" s="3028"/>
      <c r="AR44" s="3028"/>
      <c r="AS44" s="3028"/>
      <c r="AT44" s="3028"/>
      <c r="AU44" s="3028"/>
      <c r="AV44" s="3028"/>
      <c r="AW44" s="3028"/>
      <c r="AX44" s="3028"/>
      <c r="AY44" s="3028"/>
      <c r="AZ44" s="3028"/>
      <c r="BA44" s="3028"/>
      <c r="BB44" s="3028"/>
      <c r="BC44" s="3028"/>
      <c r="BD44" s="3028"/>
      <c r="BE44" s="3028"/>
      <c r="BF44" s="3028"/>
      <c r="BG44" s="3028"/>
      <c r="BH44" s="3028"/>
      <c r="BI44" s="3028"/>
      <c r="BJ44" s="3028"/>
      <c r="BK44" s="3028"/>
      <c r="BL44" s="3028"/>
      <c r="BM44" s="3028"/>
      <c r="BN44" s="3028"/>
      <c r="BO44" s="3028"/>
      <c r="BP44" s="3028"/>
      <c r="BQ44" s="3028"/>
      <c r="BR44" s="3028"/>
      <c r="BS44" s="3028"/>
      <c r="BT44" s="3028"/>
      <c r="BU44" s="3028"/>
      <c r="BV44" s="3028"/>
      <c r="BW44" s="3028"/>
      <c r="BX44" s="3028"/>
      <c r="BY44" s="3028"/>
      <c r="BZ44" s="3028"/>
      <c r="CA44" s="3028"/>
      <c r="CB44" s="3028"/>
      <c r="CC44" s="3028"/>
      <c r="CD44" s="3028"/>
      <c r="CE44" s="3028"/>
      <c r="CF44" s="3028"/>
      <c r="CG44" s="3028"/>
      <c r="CH44" s="3028"/>
      <c r="CI44" s="3028"/>
      <c r="CJ44" s="3028"/>
      <c r="CK44" s="3028"/>
      <c r="CL44" s="3028"/>
      <c r="CM44" s="3028"/>
      <c r="CN44" s="3028"/>
      <c r="CO44" s="3028"/>
      <c r="CP44" s="3028"/>
      <c r="CQ44" s="3028"/>
      <c r="CR44" s="3028"/>
      <c r="CS44" s="3028"/>
      <c r="CT44" s="3028"/>
      <c r="CU44" s="3028"/>
      <c r="CV44" s="3028"/>
      <c r="CW44" s="3028"/>
      <c r="CX44" s="3028"/>
      <c r="CY44" s="3028"/>
      <c r="CZ44" s="3028"/>
      <c r="DA44" s="3028"/>
      <c r="DB44" s="3028"/>
      <c r="DC44" s="3028"/>
      <c r="DD44" s="3028"/>
      <c r="DE44" s="3028"/>
      <c r="DF44" s="3028"/>
      <c r="DG44" s="3028"/>
      <c r="DH44" s="3028"/>
      <c r="DI44" s="3028"/>
      <c r="DJ44" s="3028"/>
      <c r="DK44" s="3028"/>
      <c r="DL44" s="3028"/>
      <c r="DM44" s="3028"/>
      <c r="DN44" s="3028"/>
      <c r="DO44" s="3028"/>
      <c r="DP44" s="3028"/>
    </row>
    <row r="45" spans="1:135" ht="24" customHeight="1" thickBot="1">
      <c r="A45" s="2771"/>
      <c r="B45" s="4635" t="s">
        <v>63</v>
      </c>
      <c r="C45" s="4636"/>
      <c r="D45" s="4637"/>
      <c r="E45" s="3051">
        <f>E44</f>
        <v>0</v>
      </c>
      <c r="F45" s="356">
        <f t="shared" ref="F45:AC45" si="9">F44</f>
        <v>0</v>
      </c>
      <c r="G45" s="356">
        <f t="shared" si="9"/>
        <v>0</v>
      </c>
      <c r="H45" s="356">
        <f t="shared" si="9"/>
        <v>0</v>
      </c>
      <c r="I45" s="356">
        <f t="shared" si="9"/>
        <v>421.1389099500891</v>
      </c>
      <c r="J45" s="3051">
        <f t="shared" si="9"/>
        <v>1056.6622715565798</v>
      </c>
      <c r="K45" s="356">
        <f t="shared" si="9"/>
        <v>1509.299343483955</v>
      </c>
      <c r="L45" s="356">
        <f t="shared" si="9"/>
        <v>1878.3549552520335</v>
      </c>
      <c r="M45" s="356">
        <f t="shared" si="9"/>
        <v>2121.526243809355</v>
      </c>
      <c r="N45" s="3052">
        <f t="shared" si="9"/>
        <v>2262.132831384949</v>
      </c>
      <c r="O45" s="502">
        <f t="shared" si="9"/>
        <v>2346.8190550833838</v>
      </c>
      <c r="P45" s="356">
        <f t="shared" si="9"/>
        <v>2346.8190550833838</v>
      </c>
      <c r="Q45" s="356">
        <f t="shared" si="9"/>
        <v>2346.8190550833838</v>
      </c>
      <c r="R45" s="356">
        <f t="shared" si="9"/>
        <v>2346.8190550833838</v>
      </c>
      <c r="S45" s="356">
        <f t="shared" si="9"/>
        <v>2346.8190550833838</v>
      </c>
      <c r="T45" s="356">
        <f t="shared" si="9"/>
        <v>2346.8190550833838</v>
      </c>
      <c r="U45" s="356">
        <f t="shared" si="9"/>
        <v>2346.8190550833838</v>
      </c>
      <c r="V45" s="356">
        <f t="shared" si="9"/>
        <v>2346.8190550833838</v>
      </c>
      <c r="W45" s="356">
        <f t="shared" si="9"/>
        <v>2346.8190550833838</v>
      </c>
      <c r="X45" s="356">
        <f t="shared" si="9"/>
        <v>2346.8190550833838</v>
      </c>
      <c r="Y45" s="356">
        <f t="shared" si="9"/>
        <v>2346.8190550833838</v>
      </c>
      <c r="Z45" s="356">
        <f t="shared" si="9"/>
        <v>2346.8190550833838</v>
      </c>
      <c r="AA45" s="356">
        <f t="shared" si="9"/>
        <v>2346.8190550833838</v>
      </c>
      <c r="AB45" s="356">
        <f t="shared" si="9"/>
        <v>2346.8190550833838</v>
      </c>
      <c r="AC45" s="503">
        <f t="shared" si="9"/>
        <v>2346.8190550833838</v>
      </c>
    </row>
    <row r="46" spans="1:135" ht="24" customHeight="1" thickBot="1">
      <c r="A46" s="2771"/>
      <c r="B46" s="4635" t="s">
        <v>270</v>
      </c>
      <c r="C46" s="4636"/>
      <c r="D46" s="4637"/>
      <c r="E46" s="3053"/>
      <c r="F46" s="3054"/>
      <c r="G46" s="3054"/>
      <c r="H46" s="3054"/>
      <c r="I46" s="3054"/>
      <c r="J46" s="3055"/>
      <c r="K46" s="3054"/>
      <c r="L46" s="3054"/>
      <c r="M46" s="3054"/>
      <c r="N46" s="3054"/>
      <c r="O46" s="3055"/>
      <c r="P46" s="3054"/>
      <c r="Q46" s="3054"/>
      <c r="R46" s="3054"/>
      <c r="S46" s="3054"/>
      <c r="T46" s="3054"/>
      <c r="U46" s="3054"/>
      <c r="V46" s="3054"/>
      <c r="W46" s="3054"/>
      <c r="X46" s="3054"/>
      <c r="Y46" s="3054"/>
      <c r="Z46" s="3054"/>
      <c r="AA46" s="3054"/>
      <c r="AB46" s="3054"/>
      <c r="AC46" s="3056"/>
    </row>
    <row r="47" spans="1:135" ht="30" customHeight="1" thickBot="1">
      <c r="B47" s="2524"/>
    </row>
    <row r="48" spans="1:135" s="3019" customFormat="1" ht="18.75" customHeight="1" thickBot="1">
      <c r="A48" s="3013"/>
      <c r="B48" s="2783" t="s">
        <v>1654</v>
      </c>
      <c r="C48" s="2784"/>
      <c r="D48" s="2784"/>
      <c r="E48" s="3018"/>
      <c r="F48" s="3018"/>
      <c r="G48" s="3018"/>
      <c r="H48" s="3018"/>
      <c r="I48" s="3018"/>
      <c r="J48" s="3018"/>
      <c r="K48" s="3018"/>
      <c r="L48" s="3018"/>
      <c r="M48" s="3018"/>
      <c r="N48" s="3018"/>
      <c r="O48" s="3018"/>
      <c r="P48" s="3018"/>
      <c r="Q48" s="3018"/>
      <c r="R48" s="3018"/>
      <c r="S48" s="3018"/>
      <c r="T48" s="3018"/>
      <c r="U48" s="3018"/>
      <c r="V48" s="3018"/>
      <c r="W48" s="3018"/>
      <c r="X48" s="3018"/>
      <c r="Y48" s="3018"/>
      <c r="Z48" s="3018"/>
      <c r="AA48" s="3018"/>
      <c r="AB48" s="3018"/>
      <c r="AC48" s="3057"/>
      <c r="AD48" s="2524"/>
      <c r="AE48" s="2524"/>
      <c r="AF48" s="2524"/>
      <c r="DF48" s="2524"/>
      <c r="DG48" s="2524"/>
      <c r="DH48" s="2524"/>
      <c r="DI48" s="2524"/>
      <c r="DJ48" s="2524"/>
      <c r="DK48" s="2524"/>
      <c r="DL48" s="2524"/>
      <c r="DM48" s="2524"/>
      <c r="DN48" s="2524"/>
      <c r="DO48" s="2524"/>
      <c r="DP48" s="2524"/>
      <c r="DQ48" s="2524"/>
      <c r="DR48" s="2524"/>
      <c r="DS48" s="2524"/>
      <c r="DT48" s="2524"/>
      <c r="DU48" s="2524"/>
      <c r="DV48" s="2524"/>
      <c r="DW48" s="2524"/>
      <c r="DX48" s="2524"/>
      <c r="DY48" s="2524"/>
      <c r="DZ48" s="2524"/>
      <c r="EA48" s="2524"/>
      <c r="EB48" s="2524"/>
      <c r="EC48" s="2524"/>
      <c r="ED48" s="2524"/>
      <c r="EE48" s="2524"/>
    </row>
    <row r="49" spans="1:120">
      <c r="A49" s="2771"/>
      <c r="B49" s="4638"/>
      <c r="C49" s="4606" t="s">
        <v>47</v>
      </c>
      <c r="D49" s="4607"/>
      <c r="E49" s="3058">
        <f>'29.2.3 Gas extenstions cust no'!D47</f>
        <v>0</v>
      </c>
      <c r="F49" s="3059">
        <f>'29.2.3 Gas extenstions cust no'!E47</f>
        <v>0</v>
      </c>
      <c r="G49" s="3059">
        <f>'29.2.3 Gas extenstions cust no'!E47</f>
        <v>0</v>
      </c>
      <c r="H49" s="3059">
        <f>'29.2.3 Gas extenstions cust no'!F47</f>
        <v>0</v>
      </c>
      <c r="I49" s="3060">
        <f>'29.2.3 Gas extenstions cust no'!H47</f>
        <v>0</v>
      </c>
      <c r="J49" s="3058">
        <f>'29.2.3 Gas extenstions cust no'!I47</f>
        <v>0</v>
      </c>
      <c r="K49" s="3059">
        <f>'29.2.3 Gas extenstions cust no'!J47</f>
        <v>0</v>
      </c>
      <c r="L49" s="3059">
        <f>'29.2.3 Gas extenstions cust no'!K47</f>
        <v>0</v>
      </c>
      <c r="M49" s="3059">
        <f>'29.2.3 Gas extenstions cust no'!L47</f>
        <v>0</v>
      </c>
      <c r="N49" s="3060">
        <f>'29.2.3 Gas extenstions cust no'!M47</f>
        <v>0</v>
      </c>
      <c r="O49" s="3061">
        <f>'29.2.3 Gas extenstions cust no'!N47</f>
        <v>0</v>
      </c>
      <c r="P49" s="3059">
        <f>'29.2.3 Gas extenstions cust no'!O47</f>
        <v>0</v>
      </c>
      <c r="Q49" s="3059">
        <f>'29.2.3 Gas extenstions cust no'!P47</f>
        <v>0</v>
      </c>
      <c r="R49" s="3059">
        <f>'29.2.3 Gas extenstions cust no'!Q47</f>
        <v>0</v>
      </c>
      <c r="S49" s="3059">
        <f>'29.2.3 Gas extenstions cust no'!R47</f>
        <v>0</v>
      </c>
      <c r="T49" s="3059">
        <f>'29.2.3 Gas extenstions cust no'!S47</f>
        <v>0</v>
      </c>
      <c r="U49" s="3059">
        <f>'29.2.3 Gas extenstions cust no'!T47</f>
        <v>0</v>
      </c>
      <c r="V49" s="3059">
        <f>'29.2.3 Gas extenstions cust no'!U47</f>
        <v>0</v>
      </c>
      <c r="W49" s="3059">
        <f>'29.2.3 Gas extenstions cust no'!V47</f>
        <v>0</v>
      </c>
      <c r="X49" s="3059">
        <f>'29.2.3 Gas extenstions cust no'!W47</f>
        <v>0</v>
      </c>
      <c r="Y49" s="3059">
        <f>'29.2.3 Gas extenstions cust no'!X47</f>
        <v>0</v>
      </c>
      <c r="Z49" s="3059">
        <f>'29.2.3 Gas extenstions cust no'!Y47</f>
        <v>0</v>
      </c>
      <c r="AA49" s="3059">
        <f>'29.2.3 Gas extenstions cust no'!Z47</f>
        <v>0</v>
      </c>
      <c r="AB49" s="3059">
        <f>'29.2.3 Gas extenstions cust no'!AA47</f>
        <v>0</v>
      </c>
      <c r="AC49" s="3060">
        <f>'29.2.3 Gas extenstions cust no'!AB47</f>
        <v>0</v>
      </c>
    </row>
    <row r="50" spans="1:120">
      <c r="A50" s="2771"/>
      <c r="B50" s="4639"/>
      <c r="C50" s="3029" t="s">
        <v>269</v>
      </c>
      <c r="D50" s="3062" t="s">
        <v>268</v>
      </c>
      <c r="E50" s="3063"/>
      <c r="F50" s="3064"/>
      <c r="G50" s="3064"/>
      <c r="H50" s="3064"/>
      <c r="I50" s="3030"/>
      <c r="J50" s="3063"/>
      <c r="K50" s="3064"/>
      <c r="L50" s="3064"/>
      <c r="M50" s="3064"/>
      <c r="N50" s="3030"/>
      <c r="O50" s="3065"/>
      <c r="P50" s="3064"/>
      <c r="Q50" s="3064"/>
      <c r="R50" s="3064"/>
      <c r="S50" s="3064"/>
      <c r="T50" s="3064"/>
      <c r="U50" s="3064"/>
      <c r="V50" s="3064"/>
      <c r="W50" s="3064"/>
      <c r="X50" s="3064"/>
      <c r="Y50" s="3064"/>
      <c r="Z50" s="3064"/>
      <c r="AA50" s="3064"/>
      <c r="AB50" s="3064"/>
      <c r="AC50" s="3030"/>
    </row>
    <row r="51" spans="1:120">
      <c r="A51" s="2771"/>
      <c r="B51" s="4639"/>
      <c r="C51" s="3029" t="s">
        <v>269</v>
      </c>
      <c r="D51" s="3062" t="s">
        <v>268</v>
      </c>
      <c r="E51" s="3063"/>
      <c r="F51" s="3064"/>
      <c r="G51" s="3064"/>
      <c r="H51" s="3064"/>
      <c r="I51" s="3030"/>
      <c r="J51" s="3063"/>
      <c r="K51" s="3064"/>
      <c r="L51" s="3064"/>
      <c r="M51" s="3064"/>
      <c r="N51" s="3030"/>
      <c r="O51" s="3065"/>
      <c r="P51" s="3064"/>
      <c r="Q51" s="3064"/>
      <c r="R51" s="3064"/>
      <c r="S51" s="3064"/>
      <c r="T51" s="3064"/>
      <c r="U51" s="3064"/>
      <c r="V51" s="3064"/>
      <c r="W51" s="3064"/>
      <c r="X51" s="3064"/>
      <c r="Y51" s="3064"/>
      <c r="Z51" s="3064"/>
      <c r="AA51" s="3064"/>
      <c r="AB51" s="3064"/>
      <c r="AC51" s="3030"/>
    </row>
    <row r="52" spans="1:120" ht="13.5" thickBot="1">
      <c r="A52" s="2771"/>
      <c r="B52" s="4640"/>
      <c r="C52" s="3066" t="s">
        <v>269</v>
      </c>
      <c r="D52" s="3067" t="s">
        <v>268</v>
      </c>
      <c r="E52" s="3068"/>
      <c r="F52" s="3069"/>
      <c r="G52" s="3069"/>
      <c r="H52" s="3069"/>
      <c r="I52" s="3070"/>
      <c r="J52" s="3068"/>
      <c r="K52" s="3069"/>
      <c r="L52" s="3069"/>
      <c r="M52" s="3069"/>
      <c r="N52" s="3070"/>
      <c r="O52" s="3071"/>
      <c r="P52" s="3069"/>
      <c r="Q52" s="3069"/>
      <c r="R52" s="3069"/>
      <c r="S52" s="3069"/>
      <c r="T52" s="3069"/>
      <c r="U52" s="3069"/>
      <c r="V52" s="3069"/>
      <c r="W52" s="3069"/>
      <c r="X52" s="3069"/>
      <c r="Y52" s="3069"/>
      <c r="Z52" s="3069"/>
      <c r="AA52" s="3069"/>
      <c r="AB52" s="3069"/>
      <c r="AC52" s="3070"/>
    </row>
    <row r="53" spans="1:120" ht="23.25" customHeight="1" thickBot="1">
      <c r="B53" s="2524"/>
    </row>
    <row r="54" spans="1:120" s="3020" customFormat="1" ht="18" customHeight="1">
      <c r="B54" s="4624" t="s">
        <v>120</v>
      </c>
      <c r="C54" s="4625"/>
      <c r="D54" s="4626"/>
      <c r="E54" s="3072">
        <f t="shared" ref="E54:AC54" si="10">SUM(E50:E52)</f>
        <v>0</v>
      </c>
      <c r="F54" s="3073">
        <f t="shared" si="10"/>
        <v>0</v>
      </c>
      <c r="G54" s="3073">
        <f t="shared" si="10"/>
        <v>0</v>
      </c>
      <c r="H54" s="3073">
        <f t="shared" si="10"/>
        <v>0</v>
      </c>
      <c r="I54" s="3074">
        <f t="shared" si="10"/>
        <v>0</v>
      </c>
      <c r="J54" s="3075">
        <f t="shared" si="10"/>
        <v>0</v>
      </c>
      <c r="K54" s="3073">
        <f t="shared" si="10"/>
        <v>0</v>
      </c>
      <c r="L54" s="3073">
        <f t="shared" si="10"/>
        <v>0</v>
      </c>
      <c r="M54" s="3073">
        <f t="shared" si="10"/>
        <v>0</v>
      </c>
      <c r="N54" s="3076">
        <f t="shared" si="10"/>
        <v>0</v>
      </c>
      <c r="O54" s="3072">
        <f t="shared" si="10"/>
        <v>0</v>
      </c>
      <c r="P54" s="3073">
        <f t="shared" si="10"/>
        <v>0</v>
      </c>
      <c r="Q54" s="3073">
        <f t="shared" si="10"/>
        <v>0</v>
      </c>
      <c r="R54" s="3073">
        <f t="shared" si="10"/>
        <v>0</v>
      </c>
      <c r="S54" s="3073">
        <f t="shared" si="10"/>
        <v>0</v>
      </c>
      <c r="T54" s="3073">
        <f t="shared" si="10"/>
        <v>0</v>
      </c>
      <c r="U54" s="3073">
        <f t="shared" si="10"/>
        <v>0</v>
      </c>
      <c r="V54" s="3073">
        <f t="shared" si="10"/>
        <v>0</v>
      </c>
      <c r="W54" s="3073">
        <f t="shared" si="10"/>
        <v>0</v>
      </c>
      <c r="X54" s="3073">
        <f t="shared" si="10"/>
        <v>0</v>
      </c>
      <c r="Y54" s="3073">
        <f t="shared" si="10"/>
        <v>0</v>
      </c>
      <c r="Z54" s="3073">
        <f t="shared" si="10"/>
        <v>0</v>
      </c>
      <c r="AA54" s="3073">
        <f t="shared" si="10"/>
        <v>0</v>
      </c>
      <c r="AB54" s="3073">
        <f t="shared" si="10"/>
        <v>0</v>
      </c>
      <c r="AC54" s="3074">
        <f t="shared" si="10"/>
        <v>0</v>
      </c>
      <c r="AD54" s="2524"/>
      <c r="AE54" s="2524"/>
      <c r="AF54" s="2524"/>
      <c r="AG54" s="3028"/>
      <c r="AH54" s="3028"/>
      <c r="AI54" s="3028"/>
      <c r="AJ54" s="3028"/>
      <c r="AK54" s="3028"/>
      <c r="AL54" s="3028"/>
      <c r="AM54" s="3028"/>
      <c r="AN54" s="3028"/>
      <c r="AO54" s="3028"/>
      <c r="AP54" s="3028"/>
      <c r="AQ54" s="3028"/>
      <c r="AR54" s="3028"/>
      <c r="AS54" s="3028"/>
      <c r="AT54" s="3028"/>
      <c r="AU54" s="3028"/>
      <c r="AV54" s="3028"/>
      <c r="AW54" s="3028"/>
      <c r="AX54" s="3028"/>
      <c r="AY54" s="3028"/>
      <c r="AZ54" s="3028"/>
      <c r="BA54" s="3028"/>
      <c r="BB54" s="3028"/>
      <c r="BC54" s="3028"/>
      <c r="BD54" s="3028"/>
      <c r="BE54" s="3028"/>
      <c r="BF54" s="3028"/>
      <c r="BG54" s="3028"/>
      <c r="BH54" s="3028"/>
      <c r="BI54" s="3028"/>
      <c r="BJ54" s="3028"/>
      <c r="BK54" s="3028"/>
      <c r="BL54" s="3028"/>
      <c r="BM54" s="3028"/>
      <c r="BN54" s="3028"/>
      <c r="BO54" s="3028"/>
      <c r="BP54" s="3028"/>
      <c r="BQ54" s="3028"/>
      <c r="BR54" s="3028"/>
      <c r="BS54" s="3028"/>
      <c r="BT54" s="3028"/>
      <c r="BU54" s="3028"/>
      <c r="BV54" s="3028"/>
      <c r="BW54" s="3028"/>
      <c r="BX54" s="3028"/>
      <c r="BY54" s="3028"/>
      <c r="BZ54" s="3028"/>
      <c r="CA54" s="3028"/>
      <c r="CB54" s="3028"/>
      <c r="CC54" s="3028"/>
      <c r="CD54" s="3028"/>
      <c r="CE54" s="3028"/>
      <c r="CF54" s="3028"/>
      <c r="CG54" s="3028"/>
      <c r="CH54" s="3028"/>
      <c r="CI54" s="3028"/>
      <c r="CJ54" s="3028"/>
      <c r="CK54" s="3028"/>
      <c r="CL54" s="3028"/>
      <c r="CM54" s="3028"/>
      <c r="CN54" s="3028"/>
      <c r="CO54" s="3028"/>
      <c r="CP54" s="3028"/>
      <c r="CQ54" s="3028"/>
      <c r="CR54" s="3028"/>
      <c r="CS54" s="3028"/>
      <c r="CT54" s="3028"/>
      <c r="CU54" s="3028"/>
      <c r="CV54" s="3028"/>
      <c r="CW54" s="3028"/>
      <c r="CX54" s="3028"/>
      <c r="CY54" s="3028"/>
      <c r="CZ54" s="3028"/>
      <c r="DA54" s="3028"/>
      <c r="DB54" s="3028"/>
      <c r="DC54" s="3028"/>
      <c r="DD54" s="3028"/>
      <c r="DE54" s="3028"/>
      <c r="DF54" s="3028"/>
      <c r="DG54" s="3028"/>
      <c r="DH54" s="3028"/>
      <c r="DI54" s="3028"/>
      <c r="DJ54" s="3028"/>
      <c r="DK54" s="3028"/>
      <c r="DL54" s="3028"/>
      <c r="DM54" s="3028"/>
      <c r="DN54" s="3028"/>
      <c r="DO54" s="3028"/>
      <c r="DP54" s="3028"/>
    </row>
    <row r="55" spans="1:120" s="3020" customFormat="1" ht="18" customHeight="1" thickBot="1">
      <c r="B55" s="4627" t="s">
        <v>119</v>
      </c>
      <c r="C55" s="4628"/>
      <c r="D55" s="4629"/>
      <c r="E55" s="3077">
        <f t="shared" ref="E55:AC55" si="11">IF(ISERROR(E54/E49),0,(E54/E49))</f>
        <v>0</v>
      </c>
      <c r="F55" s="3078">
        <f t="shared" si="11"/>
        <v>0</v>
      </c>
      <c r="G55" s="3078">
        <f t="shared" si="11"/>
        <v>0</v>
      </c>
      <c r="H55" s="3078">
        <f t="shared" si="11"/>
        <v>0</v>
      </c>
      <c r="I55" s="3079">
        <f t="shared" si="11"/>
        <v>0</v>
      </c>
      <c r="J55" s="3080">
        <f t="shared" si="11"/>
        <v>0</v>
      </c>
      <c r="K55" s="3078">
        <f t="shared" si="11"/>
        <v>0</v>
      </c>
      <c r="L55" s="3078">
        <f t="shared" si="11"/>
        <v>0</v>
      </c>
      <c r="M55" s="3078">
        <f t="shared" si="11"/>
        <v>0</v>
      </c>
      <c r="N55" s="3081">
        <f t="shared" si="11"/>
        <v>0</v>
      </c>
      <c r="O55" s="3077">
        <f t="shared" si="11"/>
        <v>0</v>
      </c>
      <c r="P55" s="3078">
        <f t="shared" si="11"/>
        <v>0</v>
      </c>
      <c r="Q55" s="3078">
        <f t="shared" si="11"/>
        <v>0</v>
      </c>
      <c r="R55" s="3078">
        <f t="shared" si="11"/>
        <v>0</v>
      </c>
      <c r="S55" s="3078">
        <f t="shared" si="11"/>
        <v>0</v>
      </c>
      <c r="T55" s="3078">
        <f t="shared" si="11"/>
        <v>0</v>
      </c>
      <c r="U55" s="3078">
        <f t="shared" si="11"/>
        <v>0</v>
      </c>
      <c r="V55" s="3078">
        <f t="shared" si="11"/>
        <v>0</v>
      </c>
      <c r="W55" s="3078">
        <f t="shared" si="11"/>
        <v>0</v>
      </c>
      <c r="X55" s="3078">
        <f t="shared" si="11"/>
        <v>0</v>
      </c>
      <c r="Y55" s="3078">
        <f t="shared" si="11"/>
        <v>0</v>
      </c>
      <c r="Z55" s="3078">
        <f t="shared" si="11"/>
        <v>0</v>
      </c>
      <c r="AA55" s="3078">
        <f t="shared" si="11"/>
        <v>0</v>
      </c>
      <c r="AB55" s="3078">
        <f t="shared" si="11"/>
        <v>0</v>
      </c>
      <c r="AC55" s="3079">
        <f t="shared" si="11"/>
        <v>0</v>
      </c>
      <c r="AD55" s="2524"/>
      <c r="AE55" s="2524"/>
      <c r="AF55" s="2524"/>
      <c r="AG55" s="3028"/>
      <c r="AH55" s="3028"/>
      <c r="AI55" s="3028"/>
      <c r="AJ55" s="3028"/>
      <c r="AK55" s="3028"/>
      <c r="AL55" s="3028"/>
      <c r="AM55" s="3028"/>
      <c r="AN55" s="3028"/>
      <c r="AO55" s="3028"/>
      <c r="AP55" s="3028"/>
      <c r="AQ55" s="3028"/>
      <c r="AR55" s="3028"/>
      <c r="AS55" s="3028"/>
      <c r="AT55" s="3028"/>
      <c r="AU55" s="3028"/>
      <c r="AV55" s="3028"/>
      <c r="AW55" s="3028"/>
      <c r="AX55" s="3028"/>
      <c r="AY55" s="3028"/>
      <c r="AZ55" s="3028"/>
      <c r="BA55" s="3028"/>
      <c r="BB55" s="3028"/>
      <c r="BC55" s="3028"/>
      <c r="BD55" s="3028"/>
      <c r="BE55" s="3028"/>
      <c r="BF55" s="3028"/>
      <c r="BG55" s="3028"/>
      <c r="BH55" s="3028"/>
      <c r="BI55" s="3028"/>
      <c r="BJ55" s="3028"/>
      <c r="BK55" s="3028"/>
      <c r="BL55" s="3028"/>
      <c r="BM55" s="3028"/>
      <c r="BN55" s="3028"/>
      <c r="BO55" s="3028"/>
      <c r="BP55" s="3028"/>
      <c r="BQ55" s="3028"/>
      <c r="BR55" s="3028"/>
      <c r="BS55" s="3028"/>
      <c r="BT55" s="3028"/>
      <c r="BU55" s="3028"/>
      <c r="BV55" s="3028"/>
      <c r="BW55" s="3028"/>
      <c r="BX55" s="3028"/>
      <c r="BY55" s="3028"/>
      <c r="BZ55" s="3028"/>
      <c r="CA55" s="3028"/>
      <c r="CB55" s="3028"/>
      <c r="CC55" s="3028"/>
      <c r="CD55" s="3028"/>
      <c r="CE55" s="3028"/>
      <c r="CF55" s="3028"/>
      <c r="CG55" s="3028"/>
      <c r="CH55" s="3028"/>
      <c r="CI55" s="3028"/>
      <c r="CJ55" s="3028"/>
      <c r="CK55" s="3028"/>
      <c r="CL55" s="3028"/>
      <c r="CM55" s="3028"/>
      <c r="CN55" s="3028"/>
      <c r="CO55" s="3028"/>
      <c r="CP55" s="3028"/>
      <c r="CQ55" s="3028"/>
      <c r="CR55" s="3028"/>
      <c r="CS55" s="3028"/>
      <c r="CT55" s="3028"/>
      <c r="CU55" s="3028"/>
      <c r="CV55" s="3028"/>
      <c r="CW55" s="3028"/>
      <c r="CX55" s="3028"/>
      <c r="CY55" s="3028"/>
      <c r="CZ55" s="3028"/>
      <c r="DA55" s="3028"/>
      <c r="DB55" s="3028"/>
      <c r="DC55" s="3028"/>
      <c r="DD55" s="3028"/>
      <c r="DE55" s="3028"/>
      <c r="DF55" s="3028"/>
      <c r="DG55" s="3028"/>
      <c r="DH55" s="3028"/>
      <c r="DI55" s="3028"/>
      <c r="DJ55" s="3028"/>
      <c r="DK55" s="3028"/>
      <c r="DL55" s="3028"/>
      <c r="DM55" s="3028"/>
      <c r="DN55" s="3028"/>
      <c r="DO55" s="3028"/>
      <c r="DP55" s="3028"/>
    </row>
    <row r="56" spans="1:120" ht="34.5" customHeight="1" thickBot="1">
      <c r="A56" s="2896"/>
      <c r="B56" s="4630" t="s">
        <v>121</v>
      </c>
      <c r="C56" s="4631"/>
      <c r="D56" s="4632"/>
      <c r="E56" s="3938"/>
      <c r="F56" s="3938"/>
      <c r="G56" s="3938"/>
      <c r="H56" s="3938"/>
      <c r="I56" s="3938"/>
      <c r="J56" s="3938"/>
      <c r="K56" s="3938"/>
      <c r="L56" s="3938"/>
      <c r="M56" s="3938"/>
      <c r="N56" s="3938"/>
      <c r="O56" s="3938"/>
      <c r="P56" s="3938"/>
      <c r="Q56" s="3938"/>
      <c r="R56" s="3938"/>
      <c r="S56" s="3938"/>
      <c r="T56" s="3938"/>
      <c r="U56" s="3938"/>
      <c r="V56" s="3938"/>
      <c r="W56" s="3938"/>
      <c r="X56" s="3938"/>
      <c r="Y56" s="3938"/>
      <c r="Z56" s="3938"/>
      <c r="AA56" s="3938"/>
      <c r="AB56" s="3938"/>
      <c r="AC56" s="3939"/>
    </row>
    <row r="57" spans="1:120">
      <c r="A57" s="2771"/>
    </row>
    <row r="58" spans="1:120">
      <c r="A58" s="2771"/>
    </row>
  </sheetData>
  <mergeCells count="25">
    <mergeCell ref="B54:D54"/>
    <mergeCell ref="B55:D55"/>
    <mergeCell ref="B56:D56"/>
    <mergeCell ref="E56:AC56"/>
    <mergeCell ref="B35:B44"/>
    <mergeCell ref="C35:D35"/>
    <mergeCell ref="B45:D45"/>
    <mergeCell ref="B46:D46"/>
    <mergeCell ref="B49:B52"/>
    <mergeCell ref="C49:D49"/>
    <mergeCell ref="J17:N17"/>
    <mergeCell ref="O17:AC17"/>
    <mergeCell ref="E18:AC18"/>
    <mergeCell ref="E19:G19"/>
    <mergeCell ref="H19:AC19"/>
    <mergeCell ref="B22:B31"/>
    <mergeCell ref="C22:D22"/>
    <mergeCell ref="B7:H7"/>
    <mergeCell ref="B8:H8"/>
    <mergeCell ref="B9:C9"/>
    <mergeCell ref="B10:H10"/>
    <mergeCell ref="B17:B20"/>
    <mergeCell ref="C17:C20"/>
    <mergeCell ref="D17:D20"/>
    <mergeCell ref="E17:I17"/>
  </mergeCells>
  <pageMargins left="0.75" right="0.75" top="1" bottom="1" header="0.5" footer="0.5"/>
  <pageSetup paperSize="9" orientation="portrait" r:id="rId1"/>
  <headerFooter alignWithMargins="0"/>
  <customProperties>
    <customPr name="_pios_id" r:id="rId2"/>
  </customProperties>
  <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EE58"/>
  <sheetViews>
    <sheetView showGridLines="0" zoomScale="55" zoomScaleNormal="55" workbookViewId="0">
      <selection activeCell="I35" sqref="I35"/>
    </sheetView>
  </sheetViews>
  <sheetFormatPr defaultRowHeight="12.75"/>
  <cols>
    <col min="1" max="1" width="16.28515625" style="2524" bestFit="1" customWidth="1"/>
    <col min="2" max="2" width="41.7109375" style="3082" customWidth="1"/>
    <col min="3" max="3" width="38" style="2524" customWidth="1"/>
    <col min="4" max="4" width="33.85546875" style="2524" bestFit="1" customWidth="1"/>
    <col min="5" max="28" width="15.7109375" style="2524" customWidth="1"/>
    <col min="29" max="29" width="13.85546875" style="2524" customWidth="1"/>
    <col min="30" max="254" width="9.140625" style="2524"/>
    <col min="255" max="255" width="16.28515625" style="2524" bestFit="1" customWidth="1"/>
    <col min="256" max="256" width="63.28515625" style="2524" customWidth="1"/>
    <col min="257" max="257" width="22" style="2524" customWidth="1"/>
    <col min="258" max="260" width="8" style="2524" bestFit="1" customWidth="1"/>
    <col min="261" max="261" width="13.85546875" style="2524" customWidth="1"/>
    <col min="262" max="262" width="17.28515625" style="2524" bestFit="1" customWidth="1"/>
    <col min="263" max="274" width="10.7109375" style="2524" bestFit="1" customWidth="1"/>
    <col min="275" max="510" width="9.140625" style="2524"/>
    <col min="511" max="511" width="16.28515625" style="2524" bestFit="1" customWidth="1"/>
    <col min="512" max="512" width="63.28515625" style="2524" customWidth="1"/>
    <col min="513" max="513" width="22" style="2524" customWidth="1"/>
    <col min="514" max="516" width="8" style="2524" bestFit="1" customWidth="1"/>
    <col min="517" max="517" width="13.85546875" style="2524" customWidth="1"/>
    <col min="518" max="518" width="17.28515625" style="2524" bestFit="1" customWidth="1"/>
    <col min="519" max="530" width="10.7109375" style="2524" bestFit="1" customWidth="1"/>
    <col min="531" max="766" width="9.140625" style="2524"/>
    <col min="767" max="767" width="16.28515625" style="2524" bestFit="1" customWidth="1"/>
    <col min="768" max="768" width="63.28515625" style="2524" customWidth="1"/>
    <col min="769" max="769" width="22" style="2524" customWidth="1"/>
    <col min="770" max="772" width="8" style="2524" bestFit="1" customWidth="1"/>
    <col min="773" max="773" width="13.85546875" style="2524" customWidth="1"/>
    <col min="774" max="774" width="17.28515625" style="2524" bestFit="1" customWidth="1"/>
    <col min="775" max="786" width="10.7109375" style="2524" bestFit="1" customWidth="1"/>
    <col min="787" max="1022" width="9.140625" style="2524"/>
    <col min="1023" max="1023" width="16.28515625" style="2524" bestFit="1" customWidth="1"/>
    <col min="1024" max="1024" width="63.28515625" style="2524" customWidth="1"/>
    <col min="1025" max="1025" width="22" style="2524" customWidth="1"/>
    <col min="1026" max="1028" width="8" style="2524" bestFit="1" customWidth="1"/>
    <col min="1029" max="1029" width="13.85546875" style="2524" customWidth="1"/>
    <col min="1030" max="1030" width="17.28515625" style="2524" bestFit="1" customWidth="1"/>
    <col min="1031" max="1042" width="10.7109375" style="2524" bestFit="1" customWidth="1"/>
    <col min="1043" max="1278" width="9.140625" style="2524"/>
    <col min="1279" max="1279" width="16.28515625" style="2524" bestFit="1" customWidth="1"/>
    <col min="1280" max="1280" width="63.28515625" style="2524" customWidth="1"/>
    <col min="1281" max="1281" width="22" style="2524" customWidth="1"/>
    <col min="1282" max="1284" width="8" style="2524" bestFit="1" customWidth="1"/>
    <col min="1285" max="1285" width="13.85546875" style="2524" customWidth="1"/>
    <col min="1286" max="1286" width="17.28515625" style="2524" bestFit="1" customWidth="1"/>
    <col min="1287" max="1298" width="10.7109375" style="2524" bestFit="1" customWidth="1"/>
    <col min="1299" max="1534" width="9.140625" style="2524"/>
    <col min="1535" max="1535" width="16.28515625" style="2524" bestFit="1" customWidth="1"/>
    <col min="1536" max="1536" width="63.28515625" style="2524" customWidth="1"/>
    <col min="1537" max="1537" width="22" style="2524" customWidth="1"/>
    <col min="1538" max="1540" width="8" style="2524" bestFit="1" customWidth="1"/>
    <col min="1541" max="1541" width="13.85546875" style="2524" customWidth="1"/>
    <col min="1542" max="1542" width="17.28515625" style="2524" bestFit="1" customWidth="1"/>
    <col min="1543" max="1554" width="10.7109375" style="2524" bestFit="1" customWidth="1"/>
    <col min="1555" max="1790" width="9.140625" style="2524"/>
    <col min="1791" max="1791" width="16.28515625" style="2524" bestFit="1" customWidth="1"/>
    <col min="1792" max="1792" width="63.28515625" style="2524" customWidth="1"/>
    <col min="1793" max="1793" width="22" style="2524" customWidth="1"/>
    <col min="1794" max="1796" width="8" style="2524" bestFit="1" customWidth="1"/>
    <col min="1797" max="1797" width="13.85546875" style="2524" customWidth="1"/>
    <col min="1798" max="1798" width="17.28515625" style="2524" bestFit="1" customWidth="1"/>
    <col min="1799" max="1810" width="10.7109375" style="2524" bestFit="1" customWidth="1"/>
    <col min="1811" max="2046" width="9.140625" style="2524"/>
    <col min="2047" max="2047" width="16.28515625" style="2524" bestFit="1" customWidth="1"/>
    <col min="2048" max="2048" width="63.28515625" style="2524" customWidth="1"/>
    <col min="2049" max="2049" width="22" style="2524" customWidth="1"/>
    <col min="2050" max="2052" width="8" style="2524" bestFit="1" customWidth="1"/>
    <col min="2053" max="2053" width="13.85546875" style="2524" customWidth="1"/>
    <col min="2054" max="2054" width="17.28515625" style="2524" bestFit="1" customWidth="1"/>
    <col min="2055" max="2066" width="10.7109375" style="2524" bestFit="1" customWidth="1"/>
    <col min="2067" max="2302" width="9.140625" style="2524"/>
    <col min="2303" max="2303" width="16.28515625" style="2524" bestFit="1" customWidth="1"/>
    <col min="2304" max="2304" width="63.28515625" style="2524" customWidth="1"/>
    <col min="2305" max="2305" width="22" style="2524" customWidth="1"/>
    <col min="2306" max="2308" width="8" style="2524" bestFit="1" customWidth="1"/>
    <col min="2309" max="2309" width="13.85546875" style="2524" customWidth="1"/>
    <col min="2310" max="2310" width="17.28515625" style="2524" bestFit="1" customWidth="1"/>
    <col min="2311" max="2322" width="10.7109375" style="2524" bestFit="1" customWidth="1"/>
    <col min="2323" max="2558" width="9.140625" style="2524"/>
    <col min="2559" max="2559" width="16.28515625" style="2524" bestFit="1" customWidth="1"/>
    <col min="2560" max="2560" width="63.28515625" style="2524" customWidth="1"/>
    <col min="2561" max="2561" width="22" style="2524" customWidth="1"/>
    <col min="2562" max="2564" width="8" style="2524" bestFit="1" customWidth="1"/>
    <col min="2565" max="2565" width="13.85546875" style="2524" customWidth="1"/>
    <col min="2566" max="2566" width="17.28515625" style="2524" bestFit="1" customWidth="1"/>
    <col min="2567" max="2578" width="10.7109375" style="2524" bestFit="1" customWidth="1"/>
    <col min="2579" max="2814" width="9.140625" style="2524"/>
    <col min="2815" max="2815" width="16.28515625" style="2524" bestFit="1" customWidth="1"/>
    <col min="2816" max="2816" width="63.28515625" style="2524" customWidth="1"/>
    <col min="2817" max="2817" width="22" style="2524" customWidth="1"/>
    <col min="2818" max="2820" width="8" style="2524" bestFit="1" customWidth="1"/>
    <col min="2821" max="2821" width="13.85546875" style="2524" customWidth="1"/>
    <col min="2822" max="2822" width="17.28515625" style="2524" bestFit="1" customWidth="1"/>
    <col min="2823" max="2834" width="10.7109375" style="2524" bestFit="1" customWidth="1"/>
    <col min="2835" max="3070" width="9.140625" style="2524"/>
    <col min="3071" max="3071" width="16.28515625" style="2524" bestFit="1" customWidth="1"/>
    <col min="3072" max="3072" width="63.28515625" style="2524" customWidth="1"/>
    <col min="3073" max="3073" width="22" style="2524" customWidth="1"/>
    <col min="3074" max="3076" width="8" style="2524" bestFit="1" customWidth="1"/>
    <col min="3077" max="3077" width="13.85546875" style="2524" customWidth="1"/>
    <col min="3078" max="3078" width="17.28515625" style="2524" bestFit="1" customWidth="1"/>
    <col min="3079" max="3090" width="10.7109375" style="2524" bestFit="1" customWidth="1"/>
    <col min="3091" max="3326" width="9.140625" style="2524"/>
    <col min="3327" max="3327" width="16.28515625" style="2524" bestFit="1" customWidth="1"/>
    <col min="3328" max="3328" width="63.28515625" style="2524" customWidth="1"/>
    <col min="3329" max="3329" width="22" style="2524" customWidth="1"/>
    <col min="3330" max="3332" width="8" style="2524" bestFit="1" customWidth="1"/>
    <col min="3333" max="3333" width="13.85546875" style="2524" customWidth="1"/>
    <col min="3334" max="3334" width="17.28515625" style="2524" bestFit="1" customWidth="1"/>
    <col min="3335" max="3346" width="10.7109375" style="2524" bestFit="1" customWidth="1"/>
    <col min="3347" max="3582" width="9.140625" style="2524"/>
    <col min="3583" max="3583" width="16.28515625" style="2524" bestFit="1" customWidth="1"/>
    <col min="3584" max="3584" width="63.28515625" style="2524" customWidth="1"/>
    <col min="3585" max="3585" width="22" style="2524" customWidth="1"/>
    <col min="3586" max="3588" width="8" style="2524" bestFit="1" customWidth="1"/>
    <col min="3589" max="3589" width="13.85546875" style="2524" customWidth="1"/>
    <col min="3590" max="3590" width="17.28515625" style="2524" bestFit="1" customWidth="1"/>
    <col min="3591" max="3602" width="10.7109375" style="2524" bestFit="1" customWidth="1"/>
    <col min="3603" max="3838" width="9.140625" style="2524"/>
    <col min="3839" max="3839" width="16.28515625" style="2524" bestFit="1" customWidth="1"/>
    <col min="3840" max="3840" width="63.28515625" style="2524" customWidth="1"/>
    <col min="3841" max="3841" width="22" style="2524" customWidth="1"/>
    <col min="3842" max="3844" width="8" style="2524" bestFit="1" customWidth="1"/>
    <col min="3845" max="3845" width="13.85546875" style="2524" customWidth="1"/>
    <col min="3846" max="3846" width="17.28515625" style="2524" bestFit="1" customWidth="1"/>
    <col min="3847" max="3858" width="10.7109375" style="2524" bestFit="1" customWidth="1"/>
    <col min="3859" max="4094" width="9.140625" style="2524"/>
    <col min="4095" max="4095" width="16.28515625" style="2524" bestFit="1" customWidth="1"/>
    <col min="4096" max="4096" width="63.28515625" style="2524" customWidth="1"/>
    <col min="4097" max="4097" width="22" style="2524" customWidth="1"/>
    <col min="4098" max="4100" width="8" style="2524" bestFit="1" customWidth="1"/>
    <col min="4101" max="4101" width="13.85546875" style="2524" customWidth="1"/>
    <col min="4102" max="4102" width="17.28515625" style="2524" bestFit="1" customWidth="1"/>
    <col min="4103" max="4114" width="10.7109375" style="2524" bestFit="1" customWidth="1"/>
    <col min="4115" max="4350" width="9.140625" style="2524"/>
    <col min="4351" max="4351" width="16.28515625" style="2524" bestFit="1" customWidth="1"/>
    <col min="4352" max="4352" width="63.28515625" style="2524" customWidth="1"/>
    <col min="4353" max="4353" width="22" style="2524" customWidth="1"/>
    <col min="4354" max="4356" width="8" style="2524" bestFit="1" customWidth="1"/>
    <col min="4357" max="4357" width="13.85546875" style="2524" customWidth="1"/>
    <col min="4358" max="4358" width="17.28515625" style="2524" bestFit="1" customWidth="1"/>
    <col min="4359" max="4370" width="10.7109375" style="2524" bestFit="1" customWidth="1"/>
    <col min="4371" max="4606" width="9.140625" style="2524"/>
    <col min="4607" max="4607" width="16.28515625" style="2524" bestFit="1" customWidth="1"/>
    <col min="4608" max="4608" width="63.28515625" style="2524" customWidth="1"/>
    <col min="4609" max="4609" width="22" style="2524" customWidth="1"/>
    <col min="4610" max="4612" width="8" style="2524" bestFit="1" customWidth="1"/>
    <col min="4613" max="4613" width="13.85546875" style="2524" customWidth="1"/>
    <col min="4614" max="4614" width="17.28515625" style="2524" bestFit="1" customWidth="1"/>
    <col min="4615" max="4626" width="10.7109375" style="2524" bestFit="1" customWidth="1"/>
    <col min="4627" max="4862" width="9.140625" style="2524"/>
    <col min="4863" max="4863" width="16.28515625" style="2524" bestFit="1" customWidth="1"/>
    <col min="4864" max="4864" width="63.28515625" style="2524" customWidth="1"/>
    <col min="4865" max="4865" width="22" style="2524" customWidth="1"/>
    <col min="4866" max="4868" width="8" style="2524" bestFit="1" customWidth="1"/>
    <col min="4869" max="4869" width="13.85546875" style="2524" customWidth="1"/>
    <col min="4870" max="4870" width="17.28515625" style="2524" bestFit="1" customWidth="1"/>
    <col min="4871" max="4882" width="10.7109375" style="2524" bestFit="1" customWidth="1"/>
    <col min="4883" max="5118" width="9.140625" style="2524"/>
    <col min="5119" max="5119" width="16.28515625" style="2524" bestFit="1" customWidth="1"/>
    <col min="5120" max="5120" width="63.28515625" style="2524" customWidth="1"/>
    <col min="5121" max="5121" width="22" style="2524" customWidth="1"/>
    <col min="5122" max="5124" width="8" style="2524" bestFit="1" customWidth="1"/>
    <col min="5125" max="5125" width="13.85546875" style="2524" customWidth="1"/>
    <col min="5126" max="5126" width="17.28515625" style="2524" bestFit="1" customWidth="1"/>
    <col min="5127" max="5138" width="10.7109375" style="2524" bestFit="1" customWidth="1"/>
    <col min="5139" max="5374" width="9.140625" style="2524"/>
    <col min="5375" max="5375" width="16.28515625" style="2524" bestFit="1" customWidth="1"/>
    <col min="5376" max="5376" width="63.28515625" style="2524" customWidth="1"/>
    <col min="5377" max="5377" width="22" style="2524" customWidth="1"/>
    <col min="5378" max="5380" width="8" style="2524" bestFit="1" customWidth="1"/>
    <col min="5381" max="5381" width="13.85546875" style="2524" customWidth="1"/>
    <col min="5382" max="5382" width="17.28515625" style="2524" bestFit="1" customWidth="1"/>
    <col min="5383" max="5394" width="10.7109375" style="2524" bestFit="1" customWidth="1"/>
    <col min="5395" max="5630" width="9.140625" style="2524"/>
    <col min="5631" max="5631" width="16.28515625" style="2524" bestFit="1" customWidth="1"/>
    <col min="5632" max="5632" width="63.28515625" style="2524" customWidth="1"/>
    <col min="5633" max="5633" width="22" style="2524" customWidth="1"/>
    <col min="5634" max="5636" width="8" style="2524" bestFit="1" customWidth="1"/>
    <col min="5637" max="5637" width="13.85546875" style="2524" customWidth="1"/>
    <col min="5638" max="5638" width="17.28515625" style="2524" bestFit="1" customWidth="1"/>
    <col min="5639" max="5650" width="10.7109375" style="2524" bestFit="1" customWidth="1"/>
    <col min="5651" max="5886" width="9.140625" style="2524"/>
    <col min="5887" max="5887" width="16.28515625" style="2524" bestFit="1" customWidth="1"/>
    <col min="5888" max="5888" width="63.28515625" style="2524" customWidth="1"/>
    <col min="5889" max="5889" width="22" style="2524" customWidth="1"/>
    <col min="5890" max="5892" width="8" style="2524" bestFit="1" customWidth="1"/>
    <col min="5893" max="5893" width="13.85546875" style="2524" customWidth="1"/>
    <col min="5894" max="5894" width="17.28515625" style="2524" bestFit="1" customWidth="1"/>
    <col min="5895" max="5906" width="10.7109375" style="2524" bestFit="1" customWidth="1"/>
    <col min="5907" max="6142" width="9.140625" style="2524"/>
    <col min="6143" max="6143" width="16.28515625" style="2524" bestFit="1" customWidth="1"/>
    <col min="6144" max="6144" width="63.28515625" style="2524" customWidth="1"/>
    <col min="6145" max="6145" width="22" style="2524" customWidth="1"/>
    <col min="6146" max="6148" width="8" style="2524" bestFit="1" customWidth="1"/>
    <col min="6149" max="6149" width="13.85546875" style="2524" customWidth="1"/>
    <col min="6150" max="6150" width="17.28515625" style="2524" bestFit="1" customWidth="1"/>
    <col min="6151" max="6162" width="10.7109375" style="2524" bestFit="1" customWidth="1"/>
    <col min="6163" max="6398" width="9.140625" style="2524"/>
    <col min="6399" max="6399" width="16.28515625" style="2524" bestFit="1" customWidth="1"/>
    <col min="6400" max="6400" width="63.28515625" style="2524" customWidth="1"/>
    <col min="6401" max="6401" width="22" style="2524" customWidth="1"/>
    <col min="6402" max="6404" width="8" style="2524" bestFit="1" customWidth="1"/>
    <col min="6405" max="6405" width="13.85546875" style="2524" customWidth="1"/>
    <col min="6406" max="6406" width="17.28515625" style="2524" bestFit="1" customWidth="1"/>
    <col min="6407" max="6418" width="10.7109375" style="2524" bestFit="1" customWidth="1"/>
    <col min="6419" max="6654" width="9.140625" style="2524"/>
    <col min="6655" max="6655" width="16.28515625" style="2524" bestFit="1" customWidth="1"/>
    <col min="6656" max="6656" width="63.28515625" style="2524" customWidth="1"/>
    <col min="6657" max="6657" width="22" style="2524" customWidth="1"/>
    <col min="6658" max="6660" width="8" style="2524" bestFit="1" customWidth="1"/>
    <col min="6661" max="6661" width="13.85546875" style="2524" customWidth="1"/>
    <col min="6662" max="6662" width="17.28515625" style="2524" bestFit="1" customWidth="1"/>
    <col min="6663" max="6674" width="10.7109375" style="2524" bestFit="1" customWidth="1"/>
    <col min="6675" max="6910" width="9.140625" style="2524"/>
    <col min="6911" max="6911" width="16.28515625" style="2524" bestFit="1" customWidth="1"/>
    <col min="6912" max="6912" width="63.28515625" style="2524" customWidth="1"/>
    <col min="6913" max="6913" width="22" style="2524" customWidth="1"/>
    <col min="6914" max="6916" width="8" style="2524" bestFit="1" customWidth="1"/>
    <col min="6917" max="6917" width="13.85546875" style="2524" customWidth="1"/>
    <col min="6918" max="6918" width="17.28515625" style="2524" bestFit="1" customWidth="1"/>
    <col min="6919" max="6930" width="10.7109375" style="2524" bestFit="1" customWidth="1"/>
    <col min="6931" max="7166" width="9.140625" style="2524"/>
    <col min="7167" max="7167" width="16.28515625" style="2524" bestFit="1" customWidth="1"/>
    <col min="7168" max="7168" width="63.28515625" style="2524" customWidth="1"/>
    <col min="7169" max="7169" width="22" style="2524" customWidth="1"/>
    <col min="7170" max="7172" width="8" style="2524" bestFit="1" customWidth="1"/>
    <col min="7173" max="7173" width="13.85546875" style="2524" customWidth="1"/>
    <col min="7174" max="7174" width="17.28515625" style="2524" bestFit="1" customWidth="1"/>
    <col min="7175" max="7186" width="10.7109375" style="2524" bestFit="1" customWidth="1"/>
    <col min="7187" max="7422" width="9.140625" style="2524"/>
    <col min="7423" max="7423" width="16.28515625" style="2524" bestFit="1" customWidth="1"/>
    <col min="7424" max="7424" width="63.28515625" style="2524" customWidth="1"/>
    <col min="7425" max="7425" width="22" style="2524" customWidth="1"/>
    <col min="7426" max="7428" width="8" style="2524" bestFit="1" customWidth="1"/>
    <col min="7429" max="7429" width="13.85546875" style="2524" customWidth="1"/>
    <col min="7430" max="7430" width="17.28515625" style="2524" bestFit="1" customWidth="1"/>
    <col min="7431" max="7442" width="10.7109375" style="2524" bestFit="1" customWidth="1"/>
    <col min="7443" max="7678" width="9.140625" style="2524"/>
    <col min="7679" max="7679" width="16.28515625" style="2524" bestFit="1" customWidth="1"/>
    <col min="7680" max="7680" width="63.28515625" style="2524" customWidth="1"/>
    <col min="7681" max="7681" width="22" style="2524" customWidth="1"/>
    <col min="7682" max="7684" width="8" style="2524" bestFit="1" customWidth="1"/>
    <col min="7685" max="7685" width="13.85546875" style="2524" customWidth="1"/>
    <col min="7686" max="7686" width="17.28515625" style="2524" bestFit="1" customWidth="1"/>
    <col min="7687" max="7698" width="10.7109375" style="2524" bestFit="1" customWidth="1"/>
    <col min="7699" max="7934" width="9.140625" style="2524"/>
    <col min="7935" max="7935" width="16.28515625" style="2524" bestFit="1" customWidth="1"/>
    <col min="7936" max="7936" width="63.28515625" style="2524" customWidth="1"/>
    <col min="7937" max="7937" width="22" style="2524" customWidth="1"/>
    <col min="7938" max="7940" width="8" style="2524" bestFit="1" customWidth="1"/>
    <col min="7941" max="7941" width="13.85546875" style="2524" customWidth="1"/>
    <col min="7942" max="7942" width="17.28515625" style="2524" bestFit="1" customWidth="1"/>
    <col min="7943" max="7954" width="10.7109375" style="2524" bestFit="1" customWidth="1"/>
    <col min="7955" max="8190" width="9.140625" style="2524"/>
    <col min="8191" max="8191" width="16.28515625" style="2524" bestFit="1" customWidth="1"/>
    <col min="8192" max="8192" width="63.28515625" style="2524" customWidth="1"/>
    <col min="8193" max="8193" width="22" style="2524" customWidth="1"/>
    <col min="8194" max="8196" width="8" style="2524" bestFit="1" customWidth="1"/>
    <col min="8197" max="8197" width="13.85546875" style="2524" customWidth="1"/>
    <col min="8198" max="8198" width="17.28515625" style="2524" bestFit="1" customWidth="1"/>
    <col min="8199" max="8210" width="10.7109375" style="2524" bestFit="1" customWidth="1"/>
    <col min="8211" max="8446" width="9.140625" style="2524"/>
    <col min="8447" max="8447" width="16.28515625" style="2524" bestFit="1" customWidth="1"/>
    <col min="8448" max="8448" width="63.28515625" style="2524" customWidth="1"/>
    <col min="8449" max="8449" width="22" style="2524" customWidth="1"/>
    <col min="8450" max="8452" width="8" style="2524" bestFit="1" customWidth="1"/>
    <col min="8453" max="8453" width="13.85546875" style="2524" customWidth="1"/>
    <col min="8454" max="8454" width="17.28515625" style="2524" bestFit="1" customWidth="1"/>
    <col min="8455" max="8466" width="10.7109375" style="2524" bestFit="1" customWidth="1"/>
    <col min="8467" max="8702" width="9.140625" style="2524"/>
    <col min="8703" max="8703" width="16.28515625" style="2524" bestFit="1" customWidth="1"/>
    <col min="8704" max="8704" width="63.28515625" style="2524" customWidth="1"/>
    <col min="8705" max="8705" width="22" style="2524" customWidth="1"/>
    <col min="8706" max="8708" width="8" style="2524" bestFit="1" customWidth="1"/>
    <col min="8709" max="8709" width="13.85546875" style="2524" customWidth="1"/>
    <col min="8710" max="8710" width="17.28515625" style="2524" bestFit="1" customWidth="1"/>
    <col min="8711" max="8722" width="10.7109375" style="2524" bestFit="1" customWidth="1"/>
    <col min="8723" max="8958" width="9.140625" style="2524"/>
    <col min="8959" max="8959" width="16.28515625" style="2524" bestFit="1" customWidth="1"/>
    <col min="8960" max="8960" width="63.28515625" style="2524" customWidth="1"/>
    <col min="8961" max="8961" width="22" style="2524" customWidth="1"/>
    <col min="8962" max="8964" width="8" style="2524" bestFit="1" customWidth="1"/>
    <col min="8965" max="8965" width="13.85546875" style="2524" customWidth="1"/>
    <col min="8966" max="8966" width="17.28515625" style="2524" bestFit="1" customWidth="1"/>
    <col min="8967" max="8978" width="10.7109375" style="2524" bestFit="1" customWidth="1"/>
    <col min="8979" max="9214" width="9.140625" style="2524"/>
    <col min="9215" max="9215" width="16.28515625" style="2524" bestFit="1" customWidth="1"/>
    <col min="9216" max="9216" width="63.28515625" style="2524" customWidth="1"/>
    <col min="9217" max="9217" width="22" style="2524" customWidth="1"/>
    <col min="9218" max="9220" width="8" style="2524" bestFit="1" customWidth="1"/>
    <col min="9221" max="9221" width="13.85546875" style="2524" customWidth="1"/>
    <col min="9222" max="9222" width="17.28515625" style="2524" bestFit="1" customWidth="1"/>
    <col min="9223" max="9234" width="10.7109375" style="2524" bestFit="1" customWidth="1"/>
    <col min="9235" max="9470" width="9.140625" style="2524"/>
    <col min="9471" max="9471" width="16.28515625" style="2524" bestFit="1" customWidth="1"/>
    <col min="9472" max="9472" width="63.28515625" style="2524" customWidth="1"/>
    <col min="9473" max="9473" width="22" style="2524" customWidth="1"/>
    <col min="9474" max="9476" width="8" style="2524" bestFit="1" customWidth="1"/>
    <col min="9477" max="9477" width="13.85546875" style="2524" customWidth="1"/>
    <col min="9478" max="9478" width="17.28515625" style="2524" bestFit="1" customWidth="1"/>
    <col min="9479" max="9490" width="10.7109375" style="2524" bestFit="1" customWidth="1"/>
    <col min="9491" max="9726" width="9.140625" style="2524"/>
    <col min="9727" max="9727" width="16.28515625" style="2524" bestFit="1" customWidth="1"/>
    <col min="9728" max="9728" width="63.28515625" style="2524" customWidth="1"/>
    <col min="9729" max="9729" width="22" style="2524" customWidth="1"/>
    <col min="9730" max="9732" width="8" style="2524" bestFit="1" customWidth="1"/>
    <col min="9733" max="9733" width="13.85546875" style="2524" customWidth="1"/>
    <col min="9734" max="9734" width="17.28515625" style="2524" bestFit="1" customWidth="1"/>
    <col min="9735" max="9746" width="10.7109375" style="2524" bestFit="1" customWidth="1"/>
    <col min="9747" max="9982" width="9.140625" style="2524"/>
    <col min="9983" max="9983" width="16.28515625" style="2524" bestFit="1" customWidth="1"/>
    <col min="9984" max="9984" width="63.28515625" style="2524" customWidth="1"/>
    <col min="9985" max="9985" width="22" style="2524" customWidth="1"/>
    <col min="9986" max="9988" width="8" style="2524" bestFit="1" customWidth="1"/>
    <col min="9989" max="9989" width="13.85546875" style="2524" customWidth="1"/>
    <col min="9990" max="9990" width="17.28515625" style="2524" bestFit="1" customWidth="1"/>
    <col min="9991" max="10002" width="10.7109375" style="2524" bestFit="1" customWidth="1"/>
    <col min="10003" max="10238" width="9.140625" style="2524"/>
    <col min="10239" max="10239" width="16.28515625" style="2524" bestFit="1" customWidth="1"/>
    <col min="10240" max="10240" width="63.28515625" style="2524" customWidth="1"/>
    <col min="10241" max="10241" width="22" style="2524" customWidth="1"/>
    <col min="10242" max="10244" width="8" style="2524" bestFit="1" customWidth="1"/>
    <col min="10245" max="10245" width="13.85546875" style="2524" customWidth="1"/>
    <col min="10246" max="10246" width="17.28515625" style="2524" bestFit="1" customWidth="1"/>
    <col min="10247" max="10258" width="10.7109375" style="2524" bestFit="1" customWidth="1"/>
    <col min="10259" max="10494" width="9.140625" style="2524"/>
    <col min="10495" max="10495" width="16.28515625" style="2524" bestFit="1" customWidth="1"/>
    <col min="10496" max="10496" width="63.28515625" style="2524" customWidth="1"/>
    <col min="10497" max="10497" width="22" style="2524" customWidth="1"/>
    <col min="10498" max="10500" width="8" style="2524" bestFit="1" customWidth="1"/>
    <col min="10501" max="10501" width="13.85546875" style="2524" customWidth="1"/>
    <col min="10502" max="10502" width="17.28515625" style="2524" bestFit="1" customWidth="1"/>
    <col min="10503" max="10514" width="10.7109375" style="2524" bestFit="1" customWidth="1"/>
    <col min="10515" max="10750" width="9.140625" style="2524"/>
    <col min="10751" max="10751" width="16.28515625" style="2524" bestFit="1" customWidth="1"/>
    <col min="10752" max="10752" width="63.28515625" style="2524" customWidth="1"/>
    <col min="10753" max="10753" width="22" style="2524" customWidth="1"/>
    <col min="10754" max="10756" width="8" style="2524" bestFit="1" customWidth="1"/>
    <col min="10757" max="10757" width="13.85546875" style="2524" customWidth="1"/>
    <col min="10758" max="10758" width="17.28515625" style="2524" bestFit="1" customWidth="1"/>
    <col min="10759" max="10770" width="10.7109375" style="2524" bestFit="1" customWidth="1"/>
    <col min="10771" max="11006" width="9.140625" style="2524"/>
    <col min="11007" max="11007" width="16.28515625" style="2524" bestFit="1" customWidth="1"/>
    <col min="11008" max="11008" width="63.28515625" style="2524" customWidth="1"/>
    <col min="11009" max="11009" width="22" style="2524" customWidth="1"/>
    <col min="11010" max="11012" width="8" style="2524" bestFit="1" customWidth="1"/>
    <col min="11013" max="11013" width="13.85546875" style="2524" customWidth="1"/>
    <col min="11014" max="11014" width="17.28515625" style="2524" bestFit="1" customWidth="1"/>
    <col min="11015" max="11026" width="10.7109375" style="2524" bestFit="1" customWidth="1"/>
    <col min="11027" max="11262" width="9.140625" style="2524"/>
    <col min="11263" max="11263" width="16.28515625" style="2524" bestFit="1" customWidth="1"/>
    <col min="11264" max="11264" width="63.28515625" style="2524" customWidth="1"/>
    <col min="11265" max="11265" width="22" style="2524" customWidth="1"/>
    <col min="11266" max="11268" width="8" style="2524" bestFit="1" customWidth="1"/>
    <col min="11269" max="11269" width="13.85546875" style="2524" customWidth="1"/>
    <col min="11270" max="11270" width="17.28515625" style="2524" bestFit="1" customWidth="1"/>
    <col min="11271" max="11282" width="10.7109375" style="2524" bestFit="1" customWidth="1"/>
    <col min="11283" max="11518" width="9.140625" style="2524"/>
    <col min="11519" max="11519" width="16.28515625" style="2524" bestFit="1" customWidth="1"/>
    <col min="11520" max="11520" width="63.28515625" style="2524" customWidth="1"/>
    <col min="11521" max="11521" width="22" style="2524" customWidth="1"/>
    <col min="11522" max="11524" width="8" style="2524" bestFit="1" customWidth="1"/>
    <col min="11525" max="11525" width="13.85546875" style="2524" customWidth="1"/>
    <col min="11526" max="11526" width="17.28515625" style="2524" bestFit="1" customWidth="1"/>
    <col min="11527" max="11538" width="10.7109375" style="2524" bestFit="1" customWidth="1"/>
    <col min="11539" max="11774" width="9.140625" style="2524"/>
    <col min="11775" max="11775" width="16.28515625" style="2524" bestFit="1" customWidth="1"/>
    <col min="11776" max="11776" width="63.28515625" style="2524" customWidth="1"/>
    <col min="11777" max="11777" width="22" style="2524" customWidth="1"/>
    <col min="11778" max="11780" width="8" style="2524" bestFit="1" customWidth="1"/>
    <col min="11781" max="11781" width="13.85546875" style="2524" customWidth="1"/>
    <col min="11782" max="11782" width="17.28515625" style="2524" bestFit="1" customWidth="1"/>
    <col min="11783" max="11794" width="10.7109375" style="2524" bestFit="1" customWidth="1"/>
    <col min="11795" max="12030" width="9.140625" style="2524"/>
    <col min="12031" max="12031" width="16.28515625" style="2524" bestFit="1" customWidth="1"/>
    <col min="12032" max="12032" width="63.28515625" style="2524" customWidth="1"/>
    <col min="12033" max="12033" width="22" style="2524" customWidth="1"/>
    <col min="12034" max="12036" width="8" style="2524" bestFit="1" customWidth="1"/>
    <col min="12037" max="12037" width="13.85546875" style="2524" customWidth="1"/>
    <col min="12038" max="12038" width="17.28515625" style="2524" bestFit="1" customWidth="1"/>
    <col min="12039" max="12050" width="10.7109375" style="2524" bestFit="1" customWidth="1"/>
    <col min="12051" max="12286" width="9.140625" style="2524"/>
    <col min="12287" max="12287" width="16.28515625" style="2524" bestFit="1" customWidth="1"/>
    <col min="12288" max="12288" width="63.28515625" style="2524" customWidth="1"/>
    <col min="12289" max="12289" width="22" style="2524" customWidth="1"/>
    <col min="12290" max="12292" width="8" style="2524" bestFit="1" customWidth="1"/>
    <col min="12293" max="12293" width="13.85546875" style="2524" customWidth="1"/>
    <col min="12294" max="12294" width="17.28515625" style="2524" bestFit="1" customWidth="1"/>
    <col min="12295" max="12306" width="10.7109375" style="2524" bestFit="1" customWidth="1"/>
    <col min="12307" max="12542" width="9.140625" style="2524"/>
    <col min="12543" max="12543" width="16.28515625" style="2524" bestFit="1" customWidth="1"/>
    <col min="12544" max="12544" width="63.28515625" style="2524" customWidth="1"/>
    <col min="12545" max="12545" width="22" style="2524" customWidth="1"/>
    <col min="12546" max="12548" width="8" style="2524" bestFit="1" customWidth="1"/>
    <col min="12549" max="12549" width="13.85546875" style="2524" customWidth="1"/>
    <col min="12550" max="12550" width="17.28515625" style="2524" bestFit="1" customWidth="1"/>
    <col min="12551" max="12562" width="10.7109375" style="2524" bestFit="1" customWidth="1"/>
    <col min="12563" max="12798" width="9.140625" style="2524"/>
    <col min="12799" max="12799" width="16.28515625" style="2524" bestFit="1" customWidth="1"/>
    <col min="12800" max="12800" width="63.28515625" style="2524" customWidth="1"/>
    <col min="12801" max="12801" width="22" style="2524" customWidth="1"/>
    <col min="12802" max="12804" width="8" style="2524" bestFit="1" customWidth="1"/>
    <col min="12805" max="12805" width="13.85546875" style="2524" customWidth="1"/>
    <col min="12806" max="12806" width="17.28515625" style="2524" bestFit="1" customWidth="1"/>
    <col min="12807" max="12818" width="10.7109375" style="2524" bestFit="1" customWidth="1"/>
    <col min="12819" max="13054" width="9.140625" style="2524"/>
    <col min="13055" max="13055" width="16.28515625" style="2524" bestFit="1" customWidth="1"/>
    <col min="13056" max="13056" width="63.28515625" style="2524" customWidth="1"/>
    <col min="13057" max="13057" width="22" style="2524" customWidth="1"/>
    <col min="13058" max="13060" width="8" style="2524" bestFit="1" customWidth="1"/>
    <col min="13061" max="13061" width="13.85546875" style="2524" customWidth="1"/>
    <col min="13062" max="13062" width="17.28515625" style="2524" bestFit="1" customWidth="1"/>
    <col min="13063" max="13074" width="10.7109375" style="2524" bestFit="1" customWidth="1"/>
    <col min="13075" max="13310" width="9.140625" style="2524"/>
    <col min="13311" max="13311" width="16.28515625" style="2524" bestFit="1" customWidth="1"/>
    <col min="13312" max="13312" width="63.28515625" style="2524" customWidth="1"/>
    <col min="13313" max="13313" width="22" style="2524" customWidth="1"/>
    <col min="13314" max="13316" width="8" style="2524" bestFit="1" customWidth="1"/>
    <col min="13317" max="13317" width="13.85546875" style="2524" customWidth="1"/>
    <col min="13318" max="13318" width="17.28515625" style="2524" bestFit="1" customWidth="1"/>
    <col min="13319" max="13330" width="10.7109375" style="2524" bestFit="1" customWidth="1"/>
    <col min="13331" max="13566" width="9.140625" style="2524"/>
    <col min="13567" max="13567" width="16.28515625" style="2524" bestFit="1" customWidth="1"/>
    <col min="13568" max="13568" width="63.28515625" style="2524" customWidth="1"/>
    <col min="13569" max="13569" width="22" style="2524" customWidth="1"/>
    <col min="13570" max="13572" width="8" style="2524" bestFit="1" customWidth="1"/>
    <col min="13573" max="13573" width="13.85546875" style="2524" customWidth="1"/>
    <col min="13574" max="13574" width="17.28515625" style="2524" bestFit="1" customWidth="1"/>
    <col min="13575" max="13586" width="10.7109375" style="2524" bestFit="1" customWidth="1"/>
    <col min="13587" max="13822" width="9.140625" style="2524"/>
    <col min="13823" max="13823" width="16.28515625" style="2524" bestFit="1" customWidth="1"/>
    <col min="13824" max="13824" width="63.28515625" style="2524" customWidth="1"/>
    <col min="13825" max="13825" width="22" style="2524" customWidth="1"/>
    <col min="13826" max="13828" width="8" style="2524" bestFit="1" customWidth="1"/>
    <col min="13829" max="13829" width="13.85546875" style="2524" customWidth="1"/>
    <col min="13830" max="13830" width="17.28515625" style="2524" bestFit="1" customWidth="1"/>
    <col min="13831" max="13842" width="10.7109375" style="2524" bestFit="1" customWidth="1"/>
    <col min="13843" max="14078" width="9.140625" style="2524"/>
    <col min="14079" max="14079" width="16.28515625" style="2524" bestFit="1" customWidth="1"/>
    <col min="14080" max="14080" width="63.28515625" style="2524" customWidth="1"/>
    <col min="14081" max="14081" width="22" style="2524" customWidth="1"/>
    <col min="14082" max="14084" width="8" style="2524" bestFit="1" customWidth="1"/>
    <col min="14085" max="14085" width="13.85546875" style="2524" customWidth="1"/>
    <col min="14086" max="14086" width="17.28515625" style="2524" bestFit="1" customWidth="1"/>
    <col min="14087" max="14098" width="10.7109375" style="2524" bestFit="1" customWidth="1"/>
    <col min="14099" max="14334" width="9.140625" style="2524"/>
    <col min="14335" max="14335" width="16.28515625" style="2524" bestFit="1" customWidth="1"/>
    <col min="14336" max="14336" width="63.28515625" style="2524" customWidth="1"/>
    <col min="14337" max="14337" width="22" style="2524" customWidth="1"/>
    <col min="14338" max="14340" width="8" style="2524" bestFit="1" customWidth="1"/>
    <col min="14341" max="14341" width="13.85546875" style="2524" customWidth="1"/>
    <col min="14342" max="14342" width="17.28515625" style="2524" bestFit="1" customWidth="1"/>
    <col min="14343" max="14354" width="10.7109375" style="2524" bestFit="1" customWidth="1"/>
    <col min="14355" max="14590" width="9.140625" style="2524"/>
    <col min="14591" max="14591" width="16.28515625" style="2524" bestFit="1" customWidth="1"/>
    <col min="14592" max="14592" width="63.28515625" style="2524" customWidth="1"/>
    <col min="14593" max="14593" width="22" style="2524" customWidth="1"/>
    <col min="14594" max="14596" width="8" style="2524" bestFit="1" customWidth="1"/>
    <col min="14597" max="14597" width="13.85546875" style="2524" customWidth="1"/>
    <col min="14598" max="14598" width="17.28515625" style="2524" bestFit="1" customWidth="1"/>
    <col min="14599" max="14610" width="10.7109375" style="2524" bestFit="1" customWidth="1"/>
    <col min="14611" max="14846" width="9.140625" style="2524"/>
    <col min="14847" max="14847" width="16.28515625" style="2524" bestFit="1" customWidth="1"/>
    <col min="14848" max="14848" width="63.28515625" style="2524" customWidth="1"/>
    <col min="14849" max="14849" width="22" style="2524" customWidth="1"/>
    <col min="14850" max="14852" width="8" style="2524" bestFit="1" customWidth="1"/>
    <col min="14853" max="14853" width="13.85546875" style="2524" customWidth="1"/>
    <col min="14854" max="14854" width="17.28515625" style="2524" bestFit="1" customWidth="1"/>
    <col min="14855" max="14866" width="10.7109375" style="2524" bestFit="1" customWidth="1"/>
    <col min="14867" max="15102" width="9.140625" style="2524"/>
    <col min="15103" max="15103" width="16.28515625" style="2524" bestFit="1" customWidth="1"/>
    <col min="15104" max="15104" width="63.28515625" style="2524" customWidth="1"/>
    <col min="15105" max="15105" width="22" style="2524" customWidth="1"/>
    <col min="15106" max="15108" width="8" style="2524" bestFit="1" customWidth="1"/>
    <col min="15109" max="15109" width="13.85546875" style="2524" customWidth="1"/>
    <col min="15110" max="15110" width="17.28515625" style="2524" bestFit="1" customWidth="1"/>
    <col min="15111" max="15122" width="10.7109375" style="2524" bestFit="1" customWidth="1"/>
    <col min="15123" max="15358" width="9.140625" style="2524"/>
    <col min="15359" max="15359" width="16.28515625" style="2524" bestFit="1" customWidth="1"/>
    <col min="15360" max="15360" width="63.28515625" style="2524" customWidth="1"/>
    <col min="15361" max="15361" width="22" style="2524" customWidth="1"/>
    <col min="15362" max="15364" width="8" style="2524" bestFit="1" customWidth="1"/>
    <col min="15365" max="15365" width="13.85546875" style="2524" customWidth="1"/>
    <col min="15366" max="15366" width="17.28515625" style="2524" bestFit="1" customWidth="1"/>
    <col min="15367" max="15378" width="10.7109375" style="2524" bestFit="1" customWidth="1"/>
    <col min="15379" max="15614" width="9.140625" style="2524"/>
    <col min="15615" max="15615" width="16.28515625" style="2524" bestFit="1" customWidth="1"/>
    <col min="15616" max="15616" width="63.28515625" style="2524" customWidth="1"/>
    <col min="15617" max="15617" width="22" style="2524" customWidth="1"/>
    <col min="15618" max="15620" width="8" style="2524" bestFit="1" customWidth="1"/>
    <col min="15621" max="15621" width="13.85546875" style="2524" customWidth="1"/>
    <col min="15622" max="15622" width="17.28515625" style="2524" bestFit="1" customWidth="1"/>
    <col min="15623" max="15634" width="10.7109375" style="2524" bestFit="1" customWidth="1"/>
    <col min="15635" max="15870" width="9.140625" style="2524"/>
    <col min="15871" max="15871" width="16.28515625" style="2524" bestFit="1" customWidth="1"/>
    <col min="15872" max="15872" width="63.28515625" style="2524" customWidth="1"/>
    <col min="15873" max="15873" width="22" style="2524" customWidth="1"/>
    <col min="15874" max="15876" width="8" style="2524" bestFit="1" customWidth="1"/>
    <col min="15877" max="15877" width="13.85546875" style="2524" customWidth="1"/>
    <col min="15878" max="15878" width="17.28515625" style="2524" bestFit="1" customWidth="1"/>
    <col min="15879" max="15890" width="10.7109375" style="2524" bestFit="1" customWidth="1"/>
    <col min="15891" max="16126" width="9.140625" style="2524"/>
    <col min="16127" max="16127" width="16.28515625" style="2524" bestFit="1" customWidth="1"/>
    <col min="16128" max="16128" width="63.28515625" style="2524" customWidth="1"/>
    <col min="16129" max="16129" width="22" style="2524" customWidth="1"/>
    <col min="16130" max="16132" width="8" style="2524" bestFit="1" customWidth="1"/>
    <col min="16133" max="16133" width="13.85546875" style="2524" customWidth="1"/>
    <col min="16134" max="16134" width="17.28515625" style="2524" bestFit="1" customWidth="1"/>
    <col min="16135" max="16146" width="10.7109375" style="2524" bestFit="1" customWidth="1"/>
    <col min="16147" max="16384" width="9.140625" style="2524"/>
  </cols>
  <sheetData>
    <row r="1" spans="1:31" s="2525" customFormat="1" ht="24.95" customHeight="1">
      <c r="B1" s="2522" t="str">
        <f>IF(dms_DataQuality="backcast",INDEX(dms_Worksheet_List,MATCH(dms_Model,dms_Model_List))&amp;" BACKCAST",INDEX(dms_Worksheet_List,MATCH(dms_Model,dms_Model_List)))</f>
        <v>REGULATORY REPORTING STATEMENT</v>
      </c>
      <c r="C1" s="2769"/>
      <c r="D1" s="2769"/>
      <c r="E1" s="2769"/>
      <c r="F1" s="2769"/>
      <c r="G1" s="2769"/>
      <c r="H1" s="2769"/>
      <c r="I1" s="2769"/>
      <c r="J1" s="2769"/>
      <c r="K1" s="2769"/>
      <c r="L1" s="2769"/>
      <c r="M1" s="2769"/>
      <c r="N1" s="2769"/>
      <c r="O1" s="2769"/>
      <c r="P1" s="2769"/>
      <c r="Q1" s="2769"/>
      <c r="R1" s="2769"/>
      <c r="S1" s="2769"/>
      <c r="T1" s="2769"/>
      <c r="U1" s="2769"/>
      <c r="V1" s="2769"/>
      <c r="W1" s="2769"/>
      <c r="X1" s="2769"/>
      <c r="Y1" s="2769"/>
      <c r="Z1" s="2769"/>
      <c r="AA1" s="2769"/>
      <c r="AB1" s="2769"/>
      <c r="AC1" s="2524"/>
      <c r="AD1" s="2524"/>
      <c r="AE1" s="2524"/>
    </row>
    <row r="2" spans="1:31" s="2525" customFormat="1" ht="24.95" customHeight="1">
      <c r="B2" s="2526" t="str">
        <f>INDEX(dms_TradingNameFull_List,MATCH(dms_TradingName,dms_TradingName_List))</f>
        <v>AusNet Gas Services</v>
      </c>
      <c r="C2" s="2526"/>
      <c r="D2" s="2526"/>
      <c r="E2" s="2526"/>
      <c r="F2" s="2526"/>
      <c r="G2" s="2526"/>
      <c r="H2" s="2526"/>
      <c r="I2" s="2526"/>
      <c r="J2" s="2526"/>
      <c r="K2" s="2526"/>
      <c r="L2" s="2526"/>
      <c r="M2" s="2526"/>
      <c r="N2" s="2526"/>
      <c r="O2" s="2526"/>
      <c r="P2" s="2526"/>
      <c r="Q2" s="2526"/>
      <c r="R2" s="2526"/>
      <c r="S2" s="2526"/>
      <c r="T2" s="2526"/>
      <c r="U2" s="2526"/>
      <c r="V2" s="2526"/>
      <c r="W2" s="2526"/>
      <c r="X2" s="2526"/>
      <c r="Y2" s="2526"/>
      <c r="Z2" s="2526"/>
      <c r="AA2" s="2526"/>
      <c r="AB2" s="2526"/>
      <c r="AC2" s="2524"/>
      <c r="AD2" s="2524"/>
      <c r="AE2" s="2524"/>
    </row>
    <row r="3" spans="1:31" s="2525" customFormat="1" ht="24.95" customHeight="1">
      <c r="B3" s="2526" t="str">
        <f ca="1">IF(SUM(dms_SingleYear_Model)&gt;0,CRY,CONCATENATE(FRCP_y1," to ",dms_MultiYear_FinalYear_Result))</f>
        <v>2018 to 2022</v>
      </c>
      <c r="C3" s="2528"/>
      <c r="D3" s="2528"/>
      <c r="E3" s="2528"/>
      <c r="F3" s="2528"/>
      <c r="G3" s="2528"/>
      <c r="H3" s="2528"/>
      <c r="I3" s="2528"/>
      <c r="J3" s="2528"/>
      <c r="K3" s="2528"/>
      <c r="L3" s="2528"/>
      <c r="M3" s="2528"/>
      <c r="N3" s="2528"/>
      <c r="O3" s="2528"/>
      <c r="P3" s="2528"/>
      <c r="Q3" s="2528"/>
      <c r="R3" s="2528"/>
      <c r="S3" s="2528"/>
      <c r="T3" s="2528"/>
      <c r="U3" s="2528"/>
      <c r="V3" s="2528"/>
      <c r="W3" s="2528"/>
      <c r="X3" s="2528"/>
      <c r="Y3" s="2528"/>
      <c r="Z3" s="2528"/>
      <c r="AA3" s="2528"/>
      <c r="AB3" s="2528"/>
      <c r="AC3" s="2524"/>
      <c r="AD3" s="2524"/>
      <c r="AE3" s="2524"/>
    </row>
    <row r="4" spans="1:31" s="2525" customFormat="1" ht="24" customHeight="1">
      <c r="B4" s="2529" t="s">
        <v>1596</v>
      </c>
      <c r="C4" s="2770"/>
      <c r="D4" s="2770"/>
      <c r="E4" s="2770"/>
      <c r="F4" s="2770"/>
      <c r="G4" s="2770"/>
      <c r="H4" s="2770"/>
      <c r="I4" s="2770"/>
      <c r="J4" s="2770"/>
      <c r="K4" s="2770"/>
      <c r="L4" s="2770"/>
      <c r="M4" s="2770"/>
      <c r="N4" s="2770"/>
      <c r="O4" s="2770"/>
      <c r="P4" s="2770"/>
      <c r="Q4" s="2770"/>
      <c r="R4" s="2770"/>
      <c r="S4" s="2770"/>
      <c r="T4" s="2770"/>
      <c r="U4" s="2770"/>
      <c r="V4" s="2770"/>
      <c r="W4" s="2770"/>
      <c r="X4" s="2770"/>
      <c r="Y4" s="2770"/>
      <c r="Z4" s="2770"/>
      <c r="AA4" s="2770"/>
      <c r="AB4" s="2770"/>
      <c r="AC4" s="2524"/>
      <c r="AD4" s="2524"/>
      <c r="AE4" s="2524"/>
    </row>
    <row r="5" spans="1:31">
      <c r="A5" s="360"/>
      <c r="B5" s="3011"/>
      <c r="C5" s="2771"/>
      <c r="D5" s="2771"/>
      <c r="E5" s="2771"/>
      <c r="F5" s="2771"/>
      <c r="G5" s="2771"/>
      <c r="H5" s="2771"/>
      <c r="I5" s="2771"/>
      <c r="J5" s="2771"/>
      <c r="K5" s="2771"/>
      <c r="L5" s="2771"/>
      <c r="M5" s="2771"/>
      <c r="N5" s="2771"/>
      <c r="O5" s="2771"/>
      <c r="P5" s="2771"/>
      <c r="Q5" s="2771"/>
      <c r="R5" s="2771"/>
      <c r="S5" s="2771"/>
      <c r="T5" s="2771"/>
      <c r="U5" s="2771"/>
      <c r="V5" s="2771"/>
      <c r="W5" s="2771"/>
      <c r="X5" s="2771"/>
      <c r="Y5" s="2771"/>
      <c r="Z5" s="2771"/>
      <c r="AA5" s="2771"/>
      <c r="AB5" s="2771"/>
    </row>
    <row r="6" spans="1:31">
      <c r="A6" s="2771"/>
      <c r="B6" s="2771"/>
      <c r="C6" s="2771"/>
      <c r="D6" s="2771"/>
      <c r="E6" s="2771"/>
      <c r="F6" s="2771"/>
      <c r="G6" s="2771"/>
      <c r="H6" s="2771"/>
      <c r="I6" s="2771"/>
      <c r="J6" s="2771"/>
      <c r="K6" s="2771"/>
      <c r="L6" s="2771"/>
      <c r="M6" s="2771"/>
      <c r="N6" s="2771"/>
      <c r="O6" s="2771"/>
      <c r="P6" s="2771"/>
      <c r="Q6" s="2771"/>
      <c r="R6" s="2771"/>
      <c r="S6" s="2771"/>
      <c r="T6" s="2771"/>
      <c r="U6" s="2771"/>
      <c r="V6" s="2771"/>
      <c r="W6" s="2771"/>
      <c r="X6" s="2771"/>
      <c r="Y6" s="2771"/>
      <c r="Z6" s="2771"/>
      <c r="AA6" s="2771"/>
      <c r="AB6" s="2771"/>
    </row>
    <row r="7" spans="1:31">
      <c r="A7" s="2771"/>
      <c r="B7" s="4608" t="s">
        <v>59</v>
      </c>
      <c r="C7" s="4608"/>
      <c r="D7" s="4608"/>
      <c r="E7" s="4608"/>
      <c r="F7" s="4608"/>
      <c r="G7" s="4608"/>
      <c r="H7" s="4608"/>
      <c r="I7" s="2771"/>
      <c r="J7" s="2771"/>
      <c r="K7" s="2771"/>
      <c r="L7" s="2771"/>
      <c r="M7" s="2771"/>
      <c r="N7" s="2771"/>
      <c r="O7" s="2771"/>
      <c r="P7" s="2771"/>
      <c r="Q7" s="2771"/>
      <c r="R7" s="2771"/>
      <c r="S7" s="2771"/>
      <c r="T7" s="2771"/>
      <c r="U7" s="2771"/>
      <c r="V7" s="2771"/>
      <c r="W7" s="2771"/>
      <c r="X7" s="2771"/>
      <c r="Y7" s="2771"/>
      <c r="Z7" s="2771"/>
      <c r="AA7" s="2771"/>
      <c r="AB7" s="2771"/>
    </row>
    <row r="8" spans="1:31" ht="12.75" customHeight="1">
      <c r="A8" s="2771"/>
      <c r="B8" s="4609" t="s">
        <v>226</v>
      </c>
      <c r="C8" s="4609"/>
      <c r="D8" s="4609"/>
      <c r="E8" s="4609"/>
      <c r="F8" s="4609"/>
      <c r="G8" s="4609"/>
      <c r="H8" s="4609"/>
      <c r="I8" s="2771"/>
      <c r="J8" s="2771"/>
      <c r="K8" s="2771"/>
      <c r="L8" s="2771"/>
      <c r="M8" s="2771"/>
      <c r="N8" s="2771"/>
      <c r="O8" s="2771"/>
      <c r="P8" s="2771"/>
      <c r="Q8" s="2771"/>
      <c r="R8" s="2771"/>
      <c r="S8" s="2771"/>
      <c r="T8" s="2771"/>
      <c r="U8" s="2771"/>
      <c r="V8" s="2771"/>
      <c r="W8" s="2771"/>
      <c r="X8" s="2771"/>
      <c r="Y8" s="2771"/>
      <c r="Z8" s="2771"/>
      <c r="AA8" s="2771"/>
      <c r="AB8" s="2771"/>
    </row>
    <row r="9" spans="1:31" ht="12.75" customHeight="1">
      <c r="A9" s="2771"/>
      <c r="B9" s="4610" t="s">
        <v>476</v>
      </c>
      <c r="C9" s="4610"/>
      <c r="D9" s="3012"/>
      <c r="E9" s="3012"/>
      <c r="F9" s="3012"/>
      <c r="G9" s="3012"/>
      <c r="H9" s="3012"/>
      <c r="I9" s="3013"/>
      <c r="J9" s="3013"/>
      <c r="K9" s="3013"/>
      <c r="L9" s="3013"/>
      <c r="M9" s="3013"/>
      <c r="N9" s="3013"/>
      <c r="O9" s="3013"/>
      <c r="P9" s="2771"/>
      <c r="Q9" s="2771"/>
      <c r="R9" s="2771"/>
      <c r="S9" s="3013"/>
      <c r="T9" s="3013"/>
      <c r="U9" s="2771"/>
      <c r="V9" s="2771"/>
      <c r="W9" s="2771"/>
      <c r="X9" s="3013"/>
      <c r="Y9" s="3013"/>
      <c r="Z9" s="2771"/>
      <c r="AA9" s="2771"/>
      <c r="AB9" s="2771"/>
    </row>
    <row r="10" spans="1:31" ht="20.25" customHeight="1">
      <c r="A10" s="2771"/>
      <c r="B10" s="4611" t="s">
        <v>386</v>
      </c>
      <c r="C10" s="4612"/>
      <c r="D10" s="4612"/>
      <c r="E10" s="4612"/>
      <c r="F10" s="4612"/>
      <c r="G10" s="4612"/>
      <c r="H10" s="4612"/>
      <c r="I10" s="2771"/>
      <c r="J10" s="2771"/>
      <c r="K10" s="2771"/>
      <c r="L10" s="2771"/>
      <c r="M10" s="2771"/>
      <c r="N10" s="2771"/>
      <c r="O10" s="2771"/>
      <c r="P10" s="2771"/>
      <c r="Q10" s="2771"/>
      <c r="R10" s="2771"/>
      <c r="S10" s="2771"/>
      <c r="T10" s="2771"/>
      <c r="U10" s="2771"/>
      <c r="V10" s="2771"/>
      <c r="W10" s="2771"/>
      <c r="X10" s="2771"/>
      <c r="Y10" s="2771"/>
      <c r="Z10" s="2771"/>
      <c r="AA10" s="2771"/>
      <c r="AB10" s="2771"/>
    </row>
    <row r="11" spans="1:31" ht="33.75" customHeight="1" thickBot="1">
      <c r="A11" s="2771"/>
      <c r="B11" s="3014"/>
      <c r="C11" s="2771"/>
      <c r="D11" s="2771"/>
      <c r="E11" s="2771"/>
      <c r="F11" s="2771"/>
      <c r="G11" s="2771"/>
      <c r="H11" s="2771"/>
      <c r="I11" s="2771"/>
      <c r="J11" s="2771"/>
      <c r="K11" s="2771"/>
      <c r="L11" s="2771"/>
      <c r="M11" s="2771"/>
      <c r="N11" s="2771"/>
      <c r="O11" s="2771"/>
      <c r="P11" s="2771"/>
      <c r="Q11" s="2771"/>
      <c r="R11" s="2771"/>
      <c r="S11" s="2771"/>
      <c r="T11" s="2771"/>
      <c r="U11" s="2771"/>
      <c r="V11" s="2771"/>
      <c r="W11" s="2771"/>
      <c r="X11" s="2771"/>
      <c r="Y11" s="2771"/>
      <c r="Z11" s="2771"/>
      <c r="AA11" s="2771"/>
      <c r="AB11" s="2771"/>
    </row>
    <row r="12" spans="1:31">
      <c r="A12" s="2771"/>
      <c r="B12" s="3015" t="s">
        <v>247</v>
      </c>
      <c r="C12" s="2771"/>
      <c r="D12" s="2771"/>
      <c r="E12" s="2771"/>
      <c r="F12" s="2771"/>
      <c r="G12" s="2771"/>
      <c r="H12" s="2771"/>
      <c r="I12" s="2771"/>
      <c r="J12" s="2771"/>
      <c r="K12" s="2771"/>
      <c r="L12" s="2771"/>
      <c r="M12" s="2771"/>
      <c r="N12" s="2771"/>
      <c r="O12" s="2771"/>
      <c r="P12" s="2771"/>
      <c r="Q12" s="2771"/>
      <c r="R12" s="2771"/>
      <c r="S12" s="2771"/>
      <c r="T12" s="2771"/>
      <c r="U12" s="2771"/>
      <c r="V12" s="2771"/>
      <c r="W12" s="2771"/>
      <c r="X12" s="2771"/>
      <c r="Y12" s="2771"/>
      <c r="Z12" s="2771"/>
      <c r="AA12" s="2771"/>
      <c r="AB12" s="2771"/>
    </row>
    <row r="13" spans="1:31" ht="27" customHeight="1">
      <c r="A13" s="2771"/>
      <c r="B13" s="3016" t="s">
        <v>1597</v>
      </c>
      <c r="C13" s="2771"/>
      <c r="D13" s="2771"/>
      <c r="E13" s="2771"/>
      <c r="F13" s="2771"/>
      <c r="G13" s="2771"/>
      <c r="H13" s="2771"/>
      <c r="I13" s="2771"/>
      <c r="J13" s="2771"/>
      <c r="K13" s="2771"/>
      <c r="L13" s="2771"/>
      <c r="M13" s="2771"/>
      <c r="N13" s="2771"/>
      <c r="O13" s="2771"/>
      <c r="P13" s="2771"/>
      <c r="Q13" s="2771"/>
      <c r="R13" s="2771"/>
      <c r="S13" s="2771"/>
      <c r="T13" s="2771"/>
      <c r="U13" s="2771"/>
      <c r="V13" s="2771"/>
      <c r="W13" s="2771"/>
      <c r="X13" s="2771"/>
      <c r="Y13" s="2771"/>
      <c r="Z13" s="2771"/>
      <c r="AA13" s="2771"/>
      <c r="AB13" s="2771"/>
    </row>
    <row r="14" spans="1:31">
      <c r="A14" s="2771"/>
      <c r="B14" s="2771"/>
      <c r="C14" s="2771"/>
      <c r="D14" s="2771"/>
      <c r="E14" s="2771"/>
      <c r="F14" s="2771"/>
      <c r="G14" s="2771"/>
      <c r="H14" s="2771"/>
      <c r="I14" s="2771"/>
      <c r="J14" s="2771"/>
      <c r="K14" s="2771"/>
      <c r="L14" s="2771"/>
      <c r="M14" s="2771"/>
      <c r="N14" s="2771"/>
      <c r="O14" s="2771"/>
      <c r="P14" s="2771"/>
      <c r="Q14" s="2771"/>
      <c r="R14" s="2771"/>
      <c r="S14" s="2771"/>
      <c r="T14" s="2771"/>
      <c r="U14" s="2771"/>
      <c r="V14" s="2771"/>
      <c r="W14" s="2771"/>
      <c r="X14" s="2771"/>
      <c r="Y14" s="2771"/>
      <c r="Z14" s="2771"/>
      <c r="AA14" s="2771"/>
      <c r="AB14" s="2771"/>
    </row>
    <row r="15" spans="1:31" ht="13.5" thickBot="1">
      <c r="A15" s="2771"/>
      <c r="B15" s="2771"/>
      <c r="C15" s="2771"/>
      <c r="D15" s="2771"/>
      <c r="E15" s="2771"/>
      <c r="F15" s="2771"/>
      <c r="G15" s="2771"/>
      <c r="H15" s="2771"/>
      <c r="I15" s="2771"/>
      <c r="J15" s="2771"/>
      <c r="K15" s="2771"/>
      <c r="L15" s="2771"/>
      <c r="M15" s="2771"/>
      <c r="N15" s="2771"/>
      <c r="O15" s="2771"/>
      <c r="P15" s="2771"/>
      <c r="Q15" s="2771"/>
      <c r="R15" s="2771"/>
      <c r="S15" s="2771"/>
      <c r="T15" s="2771"/>
      <c r="U15" s="2771"/>
      <c r="V15" s="2771"/>
      <c r="W15" s="2771"/>
      <c r="X15" s="2771"/>
      <c r="Y15" s="2771"/>
      <c r="Z15" s="2771"/>
      <c r="AA15" s="2771"/>
      <c r="AB15" s="2771"/>
    </row>
    <row r="16" spans="1:31" ht="34.5" customHeight="1" thickBot="1">
      <c r="A16" s="2771"/>
      <c r="B16" s="2780" t="s">
        <v>1598</v>
      </c>
      <c r="C16" s="2781"/>
      <c r="D16" s="2781"/>
      <c r="E16" s="2781"/>
      <c r="F16" s="2781"/>
      <c r="G16" s="2781"/>
      <c r="H16" s="2781"/>
      <c r="I16" s="2781"/>
      <c r="J16" s="2781"/>
      <c r="K16" s="2782"/>
      <c r="L16" s="2782"/>
      <c r="M16" s="2782"/>
      <c r="N16" s="2782"/>
      <c r="O16" s="2782"/>
      <c r="P16" s="2782"/>
      <c r="Q16" s="2782"/>
      <c r="R16" s="2782"/>
      <c r="S16" s="2782"/>
      <c r="T16" s="2782"/>
      <c r="U16" s="2782"/>
      <c r="V16" s="2782"/>
      <c r="W16" s="2782"/>
      <c r="X16" s="2782"/>
      <c r="Y16" s="2782"/>
      <c r="Z16" s="2782"/>
      <c r="AA16" s="2782"/>
      <c r="AB16" s="2782"/>
      <c r="AC16" s="2782"/>
    </row>
    <row r="17" spans="1:135" ht="20.25" customHeight="1">
      <c r="A17" s="2771"/>
      <c r="B17" s="4613"/>
      <c r="C17" s="4616" t="s">
        <v>634</v>
      </c>
      <c r="D17" s="4619" t="s">
        <v>70</v>
      </c>
      <c r="E17" s="4622" t="s">
        <v>37</v>
      </c>
      <c r="F17" s="4623"/>
      <c r="G17" s="4623"/>
      <c r="H17" s="4623"/>
      <c r="I17" s="4623"/>
      <c r="J17" s="4585" t="s">
        <v>73</v>
      </c>
      <c r="K17" s="4585"/>
      <c r="L17" s="4585"/>
      <c r="M17" s="4585"/>
      <c r="N17" s="4585"/>
      <c r="O17" s="4586" t="s">
        <v>249</v>
      </c>
      <c r="P17" s="4586"/>
      <c r="Q17" s="4586"/>
      <c r="R17" s="4586"/>
      <c r="S17" s="4586"/>
      <c r="T17" s="4586"/>
      <c r="U17" s="4586"/>
      <c r="V17" s="4586"/>
      <c r="W17" s="4586"/>
      <c r="X17" s="4586"/>
      <c r="Y17" s="4586"/>
      <c r="Z17" s="4586"/>
      <c r="AA17" s="4586"/>
      <c r="AB17" s="4586"/>
      <c r="AC17" s="4587"/>
    </row>
    <row r="18" spans="1:135" ht="20.25" customHeight="1">
      <c r="A18" s="2771"/>
      <c r="B18" s="4614"/>
      <c r="C18" s="4617"/>
      <c r="D18" s="4620"/>
      <c r="E18" s="4588" t="s">
        <v>337</v>
      </c>
      <c r="F18" s="4589"/>
      <c r="G18" s="4589"/>
      <c r="H18" s="4589"/>
      <c r="I18" s="4589"/>
      <c r="J18" s="4589"/>
      <c r="K18" s="4589"/>
      <c r="L18" s="4589"/>
      <c r="M18" s="4589"/>
      <c r="N18" s="4589"/>
      <c r="O18" s="4589"/>
      <c r="P18" s="4589"/>
      <c r="Q18" s="4589"/>
      <c r="R18" s="4589"/>
      <c r="S18" s="4589"/>
      <c r="T18" s="4589"/>
      <c r="U18" s="4589"/>
      <c r="V18" s="4589"/>
      <c r="W18" s="4589"/>
      <c r="X18" s="4589"/>
      <c r="Y18" s="4589"/>
      <c r="Z18" s="4589"/>
      <c r="AA18" s="4589"/>
      <c r="AB18" s="4589"/>
      <c r="AC18" s="4590"/>
    </row>
    <row r="19" spans="1:135" ht="20.25" customHeight="1">
      <c r="A19" s="2771"/>
      <c r="B19" s="4614"/>
      <c r="C19" s="4617"/>
      <c r="D19" s="4620"/>
      <c r="E19" s="4588" t="s">
        <v>54</v>
      </c>
      <c r="F19" s="4589"/>
      <c r="G19" s="4591"/>
      <c r="H19" s="4592" t="s">
        <v>377</v>
      </c>
      <c r="I19" s="4593"/>
      <c r="J19" s="4593"/>
      <c r="K19" s="4593"/>
      <c r="L19" s="4593"/>
      <c r="M19" s="4593"/>
      <c r="N19" s="4593"/>
      <c r="O19" s="4593"/>
      <c r="P19" s="4593"/>
      <c r="Q19" s="4593"/>
      <c r="R19" s="4593"/>
      <c r="S19" s="4593"/>
      <c r="T19" s="4593"/>
      <c r="U19" s="4593"/>
      <c r="V19" s="4593"/>
      <c r="W19" s="4593"/>
      <c r="X19" s="4593"/>
      <c r="Y19" s="4593"/>
      <c r="Z19" s="4593"/>
      <c r="AA19" s="4593"/>
      <c r="AB19" s="4593"/>
      <c r="AC19" s="4594"/>
    </row>
    <row r="20" spans="1:135" ht="20.25" customHeight="1" thickBot="1">
      <c r="A20" s="2771"/>
      <c r="B20" s="4615"/>
      <c r="C20" s="4618"/>
      <c r="D20" s="4621"/>
      <c r="E20" s="3017">
        <f>CRCP_y1</f>
        <v>2013</v>
      </c>
      <c r="F20" s="3017">
        <f>CRCP_y2</f>
        <v>2014</v>
      </c>
      <c r="G20" s="3017">
        <f>CRCP_y3</f>
        <v>2015</v>
      </c>
      <c r="H20" s="3017">
        <f>CRCP_y4</f>
        <v>2016</v>
      </c>
      <c r="I20" s="3017">
        <f>CRCP_y5</f>
        <v>2017</v>
      </c>
      <c r="J20" s="3017" t="str">
        <f>CONCATENATE(IF(dms_RPT="Calendar",I20+1,(LEFT(I20,4)+1&amp;"-"&amp;IF(MID(I20,6,2)&lt;"09","0"&amp;RIGHT(I20,1)+1,RIGHT(I20,2)+1))))</f>
        <v>2018</v>
      </c>
      <c r="K20" s="3017" t="str">
        <f t="shared" ref="K20:AC20" si="0">CONCATENATE(IF(dms_RPT="Calendar",J20+1,(LEFT(J20,4)+1&amp;"-"&amp;IF(MID(J20,6,2)&lt;"09","0"&amp;RIGHT(J20,1)+1,RIGHT(J20,2)+1))))</f>
        <v>2019</v>
      </c>
      <c r="L20" s="3017" t="str">
        <f t="shared" si="0"/>
        <v>2020</v>
      </c>
      <c r="M20" s="3017" t="str">
        <f t="shared" si="0"/>
        <v>2021</v>
      </c>
      <c r="N20" s="3017" t="str">
        <f t="shared" si="0"/>
        <v>2022</v>
      </c>
      <c r="O20" s="3017" t="str">
        <f t="shared" si="0"/>
        <v>2023</v>
      </c>
      <c r="P20" s="3017" t="str">
        <f t="shared" si="0"/>
        <v>2024</v>
      </c>
      <c r="Q20" s="3017" t="str">
        <f t="shared" si="0"/>
        <v>2025</v>
      </c>
      <c r="R20" s="3017" t="str">
        <f t="shared" si="0"/>
        <v>2026</v>
      </c>
      <c r="S20" s="3017" t="str">
        <f t="shared" si="0"/>
        <v>2027</v>
      </c>
      <c r="T20" s="3017" t="str">
        <f t="shared" si="0"/>
        <v>2028</v>
      </c>
      <c r="U20" s="3017" t="str">
        <f t="shared" si="0"/>
        <v>2029</v>
      </c>
      <c r="V20" s="3017" t="str">
        <f t="shared" si="0"/>
        <v>2030</v>
      </c>
      <c r="W20" s="3017" t="str">
        <f t="shared" si="0"/>
        <v>2031</v>
      </c>
      <c r="X20" s="3017" t="str">
        <f t="shared" si="0"/>
        <v>2032</v>
      </c>
      <c r="Y20" s="3017" t="str">
        <f t="shared" si="0"/>
        <v>2033</v>
      </c>
      <c r="Z20" s="3017" t="str">
        <f t="shared" si="0"/>
        <v>2034</v>
      </c>
      <c r="AA20" s="3017" t="str">
        <f t="shared" si="0"/>
        <v>2035</v>
      </c>
      <c r="AB20" s="3017" t="str">
        <f t="shared" si="0"/>
        <v>2036</v>
      </c>
      <c r="AC20" s="3017" t="str">
        <f t="shared" si="0"/>
        <v>2037</v>
      </c>
    </row>
    <row r="21" spans="1:135" s="3019" customFormat="1" ht="18.75" customHeight="1" thickBot="1">
      <c r="A21" s="3013"/>
      <c r="B21" s="2783" t="s">
        <v>1599</v>
      </c>
      <c r="C21" s="2784"/>
      <c r="D21" s="2784"/>
      <c r="E21" s="2784"/>
      <c r="F21" s="2784"/>
      <c r="G21" s="2784"/>
      <c r="H21" s="2784"/>
      <c r="I21" s="2784"/>
      <c r="J21" s="2784"/>
      <c r="K21" s="3018"/>
      <c r="L21" s="3018"/>
      <c r="M21" s="3018"/>
      <c r="N21" s="3018"/>
      <c r="O21" s="3018"/>
      <c r="P21" s="3018"/>
      <c r="Q21" s="3018"/>
      <c r="R21" s="3018"/>
      <c r="S21" s="3018"/>
      <c r="T21" s="3018"/>
      <c r="U21" s="3018"/>
      <c r="V21" s="3018"/>
      <c r="W21" s="3018"/>
      <c r="X21" s="3018"/>
      <c r="Y21" s="3018"/>
      <c r="Z21" s="3018"/>
      <c r="AA21" s="3018"/>
      <c r="AB21" s="3018"/>
      <c r="AC21" s="2785"/>
      <c r="AD21" s="2524"/>
      <c r="AE21" s="2524"/>
      <c r="AF21" s="2524"/>
      <c r="DF21" s="2524"/>
      <c r="DG21" s="2524"/>
      <c r="DH21" s="2524"/>
      <c r="DI21" s="2524"/>
      <c r="DJ21" s="2524"/>
      <c r="DK21" s="2524"/>
      <c r="DL21" s="2524"/>
      <c r="DM21" s="2524"/>
      <c r="DN21" s="2524"/>
      <c r="DO21" s="2524"/>
      <c r="DP21" s="2524"/>
      <c r="DQ21" s="2524"/>
      <c r="DR21" s="2524"/>
      <c r="DS21" s="2524"/>
      <c r="DT21" s="2524"/>
      <c r="DU21" s="2524"/>
      <c r="DV21" s="2524"/>
      <c r="DW21" s="2524"/>
      <c r="DX21" s="2524"/>
      <c r="DY21" s="2524"/>
      <c r="DZ21" s="2524"/>
      <c r="EA21" s="2524"/>
      <c r="EB21" s="2524"/>
      <c r="EC21" s="2524"/>
      <c r="ED21" s="2524"/>
      <c r="EE21" s="2524"/>
    </row>
    <row r="22" spans="1:135" s="3020" customFormat="1">
      <c r="B22" s="4604" t="s">
        <v>1623</v>
      </c>
      <c r="C22" s="4606" t="s">
        <v>47</v>
      </c>
      <c r="D22" s="4607"/>
      <c r="E22" s="3021">
        <v>0</v>
      </c>
      <c r="F22" s="3022">
        <v>93</v>
      </c>
      <c r="G22" s="3022">
        <v>264</v>
      </c>
      <c r="H22" s="3022">
        <v>371.25</v>
      </c>
      <c r="I22" s="3023">
        <v>422.4375</v>
      </c>
      <c r="J22" s="3024">
        <v>460.828125</v>
      </c>
      <c r="K22" s="3025">
        <v>489.62109375</v>
      </c>
      <c r="L22" s="3025">
        <v>511.2158203125</v>
      </c>
      <c r="M22" s="3025">
        <v>527.411865234375</v>
      </c>
      <c r="N22" s="3026">
        <v>539.55889892578125</v>
      </c>
      <c r="O22" s="3027">
        <v>548.66917419433594</v>
      </c>
      <c r="P22" s="3025">
        <v>555.50188064575195</v>
      </c>
      <c r="Q22" s="3025">
        <v>560.62641048431396</v>
      </c>
      <c r="R22" s="3025">
        <v>564.46980786323547</v>
      </c>
      <c r="S22" s="3025">
        <v>567.35235589742661</v>
      </c>
      <c r="T22" s="3025">
        <v>569.51426692306995</v>
      </c>
      <c r="U22" s="3025">
        <v>571.13570019230247</v>
      </c>
      <c r="V22" s="3025">
        <v>572.35177514422685</v>
      </c>
      <c r="W22" s="3025">
        <v>573.26383135817014</v>
      </c>
      <c r="X22" s="3025">
        <v>573.9478735186276</v>
      </c>
      <c r="Y22" s="3025">
        <v>574.4609051389707</v>
      </c>
      <c r="Z22" s="3025">
        <v>574.84567885422803</v>
      </c>
      <c r="AA22" s="3025">
        <v>575.13425914067102</v>
      </c>
      <c r="AB22" s="3025">
        <v>575.35069435550326</v>
      </c>
      <c r="AC22" s="3026">
        <v>575.51302076662751</v>
      </c>
      <c r="AD22" s="2524"/>
      <c r="AE22" s="2524"/>
      <c r="AF22" s="3028"/>
      <c r="AG22" s="3028"/>
      <c r="AH22" s="3028"/>
      <c r="AI22" s="3028"/>
      <c r="AJ22" s="3028"/>
      <c r="AK22" s="3028"/>
      <c r="AL22" s="3028"/>
      <c r="AM22" s="3028"/>
      <c r="AN22" s="3028"/>
      <c r="AO22" s="3028"/>
      <c r="AP22" s="3028"/>
      <c r="AQ22" s="3028"/>
      <c r="AR22" s="3028"/>
      <c r="AS22" s="3028"/>
      <c r="AT22" s="3028"/>
      <c r="AU22" s="3028"/>
      <c r="AV22" s="3028"/>
      <c r="AW22" s="3028"/>
      <c r="AX22" s="3028"/>
      <c r="AY22" s="3028"/>
      <c r="AZ22" s="3028"/>
      <c r="BA22" s="3028"/>
      <c r="BB22" s="3028"/>
      <c r="BC22" s="3028"/>
      <c r="BD22" s="3028"/>
      <c r="BE22" s="3028"/>
      <c r="BF22" s="3028"/>
      <c r="BG22" s="3028"/>
      <c r="BH22" s="3028"/>
      <c r="BI22" s="3028"/>
      <c r="BJ22" s="3028"/>
      <c r="BK22" s="3028"/>
      <c r="BL22" s="3028"/>
      <c r="BM22" s="3028"/>
      <c r="BN22" s="3028"/>
      <c r="BO22" s="3028"/>
      <c r="BP22" s="3028"/>
      <c r="BQ22" s="3028"/>
      <c r="BR22" s="3028"/>
      <c r="BS22" s="3028"/>
      <c r="BT22" s="3028"/>
      <c r="BU22" s="3028"/>
      <c r="BV22" s="3028"/>
      <c r="BW22" s="3028"/>
      <c r="BX22" s="3028"/>
      <c r="BY22" s="3028"/>
      <c r="BZ22" s="3028"/>
      <c r="CA22" s="3028"/>
      <c r="CB22" s="3028"/>
      <c r="CC22" s="3028"/>
      <c r="CD22" s="3028"/>
      <c r="CE22" s="3028"/>
      <c r="CF22" s="3028"/>
      <c r="CG22" s="3028"/>
      <c r="CH22" s="3028"/>
      <c r="CI22" s="3028"/>
      <c r="CJ22" s="3028"/>
      <c r="CK22" s="3028"/>
      <c r="CL22" s="3028"/>
      <c r="CM22" s="3028"/>
      <c r="CN22" s="3028"/>
      <c r="CO22" s="3028"/>
      <c r="CP22" s="3028"/>
      <c r="CQ22" s="3028"/>
      <c r="CR22" s="3028"/>
      <c r="CS22" s="3028"/>
      <c r="CT22" s="3028"/>
      <c r="CU22" s="3028"/>
      <c r="CV22" s="3028"/>
      <c r="CW22" s="3028"/>
      <c r="CX22" s="3028"/>
      <c r="CY22" s="3028"/>
      <c r="CZ22" s="3028"/>
      <c r="DA22" s="3028"/>
      <c r="DB22" s="3028"/>
      <c r="DC22" s="3028"/>
      <c r="DD22" s="3028"/>
      <c r="DE22" s="3028"/>
      <c r="DF22" s="3028"/>
      <c r="DG22" s="3028"/>
      <c r="DH22" s="3028"/>
      <c r="DI22" s="3028"/>
      <c r="DJ22" s="3028"/>
      <c r="DK22" s="3028"/>
      <c r="DL22" s="3028"/>
      <c r="DM22" s="3028"/>
      <c r="DN22" s="3028"/>
      <c r="DO22" s="3028"/>
      <c r="DP22" s="3028"/>
    </row>
    <row r="23" spans="1:135" s="3020" customFormat="1">
      <c r="B23" s="4604"/>
      <c r="C23" s="3029" t="s">
        <v>1600</v>
      </c>
      <c r="D23" s="3030" t="s">
        <v>1601</v>
      </c>
      <c r="E23" s="459">
        <v>0</v>
      </c>
      <c r="F23" s="458">
        <v>867.06610668699909</v>
      </c>
      <c r="G23" s="458">
        <v>2924.8376000929907</v>
      </c>
      <c r="H23" s="458">
        <v>3885.3897318380459</v>
      </c>
      <c r="I23" s="460">
        <v>4338.9582588667081</v>
      </c>
      <c r="J23" s="459">
        <v>4633.904394899354</v>
      </c>
      <c r="K23" s="458">
        <v>4851.0952575918227</v>
      </c>
      <c r="L23" s="458">
        <v>4997.8830103613554</v>
      </c>
      <c r="M23" s="458">
        <v>5090.750588809603</v>
      </c>
      <c r="N23" s="460">
        <v>5080.9080654588797</v>
      </c>
      <c r="O23" s="459">
        <f>+O$22*(N23/N$22)</f>
        <v>5166.69753382407</v>
      </c>
      <c r="P23" s="458">
        <f>+P$22*(O23/O$22)</f>
        <v>5231.0396350979627</v>
      </c>
      <c r="Q23" s="458">
        <f t="shared" ref="Q23:AC30" si="1">+Q$22*(P23/P$22)</f>
        <v>5279.2962110533817</v>
      </c>
      <c r="R23" s="458">
        <f t="shared" si="1"/>
        <v>5315.4886430199467</v>
      </c>
      <c r="S23" s="458">
        <f t="shared" si="1"/>
        <v>5342.63296699487</v>
      </c>
      <c r="T23" s="458">
        <f t="shared" si="1"/>
        <v>5362.9912099760622</v>
      </c>
      <c r="U23" s="458">
        <f t="shared" si="1"/>
        <v>5378.2598922119569</v>
      </c>
      <c r="V23" s="458">
        <f t="shared" si="1"/>
        <v>5389.7114038888776</v>
      </c>
      <c r="W23" s="458">
        <f t="shared" si="1"/>
        <v>5398.3000376465679</v>
      </c>
      <c r="X23" s="458">
        <f t="shared" si="1"/>
        <v>5404.7415129648361</v>
      </c>
      <c r="Y23" s="458">
        <f t="shared" si="1"/>
        <v>5409.5726194535373</v>
      </c>
      <c r="Z23" s="458">
        <f t="shared" si="1"/>
        <v>5413.1959493200629</v>
      </c>
      <c r="AA23" s="458">
        <f t="shared" si="1"/>
        <v>5415.9134467199574</v>
      </c>
      <c r="AB23" s="458">
        <f t="shared" si="1"/>
        <v>5417.951569769878</v>
      </c>
      <c r="AC23" s="460">
        <f t="shared" si="1"/>
        <v>5419.4801620573189</v>
      </c>
      <c r="AD23" s="2524"/>
      <c r="AE23" s="2524"/>
      <c r="AF23" s="3028"/>
      <c r="AG23" s="3028"/>
      <c r="AH23" s="3028"/>
      <c r="AI23" s="3028"/>
      <c r="AJ23" s="3028"/>
      <c r="AK23" s="3028"/>
      <c r="AL23" s="3028"/>
      <c r="AM23" s="3028"/>
      <c r="AN23" s="3028"/>
      <c r="AO23" s="3028"/>
      <c r="AP23" s="3028"/>
      <c r="AQ23" s="3028"/>
      <c r="AR23" s="3028"/>
      <c r="AS23" s="3028"/>
      <c r="AT23" s="3028"/>
      <c r="AU23" s="3028"/>
      <c r="AV23" s="3028"/>
      <c r="AW23" s="3028"/>
      <c r="AX23" s="3028"/>
      <c r="AY23" s="3028"/>
      <c r="AZ23" s="3028"/>
      <c r="BA23" s="3028"/>
      <c r="BB23" s="3028"/>
      <c r="BC23" s="3028"/>
      <c r="BD23" s="3028"/>
      <c r="BE23" s="3028"/>
      <c r="BF23" s="3028"/>
      <c r="BG23" s="3028"/>
      <c r="BH23" s="3028"/>
      <c r="BI23" s="3028"/>
      <c r="BJ23" s="3028"/>
      <c r="BK23" s="3028"/>
      <c r="BL23" s="3028"/>
      <c r="BM23" s="3028"/>
      <c r="BN23" s="3028"/>
      <c r="BO23" s="3028"/>
      <c r="BP23" s="3028"/>
      <c r="BQ23" s="3028"/>
      <c r="BR23" s="3028"/>
      <c r="BS23" s="3028"/>
      <c r="BT23" s="3028"/>
      <c r="BU23" s="3028"/>
      <c r="BV23" s="3028"/>
      <c r="BW23" s="3028"/>
      <c r="BX23" s="3028"/>
      <c r="BY23" s="3028"/>
      <c r="BZ23" s="3028"/>
      <c r="CA23" s="3028"/>
      <c r="CB23" s="3028"/>
      <c r="CC23" s="3028"/>
      <c r="CD23" s="3028"/>
      <c r="CE23" s="3028"/>
      <c r="CF23" s="3028"/>
      <c r="CG23" s="3028"/>
      <c r="CH23" s="3028"/>
      <c r="CI23" s="3028"/>
      <c r="CJ23" s="3028"/>
      <c r="CK23" s="3028"/>
      <c r="CL23" s="3028"/>
      <c r="CM23" s="3028"/>
      <c r="CN23" s="3028"/>
      <c r="CO23" s="3028"/>
      <c r="CP23" s="3028"/>
      <c r="CQ23" s="3028"/>
      <c r="CR23" s="3028"/>
      <c r="CS23" s="3028"/>
      <c r="CT23" s="3028"/>
      <c r="CU23" s="3028"/>
      <c r="CV23" s="3028"/>
      <c r="CW23" s="3028"/>
      <c r="CX23" s="3028"/>
      <c r="CY23" s="3028"/>
      <c r="CZ23" s="3028"/>
      <c r="DA23" s="3028"/>
      <c r="DB23" s="3028"/>
      <c r="DC23" s="3028"/>
      <c r="DD23" s="3028"/>
      <c r="DE23" s="3028"/>
      <c r="DF23" s="3028"/>
      <c r="DG23" s="3028"/>
      <c r="DH23" s="3028"/>
      <c r="DI23" s="3028"/>
      <c r="DJ23" s="3028"/>
      <c r="DK23" s="3028"/>
      <c r="DL23" s="3028"/>
      <c r="DM23" s="3028"/>
      <c r="DN23" s="3028"/>
      <c r="DO23" s="3028"/>
      <c r="DP23" s="3028"/>
    </row>
    <row r="24" spans="1:135" s="3020" customFormat="1">
      <c r="B24" s="4604"/>
      <c r="C24" s="3029" t="s">
        <v>1602</v>
      </c>
      <c r="D24" s="3030" t="s">
        <v>1603</v>
      </c>
      <c r="E24" s="459">
        <v>0</v>
      </c>
      <c r="F24" s="458">
        <v>549.85296644700009</v>
      </c>
      <c r="G24" s="458">
        <v>2310.0969564149977</v>
      </c>
      <c r="H24" s="458">
        <v>2966.0585379537906</v>
      </c>
      <c r="I24" s="460">
        <v>3305.2931194459052</v>
      </c>
      <c r="J24" s="459">
        <v>3521.9030124752608</v>
      </c>
      <c r="K24" s="458">
        <v>3678.5014685390183</v>
      </c>
      <c r="L24" s="458">
        <v>3780.6595669051562</v>
      </c>
      <c r="M24" s="458">
        <v>3841.1292244842775</v>
      </c>
      <c r="N24" s="460">
        <v>3823.3522281191063</v>
      </c>
      <c r="O24" s="459">
        <f t="shared" ref="O24:P30" si="2">+O$22*(N24/N$22)</f>
        <v>3887.9082781002194</v>
      </c>
      <c r="P24" s="458">
        <f t="shared" si="2"/>
        <v>3936.3253155860539</v>
      </c>
      <c r="Q24" s="458">
        <f t="shared" si="1"/>
        <v>3972.6380937004296</v>
      </c>
      <c r="R24" s="458">
        <f t="shared" si="1"/>
        <v>3999.8726772862119</v>
      </c>
      <c r="S24" s="458">
        <f t="shared" si="1"/>
        <v>4020.2986149755484</v>
      </c>
      <c r="T24" s="458">
        <f t="shared" si="1"/>
        <v>4035.6180682425506</v>
      </c>
      <c r="U24" s="458">
        <f t="shared" si="1"/>
        <v>4047.1076581928023</v>
      </c>
      <c r="V24" s="458">
        <f t="shared" si="1"/>
        <v>4055.7248506554911</v>
      </c>
      <c r="W24" s="458">
        <f t="shared" si="1"/>
        <v>4062.1877450025081</v>
      </c>
      <c r="X24" s="458">
        <f t="shared" si="1"/>
        <v>4067.0349157627702</v>
      </c>
      <c r="Y24" s="458">
        <f t="shared" si="1"/>
        <v>4070.6702938329672</v>
      </c>
      <c r="Z24" s="458">
        <f t="shared" si="1"/>
        <v>4073.3968273856149</v>
      </c>
      <c r="AA24" s="458">
        <f t="shared" si="1"/>
        <v>4075.4417275501005</v>
      </c>
      <c r="AB24" s="458">
        <f t="shared" si="1"/>
        <v>4076.9754026734649</v>
      </c>
      <c r="AC24" s="460">
        <f t="shared" si="1"/>
        <v>4078.1256590159887</v>
      </c>
      <c r="AD24" s="2524"/>
      <c r="AE24" s="2524"/>
      <c r="AF24" s="3028"/>
      <c r="AG24" s="3028"/>
      <c r="AH24" s="3028"/>
      <c r="AI24" s="3028"/>
      <c r="AJ24" s="3028"/>
      <c r="AK24" s="3028"/>
      <c r="AL24" s="3028"/>
      <c r="AM24" s="3028"/>
      <c r="AN24" s="3028"/>
      <c r="AO24" s="3028"/>
      <c r="AP24" s="3028"/>
      <c r="AQ24" s="3028"/>
      <c r="AR24" s="3028"/>
      <c r="AS24" s="3028"/>
      <c r="AT24" s="3028"/>
      <c r="AU24" s="3028"/>
      <c r="AV24" s="3028"/>
      <c r="AW24" s="3028"/>
      <c r="AX24" s="3028"/>
      <c r="AY24" s="3028"/>
      <c r="AZ24" s="3028"/>
      <c r="BA24" s="3028"/>
      <c r="BB24" s="3028"/>
      <c r="BC24" s="3028"/>
      <c r="BD24" s="3028"/>
      <c r="BE24" s="3028"/>
      <c r="BF24" s="3028"/>
      <c r="BG24" s="3028"/>
      <c r="BH24" s="3028"/>
      <c r="BI24" s="3028"/>
      <c r="BJ24" s="3028"/>
      <c r="BK24" s="3028"/>
      <c r="BL24" s="3028"/>
      <c r="BM24" s="3028"/>
      <c r="BN24" s="3028"/>
      <c r="BO24" s="3028"/>
      <c r="BP24" s="3028"/>
      <c r="BQ24" s="3028"/>
      <c r="BR24" s="3028"/>
      <c r="BS24" s="3028"/>
      <c r="BT24" s="3028"/>
      <c r="BU24" s="3028"/>
      <c r="BV24" s="3028"/>
      <c r="BW24" s="3028"/>
      <c r="BX24" s="3028"/>
      <c r="BY24" s="3028"/>
      <c r="BZ24" s="3028"/>
      <c r="CA24" s="3028"/>
      <c r="CB24" s="3028"/>
      <c r="CC24" s="3028"/>
      <c r="CD24" s="3028"/>
      <c r="CE24" s="3028"/>
      <c r="CF24" s="3028"/>
      <c r="CG24" s="3028"/>
      <c r="CH24" s="3028"/>
      <c r="CI24" s="3028"/>
      <c r="CJ24" s="3028"/>
      <c r="CK24" s="3028"/>
      <c r="CL24" s="3028"/>
      <c r="CM24" s="3028"/>
      <c r="CN24" s="3028"/>
      <c r="CO24" s="3028"/>
      <c r="CP24" s="3028"/>
      <c r="CQ24" s="3028"/>
      <c r="CR24" s="3028"/>
      <c r="CS24" s="3028"/>
      <c r="CT24" s="3028"/>
      <c r="CU24" s="3028"/>
      <c r="CV24" s="3028"/>
      <c r="CW24" s="3028"/>
      <c r="CX24" s="3028"/>
      <c r="CY24" s="3028"/>
      <c r="CZ24" s="3028"/>
      <c r="DA24" s="3028"/>
      <c r="DB24" s="3028"/>
      <c r="DC24" s="3028"/>
      <c r="DD24" s="3028"/>
      <c r="DE24" s="3028"/>
      <c r="DF24" s="3028"/>
      <c r="DG24" s="3028"/>
      <c r="DH24" s="3028"/>
      <c r="DI24" s="3028"/>
      <c r="DJ24" s="3028"/>
      <c r="DK24" s="3028"/>
      <c r="DL24" s="3028"/>
      <c r="DM24" s="3028"/>
      <c r="DN24" s="3028"/>
      <c r="DO24" s="3028"/>
      <c r="DP24" s="3028"/>
    </row>
    <row r="25" spans="1:135" s="3020" customFormat="1">
      <c r="B25" s="4604"/>
      <c r="C25" s="3029" t="s">
        <v>1604</v>
      </c>
      <c r="D25" s="3030" t="s">
        <v>1605</v>
      </c>
      <c r="E25" s="459">
        <v>0</v>
      </c>
      <c r="F25" s="458">
        <v>312.459340086</v>
      </c>
      <c r="G25" s="458">
        <v>1880.3394904059999</v>
      </c>
      <c r="H25" s="458">
        <v>5752.5188660999574</v>
      </c>
      <c r="I25" s="460">
        <v>6390.699805500647</v>
      </c>
      <c r="J25" s="459">
        <v>6796.2538569272874</v>
      </c>
      <c r="K25" s="458">
        <v>7091.4350654021009</v>
      </c>
      <c r="L25" s="458">
        <v>7285.1540263644756</v>
      </c>
      <c r="M25" s="458">
        <v>7401.1154047163282</v>
      </c>
      <c r="N25" s="460">
        <v>7378.6878572415553</v>
      </c>
      <c r="O25" s="459">
        <f t="shared" si="2"/>
        <v>7503.2745847221813</v>
      </c>
      <c r="P25" s="458">
        <f t="shared" si="2"/>
        <v>7596.7146303326499</v>
      </c>
      <c r="Q25" s="458">
        <f t="shared" si="1"/>
        <v>7666.7946645405018</v>
      </c>
      <c r="R25" s="458">
        <f t="shared" si="1"/>
        <v>7719.35469019639</v>
      </c>
      <c r="S25" s="458">
        <f t="shared" si="1"/>
        <v>7758.7747094383067</v>
      </c>
      <c r="T25" s="458">
        <f t="shared" si="1"/>
        <v>7788.3397238697444</v>
      </c>
      <c r="U25" s="458">
        <f t="shared" si="1"/>
        <v>7810.5134846933224</v>
      </c>
      <c r="V25" s="458">
        <f t="shared" si="1"/>
        <v>7827.143805311006</v>
      </c>
      <c r="W25" s="458">
        <f t="shared" si="1"/>
        <v>7839.6165457742691</v>
      </c>
      <c r="X25" s="458">
        <f t="shared" si="1"/>
        <v>7848.9711011217159</v>
      </c>
      <c r="Y25" s="458">
        <f t="shared" si="1"/>
        <v>7855.9870176323011</v>
      </c>
      <c r="Z25" s="458">
        <f t="shared" si="1"/>
        <v>7861.2489550152395</v>
      </c>
      <c r="AA25" s="458">
        <f t="shared" si="1"/>
        <v>7865.1954080524438</v>
      </c>
      <c r="AB25" s="458">
        <f t="shared" si="1"/>
        <v>7868.1552478303474</v>
      </c>
      <c r="AC25" s="460">
        <f t="shared" si="1"/>
        <v>7870.3751276637749</v>
      </c>
      <c r="AD25" s="2524"/>
      <c r="AE25" s="2524"/>
      <c r="AF25" s="3028"/>
      <c r="AG25" s="3028"/>
      <c r="AH25" s="3028"/>
      <c r="AI25" s="3028"/>
      <c r="AJ25" s="3028"/>
      <c r="AK25" s="3028"/>
      <c r="AL25" s="3028"/>
      <c r="AM25" s="3028"/>
      <c r="AN25" s="3028"/>
      <c r="AO25" s="3028"/>
      <c r="AP25" s="3028"/>
      <c r="AQ25" s="3028"/>
      <c r="AR25" s="3028"/>
      <c r="AS25" s="3028"/>
      <c r="AT25" s="3028"/>
      <c r="AU25" s="3028"/>
      <c r="AV25" s="3028"/>
      <c r="AW25" s="3028"/>
      <c r="AX25" s="3028"/>
      <c r="AY25" s="3028"/>
      <c r="AZ25" s="3028"/>
      <c r="BA25" s="3028"/>
      <c r="BB25" s="3028"/>
      <c r="BC25" s="3028"/>
      <c r="BD25" s="3028"/>
      <c r="BE25" s="3028"/>
      <c r="BF25" s="3028"/>
      <c r="BG25" s="3028"/>
      <c r="BH25" s="3028"/>
      <c r="BI25" s="3028"/>
      <c r="BJ25" s="3028"/>
      <c r="BK25" s="3028"/>
      <c r="BL25" s="3028"/>
      <c r="BM25" s="3028"/>
      <c r="BN25" s="3028"/>
      <c r="BO25" s="3028"/>
      <c r="BP25" s="3028"/>
      <c r="BQ25" s="3028"/>
      <c r="BR25" s="3028"/>
      <c r="BS25" s="3028"/>
      <c r="BT25" s="3028"/>
      <c r="BU25" s="3028"/>
      <c r="BV25" s="3028"/>
      <c r="BW25" s="3028"/>
      <c r="BX25" s="3028"/>
      <c r="BY25" s="3028"/>
      <c r="BZ25" s="3028"/>
      <c r="CA25" s="3028"/>
      <c r="CB25" s="3028"/>
      <c r="CC25" s="3028"/>
      <c r="CD25" s="3028"/>
      <c r="CE25" s="3028"/>
      <c r="CF25" s="3028"/>
      <c r="CG25" s="3028"/>
      <c r="CH25" s="3028"/>
      <c r="CI25" s="3028"/>
      <c r="CJ25" s="3028"/>
      <c r="CK25" s="3028"/>
      <c r="CL25" s="3028"/>
      <c r="CM25" s="3028"/>
      <c r="CN25" s="3028"/>
      <c r="CO25" s="3028"/>
      <c r="CP25" s="3028"/>
      <c r="CQ25" s="3028"/>
      <c r="CR25" s="3028"/>
      <c r="CS25" s="3028"/>
      <c r="CT25" s="3028"/>
      <c r="CU25" s="3028"/>
      <c r="CV25" s="3028"/>
      <c r="CW25" s="3028"/>
      <c r="CX25" s="3028"/>
      <c r="CY25" s="3028"/>
      <c r="CZ25" s="3028"/>
      <c r="DA25" s="3028"/>
      <c r="DB25" s="3028"/>
      <c r="DC25" s="3028"/>
      <c r="DD25" s="3028"/>
      <c r="DE25" s="3028"/>
      <c r="DF25" s="3028"/>
      <c r="DG25" s="3028"/>
      <c r="DH25" s="3028"/>
      <c r="DI25" s="3028"/>
      <c r="DJ25" s="3028"/>
      <c r="DK25" s="3028"/>
      <c r="DL25" s="3028"/>
      <c r="DM25" s="3028"/>
      <c r="DN25" s="3028"/>
      <c r="DO25" s="3028"/>
      <c r="DP25" s="3028"/>
    </row>
    <row r="26" spans="1:135" s="3020" customFormat="1">
      <c r="B26" s="4604"/>
      <c r="C26" s="3029" t="s">
        <v>1606</v>
      </c>
      <c r="D26" s="3030" t="s">
        <v>1607</v>
      </c>
      <c r="E26" s="459">
        <v>0</v>
      </c>
      <c r="F26" s="458">
        <v>33.568999995999995</v>
      </c>
      <c r="G26" s="458">
        <v>0</v>
      </c>
      <c r="H26" s="458">
        <v>39.861959122651712</v>
      </c>
      <c r="I26" s="460">
        <v>45.624715020905569</v>
      </c>
      <c r="J26" s="459">
        <v>49.827797325257144</v>
      </c>
      <c r="K26" s="458">
        <v>53.261578169967244</v>
      </c>
      <c r="L26" s="458">
        <v>55.966762494251938</v>
      </c>
      <c r="M26" s="458">
        <v>58.101422162337755</v>
      </c>
      <c r="N26" s="460">
        <v>58.911800294294451</v>
      </c>
      <c r="O26" s="459">
        <f t="shared" si="2"/>
        <v>59.906506744907489</v>
      </c>
      <c r="P26" s="458">
        <f t="shared" si="2"/>
        <v>60.65253658286727</v>
      </c>
      <c r="Q26" s="458">
        <f t="shared" si="1"/>
        <v>61.2120589613371</v>
      </c>
      <c r="R26" s="458">
        <f t="shared" si="1"/>
        <v>61.631700745189477</v>
      </c>
      <c r="S26" s="458">
        <f t="shared" si="1"/>
        <v>61.946432083078761</v>
      </c>
      <c r="T26" s="458">
        <f t="shared" si="1"/>
        <v>62.182480586495721</v>
      </c>
      <c r="U26" s="458">
        <f t="shared" si="1"/>
        <v>62.359516964058443</v>
      </c>
      <c r="V26" s="458">
        <f t="shared" si="1"/>
        <v>62.492294247230483</v>
      </c>
      <c r="W26" s="458">
        <f t="shared" si="1"/>
        <v>62.591877209609514</v>
      </c>
      <c r="X26" s="458">
        <f t="shared" si="1"/>
        <v>62.666564431393788</v>
      </c>
      <c r="Y26" s="458">
        <f t="shared" si="1"/>
        <v>62.722579847731993</v>
      </c>
      <c r="Z26" s="458">
        <f t="shared" si="1"/>
        <v>62.764591409985648</v>
      </c>
      <c r="AA26" s="458">
        <f t="shared" si="1"/>
        <v>62.796100081675888</v>
      </c>
      <c r="AB26" s="458">
        <f t="shared" si="1"/>
        <v>62.819731585443563</v>
      </c>
      <c r="AC26" s="460">
        <f t="shared" si="1"/>
        <v>62.83745521326933</v>
      </c>
      <c r="AD26" s="2524"/>
      <c r="AE26" s="2524"/>
      <c r="AF26" s="3028"/>
      <c r="AG26" s="3028"/>
      <c r="AH26" s="3028"/>
      <c r="AI26" s="3028"/>
      <c r="AJ26" s="3028"/>
      <c r="AK26" s="3028"/>
      <c r="AL26" s="3028"/>
      <c r="AM26" s="3028"/>
      <c r="AN26" s="3028"/>
      <c r="AO26" s="3028"/>
      <c r="AP26" s="3028"/>
      <c r="AQ26" s="3028"/>
      <c r="AR26" s="3028"/>
      <c r="AS26" s="3028"/>
      <c r="AT26" s="3028"/>
      <c r="AU26" s="3028"/>
      <c r="AV26" s="3028"/>
      <c r="AW26" s="3028"/>
      <c r="AX26" s="3028"/>
      <c r="AY26" s="3028"/>
      <c r="AZ26" s="3028"/>
      <c r="BA26" s="3028"/>
      <c r="BB26" s="3028"/>
      <c r="BC26" s="3028"/>
      <c r="BD26" s="3028"/>
      <c r="BE26" s="3028"/>
      <c r="BF26" s="3028"/>
      <c r="BG26" s="3028"/>
      <c r="BH26" s="3028"/>
      <c r="BI26" s="3028"/>
      <c r="BJ26" s="3028"/>
      <c r="BK26" s="3028"/>
      <c r="BL26" s="3028"/>
      <c r="BM26" s="3028"/>
      <c r="BN26" s="3028"/>
      <c r="BO26" s="3028"/>
      <c r="BP26" s="3028"/>
      <c r="BQ26" s="3028"/>
      <c r="BR26" s="3028"/>
      <c r="BS26" s="3028"/>
      <c r="BT26" s="3028"/>
      <c r="BU26" s="3028"/>
      <c r="BV26" s="3028"/>
      <c r="BW26" s="3028"/>
      <c r="BX26" s="3028"/>
      <c r="BY26" s="3028"/>
      <c r="BZ26" s="3028"/>
      <c r="CA26" s="3028"/>
      <c r="CB26" s="3028"/>
      <c r="CC26" s="3028"/>
      <c r="CD26" s="3028"/>
      <c r="CE26" s="3028"/>
      <c r="CF26" s="3028"/>
      <c r="CG26" s="3028"/>
      <c r="CH26" s="3028"/>
      <c r="CI26" s="3028"/>
      <c r="CJ26" s="3028"/>
      <c r="CK26" s="3028"/>
      <c r="CL26" s="3028"/>
      <c r="CM26" s="3028"/>
      <c r="CN26" s="3028"/>
      <c r="CO26" s="3028"/>
      <c r="CP26" s="3028"/>
      <c r="CQ26" s="3028"/>
      <c r="CR26" s="3028"/>
      <c r="CS26" s="3028"/>
      <c r="CT26" s="3028"/>
      <c r="CU26" s="3028"/>
      <c r="CV26" s="3028"/>
      <c r="CW26" s="3028"/>
      <c r="CX26" s="3028"/>
      <c r="CY26" s="3028"/>
      <c r="CZ26" s="3028"/>
      <c r="DA26" s="3028"/>
      <c r="DB26" s="3028"/>
      <c r="DC26" s="3028"/>
      <c r="DD26" s="3028"/>
      <c r="DE26" s="3028"/>
      <c r="DF26" s="3028"/>
      <c r="DG26" s="3028"/>
      <c r="DH26" s="3028"/>
      <c r="DI26" s="3028"/>
      <c r="DJ26" s="3028"/>
      <c r="DK26" s="3028"/>
      <c r="DL26" s="3028"/>
      <c r="DM26" s="3028"/>
      <c r="DN26" s="3028"/>
      <c r="DO26" s="3028"/>
      <c r="DP26" s="3028"/>
    </row>
    <row r="27" spans="1:135" s="3020" customFormat="1">
      <c r="B27" s="4604"/>
      <c r="C27" s="3031" t="s">
        <v>1608</v>
      </c>
      <c r="D27" s="3030" t="s">
        <v>1609</v>
      </c>
      <c r="E27" s="459">
        <v>0</v>
      </c>
      <c r="F27" s="458">
        <v>416.95705885199999</v>
      </c>
      <c r="G27" s="458">
        <f>2098.98992079699+31.113723324</f>
        <v>2130.1036441209903</v>
      </c>
      <c r="H27" s="458">
        <v>4786.0179702641635</v>
      </c>
      <c r="I27" s="460">
        <v>5279.6762185924226</v>
      </c>
      <c r="J27" s="459">
        <v>5575.584510627994</v>
      </c>
      <c r="K27" s="458">
        <v>5776.0375515338019</v>
      </c>
      <c r="L27" s="458">
        <v>5891.2841478104883</v>
      </c>
      <c r="M27" s="458">
        <v>5941.9873364502719</v>
      </c>
      <c r="N27" s="460">
        <v>5882.3808889564943</v>
      </c>
      <c r="O27" s="459">
        <f t="shared" si="2"/>
        <v>5981.7029634131904</v>
      </c>
      <c r="P27" s="458">
        <f t="shared" si="2"/>
        <v>6056.1945192557114</v>
      </c>
      <c r="Q27" s="458">
        <f t="shared" si="1"/>
        <v>6112.0631861376032</v>
      </c>
      <c r="R27" s="458">
        <f t="shared" si="1"/>
        <v>6153.9646862990212</v>
      </c>
      <c r="S27" s="458">
        <f t="shared" si="1"/>
        <v>6185.3908114200849</v>
      </c>
      <c r="T27" s="458">
        <f t="shared" si="1"/>
        <v>6208.9604052608829</v>
      </c>
      <c r="U27" s="458">
        <f t="shared" si="1"/>
        <v>6226.6376006414812</v>
      </c>
      <c r="V27" s="458">
        <f t="shared" si="1"/>
        <v>6239.8954971769299</v>
      </c>
      <c r="W27" s="458">
        <f t="shared" si="1"/>
        <v>6249.8389195785167</v>
      </c>
      <c r="X27" s="458">
        <f t="shared" si="1"/>
        <v>6257.2964863797069</v>
      </c>
      <c r="Y27" s="458">
        <f t="shared" si="1"/>
        <v>6262.889661480599</v>
      </c>
      <c r="Z27" s="458">
        <f t="shared" si="1"/>
        <v>6267.0845428062685</v>
      </c>
      <c r="AA27" s="458">
        <f t="shared" si="1"/>
        <v>6270.2307038005201</v>
      </c>
      <c r="AB27" s="458">
        <f t="shared" si="1"/>
        <v>6272.5903245462096</v>
      </c>
      <c r="AC27" s="460">
        <f t="shared" si="1"/>
        <v>6274.3600401054773</v>
      </c>
      <c r="AD27" s="2524"/>
      <c r="AE27" s="2524"/>
      <c r="AF27" s="3028"/>
      <c r="AG27" s="3028"/>
      <c r="AH27" s="3028"/>
      <c r="AI27" s="3028"/>
      <c r="AJ27" s="3028"/>
      <c r="AK27" s="3028"/>
      <c r="AL27" s="3028"/>
      <c r="AM27" s="3028"/>
      <c r="AN27" s="3028"/>
      <c r="AO27" s="3028"/>
      <c r="AP27" s="3028"/>
      <c r="AQ27" s="3028"/>
      <c r="AR27" s="3028"/>
      <c r="AS27" s="3028"/>
      <c r="AT27" s="3028"/>
      <c r="AU27" s="3028"/>
      <c r="AV27" s="3028"/>
      <c r="AW27" s="3028"/>
      <c r="AX27" s="3028"/>
      <c r="AY27" s="3028"/>
      <c r="AZ27" s="3028"/>
      <c r="BA27" s="3028"/>
      <c r="BB27" s="3028"/>
      <c r="BC27" s="3028"/>
      <c r="BD27" s="3028"/>
      <c r="BE27" s="3028"/>
      <c r="BF27" s="3028"/>
      <c r="BG27" s="3028"/>
      <c r="BH27" s="3028"/>
      <c r="BI27" s="3028"/>
      <c r="BJ27" s="3028"/>
      <c r="BK27" s="3028"/>
      <c r="BL27" s="3028"/>
      <c r="BM27" s="3028"/>
      <c r="BN27" s="3028"/>
      <c r="BO27" s="3028"/>
      <c r="BP27" s="3028"/>
      <c r="BQ27" s="3028"/>
      <c r="BR27" s="3028"/>
      <c r="BS27" s="3028"/>
      <c r="BT27" s="3028"/>
      <c r="BU27" s="3028"/>
      <c r="BV27" s="3028"/>
      <c r="BW27" s="3028"/>
      <c r="BX27" s="3028"/>
      <c r="BY27" s="3028"/>
      <c r="BZ27" s="3028"/>
      <c r="CA27" s="3028"/>
      <c r="CB27" s="3028"/>
      <c r="CC27" s="3028"/>
      <c r="CD27" s="3028"/>
      <c r="CE27" s="3028"/>
      <c r="CF27" s="3028"/>
      <c r="CG27" s="3028"/>
      <c r="CH27" s="3028"/>
      <c r="CI27" s="3028"/>
      <c r="CJ27" s="3028"/>
      <c r="CK27" s="3028"/>
      <c r="CL27" s="3028"/>
      <c r="CM27" s="3028"/>
      <c r="CN27" s="3028"/>
      <c r="CO27" s="3028"/>
      <c r="CP27" s="3028"/>
      <c r="CQ27" s="3028"/>
      <c r="CR27" s="3028"/>
      <c r="CS27" s="3028"/>
      <c r="CT27" s="3028"/>
      <c r="CU27" s="3028"/>
      <c r="CV27" s="3028"/>
      <c r="CW27" s="3028"/>
      <c r="CX27" s="3028"/>
      <c r="CY27" s="3028"/>
      <c r="CZ27" s="3028"/>
      <c r="DA27" s="3028"/>
      <c r="DB27" s="3028"/>
      <c r="DC27" s="3028"/>
      <c r="DD27" s="3028"/>
      <c r="DE27" s="3028"/>
      <c r="DF27" s="3028"/>
      <c r="DG27" s="3028"/>
      <c r="DH27" s="3028"/>
      <c r="DI27" s="3028"/>
      <c r="DJ27" s="3028"/>
      <c r="DK27" s="3028"/>
      <c r="DL27" s="3028"/>
      <c r="DM27" s="3028"/>
      <c r="DN27" s="3028"/>
      <c r="DO27" s="3028"/>
      <c r="DP27" s="3028"/>
    </row>
    <row r="28" spans="1:135" s="3020" customFormat="1">
      <c r="B28" s="4604"/>
      <c r="C28" s="3031" t="s">
        <v>1610</v>
      </c>
      <c r="D28" s="3030" t="s">
        <v>1611</v>
      </c>
      <c r="E28" s="459">
        <v>0</v>
      </c>
      <c r="F28" s="458">
        <v>15.437512127000002</v>
      </c>
      <c r="G28" s="458">
        <v>263.79465544200002</v>
      </c>
      <c r="H28" s="458">
        <v>1328.1781878444222</v>
      </c>
      <c r="I28" s="460">
        <v>1442.4444820306378</v>
      </c>
      <c r="J28" s="459">
        <v>1498.8347605960771</v>
      </c>
      <c r="K28" s="458">
        <v>1528.0018425257929</v>
      </c>
      <c r="L28" s="458">
        <v>1532.5934828831005</v>
      </c>
      <c r="M28" s="458">
        <v>1518.6542408604005</v>
      </c>
      <c r="N28" s="460">
        <v>1476.6860487089971</v>
      </c>
      <c r="O28" s="459">
        <f t="shared" si="2"/>
        <v>1501.6194089329822</v>
      </c>
      <c r="P28" s="458">
        <f t="shared" si="2"/>
        <v>1520.3194291009711</v>
      </c>
      <c r="Q28" s="458">
        <f t="shared" si="1"/>
        <v>1534.3444442269627</v>
      </c>
      <c r="R28" s="458">
        <f t="shared" si="1"/>
        <v>1544.8632055714565</v>
      </c>
      <c r="S28" s="458">
        <f t="shared" si="1"/>
        <v>1552.7522765798269</v>
      </c>
      <c r="T28" s="458">
        <f t="shared" si="1"/>
        <v>1558.6690798361046</v>
      </c>
      <c r="U28" s="458">
        <f t="shared" si="1"/>
        <v>1563.1066822783127</v>
      </c>
      <c r="V28" s="458">
        <f t="shared" si="1"/>
        <v>1566.4348841099691</v>
      </c>
      <c r="W28" s="458">
        <f t="shared" si="1"/>
        <v>1568.9310354837112</v>
      </c>
      <c r="X28" s="458">
        <f t="shared" si="1"/>
        <v>1570.8031490140179</v>
      </c>
      <c r="Y28" s="458">
        <f t="shared" si="1"/>
        <v>1572.2072341617479</v>
      </c>
      <c r="Z28" s="458">
        <f t="shared" si="1"/>
        <v>1573.2602980225454</v>
      </c>
      <c r="AA28" s="458">
        <f t="shared" si="1"/>
        <v>1574.0500959181434</v>
      </c>
      <c r="AB28" s="458">
        <f t="shared" si="1"/>
        <v>1574.6424443398421</v>
      </c>
      <c r="AC28" s="460">
        <f t="shared" si="1"/>
        <v>1575.086705656116</v>
      </c>
      <c r="AD28" s="2524"/>
      <c r="AE28" s="2524"/>
      <c r="AF28" s="3028"/>
      <c r="AG28" s="3028"/>
      <c r="AH28" s="3028"/>
      <c r="AI28" s="3028"/>
      <c r="AJ28" s="3028"/>
      <c r="AK28" s="3028"/>
      <c r="AL28" s="3028"/>
      <c r="AM28" s="3028"/>
      <c r="AN28" s="3028"/>
      <c r="AO28" s="3028"/>
      <c r="AP28" s="3028"/>
      <c r="AQ28" s="3028"/>
      <c r="AR28" s="3028"/>
      <c r="AS28" s="3028"/>
      <c r="AT28" s="3028"/>
      <c r="AU28" s="3028"/>
      <c r="AV28" s="3028"/>
      <c r="AW28" s="3028"/>
      <c r="AX28" s="3028"/>
      <c r="AY28" s="3028"/>
      <c r="AZ28" s="3028"/>
      <c r="BA28" s="3028"/>
      <c r="BB28" s="3028"/>
      <c r="BC28" s="3028"/>
      <c r="BD28" s="3028"/>
      <c r="BE28" s="3028"/>
      <c r="BF28" s="3028"/>
      <c r="BG28" s="3028"/>
      <c r="BH28" s="3028"/>
      <c r="BI28" s="3028"/>
      <c r="BJ28" s="3028"/>
      <c r="BK28" s="3028"/>
      <c r="BL28" s="3028"/>
      <c r="BM28" s="3028"/>
      <c r="BN28" s="3028"/>
      <c r="BO28" s="3028"/>
      <c r="BP28" s="3028"/>
      <c r="BQ28" s="3028"/>
      <c r="BR28" s="3028"/>
      <c r="BS28" s="3028"/>
      <c r="BT28" s="3028"/>
      <c r="BU28" s="3028"/>
      <c r="BV28" s="3028"/>
      <c r="BW28" s="3028"/>
      <c r="BX28" s="3028"/>
      <c r="BY28" s="3028"/>
      <c r="BZ28" s="3028"/>
      <c r="CA28" s="3028"/>
      <c r="CB28" s="3028"/>
      <c r="CC28" s="3028"/>
      <c r="CD28" s="3028"/>
      <c r="CE28" s="3028"/>
      <c r="CF28" s="3028"/>
      <c r="CG28" s="3028"/>
      <c r="CH28" s="3028"/>
      <c r="CI28" s="3028"/>
      <c r="CJ28" s="3028"/>
      <c r="CK28" s="3028"/>
      <c r="CL28" s="3028"/>
      <c r="CM28" s="3028"/>
      <c r="CN28" s="3028"/>
      <c r="CO28" s="3028"/>
      <c r="CP28" s="3028"/>
      <c r="CQ28" s="3028"/>
      <c r="CR28" s="3028"/>
      <c r="CS28" s="3028"/>
      <c r="CT28" s="3028"/>
      <c r="CU28" s="3028"/>
      <c r="CV28" s="3028"/>
      <c r="CW28" s="3028"/>
      <c r="CX28" s="3028"/>
      <c r="CY28" s="3028"/>
      <c r="CZ28" s="3028"/>
      <c r="DA28" s="3028"/>
      <c r="DB28" s="3028"/>
      <c r="DC28" s="3028"/>
      <c r="DD28" s="3028"/>
      <c r="DE28" s="3028"/>
      <c r="DF28" s="3028"/>
      <c r="DG28" s="3028"/>
      <c r="DH28" s="3028"/>
      <c r="DI28" s="3028"/>
      <c r="DJ28" s="3028"/>
      <c r="DK28" s="3028"/>
      <c r="DL28" s="3028"/>
      <c r="DM28" s="3028"/>
      <c r="DN28" s="3028"/>
      <c r="DO28" s="3028"/>
      <c r="DP28" s="3028"/>
    </row>
    <row r="29" spans="1:135" s="3020" customFormat="1">
      <c r="B29" s="4604"/>
      <c r="C29" s="3031" t="s">
        <v>1612</v>
      </c>
      <c r="D29" s="3030" t="s">
        <v>1613</v>
      </c>
      <c r="E29" s="459">
        <v>0</v>
      </c>
      <c r="F29" s="458">
        <v>0.10199999899999999</v>
      </c>
      <c r="G29" s="458">
        <v>48.197599758999992</v>
      </c>
      <c r="H29" s="458">
        <v>806.20783150286536</v>
      </c>
      <c r="I29" s="460">
        <v>872.74108394843347</v>
      </c>
      <c r="J29" s="459">
        <v>903.90896421104696</v>
      </c>
      <c r="K29" s="458">
        <v>918.81679192331023</v>
      </c>
      <c r="L29" s="458">
        <v>918.757448704686</v>
      </c>
      <c r="M29" s="458">
        <v>907.3738170213835</v>
      </c>
      <c r="N29" s="460">
        <v>879.50637576681493</v>
      </c>
      <c r="O29" s="459">
        <f t="shared" si="2"/>
        <v>894.35655282744153</v>
      </c>
      <c r="P29" s="458">
        <f t="shared" si="2"/>
        <v>905.49418562291146</v>
      </c>
      <c r="Q29" s="458">
        <f t="shared" si="1"/>
        <v>913.8474102195139</v>
      </c>
      <c r="R29" s="458">
        <f t="shared" si="1"/>
        <v>920.11232866696571</v>
      </c>
      <c r="S29" s="458">
        <f t="shared" si="1"/>
        <v>924.81101750255459</v>
      </c>
      <c r="T29" s="458">
        <f t="shared" si="1"/>
        <v>928.33503412924631</v>
      </c>
      <c r="U29" s="458">
        <f t="shared" si="1"/>
        <v>930.9780465992651</v>
      </c>
      <c r="V29" s="458">
        <f t="shared" si="1"/>
        <v>932.96030595177911</v>
      </c>
      <c r="W29" s="458">
        <f t="shared" si="1"/>
        <v>934.4470004661647</v>
      </c>
      <c r="X29" s="458">
        <f t="shared" si="1"/>
        <v>935.56202135195383</v>
      </c>
      <c r="Y29" s="458">
        <f t="shared" si="1"/>
        <v>936.39828701629574</v>
      </c>
      <c r="Z29" s="458">
        <f t="shared" si="1"/>
        <v>937.02548626455211</v>
      </c>
      <c r="AA29" s="458">
        <f t="shared" si="1"/>
        <v>937.49588570074434</v>
      </c>
      <c r="AB29" s="458">
        <f t="shared" si="1"/>
        <v>937.84868527788865</v>
      </c>
      <c r="AC29" s="460">
        <f t="shared" si="1"/>
        <v>938.11328496074691</v>
      </c>
      <c r="AD29" s="2524"/>
      <c r="AE29" s="2524"/>
      <c r="AF29" s="3028"/>
      <c r="AG29" s="3028"/>
      <c r="AH29" s="3028"/>
      <c r="AI29" s="3028"/>
      <c r="AJ29" s="3028"/>
      <c r="AK29" s="3028"/>
      <c r="AL29" s="3028"/>
      <c r="AM29" s="3028"/>
      <c r="AN29" s="3028"/>
      <c r="AO29" s="3028"/>
      <c r="AP29" s="3028"/>
      <c r="AQ29" s="3028"/>
      <c r="AR29" s="3028"/>
      <c r="AS29" s="3028"/>
      <c r="AT29" s="3028"/>
      <c r="AU29" s="3028"/>
      <c r="AV29" s="3028"/>
      <c r="AW29" s="3028"/>
      <c r="AX29" s="3028"/>
      <c r="AY29" s="3028"/>
      <c r="AZ29" s="3028"/>
      <c r="BA29" s="3028"/>
      <c r="BB29" s="3028"/>
      <c r="BC29" s="3028"/>
      <c r="BD29" s="3028"/>
      <c r="BE29" s="3028"/>
      <c r="BF29" s="3028"/>
      <c r="BG29" s="3028"/>
      <c r="BH29" s="3028"/>
      <c r="BI29" s="3028"/>
      <c r="BJ29" s="3028"/>
      <c r="BK29" s="3028"/>
      <c r="BL29" s="3028"/>
      <c r="BM29" s="3028"/>
      <c r="BN29" s="3028"/>
      <c r="BO29" s="3028"/>
      <c r="BP29" s="3028"/>
      <c r="BQ29" s="3028"/>
      <c r="BR29" s="3028"/>
      <c r="BS29" s="3028"/>
      <c r="BT29" s="3028"/>
      <c r="BU29" s="3028"/>
      <c r="BV29" s="3028"/>
      <c r="BW29" s="3028"/>
      <c r="BX29" s="3028"/>
      <c r="BY29" s="3028"/>
      <c r="BZ29" s="3028"/>
      <c r="CA29" s="3028"/>
      <c r="CB29" s="3028"/>
      <c r="CC29" s="3028"/>
      <c r="CD29" s="3028"/>
      <c r="CE29" s="3028"/>
      <c r="CF29" s="3028"/>
      <c r="CG29" s="3028"/>
      <c r="CH29" s="3028"/>
      <c r="CI29" s="3028"/>
      <c r="CJ29" s="3028"/>
      <c r="CK29" s="3028"/>
      <c r="CL29" s="3028"/>
      <c r="CM29" s="3028"/>
      <c r="CN29" s="3028"/>
      <c r="CO29" s="3028"/>
      <c r="CP29" s="3028"/>
      <c r="CQ29" s="3028"/>
      <c r="CR29" s="3028"/>
      <c r="CS29" s="3028"/>
      <c r="CT29" s="3028"/>
      <c r="CU29" s="3028"/>
      <c r="CV29" s="3028"/>
      <c r="CW29" s="3028"/>
      <c r="CX29" s="3028"/>
      <c r="CY29" s="3028"/>
      <c r="CZ29" s="3028"/>
      <c r="DA29" s="3028"/>
      <c r="DB29" s="3028"/>
      <c r="DC29" s="3028"/>
      <c r="DD29" s="3028"/>
      <c r="DE29" s="3028"/>
      <c r="DF29" s="3028"/>
      <c r="DG29" s="3028"/>
      <c r="DH29" s="3028"/>
      <c r="DI29" s="3028"/>
      <c r="DJ29" s="3028"/>
      <c r="DK29" s="3028"/>
      <c r="DL29" s="3028"/>
      <c r="DM29" s="3028"/>
      <c r="DN29" s="3028"/>
      <c r="DO29" s="3028"/>
      <c r="DP29" s="3028"/>
    </row>
    <row r="30" spans="1:135" s="3020" customFormat="1">
      <c r="B30" s="4604"/>
      <c r="C30" s="3031" t="s">
        <v>1614</v>
      </c>
      <c r="D30" s="3030" t="s">
        <v>1615</v>
      </c>
      <c r="E30" s="459">
        <v>0</v>
      </c>
      <c r="F30" s="458">
        <v>0</v>
      </c>
      <c r="G30" s="458">
        <v>5.4980000000000002</v>
      </c>
      <c r="H30" s="458">
        <v>21.189598517444129</v>
      </c>
      <c r="I30" s="460">
        <v>24.221865377165496</v>
      </c>
      <c r="J30" s="459">
        <v>26.381009706414101</v>
      </c>
      <c r="K30" s="458">
        <v>28.101964431228922</v>
      </c>
      <c r="L30" s="458">
        <v>29.408036273653369</v>
      </c>
      <c r="M30" s="458">
        <v>30.388809317258765</v>
      </c>
      <c r="N30" s="460">
        <v>30.62146689525138</v>
      </c>
      <c r="O30" s="459">
        <f t="shared" si="2"/>
        <v>31.138500333302503</v>
      </c>
      <c r="P30" s="458">
        <f t="shared" si="2"/>
        <v>31.526275411840842</v>
      </c>
      <c r="Q30" s="458">
        <f t="shared" si="1"/>
        <v>31.817106720744601</v>
      </c>
      <c r="R30" s="458">
        <f t="shared" si="1"/>
        <v>32.035230202422419</v>
      </c>
      <c r="S30" s="458">
        <f t="shared" si="1"/>
        <v>32.198822813680785</v>
      </c>
      <c r="T30" s="458">
        <f t="shared" si="1"/>
        <v>32.321517272124552</v>
      </c>
      <c r="U30" s="458">
        <f t="shared" si="1"/>
        <v>32.41353811595738</v>
      </c>
      <c r="V30" s="458">
        <f t="shared" si="1"/>
        <v>32.482553748832004</v>
      </c>
      <c r="W30" s="458">
        <f t="shared" si="1"/>
        <v>32.534315473487972</v>
      </c>
      <c r="X30" s="458">
        <f t="shared" si="1"/>
        <v>32.57313676697995</v>
      </c>
      <c r="Y30" s="458">
        <f t="shared" si="1"/>
        <v>32.602252737098929</v>
      </c>
      <c r="Z30" s="458">
        <f t="shared" si="1"/>
        <v>32.624089714688168</v>
      </c>
      <c r="AA30" s="458">
        <f t="shared" si="1"/>
        <v>32.640467447880098</v>
      </c>
      <c r="AB30" s="458">
        <f t="shared" si="1"/>
        <v>32.652750747774043</v>
      </c>
      <c r="AC30" s="460">
        <f t="shared" si="1"/>
        <v>32.661963222694503</v>
      </c>
      <c r="AD30" s="2524"/>
      <c r="AE30" s="2524"/>
      <c r="AF30" s="3028"/>
      <c r="AG30" s="3028"/>
      <c r="AH30" s="3028"/>
      <c r="AI30" s="3028"/>
      <c r="AJ30" s="3028"/>
      <c r="AK30" s="3028"/>
      <c r="AL30" s="3028"/>
      <c r="AM30" s="3028"/>
      <c r="AN30" s="3028"/>
      <c r="AO30" s="3028"/>
      <c r="AP30" s="3028"/>
      <c r="AQ30" s="3028"/>
      <c r="AR30" s="3028"/>
      <c r="AS30" s="3028"/>
      <c r="AT30" s="3028"/>
      <c r="AU30" s="3028"/>
      <c r="AV30" s="3028"/>
      <c r="AW30" s="3028"/>
      <c r="AX30" s="3028"/>
      <c r="AY30" s="3028"/>
      <c r="AZ30" s="3028"/>
      <c r="BA30" s="3028"/>
      <c r="BB30" s="3028"/>
      <c r="BC30" s="3028"/>
      <c r="BD30" s="3028"/>
      <c r="BE30" s="3028"/>
      <c r="BF30" s="3028"/>
      <c r="BG30" s="3028"/>
      <c r="BH30" s="3028"/>
      <c r="BI30" s="3028"/>
      <c r="BJ30" s="3028"/>
      <c r="BK30" s="3028"/>
      <c r="BL30" s="3028"/>
      <c r="BM30" s="3028"/>
      <c r="BN30" s="3028"/>
      <c r="BO30" s="3028"/>
      <c r="BP30" s="3028"/>
      <c r="BQ30" s="3028"/>
      <c r="BR30" s="3028"/>
      <c r="BS30" s="3028"/>
      <c r="BT30" s="3028"/>
      <c r="BU30" s="3028"/>
      <c r="BV30" s="3028"/>
      <c r="BW30" s="3028"/>
      <c r="BX30" s="3028"/>
      <c r="BY30" s="3028"/>
      <c r="BZ30" s="3028"/>
      <c r="CA30" s="3028"/>
      <c r="CB30" s="3028"/>
      <c r="CC30" s="3028"/>
      <c r="CD30" s="3028"/>
      <c r="CE30" s="3028"/>
      <c r="CF30" s="3028"/>
      <c r="CG30" s="3028"/>
      <c r="CH30" s="3028"/>
      <c r="CI30" s="3028"/>
      <c r="CJ30" s="3028"/>
      <c r="CK30" s="3028"/>
      <c r="CL30" s="3028"/>
      <c r="CM30" s="3028"/>
      <c r="CN30" s="3028"/>
      <c r="CO30" s="3028"/>
      <c r="CP30" s="3028"/>
      <c r="CQ30" s="3028"/>
      <c r="CR30" s="3028"/>
      <c r="CS30" s="3028"/>
      <c r="CT30" s="3028"/>
      <c r="CU30" s="3028"/>
      <c r="CV30" s="3028"/>
      <c r="CW30" s="3028"/>
      <c r="CX30" s="3028"/>
      <c r="CY30" s="3028"/>
      <c r="CZ30" s="3028"/>
      <c r="DA30" s="3028"/>
      <c r="DB30" s="3028"/>
      <c r="DC30" s="3028"/>
      <c r="DD30" s="3028"/>
      <c r="DE30" s="3028"/>
      <c r="DF30" s="3028"/>
      <c r="DG30" s="3028"/>
      <c r="DH30" s="3028"/>
      <c r="DI30" s="3028"/>
      <c r="DJ30" s="3028"/>
      <c r="DK30" s="3028"/>
      <c r="DL30" s="3028"/>
      <c r="DM30" s="3028"/>
      <c r="DN30" s="3028"/>
      <c r="DO30" s="3028"/>
      <c r="DP30" s="3028"/>
    </row>
    <row r="31" spans="1:135" s="3020" customFormat="1" ht="13.5" thickBot="1">
      <c r="B31" s="4605"/>
      <c r="C31" s="3032" t="s">
        <v>63</v>
      </c>
      <c r="D31" s="3033"/>
      <c r="E31" s="1370">
        <f t="shared" ref="E31:O31" si="3">SUM(E23:E30)</f>
        <v>0</v>
      </c>
      <c r="F31" s="356">
        <f t="shared" si="3"/>
        <v>2195.4439841939989</v>
      </c>
      <c r="G31" s="356">
        <f t="shared" si="3"/>
        <v>9562.8679462359778</v>
      </c>
      <c r="H31" s="356">
        <f t="shared" si="3"/>
        <v>19585.422683143348</v>
      </c>
      <c r="I31" s="503">
        <f t="shared" si="3"/>
        <v>21699.659548782827</v>
      </c>
      <c r="J31" s="1370">
        <f t="shared" si="3"/>
        <v>23006.59830676869</v>
      </c>
      <c r="K31" s="356">
        <f t="shared" si="3"/>
        <v>23925.251520117043</v>
      </c>
      <c r="L31" s="356">
        <f t="shared" si="3"/>
        <v>24491.70648179717</v>
      </c>
      <c r="M31" s="356">
        <f t="shared" si="3"/>
        <v>24789.500843821857</v>
      </c>
      <c r="N31" s="503">
        <f t="shared" si="3"/>
        <v>24611.054731441396</v>
      </c>
      <c r="O31" s="1370">
        <f t="shared" si="3"/>
        <v>25026.604328898295</v>
      </c>
      <c r="P31" s="356">
        <f t="shared" ref="P31:AC31" si="4">SUM(P23:P30)</f>
        <v>25338.26652699097</v>
      </c>
      <c r="Q31" s="356">
        <f t="shared" si="4"/>
        <v>25572.013175560471</v>
      </c>
      <c r="R31" s="356">
        <f t="shared" si="4"/>
        <v>25747.323161987602</v>
      </c>
      <c r="S31" s="356">
        <f t="shared" si="4"/>
        <v>25878.80565180795</v>
      </c>
      <c r="T31" s="356">
        <f t="shared" si="4"/>
        <v>25977.41751917321</v>
      </c>
      <c r="U31" s="356">
        <f t="shared" si="4"/>
        <v>26051.376419697157</v>
      </c>
      <c r="V31" s="356">
        <f t="shared" si="4"/>
        <v>26106.845595090119</v>
      </c>
      <c r="W31" s="356">
        <f t="shared" si="4"/>
        <v>26148.447476634832</v>
      </c>
      <c r="X31" s="356">
        <f t="shared" si="4"/>
        <v>26179.648887793373</v>
      </c>
      <c r="Y31" s="356">
        <f t="shared" si="4"/>
        <v>26203.049946162279</v>
      </c>
      <c r="Z31" s="356">
        <f t="shared" si="4"/>
        <v>26220.600739938956</v>
      </c>
      <c r="AA31" s="356">
        <f t="shared" si="4"/>
        <v>26233.763835271468</v>
      </c>
      <c r="AB31" s="356">
        <f t="shared" si="4"/>
        <v>26243.636156770848</v>
      </c>
      <c r="AC31" s="503">
        <f t="shared" si="4"/>
        <v>26251.040397895387</v>
      </c>
      <c r="AD31" s="2524"/>
      <c r="AE31" s="2524"/>
      <c r="AF31" s="3028"/>
      <c r="AG31" s="3028"/>
      <c r="AH31" s="3028"/>
      <c r="AI31" s="3028"/>
      <c r="AJ31" s="3028"/>
      <c r="AK31" s="3028"/>
      <c r="AL31" s="3028"/>
      <c r="AM31" s="3028"/>
      <c r="AN31" s="3028"/>
      <c r="AO31" s="3028"/>
      <c r="AP31" s="3028"/>
      <c r="AQ31" s="3028"/>
      <c r="AR31" s="3028"/>
      <c r="AS31" s="3028"/>
      <c r="AT31" s="3028"/>
      <c r="AU31" s="3028"/>
      <c r="AV31" s="3028"/>
      <c r="AW31" s="3028"/>
      <c r="AX31" s="3028"/>
      <c r="AY31" s="3028"/>
      <c r="AZ31" s="3028"/>
      <c r="BA31" s="3028"/>
      <c r="BB31" s="3028"/>
      <c r="BC31" s="3028"/>
      <c r="BD31" s="3028"/>
      <c r="BE31" s="3028"/>
      <c r="BF31" s="3028"/>
      <c r="BG31" s="3028"/>
      <c r="BH31" s="3028"/>
      <c r="BI31" s="3028"/>
      <c r="BJ31" s="3028"/>
      <c r="BK31" s="3028"/>
      <c r="BL31" s="3028"/>
      <c r="BM31" s="3028"/>
      <c r="BN31" s="3028"/>
      <c r="BO31" s="3028"/>
      <c r="BP31" s="3028"/>
      <c r="BQ31" s="3028"/>
      <c r="BR31" s="3028"/>
      <c r="BS31" s="3028"/>
      <c r="BT31" s="3028"/>
      <c r="BU31" s="3028"/>
      <c r="BV31" s="3028"/>
      <c r="BW31" s="3028"/>
      <c r="BX31" s="3028"/>
      <c r="BY31" s="3028"/>
      <c r="BZ31" s="3028"/>
      <c r="CA31" s="3028"/>
      <c r="CB31" s="3028"/>
      <c r="CC31" s="3028"/>
      <c r="CD31" s="3028"/>
      <c r="CE31" s="3028"/>
      <c r="CF31" s="3028"/>
      <c r="CG31" s="3028"/>
      <c r="CH31" s="3028"/>
      <c r="CI31" s="3028"/>
      <c r="CJ31" s="3028"/>
      <c r="CK31" s="3028"/>
      <c r="CL31" s="3028"/>
      <c r="CM31" s="3028"/>
      <c r="CN31" s="3028"/>
      <c r="CO31" s="3028"/>
      <c r="CP31" s="3028"/>
      <c r="CQ31" s="3028"/>
      <c r="CR31" s="3028"/>
      <c r="CS31" s="3028"/>
      <c r="CT31" s="3028"/>
      <c r="CU31" s="3028"/>
      <c r="CV31" s="3028"/>
      <c r="CW31" s="3028"/>
      <c r="CX31" s="3028"/>
      <c r="CY31" s="3028"/>
      <c r="CZ31" s="3028"/>
      <c r="DA31" s="3028"/>
      <c r="DB31" s="3028"/>
      <c r="DC31" s="3028"/>
      <c r="DD31" s="3028"/>
      <c r="DE31" s="3028"/>
      <c r="DF31" s="3028"/>
      <c r="DG31" s="3028"/>
      <c r="DH31" s="3028"/>
      <c r="DI31" s="3028"/>
      <c r="DJ31" s="3028"/>
      <c r="DK31" s="3028"/>
      <c r="DL31" s="3028"/>
      <c r="DM31" s="3028"/>
      <c r="DN31" s="3028"/>
      <c r="DO31" s="3028"/>
      <c r="DP31" s="3028"/>
    </row>
    <row r="32" spans="1:135" ht="24" customHeight="1">
      <c r="A32" s="2771"/>
      <c r="B32" s="3034" t="s">
        <v>63</v>
      </c>
      <c r="C32" s="3035"/>
      <c r="D32" s="3036"/>
      <c r="E32" s="3037">
        <f>E31</f>
        <v>0</v>
      </c>
      <c r="F32" s="3038">
        <f t="shared" ref="F32:AC32" si="5">F31</f>
        <v>2195.4439841939989</v>
      </c>
      <c r="G32" s="3038">
        <f t="shared" si="5"/>
        <v>9562.8679462359778</v>
      </c>
      <c r="H32" s="3038">
        <f t="shared" si="5"/>
        <v>19585.422683143348</v>
      </c>
      <c r="I32" s="3039">
        <f t="shared" si="5"/>
        <v>21699.659548782827</v>
      </c>
      <c r="J32" s="3040">
        <f t="shared" si="5"/>
        <v>23006.59830676869</v>
      </c>
      <c r="K32" s="3039">
        <f t="shared" si="5"/>
        <v>23925.251520117043</v>
      </c>
      <c r="L32" s="3039">
        <f t="shared" si="5"/>
        <v>24491.70648179717</v>
      </c>
      <c r="M32" s="3039">
        <f t="shared" si="5"/>
        <v>24789.500843821857</v>
      </c>
      <c r="N32" s="3041">
        <f t="shared" si="5"/>
        <v>24611.054731441396</v>
      </c>
      <c r="O32" s="3040">
        <f t="shared" si="5"/>
        <v>25026.604328898295</v>
      </c>
      <c r="P32" s="3039">
        <f t="shared" si="5"/>
        <v>25338.26652699097</v>
      </c>
      <c r="Q32" s="3039">
        <f t="shared" si="5"/>
        <v>25572.013175560471</v>
      </c>
      <c r="R32" s="3039">
        <f t="shared" si="5"/>
        <v>25747.323161987602</v>
      </c>
      <c r="S32" s="3039">
        <f t="shared" si="5"/>
        <v>25878.80565180795</v>
      </c>
      <c r="T32" s="3039">
        <f t="shared" si="5"/>
        <v>25977.41751917321</v>
      </c>
      <c r="U32" s="3039">
        <f t="shared" si="5"/>
        <v>26051.376419697157</v>
      </c>
      <c r="V32" s="3039">
        <f t="shared" si="5"/>
        <v>26106.845595090119</v>
      </c>
      <c r="W32" s="3039">
        <f t="shared" si="5"/>
        <v>26148.447476634832</v>
      </c>
      <c r="X32" s="3039">
        <f t="shared" si="5"/>
        <v>26179.648887793373</v>
      </c>
      <c r="Y32" s="3039">
        <f t="shared" si="5"/>
        <v>26203.049946162279</v>
      </c>
      <c r="Z32" s="3039">
        <f t="shared" si="5"/>
        <v>26220.600739938956</v>
      </c>
      <c r="AA32" s="3039">
        <f t="shared" si="5"/>
        <v>26233.763835271468</v>
      </c>
      <c r="AB32" s="3039">
        <f t="shared" si="5"/>
        <v>26243.636156770848</v>
      </c>
      <c r="AC32" s="3042">
        <f t="shared" si="5"/>
        <v>26251.040397895387</v>
      </c>
    </row>
    <row r="33" spans="1:135" ht="27" customHeight="1" thickBot="1">
      <c r="B33" s="2524"/>
      <c r="F33" s="3043"/>
      <c r="G33" s="3043"/>
      <c r="H33" s="3043"/>
      <c r="I33" s="3043"/>
      <c r="J33" s="3043"/>
      <c r="K33" s="3043"/>
      <c r="L33" s="3043"/>
      <c r="M33" s="3043"/>
      <c r="N33" s="3043"/>
      <c r="O33" s="3043"/>
      <c r="P33" s="3043"/>
      <c r="Q33" s="3043"/>
      <c r="R33" s="3043"/>
      <c r="S33" s="3043"/>
      <c r="T33" s="3043"/>
      <c r="U33" s="3043"/>
      <c r="V33" s="3043"/>
      <c r="W33" s="3043"/>
      <c r="X33" s="3043"/>
      <c r="Y33" s="3043"/>
      <c r="Z33" s="3043"/>
      <c r="AA33" s="3043"/>
      <c r="AB33" s="3043"/>
      <c r="AC33" s="3043"/>
    </row>
    <row r="34" spans="1:135" s="3019" customFormat="1" ht="18.75" customHeight="1" thickBot="1">
      <c r="A34" s="3013"/>
      <c r="B34" s="2783" t="s">
        <v>1616</v>
      </c>
      <c r="C34" s="2784"/>
      <c r="D34" s="2784"/>
      <c r="E34" s="2784"/>
      <c r="F34" s="2784"/>
      <c r="G34" s="2784"/>
      <c r="H34" s="2784"/>
      <c r="I34" s="2784"/>
      <c r="J34" s="2784"/>
      <c r="K34" s="2784"/>
      <c r="L34" s="2784"/>
      <c r="M34" s="2784"/>
      <c r="N34" s="2784"/>
      <c r="O34" s="2784"/>
      <c r="P34" s="2784"/>
      <c r="Q34" s="2784"/>
      <c r="R34" s="2784"/>
      <c r="S34" s="2784"/>
      <c r="T34" s="2784"/>
      <c r="U34" s="2784"/>
      <c r="V34" s="2784"/>
      <c r="W34" s="2784"/>
      <c r="X34" s="2784"/>
      <c r="Y34" s="2784"/>
      <c r="Z34" s="2784"/>
      <c r="AA34" s="2784"/>
      <c r="AB34" s="2784"/>
      <c r="AC34" s="2785"/>
      <c r="AD34" s="2524"/>
      <c r="AE34" s="2524"/>
      <c r="AF34" s="2524"/>
      <c r="DF34" s="2524"/>
      <c r="DG34" s="2524"/>
      <c r="DH34" s="2524"/>
      <c r="DI34" s="2524"/>
      <c r="DJ34" s="2524"/>
      <c r="DK34" s="2524"/>
      <c r="DL34" s="2524"/>
      <c r="DM34" s="2524"/>
      <c r="DN34" s="2524"/>
      <c r="DO34" s="2524"/>
      <c r="DP34" s="2524"/>
      <c r="DQ34" s="2524"/>
      <c r="DR34" s="2524"/>
      <c r="DS34" s="2524"/>
      <c r="DT34" s="2524"/>
      <c r="DU34" s="2524"/>
      <c r="DV34" s="2524"/>
      <c r="DW34" s="2524"/>
      <c r="DX34" s="2524"/>
      <c r="DY34" s="2524"/>
      <c r="DZ34" s="2524"/>
      <c r="EA34" s="2524"/>
      <c r="EB34" s="2524"/>
      <c r="EC34" s="2524"/>
      <c r="ED34" s="2524"/>
      <c r="EE34" s="2524"/>
    </row>
    <row r="35" spans="1:135">
      <c r="A35" s="2771"/>
      <c r="B35" s="4633" t="s">
        <v>1623</v>
      </c>
      <c r="C35" s="4606" t="s">
        <v>47</v>
      </c>
      <c r="D35" s="4607"/>
      <c r="E35" s="3024">
        <v>0</v>
      </c>
      <c r="F35" s="3025">
        <v>0</v>
      </c>
      <c r="G35" s="3025">
        <v>2</v>
      </c>
      <c r="H35" s="3025">
        <v>2</v>
      </c>
      <c r="I35" s="3026">
        <v>4</v>
      </c>
      <c r="J35" s="3044">
        <v>4</v>
      </c>
      <c r="K35" s="3045">
        <v>4</v>
      </c>
      <c r="L35" s="3045">
        <v>4</v>
      </c>
      <c r="M35" s="3045">
        <v>4</v>
      </c>
      <c r="N35" s="3046">
        <v>4</v>
      </c>
      <c r="O35" s="3047">
        <v>4</v>
      </c>
      <c r="P35" s="3045">
        <v>4</v>
      </c>
      <c r="Q35" s="3045">
        <v>4</v>
      </c>
      <c r="R35" s="3045">
        <v>4</v>
      </c>
      <c r="S35" s="3045">
        <v>4</v>
      </c>
      <c r="T35" s="3045">
        <v>4</v>
      </c>
      <c r="U35" s="3045">
        <v>4</v>
      </c>
      <c r="V35" s="3045">
        <v>4</v>
      </c>
      <c r="W35" s="3045">
        <v>4</v>
      </c>
      <c r="X35" s="3045">
        <v>4</v>
      </c>
      <c r="Y35" s="3045">
        <v>4</v>
      </c>
      <c r="Z35" s="3045">
        <v>4</v>
      </c>
      <c r="AA35" s="3045">
        <v>4</v>
      </c>
      <c r="AB35" s="3045">
        <v>4</v>
      </c>
      <c r="AC35" s="3048">
        <v>4</v>
      </c>
    </row>
    <row r="36" spans="1:135">
      <c r="A36" s="2771"/>
      <c r="B36" s="4633"/>
      <c r="C36" s="3029" t="s">
        <v>1600</v>
      </c>
      <c r="D36" s="3030" t="s">
        <v>1601</v>
      </c>
      <c r="E36" s="459">
        <v>0</v>
      </c>
      <c r="F36" s="458">
        <v>0</v>
      </c>
      <c r="G36" s="458">
        <v>27.100643921000003</v>
      </c>
      <c r="H36" s="458">
        <v>21.660330275229356</v>
      </c>
      <c r="I36" s="460">
        <v>41.773203252032523</v>
      </c>
      <c r="J36" s="3049">
        <v>40.727739348370932</v>
      </c>
      <c r="K36" s="2969">
        <v>39.658902325581401</v>
      </c>
      <c r="L36" s="2969">
        <v>40.820583690987121</v>
      </c>
      <c r="M36" s="2969">
        <v>40.923168154415571</v>
      </c>
      <c r="N36" s="3050">
        <v>39.701788099295271</v>
      </c>
      <c r="O36" s="459">
        <f>+O$35*(N36/N$35)</f>
        <v>39.701788099295271</v>
      </c>
      <c r="P36" s="458">
        <f t="shared" ref="P36:AC36" si="6">+P$35*(O36/O$35)</f>
        <v>39.701788099295271</v>
      </c>
      <c r="Q36" s="458">
        <f t="shared" si="6"/>
        <v>39.701788099295271</v>
      </c>
      <c r="R36" s="458">
        <f t="shared" si="6"/>
        <v>39.701788099295271</v>
      </c>
      <c r="S36" s="458">
        <f t="shared" si="6"/>
        <v>39.701788099295271</v>
      </c>
      <c r="T36" s="458">
        <f t="shared" si="6"/>
        <v>39.701788099295271</v>
      </c>
      <c r="U36" s="458">
        <f t="shared" si="6"/>
        <v>39.701788099295271</v>
      </c>
      <c r="V36" s="458">
        <f t="shared" si="6"/>
        <v>39.701788099295271</v>
      </c>
      <c r="W36" s="458">
        <f t="shared" si="6"/>
        <v>39.701788099295271</v>
      </c>
      <c r="X36" s="458">
        <f t="shared" si="6"/>
        <v>39.701788099295271</v>
      </c>
      <c r="Y36" s="458">
        <f t="shared" si="6"/>
        <v>39.701788099295271</v>
      </c>
      <c r="Z36" s="458">
        <f t="shared" si="6"/>
        <v>39.701788099295271</v>
      </c>
      <c r="AA36" s="458">
        <f t="shared" si="6"/>
        <v>39.701788099295271</v>
      </c>
      <c r="AB36" s="458">
        <f t="shared" si="6"/>
        <v>39.701788099295271</v>
      </c>
      <c r="AC36" s="460">
        <f t="shared" si="6"/>
        <v>39.701788099295271</v>
      </c>
    </row>
    <row r="37" spans="1:135">
      <c r="A37" s="2771"/>
      <c r="B37" s="4633"/>
      <c r="C37" s="3029" t="s">
        <v>1602</v>
      </c>
      <c r="D37" s="3030" t="s">
        <v>1603</v>
      </c>
      <c r="E37" s="459">
        <v>0</v>
      </c>
      <c r="F37" s="458">
        <v>0</v>
      </c>
      <c r="G37" s="458">
        <v>23.800000000000004</v>
      </c>
      <c r="H37" s="458">
        <v>18.025088685015291</v>
      </c>
      <c r="I37" s="460">
        <v>35.516986449864497</v>
      </c>
      <c r="J37" s="3049">
        <v>34.240160401002505</v>
      </c>
      <c r="K37" s="2969">
        <v>34.449358139534887</v>
      </c>
      <c r="L37" s="2969">
        <v>34.202094420600858</v>
      </c>
      <c r="M37" s="2969">
        <v>34.461492153546118</v>
      </c>
      <c r="N37" s="3050">
        <v>33.647449742885861</v>
      </c>
      <c r="O37" s="413">
        <f t="shared" ref="O37:AC43" si="7">+O$35*(N37/N$35)</f>
        <v>33.647449742885861</v>
      </c>
      <c r="P37" s="458">
        <f t="shared" si="7"/>
        <v>33.647449742885861</v>
      </c>
      <c r="Q37" s="458">
        <f t="shared" si="7"/>
        <v>33.647449742885861</v>
      </c>
      <c r="R37" s="458">
        <f t="shared" si="7"/>
        <v>33.647449742885861</v>
      </c>
      <c r="S37" s="458">
        <f t="shared" si="7"/>
        <v>33.647449742885861</v>
      </c>
      <c r="T37" s="458">
        <f t="shared" si="7"/>
        <v>33.647449742885861</v>
      </c>
      <c r="U37" s="458">
        <f t="shared" si="7"/>
        <v>33.647449742885861</v>
      </c>
      <c r="V37" s="458">
        <f t="shared" si="7"/>
        <v>33.647449742885861</v>
      </c>
      <c r="W37" s="458">
        <f t="shared" si="7"/>
        <v>33.647449742885861</v>
      </c>
      <c r="X37" s="458">
        <f t="shared" si="7"/>
        <v>33.647449742885861</v>
      </c>
      <c r="Y37" s="458">
        <f t="shared" si="7"/>
        <v>33.647449742885861</v>
      </c>
      <c r="Z37" s="458">
        <f t="shared" si="7"/>
        <v>33.647449742885861</v>
      </c>
      <c r="AA37" s="458">
        <f t="shared" si="7"/>
        <v>33.647449742885861</v>
      </c>
      <c r="AB37" s="458">
        <f t="shared" si="7"/>
        <v>33.647449742885861</v>
      </c>
      <c r="AC37" s="460">
        <f t="shared" si="7"/>
        <v>33.647449742885861</v>
      </c>
    </row>
    <row r="38" spans="1:135">
      <c r="A38" s="2771"/>
      <c r="B38" s="4633"/>
      <c r="C38" s="3029" t="s">
        <v>1604</v>
      </c>
      <c r="D38" s="3030" t="s">
        <v>1605</v>
      </c>
      <c r="E38" s="459">
        <v>0</v>
      </c>
      <c r="F38" s="458">
        <v>0</v>
      </c>
      <c r="G38" s="458">
        <v>26.776413726000001</v>
      </c>
      <c r="H38" s="458">
        <v>104.97051987767584</v>
      </c>
      <c r="I38" s="460">
        <v>224.02631978319783</v>
      </c>
      <c r="J38" s="3049">
        <v>203.71470676691732</v>
      </c>
      <c r="K38" s="2969">
        <v>207.31259534883719</v>
      </c>
      <c r="L38" s="2969">
        <v>203.34037768240341</v>
      </c>
      <c r="M38" s="2969">
        <v>203.4100082867885</v>
      </c>
      <c r="N38" s="3050">
        <v>198.36658113644532</v>
      </c>
      <c r="O38" s="413">
        <f t="shared" si="7"/>
        <v>198.36658113644532</v>
      </c>
      <c r="P38" s="458">
        <f t="shared" si="7"/>
        <v>198.36658113644532</v>
      </c>
      <c r="Q38" s="458">
        <f t="shared" si="7"/>
        <v>198.36658113644532</v>
      </c>
      <c r="R38" s="458">
        <f t="shared" si="7"/>
        <v>198.36658113644532</v>
      </c>
      <c r="S38" s="458">
        <f t="shared" si="7"/>
        <v>198.36658113644532</v>
      </c>
      <c r="T38" s="458">
        <f t="shared" si="7"/>
        <v>198.36658113644532</v>
      </c>
      <c r="U38" s="458">
        <f t="shared" si="7"/>
        <v>198.36658113644532</v>
      </c>
      <c r="V38" s="458">
        <f t="shared" si="7"/>
        <v>198.36658113644532</v>
      </c>
      <c r="W38" s="458">
        <f t="shared" si="7"/>
        <v>198.36658113644532</v>
      </c>
      <c r="X38" s="458">
        <f t="shared" si="7"/>
        <v>198.36658113644532</v>
      </c>
      <c r="Y38" s="458">
        <f t="shared" si="7"/>
        <v>198.36658113644532</v>
      </c>
      <c r="Z38" s="458">
        <f t="shared" si="7"/>
        <v>198.36658113644532</v>
      </c>
      <c r="AA38" s="458">
        <f t="shared" si="7"/>
        <v>198.36658113644532</v>
      </c>
      <c r="AB38" s="458">
        <f t="shared" si="7"/>
        <v>198.36658113644532</v>
      </c>
      <c r="AC38" s="460">
        <f t="shared" si="7"/>
        <v>198.36658113644532</v>
      </c>
    </row>
    <row r="39" spans="1:135">
      <c r="A39" s="2771"/>
      <c r="B39" s="4633"/>
      <c r="C39" s="3029" t="s">
        <v>1606</v>
      </c>
      <c r="D39" s="3030" t="s">
        <v>1607</v>
      </c>
      <c r="E39" s="459">
        <v>0</v>
      </c>
      <c r="F39" s="458">
        <v>0</v>
      </c>
      <c r="G39" s="458">
        <v>0</v>
      </c>
      <c r="H39" s="458">
        <v>276.69652599388377</v>
      </c>
      <c r="I39" s="460">
        <v>522.59833062330631</v>
      </c>
      <c r="J39" s="3049">
        <v>464.68457142857142</v>
      </c>
      <c r="K39" s="2969">
        <v>410.16569302325581</v>
      </c>
      <c r="L39" s="2969">
        <v>455.05551931330473</v>
      </c>
      <c r="M39" s="2969">
        <v>441.41708708012243</v>
      </c>
      <c r="N39" s="3050">
        <v>427.79944982089245</v>
      </c>
      <c r="O39" s="413">
        <f t="shared" si="7"/>
        <v>427.79944982089245</v>
      </c>
      <c r="P39" s="458">
        <f t="shared" si="7"/>
        <v>427.79944982089245</v>
      </c>
      <c r="Q39" s="458">
        <f t="shared" si="7"/>
        <v>427.79944982089245</v>
      </c>
      <c r="R39" s="458">
        <f t="shared" si="7"/>
        <v>427.79944982089245</v>
      </c>
      <c r="S39" s="458">
        <f t="shared" si="7"/>
        <v>427.79944982089245</v>
      </c>
      <c r="T39" s="458">
        <f t="shared" si="7"/>
        <v>427.79944982089245</v>
      </c>
      <c r="U39" s="458">
        <f t="shared" si="7"/>
        <v>427.79944982089245</v>
      </c>
      <c r="V39" s="458">
        <f t="shared" si="7"/>
        <v>427.79944982089245</v>
      </c>
      <c r="W39" s="458">
        <f t="shared" si="7"/>
        <v>427.79944982089245</v>
      </c>
      <c r="X39" s="458">
        <f t="shared" si="7"/>
        <v>427.79944982089245</v>
      </c>
      <c r="Y39" s="458">
        <f t="shared" si="7"/>
        <v>427.79944982089245</v>
      </c>
      <c r="Z39" s="458">
        <f t="shared" si="7"/>
        <v>427.79944982089245</v>
      </c>
      <c r="AA39" s="458">
        <f t="shared" si="7"/>
        <v>427.79944982089245</v>
      </c>
      <c r="AB39" s="458">
        <f t="shared" si="7"/>
        <v>427.79944982089245</v>
      </c>
      <c r="AC39" s="460">
        <f t="shared" si="7"/>
        <v>427.79944982089245</v>
      </c>
    </row>
    <row r="40" spans="1:135">
      <c r="A40" s="2771"/>
      <c r="B40" s="4633"/>
      <c r="C40" s="3031" t="s">
        <v>1608</v>
      </c>
      <c r="D40" s="3030" t="s">
        <v>1609</v>
      </c>
      <c r="E40" s="459">
        <v>0</v>
      </c>
      <c r="F40" s="458">
        <v>0</v>
      </c>
      <c r="G40" s="458">
        <v>20.213908133</v>
      </c>
      <c r="H40" s="458">
        <v>33.705259938837926</v>
      </c>
      <c r="I40" s="460">
        <v>67.32643902439024</v>
      </c>
      <c r="J40" s="3049">
        <v>65.3559298245614</v>
      </c>
      <c r="K40" s="2969">
        <v>66.01635348837209</v>
      </c>
      <c r="L40" s="2969">
        <v>65.149047210300424</v>
      </c>
      <c r="M40" s="2969">
        <v>65.254253706407468</v>
      </c>
      <c r="N40" s="3050">
        <v>63.285536269963842</v>
      </c>
      <c r="O40" s="413">
        <f t="shared" si="7"/>
        <v>63.285536269963842</v>
      </c>
      <c r="P40" s="458">
        <f t="shared" si="7"/>
        <v>63.285536269963842</v>
      </c>
      <c r="Q40" s="458">
        <f t="shared" si="7"/>
        <v>63.285536269963842</v>
      </c>
      <c r="R40" s="458">
        <f t="shared" si="7"/>
        <v>63.285536269963842</v>
      </c>
      <c r="S40" s="458">
        <f t="shared" si="7"/>
        <v>63.285536269963842</v>
      </c>
      <c r="T40" s="458">
        <f t="shared" si="7"/>
        <v>63.285536269963842</v>
      </c>
      <c r="U40" s="458">
        <f t="shared" si="7"/>
        <v>63.285536269963842</v>
      </c>
      <c r="V40" s="458">
        <f t="shared" si="7"/>
        <v>63.285536269963842</v>
      </c>
      <c r="W40" s="458">
        <f t="shared" si="7"/>
        <v>63.285536269963842</v>
      </c>
      <c r="X40" s="458">
        <f t="shared" si="7"/>
        <v>63.285536269963842</v>
      </c>
      <c r="Y40" s="458">
        <f t="shared" si="7"/>
        <v>63.285536269963842</v>
      </c>
      <c r="Z40" s="458">
        <f t="shared" si="7"/>
        <v>63.285536269963842</v>
      </c>
      <c r="AA40" s="458">
        <f t="shared" si="7"/>
        <v>63.285536269963842</v>
      </c>
      <c r="AB40" s="458">
        <f t="shared" si="7"/>
        <v>63.285536269963842</v>
      </c>
      <c r="AC40" s="460">
        <f t="shared" si="7"/>
        <v>63.285536269963842</v>
      </c>
    </row>
    <row r="41" spans="1:135">
      <c r="A41" s="2771"/>
      <c r="B41" s="4633"/>
      <c r="C41" s="3031" t="s">
        <v>1610</v>
      </c>
      <c r="D41" s="3030" t="s">
        <v>1611</v>
      </c>
      <c r="E41" s="459">
        <v>0</v>
      </c>
      <c r="F41" s="458">
        <v>0</v>
      </c>
      <c r="G41" s="458">
        <v>12.200000000000001</v>
      </c>
      <c r="H41" s="458">
        <v>25.528146788990824</v>
      </c>
      <c r="I41" s="460">
        <v>50.745582655826553</v>
      </c>
      <c r="J41" s="3049">
        <v>48.686075187969919</v>
      </c>
      <c r="K41" s="2969">
        <v>47.699683720930238</v>
      </c>
      <c r="L41" s="2969">
        <v>47.980068669527896</v>
      </c>
      <c r="M41" s="2969">
        <v>48.166759376073479</v>
      </c>
      <c r="N41" s="3050">
        <v>47.142688355924605</v>
      </c>
      <c r="O41" s="413">
        <f t="shared" si="7"/>
        <v>47.142688355924605</v>
      </c>
      <c r="P41" s="458">
        <f t="shared" si="7"/>
        <v>47.142688355924605</v>
      </c>
      <c r="Q41" s="458">
        <f t="shared" si="7"/>
        <v>47.142688355924605</v>
      </c>
      <c r="R41" s="458">
        <f t="shared" si="7"/>
        <v>47.142688355924605</v>
      </c>
      <c r="S41" s="458">
        <f t="shared" si="7"/>
        <v>47.142688355924605</v>
      </c>
      <c r="T41" s="458">
        <f t="shared" si="7"/>
        <v>47.142688355924605</v>
      </c>
      <c r="U41" s="458">
        <f t="shared" si="7"/>
        <v>47.142688355924605</v>
      </c>
      <c r="V41" s="458">
        <f t="shared" si="7"/>
        <v>47.142688355924605</v>
      </c>
      <c r="W41" s="458">
        <f t="shared" si="7"/>
        <v>47.142688355924605</v>
      </c>
      <c r="X41" s="458">
        <f t="shared" si="7"/>
        <v>47.142688355924605</v>
      </c>
      <c r="Y41" s="458">
        <f t="shared" si="7"/>
        <v>47.142688355924605</v>
      </c>
      <c r="Z41" s="458">
        <f t="shared" si="7"/>
        <v>47.142688355924605</v>
      </c>
      <c r="AA41" s="458">
        <f t="shared" si="7"/>
        <v>47.142688355924605</v>
      </c>
      <c r="AB41" s="458">
        <f t="shared" si="7"/>
        <v>47.142688355924605</v>
      </c>
      <c r="AC41" s="460">
        <f t="shared" si="7"/>
        <v>47.142688355924605</v>
      </c>
    </row>
    <row r="42" spans="1:135">
      <c r="A42" s="2771"/>
      <c r="B42" s="4633"/>
      <c r="C42" s="3031" t="s">
        <v>1612</v>
      </c>
      <c r="D42" s="3030" t="s">
        <v>1613</v>
      </c>
      <c r="E42" s="459">
        <v>0</v>
      </c>
      <c r="F42" s="458">
        <v>0</v>
      </c>
      <c r="G42" s="458">
        <v>7.4530338560000002</v>
      </c>
      <c r="H42" s="458">
        <v>162.35644036697246</v>
      </c>
      <c r="I42" s="460">
        <v>304.47661788617887</v>
      </c>
      <c r="J42" s="3049">
        <v>287.91609022556389</v>
      </c>
      <c r="K42" s="2969">
        <v>291.40018604651164</v>
      </c>
      <c r="L42" s="2969">
        <v>285.43126180257508</v>
      </c>
      <c r="M42" s="2969">
        <v>285.31712814970308</v>
      </c>
      <c r="N42" s="3050">
        <v>278.24955138948286</v>
      </c>
      <c r="O42" s="413">
        <f t="shared" si="7"/>
        <v>278.24955138948286</v>
      </c>
      <c r="P42" s="458">
        <f t="shared" si="7"/>
        <v>278.24955138948286</v>
      </c>
      <c r="Q42" s="458">
        <f t="shared" si="7"/>
        <v>278.24955138948286</v>
      </c>
      <c r="R42" s="458">
        <f t="shared" si="7"/>
        <v>278.24955138948286</v>
      </c>
      <c r="S42" s="458">
        <f t="shared" si="7"/>
        <v>278.24955138948286</v>
      </c>
      <c r="T42" s="458">
        <f t="shared" si="7"/>
        <v>278.24955138948286</v>
      </c>
      <c r="U42" s="458">
        <f t="shared" si="7"/>
        <v>278.24955138948286</v>
      </c>
      <c r="V42" s="458">
        <f t="shared" si="7"/>
        <v>278.24955138948286</v>
      </c>
      <c r="W42" s="458">
        <f t="shared" si="7"/>
        <v>278.24955138948286</v>
      </c>
      <c r="X42" s="458">
        <f t="shared" si="7"/>
        <v>278.24955138948286</v>
      </c>
      <c r="Y42" s="458">
        <f t="shared" si="7"/>
        <v>278.24955138948286</v>
      </c>
      <c r="Z42" s="458">
        <f t="shared" si="7"/>
        <v>278.24955138948286</v>
      </c>
      <c r="AA42" s="458">
        <f t="shared" si="7"/>
        <v>278.24955138948286</v>
      </c>
      <c r="AB42" s="458">
        <f t="shared" si="7"/>
        <v>278.24955138948286</v>
      </c>
      <c r="AC42" s="460">
        <f t="shared" si="7"/>
        <v>278.24955138948286</v>
      </c>
    </row>
    <row r="43" spans="1:135">
      <c r="A43" s="2771"/>
      <c r="B43" s="4633"/>
      <c r="C43" s="3031" t="s">
        <v>1614</v>
      </c>
      <c r="D43" s="3030" t="s">
        <v>1615</v>
      </c>
      <c r="E43" s="459">
        <v>0</v>
      </c>
      <c r="F43" s="458">
        <v>0</v>
      </c>
      <c r="G43" s="458">
        <v>0</v>
      </c>
      <c r="H43" s="458">
        <v>309.23907033639148</v>
      </c>
      <c r="I43" s="460">
        <v>548.41313821138215</v>
      </c>
      <c r="J43" s="3049">
        <v>491.94277694235592</v>
      </c>
      <c r="K43" s="2969">
        <v>486.2281302325581</v>
      </c>
      <c r="L43" s="2969">
        <v>453.77943347639484</v>
      </c>
      <c r="M43" s="2969">
        <v>443.4740843063642</v>
      </c>
      <c r="N43" s="3050">
        <v>432.14910490984175</v>
      </c>
      <c r="O43" s="413">
        <f t="shared" si="7"/>
        <v>432.14910490984175</v>
      </c>
      <c r="P43" s="458">
        <f t="shared" si="7"/>
        <v>432.14910490984175</v>
      </c>
      <c r="Q43" s="458">
        <f t="shared" si="7"/>
        <v>432.14910490984175</v>
      </c>
      <c r="R43" s="458">
        <f t="shared" si="7"/>
        <v>432.14910490984175</v>
      </c>
      <c r="S43" s="458">
        <f t="shared" si="7"/>
        <v>432.14910490984175</v>
      </c>
      <c r="T43" s="458">
        <f t="shared" si="7"/>
        <v>432.14910490984175</v>
      </c>
      <c r="U43" s="458">
        <f t="shared" si="7"/>
        <v>432.14910490984175</v>
      </c>
      <c r="V43" s="458">
        <f t="shared" si="7"/>
        <v>432.14910490984175</v>
      </c>
      <c r="W43" s="458">
        <f t="shared" si="7"/>
        <v>432.14910490984175</v>
      </c>
      <c r="X43" s="458">
        <f t="shared" si="7"/>
        <v>432.14910490984175</v>
      </c>
      <c r="Y43" s="458">
        <f t="shared" si="7"/>
        <v>432.14910490984175</v>
      </c>
      <c r="Z43" s="458">
        <f t="shared" si="7"/>
        <v>432.14910490984175</v>
      </c>
      <c r="AA43" s="458">
        <f t="shared" si="7"/>
        <v>432.14910490984175</v>
      </c>
      <c r="AB43" s="458">
        <f t="shared" si="7"/>
        <v>432.14910490984175</v>
      </c>
      <c r="AC43" s="460">
        <f t="shared" si="7"/>
        <v>432.14910490984175</v>
      </c>
    </row>
    <row r="44" spans="1:135" s="3020" customFormat="1" ht="13.5" thickBot="1">
      <c r="B44" s="4634"/>
      <c r="C44" s="3032" t="s">
        <v>63</v>
      </c>
      <c r="D44" s="3033"/>
      <c r="E44" s="502">
        <f t="shared" ref="E44:AC44" si="8">SUM(E35:E43)</f>
        <v>0</v>
      </c>
      <c r="F44" s="356">
        <f t="shared" si="8"/>
        <v>0</v>
      </c>
      <c r="G44" s="356">
        <f t="shared" si="8"/>
        <v>119.54399963600002</v>
      </c>
      <c r="H44" s="356">
        <f t="shared" si="8"/>
        <v>954.18138226299698</v>
      </c>
      <c r="I44" s="627">
        <f t="shared" si="8"/>
        <v>1798.876617886179</v>
      </c>
      <c r="J44" s="1370">
        <f t="shared" si="8"/>
        <v>1641.2680501253133</v>
      </c>
      <c r="K44" s="356">
        <f t="shared" si="8"/>
        <v>1586.9309023255814</v>
      </c>
      <c r="L44" s="356">
        <f t="shared" si="8"/>
        <v>1589.7583862660945</v>
      </c>
      <c r="M44" s="356">
        <f t="shared" si="8"/>
        <v>1566.4239812134208</v>
      </c>
      <c r="N44" s="503">
        <f t="shared" si="8"/>
        <v>1524.3421497247321</v>
      </c>
      <c r="O44" s="1370">
        <f t="shared" si="8"/>
        <v>1524.3421497247321</v>
      </c>
      <c r="P44" s="356">
        <f t="shared" si="8"/>
        <v>1524.3421497247321</v>
      </c>
      <c r="Q44" s="356">
        <f t="shared" si="8"/>
        <v>1524.3421497247321</v>
      </c>
      <c r="R44" s="356">
        <f t="shared" si="8"/>
        <v>1524.3421497247321</v>
      </c>
      <c r="S44" s="356">
        <f t="shared" si="8"/>
        <v>1524.3421497247321</v>
      </c>
      <c r="T44" s="356">
        <f t="shared" si="8"/>
        <v>1524.3421497247321</v>
      </c>
      <c r="U44" s="356">
        <f t="shared" si="8"/>
        <v>1524.3421497247321</v>
      </c>
      <c r="V44" s="356">
        <f t="shared" si="8"/>
        <v>1524.3421497247321</v>
      </c>
      <c r="W44" s="356">
        <f t="shared" si="8"/>
        <v>1524.3421497247321</v>
      </c>
      <c r="X44" s="356">
        <f t="shared" si="8"/>
        <v>1524.3421497247321</v>
      </c>
      <c r="Y44" s="356">
        <f t="shared" si="8"/>
        <v>1524.3421497247321</v>
      </c>
      <c r="Z44" s="356">
        <f t="shared" si="8"/>
        <v>1524.3421497247321</v>
      </c>
      <c r="AA44" s="356">
        <f t="shared" si="8"/>
        <v>1524.3421497247321</v>
      </c>
      <c r="AB44" s="356">
        <f t="shared" si="8"/>
        <v>1524.3421497247321</v>
      </c>
      <c r="AC44" s="503">
        <f t="shared" si="8"/>
        <v>1524.3421497247321</v>
      </c>
      <c r="AD44" s="2524"/>
      <c r="AE44" s="2524"/>
      <c r="AF44" s="3028"/>
      <c r="AG44" s="3028"/>
      <c r="AH44" s="3028"/>
      <c r="AI44" s="3028"/>
      <c r="AJ44" s="3028"/>
      <c r="AK44" s="3028"/>
      <c r="AL44" s="3028"/>
      <c r="AM44" s="3028"/>
      <c r="AN44" s="3028"/>
      <c r="AO44" s="3028"/>
      <c r="AP44" s="3028"/>
      <c r="AQ44" s="3028"/>
      <c r="AR44" s="3028"/>
      <c r="AS44" s="3028"/>
      <c r="AT44" s="3028"/>
      <c r="AU44" s="3028"/>
      <c r="AV44" s="3028"/>
      <c r="AW44" s="3028"/>
      <c r="AX44" s="3028"/>
      <c r="AY44" s="3028"/>
      <c r="AZ44" s="3028"/>
      <c r="BA44" s="3028"/>
      <c r="BB44" s="3028"/>
      <c r="BC44" s="3028"/>
      <c r="BD44" s="3028"/>
      <c r="BE44" s="3028"/>
      <c r="BF44" s="3028"/>
      <c r="BG44" s="3028"/>
      <c r="BH44" s="3028"/>
      <c r="BI44" s="3028"/>
      <c r="BJ44" s="3028"/>
      <c r="BK44" s="3028"/>
      <c r="BL44" s="3028"/>
      <c r="BM44" s="3028"/>
      <c r="BN44" s="3028"/>
      <c r="BO44" s="3028"/>
      <c r="BP44" s="3028"/>
      <c r="BQ44" s="3028"/>
      <c r="BR44" s="3028"/>
      <c r="BS44" s="3028"/>
      <c r="BT44" s="3028"/>
      <c r="BU44" s="3028"/>
      <c r="BV44" s="3028"/>
      <c r="BW44" s="3028"/>
      <c r="BX44" s="3028"/>
      <c r="BY44" s="3028"/>
      <c r="BZ44" s="3028"/>
      <c r="CA44" s="3028"/>
      <c r="CB44" s="3028"/>
      <c r="CC44" s="3028"/>
      <c r="CD44" s="3028"/>
      <c r="CE44" s="3028"/>
      <c r="CF44" s="3028"/>
      <c r="CG44" s="3028"/>
      <c r="CH44" s="3028"/>
      <c r="CI44" s="3028"/>
      <c r="CJ44" s="3028"/>
      <c r="CK44" s="3028"/>
      <c r="CL44" s="3028"/>
      <c r="CM44" s="3028"/>
      <c r="CN44" s="3028"/>
      <c r="CO44" s="3028"/>
      <c r="CP44" s="3028"/>
      <c r="CQ44" s="3028"/>
      <c r="CR44" s="3028"/>
      <c r="CS44" s="3028"/>
      <c r="CT44" s="3028"/>
      <c r="CU44" s="3028"/>
      <c r="CV44" s="3028"/>
      <c r="CW44" s="3028"/>
      <c r="CX44" s="3028"/>
      <c r="CY44" s="3028"/>
      <c r="CZ44" s="3028"/>
      <c r="DA44" s="3028"/>
      <c r="DB44" s="3028"/>
      <c r="DC44" s="3028"/>
      <c r="DD44" s="3028"/>
      <c r="DE44" s="3028"/>
      <c r="DF44" s="3028"/>
      <c r="DG44" s="3028"/>
      <c r="DH44" s="3028"/>
      <c r="DI44" s="3028"/>
      <c r="DJ44" s="3028"/>
      <c r="DK44" s="3028"/>
      <c r="DL44" s="3028"/>
      <c r="DM44" s="3028"/>
      <c r="DN44" s="3028"/>
      <c r="DO44" s="3028"/>
      <c r="DP44" s="3028"/>
    </row>
    <row r="45" spans="1:135" ht="24" customHeight="1" thickBot="1">
      <c r="A45" s="2771"/>
      <c r="B45" s="4635" t="s">
        <v>63</v>
      </c>
      <c r="C45" s="4636"/>
      <c r="D45" s="4637"/>
      <c r="E45" s="3051">
        <f>E44</f>
        <v>0</v>
      </c>
      <c r="F45" s="356">
        <f t="shared" ref="F45:AC45" si="9">F44</f>
        <v>0</v>
      </c>
      <c r="G45" s="356">
        <f t="shared" si="9"/>
        <v>119.54399963600002</v>
      </c>
      <c r="H45" s="356">
        <f t="shared" si="9"/>
        <v>954.18138226299698</v>
      </c>
      <c r="I45" s="356">
        <f t="shared" si="9"/>
        <v>1798.876617886179</v>
      </c>
      <c r="J45" s="3051">
        <f t="shared" si="9"/>
        <v>1641.2680501253133</v>
      </c>
      <c r="K45" s="356">
        <f t="shared" si="9"/>
        <v>1586.9309023255814</v>
      </c>
      <c r="L45" s="356">
        <f t="shared" si="9"/>
        <v>1589.7583862660945</v>
      </c>
      <c r="M45" s="356">
        <f t="shared" si="9"/>
        <v>1566.4239812134208</v>
      </c>
      <c r="N45" s="3052">
        <f t="shared" si="9"/>
        <v>1524.3421497247321</v>
      </c>
      <c r="O45" s="502">
        <f t="shared" si="9"/>
        <v>1524.3421497247321</v>
      </c>
      <c r="P45" s="356">
        <f t="shared" si="9"/>
        <v>1524.3421497247321</v>
      </c>
      <c r="Q45" s="356">
        <f t="shared" si="9"/>
        <v>1524.3421497247321</v>
      </c>
      <c r="R45" s="356">
        <f t="shared" si="9"/>
        <v>1524.3421497247321</v>
      </c>
      <c r="S45" s="356">
        <f t="shared" si="9"/>
        <v>1524.3421497247321</v>
      </c>
      <c r="T45" s="356">
        <f t="shared" si="9"/>
        <v>1524.3421497247321</v>
      </c>
      <c r="U45" s="356">
        <f t="shared" si="9"/>
        <v>1524.3421497247321</v>
      </c>
      <c r="V45" s="356">
        <f t="shared" si="9"/>
        <v>1524.3421497247321</v>
      </c>
      <c r="W45" s="356">
        <f t="shared" si="9"/>
        <v>1524.3421497247321</v>
      </c>
      <c r="X45" s="356">
        <f t="shared" si="9"/>
        <v>1524.3421497247321</v>
      </c>
      <c r="Y45" s="356">
        <f t="shared" si="9"/>
        <v>1524.3421497247321</v>
      </c>
      <c r="Z45" s="356">
        <f t="shared" si="9"/>
        <v>1524.3421497247321</v>
      </c>
      <c r="AA45" s="356">
        <f t="shared" si="9"/>
        <v>1524.3421497247321</v>
      </c>
      <c r="AB45" s="356">
        <f t="shared" si="9"/>
        <v>1524.3421497247321</v>
      </c>
      <c r="AC45" s="503">
        <f t="shared" si="9"/>
        <v>1524.3421497247321</v>
      </c>
    </row>
    <row r="46" spans="1:135" ht="24" customHeight="1" thickBot="1">
      <c r="A46" s="2771"/>
      <c r="B46" s="4635" t="s">
        <v>270</v>
      </c>
      <c r="C46" s="4636"/>
      <c r="D46" s="4637"/>
      <c r="E46" s="3053"/>
      <c r="F46" s="3054"/>
      <c r="G46" s="3054"/>
      <c r="H46" s="3054"/>
      <c r="I46" s="3054"/>
      <c r="J46" s="3055"/>
      <c r="K46" s="3054"/>
      <c r="L46" s="3054"/>
      <c r="M46" s="3054"/>
      <c r="N46" s="3054"/>
      <c r="O46" s="3055"/>
      <c r="P46" s="3054"/>
      <c r="Q46" s="3054"/>
      <c r="R46" s="3054"/>
      <c r="S46" s="3054"/>
      <c r="T46" s="3054"/>
      <c r="U46" s="3054"/>
      <c r="V46" s="3054"/>
      <c r="W46" s="3054"/>
      <c r="X46" s="3054"/>
      <c r="Y46" s="3054"/>
      <c r="Z46" s="3054"/>
      <c r="AA46" s="3054"/>
      <c r="AB46" s="3054"/>
      <c r="AC46" s="3056"/>
    </row>
    <row r="47" spans="1:135" ht="30" customHeight="1" thickBot="1">
      <c r="B47" s="2524"/>
    </row>
    <row r="48" spans="1:135" s="3019" customFormat="1" ht="18.75" customHeight="1" thickBot="1">
      <c r="A48" s="3013"/>
      <c r="B48" s="2783" t="s">
        <v>1617</v>
      </c>
      <c r="C48" s="2784"/>
      <c r="D48" s="2784"/>
      <c r="E48" s="3018"/>
      <c r="F48" s="3018"/>
      <c r="G48" s="3018"/>
      <c r="H48" s="3018"/>
      <c r="I48" s="3018"/>
      <c r="J48" s="3018"/>
      <c r="K48" s="3018"/>
      <c r="L48" s="3018"/>
      <c r="M48" s="3018"/>
      <c r="N48" s="3018"/>
      <c r="O48" s="3018"/>
      <c r="P48" s="3018"/>
      <c r="Q48" s="3018"/>
      <c r="R48" s="3018"/>
      <c r="S48" s="3018"/>
      <c r="T48" s="3018"/>
      <c r="U48" s="3018"/>
      <c r="V48" s="3018"/>
      <c r="W48" s="3018"/>
      <c r="X48" s="3018"/>
      <c r="Y48" s="3018"/>
      <c r="Z48" s="3018"/>
      <c r="AA48" s="3018"/>
      <c r="AB48" s="3018"/>
      <c r="AC48" s="3057"/>
      <c r="AD48" s="2524"/>
      <c r="AE48" s="2524"/>
      <c r="AF48" s="2524"/>
      <c r="DF48" s="2524"/>
      <c r="DG48" s="2524"/>
      <c r="DH48" s="2524"/>
      <c r="DI48" s="2524"/>
      <c r="DJ48" s="2524"/>
      <c r="DK48" s="2524"/>
      <c r="DL48" s="2524"/>
      <c r="DM48" s="2524"/>
      <c r="DN48" s="2524"/>
      <c r="DO48" s="2524"/>
      <c r="DP48" s="2524"/>
      <c r="DQ48" s="2524"/>
      <c r="DR48" s="2524"/>
      <c r="DS48" s="2524"/>
      <c r="DT48" s="2524"/>
      <c r="DU48" s="2524"/>
      <c r="DV48" s="2524"/>
      <c r="DW48" s="2524"/>
      <c r="DX48" s="2524"/>
      <c r="DY48" s="2524"/>
      <c r="DZ48" s="2524"/>
      <c r="EA48" s="2524"/>
      <c r="EB48" s="2524"/>
      <c r="EC48" s="2524"/>
      <c r="ED48" s="2524"/>
      <c r="EE48" s="2524"/>
    </row>
    <row r="49" spans="1:120">
      <c r="A49" s="2771"/>
      <c r="B49" s="4638"/>
      <c r="C49" s="4606" t="s">
        <v>47</v>
      </c>
      <c r="D49" s="4607"/>
      <c r="E49" s="3058">
        <v>0</v>
      </c>
      <c r="F49" s="3059">
        <v>0</v>
      </c>
      <c r="G49" s="3059">
        <v>0</v>
      </c>
      <c r="H49" s="3059">
        <v>0</v>
      </c>
      <c r="I49" s="3060">
        <v>0</v>
      </c>
      <c r="J49" s="3058">
        <v>0</v>
      </c>
      <c r="K49" s="3059">
        <v>0</v>
      </c>
      <c r="L49" s="3059">
        <v>0</v>
      </c>
      <c r="M49" s="3059">
        <v>0</v>
      </c>
      <c r="N49" s="3060">
        <v>0</v>
      </c>
      <c r="O49" s="3061">
        <v>0</v>
      </c>
      <c r="P49" s="3059">
        <v>0</v>
      </c>
      <c r="Q49" s="3059">
        <v>0</v>
      </c>
      <c r="R49" s="3059">
        <v>0</v>
      </c>
      <c r="S49" s="3059">
        <v>0</v>
      </c>
      <c r="T49" s="3059">
        <v>0</v>
      </c>
      <c r="U49" s="3059">
        <v>0</v>
      </c>
      <c r="V49" s="3059">
        <v>0</v>
      </c>
      <c r="W49" s="3059">
        <v>0</v>
      </c>
      <c r="X49" s="3059">
        <v>0</v>
      </c>
      <c r="Y49" s="3059">
        <v>0</v>
      </c>
      <c r="Z49" s="3059">
        <v>0</v>
      </c>
      <c r="AA49" s="3059">
        <v>0</v>
      </c>
      <c r="AB49" s="3059">
        <v>0</v>
      </c>
      <c r="AC49" s="3060">
        <v>0</v>
      </c>
    </row>
    <row r="50" spans="1:120">
      <c r="A50" s="2771"/>
      <c r="B50" s="4639"/>
      <c r="C50" s="3029" t="s">
        <v>269</v>
      </c>
      <c r="D50" s="3062" t="s">
        <v>268</v>
      </c>
      <c r="E50" s="3063"/>
      <c r="F50" s="3064"/>
      <c r="G50" s="3064"/>
      <c r="H50" s="3064"/>
      <c r="I50" s="3030"/>
      <c r="J50" s="3063"/>
      <c r="K50" s="3064"/>
      <c r="L50" s="3064"/>
      <c r="M50" s="3064"/>
      <c r="N50" s="3030"/>
      <c r="O50" s="3065"/>
      <c r="P50" s="3064"/>
      <c r="Q50" s="3064"/>
      <c r="R50" s="3064"/>
      <c r="S50" s="3064"/>
      <c r="T50" s="3064"/>
      <c r="U50" s="3064"/>
      <c r="V50" s="3064"/>
      <c r="W50" s="3064"/>
      <c r="X50" s="3064"/>
      <c r="Y50" s="3064"/>
      <c r="Z50" s="3064"/>
      <c r="AA50" s="3064"/>
      <c r="AB50" s="3064"/>
      <c r="AC50" s="3030"/>
    </row>
    <row r="51" spans="1:120">
      <c r="A51" s="2771"/>
      <c r="B51" s="4639"/>
      <c r="C51" s="3029" t="s">
        <v>269</v>
      </c>
      <c r="D51" s="3062" t="s">
        <v>268</v>
      </c>
      <c r="E51" s="3063"/>
      <c r="F51" s="3064"/>
      <c r="G51" s="3064"/>
      <c r="H51" s="3064"/>
      <c r="I51" s="3030"/>
      <c r="J51" s="3063"/>
      <c r="K51" s="3064"/>
      <c r="L51" s="3064"/>
      <c r="M51" s="3064"/>
      <c r="N51" s="3030"/>
      <c r="O51" s="3065"/>
      <c r="P51" s="3064"/>
      <c r="Q51" s="3064"/>
      <c r="R51" s="3064"/>
      <c r="S51" s="3064"/>
      <c r="T51" s="3064"/>
      <c r="U51" s="3064"/>
      <c r="V51" s="3064"/>
      <c r="W51" s="3064"/>
      <c r="X51" s="3064"/>
      <c r="Y51" s="3064"/>
      <c r="Z51" s="3064"/>
      <c r="AA51" s="3064"/>
      <c r="AB51" s="3064"/>
      <c r="AC51" s="3030"/>
    </row>
    <row r="52" spans="1:120" ht="13.5" thickBot="1">
      <c r="A52" s="2771"/>
      <c r="B52" s="4640"/>
      <c r="C52" s="3066" t="s">
        <v>269</v>
      </c>
      <c r="D52" s="3067" t="s">
        <v>268</v>
      </c>
      <c r="E52" s="3068"/>
      <c r="F52" s="3069"/>
      <c r="G52" s="3069"/>
      <c r="H52" s="3069"/>
      <c r="I52" s="3070"/>
      <c r="J52" s="3068"/>
      <c r="K52" s="3069"/>
      <c r="L52" s="3069"/>
      <c r="M52" s="3069"/>
      <c r="N52" s="3070"/>
      <c r="O52" s="3071"/>
      <c r="P52" s="3069"/>
      <c r="Q52" s="3069"/>
      <c r="R52" s="3069"/>
      <c r="S52" s="3069"/>
      <c r="T52" s="3069"/>
      <c r="U52" s="3069"/>
      <c r="V52" s="3069"/>
      <c r="W52" s="3069"/>
      <c r="X52" s="3069"/>
      <c r="Y52" s="3069"/>
      <c r="Z52" s="3069"/>
      <c r="AA52" s="3069"/>
      <c r="AB52" s="3069"/>
      <c r="AC52" s="3070"/>
    </row>
    <row r="53" spans="1:120" ht="23.25" customHeight="1" thickBot="1">
      <c r="B53" s="2524"/>
    </row>
    <row r="54" spans="1:120" s="3020" customFormat="1" ht="18" customHeight="1">
      <c r="B54" s="4624" t="s">
        <v>120</v>
      </c>
      <c r="C54" s="4625"/>
      <c r="D54" s="4626"/>
      <c r="E54" s="3072">
        <f t="shared" ref="E54:AC54" si="10">SUM(E50:E52)</f>
        <v>0</v>
      </c>
      <c r="F54" s="3073">
        <f t="shared" si="10"/>
        <v>0</v>
      </c>
      <c r="G54" s="3073">
        <f t="shared" si="10"/>
        <v>0</v>
      </c>
      <c r="H54" s="3073">
        <f t="shared" si="10"/>
        <v>0</v>
      </c>
      <c r="I54" s="3074">
        <f t="shared" si="10"/>
        <v>0</v>
      </c>
      <c r="J54" s="3075">
        <f t="shared" si="10"/>
        <v>0</v>
      </c>
      <c r="K54" s="3073">
        <f t="shared" si="10"/>
        <v>0</v>
      </c>
      <c r="L54" s="3073">
        <f t="shared" si="10"/>
        <v>0</v>
      </c>
      <c r="M54" s="3073">
        <f t="shared" si="10"/>
        <v>0</v>
      </c>
      <c r="N54" s="3076">
        <f t="shared" si="10"/>
        <v>0</v>
      </c>
      <c r="O54" s="3072">
        <f t="shared" si="10"/>
        <v>0</v>
      </c>
      <c r="P54" s="3073">
        <f t="shared" si="10"/>
        <v>0</v>
      </c>
      <c r="Q54" s="3073">
        <f t="shared" si="10"/>
        <v>0</v>
      </c>
      <c r="R54" s="3073">
        <f t="shared" si="10"/>
        <v>0</v>
      </c>
      <c r="S54" s="3073">
        <f t="shared" si="10"/>
        <v>0</v>
      </c>
      <c r="T54" s="3073">
        <f t="shared" si="10"/>
        <v>0</v>
      </c>
      <c r="U54" s="3073">
        <f t="shared" si="10"/>
        <v>0</v>
      </c>
      <c r="V54" s="3073">
        <f t="shared" si="10"/>
        <v>0</v>
      </c>
      <c r="W54" s="3073">
        <f t="shared" si="10"/>
        <v>0</v>
      </c>
      <c r="X54" s="3073">
        <f t="shared" si="10"/>
        <v>0</v>
      </c>
      <c r="Y54" s="3073">
        <f t="shared" si="10"/>
        <v>0</v>
      </c>
      <c r="Z54" s="3073">
        <f t="shared" si="10"/>
        <v>0</v>
      </c>
      <c r="AA54" s="3073">
        <f t="shared" si="10"/>
        <v>0</v>
      </c>
      <c r="AB54" s="3073">
        <f t="shared" si="10"/>
        <v>0</v>
      </c>
      <c r="AC54" s="3074">
        <f t="shared" si="10"/>
        <v>0</v>
      </c>
      <c r="AD54" s="2524"/>
      <c r="AE54" s="2524"/>
      <c r="AF54" s="2524"/>
      <c r="AG54" s="3028"/>
      <c r="AH54" s="3028"/>
      <c r="AI54" s="3028"/>
      <c r="AJ54" s="3028"/>
      <c r="AK54" s="3028"/>
      <c r="AL54" s="3028"/>
      <c r="AM54" s="3028"/>
      <c r="AN54" s="3028"/>
      <c r="AO54" s="3028"/>
      <c r="AP54" s="3028"/>
      <c r="AQ54" s="3028"/>
      <c r="AR54" s="3028"/>
      <c r="AS54" s="3028"/>
      <c r="AT54" s="3028"/>
      <c r="AU54" s="3028"/>
      <c r="AV54" s="3028"/>
      <c r="AW54" s="3028"/>
      <c r="AX54" s="3028"/>
      <c r="AY54" s="3028"/>
      <c r="AZ54" s="3028"/>
      <c r="BA54" s="3028"/>
      <c r="BB54" s="3028"/>
      <c r="BC54" s="3028"/>
      <c r="BD54" s="3028"/>
      <c r="BE54" s="3028"/>
      <c r="BF54" s="3028"/>
      <c r="BG54" s="3028"/>
      <c r="BH54" s="3028"/>
      <c r="BI54" s="3028"/>
      <c r="BJ54" s="3028"/>
      <c r="BK54" s="3028"/>
      <c r="BL54" s="3028"/>
      <c r="BM54" s="3028"/>
      <c r="BN54" s="3028"/>
      <c r="BO54" s="3028"/>
      <c r="BP54" s="3028"/>
      <c r="BQ54" s="3028"/>
      <c r="BR54" s="3028"/>
      <c r="BS54" s="3028"/>
      <c r="BT54" s="3028"/>
      <c r="BU54" s="3028"/>
      <c r="BV54" s="3028"/>
      <c r="BW54" s="3028"/>
      <c r="BX54" s="3028"/>
      <c r="BY54" s="3028"/>
      <c r="BZ54" s="3028"/>
      <c r="CA54" s="3028"/>
      <c r="CB54" s="3028"/>
      <c r="CC54" s="3028"/>
      <c r="CD54" s="3028"/>
      <c r="CE54" s="3028"/>
      <c r="CF54" s="3028"/>
      <c r="CG54" s="3028"/>
      <c r="CH54" s="3028"/>
      <c r="CI54" s="3028"/>
      <c r="CJ54" s="3028"/>
      <c r="CK54" s="3028"/>
      <c r="CL54" s="3028"/>
      <c r="CM54" s="3028"/>
      <c r="CN54" s="3028"/>
      <c r="CO54" s="3028"/>
      <c r="CP54" s="3028"/>
      <c r="CQ54" s="3028"/>
      <c r="CR54" s="3028"/>
      <c r="CS54" s="3028"/>
      <c r="CT54" s="3028"/>
      <c r="CU54" s="3028"/>
      <c r="CV54" s="3028"/>
      <c r="CW54" s="3028"/>
      <c r="CX54" s="3028"/>
      <c r="CY54" s="3028"/>
      <c r="CZ54" s="3028"/>
      <c r="DA54" s="3028"/>
      <c r="DB54" s="3028"/>
      <c r="DC54" s="3028"/>
      <c r="DD54" s="3028"/>
      <c r="DE54" s="3028"/>
      <c r="DF54" s="3028"/>
      <c r="DG54" s="3028"/>
      <c r="DH54" s="3028"/>
      <c r="DI54" s="3028"/>
      <c r="DJ54" s="3028"/>
      <c r="DK54" s="3028"/>
      <c r="DL54" s="3028"/>
      <c r="DM54" s="3028"/>
      <c r="DN54" s="3028"/>
      <c r="DO54" s="3028"/>
      <c r="DP54" s="3028"/>
    </row>
    <row r="55" spans="1:120" s="3020" customFormat="1" ht="18" customHeight="1" thickBot="1">
      <c r="B55" s="4627" t="s">
        <v>119</v>
      </c>
      <c r="C55" s="4628"/>
      <c r="D55" s="4629"/>
      <c r="E55" s="3077">
        <f t="shared" ref="E55:AC55" si="11">IF(ISERROR(E54/E49),0,(E54/E49))</f>
        <v>0</v>
      </c>
      <c r="F55" s="3078">
        <f t="shared" si="11"/>
        <v>0</v>
      </c>
      <c r="G55" s="3078">
        <f t="shared" si="11"/>
        <v>0</v>
      </c>
      <c r="H55" s="3078">
        <f t="shared" si="11"/>
        <v>0</v>
      </c>
      <c r="I55" s="3079">
        <f t="shared" si="11"/>
        <v>0</v>
      </c>
      <c r="J55" s="3080">
        <f t="shared" si="11"/>
        <v>0</v>
      </c>
      <c r="K55" s="3078">
        <f t="shared" si="11"/>
        <v>0</v>
      </c>
      <c r="L55" s="3078">
        <f t="shared" si="11"/>
        <v>0</v>
      </c>
      <c r="M55" s="3078">
        <f t="shared" si="11"/>
        <v>0</v>
      </c>
      <c r="N55" s="3081">
        <f t="shared" si="11"/>
        <v>0</v>
      </c>
      <c r="O55" s="3077">
        <f t="shared" si="11"/>
        <v>0</v>
      </c>
      <c r="P55" s="3078">
        <f t="shared" si="11"/>
        <v>0</v>
      </c>
      <c r="Q55" s="3078">
        <f t="shared" si="11"/>
        <v>0</v>
      </c>
      <c r="R55" s="3078">
        <f t="shared" si="11"/>
        <v>0</v>
      </c>
      <c r="S55" s="3078">
        <f t="shared" si="11"/>
        <v>0</v>
      </c>
      <c r="T55" s="3078">
        <f t="shared" si="11"/>
        <v>0</v>
      </c>
      <c r="U55" s="3078">
        <f t="shared" si="11"/>
        <v>0</v>
      </c>
      <c r="V55" s="3078">
        <f t="shared" si="11"/>
        <v>0</v>
      </c>
      <c r="W55" s="3078">
        <f t="shared" si="11"/>
        <v>0</v>
      </c>
      <c r="X55" s="3078">
        <f t="shared" si="11"/>
        <v>0</v>
      </c>
      <c r="Y55" s="3078">
        <f t="shared" si="11"/>
        <v>0</v>
      </c>
      <c r="Z55" s="3078">
        <f t="shared" si="11"/>
        <v>0</v>
      </c>
      <c r="AA55" s="3078">
        <f t="shared" si="11"/>
        <v>0</v>
      </c>
      <c r="AB55" s="3078">
        <f t="shared" si="11"/>
        <v>0</v>
      </c>
      <c r="AC55" s="3079">
        <f t="shared" si="11"/>
        <v>0</v>
      </c>
      <c r="AD55" s="2524"/>
      <c r="AE55" s="2524"/>
      <c r="AF55" s="2524"/>
      <c r="AG55" s="3028"/>
      <c r="AH55" s="3028"/>
      <c r="AI55" s="3028"/>
      <c r="AJ55" s="3028"/>
      <c r="AK55" s="3028"/>
      <c r="AL55" s="3028"/>
      <c r="AM55" s="3028"/>
      <c r="AN55" s="3028"/>
      <c r="AO55" s="3028"/>
      <c r="AP55" s="3028"/>
      <c r="AQ55" s="3028"/>
      <c r="AR55" s="3028"/>
      <c r="AS55" s="3028"/>
      <c r="AT55" s="3028"/>
      <c r="AU55" s="3028"/>
      <c r="AV55" s="3028"/>
      <c r="AW55" s="3028"/>
      <c r="AX55" s="3028"/>
      <c r="AY55" s="3028"/>
      <c r="AZ55" s="3028"/>
      <c r="BA55" s="3028"/>
      <c r="BB55" s="3028"/>
      <c r="BC55" s="3028"/>
      <c r="BD55" s="3028"/>
      <c r="BE55" s="3028"/>
      <c r="BF55" s="3028"/>
      <c r="BG55" s="3028"/>
      <c r="BH55" s="3028"/>
      <c r="BI55" s="3028"/>
      <c r="BJ55" s="3028"/>
      <c r="BK55" s="3028"/>
      <c r="BL55" s="3028"/>
      <c r="BM55" s="3028"/>
      <c r="BN55" s="3028"/>
      <c r="BO55" s="3028"/>
      <c r="BP55" s="3028"/>
      <c r="BQ55" s="3028"/>
      <c r="BR55" s="3028"/>
      <c r="BS55" s="3028"/>
      <c r="BT55" s="3028"/>
      <c r="BU55" s="3028"/>
      <c r="BV55" s="3028"/>
      <c r="BW55" s="3028"/>
      <c r="BX55" s="3028"/>
      <c r="BY55" s="3028"/>
      <c r="BZ55" s="3028"/>
      <c r="CA55" s="3028"/>
      <c r="CB55" s="3028"/>
      <c r="CC55" s="3028"/>
      <c r="CD55" s="3028"/>
      <c r="CE55" s="3028"/>
      <c r="CF55" s="3028"/>
      <c r="CG55" s="3028"/>
      <c r="CH55" s="3028"/>
      <c r="CI55" s="3028"/>
      <c r="CJ55" s="3028"/>
      <c r="CK55" s="3028"/>
      <c r="CL55" s="3028"/>
      <c r="CM55" s="3028"/>
      <c r="CN55" s="3028"/>
      <c r="CO55" s="3028"/>
      <c r="CP55" s="3028"/>
      <c r="CQ55" s="3028"/>
      <c r="CR55" s="3028"/>
      <c r="CS55" s="3028"/>
      <c r="CT55" s="3028"/>
      <c r="CU55" s="3028"/>
      <c r="CV55" s="3028"/>
      <c r="CW55" s="3028"/>
      <c r="CX55" s="3028"/>
      <c r="CY55" s="3028"/>
      <c r="CZ55" s="3028"/>
      <c r="DA55" s="3028"/>
      <c r="DB55" s="3028"/>
      <c r="DC55" s="3028"/>
      <c r="DD55" s="3028"/>
      <c r="DE55" s="3028"/>
      <c r="DF55" s="3028"/>
      <c r="DG55" s="3028"/>
      <c r="DH55" s="3028"/>
      <c r="DI55" s="3028"/>
      <c r="DJ55" s="3028"/>
      <c r="DK55" s="3028"/>
      <c r="DL55" s="3028"/>
      <c r="DM55" s="3028"/>
      <c r="DN55" s="3028"/>
      <c r="DO55" s="3028"/>
      <c r="DP55" s="3028"/>
    </row>
    <row r="56" spans="1:120" ht="34.5" customHeight="1" thickBot="1">
      <c r="A56" s="2896"/>
      <c r="B56" s="4630" t="s">
        <v>121</v>
      </c>
      <c r="C56" s="4631"/>
      <c r="D56" s="4632"/>
      <c r="E56" s="3938"/>
      <c r="F56" s="3938"/>
      <c r="G56" s="3938"/>
      <c r="H56" s="3938"/>
      <c r="I56" s="3938"/>
      <c r="J56" s="3938"/>
      <c r="K56" s="3938"/>
      <c r="L56" s="3938"/>
      <c r="M56" s="3938"/>
      <c r="N56" s="3938"/>
      <c r="O56" s="3938"/>
      <c r="P56" s="3938"/>
      <c r="Q56" s="3938"/>
      <c r="R56" s="3938"/>
      <c r="S56" s="3938"/>
      <c r="T56" s="3938"/>
      <c r="U56" s="3938"/>
      <c r="V56" s="3938"/>
      <c r="W56" s="3938"/>
      <c r="X56" s="3938"/>
      <c r="Y56" s="3938"/>
      <c r="Z56" s="3938"/>
      <c r="AA56" s="3938"/>
      <c r="AB56" s="3938"/>
      <c r="AC56" s="3939"/>
    </row>
    <row r="57" spans="1:120">
      <c r="A57" s="2771"/>
    </row>
    <row r="58" spans="1:120">
      <c r="A58" s="2771"/>
    </row>
  </sheetData>
  <mergeCells count="25">
    <mergeCell ref="B54:D54"/>
    <mergeCell ref="B55:D55"/>
    <mergeCell ref="B56:D56"/>
    <mergeCell ref="E56:AC56"/>
    <mergeCell ref="B35:B44"/>
    <mergeCell ref="C35:D35"/>
    <mergeCell ref="B45:D45"/>
    <mergeCell ref="B46:D46"/>
    <mergeCell ref="B49:B52"/>
    <mergeCell ref="C49:D49"/>
    <mergeCell ref="J17:N17"/>
    <mergeCell ref="O17:AC17"/>
    <mergeCell ref="E18:AC18"/>
    <mergeCell ref="E19:G19"/>
    <mergeCell ref="H19:AC19"/>
    <mergeCell ref="B22:B31"/>
    <mergeCell ref="C22:D22"/>
    <mergeCell ref="B7:H7"/>
    <mergeCell ref="B8:H8"/>
    <mergeCell ref="B9:C9"/>
    <mergeCell ref="B10:H10"/>
    <mergeCell ref="B17:B20"/>
    <mergeCell ref="C17:C20"/>
    <mergeCell ref="D17:D20"/>
    <mergeCell ref="E17:I17"/>
  </mergeCells>
  <pageMargins left="0.75" right="0.75" top="1" bottom="1" header="0.5" footer="0.5"/>
  <pageSetup paperSize="9" orientation="portrait" r:id="rId1"/>
  <headerFooter alignWithMargins="0"/>
  <customProperties>
    <customPr name="_pios_id" r:id="rId2"/>
  </customProperties>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autoPageBreaks="0"/>
  </sheetPr>
  <dimension ref="A1:EE99"/>
  <sheetViews>
    <sheetView showGridLines="0" topLeftCell="A22" zoomScale="70" zoomScaleNormal="70" workbookViewId="0">
      <selection activeCell="W27" sqref="W27"/>
    </sheetView>
  </sheetViews>
  <sheetFormatPr defaultRowHeight="12.75"/>
  <cols>
    <col min="1" max="1" width="13.85546875" style="95" customWidth="1"/>
    <col min="2" max="2" width="61.7109375" style="146" customWidth="1"/>
    <col min="3" max="3" width="40.28515625" style="95" customWidth="1"/>
    <col min="4" max="4" width="33.42578125" style="95" customWidth="1"/>
    <col min="5" max="14" width="15.7109375" style="95" customWidth="1"/>
    <col min="15" max="28" width="12.7109375" style="95" customWidth="1"/>
    <col min="29" max="29" width="10.7109375" bestFit="1" customWidth="1"/>
    <col min="32" max="264" width="9.140625" style="95"/>
    <col min="265" max="265" width="13.85546875" style="95" customWidth="1"/>
    <col min="266" max="266" width="61.7109375" style="95" customWidth="1"/>
    <col min="267" max="267" width="16.5703125" style="95" bestFit="1" customWidth="1"/>
    <col min="268" max="269" width="6.42578125" style="95" bestFit="1" customWidth="1"/>
    <col min="270" max="270" width="9.140625" style="95"/>
    <col min="271" max="271" width="14.42578125" style="95" bestFit="1" customWidth="1"/>
    <col min="272" max="272" width="17.7109375" style="95" customWidth="1"/>
    <col min="273" max="284" width="8.5703125" style="95" bestFit="1" customWidth="1"/>
    <col min="285" max="520" width="9.140625" style="95"/>
    <col min="521" max="521" width="13.85546875" style="95" customWidth="1"/>
    <col min="522" max="522" width="61.7109375" style="95" customWidth="1"/>
    <col min="523" max="523" width="16.5703125" style="95" bestFit="1" customWidth="1"/>
    <col min="524" max="525" width="6.42578125" style="95" bestFit="1" customWidth="1"/>
    <col min="526" max="526" width="9.140625" style="95"/>
    <col min="527" max="527" width="14.42578125" style="95" bestFit="1" customWidth="1"/>
    <col min="528" max="528" width="17.7109375" style="95" customWidth="1"/>
    <col min="529" max="540" width="8.5703125" style="95" bestFit="1" customWidth="1"/>
    <col min="541" max="776" width="9.140625" style="95"/>
    <col min="777" max="777" width="13.85546875" style="95" customWidth="1"/>
    <col min="778" max="778" width="61.7109375" style="95" customWidth="1"/>
    <col min="779" max="779" width="16.5703125" style="95" bestFit="1" customWidth="1"/>
    <col min="780" max="781" width="6.42578125" style="95" bestFit="1" customWidth="1"/>
    <col min="782" max="782" width="9.140625" style="95"/>
    <col min="783" max="783" width="14.42578125" style="95" bestFit="1" customWidth="1"/>
    <col min="784" max="784" width="17.7109375" style="95" customWidth="1"/>
    <col min="785" max="796" width="8.5703125" style="95" bestFit="1" customWidth="1"/>
    <col min="797" max="1032" width="9.140625" style="95"/>
    <col min="1033" max="1033" width="13.85546875" style="95" customWidth="1"/>
    <col min="1034" max="1034" width="61.7109375" style="95" customWidth="1"/>
    <col min="1035" max="1035" width="16.5703125" style="95" bestFit="1" customWidth="1"/>
    <col min="1036" max="1037" width="6.42578125" style="95" bestFit="1" customWidth="1"/>
    <col min="1038" max="1038" width="9.140625" style="95"/>
    <col min="1039" max="1039" width="14.42578125" style="95" bestFit="1" customWidth="1"/>
    <col min="1040" max="1040" width="17.7109375" style="95" customWidth="1"/>
    <col min="1041" max="1052" width="8.5703125" style="95" bestFit="1" customWidth="1"/>
    <col min="1053" max="1288" width="9.140625" style="95"/>
    <col min="1289" max="1289" width="13.85546875" style="95" customWidth="1"/>
    <col min="1290" max="1290" width="61.7109375" style="95" customWidth="1"/>
    <col min="1291" max="1291" width="16.5703125" style="95" bestFit="1" customWidth="1"/>
    <col min="1292" max="1293" width="6.42578125" style="95" bestFit="1" customWidth="1"/>
    <col min="1294" max="1294" width="9.140625" style="95"/>
    <col min="1295" max="1295" width="14.42578125" style="95" bestFit="1" customWidth="1"/>
    <col min="1296" max="1296" width="17.7109375" style="95" customWidth="1"/>
    <col min="1297" max="1308" width="8.5703125" style="95" bestFit="1" customWidth="1"/>
    <col min="1309" max="1544" width="9.140625" style="95"/>
    <col min="1545" max="1545" width="13.85546875" style="95" customWidth="1"/>
    <col min="1546" max="1546" width="61.7109375" style="95" customWidth="1"/>
    <col min="1547" max="1547" width="16.5703125" style="95" bestFit="1" customWidth="1"/>
    <col min="1548" max="1549" width="6.42578125" style="95" bestFit="1" customWidth="1"/>
    <col min="1550" max="1550" width="9.140625" style="95"/>
    <col min="1551" max="1551" width="14.42578125" style="95" bestFit="1" customWidth="1"/>
    <col min="1552" max="1552" width="17.7109375" style="95" customWidth="1"/>
    <col min="1553" max="1564" width="8.5703125" style="95" bestFit="1" customWidth="1"/>
    <col min="1565" max="1800" width="9.140625" style="95"/>
    <col min="1801" max="1801" width="13.85546875" style="95" customWidth="1"/>
    <col min="1802" max="1802" width="61.7109375" style="95" customWidth="1"/>
    <col min="1803" max="1803" width="16.5703125" style="95" bestFit="1" customWidth="1"/>
    <col min="1804" max="1805" width="6.42578125" style="95" bestFit="1" customWidth="1"/>
    <col min="1806" max="1806" width="9.140625" style="95"/>
    <col min="1807" max="1807" width="14.42578125" style="95" bestFit="1" customWidth="1"/>
    <col min="1808" max="1808" width="17.7109375" style="95" customWidth="1"/>
    <col min="1809" max="1820" width="8.5703125" style="95" bestFit="1" customWidth="1"/>
    <col min="1821" max="2056" width="9.140625" style="95"/>
    <col min="2057" max="2057" width="13.85546875" style="95" customWidth="1"/>
    <col min="2058" max="2058" width="61.7109375" style="95" customWidth="1"/>
    <col min="2059" max="2059" width="16.5703125" style="95" bestFit="1" customWidth="1"/>
    <col min="2060" max="2061" width="6.42578125" style="95" bestFit="1" customWidth="1"/>
    <col min="2062" max="2062" width="9.140625" style="95"/>
    <col min="2063" max="2063" width="14.42578125" style="95" bestFit="1" customWidth="1"/>
    <col min="2064" max="2064" width="17.7109375" style="95" customWidth="1"/>
    <col min="2065" max="2076" width="8.5703125" style="95" bestFit="1" customWidth="1"/>
    <col min="2077" max="2312" width="9.140625" style="95"/>
    <col min="2313" max="2313" width="13.85546875" style="95" customWidth="1"/>
    <col min="2314" max="2314" width="61.7109375" style="95" customWidth="1"/>
    <col min="2315" max="2315" width="16.5703125" style="95" bestFit="1" customWidth="1"/>
    <col min="2316" max="2317" width="6.42578125" style="95" bestFit="1" customWidth="1"/>
    <col min="2318" max="2318" width="9.140625" style="95"/>
    <col min="2319" max="2319" width="14.42578125" style="95" bestFit="1" customWidth="1"/>
    <col min="2320" max="2320" width="17.7109375" style="95" customWidth="1"/>
    <col min="2321" max="2332" width="8.5703125" style="95" bestFit="1" customWidth="1"/>
    <col min="2333" max="2568" width="9.140625" style="95"/>
    <col min="2569" max="2569" width="13.85546875" style="95" customWidth="1"/>
    <col min="2570" max="2570" width="61.7109375" style="95" customWidth="1"/>
    <col min="2571" max="2571" width="16.5703125" style="95" bestFit="1" customWidth="1"/>
    <col min="2572" max="2573" width="6.42578125" style="95" bestFit="1" customWidth="1"/>
    <col min="2574" max="2574" width="9.140625" style="95"/>
    <col min="2575" max="2575" width="14.42578125" style="95" bestFit="1" customWidth="1"/>
    <col min="2576" max="2576" width="17.7109375" style="95" customWidth="1"/>
    <col min="2577" max="2588" width="8.5703125" style="95" bestFit="1" customWidth="1"/>
    <col min="2589" max="2824" width="9.140625" style="95"/>
    <col min="2825" max="2825" width="13.85546875" style="95" customWidth="1"/>
    <col min="2826" max="2826" width="61.7109375" style="95" customWidth="1"/>
    <col min="2827" max="2827" width="16.5703125" style="95" bestFit="1" customWidth="1"/>
    <col min="2828" max="2829" width="6.42578125" style="95" bestFit="1" customWidth="1"/>
    <col min="2830" max="2830" width="9.140625" style="95"/>
    <col min="2831" max="2831" width="14.42578125" style="95" bestFit="1" customWidth="1"/>
    <col min="2832" max="2832" width="17.7109375" style="95" customWidth="1"/>
    <col min="2833" max="2844" width="8.5703125" style="95" bestFit="1" customWidth="1"/>
    <col min="2845" max="3080" width="9.140625" style="95"/>
    <col min="3081" max="3081" width="13.85546875" style="95" customWidth="1"/>
    <col min="3082" max="3082" width="61.7109375" style="95" customWidth="1"/>
    <col min="3083" max="3083" width="16.5703125" style="95" bestFit="1" customWidth="1"/>
    <col min="3084" max="3085" width="6.42578125" style="95" bestFit="1" customWidth="1"/>
    <col min="3086" max="3086" width="9.140625" style="95"/>
    <col min="3087" max="3087" width="14.42578125" style="95" bestFit="1" customWidth="1"/>
    <col min="3088" max="3088" width="17.7109375" style="95" customWidth="1"/>
    <col min="3089" max="3100" width="8.5703125" style="95" bestFit="1" customWidth="1"/>
    <col min="3101" max="3336" width="9.140625" style="95"/>
    <col min="3337" max="3337" width="13.85546875" style="95" customWidth="1"/>
    <col min="3338" max="3338" width="61.7109375" style="95" customWidth="1"/>
    <col min="3339" max="3339" width="16.5703125" style="95" bestFit="1" customWidth="1"/>
    <col min="3340" max="3341" width="6.42578125" style="95" bestFit="1" customWidth="1"/>
    <col min="3342" max="3342" width="9.140625" style="95"/>
    <col min="3343" max="3343" width="14.42578125" style="95" bestFit="1" customWidth="1"/>
    <col min="3344" max="3344" width="17.7109375" style="95" customWidth="1"/>
    <col min="3345" max="3356" width="8.5703125" style="95" bestFit="1" customWidth="1"/>
    <col min="3357" max="3592" width="9.140625" style="95"/>
    <col min="3593" max="3593" width="13.85546875" style="95" customWidth="1"/>
    <col min="3594" max="3594" width="61.7109375" style="95" customWidth="1"/>
    <col min="3595" max="3595" width="16.5703125" style="95" bestFit="1" customWidth="1"/>
    <col min="3596" max="3597" width="6.42578125" style="95" bestFit="1" customWidth="1"/>
    <col min="3598" max="3598" width="9.140625" style="95"/>
    <col min="3599" max="3599" width="14.42578125" style="95" bestFit="1" customWidth="1"/>
    <col min="3600" max="3600" width="17.7109375" style="95" customWidth="1"/>
    <col min="3601" max="3612" width="8.5703125" style="95" bestFit="1" customWidth="1"/>
    <col min="3613" max="3848" width="9.140625" style="95"/>
    <col min="3849" max="3849" width="13.85546875" style="95" customWidth="1"/>
    <col min="3850" max="3850" width="61.7109375" style="95" customWidth="1"/>
    <col min="3851" max="3851" width="16.5703125" style="95" bestFit="1" customWidth="1"/>
    <col min="3852" max="3853" width="6.42578125" style="95" bestFit="1" customWidth="1"/>
    <col min="3854" max="3854" width="9.140625" style="95"/>
    <col min="3855" max="3855" width="14.42578125" style="95" bestFit="1" customWidth="1"/>
    <col min="3856" max="3856" width="17.7109375" style="95" customWidth="1"/>
    <col min="3857" max="3868" width="8.5703125" style="95" bestFit="1" customWidth="1"/>
    <col min="3869" max="4104" width="9.140625" style="95"/>
    <col min="4105" max="4105" width="13.85546875" style="95" customWidth="1"/>
    <col min="4106" max="4106" width="61.7109375" style="95" customWidth="1"/>
    <col min="4107" max="4107" width="16.5703125" style="95" bestFit="1" customWidth="1"/>
    <col min="4108" max="4109" width="6.42578125" style="95" bestFit="1" customWidth="1"/>
    <col min="4110" max="4110" width="9.140625" style="95"/>
    <col min="4111" max="4111" width="14.42578125" style="95" bestFit="1" customWidth="1"/>
    <col min="4112" max="4112" width="17.7109375" style="95" customWidth="1"/>
    <col min="4113" max="4124" width="8.5703125" style="95" bestFit="1" customWidth="1"/>
    <col min="4125" max="4360" width="9.140625" style="95"/>
    <col min="4361" max="4361" width="13.85546875" style="95" customWidth="1"/>
    <col min="4362" max="4362" width="61.7109375" style="95" customWidth="1"/>
    <col min="4363" max="4363" width="16.5703125" style="95" bestFit="1" customWidth="1"/>
    <col min="4364" max="4365" width="6.42578125" style="95" bestFit="1" customWidth="1"/>
    <col min="4366" max="4366" width="9.140625" style="95"/>
    <col min="4367" max="4367" width="14.42578125" style="95" bestFit="1" customWidth="1"/>
    <col min="4368" max="4368" width="17.7109375" style="95" customWidth="1"/>
    <col min="4369" max="4380" width="8.5703125" style="95" bestFit="1" customWidth="1"/>
    <col min="4381" max="4616" width="9.140625" style="95"/>
    <col min="4617" max="4617" width="13.85546875" style="95" customWidth="1"/>
    <col min="4618" max="4618" width="61.7109375" style="95" customWidth="1"/>
    <col min="4619" max="4619" width="16.5703125" style="95" bestFit="1" customWidth="1"/>
    <col min="4620" max="4621" width="6.42578125" style="95" bestFit="1" customWidth="1"/>
    <col min="4622" max="4622" width="9.140625" style="95"/>
    <col min="4623" max="4623" width="14.42578125" style="95" bestFit="1" customWidth="1"/>
    <col min="4624" max="4624" width="17.7109375" style="95" customWidth="1"/>
    <col min="4625" max="4636" width="8.5703125" style="95" bestFit="1" customWidth="1"/>
    <col min="4637" max="4872" width="9.140625" style="95"/>
    <col min="4873" max="4873" width="13.85546875" style="95" customWidth="1"/>
    <col min="4874" max="4874" width="61.7109375" style="95" customWidth="1"/>
    <col min="4875" max="4875" width="16.5703125" style="95" bestFit="1" customWidth="1"/>
    <col min="4876" max="4877" width="6.42578125" style="95" bestFit="1" customWidth="1"/>
    <col min="4878" max="4878" width="9.140625" style="95"/>
    <col min="4879" max="4879" width="14.42578125" style="95" bestFit="1" customWidth="1"/>
    <col min="4880" max="4880" width="17.7109375" style="95" customWidth="1"/>
    <col min="4881" max="4892" width="8.5703125" style="95" bestFit="1" customWidth="1"/>
    <col min="4893" max="5128" width="9.140625" style="95"/>
    <col min="5129" max="5129" width="13.85546875" style="95" customWidth="1"/>
    <col min="5130" max="5130" width="61.7109375" style="95" customWidth="1"/>
    <col min="5131" max="5131" width="16.5703125" style="95" bestFit="1" customWidth="1"/>
    <col min="5132" max="5133" width="6.42578125" style="95" bestFit="1" customWidth="1"/>
    <col min="5134" max="5134" width="9.140625" style="95"/>
    <col min="5135" max="5135" width="14.42578125" style="95" bestFit="1" customWidth="1"/>
    <col min="5136" max="5136" width="17.7109375" style="95" customWidth="1"/>
    <col min="5137" max="5148" width="8.5703125" style="95" bestFit="1" customWidth="1"/>
    <col min="5149" max="5384" width="9.140625" style="95"/>
    <col min="5385" max="5385" width="13.85546875" style="95" customWidth="1"/>
    <col min="5386" max="5386" width="61.7109375" style="95" customWidth="1"/>
    <col min="5387" max="5387" width="16.5703125" style="95" bestFit="1" customWidth="1"/>
    <col min="5388" max="5389" width="6.42578125" style="95" bestFit="1" customWidth="1"/>
    <col min="5390" max="5390" width="9.140625" style="95"/>
    <col min="5391" max="5391" width="14.42578125" style="95" bestFit="1" customWidth="1"/>
    <col min="5392" max="5392" width="17.7109375" style="95" customWidth="1"/>
    <col min="5393" max="5404" width="8.5703125" style="95" bestFit="1" customWidth="1"/>
    <col min="5405" max="5640" width="9.140625" style="95"/>
    <col min="5641" max="5641" width="13.85546875" style="95" customWidth="1"/>
    <col min="5642" max="5642" width="61.7109375" style="95" customWidth="1"/>
    <col min="5643" max="5643" width="16.5703125" style="95" bestFit="1" customWidth="1"/>
    <col min="5644" max="5645" width="6.42578125" style="95" bestFit="1" customWidth="1"/>
    <col min="5646" max="5646" width="9.140625" style="95"/>
    <col min="5647" max="5647" width="14.42578125" style="95" bestFit="1" customWidth="1"/>
    <col min="5648" max="5648" width="17.7109375" style="95" customWidth="1"/>
    <col min="5649" max="5660" width="8.5703125" style="95" bestFit="1" customWidth="1"/>
    <col min="5661" max="5896" width="9.140625" style="95"/>
    <col min="5897" max="5897" width="13.85546875" style="95" customWidth="1"/>
    <col min="5898" max="5898" width="61.7109375" style="95" customWidth="1"/>
    <col min="5899" max="5899" width="16.5703125" style="95" bestFit="1" customWidth="1"/>
    <col min="5900" max="5901" width="6.42578125" style="95" bestFit="1" customWidth="1"/>
    <col min="5902" max="5902" width="9.140625" style="95"/>
    <col min="5903" max="5903" width="14.42578125" style="95" bestFit="1" customWidth="1"/>
    <col min="5904" max="5904" width="17.7109375" style="95" customWidth="1"/>
    <col min="5905" max="5916" width="8.5703125" style="95" bestFit="1" customWidth="1"/>
    <col min="5917" max="6152" width="9.140625" style="95"/>
    <col min="6153" max="6153" width="13.85546875" style="95" customWidth="1"/>
    <col min="6154" max="6154" width="61.7109375" style="95" customWidth="1"/>
    <col min="6155" max="6155" width="16.5703125" style="95" bestFit="1" customWidth="1"/>
    <col min="6156" max="6157" width="6.42578125" style="95" bestFit="1" customWidth="1"/>
    <col min="6158" max="6158" width="9.140625" style="95"/>
    <col min="6159" max="6159" width="14.42578125" style="95" bestFit="1" customWidth="1"/>
    <col min="6160" max="6160" width="17.7109375" style="95" customWidth="1"/>
    <col min="6161" max="6172" width="8.5703125" style="95" bestFit="1" customWidth="1"/>
    <col min="6173" max="6408" width="9.140625" style="95"/>
    <col min="6409" max="6409" width="13.85546875" style="95" customWidth="1"/>
    <col min="6410" max="6410" width="61.7109375" style="95" customWidth="1"/>
    <col min="6411" max="6411" width="16.5703125" style="95" bestFit="1" customWidth="1"/>
    <col min="6412" max="6413" width="6.42578125" style="95" bestFit="1" customWidth="1"/>
    <col min="6414" max="6414" width="9.140625" style="95"/>
    <col min="6415" max="6415" width="14.42578125" style="95" bestFit="1" customWidth="1"/>
    <col min="6416" max="6416" width="17.7109375" style="95" customWidth="1"/>
    <col min="6417" max="6428" width="8.5703125" style="95" bestFit="1" customWidth="1"/>
    <col min="6429" max="6664" width="9.140625" style="95"/>
    <col min="6665" max="6665" width="13.85546875" style="95" customWidth="1"/>
    <col min="6666" max="6666" width="61.7109375" style="95" customWidth="1"/>
    <col min="6667" max="6667" width="16.5703125" style="95" bestFit="1" customWidth="1"/>
    <col min="6668" max="6669" width="6.42578125" style="95" bestFit="1" customWidth="1"/>
    <col min="6670" max="6670" width="9.140625" style="95"/>
    <col min="6671" max="6671" width="14.42578125" style="95" bestFit="1" customWidth="1"/>
    <col min="6672" max="6672" width="17.7109375" style="95" customWidth="1"/>
    <col min="6673" max="6684" width="8.5703125" style="95" bestFit="1" customWidth="1"/>
    <col min="6685" max="6920" width="9.140625" style="95"/>
    <col min="6921" max="6921" width="13.85546875" style="95" customWidth="1"/>
    <col min="6922" max="6922" width="61.7109375" style="95" customWidth="1"/>
    <col min="6923" max="6923" width="16.5703125" style="95" bestFit="1" customWidth="1"/>
    <col min="6924" max="6925" width="6.42578125" style="95" bestFit="1" customWidth="1"/>
    <col min="6926" max="6926" width="9.140625" style="95"/>
    <col min="6927" max="6927" width="14.42578125" style="95" bestFit="1" customWidth="1"/>
    <col min="6928" max="6928" width="17.7109375" style="95" customWidth="1"/>
    <col min="6929" max="6940" width="8.5703125" style="95" bestFit="1" customWidth="1"/>
    <col min="6941" max="7176" width="9.140625" style="95"/>
    <col min="7177" max="7177" width="13.85546875" style="95" customWidth="1"/>
    <col min="7178" max="7178" width="61.7109375" style="95" customWidth="1"/>
    <col min="7179" max="7179" width="16.5703125" style="95" bestFit="1" customWidth="1"/>
    <col min="7180" max="7181" width="6.42578125" style="95" bestFit="1" customWidth="1"/>
    <col min="7182" max="7182" width="9.140625" style="95"/>
    <col min="7183" max="7183" width="14.42578125" style="95" bestFit="1" customWidth="1"/>
    <col min="7184" max="7184" width="17.7109375" style="95" customWidth="1"/>
    <col min="7185" max="7196" width="8.5703125" style="95" bestFit="1" customWidth="1"/>
    <col min="7197" max="7432" width="9.140625" style="95"/>
    <col min="7433" max="7433" width="13.85546875" style="95" customWidth="1"/>
    <col min="7434" max="7434" width="61.7109375" style="95" customWidth="1"/>
    <col min="7435" max="7435" width="16.5703125" style="95" bestFit="1" customWidth="1"/>
    <col min="7436" max="7437" width="6.42578125" style="95" bestFit="1" customWidth="1"/>
    <col min="7438" max="7438" width="9.140625" style="95"/>
    <col min="7439" max="7439" width="14.42578125" style="95" bestFit="1" customWidth="1"/>
    <col min="7440" max="7440" width="17.7109375" style="95" customWidth="1"/>
    <col min="7441" max="7452" width="8.5703125" style="95" bestFit="1" customWidth="1"/>
    <col min="7453" max="7688" width="9.140625" style="95"/>
    <col min="7689" max="7689" width="13.85546875" style="95" customWidth="1"/>
    <col min="7690" max="7690" width="61.7109375" style="95" customWidth="1"/>
    <col min="7691" max="7691" width="16.5703125" style="95" bestFit="1" customWidth="1"/>
    <col min="7692" max="7693" width="6.42578125" style="95" bestFit="1" customWidth="1"/>
    <col min="7694" max="7694" width="9.140625" style="95"/>
    <col min="7695" max="7695" width="14.42578125" style="95" bestFit="1" customWidth="1"/>
    <col min="7696" max="7696" width="17.7109375" style="95" customWidth="1"/>
    <col min="7697" max="7708" width="8.5703125" style="95" bestFit="1" customWidth="1"/>
    <col min="7709" max="7944" width="9.140625" style="95"/>
    <col min="7945" max="7945" width="13.85546875" style="95" customWidth="1"/>
    <col min="7946" max="7946" width="61.7109375" style="95" customWidth="1"/>
    <col min="7947" max="7947" width="16.5703125" style="95" bestFit="1" customWidth="1"/>
    <col min="7948" max="7949" width="6.42578125" style="95" bestFit="1" customWidth="1"/>
    <col min="7950" max="7950" width="9.140625" style="95"/>
    <col min="7951" max="7951" width="14.42578125" style="95" bestFit="1" customWidth="1"/>
    <col min="7952" max="7952" width="17.7109375" style="95" customWidth="1"/>
    <col min="7953" max="7964" width="8.5703125" style="95" bestFit="1" customWidth="1"/>
    <col min="7965" max="8200" width="9.140625" style="95"/>
    <col min="8201" max="8201" width="13.85546875" style="95" customWidth="1"/>
    <col min="8202" max="8202" width="61.7109375" style="95" customWidth="1"/>
    <col min="8203" max="8203" width="16.5703125" style="95" bestFit="1" customWidth="1"/>
    <col min="8204" max="8205" width="6.42578125" style="95" bestFit="1" customWidth="1"/>
    <col min="8206" max="8206" width="9.140625" style="95"/>
    <col min="8207" max="8207" width="14.42578125" style="95" bestFit="1" customWidth="1"/>
    <col min="8208" max="8208" width="17.7109375" style="95" customWidth="1"/>
    <col min="8209" max="8220" width="8.5703125" style="95" bestFit="1" customWidth="1"/>
    <col min="8221" max="8456" width="9.140625" style="95"/>
    <col min="8457" max="8457" width="13.85546875" style="95" customWidth="1"/>
    <col min="8458" max="8458" width="61.7109375" style="95" customWidth="1"/>
    <col min="8459" max="8459" width="16.5703125" style="95" bestFit="1" customWidth="1"/>
    <col min="8460" max="8461" width="6.42578125" style="95" bestFit="1" customWidth="1"/>
    <col min="8462" max="8462" width="9.140625" style="95"/>
    <col min="8463" max="8463" width="14.42578125" style="95" bestFit="1" customWidth="1"/>
    <col min="8464" max="8464" width="17.7109375" style="95" customWidth="1"/>
    <col min="8465" max="8476" width="8.5703125" style="95" bestFit="1" customWidth="1"/>
    <col min="8477" max="8712" width="9.140625" style="95"/>
    <col min="8713" max="8713" width="13.85546875" style="95" customWidth="1"/>
    <col min="8714" max="8714" width="61.7109375" style="95" customWidth="1"/>
    <col min="8715" max="8715" width="16.5703125" style="95" bestFit="1" customWidth="1"/>
    <col min="8716" max="8717" width="6.42578125" style="95" bestFit="1" customWidth="1"/>
    <col min="8718" max="8718" width="9.140625" style="95"/>
    <col min="8719" max="8719" width="14.42578125" style="95" bestFit="1" customWidth="1"/>
    <col min="8720" max="8720" width="17.7109375" style="95" customWidth="1"/>
    <col min="8721" max="8732" width="8.5703125" style="95" bestFit="1" customWidth="1"/>
    <col min="8733" max="8968" width="9.140625" style="95"/>
    <col min="8969" max="8969" width="13.85546875" style="95" customWidth="1"/>
    <col min="8970" max="8970" width="61.7109375" style="95" customWidth="1"/>
    <col min="8971" max="8971" width="16.5703125" style="95" bestFit="1" customWidth="1"/>
    <col min="8972" max="8973" width="6.42578125" style="95" bestFit="1" customWidth="1"/>
    <col min="8974" max="8974" width="9.140625" style="95"/>
    <col min="8975" max="8975" width="14.42578125" style="95" bestFit="1" customWidth="1"/>
    <col min="8976" max="8976" width="17.7109375" style="95" customWidth="1"/>
    <col min="8977" max="8988" width="8.5703125" style="95" bestFit="1" customWidth="1"/>
    <col min="8989" max="9224" width="9.140625" style="95"/>
    <col min="9225" max="9225" width="13.85546875" style="95" customWidth="1"/>
    <col min="9226" max="9226" width="61.7109375" style="95" customWidth="1"/>
    <col min="9227" max="9227" width="16.5703125" style="95" bestFit="1" customWidth="1"/>
    <col min="9228" max="9229" width="6.42578125" style="95" bestFit="1" customWidth="1"/>
    <col min="9230" max="9230" width="9.140625" style="95"/>
    <col min="9231" max="9231" width="14.42578125" style="95" bestFit="1" customWidth="1"/>
    <col min="9232" max="9232" width="17.7109375" style="95" customWidth="1"/>
    <col min="9233" max="9244" width="8.5703125" style="95" bestFit="1" customWidth="1"/>
    <col min="9245" max="9480" width="9.140625" style="95"/>
    <col min="9481" max="9481" width="13.85546875" style="95" customWidth="1"/>
    <col min="9482" max="9482" width="61.7109375" style="95" customWidth="1"/>
    <col min="9483" max="9483" width="16.5703125" style="95" bestFit="1" customWidth="1"/>
    <col min="9484" max="9485" width="6.42578125" style="95" bestFit="1" customWidth="1"/>
    <col min="9486" max="9486" width="9.140625" style="95"/>
    <col min="9487" max="9487" width="14.42578125" style="95" bestFit="1" customWidth="1"/>
    <col min="9488" max="9488" width="17.7109375" style="95" customWidth="1"/>
    <col min="9489" max="9500" width="8.5703125" style="95" bestFit="1" customWidth="1"/>
    <col min="9501" max="9736" width="9.140625" style="95"/>
    <col min="9737" max="9737" width="13.85546875" style="95" customWidth="1"/>
    <col min="9738" max="9738" width="61.7109375" style="95" customWidth="1"/>
    <col min="9739" max="9739" width="16.5703125" style="95" bestFit="1" customWidth="1"/>
    <col min="9740" max="9741" width="6.42578125" style="95" bestFit="1" customWidth="1"/>
    <col min="9742" max="9742" width="9.140625" style="95"/>
    <col min="9743" max="9743" width="14.42578125" style="95" bestFit="1" customWidth="1"/>
    <col min="9744" max="9744" width="17.7109375" style="95" customWidth="1"/>
    <col min="9745" max="9756" width="8.5703125" style="95" bestFit="1" customWidth="1"/>
    <col min="9757" max="9992" width="9.140625" style="95"/>
    <col min="9993" max="9993" width="13.85546875" style="95" customWidth="1"/>
    <col min="9994" max="9994" width="61.7109375" style="95" customWidth="1"/>
    <col min="9995" max="9995" width="16.5703125" style="95" bestFit="1" customWidth="1"/>
    <col min="9996" max="9997" width="6.42578125" style="95" bestFit="1" customWidth="1"/>
    <col min="9998" max="9998" width="9.140625" style="95"/>
    <col min="9999" max="9999" width="14.42578125" style="95" bestFit="1" customWidth="1"/>
    <col min="10000" max="10000" width="17.7109375" style="95" customWidth="1"/>
    <col min="10001" max="10012" width="8.5703125" style="95" bestFit="1" customWidth="1"/>
    <col min="10013" max="10248" width="9.140625" style="95"/>
    <col min="10249" max="10249" width="13.85546875" style="95" customWidth="1"/>
    <col min="10250" max="10250" width="61.7109375" style="95" customWidth="1"/>
    <col min="10251" max="10251" width="16.5703125" style="95" bestFit="1" customWidth="1"/>
    <col min="10252" max="10253" width="6.42578125" style="95" bestFit="1" customWidth="1"/>
    <col min="10254" max="10254" width="9.140625" style="95"/>
    <col min="10255" max="10255" width="14.42578125" style="95" bestFit="1" customWidth="1"/>
    <col min="10256" max="10256" width="17.7109375" style="95" customWidth="1"/>
    <col min="10257" max="10268" width="8.5703125" style="95" bestFit="1" customWidth="1"/>
    <col min="10269" max="10504" width="9.140625" style="95"/>
    <col min="10505" max="10505" width="13.85546875" style="95" customWidth="1"/>
    <col min="10506" max="10506" width="61.7109375" style="95" customWidth="1"/>
    <col min="10507" max="10507" width="16.5703125" style="95" bestFit="1" customWidth="1"/>
    <col min="10508" max="10509" width="6.42578125" style="95" bestFit="1" customWidth="1"/>
    <col min="10510" max="10510" width="9.140625" style="95"/>
    <col min="10511" max="10511" width="14.42578125" style="95" bestFit="1" customWidth="1"/>
    <col min="10512" max="10512" width="17.7109375" style="95" customWidth="1"/>
    <col min="10513" max="10524" width="8.5703125" style="95" bestFit="1" customWidth="1"/>
    <col min="10525" max="10760" width="9.140625" style="95"/>
    <col min="10761" max="10761" width="13.85546875" style="95" customWidth="1"/>
    <col min="10762" max="10762" width="61.7109375" style="95" customWidth="1"/>
    <col min="10763" max="10763" width="16.5703125" style="95" bestFit="1" customWidth="1"/>
    <col min="10764" max="10765" width="6.42578125" style="95" bestFit="1" customWidth="1"/>
    <col min="10766" max="10766" width="9.140625" style="95"/>
    <col min="10767" max="10767" width="14.42578125" style="95" bestFit="1" customWidth="1"/>
    <col min="10768" max="10768" width="17.7109375" style="95" customWidth="1"/>
    <col min="10769" max="10780" width="8.5703125" style="95" bestFit="1" customWidth="1"/>
    <col min="10781" max="11016" width="9.140625" style="95"/>
    <col min="11017" max="11017" width="13.85546875" style="95" customWidth="1"/>
    <col min="11018" max="11018" width="61.7109375" style="95" customWidth="1"/>
    <col min="11019" max="11019" width="16.5703125" style="95" bestFit="1" customWidth="1"/>
    <col min="11020" max="11021" width="6.42578125" style="95" bestFit="1" customWidth="1"/>
    <col min="11022" max="11022" width="9.140625" style="95"/>
    <col min="11023" max="11023" width="14.42578125" style="95" bestFit="1" customWidth="1"/>
    <col min="11024" max="11024" width="17.7109375" style="95" customWidth="1"/>
    <col min="11025" max="11036" width="8.5703125" style="95" bestFit="1" customWidth="1"/>
    <col min="11037" max="11272" width="9.140625" style="95"/>
    <col min="11273" max="11273" width="13.85546875" style="95" customWidth="1"/>
    <col min="11274" max="11274" width="61.7109375" style="95" customWidth="1"/>
    <col min="11275" max="11275" width="16.5703125" style="95" bestFit="1" customWidth="1"/>
    <col min="11276" max="11277" width="6.42578125" style="95" bestFit="1" customWidth="1"/>
    <col min="11278" max="11278" width="9.140625" style="95"/>
    <col min="11279" max="11279" width="14.42578125" style="95" bestFit="1" customWidth="1"/>
    <col min="11280" max="11280" width="17.7109375" style="95" customWidth="1"/>
    <col min="11281" max="11292" width="8.5703125" style="95" bestFit="1" customWidth="1"/>
    <col min="11293" max="11528" width="9.140625" style="95"/>
    <col min="11529" max="11529" width="13.85546875" style="95" customWidth="1"/>
    <col min="11530" max="11530" width="61.7109375" style="95" customWidth="1"/>
    <col min="11531" max="11531" width="16.5703125" style="95" bestFit="1" customWidth="1"/>
    <col min="11532" max="11533" width="6.42578125" style="95" bestFit="1" customWidth="1"/>
    <col min="11534" max="11534" width="9.140625" style="95"/>
    <col min="11535" max="11535" width="14.42578125" style="95" bestFit="1" customWidth="1"/>
    <col min="11536" max="11536" width="17.7109375" style="95" customWidth="1"/>
    <col min="11537" max="11548" width="8.5703125" style="95" bestFit="1" customWidth="1"/>
    <col min="11549" max="11784" width="9.140625" style="95"/>
    <col min="11785" max="11785" width="13.85546875" style="95" customWidth="1"/>
    <col min="11786" max="11786" width="61.7109375" style="95" customWidth="1"/>
    <col min="11787" max="11787" width="16.5703125" style="95" bestFit="1" customWidth="1"/>
    <col min="11788" max="11789" width="6.42578125" style="95" bestFit="1" customWidth="1"/>
    <col min="11790" max="11790" width="9.140625" style="95"/>
    <col min="11791" max="11791" width="14.42578125" style="95" bestFit="1" customWidth="1"/>
    <col min="11792" max="11792" width="17.7109375" style="95" customWidth="1"/>
    <col min="11793" max="11804" width="8.5703125" style="95" bestFit="1" customWidth="1"/>
    <col min="11805" max="12040" width="9.140625" style="95"/>
    <col min="12041" max="12041" width="13.85546875" style="95" customWidth="1"/>
    <col min="12042" max="12042" width="61.7109375" style="95" customWidth="1"/>
    <col min="12043" max="12043" width="16.5703125" style="95" bestFit="1" customWidth="1"/>
    <col min="12044" max="12045" width="6.42578125" style="95" bestFit="1" customWidth="1"/>
    <col min="12046" max="12046" width="9.140625" style="95"/>
    <col min="12047" max="12047" width="14.42578125" style="95" bestFit="1" customWidth="1"/>
    <col min="12048" max="12048" width="17.7109375" style="95" customWidth="1"/>
    <col min="12049" max="12060" width="8.5703125" style="95" bestFit="1" customWidth="1"/>
    <col min="12061" max="12296" width="9.140625" style="95"/>
    <col min="12297" max="12297" width="13.85546875" style="95" customWidth="1"/>
    <col min="12298" max="12298" width="61.7109375" style="95" customWidth="1"/>
    <col min="12299" max="12299" width="16.5703125" style="95" bestFit="1" customWidth="1"/>
    <col min="12300" max="12301" width="6.42578125" style="95" bestFit="1" customWidth="1"/>
    <col min="12302" max="12302" width="9.140625" style="95"/>
    <col min="12303" max="12303" width="14.42578125" style="95" bestFit="1" customWidth="1"/>
    <col min="12304" max="12304" width="17.7109375" style="95" customWidth="1"/>
    <col min="12305" max="12316" width="8.5703125" style="95" bestFit="1" customWidth="1"/>
    <col min="12317" max="12552" width="9.140625" style="95"/>
    <col min="12553" max="12553" width="13.85546875" style="95" customWidth="1"/>
    <col min="12554" max="12554" width="61.7109375" style="95" customWidth="1"/>
    <col min="12555" max="12555" width="16.5703125" style="95" bestFit="1" customWidth="1"/>
    <col min="12556" max="12557" width="6.42578125" style="95" bestFit="1" customWidth="1"/>
    <col min="12558" max="12558" width="9.140625" style="95"/>
    <col min="12559" max="12559" width="14.42578125" style="95" bestFit="1" customWidth="1"/>
    <col min="12560" max="12560" width="17.7109375" style="95" customWidth="1"/>
    <col min="12561" max="12572" width="8.5703125" style="95" bestFit="1" customWidth="1"/>
    <col min="12573" max="12808" width="9.140625" style="95"/>
    <col min="12809" max="12809" width="13.85546875" style="95" customWidth="1"/>
    <col min="12810" max="12810" width="61.7109375" style="95" customWidth="1"/>
    <col min="12811" max="12811" width="16.5703125" style="95" bestFit="1" customWidth="1"/>
    <col min="12812" max="12813" width="6.42578125" style="95" bestFit="1" customWidth="1"/>
    <col min="12814" max="12814" width="9.140625" style="95"/>
    <col min="12815" max="12815" width="14.42578125" style="95" bestFit="1" customWidth="1"/>
    <col min="12816" max="12816" width="17.7109375" style="95" customWidth="1"/>
    <col min="12817" max="12828" width="8.5703125" style="95" bestFit="1" customWidth="1"/>
    <col min="12829" max="13064" width="9.140625" style="95"/>
    <col min="13065" max="13065" width="13.85546875" style="95" customWidth="1"/>
    <col min="13066" max="13066" width="61.7109375" style="95" customWidth="1"/>
    <col min="13067" max="13067" width="16.5703125" style="95" bestFit="1" customWidth="1"/>
    <col min="13068" max="13069" width="6.42578125" style="95" bestFit="1" customWidth="1"/>
    <col min="13070" max="13070" width="9.140625" style="95"/>
    <col min="13071" max="13071" width="14.42578125" style="95" bestFit="1" customWidth="1"/>
    <col min="13072" max="13072" width="17.7109375" style="95" customWidth="1"/>
    <col min="13073" max="13084" width="8.5703125" style="95" bestFit="1" customWidth="1"/>
    <col min="13085" max="13320" width="9.140625" style="95"/>
    <col min="13321" max="13321" width="13.85546875" style="95" customWidth="1"/>
    <col min="13322" max="13322" width="61.7109375" style="95" customWidth="1"/>
    <col min="13323" max="13323" width="16.5703125" style="95" bestFit="1" customWidth="1"/>
    <col min="13324" max="13325" width="6.42578125" style="95" bestFit="1" customWidth="1"/>
    <col min="13326" max="13326" width="9.140625" style="95"/>
    <col min="13327" max="13327" width="14.42578125" style="95" bestFit="1" customWidth="1"/>
    <col min="13328" max="13328" width="17.7109375" style="95" customWidth="1"/>
    <col min="13329" max="13340" width="8.5703125" style="95" bestFit="1" customWidth="1"/>
    <col min="13341" max="13576" width="9.140625" style="95"/>
    <col min="13577" max="13577" width="13.85546875" style="95" customWidth="1"/>
    <col min="13578" max="13578" width="61.7109375" style="95" customWidth="1"/>
    <col min="13579" max="13579" width="16.5703125" style="95" bestFit="1" customWidth="1"/>
    <col min="13580" max="13581" width="6.42578125" style="95" bestFit="1" customWidth="1"/>
    <col min="13582" max="13582" width="9.140625" style="95"/>
    <col min="13583" max="13583" width="14.42578125" style="95" bestFit="1" customWidth="1"/>
    <col min="13584" max="13584" width="17.7109375" style="95" customWidth="1"/>
    <col min="13585" max="13596" width="8.5703125" style="95" bestFit="1" customWidth="1"/>
    <col min="13597" max="13832" width="9.140625" style="95"/>
    <col min="13833" max="13833" width="13.85546875" style="95" customWidth="1"/>
    <col min="13834" max="13834" width="61.7109375" style="95" customWidth="1"/>
    <col min="13835" max="13835" width="16.5703125" style="95" bestFit="1" customWidth="1"/>
    <col min="13836" max="13837" width="6.42578125" style="95" bestFit="1" customWidth="1"/>
    <col min="13838" max="13838" width="9.140625" style="95"/>
    <col min="13839" max="13839" width="14.42578125" style="95" bestFit="1" customWidth="1"/>
    <col min="13840" max="13840" width="17.7109375" style="95" customWidth="1"/>
    <col min="13841" max="13852" width="8.5703125" style="95" bestFit="1" customWidth="1"/>
    <col min="13853" max="14088" width="9.140625" style="95"/>
    <col min="14089" max="14089" width="13.85546875" style="95" customWidth="1"/>
    <col min="14090" max="14090" width="61.7109375" style="95" customWidth="1"/>
    <col min="14091" max="14091" width="16.5703125" style="95" bestFit="1" customWidth="1"/>
    <col min="14092" max="14093" width="6.42578125" style="95" bestFit="1" customWidth="1"/>
    <col min="14094" max="14094" width="9.140625" style="95"/>
    <col min="14095" max="14095" width="14.42578125" style="95" bestFit="1" customWidth="1"/>
    <col min="14096" max="14096" width="17.7109375" style="95" customWidth="1"/>
    <col min="14097" max="14108" width="8.5703125" style="95" bestFit="1" customWidth="1"/>
    <col min="14109" max="14344" width="9.140625" style="95"/>
    <col min="14345" max="14345" width="13.85546875" style="95" customWidth="1"/>
    <col min="14346" max="14346" width="61.7109375" style="95" customWidth="1"/>
    <col min="14347" max="14347" width="16.5703125" style="95" bestFit="1" customWidth="1"/>
    <col min="14348" max="14349" width="6.42578125" style="95" bestFit="1" customWidth="1"/>
    <col min="14350" max="14350" width="9.140625" style="95"/>
    <col min="14351" max="14351" width="14.42578125" style="95" bestFit="1" customWidth="1"/>
    <col min="14352" max="14352" width="17.7109375" style="95" customWidth="1"/>
    <col min="14353" max="14364" width="8.5703125" style="95" bestFit="1" customWidth="1"/>
    <col min="14365" max="14600" width="9.140625" style="95"/>
    <col min="14601" max="14601" width="13.85546875" style="95" customWidth="1"/>
    <col min="14602" max="14602" width="61.7109375" style="95" customWidth="1"/>
    <col min="14603" max="14603" width="16.5703125" style="95" bestFit="1" customWidth="1"/>
    <col min="14604" max="14605" width="6.42578125" style="95" bestFit="1" customWidth="1"/>
    <col min="14606" max="14606" width="9.140625" style="95"/>
    <col min="14607" max="14607" width="14.42578125" style="95" bestFit="1" customWidth="1"/>
    <col min="14608" max="14608" width="17.7109375" style="95" customWidth="1"/>
    <col min="14609" max="14620" width="8.5703125" style="95" bestFit="1" customWidth="1"/>
    <col min="14621" max="14856" width="9.140625" style="95"/>
    <col min="14857" max="14857" width="13.85546875" style="95" customWidth="1"/>
    <col min="14858" max="14858" width="61.7109375" style="95" customWidth="1"/>
    <col min="14859" max="14859" width="16.5703125" style="95" bestFit="1" customWidth="1"/>
    <col min="14860" max="14861" width="6.42578125" style="95" bestFit="1" customWidth="1"/>
    <col min="14862" max="14862" width="9.140625" style="95"/>
    <col min="14863" max="14863" width="14.42578125" style="95" bestFit="1" customWidth="1"/>
    <col min="14864" max="14864" width="17.7109375" style="95" customWidth="1"/>
    <col min="14865" max="14876" width="8.5703125" style="95" bestFit="1" customWidth="1"/>
    <col min="14877" max="15112" width="9.140625" style="95"/>
    <col min="15113" max="15113" width="13.85546875" style="95" customWidth="1"/>
    <col min="15114" max="15114" width="61.7109375" style="95" customWidth="1"/>
    <col min="15115" max="15115" width="16.5703125" style="95" bestFit="1" customWidth="1"/>
    <col min="15116" max="15117" width="6.42578125" style="95" bestFit="1" customWidth="1"/>
    <col min="15118" max="15118" width="9.140625" style="95"/>
    <col min="15119" max="15119" width="14.42578125" style="95" bestFit="1" customWidth="1"/>
    <col min="15120" max="15120" width="17.7109375" style="95" customWidth="1"/>
    <col min="15121" max="15132" width="8.5703125" style="95" bestFit="1" customWidth="1"/>
    <col min="15133" max="15368" width="9.140625" style="95"/>
    <col min="15369" max="15369" width="13.85546875" style="95" customWidth="1"/>
    <col min="15370" max="15370" width="61.7109375" style="95" customWidth="1"/>
    <col min="15371" max="15371" width="16.5703125" style="95" bestFit="1" customWidth="1"/>
    <col min="15372" max="15373" width="6.42578125" style="95" bestFit="1" customWidth="1"/>
    <col min="15374" max="15374" width="9.140625" style="95"/>
    <col min="15375" max="15375" width="14.42578125" style="95" bestFit="1" customWidth="1"/>
    <col min="15376" max="15376" width="17.7109375" style="95" customWidth="1"/>
    <col min="15377" max="15388" width="8.5703125" style="95" bestFit="1" customWidth="1"/>
    <col min="15389" max="15624" width="9.140625" style="95"/>
    <col min="15625" max="15625" width="13.85546875" style="95" customWidth="1"/>
    <col min="15626" max="15626" width="61.7109375" style="95" customWidth="1"/>
    <col min="15627" max="15627" width="16.5703125" style="95" bestFit="1" customWidth="1"/>
    <col min="15628" max="15629" width="6.42578125" style="95" bestFit="1" customWidth="1"/>
    <col min="15630" max="15630" width="9.140625" style="95"/>
    <col min="15631" max="15631" width="14.42578125" style="95" bestFit="1" customWidth="1"/>
    <col min="15632" max="15632" width="17.7109375" style="95" customWidth="1"/>
    <col min="15633" max="15644" width="8.5703125" style="95" bestFit="1" customWidth="1"/>
    <col min="15645" max="15880" width="9.140625" style="95"/>
    <col min="15881" max="15881" width="13.85546875" style="95" customWidth="1"/>
    <col min="15882" max="15882" width="61.7109375" style="95" customWidth="1"/>
    <col min="15883" max="15883" width="16.5703125" style="95" bestFit="1" customWidth="1"/>
    <col min="15884" max="15885" width="6.42578125" style="95" bestFit="1" customWidth="1"/>
    <col min="15886" max="15886" width="9.140625" style="95"/>
    <col min="15887" max="15887" width="14.42578125" style="95" bestFit="1" customWidth="1"/>
    <col min="15888" max="15888" width="17.7109375" style="95" customWidth="1"/>
    <col min="15889" max="15900" width="8.5703125" style="95" bestFit="1" customWidth="1"/>
    <col min="15901" max="16136" width="9.140625" style="95"/>
    <col min="16137" max="16137" width="13.85546875" style="95" customWidth="1"/>
    <col min="16138" max="16138" width="61.7109375" style="95" customWidth="1"/>
    <col min="16139" max="16139" width="16.5703125" style="95" bestFit="1" customWidth="1"/>
    <col min="16140" max="16141" width="6.42578125" style="95" bestFit="1" customWidth="1"/>
    <col min="16142" max="16142" width="9.140625" style="95"/>
    <col min="16143" max="16143" width="14.42578125" style="95" bestFit="1" customWidth="1"/>
    <col min="16144" max="16144" width="17.7109375" style="95" customWidth="1"/>
    <col min="16145" max="16156" width="8.5703125" style="95" bestFit="1" customWidth="1"/>
    <col min="16157" max="16384" width="9.140625" style="95"/>
  </cols>
  <sheetData>
    <row r="1" spans="1:31" s="177" customFormat="1" ht="24.95" customHeight="1">
      <c r="B1" s="2522" t="str">
        <f>IF(dms_DataQuality="backcast",INDEX(dms_Worksheet_List,MATCH(dms_Model,dms_Model_List))&amp;" BACKCAST",INDEX(dms_Worksheet_List,MATCH(dms_Model,dms_Model_List)))</f>
        <v>REGULATORY REPORTING STATEMENT</v>
      </c>
      <c r="C1" s="491"/>
      <c r="D1" s="491"/>
      <c r="E1" s="491"/>
      <c r="F1" s="491"/>
      <c r="G1" s="491"/>
      <c r="H1" s="491"/>
      <c r="I1" s="491"/>
      <c r="J1" s="491"/>
      <c r="K1" s="491"/>
      <c r="L1" s="491"/>
      <c r="M1" s="491"/>
      <c r="N1" s="491"/>
      <c r="O1" s="491"/>
      <c r="P1" s="491"/>
      <c r="Q1" s="491"/>
      <c r="R1" s="491"/>
      <c r="S1" s="491"/>
      <c r="T1" s="491"/>
      <c r="U1" s="491"/>
      <c r="V1" s="491"/>
      <c r="W1" s="491"/>
      <c r="X1" s="491"/>
      <c r="Y1" s="491"/>
      <c r="Z1" s="491"/>
      <c r="AA1" s="491"/>
      <c r="AB1" s="491"/>
      <c r="AC1"/>
      <c r="AD1"/>
      <c r="AE1"/>
    </row>
    <row r="2" spans="1:31" s="177" customFormat="1" ht="24.95" customHeight="1">
      <c r="B2" s="2526" t="str">
        <f>INDEX(dms_TradingNameFull_List,MATCH(dms_TradingName,dms_TradingName_List))</f>
        <v>AusNet Gas Services</v>
      </c>
      <c r="C2" s="180"/>
      <c r="D2" s="180"/>
      <c r="E2" s="180"/>
      <c r="F2" s="180"/>
      <c r="G2" s="180"/>
      <c r="H2" s="180"/>
      <c r="I2" s="180"/>
      <c r="J2" s="180"/>
      <c r="K2" s="180"/>
      <c r="L2" s="180"/>
      <c r="M2" s="180"/>
      <c r="N2" s="180"/>
      <c r="O2" s="180"/>
      <c r="P2" s="180"/>
      <c r="Q2" s="180"/>
      <c r="R2" s="180"/>
      <c r="S2" s="180"/>
      <c r="T2" s="180"/>
      <c r="U2" s="180"/>
      <c r="V2" s="180"/>
      <c r="W2" s="180"/>
      <c r="X2" s="180"/>
      <c r="Y2" s="180"/>
      <c r="Z2" s="180"/>
      <c r="AA2" s="180"/>
      <c r="AB2" s="180"/>
      <c r="AC2"/>
      <c r="AD2"/>
      <c r="AE2"/>
    </row>
    <row r="3" spans="1:31" s="177" customFormat="1" ht="24.95" customHeight="1">
      <c r="B3" s="2526" t="str">
        <f ca="1">IF(SUM(dms_SingleYear_Model)&gt;0,CRY,CONCATENATE(FRCP_y1," to ",dms_MultiYear_FinalYear_Result))</f>
        <v>2018 to 2022</v>
      </c>
      <c r="C3" s="181"/>
      <c r="D3" s="181"/>
      <c r="E3" s="181"/>
      <c r="F3" s="181"/>
      <c r="G3" s="181"/>
      <c r="H3" s="181"/>
      <c r="I3" s="181"/>
      <c r="J3" s="181"/>
      <c r="K3" s="181"/>
      <c r="L3" s="181"/>
      <c r="M3" s="181"/>
      <c r="N3" s="181"/>
      <c r="O3" s="181"/>
      <c r="P3" s="181"/>
      <c r="Q3" s="181"/>
      <c r="R3" s="181"/>
      <c r="S3" s="181"/>
      <c r="T3" s="181"/>
      <c r="U3" s="181"/>
      <c r="V3" s="181"/>
      <c r="W3" s="181"/>
      <c r="X3" s="181"/>
      <c r="Y3" s="181"/>
      <c r="Z3" s="181"/>
      <c r="AA3" s="181"/>
      <c r="AB3" s="181"/>
      <c r="AC3"/>
      <c r="AD3"/>
      <c r="AE3"/>
    </row>
    <row r="4" spans="1:31" s="159" customFormat="1" ht="24" customHeight="1">
      <c r="B4" s="10" t="s">
        <v>479</v>
      </c>
      <c r="C4" s="12"/>
      <c r="D4" s="12"/>
      <c r="E4" s="12"/>
      <c r="F4" s="12"/>
      <c r="G4" s="12"/>
      <c r="H4" s="12"/>
      <c r="I4" s="12"/>
      <c r="J4" s="12"/>
      <c r="K4" s="12"/>
      <c r="L4" s="12"/>
      <c r="M4" s="12"/>
      <c r="N4" s="12"/>
      <c r="O4" s="12"/>
      <c r="P4" s="12"/>
      <c r="Q4" s="12"/>
      <c r="R4" s="12"/>
      <c r="S4" s="12"/>
      <c r="T4" s="12"/>
      <c r="U4" s="12"/>
      <c r="V4" s="12"/>
      <c r="W4" s="12"/>
      <c r="X4" s="12"/>
      <c r="Y4" s="12"/>
      <c r="Z4" s="12"/>
      <c r="AA4" s="12"/>
      <c r="AB4" s="12"/>
      <c r="AC4"/>
      <c r="AD4"/>
      <c r="AE4"/>
    </row>
    <row r="5" spans="1:31">
      <c r="A5" s="360"/>
      <c r="B5" s="860"/>
      <c r="C5" s="696"/>
      <c r="D5" s="696"/>
      <c r="E5" s="696"/>
      <c r="F5" s="696"/>
      <c r="G5" s="696"/>
      <c r="H5" s="696"/>
      <c r="I5" s="696"/>
      <c r="J5" s="696"/>
      <c r="K5" s="696"/>
      <c r="L5" s="696"/>
      <c r="M5" s="696"/>
      <c r="N5" s="696"/>
      <c r="O5" s="696"/>
      <c r="P5" s="696"/>
      <c r="Q5" s="696"/>
      <c r="R5" s="696"/>
      <c r="S5" s="696"/>
      <c r="T5" s="696"/>
      <c r="U5" s="696"/>
      <c r="V5" s="696"/>
      <c r="W5" s="696"/>
      <c r="X5" s="696"/>
      <c r="Y5" s="696"/>
      <c r="Z5" s="696"/>
      <c r="AA5" s="696"/>
      <c r="AB5" s="696"/>
    </row>
    <row r="6" spans="1:31">
      <c r="A6" s="696"/>
      <c r="B6" s="860"/>
      <c r="C6" s="696"/>
      <c r="D6" s="696"/>
      <c r="E6" s="696"/>
      <c r="F6" s="696"/>
      <c r="G6" s="696"/>
      <c r="H6" s="696"/>
      <c r="I6" s="696"/>
      <c r="J6" s="696"/>
      <c r="K6" s="696"/>
      <c r="L6" s="696"/>
      <c r="M6" s="696"/>
      <c r="N6" s="696"/>
      <c r="O6" s="696"/>
      <c r="P6" s="696"/>
      <c r="Q6" s="696"/>
      <c r="R6" s="696"/>
      <c r="S6" s="696"/>
      <c r="T6" s="696"/>
      <c r="U6" s="696"/>
      <c r="V6" s="696"/>
      <c r="W6" s="696"/>
      <c r="X6" s="696"/>
      <c r="Y6" s="696"/>
      <c r="Z6" s="696"/>
      <c r="AA6" s="696"/>
      <c r="AB6" s="696"/>
    </row>
    <row r="7" spans="1:31">
      <c r="A7" s="696"/>
      <c r="B7" s="85" t="s">
        <v>59</v>
      </c>
      <c r="C7" s="85"/>
      <c r="D7" s="85"/>
      <c r="E7" s="85"/>
      <c r="F7"/>
      <c r="G7"/>
      <c r="H7"/>
      <c r="I7"/>
      <c r="J7"/>
      <c r="K7"/>
      <c r="L7"/>
      <c r="M7"/>
      <c r="N7" s="696"/>
      <c r="O7" s="696"/>
      <c r="P7" s="696"/>
      <c r="Q7" s="696"/>
      <c r="R7" s="696"/>
      <c r="S7" s="696"/>
      <c r="T7" s="696"/>
      <c r="U7" s="696"/>
      <c r="V7" s="696"/>
      <c r="W7" s="696"/>
      <c r="X7" s="696"/>
      <c r="Y7" s="696"/>
      <c r="Z7" s="696"/>
      <c r="AA7" s="696"/>
      <c r="AB7" s="696"/>
    </row>
    <row r="8" spans="1:31" s="172" customFormat="1" ht="27.75" customHeight="1">
      <c r="A8" s="247"/>
      <c r="B8" s="4652" t="s">
        <v>226</v>
      </c>
      <c r="C8" s="4652"/>
      <c r="D8" s="4652"/>
      <c r="E8" s="4652"/>
      <c r="N8" s="247"/>
      <c r="O8" s="247"/>
      <c r="P8" s="247"/>
      <c r="Q8" s="247"/>
      <c r="R8" s="247"/>
      <c r="S8" s="247"/>
      <c r="T8" s="247"/>
      <c r="U8" s="247"/>
      <c r="V8" s="247"/>
      <c r="W8" s="247"/>
      <c r="X8" s="247"/>
      <c r="Y8" s="247"/>
      <c r="Z8" s="247"/>
      <c r="AA8" s="247"/>
      <c r="AB8" s="247"/>
    </row>
    <row r="9" spans="1:31" s="172" customFormat="1" ht="27.75" customHeight="1">
      <c r="A9" s="247"/>
      <c r="B9" s="4652" t="s">
        <v>252</v>
      </c>
      <c r="C9" s="4652"/>
      <c r="D9" s="4652"/>
      <c r="E9" s="4652"/>
      <c r="N9" s="247"/>
      <c r="O9" s="247"/>
      <c r="P9" s="247"/>
      <c r="Q9" s="247"/>
      <c r="R9" s="247"/>
      <c r="S9" s="247"/>
      <c r="T9" s="247"/>
      <c r="U9" s="247"/>
      <c r="V9" s="247"/>
      <c r="W9" s="247"/>
      <c r="X9" s="247"/>
      <c r="Y9" s="247"/>
      <c r="Z9" s="247"/>
      <c r="AA9" s="247"/>
      <c r="AB9" s="247"/>
    </row>
    <row r="10" spans="1:31" s="172" customFormat="1" ht="27.75" customHeight="1">
      <c r="A10" s="247"/>
      <c r="B10" s="4652" t="s">
        <v>478</v>
      </c>
      <c r="C10" s="4652"/>
      <c r="D10" s="4652"/>
      <c r="E10" s="4652"/>
      <c r="N10" s="247"/>
      <c r="O10" s="247"/>
      <c r="P10" s="247"/>
      <c r="Q10" s="247"/>
      <c r="R10" s="247"/>
      <c r="S10" s="247"/>
      <c r="T10" s="247"/>
      <c r="U10" s="247"/>
      <c r="V10" s="247"/>
      <c r="W10" s="247"/>
      <c r="X10" s="247"/>
      <c r="Y10" s="247"/>
      <c r="Z10" s="247"/>
      <c r="AA10" s="247"/>
      <c r="AB10" s="247"/>
    </row>
    <row r="11" spans="1:31" s="172" customFormat="1" ht="27.75" customHeight="1">
      <c r="A11" s="247"/>
      <c r="B11" s="1343" t="s">
        <v>387</v>
      </c>
      <c r="C11" s="1344"/>
      <c r="D11" s="1344"/>
      <c r="E11" s="1344"/>
      <c r="N11" s="247"/>
      <c r="O11" s="247"/>
      <c r="P11" s="247"/>
      <c r="Q11" s="247"/>
      <c r="R11" s="247"/>
      <c r="S11" s="247"/>
      <c r="T11" s="247"/>
      <c r="U11" s="247"/>
      <c r="V11" s="247"/>
      <c r="W11" s="247"/>
      <c r="X11" s="247"/>
      <c r="Y11" s="247"/>
      <c r="Z11" s="247"/>
      <c r="AA11" s="247"/>
      <c r="AB11" s="247"/>
    </row>
    <row r="12" spans="1:31">
      <c r="A12" s="696"/>
      <c r="B12" s="860"/>
      <c r="C12" s="696"/>
      <c r="D12" s="696"/>
      <c r="E12" s="696"/>
      <c r="F12" s="696"/>
      <c r="G12" s="696"/>
      <c r="H12" s="696"/>
      <c r="I12" s="696"/>
      <c r="J12" s="696"/>
      <c r="K12" s="696"/>
      <c r="L12" s="696"/>
      <c r="M12" s="696"/>
      <c r="N12" s="696"/>
      <c r="O12" s="696"/>
      <c r="P12" s="696"/>
      <c r="Q12" s="696"/>
      <c r="R12" s="696"/>
      <c r="S12" s="696"/>
      <c r="T12" s="696"/>
      <c r="U12" s="696"/>
      <c r="V12" s="696"/>
      <c r="W12" s="696"/>
      <c r="X12" s="696"/>
      <c r="Y12" s="696"/>
      <c r="Z12" s="696"/>
      <c r="AA12" s="696"/>
      <c r="AB12" s="696"/>
    </row>
    <row r="13" spans="1:31" ht="13.5" thickBot="1">
      <c r="A13" s="696"/>
      <c r="B13" s="860"/>
      <c r="C13" s="696"/>
      <c r="D13" s="696"/>
      <c r="E13" s="696"/>
      <c r="F13" s="696"/>
      <c r="G13" s="696"/>
      <c r="H13" s="696"/>
      <c r="I13" s="696"/>
      <c r="J13" s="696"/>
      <c r="K13" s="696"/>
      <c r="L13" s="696"/>
      <c r="M13" s="696"/>
      <c r="N13" s="696"/>
      <c r="O13" s="696"/>
      <c r="P13" s="696"/>
      <c r="Q13" s="696"/>
      <c r="R13" s="696"/>
      <c r="S13" s="696"/>
      <c r="T13" s="696"/>
      <c r="U13" s="696"/>
      <c r="V13" s="696"/>
      <c r="W13" s="696"/>
      <c r="X13" s="696"/>
      <c r="Y13" s="696"/>
      <c r="Z13" s="696"/>
      <c r="AA13" s="696"/>
      <c r="AB13" s="696"/>
    </row>
    <row r="14" spans="1:31">
      <c r="A14" s="696"/>
      <c r="B14" s="857" t="s">
        <v>48</v>
      </c>
      <c r="C14" s="696"/>
      <c r="D14" s="696"/>
      <c r="E14" s="696"/>
      <c r="F14" s="696"/>
      <c r="G14" s="696"/>
      <c r="H14" s="696"/>
      <c r="I14" s="696"/>
      <c r="J14" s="696"/>
      <c r="K14" s="696"/>
      <c r="L14" s="696"/>
      <c r="M14" s="696"/>
      <c r="N14" s="696"/>
      <c r="O14" s="696"/>
      <c r="P14" s="696"/>
      <c r="Q14" s="696"/>
      <c r="R14" s="696"/>
      <c r="S14" s="696"/>
      <c r="T14" s="696"/>
      <c r="U14" s="696"/>
      <c r="V14" s="696"/>
      <c r="W14" s="696"/>
      <c r="X14" s="696"/>
      <c r="Y14" s="696"/>
      <c r="Z14" s="696"/>
      <c r="AA14" s="696"/>
      <c r="AB14" s="696"/>
    </row>
    <row r="15" spans="1:31" ht="12.75" customHeight="1" thickBot="1">
      <c r="A15" s="696"/>
      <c r="B15" s="858" t="s">
        <v>212</v>
      </c>
      <c r="C15" s="696"/>
      <c r="D15" s="696"/>
      <c r="E15" s="696"/>
      <c r="F15" s="696"/>
      <c r="G15" s="696"/>
      <c r="H15" s="696"/>
      <c r="I15" s="696"/>
      <c r="J15" s="696"/>
      <c r="K15" s="696"/>
      <c r="L15" s="696"/>
      <c r="M15" s="696"/>
      <c r="N15" s="696"/>
      <c r="O15" s="696"/>
      <c r="P15" s="696"/>
      <c r="Q15" s="696"/>
      <c r="R15" s="696"/>
      <c r="S15" s="696"/>
      <c r="T15" s="696"/>
      <c r="U15" s="696"/>
      <c r="V15" s="696"/>
      <c r="W15" s="696"/>
      <c r="X15" s="696"/>
      <c r="Y15" s="696"/>
      <c r="Z15" s="696"/>
      <c r="AA15" s="696"/>
      <c r="AB15" s="696"/>
    </row>
    <row r="16" spans="1:31" ht="21.75" customHeight="1" thickBot="1">
      <c r="A16" s="696"/>
      <c r="B16" s="147"/>
      <c r="C16" s="696"/>
      <c r="D16" s="696"/>
      <c r="E16" s="696"/>
      <c r="F16" s="696"/>
      <c r="G16" s="696"/>
      <c r="H16" s="696"/>
      <c r="I16" s="696"/>
      <c r="J16" s="696"/>
      <c r="K16" s="696"/>
      <c r="L16" s="696"/>
      <c r="M16" s="696"/>
      <c r="N16" s="696"/>
      <c r="O16" s="696"/>
      <c r="P16" s="696"/>
      <c r="Q16" s="696"/>
      <c r="R16" s="696"/>
      <c r="S16" s="696"/>
      <c r="T16" s="696"/>
      <c r="U16" s="696"/>
      <c r="V16" s="696"/>
      <c r="W16" s="696"/>
      <c r="X16" s="696"/>
      <c r="Y16" s="696"/>
      <c r="Z16" s="696"/>
      <c r="AA16" s="696"/>
      <c r="AB16" s="696"/>
    </row>
    <row r="17" spans="1:135">
      <c r="A17" s="696"/>
      <c r="B17" s="857" t="s">
        <v>247</v>
      </c>
      <c r="C17" s="696"/>
      <c r="D17" s="696"/>
      <c r="E17" s="696"/>
      <c r="F17" s="696"/>
      <c r="G17" s="696"/>
      <c r="H17" s="696"/>
      <c r="I17" s="696"/>
      <c r="J17" s="696"/>
      <c r="K17" s="696"/>
      <c r="L17" s="696"/>
      <c r="M17" s="696"/>
      <c r="N17" s="696"/>
      <c r="O17" s="696"/>
      <c r="P17" s="696"/>
      <c r="Q17" s="696"/>
      <c r="R17" s="696"/>
      <c r="S17" s="696"/>
      <c r="T17" s="696"/>
      <c r="U17" s="696"/>
      <c r="V17" s="696"/>
      <c r="W17" s="696"/>
      <c r="X17" s="696"/>
      <c r="Y17" s="696"/>
      <c r="Z17" s="696"/>
      <c r="AA17" s="696"/>
      <c r="AB17" s="696"/>
    </row>
    <row r="18" spans="1:135" ht="27" customHeight="1" thickBot="1">
      <c r="A18" s="696"/>
      <c r="B18" s="859" t="s">
        <v>2093</v>
      </c>
      <c r="C18" s="696"/>
      <c r="D18" s="696"/>
      <c r="E18" s="696"/>
      <c r="F18" s="696"/>
      <c r="G18" s="696"/>
      <c r="H18" s="696"/>
      <c r="I18" s="696"/>
      <c r="J18" s="696"/>
      <c r="K18" s="696"/>
      <c r="L18" s="696"/>
      <c r="M18" s="696"/>
      <c r="N18" s="696"/>
      <c r="O18" s="696"/>
      <c r="P18" s="696"/>
      <c r="Q18" s="696"/>
      <c r="R18" s="696"/>
      <c r="S18" s="696"/>
      <c r="T18" s="696"/>
      <c r="U18" s="696"/>
      <c r="V18" s="696"/>
      <c r="W18" s="696"/>
      <c r="X18" s="696"/>
      <c r="Y18" s="696"/>
      <c r="Z18" s="696"/>
      <c r="AA18" s="696"/>
      <c r="AB18" s="696"/>
    </row>
    <row r="19" spans="1:135" ht="12.75" customHeight="1" thickBot="1">
      <c r="A19" s="696"/>
      <c r="B19" s="95"/>
    </row>
    <row r="20" spans="1:135" s="69" customFormat="1" ht="34.5" customHeight="1" thickBot="1">
      <c r="A20" s="361"/>
      <c r="B20" s="815" t="s">
        <v>534</v>
      </c>
      <c r="C20" s="830"/>
      <c r="D20" s="830"/>
      <c r="E20" s="830"/>
      <c r="F20" s="830"/>
      <c r="G20" s="830"/>
      <c r="H20" s="830"/>
      <c r="I20" s="830"/>
      <c r="J20" s="830"/>
      <c r="K20" s="831"/>
      <c r="L20" s="831"/>
      <c r="M20" s="831"/>
      <c r="N20" s="831"/>
      <c r="O20" s="831"/>
      <c r="P20" s="831"/>
      <c r="Q20" s="831"/>
      <c r="R20" s="831"/>
      <c r="S20" s="831"/>
      <c r="T20" s="831"/>
      <c r="U20" s="831"/>
      <c r="V20" s="831"/>
      <c r="W20" s="831"/>
      <c r="X20" s="831"/>
      <c r="Y20" s="831"/>
      <c r="Z20" s="831"/>
      <c r="AA20" s="831"/>
      <c r="AB20" s="831"/>
      <c r="AC20" s="831"/>
      <c r="AD20"/>
      <c r="AE20"/>
      <c r="AF20"/>
    </row>
    <row r="21" spans="1:135" ht="20.25" customHeight="1">
      <c r="A21" s="696"/>
      <c r="B21" s="4653"/>
      <c r="C21" s="4661" t="s">
        <v>634</v>
      </c>
      <c r="D21" s="4656" t="s">
        <v>70</v>
      </c>
      <c r="E21" s="4659" t="s">
        <v>37</v>
      </c>
      <c r="F21" s="4660"/>
      <c r="G21" s="4660"/>
      <c r="H21" s="4660"/>
      <c r="I21" s="4660"/>
      <c r="J21" s="4641" t="s">
        <v>73</v>
      </c>
      <c r="K21" s="4641"/>
      <c r="L21" s="4641"/>
      <c r="M21" s="4641"/>
      <c r="N21" s="4641"/>
      <c r="O21" s="4642" t="s">
        <v>249</v>
      </c>
      <c r="P21" s="4642"/>
      <c r="Q21" s="4642"/>
      <c r="R21" s="4642"/>
      <c r="S21" s="4642"/>
      <c r="T21" s="4642"/>
      <c r="U21" s="4642"/>
      <c r="V21" s="4642"/>
      <c r="W21" s="4642"/>
      <c r="X21" s="4642"/>
      <c r="Y21" s="4642"/>
      <c r="Z21" s="4642"/>
      <c r="AA21" s="4642"/>
      <c r="AB21" s="4642"/>
      <c r="AC21" s="4643"/>
      <c r="AF21"/>
    </row>
    <row r="22" spans="1:135" s="65" customFormat="1" ht="20.25" customHeight="1">
      <c r="A22" s="242"/>
      <c r="B22" s="4654"/>
      <c r="C22" s="4662"/>
      <c r="D22" s="4657"/>
      <c r="E22" s="4644" t="str">
        <f>B15</f>
        <v>$/day</v>
      </c>
      <c r="F22" s="4645"/>
      <c r="G22" s="4645"/>
      <c r="H22" s="4645"/>
      <c r="I22" s="4645"/>
      <c r="J22" s="4645"/>
      <c r="K22" s="4645"/>
      <c r="L22" s="4645"/>
      <c r="M22" s="4645"/>
      <c r="N22" s="4645"/>
      <c r="O22" s="4645"/>
      <c r="P22" s="4645"/>
      <c r="Q22" s="4645"/>
      <c r="R22" s="4645"/>
      <c r="S22" s="4645"/>
      <c r="T22" s="4645"/>
      <c r="U22" s="4645"/>
      <c r="V22" s="4645"/>
      <c r="W22" s="4645"/>
      <c r="X22" s="4645"/>
      <c r="Y22" s="4645"/>
      <c r="Z22" s="4645"/>
      <c r="AA22" s="4645"/>
      <c r="AB22" s="4645"/>
      <c r="AC22" s="4646"/>
      <c r="AD22"/>
      <c r="AE22"/>
      <c r="AF22"/>
    </row>
    <row r="23" spans="1:135" s="65" customFormat="1" ht="20.25" customHeight="1">
      <c r="A23" s="242"/>
      <c r="B23" s="4654"/>
      <c r="C23" s="4662"/>
      <c r="D23" s="4657"/>
      <c r="E23" s="4647" t="s">
        <v>54</v>
      </c>
      <c r="F23" s="4645"/>
      <c r="G23" s="4648"/>
      <c r="H23" s="4649" t="s">
        <v>377</v>
      </c>
      <c r="I23" s="4650"/>
      <c r="J23" s="4650"/>
      <c r="K23" s="4650"/>
      <c r="L23" s="4650"/>
      <c r="M23" s="4650"/>
      <c r="N23" s="4650"/>
      <c r="O23" s="4650"/>
      <c r="P23" s="4650"/>
      <c r="Q23" s="4650"/>
      <c r="R23" s="4650"/>
      <c r="S23" s="4650"/>
      <c r="T23" s="4650"/>
      <c r="U23" s="4650"/>
      <c r="V23" s="4650"/>
      <c r="W23" s="4650"/>
      <c r="X23" s="4650"/>
      <c r="Y23" s="4650"/>
      <c r="Z23" s="4650"/>
      <c r="AA23" s="4650"/>
      <c r="AB23" s="4650"/>
      <c r="AC23" s="4651"/>
      <c r="AD23"/>
      <c r="AE23"/>
      <c r="AF23"/>
    </row>
    <row r="24" spans="1:135" s="65" customFormat="1" ht="20.25" customHeight="1" thickBot="1">
      <c r="A24" s="242"/>
      <c r="B24" s="4655"/>
      <c r="C24" s="4663"/>
      <c r="D24" s="4658"/>
      <c r="E24" s="828">
        <f>CRCP_y1</f>
        <v>2013</v>
      </c>
      <c r="F24" s="828">
        <f>CRCP_y2</f>
        <v>2014</v>
      </c>
      <c r="G24" s="828">
        <f>CRCP_y3</f>
        <v>2015</v>
      </c>
      <c r="H24" s="828">
        <f>CRCP_y4</f>
        <v>2016</v>
      </c>
      <c r="I24" s="828">
        <f>CRCP_y5</f>
        <v>2017</v>
      </c>
      <c r="J24" s="827" t="str">
        <f>CONCATENATE(IF(dms_RPT="Calendar",I24+1,(LEFT(I24,4)+1&amp;"-"&amp;IF(MID(I24,6,2)&lt;"09","0"&amp;RIGHT(I24,1)+1,RIGHT(I24,2)+1))))</f>
        <v>2018</v>
      </c>
      <c r="K24" s="827" t="str">
        <f t="shared" ref="K24:AC24" si="0">CONCATENATE(IF(dms_RPT="Calendar",J24+1,(LEFT(J24,4)+1&amp;"-"&amp;IF(MID(J24,6,2)&lt;"09","0"&amp;RIGHT(J24,1)+1,RIGHT(J24,2)+1))))</f>
        <v>2019</v>
      </c>
      <c r="L24" s="827" t="str">
        <f t="shared" si="0"/>
        <v>2020</v>
      </c>
      <c r="M24" s="827" t="str">
        <f t="shared" si="0"/>
        <v>2021</v>
      </c>
      <c r="N24" s="827" t="str">
        <f t="shared" si="0"/>
        <v>2022</v>
      </c>
      <c r="O24" s="828" t="str">
        <f t="shared" si="0"/>
        <v>2023</v>
      </c>
      <c r="P24" s="828" t="str">
        <f t="shared" si="0"/>
        <v>2024</v>
      </c>
      <c r="Q24" s="828" t="str">
        <f t="shared" si="0"/>
        <v>2025</v>
      </c>
      <c r="R24" s="828" t="str">
        <f t="shared" si="0"/>
        <v>2026</v>
      </c>
      <c r="S24" s="828" t="str">
        <f t="shared" si="0"/>
        <v>2027</v>
      </c>
      <c r="T24" s="828" t="str">
        <f t="shared" si="0"/>
        <v>2028</v>
      </c>
      <c r="U24" s="828" t="str">
        <f t="shared" si="0"/>
        <v>2029</v>
      </c>
      <c r="V24" s="828" t="str">
        <f t="shared" si="0"/>
        <v>2030</v>
      </c>
      <c r="W24" s="828" t="str">
        <f t="shared" si="0"/>
        <v>2031</v>
      </c>
      <c r="X24" s="828" t="str">
        <f t="shared" si="0"/>
        <v>2032</v>
      </c>
      <c r="Y24" s="828" t="str">
        <f t="shared" si="0"/>
        <v>2033</v>
      </c>
      <c r="Z24" s="828" t="str">
        <f t="shared" si="0"/>
        <v>2034</v>
      </c>
      <c r="AA24" s="828" t="str">
        <f t="shared" si="0"/>
        <v>2035</v>
      </c>
      <c r="AB24" s="828" t="str">
        <f t="shared" si="0"/>
        <v>2036</v>
      </c>
      <c r="AC24" s="828" t="str">
        <f t="shared" si="0"/>
        <v>2037</v>
      </c>
      <c r="AD24"/>
      <c r="AE24"/>
      <c r="AF24"/>
    </row>
    <row r="25" spans="1:135" s="93" customFormat="1" ht="18.75" customHeight="1" thickBot="1">
      <c r="A25" s="262"/>
      <c r="B25" s="790" t="s">
        <v>535</v>
      </c>
      <c r="C25" s="791"/>
      <c r="D25" s="791"/>
      <c r="E25" s="791"/>
      <c r="F25" s="791"/>
      <c r="G25" s="791"/>
      <c r="H25" s="791"/>
      <c r="I25" s="791"/>
      <c r="J25" s="791"/>
      <c r="K25" s="791"/>
      <c r="L25" s="791"/>
      <c r="M25" s="791"/>
      <c r="N25" s="791"/>
      <c r="O25" s="791"/>
      <c r="P25" s="791"/>
      <c r="Q25" s="791"/>
      <c r="R25" s="791"/>
      <c r="S25" s="791"/>
      <c r="T25" s="791"/>
      <c r="U25" s="791"/>
      <c r="V25" s="791"/>
      <c r="W25" s="791"/>
      <c r="X25" s="791"/>
      <c r="Y25" s="791"/>
      <c r="Z25" s="791"/>
      <c r="AA25" s="791"/>
      <c r="AB25" s="791"/>
      <c r="AC25" s="792"/>
      <c r="AD25"/>
      <c r="AE25"/>
      <c r="AF25"/>
      <c r="DF25" s="69"/>
      <c r="DG25" s="69"/>
      <c r="DH25" s="69"/>
      <c r="DI25" s="69"/>
      <c r="DJ25" s="69"/>
      <c r="DK25" s="69"/>
      <c r="DL25" s="69"/>
      <c r="DM25" s="69"/>
      <c r="DN25" s="69"/>
      <c r="DO25" s="69"/>
      <c r="DP25" s="69"/>
      <c r="DQ25" s="69"/>
      <c r="DR25" s="69"/>
      <c r="DS25" s="69"/>
      <c r="DT25" s="69"/>
      <c r="DU25" s="69"/>
      <c r="DV25" s="69"/>
      <c r="DW25" s="69"/>
      <c r="DX25" s="69"/>
      <c r="DY25" s="69"/>
      <c r="DZ25" s="69"/>
      <c r="EA25" s="69"/>
      <c r="EB25" s="69"/>
      <c r="EC25" s="69"/>
      <c r="ED25" s="69"/>
      <c r="EE25" s="69"/>
    </row>
    <row r="26" spans="1:135">
      <c r="A26" s="696"/>
      <c r="B26" s="4514" t="s">
        <v>2074</v>
      </c>
      <c r="C26" s="4665" t="s">
        <v>239</v>
      </c>
      <c r="D26" s="4666"/>
      <c r="E26" s="1545">
        <v>8.77E-2</v>
      </c>
      <c r="F26" s="1546">
        <v>0.13750000000000001</v>
      </c>
      <c r="G26" s="1546">
        <v>0.22060000000000002</v>
      </c>
      <c r="H26" s="1546">
        <v>0.18059999999999998</v>
      </c>
      <c r="I26" s="1548">
        <v>0.32899999999999996</v>
      </c>
      <c r="J26" s="1547">
        <v>0.31770707499999989</v>
      </c>
      <c r="K26" s="1546">
        <v>0.3296024489481521</v>
      </c>
      <c r="L26" s="1546">
        <v>0.34100893041972741</v>
      </c>
      <c r="M26" s="1546">
        <v>0.35474600810522633</v>
      </c>
      <c r="N26" s="1548">
        <v>0.36802816879688194</v>
      </c>
      <c r="O26" s="1545">
        <f>N26*(1+'1. CPI'!AB$49)</f>
        <v>0.3741006335820305</v>
      </c>
      <c r="P26" s="1546">
        <f>O26*(1+'1. CPI'!AC$49)</f>
        <v>0.38027329403613397</v>
      </c>
      <c r="Q26" s="1546">
        <f>P26*(1+'1. CPI'!AD$49)</f>
        <v>0.38654780338773015</v>
      </c>
      <c r="R26" s="1546">
        <f>Q26*(1+'1. CPI'!AE$49)</f>
        <v>0.39292584214362769</v>
      </c>
      <c r="S26" s="1546">
        <f>R26*(1+'1. CPI'!AF$49)</f>
        <v>0.39940911853899752</v>
      </c>
      <c r="T26" s="1546">
        <f>S26*(1+'1. CPI'!AG$49)</f>
        <v>0.40599936899489097</v>
      </c>
      <c r="U26" s="1546">
        <f>T26*(1+'1. CPI'!AH$49)</f>
        <v>0.41269835858330667</v>
      </c>
      <c r="V26" s="1546">
        <f>U26*(1+'1. CPI'!AI$49)</f>
        <v>0.41950788149993123</v>
      </c>
      <c r="W26" s="1546">
        <f>V26*(1+'1. CPI'!AJ$49)</f>
        <v>0.4264297615446801</v>
      </c>
      <c r="X26" s="1546">
        <f>W26*(1+'1. CPI'!AK$49)</f>
        <v>0.43346585261016729</v>
      </c>
      <c r="Y26" s="1546">
        <f>X26*(1+'1. CPI'!AL$49)</f>
        <v>0.44061803917823505</v>
      </c>
      <c r="Z26" s="1546">
        <f>Y26*(1+'1. CPI'!AM$49)</f>
        <v>0.44788823682467593</v>
      </c>
      <c r="AA26" s="1546">
        <f>Z26*(1+'1. CPI'!AN$49)</f>
        <v>0.45527839273228304</v>
      </c>
      <c r="AB26" s="1546">
        <f>AA26*(1+'1. CPI'!AO$49)</f>
        <v>0.46279048621236568</v>
      </c>
      <c r="AC26" s="1548">
        <f>AB26*(1+'1. CPI'!AP$49)</f>
        <v>0.47042652923486972</v>
      </c>
      <c r="AF26"/>
    </row>
    <row r="27" spans="1:135">
      <c r="A27" s="696"/>
      <c r="B27" s="4515"/>
      <c r="C27" s="850" t="s">
        <v>2081</v>
      </c>
      <c r="D27" s="761" t="s">
        <v>2082</v>
      </c>
      <c r="E27" s="708">
        <v>10.348800000000001</v>
      </c>
      <c r="F27" s="681">
        <v>11.4648</v>
      </c>
      <c r="G27" s="681">
        <v>8.2664000000000009</v>
      </c>
      <c r="H27" s="681">
        <v>12.4369</v>
      </c>
      <c r="I27" s="761">
        <v>13.371700000000001</v>
      </c>
      <c r="J27" s="3653">
        <v>12.912716397500001</v>
      </c>
      <c r="K27" s="3654">
        <v>13.396185612765978</v>
      </c>
      <c r="L27" s="3654">
        <v>13.897756556197777</v>
      </c>
      <c r="M27" s="3654">
        <v>14.418106980488316</v>
      </c>
      <c r="N27" s="3655">
        <v>14.957940014289568</v>
      </c>
      <c r="O27" s="3748">
        <f>N27*(1+'1. CPI'!AB$49)</f>
        <v>15.204746024525345</v>
      </c>
      <c r="P27" s="3654">
        <f>O27*(1+'1. CPI'!AC$49)</f>
        <v>15.455624333930013</v>
      </c>
      <c r="Q27" s="3654">
        <f>P27*(1+'1. CPI'!AD$49)</f>
        <v>15.710642135439857</v>
      </c>
      <c r="R27" s="3654">
        <f>Q27*(1+'1. CPI'!AE$49)</f>
        <v>15.969867730674613</v>
      </c>
      <c r="S27" s="3654">
        <f>R27*(1+'1. CPI'!AF$49)</f>
        <v>16.233370548230745</v>
      </c>
      <c r="T27" s="3654">
        <f>S27*(1+'1. CPI'!AG$49)</f>
        <v>16.501221162276551</v>
      </c>
      <c r="U27" s="3654">
        <f>T27*(1+'1. CPI'!AH$49)</f>
        <v>16.773491311454112</v>
      </c>
      <c r="V27" s="3654">
        <f>U27*(1+'1. CPI'!AI$49)</f>
        <v>17.050253918093105</v>
      </c>
      <c r="W27" s="3654">
        <f>V27*(1+'1. CPI'!AJ$49)</f>
        <v>17.33158310774164</v>
      </c>
      <c r="X27" s="3654">
        <f>W27*(1+'1. CPI'!AK$49)</f>
        <v>17.617554229019376</v>
      </c>
      <c r="Y27" s="3654">
        <f>X27*(1+'1. CPI'!AL$49)</f>
        <v>17.908243873798195</v>
      </c>
      <c r="Z27" s="3654">
        <f>Y27*(1+'1. CPI'!AM$49)</f>
        <v>18.203729897715863</v>
      </c>
      <c r="AA27" s="3654">
        <f>Z27*(1+'1. CPI'!AN$49)</f>
        <v>18.504091441028173</v>
      </c>
      <c r="AB27" s="3654">
        <f>AA27*(1+'1. CPI'!AO$49)</f>
        <v>18.809408949805135</v>
      </c>
      <c r="AC27" s="3655">
        <f>AB27*(1+'1. CPI'!AP$49)</f>
        <v>19.119764197476918</v>
      </c>
      <c r="AF27"/>
    </row>
    <row r="28" spans="1:135">
      <c r="A28" s="696"/>
      <c r="B28" s="4515"/>
      <c r="C28" s="850" t="s">
        <v>2083</v>
      </c>
      <c r="D28" s="761" t="s">
        <v>2084</v>
      </c>
      <c r="E28" s="708">
        <v>8.2913999999999994</v>
      </c>
      <c r="F28" s="681">
        <v>8.8079999999999998</v>
      </c>
      <c r="G28" s="681">
        <v>7.8727</v>
      </c>
      <c r="H28" s="681">
        <v>11.8446</v>
      </c>
      <c r="I28" s="761">
        <v>9.6222000000000012</v>
      </c>
      <c r="J28" s="3653">
        <v>9.2919179849999995</v>
      </c>
      <c r="K28" s="3654">
        <v>9.6398197090240423</v>
      </c>
      <c r="L28" s="3654">
        <v>10.000747334672946</v>
      </c>
      <c r="M28" s="3654">
        <v>10.375188568966896</v>
      </c>
      <c r="N28" s="3655">
        <v>10.763649379323276</v>
      </c>
      <c r="O28" s="3748">
        <f>N28*(1+'1. CPI'!AB$49)</f>
        <v>10.941249594082109</v>
      </c>
      <c r="P28" s="3654">
        <f>O28*(1+'1. CPI'!AC$49)</f>
        <v>11.121780212384463</v>
      </c>
      <c r="Q28" s="3654">
        <f>P28*(1+'1. CPI'!AD$49)</f>
        <v>11.305289585888806</v>
      </c>
      <c r="R28" s="3654">
        <f>Q28*(1+'1. CPI'!AE$49)</f>
        <v>11.491826864055971</v>
      </c>
      <c r="S28" s="3654">
        <f>R28*(1+'1. CPI'!AF$49)</f>
        <v>11.681442007312894</v>
      </c>
      <c r="T28" s="3654">
        <f>S28*(1+'1. CPI'!AG$49)</f>
        <v>11.874185800433557</v>
      </c>
      <c r="U28" s="3654">
        <f>T28*(1+'1. CPI'!AH$49)</f>
        <v>12.07010986614071</v>
      </c>
      <c r="V28" s="3654">
        <f>U28*(1+'1. CPI'!AI$49)</f>
        <v>12.269266678932031</v>
      </c>
      <c r="W28" s="3654">
        <f>V28*(1+'1. CPI'!AJ$49)</f>
        <v>12.471709579134409</v>
      </c>
      <c r="X28" s="3654">
        <f>W28*(1+'1. CPI'!AK$49)</f>
        <v>12.677492787190126</v>
      </c>
      <c r="Y28" s="3654">
        <f>X28*(1+'1. CPI'!AL$49)</f>
        <v>12.886671418178762</v>
      </c>
      <c r="Z28" s="3654">
        <f>Y28*(1+'1. CPI'!AM$49)</f>
        <v>13.099301496578711</v>
      </c>
      <c r="AA28" s="3654">
        <f>Z28*(1+'1. CPI'!AN$49)</f>
        <v>13.315439971272259</v>
      </c>
      <c r="AB28" s="3654">
        <f>AA28*(1+'1. CPI'!AO$49)</f>
        <v>13.535144730798251</v>
      </c>
      <c r="AC28" s="3655">
        <f>AB28*(1+'1. CPI'!AP$49)</f>
        <v>13.758474618856422</v>
      </c>
      <c r="AF28"/>
    </row>
    <row r="29" spans="1:135">
      <c r="A29" s="696"/>
      <c r="B29" s="4515"/>
      <c r="C29" s="850" t="s">
        <v>2085</v>
      </c>
      <c r="D29" s="761" t="s">
        <v>2086</v>
      </c>
      <c r="E29" s="708">
        <v>6.3068999999999997</v>
      </c>
      <c r="F29" s="681">
        <v>4.4149000000000003</v>
      </c>
      <c r="G29" s="681">
        <v>6.98</v>
      </c>
      <c r="H29" s="681">
        <v>4.9448999999999996</v>
      </c>
      <c r="I29" s="761">
        <v>3.4615</v>
      </c>
      <c r="J29" s="3653">
        <v>3.3426840124999995</v>
      </c>
      <c r="K29" s="3654">
        <v>3.467838532018324</v>
      </c>
      <c r="L29" s="3654">
        <v>3.5976790026158678</v>
      </c>
      <c r="M29" s="3654">
        <v>3.7323808725113712</v>
      </c>
      <c r="N29" s="3655">
        <v>3.8721261589374074</v>
      </c>
      <c r="O29" s="3748">
        <f>N29*(1+'1. CPI'!AB$49)</f>
        <v>3.9360162405598746</v>
      </c>
      <c r="P29" s="3654">
        <f>O29*(1+'1. CPI'!AC$49)</f>
        <v>4.0009605085291122</v>
      </c>
      <c r="Q29" s="3654">
        <f>P29*(1+'1. CPI'!AD$49)</f>
        <v>4.0669763569198425</v>
      </c>
      <c r="R29" s="3654">
        <f>Q29*(1+'1. CPI'!AE$49)</f>
        <v>4.13408146680902</v>
      </c>
      <c r="S29" s="3654">
        <f>R29*(1+'1. CPI'!AF$49)</f>
        <v>4.2022938110113683</v>
      </c>
      <c r="T29" s="3654">
        <f>S29*(1+'1. CPI'!AG$49)</f>
        <v>4.2716316588930558</v>
      </c>
      <c r="U29" s="3654">
        <f>T29*(1+'1. CPI'!AH$49)</f>
        <v>4.3421135812647913</v>
      </c>
      <c r="V29" s="3654">
        <f>U29*(1+'1. CPI'!AI$49)</f>
        <v>4.4137584553556604</v>
      </c>
      <c r="W29" s="3654">
        <f>V29*(1+'1. CPI'!AJ$49)</f>
        <v>4.4865854698690288</v>
      </c>
      <c r="X29" s="3654">
        <f>W29*(1+'1. CPI'!AK$49)</f>
        <v>4.5606141301218672</v>
      </c>
      <c r="Y29" s="3654">
        <f>X29*(1+'1. CPI'!AL$49)</f>
        <v>4.6358642632688776</v>
      </c>
      <c r="Z29" s="3654">
        <f>Y29*(1+'1. CPI'!AM$49)</f>
        <v>4.7123560236128137</v>
      </c>
      <c r="AA29" s="3654">
        <f>Z29*(1+'1. CPI'!AN$49)</f>
        <v>4.7901098980024246</v>
      </c>
      <c r="AB29" s="3654">
        <f>AA29*(1+'1. CPI'!AO$49)</f>
        <v>4.8691467113194644</v>
      </c>
      <c r="AC29" s="3655">
        <f>AB29*(1+'1. CPI'!AP$49)</f>
        <v>4.9494876320562353</v>
      </c>
      <c r="AF29"/>
    </row>
    <row r="30" spans="1:135" s="1172" customFormat="1">
      <c r="A30" s="1174"/>
      <c r="B30" s="4515"/>
      <c r="C30" s="850" t="s">
        <v>2087</v>
      </c>
      <c r="D30" s="761" t="s">
        <v>2088</v>
      </c>
      <c r="E30" s="708">
        <v>4.4339000000000004</v>
      </c>
      <c r="F30" s="681">
        <v>4.2046000000000001</v>
      </c>
      <c r="G30" s="681">
        <v>2.9432999999999998</v>
      </c>
      <c r="H30" s="681">
        <v>4.7092000000000001</v>
      </c>
      <c r="I30" s="761">
        <v>3.2965</v>
      </c>
      <c r="J30" s="3653">
        <v>3.1833476374999998</v>
      </c>
      <c r="K30" s="3654">
        <v>3.3025363919683395</v>
      </c>
      <c r="L30" s="3654">
        <v>3.4261877313659421</v>
      </c>
      <c r="M30" s="3654">
        <v>3.5544687407868656</v>
      </c>
      <c r="N30" s="3655">
        <v>3.6875527612125278</v>
      </c>
      <c r="O30" s="3748">
        <f>N30*(1+'1. CPI'!AB$49)</f>
        <v>3.7483973817725342</v>
      </c>
      <c r="P30" s="3654">
        <f>O30*(1+'1. CPI'!AC$49)</f>
        <v>3.8102459385717808</v>
      </c>
      <c r="Q30" s="3654">
        <f>P30*(1+'1. CPI'!AD$49)</f>
        <v>3.8731149965582152</v>
      </c>
      <c r="R30" s="3654">
        <f>Q30*(1+'1. CPI'!AE$49)</f>
        <v>3.9370213940014258</v>
      </c>
      <c r="S30" s="3654">
        <f>R30*(1+'1. CPI'!AF$49)</f>
        <v>4.0019822470024495</v>
      </c>
      <c r="T30" s="3654">
        <f>S30*(1+'1. CPI'!AG$49)</f>
        <v>4.0680149540779897</v>
      </c>
      <c r="U30" s="3654">
        <f>T30*(1+'1. CPI'!AH$49)</f>
        <v>4.1351372008202762</v>
      </c>
      <c r="V30" s="3654">
        <f>U30*(1+'1. CPI'!AI$49)</f>
        <v>4.203366964633811</v>
      </c>
      <c r="W30" s="3654">
        <f>V30*(1+'1. CPI'!AJ$49)</f>
        <v>4.2727225195502685</v>
      </c>
      <c r="X30" s="3654">
        <f>W30*(1+'1. CPI'!AK$49)</f>
        <v>4.3432224411228475</v>
      </c>
      <c r="Y30" s="3654">
        <f>X30*(1+'1. CPI'!AL$49)</f>
        <v>4.4148856114013739</v>
      </c>
      <c r="Z30" s="3654">
        <f>Y30*(1+'1. CPI'!AM$49)</f>
        <v>4.4877312239894964</v>
      </c>
      <c r="AA30" s="3654">
        <f>Z30*(1+'1. CPI'!AN$49)</f>
        <v>4.5617787891853228</v>
      </c>
      <c r="AB30" s="3654">
        <f>AA30*(1+'1. CPI'!AO$49)</f>
        <v>4.6370481392068807</v>
      </c>
      <c r="AC30" s="3655">
        <f>AB30*(1+'1. CPI'!AP$49)</f>
        <v>4.7135594335037938</v>
      </c>
    </row>
    <row r="31" spans="1:135" s="1172" customFormat="1">
      <c r="A31" s="1174"/>
      <c r="B31" s="4515"/>
      <c r="C31" s="850" t="s">
        <v>2089</v>
      </c>
      <c r="D31" s="761" t="s">
        <v>2082</v>
      </c>
      <c r="E31" s="708">
        <v>8.8046000000000006</v>
      </c>
      <c r="F31" s="681">
        <v>7.0869999999999997</v>
      </c>
      <c r="G31" s="681">
        <v>7.8727</v>
      </c>
      <c r="H31" s="681">
        <v>6.8548</v>
      </c>
      <c r="I31" s="761">
        <v>6.2145999999999999</v>
      </c>
      <c r="J31" s="3653">
        <v>6.0012838549999996</v>
      </c>
      <c r="K31" s="3654">
        <v>6.2259798760887124</v>
      </c>
      <c r="L31" s="3654">
        <v>6.4590888139987213</v>
      </c>
      <c r="M31" s="3654">
        <v>6.7009256594855318</v>
      </c>
      <c r="N31" s="3655">
        <v>6.9518171969759974</v>
      </c>
      <c r="O31" s="3748">
        <f>N31*(1+'1. CPI'!AB$49)</f>
        <v>7.0665221807261007</v>
      </c>
      <c r="P31" s="3654">
        <f>O31*(1+'1. CPI'!AC$49)</f>
        <v>7.1831197967080813</v>
      </c>
      <c r="Q31" s="3654">
        <f>P31*(1+'1. CPI'!AD$49)</f>
        <v>7.3016412733537646</v>
      </c>
      <c r="R31" s="3654">
        <f>Q31*(1+'1. CPI'!AE$49)</f>
        <v>7.4221183543641009</v>
      </c>
      <c r="S31" s="3654">
        <f>R31*(1+'1. CPI'!AF$49)</f>
        <v>7.5445833072111084</v>
      </c>
      <c r="T31" s="3654">
        <f>S31*(1+'1. CPI'!AG$49)</f>
        <v>7.6690689317800915</v>
      </c>
      <c r="U31" s="3654">
        <f>T31*(1+'1. CPI'!AH$49)</f>
        <v>7.7956085691544628</v>
      </c>
      <c r="V31" s="3654">
        <f>U31*(1+'1. CPI'!AI$49)</f>
        <v>7.924236110545511</v>
      </c>
      <c r="W31" s="3654">
        <f>V31*(1+'1. CPI'!AJ$49)</f>
        <v>8.0549860063695125</v>
      </c>
      <c r="X31" s="3654">
        <f>W31*(1+'1. CPI'!AK$49)</f>
        <v>8.1878932754746092</v>
      </c>
      <c r="Y31" s="3654">
        <f>X31*(1+'1. CPI'!AL$49)</f>
        <v>8.3229935145199399</v>
      </c>
      <c r="Z31" s="3654">
        <f>Y31*(1+'1. CPI'!AM$49)</f>
        <v>8.4603229075095179</v>
      </c>
      <c r="AA31" s="3654">
        <f>Z31*(1+'1. CPI'!AN$49)</f>
        <v>8.5999182354834254</v>
      </c>
      <c r="AB31" s="3654">
        <f>AA31*(1+'1. CPI'!AO$49)</f>
        <v>8.7418168863689019</v>
      </c>
      <c r="AC31" s="3655">
        <f>AB31*(1+'1. CPI'!AP$49)</f>
        <v>8.8860568649939875</v>
      </c>
    </row>
    <row r="32" spans="1:135">
      <c r="A32" s="696"/>
      <c r="B32" s="4515"/>
      <c r="C32" s="850" t="s">
        <v>2090</v>
      </c>
      <c r="D32" s="761" t="s">
        <v>2084</v>
      </c>
      <c r="E32" s="708">
        <v>6.8411</v>
      </c>
      <c r="F32" s="681">
        <v>4.7888000000000002</v>
      </c>
      <c r="G32" s="681">
        <v>3.3521999999999998</v>
      </c>
      <c r="H32" s="681">
        <v>5.3635000000000002</v>
      </c>
      <c r="I32" s="761">
        <v>3.7545000000000002</v>
      </c>
      <c r="J32" s="3653">
        <v>3.6256267874999994</v>
      </c>
      <c r="K32" s="3654">
        <v>3.7613750595010247</v>
      </c>
      <c r="L32" s="3654">
        <v>3.9022059267142204</v>
      </c>
      <c r="M32" s="3654">
        <v>4.0483096882403409</v>
      </c>
      <c r="N32" s="3655">
        <v>4.1998837682306789</v>
      </c>
      <c r="O32" s="3748">
        <f>N32*(1+'1. CPI'!AB$49)</f>
        <v>4.2691818504064853</v>
      </c>
      <c r="P32" s="3654">
        <f>O32*(1+'1. CPI'!AC$49)</f>
        <v>4.3396233509381918</v>
      </c>
      <c r="Q32" s="3654">
        <f>P32*(1+'1. CPI'!AD$49)</f>
        <v>4.4112271362286721</v>
      </c>
      <c r="R32" s="3654">
        <f>Q32*(1+'1. CPI'!AE$49)</f>
        <v>4.4840123839764452</v>
      </c>
      <c r="S32" s="3654">
        <f>R32*(1+'1. CPI'!AF$49)</f>
        <v>4.5579985883120564</v>
      </c>
      <c r="T32" s="3654">
        <f>S32*(1+'1. CPI'!AG$49)</f>
        <v>4.633205565019205</v>
      </c>
      <c r="U32" s="3654">
        <f>T32*(1+'1. CPI'!AH$49)</f>
        <v>4.7096534568420214</v>
      </c>
      <c r="V32" s="3654">
        <f>U32*(1+'1. CPI'!AI$49)</f>
        <v>4.7873627388799145</v>
      </c>
      <c r="W32" s="3654">
        <f>V32*(1+'1. CPI'!AJ$49)</f>
        <v>4.8663542240714328</v>
      </c>
      <c r="X32" s="3654">
        <f>W32*(1+'1. CPI'!AK$49)</f>
        <v>4.9466490687686111</v>
      </c>
      <c r="Y32" s="3654">
        <f>X32*(1+'1. CPI'!AL$49)</f>
        <v>5.0282687784032927</v>
      </c>
      <c r="Z32" s="3654">
        <f>Y32*(1+'1. CPI'!AM$49)</f>
        <v>5.111235213246947</v>
      </c>
      <c r="AA32" s="3654">
        <f>Z32*(1+'1. CPI'!AN$49)</f>
        <v>5.1955705942655213</v>
      </c>
      <c r="AB32" s="3654">
        <f>AA32*(1+'1. CPI'!AO$49)</f>
        <v>5.2812975090709022</v>
      </c>
      <c r="AC32" s="3655">
        <f>AB32*(1+'1. CPI'!AP$49)</f>
        <v>5.3684389179705718</v>
      </c>
      <c r="AF32"/>
    </row>
    <row r="33" spans="1:32">
      <c r="A33" s="696"/>
      <c r="B33" s="4515"/>
      <c r="C33" s="850" t="s">
        <v>2091</v>
      </c>
      <c r="D33" s="761" t="s">
        <v>2086</v>
      </c>
      <c r="E33" s="708">
        <v>5.3106</v>
      </c>
      <c r="F33" s="681">
        <v>4.2046000000000001</v>
      </c>
      <c r="G33" s="681">
        <v>2.9432999999999998</v>
      </c>
      <c r="H33" s="681">
        <v>4.7092000000000001</v>
      </c>
      <c r="I33" s="761">
        <v>3.2965</v>
      </c>
      <c r="J33" s="3653">
        <v>3.1833476374999998</v>
      </c>
      <c r="K33" s="3654">
        <v>3.3025363919683395</v>
      </c>
      <c r="L33" s="3654">
        <v>3.4261877313659421</v>
      </c>
      <c r="M33" s="3654">
        <v>3.5544687407868656</v>
      </c>
      <c r="N33" s="3655">
        <v>3.6875527612125278</v>
      </c>
      <c r="O33" s="3748">
        <f>N33*(1+'1. CPI'!AB$49)</f>
        <v>3.7483973817725342</v>
      </c>
      <c r="P33" s="3654">
        <f>O33*(1+'1. CPI'!AC$49)</f>
        <v>3.8102459385717808</v>
      </c>
      <c r="Q33" s="3654">
        <f>P33*(1+'1. CPI'!AD$49)</f>
        <v>3.8731149965582152</v>
      </c>
      <c r="R33" s="3654">
        <f>Q33*(1+'1. CPI'!AE$49)</f>
        <v>3.9370213940014258</v>
      </c>
      <c r="S33" s="3654">
        <f>R33*(1+'1. CPI'!AF$49)</f>
        <v>4.0019822470024495</v>
      </c>
      <c r="T33" s="3654">
        <f>S33*(1+'1. CPI'!AG$49)</f>
        <v>4.0680149540779897</v>
      </c>
      <c r="U33" s="3654">
        <f>T33*(1+'1. CPI'!AH$49)</f>
        <v>4.1351372008202762</v>
      </c>
      <c r="V33" s="3654">
        <f>U33*(1+'1. CPI'!AI$49)</f>
        <v>4.203366964633811</v>
      </c>
      <c r="W33" s="3654">
        <f>V33*(1+'1. CPI'!AJ$49)</f>
        <v>4.2727225195502685</v>
      </c>
      <c r="X33" s="3654">
        <f>W33*(1+'1. CPI'!AK$49)</f>
        <v>4.3432224411228475</v>
      </c>
      <c r="Y33" s="3654">
        <f>X33*(1+'1. CPI'!AL$49)</f>
        <v>4.4148856114013739</v>
      </c>
      <c r="Z33" s="3654">
        <f>Y33*(1+'1. CPI'!AM$49)</f>
        <v>4.4877312239894964</v>
      </c>
      <c r="AA33" s="3654">
        <f>Z33*(1+'1. CPI'!AN$49)</f>
        <v>4.5617787891853228</v>
      </c>
      <c r="AB33" s="3654">
        <f>AA33*(1+'1. CPI'!AO$49)</f>
        <v>4.6370481392068807</v>
      </c>
      <c r="AC33" s="3655">
        <f>AB33*(1+'1. CPI'!AP$49)</f>
        <v>4.7135594335037938</v>
      </c>
      <c r="AF33"/>
    </row>
    <row r="34" spans="1:32" ht="13.5" thickBot="1">
      <c r="A34" s="696"/>
      <c r="B34" s="4664"/>
      <c r="C34" s="1544" t="s">
        <v>2092</v>
      </c>
      <c r="D34" s="764" t="s">
        <v>2088</v>
      </c>
      <c r="E34" s="1523">
        <v>4.0574000000000003</v>
      </c>
      <c r="F34" s="763">
        <v>2.8401999999999998</v>
      </c>
      <c r="G34" s="763">
        <v>2.8031000000000001</v>
      </c>
      <c r="H34" s="763">
        <v>4.4592999999999998</v>
      </c>
      <c r="I34" s="764">
        <v>3.1386000000000003</v>
      </c>
      <c r="J34" s="3656">
        <v>3.0308675549999999</v>
      </c>
      <c r="K34" s="3657">
        <v>3.1443472530962624</v>
      </c>
      <c r="L34" s="3657">
        <v>3.2620757814849521</v>
      </c>
      <c r="M34" s="3657">
        <v>3.384212222003232</v>
      </c>
      <c r="N34" s="3658">
        <v>3.5109216127230813</v>
      </c>
      <c r="O34" s="3749">
        <f>N34*(1+'1. CPI'!AB$49)</f>
        <v>3.5688518193330121</v>
      </c>
      <c r="P34" s="3657">
        <f>O34*(1+'1. CPI'!AC$49)</f>
        <v>3.6277378743520066</v>
      </c>
      <c r="Q34" s="3657">
        <f>P34*(1+'1. CPI'!AD$49)</f>
        <v>3.6875955492788144</v>
      </c>
      <c r="R34" s="3657">
        <f>Q34*(1+'1. CPI'!AE$49)</f>
        <v>3.7484408758419145</v>
      </c>
      <c r="S34" s="3657">
        <f>R34*(1+'1. CPI'!AF$49)</f>
        <v>3.810290150293306</v>
      </c>
      <c r="T34" s="3657">
        <f>S34*(1+'1. CPI'!AG$49)</f>
        <v>3.8731599377731452</v>
      </c>
      <c r="U34" s="3657">
        <f>T34*(1+'1. CPI'!AH$49)</f>
        <v>3.937067076746402</v>
      </c>
      <c r="V34" s="3657">
        <f>U34*(1+'1. CPI'!AI$49)</f>
        <v>4.0020286835127177</v>
      </c>
      <c r="W34" s="3657">
        <f>V34*(1+'1. CPI'!AJ$49)</f>
        <v>4.0680621567906776</v>
      </c>
      <c r="X34" s="3657">
        <f>W34*(1+'1. CPI'!AK$49)</f>
        <v>4.1351851823777235</v>
      </c>
      <c r="Y34" s="3657">
        <f>X34*(1+'1. CPI'!AL$49)</f>
        <v>4.2034157378869557</v>
      </c>
      <c r="Z34" s="3657">
        <f>Y34*(1+'1. CPI'!AM$49)</f>
        <v>4.2727720975620906</v>
      </c>
      <c r="AA34" s="3657">
        <f>Z34*(1+'1. CPI'!AN$49)</f>
        <v>4.343272837171865</v>
      </c>
      <c r="AB34" s="3657">
        <f>AA34*(1+'1. CPI'!AO$49)</f>
        <v>4.4149368389852004</v>
      </c>
      <c r="AC34" s="3658">
        <f>AB34*(1+'1. CPI'!AP$49)</f>
        <v>4.4877832968284563</v>
      </c>
      <c r="AF34"/>
    </row>
    <row r="35" spans="1:32" s="1172" customFormat="1">
      <c r="A35" s="1174"/>
      <c r="B35" s="4514" t="s">
        <v>2075</v>
      </c>
      <c r="C35" s="4665" t="s">
        <v>239</v>
      </c>
      <c r="D35" s="4666"/>
      <c r="E35" s="1545">
        <v>8.77E-2</v>
      </c>
      <c r="F35" s="1546">
        <v>0.13750000000000001</v>
      </c>
      <c r="G35" s="1546">
        <v>0.22060000000000002</v>
      </c>
      <c r="H35" s="1546">
        <v>0.18059999999999998</v>
      </c>
      <c r="I35" s="1548">
        <v>0.32899999999999996</v>
      </c>
      <c r="J35" s="1547">
        <v>0.31770707499999989</v>
      </c>
      <c r="K35" s="1546">
        <v>0.3296024489481521</v>
      </c>
      <c r="L35" s="1546">
        <v>0.34100893041972741</v>
      </c>
      <c r="M35" s="1546">
        <v>0.35474600810522633</v>
      </c>
      <c r="N35" s="1548">
        <v>0.36802816879688194</v>
      </c>
      <c r="O35" s="1545">
        <f>N35*(1+'1. CPI'!AB$49)</f>
        <v>0.3741006335820305</v>
      </c>
      <c r="P35" s="1546">
        <f>O35*(1+'1. CPI'!AC$49)</f>
        <v>0.38027329403613397</v>
      </c>
      <c r="Q35" s="1546">
        <f>P35*(1+'1. CPI'!AD$49)</f>
        <v>0.38654780338773015</v>
      </c>
      <c r="R35" s="1546">
        <f>Q35*(1+'1. CPI'!AE$49)</f>
        <v>0.39292584214362769</v>
      </c>
      <c r="S35" s="1546">
        <f>R35*(1+'1. CPI'!AF$49)</f>
        <v>0.39940911853899752</v>
      </c>
      <c r="T35" s="1546">
        <f>S35*(1+'1. CPI'!AG$49)</f>
        <v>0.40599936899489097</v>
      </c>
      <c r="U35" s="1546">
        <f>T35*(1+'1. CPI'!AH$49)</f>
        <v>0.41269835858330667</v>
      </c>
      <c r="V35" s="1546">
        <f>U35*(1+'1. CPI'!AI$49)</f>
        <v>0.41950788149993123</v>
      </c>
      <c r="W35" s="1546">
        <f>V35*(1+'1. CPI'!AJ$49)</f>
        <v>0.4264297615446801</v>
      </c>
      <c r="X35" s="1546">
        <f>W35*(1+'1. CPI'!AK$49)</f>
        <v>0.43346585261016729</v>
      </c>
      <c r="Y35" s="1546">
        <f>X35*(1+'1. CPI'!AL$49)</f>
        <v>0.44061803917823505</v>
      </c>
      <c r="Z35" s="1546">
        <f>Y35*(1+'1. CPI'!AM$49)</f>
        <v>0.44788823682467593</v>
      </c>
      <c r="AA35" s="1546">
        <f>Z35*(1+'1. CPI'!AN$49)</f>
        <v>0.45527839273228304</v>
      </c>
      <c r="AB35" s="1546">
        <f>AA35*(1+'1. CPI'!AO$49)</f>
        <v>0.46279048621236568</v>
      </c>
      <c r="AC35" s="1548">
        <f>AB35*(1+'1. CPI'!AP$49)</f>
        <v>0.47042652923486972</v>
      </c>
    </row>
    <row r="36" spans="1:32" s="1172" customFormat="1">
      <c r="A36" s="1174"/>
      <c r="B36" s="4515"/>
      <c r="C36" s="850" t="s">
        <v>2081</v>
      </c>
      <c r="D36" s="761" t="s">
        <v>2082</v>
      </c>
      <c r="E36" s="708">
        <v>9.2811000000000003</v>
      </c>
      <c r="F36" s="681">
        <v>10.048999999999999</v>
      </c>
      <c r="G36" s="681">
        <v>7.9321999999999999</v>
      </c>
      <c r="H36" s="681">
        <v>9.7363</v>
      </c>
      <c r="I36" s="761">
        <v>9.3351000000000006</v>
      </c>
      <c r="J36" s="3653">
        <v>9.0146726924999996</v>
      </c>
      <c r="K36" s="3654">
        <v>9.3521939853370686</v>
      </c>
      <c r="L36" s="3654">
        <v>9.702352522698078</v>
      </c>
      <c r="M36" s="3654">
        <v>10.065621459766261</v>
      </c>
      <c r="N36" s="3655">
        <v>10.44249166728199</v>
      </c>
      <c r="O36" s="3748">
        <f>N36*(1+'1. CPI'!AB$49)</f>
        <v>10.614792779792143</v>
      </c>
      <c r="P36" s="3654">
        <f>O36*(1+'1. CPI'!AC$49)</f>
        <v>10.789936860658713</v>
      </c>
      <c r="Q36" s="3654">
        <f>P36*(1+'1. CPI'!AD$49)</f>
        <v>10.967970818859582</v>
      </c>
      <c r="R36" s="3654">
        <f>Q36*(1+'1. CPI'!AE$49)</f>
        <v>11.148942337370764</v>
      </c>
      <c r="S36" s="3654">
        <f>R36*(1+'1. CPI'!AF$49)</f>
        <v>11.332899885937382</v>
      </c>
      <c r="T36" s="3654">
        <f>S36*(1+'1. CPI'!AG$49)</f>
        <v>11.519892734055349</v>
      </c>
      <c r="U36" s="3654">
        <f>T36*(1+'1. CPI'!AH$49)</f>
        <v>11.709970964167262</v>
      </c>
      <c r="V36" s="3654">
        <f>U36*(1+'1. CPI'!AI$49)</f>
        <v>11.903185485076021</v>
      </c>
      <c r="W36" s="3654">
        <f>V36*(1+'1. CPI'!AJ$49)</f>
        <v>12.099588045579775</v>
      </c>
      <c r="X36" s="3654">
        <f>W36*(1+'1. CPI'!AK$49)</f>
        <v>12.299231248331841</v>
      </c>
      <c r="Y36" s="3654">
        <f>X36*(1+'1. CPI'!AL$49)</f>
        <v>12.502168563929317</v>
      </c>
      <c r="Z36" s="3654">
        <f>Y36*(1+'1. CPI'!AM$49)</f>
        <v>12.70845434523415</v>
      </c>
      <c r="AA36" s="3654">
        <f>Z36*(1+'1. CPI'!AN$49)</f>
        <v>12.918143841930513</v>
      </c>
      <c r="AB36" s="3654">
        <f>AA36*(1+'1. CPI'!AO$49)</f>
        <v>13.131293215322366</v>
      </c>
      <c r="AC36" s="3655">
        <f>AB36*(1+'1. CPI'!AP$49)</f>
        <v>13.347959553375183</v>
      </c>
    </row>
    <row r="37" spans="1:32" s="1172" customFormat="1">
      <c r="A37" s="1174"/>
      <c r="B37" s="4515"/>
      <c r="C37" s="850" t="s">
        <v>2083</v>
      </c>
      <c r="D37" s="761" t="s">
        <v>2084</v>
      </c>
      <c r="E37" s="708">
        <v>8.6150000000000002</v>
      </c>
      <c r="F37" s="681">
        <v>8.7843</v>
      </c>
      <c r="G37" s="681">
        <v>7.54</v>
      </c>
      <c r="H37" s="681">
        <v>9.2726000000000006</v>
      </c>
      <c r="I37" s="761">
        <v>7.8241000000000005</v>
      </c>
      <c r="J37" s="3653">
        <v>7.5555377674999997</v>
      </c>
      <c r="K37" s="3654">
        <v>7.8384271149399316</v>
      </c>
      <c r="L37" s="3654">
        <v>8.1319082144639072</v>
      </c>
      <c r="M37" s="3654">
        <v>8.4363776353073003</v>
      </c>
      <c r="N37" s="3655">
        <v>8.7522467947832361</v>
      </c>
      <c r="O37" s="3748">
        <f>N37*(1+'1. CPI'!AB$49)</f>
        <v>8.8966588668971589</v>
      </c>
      <c r="P37" s="3654">
        <f>O37*(1+'1. CPI'!AC$49)</f>
        <v>9.0434537382009612</v>
      </c>
      <c r="Q37" s="3654">
        <f>P37*(1+'1. CPI'!AD$49)</f>
        <v>9.1926707248812765</v>
      </c>
      <c r="R37" s="3654">
        <f>Q37*(1+'1. CPI'!AE$49)</f>
        <v>9.3443497918418164</v>
      </c>
      <c r="S37" s="3654">
        <f>R37*(1+'1. CPI'!AF$49)</f>
        <v>9.4985315634072052</v>
      </c>
      <c r="T37" s="3654">
        <f>S37*(1+'1. CPI'!AG$49)</f>
        <v>9.6552573342034229</v>
      </c>
      <c r="U37" s="3654">
        <f>T37*(1+'1. CPI'!AH$49)</f>
        <v>9.8145690802177796</v>
      </c>
      <c r="V37" s="3654">
        <f>U37*(1+'1. CPI'!AI$49)</f>
        <v>9.976509470041373</v>
      </c>
      <c r="W37" s="3654">
        <f>V37*(1+'1. CPI'!AJ$49)</f>
        <v>10.141121876297055</v>
      </c>
      <c r="X37" s="3654">
        <f>W37*(1+'1. CPI'!AK$49)</f>
        <v>10.308450387255956</v>
      </c>
      <c r="Y37" s="3654">
        <f>X37*(1+'1. CPI'!AL$49)</f>
        <v>10.478539818645679</v>
      </c>
      <c r="Z37" s="3654">
        <f>Y37*(1+'1. CPI'!AM$49)</f>
        <v>10.651435725653332</v>
      </c>
      <c r="AA37" s="3654">
        <f>Z37*(1+'1. CPI'!AN$49)</f>
        <v>10.827184415126611</v>
      </c>
      <c r="AB37" s="3654">
        <f>AA37*(1+'1. CPI'!AO$49)</f>
        <v>11.0058329579762</v>
      </c>
      <c r="AC37" s="3655">
        <f>AB37*(1+'1. CPI'!AP$49)</f>
        <v>11.187429201782807</v>
      </c>
    </row>
    <row r="38" spans="1:32" s="1172" customFormat="1">
      <c r="A38" s="1174"/>
      <c r="B38" s="4515"/>
      <c r="C38" s="850" t="s">
        <v>2085</v>
      </c>
      <c r="D38" s="761" t="s">
        <v>2086</v>
      </c>
      <c r="E38" s="708">
        <v>6.2271000000000001</v>
      </c>
      <c r="F38" s="681">
        <v>4.3529999999999998</v>
      </c>
      <c r="G38" s="681">
        <v>6.8350999999999997</v>
      </c>
      <c r="H38" s="681">
        <v>5.7592999999999996</v>
      </c>
      <c r="I38" s="761">
        <v>4.0364000000000004</v>
      </c>
      <c r="J38" s="3653">
        <v>3.8978505700000001</v>
      </c>
      <c r="K38" s="3654">
        <v>4.043791261198546</v>
      </c>
      <c r="L38" s="3654">
        <v>4.195196165292125</v>
      </c>
      <c r="M38" s="3654">
        <v>4.3522698696533011</v>
      </c>
      <c r="N38" s="3655">
        <v>4.5152246216770058</v>
      </c>
      <c r="O38" s="3748">
        <f>N38*(1+'1. CPI'!AB$49)</f>
        <v>4.589725827934676</v>
      </c>
      <c r="P38" s="3654">
        <f>O38*(1+'1. CPI'!AC$49)</f>
        <v>4.6654563040955983</v>
      </c>
      <c r="Q38" s="3654">
        <f>P38*(1+'1. CPI'!AD$49)</f>
        <v>4.7424363331131758</v>
      </c>
      <c r="R38" s="3654">
        <f>Q38*(1+'1. CPI'!AE$49)</f>
        <v>4.8206865326095434</v>
      </c>
      <c r="S38" s="3654">
        <f>R38*(1+'1. CPI'!AF$49)</f>
        <v>4.9002278603976004</v>
      </c>
      <c r="T38" s="3654">
        <f>S38*(1+'1. CPI'!AG$49)</f>
        <v>4.9810816200941606</v>
      </c>
      <c r="U38" s="3654">
        <f>T38*(1+'1. CPI'!AH$49)</f>
        <v>5.0632694668257141</v>
      </c>
      <c r="V38" s="3654">
        <f>U38*(1+'1. CPI'!AI$49)</f>
        <v>5.1468134130283385</v>
      </c>
      <c r="W38" s="3654">
        <f>V38*(1+'1. CPI'!AJ$49)</f>
        <v>5.231735834343306</v>
      </c>
      <c r="X38" s="3654">
        <f>W38*(1+'1. CPI'!AK$49)</f>
        <v>5.3180594756099699</v>
      </c>
      <c r="Y38" s="3654">
        <f>X38*(1+'1. CPI'!AL$49)</f>
        <v>5.4058074569575343</v>
      </c>
      <c r="Z38" s="3654">
        <f>Y38*(1+'1. CPI'!AM$49)</f>
        <v>5.4950032799973334</v>
      </c>
      <c r="AA38" s="3654">
        <f>Z38*(1+'1. CPI'!AN$49)</f>
        <v>5.5856708341172894</v>
      </c>
      <c r="AB38" s="3654">
        <f>AA38*(1+'1. CPI'!AO$49)</f>
        <v>5.6778344028802241</v>
      </c>
      <c r="AC38" s="3655">
        <f>AB38*(1+'1. CPI'!AP$49)</f>
        <v>5.7715186705277475</v>
      </c>
    </row>
    <row r="39" spans="1:32" s="1172" customFormat="1">
      <c r="A39" s="1174"/>
      <c r="B39" s="4515"/>
      <c r="C39" s="850" t="s">
        <v>2087</v>
      </c>
      <c r="D39" s="761" t="s">
        <v>2088</v>
      </c>
      <c r="E39" s="708">
        <v>4.2690000000000001</v>
      </c>
      <c r="F39" s="681">
        <v>3.0009000000000001</v>
      </c>
      <c r="G39" s="681">
        <v>2.1032999999999999</v>
      </c>
      <c r="H39" s="681">
        <v>3.3652000000000002</v>
      </c>
      <c r="I39" s="761">
        <v>3.8437000000000001</v>
      </c>
      <c r="J39" s="3653">
        <v>3.7117649974999996</v>
      </c>
      <c r="K39" s="3654">
        <v>3.8507383982431991</v>
      </c>
      <c r="L39" s="3654">
        <v>3.9949151472929687</v>
      </c>
      <c r="M39" s="3654">
        <v>4.1444900649059537</v>
      </c>
      <c r="N39" s="3655">
        <v>4.2996652656674037</v>
      </c>
      <c r="O39" s="3748">
        <f>N39*(1+'1. CPI'!AB$49)</f>
        <v>4.3706097425509158</v>
      </c>
      <c r="P39" s="3654">
        <f>O39*(1+'1. CPI'!AC$49)</f>
        <v>4.4427248033030056</v>
      </c>
      <c r="Q39" s="3654">
        <f>P39*(1+'1. CPI'!AD$49)</f>
        <v>4.5160297625575048</v>
      </c>
      <c r="R39" s="3654">
        <f>Q39*(1+'1. CPI'!AE$49)</f>
        <v>4.5905442536397034</v>
      </c>
      <c r="S39" s="3654">
        <f>R39*(1+'1. CPI'!AF$49)</f>
        <v>4.6662882338247584</v>
      </c>
      <c r="T39" s="3654">
        <f>S39*(1+'1. CPI'!AG$49)</f>
        <v>4.7432819896828669</v>
      </c>
      <c r="U39" s="3654">
        <f>T39*(1+'1. CPI'!AH$49)</f>
        <v>4.8215461425126342</v>
      </c>
      <c r="V39" s="3654">
        <f>U39*(1+'1. CPI'!AI$49)</f>
        <v>4.9011016538640924</v>
      </c>
      <c r="W39" s="3654">
        <f>V39*(1+'1. CPI'!AJ$49)</f>
        <v>4.98196983115285</v>
      </c>
      <c r="X39" s="3654">
        <f>W39*(1+'1. CPI'!AK$49)</f>
        <v>5.064172333366872</v>
      </c>
      <c r="Y39" s="3654">
        <f>X39*(1+'1. CPI'!AL$49)</f>
        <v>5.147731176867425</v>
      </c>
      <c r="Z39" s="3654">
        <f>Y39*(1+'1. CPI'!AM$49)</f>
        <v>5.2326687412857371</v>
      </c>
      <c r="AA39" s="3654">
        <f>Z39*(1+'1. CPI'!AN$49)</f>
        <v>5.3190077755169511</v>
      </c>
      <c r="AB39" s="3654">
        <f>AA39*(1+'1. CPI'!AO$49)</f>
        <v>5.4067714038129804</v>
      </c>
      <c r="AC39" s="3655">
        <f>AB39*(1+'1. CPI'!AP$49)</f>
        <v>5.4959831319758941</v>
      </c>
    </row>
    <row r="40" spans="1:32" s="1172" customFormat="1">
      <c r="A40" s="1174"/>
      <c r="B40" s="4515"/>
      <c r="C40" s="850" t="s">
        <v>2089</v>
      </c>
      <c r="D40" s="761" t="s">
        <v>2082</v>
      </c>
      <c r="E40" s="708">
        <v>7.4520999999999997</v>
      </c>
      <c r="F40" s="681">
        <v>7.2618</v>
      </c>
      <c r="G40" s="681">
        <v>7.5544000000000002</v>
      </c>
      <c r="H40" s="681">
        <v>6.3901000000000003</v>
      </c>
      <c r="I40" s="761">
        <v>5.6731000000000007</v>
      </c>
      <c r="J40" s="3653">
        <v>5.4783708425000004</v>
      </c>
      <c r="K40" s="3654">
        <v>5.6834883073792168</v>
      </c>
      <c r="L40" s="3654">
        <v>5.8962856419876015</v>
      </c>
      <c r="M40" s="3654">
        <v>6.1170503908260185</v>
      </c>
      <c r="N40" s="3655">
        <v>6.3460808644425288</v>
      </c>
      <c r="O40" s="3748">
        <f>N40*(1+'1. CPI'!AB$49)</f>
        <v>6.4507911987058302</v>
      </c>
      <c r="P40" s="3654">
        <f>O40*(1+'1. CPI'!AC$49)</f>
        <v>6.5572292534844765</v>
      </c>
      <c r="Q40" s="3654">
        <f>P40*(1+'1. CPI'!AD$49)</f>
        <v>6.66542353616697</v>
      </c>
      <c r="R40" s="3654">
        <f>Q40*(1+'1. CPI'!AE$49)</f>
        <v>6.7754030245137251</v>
      </c>
      <c r="S40" s="3654">
        <f>R40*(1+'1. CPI'!AF$49)</f>
        <v>6.8871971744182012</v>
      </c>
      <c r="T40" s="3654">
        <f>S40*(1+'1. CPI'!AG$49)</f>
        <v>7.0008359277961016</v>
      </c>
      <c r="U40" s="3654">
        <f>T40*(1+'1. CPI'!AH$49)</f>
        <v>7.1163497206047373</v>
      </c>
      <c r="V40" s="3654">
        <f>U40*(1+'1. CPI'!AI$49)</f>
        <v>7.2337694909947148</v>
      </c>
      <c r="W40" s="3654">
        <f>V40*(1+'1. CPI'!AJ$49)</f>
        <v>7.3531266875961272</v>
      </c>
      <c r="X40" s="3654">
        <f>W40*(1+'1. CPI'!AK$49)</f>
        <v>7.4744532779414632</v>
      </c>
      <c r="Y40" s="3654">
        <f>X40*(1+'1. CPI'!AL$49)</f>
        <v>7.597781757027497</v>
      </c>
      <c r="Z40" s="3654">
        <f>Y40*(1+'1. CPI'!AM$49)</f>
        <v>7.7231451560184503</v>
      </c>
      <c r="AA40" s="3654">
        <f>Z40*(1+'1. CPI'!AN$49)</f>
        <v>7.8505770510927544</v>
      </c>
      <c r="AB40" s="3654">
        <f>AA40*(1+'1. CPI'!AO$49)</f>
        <v>7.980111572435785</v>
      </c>
      <c r="AC40" s="3655">
        <f>AB40*(1+'1. CPI'!AP$49)</f>
        <v>8.1117834133809747</v>
      </c>
    </row>
    <row r="41" spans="1:32" s="1172" customFormat="1">
      <c r="A41" s="1174"/>
      <c r="B41" s="4515"/>
      <c r="C41" s="850" t="s">
        <v>2090</v>
      </c>
      <c r="D41" s="761" t="s">
        <v>2084</v>
      </c>
      <c r="E41" s="708">
        <v>6.9034000000000004</v>
      </c>
      <c r="F41" s="681">
        <v>6.8975</v>
      </c>
      <c r="G41" s="681">
        <v>4.8282999999999996</v>
      </c>
      <c r="H41" s="681">
        <v>6.0857999999999999</v>
      </c>
      <c r="I41" s="761">
        <v>4.2601000000000004</v>
      </c>
      <c r="J41" s="3653">
        <v>4.1138720675</v>
      </c>
      <c r="K41" s="3654">
        <v>4.2679008898602531</v>
      </c>
      <c r="L41" s="3654">
        <v>4.4276967554655098</v>
      </c>
      <c r="M41" s="3654">
        <v>4.59347559005798</v>
      </c>
      <c r="N41" s="3655">
        <v>4.7654614039258281</v>
      </c>
      <c r="O41" s="3748">
        <f>N41*(1+'1. CPI'!AB$49)</f>
        <v>4.8440915170906038</v>
      </c>
      <c r="P41" s="3654">
        <f>O41*(1+'1. CPI'!AC$49)</f>
        <v>4.9240190271225988</v>
      </c>
      <c r="Q41" s="3654">
        <f>P41*(1+'1. CPI'!AD$49)</f>
        <v>5.0052653410701211</v>
      </c>
      <c r="R41" s="3654">
        <f>Q41*(1+'1. CPI'!AE$49)</f>
        <v>5.087852219197778</v>
      </c>
      <c r="S41" s="3654">
        <f>R41*(1+'1. CPI'!AF$49)</f>
        <v>5.1718017808145413</v>
      </c>
      <c r="T41" s="3654">
        <f>S41*(1+'1. CPI'!AG$49)</f>
        <v>5.2571365101979808</v>
      </c>
      <c r="U41" s="3654">
        <f>T41*(1+'1. CPI'!AH$49)</f>
        <v>5.3438792626162472</v>
      </c>
      <c r="V41" s="3654">
        <f>U41*(1+'1. CPI'!AI$49)</f>
        <v>5.4320532704494147</v>
      </c>
      <c r="W41" s="3654">
        <f>V41*(1+'1. CPI'!AJ$49)</f>
        <v>5.5216821494118298</v>
      </c>
      <c r="X41" s="3654">
        <f>W41*(1+'1. CPI'!AK$49)</f>
        <v>5.6127899048771246</v>
      </c>
      <c r="Y41" s="3654">
        <f>X41*(1+'1. CPI'!AL$49)</f>
        <v>5.705400938307597</v>
      </c>
      <c r="Z41" s="3654">
        <f>Y41*(1+'1. CPI'!AM$49)</f>
        <v>5.7995400537896717</v>
      </c>
      <c r="AA41" s="3654">
        <f>Z41*(1+'1. CPI'!AN$49)</f>
        <v>5.8952324646772007</v>
      </c>
      <c r="AB41" s="3654">
        <f>AA41*(1+'1. CPI'!AO$49)</f>
        <v>5.992503800344374</v>
      </c>
      <c r="AC41" s="3655">
        <f>AB41*(1+'1. CPI'!AP$49)</f>
        <v>6.0913801130500556</v>
      </c>
    </row>
    <row r="42" spans="1:32" s="1172" customFormat="1">
      <c r="A42" s="1174"/>
      <c r="B42" s="4515"/>
      <c r="C42" s="850" t="s">
        <v>2091</v>
      </c>
      <c r="D42" s="761" t="s">
        <v>2086</v>
      </c>
      <c r="E42" s="708">
        <v>5.2907000000000002</v>
      </c>
      <c r="F42" s="681">
        <v>4.1513999999999998</v>
      </c>
      <c r="G42" s="681">
        <v>2.9060000000000001</v>
      </c>
      <c r="H42" s="681">
        <v>4.6496000000000004</v>
      </c>
      <c r="I42" s="761">
        <v>3.2548000000000004</v>
      </c>
      <c r="J42" s="3653">
        <v>3.1430789899999998</v>
      </c>
      <c r="K42" s="3654">
        <v>3.2607600329375246</v>
      </c>
      <c r="L42" s="3654">
        <v>3.3828472100864153</v>
      </c>
      <c r="M42" s="3654">
        <v>3.5095054929510359</v>
      </c>
      <c r="N42" s="3655">
        <v>3.6409060297875122</v>
      </c>
      <c r="O42" s="3748">
        <f>N42*(1+'1. CPI'!AB$49)</f>
        <v>3.7009809792790058</v>
      </c>
      <c r="P42" s="3654">
        <f>O42*(1+'1. CPI'!AC$49)</f>
        <v>3.7620471654371093</v>
      </c>
      <c r="Q42" s="3654">
        <f>P42*(1+'1. CPI'!AD$49)</f>
        <v>3.8241209436668213</v>
      </c>
      <c r="R42" s="3654">
        <f>Q42*(1+'1. CPI'!AE$49)</f>
        <v>3.8872189392373238</v>
      </c>
      <c r="S42" s="3654">
        <f>R42*(1+'1. CPI'!AF$49)</f>
        <v>3.9513580517347395</v>
      </c>
      <c r="T42" s="3654">
        <f>S42*(1+'1. CPI'!AG$49)</f>
        <v>4.0165554595883624</v>
      </c>
      <c r="U42" s="3654">
        <f>T42*(1+'1. CPI'!AH$49)</f>
        <v>4.0828286246715706</v>
      </c>
      <c r="V42" s="3654">
        <f>U42*(1+'1. CPI'!AI$49)</f>
        <v>4.1501952969786515</v>
      </c>
      <c r="W42" s="3654">
        <f>V42*(1+'1. CPI'!AJ$49)</f>
        <v>4.2186735193787994</v>
      </c>
      <c r="X42" s="3654">
        <f>W42*(1+'1. CPI'!AK$49)</f>
        <v>4.2882816324485491</v>
      </c>
      <c r="Y42" s="3654">
        <f>X42*(1+'1. CPI'!AL$49)</f>
        <v>4.3590382793839497</v>
      </c>
      <c r="Z42" s="3654">
        <f>Y42*(1+'1. CPI'!AM$49)</f>
        <v>4.4309624109937849</v>
      </c>
      <c r="AA42" s="3654">
        <f>Z42*(1+'1. CPI'!AN$49)</f>
        <v>4.5040732907751817</v>
      </c>
      <c r="AB42" s="3654">
        <f>AA42*(1+'1. CPI'!AO$49)</f>
        <v>4.5783905000729721</v>
      </c>
      <c r="AC42" s="3655">
        <f>AB42*(1+'1. CPI'!AP$49)</f>
        <v>4.6539339433241755</v>
      </c>
    </row>
    <row r="43" spans="1:32" s="1172" customFormat="1" ht="13.5" thickBot="1">
      <c r="A43" s="1174"/>
      <c r="B43" s="4664"/>
      <c r="C43" s="1544" t="s">
        <v>2092</v>
      </c>
      <c r="D43" s="764" t="s">
        <v>2088</v>
      </c>
      <c r="E43" s="1523">
        <v>4.0827999999999998</v>
      </c>
      <c r="F43" s="763">
        <v>2.8580000000000001</v>
      </c>
      <c r="G43" s="763">
        <v>2.0005999999999999</v>
      </c>
      <c r="H43" s="763">
        <v>3.2008999999999999</v>
      </c>
      <c r="I43" s="764">
        <v>3.0998000000000001</v>
      </c>
      <c r="J43" s="3656">
        <v>2.9933993649999997</v>
      </c>
      <c r="K43" s="3657">
        <v>3.1054762044057207</v>
      </c>
      <c r="L43" s="3657">
        <v>3.2217493492152731</v>
      </c>
      <c r="M43" s="3657">
        <v>3.3423759146643794</v>
      </c>
      <c r="N43" s="3658">
        <v>3.4675188985914134</v>
      </c>
      <c r="O43" s="3749">
        <f>N43*(1+'1. CPI'!AB$49)</f>
        <v>3.5247329604181714</v>
      </c>
      <c r="P43" s="3657">
        <f>O43*(1+'1. CPI'!AC$49)</f>
        <v>3.5828910542650712</v>
      </c>
      <c r="Q43" s="3657">
        <f>P43*(1+'1. CPI'!AD$49)</f>
        <v>3.6420087566604447</v>
      </c>
      <c r="R43" s="3657">
        <f>Q43*(1+'1. CPI'!AE$49)</f>
        <v>3.7021019011453418</v>
      </c>
      <c r="S43" s="3657">
        <f>R43*(1+'1. CPI'!AF$49)</f>
        <v>3.7631865825142397</v>
      </c>
      <c r="T43" s="3657">
        <f>S43*(1+'1. CPI'!AG$49)</f>
        <v>3.8252791611257244</v>
      </c>
      <c r="U43" s="3657">
        <f>T43*(1+'1. CPI'!AH$49)</f>
        <v>3.8883962672842989</v>
      </c>
      <c r="V43" s="3657">
        <f>U43*(1+'1. CPI'!AI$49)</f>
        <v>3.9525548056944895</v>
      </c>
      <c r="W43" s="3657">
        <f>V43*(1+'1. CPI'!AJ$49)</f>
        <v>4.0177719599884485</v>
      </c>
      <c r="X43" s="3657">
        <f>W43*(1+'1. CPI'!AK$49)</f>
        <v>4.0840651973282576</v>
      </c>
      <c r="Y43" s="3657">
        <f>X43*(1+'1. CPI'!AL$49)</f>
        <v>4.1514522730841739</v>
      </c>
      <c r="Z43" s="3657">
        <f>Y43*(1+'1. CPI'!AM$49)</f>
        <v>4.2199512355900621</v>
      </c>
      <c r="AA43" s="3657">
        <f>Z43*(1+'1. CPI'!AN$49)</f>
        <v>4.2895804309772982</v>
      </c>
      <c r="AB43" s="3657">
        <f>AA43*(1+'1. CPI'!AO$49)</f>
        <v>4.3603585080884235</v>
      </c>
      <c r="AC43" s="3658">
        <f>AB43*(1+'1. CPI'!AP$49)</f>
        <v>4.4323044234718827</v>
      </c>
    </row>
    <row r="44" spans="1:32" s="1172" customFormat="1" hidden="1">
      <c r="A44" s="1174"/>
      <c r="B44" s="4514" t="s">
        <v>1420</v>
      </c>
      <c r="C44" s="4665" t="s">
        <v>239</v>
      </c>
      <c r="D44" s="4666"/>
      <c r="E44" s="1545"/>
      <c r="F44" s="1546"/>
      <c r="G44" s="1546"/>
      <c r="H44" s="1546"/>
      <c r="I44" s="1548"/>
      <c r="J44" s="1547"/>
      <c r="K44" s="1546"/>
      <c r="L44" s="1546"/>
      <c r="M44" s="1546"/>
      <c r="N44" s="1548"/>
      <c r="O44" s="1545"/>
      <c r="P44" s="1546"/>
      <c r="Q44" s="1546"/>
      <c r="R44" s="1546"/>
      <c r="S44" s="1546"/>
      <c r="T44" s="1546"/>
      <c r="U44" s="1546"/>
      <c r="V44" s="1546"/>
      <c r="W44" s="1546"/>
      <c r="X44" s="1546"/>
      <c r="Y44" s="1546"/>
      <c r="Z44" s="1546"/>
      <c r="AA44" s="1546"/>
      <c r="AB44" s="1546"/>
      <c r="AC44" s="1548"/>
    </row>
    <row r="45" spans="1:32" s="1172" customFormat="1" hidden="1">
      <c r="A45" s="1174"/>
      <c r="B45" s="4515"/>
      <c r="C45" s="850" t="s">
        <v>269</v>
      </c>
      <c r="D45" s="761" t="s">
        <v>268</v>
      </c>
      <c r="E45" s="708"/>
      <c r="F45" s="681"/>
      <c r="G45" s="681"/>
      <c r="H45" s="681"/>
      <c r="I45" s="761"/>
      <c r="J45" s="757"/>
      <c r="K45" s="681"/>
      <c r="L45" s="681"/>
      <c r="M45" s="681"/>
      <c r="N45" s="761"/>
      <c r="O45" s="708"/>
      <c r="P45" s="681"/>
      <c r="Q45" s="681"/>
      <c r="R45" s="681"/>
      <c r="S45" s="681"/>
      <c r="T45" s="681"/>
      <c r="U45" s="681"/>
      <c r="V45" s="681"/>
      <c r="W45" s="681"/>
      <c r="X45" s="681"/>
      <c r="Y45" s="681"/>
      <c r="Z45" s="681"/>
      <c r="AA45" s="681"/>
      <c r="AB45" s="681"/>
      <c r="AC45" s="761"/>
    </row>
    <row r="46" spans="1:32" s="1172" customFormat="1" hidden="1">
      <c r="A46" s="1174"/>
      <c r="B46" s="4515"/>
      <c r="C46" s="850" t="s">
        <v>269</v>
      </c>
      <c r="D46" s="761" t="s">
        <v>268</v>
      </c>
      <c r="E46" s="708"/>
      <c r="F46" s="681"/>
      <c r="G46" s="681"/>
      <c r="H46" s="681"/>
      <c r="I46" s="761"/>
      <c r="J46" s="757"/>
      <c r="K46" s="681"/>
      <c r="L46" s="681"/>
      <c r="M46" s="681"/>
      <c r="N46" s="761"/>
      <c r="O46" s="708"/>
      <c r="P46" s="681"/>
      <c r="Q46" s="681"/>
      <c r="R46" s="681"/>
      <c r="S46" s="681"/>
      <c r="T46" s="681"/>
      <c r="U46" s="681"/>
      <c r="V46" s="681"/>
      <c r="W46" s="681"/>
      <c r="X46" s="681"/>
      <c r="Y46" s="681"/>
      <c r="Z46" s="681"/>
      <c r="AA46" s="681"/>
      <c r="AB46" s="681"/>
      <c r="AC46" s="761"/>
    </row>
    <row r="47" spans="1:32" s="1172" customFormat="1" hidden="1">
      <c r="A47" s="1174"/>
      <c r="B47" s="4515"/>
      <c r="C47" s="850" t="s">
        <v>269</v>
      </c>
      <c r="D47" s="761" t="s">
        <v>268</v>
      </c>
      <c r="E47" s="708"/>
      <c r="F47" s="681"/>
      <c r="G47" s="681"/>
      <c r="H47" s="681"/>
      <c r="I47" s="761"/>
      <c r="J47" s="757"/>
      <c r="K47" s="681"/>
      <c r="L47" s="681"/>
      <c r="M47" s="681"/>
      <c r="N47" s="761"/>
      <c r="O47" s="708"/>
      <c r="P47" s="681"/>
      <c r="Q47" s="681"/>
      <c r="R47" s="681"/>
      <c r="S47" s="681"/>
      <c r="T47" s="681"/>
      <c r="U47" s="681"/>
      <c r="V47" s="681"/>
      <c r="W47" s="681"/>
      <c r="X47" s="681"/>
      <c r="Y47" s="681"/>
      <c r="Z47" s="681"/>
      <c r="AA47" s="681"/>
      <c r="AB47" s="681"/>
      <c r="AC47" s="761"/>
    </row>
    <row r="48" spans="1:32" s="1172" customFormat="1" hidden="1">
      <c r="A48" s="1174"/>
      <c r="B48" s="4515"/>
      <c r="C48" s="850" t="s">
        <v>269</v>
      </c>
      <c r="D48" s="761" t="s">
        <v>268</v>
      </c>
      <c r="E48" s="708"/>
      <c r="F48" s="681"/>
      <c r="G48" s="681"/>
      <c r="H48" s="681"/>
      <c r="I48" s="761"/>
      <c r="J48" s="757"/>
      <c r="K48" s="681"/>
      <c r="L48" s="681"/>
      <c r="M48" s="681"/>
      <c r="N48" s="761"/>
      <c r="O48" s="708"/>
      <c r="P48" s="681"/>
      <c r="Q48" s="681"/>
      <c r="R48" s="681"/>
      <c r="S48" s="681"/>
      <c r="T48" s="681"/>
      <c r="U48" s="681"/>
      <c r="V48" s="681"/>
      <c r="W48" s="681"/>
      <c r="X48" s="681"/>
      <c r="Y48" s="681"/>
      <c r="Z48" s="681"/>
      <c r="AA48" s="681"/>
      <c r="AB48" s="681"/>
      <c r="AC48" s="761"/>
    </row>
    <row r="49" spans="1:135" s="1172" customFormat="1" hidden="1">
      <c r="A49" s="1174"/>
      <c r="B49" s="4515"/>
      <c r="C49" s="850" t="s">
        <v>269</v>
      </c>
      <c r="D49" s="761" t="s">
        <v>268</v>
      </c>
      <c r="E49" s="708"/>
      <c r="F49" s="681"/>
      <c r="G49" s="681"/>
      <c r="H49" s="681"/>
      <c r="I49" s="761"/>
      <c r="J49" s="757"/>
      <c r="K49" s="681"/>
      <c r="L49" s="681"/>
      <c r="M49" s="681"/>
      <c r="N49" s="761"/>
      <c r="O49" s="708"/>
      <c r="P49" s="681"/>
      <c r="Q49" s="681"/>
      <c r="R49" s="681"/>
      <c r="S49" s="681"/>
      <c r="T49" s="681"/>
      <c r="U49" s="681"/>
      <c r="V49" s="681"/>
      <c r="W49" s="681"/>
      <c r="X49" s="681"/>
      <c r="Y49" s="681"/>
      <c r="Z49" s="681"/>
      <c r="AA49" s="681"/>
      <c r="AB49" s="681"/>
      <c r="AC49" s="761"/>
    </row>
    <row r="50" spans="1:135" s="1172" customFormat="1" ht="13.5" hidden="1" thickBot="1">
      <c r="A50" s="1174"/>
      <c r="B50" s="4664"/>
      <c r="C50" s="1544" t="s">
        <v>269</v>
      </c>
      <c r="D50" s="764" t="s">
        <v>268</v>
      </c>
      <c r="E50" s="1523"/>
      <c r="F50" s="763"/>
      <c r="G50" s="763"/>
      <c r="H50" s="763"/>
      <c r="I50" s="764"/>
      <c r="J50" s="766"/>
      <c r="K50" s="763"/>
      <c r="L50" s="763"/>
      <c r="M50" s="763"/>
      <c r="N50" s="764"/>
      <c r="O50" s="1523"/>
      <c r="P50" s="763"/>
      <c r="Q50" s="763"/>
      <c r="R50" s="763"/>
      <c r="S50" s="763"/>
      <c r="T50" s="763"/>
      <c r="U50" s="763"/>
      <c r="V50" s="763"/>
      <c r="W50" s="763"/>
      <c r="X50" s="763"/>
      <c r="Y50" s="763"/>
      <c r="Z50" s="763"/>
      <c r="AA50" s="763"/>
      <c r="AB50" s="763"/>
      <c r="AC50" s="764"/>
    </row>
    <row r="51" spans="1:135" s="1172" customFormat="1" hidden="1">
      <c r="A51" s="1174"/>
      <c r="B51" s="4514" t="s">
        <v>1420</v>
      </c>
      <c r="C51" s="4665" t="s">
        <v>239</v>
      </c>
      <c r="D51" s="4666"/>
      <c r="E51" s="1545"/>
      <c r="F51" s="1546"/>
      <c r="G51" s="1546"/>
      <c r="H51" s="1546"/>
      <c r="I51" s="1548"/>
      <c r="J51" s="1547"/>
      <c r="K51" s="1546"/>
      <c r="L51" s="1546"/>
      <c r="M51" s="1546"/>
      <c r="N51" s="1548"/>
      <c r="O51" s="1545"/>
      <c r="P51" s="1546"/>
      <c r="Q51" s="1546"/>
      <c r="R51" s="1546"/>
      <c r="S51" s="1546"/>
      <c r="T51" s="1546"/>
      <c r="U51" s="1546"/>
      <c r="V51" s="1546"/>
      <c r="W51" s="1546"/>
      <c r="X51" s="1546"/>
      <c r="Y51" s="1546"/>
      <c r="Z51" s="1546"/>
      <c r="AA51" s="1546"/>
      <c r="AB51" s="1546"/>
      <c r="AC51" s="1548"/>
    </row>
    <row r="52" spans="1:135" s="1172" customFormat="1" hidden="1">
      <c r="A52" s="1174"/>
      <c r="B52" s="4515"/>
      <c r="C52" s="850" t="s">
        <v>269</v>
      </c>
      <c r="D52" s="761" t="s">
        <v>268</v>
      </c>
      <c r="E52" s="708"/>
      <c r="F52" s="681"/>
      <c r="G52" s="681"/>
      <c r="H52" s="681"/>
      <c r="I52" s="761"/>
      <c r="J52" s="757"/>
      <c r="K52" s="681"/>
      <c r="L52" s="681"/>
      <c r="M52" s="681"/>
      <c r="N52" s="761"/>
      <c r="O52" s="708"/>
      <c r="P52" s="681"/>
      <c r="Q52" s="681"/>
      <c r="R52" s="681"/>
      <c r="S52" s="681"/>
      <c r="T52" s="681"/>
      <c r="U52" s="681"/>
      <c r="V52" s="681"/>
      <c r="W52" s="681"/>
      <c r="X52" s="681"/>
      <c r="Y52" s="681"/>
      <c r="Z52" s="681"/>
      <c r="AA52" s="681"/>
      <c r="AB52" s="681"/>
      <c r="AC52" s="761"/>
    </row>
    <row r="53" spans="1:135" s="1172" customFormat="1" hidden="1">
      <c r="A53" s="1174"/>
      <c r="B53" s="4515"/>
      <c r="C53" s="850" t="s">
        <v>269</v>
      </c>
      <c r="D53" s="761" t="s">
        <v>268</v>
      </c>
      <c r="E53" s="708"/>
      <c r="F53" s="681"/>
      <c r="G53" s="681"/>
      <c r="H53" s="681"/>
      <c r="I53" s="761"/>
      <c r="J53" s="757"/>
      <c r="K53" s="681"/>
      <c r="L53" s="681"/>
      <c r="M53" s="681"/>
      <c r="N53" s="761"/>
      <c r="O53" s="708"/>
      <c r="P53" s="681"/>
      <c r="Q53" s="681"/>
      <c r="R53" s="681"/>
      <c r="S53" s="681"/>
      <c r="T53" s="681"/>
      <c r="U53" s="681"/>
      <c r="V53" s="681"/>
      <c r="W53" s="681"/>
      <c r="X53" s="681"/>
      <c r="Y53" s="681"/>
      <c r="Z53" s="681"/>
      <c r="AA53" s="681"/>
      <c r="AB53" s="681"/>
      <c r="AC53" s="761"/>
    </row>
    <row r="54" spans="1:135" s="1172" customFormat="1" hidden="1">
      <c r="A54" s="1174"/>
      <c r="B54" s="4515"/>
      <c r="C54" s="850" t="s">
        <v>269</v>
      </c>
      <c r="D54" s="761" t="s">
        <v>268</v>
      </c>
      <c r="E54" s="708"/>
      <c r="F54" s="681"/>
      <c r="G54" s="681"/>
      <c r="H54" s="681"/>
      <c r="I54" s="761"/>
      <c r="J54" s="757"/>
      <c r="K54" s="681"/>
      <c r="L54" s="681"/>
      <c r="M54" s="681"/>
      <c r="N54" s="761"/>
      <c r="O54" s="708"/>
      <c r="P54" s="681"/>
      <c r="Q54" s="681"/>
      <c r="R54" s="681"/>
      <c r="S54" s="681"/>
      <c r="T54" s="681"/>
      <c r="U54" s="681"/>
      <c r="V54" s="681"/>
      <c r="W54" s="681"/>
      <c r="X54" s="681"/>
      <c r="Y54" s="681"/>
      <c r="Z54" s="681"/>
      <c r="AA54" s="681"/>
      <c r="AB54" s="681"/>
      <c r="AC54" s="761"/>
    </row>
    <row r="55" spans="1:135" s="1172" customFormat="1" hidden="1">
      <c r="A55" s="1174"/>
      <c r="B55" s="4515"/>
      <c r="C55" s="850" t="s">
        <v>269</v>
      </c>
      <c r="D55" s="761" t="s">
        <v>268</v>
      </c>
      <c r="E55" s="708"/>
      <c r="F55" s="681"/>
      <c r="G55" s="681"/>
      <c r="H55" s="681"/>
      <c r="I55" s="761"/>
      <c r="J55" s="757"/>
      <c r="K55" s="681"/>
      <c r="L55" s="681"/>
      <c r="M55" s="681"/>
      <c r="N55" s="761"/>
      <c r="O55" s="708"/>
      <c r="P55" s="681"/>
      <c r="Q55" s="681"/>
      <c r="R55" s="681"/>
      <c r="S55" s="681"/>
      <c r="T55" s="681"/>
      <c r="U55" s="681"/>
      <c r="V55" s="681"/>
      <c r="W55" s="681"/>
      <c r="X55" s="681"/>
      <c r="Y55" s="681"/>
      <c r="Z55" s="681"/>
      <c r="AA55" s="681"/>
      <c r="AB55" s="681"/>
      <c r="AC55" s="761"/>
    </row>
    <row r="56" spans="1:135" s="1172" customFormat="1" hidden="1">
      <c r="A56" s="1174"/>
      <c r="B56" s="4515"/>
      <c r="C56" s="850" t="s">
        <v>269</v>
      </c>
      <c r="D56" s="761" t="s">
        <v>268</v>
      </c>
      <c r="E56" s="708"/>
      <c r="F56" s="681"/>
      <c r="G56" s="681"/>
      <c r="H56" s="681"/>
      <c r="I56" s="761"/>
      <c r="J56" s="757"/>
      <c r="K56" s="681"/>
      <c r="L56" s="681"/>
      <c r="M56" s="681"/>
      <c r="N56" s="761"/>
      <c r="O56" s="708"/>
      <c r="P56" s="681"/>
      <c r="Q56" s="681"/>
      <c r="R56" s="681"/>
      <c r="S56" s="681"/>
      <c r="T56" s="681"/>
      <c r="U56" s="681"/>
      <c r="V56" s="681"/>
      <c r="W56" s="681"/>
      <c r="X56" s="681"/>
      <c r="Y56" s="681"/>
      <c r="Z56" s="681"/>
      <c r="AA56" s="681"/>
      <c r="AB56" s="681"/>
      <c r="AC56" s="761"/>
    </row>
    <row r="57" spans="1:135" s="1172" customFormat="1" ht="13.5" hidden="1" thickBot="1">
      <c r="A57" s="1174"/>
      <c r="B57" s="4664"/>
      <c r="C57" s="1544" t="s">
        <v>269</v>
      </c>
      <c r="D57" s="764" t="s">
        <v>268</v>
      </c>
      <c r="E57" s="1523"/>
      <c r="F57" s="763"/>
      <c r="G57" s="763"/>
      <c r="H57" s="763"/>
      <c r="I57" s="764"/>
      <c r="J57" s="766"/>
      <c r="K57" s="763"/>
      <c r="L57" s="763"/>
      <c r="M57" s="763"/>
      <c r="N57" s="764"/>
      <c r="O57" s="1523"/>
      <c r="P57" s="763"/>
      <c r="Q57" s="763"/>
      <c r="R57" s="763"/>
      <c r="S57" s="763"/>
      <c r="T57" s="763"/>
      <c r="U57" s="763"/>
      <c r="V57" s="763"/>
      <c r="W57" s="763"/>
      <c r="X57" s="763"/>
      <c r="Y57" s="763"/>
      <c r="Z57" s="763"/>
      <c r="AA57" s="763"/>
      <c r="AB57" s="763"/>
      <c r="AC57" s="764"/>
    </row>
    <row r="58" spans="1:135" customFormat="1" ht="13.5" thickBot="1">
      <c r="C58" s="1172"/>
      <c r="E58" s="188"/>
      <c r="F58" s="188"/>
      <c r="G58" s="188"/>
      <c r="H58" s="188"/>
      <c r="I58" s="188"/>
      <c r="J58" s="188"/>
      <c r="K58" s="188"/>
      <c r="L58" s="188"/>
      <c r="M58" s="188"/>
      <c r="N58" s="188"/>
      <c r="O58" s="188"/>
      <c r="P58" s="188"/>
      <c r="Q58" s="188"/>
      <c r="R58" s="188"/>
      <c r="S58" s="188"/>
      <c r="T58" s="188"/>
      <c r="U58" s="188"/>
      <c r="V58" s="188"/>
      <c r="W58" s="188"/>
      <c r="X58" s="188"/>
      <c r="Y58" s="188"/>
      <c r="Z58" s="188"/>
      <c r="AA58" s="188"/>
      <c r="AB58" s="188"/>
      <c r="AC58" s="188"/>
    </row>
    <row r="59" spans="1:135" s="93" customFormat="1" ht="18.75" customHeight="1" thickBot="1">
      <c r="A59" s="262"/>
      <c r="B59" s="790" t="s">
        <v>536</v>
      </c>
      <c r="C59" s="791"/>
      <c r="D59" s="791"/>
      <c r="E59" s="926"/>
      <c r="F59" s="926"/>
      <c r="G59" s="926"/>
      <c r="H59" s="926"/>
      <c r="I59" s="926"/>
      <c r="J59" s="926"/>
      <c r="K59" s="926"/>
      <c r="L59" s="926"/>
      <c r="M59" s="926"/>
      <c r="N59" s="926"/>
      <c r="O59" s="926"/>
      <c r="P59" s="926"/>
      <c r="Q59" s="926"/>
      <c r="R59" s="926"/>
      <c r="S59" s="926"/>
      <c r="T59" s="926"/>
      <c r="U59" s="926"/>
      <c r="V59" s="926"/>
      <c r="W59" s="926"/>
      <c r="X59" s="926"/>
      <c r="Y59" s="926"/>
      <c r="Z59" s="926"/>
      <c r="AA59" s="926"/>
      <c r="AB59" s="926"/>
      <c r="AC59" s="1543"/>
      <c r="AD59"/>
      <c r="AE59"/>
      <c r="AF59"/>
      <c r="DF59" s="69"/>
      <c r="DG59" s="69"/>
      <c r="DH59" s="69"/>
      <c r="DI59" s="69"/>
      <c r="DJ59" s="69"/>
      <c r="DK59" s="69"/>
      <c r="DL59" s="69"/>
      <c r="DM59" s="69"/>
      <c r="DN59" s="69"/>
      <c r="DO59" s="69"/>
      <c r="DP59" s="69"/>
      <c r="DQ59" s="69"/>
      <c r="DR59" s="69"/>
      <c r="DS59" s="69"/>
      <c r="DT59" s="69"/>
      <c r="DU59" s="69"/>
      <c r="DV59" s="69"/>
      <c r="DW59" s="69"/>
      <c r="DX59" s="69"/>
      <c r="DY59" s="69"/>
      <c r="DZ59" s="69"/>
      <c r="EA59" s="69"/>
      <c r="EB59" s="69"/>
      <c r="EC59" s="69"/>
      <c r="ED59" s="69"/>
      <c r="EE59" s="69"/>
    </row>
    <row r="60" spans="1:135" s="1172" customFormat="1">
      <c r="A60" s="1174"/>
      <c r="B60" s="4514" t="s">
        <v>2078</v>
      </c>
      <c r="C60" s="4665" t="s">
        <v>239</v>
      </c>
      <c r="D60" s="4666"/>
      <c r="E60" s="1545">
        <v>8.8400000000000006E-2</v>
      </c>
      <c r="F60" s="1546">
        <v>0.14179999999999998</v>
      </c>
      <c r="G60" s="1546">
        <v>0.22749999999999998</v>
      </c>
      <c r="H60" s="1546">
        <v>0.19020000000000001</v>
      </c>
      <c r="I60" s="1548">
        <v>0.34639999999999999</v>
      </c>
      <c r="J60" s="1547">
        <v>0.3345098199999999</v>
      </c>
      <c r="K60" s="1546">
        <v>0.34703431098978693</v>
      </c>
      <c r="L60" s="1546">
        <v>0.35904405318356714</v>
      </c>
      <c r="M60" s="1546">
        <v>0.37350765108708334</v>
      </c>
      <c r="N60" s="1548">
        <v>0.38749227255696028</v>
      </c>
      <c r="O60" s="1545">
        <f>N60*(1+'1. CPI'!AB$49)</f>
        <v>0.39388589505415011</v>
      </c>
      <c r="P60" s="1546">
        <f>O60*(1+'1. CPI'!AC$49)</f>
        <v>0.40038501232254359</v>
      </c>
      <c r="Q60" s="1546">
        <f>P60*(1+'1. CPI'!AD$49)</f>
        <v>0.40699136502586553</v>
      </c>
      <c r="R60" s="1546">
        <f>Q60*(1+'1. CPI'!AE$49)</f>
        <v>0.41370672254879232</v>
      </c>
      <c r="S60" s="1546">
        <f>R60*(1+'1. CPI'!AF$49)</f>
        <v>0.42053288347084739</v>
      </c>
      <c r="T60" s="1546">
        <f>S60*(1+'1. CPI'!AG$49)</f>
        <v>0.42747167604811637</v>
      </c>
      <c r="U60" s="1546">
        <f>T60*(1+'1. CPI'!AH$49)</f>
        <v>0.43452495870291025</v>
      </c>
      <c r="V60" s="1546">
        <f>U60*(1+'1. CPI'!AI$49)</f>
        <v>0.44169462052150826</v>
      </c>
      <c r="W60" s="1546">
        <f>V60*(1+'1. CPI'!AJ$49)</f>
        <v>0.44898258176011313</v>
      </c>
      <c r="X60" s="1546">
        <f>W60*(1+'1. CPI'!AK$49)</f>
        <v>0.45639079435915497</v>
      </c>
      <c r="Y60" s="1546">
        <f>X60*(1+'1. CPI'!AL$49)</f>
        <v>0.46392124246608102</v>
      </c>
      <c r="Z60" s="1546">
        <f>Y60*(1+'1. CPI'!AM$49)</f>
        <v>0.47157594296677136</v>
      </c>
      <c r="AA60" s="1546">
        <f>Z60*(1+'1. CPI'!AN$49)</f>
        <v>0.47935694602572304</v>
      </c>
      <c r="AB60" s="1546">
        <f>AA60*(1+'1. CPI'!AO$49)</f>
        <v>0.48726633563514743</v>
      </c>
      <c r="AC60" s="1548">
        <f>AB60*(1+'1. CPI'!AP$49)</f>
        <v>0.49530623017312736</v>
      </c>
    </row>
    <row r="61" spans="1:135" s="1172" customFormat="1">
      <c r="A61" s="1174"/>
      <c r="B61" s="4515"/>
      <c r="C61" s="850" t="s">
        <v>2081</v>
      </c>
      <c r="D61" s="761" t="s">
        <v>2082</v>
      </c>
      <c r="E61" s="708">
        <v>9.8255999999999997</v>
      </c>
      <c r="F61" s="681">
        <v>9.6464999999999996</v>
      </c>
      <c r="G61" s="681">
        <v>8.2529000000000003</v>
      </c>
      <c r="H61" s="681">
        <v>6.2770999999999999</v>
      </c>
      <c r="I61" s="761">
        <v>5.5937000000000001</v>
      </c>
      <c r="J61" s="3653">
        <v>5.4016962474999994</v>
      </c>
      <c r="K61" s="3654">
        <v>5.6039429139248593</v>
      </c>
      <c r="L61" s="3654">
        <v>5.8137619635800606</v>
      </c>
      <c r="M61" s="3654">
        <v>6.0314369165294979</v>
      </c>
      <c r="N61" s="3655">
        <v>6.2572619082040086</v>
      </c>
      <c r="O61" s="3748">
        <f>N61*(1+'1. CPI'!AB$49)</f>
        <v>6.3605067296893747</v>
      </c>
      <c r="P61" s="3654">
        <f>O61*(1+'1. CPI'!AC$49)</f>
        <v>6.4654550907292494</v>
      </c>
      <c r="Q61" s="3654">
        <f>P61*(1+'1. CPI'!AD$49)</f>
        <v>6.5721350997262817</v>
      </c>
      <c r="R61" s="3654">
        <f>Q61*(1+'1. CPI'!AE$49)</f>
        <v>6.6805753288717655</v>
      </c>
      <c r="S61" s="3654">
        <f>R61*(1+'1. CPI'!AF$49)</f>
        <v>6.7908048217981491</v>
      </c>
      <c r="T61" s="3654">
        <f>S61*(1+'1. CPI'!AG$49)</f>
        <v>6.9028531013578185</v>
      </c>
      <c r="U61" s="3654">
        <f>T61*(1+'1. CPI'!AH$49)</f>
        <v>7.0167501775302226</v>
      </c>
      <c r="V61" s="3654">
        <f>U61*(1+'1. CPI'!AI$49)</f>
        <v>7.1325265554594708</v>
      </c>
      <c r="W61" s="3654">
        <f>V61*(1+'1. CPI'!AJ$49)</f>
        <v>7.2502132436245521</v>
      </c>
      <c r="X61" s="3654">
        <f>W61*(1+'1. CPI'!AK$49)</f>
        <v>7.3698417621443566</v>
      </c>
      <c r="Y61" s="3654">
        <f>X61*(1+'1. CPI'!AL$49)</f>
        <v>7.4914441512197385</v>
      </c>
      <c r="Z61" s="3654">
        <f>Y61*(1+'1. CPI'!AM$49)</f>
        <v>7.6150529797148643</v>
      </c>
      <c r="AA61" s="3654">
        <f>Z61*(1+'1. CPI'!AN$49)</f>
        <v>7.7407013538801595</v>
      </c>
      <c r="AB61" s="3654">
        <f>AA61*(1+'1. CPI'!AO$49)</f>
        <v>7.868422926219182</v>
      </c>
      <c r="AC61" s="3655">
        <f>AB61*(1+'1. CPI'!AP$49)</f>
        <v>7.9982519045017986</v>
      </c>
    </row>
    <row r="62" spans="1:135" s="1172" customFormat="1">
      <c r="A62" s="1174"/>
      <c r="B62" s="4515"/>
      <c r="C62" s="850" t="s">
        <v>2083</v>
      </c>
      <c r="D62" s="761" t="s">
        <v>2084</v>
      </c>
      <c r="E62" s="708">
        <v>7.6345999999999998</v>
      </c>
      <c r="F62" s="681">
        <v>8.2390000000000008</v>
      </c>
      <c r="G62" s="681">
        <v>7.8598999999999997</v>
      </c>
      <c r="H62" s="681">
        <v>5.9759000000000002</v>
      </c>
      <c r="I62" s="761">
        <v>5.3271000000000006</v>
      </c>
      <c r="J62" s="3653">
        <v>5.1442472925000002</v>
      </c>
      <c r="K62" s="3654">
        <v>5.3368547288501569</v>
      </c>
      <c r="L62" s="3654">
        <v>5.5366736428816967</v>
      </c>
      <c r="M62" s="3654">
        <v>5.7439740418764487</v>
      </c>
      <c r="N62" s="3655">
        <v>5.9590360425467184</v>
      </c>
      <c r="O62" s="3748">
        <f>N62*(1+'1. CPI'!AB$49)</f>
        <v>6.0573601372487387</v>
      </c>
      <c r="P62" s="3654">
        <f>O62*(1+'1. CPI'!AC$49)</f>
        <v>6.1573065795133424</v>
      </c>
      <c r="Q62" s="3654">
        <f>P62*(1+'1. CPI'!AD$49)</f>
        <v>6.258902138075312</v>
      </c>
      <c r="R62" s="3654">
        <f>Q62*(1+'1. CPI'!AE$49)</f>
        <v>6.3621740233535542</v>
      </c>
      <c r="S62" s="3654">
        <f>R62*(1+'1. CPI'!AF$49)</f>
        <v>6.4671498947388875</v>
      </c>
      <c r="T62" s="3654">
        <f>S62*(1+'1. CPI'!AG$49)</f>
        <v>6.5738578680020785</v>
      </c>
      <c r="U62" s="3654">
        <f>T62*(1+'1. CPI'!AH$49)</f>
        <v>6.6823265228241127</v>
      </c>
      <c r="V62" s="3654">
        <f>U62*(1+'1. CPI'!AI$49)</f>
        <v>6.7925849104507101</v>
      </c>
      <c r="W62" s="3654">
        <f>V62*(1+'1. CPI'!AJ$49)</f>
        <v>6.9046625614731463</v>
      </c>
      <c r="X62" s="3654">
        <f>W62*(1+'1. CPI'!AK$49)</f>
        <v>7.0185894937374531</v>
      </c>
      <c r="Y62" s="3654">
        <f>X62*(1+'1. CPI'!AL$49)</f>
        <v>7.1343962203841205</v>
      </c>
      <c r="Z62" s="3654">
        <f>Y62*(1+'1. CPI'!AM$49)</f>
        <v>7.2521137580204584</v>
      </c>
      <c r="AA62" s="3654">
        <f>Z62*(1+'1. CPI'!AN$49)</f>
        <v>7.3717736350277958</v>
      </c>
      <c r="AB62" s="3654">
        <f>AA62*(1+'1. CPI'!AO$49)</f>
        <v>7.4934079000057539</v>
      </c>
      <c r="AC62" s="3655">
        <f>AB62*(1+'1. CPI'!AP$49)</f>
        <v>7.6170491303558485</v>
      </c>
    </row>
    <row r="63" spans="1:135" s="1172" customFormat="1">
      <c r="A63" s="1174"/>
      <c r="B63" s="4515"/>
      <c r="C63" s="850" t="s">
        <v>2085</v>
      </c>
      <c r="D63" s="761" t="s">
        <v>2086</v>
      </c>
      <c r="E63" s="708">
        <v>5.9923999999999999</v>
      </c>
      <c r="F63" s="681">
        <v>6.7309999999999999</v>
      </c>
      <c r="G63" s="681">
        <v>7.4855999999999998</v>
      </c>
      <c r="H63" s="681">
        <v>5.6909999999999998</v>
      </c>
      <c r="I63" s="761">
        <v>5.0678000000000001</v>
      </c>
      <c r="J63" s="3653">
        <v>4.8938477649999994</v>
      </c>
      <c r="K63" s="3654">
        <v>5.0770799111837244</v>
      </c>
      <c r="L63" s="3654">
        <v>5.2671725117598429</v>
      </c>
      <c r="M63" s="3654">
        <v>5.4643824312330285</v>
      </c>
      <c r="N63" s="3655">
        <v>5.6689761514554373</v>
      </c>
      <c r="O63" s="3748">
        <f>N63*(1+'1. CPI'!AB$49)</f>
        <v>5.7625142579544519</v>
      </c>
      <c r="P63" s="3654">
        <f>O63*(1+'1. CPI'!AC$49)</f>
        <v>5.8575957432107</v>
      </c>
      <c r="Q63" s="3654">
        <f>P63*(1+'1. CPI'!AD$49)</f>
        <v>5.9542460729736764</v>
      </c>
      <c r="R63" s="3654">
        <f>Q63*(1+'1. CPI'!AE$49)</f>
        <v>6.0524911331777416</v>
      </c>
      <c r="S63" s="3654">
        <f>R63*(1+'1. CPI'!AF$49)</f>
        <v>6.152357236875174</v>
      </c>
      <c r="T63" s="3654">
        <f>S63*(1+'1. CPI'!AG$49)</f>
        <v>6.2538711312836144</v>
      </c>
      <c r="U63" s="3654">
        <f>T63*(1+'1. CPI'!AH$49)</f>
        <v>6.3570600049497941</v>
      </c>
      <c r="V63" s="3654">
        <f>U63*(1+'1. CPI'!AI$49)</f>
        <v>6.4619514950314656</v>
      </c>
      <c r="W63" s="3654">
        <f>V63*(1+'1. CPI'!AJ$49)</f>
        <v>6.5685736946994844</v>
      </c>
      <c r="X63" s="3654">
        <f>W63*(1+'1. CPI'!AK$49)</f>
        <v>6.6769551606620254</v>
      </c>
      <c r="Y63" s="3654">
        <f>X63*(1+'1. CPI'!AL$49)</f>
        <v>6.7871249208129489</v>
      </c>
      <c r="Z63" s="3654">
        <f>Y63*(1+'1. CPI'!AM$49)</f>
        <v>6.8991124820063625</v>
      </c>
      <c r="AA63" s="3654">
        <f>Z63*(1+'1. CPI'!AN$49)</f>
        <v>7.0129478379594676</v>
      </c>
      <c r="AB63" s="3654">
        <f>AA63*(1+'1. CPI'!AO$49)</f>
        <v>7.1286614772857986</v>
      </c>
      <c r="AC63" s="3655">
        <f>AB63*(1+'1. CPI'!AP$49)</f>
        <v>7.246284391661014</v>
      </c>
    </row>
    <row r="64" spans="1:135" s="1172" customFormat="1">
      <c r="A64" s="1174"/>
      <c r="B64" s="4515"/>
      <c r="C64" s="850" t="s">
        <v>2087</v>
      </c>
      <c r="D64" s="761" t="s">
        <v>2088</v>
      </c>
      <c r="E64" s="708">
        <v>4.4454000000000002</v>
      </c>
      <c r="F64" s="681">
        <v>6.3213999999999997</v>
      </c>
      <c r="G64" s="681">
        <v>4.4249999999999998</v>
      </c>
      <c r="H64" s="681">
        <v>5.42</v>
      </c>
      <c r="I64" s="761">
        <v>4.8117000000000001</v>
      </c>
      <c r="J64" s="3653">
        <v>4.6465383974999996</v>
      </c>
      <c r="K64" s="3654">
        <v>4.8205109532031116</v>
      </c>
      <c r="L64" s="3654">
        <v>5.0009972719592</v>
      </c>
      <c r="M64" s="3654">
        <v>5.1882412376897191</v>
      </c>
      <c r="N64" s="3655">
        <v>5.3824958656533646</v>
      </c>
      <c r="O64" s="3748">
        <f>N64*(1+'1. CPI'!AB$49)</f>
        <v>5.4713070474366452</v>
      </c>
      <c r="P64" s="3654">
        <f>O64*(1+'1. CPI'!AC$49)</f>
        <v>5.5615836137193497</v>
      </c>
      <c r="Q64" s="3654">
        <f>P64*(1+'1. CPI'!AD$49)</f>
        <v>5.6533497433457187</v>
      </c>
      <c r="R64" s="3654">
        <f>Q64*(1+'1. CPI'!AE$49)</f>
        <v>5.7466300141109228</v>
      </c>
      <c r="S64" s="3654">
        <f>R64*(1+'1. CPI'!AF$49)</f>
        <v>5.8414494093437526</v>
      </c>
      <c r="T64" s="3654">
        <f>S64*(1+'1. CPI'!AG$49)</f>
        <v>5.937833324597924</v>
      </c>
      <c r="U64" s="3654">
        <f>T64*(1+'1. CPI'!AH$49)</f>
        <v>6.0358075744537896</v>
      </c>
      <c r="V64" s="3654">
        <f>U64*(1+'1. CPI'!AI$49)</f>
        <v>6.1353983994322769</v>
      </c>
      <c r="W64" s="3654">
        <f>V64*(1+'1. CPI'!AJ$49)</f>
        <v>6.236632473022909</v>
      </c>
      <c r="X64" s="3654">
        <f>W64*(1+'1. CPI'!AK$49)</f>
        <v>6.3395369088277871</v>
      </c>
      <c r="Y64" s="3654">
        <f>X64*(1+'1. CPI'!AL$49)</f>
        <v>6.444139267823445</v>
      </c>
      <c r="Z64" s="3654">
        <f>Y64*(1+'1. CPI'!AM$49)</f>
        <v>6.5504675657425313</v>
      </c>
      <c r="AA64" s="3654">
        <f>Z64*(1+'1. CPI'!AN$49)</f>
        <v>6.6585502805772832</v>
      </c>
      <c r="AB64" s="3654">
        <f>AA64*(1+'1. CPI'!AO$49)</f>
        <v>6.7684163602068077</v>
      </c>
      <c r="AC64" s="3655">
        <f>AB64*(1+'1. CPI'!AP$49)</f>
        <v>6.8800952301502196</v>
      </c>
    </row>
    <row r="65" spans="1:29" s="1172" customFormat="1">
      <c r="A65" s="1174"/>
      <c r="B65" s="4515"/>
      <c r="C65" s="850" t="s">
        <v>2089</v>
      </c>
      <c r="D65" s="761" t="s">
        <v>2082</v>
      </c>
      <c r="E65" s="708">
        <v>9.5137999999999998</v>
      </c>
      <c r="F65" s="681">
        <v>6.6597</v>
      </c>
      <c r="G65" s="681">
        <v>7.8598999999999997</v>
      </c>
      <c r="H65" s="681">
        <v>5.9781000000000004</v>
      </c>
      <c r="I65" s="761">
        <v>5.3273000000000001</v>
      </c>
      <c r="J65" s="3653">
        <v>5.1444404274999993</v>
      </c>
      <c r="K65" s="3654">
        <v>5.3370550950805189</v>
      </c>
      <c r="L65" s="3654">
        <v>5.5368815110892706</v>
      </c>
      <c r="M65" s="3654">
        <v>5.7441896929452039</v>
      </c>
      <c r="N65" s="3655">
        <v>5.9592597678772918</v>
      </c>
      <c r="O65" s="3748">
        <f>N65*(1+'1. CPI'!AB$49)</f>
        <v>6.0575875540472666</v>
      </c>
      <c r="P65" s="3654">
        <f>O65*(1+'1. CPI'!AC$49)</f>
        <v>6.1575377486890464</v>
      </c>
      <c r="Q65" s="3654">
        <f>P65*(1+'1. CPI'!AD$49)</f>
        <v>6.2591371215424152</v>
      </c>
      <c r="R65" s="3654">
        <f>Q65*(1+'1. CPI'!AE$49)</f>
        <v>6.3624128840478651</v>
      </c>
      <c r="S65" s="3654">
        <f>R65*(1+'1. CPI'!AF$49)</f>
        <v>6.4673926966346542</v>
      </c>
      <c r="T65" s="3654">
        <f>S65*(1+'1. CPI'!AG$49)</f>
        <v>6.5741046761291253</v>
      </c>
      <c r="U65" s="3654">
        <f>T65*(1+'1. CPI'!AH$49)</f>
        <v>6.6825774032852552</v>
      </c>
      <c r="V65" s="3654">
        <f>U65*(1+'1. CPI'!AI$49)</f>
        <v>6.7928399304394613</v>
      </c>
      <c r="W65" s="3654">
        <f>V65*(1+'1. CPI'!AJ$49)</f>
        <v>6.9049217892917119</v>
      </c>
      <c r="X65" s="3654">
        <f>W65*(1+'1. CPI'!AK$49)</f>
        <v>7.0188529988150252</v>
      </c>
      <c r="Y65" s="3654">
        <f>X65*(1+'1. CPI'!AL$49)</f>
        <v>7.1346640732954727</v>
      </c>
      <c r="Z65" s="3654">
        <f>Y65*(1+'1. CPI'!AM$49)</f>
        <v>7.252386030504848</v>
      </c>
      <c r="AA65" s="3654">
        <f>Z65*(1+'1. CPI'!AN$49)</f>
        <v>7.3720504000081775</v>
      </c>
      <c r="AB65" s="3654">
        <f>AA65*(1+'1. CPI'!AO$49)</f>
        <v>7.4936892316083119</v>
      </c>
      <c r="AC65" s="3655">
        <f>AB65*(1+'1. CPI'!AP$49)</f>
        <v>7.6173351039298485</v>
      </c>
    </row>
    <row r="66" spans="1:29" s="1172" customFormat="1">
      <c r="A66" s="1174"/>
      <c r="B66" s="4515"/>
      <c r="C66" s="850" t="s">
        <v>2090</v>
      </c>
      <c r="D66" s="761" t="s">
        <v>2084</v>
      </c>
      <c r="E66" s="708">
        <v>7.3144</v>
      </c>
      <c r="F66" s="681">
        <v>6.3425000000000002</v>
      </c>
      <c r="G66" s="681">
        <v>7.1597</v>
      </c>
      <c r="H66" s="681">
        <v>5.5118</v>
      </c>
      <c r="I66" s="761">
        <v>5.0583</v>
      </c>
      <c r="J66" s="3653">
        <v>4.8846738524999989</v>
      </c>
      <c r="K66" s="3654">
        <v>5.0675625152414518</v>
      </c>
      <c r="L66" s="3654">
        <v>5.2572987718999968</v>
      </c>
      <c r="M66" s="3654">
        <v>5.45413900546707</v>
      </c>
      <c r="N66" s="3655">
        <v>5.6583491982530942</v>
      </c>
      <c r="O66" s="3748">
        <f>N66*(1+'1. CPI'!AB$49)</f>
        <v>5.7517119600242701</v>
      </c>
      <c r="P66" s="3654">
        <f>O66*(1+'1. CPI'!AC$49)</f>
        <v>5.8466152073646702</v>
      </c>
      <c r="Q66" s="3654">
        <f>P66*(1+'1. CPI'!AD$49)</f>
        <v>5.9430843582861872</v>
      </c>
      <c r="R66" s="3654">
        <f>Q66*(1+'1. CPI'!AE$49)</f>
        <v>6.0411452501979088</v>
      </c>
      <c r="S66" s="3654">
        <f>R66*(1+'1. CPI'!AF$49)</f>
        <v>6.1408241468261737</v>
      </c>
      <c r="T66" s="3654">
        <f>S66*(1+'1. CPI'!AG$49)</f>
        <v>6.242147745248805</v>
      </c>
      <c r="U66" s="3654">
        <f>T66*(1+'1. CPI'!AH$49)</f>
        <v>6.3451431830454101</v>
      </c>
      <c r="V66" s="3654">
        <f>U66*(1+'1. CPI'!AI$49)</f>
        <v>6.4498380455656594</v>
      </c>
      <c r="W66" s="3654">
        <f>V66*(1+'1. CPI'!AJ$49)</f>
        <v>6.5562603733174925</v>
      </c>
      <c r="X66" s="3654">
        <f>W66*(1+'1. CPI'!AK$49)</f>
        <v>6.6644386694772306</v>
      </c>
      <c r="Y66" s="3654">
        <f>X66*(1+'1. CPI'!AL$49)</f>
        <v>6.7744019075236048</v>
      </c>
      <c r="Z66" s="3654">
        <f>Y66*(1+'1. CPI'!AM$49)</f>
        <v>6.8861795389977436</v>
      </c>
      <c r="AA66" s="3654">
        <f>Z66*(1+'1. CPI'!AN$49)</f>
        <v>6.9998015013912065</v>
      </c>
      <c r="AB66" s="3654">
        <f>AA66*(1+'1. CPI'!AO$49)</f>
        <v>7.1152982261641613</v>
      </c>
      <c r="AC66" s="3655">
        <f>AB66*(1+'1. CPI'!AP$49)</f>
        <v>7.2327006468958697</v>
      </c>
    </row>
    <row r="67" spans="1:29" s="1172" customFormat="1">
      <c r="A67" s="1174"/>
      <c r="B67" s="4515"/>
      <c r="C67" s="850" t="s">
        <v>2091</v>
      </c>
      <c r="D67" s="761" t="s">
        <v>2086</v>
      </c>
      <c r="E67" s="708">
        <v>5.8775000000000004</v>
      </c>
      <c r="F67" s="681">
        <v>5.8151000000000002</v>
      </c>
      <c r="G67" s="681">
        <v>6.1546000000000003</v>
      </c>
      <c r="H67" s="681">
        <v>5.2492999999999999</v>
      </c>
      <c r="I67" s="761">
        <v>4.8121</v>
      </c>
      <c r="J67" s="3653">
        <v>4.6469246674999996</v>
      </c>
      <c r="K67" s="3654">
        <v>4.8209116856638392</v>
      </c>
      <c r="L67" s="3654">
        <v>5.0014130083743513</v>
      </c>
      <c r="M67" s="3654">
        <v>5.1886725398272331</v>
      </c>
      <c r="N67" s="3655">
        <v>5.3829433163145159</v>
      </c>
      <c r="O67" s="3748">
        <f>N67*(1+'1. CPI'!AB$49)</f>
        <v>5.4717618810337054</v>
      </c>
      <c r="P67" s="3654">
        <f>O67*(1+'1. CPI'!AC$49)</f>
        <v>5.5620459520707612</v>
      </c>
      <c r="Q67" s="3654">
        <f>P67*(1+'1. CPI'!AD$49)</f>
        <v>5.6538197102799286</v>
      </c>
      <c r="R67" s="3654">
        <f>Q67*(1+'1. CPI'!AE$49)</f>
        <v>5.7471077354995472</v>
      </c>
      <c r="S67" s="3654">
        <f>R67*(1+'1. CPI'!AF$49)</f>
        <v>5.8419350131352896</v>
      </c>
      <c r="T67" s="3654">
        <f>S67*(1+'1. CPI'!AG$49)</f>
        <v>5.9383269408520221</v>
      </c>
      <c r="U67" s="3654">
        <f>T67*(1+'1. CPI'!AH$49)</f>
        <v>6.0363093353760799</v>
      </c>
      <c r="V67" s="3654">
        <f>U67*(1+'1. CPI'!AI$49)</f>
        <v>6.1359084394097847</v>
      </c>
      <c r="W67" s="3654">
        <f>V67*(1+'1. CPI'!AJ$49)</f>
        <v>6.2371509286600455</v>
      </c>
      <c r="X67" s="3654">
        <f>W67*(1+'1. CPI'!AK$49)</f>
        <v>6.3400639189829358</v>
      </c>
      <c r="Y67" s="3654">
        <f>X67*(1+'1. CPI'!AL$49)</f>
        <v>6.4446749736461539</v>
      </c>
      <c r="Z67" s="3654">
        <f>Y67*(1+'1. CPI'!AM$49)</f>
        <v>6.5510121107113148</v>
      </c>
      <c r="AA67" s="3654">
        <f>Z67*(1+'1. CPI'!AN$49)</f>
        <v>6.6591038105380509</v>
      </c>
      <c r="AB67" s="3654">
        <f>AA67*(1+'1. CPI'!AO$49)</f>
        <v>6.7689790234119283</v>
      </c>
      <c r="AC67" s="3655">
        <f>AB67*(1+'1. CPI'!AP$49)</f>
        <v>6.8806671772982249</v>
      </c>
    </row>
    <row r="68" spans="1:29" s="1172" customFormat="1" ht="13.5" thickBot="1">
      <c r="A68" s="1174"/>
      <c r="B68" s="4664"/>
      <c r="C68" s="1544" t="s">
        <v>2092</v>
      </c>
      <c r="D68" s="764" t="s">
        <v>2088</v>
      </c>
      <c r="E68" s="1523">
        <v>4.3554000000000004</v>
      </c>
      <c r="F68" s="763">
        <v>3.0488</v>
      </c>
      <c r="G68" s="763">
        <v>4.0560999999999998</v>
      </c>
      <c r="H68" s="763">
        <v>4.9992999999999999</v>
      </c>
      <c r="I68" s="764">
        <v>4.5825000000000005</v>
      </c>
      <c r="J68" s="3656">
        <v>4.4252056875000001</v>
      </c>
      <c r="K68" s="3657">
        <v>4.5908912532064052</v>
      </c>
      <c r="L68" s="3657">
        <v>4.7627803060774854</v>
      </c>
      <c r="M68" s="3657">
        <v>4.9411051128942249</v>
      </c>
      <c r="N68" s="3658">
        <v>5.1261066368137147</v>
      </c>
      <c r="O68" s="3749">
        <f>N68*(1+'1. CPI'!AB$49)</f>
        <v>5.2106873963211404</v>
      </c>
      <c r="P68" s="3657">
        <f>O68*(1+'1. CPI'!AC$49)</f>
        <v>5.2966637383604391</v>
      </c>
      <c r="Q68" s="3657">
        <f>P68*(1+'1. CPI'!AD$49)</f>
        <v>5.3840586900433864</v>
      </c>
      <c r="R68" s="3657">
        <f>Q68*(1+'1. CPI'!AE$49)</f>
        <v>5.4728956584291018</v>
      </c>
      <c r="S68" s="3657">
        <f>R68*(1+'1. CPI'!AF$49)</f>
        <v>5.5631984367931819</v>
      </c>
      <c r="T68" s="3657">
        <f>S68*(1+'1. CPI'!AG$49)</f>
        <v>5.6549912110002696</v>
      </c>
      <c r="U68" s="3657">
        <f>T68*(1+'1. CPI'!AH$49)</f>
        <v>5.7482985659817736</v>
      </c>
      <c r="V68" s="3657">
        <f>U68*(1+'1. CPI'!AI$49)</f>
        <v>5.8431454923204722</v>
      </c>
      <c r="W68" s="3657">
        <f>V68*(1+'1. CPI'!AJ$49)</f>
        <v>5.93955739294376</v>
      </c>
      <c r="X68" s="3657">
        <f>W68*(1+'1. CPI'!AK$49)</f>
        <v>6.0375600899273314</v>
      </c>
      <c r="Y68" s="3657">
        <f>X68*(1+'1. CPI'!AL$49)</f>
        <v>6.1371798314111325</v>
      </c>
      <c r="Z68" s="3657">
        <f>Y68*(1+'1. CPI'!AM$49)</f>
        <v>6.2384432986294156</v>
      </c>
      <c r="AA68" s="3657">
        <f>Z68*(1+'1. CPI'!AN$49)</f>
        <v>6.3413776130568005</v>
      </c>
      <c r="AB68" s="3657">
        <f>AA68*(1+'1. CPI'!AO$49)</f>
        <v>6.4460103436722376</v>
      </c>
      <c r="AC68" s="3658">
        <f>AB68*(1+'1. CPI'!AP$49)</f>
        <v>6.5523695143428293</v>
      </c>
    </row>
    <row r="69" spans="1:29" s="1172" customFormat="1">
      <c r="A69" s="1174"/>
      <c r="B69" s="4514" t="s">
        <v>2079</v>
      </c>
      <c r="C69" s="4665" t="s">
        <v>239</v>
      </c>
      <c r="D69" s="4666"/>
      <c r="E69" s="1545">
        <v>8.8400000000000006E-2</v>
      </c>
      <c r="F69" s="1546">
        <v>0.14179999999999998</v>
      </c>
      <c r="G69" s="1546">
        <v>0.22749999999999998</v>
      </c>
      <c r="H69" s="1546">
        <v>0.19020000000000001</v>
      </c>
      <c r="I69" s="1548">
        <v>0.34639999999999999</v>
      </c>
      <c r="J69" s="1547">
        <v>0.3345098199999999</v>
      </c>
      <c r="K69" s="1546">
        <v>0.34703431098978693</v>
      </c>
      <c r="L69" s="1546">
        <v>0.35904405318356714</v>
      </c>
      <c r="M69" s="1546">
        <v>0.37350765108708334</v>
      </c>
      <c r="N69" s="1548">
        <v>0.38749227255696028</v>
      </c>
      <c r="O69" s="1545">
        <f>N69*(1+'1. CPI'!AB$49)</f>
        <v>0.39388589505415011</v>
      </c>
      <c r="P69" s="1546">
        <f>O69*(1+'1. CPI'!AC$49)</f>
        <v>0.40038501232254359</v>
      </c>
      <c r="Q69" s="1546">
        <f>P69*(1+'1. CPI'!AD$49)</f>
        <v>0.40699136502586553</v>
      </c>
      <c r="R69" s="1546">
        <f>Q69*(1+'1. CPI'!AE$49)</f>
        <v>0.41370672254879232</v>
      </c>
      <c r="S69" s="1546">
        <f>R69*(1+'1. CPI'!AF$49)</f>
        <v>0.42053288347084739</v>
      </c>
      <c r="T69" s="1546">
        <f>S69*(1+'1. CPI'!AG$49)</f>
        <v>0.42747167604811637</v>
      </c>
      <c r="U69" s="1546">
        <f>T69*(1+'1. CPI'!AH$49)</f>
        <v>0.43452495870291025</v>
      </c>
      <c r="V69" s="1546">
        <f>U69*(1+'1. CPI'!AI$49)</f>
        <v>0.44169462052150826</v>
      </c>
      <c r="W69" s="1546">
        <f>V69*(1+'1. CPI'!AJ$49)</f>
        <v>0.44898258176011313</v>
      </c>
      <c r="X69" s="1546">
        <f>W69*(1+'1. CPI'!AK$49)</f>
        <v>0.45639079435915497</v>
      </c>
      <c r="Y69" s="1546">
        <f>X69*(1+'1. CPI'!AL$49)</f>
        <v>0.46392124246608102</v>
      </c>
      <c r="Z69" s="1546">
        <f>Y69*(1+'1. CPI'!AM$49)</f>
        <v>0.47157594296677136</v>
      </c>
      <c r="AA69" s="1546">
        <f>Z69*(1+'1. CPI'!AN$49)</f>
        <v>0.47935694602572304</v>
      </c>
      <c r="AB69" s="1546">
        <f>AA69*(1+'1. CPI'!AO$49)</f>
        <v>0.48726633563514743</v>
      </c>
      <c r="AC69" s="1548">
        <f>AB69*(1+'1. CPI'!AP$49)</f>
        <v>0.49530623017312736</v>
      </c>
    </row>
    <row r="70" spans="1:29" s="1172" customFormat="1">
      <c r="A70" s="1174"/>
      <c r="B70" s="4515"/>
      <c r="C70" s="850" t="s">
        <v>2081</v>
      </c>
      <c r="D70" s="761" t="s">
        <v>2082</v>
      </c>
      <c r="E70" s="708">
        <v>8.1343999999999994</v>
      </c>
      <c r="F70" s="681">
        <v>8.3293999999999997</v>
      </c>
      <c r="G70" s="681">
        <v>7.3305999999999996</v>
      </c>
      <c r="H70" s="681">
        <v>7.7289000000000003</v>
      </c>
      <c r="I70" s="761">
        <v>6.6103000000000005</v>
      </c>
      <c r="J70" s="3653">
        <v>6.3834014525000002</v>
      </c>
      <c r="K70" s="3654">
        <v>6.6224044628631313</v>
      </c>
      <c r="L70" s="3654">
        <v>6.8703560626871791</v>
      </c>
      <c r="M70" s="3654">
        <v>7.1275912990212094</v>
      </c>
      <c r="N70" s="3655">
        <v>7.3944577635198456</v>
      </c>
      <c r="O70" s="3748">
        <f>N70*(1+'1. CPI'!AB$49)</f>
        <v>7.5164663166179224</v>
      </c>
      <c r="P70" s="3654">
        <f>O70*(1+'1. CPI'!AC$49)</f>
        <v>7.6404880108421178</v>
      </c>
      <c r="Q70" s="3654">
        <f>P70*(1+'1. CPI'!AD$49)</f>
        <v>7.7665560630210129</v>
      </c>
      <c r="R70" s="3654">
        <f>Q70*(1+'1. CPI'!AE$49)</f>
        <v>7.894704238060859</v>
      </c>
      <c r="S70" s="3654">
        <f>R70*(1+'1. CPI'!AF$49)</f>
        <v>8.0249668579888631</v>
      </c>
      <c r="T70" s="3654">
        <f>S70*(1+'1. CPI'!AG$49)</f>
        <v>8.1573788111456782</v>
      </c>
      <c r="U70" s="3654">
        <f>T70*(1+'1. CPI'!AH$49)</f>
        <v>8.2919755615295809</v>
      </c>
      <c r="V70" s="3654">
        <f>U70*(1+'1. CPI'!AI$49)</f>
        <v>8.4287931582948179</v>
      </c>
      <c r="W70" s="3654">
        <f>V70*(1+'1. CPI'!AJ$49)</f>
        <v>8.5678682454066823</v>
      </c>
      <c r="X70" s="3654">
        <f>W70*(1+'1. CPI'!AK$49)</f>
        <v>8.7092380714558928</v>
      </c>
      <c r="Y70" s="3654">
        <f>X70*(1+'1. CPI'!AL$49)</f>
        <v>8.852940499634915</v>
      </c>
      <c r="Z70" s="3654">
        <f>Y70*(1+'1. CPI'!AM$49)</f>
        <v>8.9990140178788902</v>
      </c>
      <c r="AA70" s="3654">
        <f>Z70*(1+'1. CPI'!AN$49)</f>
        <v>9.1474977491738922</v>
      </c>
      <c r="AB70" s="3654">
        <f>AA70*(1+'1. CPI'!AO$49)</f>
        <v>9.2984314620352606</v>
      </c>
      <c r="AC70" s="3655">
        <f>AB70*(1+'1. CPI'!AP$49)</f>
        <v>9.4518555811588421</v>
      </c>
    </row>
    <row r="71" spans="1:29" s="1172" customFormat="1">
      <c r="A71" s="1174"/>
      <c r="B71" s="4515"/>
      <c r="C71" s="850" t="s">
        <v>2083</v>
      </c>
      <c r="D71" s="761" t="s">
        <v>2084</v>
      </c>
      <c r="E71" s="708">
        <v>7.6212999999999997</v>
      </c>
      <c r="F71" s="681">
        <v>7.8038999999999996</v>
      </c>
      <c r="G71" s="681">
        <v>6.9627999999999997</v>
      </c>
      <c r="H71" s="681">
        <v>7.1403999999999996</v>
      </c>
      <c r="I71" s="761">
        <v>6.1982999999999997</v>
      </c>
      <c r="J71" s="3653">
        <v>5.9855433524999997</v>
      </c>
      <c r="K71" s="3654">
        <v>6.2096500283140772</v>
      </c>
      <c r="L71" s="3654">
        <v>6.4421475550813039</v>
      </c>
      <c r="M71" s="3654">
        <v>6.6833500973818376</v>
      </c>
      <c r="N71" s="3655">
        <v>6.9335835825340846</v>
      </c>
      <c r="O71" s="3748">
        <f>N71*(1+'1. CPI'!AB$49)</f>
        <v>7.0479877116458969</v>
      </c>
      <c r="P71" s="3654">
        <f>O71*(1+'1. CPI'!AC$49)</f>
        <v>7.164279508888054</v>
      </c>
      <c r="Q71" s="3654">
        <f>P71*(1+'1. CPI'!AD$49)</f>
        <v>7.2824901207847068</v>
      </c>
      <c r="R71" s="3654">
        <f>Q71*(1+'1. CPI'!AE$49)</f>
        <v>7.4026512077776543</v>
      </c>
      <c r="S71" s="3654">
        <f>R71*(1+'1. CPI'!AF$49)</f>
        <v>7.5247949527059852</v>
      </c>
      <c r="T71" s="3654">
        <f>S71*(1+'1. CPI'!AG$49)</f>
        <v>7.6489540694256339</v>
      </c>
      <c r="U71" s="3654">
        <f>T71*(1+'1. CPI'!AH$49)</f>
        <v>7.7751618115711567</v>
      </c>
      <c r="V71" s="3654">
        <f>U71*(1+'1. CPI'!AI$49)</f>
        <v>7.9034519814620801</v>
      </c>
      <c r="W71" s="3654">
        <f>V71*(1+'1. CPI'!AJ$49)</f>
        <v>8.0338589391562039</v>
      </c>
      <c r="X71" s="3654">
        <f>W71*(1+'1. CPI'!AK$49)</f>
        <v>8.1664176116522817</v>
      </c>
      <c r="Y71" s="3654">
        <f>X71*(1+'1. CPI'!AL$49)</f>
        <v>8.3011635022445436</v>
      </c>
      <c r="Z71" s="3654">
        <f>Y71*(1+'1. CPI'!AM$49)</f>
        <v>8.4381327000315789</v>
      </c>
      <c r="AA71" s="3654">
        <f>Z71*(1+'1. CPI'!AN$49)</f>
        <v>8.5773618895821002</v>
      </c>
      <c r="AB71" s="3654">
        <f>AA71*(1+'1. CPI'!AO$49)</f>
        <v>8.7188883607602037</v>
      </c>
      <c r="AC71" s="3655">
        <f>AB71*(1+'1. CPI'!AP$49)</f>
        <v>8.862750018712747</v>
      </c>
    </row>
    <row r="72" spans="1:29" s="1172" customFormat="1">
      <c r="A72" s="1174"/>
      <c r="B72" s="4515"/>
      <c r="C72" s="850" t="s">
        <v>2085</v>
      </c>
      <c r="D72" s="761" t="s">
        <v>2086</v>
      </c>
      <c r="E72" s="708">
        <v>6.1375999999999999</v>
      </c>
      <c r="F72" s="681">
        <v>6.5411000000000001</v>
      </c>
      <c r="G72" s="681">
        <v>6.0792000000000002</v>
      </c>
      <c r="H72" s="681">
        <v>5.7267000000000001</v>
      </c>
      <c r="I72" s="761">
        <v>5.2087000000000003</v>
      </c>
      <c r="J72" s="3653">
        <v>5.0299113725</v>
      </c>
      <c r="K72" s="3654">
        <v>5.2182379204748948</v>
      </c>
      <c r="L72" s="3654">
        <v>5.4136156639969011</v>
      </c>
      <c r="M72" s="3654">
        <v>5.616308609172318</v>
      </c>
      <c r="N72" s="3655">
        <v>5.8265906468459558</v>
      </c>
      <c r="O72" s="3748">
        <f>N72*(1+'1. CPI'!AB$49)</f>
        <v>5.9227293925189137</v>
      </c>
      <c r="P72" s="3654">
        <f>O72*(1+'1. CPI'!AC$49)</f>
        <v>6.0204544274954754</v>
      </c>
      <c r="Q72" s="3654">
        <f>P72*(1+'1. CPI'!AD$49)</f>
        <v>6.1197919255491504</v>
      </c>
      <c r="R72" s="3654">
        <f>Q72*(1+'1. CPI'!AE$49)</f>
        <v>6.2207684923207109</v>
      </c>
      <c r="S72" s="3654">
        <f>R72*(1+'1. CPI'!AF$49)</f>
        <v>6.3234111724440023</v>
      </c>
      <c r="T72" s="3654">
        <f>S72*(1+'1. CPI'!AG$49)</f>
        <v>6.4277474567893282</v>
      </c>
      <c r="U72" s="3654">
        <f>T72*(1+'1. CPI'!AH$49)</f>
        <v>6.5338052898263523</v>
      </c>
      <c r="V72" s="3654">
        <f>U72*(1+'1. CPI'!AI$49)</f>
        <v>6.6416130771084871</v>
      </c>
      <c r="W72" s="3654">
        <f>V72*(1+'1. CPI'!AJ$49)</f>
        <v>6.7511996928807765</v>
      </c>
      <c r="X72" s="3654">
        <f>W72*(1+'1. CPI'!AK$49)</f>
        <v>6.8625944878133094</v>
      </c>
      <c r="Y72" s="3654">
        <f>X72*(1+'1. CPI'!AL$49)</f>
        <v>6.9758272968622288</v>
      </c>
      <c r="Z72" s="3654">
        <f>Y72*(1+'1. CPI'!AM$49)</f>
        <v>7.0909284472604552</v>
      </c>
      <c r="AA72" s="3654">
        <f>Z72*(1+'1. CPI'!AN$49)</f>
        <v>7.2079287666402525</v>
      </c>
      <c r="AB72" s="3654">
        <f>AA72*(1+'1. CPI'!AO$49)</f>
        <v>7.326859591289816</v>
      </c>
      <c r="AC72" s="3655">
        <f>AB72*(1+'1. CPI'!AP$49)</f>
        <v>7.4477527745460979</v>
      </c>
    </row>
    <row r="73" spans="1:29" s="1172" customFormat="1">
      <c r="A73" s="1174"/>
      <c r="B73" s="4515"/>
      <c r="C73" s="850" t="s">
        <v>2087</v>
      </c>
      <c r="D73" s="761" t="s">
        <v>2088</v>
      </c>
      <c r="E73" s="708">
        <v>4.4992999999999999</v>
      </c>
      <c r="F73" s="681">
        <v>5.0430000000000001</v>
      </c>
      <c r="G73" s="681">
        <v>4.9512999999999998</v>
      </c>
      <c r="H73" s="681">
        <v>4.6345999999999998</v>
      </c>
      <c r="I73" s="761">
        <v>4.4439000000000002</v>
      </c>
      <c r="J73" s="3653">
        <v>4.2913631324999999</v>
      </c>
      <c r="K73" s="3654">
        <v>4.452037455564418</v>
      </c>
      <c r="L73" s="3654">
        <v>4.6187276382275479</v>
      </c>
      <c r="M73" s="3654">
        <v>4.7916589222456398</v>
      </c>
      <c r="N73" s="3655">
        <v>4.9710649827248146</v>
      </c>
      <c r="O73" s="3748">
        <f>N73*(1+'1. CPI'!AB$49)</f>
        <v>5.0530875549397738</v>
      </c>
      <c r="P73" s="3654">
        <f>O73*(1+'1. CPI'!AC$49)</f>
        <v>5.1364634995962799</v>
      </c>
      <c r="Q73" s="3654">
        <f>P73*(1+'1. CPI'!AD$49)</f>
        <v>5.2212151473396187</v>
      </c>
      <c r="R73" s="3654">
        <f>Q73*(1+'1. CPI'!AE$49)</f>
        <v>5.3073651972707223</v>
      </c>
      <c r="S73" s="3654">
        <f>R73*(1+'1. CPI'!AF$49)</f>
        <v>5.3949367230256886</v>
      </c>
      <c r="T73" s="3654">
        <f>S73*(1+'1. CPI'!AG$49)</f>
        <v>5.4839531789556126</v>
      </c>
      <c r="U73" s="3654">
        <f>T73*(1+'1. CPI'!AH$49)</f>
        <v>5.5744384064083796</v>
      </c>
      <c r="V73" s="3654">
        <f>U73*(1+'1. CPI'!AI$49)</f>
        <v>5.6664166401141181</v>
      </c>
      <c r="W73" s="3654">
        <f>V73*(1+'1. CPI'!AJ$49)</f>
        <v>5.7599125146760004</v>
      </c>
      <c r="X73" s="3654">
        <f>W73*(1+'1. CPI'!AK$49)</f>
        <v>5.8549510711681538</v>
      </c>
      <c r="Y73" s="3654">
        <f>X73*(1+'1. CPI'!AL$49)</f>
        <v>5.9515577638424277</v>
      </c>
      <c r="Z73" s="3654">
        <f>Y73*(1+'1. CPI'!AM$49)</f>
        <v>6.0497584669458275</v>
      </c>
      <c r="AA73" s="3654">
        <f>Z73*(1+'1. CPI'!AN$49)</f>
        <v>6.1495794816504334</v>
      </c>
      <c r="AB73" s="3654">
        <f>AA73*(1+'1. CPI'!AO$49)</f>
        <v>6.2510475430976653</v>
      </c>
      <c r="AC73" s="3655">
        <f>AB73*(1+'1. CPI'!AP$49)</f>
        <v>6.3541898275587769</v>
      </c>
    </row>
    <row r="74" spans="1:29" s="1172" customFormat="1">
      <c r="A74" s="1174"/>
      <c r="B74" s="4515"/>
      <c r="C74" s="850" t="s">
        <v>2089</v>
      </c>
      <c r="D74" s="761" t="s">
        <v>2082</v>
      </c>
      <c r="E74" s="708">
        <v>7.8194999999999997</v>
      </c>
      <c r="F74" s="681">
        <v>7.9326999999999996</v>
      </c>
      <c r="G74" s="681">
        <v>6.9814999999999996</v>
      </c>
      <c r="H74" s="681">
        <v>5.5537999999999998</v>
      </c>
      <c r="I74" s="761">
        <v>5.0876999999999999</v>
      </c>
      <c r="J74" s="3653">
        <v>4.9130646974999994</v>
      </c>
      <c r="K74" s="3654">
        <v>5.0970163511049051</v>
      </c>
      <c r="L74" s="3654">
        <v>5.2878553984136216</v>
      </c>
      <c r="M74" s="3654">
        <v>5.4858397125743474</v>
      </c>
      <c r="N74" s="3655">
        <v>5.6912368218477098</v>
      </c>
      <c r="O74" s="3748">
        <f>N74*(1+'1. CPI'!AB$49)</f>
        <v>5.7851422294081969</v>
      </c>
      <c r="P74" s="3654">
        <f>O74*(1+'1. CPI'!AC$49)</f>
        <v>5.8805970761934319</v>
      </c>
      <c r="Q74" s="3654">
        <f>P74*(1+'1. CPI'!AD$49)</f>
        <v>5.9776269279506229</v>
      </c>
      <c r="R74" s="3654">
        <f>Q74*(1+'1. CPI'!AE$49)</f>
        <v>6.0762577722618083</v>
      </c>
      <c r="S74" s="3654">
        <f>R74*(1+'1. CPI'!AF$49)</f>
        <v>6.176516025504128</v>
      </c>
      <c r="T74" s="3654">
        <f>S74*(1+'1. CPI'!AG$49)</f>
        <v>6.2784285399249455</v>
      </c>
      <c r="U74" s="3654">
        <f>T74*(1+'1. CPI'!AH$49)</f>
        <v>6.3820226108337073</v>
      </c>
      <c r="V74" s="3654">
        <f>U74*(1+'1. CPI'!AI$49)</f>
        <v>6.4873259839124628</v>
      </c>
      <c r="W74" s="3654">
        <f>V74*(1+'1. CPI'!AJ$49)</f>
        <v>6.5943668626470187</v>
      </c>
      <c r="X74" s="3654">
        <f>W74*(1+'1. CPI'!AK$49)</f>
        <v>6.7031739158806944</v>
      </c>
      <c r="Y74" s="3654">
        <f>X74*(1+'1. CPI'!AL$49)</f>
        <v>6.8137762854927253</v>
      </c>
      <c r="Z74" s="3654">
        <f>Y74*(1+'1. CPI'!AM$49)</f>
        <v>6.9262035942033551</v>
      </c>
      <c r="AA74" s="3654">
        <f>Z74*(1+'1. CPI'!AN$49)</f>
        <v>7.0404859535077104</v>
      </c>
      <c r="AB74" s="3654">
        <f>AA74*(1+'1. CPI'!AO$49)</f>
        <v>7.156653971740587</v>
      </c>
      <c r="AC74" s="3655">
        <f>AB74*(1+'1. CPI'!AP$49)</f>
        <v>7.274738762274306</v>
      </c>
    </row>
    <row r="75" spans="1:29" s="1172" customFormat="1">
      <c r="A75" s="1174"/>
      <c r="B75" s="4515"/>
      <c r="C75" s="850" t="s">
        <v>2090</v>
      </c>
      <c r="D75" s="761" t="s">
        <v>2084</v>
      </c>
      <c r="E75" s="708">
        <v>7.2507999999999999</v>
      </c>
      <c r="F75" s="681">
        <v>7.4321999999999999</v>
      </c>
      <c r="G75" s="681">
        <v>6.0792000000000002</v>
      </c>
      <c r="H75" s="681">
        <v>5.2892999999999999</v>
      </c>
      <c r="I75" s="761">
        <v>4.8454000000000006</v>
      </c>
      <c r="J75" s="3653">
        <v>4.6790816450000001</v>
      </c>
      <c r="K75" s="3654">
        <v>4.8542726630193815</v>
      </c>
      <c r="L75" s="3654">
        <v>5.0360230649357005</v>
      </c>
      <c r="M75" s="3654">
        <v>5.2245784427752708</v>
      </c>
      <c r="N75" s="3655">
        <v>5.4201935838553563</v>
      </c>
      <c r="O75" s="3748">
        <f>N75*(1+'1. CPI'!AB$49)</f>
        <v>5.5096267779889692</v>
      </c>
      <c r="P75" s="3654">
        <f>O75*(1+'1. CPI'!AC$49)</f>
        <v>5.600535619825787</v>
      </c>
      <c r="Q75" s="3654">
        <f>P75*(1+'1. CPI'!AD$49)</f>
        <v>5.6929444575529118</v>
      </c>
      <c r="R75" s="3654">
        <f>Q75*(1+'1. CPI'!AE$49)</f>
        <v>5.7868780411025345</v>
      </c>
      <c r="S75" s="3654">
        <f>R75*(1+'1. CPI'!AF$49)</f>
        <v>5.8823615287807263</v>
      </c>
      <c r="T75" s="3654">
        <f>S75*(1+'1. CPI'!AG$49)</f>
        <v>5.9794204940056082</v>
      </c>
      <c r="U75" s="3654">
        <f>T75*(1+'1. CPI'!AH$49)</f>
        <v>6.0780809321567002</v>
      </c>
      <c r="V75" s="3654">
        <f>U75*(1+'1. CPI'!AI$49)</f>
        <v>6.1783692675372857</v>
      </c>
      <c r="W75" s="3654">
        <f>V75*(1+'1. CPI'!AJ$49)</f>
        <v>6.2803123604516502</v>
      </c>
      <c r="X75" s="3654">
        <f>W75*(1+'1. CPI'!AK$49)</f>
        <v>6.3839375143991024</v>
      </c>
      <c r="Y75" s="3654">
        <f>X75*(1+'1. CPI'!AL$49)</f>
        <v>6.4892724833866877</v>
      </c>
      <c r="Z75" s="3654">
        <f>Y75*(1+'1. CPI'!AM$49)</f>
        <v>6.5963454793625678</v>
      </c>
      <c r="AA75" s="3654">
        <f>Z75*(1+'1. CPI'!AN$49)</f>
        <v>6.7051851797720499</v>
      </c>
      <c r="AB75" s="3654">
        <f>AA75*(1+'1. CPI'!AO$49)</f>
        <v>6.8158207352382885</v>
      </c>
      <c r="AC75" s="3655">
        <f>AB75*(1+'1. CPI'!AP$49)</f>
        <v>6.9282817773697198</v>
      </c>
    </row>
    <row r="76" spans="1:29" s="1172" customFormat="1">
      <c r="A76" s="1174"/>
      <c r="B76" s="4515"/>
      <c r="C76" s="850" t="s">
        <v>2091</v>
      </c>
      <c r="D76" s="761" t="s">
        <v>2086</v>
      </c>
      <c r="E76" s="708">
        <v>6.0285000000000002</v>
      </c>
      <c r="F76" s="681">
        <v>6.2249999999999996</v>
      </c>
      <c r="G76" s="681">
        <v>5.7896999999999998</v>
      </c>
      <c r="H76" s="681">
        <v>4.7076000000000002</v>
      </c>
      <c r="I76" s="761">
        <v>4.4954000000000001</v>
      </c>
      <c r="J76" s="3653">
        <v>4.341095395</v>
      </c>
      <c r="K76" s="3654">
        <v>4.5036317598830502</v>
      </c>
      <c r="L76" s="3654">
        <v>4.672253701678283</v>
      </c>
      <c r="M76" s="3654">
        <v>4.8471890724505631</v>
      </c>
      <c r="N76" s="3655">
        <v>5.0286742553480366</v>
      </c>
      <c r="O76" s="3748">
        <f>N76*(1+'1. CPI'!AB$49)</f>
        <v>5.111647380561279</v>
      </c>
      <c r="P76" s="3654">
        <f>O76*(1+'1. CPI'!AC$49)</f>
        <v>5.1959895623405403</v>
      </c>
      <c r="Q76" s="3654">
        <f>P76*(1+'1. CPI'!AD$49)</f>
        <v>5.2817233901191587</v>
      </c>
      <c r="R76" s="3654">
        <f>Q76*(1+'1. CPI'!AE$49)</f>
        <v>5.3688718260561243</v>
      </c>
      <c r="S76" s="3654">
        <f>R76*(1+'1. CPI'!AF$49)</f>
        <v>5.4574582111860499</v>
      </c>
      <c r="T76" s="3654">
        <f>S76*(1+'1. CPI'!AG$49)</f>
        <v>5.5475062716706196</v>
      </c>
      <c r="U76" s="3654">
        <f>T76*(1+'1. CPI'!AH$49)</f>
        <v>5.6390401251531843</v>
      </c>
      <c r="V76" s="3654">
        <f>U76*(1+'1. CPI'!AI$49)</f>
        <v>5.7320842872182114</v>
      </c>
      <c r="W76" s="3654">
        <f>V76*(1+'1. CPI'!AJ$49)</f>
        <v>5.8266636779573115</v>
      </c>
      <c r="X76" s="3654">
        <f>W76*(1+'1. CPI'!AK$49)</f>
        <v>5.9228036286436065</v>
      </c>
      <c r="Y76" s="3654">
        <f>X76*(1+'1. CPI'!AL$49)</f>
        <v>6.0205298885162257</v>
      </c>
      <c r="Z76" s="3654">
        <f>Y76*(1+'1. CPI'!AM$49)</f>
        <v>6.1198686316767432</v>
      </c>
      <c r="AA76" s="3654">
        <f>Z76*(1+'1. CPI'!AN$49)</f>
        <v>6.2208464640994094</v>
      </c>
      <c r="AB76" s="3654">
        <f>AA76*(1+'1. CPI'!AO$49)</f>
        <v>6.3234904307570492</v>
      </c>
      <c r="AC76" s="3655">
        <f>AB76*(1+'1. CPI'!AP$49)</f>
        <v>6.4278280228645404</v>
      </c>
    </row>
    <row r="77" spans="1:29" s="1172" customFormat="1" ht="13.5" thickBot="1">
      <c r="A77" s="1174"/>
      <c r="B77" s="4664"/>
      <c r="C77" s="1544" t="s">
        <v>2092</v>
      </c>
      <c r="D77" s="764" t="s">
        <v>2088</v>
      </c>
      <c r="E77" s="1523">
        <v>4.3993000000000002</v>
      </c>
      <c r="F77" s="763">
        <v>3.0796000000000001</v>
      </c>
      <c r="G77" s="763">
        <v>4.7153999999999998</v>
      </c>
      <c r="H77" s="763">
        <v>4.4138999999799298</v>
      </c>
      <c r="I77" s="764">
        <v>4.2322000000000006</v>
      </c>
      <c r="J77" s="3656">
        <v>4.086929735</v>
      </c>
      <c r="K77" s="3657">
        <v>4.2399498007245278</v>
      </c>
      <c r="L77" s="3657">
        <v>4.398699140508703</v>
      </c>
      <c r="M77" s="3657">
        <v>4.5633922659663808</v>
      </c>
      <c r="N77" s="3658">
        <v>4.7342517203105299</v>
      </c>
      <c r="O77" s="3749">
        <f>N77*(1+'1. CPI'!AB$49)</f>
        <v>4.8123668736956535</v>
      </c>
      <c r="P77" s="3657">
        <f>O77*(1+'1. CPI'!AC$49)</f>
        <v>4.8917709271116312</v>
      </c>
      <c r="Q77" s="3657">
        <f>P77*(1+'1. CPI'!AD$49)</f>
        <v>4.9724851474089728</v>
      </c>
      <c r="R77" s="3657">
        <f>Q77*(1+'1. CPI'!AE$49)</f>
        <v>5.0545311523412204</v>
      </c>
      <c r="S77" s="3657">
        <f>R77*(1+'1. CPI'!AF$49)</f>
        <v>5.1379309163548506</v>
      </c>
      <c r="T77" s="3657">
        <f>S77*(1+'1. CPI'!AG$49)</f>
        <v>5.2227067764747055</v>
      </c>
      <c r="U77" s="3657">
        <f>T77*(1+'1. CPI'!AH$49)</f>
        <v>5.3088814382865381</v>
      </c>
      <c r="V77" s="3657">
        <f>U77*(1+'1. CPI'!AI$49)</f>
        <v>5.3964779820182658</v>
      </c>
      <c r="W77" s="3657">
        <f>V77*(1+'1. CPI'!AJ$49)</f>
        <v>5.4855198687215667</v>
      </c>
      <c r="X77" s="3657">
        <f>W77*(1+'1. CPI'!AK$49)</f>
        <v>5.5760309465554725</v>
      </c>
      <c r="Y77" s="3657">
        <f>X77*(1+'1. CPI'!AL$49)</f>
        <v>5.6680354571736373</v>
      </c>
      <c r="Z77" s="3657">
        <f>Y77*(1+'1. CPI'!AM$49)</f>
        <v>5.7615580422170023</v>
      </c>
      <c r="AA77" s="3657">
        <f>Z77*(1+'1. CPI'!AN$49)</f>
        <v>5.8566237499135827</v>
      </c>
      <c r="AB77" s="3657">
        <f>AA77*(1+'1. CPI'!AO$49)</f>
        <v>5.9532580417871568</v>
      </c>
      <c r="AC77" s="3658">
        <f>AB77*(1+'1. CPI'!AP$49)</f>
        <v>6.0514867994766446</v>
      </c>
    </row>
    <row r="78" spans="1:29" s="1172" customFormat="1" hidden="1">
      <c r="A78" s="1174"/>
      <c r="B78" s="4514" t="s">
        <v>1420</v>
      </c>
      <c r="C78" s="4665" t="s">
        <v>239</v>
      </c>
      <c r="D78" s="4666"/>
      <c r="E78" s="1545"/>
      <c r="F78" s="1546"/>
      <c r="G78" s="1546"/>
      <c r="H78" s="1546"/>
      <c r="I78" s="1548"/>
      <c r="J78" s="1547"/>
      <c r="K78" s="1546"/>
      <c r="L78" s="1546"/>
      <c r="M78" s="1546"/>
      <c r="N78" s="1548"/>
      <c r="O78" s="1545"/>
      <c r="P78" s="1546"/>
      <c r="Q78" s="1546"/>
      <c r="R78" s="1546"/>
      <c r="S78" s="1546"/>
      <c r="T78" s="1546"/>
      <c r="U78" s="1546"/>
      <c r="V78" s="1546"/>
      <c r="W78" s="1546"/>
      <c r="X78" s="1546"/>
      <c r="Y78" s="1546"/>
      <c r="Z78" s="1546"/>
      <c r="AA78" s="1546"/>
      <c r="AB78" s="1546"/>
      <c r="AC78" s="1548"/>
    </row>
    <row r="79" spans="1:29" s="1172" customFormat="1" hidden="1">
      <c r="A79" s="1174"/>
      <c r="B79" s="4515"/>
      <c r="C79" s="850" t="s">
        <v>269</v>
      </c>
      <c r="D79" s="761" t="s">
        <v>268</v>
      </c>
      <c r="E79" s="708"/>
      <c r="F79" s="681"/>
      <c r="G79" s="681"/>
      <c r="H79" s="681"/>
      <c r="I79" s="761"/>
      <c r="J79" s="757"/>
      <c r="K79" s="681"/>
      <c r="L79" s="681"/>
      <c r="M79" s="681"/>
      <c r="N79" s="761"/>
      <c r="O79" s="708"/>
      <c r="P79" s="681"/>
      <c r="Q79" s="681"/>
      <c r="R79" s="681"/>
      <c r="S79" s="681"/>
      <c r="T79" s="681"/>
      <c r="U79" s="681"/>
      <c r="V79" s="681"/>
      <c r="W79" s="681"/>
      <c r="X79" s="681"/>
      <c r="Y79" s="681"/>
      <c r="Z79" s="681"/>
      <c r="AA79" s="681"/>
      <c r="AB79" s="681"/>
      <c r="AC79" s="761"/>
    </row>
    <row r="80" spans="1:29" s="1172" customFormat="1" hidden="1">
      <c r="A80" s="1174"/>
      <c r="B80" s="4515"/>
      <c r="C80" s="850" t="s">
        <v>269</v>
      </c>
      <c r="D80" s="761" t="s">
        <v>268</v>
      </c>
      <c r="E80" s="708"/>
      <c r="F80" s="681"/>
      <c r="G80" s="681"/>
      <c r="H80" s="681"/>
      <c r="I80" s="761"/>
      <c r="J80" s="757"/>
      <c r="K80" s="681"/>
      <c r="L80" s="681"/>
      <c r="M80" s="681"/>
      <c r="N80" s="761"/>
      <c r="O80" s="708"/>
      <c r="P80" s="681"/>
      <c r="Q80" s="681"/>
      <c r="R80" s="681"/>
      <c r="S80" s="681"/>
      <c r="T80" s="681"/>
      <c r="U80" s="681"/>
      <c r="V80" s="681"/>
      <c r="W80" s="681"/>
      <c r="X80" s="681"/>
      <c r="Y80" s="681"/>
      <c r="Z80" s="681"/>
      <c r="AA80" s="681"/>
      <c r="AB80" s="681"/>
      <c r="AC80" s="761"/>
    </row>
    <row r="81" spans="1:135" s="1172" customFormat="1" hidden="1">
      <c r="A81" s="1174"/>
      <c r="B81" s="4515"/>
      <c r="C81" s="850" t="s">
        <v>269</v>
      </c>
      <c r="D81" s="761" t="s">
        <v>268</v>
      </c>
      <c r="E81" s="708"/>
      <c r="F81" s="681"/>
      <c r="G81" s="681"/>
      <c r="H81" s="681"/>
      <c r="I81" s="761"/>
      <c r="J81" s="757"/>
      <c r="K81" s="681"/>
      <c r="L81" s="681"/>
      <c r="M81" s="681"/>
      <c r="N81" s="761"/>
      <c r="O81" s="708"/>
      <c r="P81" s="681"/>
      <c r="Q81" s="681"/>
      <c r="R81" s="681"/>
      <c r="S81" s="681"/>
      <c r="T81" s="681"/>
      <c r="U81" s="681"/>
      <c r="V81" s="681"/>
      <c r="W81" s="681"/>
      <c r="X81" s="681"/>
      <c r="Y81" s="681"/>
      <c r="Z81" s="681"/>
      <c r="AA81" s="681"/>
      <c r="AB81" s="681"/>
      <c r="AC81" s="761"/>
    </row>
    <row r="82" spans="1:135" s="1172" customFormat="1" hidden="1">
      <c r="A82" s="1174"/>
      <c r="B82" s="4515"/>
      <c r="C82" s="850" t="s">
        <v>269</v>
      </c>
      <c r="D82" s="761" t="s">
        <v>268</v>
      </c>
      <c r="E82" s="708"/>
      <c r="F82" s="681"/>
      <c r="G82" s="681"/>
      <c r="H82" s="681"/>
      <c r="I82" s="761"/>
      <c r="J82" s="757"/>
      <c r="K82" s="681"/>
      <c r="L82" s="681"/>
      <c r="M82" s="681"/>
      <c r="N82" s="761"/>
      <c r="O82" s="708"/>
      <c r="P82" s="681"/>
      <c r="Q82" s="681"/>
      <c r="R82" s="681"/>
      <c r="S82" s="681"/>
      <c r="T82" s="681"/>
      <c r="U82" s="681"/>
      <c r="V82" s="681"/>
      <c r="W82" s="681"/>
      <c r="X82" s="681"/>
      <c r="Y82" s="681"/>
      <c r="Z82" s="681"/>
      <c r="AA82" s="681"/>
      <c r="AB82" s="681"/>
      <c r="AC82" s="761"/>
    </row>
    <row r="83" spans="1:135" s="1172" customFormat="1" hidden="1">
      <c r="A83" s="1174"/>
      <c r="B83" s="4515"/>
      <c r="C83" s="850" t="s">
        <v>269</v>
      </c>
      <c r="D83" s="761" t="s">
        <v>268</v>
      </c>
      <c r="E83" s="708"/>
      <c r="F83" s="681"/>
      <c r="G83" s="681"/>
      <c r="H83" s="681"/>
      <c r="I83" s="761"/>
      <c r="J83" s="757"/>
      <c r="K83" s="681"/>
      <c r="L83" s="681"/>
      <c r="M83" s="681"/>
      <c r="N83" s="761"/>
      <c r="O83" s="708"/>
      <c r="P83" s="681"/>
      <c r="Q83" s="681"/>
      <c r="R83" s="681"/>
      <c r="S83" s="681"/>
      <c r="T83" s="681"/>
      <c r="U83" s="681"/>
      <c r="V83" s="681"/>
      <c r="W83" s="681"/>
      <c r="X83" s="681"/>
      <c r="Y83" s="681"/>
      <c r="Z83" s="681"/>
      <c r="AA83" s="681"/>
      <c r="AB83" s="681"/>
      <c r="AC83" s="761"/>
    </row>
    <row r="84" spans="1:135" s="1172" customFormat="1" ht="13.5" hidden="1" thickBot="1">
      <c r="A84" s="1174"/>
      <c r="B84" s="4664"/>
      <c r="C84" s="1544" t="s">
        <v>269</v>
      </c>
      <c r="D84" s="764" t="s">
        <v>268</v>
      </c>
      <c r="E84" s="1523"/>
      <c r="F84" s="763"/>
      <c r="G84" s="763"/>
      <c r="H84" s="763"/>
      <c r="I84" s="764"/>
      <c r="J84" s="766"/>
      <c r="K84" s="763"/>
      <c r="L84" s="763"/>
      <c r="M84" s="763"/>
      <c r="N84" s="764"/>
      <c r="O84" s="1523"/>
      <c r="P84" s="763"/>
      <c r="Q84" s="763"/>
      <c r="R84" s="763"/>
      <c r="S84" s="763"/>
      <c r="T84" s="763"/>
      <c r="U84" s="763"/>
      <c r="V84" s="763"/>
      <c r="W84" s="763"/>
      <c r="X84" s="763"/>
      <c r="Y84" s="763"/>
      <c r="Z84" s="763"/>
      <c r="AA84" s="763"/>
      <c r="AB84" s="763"/>
      <c r="AC84" s="764"/>
    </row>
    <row r="85" spans="1:135" s="1172" customFormat="1" hidden="1">
      <c r="A85" s="1174"/>
      <c r="B85" s="4514" t="s">
        <v>1420</v>
      </c>
      <c r="C85" s="4665" t="s">
        <v>239</v>
      </c>
      <c r="D85" s="4666"/>
      <c r="E85" s="1545"/>
      <c r="F85" s="1546"/>
      <c r="G85" s="1546"/>
      <c r="H85" s="1546"/>
      <c r="I85" s="1548"/>
      <c r="J85" s="1547"/>
      <c r="K85" s="1546"/>
      <c r="L85" s="1546"/>
      <c r="M85" s="1546"/>
      <c r="N85" s="1548"/>
      <c r="O85" s="1545"/>
      <c r="P85" s="1546"/>
      <c r="Q85" s="1546"/>
      <c r="R85" s="1546"/>
      <c r="S85" s="1546"/>
      <c r="T85" s="1546"/>
      <c r="U85" s="1546"/>
      <c r="V85" s="1546"/>
      <c r="W85" s="1546"/>
      <c r="X85" s="1546"/>
      <c r="Y85" s="1546"/>
      <c r="Z85" s="1546"/>
      <c r="AA85" s="1546"/>
      <c r="AB85" s="1546"/>
      <c r="AC85" s="1548"/>
    </row>
    <row r="86" spans="1:135" s="1172" customFormat="1" hidden="1">
      <c r="A86" s="1174"/>
      <c r="B86" s="4515"/>
      <c r="C86" s="850" t="s">
        <v>269</v>
      </c>
      <c r="D86" s="761" t="s">
        <v>268</v>
      </c>
      <c r="E86" s="708"/>
      <c r="F86" s="681"/>
      <c r="G86" s="681"/>
      <c r="H86" s="681"/>
      <c r="I86" s="761"/>
      <c r="J86" s="757"/>
      <c r="K86" s="681"/>
      <c r="L86" s="681"/>
      <c r="M86" s="681"/>
      <c r="N86" s="761"/>
      <c r="O86" s="708"/>
      <c r="P86" s="681"/>
      <c r="Q86" s="681"/>
      <c r="R86" s="681"/>
      <c r="S86" s="681"/>
      <c r="T86" s="681"/>
      <c r="U86" s="681"/>
      <c r="V86" s="681"/>
      <c r="W86" s="681"/>
      <c r="X86" s="681"/>
      <c r="Y86" s="681"/>
      <c r="Z86" s="681"/>
      <c r="AA86" s="681"/>
      <c r="AB86" s="681"/>
      <c r="AC86" s="761"/>
    </row>
    <row r="87" spans="1:135" s="1172" customFormat="1" hidden="1">
      <c r="A87" s="1174"/>
      <c r="B87" s="4515"/>
      <c r="C87" s="850" t="s">
        <v>269</v>
      </c>
      <c r="D87" s="761" t="s">
        <v>268</v>
      </c>
      <c r="E87" s="708"/>
      <c r="F87" s="681"/>
      <c r="G87" s="681"/>
      <c r="H87" s="681"/>
      <c r="I87" s="761"/>
      <c r="J87" s="757"/>
      <c r="K87" s="681"/>
      <c r="L87" s="681"/>
      <c r="M87" s="681"/>
      <c r="N87" s="761"/>
      <c r="O87" s="708"/>
      <c r="P87" s="681"/>
      <c r="Q87" s="681"/>
      <c r="R87" s="681"/>
      <c r="S87" s="681"/>
      <c r="T87" s="681"/>
      <c r="U87" s="681"/>
      <c r="V87" s="681"/>
      <c r="W87" s="681"/>
      <c r="X87" s="681"/>
      <c r="Y87" s="681"/>
      <c r="Z87" s="681"/>
      <c r="AA87" s="681"/>
      <c r="AB87" s="681"/>
      <c r="AC87" s="761"/>
    </row>
    <row r="88" spans="1:135" s="1172" customFormat="1" hidden="1">
      <c r="A88" s="1174"/>
      <c r="B88" s="4515"/>
      <c r="C88" s="850" t="s">
        <v>269</v>
      </c>
      <c r="D88" s="761" t="s">
        <v>268</v>
      </c>
      <c r="E88" s="708"/>
      <c r="F88" s="681"/>
      <c r="G88" s="681"/>
      <c r="H88" s="681"/>
      <c r="I88" s="761"/>
      <c r="J88" s="757"/>
      <c r="K88" s="681"/>
      <c r="L88" s="681"/>
      <c r="M88" s="681"/>
      <c r="N88" s="761"/>
      <c r="O88" s="708"/>
      <c r="P88" s="681"/>
      <c r="Q88" s="681"/>
      <c r="R88" s="681"/>
      <c r="S88" s="681"/>
      <c r="T88" s="681"/>
      <c r="U88" s="681"/>
      <c r="V88" s="681"/>
      <c r="W88" s="681"/>
      <c r="X88" s="681"/>
      <c r="Y88" s="681"/>
      <c r="Z88" s="681"/>
      <c r="AA88" s="681"/>
      <c r="AB88" s="681"/>
      <c r="AC88" s="761"/>
    </row>
    <row r="89" spans="1:135" s="1172" customFormat="1" hidden="1">
      <c r="A89" s="1174"/>
      <c r="B89" s="4515"/>
      <c r="C89" s="850" t="s">
        <v>269</v>
      </c>
      <c r="D89" s="761" t="s">
        <v>268</v>
      </c>
      <c r="E89" s="708"/>
      <c r="F89" s="681"/>
      <c r="G89" s="681"/>
      <c r="H89" s="681"/>
      <c r="I89" s="761"/>
      <c r="J89" s="757"/>
      <c r="K89" s="681"/>
      <c r="L89" s="681"/>
      <c r="M89" s="681"/>
      <c r="N89" s="761"/>
      <c r="O89" s="708"/>
      <c r="P89" s="681"/>
      <c r="Q89" s="681"/>
      <c r="R89" s="681"/>
      <c r="S89" s="681"/>
      <c r="T89" s="681"/>
      <c r="U89" s="681"/>
      <c r="V89" s="681"/>
      <c r="W89" s="681"/>
      <c r="X89" s="681"/>
      <c r="Y89" s="681"/>
      <c r="Z89" s="681"/>
      <c r="AA89" s="681"/>
      <c r="AB89" s="681"/>
      <c r="AC89" s="761"/>
    </row>
    <row r="90" spans="1:135" s="1172" customFormat="1" hidden="1">
      <c r="A90" s="1174"/>
      <c r="B90" s="4515"/>
      <c r="C90" s="850" t="s">
        <v>269</v>
      </c>
      <c r="D90" s="761" t="s">
        <v>268</v>
      </c>
      <c r="E90" s="708"/>
      <c r="F90" s="681"/>
      <c r="G90" s="681"/>
      <c r="H90" s="681"/>
      <c r="I90" s="761"/>
      <c r="J90" s="757"/>
      <c r="K90" s="681"/>
      <c r="L90" s="681"/>
      <c r="M90" s="681"/>
      <c r="N90" s="761"/>
      <c r="O90" s="708"/>
      <c r="P90" s="681"/>
      <c r="Q90" s="681"/>
      <c r="R90" s="681"/>
      <c r="S90" s="681"/>
      <c r="T90" s="681"/>
      <c r="U90" s="681"/>
      <c r="V90" s="681"/>
      <c r="W90" s="681"/>
      <c r="X90" s="681"/>
      <c r="Y90" s="681"/>
      <c r="Z90" s="681"/>
      <c r="AA90" s="681"/>
      <c r="AB90" s="681"/>
      <c r="AC90" s="761"/>
    </row>
    <row r="91" spans="1:135" s="1172" customFormat="1" ht="13.5" hidden="1" thickBot="1">
      <c r="A91" s="1174"/>
      <c r="B91" s="4664"/>
      <c r="C91" s="1544" t="s">
        <v>269</v>
      </c>
      <c r="D91" s="764" t="s">
        <v>268</v>
      </c>
      <c r="E91" s="1523"/>
      <c r="F91" s="763"/>
      <c r="G91" s="763"/>
      <c r="H91" s="763"/>
      <c r="I91" s="764"/>
      <c r="J91" s="766"/>
      <c r="K91" s="763"/>
      <c r="L91" s="763"/>
      <c r="M91" s="763"/>
      <c r="N91" s="764"/>
      <c r="O91" s="1523"/>
      <c r="P91" s="763"/>
      <c r="Q91" s="763"/>
      <c r="R91" s="763"/>
      <c r="S91" s="763"/>
      <c r="T91" s="763"/>
      <c r="U91" s="763"/>
      <c r="V91" s="763"/>
      <c r="W91" s="763"/>
      <c r="X91" s="763"/>
      <c r="Y91" s="763"/>
      <c r="Z91" s="763"/>
      <c r="AA91" s="763"/>
      <c r="AB91" s="763"/>
      <c r="AC91" s="764"/>
    </row>
    <row r="92" spans="1:135" customFormat="1" ht="13.5" thickBot="1">
      <c r="A92" s="242"/>
      <c r="C92" s="1172"/>
      <c r="E92" s="188"/>
      <c r="F92" s="188"/>
      <c r="G92" s="188"/>
      <c r="H92" s="188"/>
      <c r="I92" s="188"/>
      <c r="J92" s="188"/>
      <c r="K92" s="188"/>
      <c r="L92" s="188"/>
      <c r="M92" s="188"/>
      <c r="N92" s="188"/>
      <c r="O92" s="188"/>
      <c r="P92" s="188"/>
      <c r="Q92" s="188"/>
      <c r="R92" s="188"/>
      <c r="S92" s="188"/>
      <c r="T92" s="188"/>
      <c r="U92" s="188"/>
      <c r="V92" s="188"/>
      <c r="W92" s="188"/>
      <c r="X92" s="188"/>
      <c r="Y92" s="188"/>
      <c r="Z92" s="188"/>
      <c r="AA92" s="188"/>
      <c r="AB92" s="188"/>
      <c r="AC92" s="188"/>
    </row>
    <row r="93" spans="1:135" s="93" customFormat="1" ht="18.75" customHeight="1" thickBot="1">
      <c r="A93" s="262"/>
      <c r="B93" s="737" t="s">
        <v>537</v>
      </c>
      <c r="C93" s="738"/>
      <c r="D93" s="738"/>
      <c r="E93" s="928"/>
      <c r="F93" s="928"/>
      <c r="G93" s="928"/>
      <c r="H93" s="928"/>
      <c r="I93" s="928"/>
      <c r="J93" s="928"/>
      <c r="K93" s="928"/>
      <c r="L93" s="928"/>
      <c r="M93" s="928"/>
      <c r="N93" s="928"/>
      <c r="O93" s="928"/>
      <c r="P93" s="928"/>
      <c r="Q93" s="928"/>
      <c r="R93" s="928"/>
      <c r="S93" s="928"/>
      <c r="T93" s="928"/>
      <c r="U93" s="928"/>
      <c r="V93" s="928"/>
      <c r="W93" s="928"/>
      <c r="X93" s="928"/>
      <c r="Y93" s="928"/>
      <c r="Z93" s="928"/>
      <c r="AA93" s="928"/>
      <c r="AB93" s="928"/>
      <c r="AC93" s="927"/>
      <c r="AD93"/>
      <c r="AE93"/>
      <c r="AF93"/>
      <c r="DF93" s="69"/>
      <c r="DG93" s="69"/>
      <c r="DH93" s="69"/>
      <c r="DI93" s="69"/>
      <c r="DJ93" s="69"/>
      <c r="DK93" s="69"/>
      <c r="DL93" s="69"/>
      <c r="DM93" s="69"/>
      <c r="DN93" s="69"/>
      <c r="DO93" s="69"/>
      <c r="DP93" s="69"/>
      <c r="DQ93" s="69"/>
      <c r="DR93" s="69"/>
      <c r="DS93" s="69"/>
      <c r="DT93" s="69"/>
      <c r="DU93" s="69"/>
      <c r="DV93" s="69"/>
      <c r="DW93" s="69"/>
      <c r="DX93" s="69"/>
      <c r="DY93" s="69"/>
      <c r="DZ93" s="69"/>
      <c r="EA93" s="69"/>
      <c r="EB93" s="69"/>
      <c r="EC93" s="69"/>
      <c r="ED93" s="69"/>
      <c r="EE93" s="69"/>
    </row>
    <row r="94" spans="1:135">
      <c r="A94" s="696"/>
      <c r="B94" s="4111"/>
      <c r="C94" s="4667" t="s">
        <v>47</v>
      </c>
      <c r="D94" s="4668"/>
      <c r="E94" s="1545"/>
      <c r="F94" s="1546"/>
      <c r="G94" s="1546"/>
      <c r="H94" s="1546"/>
      <c r="I94" s="1548"/>
      <c r="J94" s="1545"/>
      <c r="K94" s="1546"/>
      <c r="L94" s="1546"/>
      <c r="M94" s="1546"/>
      <c r="N94" s="1548"/>
      <c r="O94" s="1547"/>
      <c r="P94" s="1546"/>
      <c r="Q94" s="1546"/>
      <c r="R94" s="1546"/>
      <c r="S94" s="1546"/>
      <c r="T94" s="1546"/>
      <c r="U94" s="1546"/>
      <c r="V94" s="1546"/>
      <c r="W94" s="1546"/>
      <c r="X94" s="1546"/>
      <c r="Y94" s="1546"/>
      <c r="Z94" s="1546"/>
      <c r="AA94" s="1546"/>
      <c r="AB94" s="1546"/>
      <c r="AC94" s="1548"/>
      <c r="AF94"/>
    </row>
    <row r="95" spans="1:135">
      <c r="A95" s="696"/>
      <c r="B95" s="4112"/>
      <c r="C95" s="850" t="s">
        <v>269</v>
      </c>
      <c r="D95" s="761" t="s">
        <v>268</v>
      </c>
      <c r="E95" s="708"/>
      <c r="F95" s="681"/>
      <c r="G95" s="681"/>
      <c r="H95" s="681"/>
      <c r="I95" s="761"/>
      <c r="J95" s="708"/>
      <c r="K95" s="681"/>
      <c r="L95" s="681"/>
      <c r="M95" s="681"/>
      <c r="N95" s="761"/>
      <c r="O95" s="757"/>
      <c r="P95" s="681"/>
      <c r="Q95" s="681"/>
      <c r="R95" s="681"/>
      <c r="S95" s="681"/>
      <c r="T95" s="681"/>
      <c r="U95" s="681"/>
      <c r="V95" s="681"/>
      <c r="W95" s="681"/>
      <c r="X95" s="681"/>
      <c r="Y95" s="681"/>
      <c r="Z95" s="681"/>
      <c r="AA95" s="681"/>
      <c r="AB95" s="681"/>
      <c r="AC95" s="761"/>
      <c r="AF95"/>
    </row>
    <row r="96" spans="1:135">
      <c r="A96" s="696"/>
      <c r="B96" s="4112"/>
      <c r="C96" s="850" t="s">
        <v>269</v>
      </c>
      <c r="D96" s="761" t="s">
        <v>268</v>
      </c>
      <c r="E96" s="708"/>
      <c r="F96" s="681"/>
      <c r="G96" s="681"/>
      <c r="H96" s="681"/>
      <c r="I96" s="761"/>
      <c r="J96" s="708"/>
      <c r="K96" s="681"/>
      <c r="L96" s="681"/>
      <c r="M96" s="681"/>
      <c r="N96" s="761"/>
      <c r="O96" s="757"/>
      <c r="P96" s="681"/>
      <c r="Q96" s="681"/>
      <c r="R96" s="681"/>
      <c r="S96" s="681"/>
      <c r="T96" s="681"/>
      <c r="U96" s="681"/>
      <c r="V96" s="681"/>
      <c r="W96" s="681"/>
      <c r="X96" s="681"/>
      <c r="Y96" s="681"/>
      <c r="Z96" s="681"/>
      <c r="AA96" s="681"/>
      <c r="AB96" s="681"/>
      <c r="AC96" s="761"/>
      <c r="AF96"/>
    </row>
    <row r="97" spans="1:32" ht="13.5" thickBot="1">
      <c r="A97" s="696"/>
      <c r="B97" s="4113"/>
      <c r="C97" s="1544" t="s">
        <v>269</v>
      </c>
      <c r="D97" s="764" t="s">
        <v>268</v>
      </c>
      <c r="E97" s="1523"/>
      <c r="F97" s="763"/>
      <c r="G97" s="763"/>
      <c r="H97" s="763"/>
      <c r="I97" s="764"/>
      <c r="J97" s="1523"/>
      <c r="K97" s="763"/>
      <c r="L97" s="763"/>
      <c r="M97" s="763"/>
      <c r="N97" s="764"/>
      <c r="O97" s="766"/>
      <c r="P97" s="763"/>
      <c r="Q97" s="763"/>
      <c r="R97" s="763"/>
      <c r="S97" s="763"/>
      <c r="T97" s="763"/>
      <c r="U97" s="763"/>
      <c r="V97" s="763"/>
      <c r="W97" s="763"/>
      <c r="X97" s="763"/>
      <c r="Y97" s="763"/>
      <c r="Z97" s="763"/>
      <c r="AA97" s="763"/>
      <c r="AB97" s="763"/>
      <c r="AC97" s="764"/>
      <c r="AF97"/>
    </row>
    <row r="98" spans="1:32" customFormat="1" ht="13.5" thickBot="1">
      <c r="A98" s="242"/>
      <c r="C98" s="1172"/>
      <c r="E98" s="188"/>
      <c r="F98" s="188"/>
      <c r="G98" s="188"/>
      <c r="H98" s="188"/>
      <c r="I98" s="188"/>
      <c r="J98" s="188"/>
      <c r="K98" s="188"/>
      <c r="L98" s="188"/>
      <c r="M98" s="188"/>
      <c r="N98" s="188"/>
      <c r="O98" s="188"/>
      <c r="P98" s="188"/>
      <c r="Q98" s="188"/>
      <c r="R98" s="188"/>
      <c r="S98" s="188"/>
      <c r="T98" s="188"/>
      <c r="U98" s="188"/>
      <c r="V98" s="188"/>
      <c r="W98" s="188"/>
      <c r="X98" s="188"/>
      <c r="Y98" s="188"/>
      <c r="Z98" s="188"/>
      <c r="AA98" s="188"/>
      <c r="AB98" s="188"/>
      <c r="AC98" s="188"/>
    </row>
    <row r="99" spans="1:32" s="69" customFormat="1" ht="34.5" customHeight="1" thickBot="1">
      <c r="A99" s="75"/>
      <c r="B99" s="4059" t="s">
        <v>121</v>
      </c>
      <c r="C99" s="4349"/>
      <c r="D99" s="4669"/>
      <c r="E99" s="3659" t="s">
        <v>2109</v>
      </c>
      <c r="F99" s="1410"/>
      <c r="G99" s="1410"/>
      <c r="H99" s="1410"/>
      <c r="I99" s="1410"/>
      <c r="J99" s="1410"/>
      <c r="K99" s="1410"/>
      <c r="L99" s="1410"/>
      <c r="M99" s="1410"/>
      <c r="N99" s="1410"/>
      <c r="O99" s="1410"/>
      <c r="P99" s="1410"/>
      <c r="Q99" s="1410"/>
      <c r="R99" s="1410"/>
      <c r="S99" s="1410"/>
      <c r="T99" s="1410"/>
      <c r="U99" s="1410"/>
      <c r="V99" s="1410"/>
      <c r="W99" s="1410"/>
      <c r="X99" s="1410"/>
      <c r="Y99" s="1410"/>
      <c r="Z99" s="1410"/>
      <c r="AA99" s="1410"/>
      <c r="AB99" s="1410"/>
      <c r="AC99" s="1411"/>
      <c r="AD99"/>
      <c r="AE99"/>
      <c r="AF99"/>
    </row>
  </sheetData>
  <mergeCells count="31">
    <mergeCell ref="B85:B91"/>
    <mergeCell ref="C85:D85"/>
    <mergeCell ref="C94:D94"/>
    <mergeCell ref="B99:D99"/>
    <mergeCell ref="B94:B97"/>
    <mergeCell ref="B60:B68"/>
    <mergeCell ref="C60:D60"/>
    <mergeCell ref="B69:B77"/>
    <mergeCell ref="C69:D69"/>
    <mergeCell ref="B78:B84"/>
    <mergeCell ref="C78:D78"/>
    <mergeCell ref="B26:B34"/>
    <mergeCell ref="B35:B43"/>
    <mergeCell ref="B44:B50"/>
    <mergeCell ref="B51:B57"/>
    <mergeCell ref="C26:D26"/>
    <mergeCell ref="C35:D35"/>
    <mergeCell ref="C44:D44"/>
    <mergeCell ref="C51:D51"/>
    <mergeCell ref="B8:E8"/>
    <mergeCell ref="B9:E9"/>
    <mergeCell ref="B10:E10"/>
    <mergeCell ref="B21:B24"/>
    <mergeCell ref="D21:D24"/>
    <mergeCell ref="E21:I21"/>
    <mergeCell ref="C21:C24"/>
    <mergeCell ref="J21:N21"/>
    <mergeCell ref="O21:AC21"/>
    <mergeCell ref="E22:AC22"/>
    <mergeCell ref="E23:G23"/>
    <mergeCell ref="H23:AC23"/>
  </mergeCells>
  <pageMargins left="0.75" right="0.75" top="1" bottom="1" header="0.5" footer="0.5"/>
  <pageSetup paperSize="9" orientation="portrait" r:id="rId1"/>
  <headerFooter alignWithMargins="0"/>
  <customProperties>
    <customPr name="_pios_id" r:id="rId2"/>
  </customProperties>
  <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S17184"/>
  <sheetViews>
    <sheetView showGridLines="0" topLeftCell="A17149" zoomScale="60" zoomScaleNormal="60" workbookViewId="0">
      <selection activeCell="L3744" sqref="L3744"/>
    </sheetView>
  </sheetViews>
  <sheetFormatPr defaultColWidth="9.140625" defaultRowHeight="12.75"/>
  <cols>
    <col min="1" max="1" width="16.28515625" style="3201" bestFit="1" customWidth="1"/>
    <col min="2" max="2" width="38.7109375" style="3201" customWidth="1"/>
    <col min="3" max="6" width="15.7109375" style="3201" customWidth="1"/>
    <col min="7" max="7" width="15.85546875" style="3201" customWidth="1"/>
    <col min="8" max="8" width="11.5703125" style="3201" customWidth="1"/>
    <col min="9" max="9" width="15.7109375" style="3201" customWidth="1"/>
    <col min="10" max="10" width="11.5703125" style="3201" customWidth="1"/>
    <col min="11" max="13" width="15.7109375" style="3201" customWidth="1"/>
    <col min="14" max="14" width="20.42578125" style="3201" customWidth="1"/>
    <col min="15" max="17" width="15.7109375" style="3201" customWidth="1"/>
    <col min="18" max="19" width="8.7109375" style="2524" customWidth="1"/>
    <col min="20" max="16384" width="9.140625" style="3201"/>
  </cols>
  <sheetData>
    <row r="1" spans="1:19" s="2525" customFormat="1" ht="24.95" customHeight="1">
      <c r="B1" s="2522" t="str">
        <f>IF(dms_DataQuality="backcast",INDEX(dms_Worksheet_List,MATCH(dms_Model,dms_Model_List))&amp;" BACKCAST",INDEX(dms_Worksheet_List,MATCH(dms_Model,dms_Model_List)))</f>
        <v>REGULATORY REPORTING STATEMENT</v>
      </c>
      <c r="C1" s="2769"/>
      <c r="D1" s="2769"/>
      <c r="E1" s="2769"/>
      <c r="F1" s="2769"/>
      <c r="G1" s="2769"/>
      <c r="H1" s="2769"/>
      <c r="I1" s="2769"/>
      <c r="J1" s="2769"/>
      <c r="K1" s="2769"/>
      <c r="L1" s="2769"/>
      <c r="M1" s="2769"/>
      <c r="N1" s="2769"/>
      <c r="O1" s="2769"/>
      <c r="P1" s="2769"/>
      <c r="Q1" s="2769"/>
      <c r="R1" s="2524"/>
      <c r="S1" s="2524"/>
    </row>
    <row r="2" spans="1:19" s="2525" customFormat="1" ht="24.95" customHeight="1">
      <c r="B2" s="2526" t="str">
        <f>INDEX(dms_TradingNameFull_List,MATCH(dms_TradingName,dms_TradingName_List))</f>
        <v>AusNet Gas Services</v>
      </c>
      <c r="C2" s="2526"/>
      <c r="D2" s="2526"/>
      <c r="E2" s="2526"/>
      <c r="F2" s="2526"/>
      <c r="G2" s="2526"/>
      <c r="H2" s="2526"/>
      <c r="I2" s="2526"/>
      <c r="J2" s="2526"/>
      <c r="K2" s="2526"/>
      <c r="L2" s="2526"/>
      <c r="M2" s="2526"/>
      <c r="N2" s="2526"/>
      <c r="O2" s="2526"/>
      <c r="P2" s="2526"/>
      <c r="Q2" s="2526"/>
      <c r="R2" s="2524"/>
      <c r="S2" s="2524"/>
    </row>
    <row r="3" spans="1:19" s="2525" customFormat="1" ht="24.95" customHeight="1">
      <c r="B3" s="2526" t="str">
        <f>IF(SUM(dms_SingleYear_Model)&gt;0,CRY,CONCATENATE(FRCP_y1," to ",dms_MultiYear_FinalYear_Result))</f>
        <v>2018 to 2022</v>
      </c>
      <c r="C3" s="2528"/>
      <c r="D3" s="2528"/>
      <c r="E3" s="2528"/>
      <c r="F3" s="2528"/>
      <c r="G3" s="2528"/>
      <c r="H3" s="2528"/>
      <c r="I3" s="2528"/>
      <c r="J3" s="2528"/>
      <c r="K3" s="2528"/>
      <c r="L3" s="2528"/>
      <c r="M3" s="2528"/>
      <c r="N3" s="2528"/>
      <c r="O3" s="2528"/>
      <c r="P3" s="2528"/>
      <c r="Q3" s="2528"/>
      <c r="R3" s="2524"/>
      <c r="S3" s="2524"/>
    </row>
    <row r="4" spans="1:19" s="2525" customFormat="1" ht="24" customHeight="1">
      <c r="B4" s="2529" t="s">
        <v>368</v>
      </c>
      <c r="C4" s="2770"/>
      <c r="D4" s="2770"/>
      <c r="E4" s="2770"/>
      <c r="F4" s="2770"/>
      <c r="G4" s="2770"/>
      <c r="H4" s="2770"/>
      <c r="I4" s="2770"/>
      <c r="J4" s="2770"/>
      <c r="K4" s="2770"/>
      <c r="L4" s="2770"/>
      <c r="M4" s="2770"/>
      <c r="N4" s="2770"/>
      <c r="O4" s="2770"/>
      <c r="P4" s="2770"/>
      <c r="Q4" s="2770"/>
      <c r="R4" s="2524"/>
      <c r="S4" s="2524"/>
    </row>
    <row r="5" spans="1:19">
      <c r="A5" s="3200"/>
      <c r="B5" s="3200"/>
      <c r="C5" s="3200"/>
      <c r="D5" s="3200"/>
      <c r="E5" s="3200"/>
      <c r="F5" s="3200"/>
      <c r="G5" s="3200"/>
      <c r="H5" s="3200"/>
      <c r="I5" s="3200"/>
      <c r="J5" s="3200"/>
      <c r="K5" s="3200"/>
      <c r="L5" s="3200"/>
      <c r="M5" s="3200"/>
      <c r="N5" s="3200"/>
      <c r="O5" s="3200"/>
      <c r="P5" s="3200"/>
      <c r="Q5" s="3200"/>
    </row>
    <row r="6" spans="1:19">
      <c r="A6" s="3200"/>
      <c r="B6" s="3200"/>
      <c r="C6" s="3200"/>
      <c r="D6" s="3200"/>
      <c r="E6" s="3200"/>
      <c r="F6" s="3200"/>
      <c r="G6" s="3200"/>
      <c r="H6" s="3200"/>
      <c r="I6" s="3200"/>
      <c r="J6" s="3200"/>
      <c r="K6" s="3200"/>
      <c r="L6" s="3200"/>
      <c r="M6" s="3200"/>
      <c r="N6" s="3200"/>
      <c r="O6" s="3200"/>
      <c r="P6" s="3200"/>
      <c r="Q6" s="3200"/>
    </row>
    <row r="7" spans="1:19" ht="24" customHeight="1">
      <c r="A7" s="3200"/>
      <c r="B7" s="4688" t="s">
        <v>59</v>
      </c>
      <c r="C7" s="4688"/>
      <c r="D7" s="4688"/>
      <c r="E7" s="4688"/>
      <c r="F7" s="2771"/>
      <c r="G7" s="2771"/>
      <c r="H7" s="2771"/>
      <c r="I7" s="2771"/>
      <c r="J7" s="2771"/>
      <c r="K7" s="2771"/>
      <c r="L7" s="2771"/>
      <c r="M7" s="3200"/>
      <c r="N7" s="3200"/>
      <c r="O7" s="3200"/>
      <c r="P7" s="3200"/>
      <c r="Q7" s="3200"/>
    </row>
    <row r="8" spans="1:19" s="3204" customFormat="1" ht="24" customHeight="1">
      <c r="A8" s="3202"/>
      <c r="B8" s="4683" t="s">
        <v>9</v>
      </c>
      <c r="C8" s="4683"/>
      <c r="D8" s="4683"/>
      <c r="E8" s="4683"/>
      <c r="F8" s="3203"/>
      <c r="G8" s="3203"/>
      <c r="H8" s="3203"/>
      <c r="I8" s="3203"/>
      <c r="J8" s="3203"/>
      <c r="K8" s="3203"/>
      <c r="L8" s="3203"/>
      <c r="M8" s="3202"/>
      <c r="N8" s="3202"/>
      <c r="O8" s="3202"/>
      <c r="P8" s="3202"/>
      <c r="Q8" s="3202"/>
      <c r="R8" s="2645"/>
      <c r="S8" s="2645"/>
    </row>
    <row r="9" spans="1:19" s="3204" customFormat="1" ht="24" customHeight="1">
      <c r="A9" s="3202"/>
      <c r="B9" s="4683" t="s">
        <v>684</v>
      </c>
      <c r="C9" s="4683"/>
      <c r="D9" s="4683"/>
      <c r="E9" s="4683"/>
      <c r="F9" s="3203"/>
      <c r="G9" s="3203"/>
      <c r="H9" s="3203"/>
      <c r="I9" s="3203"/>
      <c r="J9" s="3203"/>
      <c r="K9" s="3203"/>
      <c r="L9" s="3203"/>
      <c r="M9" s="3202"/>
      <c r="N9" s="3202"/>
      <c r="O9" s="3202"/>
      <c r="P9" s="3202"/>
      <c r="Q9" s="3202"/>
      <c r="R9" s="2645"/>
      <c r="S9" s="2645"/>
    </row>
    <row r="10" spans="1:19" s="3204" customFormat="1" ht="24" customHeight="1">
      <c r="A10" s="3202"/>
      <c r="B10" s="4683" t="s">
        <v>232</v>
      </c>
      <c r="C10" s="4683"/>
      <c r="D10" s="4683"/>
      <c r="E10" s="4683"/>
      <c r="F10" s="3203"/>
      <c r="G10" s="3203"/>
      <c r="H10" s="3203"/>
      <c r="I10" s="3203"/>
      <c r="J10" s="3203"/>
      <c r="K10" s="3203"/>
      <c r="L10" s="3203"/>
      <c r="M10" s="3202"/>
      <c r="N10" s="3202"/>
      <c r="O10" s="3202"/>
      <c r="P10" s="3202"/>
      <c r="Q10" s="3202"/>
      <c r="R10" s="2645"/>
      <c r="S10" s="2645"/>
    </row>
    <row r="11" spans="1:19" s="3204" customFormat="1" ht="24" customHeight="1">
      <c r="A11" s="3202"/>
      <c r="B11" s="4683" t="s">
        <v>701</v>
      </c>
      <c r="C11" s="4684"/>
      <c r="D11" s="4684"/>
      <c r="E11" s="4684"/>
      <c r="F11" s="3203"/>
      <c r="G11" s="3203"/>
      <c r="H11" s="3203"/>
      <c r="I11" s="3203"/>
      <c r="J11" s="3203"/>
      <c r="K11" s="3203"/>
      <c r="L11" s="3203"/>
      <c r="M11" s="3202"/>
      <c r="N11" s="3202"/>
      <c r="O11" s="3202"/>
      <c r="P11" s="3202"/>
      <c r="Q11" s="3202"/>
      <c r="R11" s="2645"/>
      <c r="S11" s="2645"/>
    </row>
    <row r="12" spans="1:19" s="3204" customFormat="1" ht="24" customHeight="1">
      <c r="A12" s="3202"/>
      <c r="B12" s="4683" t="s">
        <v>700</v>
      </c>
      <c r="C12" s="4684"/>
      <c r="D12" s="4684"/>
      <c r="E12" s="4684"/>
      <c r="F12" s="3203"/>
      <c r="G12" s="3203"/>
      <c r="H12" s="3203"/>
      <c r="I12" s="3203"/>
      <c r="J12" s="3203"/>
      <c r="K12" s="3203"/>
      <c r="L12" s="3203"/>
      <c r="M12" s="3202"/>
      <c r="N12" s="3202"/>
      <c r="O12" s="3202"/>
      <c r="P12" s="3202"/>
      <c r="Q12" s="3202"/>
      <c r="R12" s="2645"/>
      <c r="S12" s="2645"/>
    </row>
    <row r="13" spans="1:19" s="3204" customFormat="1" ht="88.5" customHeight="1">
      <c r="A13" s="3202"/>
      <c r="B13" s="4683" t="s">
        <v>707</v>
      </c>
      <c r="C13" s="4684"/>
      <c r="D13" s="4684"/>
      <c r="E13" s="4684"/>
      <c r="F13" s="3203"/>
      <c r="G13" s="3203"/>
      <c r="H13" s="3203"/>
      <c r="I13" s="3203"/>
      <c r="J13" s="3203"/>
      <c r="K13" s="3203"/>
      <c r="L13" s="3203"/>
      <c r="M13" s="3202"/>
      <c r="N13" s="3202"/>
      <c r="O13" s="3202"/>
      <c r="P13" s="3202"/>
      <c r="Q13" s="3202"/>
      <c r="R13" s="2645"/>
      <c r="S13" s="2645"/>
    </row>
    <row r="14" spans="1:19" s="3204" customFormat="1" ht="24" customHeight="1">
      <c r="A14" s="3202"/>
      <c r="B14" s="3205"/>
      <c r="C14" s="3205"/>
      <c r="D14" s="3205"/>
      <c r="E14" s="3205"/>
      <c r="F14" s="3203"/>
      <c r="G14" s="3203"/>
      <c r="H14" s="3203"/>
      <c r="I14" s="3203"/>
      <c r="J14" s="3203"/>
      <c r="K14" s="3203"/>
      <c r="L14" s="3203"/>
      <c r="M14" s="3202"/>
      <c r="N14" s="3202"/>
      <c r="O14" s="3202"/>
      <c r="P14" s="3202"/>
      <c r="Q14" s="3202"/>
      <c r="R14" s="2645"/>
      <c r="S14" s="2645"/>
    </row>
    <row r="15" spans="1:19" s="2524" customFormat="1">
      <c r="A15" s="2771"/>
      <c r="B15" s="2771"/>
      <c r="C15" s="2771"/>
      <c r="D15" s="2771"/>
      <c r="E15" s="2771"/>
      <c r="F15" s="2771"/>
      <c r="G15" s="2771"/>
      <c r="H15" s="2771"/>
      <c r="I15" s="2771"/>
      <c r="J15" s="2771"/>
      <c r="K15" s="2771"/>
      <c r="L15" s="2771"/>
      <c r="M15" s="2771"/>
      <c r="N15" s="2771"/>
      <c r="O15" s="2771"/>
      <c r="P15" s="2771"/>
      <c r="Q15" s="2771"/>
    </row>
    <row r="16" spans="1:19" s="2524" customFormat="1" ht="13.5" thickBot="1">
      <c r="A16" s="2771"/>
      <c r="B16" s="2771"/>
      <c r="C16" s="2771"/>
      <c r="D16" s="2771"/>
      <c r="E16" s="2771"/>
      <c r="F16" s="2771"/>
      <c r="G16" s="2771"/>
      <c r="H16" s="2771"/>
      <c r="I16" s="2771"/>
      <c r="J16" s="2771"/>
      <c r="K16" s="2771"/>
      <c r="L16" s="2771"/>
      <c r="M16" s="2771"/>
      <c r="N16" s="2771"/>
      <c r="O16" s="2771"/>
      <c r="P16" s="2771"/>
      <c r="Q16" s="2771"/>
    </row>
    <row r="17" spans="1:19" s="2524" customFormat="1" ht="34.5" customHeight="1" thickBot="1">
      <c r="A17" s="2771"/>
      <c r="B17" s="2780" t="s">
        <v>538</v>
      </c>
      <c r="C17" s="2781"/>
      <c r="D17" s="2781"/>
      <c r="E17" s="2781"/>
      <c r="F17" s="2781"/>
      <c r="G17" s="2781"/>
      <c r="H17" s="2781"/>
      <c r="I17" s="2781"/>
      <c r="J17" s="2781"/>
      <c r="K17" s="2782"/>
      <c r="L17" s="2782"/>
      <c r="M17" s="2782"/>
      <c r="N17" s="2782"/>
      <c r="O17" s="2782"/>
      <c r="P17" s="2782"/>
      <c r="Q17" s="2782"/>
    </row>
    <row r="18" spans="1:19" s="2524" customFormat="1" ht="34.5" customHeight="1" thickBot="1">
      <c r="A18" s="2771"/>
      <c r="B18" s="3206" t="s">
        <v>685</v>
      </c>
      <c r="C18" s="3207"/>
      <c r="D18" s="3207"/>
      <c r="E18" s="3207"/>
      <c r="F18" s="3207"/>
      <c r="G18" s="3207"/>
      <c r="H18" s="3207"/>
      <c r="I18" s="3207"/>
      <c r="J18" s="3207"/>
      <c r="K18" s="3207"/>
      <c r="L18" s="3207"/>
      <c r="M18" s="3207"/>
      <c r="N18" s="3207"/>
      <c r="O18" s="3207"/>
      <c r="P18" s="3207"/>
      <c r="Q18" s="3208"/>
    </row>
    <row r="19" spans="1:19" s="3210" customFormat="1" ht="16.5" customHeight="1">
      <c r="A19" s="3209"/>
      <c r="B19" s="4685"/>
      <c r="C19" s="4672" t="s">
        <v>36</v>
      </c>
      <c r="D19" s="4673"/>
      <c r="E19" s="4673"/>
      <c r="F19" s="4673"/>
      <c r="G19" s="4673"/>
      <c r="H19" s="4674" t="s">
        <v>37</v>
      </c>
      <c r="I19" s="4623"/>
      <c r="J19" s="4623"/>
      <c r="K19" s="4623"/>
      <c r="L19" s="4623"/>
      <c r="M19" s="4585" t="s">
        <v>73</v>
      </c>
      <c r="N19" s="4585"/>
      <c r="O19" s="4585"/>
      <c r="P19" s="4585"/>
      <c r="Q19" s="4675"/>
      <c r="R19" s="2524"/>
      <c r="S19" s="2524"/>
    </row>
    <row r="20" spans="1:19" s="3211" customFormat="1" ht="15" customHeight="1">
      <c r="A20" s="3209"/>
      <c r="B20" s="4686"/>
      <c r="C20" s="4678" t="s">
        <v>1673</v>
      </c>
      <c r="D20" s="4679"/>
      <c r="E20" s="4679"/>
      <c r="F20" s="4679"/>
      <c r="G20" s="4679"/>
      <c r="H20" s="4679"/>
      <c r="I20" s="4679"/>
      <c r="J20" s="4679"/>
      <c r="K20" s="4679"/>
      <c r="L20" s="4679"/>
      <c r="M20" s="4679"/>
      <c r="N20" s="4679"/>
      <c r="O20" s="4679"/>
      <c r="P20" s="4679"/>
      <c r="Q20" s="4687"/>
      <c r="R20" s="2524"/>
      <c r="S20" s="2524"/>
    </row>
    <row r="21" spans="1:19" s="3210" customFormat="1" ht="16.5" customHeight="1">
      <c r="A21" s="3209"/>
      <c r="B21" s="4686"/>
      <c r="C21" s="4678" t="s">
        <v>54</v>
      </c>
      <c r="D21" s="4679"/>
      <c r="E21" s="4679"/>
      <c r="F21" s="4679"/>
      <c r="G21" s="4679"/>
      <c r="H21" s="4679"/>
      <c r="I21" s="4679"/>
      <c r="J21" s="4680"/>
      <c r="K21" s="3959" t="s">
        <v>55</v>
      </c>
      <c r="L21" s="4681"/>
      <c r="M21" s="4681"/>
      <c r="N21" s="4681"/>
      <c r="O21" s="4681"/>
      <c r="P21" s="4681"/>
      <c r="Q21" s="4682"/>
      <c r="R21" s="2524"/>
      <c r="S21" s="2524"/>
    </row>
    <row r="22" spans="1:19" s="3211" customFormat="1" ht="12.75" customHeight="1" thickBot="1">
      <c r="A22" s="3212"/>
      <c r="B22" s="4686"/>
      <c r="C22" s="3213">
        <f t="array" ref="C22:G22">PRCP</f>
        <v>2008</v>
      </c>
      <c r="D22" s="3214">
        <v>2009</v>
      </c>
      <c r="E22" s="3214">
        <v>2010</v>
      </c>
      <c r="F22" s="3214">
        <v>2011</v>
      </c>
      <c r="G22" s="3214">
        <v>2012</v>
      </c>
      <c r="H22" s="3215">
        <f>CRCP_y1</f>
        <v>2013</v>
      </c>
      <c r="I22" s="3215">
        <f>CRCP_y2</f>
        <v>2014</v>
      </c>
      <c r="J22" s="3215">
        <f>CRCP_y3</f>
        <v>2015</v>
      </c>
      <c r="K22" s="3215">
        <f>CRCP_y4</f>
        <v>2016</v>
      </c>
      <c r="L22" s="3215">
        <f>CRCP_y5</f>
        <v>2017</v>
      </c>
      <c r="M22" s="3214" t="str">
        <f t="array" ref="M22:Q22">FRCP</f>
        <v>2018</v>
      </c>
      <c r="N22" s="3214">
        <v>2019</v>
      </c>
      <c r="O22" s="3214">
        <v>2020</v>
      </c>
      <c r="P22" s="3214">
        <v>2021</v>
      </c>
      <c r="Q22" s="3216">
        <v>2022</v>
      </c>
      <c r="R22" s="2524"/>
      <c r="S22" s="2524"/>
    </row>
    <row r="23" spans="1:19">
      <c r="A23" s="3200"/>
      <c r="B23" s="3217" t="s">
        <v>635</v>
      </c>
      <c r="C23" s="3218"/>
      <c r="D23" s="3219"/>
      <c r="E23" s="3219"/>
      <c r="F23" s="3219"/>
      <c r="G23" s="3220"/>
      <c r="H23" s="3218"/>
      <c r="I23" s="3219"/>
      <c r="J23" s="3219"/>
      <c r="K23" s="3219"/>
      <c r="L23" s="3220"/>
      <c r="M23" s="3218"/>
      <c r="N23" s="3219"/>
      <c r="O23" s="3219"/>
      <c r="P23" s="3219"/>
      <c r="Q23" s="3220"/>
    </row>
    <row r="24" spans="1:19">
      <c r="A24" s="3200"/>
      <c r="B24" s="3192" t="s">
        <v>64</v>
      </c>
      <c r="C24" s="3221">
        <v>701.46999999999991</v>
      </c>
      <c r="D24" s="3222">
        <v>654.61</v>
      </c>
      <c r="E24" s="3222">
        <v>604</v>
      </c>
      <c r="F24" s="3222">
        <v>554.79562499999997</v>
      </c>
      <c r="G24" s="3223">
        <v>469.645984</v>
      </c>
      <c r="H24" s="3221">
        <v>403.91289799999998</v>
      </c>
      <c r="I24" s="3222">
        <v>332.44599099999999</v>
      </c>
      <c r="J24" s="3222">
        <v>267.28100000000001</v>
      </c>
      <c r="K24" s="3222">
        <v>235.64978921002489</v>
      </c>
      <c r="L24" s="3223">
        <v>209.10836887516359</v>
      </c>
      <c r="M24" s="3221">
        <v>182.04193324520031</v>
      </c>
      <c r="N24" s="3222">
        <v>155.2320200566721</v>
      </c>
      <c r="O24" s="3222">
        <v>128.81963886056462</v>
      </c>
      <c r="P24" s="3222">
        <v>103.66589729541226</v>
      </c>
      <c r="Q24" s="3223">
        <v>78.891271703862429</v>
      </c>
    </row>
    <row r="25" spans="1:19">
      <c r="A25" s="3200"/>
      <c r="B25" s="3192" t="s">
        <v>65</v>
      </c>
      <c r="C25" s="3221">
        <v>594.05999999999995</v>
      </c>
      <c r="D25" s="3222">
        <v>584.24</v>
      </c>
      <c r="E25" s="3222">
        <v>559.33000000000004</v>
      </c>
      <c r="F25" s="3222">
        <v>532.60633600000006</v>
      </c>
      <c r="G25" s="3223">
        <v>507.87132800000001</v>
      </c>
      <c r="H25" s="3221">
        <v>490.21544</v>
      </c>
      <c r="I25" s="3222">
        <v>449.59769999999997</v>
      </c>
      <c r="J25" s="3222">
        <v>419.07600000000002</v>
      </c>
      <c r="K25" s="3222">
        <v>399.04486166916172</v>
      </c>
      <c r="L25" s="3223">
        <v>354.10012634165292</v>
      </c>
      <c r="M25" s="3221">
        <v>308.26634011997407</v>
      </c>
      <c r="N25" s="3222">
        <v>262.86694411141889</v>
      </c>
      <c r="O25" s="3222">
        <v>218.14072120204784</v>
      </c>
      <c r="P25" s="3222">
        <v>175.54585465463038</v>
      </c>
      <c r="Q25" s="3223">
        <v>133.59297587113133</v>
      </c>
    </row>
    <row r="26" spans="1:19">
      <c r="A26" s="3200"/>
      <c r="B26" s="3192" t="s">
        <v>82</v>
      </c>
      <c r="C26" s="3221">
        <v>0</v>
      </c>
      <c r="D26" s="3222">
        <v>0</v>
      </c>
      <c r="E26" s="3222">
        <v>0</v>
      </c>
      <c r="F26" s="3222">
        <v>0</v>
      </c>
      <c r="G26" s="3223">
        <v>0</v>
      </c>
      <c r="H26" s="3221">
        <v>0</v>
      </c>
      <c r="I26" s="3222">
        <v>0</v>
      </c>
      <c r="J26" s="3222">
        <v>0</v>
      </c>
      <c r="K26" s="3222">
        <v>0</v>
      </c>
      <c r="L26" s="3223">
        <v>0</v>
      </c>
      <c r="M26" s="3221">
        <v>0</v>
      </c>
      <c r="N26" s="3222">
        <v>0</v>
      </c>
      <c r="O26" s="3222">
        <v>0</v>
      </c>
      <c r="P26" s="3222">
        <v>0</v>
      </c>
      <c r="Q26" s="3223">
        <v>0</v>
      </c>
    </row>
    <row r="27" spans="1:19">
      <c r="A27" s="3200"/>
      <c r="B27" s="3192" t="s">
        <v>680</v>
      </c>
      <c r="C27" s="3221">
        <v>0</v>
      </c>
      <c r="D27" s="3222">
        <v>0</v>
      </c>
      <c r="E27" s="3222">
        <v>0</v>
      </c>
      <c r="F27" s="3222">
        <v>0</v>
      </c>
      <c r="G27" s="3223">
        <v>0</v>
      </c>
      <c r="H27" s="3221">
        <v>0</v>
      </c>
      <c r="I27" s="3222">
        <v>0</v>
      </c>
      <c r="J27" s="3222">
        <v>0</v>
      </c>
      <c r="K27" s="3222">
        <v>0</v>
      </c>
      <c r="L27" s="3223">
        <v>0</v>
      </c>
      <c r="M27" s="3221">
        <v>0</v>
      </c>
      <c r="N27" s="3222">
        <v>0</v>
      </c>
      <c r="O27" s="3222">
        <v>0</v>
      </c>
      <c r="P27" s="3222">
        <v>0</v>
      </c>
      <c r="Q27" s="3223">
        <v>0</v>
      </c>
    </row>
    <row r="28" spans="1:19">
      <c r="A28" s="3200"/>
      <c r="B28" s="3192" t="s">
        <v>681</v>
      </c>
      <c r="C28" s="3221">
        <v>20.254961302991799</v>
      </c>
      <c r="D28" s="3222">
        <v>20.486849145893494</v>
      </c>
      <c r="E28" s="3222">
        <v>21.2617017072889</v>
      </c>
      <c r="F28" s="3222">
        <v>21.555325885641679</v>
      </c>
      <c r="G28" s="3223">
        <v>21.364188861730391</v>
      </c>
      <c r="H28" s="3221">
        <v>19.317825205036385</v>
      </c>
      <c r="I28" s="3222">
        <v>18.449340643640983</v>
      </c>
      <c r="J28" s="3222">
        <v>17.024000000000001</v>
      </c>
      <c r="K28" s="3222">
        <v>16.501192956960232</v>
      </c>
      <c r="L28" s="3223">
        <v>14.642650669417618</v>
      </c>
      <c r="M28" s="3221">
        <v>12.74734459473615</v>
      </c>
      <c r="N28" s="3222">
        <v>10.870001304227333</v>
      </c>
      <c r="O28" s="3222">
        <v>9.0204948818756669</v>
      </c>
      <c r="P28" s="3222">
        <v>7.2591237194081364</v>
      </c>
      <c r="Q28" s="3223">
        <v>5.5242998577230624</v>
      </c>
    </row>
    <row r="29" spans="1:19">
      <c r="A29" s="3200"/>
      <c r="B29" s="3192" t="s">
        <v>682</v>
      </c>
      <c r="C29" s="3224">
        <v>0.34503869700820144</v>
      </c>
      <c r="D29" s="3225">
        <v>0.34898885410650332</v>
      </c>
      <c r="E29" s="3225">
        <v>0.36218829271110081</v>
      </c>
      <c r="F29" s="3225">
        <v>0.36719011435832272</v>
      </c>
      <c r="G29" s="3226">
        <v>0.36393413826960835</v>
      </c>
      <c r="H29" s="3224">
        <v>0.32907479496361319</v>
      </c>
      <c r="I29" s="3225">
        <v>0.3142803563590158</v>
      </c>
      <c r="J29" s="3225">
        <v>0.28999999999999998</v>
      </c>
      <c r="K29" s="3222">
        <v>0.28538561292452691</v>
      </c>
      <c r="L29" s="3223">
        <v>0.25324240780839152</v>
      </c>
      <c r="M29" s="3221">
        <v>0.22046337860648157</v>
      </c>
      <c r="N29" s="3222">
        <v>0.18799501301442786</v>
      </c>
      <c r="O29" s="3222">
        <v>0.15600808180724851</v>
      </c>
      <c r="P29" s="3222">
        <v>0.12554543646400043</v>
      </c>
      <c r="Q29" s="3223">
        <v>9.5541922634761925E-2</v>
      </c>
    </row>
    <row r="30" spans="1:19">
      <c r="A30" s="3200"/>
      <c r="B30" s="3192" t="s">
        <v>66</v>
      </c>
      <c r="C30" s="3221">
        <v>147.47</v>
      </c>
      <c r="D30" s="3222">
        <v>139.57</v>
      </c>
      <c r="E30" s="3222">
        <v>128.99</v>
      </c>
      <c r="F30" s="3222">
        <v>119.157392</v>
      </c>
      <c r="G30" s="3223">
        <v>107.581453</v>
      </c>
      <c r="H30" s="3221">
        <v>95.908884</v>
      </c>
      <c r="I30" s="3222">
        <v>85.800101999999995</v>
      </c>
      <c r="J30" s="3222">
        <v>73.070999999999998</v>
      </c>
      <c r="K30" s="3222">
        <v>69.223724723965518</v>
      </c>
      <c r="L30" s="3223">
        <v>61.42700238781272</v>
      </c>
      <c r="M30" s="3221">
        <v>53.47605324591634</v>
      </c>
      <c r="N30" s="3222">
        <v>45.60045931197898</v>
      </c>
      <c r="O30" s="3222">
        <v>37.841643098507888</v>
      </c>
      <c r="P30" s="3222">
        <v>30.452560817886855</v>
      </c>
      <c r="Q30" s="3223">
        <v>23.174846427231252</v>
      </c>
    </row>
    <row r="31" spans="1:19" ht="13.5" thickBot="1">
      <c r="A31" s="3200"/>
      <c r="B31" s="3192" t="s">
        <v>67</v>
      </c>
      <c r="C31" s="3221">
        <v>45.67</v>
      </c>
      <c r="D31" s="3222">
        <v>43.3</v>
      </c>
      <c r="E31" s="3222">
        <v>39.68</v>
      </c>
      <c r="F31" s="3222">
        <v>35.368758999999997</v>
      </c>
      <c r="G31" s="3223">
        <v>32.687801999999998</v>
      </c>
      <c r="H31" s="3221">
        <v>27.910250999999999</v>
      </c>
      <c r="I31" s="3222">
        <v>22.180606000000001</v>
      </c>
      <c r="J31" s="3222">
        <v>24.28</v>
      </c>
      <c r="K31" s="3222">
        <v>21.458045826963136</v>
      </c>
      <c r="L31" s="3223">
        <v>19.041209318144752</v>
      </c>
      <c r="M31" s="3221">
        <v>16.576565415566662</v>
      </c>
      <c r="N31" s="3222">
        <v>14.135280202688278</v>
      </c>
      <c r="O31" s="3222">
        <v>11.730193875196742</v>
      </c>
      <c r="P31" s="3222">
        <v>9.4397180761983819</v>
      </c>
      <c r="Q31" s="3223">
        <v>7.1837642174171901</v>
      </c>
    </row>
    <row r="32" spans="1:19">
      <c r="A32" s="3200"/>
      <c r="B32" s="3217" t="s">
        <v>698</v>
      </c>
      <c r="C32" s="3227"/>
      <c r="D32" s="3228"/>
      <c r="E32" s="3228"/>
      <c r="F32" s="3228"/>
      <c r="G32" s="3229"/>
      <c r="H32" s="3227"/>
      <c r="I32" s="3228"/>
      <c r="J32" s="3228"/>
      <c r="K32" s="3228"/>
      <c r="L32" s="3220"/>
      <c r="M32" s="3218"/>
      <c r="N32" s="3219"/>
      <c r="O32" s="3219"/>
      <c r="P32" s="3219"/>
      <c r="Q32" s="3220"/>
    </row>
    <row r="33" spans="1:17">
      <c r="A33" s="3200"/>
      <c r="B33" s="3192" t="s">
        <v>64</v>
      </c>
      <c r="C33" s="3221">
        <v>20.83</v>
      </c>
      <c r="D33" s="3222">
        <v>20.58</v>
      </c>
      <c r="E33" s="3222">
        <v>20.58</v>
      </c>
      <c r="F33" s="3222">
        <v>20.583904</v>
      </c>
      <c r="G33" s="3223">
        <v>20.573941000000001</v>
      </c>
      <c r="H33" s="3221">
        <v>20.380198</v>
      </c>
      <c r="I33" s="3222">
        <v>15.253601</v>
      </c>
      <c r="J33" s="3222">
        <v>11.852</v>
      </c>
      <c r="K33" s="3225">
        <v>0</v>
      </c>
      <c r="L33" s="3226">
        <v>0</v>
      </c>
      <c r="M33" s="3221">
        <v>0</v>
      </c>
      <c r="N33" s="3222">
        <v>0</v>
      </c>
      <c r="O33" s="3222">
        <v>0</v>
      </c>
      <c r="P33" s="3222">
        <v>0</v>
      </c>
      <c r="Q33" s="3223">
        <v>0</v>
      </c>
    </row>
    <row r="34" spans="1:17">
      <c r="A34" s="3200"/>
      <c r="B34" s="3192" t="s">
        <v>65</v>
      </c>
      <c r="C34" s="3221">
        <v>0</v>
      </c>
      <c r="D34" s="3222">
        <v>0</v>
      </c>
      <c r="E34" s="3222">
        <v>0</v>
      </c>
      <c r="F34" s="3222">
        <v>0</v>
      </c>
      <c r="G34" s="3223">
        <v>0</v>
      </c>
      <c r="H34" s="3221">
        <v>0</v>
      </c>
      <c r="I34" s="3222">
        <v>0</v>
      </c>
      <c r="J34" s="3222">
        <v>0</v>
      </c>
      <c r="K34" s="3225">
        <v>0</v>
      </c>
      <c r="L34" s="3226">
        <v>0</v>
      </c>
      <c r="M34" s="3221">
        <v>0</v>
      </c>
      <c r="N34" s="3222">
        <v>0</v>
      </c>
      <c r="O34" s="3222">
        <v>0</v>
      </c>
      <c r="P34" s="3222">
        <v>0</v>
      </c>
      <c r="Q34" s="3223">
        <v>0</v>
      </c>
    </row>
    <row r="35" spans="1:17">
      <c r="A35" s="3200"/>
      <c r="B35" s="3192" t="s">
        <v>82</v>
      </c>
      <c r="C35" s="3221">
        <v>0</v>
      </c>
      <c r="D35" s="3222">
        <v>0</v>
      </c>
      <c r="E35" s="3222">
        <v>0</v>
      </c>
      <c r="F35" s="3222">
        <v>0</v>
      </c>
      <c r="G35" s="3223">
        <v>0</v>
      </c>
      <c r="H35" s="3221">
        <v>0</v>
      </c>
      <c r="I35" s="3222">
        <v>0</v>
      </c>
      <c r="J35" s="3222">
        <v>0</v>
      </c>
      <c r="K35" s="3225">
        <v>0</v>
      </c>
      <c r="L35" s="3226">
        <v>0</v>
      </c>
      <c r="M35" s="3221">
        <v>0</v>
      </c>
      <c r="N35" s="3222">
        <v>0</v>
      </c>
      <c r="O35" s="3222">
        <v>0</v>
      </c>
      <c r="P35" s="3222">
        <v>0</v>
      </c>
      <c r="Q35" s="3223">
        <v>0</v>
      </c>
    </row>
    <row r="36" spans="1:17">
      <c r="A36" s="3200"/>
      <c r="B36" s="3192" t="s">
        <v>680</v>
      </c>
      <c r="C36" s="3221">
        <v>39.991926561173976</v>
      </c>
      <c r="D36" s="3222">
        <v>40.187955939132586</v>
      </c>
      <c r="E36" s="3222">
        <v>40.237864833412509</v>
      </c>
      <c r="F36" s="3222">
        <v>40.564171315048746</v>
      </c>
      <c r="G36" s="3223">
        <v>40.620309724042016</v>
      </c>
      <c r="H36" s="3221">
        <v>40.417872808675732</v>
      </c>
      <c r="I36" s="3222">
        <v>39.889553595128163</v>
      </c>
      <c r="J36" s="3222">
        <v>39.390999999999998</v>
      </c>
      <c r="K36" s="3225">
        <v>39.390999999999998</v>
      </c>
      <c r="L36" s="3226">
        <v>38.52819806539879</v>
      </c>
      <c r="M36" s="3221">
        <v>37.763985631858013</v>
      </c>
      <c r="N36" s="3222">
        <v>37.116251459488396</v>
      </c>
      <c r="O36" s="3222">
        <v>36.372803792507021</v>
      </c>
      <c r="P36" s="3222">
        <v>36.372803792507021</v>
      </c>
      <c r="Q36" s="3223">
        <v>36.372803792507021</v>
      </c>
    </row>
    <row r="37" spans="1:17">
      <c r="A37" s="3200"/>
      <c r="B37" s="3192" t="s">
        <v>681</v>
      </c>
      <c r="C37" s="3221">
        <v>210.03807343882605</v>
      </c>
      <c r="D37" s="3222">
        <v>211.06762206086745</v>
      </c>
      <c r="E37" s="3222">
        <v>211.32974416658752</v>
      </c>
      <c r="F37" s="3222">
        <v>213.04350968495129</v>
      </c>
      <c r="G37" s="3223">
        <v>213.33834927595802</v>
      </c>
      <c r="H37" s="3221">
        <v>212.27514819132426</v>
      </c>
      <c r="I37" s="3222">
        <v>209.50040940487185</v>
      </c>
      <c r="J37" s="3222">
        <v>206.88200000000001</v>
      </c>
      <c r="K37" s="3225">
        <v>202.488</v>
      </c>
      <c r="L37" s="3226">
        <v>198.05279809769922</v>
      </c>
      <c r="M37" s="3221">
        <v>194.12439193276802</v>
      </c>
      <c r="N37" s="3222">
        <v>190.79473802464742</v>
      </c>
      <c r="O37" s="3222">
        <v>186.97307238549826</v>
      </c>
      <c r="P37" s="3222">
        <v>186.97307238549826</v>
      </c>
      <c r="Q37" s="3223">
        <v>186.97307238549826</v>
      </c>
    </row>
    <row r="38" spans="1:17">
      <c r="A38" s="3200"/>
      <c r="B38" s="3192" t="s">
        <v>682</v>
      </c>
      <c r="C38" s="3221">
        <v>0</v>
      </c>
      <c r="D38" s="3222">
        <v>0</v>
      </c>
      <c r="E38" s="3222">
        <v>0</v>
      </c>
      <c r="F38" s="3222">
        <v>0</v>
      </c>
      <c r="G38" s="3223">
        <v>0</v>
      </c>
      <c r="H38" s="3221">
        <v>0</v>
      </c>
      <c r="I38" s="3222">
        <v>0</v>
      </c>
      <c r="J38" s="3222">
        <v>0</v>
      </c>
      <c r="K38" s="3225">
        <v>0</v>
      </c>
      <c r="L38" s="3226">
        <v>0</v>
      </c>
      <c r="M38" s="3221">
        <v>0</v>
      </c>
      <c r="N38" s="3222">
        <v>0</v>
      </c>
      <c r="O38" s="3222">
        <v>0</v>
      </c>
      <c r="P38" s="3222">
        <v>0</v>
      </c>
      <c r="Q38" s="3223">
        <v>0</v>
      </c>
    </row>
    <row r="39" spans="1:17">
      <c r="A39" s="3200"/>
      <c r="B39" s="3192" t="s">
        <v>66</v>
      </c>
      <c r="C39" s="3221">
        <v>269.82</v>
      </c>
      <c r="D39" s="3222">
        <v>269.52</v>
      </c>
      <c r="E39" s="3222">
        <v>269.39</v>
      </c>
      <c r="F39" s="3222">
        <v>269.350324</v>
      </c>
      <c r="G39" s="3223">
        <v>268.376148</v>
      </c>
      <c r="H39" s="3221">
        <v>266.62534900000003</v>
      </c>
      <c r="I39" s="3222">
        <v>256.071844</v>
      </c>
      <c r="J39" s="3222">
        <v>247.364</v>
      </c>
      <c r="K39" s="3225">
        <v>239.88360834811701</v>
      </c>
      <c r="L39" s="3226">
        <v>234.62931063133209</v>
      </c>
      <c r="M39" s="3221">
        <v>229.97540400031846</v>
      </c>
      <c r="N39" s="3222">
        <v>226.03082756107079</v>
      </c>
      <c r="O39" s="3222">
        <v>221.50337436177446</v>
      </c>
      <c r="P39" s="3222">
        <v>221.50337436177446</v>
      </c>
      <c r="Q39" s="3223">
        <v>221.50337436177446</v>
      </c>
    </row>
    <row r="40" spans="1:17" ht="13.5" thickBot="1">
      <c r="A40" s="3200"/>
      <c r="B40" s="3192" t="s">
        <v>67</v>
      </c>
      <c r="C40" s="3221">
        <v>212.55</v>
      </c>
      <c r="D40" s="3222">
        <v>212.68</v>
      </c>
      <c r="E40" s="3222">
        <v>212.89</v>
      </c>
      <c r="F40" s="3222">
        <v>212.833541</v>
      </c>
      <c r="G40" s="3223">
        <v>212.79378</v>
      </c>
      <c r="H40" s="3221">
        <v>213.30483799999999</v>
      </c>
      <c r="I40" s="3222">
        <v>211.26919000000001</v>
      </c>
      <c r="J40" s="3222">
        <v>208.55500000000001</v>
      </c>
      <c r="K40" s="3225">
        <v>203.058526496811</v>
      </c>
      <c r="L40" s="3226">
        <v>198.6108280504979</v>
      </c>
      <c r="M40" s="3221">
        <v>194.67135327998349</v>
      </c>
      <c r="N40" s="3222">
        <v>191.33231779972135</v>
      </c>
      <c r="O40" s="3222">
        <v>187.49988430514821</v>
      </c>
      <c r="P40" s="3222">
        <v>187.49988430514821</v>
      </c>
      <c r="Q40" s="3223">
        <v>187.49988430514821</v>
      </c>
    </row>
    <row r="41" spans="1:17">
      <c r="A41" s="3200"/>
      <c r="B41" s="3217" t="s">
        <v>636</v>
      </c>
      <c r="C41" s="3227"/>
      <c r="D41" s="3228"/>
      <c r="E41" s="3228"/>
      <c r="F41" s="3228"/>
      <c r="G41" s="3229"/>
      <c r="H41" s="3227"/>
      <c r="I41" s="3228"/>
      <c r="J41" s="3228"/>
      <c r="K41" s="3228"/>
      <c r="L41" s="3220"/>
      <c r="M41" s="3218"/>
      <c r="N41" s="3219"/>
      <c r="O41" s="3219"/>
      <c r="P41" s="3219"/>
      <c r="Q41" s="3220"/>
    </row>
    <row r="42" spans="1:17">
      <c r="A42" s="3200"/>
      <c r="B42" s="3192" t="s">
        <v>64</v>
      </c>
      <c r="C42" s="3221">
        <v>0</v>
      </c>
      <c r="D42" s="3222">
        <v>0</v>
      </c>
      <c r="E42" s="3222">
        <v>0</v>
      </c>
      <c r="F42" s="3222">
        <v>0</v>
      </c>
      <c r="G42" s="3222">
        <v>0</v>
      </c>
      <c r="H42" s="3221">
        <v>0</v>
      </c>
      <c r="I42" s="3222">
        <v>0</v>
      </c>
      <c r="J42" s="3222">
        <v>0</v>
      </c>
      <c r="K42" s="3222">
        <v>0</v>
      </c>
      <c r="L42" s="3222">
        <v>0</v>
      </c>
      <c r="M42" s="3221">
        <v>0</v>
      </c>
      <c r="N42" s="3222">
        <v>0</v>
      </c>
      <c r="O42" s="3222">
        <v>0</v>
      </c>
      <c r="P42" s="3222">
        <v>0</v>
      </c>
      <c r="Q42" s="3223">
        <v>0</v>
      </c>
    </row>
    <row r="43" spans="1:17">
      <c r="A43" s="3200"/>
      <c r="B43" s="3192" t="s">
        <v>65</v>
      </c>
      <c r="C43" s="3221">
        <v>0</v>
      </c>
      <c r="D43" s="3222">
        <v>0</v>
      </c>
      <c r="E43" s="3222">
        <v>0</v>
      </c>
      <c r="F43" s="3222">
        <v>0</v>
      </c>
      <c r="G43" s="3222">
        <v>0</v>
      </c>
      <c r="H43" s="3221">
        <v>0</v>
      </c>
      <c r="I43" s="3222">
        <v>0</v>
      </c>
      <c r="J43" s="3222">
        <v>0</v>
      </c>
      <c r="K43" s="3222">
        <v>0</v>
      </c>
      <c r="L43" s="3222">
        <v>0</v>
      </c>
      <c r="M43" s="3221">
        <v>0</v>
      </c>
      <c r="N43" s="3222">
        <v>0</v>
      </c>
      <c r="O43" s="3222">
        <v>0</v>
      </c>
      <c r="P43" s="3222">
        <v>0</v>
      </c>
      <c r="Q43" s="3223">
        <v>0</v>
      </c>
    </row>
    <row r="44" spans="1:17">
      <c r="A44" s="3200"/>
      <c r="B44" s="3192" t="s">
        <v>82</v>
      </c>
      <c r="C44" s="3221">
        <v>0</v>
      </c>
      <c r="D44" s="3222">
        <v>0</v>
      </c>
      <c r="E44" s="3222">
        <v>0</v>
      </c>
      <c r="F44" s="3222">
        <v>0</v>
      </c>
      <c r="G44" s="3222">
        <v>0</v>
      </c>
      <c r="H44" s="3221">
        <v>0</v>
      </c>
      <c r="I44" s="3222">
        <v>0</v>
      </c>
      <c r="J44" s="3222">
        <v>0</v>
      </c>
      <c r="K44" s="3222">
        <v>0</v>
      </c>
      <c r="L44" s="3222">
        <v>0</v>
      </c>
      <c r="M44" s="3221">
        <v>0</v>
      </c>
      <c r="N44" s="3222">
        <v>0</v>
      </c>
      <c r="O44" s="3222">
        <v>0</v>
      </c>
      <c r="P44" s="3222">
        <v>0</v>
      </c>
      <c r="Q44" s="3223">
        <v>0</v>
      </c>
    </row>
    <row r="45" spans="1:17">
      <c r="A45" s="3200"/>
      <c r="B45" s="3192" t="s">
        <v>680</v>
      </c>
      <c r="C45" s="3221">
        <v>0</v>
      </c>
      <c r="D45" s="3222">
        <v>0</v>
      </c>
      <c r="E45" s="3222">
        <v>0</v>
      </c>
      <c r="F45" s="3222">
        <v>0</v>
      </c>
      <c r="G45" s="3223">
        <v>0</v>
      </c>
      <c r="H45" s="3221">
        <v>0</v>
      </c>
      <c r="I45" s="3222">
        <v>0</v>
      </c>
      <c r="J45" s="3222">
        <v>0</v>
      </c>
      <c r="K45" s="3222">
        <v>0</v>
      </c>
      <c r="L45" s="3223">
        <v>0</v>
      </c>
      <c r="M45" s="3221">
        <v>0</v>
      </c>
      <c r="N45" s="3222">
        <v>0</v>
      </c>
      <c r="O45" s="3222">
        <v>0</v>
      </c>
      <c r="P45" s="3222">
        <v>0</v>
      </c>
      <c r="Q45" s="3223">
        <v>0</v>
      </c>
    </row>
    <row r="46" spans="1:17">
      <c r="A46" s="3200"/>
      <c r="B46" s="3192" t="s">
        <v>681</v>
      </c>
      <c r="C46" s="3221">
        <v>4738.6398313928958</v>
      </c>
      <c r="D46" s="3222">
        <v>5015.9463375497426</v>
      </c>
      <c r="E46" s="3222">
        <v>5304.4072386983216</v>
      </c>
      <c r="F46" s="3222">
        <v>5558.2641943349536</v>
      </c>
      <c r="G46" s="3223">
        <v>5848.8991164821773</v>
      </c>
      <c r="H46" s="3221">
        <v>6345.8464103215865</v>
      </c>
      <c r="I46" s="3222">
        <v>6668.3074845836391</v>
      </c>
      <c r="J46" s="3222">
        <v>6942.1689999999999</v>
      </c>
      <c r="K46" s="3222">
        <v>7221.4249711853699</v>
      </c>
      <c r="L46" s="3223">
        <v>7464.4438706090777</v>
      </c>
      <c r="M46" s="3221">
        <v>7712.2626480212602</v>
      </c>
      <c r="N46" s="3222">
        <v>7962.2049009816856</v>
      </c>
      <c r="O46" s="3222">
        <v>8217.5579990013193</v>
      </c>
      <c r="P46" s="3222">
        <v>8461.1291589813445</v>
      </c>
      <c r="Q46" s="3223">
        <v>8708.377742160972</v>
      </c>
    </row>
    <row r="47" spans="1:17">
      <c r="A47" s="3200"/>
      <c r="B47" s="3192" t="s">
        <v>682</v>
      </c>
      <c r="C47" s="3221">
        <v>34.820168607104549</v>
      </c>
      <c r="D47" s="3222">
        <v>36.857854450257186</v>
      </c>
      <c r="E47" s="3222">
        <v>38.977504301678451</v>
      </c>
      <c r="F47" s="3222">
        <v>40.842879665046276</v>
      </c>
      <c r="G47" s="3223">
        <v>42.978504517822721</v>
      </c>
      <c r="H47" s="3221">
        <v>46.630140678414016</v>
      </c>
      <c r="I47" s="3222">
        <v>48.999628416361027</v>
      </c>
      <c r="J47" s="3222">
        <v>51.012</v>
      </c>
      <c r="K47" s="3222">
        <v>51.785424944568149</v>
      </c>
      <c r="L47" s="3223">
        <v>52.86198640920307</v>
      </c>
      <c r="M47" s="3221">
        <v>54.905060301722102</v>
      </c>
      <c r="N47" s="3222">
        <v>56.464877980299093</v>
      </c>
      <c r="O47" s="3222">
        <v>58.02896913196804</v>
      </c>
      <c r="P47" s="3222">
        <v>59.588786810545031</v>
      </c>
      <c r="Q47" s="3223">
        <v>61.148604489121993</v>
      </c>
    </row>
    <row r="48" spans="1:17">
      <c r="A48" s="3200"/>
      <c r="B48" s="3192" t="s">
        <v>66</v>
      </c>
      <c r="C48" s="3221">
        <v>0</v>
      </c>
      <c r="D48" s="3222">
        <v>0</v>
      </c>
      <c r="E48" s="3222">
        <v>0</v>
      </c>
      <c r="F48" s="3222">
        <v>0</v>
      </c>
      <c r="G48" s="3223">
        <v>0</v>
      </c>
      <c r="H48" s="3221">
        <v>0</v>
      </c>
      <c r="I48" s="3222">
        <v>0</v>
      </c>
      <c r="J48" s="3222">
        <v>0</v>
      </c>
      <c r="K48" s="3222">
        <v>0</v>
      </c>
      <c r="L48" s="3223">
        <v>0</v>
      </c>
      <c r="M48" s="3221">
        <v>0</v>
      </c>
      <c r="N48" s="3222">
        <v>0</v>
      </c>
      <c r="O48" s="3222">
        <v>0</v>
      </c>
      <c r="P48" s="3222">
        <v>0</v>
      </c>
      <c r="Q48" s="3223">
        <v>0</v>
      </c>
    </row>
    <row r="49" spans="1:19" ht="13.5" thickBot="1">
      <c r="A49" s="3200"/>
      <c r="B49" s="3192" t="s">
        <v>67</v>
      </c>
      <c r="C49" s="3221">
        <v>2245.69</v>
      </c>
      <c r="D49" s="3222">
        <v>2247.2199999999998</v>
      </c>
      <c r="E49" s="3222">
        <v>2247.04</v>
      </c>
      <c r="F49" s="3222">
        <v>2249.8983050000002</v>
      </c>
      <c r="G49" s="3223">
        <v>2253.5253680000001</v>
      </c>
      <c r="H49" s="3221">
        <v>2249.729836</v>
      </c>
      <c r="I49" s="3222">
        <v>2250.7900869999999</v>
      </c>
      <c r="J49" s="3222">
        <v>2271.5230000000001</v>
      </c>
      <c r="K49" s="3222">
        <v>2278.0301482059035</v>
      </c>
      <c r="L49" s="3223">
        <v>2291.8709193178483</v>
      </c>
      <c r="M49" s="3221">
        <v>2298.8526083818992</v>
      </c>
      <c r="N49" s="3222">
        <v>2309.2638384698971</v>
      </c>
      <c r="O49" s="3222">
        <v>2319.7035924759443</v>
      </c>
      <c r="P49" s="3222">
        <v>2330.1148225639427</v>
      </c>
      <c r="Q49" s="3223">
        <v>2340.5260526519405</v>
      </c>
    </row>
    <row r="50" spans="1:19">
      <c r="A50" s="3200"/>
      <c r="B50" s="3217" t="s">
        <v>637</v>
      </c>
      <c r="C50" s="3218"/>
      <c r="D50" s="3219"/>
      <c r="E50" s="3219"/>
      <c r="F50" s="3219"/>
      <c r="G50" s="3220"/>
      <c r="H50" s="3218"/>
      <c r="I50" s="3219"/>
      <c r="J50" s="3219"/>
      <c r="K50" s="3219"/>
      <c r="L50" s="3220"/>
      <c r="M50" s="3218"/>
      <c r="N50" s="3219"/>
      <c r="O50" s="3219"/>
      <c r="P50" s="3219"/>
      <c r="Q50" s="3220"/>
    </row>
    <row r="51" spans="1:19">
      <c r="A51" s="3200"/>
      <c r="B51" s="3192" t="s">
        <v>67</v>
      </c>
      <c r="C51" s="3063">
        <v>182</v>
      </c>
      <c r="D51" s="3064">
        <v>182</v>
      </c>
      <c r="E51" s="3064">
        <v>182</v>
      </c>
      <c r="F51" s="3064">
        <v>182</v>
      </c>
      <c r="G51" s="3030">
        <v>182</v>
      </c>
      <c r="H51" s="3063">
        <v>184</v>
      </c>
      <c r="I51" s="3064">
        <v>184</v>
      </c>
      <c r="J51" s="3064">
        <v>184</v>
      </c>
      <c r="K51" s="3064">
        <v>184</v>
      </c>
      <c r="L51" s="3030">
        <v>184</v>
      </c>
      <c r="M51" s="3063">
        <v>184</v>
      </c>
      <c r="N51" s="3064">
        <v>184</v>
      </c>
      <c r="O51" s="3064">
        <v>184</v>
      </c>
      <c r="P51" s="3064">
        <v>184</v>
      </c>
      <c r="Q51" s="3030">
        <v>184</v>
      </c>
    </row>
    <row r="52" spans="1:19" hidden="1">
      <c r="A52" s="3200"/>
      <c r="B52" s="3230" t="s">
        <v>81</v>
      </c>
      <c r="C52" s="3063"/>
      <c r="D52" s="3064"/>
      <c r="E52" s="3064"/>
      <c r="F52" s="3064"/>
      <c r="G52" s="3030"/>
      <c r="H52" s="3063"/>
      <c r="I52" s="3064"/>
      <c r="J52" s="3064"/>
      <c r="K52" s="3064"/>
      <c r="L52" s="3030"/>
      <c r="M52" s="3063"/>
      <c r="N52" s="3064"/>
      <c r="O52" s="3064"/>
      <c r="P52" s="3064"/>
      <c r="Q52" s="3030"/>
    </row>
    <row r="53" spans="1:19" hidden="1">
      <c r="A53" s="3200"/>
      <c r="B53" s="3230" t="s">
        <v>81</v>
      </c>
      <c r="C53" s="3063"/>
      <c r="D53" s="3064"/>
      <c r="E53" s="3064"/>
      <c r="F53" s="3064"/>
      <c r="G53" s="3030"/>
      <c r="H53" s="3063"/>
      <c r="I53" s="3064"/>
      <c r="J53" s="3064"/>
      <c r="K53" s="3064"/>
      <c r="L53" s="3030"/>
      <c r="M53" s="3063"/>
      <c r="N53" s="3064"/>
      <c r="O53" s="3064"/>
      <c r="P53" s="3064"/>
      <c r="Q53" s="3030"/>
    </row>
    <row r="54" spans="1:19" hidden="1">
      <c r="A54" s="3200"/>
      <c r="B54" s="3230" t="s">
        <v>81</v>
      </c>
      <c r="C54" s="3063"/>
      <c r="D54" s="3064"/>
      <c r="E54" s="3064"/>
      <c r="F54" s="3064"/>
      <c r="G54" s="3030"/>
      <c r="H54" s="3063"/>
      <c r="I54" s="3064"/>
      <c r="J54" s="3064"/>
      <c r="K54" s="3064"/>
      <c r="L54" s="3030"/>
      <c r="M54" s="3063"/>
      <c r="N54" s="3064"/>
      <c r="O54" s="3064"/>
      <c r="P54" s="3064"/>
      <c r="Q54" s="3030"/>
    </row>
    <row r="55" spans="1:19" hidden="1">
      <c r="A55" s="3200"/>
      <c r="B55" s="3230" t="s">
        <v>81</v>
      </c>
      <c r="C55" s="3063"/>
      <c r="D55" s="3064"/>
      <c r="E55" s="3064"/>
      <c r="F55" s="3064"/>
      <c r="G55" s="3030"/>
      <c r="H55" s="3063"/>
      <c r="I55" s="3064"/>
      <c r="J55" s="3064"/>
      <c r="K55" s="3064"/>
      <c r="L55" s="3030"/>
      <c r="M55" s="3063"/>
      <c r="N55" s="3064"/>
      <c r="O55" s="3064"/>
      <c r="P55" s="3064"/>
      <c r="Q55" s="3030"/>
    </row>
    <row r="56" spans="1:19" hidden="1">
      <c r="A56" s="3200"/>
      <c r="B56" s="3230" t="s">
        <v>81</v>
      </c>
      <c r="C56" s="3063"/>
      <c r="D56" s="3064"/>
      <c r="E56" s="3064"/>
      <c r="F56" s="3064"/>
      <c r="G56" s="3030"/>
      <c r="H56" s="3063"/>
      <c r="I56" s="3064"/>
      <c r="J56" s="3064"/>
      <c r="K56" s="3064"/>
      <c r="L56" s="3030"/>
      <c r="M56" s="3063"/>
      <c r="N56" s="3064"/>
      <c r="O56" s="3064"/>
      <c r="P56" s="3064"/>
      <c r="Q56" s="3030"/>
    </row>
    <row r="57" spans="1:19" ht="19.5" customHeight="1" thickBot="1">
      <c r="A57" s="3200"/>
      <c r="B57" s="3231" t="s">
        <v>23</v>
      </c>
      <c r="C57" s="3232">
        <f t="shared" ref="C57:Q57" si="0">SUM(C24:C56)</f>
        <v>9463.6500000000015</v>
      </c>
      <c r="D57" s="3233">
        <f t="shared" si="0"/>
        <v>9678.6156080000001</v>
      </c>
      <c r="E57" s="3233">
        <f t="shared" si="0"/>
        <v>9880.4762420000006</v>
      </c>
      <c r="F57" s="3233">
        <f t="shared" si="0"/>
        <v>10051.231457</v>
      </c>
      <c r="G57" s="3234">
        <f t="shared" si="0"/>
        <v>10222.620207</v>
      </c>
      <c r="H57" s="3232">
        <f t="shared" si="0"/>
        <v>10616.804166</v>
      </c>
      <c r="I57" s="3233">
        <f t="shared" si="0"/>
        <v>10792.869817999999</v>
      </c>
      <c r="J57" s="3233">
        <f t="shared" si="0"/>
        <v>10963.77</v>
      </c>
      <c r="K57" s="3233">
        <f t="shared" si="0"/>
        <v>11162.22467918077</v>
      </c>
      <c r="L57" s="3234">
        <f t="shared" si="0"/>
        <v>11321.570511181057</v>
      </c>
      <c r="M57" s="3232">
        <f t="shared" si="0"/>
        <v>11479.88415154981</v>
      </c>
      <c r="N57" s="3233">
        <f t="shared" si="0"/>
        <v>11646.100452276809</v>
      </c>
      <c r="O57" s="3233">
        <f t="shared" si="0"/>
        <v>11817.348395454161</v>
      </c>
      <c r="P57" s="3233">
        <f t="shared" si="0"/>
        <v>11993.670603200761</v>
      </c>
      <c r="Q57" s="3234">
        <f t="shared" si="0"/>
        <v>12174.864234146964</v>
      </c>
    </row>
    <row r="58" spans="1:19" s="3238" customFormat="1" ht="28.5" customHeight="1" thickBot="1">
      <c r="A58" s="3235"/>
      <c r="B58" s="3236" t="s">
        <v>121</v>
      </c>
      <c r="C58" s="3110"/>
      <c r="D58" s="3111"/>
      <c r="E58" s="3111"/>
      <c r="F58" s="3111"/>
      <c r="G58" s="3111"/>
      <c r="H58" s="3111"/>
      <c r="I58" s="3111"/>
      <c r="J58" s="3111"/>
      <c r="K58" s="3111"/>
      <c r="L58" s="3111"/>
      <c r="M58" s="3111"/>
      <c r="N58" s="3111"/>
      <c r="O58" s="3111"/>
      <c r="P58" s="3111"/>
      <c r="Q58" s="3237"/>
      <c r="R58" s="2524"/>
      <c r="S58" s="2524"/>
    </row>
    <row r="59" spans="1:19" s="3238" customFormat="1" ht="28.5" customHeight="1">
      <c r="A59" s="3235"/>
      <c r="B59" s="3239"/>
      <c r="C59" s="3239"/>
      <c r="D59" s="3239"/>
      <c r="E59" s="3239"/>
      <c r="F59" s="3239"/>
      <c r="G59" s="3239"/>
      <c r="H59" s="3239"/>
      <c r="K59" s="3239"/>
      <c r="L59" s="3239"/>
      <c r="M59" s="3239"/>
      <c r="N59" s="3239"/>
      <c r="O59" s="3239"/>
      <c r="P59" s="3239"/>
      <c r="Q59" s="3239"/>
      <c r="R59" s="2524"/>
      <c r="S59" s="2524"/>
    </row>
    <row r="60" spans="1:19" s="3238" customFormat="1" ht="28.5" customHeight="1" thickBot="1">
      <c r="A60" s="3235"/>
      <c r="B60" s="3239"/>
      <c r="C60" s="3239"/>
      <c r="D60" s="3239"/>
      <c r="E60" s="3239"/>
      <c r="F60" s="3239"/>
      <c r="G60" s="3239"/>
      <c r="H60" s="3239"/>
      <c r="I60" s="3239"/>
      <c r="J60" s="3239"/>
      <c r="K60" s="3239"/>
      <c r="L60" s="3239"/>
      <c r="M60" s="3239"/>
      <c r="N60" s="3239"/>
      <c r="O60" s="3239"/>
      <c r="P60" s="3239"/>
      <c r="Q60" s="3239"/>
      <c r="R60" s="2524"/>
      <c r="S60" s="2524"/>
    </row>
    <row r="61" spans="1:19" s="2524" customFormat="1" ht="34.5" customHeight="1" thickBot="1">
      <c r="A61" s="2771"/>
      <c r="B61" s="3206" t="s">
        <v>378</v>
      </c>
      <c r="C61" s="3207"/>
      <c r="D61" s="3207"/>
      <c r="E61" s="3207"/>
      <c r="F61" s="3207"/>
      <c r="G61" s="3207"/>
      <c r="H61" s="3207"/>
      <c r="I61" s="3207"/>
      <c r="J61" s="3207"/>
      <c r="K61" s="3207"/>
      <c r="L61" s="3207"/>
      <c r="M61" s="3207"/>
      <c r="N61" s="3207"/>
      <c r="O61" s="3207"/>
      <c r="P61" s="3207"/>
      <c r="Q61" s="3208"/>
    </row>
    <row r="62" spans="1:19" s="3210" customFormat="1" ht="16.5" customHeight="1">
      <c r="A62" s="3209"/>
      <c r="B62" s="4670"/>
      <c r="C62" s="4672" t="s">
        <v>36</v>
      </c>
      <c r="D62" s="4673"/>
      <c r="E62" s="4673"/>
      <c r="F62" s="4673"/>
      <c r="G62" s="4673"/>
      <c r="H62" s="4674" t="s">
        <v>37</v>
      </c>
      <c r="I62" s="4623"/>
      <c r="J62" s="4623"/>
      <c r="K62" s="4623"/>
      <c r="L62" s="4623"/>
      <c r="M62" s="4585" t="s">
        <v>73</v>
      </c>
      <c r="N62" s="4585"/>
      <c r="O62" s="4585"/>
      <c r="P62" s="4585"/>
      <c r="Q62" s="4675"/>
      <c r="R62" s="2524"/>
      <c r="S62" s="2524"/>
    </row>
    <row r="63" spans="1:19" s="3211" customFormat="1" ht="15" customHeight="1">
      <c r="A63" s="3209"/>
      <c r="B63" s="4671"/>
      <c r="C63" s="4676" t="s">
        <v>337</v>
      </c>
      <c r="D63" s="3956"/>
      <c r="E63" s="3956"/>
      <c r="F63" s="3956"/>
      <c r="G63" s="3956"/>
      <c r="H63" s="3956"/>
      <c r="I63" s="3956"/>
      <c r="J63" s="3956"/>
      <c r="K63" s="3956"/>
      <c r="L63" s="3956"/>
      <c r="M63" s="3956"/>
      <c r="N63" s="3956"/>
      <c r="O63" s="3956"/>
      <c r="P63" s="3956"/>
      <c r="Q63" s="4677"/>
      <c r="R63" s="2524"/>
      <c r="S63" s="2524"/>
    </row>
    <row r="64" spans="1:19" s="3210" customFormat="1" ht="16.5" customHeight="1">
      <c r="A64" s="3209"/>
      <c r="B64" s="4671"/>
      <c r="C64" s="4678" t="s">
        <v>54</v>
      </c>
      <c r="D64" s="4679"/>
      <c r="E64" s="4679"/>
      <c r="F64" s="4679"/>
      <c r="G64" s="4679"/>
      <c r="H64" s="4679"/>
      <c r="I64" s="4679"/>
      <c r="J64" s="4680"/>
      <c r="K64" s="3959" t="s">
        <v>55</v>
      </c>
      <c r="L64" s="4681"/>
      <c r="M64" s="4681"/>
      <c r="N64" s="4681"/>
      <c r="O64" s="4681"/>
      <c r="P64" s="4681"/>
      <c r="Q64" s="4682"/>
      <c r="R64" s="2524"/>
      <c r="S64" s="2524"/>
    </row>
    <row r="65" spans="1:19" s="3211" customFormat="1" ht="12.75" customHeight="1" thickBot="1">
      <c r="A65" s="3212"/>
      <c r="B65" s="4671"/>
      <c r="C65" s="3240">
        <f t="array" ref="C65:G65">PRCP</f>
        <v>2008</v>
      </c>
      <c r="D65" s="2908">
        <v>2009</v>
      </c>
      <c r="E65" s="2908">
        <v>2010</v>
      </c>
      <c r="F65" s="2908">
        <v>2011</v>
      </c>
      <c r="G65" s="2908">
        <v>2012</v>
      </c>
      <c r="H65" s="3017">
        <f>CRCP_y1</f>
        <v>2013</v>
      </c>
      <c r="I65" s="3017">
        <f>CRCP_y2</f>
        <v>2014</v>
      </c>
      <c r="J65" s="3017">
        <f>CRCP_y3</f>
        <v>2015</v>
      </c>
      <c r="K65" s="3017">
        <f>CRCP_y4</f>
        <v>2016</v>
      </c>
      <c r="L65" s="3017">
        <f>CRCP_y5</f>
        <v>2017</v>
      </c>
      <c r="M65" s="2908" t="str">
        <f t="array" ref="M65:Q65">FRCP</f>
        <v>2018</v>
      </c>
      <c r="N65" s="2908">
        <v>2019</v>
      </c>
      <c r="O65" s="2908">
        <v>2020</v>
      </c>
      <c r="P65" s="2908">
        <v>2021</v>
      </c>
      <c r="Q65" s="2909">
        <v>2022</v>
      </c>
      <c r="R65" s="2524"/>
      <c r="S65" s="2524"/>
    </row>
    <row r="66" spans="1:19">
      <c r="A66" s="3200"/>
      <c r="B66" s="3241" t="s">
        <v>18</v>
      </c>
      <c r="C66" s="3107">
        <v>35</v>
      </c>
      <c r="D66" s="3124">
        <v>36</v>
      </c>
      <c r="E66" s="3124">
        <v>37</v>
      </c>
      <c r="F66" s="3124">
        <v>37</v>
      </c>
      <c r="G66" s="3191">
        <v>37</v>
      </c>
      <c r="H66" s="3107">
        <v>37</v>
      </c>
      <c r="I66" s="3124">
        <v>37</v>
      </c>
      <c r="J66" s="3124">
        <v>38</v>
      </c>
      <c r="K66" s="3124">
        <v>39</v>
      </c>
      <c r="L66" s="3191">
        <v>40</v>
      </c>
      <c r="M66" s="3107">
        <v>41</v>
      </c>
      <c r="N66" s="3124">
        <v>42</v>
      </c>
      <c r="O66" s="3124">
        <v>43</v>
      </c>
      <c r="P66" s="3124">
        <v>43</v>
      </c>
      <c r="Q66" s="3191">
        <v>43</v>
      </c>
    </row>
    <row r="67" spans="1:19">
      <c r="A67" s="3200"/>
      <c r="B67" s="3242" t="s">
        <v>21</v>
      </c>
      <c r="C67" s="3063">
        <v>104</v>
      </c>
      <c r="D67" s="3064">
        <v>104</v>
      </c>
      <c r="E67" s="3064">
        <v>105</v>
      </c>
      <c r="F67" s="3064">
        <v>105</v>
      </c>
      <c r="G67" s="3030">
        <v>106</v>
      </c>
      <c r="H67" s="3063">
        <v>105</v>
      </c>
      <c r="I67" s="3064">
        <v>105</v>
      </c>
      <c r="J67" s="3064">
        <v>105</v>
      </c>
      <c r="K67" s="3064">
        <v>105</v>
      </c>
      <c r="L67" s="3030">
        <v>105</v>
      </c>
      <c r="M67" s="3063">
        <v>105</v>
      </c>
      <c r="N67" s="3064">
        <v>105</v>
      </c>
      <c r="O67" s="3064">
        <v>105</v>
      </c>
      <c r="P67" s="3064">
        <v>105</v>
      </c>
      <c r="Q67" s="3030">
        <v>105</v>
      </c>
    </row>
    <row r="68" spans="1:19">
      <c r="A68" s="3200"/>
      <c r="B68" s="3242" t="s">
        <v>22</v>
      </c>
      <c r="C68" s="3063">
        <v>118</v>
      </c>
      <c r="D68" s="3064">
        <v>114</v>
      </c>
      <c r="E68" s="3064">
        <v>109</v>
      </c>
      <c r="F68" s="3064">
        <v>102</v>
      </c>
      <c r="G68" s="3030">
        <v>92</v>
      </c>
      <c r="H68" s="3063">
        <v>86</v>
      </c>
      <c r="I68" s="3064">
        <v>79</v>
      </c>
      <c r="J68" s="3064">
        <v>73</v>
      </c>
      <c r="K68" s="3064">
        <v>72</v>
      </c>
      <c r="L68" s="3030">
        <f>K68-6</f>
        <v>66</v>
      </c>
      <c r="M68" s="3063">
        <f>L68-6</f>
        <v>60</v>
      </c>
      <c r="N68" s="3064">
        <f t="shared" ref="N68:Q68" si="1">M68-6</f>
        <v>54</v>
      </c>
      <c r="O68" s="3064">
        <f t="shared" si="1"/>
        <v>48</v>
      </c>
      <c r="P68" s="3064">
        <f t="shared" si="1"/>
        <v>42</v>
      </c>
      <c r="Q68" s="3030">
        <f t="shared" si="1"/>
        <v>36</v>
      </c>
    </row>
    <row r="69" spans="1:19" ht="13.5" thickBot="1">
      <c r="A69" s="3200"/>
      <c r="B69" s="3243" t="s">
        <v>63</v>
      </c>
      <c r="C69" s="3244">
        <f>C66+C67+C68</f>
        <v>257</v>
      </c>
      <c r="D69" s="3245">
        <f t="shared" ref="D69:Q69" si="2">D66+D67+D68</f>
        <v>254</v>
      </c>
      <c r="E69" s="3245">
        <f t="shared" si="2"/>
        <v>251</v>
      </c>
      <c r="F69" s="3245">
        <f t="shared" si="2"/>
        <v>244</v>
      </c>
      <c r="G69" s="3246">
        <f t="shared" si="2"/>
        <v>235</v>
      </c>
      <c r="H69" s="3244">
        <f t="shared" si="2"/>
        <v>228</v>
      </c>
      <c r="I69" s="3245">
        <f t="shared" si="2"/>
        <v>221</v>
      </c>
      <c r="J69" s="3245">
        <f t="shared" si="2"/>
        <v>216</v>
      </c>
      <c r="K69" s="3245">
        <f t="shared" si="2"/>
        <v>216</v>
      </c>
      <c r="L69" s="3246">
        <f t="shared" si="2"/>
        <v>211</v>
      </c>
      <c r="M69" s="3244">
        <f t="shared" si="2"/>
        <v>206</v>
      </c>
      <c r="N69" s="3245">
        <f t="shared" si="2"/>
        <v>201</v>
      </c>
      <c r="O69" s="3245">
        <f t="shared" si="2"/>
        <v>196</v>
      </c>
      <c r="P69" s="3245">
        <f t="shared" si="2"/>
        <v>190</v>
      </c>
      <c r="Q69" s="3246">
        <f t="shared" si="2"/>
        <v>184</v>
      </c>
    </row>
    <row r="70" spans="1:19" s="3238" customFormat="1" ht="28.5" customHeight="1" thickBot="1">
      <c r="A70" s="3235"/>
      <c r="B70" s="3172" t="s">
        <v>121</v>
      </c>
      <c r="C70" s="3110"/>
      <c r="D70" s="3111"/>
      <c r="E70" s="3111"/>
      <c r="F70" s="3111"/>
      <c r="G70" s="3111"/>
      <c r="H70" s="3111"/>
      <c r="I70" s="3111"/>
      <c r="J70" s="3111"/>
      <c r="K70" s="3111"/>
      <c r="L70" s="3111"/>
      <c r="M70" s="3111"/>
      <c r="N70" s="3111"/>
      <c r="O70" s="3111"/>
      <c r="P70" s="3111"/>
      <c r="Q70" s="3237"/>
      <c r="R70" s="2524"/>
      <c r="S70" s="2524"/>
    </row>
    <row r="71" spans="1:19" ht="18.75" customHeight="1" thickBot="1">
      <c r="A71" s="3200"/>
    </row>
    <row r="72" spans="1:19" s="2524" customFormat="1" ht="34.5" customHeight="1" thickBot="1">
      <c r="A72" s="2771"/>
      <c r="B72" s="3206" t="s">
        <v>539</v>
      </c>
      <c r="C72" s="3207"/>
      <c r="D72" s="3207"/>
      <c r="E72" s="3207"/>
      <c r="F72" s="3207"/>
      <c r="G72" s="3207"/>
      <c r="H72" s="3207"/>
      <c r="I72" s="3207"/>
      <c r="J72" s="3207"/>
      <c r="K72" s="3207"/>
      <c r="L72" s="3207"/>
      <c r="M72" s="3207"/>
      <c r="N72" s="3207"/>
      <c r="O72" s="3207"/>
      <c r="P72" s="3207"/>
      <c r="Q72" s="3208"/>
    </row>
    <row r="73" spans="1:19" s="3210" customFormat="1" ht="16.5" customHeight="1">
      <c r="A73" s="3209"/>
      <c r="B73" s="4707"/>
      <c r="C73" s="4672" t="s">
        <v>36</v>
      </c>
      <c r="D73" s="4673"/>
      <c r="E73" s="4673"/>
      <c r="F73" s="4673"/>
      <c r="G73" s="4673"/>
      <c r="H73" s="4674" t="s">
        <v>37</v>
      </c>
      <c r="I73" s="4623"/>
      <c r="J73" s="4623"/>
      <c r="K73" s="4623"/>
      <c r="L73" s="4623"/>
      <c r="M73" s="4585" t="s">
        <v>73</v>
      </c>
      <c r="N73" s="4585"/>
      <c r="O73" s="4585"/>
      <c r="P73" s="4585"/>
      <c r="Q73" s="4709"/>
      <c r="R73" s="2524"/>
      <c r="S73" s="2524"/>
    </row>
    <row r="74" spans="1:19" s="3211" customFormat="1" ht="15" customHeight="1">
      <c r="A74" s="3209"/>
      <c r="B74" s="4708"/>
      <c r="C74" s="4678" t="s">
        <v>206</v>
      </c>
      <c r="D74" s="4679"/>
      <c r="E74" s="4679"/>
      <c r="F74" s="4679"/>
      <c r="G74" s="4679"/>
      <c r="H74" s="4679"/>
      <c r="I74" s="4679"/>
      <c r="J74" s="4679"/>
      <c r="K74" s="4679"/>
      <c r="L74" s="4679"/>
      <c r="M74" s="4679"/>
      <c r="N74" s="4679"/>
      <c r="O74" s="4679"/>
      <c r="P74" s="4679"/>
      <c r="Q74" s="4710"/>
      <c r="R74" s="2524"/>
      <c r="S74" s="2524"/>
    </row>
    <row r="75" spans="1:19" s="3210" customFormat="1" ht="16.5" customHeight="1">
      <c r="A75" s="3209"/>
      <c r="B75" s="4708"/>
      <c r="C75" s="4678" t="s">
        <v>54</v>
      </c>
      <c r="D75" s="4679"/>
      <c r="E75" s="4679"/>
      <c r="F75" s="4679"/>
      <c r="G75" s="4679"/>
      <c r="H75" s="4679"/>
      <c r="I75" s="4679"/>
      <c r="J75" s="4680"/>
      <c r="K75" s="3959" t="s">
        <v>55</v>
      </c>
      <c r="L75" s="4681"/>
      <c r="M75" s="4681"/>
      <c r="N75" s="4681"/>
      <c r="O75" s="4681"/>
      <c r="P75" s="4681"/>
      <c r="Q75" s="4682"/>
      <c r="R75" s="2524"/>
      <c r="S75" s="2524"/>
    </row>
    <row r="76" spans="1:19" s="3211" customFormat="1" ht="12.75" customHeight="1" thickBot="1">
      <c r="A76" s="3212"/>
      <c r="B76" s="4708"/>
      <c r="C76" s="3240">
        <f t="array" ref="C76:G76">PRCP</f>
        <v>2008</v>
      </c>
      <c r="D76" s="2908">
        <v>2009</v>
      </c>
      <c r="E76" s="2908">
        <v>2010</v>
      </c>
      <c r="F76" s="2908">
        <v>2011</v>
      </c>
      <c r="G76" s="2908">
        <v>2012</v>
      </c>
      <c r="H76" s="3017">
        <f>CRCP_y1</f>
        <v>2013</v>
      </c>
      <c r="I76" s="3017">
        <f>CRCP_y2</f>
        <v>2014</v>
      </c>
      <c r="J76" s="3017">
        <f>CRCP_y3</f>
        <v>2015</v>
      </c>
      <c r="K76" s="3017">
        <f>CRCP_y4</f>
        <v>2016</v>
      </c>
      <c r="L76" s="3017">
        <f>CRCP_y5</f>
        <v>2017</v>
      </c>
      <c r="M76" s="2908" t="str">
        <f t="array" ref="M76:Q76">FRCP</f>
        <v>2018</v>
      </c>
      <c r="N76" s="2908">
        <v>2019</v>
      </c>
      <c r="O76" s="2908">
        <v>2020</v>
      </c>
      <c r="P76" s="2908">
        <v>2021</v>
      </c>
      <c r="Q76" s="3247">
        <v>2022</v>
      </c>
      <c r="R76" s="2524"/>
      <c r="S76" s="2524"/>
    </row>
    <row r="77" spans="1:19" ht="15" customHeight="1">
      <c r="A77" s="3200"/>
      <c r="B77" s="3248" t="s">
        <v>1674</v>
      </c>
      <c r="C77" s="459">
        <v>2795.32447467563</v>
      </c>
      <c r="D77" s="458">
        <v>2441.8883359792699</v>
      </c>
      <c r="E77" s="458">
        <v>2646.4011500592101</v>
      </c>
      <c r="F77" s="458">
        <v>2427.2825405928002</v>
      </c>
      <c r="G77" s="460">
        <v>2166.0212991962298</v>
      </c>
      <c r="H77" s="459">
        <v>1984.9986284464401</v>
      </c>
      <c r="I77" s="458">
        <v>2079.99946166374</v>
      </c>
      <c r="J77" s="458">
        <v>2337.90562836546</v>
      </c>
      <c r="K77" s="458">
        <v>2511.3890914726799</v>
      </c>
      <c r="L77" s="460">
        <v>2504.7037763400799</v>
      </c>
      <c r="M77" s="459">
        <v>2454.4597996410198</v>
      </c>
      <c r="N77" s="458">
        <v>2467.3074744074402</v>
      </c>
      <c r="O77" s="458">
        <v>2480.8480989186601</v>
      </c>
      <c r="P77" s="458">
        <v>2489.1462270932602</v>
      </c>
      <c r="Q77" s="460">
        <v>2482.50562587692</v>
      </c>
    </row>
    <row r="78" spans="1:19" ht="15" customHeight="1">
      <c r="A78" s="3200"/>
      <c r="B78" s="3249" t="s">
        <v>1675</v>
      </c>
      <c r="C78" s="459">
        <v>56.65287</v>
      </c>
      <c r="D78" s="458">
        <v>55.1560235868711</v>
      </c>
      <c r="E78" s="458">
        <v>55.3998548786481</v>
      </c>
      <c r="F78" s="458">
        <v>50.396878048200797</v>
      </c>
      <c r="G78" s="458">
        <v>64.190640752799297</v>
      </c>
      <c r="H78" s="459">
        <v>84.311000000000007</v>
      </c>
      <c r="I78" s="458">
        <v>110.247</v>
      </c>
      <c r="J78" s="458">
        <v>193.235908292598</v>
      </c>
      <c r="K78" s="458">
        <v>46.167984451171797</v>
      </c>
      <c r="L78" s="458">
        <v>44.293185130258998</v>
      </c>
      <c r="M78" s="459">
        <v>44.345806644905302</v>
      </c>
      <c r="N78" s="458">
        <v>44.681150961262901</v>
      </c>
      <c r="O78" s="458">
        <v>44.990294125283803</v>
      </c>
      <c r="P78" s="458">
        <v>45.210454357291901</v>
      </c>
      <c r="Q78" s="458">
        <v>45.165665420867903</v>
      </c>
    </row>
    <row r="79" spans="1:19" ht="13.5" thickBot="1">
      <c r="A79" s="3200"/>
      <c r="B79" s="3243" t="s">
        <v>63</v>
      </c>
      <c r="C79" s="3244">
        <f t="shared" ref="C79:Q79" si="3">SUM(C77:C78)</f>
        <v>2851.9773446756299</v>
      </c>
      <c r="D79" s="3245">
        <f t="shared" si="3"/>
        <v>2497.0443595661409</v>
      </c>
      <c r="E79" s="3245">
        <f t="shared" si="3"/>
        <v>2701.8010049378581</v>
      </c>
      <c r="F79" s="3245">
        <f t="shared" si="3"/>
        <v>2477.6794186410011</v>
      </c>
      <c r="G79" s="3246">
        <f t="shared" si="3"/>
        <v>2230.2119399490293</v>
      </c>
      <c r="H79" s="3244">
        <f t="shared" si="3"/>
        <v>2069.30962844644</v>
      </c>
      <c r="I79" s="3245">
        <f t="shared" si="3"/>
        <v>2190.2464616637399</v>
      </c>
      <c r="J79" s="3245">
        <f t="shared" si="3"/>
        <v>2531.1415366580582</v>
      </c>
      <c r="K79" s="3245">
        <f t="shared" si="3"/>
        <v>2557.5570759238517</v>
      </c>
      <c r="L79" s="3246">
        <f t="shared" si="3"/>
        <v>2548.9969614703391</v>
      </c>
      <c r="M79" s="3244">
        <f t="shared" si="3"/>
        <v>2498.805606285925</v>
      </c>
      <c r="N79" s="3245">
        <f t="shared" si="3"/>
        <v>2511.9886253687032</v>
      </c>
      <c r="O79" s="3245">
        <f t="shared" si="3"/>
        <v>2525.8383930439441</v>
      </c>
      <c r="P79" s="3245">
        <f t="shared" si="3"/>
        <v>2534.3566814505521</v>
      </c>
      <c r="Q79" s="3246">
        <f t="shared" si="3"/>
        <v>2527.6712912977878</v>
      </c>
    </row>
    <row r="80" spans="1:19" s="3238" customFormat="1" ht="28.5" customHeight="1" thickBot="1">
      <c r="A80" s="3235"/>
      <c r="B80" s="3172" t="s">
        <v>121</v>
      </c>
      <c r="C80" s="3937"/>
      <c r="D80" s="3938"/>
      <c r="E80" s="3938"/>
      <c r="F80" s="3938"/>
      <c r="G80" s="3938"/>
      <c r="H80" s="3938"/>
      <c r="I80" s="3938"/>
      <c r="J80" s="3938"/>
      <c r="K80" s="3938"/>
      <c r="L80" s="3938"/>
      <c r="M80" s="3938"/>
      <c r="N80" s="3938"/>
      <c r="O80" s="3938"/>
      <c r="P80" s="3938"/>
      <c r="Q80" s="3939"/>
      <c r="R80" s="2524"/>
      <c r="S80" s="2524"/>
    </row>
    <row r="81" spans="1:19" s="3238" customFormat="1" ht="28.5" customHeight="1">
      <c r="A81" s="3235"/>
      <c r="B81" s="3250"/>
      <c r="C81" s="3251"/>
      <c r="D81" s="3251"/>
      <c r="E81" s="3251"/>
      <c r="F81" s="3251"/>
      <c r="G81" s="3251"/>
      <c r="H81" s="3251"/>
      <c r="I81" s="3251"/>
      <c r="J81" s="3251"/>
      <c r="K81" s="3251"/>
      <c r="L81" s="3251"/>
      <c r="M81" s="3251"/>
      <c r="N81" s="3251"/>
      <c r="O81" s="3251"/>
      <c r="P81" s="3251"/>
      <c r="Q81" s="3251"/>
      <c r="R81" s="2524"/>
      <c r="S81" s="2524"/>
    </row>
    <row r="82" spans="1:19" s="3238" customFormat="1" ht="18.75" customHeight="1">
      <c r="A82" s="3235"/>
      <c r="B82" s="3250"/>
      <c r="C82" s="3251"/>
      <c r="D82" s="3251"/>
      <c r="E82" s="3251"/>
      <c r="F82" s="3251"/>
      <c r="G82" s="3251"/>
      <c r="H82" s="3251"/>
      <c r="I82" s="3251"/>
      <c r="J82" s="3251"/>
      <c r="K82" s="3251"/>
      <c r="L82" s="3251"/>
      <c r="M82" s="3251"/>
      <c r="N82" s="3251"/>
      <c r="O82" s="3251"/>
      <c r="P82" s="3251"/>
      <c r="Q82" s="3251"/>
      <c r="R82" s="2524"/>
      <c r="S82" s="2524"/>
    </row>
    <row r="83" spans="1:19" ht="18.75" customHeight="1" thickBot="1"/>
    <row r="84" spans="1:19" ht="16.5" thickBot="1">
      <c r="B84" s="4704" t="s">
        <v>699</v>
      </c>
      <c r="C84" s="4705"/>
      <c r="D84" s="4705"/>
      <c r="E84" s="4705"/>
      <c r="F84" s="4705"/>
      <c r="G84" s="4705"/>
      <c r="H84" s="4705"/>
      <c r="I84" s="4705"/>
      <c r="J84" s="4705"/>
      <c r="K84" s="4705"/>
      <c r="L84" s="4705"/>
      <c r="M84" s="4705"/>
      <c r="N84" s="4705"/>
      <c r="O84" s="4705"/>
      <c r="P84" s="4705"/>
      <c r="Q84" s="4706"/>
    </row>
    <row r="85" spans="1:19" ht="12.75" customHeight="1">
      <c r="B85" s="4689">
        <v>3003</v>
      </c>
      <c r="C85" s="4691" t="s">
        <v>36</v>
      </c>
      <c r="D85" s="4692"/>
      <c r="E85" s="4692"/>
      <c r="F85" s="4692"/>
      <c r="G85" s="4692"/>
      <c r="H85" s="4693" t="s">
        <v>37</v>
      </c>
      <c r="I85" s="4694"/>
      <c r="J85" s="4694"/>
      <c r="K85" s="4694"/>
      <c r="L85" s="4694"/>
      <c r="M85" s="4695" t="s">
        <v>73</v>
      </c>
      <c r="N85" s="4695"/>
      <c r="O85" s="4695"/>
      <c r="P85" s="4695"/>
      <c r="Q85" s="4696"/>
    </row>
    <row r="86" spans="1:19" ht="12.75" customHeight="1">
      <c r="B86" s="4690"/>
      <c r="C86" s="4697" t="s">
        <v>1673</v>
      </c>
      <c r="D86" s="4698"/>
      <c r="E86" s="4698"/>
      <c r="F86" s="4698"/>
      <c r="G86" s="4698"/>
      <c r="H86" s="4698"/>
      <c r="I86" s="4698"/>
      <c r="J86" s="4698"/>
      <c r="K86" s="4698"/>
      <c r="L86" s="4698"/>
      <c r="M86" s="4698"/>
      <c r="N86" s="4698"/>
      <c r="O86" s="4698"/>
      <c r="P86" s="4698"/>
      <c r="Q86" s="4699"/>
    </row>
    <row r="87" spans="1:19" ht="12.75" customHeight="1">
      <c r="B87" s="4690"/>
      <c r="C87" s="4697" t="s">
        <v>54</v>
      </c>
      <c r="D87" s="4698"/>
      <c r="E87" s="4698"/>
      <c r="F87" s="4698"/>
      <c r="G87" s="4698"/>
      <c r="H87" s="4698"/>
      <c r="I87" s="4698"/>
      <c r="J87" s="4700"/>
      <c r="K87" s="4701" t="s">
        <v>55</v>
      </c>
      <c r="L87" s="4702"/>
      <c r="M87" s="4702"/>
      <c r="N87" s="4702"/>
      <c r="O87" s="4702"/>
      <c r="P87" s="4702"/>
      <c r="Q87" s="4703"/>
    </row>
    <row r="88" spans="1:19" ht="13.5" customHeight="1" thickBot="1">
      <c r="B88" s="4690"/>
      <c r="C88" s="3252">
        <f t="array" ref="C88:G88">PRCP</f>
        <v>2008</v>
      </c>
      <c r="D88" s="3253">
        <v>2009</v>
      </c>
      <c r="E88" s="3253">
        <v>2010</v>
      </c>
      <c r="F88" s="3253">
        <v>2011</v>
      </c>
      <c r="G88" s="3253">
        <v>2012</v>
      </c>
      <c r="H88" s="3254">
        <f>CRCP_y1</f>
        <v>2013</v>
      </c>
      <c r="I88" s="3254">
        <f>CRCP_y2</f>
        <v>2014</v>
      </c>
      <c r="J88" s="3254">
        <f>CRCP_y3</f>
        <v>2015</v>
      </c>
      <c r="K88" s="3254">
        <f>CRCP_y4</f>
        <v>2016</v>
      </c>
      <c r="L88" s="3254">
        <f>CRCP_y5</f>
        <v>2017</v>
      </c>
      <c r="M88" s="3253" t="str">
        <f t="array" ref="M88:Q88">FRCP</f>
        <v>2018</v>
      </c>
      <c r="N88" s="3253">
        <v>2019</v>
      </c>
      <c r="O88" s="3253">
        <v>2020</v>
      </c>
      <c r="P88" s="3253">
        <v>2021</v>
      </c>
      <c r="Q88" s="3255">
        <v>2022</v>
      </c>
    </row>
    <row r="89" spans="1:19">
      <c r="B89" s="3256" t="s">
        <v>694</v>
      </c>
      <c r="C89" s="3257"/>
      <c r="D89" s="3258"/>
      <c r="E89" s="3258"/>
      <c r="F89" s="3258"/>
      <c r="G89" s="3259"/>
      <c r="H89" s="3257"/>
      <c r="I89" s="3258"/>
      <c r="J89" s="3258"/>
      <c r="K89" s="3258"/>
      <c r="L89" s="3258"/>
      <c r="M89" s="3257"/>
      <c r="N89" s="3258"/>
      <c r="O89" s="3258"/>
      <c r="P89" s="3258"/>
      <c r="Q89" s="3259"/>
    </row>
    <row r="90" spans="1:19">
      <c r="B90" s="3260"/>
      <c r="C90" s="3261"/>
      <c r="D90" s="3262"/>
      <c r="E90" s="3262"/>
      <c r="F90" s="3262"/>
      <c r="G90" s="3263"/>
      <c r="H90" s="3261"/>
      <c r="I90" s="3262"/>
      <c r="J90" s="3262"/>
      <c r="K90" s="3262"/>
      <c r="L90" s="3264"/>
      <c r="M90" s="3261"/>
      <c r="N90" s="3262"/>
      <c r="O90" s="3262"/>
      <c r="P90" s="3262"/>
      <c r="Q90" s="3263"/>
    </row>
    <row r="91" spans="1:19">
      <c r="B91" s="3260" t="s">
        <v>64</v>
      </c>
      <c r="C91" s="3261"/>
      <c r="D91" s="3262"/>
      <c r="E91" s="3262"/>
      <c r="F91" s="3262"/>
      <c r="G91" s="3263"/>
      <c r="H91" s="3261"/>
      <c r="I91" s="3262">
        <v>0.19400000000000001</v>
      </c>
      <c r="J91" s="3262">
        <v>0.19400000000000001</v>
      </c>
      <c r="K91" s="3262">
        <v>0.19400000000000001</v>
      </c>
      <c r="L91" s="3264">
        <v>0.19400000000000001</v>
      </c>
      <c r="M91" s="3261">
        <v>0.19400000000000001</v>
      </c>
      <c r="N91" s="3262">
        <v>0.19400000000000001</v>
      </c>
      <c r="O91" s="3262">
        <v>0.19400000000000001</v>
      </c>
      <c r="P91" s="3262">
        <v>0.19400000000000001</v>
      </c>
      <c r="Q91" s="3263">
        <v>0.19400000000000001</v>
      </c>
    </row>
    <row r="92" spans="1:19">
      <c r="B92" s="3260" t="s">
        <v>65</v>
      </c>
      <c r="C92" s="3261"/>
      <c r="D92" s="3262"/>
      <c r="E92" s="3262"/>
      <c r="F92" s="3262"/>
      <c r="G92" s="3263"/>
      <c r="H92" s="3261"/>
      <c r="I92" s="3262">
        <v>0</v>
      </c>
      <c r="J92" s="3262">
        <v>0</v>
      </c>
      <c r="K92" s="3262">
        <v>0</v>
      </c>
      <c r="L92" s="3264">
        <v>0</v>
      </c>
      <c r="M92" s="3261">
        <v>0</v>
      </c>
      <c r="N92" s="3262">
        <v>0</v>
      </c>
      <c r="O92" s="3262">
        <v>0</v>
      </c>
      <c r="P92" s="3262">
        <v>0</v>
      </c>
      <c r="Q92" s="3263">
        <v>0</v>
      </c>
    </row>
    <row r="93" spans="1:19">
      <c r="B93" s="3260" t="s">
        <v>82</v>
      </c>
      <c r="C93" s="3261"/>
      <c r="D93" s="3262"/>
      <c r="E93" s="3262"/>
      <c r="F93" s="3262"/>
      <c r="G93" s="3263"/>
      <c r="H93" s="3261"/>
      <c r="I93" s="3262">
        <v>0</v>
      </c>
      <c r="J93" s="3262">
        <v>0</v>
      </c>
      <c r="K93" s="3262">
        <v>0</v>
      </c>
      <c r="L93" s="3264">
        <v>0</v>
      </c>
      <c r="M93" s="3261">
        <v>0</v>
      </c>
      <c r="N93" s="3262">
        <v>0</v>
      </c>
      <c r="O93" s="3262">
        <v>0</v>
      </c>
      <c r="P93" s="3262">
        <v>0</v>
      </c>
      <c r="Q93" s="3263">
        <v>0</v>
      </c>
    </row>
    <row r="94" spans="1:19">
      <c r="B94" s="3260" t="s">
        <v>680</v>
      </c>
      <c r="C94" s="3261"/>
      <c r="D94" s="3262"/>
      <c r="E94" s="3262"/>
      <c r="F94" s="3262"/>
      <c r="G94" s="3263"/>
      <c r="H94" s="3261"/>
      <c r="I94" s="3262">
        <v>0</v>
      </c>
      <c r="J94" s="3262">
        <v>0</v>
      </c>
      <c r="K94" s="3262">
        <v>0</v>
      </c>
      <c r="L94" s="3264">
        <v>0</v>
      </c>
      <c r="M94" s="3261">
        <v>0</v>
      </c>
      <c r="N94" s="3262">
        <v>0</v>
      </c>
      <c r="O94" s="3262">
        <v>0</v>
      </c>
      <c r="P94" s="3262">
        <v>0</v>
      </c>
      <c r="Q94" s="3263">
        <v>0</v>
      </c>
    </row>
    <row r="95" spans="1:19">
      <c r="B95" s="3260" t="s">
        <v>681</v>
      </c>
      <c r="C95" s="3261"/>
      <c r="D95" s="3262"/>
      <c r="E95" s="3262"/>
      <c r="F95" s="3262"/>
      <c r="G95" s="3263"/>
      <c r="H95" s="3261"/>
      <c r="I95" s="3262">
        <v>2.5779999999999998</v>
      </c>
      <c r="J95" s="3262">
        <v>2.5779999999999998</v>
      </c>
      <c r="K95" s="3262">
        <v>2.5779999999999998</v>
      </c>
      <c r="L95" s="3264">
        <v>2.5779999999999998</v>
      </c>
      <c r="M95" s="3261">
        <v>2.5779999999999998</v>
      </c>
      <c r="N95" s="3262">
        <v>2.5779999999999998</v>
      </c>
      <c r="O95" s="3262">
        <v>2.5779999999999998</v>
      </c>
      <c r="P95" s="3262">
        <v>2.5779999999999998</v>
      </c>
      <c r="Q95" s="3263">
        <v>2.5779999999999998</v>
      </c>
    </row>
    <row r="96" spans="1:19">
      <c r="B96" s="3260" t="s">
        <v>682</v>
      </c>
      <c r="C96" s="3261"/>
      <c r="D96" s="3262"/>
      <c r="E96" s="3262"/>
      <c r="F96" s="3262"/>
      <c r="G96" s="3263"/>
      <c r="H96" s="3261"/>
      <c r="I96" s="3262">
        <v>0</v>
      </c>
      <c r="J96" s="3262">
        <v>0</v>
      </c>
      <c r="K96" s="3262">
        <v>0</v>
      </c>
      <c r="L96" s="3264">
        <v>0</v>
      </c>
      <c r="M96" s="3261">
        <v>0</v>
      </c>
      <c r="N96" s="3262">
        <v>0</v>
      </c>
      <c r="O96" s="3262">
        <v>0</v>
      </c>
      <c r="P96" s="3262">
        <v>0</v>
      </c>
      <c r="Q96" s="3263">
        <v>0</v>
      </c>
    </row>
    <row r="97" spans="2:17">
      <c r="B97" s="3260" t="s">
        <v>66</v>
      </c>
      <c r="C97" s="3261"/>
      <c r="D97" s="3262"/>
      <c r="E97" s="3262"/>
      <c r="F97" s="3262"/>
      <c r="G97" s="3263"/>
      <c r="H97" s="3261"/>
      <c r="I97" s="3262">
        <v>0</v>
      </c>
      <c r="J97" s="3262">
        <v>0</v>
      </c>
      <c r="K97" s="3262">
        <v>0</v>
      </c>
      <c r="L97" s="3264">
        <v>0</v>
      </c>
      <c r="M97" s="3261">
        <v>0</v>
      </c>
      <c r="N97" s="3262">
        <v>0</v>
      </c>
      <c r="O97" s="3262">
        <v>0</v>
      </c>
      <c r="P97" s="3262">
        <v>0</v>
      </c>
      <c r="Q97" s="3263">
        <v>0</v>
      </c>
    </row>
    <row r="98" spans="2:17" ht="13.5" thickBot="1">
      <c r="B98" s="3260" t="s">
        <v>67</v>
      </c>
      <c r="C98" s="3261"/>
      <c r="D98" s="3262"/>
      <c r="E98" s="3262"/>
      <c r="F98" s="3262"/>
      <c r="G98" s="3263"/>
      <c r="H98" s="3265"/>
      <c r="I98" s="3266">
        <v>5.4240000000000004</v>
      </c>
      <c r="J98" s="3266">
        <v>5.4240000000000004</v>
      </c>
      <c r="K98" s="3262">
        <v>5.4240000000000004</v>
      </c>
      <c r="L98" s="3264">
        <v>5.4240000000000004</v>
      </c>
      <c r="M98" s="3265">
        <v>5.4240000000000004</v>
      </c>
      <c r="N98" s="3266">
        <v>5.4240000000000004</v>
      </c>
      <c r="O98" s="3266">
        <v>5.4240000000000004</v>
      </c>
      <c r="P98" s="3266">
        <v>5.4240000000000004</v>
      </c>
      <c r="Q98" s="3267">
        <v>5.4240000000000004</v>
      </c>
    </row>
    <row r="99" spans="2:17" ht="12.75" customHeight="1">
      <c r="B99" s="4689">
        <v>3008</v>
      </c>
      <c r="C99" s="4691" t="s">
        <v>36</v>
      </c>
      <c r="D99" s="4692"/>
      <c r="E99" s="4692"/>
      <c r="F99" s="4692"/>
      <c r="G99" s="4692"/>
      <c r="H99" s="4693" t="s">
        <v>37</v>
      </c>
      <c r="I99" s="4694"/>
      <c r="J99" s="4694"/>
      <c r="K99" s="4694"/>
      <c r="L99" s="4694"/>
      <c r="M99" s="4695" t="s">
        <v>73</v>
      </c>
      <c r="N99" s="4695"/>
      <c r="O99" s="4695"/>
      <c r="P99" s="4695"/>
      <c r="Q99" s="4696"/>
    </row>
    <row r="100" spans="2:17" ht="12.75" customHeight="1">
      <c r="B100" s="4690"/>
      <c r="C100" s="4697" t="s">
        <v>1673</v>
      </c>
      <c r="D100" s="4698"/>
      <c r="E100" s="4698"/>
      <c r="F100" s="4698"/>
      <c r="G100" s="4698"/>
      <c r="H100" s="4698"/>
      <c r="I100" s="4698"/>
      <c r="J100" s="4698"/>
      <c r="K100" s="4698"/>
      <c r="L100" s="4698"/>
      <c r="M100" s="4698"/>
      <c r="N100" s="4698"/>
      <c r="O100" s="4698"/>
      <c r="P100" s="4698"/>
      <c r="Q100" s="4699"/>
    </row>
    <row r="101" spans="2:17" ht="12.75" customHeight="1">
      <c r="B101" s="4690"/>
      <c r="C101" s="4697" t="s">
        <v>54</v>
      </c>
      <c r="D101" s="4698"/>
      <c r="E101" s="4698"/>
      <c r="F101" s="4698"/>
      <c r="G101" s="4698"/>
      <c r="H101" s="4698"/>
      <c r="I101" s="4698"/>
      <c r="J101" s="4700"/>
      <c r="K101" s="4701" t="s">
        <v>55</v>
      </c>
      <c r="L101" s="4702"/>
      <c r="M101" s="4702"/>
      <c r="N101" s="4702"/>
      <c r="O101" s="4702"/>
      <c r="P101" s="4702"/>
      <c r="Q101" s="4703"/>
    </row>
    <row r="102" spans="2:17" ht="13.5" customHeight="1" thickBot="1">
      <c r="B102" s="4690"/>
      <c r="C102" s="3252">
        <f t="array" ref="C102:G102">PRCP</f>
        <v>2008</v>
      </c>
      <c r="D102" s="3253">
        <v>2009</v>
      </c>
      <c r="E102" s="3253">
        <v>2010</v>
      </c>
      <c r="F102" s="3253">
        <v>2011</v>
      </c>
      <c r="G102" s="3253">
        <v>2012</v>
      </c>
      <c r="H102" s="3254">
        <f>CRCP_y1</f>
        <v>2013</v>
      </c>
      <c r="I102" s="3254">
        <f>CRCP_y2</f>
        <v>2014</v>
      </c>
      <c r="J102" s="3254">
        <f>CRCP_y3</f>
        <v>2015</v>
      </c>
      <c r="K102" s="3254">
        <f>CRCP_y4</f>
        <v>2016</v>
      </c>
      <c r="L102" s="3254">
        <f>CRCP_y5</f>
        <v>2017</v>
      </c>
      <c r="M102" s="3253" t="str">
        <f t="array" ref="M102:Q102">FRCP</f>
        <v>2018</v>
      </c>
      <c r="N102" s="3253">
        <v>2019</v>
      </c>
      <c r="O102" s="3253">
        <v>2020</v>
      </c>
      <c r="P102" s="3253">
        <v>2021</v>
      </c>
      <c r="Q102" s="3255">
        <v>2022</v>
      </c>
    </row>
    <row r="103" spans="2:17">
      <c r="B103" s="3256" t="s">
        <v>1676</v>
      </c>
      <c r="C103" s="3257"/>
      <c r="D103" s="3258"/>
      <c r="E103" s="3258"/>
      <c r="F103" s="3258"/>
      <c r="G103" s="3259"/>
      <c r="H103" s="3257"/>
      <c r="I103" s="3258"/>
      <c r="J103" s="3258"/>
      <c r="K103" s="3258"/>
      <c r="L103" s="3258"/>
      <c r="M103" s="3257"/>
      <c r="N103" s="3258"/>
      <c r="O103" s="3258"/>
      <c r="P103" s="3258"/>
      <c r="Q103" s="3259"/>
    </row>
    <row r="104" spans="2:17">
      <c r="B104" s="3260"/>
      <c r="C104" s="3268"/>
      <c r="D104" s="3269"/>
      <c r="E104" s="3269"/>
      <c r="F104" s="3269"/>
      <c r="G104" s="3270"/>
      <c r="H104" s="3268"/>
      <c r="I104" s="3269"/>
      <c r="J104" s="3269"/>
      <c r="K104" s="3269"/>
      <c r="L104" s="3271"/>
      <c r="M104" s="3268"/>
      <c r="N104" s="3269"/>
      <c r="O104" s="3269"/>
      <c r="P104" s="3269"/>
      <c r="Q104" s="3270"/>
    </row>
    <row r="105" spans="2:17">
      <c r="B105" s="3260" t="s">
        <v>64</v>
      </c>
      <c r="C105" s="3268"/>
      <c r="D105" s="3269"/>
      <c r="E105" s="3269"/>
      <c r="F105" s="3269"/>
      <c r="G105" s="3270"/>
      <c r="H105" s="3268"/>
      <c r="I105" s="3269">
        <v>0</v>
      </c>
      <c r="J105" s="3269">
        <v>0</v>
      </c>
      <c r="K105" s="3269">
        <v>0</v>
      </c>
      <c r="L105" s="3271">
        <v>0</v>
      </c>
      <c r="M105" s="3268">
        <v>0</v>
      </c>
      <c r="N105" s="3269">
        <v>0</v>
      </c>
      <c r="O105" s="3269">
        <v>0</v>
      </c>
      <c r="P105" s="3269">
        <v>0</v>
      </c>
      <c r="Q105" s="3270">
        <v>0</v>
      </c>
    </row>
    <row r="106" spans="2:17">
      <c r="B106" s="3260" t="s">
        <v>65</v>
      </c>
      <c r="C106" s="3268"/>
      <c r="D106" s="3269"/>
      <c r="E106" s="3269"/>
      <c r="F106" s="3269"/>
      <c r="G106" s="3270"/>
      <c r="H106" s="3268"/>
      <c r="I106" s="3269">
        <v>0</v>
      </c>
      <c r="J106" s="3269">
        <v>0</v>
      </c>
      <c r="K106" s="3269">
        <v>0</v>
      </c>
      <c r="L106" s="3271">
        <v>0</v>
      </c>
      <c r="M106" s="3268">
        <v>0</v>
      </c>
      <c r="N106" s="3269">
        <v>0</v>
      </c>
      <c r="O106" s="3269">
        <v>0</v>
      </c>
      <c r="P106" s="3269">
        <v>0</v>
      </c>
      <c r="Q106" s="3270">
        <v>0</v>
      </c>
    </row>
    <row r="107" spans="2:17">
      <c r="B107" s="3260" t="s">
        <v>82</v>
      </c>
      <c r="C107" s="3268"/>
      <c r="D107" s="3269"/>
      <c r="E107" s="3269"/>
      <c r="F107" s="3269"/>
      <c r="G107" s="3270"/>
      <c r="H107" s="3268"/>
      <c r="I107" s="3269">
        <v>0</v>
      </c>
      <c r="J107" s="3269">
        <v>0</v>
      </c>
      <c r="K107" s="3269">
        <v>0</v>
      </c>
      <c r="L107" s="3271">
        <v>0</v>
      </c>
      <c r="M107" s="3268">
        <v>0</v>
      </c>
      <c r="N107" s="3269">
        <v>0</v>
      </c>
      <c r="O107" s="3269">
        <v>0</v>
      </c>
      <c r="P107" s="3269">
        <v>0</v>
      </c>
      <c r="Q107" s="3270">
        <v>0</v>
      </c>
    </row>
    <row r="108" spans="2:17">
      <c r="B108" s="3260" t="s">
        <v>680</v>
      </c>
      <c r="C108" s="3268"/>
      <c r="D108" s="3269"/>
      <c r="E108" s="3269"/>
      <c r="F108" s="3269"/>
      <c r="G108" s="3270"/>
      <c r="H108" s="3268"/>
      <c r="I108" s="3269">
        <v>0</v>
      </c>
      <c r="J108" s="3269">
        <v>0</v>
      </c>
      <c r="K108" s="3269">
        <v>0</v>
      </c>
      <c r="L108" s="3271">
        <v>0</v>
      </c>
      <c r="M108" s="3268">
        <v>0</v>
      </c>
      <c r="N108" s="3269">
        <v>0</v>
      </c>
      <c r="O108" s="3269">
        <v>0</v>
      </c>
      <c r="P108" s="3269">
        <v>0</v>
      </c>
      <c r="Q108" s="3270">
        <v>0</v>
      </c>
    </row>
    <row r="109" spans="2:17">
      <c r="B109" s="3260" t="s">
        <v>681</v>
      </c>
      <c r="C109" s="3268"/>
      <c r="D109" s="3269"/>
      <c r="E109" s="3269"/>
      <c r="F109" s="3269"/>
      <c r="G109" s="3270"/>
      <c r="H109" s="3268"/>
      <c r="I109" s="3269">
        <v>0.13600000000000001</v>
      </c>
      <c r="J109" s="3269">
        <v>0.13600000000000001</v>
      </c>
      <c r="K109" s="3269">
        <v>0.13600000000000001</v>
      </c>
      <c r="L109" s="3271">
        <v>0.13600000000000001</v>
      </c>
      <c r="M109" s="3268">
        <v>0.13600000000000001</v>
      </c>
      <c r="N109" s="3269">
        <v>0.13600000000000001</v>
      </c>
      <c r="O109" s="3269">
        <v>0.13600000000000001</v>
      </c>
      <c r="P109" s="3269">
        <v>0.13600000000000001</v>
      </c>
      <c r="Q109" s="3270">
        <v>0.13600000000000001</v>
      </c>
    </row>
    <row r="110" spans="2:17">
      <c r="B110" s="3260" t="s">
        <v>682</v>
      </c>
      <c r="C110" s="3268"/>
      <c r="D110" s="3269"/>
      <c r="E110" s="3269"/>
      <c r="F110" s="3269"/>
      <c r="G110" s="3270"/>
      <c r="H110" s="3268"/>
      <c r="I110" s="3269">
        <v>0</v>
      </c>
      <c r="J110" s="3269">
        <v>0</v>
      </c>
      <c r="K110" s="3269">
        <v>0</v>
      </c>
      <c r="L110" s="3271">
        <v>0</v>
      </c>
      <c r="M110" s="3268">
        <v>0</v>
      </c>
      <c r="N110" s="3269">
        <v>0</v>
      </c>
      <c r="O110" s="3269">
        <v>0</v>
      </c>
      <c r="P110" s="3269">
        <v>0</v>
      </c>
      <c r="Q110" s="3270">
        <v>0</v>
      </c>
    </row>
    <row r="111" spans="2:17">
      <c r="B111" s="3260" t="s">
        <v>66</v>
      </c>
      <c r="C111" s="3268"/>
      <c r="D111" s="3269"/>
      <c r="E111" s="3269"/>
      <c r="F111" s="3269"/>
      <c r="G111" s="3270"/>
      <c r="H111" s="3268"/>
      <c r="I111" s="3269">
        <v>3.7439999999999993</v>
      </c>
      <c r="J111" s="3269">
        <v>3.7439999999999998</v>
      </c>
      <c r="K111" s="3269">
        <v>3.7439999999999998</v>
      </c>
      <c r="L111" s="3271">
        <v>3.7439999999999998</v>
      </c>
      <c r="M111" s="3268">
        <v>3.7439999999999998</v>
      </c>
      <c r="N111" s="3269">
        <v>3.7439999999999998</v>
      </c>
      <c r="O111" s="3269">
        <v>3.7439999999999998</v>
      </c>
      <c r="P111" s="3269">
        <v>3.7439999999999998</v>
      </c>
      <c r="Q111" s="3270">
        <v>3.7439999999999998</v>
      </c>
    </row>
    <row r="112" spans="2:17" ht="13.5" thickBot="1">
      <c r="B112" s="3260" t="s">
        <v>67</v>
      </c>
      <c r="C112" s="3268"/>
      <c r="D112" s="3269"/>
      <c r="E112" s="3269"/>
      <c r="F112" s="3269"/>
      <c r="G112" s="3270"/>
      <c r="H112" s="3268"/>
      <c r="I112" s="3269">
        <v>1.4999999999999999E-2</v>
      </c>
      <c r="J112" s="3269">
        <v>4.2000000000000003E-2</v>
      </c>
      <c r="K112" s="3269">
        <v>4.2000000000000003E-2</v>
      </c>
      <c r="L112" s="3271">
        <v>4.2000000000000003E-2</v>
      </c>
      <c r="M112" s="3272">
        <v>4.2000000000000003E-2</v>
      </c>
      <c r="N112" s="3273">
        <v>4.2000000000000003E-2</v>
      </c>
      <c r="O112" s="3273">
        <v>4.2000000000000003E-2</v>
      </c>
      <c r="P112" s="3273">
        <v>4.2000000000000003E-2</v>
      </c>
      <c r="Q112" s="3274">
        <v>4.2000000000000003E-2</v>
      </c>
    </row>
    <row r="113" spans="2:17" ht="12.75" customHeight="1">
      <c r="B113" s="4689">
        <v>3011</v>
      </c>
      <c r="C113" s="4691" t="s">
        <v>36</v>
      </c>
      <c r="D113" s="4692"/>
      <c r="E113" s="4692"/>
      <c r="F113" s="4692"/>
      <c r="G113" s="4692"/>
      <c r="H113" s="4693" t="s">
        <v>37</v>
      </c>
      <c r="I113" s="4694"/>
      <c r="J113" s="4694"/>
      <c r="K113" s="4694"/>
      <c r="L113" s="4694"/>
      <c r="M113" s="4695" t="s">
        <v>73</v>
      </c>
      <c r="N113" s="4695"/>
      <c r="O113" s="4695"/>
      <c r="P113" s="4695"/>
      <c r="Q113" s="4696"/>
    </row>
    <row r="114" spans="2:17" ht="12.75" customHeight="1">
      <c r="B114" s="4690"/>
      <c r="C114" s="4697" t="s">
        <v>1673</v>
      </c>
      <c r="D114" s="4698"/>
      <c r="E114" s="4698"/>
      <c r="F114" s="4698"/>
      <c r="G114" s="4698"/>
      <c r="H114" s="4698"/>
      <c r="I114" s="4698"/>
      <c r="J114" s="4698"/>
      <c r="K114" s="4698"/>
      <c r="L114" s="4698"/>
      <c r="M114" s="4698"/>
      <c r="N114" s="4698"/>
      <c r="O114" s="4698"/>
      <c r="P114" s="4698"/>
      <c r="Q114" s="4699"/>
    </row>
    <row r="115" spans="2:17" ht="12.75" customHeight="1">
      <c r="B115" s="4690"/>
      <c r="C115" s="4697" t="s">
        <v>54</v>
      </c>
      <c r="D115" s="4698"/>
      <c r="E115" s="4698"/>
      <c r="F115" s="4698"/>
      <c r="G115" s="4698"/>
      <c r="H115" s="4698"/>
      <c r="I115" s="4698"/>
      <c r="J115" s="4700"/>
      <c r="K115" s="4701" t="s">
        <v>55</v>
      </c>
      <c r="L115" s="4702"/>
      <c r="M115" s="4702"/>
      <c r="N115" s="4702"/>
      <c r="O115" s="4702"/>
      <c r="P115" s="4702"/>
      <c r="Q115" s="4703"/>
    </row>
    <row r="116" spans="2:17" ht="13.5" customHeight="1" thickBot="1">
      <c r="B116" s="4690"/>
      <c r="C116" s="3252">
        <f t="array" ref="C116:G116">PRCP</f>
        <v>2008</v>
      </c>
      <c r="D116" s="3253">
        <v>2009</v>
      </c>
      <c r="E116" s="3253">
        <v>2010</v>
      </c>
      <c r="F116" s="3253">
        <v>2011</v>
      </c>
      <c r="G116" s="3253">
        <v>2012</v>
      </c>
      <c r="H116" s="3254">
        <f>CRCP_y1</f>
        <v>2013</v>
      </c>
      <c r="I116" s="3254">
        <f>CRCP_y2</f>
        <v>2014</v>
      </c>
      <c r="J116" s="3254">
        <f>CRCP_y3</f>
        <v>2015</v>
      </c>
      <c r="K116" s="3254">
        <f>CRCP_y4</f>
        <v>2016</v>
      </c>
      <c r="L116" s="3254">
        <f>CRCP_y5</f>
        <v>2017</v>
      </c>
      <c r="M116" s="3253" t="str">
        <f t="array" ref="M116:Q116">FRCP</f>
        <v>2018</v>
      </c>
      <c r="N116" s="3253">
        <v>2019</v>
      </c>
      <c r="O116" s="3253">
        <v>2020</v>
      </c>
      <c r="P116" s="3253">
        <v>2021</v>
      </c>
      <c r="Q116" s="3255">
        <v>2022</v>
      </c>
    </row>
    <row r="117" spans="2:17">
      <c r="B117" s="3256" t="s">
        <v>1676</v>
      </c>
      <c r="C117" s="3257"/>
      <c r="D117" s="3258"/>
      <c r="E117" s="3258"/>
      <c r="F117" s="3258"/>
      <c r="G117" s="3259"/>
      <c r="H117" s="3257"/>
      <c r="I117" s="3258"/>
      <c r="J117" s="3258"/>
      <c r="K117" s="3258"/>
      <c r="L117" s="3258"/>
      <c r="M117" s="3257"/>
      <c r="N117" s="3258"/>
      <c r="O117" s="3258"/>
      <c r="P117" s="3258"/>
      <c r="Q117" s="3259"/>
    </row>
    <row r="118" spans="2:17">
      <c r="B118" s="3260"/>
      <c r="C118" s="3268"/>
      <c r="D118" s="3269"/>
      <c r="E118" s="3269"/>
      <c r="F118" s="3269"/>
      <c r="G118" s="3270"/>
      <c r="H118" s="3268"/>
      <c r="I118" s="3269"/>
      <c r="J118" s="3269"/>
      <c r="K118" s="3269"/>
      <c r="L118" s="3271"/>
      <c r="M118" s="3261"/>
      <c r="N118" s="3262"/>
      <c r="O118" s="3262"/>
      <c r="P118" s="3262"/>
      <c r="Q118" s="3263"/>
    </row>
    <row r="119" spans="2:17">
      <c r="B119" s="3260" t="s">
        <v>64</v>
      </c>
      <c r="C119" s="3268"/>
      <c r="D119" s="3269"/>
      <c r="E119" s="3269"/>
      <c r="F119" s="3269"/>
      <c r="G119" s="3270"/>
      <c r="H119" s="3268"/>
      <c r="I119" s="3269">
        <v>35.435999999999972</v>
      </c>
      <c r="J119" s="3269">
        <v>31.299999999999997</v>
      </c>
      <c r="K119" s="3262">
        <v>26.674270465045939</v>
      </c>
      <c r="L119" s="3264">
        <v>21.279041383769801</v>
      </c>
      <c r="M119" s="3261">
        <v>16.689546634961356</v>
      </c>
      <c r="N119" s="3262">
        <v>14.404470031183836</v>
      </c>
      <c r="O119" s="3262">
        <v>12.02472596810696</v>
      </c>
      <c r="P119" s="3262">
        <v>12.02472596810696</v>
      </c>
      <c r="Q119" s="3263">
        <v>12.02472596810696</v>
      </c>
    </row>
    <row r="120" spans="2:17">
      <c r="B120" s="3260" t="s">
        <v>65</v>
      </c>
      <c r="C120" s="3268"/>
      <c r="D120" s="3269"/>
      <c r="E120" s="3269"/>
      <c r="F120" s="3269"/>
      <c r="G120" s="3270"/>
      <c r="H120" s="3268"/>
      <c r="I120" s="3269">
        <v>19.295000000000002</v>
      </c>
      <c r="J120" s="3269">
        <v>18.306000000000001</v>
      </c>
      <c r="K120" s="3262">
        <v>15.60061326303933</v>
      </c>
      <c r="L120" s="3264">
        <v>12.445179922405432</v>
      </c>
      <c r="M120" s="3261">
        <v>9.7609853258658994</v>
      </c>
      <c r="N120" s="3262">
        <v>8.4245440380463688</v>
      </c>
      <c r="O120" s="3262">
        <v>7.032735896874315</v>
      </c>
      <c r="P120" s="3262">
        <v>7.032735896874315</v>
      </c>
      <c r="Q120" s="3263">
        <v>7.032735896874315</v>
      </c>
    </row>
    <row r="121" spans="2:17">
      <c r="B121" s="3260" t="s">
        <v>82</v>
      </c>
      <c r="C121" s="3268"/>
      <c r="D121" s="3269"/>
      <c r="E121" s="3269"/>
      <c r="F121" s="3269"/>
      <c r="G121" s="3270"/>
      <c r="H121" s="3268"/>
      <c r="I121" s="3269">
        <v>0</v>
      </c>
      <c r="J121" s="3269">
        <v>0</v>
      </c>
      <c r="K121" s="3262">
        <v>0</v>
      </c>
      <c r="L121" s="3264">
        <v>0</v>
      </c>
      <c r="M121" s="3261">
        <v>0</v>
      </c>
      <c r="N121" s="3262">
        <v>0</v>
      </c>
      <c r="O121" s="3262">
        <v>0</v>
      </c>
      <c r="P121" s="3262">
        <v>0</v>
      </c>
      <c r="Q121" s="3263">
        <v>0</v>
      </c>
    </row>
    <row r="122" spans="2:17">
      <c r="B122" s="3260" t="s">
        <v>680</v>
      </c>
      <c r="C122" s="3268"/>
      <c r="D122" s="3269"/>
      <c r="E122" s="3269"/>
      <c r="F122" s="3269"/>
      <c r="G122" s="3270"/>
      <c r="H122" s="3268"/>
      <c r="I122" s="3269">
        <v>3.6999999999999998E-2</v>
      </c>
      <c r="J122" s="3269">
        <v>3.6999999999999998E-2</v>
      </c>
      <c r="K122" s="3262">
        <v>3.1531885214271554E-2</v>
      </c>
      <c r="L122" s="3264">
        <v>2.5154138376980273E-2</v>
      </c>
      <c r="M122" s="3261">
        <v>1.9728857044523006E-2</v>
      </c>
      <c r="N122" s="3262">
        <v>1.7027648279674179E-2</v>
      </c>
      <c r="O122" s="3262">
        <v>1.4214532294567329E-2</v>
      </c>
      <c r="P122" s="3262">
        <v>1.4214532294567329E-2</v>
      </c>
      <c r="Q122" s="3263">
        <v>1.4214532294567329E-2</v>
      </c>
    </row>
    <row r="123" spans="2:17">
      <c r="B123" s="3260" t="s">
        <v>681</v>
      </c>
      <c r="C123" s="3268"/>
      <c r="D123" s="3269"/>
      <c r="E123" s="3269"/>
      <c r="F123" s="3269"/>
      <c r="G123" s="3270"/>
      <c r="H123" s="3268"/>
      <c r="I123" s="3269">
        <v>16.284000000000006</v>
      </c>
      <c r="J123" s="3269">
        <v>23.264999999999983</v>
      </c>
      <c r="K123" s="3262">
        <v>33.9969880948656</v>
      </c>
      <c r="L123" s="3264">
        <v>46.514264306498532</v>
      </c>
      <c r="M123" s="3261">
        <v>57.162185382184525</v>
      </c>
      <c r="N123" s="3262">
        <v>62.463709114232962</v>
      </c>
      <c r="O123" s="3262">
        <v>67.984867400894842</v>
      </c>
      <c r="P123" s="3262">
        <v>67.984867400894842</v>
      </c>
      <c r="Q123" s="3263">
        <v>67.984867400894842</v>
      </c>
    </row>
    <row r="124" spans="2:17">
      <c r="B124" s="3260" t="s">
        <v>682</v>
      </c>
      <c r="C124" s="3268"/>
      <c r="D124" s="3269"/>
      <c r="E124" s="3269"/>
      <c r="F124" s="3269"/>
      <c r="G124" s="3270"/>
      <c r="H124" s="3268"/>
      <c r="I124" s="3269">
        <v>0.111</v>
      </c>
      <c r="J124" s="3269">
        <v>0.111</v>
      </c>
      <c r="K124" s="3262">
        <v>9.4595655642814677E-2</v>
      </c>
      <c r="L124" s="3264">
        <v>7.5462415130940819E-2</v>
      </c>
      <c r="M124" s="3261">
        <v>5.9186571133569017E-2</v>
      </c>
      <c r="N124" s="3262">
        <v>5.1082944839022537E-2</v>
      </c>
      <c r="O124" s="3262">
        <v>4.2643596883701985E-2</v>
      </c>
      <c r="P124" s="3262">
        <v>4.2643596883701985E-2</v>
      </c>
      <c r="Q124" s="3263">
        <v>4.2643596883701985E-2</v>
      </c>
    </row>
    <row r="125" spans="2:17">
      <c r="B125" s="3260" t="s">
        <v>66</v>
      </c>
      <c r="C125" s="3268"/>
      <c r="D125" s="3269"/>
      <c r="E125" s="3269"/>
      <c r="F125" s="3269"/>
      <c r="G125" s="3270"/>
      <c r="H125" s="3268"/>
      <c r="I125" s="3269">
        <v>11.920999999999996</v>
      </c>
      <c r="J125" s="3269">
        <v>10.685999999999998</v>
      </c>
      <c r="K125" s="3262">
        <v>9.1067493351271835</v>
      </c>
      <c r="L125" s="3264">
        <v>7.2647870999030042</v>
      </c>
      <c r="M125" s="3261">
        <v>5.1379071993992653</v>
      </c>
      <c r="N125" s="3262">
        <v>4.357768905854007</v>
      </c>
      <c r="O125" s="3262">
        <v>3.5453105972904453</v>
      </c>
      <c r="P125" s="3262">
        <v>3.5453105972904453</v>
      </c>
      <c r="Q125" s="3263">
        <v>3.5453105972904453</v>
      </c>
    </row>
    <row r="126" spans="2:17" ht="13.5" thickBot="1">
      <c r="B126" s="3260" t="s">
        <v>67</v>
      </c>
      <c r="C126" s="3268"/>
      <c r="D126" s="3269"/>
      <c r="E126" s="3269"/>
      <c r="F126" s="3269"/>
      <c r="G126" s="3270"/>
      <c r="H126" s="3268"/>
      <c r="I126" s="3269">
        <v>12.906000000000006</v>
      </c>
      <c r="J126" s="3269">
        <v>12.178000000000008</v>
      </c>
      <c r="K126" s="3262">
        <v>10.378251301064847</v>
      </c>
      <c r="L126" s="3264">
        <v>8.2791107339152976</v>
      </c>
      <c r="M126" s="3265">
        <v>6.4934600294108478</v>
      </c>
      <c r="N126" s="3266">
        <v>5.6043973175641169</v>
      </c>
      <c r="O126" s="3266">
        <v>4.4025020076551646</v>
      </c>
      <c r="P126" s="3266">
        <v>4.4025020076551646</v>
      </c>
      <c r="Q126" s="3267">
        <v>4.4025020076551646</v>
      </c>
    </row>
    <row r="127" spans="2:17" ht="12.75" customHeight="1">
      <c r="B127" s="4689">
        <v>3012</v>
      </c>
      <c r="C127" s="4691" t="s">
        <v>36</v>
      </c>
      <c r="D127" s="4692"/>
      <c r="E127" s="4692"/>
      <c r="F127" s="4692"/>
      <c r="G127" s="4692"/>
      <c r="H127" s="4693" t="s">
        <v>37</v>
      </c>
      <c r="I127" s="4694"/>
      <c r="J127" s="4694"/>
      <c r="K127" s="4694"/>
      <c r="L127" s="4694"/>
      <c r="M127" s="4695" t="s">
        <v>73</v>
      </c>
      <c r="N127" s="4695"/>
      <c r="O127" s="4695"/>
      <c r="P127" s="4695"/>
      <c r="Q127" s="4696"/>
    </row>
    <row r="128" spans="2:17" ht="12.75" customHeight="1">
      <c r="B128" s="4690"/>
      <c r="C128" s="4697" t="s">
        <v>1673</v>
      </c>
      <c r="D128" s="4698"/>
      <c r="E128" s="4698"/>
      <c r="F128" s="4698"/>
      <c r="G128" s="4698"/>
      <c r="H128" s="4698"/>
      <c r="I128" s="4698"/>
      <c r="J128" s="4698"/>
      <c r="K128" s="4698"/>
      <c r="L128" s="4698"/>
      <c r="M128" s="4698"/>
      <c r="N128" s="4698"/>
      <c r="O128" s="4698"/>
      <c r="P128" s="4698"/>
      <c r="Q128" s="4699"/>
    </row>
    <row r="129" spans="2:17" ht="12.75" customHeight="1">
      <c r="B129" s="4690"/>
      <c r="C129" s="4697" t="s">
        <v>54</v>
      </c>
      <c r="D129" s="4698"/>
      <c r="E129" s="4698"/>
      <c r="F129" s="4698"/>
      <c r="G129" s="4698"/>
      <c r="H129" s="4698"/>
      <c r="I129" s="4698"/>
      <c r="J129" s="4700"/>
      <c r="K129" s="4701" t="s">
        <v>55</v>
      </c>
      <c r="L129" s="4702"/>
      <c r="M129" s="4702"/>
      <c r="N129" s="4702"/>
      <c r="O129" s="4702"/>
      <c r="P129" s="4702"/>
      <c r="Q129" s="4703"/>
    </row>
    <row r="130" spans="2:17" ht="13.5" customHeight="1" thickBot="1">
      <c r="B130" s="4690"/>
      <c r="C130" s="3252">
        <f t="array" ref="C130:G130">PRCP</f>
        <v>2008</v>
      </c>
      <c r="D130" s="3253">
        <v>2009</v>
      </c>
      <c r="E130" s="3253">
        <v>2010</v>
      </c>
      <c r="F130" s="3253">
        <v>2011</v>
      </c>
      <c r="G130" s="3253">
        <v>2012</v>
      </c>
      <c r="H130" s="3254">
        <f>CRCP_y1</f>
        <v>2013</v>
      </c>
      <c r="I130" s="3254">
        <f>CRCP_y2</f>
        <v>2014</v>
      </c>
      <c r="J130" s="3254">
        <f>CRCP_y3</f>
        <v>2015</v>
      </c>
      <c r="K130" s="3254">
        <f>CRCP_y4</f>
        <v>2016</v>
      </c>
      <c r="L130" s="3254">
        <f>CRCP_y5</f>
        <v>2017</v>
      </c>
      <c r="M130" s="3253" t="str">
        <f t="array" ref="M130:Q130">FRCP</f>
        <v>2018</v>
      </c>
      <c r="N130" s="3253">
        <v>2019</v>
      </c>
      <c r="O130" s="3253">
        <v>2020</v>
      </c>
      <c r="P130" s="3253">
        <v>2021</v>
      </c>
      <c r="Q130" s="3255">
        <v>2022</v>
      </c>
    </row>
    <row r="131" spans="2:17">
      <c r="B131" s="3256" t="s">
        <v>1677</v>
      </c>
      <c r="C131" s="3257"/>
      <c r="D131" s="3258"/>
      <c r="E131" s="3258"/>
      <c r="F131" s="3258"/>
      <c r="G131" s="3258"/>
      <c r="H131" s="3257"/>
      <c r="I131" s="3258"/>
      <c r="J131" s="3258"/>
      <c r="K131" s="3258"/>
      <c r="L131" s="3258"/>
      <c r="M131" s="3257"/>
      <c r="N131" s="3258"/>
      <c r="O131" s="3258"/>
      <c r="P131" s="3258"/>
      <c r="Q131" s="3259"/>
    </row>
    <row r="132" spans="2:17">
      <c r="B132" s="3260"/>
      <c r="C132" s="3268"/>
      <c r="D132" s="3269"/>
      <c r="E132" s="3269"/>
      <c r="F132" s="3269"/>
      <c r="G132" s="3271"/>
      <c r="H132" s="3268"/>
      <c r="I132" s="3262"/>
      <c r="J132" s="3262"/>
      <c r="K132" s="3262"/>
      <c r="L132" s="3264"/>
      <c r="M132" s="3261"/>
      <c r="N132" s="3262"/>
      <c r="O132" s="3262"/>
      <c r="P132" s="3262"/>
      <c r="Q132" s="3263"/>
    </row>
    <row r="133" spans="2:17">
      <c r="B133" s="3260" t="s">
        <v>64</v>
      </c>
      <c r="C133" s="3268"/>
      <c r="D133" s="3269"/>
      <c r="E133" s="3269"/>
      <c r="F133" s="3269"/>
      <c r="G133" s="3271"/>
      <c r="H133" s="3268"/>
      <c r="I133" s="3262">
        <v>11.220999999999993</v>
      </c>
      <c r="J133" s="3262">
        <v>12.438999999999995</v>
      </c>
      <c r="K133" s="3262">
        <v>10.971458205097376</v>
      </c>
      <c r="L133" s="3264">
        <v>10.482277606796503</v>
      </c>
      <c r="M133" s="3261">
        <v>10.233936266730781</v>
      </c>
      <c r="N133" s="3262">
        <v>10.228936266730781</v>
      </c>
      <c r="O133" s="3262">
        <v>10.228936266730781</v>
      </c>
      <c r="P133" s="3262">
        <v>10.228936266730781</v>
      </c>
      <c r="Q133" s="3263">
        <v>10.228936266730781</v>
      </c>
    </row>
    <row r="134" spans="2:17">
      <c r="B134" s="3260" t="s">
        <v>65</v>
      </c>
      <c r="C134" s="3268"/>
      <c r="D134" s="3269"/>
      <c r="E134" s="3269"/>
      <c r="F134" s="3269"/>
      <c r="G134" s="3271"/>
      <c r="H134" s="3268"/>
      <c r="I134" s="3262">
        <v>4.8259999999999996</v>
      </c>
      <c r="J134" s="3262">
        <v>4.8580000000000005</v>
      </c>
      <c r="K134" s="3262">
        <v>4.2848576220245258</v>
      </c>
      <c r="L134" s="3264">
        <v>4.0938101626993673</v>
      </c>
      <c r="M134" s="3261">
        <v>3.9968214795223216</v>
      </c>
      <c r="N134" s="3262">
        <v>3.9968214795223216</v>
      </c>
      <c r="O134" s="3262">
        <v>3.9968214795223216</v>
      </c>
      <c r="P134" s="3262">
        <v>3.9968214795223216</v>
      </c>
      <c r="Q134" s="3263">
        <v>3.9968214795223216</v>
      </c>
    </row>
    <row r="135" spans="2:17">
      <c r="B135" s="3260" t="s">
        <v>82</v>
      </c>
      <c r="C135" s="3268"/>
      <c r="D135" s="3269"/>
      <c r="E135" s="3269"/>
      <c r="F135" s="3269"/>
      <c r="G135" s="3271"/>
      <c r="H135" s="3268"/>
      <c r="I135" s="3262">
        <v>0</v>
      </c>
      <c r="J135" s="3262">
        <v>0</v>
      </c>
      <c r="K135" s="3262">
        <v>0</v>
      </c>
      <c r="L135" s="3264">
        <v>0</v>
      </c>
      <c r="M135" s="3261">
        <v>0</v>
      </c>
      <c r="N135" s="3262">
        <v>0</v>
      </c>
      <c r="O135" s="3262">
        <v>0</v>
      </c>
      <c r="P135" s="3262">
        <v>0</v>
      </c>
      <c r="Q135" s="3263">
        <v>0</v>
      </c>
    </row>
    <row r="136" spans="2:17">
      <c r="B136" s="3260" t="s">
        <v>680</v>
      </c>
      <c r="C136" s="3268"/>
      <c r="D136" s="3269"/>
      <c r="E136" s="3269"/>
      <c r="F136" s="3269"/>
      <c r="G136" s="3271"/>
      <c r="H136" s="3268"/>
      <c r="I136" s="3262">
        <v>61.016000000000069</v>
      </c>
      <c r="J136" s="3262">
        <v>61.990000000000045</v>
      </c>
      <c r="K136" s="3262">
        <v>54.676476737196481</v>
      </c>
      <c r="L136" s="3264">
        <v>52.238635649595295</v>
      </c>
      <c r="M136" s="3261">
        <v>51.001021719964776</v>
      </c>
      <c r="N136" s="3262">
        <v>51.001021719964776</v>
      </c>
      <c r="O136" s="3262">
        <v>51.001021719964776</v>
      </c>
      <c r="P136" s="3262">
        <v>51.001021719964776</v>
      </c>
      <c r="Q136" s="3263">
        <v>51.001021719964776</v>
      </c>
    </row>
    <row r="137" spans="2:17">
      <c r="B137" s="3260" t="s">
        <v>681</v>
      </c>
      <c r="C137" s="3268"/>
      <c r="D137" s="3269"/>
      <c r="E137" s="3269"/>
      <c r="F137" s="3269"/>
      <c r="G137" s="3271"/>
      <c r="H137" s="3268"/>
      <c r="I137" s="3262">
        <v>0</v>
      </c>
      <c r="J137" s="3262">
        <v>0</v>
      </c>
      <c r="K137" s="3262">
        <v>14.72025</v>
      </c>
      <c r="L137" s="3264">
        <v>19.626999999999999</v>
      </c>
      <c r="M137" s="3261">
        <v>22.117999999999999</v>
      </c>
      <c r="N137" s="3262">
        <v>22.117999999999999</v>
      </c>
      <c r="O137" s="3262">
        <v>22.117999999999999</v>
      </c>
      <c r="P137" s="3262">
        <v>22.117999999999999</v>
      </c>
      <c r="Q137" s="3263">
        <v>22.117999999999999</v>
      </c>
    </row>
    <row r="138" spans="2:17">
      <c r="B138" s="3260" t="s">
        <v>682</v>
      </c>
      <c r="C138" s="3268"/>
      <c r="D138" s="3269"/>
      <c r="E138" s="3269"/>
      <c r="F138" s="3269"/>
      <c r="G138" s="3271"/>
      <c r="H138" s="3268"/>
      <c r="I138" s="3262">
        <v>0.29499999999999998</v>
      </c>
      <c r="J138" s="3262">
        <v>0.29499999999999998</v>
      </c>
      <c r="K138" s="3262">
        <v>0.26019617095455638</v>
      </c>
      <c r="L138" s="3264">
        <v>0.24859489460607517</v>
      </c>
      <c r="M138" s="3261">
        <v>0.24270529774785604</v>
      </c>
      <c r="N138" s="3262">
        <v>0.24270529774785604</v>
      </c>
      <c r="O138" s="3262">
        <v>0.24270529774785604</v>
      </c>
      <c r="P138" s="3262">
        <v>0.24270529774785604</v>
      </c>
      <c r="Q138" s="3263">
        <v>0.24270529774785604</v>
      </c>
    </row>
    <row r="139" spans="2:17">
      <c r="B139" s="3260" t="s">
        <v>66</v>
      </c>
      <c r="C139" s="3268"/>
      <c r="D139" s="3269"/>
      <c r="E139" s="3269"/>
      <c r="F139" s="3269"/>
      <c r="G139" s="3271"/>
      <c r="H139" s="3268"/>
      <c r="I139" s="3262">
        <v>16.256999999999998</v>
      </c>
      <c r="J139" s="3262">
        <v>16.040000000000003</v>
      </c>
      <c r="K139" s="3262">
        <v>14.14761553257995</v>
      </c>
      <c r="L139" s="3264">
        <v>13.516820710106598</v>
      </c>
      <c r="M139" s="3261">
        <v>12.992586358900379</v>
      </c>
      <c r="N139" s="3262">
        <v>12.48458635890038</v>
      </c>
      <c r="O139" s="3262">
        <v>11.81458635890038</v>
      </c>
      <c r="P139" s="3262">
        <v>11.81458635890038</v>
      </c>
      <c r="Q139" s="3263">
        <v>10.960586358900381</v>
      </c>
    </row>
    <row r="140" spans="2:17">
      <c r="B140" s="3260" t="s">
        <v>67</v>
      </c>
      <c r="C140" s="3268"/>
      <c r="D140" s="3269"/>
      <c r="E140" s="3269"/>
      <c r="F140" s="3269"/>
      <c r="G140" s="3271"/>
      <c r="H140" s="3268"/>
      <c r="I140" s="3262">
        <v>28.674999999999994</v>
      </c>
      <c r="J140" s="3262">
        <v>28.673999999999996</v>
      </c>
      <c r="K140" s="3262">
        <v>25.291067816782878</v>
      </c>
      <c r="L140" s="3264">
        <v>24.163423755710504</v>
      </c>
      <c r="M140" s="3261">
        <v>23.590954941091606</v>
      </c>
      <c r="N140" s="3262">
        <v>23.590954941091606</v>
      </c>
      <c r="O140" s="3262">
        <v>23.416954941091607</v>
      </c>
      <c r="P140" s="3262">
        <v>23.416954941091607</v>
      </c>
      <c r="Q140" s="3263">
        <v>23.135954941091608</v>
      </c>
    </row>
    <row r="141" spans="2:17" ht="13.5" thickBot="1">
      <c r="B141" s="3275" t="s">
        <v>62</v>
      </c>
      <c r="C141" s="3276"/>
      <c r="D141" s="3277"/>
      <c r="E141" s="3277"/>
      <c r="F141" s="3277"/>
      <c r="G141" s="3278"/>
      <c r="H141" s="3279"/>
      <c r="I141" s="3266">
        <v>0.47400000000000003</v>
      </c>
      <c r="J141" s="3266">
        <v>0.47400000000000003</v>
      </c>
      <c r="K141" s="3262">
        <v>0.4180779153642703</v>
      </c>
      <c r="L141" s="3264">
        <v>0.39943722048569374</v>
      </c>
      <c r="M141" s="3265">
        <v>0.38997393604231795</v>
      </c>
      <c r="N141" s="3266">
        <v>0.38997393604231795</v>
      </c>
      <c r="O141" s="3266">
        <v>0.38997393604231795</v>
      </c>
      <c r="P141" s="3266">
        <v>0.38997393604231795</v>
      </c>
      <c r="Q141" s="3267">
        <v>0.38997393604231795</v>
      </c>
    </row>
    <row r="142" spans="2:17" ht="12.75" customHeight="1">
      <c r="B142" s="4689">
        <v>3013</v>
      </c>
      <c r="C142" s="4691" t="s">
        <v>36</v>
      </c>
      <c r="D142" s="4692"/>
      <c r="E142" s="4692"/>
      <c r="F142" s="4692"/>
      <c r="G142" s="4692"/>
      <c r="H142" s="4693" t="s">
        <v>37</v>
      </c>
      <c r="I142" s="4694"/>
      <c r="J142" s="4694"/>
      <c r="K142" s="4694"/>
      <c r="L142" s="4694"/>
      <c r="M142" s="4695" t="s">
        <v>73</v>
      </c>
      <c r="N142" s="4695"/>
      <c r="O142" s="4695"/>
      <c r="P142" s="4695"/>
      <c r="Q142" s="4696"/>
    </row>
    <row r="143" spans="2:17" ht="12.75" customHeight="1">
      <c r="B143" s="4690"/>
      <c r="C143" s="4697" t="s">
        <v>1673</v>
      </c>
      <c r="D143" s="4698"/>
      <c r="E143" s="4698"/>
      <c r="F143" s="4698"/>
      <c r="G143" s="4698"/>
      <c r="H143" s="4698"/>
      <c r="I143" s="4698"/>
      <c r="J143" s="4698"/>
      <c r="K143" s="4698"/>
      <c r="L143" s="4698"/>
      <c r="M143" s="4698"/>
      <c r="N143" s="4698"/>
      <c r="O143" s="4698"/>
      <c r="P143" s="4698"/>
      <c r="Q143" s="4699"/>
    </row>
    <row r="144" spans="2:17" ht="12.75" customHeight="1">
      <c r="B144" s="4690"/>
      <c r="C144" s="4697" t="s">
        <v>54</v>
      </c>
      <c r="D144" s="4698"/>
      <c r="E144" s="4698"/>
      <c r="F144" s="4698"/>
      <c r="G144" s="4698"/>
      <c r="H144" s="4698"/>
      <c r="I144" s="4698"/>
      <c r="J144" s="4700"/>
      <c r="K144" s="4701" t="s">
        <v>55</v>
      </c>
      <c r="L144" s="4702"/>
      <c r="M144" s="4702"/>
      <c r="N144" s="4702"/>
      <c r="O144" s="4702"/>
      <c r="P144" s="4702"/>
      <c r="Q144" s="4703"/>
    </row>
    <row r="145" spans="2:17" ht="13.5" customHeight="1" thickBot="1">
      <c r="B145" s="4690"/>
      <c r="C145" s="3252">
        <f t="array" ref="C145:G145">PRCP</f>
        <v>2008</v>
      </c>
      <c r="D145" s="3253">
        <v>2009</v>
      </c>
      <c r="E145" s="3253">
        <v>2010</v>
      </c>
      <c r="F145" s="3253">
        <v>2011</v>
      </c>
      <c r="G145" s="3253">
        <v>2012</v>
      </c>
      <c r="H145" s="3254">
        <f>CRCP_y1</f>
        <v>2013</v>
      </c>
      <c r="I145" s="3254">
        <f>CRCP_y2</f>
        <v>2014</v>
      </c>
      <c r="J145" s="3254">
        <f>CRCP_y3</f>
        <v>2015</v>
      </c>
      <c r="K145" s="3254">
        <f>CRCP_y4</f>
        <v>2016</v>
      </c>
      <c r="L145" s="3254">
        <f>CRCP_y5</f>
        <v>2017</v>
      </c>
      <c r="M145" s="3253" t="str">
        <f t="array" ref="M145:Q145">FRCP</f>
        <v>2018</v>
      </c>
      <c r="N145" s="3253">
        <v>2019</v>
      </c>
      <c r="O145" s="3253">
        <v>2020</v>
      </c>
      <c r="P145" s="3253">
        <v>2021</v>
      </c>
      <c r="Q145" s="3255">
        <v>2022</v>
      </c>
    </row>
    <row r="146" spans="2:17">
      <c r="B146" s="3256" t="s">
        <v>1677</v>
      </c>
      <c r="C146" s="3257"/>
      <c r="D146" s="3258"/>
      <c r="E146" s="3258"/>
      <c r="F146" s="3258"/>
      <c r="G146" s="3259"/>
      <c r="H146" s="3257"/>
      <c r="I146" s="3258"/>
      <c r="J146" s="3258"/>
      <c r="K146" s="3258"/>
      <c r="L146" s="3258"/>
      <c r="M146" s="3257"/>
      <c r="N146" s="3258"/>
      <c r="O146" s="3258"/>
      <c r="P146" s="3258"/>
      <c r="Q146" s="3259"/>
    </row>
    <row r="147" spans="2:17">
      <c r="B147" s="3260"/>
      <c r="C147" s="3268"/>
      <c r="D147" s="3269"/>
      <c r="E147" s="3269"/>
      <c r="F147" s="3269"/>
      <c r="G147" s="3270"/>
      <c r="H147" s="3268"/>
      <c r="I147" s="3262"/>
      <c r="J147" s="3262"/>
      <c r="K147" s="3262"/>
      <c r="L147" s="3264"/>
      <c r="M147" s="3261"/>
      <c r="N147" s="3262"/>
      <c r="O147" s="3262"/>
      <c r="P147" s="3262"/>
      <c r="Q147" s="3263"/>
    </row>
    <row r="148" spans="2:17">
      <c r="B148" s="3260" t="s">
        <v>64</v>
      </c>
      <c r="C148" s="3268"/>
      <c r="D148" s="3269"/>
      <c r="E148" s="3269"/>
      <c r="F148" s="3269"/>
      <c r="G148" s="3270"/>
      <c r="H148" s="3268"/>
      <c r="I148" s="3262">
        <v>16.930000000000007</v>
      </c>
      <c r="J148" s="3262">
        <v>16.420999999999999</v>
      </c>
      <c r="K148" s="3262">
        <v>13.84311251869417</v>
      </c>
      <c r="L148" s="3264">
        <v>12.551928675846458</v>
      </c>
      <c r="M148" s="3261">
        <v>10.172165788658196</v>
      </c>
      <c r="N148" s="3262">
        <v>8.6234531601568278</v>
      </c>
      <c r="O148" s="3262">
        <v>7.0470849490036498</v>
      </c>
      <c r="P148" s="3262">
        <v>7.0470849490036498</v>
      </c>
      <c r="Q148" s="3263">
        <v>7.0470849490036498</v>
      </c>
    </row>
    <row r="149" spans="2:17">
      <c r="B149" s="3260" t="s">
        <v>65</v>
      </c>
      <c r="C149" s="3268"/>
      <c r="D149" s="3269"/>
      <c r="E149" s="3269"/>
      <c r="F149" s="3269"/>
      <c r="G149" s="3270"/>
      <c r="H149" s="3268"/>
      <c r="I149" s="3262">
        <v>23.397999999999989</v>
      </c>
      <c r="J149" s="3262">
        <v>22.811999999999987</v>
      </c>
      <c r="K149" s="3262">
        <v>19.230807062691142</v>
      </c>
      <c r="L149" s="3264">
        <v>17.437098651325087</v>
      </c>
      <c r="M149" s="3261">
        <v>14.131139758289425</v>
      </c>
      <c r="N149" s="3262">
        <v>11.979673192223219</v>
      </c>
      <c r="O149" s="3262">
        <v>9.7897875803344014</v>
      </c>
      <c r="P149" s="3262">
        <v>9.7897875803344014</v>
      </c>
      <c r="Q149" s="3263">
        <v>9.7897875803344014</v>
      </c>
    </row>
    <row r="150" spans="2:17">
      <c r="B150" s="3260" t="s">
        <v>82</v>
      </c>
      <c r="C150" s="3268"/>
      <c r="D150" s="3269"/>
      <c r="E150" s="3269"/>
      <c r="F150" s="3269"/>
      <c r="G150" s="3270"/>
      <c r="H150" s="3268"/>
      <c r="I150" s="3262">
        <v>0</v>
      </c>
      <c r="J150" s="3262">
        <v>0</v>
      </c>
      <c r="K150" s="3262">
        <v>0</v>
      </c>
      <c r="L150" s="3264">
        <v>0</v>
      </c>
      <c r="M150" s="3261">
        <v>0</v>
      </c>
      <c r="N150" s="3262">
        <v>0</v>
      </c>
      <c r="O150" s="3262">
        <v>0</v>
      </c>
      <c r="P150" s="3262">
        <v>0</v>
      </c>
      <c r="Q150" s="3263">
        <v>0</v>
      </c>
    </row>
    <row r="151" spans="2:17">
      <c r="B151" s="3260" t="s">
        <v>680</v>
      </c>
      <c r="C151" s="3268"/>
      <c r="D151" s="3269"/>
      <c r="E151" s="3269"/>
      <c r="F151" s="3269"/>
      <c r="G151" s="3270"/>
      <c r="H151" s="3268"/>
      <c r="I151" s="3262">
        <v>0</v>
      </c>
      <c r="J151" s="3262">
        <v>0</v>
      </c>
      <c r="K151" s="3262">
        <v>0</v>
      </c>
      <c r="L151" s="3264">
        <v>0</v>
      </c>
      <c r="M151" s="3261">
        <v>0</v>
      </c>
      <c r="N151" s="3262">
        <v>0</v>
      </c>
      <c r="O151" s="3262">
        <v>0</v>
      </c>
      <c r="P151" s="3262">
        <v>0</v>
      </c>
      <c r="Q151" s="3263">
        <v>0</v>
      </c>
    </row>
    <row r="152" spans="2:17">
      <c r="B152" s="3260" t="s">
        <v>681</v>
      </c>
      <c r="C152" s="3268"/>
      <c r="D152" s="3269"/>
      <c r="E152" s="3269"/>
      <c r="F152" s="3269"/>
      <c r="G152" s="3270"/>
      <c r="H152" s="3268"/>
      <c r="I152" s="3262">
        <v>14.122999999999999</v>
      </c>
      <c r="J152" s="3262">
        <v>16.172999999999998</v>
      </c>
      <c r="K152" s="3262">
        <v>25.285795354414518</v>
      </c>
      <c r="L152" s="3264">
        <v>29.850111760822408</v>
      </c>
      <c r="M152" s="3261">
        <v>38.26253951038116</v>
      </c>
      <c r="N152" s="3262">
        <v>43.737216488594875</v>
      </c>
      <c r="O152" s="3262">
        <v>49.309655555705262</v>
      </c>
      <c r="P152" s="3262">
        <v>49.309655555705262</v>
      </c>
      <c r="Q152" s="3263">
        <v>49.309655555705262</v>
      </c>
    </row>
    <row r="153" spans="2:17">
      <c r="B153" s="3260" t="s">
        <v>682</v>
      </c>
      <c r="C153" s="3268"/>
      <c r="D153" s="3269"/>
      <c r="E153" s="3269"/>
      <c r="F153" s="3269"/>
      <c r="G153" s="3270"/>
      <c r="H153" s="3268"/>
      <c r="I153" s="3262">
        <v>6.2E-2</v>
      </c>
      <c r="J153" s="3262">
        <v>6.2E-2</v>
      </c>
      <c r="K153" s="3262">
        <v>5.2266791069912825E-2</v>
      </c>
      <c r="L153" s="3264">
        <v>4.7391728756012448E-2</v>
      </c>
      <c r="M153" s="3261">
        <v>3.840656956925937E-2</v>
      </c>
      <c r="N153" s="3262">
        <v>3.255916789048921E-2</v>
      </c>
      <c r="O153" s="3262">
        <v>2.6607348324598153E-2</v>
      </c>
      <c r="P153" s="3262">
        <v>2.6607348324598153E-2</v>
      </c>
      <c r="Q153" s="3263">
        <v>2.6607348324598153E-2</v>
      </c>
    </row>
    <row r="154" spans="2:17">
      <c r="B154" s="3260" t="s">
        <v>66</v>
      </c>
      <c r="C154" s="3268"/>
      <c r="D154" s="3269"/>
      <c r="E154" s="3269"/>
      <c r="F154" s="3269"/>
      <c r="G154" s="3270"/>
      <c r="H154" s="3268"/>
      <c r="I154" s="3262">
        <v>12.430000000000003</v>
      </c>
      <c r="J154" s="3262">
        <v>11.948000000000006</v>
      </c>
      <c r="K154" s="3262">
        <v>10.072316446827722</v>
      </c>
      <c r="L154" s="3264">
        <v>9.1328447609167256</v>
      </c>
      <c r="M154" s="3261">
        <v>7.4013176324759868</v>
      </c>
      <c r="N154" s="3262">
        <v>6.2744667412187951</v>
      </c>
      <c r="O154" s="3262">
        <v>5.1274935126177246</v>
      </c>
      <c r="P154" s="3262">
        <v>5.1274935126177246</v>
      </c>
      <c r="Q154" s="3263">
        <v>5.1274935126177246</v>
      </c>
    </row>
    <row r="155" spans="2:17">
      <c r="B155" s="3260" t="s">
        <v>67</v>
      </c>
      <c r="C155" s="3268"/>
      <c r="D155" s="3269"/>
      <c r="E155" s="3269"/>
      <c r="F155" s="3269"/>
      <c r="G155" s="3270"/>
      <c r="H155" s="3268"/>
      <c r="I155" s="3262">
        <v>6.126999999999998</v>
      </c>
      <c r="J155" s="3262">
        <v>6.751999999999998</v>
      </c>
      <c r="K155" s="3262">
        <v>5.692022150065343</v>
      </c>
      <c r="L155" s="3264">
        <v>5.1611121380741274</v>
      </c>
      <c r="M155" s="3261">
        <v>4.1825993182522438</v>
      </c>
      <c r="N155" s="3262">
        <v>3.545798412848113</v>
      </c>
      <c r="O155" s="3262">
        <v>2.8976260627046226</v>
      </c>
      <c r="P155" s="3262">
        <v>2.8976260627046226</v>
      </c>
      <c r="Q155" s="3263">
        <v>2.8976260627046226</v>
      </c>
    </row>
    <row r="156" spans="2:17" ht="13.5" thickBot="1">
      <c r="B156" s="3275" t="s">
        <v>62</v>
      </c>
      <c r="C156" s="3276"/>
      <c r="D156" s="3277"/>
      <c r="E156" s="3277"/>
      <c r="F156" s="3277"/>
      <c r="G156" s="3278"/>
      <c r="H156" s="3280"/>
      <c r="I156" s="3262">
        <v>5.2999999999999999E-2</v>
      </c>
      <c r="J156" s="3262">
        <v>5.2999999999999999E-2</v>
      </c>
      <c r="K156" s="3262">
        <v>4.4679676237183545E-2</v>
      </c>
      <c r="L156" s="3264">
        <v>4.051228425917193E-2</v>
      </c>
      <c r="M156" s="3265">
        <v>3.2831422373721719E-2</v>
      </c>
      <c r="N156" s="3266">
        <v>2.783283706767626E-2</v>
      </c>
      <c r="O156" s="3266">
        <v>2.2744991309737131E-2</v>
      </c>
      <c r="P156" s="3266">
        <v>2.2744991309737131E-2</v>
      </c>
      <c r="Q156" s="3267">
        <v>2.2744991309737131E-2</v>
      </c>
    </row>
    <row r="157" spans="2:17" ht="12.75" customHeight="1">
      <c r="B157" s="4689">
        <v>3015</v>
      </c>
      <c r="C157" s="4691" t="s">
        <v>36</v>
      </c>
      <c r="D157" s="4692"/>
      <c r="E157" s="4692"/>
      <c r="F157" s="4692"/>
      <c r="G157" s="4692"/>
      <c r="H157" s="4693" t="s">
        <v>37</v>
      </c>
      <c r="I157" s="4694"/>
      <c r="J157" s="4694"/>
      <c r="K157" s="4694"/>
      <c r="L157" s="4694"/>
      <c r="M157" s="4695" t="s">
        <v>73</v>
      </c>
      <c r="N157" s="4695"/>
      <c r="O157" s="4695"/>
      <c r="P157" s="4695"/>
      <c r="Q157" s="4696"/>
    </row>
    <row r="158" spans="2:17" ht="12.75" customHeight="1">
      <c r="B158" s="4690"/>
      <c r="C158" s="4697" t="s">
        <v>1673</v>
      </c>
      <c r="D158" s="4698"/>
      <c r="E158" s="4698"/>
      <c r="F158" s="4698"/>
      <c r="G158" s="4698"/>
      <c r="H158" s="4698"/>
      <c r="I158" s="4698"/>
      <c r="J158" s="4698"/>
      <c r="K158" s="4698"/>
      <c r="L158" s="4698"/>
      <c r="M158" s="4698"/>
      <c r="N158" s="4698"/>
      <c r="O158" s="4698"/>
      <c r="P158" s="4698"/>
      <c r="Q158" s="4699"/>
    </row>
    <row r="159" spans="2:17" ht="12.75" customHeight="1">
      <c r="B159" s="4690"/>
      <c r="C159" s="4697" t="s">
        <v>54</v>
      </c>
      <c r="D159" s="4698"/>
      <c r="E159" s="4698"/>
      <c r="F159" s="4698"/>
      <c r="G159" s="4698"/>
      <c r="H159" s="4698"/>
      <c r="I159" s="4698"/>
      <c r="J159" s="4700"/>
      <c r="K159" s="4701" t="s">
        <v>55</v>
      </c>
      <c r="L159" s="4702"/>
      <c r="M159" s="4702"/>
      <c r="N159" s="4702"/>
      <c r="O159" s="4702"/>
      <c r="P159" s="4702"/>
      <c r="Q159" s="4703"/>
    </row>
    <row r="160" spans="2:17" ht="13.5" customHeight="1" thickBot="1">
      <c r="B160" s="4690"/>
      <c r="C160" s="3252">
        <f t="array" ref="C160:G160">PRCP</f>
        <v>2008</v>
      </c>
      <c r="D160" s="3253">
        <v>2009</v>
      </c>
      <c r="E160" s="3253">
        <v>2010</v>
      </c>
      <c r="F160" s="3253">
        <v>2011</v>
      </c>
      <c r="G160" s="3253">
        <v>2012</v>
      </c>
      <c r="H160" s="3254">
        <f>CRCP_y1</f>
        <v>2013</v>
      </c>
      <c r="I160" s="3254">
        <f>CRCP_y2</f>
        <v>2014</v>
      </c>
      <c r="J160" s="3254">
        <f>CRCP_y3</f>
        <v>2015</v>
      </c>
      <c r="K160" s="3254">
        <f>CRCP_y4</f>
        <v>2016</v>
      </c>
      <c r="L160" s="3254">
        <f>CRCP_y5</f>
        <v>2017</v>
      </c>
      <c r="M160" s="3253" t="str">
        <f t="array" ref="M160:Q160">FRCP</f>
        <v>2018</v>
      </c>
      <c r="N160" s="3253">
        <v>2019</v>
      </c>
      <c r="O160" s="3253">
        <v>2020</v>
      </c>
      <c r="P160" s="3253">
        <v>2021</v>
      </c>
      <c r="Q160" s="3255">
        <v>2022</v>
      </c>
    </row>
    <row r="161" spans="2:17">
      <c r="B161" s="3256" t="s">
        <v>1678</v>
      </c>
      <c r="C161" s="3257"/>
      <c r="D161" s="3258"/>
      <c r="E161" s="3258"/>
      <c r="F161" s="3258"/>
      <c r="G161" s="3259"/>
      <c r="H161" s="3257"/>
      <c r="I161" s="3258"/>
      <c r="J161" s="3258"/>
      <c r="K161" s="3258"/>
      <c r="L161" s="3258"/>
      <c r="M161" s="3257"/>
      <c r="N161" s="3258"/>
      <c r="O161" s="3258"/>
      <c r="P161" s="3258"/>
      <c r="Q161" s="3259"/>
    </row>
    <row r="162" spans="2:17">
      <c r="B162" s="3260"/>
      <c r="C162" s="3268"/>
      <c r="D162" s="3269"/>
      <c r="E162" s="3269"/>
      <c r="F162" s="3269"/>
      <c r="G162" s="3270"/>
      <c r="H162" s="3268"/>
      <c r="I162" s="3269"/>
      <c r="J162" s="3269"/>
      <c r="K162" s="3269"/>
      <c r="L162" s="3271"/>
      <c r="M162" s="3261"/>
      <c r="N162" s="3262"/>
      <c r="O162" s="3262"/>
      <c r="P162" s="3262"/>
      <c r="Q162" s="3263"/>
    </row>
    <row r="163" spans="2:17">
      <c r="B163" s="3260" t="s">
        <v>64</v>
      </c>
      <c r="C163" s="3268"/>
      <c r="D163" s="3269"/>
      <c r="E163" s="3269"/>
      <c r="F163" s="3269"/>
      <c r="G163" s="3270"/>
      <c r="H163" s="3268"/>
      <c r="I163" s="3262">
        <v>5.2999999999999999E-2</v>
      </c>
      <c r="J163" s="3262">
        <v>3.4999999999999996E-2</v>
      </c>
      <c r="K163" s="3262">
        <v>3.4999999999999996E-2</v>
      </c>
      <c r="L163" s="3264">
        <v>3.4999999999999996E-2</v>
      </c>
      <c r="M163" s="3261">
        <v>3.4999999999999996E-2</v>
      </c>
      <c r="N163" s="3262">
        <v>3.4999999999999996E-2</v>
      </c>
      <c r="O163" s="3262">
        <v>3.4999999999999996E-2</v>
      </c>
      <c r="P163" s="3262">
        <v>3.4999999999999996E-2</v>
      </c>
      <c r="Q163" s="3263">
        <v>3.4999999999999996E-2</v>
      </c>
    </row>
    <row r="164" spans="2:17">
      <c r="B164" s="3260" t="s">
        <v>65</v>
      </c>
      <c r="C164" s="3268"/>
      <c r="D164" s="3269"/>
      <c r="E164" s="3269"/>
      <c r="F164" s="3269"/>
      <c r="G164" s="3270"/>
      <c r="H164" s="3268"/>
      <c r="I164" s="3262">
        <v>0.10200000000000001</v>
      </c>
      <c r="J164" s="3262">
        <v>0</v>
      </c>
      <c r="K164" s="3262">
        <v>0</v>
      </c>
      <c r="L164" s="3264">
        <v>0</v>
      </c>
      <c r="M164" s="3261">
        <v>0</v>
      </c>
      <c r="N164" s="3262">
        <v>0</v>
      </c>
      <c r="O164" s="3262">
        <v>0</v>
      </c>
      <c r="P164" s="3262">
        <v>0</v>
      </c>
      <c r="Q164" s="3263">
        <v>0</v>
      </c>
    </row>
    <row r="165" spans="2:17">
      <c r="B165" s="3260" t="s">
        <v>82</v>
      </c>
      <c r="C165" s="3268"/>
      <c r="D165" s="3269"/>
      <c r="E165" s="3269"/>
      <c r="F165" s="3269"/>
      <c r="G165" s="3270"/>
      <c r="H165" s="3268"/>
      <c r="I165" s="3262">
        <v>0</v>
      </c>
      <c r="J165" s="3262">
        <v>0</v>
      </c>
      <c r="K165" s="3262">
        <v>0</v>
      </c>
      <c r="L165" s="3264">
        <v>0</v>
      </c>
      <c r="M165" s="3261">
        <v>0</v>
      </c>
      <c r="N165" s="3262">
        <v>0</v>
      </c>
      <c r="O165" s="3262">
        <v>0</v>
      </c>
      <c r="P165" s="3262">
        <v>0</v>
      </c>
      <c r="Q165" s="3263">
        <v>0</v>
      </c>
    </row>
    <row r="166" spans="2:17">
      <c r="B166" s="3260" t="s">
        <v>680</v>
      </c>
      <c r="C166" s="3268"/>
      <c r="D166" s="3269"/>
      <c r="E166" s="3269"/>
      <c r="F166" s="3269"/>
      <c r="G166" s="3270"/>
      <c r="H166" s="3268"/>
      <c r="I166" s="3262">
        <v>0</v>
      </c>
      <c r="J166" s="3262">
        <v>0</v>
      </c>
      <c r="K166" s="3262">
        <v>0</v>
      </c>
      <c r="L166" s="3264">
        <v>0</v>
      </c>
      <c r="M166" s="3261">
        <v>0</v>
      </c>
      <c r="N166" s="3262">
        <v>0</v>
      </c>
      <c r="O166" s="3262">
        <v>0</v>
      </c>
      <c r="P166" s="3262">
        <v>0</v>
      </c>
      <c r="Q166" s="3263">
        <v>0</v>
      </c>
    </row>
    <row r="167" spans="2:17">
      <c r="B167" s="3260" t="s">
        <v>681</v>
      </c>
      <c r="C167" s="3268"/>
      <c r="D167" s="3269"/>
      <c r="E167" s="3269"/>
      <c r="F167" s="3269"/>
      <c r="G167" s="3270"/>
      <c r="H167" s="3268"/>
      <c r="I167" s="3262">
        <v>66.826000000000036</v>
      </c>
      <c r="J167" s="3262">
        <v>68.215000000000018</v>
      </c>
      <c r="K167" s="3262">
        <v>68.215000000000018</v>
      </c>
      <c r="L167" s="3264">
        <v>68.215000000000018</v>
      </c>
      <c r="M167" s="3261">
        <v>68.215000000000018</v>
      </c>
      <c r="N167" s="3262">
        <v>68.215000000000018</v>
      </c>
      <c r="O167" s="3262">
        <v>68.460000000000022</v>
      </c>
      <c r="P167" s="3262">
        <v>68.460000000000022</v>
      </c>
      <c r="Q167" s="3263">
        <v>68.460000000000022</v>
      </c>
    </row>
    <row r="168" spans="2:17">
      <c r="B168" s="3260" t="s">
        <v>682</v>
      </c>
      <c r="C168" s="3268"/>
      <c r="D168" s="3269"/>
      <c r="E168" s="3269"/>
      <c r="F168" s="3269"/>
      <c r="G168" s="3270"/>
      <c r="H168" s="3268"/>
      <c r="I168" s="3262">
        <v>0</v>
      </c>
      <c r="J168" s="3262">
        <v>0</v>
      </c>
      <c r="K168" s="3262">
        <v>0</v>
      </c>
      <c r="L168" s="3264">
        <v>0</v>
      </c>
      <c r="M168" s="3261">
        <v>0</v>
      </c>
      <c r="N168" s="3262">
        <v>0</v>
      </c>
      <c r="O168" s="3262">
        <v>0</v>
      </c>
      <c r="P168" s="3262">
        <v>0</v>
      </c>
      <c r="Q168" s="3263">
        <v>0</v>
      </c>
    </row>
    <row r="169" spans="2:17">
      <c r="B169" s="3260" t="s">
        <v>66</v>
      </c>
      <c r="C169" s="3268"/>
      <c r="D169" s="3269"/>
      <c r="E169" s="3269"/>
      <c r="F169" s="3269"/>
      <c r="G169" s="3270"/>
      <c r="H169" s="3268"/>
      <c r="I169" s="3262">
        <v>5.0459999999999985</v>
      </c>
      <c r="J169" s="3262">
        <v>4.6719999999999988</v>
      </c>
      <c r="K169" s="3262">
        <v>4.6719999999999988</v>
      </c>
      <c r="L169" s="3264">
        <v>4.6719999999999988</v>
      </c>
      <c r="M169" s="3261">
        <v>4.6719999999999988</v>
      </c>
      <c r="N169" s="3262">
        <v>4.6719999999999988</v>
      </c>
      <c r="O169" s="3262">
        <v>4.4269999999999987</v>
      </c>
      <c r="P169" s="3262">
        <v>4.4269999999999987</v>
      </c>
      <c r="Q169" s="3263">
        <v>4.4269999999999987</v>
      </c>
    </row>
    <row r="170" spans="2:17" ht="13.5" thickBot="1">
      <c r="B170" s="3260" t="s">
        <v>67</v>
      </c>
      <c r="C170" s="3268"/>
      <c r="D170" s="3269"/>
      <c r="E170" s="3269"/>
      <c r="F170" s="3269"/>
      <c r="G170" s="3270"/>
      <c r="H170" s="3268"/>
      <c r="I170" s="3262">
        <v>13.909999999999997</v>
      </c>
      <c r="J170" s="3262">
        <v>13.084999999999994</v>
      </c>
      <c r="K170" s="3262">
        <v>13.084999999999994</v>
      </c>
      <c r="L170" s="3264">
        <v>13.084999999999994</v>
      </c>
      <c r="M170" s="3261">
        <v>13.084999999999994</v>
      </c>
      <c r="N170" s="3262">
        <v>13.084999999999994</v>
      </c>
      <c r="O170" s="3262">
        <v>13.084999999999994</v>
      </c>
      <c r="P170" s="3262">
        <v>13.084999999999994</v>
      </c>
      <c r="Q170" s="3263">
        <v>13.084999999999994</v>
      </c>
    </row>
    <row r="171" spans="2:17" ht="12.75" customHeight="1">
      <c r="B171" s="4689">
        <v>3016</v>
      </c>
      <c r="C171" s="4691" t="s">
        <v>36</v>
      </c>
      <c r="D171" s="4692"/>
      <c r="E171" s="4692"/>
      <c r="F171" s="4692"/>
      <c r="G171" s="4692"/>
      <c r="H171" s="4693" t="s">
        <v>37</v>
      </c>
      <c r="I171" s="4694"/>
      <c r="J171" s="4694"/>
      <c r="K171" s="4694"/>
      <c r="L171" s="4694"/>
      <c r="M171" s="4695" t="s">
        <v>73</v>
      </c>
      <c r="N171" s="4695"/>
      <c r="O171" s="4695"/>
      <c r="P171" s="4695"/>
      <c r="Q171" s="4696"/>
    </row>
    <row r="172" spans="2:17" ht="12.75" customHeight="1">
      <c r="B172" s="4690"/>
      <c r="C172" s="4697" t="s">
        <v>1673</v>
      </c>
      <c r="D172" s="4698"/>
      <c r="E172" s="4698"/>
      <c r="F172" s="4698"/>
      <c r="G172" s="4698"/>
      <c r="H172" s="4698"/>
      <c r="I172" s="4698"/>
      <c r="J172" s="4698"/>
      <c r="K172" s="4698"/>
      <c r="L172" s="4698"/>
      <c r="M172" s="4698"/>
      <c r="N172" s="4698"/>
      <c r="O172" s="4698"/>
      <c r="P172" s="4698"/>
      <c r="Q172" s="4699"/>
    </row>
    <row r="173" spans="2:17" ht="12.75" customHeight="1">
      <c r="B173" s="4690"/>
      <c r="C173" s="4697" t="s">
        <v>54</v>
      </c>
      <c r="D173" s="4698"/>
      <c r="E173" s="4698"/>
      <c r="F173" s="4698"/>
      <c r="G173" s="4698"/>
      <c r="H173" s="4698"/>
      <c r="I173" s="4698"/>
      <c r="J173" s="4700"/>
      <c r="K173" s="4701" t="s">
        <v>55</v>
      </c>
      <c r="L173" s="4702"/>
      <c r="M173" s="4702"/>
      <c r="N173" s="4702"/>
      <c r="O173" s="4702"/>
      <c r="P173" s="4702"/>
      <c r="Q173" s="4703"/>
    </row>
    <row r="174" spans="2:17" ht="13.5" customHeight="1" thickBot="1">
      <c r="B174" s="4690"/>
      <c r="C174" s="3252">
        <f t="array" ref="C174:G174">PRCP</f>
        <v>2008</v>
      </c>
      <c r="D174" s="3253">
        <v>2009</v>
      </c>
      <c r="E174" s="3253">
        <v>2010</v>
      </c>
      <c r="F174" s="3253">
        <v>2011</v>
      </c>
      <c r="G174" s="3253">
        <v>2012</v>
      </c>
      <c r="H174" s="3254">
        <f>CRCP_y1</f>
        <v>2013</v>
      </c>
      <c r="I174" s="3254">
        <f>CRCP_y2</f>
        <v>2014</v>
      </c>
      <c r="J174" s="3254">
        <f>CRCP_y3</f>
        <v>2015</v>
      </c>
      <c r="K174" s="3254">
        <f>CRCP_y4</f>
        <v>2016</v>
      </c>
      <c r="L174" s="3254">
        <f>CRCP_y5</f>
        <v>2017</v>
      </c>
      <c r="M174" s="3253" t="str">
        <f t="array" ref="M174:Q174">FRCP</f>
        <v>2018</v>
      </c>
      <c r="N174" s="3253">
        <v>2019</v>
      </c>
      <c r="O174" s="3253">
        <v>2020</v>
      </c>
      <c r="P174" s="3253">
        <v>2021</v>
      </c>
      <c r="Q174" s="3255">
        <v>2022</v>
      </c>
    </row>
    <row r="175" spans="2:17">
      <c r="B175" s="3256" t="s">
        <v>1678</v>
      </c>
      <c r="C175" s="3257"/>
      <c r="D175" s="3258"/>
      <c r="E175" s="3258"/>
      <c r="F175" s="3258"/>
      <c r="G175" s="3259"/>
      <c r="H175" s="3257"/>
      <c r="I175" s="3258"/>
      <c r="J175" s="3258"/>
      <c r="K175" s="3258"/>
      <c r="L175" s="3258"/>
      <c r="M175" s="3257"/>
      <c r="N175" s="3258"/>
      <c r="O175" s="3258"/>
      <c r="P175" s="3258"/>
      <c r="Q175" s="3259"/>
    </row>
    <row r="176" spans="2:17">
      <c r="B176" s="3260"/>
      <c r="C176" s="3268"/>
      <c r="D176" s="3269"/>
      <c r="E176" s="3269"/>
      <c r="F176" s="3269"/>
      <c r="G176" s="3270"/>
      <c r="H176" s="3268"/>
      <c r="I176" s="3269"/>
      <c r="J176" s="3269"/>
      <c r="K176" s="3269"/>
      <c r="L176" s="3271"/>
      <c r="M176" s="3268"/>
      <c r="N176" s="3269"/>
      <c r="O176" s="3269"/>
      <c r="P176" s="3269"/>
      <c r="Q176" s="3270"/>
    </row>
    <row r="177" spans="2:17">
      <c r="B177" s="3260" t="s">
        <v>64</v>
      </c>
      <c r="C177" s="3268"/>
      <c r="D177" s="3269"/>
      <c r="E177" s="3269"/>
      <c r="F177" s="3269"/>
      <c r="G177" s="3270"/>
      <c r="H177" s="3268"/>
      <c r="I177" s="3281">
        <v>3.0000000000000001E-3</v>
      </c>
      <c r="J177" s="3281">
        <v>3.0000000000000001E-3</v>
      </c>
      <c r="K177" s="3281">
        <v>3.0000000000000001E-3</v>
      </c>
      <c r="L177" s="3282">
        <v>3.0000000000000001E-3</v>
      </c>
      <c r="M177" s="3283">
        <v>3.0000000000000001E-3</v>
      </c>
      <c r="N177" s="3281">
        <v>3.0000000000000001E-3</v>
      </c>
      <c r="O177" s="3281">
        <v>3.0000000000000001E-3</v>
      </c>
      <c r="P177" s="3281">
        <v>3.0000000000000001E-3</v>
      </c>
      <c r="Q177" s="3284">
        <v>3.0000000000000001E-3</v>
      </c>
    </row>
    <row r="178" spans="2:17">
      <c r="B178" s="3260" t="s">
        <v>65</v>
      </c>
      <c r="C178" s="3268"/>
      <c r="D178" s="3269"/>
      <c r="E178" s="3269"/>
      <c r="F178" s="3269"/>
      <c r="G178" s="3270"/>
      <c r="H178" s="3268"/>
      <c r="I178" s="3281">
        <v>0</v>
      </c>
      <c r="J178" s="3281">
        <v>0</v>
      </c>
      <c r="K178" s="3281">
        <v>0</v>
      </c>
      <c r="L178" s="3282">
        <v>0</v>
      </c>
      <c r="M178" s="3283">
        <v>0</v>
      </c>
      <c r="N178" s="3281">
        <v>0</v>
      </c>
      <c r="O178" s="3281">
        <v>0</v>
      </c>
      <c r="P178" s="3281">
        <v>0</v>
      </c>
      <c r="Q178" s="3284">
        <v>0</v>
      </c>
    </row>
    <row r="179" spans="2:17">
      <c r="B179" s="3260" t="s">
        <v>82</v>
      </c>
      <c r="C179" s="3268"/>
      <c r="D179" s="3269"/>
      <c r="E179" s="3269"/>
      <c r="F179" s="3269"/>
      <c r="G179" s="3270"/>
      <c r="H179" s="3268"/>
      <c r="I179" s="3281">
        <v>0</v>
      </c>
      <c r="J179" s="3281">
        <v>0</v>
      </c>
      <c r="K179" s="3281">
        <v>0</v>
      </c>
      <c r="L179" s="3282">
        <v>0</v>
      </c>
      <c r="M179" s="3283">
        <v>0</v>
      </c>
      <c r="N179" s="3281">
        <v>0</v>
      </c>
      <c r="O179" s="3281">
        <v>0</v>
      </c>
      <c r="P179" s="3281">
        <v>0</v>
      </c>
      <c r="Q179" s="3284">
        <v>0</v>
      </c>
    </row>
    <row r="180" spans="2:17">
      <c r="B180" s="3260" t="s">
        <v>680</v>
      </c>
      <c r="C180" s="3268"/>
      <c r="D180" s="3269"/>
      <c r="E180" s="3269"/>
      <c r="F180" s="3269"/>
      <c r="G180" s="3270"/>
      <c r="H180" s="3268"/>
      <c r="I180" s="3281">
        <v>0</v>
      </c>
      <c r="J180" s="3281">
        <v>0</v>
      </c>
      <c r="K180" s="3281">
        <v>0</v>
      </c>
      <c r="L180" s="3282">
        <v>0</v>
      </c>
      <c r="M180" s="3283">
        <v>0</v>
      </c>
      <c r="N180" s="3281">
        <v>0</v>
      </c>
      <c r="O180" s="3281">
        <v>0</v>
      </c>
      <c r="P180" s="3281">
        <v>0</v>
      </c>
      <c r="Q180" s="3284">
        <v>0</v>
      </c>
    </row>
    <row r="181" spans="2:17">
      <c r="B181" s="3260" t="s">
        <v>681</v>
      </c>
      <c r="C181" s="3268"/>
      <c r="D181" s="3269"/>
      <c r="E181" s="3269"/>
      <c r="F181" s="3269"/>
      <c r="G181" s="3270"/>
      <c r="H181" s="3268"/>
      <c r="I181" s="3281">
        <v>61.807000000000009</v>
      </c>
      <c r="J181" s="3281">
        <v>61.819000000000017</v>
      </c>
      <c r="K181" s="3281">
        <v>61.819000000000017</v>
      </c>
      <c r="L181" s="3282">
        <v>61.819000000000017</v>
      </c>
      <c r="M181" s="3283">
        <v>61.819000000000017</v>
      </c>
      <c r="N181" s="3281">
        <v>61.819000000000017</v>
      </c>
      <c r="O181" s="3281">
        <v>61.819000000000017</v>
      </c>
      <c r="P181" s="3281">
        <v>61.819000000000017</v>
      </c>
      <c r="Q181" s="3284">
        <v>61.819000000000017</v>
      </c>
    </row>
    <row r="182" spans="2:17">
      <c r="B182" s="3260" t="s">
        <v>682</v>
      </c>
      <c r="C182" s="3268"/>
      <c r="D182" s="3269"/>
      <c r="E182" s="3269"/>
      <c r="F182" s="3269"/>
      <c r="G182" s="3270"/>
      <c r="H182" s="3268"/>
      <c r="I182" s="3281">
        <v>0.754</v>
      </c>
      <c r="J182" s="3281">
        <v>0.754</v>
      </c>
      <c r="K182" s="3281">
        <v>0.754</v>
      </c>
      <c r="L182" s="3282">
        <v>0.754</v>
      </c>
      <c r="M182" s="3283">
        <v>0.754</v>
      </c>
      <c r="N182" s="3281">
        <v>0.754</v>
      </c>
      <c r="O182" s="3281">
        <v>0.754</v>
      </c>
      <c r="P182" s="3281">
        <v>0.754</v>
      </c>
      <c r="Q182" s="3284">
        <v>0.754</v>
      </c>
    </row>
    <row r="183" spans="2:17">
      <c r="B183" s="3260" t="s">
        <v>66</v>
      </c>
      <c r="C183" s="3268"/>
      <c r="D183" s="3269"/>
      <c r="E183" s="3269"/>
      <c r="F183" s="3269"/>
      <c r="G183" s="3270"/>
      <c r="H183" s="3268"/>
      <c r="I183" s="3281">
        <v>1.7999999999999999E-2</v>
      </c>
      <c r="J183" s="3281">
        <v>1.7999999999999999E-2</v>
      </c>
      <c r="K183" s="3281">
        <v>1.7999999999999999E-2</v>
      </c>
      <c r="L183" s="3282">
        <v>1.7999999999999999E-2</v>
      </c>
      <c r="M183" s="3283">
        <v>1.7999999999999999E-2</v>
      </c>
      <c r="N183" s="3281">
        <v>1.7999999999999999E-2</v>
      </c>
      <c r="O183" s="3281">
        <v>1.7999999999999999E-2</v>
      </c>
      <c r="P183" s="3281">
        <v>1.7999999999999999E-2</v>
      </c>
      <c r="Q183" s="3284">
        <v>1.7999999999999999E-2</v>
      </c>
    </row>
    <row r="184" spans="2:17" ht="13.5" thickBot="1">
      <c r="B184" s="3260" t="s">
        <v>67</v>
      </c>
      <c r="C184" s="3268"/>
      <c r="D184" s="3269"/>
      <c r="E184" s="3269"/>
      <c r="F184" s="3269"/>
      <c r="G184" s="3270"/>
      <c r="H184" s="3268"/>
      <c r="I184" s="3281">
        <v>10.182000000000002</v>
      </c>
      <c r="J184" s="3281">
        <v>10.182000000000004</v>
      </c>
      <c r="K184" s="3281">
        <v>10.182000000000004</v>
      </c>
      <c r="L184" s="3282">
        <v>10.182000000000004</v>
      </c>
      <c r="M184" s="3285">
        <v>10.182000000000004</v>
      </c>
      <c r="N184" s="3286">
        <v>10.182000000000004</v>
      </c>
      <c r="O184" s="3286">
        <v>10.182000000000004</v>
      </c>
      <c r="P184" s="3286">
        <v>10.182000000000004</v>
      </c>
      <c r="Q184" s="3287">
        <v>10.182000000000004</v>
      </c>
    </row>
    <row r="185" spans="2:17" ht="12.75" customHeight="1">
      <c r="B185" s="4689">
        <v>3018</v>
      </c>
      <c r="C185" s="4691" t="s">
        <v>36</v>
      </c>
      <c r="D185" s="4692"/>
      <c r="E185" s="4692"/>
      <c r="F185" s="4692"/>
      <c r="G185" s="4692"/>
      <c r="H185" s="4693" t="s">
        <v>37</v>
      </c>
      <c r="I185" s="4694"/>
      <c r="J185" s="4694"/>
      <c r="K185" s="4694"/>
      <c r="L185" s="4694"/>
      <c r="M185" s="4695" t="s">
        <v>73</v>
      </c>
      <c r="N185" s="4695"/>
      <c r="O185" s="4695"/>
      <c r="P185" s="4695"/>
      <c r="Q185" s="4696"/>
    </row>
    <row r="186" spans="2:17" ht="12.75" customHeight="1">
      <c r="B186" s="4690"/>
      <c r="C186" s="4697" t="s">
        <v>1673</v>
      </c>
      <c r="D186" s="4698"/>
      <c r="E186" s="4698"/>
      <c r="F186" s="4698"/>
      <c r="G186" s="4698"/>
      <c r="H186" s="4698"/>
      <c r="I186" s="4698"/>
      <c r="J186" s="4698"/>
      <c r="K186" s="4698"/>
      <c r="L186" s="4698"/>
      <c r="M186" s="4698"/>
      <c r="N186" s="4698"/>
      <c r="O186" s="4698"/>
      <c r="P186" s="4698"/>
      <c r="Q186" s="4699"/>
    </row>
    <row r="187" spans="2:17" ht="12.75" customHeight="1">
      <c r="B187" s="4690"/>
      <c r="C187" s="4697" t="s">
        <v>54</v>
      </c>
      <c r="D187" s="4698"/>
      <c r="E187" s="4698"/>
      <c r="F187" s="4698"/>
      <c r="G187" s="4698"/>
      <c r="H187" s="4698"/>
      <c r="I187" s="4698"/>
      <c r="J187" s="4700"/>
      <c r="K187" s="4701" t="s">
        <v>55</v>
      </c>
      <c r="L187" s="4702"/>
      <c r="M187" s="4702"/>
      <c r="N187" s="4702"/>
      <c r="O187" s="4702"/>
      <c r="P187" s="4702"/>
      <c r="Q187" s="4703"/>
    </row>
    <row r="188" spans="2:17" ht="13.5" customHeight="1" thickBot="1">
      <c r="B188" s="4690"/>
      <c r="C188" s="3252">
        <f t="array" ref="C188:G188">PRCP</f>
        <v>2008</v>
      </c>
      <c r="D188" s="3253">
        <v>2009</v>
      </c>
      <c r="E188" s="3253">
        <v>2010</v>
      </c>
      <c r="F188" s="3253">
        <v>2011</v>
      </c>
      <c r="G188" s="3253">
        <v>2012</v>
      </c>
      <c r="H188" s="3254">
        <f>CRCP_y1</f>
        <v>2013</v>
      </c>
      <c r="I188" s="3254">
        <f>CRCP_y2</f>
        <v>2014</v>
      </c>
      <c r="J188" s="3254">
        <f>CRCP_y3</f>
        <v>2015</v>
      </c>
      <c r="K188" s="3254">
        <f>CRCP_y4</f>
        <v>2016</v>
      </c>
      <c r="L188" s="3254">
        <f>CRCP_y5</f>
        <v>2017</v>
      </c>
      <c r="M188" s="3253" t="str">
        <f t="array" ref="M188:Q188">FRCP</f>
        <v>2018</v>
      </c>
      <c r="N188" s="3253">
        <v>2019</v>
      </c>
      <c r="O188" s="3253">
        <v>2020</v>
      </c>
      <c r="P188" s="3253">
        <v>2021</v>
      </c>
      <c r="Q188" s="3255">
        <v>2022</v>
      </c>
    </row>
    <row r="189" spans="2:17">
      <c r="B189" s="3256" t="s">
        <v>1679</v>
      </c>
      <c r="C189" s="3257"/>
      <c r="D189" s="3258"/>
      <c r="E189" s="3258"/>
      <c r="F189" s="3258"/>
      <c r="G189" s="3259"/>
      <c r="H189" s="3257"/>
      <c r="I189" s="3258"/>
      <c r="J189" s="3258"/>
      <c r="K189" s="3258"/>
      <c r="L189" s="3258"/>
      <c r="M189" s="3257"/>
      <c r="N189" s="3258"/>
      <c r="O189" s="3258"/>
      <c r="P189" s="3258"/>
      <c r="Q189" s="3259"/>
    </row>
    <row r="190" spans="2:17">
      <c r="B190" s="3260"/>
      <c r="C190" s="3268"/>
      <c r="D190" s="3269"/>
      <c r="E190" s="3269"/>
      <c r="F190" s="3269"/>
      <c r="G190" s="3270"/>
      <c r="H190" s="3268"/>
      <c r="I190" s="3269"/>
      <c r="J190" s="3269"/>
      <c r="K190" s="3269"/>
      <c r="L190" s="3271"/>
      <c r="M190" s="3268"/>
      <c r="N190" s="3269"/>
      <c r="O190" s="3269"/>
      <c r="P190" s="3269"/>
      <c r="Q190" s="3270"/>
    </row>
    <row r="191" spans="2:17">
      <c r="B191" s="3260" t="s">
        <v>64</v>
      </c>
      <c r="C191" s="3268"/>
      <c r="D191" s="3269"/>
      <c r="E191" s="3269"/>
      <c r="F191" s="3269"/>
      <c r="G191" s="3270"/>
      <c r="H191" s="3268"/>
      <c r="I191" s="3269">
        <v>0</v>
      </c>
      <c r="J191" s="3269">
        <v>0</v>
      </c>
      <c r="K191" s="3269">
        <v>0</v>
      </c>
      <c r="L191" s="3271">
        <v>0</v>
      </c>
      <c r="M191" s="3268">
        <v>0</v>
      </c>
      <c r="N191" s="3269">
        <v>0</v>
      </c>
      <c r="O191" s="3269">
        <v>0</v>
      </c>
      <c r="P191" s="3269">
        <v>0</v>
      </c>
      <c r="Q191" s="3270">
        <v>0</v>
      </c>
    </row>
    <row r="192" spans="2:17">
      <c r="B192" s="3260" t="s">
        <v>65</v>
      </c>
      <c r="C192" s="3268"/>
      <c r="D192" s="3269"/>
      <c r="E192" s="3269"/>
      <c r="F192" s="3269"/>
      <c r="G192" s="3270"/>
      <c r="H192" s="3268"/>
      <c r="I192" s="3269">
        <v>0</v>
      </c>
      <c r="J192" s="3269">
        <v>0</v>
      </c>
      <c r="K192" s="3269">
        <v>0</v>
      </c>
      <c r="L192" s="3271">
        <v>0</v>
      </c>
      <c r="M192" s="3268">
        <v>0</v>
      </c>
      <c r="N192" s="3269">
        <v>0</v>
      </c>
      <c r="O192" s="3269">
        <v>0</v>
      </c>
      <c r="P192" s="3269">
        <v>0</v>
      </c>
      <c r="Q192" s="3270">
        <v>0</v>
      </c>
    </row>
    <row r="193" spans="2:17">
      <c r="B193" s="3260" t="s">
        <v>82</v>
      </c>
      <c r="C193" s="3268"/>
      <c r="D193" s="3269"/>
      <c r="E193" s="3269"/>
      <c r="F193" s="3269"/>
      <c r="G193" s="3270"/>
      <c r="H193" s="3268"/>
      <c r="I193" s="3269">
        <v>0</v>
      </c>
      <c r="J193" s="3269">
        <v>0</v>
      </c>
      <c r="K193" s="3269">
        <v>0</v>
      </c>
      <c r="L193" s="3271">
        <v>0</v>
      </c>
      <c r="M193" s="3268">
        <v>0</v>
      </c>
      <c r="N193" s="3269">
        <v>0</v>
      </c>
      <c r="O193" s="3269">
        <v>0</v>
      </c>
      <c r="P193" s="3269">
        <v>0</v>
      </c>
      <c r="Q193" s="3270">
        <v>0</v>
      </c>
    </row>
    <row r="194" spans="2:17">
      <c r="B194" s="3260" t="s">
        <v>680</v>
      </c>
      <c r="C194" s="3268"/>
      <c r="D194" s="3269"/>
      <c r="E194" s="3269"/>
      <c r="F194" s="3269"/>
      <c r="G194" s="3270"/>
      <c r="H194" s="3268"/>
      <c r="I194" s="3269">
        <v>0</v>
      </c>
      <c r="J194" s="3269">
        <v>0</v>
      </c>
      <c r="K194" s="3269">
        <v>0</v>
      </c>
      <c r="L194" s="3271">
        <v>0</v>
      </c>
      <c r="M194" s="3268">
        <v>0</v>
      </c>
      <c r="N194" s="3269">
        <v>0</v>
      </c>
      <c r="O194" s="3269">
        <v>0</v>
      </c>
      <c r="P194" s="3269">
        <v>0</v>
      </c>
      <c r="Q194" s="3270">
        <v>0</v>
      </c>
    </row>
    <row r="195" spans="2:17">
      <c r="B195" s="3260" t="s">
        <v>681</v>
      </c>
      <c r="C195" s="3268"/>
      <c r="D195" s="3269"/>
      <c r="E195" s="3269"/>
      <c r="F195" s="3269"/>
      <c r="G195" s="3270"/>
      <c r="H195" s="3268"/>
      <c r="I195" s="3269">
        <v>9.5859999999999985</v>
      </c>
      <c r="J195" s="3269">
        <v>9.602999999999998</v>
      </c>
      <c r="K195" s="3269">
        <v>9.602999999999998</v>
      </c>
      <c r="L195" s="3271">
        <v>9.602999999999998</v>
      </c>
      <c r="M195" s="3268">
        <v>9.602999999999998</v>
      </c>
      <c r="N195" s="3269">
        <v>9.602999999999998</v>
      </c>
      <c r="O195" s="3269">
        <v>9.602999999999998</v>
      </c>
      <c r="P195" s="3269">
        <v>9.602999999999998</v>
      </c>
      <c r="Q195" s="3270">
        <v>9.602999999999998</v>
      </c>
    </row>
    <row r="196" spans="2:17">
      <c r="B196" s="3260" t="s">
        <v>682</v>
      </c>
      <c r="C196" s="3268"/>
      <c r="D196" s="3269"/>
      <c r="E196" s="3269"/>
      <c r="F196" s="3269"/>
      <c r="G196" s="3270"/>
      <c r="H196" s="3268"/>
      <c r="I196" s="3269">
        <v>0</v>
      </c>
      <c r="J196" s="3269">
        <v>0</v>
      </c>
      <c r="K196" s="3269">
        <v>0</v>
      </c>
      <c r="L196" s="3271">
        <v>0</v>
      </c>
      <c r="M196" s="3268">
        <v>0</v>
      </c>
      <c r="N196" s="3269">
        <v>0</v>
      </c>
      <c r="O196" s="3269">
        <v>0</v>
      </c>
      <c r="P196" s="3269">
        <v>0</v>
      </c>
      <c r="Q196" s="3270">
        <v>0</v>
      </c>
    </row>
    <row r="197" spans="2:17">
      <c r="B197" s="3260" t="s">
        <v>66</v>
      </c>
      <c r="C197" s="3268"/>
      <c r="D197" s="3269"/>
      <c r="E197" s="3269"/>
      <c r="F197" s="3269"/>
      <c r="G197" s="3270"/>
      <c r="H197" s="3268"/>
      <c r="I197" s="3269">
        <v>0</v>
      </c>
      <c r="J197" s="3269">
        <v>0</v>
      </c>
      <c r="K197" s="3269">
        <v>0</v>
      </c>
      <c r="L197" s="3271">
        <v>0</v>
      </c>
      <c r="M197" s="3268">
        <v>0</v>
      </c>
      <c r="N197" s="3269">
        <v>0</v>
      </c>
      <c r="O197" s="3269">
        <v>0</v>
      </c>
      <c r="P197" s="3269">
        <v>0</v>
      </c>
      <c r="Q197" s="3270">
        <v>0</v>
      </c>
    </row>
    <row r="198" spans="2:17" ht="13.5" thickBot="1">
      <c r="B198" s="3260" t="s">
        <v>67</v>
      </c>
      <c r="C198" s="3268"/>
      <c r="D198" s="3269"/>
      <c r="E198" s="3269"/>
      <c r="F198" s="3269"/>
      <c r="G198" s="3270"/>
      <c r="H198" s="3268"/>
      <c r="I198" s="3269">
        <v>62.033999999999999</v>
      </c>
      <c r="J198" s="3269">
        <v>62.158000000000008</v>
      </c>
      <c r="K198" s="3269">
        <v>62.158000000000008</v>
      </c>
      <c r="L198" s="3271">
        <v>62.158000000000008</v>
      </c>
      <c r="M198" s="3272">
        <v>62.158000000000008</v>
      </c>
      <c r="N198" s="3273">
        <v>62.158000000000008</v>
      </c>
      <c r="O198" s="3273">
        <v>62.158000000000008</v>
      </c>
      <c r="P198" s="3273">
        <v>62.158000000000008</v>
      </c>
      <c r="Q198" s="3274">
        <v>62.158000000000008</v>
      </c>
    </row>
    <row r="199" spans="2:17" ht="12.75" customHeight="1">
      <c r="B199" s="4689">
        <v>3019</v>
      </c>
      <c r="C199" s="4691" t="s">
        <v>36</v>
      </c>
      <c r="D199" s="4692"/>
      <c r="E199" s="4692"/>
      <c r="F199" s="4692"/>
      <c r="G199" s="4692"/>
      <c r="H199" s="4693" t="s">
        <v>37</v>
      </c>
      <c r="I199" s="4694"/>
      <c r="J199" s="4694"/>
      <c r="K199" s="4694"/>
      <c r="L199" s="4694"/>
      <c r="M199" s="4695" t="s">
        <v>73</v>
      </c>
      <c r="N199" s="4695"/>
      <c r="O199" s="4695"/>
      <c r="P199" s="4695"/>
      <c r="Q199" s="4696"/>
    </row>
    <row r="200" spans="2:17" ht="12.75" customHeight="1">
      <c r="B200" s="4690"/>
      <c r="C200" s="4697" t="s">
        <v>1673</v>
      </c>
      <c r="D200" s="4698"/>
      <c r="E200" s="4698"/>
      <c r="F200" s="4698"/>
      <c r="G200" s="4698"/>
      <c r="H200" s="4698"/>
      <c r="I200" s="4698"/>
      <c r="J200" s="4698"/>
      <c r="K200" s="4698"/>
      <c r="L200" s="4698"/>
      <c r="M200" s="4698"/>
      <c r="N200" s="4698"/>
      <c r="O200" s="4698"/>
      <c r="P200" s="4698"/>
      <c r="Q200" s="4699"/>
    </row>
    <row r="201" spans="2:17" ht="12.75" customHeight="1">
      <c r="B201" s="4690"/>
      <c r="C201" s="4697" t="s">
        <v>54</v>
      </c>
      <c r="D201" s="4698"/>
      <c r="E201" s="4698"/>
      <c r="F201" s="4698"/>
      <c r="G201" s="4698"/>
      <c r="H201" s="4698"/>
      <c r="I201" s="4698"/>
      <c r="J201" s="4700"/>
      <c r="K201" s="4701" t="s">
        <v>55</v>
      </c>
      <c r="L201" s="4702"/>
      <c r="M201" s="4702"/>
      <c r="N201" s="4702"/>
      <c r="O201" s="4702"/>
      <c r="P201" s="4702"/>
      <c r="Q201" s="4703"/>
    </row>
    <row r="202" spans="2:17" ht="13.5" customHeight="1" thickBot="1">
      <c r="B202" s="4690"/>
      <c r="C202" s="3252">
        <f t="array" ref="C202:G202">PRCP</f>
        <v>2008</v>
      </c>
      <c r="D202" s="3253">
        <v>2009</v>
      </c>
      <c r="E202" s="3253">
        <v>2010</v>
      </c>
      <c r="F202" s="3253">
        <v>2011</v>
      </c>
      <c r="G202" s="3253">
        <v>2012</v>
      </c>
      <c r="H202" s="3254">
        <f>CRCP_y1</f>
        <v>2013</v>
      </c>
      <c r="I202" s="3254">
        <f>CRCP_y2</f>
        <v>2014</v>
      </c>
      <c r="J202" s="3254">
        <f>CRCP_y3</f>
        <v>2015</v>
      </c>
      <c r="K202" s="3254">
        <f>CRCP_y4</f>
        <v>2016</v>
      </c>
      <c r="L202" s="3254">
        <f>CRCP_y5</f>
        <v>2017</v>
      </c>
      <c r="M202" s="3253" t="str">
        <f t="array" ref="M202:Q202">FRCP</f>
        <v>2018</v>
      </c>
      <c r="N202" s="3253">
        <v>2019</v>
      </c>
      <c r="O202" s="3253">
        <v>2020</v>
      </c>
      <c r="P202" s="3253">
        <v>2021</v>
      </c>
      <c r="Q202" s="3255">
        <v>2022</v>
      </c>
    </row>
    <row r="203" spans="2:17">
      <c r="B203" s="3256" t="s">
        <v>1679</v>
      </c>
      <c r="C203" s="3257"/>
      <c r="D203" s="3258"/>
      <c r="E203" s="3258"/>
      <c r="F203" s="3258"/>
      <c r="G203" s="3259"/>
      <c r="H203" s="3257"/>
      <c r="I203" s="3258"/>
      <c r="J203" s="3258"/>
      <c r="K203" s="3258"/>
      <c r="L203" s="3258"/>
      <c r="M203" s="3257"/>
      <c r="N203" s="3258"/>
      <c r="O203" s="3258"/>
      <c r="P203" s="3258"/>
      <c r="Q203" s="3259"/>
    </row>
    <row r="204" spans="2:17">
      <c r="B204" s="3260"/>
      <c r="C204" s="3268"/>
      <c r="D204" s="3269"/>
      <c r="E204" s="3269"/>
      <c r="F204" s="3269"/>
      <c r="G204" s="3270"/>
      <c r="H204" s="3268"/>
      <c r="I204" s="3269"/>
      <c r="J204" s="3269"/>
      <c r="K204" s="3269"/>
      <c r="L204" s="3271"/>
      <c r="M204" s="3268"/>
      <c r="N204" s="3269"/>
      <c r="O204" s="3269"/>
      <c r="P204" s="3269"/>
      <c r="Q204" s="3270"/>
    </row>
    <row r="205" spans="2:17">
      <c r="B205" s="3260" t="s">
        <v>64</v>
      </c>
      <c r="C205" s="3268"/>
      <c r="D205" s="3269"/>
      <c r="E205" s="3269"/>
      <c r="F205" s="3269"/>
      <c r="G205" s="3270"/>
      <c r="H205" s="3268"/>
      <c r="I205" s="3269">
        <v>1.4</v>
      </c>
      <c r="J205" s="3269">
        <v>3.3000000000000002E-2</v>
      </c>
      <c r="K205" s="3269">
        <v>3.3000000000000002E-2</v>
      </c>
      <c r="L205" s="3271">
        <v>3.3000000000000002E-2</v>
      </c>
      <c r="M205" s="3268">
        <v>3.3000000000000002E-2</v>
      </c>
      <c r="N205" s="3269">
        <v>3.3000000000000002E-2</v>
      </c>
      <c r="O205" s="3269">
        <v>0</v>
      </c>
      <c r="P205" s="3269">
        <v>0</v>
      </c>
      <c r="Q205" s="3270">
        <v>0</v>
      </c>
    </row>
    <row r="206" spans="2:17">
      <c r="B206" s="3260" t="s">
        <v>65</v>
      </c>
      <c r="C206" s="3268"/>
      <c r="D206" s="3269"/>
      <c r="E206" s="3269"/>
      <c r="F206" s="3269"/>
      <c r="G206" s="3270"/>
      <c r="H206" s="3268"/>
      <c r="I206" s="3269">
        <v>0</v>
      </c>
      <c r="J206" s="3269">
        <v>0</v>
      </c>
      <c r="K206" s="3269">
        <v>0</v>
      </c>
      <c r="L206" s="3271">
        <v>0</v>
      </c>
      <c r="M206" s="3268">
        <v>0</v>
      </c>
      <c r="N206" s="3269">
        <v>0</v>
      </c>
      <c r="O206" s="3269">
        <v>0</v>
      </c>
      <c r="P206" s="3269">
        <v>0</v>
      </c>
      <c r="Q206" s="3270">
        <v>0</v>
      </c>
    </row>
    <row r="207" spans="2:17">
      <c r="B207" s="3260" t="s">
        <v>82</v>
      </c>
      <c r="C207" s="3268"/>
      <c r="D207" s="3269"/>
      <c r="E207" s="3269"/>
      <c r="F207" s="3269"/>
      <c r="G207" s="3270"/>
      <c r="H207" s="3268"/>
      <c r="I207" s="3269">
        <v>0</v>
      </c>
      <c r="J207" s="3269">
        <v>0</v>
      </c>
      <c r="K207" s="3269">
        <v>0</v>
      </c>
      <c r="L207" s="3271">
        <v>0</v>
      </c>
      <c r="M207" s="3268">
        <v>0</v>
      </c>
      <c r="N207" s="3269">
        <v>0</v>
      </c>
      <c r="O207" s="3269">
        <v>0</v>
      </c>
      <c r="P207" s="3269">
        <v>0</v>
      </c>
      <c r="Q207" s="3270">
        <v>0</v>
      </c>
    </row>
    <row r="208" spans="2:17">
      <c r="B208" s="3260" t="s">
        <v>680</v>
      </c>
      <c r="C208" s="3268"/>
      <c r="D208" s="3269"/>
      <c r="E208" s="3269"/>
      <c r="F208" s="3269"/>
      <c r="G208" s="3270"/>
      <c r="H208" s="3268"/>
      <c r="I208" s="3269">
        <v>0</v>
      </c>
      <c r="J208" s="3269">
        <v>0</v>
      </c>
      <c r="K208" s="3269">
        <v>0</v>
      </c>
      <c r="L208" s="3271">
        <v>0</v>
      </c>
      <c r="M208" s="3268">
        <v>0</v>
      </c>
      <c r="N208" s="3269">
        <v>0</v>
      </c>
      <c r="O208" s="3269">
        <v>0</v>
      </c>
      <c r="P208" s="3269">
        <v>0</v>
      </c>
      <c r="Q208" s="3270">
        <v>0</v>
      </c>
    </row>
    <row r="209" spans="2:17">
      <c r="B209" s="3260" t="s">
        <v>681</v>
      </c>
      <c r="C209" s="3268"/>
      <c r="D209" s="3269"/>
      <c r="E209" s="3269"/>
      <c r="F209" s="3269"/>
      <c r="G209" s="3270"/>
      <c r="H209" s="3268"/>
      <c r="I209" s="3269">
        <v>23.280000000000012</v>
      </c>
      <c r="J209" s="3269">
        <v>26.00200000000002</v>
      </c>
      <c r="K209" s="3269">
        <v>26.00200000000002</v>
      </c>
      <c r="L209" s="3271">
        <v>26.00200000000002</v>
      </c>
      <c r="M209" s="3268">
        <v>26.00200000000002</v>
      </c>
      <c r="N209" s="3269">
        <v>26.00200000000002</v>
      </c>
      <c r="O209" s="3269">
        <v>26.00200000000002</v>
      </c>
      <c r="P209" s="3269">
        <v>26.00200000000002</v>
      </c>
      <c r="Q209" s="3270">
        <v>25.594000000000019</v>
      </c>
    </row>
    <row r="210" spans="2:17">
      <c r="B210" s="3260" t="s">
        <v>682</v>
      </c>
      <c r="C210" s="3268"/>
      <c r="D210" s="3269"/>
      <c r="E210" s="3269"/>
      <c r="F210" s="3269"/>
      <c r="G210" s="3270"/>
      <c r="H210" s="3268"/>
      <c r="I210" s="3269">
        <v>0</v>
      </c>
      <c r="J210" s="3269">
        <v>0</v>
      </c>
      <c r="K210" s="3269">
        <v>0</v>
      </c>
      <c r="L210" s="3271">
        <v>0</v>
      </c>
      <c r="M210" s="3268">
        <v>0</v>
      </c>
      <c r="N210" s="3269">
        <v>0</v>
      </c>
      <c r="O210" s="3269">
        <v>0</v>
      </c>
      <c r="P210" s="3269">
        <v>0</v>
      </c>
      <c r="Q210" s="3270">
        <v>0</v>
      </c>
    </row>
    <row r="211" spans="2:17">
      <c r="B211" s="3260" t="s">
        <v>66</v>
      </c>
      <c r="C211" s="3268"/>
      <c r="D211" s="3269"/>
      <c r="E211" s="3269"/>
      <c r="F211" s="3269"/>
      <c r="G211" s="3270"/>
      <c r="H211" s="3268"/>
      <c r="I211" s="3269">
        <v>6.705999999999996</v>
      </c>
      <c r="J211" s="3269">
        <v>6.0799999999999974</v>
      </c>
      <c r="K211" s="3269">
        <v>6.0799999999999974</v>
      </c>
      <c r="L211" s="3271">
        <v>6.0799999999999974</v>
      </c>
      <c r="M211" s="3268">
        <v>4.8759999999999977</v>
      </c>
      <c r="N211" s="3269">
        <v>4.5559999999999974</v>
      </c>
      <c r="O211" s="3269">
        <v>4.3109999999999973</v>
      </c>
      <c r="P211" s="3269">
        <v>4.3109999999999973</v>
      </c>
      <c r="Q211" s="3270">
        <v>3.9599999999999973</v>
      </c>
    </row>
    <row r="212" spans="2:17" ht="13.5" thickBot="1">
      <c r="B212" s="3260" t="s">
        <v>67</v>
      </c>
      <c r="C212" s="3268"/>
      <c r="D212" s="3269"/>
      <c r="E212" s="3269"/>
      <c r="F212" s="3269"/>
      <c r="G212" s="3270"/>
      <c r="H212" s="3268"/>
      <c r="I212" s="3269">
        <v>13.600000000000001</v>
      </c>
      <c r="J212" s="3269">
        <v>13.562999999999997</v>
      </c>
      <c r="K212" s="3269">
        <v>13.562999999999997</v>
      </c>
      <c r="L212" s="3271">
        <v>13.562999999999997</v>
      </c>
      <c r="M212" s="3272">
        <v>13.520999999999997</v>
      </c>
      <c r="N212" s="3273">
        <v>13.278999999999996</v>
      </c>
      <c r="O212" s="3273">
        <v>13.278999999999996</v>
      </c>
      <c r="P212" s="3273">
        <v>13.278999999999996</v>
      </c>
      <c r="Q212" s="3274">
        <v>13.196999999999996</v>
      </c>
    </row>
    <row r="213" spans="2:17" ht="12.75" customHeight="1">
      <c r="B213" s="4689">
        <v>3020</v>
      </c>
      <c r="C213" s="4691" t="s">
        <v>36</v>
      </c>
      <c r="D213" s="4692"/>
      <c r="E213" s="4692"/>
      <c r="F213" s="4692"/>
      <c r="G213" s="4692"/>
      <c r="H213" s="4693" t="s">
        <v>37</v>
      </c>
      <c r="I213" s="4694"/>
      <c r="J213" s="4694"/>
      <c r="K213" s="4694"/>
      <c r="L213" s="4694"/>
      <c r="M213" s="4695" t="s">
        <v>73</v>
      </c>
      <c r="N213" s="4695"/>
      <c r="O213" s="4695"/>
      <c r="P213" s="4695"/>
      <c r="Q213" s="4696"/>
    </row>
    <row r="214" spans="2:17" ht="12.75" customHeight="1">
      <c r="B214" s="4690"/>
      <c r="C214" s="4697" t="s">
        <v>1673</v>
      </c>
      <c r="D214" s="4698"/>
      <c r="E214" s="4698"/>
      <c r="F214" s="4698"/>
      <c r="G214" s="4698"/>
      <c r="H214" s="4698"/>
      <c r="I214" s="4698"/>
      <c r="J214" s="4698"/>
      <c r="K214" s="4698"/>
      <c r="L214" s="4698"/>
      <c r="M214" s="4698"/>
      <c r="N214" s="4698"/>
      <c r="O214" s="4698"/>
      <c r="P214" s="4698"/>
      <c r="Q214" s="4699"/>
    </row>
    <row r="215" spans="2:17" ht="12.75" customHeight="1">
      <c r="B215" s="4690"/>
      <c r="C215" s="4697" t="s">
        <v>54</v>
      </c>
      <c r="D215" s="4698"/>
      <c r="E215" s="4698"/>
      <c r="F215" s="4698"/>
      <c r="G215" s="4698"/>
      <c r="H215" s="4698"/>
      <c r="I215" s="4698"/>
      <c r="J215" s="4700"/>
      <c r="K215" s="4701" t="s">
        <v>55</v>
      </c>
      <c r="L215" s="4702"/>
      <c r="M215" s="4702"/>
      <c r="N215" s="4702"/>
      <c r="O215" s="4702"/>
      <c r="P215" s="4702"/>
      <c r="Q215" s="4703"/>
    </row>
    <row r="216" spans="2:17" ht="13.5" customHeight="1" thickBot="1">
      <c r="B216" s="4690"/>
      <c r="C216" s="3252">
        <f t="array" ref="C216:G216">PRCP</f>
        <v>2008</v>
      </c>
      <c r="D216" s="3253">
        <v>2009</v>
      </c>
      <c r="E216" s="3253">
        <v>2010</v>
      </c>
      <c r="F216" s="3253">
        <v>2011</v>
      </c>
      <c r="G216" s="3253">
        <v>2012</v>
      </c>
      <c r="H216" s="3254">
        <f>CRCP_y1</f>
        <v>2013</v>
      </c>
      <c r="I216" s="3254">
        <f>CRCP_y2</f>
        <v>2014</v>
      </c>
      <c r="J216" s="3254">
        <f>CRCP_y3</f>
        <v>2015</v>
      </c>
      <c r="K216" s="3254">
        <f>CRCP_y4</f>
        <v>2016</v>
      </c>
      <c r="L216" s="3254">
        <f>CRCP_y5</f>
        <v>2017</v>
      </c>
      <c r="M216" s="3253" t="str">
        <f t="array" ref="M216:Q216">FRCP</f>
        <v>2018</v>
      </c>
      <c r="N216" s="3253">
        <v>2019</v>
      </c>
      <c r="O216" s="3253">
        <v>2020</v>
      </c>
      <c r="P216" s="3253">
        <v>2021</v>
      </c>
      <c r="Q216" s="3255">
        <v>2022</v>
      </c>
    </row>
    <row r="217" spans="2:17">
      <c r="B217" s="3256" t="s">
        <v>1680</v>
      </c>
      <c r="C217" s="3257"/>
      <c r="D217" s="3258"/>
      <c r="E217" s="3258"/>
      <c r="F217" s="3258"/>
      <c r="G217" s="3259"/>
      <c r="H217" s="3257"/>
      <c r="I217" s="3258"/>
      <c r="J217" s="3258"/>
      <c r="K217" s="3258"/>
      <c r="L217" s="3258"/>
      <c r="M217" s="3257"/>
      <c r="N217" s="3258"/>
      <c r="O217" s="3258"/>
      <c r="P217" s="3258"/>
      <c r="Q217" s="3259"/>
    </row>
    <row r="218" spans="2:17">
      <c r="B218" s="3260"/>
      <c r="C218" s="3268"/>
      <c r="D218" s="3269"/>
      <c r="E218" s="3269"/>
      <c r="F218" s="3269"/>
      <c r="G218" s="3270"/>
      <c r="H218" s="3268"/>
      <c r="I218" s="3269"/>
      <c r="J218" s="3269"/>
      <c r="K218" s="3269"/>
      <c r="L218" s="3271"/>
      <c r="M218" s="3268"/>
      <c r="N218" s="3269"/>
      <c r="O218" s="3269"/>
      <c r="P218" s="3269"/>
      <c r="Q218" s="3270"/>
    </row>
    <row r="219" spans="2:17">
      <c r="B219" s="3260" t="s">
        <v>64</v>
      </c>
      <c r="C219" s="3268"/>
      <c r="D219" s="3269"/>
      <c r="E219" s="3269"/>
      <c r="F219" s="3269"/>
      <c r="G219" s="3270"/>
      <c r="H219" s="3268"/>
      <c r="I219" s="3269">
        <v>6.972999999999999</v>
      </c>
      <c r="J219" s="3269">
        <v>5.7489999999999988</v>
      </c>
      <c r="K219" s="3269">
        <v>5.7489999999999988</v>
      </c>
      <c r="L219" s="3271">
        <v>5.7489999999999988</v>
      </c>
      <c r="M219" s="3268">
        <v>5.7489999999999988</v>
      </c>
      <c r="N219" s="3269">
        <v>5.7489999999999988</v>
      </c>
      <c r="O219" s="3269">
        <v>5.7489999999999988</v>
      </c>
      <c r="P219" s="3269">
        <v>5.7489999999999988</v>
      </c>
      <c r="Q219" s="3270">
        <v>5.7489999999999988</v>
      </c>
    </row>
    <row r="220" spans="2:17">
      <c r="B220" s="3260" t="s">
        <v>65</v>
      </c>
      <c r="C220" s="3268"/>
      <c r="D220" s="3269"/>
      <c r="E220" s="3269"/>
      <c r="F220" s="3269"/>
      <c r="G220" s="3270"/>
      <c r="H220" s="3268"/>
      <c r="I220" s="3269">
        <v>0</v>
      </c>
      <c r="J220" s="3269">
        <v>0</v>
      </c>
      <c r="K220" s="3269">
        <v>0</v>
      </c>
      <c r="L220" s="3271">
        <v>0</v>
      </c>
      <c r="M220" s="3268">
        <v>0</v>
      </c>
      <c r="N220" s="3269">
        <v>0</v>
      </c>
      <c r="O220" s="3269">
        <v>0</v>
      </c>
      <c r="P220" s="3269">
        <v>0</v>
      </c>
      <c r="Q220" s="3270">
        <v>0</v>
      </c>
    </row>
    <row r="221" spans="2:17">
      <c r="B221" s="3260" t="s">
        <v>82</v>
      </c>
      <c r="C221" s="3268"/>
      <c r="D221" s="3269"/>
      <c r="E221" s="3269"/>
      <c r="F221" s="3269"/>
      <c r="G221" s="3270"/>
      <c r="H221" s="3268"/>
      <c r="I221" s="3269">
        <v>0</v>
      </c>
      <c r="J221" s="3269">
        <v>0</v>
      </c>
      <c r="K221" s="3269">
        <v>0</v>
      </c>
      <c r="L221" s="3271">
        <v>0</v>
      </c>
      <c r="M221" s="3268">
        <v>0</v>
      </c>
      <c r="N221" s="3269">
        <v>0</v>
      </c>
      <c r="O221" s="3269">
        <v>0</v>
      </c>
      <c r="P221" s="3269">
        <v>0</v>
      </c>
      <c r="Q221" s="3270">
        <v>0</v>
      </c>
    </row>
    <row r="222" spans="2:17">
      <c r="B222" s="3260" t="s">
        <v>680</v>
      </c>
      <c r="C222" s="3268"/>
      <c r="D222" s="3269"/>
      <c r="E222" s="3269"/>
      <c r="F222" s="3269"/>
      <c r="G222" s="3270"/>
      <c r="H222" s="3268"/>
      <c r="I222" s="3269">
        <v>0.40200000000000002</v>
      </c>
      <c r="J222" s="3269">
        <v>0.40200000000000002</v>
      </c>
      <c r="K222" s="3269">
        <v>0.40200000000000002</v>
      </c>
      <c r="L222" s="3271">
        <v>0.40200000000000002</v>
      </c>
      <c r="M222" s="3268">
        <v>0.40200000000000002</v>
      </c>
      <c r="N222" s="3269">
        <v>0.40200000000000002</v>
      </c>
      <c r="O222" s="3269">
        <v>0.40200000000000002</v>
      </c>
      <c r="P222" s="3269">
        <v>0.40200000000000002</v>
      </c>
      <c r="Q222" s="3270">
        <v>0.40200000000000002</v>
      </c>
    </row>
    <row r="223" spans="2:17">
      <c r="B223" s="3260" t="s">
        <v>681</v>
      </c>
      <c r="C223" s="3268"/>
      <c r="D223" s="3269"/>
      <c r="E223" s="3269"/>
      <c r="F223" s="3269"/>
      <c r="G223" s="3270"/>
      <c r="H223" s="3268"/>
      <c r="I223" s="3269">
        <v>78.193000000000183</v>
      </c>
      <c r="J223" s="3269">
        <v>87.538000000000324</v>
      </c>
      <c r="K223" s="3269">
        <v>87.538000000000324</v>
      </c>
      <c r="L223" s="3271">
        <v>87.538000000000324</v>
      </c>
      <c r="M223" s="3268">
        <v>88.493000000000322</v>
      </c>
      <c r="N223" s="3269">
        <v>89.31700000000032</v>
      </c>
      <c r="O223" s="3269">
        <v>89.646000000000313</v>
      </c>
      <c r="P223" s="3269">
        <v>91.603000000000307</v>
      </c>
      <c r="Q223" s="3270">
        <v>92.255000000000308</v>
      </c>
    </row>
    <row r="224" spans="2:17">
      <c r="B224" s="3260" t="s">
        <v>682</v>
      </c>
      <c r="C224" s="3268"/>
      <c r="D224" s="3269"/>
      <c r="E224" s="3269"/>
      <c r="F224" s="3269"/>
      <c r="G224" s="3270"/>
      <c r="H224" s="3268"/>
      <c r="I224" s="3269">
        <v>0.36499999999999999</v>
      </c>
      <c r="J224" s="3269">
        <v>0.36499999999999999</v>
      </c>
      <c r="K224" s="3269">
        <v>0.36499999999999999</v>
      </c>
      <c r="L224" s="3271">
        <v>0.36499999999999999</v>
      </c>
      <c r="M224" s="3268">
        <v>0.36499999999999999</v>
      </c>
      <c r="N224" s="3269">
        <v>0.36499999999999999</v>
      </c>
      <c r="O224" s="3269">
        <v>0.36499999999999999</v>
      </c>
      <c r="P224" s="3269">
        <v>0.36499999999999999</v>
      </c>
      <c r="Q224" s="3270">
        <v>0.36499999999999999</v>
      </c>
    </row>
    <row r="225" spans="2:17">
      <c r="B225" s="3260" t="s">
        <v>66</v>
      </c>
      <c r="C225" s="3268"/>
      <c r="D225" s="3269"/>
      <c r="E225" s="3269"/>
      <c r="F225" s="3269"/>
      <c r="G225" s="3270"/>
      <c r="H225" s="3268"/>
      <c r="I225" s="3269">
        <v>99.074000000000368</v>
      </c>
      <c r="J225" s="3269">
        <v>95.297000000000324</v>
      </c>
      <c r="K225" s="3269">
        <v>95.297000000000324</v>
      </c>
      <c r="L225" s="3271">
        <v>95.297000000000324</v>
      </c>
      <c r="M225" s="3268">
        <v>94.44700000000033</v>
      </c>
      <c r="N225" s="3269">
        <v>93.623000000000332</v>
      </c>
      <c r="O225" s="3269">
        <v>93.341000000000335</v>
      </c>
      <c r="P225" s="3269">
        <v>91.521000000000342</v>
      </c>
      <c r="Q225" s="3270">
        <v>91.029000000000337</v>
      </c>
    </row>
    <row r="226" spans="2:17" ht="13.5" thickBot="1">
      <c r="B226" s="3260" t="s">
        <v>67</v>
      </c>
      <c r="C226" s="3268"/>
      <c r="D226" s="3269"/>
      <c r="E226" s="3269"/>
      <c r="F226" s="3269"/>
      <c r="G226" s="3270"/>
      <c r="H226" s="3268"/>
      <c r="I226" s="3269">
        <v>66.364000000000047</v>
      </c>
      <c r="J226" s="3269">
        <v>63.081000000000095</v>
      </c>
      <c r="K226" s="3269">
        <v>63.081000000000095</v>
      </c>
      <c r="L226" s="3271">
        <v>63.081000000000095</v>
      </c>
      <c r="M226" s="3272">
        <v>62.976000000000099</v>
      </c>
      <c r="N226" s="3273">
        <v>62.976000000000099</v>
      </c>
      <c r="O226" s="3273">
        <v>62.929000000000102</v>
      </c>
      <c r="P226" s="3273">
        <v>62.792000000000101</v>
      </c>
      <c r="Q226" s="3274">
        <v>62.632000000000104</v>
      </c>
    </row>
    <row r="227" spans="2:17" ht="12.75" customHeight="1">
      <c r="B227" s="4689">
        <v>3021</v>
      </c>
      <c r="C227" s="4691" t="s">
        <v>36</v>
      </c>
      <c r="D227" s="4692"/>
      <c r="E227" s="4692"/>
      <c r="F227" s="4692"/>
      <c r="G227" s="4692"/>
      <c r="H227" s="4693" t="s">
        <v>37</v>
      </c>
      <c r="I227" s="4694"/>
      <c r="J227" s="4694"/>
      <c r="K227" s="4694"/>
      <c r="L227" s="4694"/>
      <c r="M227" s="4695" t="s">
        <v>73</v>
      </c>
      <c r="N227" s="4695"/>
      <c r="O227" s="4695"/>
      <c r="P227" s="4695"/>
      <c r="Q227" s="4696"/>
    </row>
    <row r="228" spans="2:17" ht="12.75" customHeight="1">
      <c r="B228" s="4690"/>
      <c r="C228" s="4697" t="s">
        <v>1673</v>
      </c>
      <c r="D228" s="4698"/>
      <c r="E228" s="4698"/>
      <c r="F228" s="4698"/>
      <c r="G228" s="4698"/>
      <c r="H228" s="4698"/>
      <c r="I228" s="4698"/>
      <c r="J228" s="4698"/>
      <c r="K228" s="4698"/>
      <c r="L228" s="4698"/>
      <c r="M228" s="4698"/>
      <c r="N228" s="4698"/>
      <c r="O228" s="4698"/>
      <c r="P228" s="4698"/>
      <c r="Q228" s="4699"/>
    </row>
    <row r="229" spans="2:17" ht="12.75" customHeight="1">
      <c r="B229" s="4690"/>
      <c r="C229" s="4697" t="s">
        <v>54</v>
      </c>
      <c r="D229" s="4698"/>
      <c r="E229" s="4698"/>
      <c r="F229" s="4698"/>
      <c r="G229" s="4698"/>
      <c r="H229" s="4698"/>
      <c r="I229" s="4698"/>
      <c r="J229" s="4700"/>
      <c r="K229" s="4701" t="s">
        <v>55</v>
      </c>
      <c r="L229" s="4702"/>
      <c r="M229" s="4702"/>
      <c r="N229" s="4702"/>
      <c r="O229" s="4702"/>
      <c r="P229" s="4702"/>
      <c r="Q229" s="4703"/>
    </row>
    <row r="230" spans="2:17" ht="13.5" customHeight="1" thickBot="1">
      <c r="B230" s="4690"/>
      <c r="C230" s="3252">
        <f t="array" ref="C230:G230">PRCP</f>
        <v>2008</v>
      </c>
      <c r="D230" s="3253">
        <v>2009</v>
      </c>
      <c r="E230" s="3253">
        <v>2010</v>
      </c>
      <c r="F230" s="3253">
        <v>2011</v>
      </c>
      <c r="G230" s="3253">
        <v>2012</v>
      </c>
      <c r="H230" s="3254">
        <f>CRCP_y1</f>
        <v>2013</v>
      </c>
      <c r="I230" s="3254">
        <f>CRCP_y2</f>
        <v>2014</v>
      </c>
      <c r="J230" s="3254">
        <f>CRCP_y3</f>
        <v>2015</v>
      </c>
      <c r="K230" s="3254">
        <f>CRCP_y4</f>
        <v>2016</v>
      </c>
      <c r="L230" s="3254">
        <f>CRCP_y5</f>
        <v>2017</v>
      </c>
      <c r="M230" s="3253" t="str">
        <f t="array" ref="M230:Q230">FRCP</f>
        <v>2018</v>
      </c>
      <c r="N230" s="3253">
        <v>2019</v>
      </c>
      <c r="O230" s="3253">
        <v>2020</v>
      </c>
      <c r="P230" s="3253">
        <v>2021</v>
      </c>
      <c r="Q230" s="3255">
        <v>2022</v>
      </c>
    </row>
    <row r="231" spans="2:17">
      <c r="B231" s="3256" t="s">
        <v>1680</v>
      </c>
      <c r="C231" s="3257"/>
      <c r="D231" s="3258"/>
      <c r="E231" s="3258"/>
      <c r="F231" s="3258"/>
      <c r="G231" s="3259"/>
      <c r="H231" s="3257"/>
      <c r="I231" s="3258"/>
      <c r="J231" s="3258"/>
      <c r="K231" s="3258"/>
      <c r="L231" s="3258"/>
      <c r="M231" s="3257"/>
      <c r="N231" s="3258"/>
      <c r="O231" s="3258"/>
      <c r="P231" s="3258"/>
      <c r="Q231" s="3259"/>
    </row>
    <row r="232" spans="2:17">
      <c r="B232" s="3260"/>
      <c r="C232" s="3268"/>
      <c r="D232" s="3269"/>
      <c r="E232" s="3269"/>
      <c r="F232" s="3269"/>
      <c r="G232" s="3270"/>
      <c r="H232" s="3268"/>
      <c r="I232" s="3269"/>
      <c r="J232" s="3269"/>
      <c r="K232" s="3269"/>
      <c r="L232" s="3271"/>
      <c r="M232" s="3268"/>
      <c r="N232" s="3269"/>
      <c r="O232" s="3269"/>
      <c r="P232" s="3269"/>
      <c r="Q232" s="3270"/>
    </row>
    <row r="233" spans="2:17">
      <c r="B233" s="3260" t="s">
        <v>64</v>
      </c>
      <c r="C233" s="3268"/>
      <c r="D233" s="3269"/>
      <c r="E233" s="3269"/>
      <c r="F233" s="3269"/>
      <c r="G233" s="3270"/>
      <c r="H233" s="3268"/>
      <c r="I233" s="3305">
        <v>0.63100000000000001</v>
      </c>
      <c r="J233" s="3305">
        <v>1.1079999999999999</v>
      </c>
      <c r="K233" s="3305">
        <v>1.1079999999999999</v>
      </c>
      <c r="L233" s="3306">
        <v>1.1079999999999999</v>
      </c>
      <c r="M233" s="3307">
        <v>1.1079999999999999</v>
      </c>
      <c r="N233" s="3305">
        <v>1.1079999999999999</v>
      </c>
      <c r="O233" s="3305">
        <v>1.1079999999999999</v>
      </c>
      <c r="P233" s="3305">
        <v>1.1079999999999999</v>
      </c>
      <c r="Q233" s="3308">
        <v>1.1079999999999999</v>
      </c>
    </row>
    <row r="234" spans="2:17">
      <c r="B234" s="3260" t="s">
        <v>65</v>
      </c>
      <c r="C234" s="3268"/>
      <c r="D234" s="3269"/>
      <c r="E234" s="3269"/>
      <c r="F234" s="3269"/>
      <c r="G234" s="3270"/>
      <c r="H234" s="3268"/>
      <c r="I234" s="3305"/>
      <c r="J234" s="3305"/>
      <c r="K234" s="3305">
        <v>0</v>
      </c>
      <c r="L234" s="3306">
        <v>0</v>
      </c>
      <c r="M234" s="3307">
        <v>0</v>
      </c>
      <c r="N234" s="3305">
        <v>0</v>
      </c>
      <c r="O234" s="3305">
        <v>0</v>
      </c>
      <c r="P234" s="3305">
        <v>0</v>
      </c>
      <c r="Q234" s="3308">
        <v>0</v>
      </c>
    </row>
    <row r="235" spans="2:17">
      <c r="B235" s="3260" t="s">
        <v>82</v>
      </c>
      <c r="C235" s="3268"/>
      <c r="D235" s="3269"/>
      <c r="E235" s="3269"/>
      <c r="F235" s="3269"/>
      <c r="G235" s="3270"/>
      <c r="H235" s="3268"/>
      <c r="I235" s="3305"/>
      <c r="J235" s="3305"/>
      <c r="K235" s="3305">
        <v>0</v>
      </c>
      <c r="L235" s="3306">
        <v>0</v>
      </c>
      <c r="M235" s="3307">
        <v>0</v>
      </c>
      <c r="N235" s="3305">
        <v>0</v>
      </c>
      <c r="O235" s="3305">
        <v>0</v>
      </c>
      <c r="P235" s="3305">
        <v>0</v>
      </c>
      <c r="Q235" s="3308">
        <v>0</v>
      </c>
    </row>
    <row r="236" spans="2:17">
      <c r="B236" s="3260" t="s">
        <v>680</v>
      </c>
      <c r="C236" s="3268"/>
      <c r="D236" s="3269"/>
      <c r="E236" s="3269"/>
      <c r="F236" s="3269"/>
      <c r="G236" s="3270"/>
      <c r="H236" s="3268"/>
      <c r="I236" s="3305">
        <v>37.675000000000075</v>
      </c>
      <c r="J236" s="3305">
        <v>37.675000000000075</v>
      </c>
      <c r="K236" s="3305">
        <v>37.675000000000075</v>
      </c>
      <c r="L236" s="3306">
        <v>37.675000000000075</v>
      </c>
      <c r="M236" s="3307">
        <v>37.675000000000075</v>
      </c>
      <c r="N236" s="3305">
        <v>37.675000000000075</v>
      </c>
      <c r="O236" s="3305">
        <v>37.675000000000075</v>
      </c>
      <c r="P236" s="3305">
        <v>37.675000000000075</v>
      </c>
      <c r="Q236" s="3308">
        <v>37.675000000000075</v>
      </c>
    </row>
    <row r="237" spans="2:17">
      <c r="B237" s="3260" t="s">
        <v>681</v>
      </c>
      <c r="C237" s="3268"/>
      <c r="D237" s="3269"/>
      <c r="E237" s="3269"/>
      <c r="F237" s="3269"/>
      <c r="G237" s="3270"/>
      <c r="H237" s="3268"/>
      <c r="I237" s="3305">
        <v>82.204000000000022</v>
      </c>
      <c r="J237" s="3305">
        <v>82.360000000000042</v>
      </c>
      <c r="K237" s="3305">
        <v>82.360000000000042</v>
      </c>
      <c r="L237" s="3306">
        <v>82.360000000000042</v>
      </c>
      <c r="M237" s="3307">
        <v>90.72980000000004</v>
      </c>
      <c r="N237" s="3305">
        <v>98.968600000000038</v>
      </c>
      <c r="O237" s="3305">
        <v>106.71240000000003</v>
      </c>
      <c r="P237" s="3305">
        <v>116.08420000000002</v>
      </c>
      <c r="Q237" s="3308">
        <v>124.15100000000002</v>
      </c>
    </row>
    <row r="238" spans="2:17">
      <c r="B238" s="3260" t="s">
        <v>682</v>
      </c>
      <c r="C238" s="3268"/>
      <c r="D238" s="3269"/>
      <c r="E238" s="3269"/>
      <c r="F238" s="3269"/>
      <c r="G238" s="3270"/>
      <c r="H238" s="3268"/>
      <c r="I238" s="3305"/>
      <c r="J238" s="3305"/>
      <c r="K238" s="3305">
        <v>0</v>
      </c>
      <c r="L238" s="3306">
        <v>0</v>
      </c>
      <c r="M238" s="3307">
        <v>0</v>
      </c>
      <c r="N238" s="3305">
        <v>0</v>
      </c>
      <c r="O238" s="3305">
        <v>0</v>
      </c>
      <c r="P238" s="3305">
        <v>0</v>
      </c>
      <c r="Q238" s="3308">
        <v>0</v>
      </c>
    </row>
    <row r="239" spans="2:17">
      <c r="B239" s="3260" t="s">
        <v>66</v>
      </c>
      <c r="C239" s="3268"/>
      <c r="D239" s="3269"/>
      <c r="E239" s="3269"/>
      <c r="F239" s="3269"/>
      <c r="G239" s="3270"/>
      <c r="H239" s="3268"/>
      <c r="I239" s="3305">
        <v>50.815000000000033</v>
      </c>
      <c r="J239" s="3305">
        <v>50.391000000000041</v>
      </c>
      <c r="K239" s="3305">
        <v>50.391000000000041</v>
      </c>
      <c r="L239" s="3306">
        <v>50.391000000000041</v>
      </c>
      <c r="M239" s="3307">
        <v>50.391000000000041</v>
      </c>
      <c r="N239" s="3305">
        <v>50.391000000000041</v>
      </c>
      <c r="O239" s="3305">
        <v>50.391000000000041</v>
      </c>
      <c r="P239" s="3305">
        <v>50.391000000000041</v>
      </c>
      <c r="Q239" s="3308">
        <v>50.391000000000041</v>
      </c>
    </row>
    <row r="240" spans="2:17" ht="13.5" thickBot="1">
      <c r="B240" s="3260" t="s">
        <v>67</v>
      </c>
      <c r="C240" s="3268"/>
      <c r="D240" s="3269"/>
      <c r="E240" s="3269"/>
      <c r="F240" s="3269"/>
      <c r="G240" s="3270"/>
      <c r="H240" s="3268"/>
      <c r="I240" s="3305">
        <v>97.941999999999936</v>
      </c>
      <c r="J240" s="3305">
        <v>97.965999999999909</v>
      </c>
      <c r="K240" s="3305">
        <v>97.965999999999909</v>
      </c>
      <c r="L240" s="3306">
        <v>97.965999999999909</v>
      </c>
      <c r="M240" s="3309">
        <v>97.965999999999909</v>
      </c>
      <c r="N240" s="3310">
        <v>97.965999999999909</v>
      </c>
      <c r="O240" s="3310">
        <v>97.965999999999909</v>
      </c>
      <c r="P240" s="3310">
        <v>97.965999999999909</v>
      </c>
      <c r="Q240" s="3311">
        <v>97.965999999999909</v>
      </c>
    </row>
    <row r="241" spans="2:17" ht="12.75" customHeight="1">
      <c r="B241" s="4689">
        <v>3022</v>
      </c>
      <c r="C241" s="4691" t="s">
        <v>36</v>
      </c>
      <c r="D241" s="4692"/>
      <c r="E241" s="4692"/>
      <c r="F241" s="4692"/>
      <c r="G241" s="4692"/>
      <c r="H241" s="4693" t="s">
        <v>37</v>
      </c>
      <c r="I241" s="4694"/>
      <c r="J241" s="4694"/>
      <c r="K241" s="4694"/>
      <c r="L241" s="4694"/>
      <c r="M241" s="4695" t="s">
        <v>73</v>
      </c>
      <c r="N241" s="4695"/>
      <c r="O241" s="4695"/>
      <c r="P241" s="4695"/>
      <c r="Q241" s="4696"/>
    </row>
    <row r="242" spans="2:17" ht="12.75" customHeight="1">
      <c r="B242" s="4690"/>
      <c r="C242" s="4697" t="s">
        <v>1673</v>
      </c>
      <c r="D242" s="4698"/>
      <c r="E242" s="4698"/>
      <c r="F242" s="4698"/>
      <c r="G242" s="4698"/>
      <c r="H242" s="4698"/>
      <c r="I242" s="4698"/>
      <c r="J242" s="4698"/>
      <c r="K242" s="4698"/>
      <c r="L242" s="4698"/>
      <c r="M242" s="4698"/>
      <c r="N242" s="4698"/>
      <c r="O242" s="4698"/>
      <c r="P242" s="4698"/>
      <c r="Q242" s="4699"/>
    </row>
    <row r="243" spans="2:17" ht="12.75" customHeight="1">
      <c r="B243" s="4690"/>
      <c r="C243" s="4697" t="s">
        <v>54</v>
      </c>
      <c r="D243" s="4698"/>
      <c r="E243" s="4698"/>
      <c r="F243" s="4698"/>
      <c r="G243" s="4698"/>
      <c r="H243" s="4698"/>
      <c r="I243" s="4698"/>
      <c r="J243" s="4700"/>
      <c r="K243" s="4701" t="s">
        <v>55</v>
      </c>
      <c r="L243" s="4702"/>
      <c r="M243" s="4702"/>
      <c r="N243" s="4702"/>
      <c r="O243" s="4702"/>
      <c r="P243" s="4702"/>
      <c r="Q243" s="4703"/>
    </row>
    <row r="244" spans="2:17" ht="13.5" customHeight="1" thickBot="1">
      <c r="B244" s="4690"/>
      <c r="C244" s="3252">
        <f t="array" ref="C244:G244">PRCP</f>
        <v>2008</v>
      </c>
      <c r="D244" s="3253">
        <v>2009</v>
      </c>
      <c r="E244" s="3253">
        <v>2010</v>
      </c>
      <c r="F244" s="3253">
        <v>2011</v>
      </c>
      <c r="G244" s="3253">
        <v>2012</v>
      </c>
      <c r="H244" s="3254">
        <f>CRCP_y1</f>
        <v>2013</v>
      </c>
      <c r="I244" s="3254">
        <f>CRCP_y2</f>
        <v>2014</v>
      </c>
      <c r="J244" s="3254">
        <f>CRCP_y3</f>
        <v>2015</v>
      </c>
      <c r="K244" s="3254">
        <f>CRCP_y4</f>
        <v>2016</v>
      </c>
      <c r="L244" s="3254">
        <f>CRCP_y5</f>
        <v>2017</v>
      </c>
      <c r="M244" s="3253" t="str">
        <f t="array" ref="M244:Q244">FRCP</f>
        <v>2018</v>
      </c>
      <c r="N244" s="3253">
        <v>2019</v>
      </c>
      <c r="O244" s="3253">
        <v>2020</v>
      </c>
      <c r="P244" s="3253">
        <v>2021</v>
      </c>
      <c r="Q244" s="3255">
        <v>2022</v>
      </c>
    </row>
    <row r="245" spans="2:17">
      <c r="B245" s="3256" t="s">
        <v>1681</v>
      </c>
      <c r="C245" s="3257"/>
      <c r="D245" s="3258"/>
      <c r="E245" s="3258"/>
      <c r="F245" s="3258"/>
      <c r="G245" s="3259"/>
      <c r="H245" s="3257"/>
      <c r="I245" s="3258"/>
      <c r="J245" s="3258"/>
      <c r="K245" s="3258"/>
      <c r="L245" s="3258"/>
      <c r="M245" s="3257"/>
      <c r="N245" s="3258"/>
      <c r="O245" s="3258"/>
      <c r="P245" s="3258"/>
      <c r="Q245" s="3259"/>
    </row>
    <row r="246" spans="2:17">
      <c r="B246" s="3260"/>
      <c r="C246" s="3268"/>
      <c r="D246" s="3269"/>
      <c r="E246" s="3269"/>
      <c r="F246" s="3269"/>
      <c r="G246" s="3270"/>
      <c r="H246" s="3268"/>
      <c r="I246" s="3269"/>
      <c r="J246" s="3269"/>
      <c r="K246" s="3269"/>
      <c r="L246" s="3271"/>
      <c r="M246" s="3268"/>
      <c r="N246" s="3269"/>
      <c r="O246" s="3269"/>
      <c r="P246" s="3269"/>
      <c r="Q246" s="3270"/>
    </row>
    <row r="247" spans="2:17">
      <c r="B247" s="3260" t="s">
        <v>64</v>
      </c>
      <c r="C247" s="3268"/>
      <c r="D247" s="3269"/>
      <c r="E247" s="3269"/>
      <c r="F247" s="3269"/>
      <c r="G247" s="3270"/>
      <c r="H247" s="3268"/>
      <c r="I247" s="3305">
        <v>0</v>
      </c>
      <c r="J247" s="3305">
        <v>0</v>
      </c>
      <c r="K247" s="3305">
        <v>0</v>
      </c>
      <c r="L247" s="3306">
        <v>0</v>
      </c>
      <c r="M247" s="3307">
        <v>0</v>
      </c>
      <c r="N247" s="3305">
        <v>0</v>
      </c>
      <c r="O247" s="3305">
        <v>0</v>
      </c>
      <c r="P247" s="3305">
        <v>0</v>
      </c>
      <c r="Q247" s="3308">
        <v>0</v>
      </c>
    </row>
    <row r="248" spans="2:17">
      <c r="B248" s="3260" t="s">
        <v>65</v>
      </c>
      <c r="C248" s="3268"/>
      <c r="D248" s="3269"/>
      <c r="E248" s="3269"/>
      <c r="F248" s="3269"/>
      <c r="G248" s="3270"/>
      <c r="H248" s="3268"/>
      <c r="I248" s="3305">
        <v>0</v>
      </c>
      <c r="J248" s="3305">
        <v>0</v>
      </c>
      <c r="K248" s="3305">
        <v>0</v>
      </c>
      <c r="L248" s="3306">
        <v>0</v>
      </c>
      <c r="M248" s="3307">
        <v>0</v>
      </c>
      <c r="N248" s="3305">
        <v>0</v>
      </c>
      <c r="O248" s="3305">
        <v>0</v>
      </c>
      <c r="P248" s="3305">
        <v>0</v>
      </c>
      <c r="Q248" s="3308">
        <v>0</v>
      </c>
    </row>
    <row r="249" spans="2:17">
      <c r="B249" s="3260" t="s">
        <v>82</v>
      </c>
      <c r="C249" s="3268"/>
      <c r="D249" s="3269"/>
      <c r="E249" s="3269"/>
      <c r="F249" s="3269"/>
      <c r="G249" s="3270"/>
      <c r="H249" s="3268"/>
      <c r="I249" s="3305">
        <v>0</v>
      </c>
      <c r="J249" s="3305">
        <v>0</v>
      </c>
      <c r="K249" s="3305">
        <v>0</v>
      </c>
      <c r="L249" s="3306">
        <v>0</v>
      </c>
      <c r="M249" s="3307">
        <v>0</v>
      </c>
      <c r="N249" s="3305">
        <v>0</v>
      </c>
      <c r="O249" s="3305">
        <v>0</v>
      </c>
      <c r="P249" s="3305">
        <v>0</v>
      </c>
      <c r="Q249" s="3308">
        <v>0</v>
      </c>
    </row>
    <row r="250" spans="2:17">
      <c r="B250" s="3260" t="s">
        <v>680</v>
      </c>
      <c r="C250" s="3268"/>
      <c r="D250" s="3269"/>
      <c r="E250" s="3269"/>
      <c r="F250" s="3269"/>
      <c r="G250" s="3270"/>
      <c r="H250" s="3268"/>
      <c r="I250" s="3305">
        <v>0.01</v>
      </c>
      <c r="J250" s="3305">
        <v>0.01</v>
      </c>
      <c r="K250" s="3305">
        <v>0.01</v>
      </c>
      <c r="L250" s="3306">
        <v>0.01</v>
      </c>
      <c r="M250" s="3307">
        <v>0.01</v>
      </c>
      <c r="N250" s="3305">
        <v>0.01</v>
      </c>
      <c r="O250" s="3305">
        <v>0.01</v>
      </c>
      <c r="P250" s="3305">
        <v>0.01</v>
      </c>
      <c r="Q250" s="3308">
        <v>0.01</v>
      </c>
    </row>
    <row r="251" spans="2:17">
      <c r="B251" s="3260" t="s">
        <v>681</v>
      </c>
      <c r="C251" s="3268"/>
      <c r="D251" s="3269"/>
      <c r="E251" s="3269"/>
      <c r="F251" s="3269"/>
      <c r="G251" s="3270"/>
      <c r="H251" s="3268"/>
      <c r="I251" s="3305">
        <v>4.8439999999999994</v>
      </c>
      <c r="J251" s="3305">
        <v>4.8699999999999992</v>
      </c>
      <c r="K251" s="3305">
        <v>4.8699999999999992</v>
      </c>
      <c r="L251" s="3306">
        <v>4.8699999999999992</v>
      </c>
      <c r="M251" s="3307">
        <v>4.8699999999999992</v>
      </c>
      <c r="N251" s="3305">
        <v>5.2029999999999994</v>
      </c>
      <c r="O251" s="3305">
        <v>5.2029999999999994</v>
      </c>
      <c r="P251" s="3305">
        <v>5.4849999999999994</v>
      </c>
      <c r="Q251" s="3308">
        <v>5.4849999999999994</v>
      </c>
    </row>
    <row r="252" spans="2:17">
      <c r="B252" s="3260" t="s">
        <v>682</v>
      </c>
      <c r="C252" s="3268"/>
      <c r="D252" s="3269"/>
      <c r="E252" s="3269"/>
      <c r="F252" s="3269"/>
      <c r="G252" s="3270"/>
      <c r="H252" s="3268"/>
      <c r="I252" s="3305">
        <v>0</v>
      </c>
      <c r="J252" s="3305">
        <v>0</v>
      </c>
      <c r="K252" s="3305">
        <v>0</v>
      </c>
      <c r="L252" s="3306">
        <v>0</v>
      </c>
      <c r="M252" s="3307">
        <v>0</v>
      </c>
      <c r="N252" s="3305">
        <v>0</v>
      </c>
      <c r="O252" s="3305">
        <v>0</v>
      </c>
      <c r="P252" s="3305">
        <v>0</v>
      </c>
      <c r="Q252" s="3308">
        <v>0</v>
      </c>
    </row>
    <row r="253" spans="2:17">
      <c r="B253" s="3260" t="s">
        <v>66</v>
      </c>
      <c r="C253" s="3268"/>
      <c r="D253" s="3269"/>
      <c r="E253" s="3269"/>
      <c r="F253" s="3269"/>
      <c r="G253" s="3270"/>
      <c r="H253" s="3268"/>
      <c r="I253" s="3305">
        <v>3.87</v>
      </c>
      <c r="J253" s="3305">
        <v>3.8700000000000006</v>
      </c>
      <c r="K253" s="3305">
        <v>3.8700000000000006</v>
      </c>
      <c r="L253" s="3306">
        <v>3.8700000000000006</v>
      </c>
      <c r="M253" s="3307">
        <v>3.8700000000000006</v>
      </c>
      <c r="N253" s="3305">
        <v>3.5370000000000004</v>
      </c>
      <c r="O253" s="3305">
        <v>3.5370000000000004</v>
      </c>
      <c r="P253" s="3305">
        <v>3.3050000000000002</v>
      </c>
      <c r="Q253" s="3308">
        <v>3.3050000000000002</v>
      </c>
    </row>
    <row r="254" spans="2:17" ht="13.5" thickBot="1">
      <c r="B254" s="3260" t="s">
        <v>67</v>
      </c>
      <c r="C254" s="3268"/>
      <c r="D254" s="3269"/>
      <c r="E254" s="3269"/>
      <c r="F254" s="3269"/>
      <c r="G254" s="3270"/>
      <c r="H254" s="3268"/>
      <c r="I254" s="3305">
        <v>8.995000000000001</v>
      </c>
      <c r="J254" s="3305">
        <v>8.995000000000001</v>
      </c>
      <c r="K254" s="3305">
        <v>8.995000000000001</v>
      </c>
      <c r="L254" s="3306">
        <v>8.995000000000001</v>
      </c>
      <c r="M254" s="3309">
        <v>8.995000000000001</v>
      </c>
      <c r="N254" s="3310">
        <v>8.995000000000001</v>
      </c>
      <c r="O254" s="3310">
        <v>8.995000000000001</v>
      </c>
      <c r="P254" s="3310">
        <v>8.9450000000000003</v>
      </c>
      <c r="Q254" s="3311">
        <v>8.9450000000000003</v>
      </c>
    </row>
    <row r="255" spans="2:17" ht="12.75" customHeight="1">
      <c r="B255" s="4689">
        <v>3023</v>
      </c>
      <c r="C255" s="4691" t="s">
        <v>36</v>
      </c>
      <c r="D255" s="4692"/>
      <c r="E255" s="4692"/>
      <c r="F255" s="4692"/>
      <c r="G255" s="4692"/>
      <c r="H255" s="4693" t="s">
        <v>37</v>
      </c>
      <c r="I255" s="4694"/>
      <c r="J255" s="4694"/>
      <c r="K255" s="4694"/>
      <c r="L255" s="4694"/>
      <c r="M255" s="4695" t="s">
        <v>73</v>
      </c>
      <c r="N255" s="4695"/>
      <c r="O255" s="4695"/>
      <c r="P255" s="4695"/>
      <c r="Q255" s="4696"/>
    </row>
    <row r="256" spans="2:17" ht="12.75" customHeight="1">
      <c r="B256" s="4690"/>
      <c r="C256" s="4697" t="s">
        <v>1673</v>
      </c>
      <c r="D256" s="4698"/>
      <c r="E256" s="4698"/>
      <c r="F256" s="4698"/>
      <c r="G256" s="4698"/>
      <c r="H256" s="4698"/>
      <c r="I256" s="4698"/>
      <c r="J256" s="4698"/>
      <c r="K256" s="4698"/>
      <c r="L256" s="4698"/>
      <c r="M256" s="4698"/>
      <c r="N256" s="4698"/>
      <c r="O256" s="4698"/>
      <c r="P256" s="4698"/>
      <c r="Q256" s="4699"/>
    </row>
    <row r="257" spans="2:17" ht="12.75" customHeight="1">
      <c r="B257" s="4690"/>
      <c r="C257" s="4697" t="s">
        <v>54</v>
      </c>
      <c r="D257" s="4698"/>
      <c r="E257" s="4698"/>
      <c r="F257" s="4698"/>
      <c r="G257" s="4698"/>
      <c r="H257" s="4698"/>
      <c r="I257" s="4698"/>
      <c r="J257" s="4700"/>
      <c r="K257" s="4701" t="s">
        <v>55</v>
      </c>
      <c r="L257" s="4702"/>
      <c r="M257" s="4702"/>
      <c r="N257" s="4702"/>
      <c r="O257" s="4702"/>
      <c r="P257" s="4702"/>
      <c r="Q257" s="4703"/>
    </row>
    <row r="258" spans="2:17" ht="13.5" customHeight="1" thickBot="1">
      <c r="B258" s="4690"/>
      <c r="C258" s="3252">
        <f t="array" ref="C258:G258">PRCP</f>
        <v>2008</v>
      </c>
      <c r="D258" s="3253">
        <v>2009</v>
      </c>
      <c r="E258" s="3253">
        <v>2010</v>
      </c>
      <c r="F258" s="3253">
        <v>2011</v>
      </c>
      <c r="G258" s="3253">
        <v>2012</v>
      </c>
      <c r="H258" s="3254">
        <f>CRCP_y1</f>
        <v>2013</v>
      </c>
      <c r="I258" s="3254">
        <f>CRCP_y2</f>
        <v>2014</v>
      </c>
      <c r="J258" s="3254">
        <f>CRCP_y3</f>
        <v>2015</v>
      </c>
      <c r="K258" s="3254">
        <f>CRCP_y4</f>
        <v>2016</v>
      </c>
      <c r="L258" s="3254">
        <f>CRCP_y5</f>
        <v>2017</v>
      </c>
      <c r="M258" s="3253" t="str">
        <f t="array" ref="M258:Q258">FRCP</f>
        <v>2018</v>
      </c>
      <c r="N258" s="3253">
        <v>2019</v>
      </c>
      <c r="O258" s="3253">
        <v>2020</v>
      </c>
      <c r="P258" s="3253">
        <v>2021</v>
      </c>
      <c r="Q258" s="3255">
        <v>2022</v>
      </c>
    </row>
    <row r="259" spans="2:17">
      <c r="B259" s="3256" t="s">
        <v>1681</v>
      </c>
      <c r="C259" s="3257"/>
      <c r="D259" s="3258"/>
      <c r="E259" s="3258"/>
      <c r="F259" s="3258"/>
      <c r="G259" s="3259"/>
      <c r="H259" s="3257"/>
      <c r="I259" s="3258"/>
      <c r="J259" s="3258"/>
      <c r="K259" s="3258"/>
      <c r="L259" s="3258"/>
      <c r="M259" s="3257"/>
      <c r="N259" s="3258"/>
      <c r="O259" s="3258"/>
      <c r="P259" s="3258"/>
      <c r="Q259" s="3259"/>
    </row>
    <row r="260" spans="2:17">
      <c r="B260" s="3260"/>
      <c r="C260" s="3268"/>
      <c r="D260" s="3269"/>
      <c r="E260" s="3269"/>
      <c r="F260" s="3269"/>
      <c r="G260" s="3270"/>
      <c r="H260" s="3268"/>
      <c r="I260" s="3269"/>
      <c r="J260" s="3269"/>
      <c r="K260" s="3269"/>
      <c r="L260" s="3271"/>
      <c r="M260" s="3268"/>
      <c r="N260" s="3269"/>
      <c r="O260" s="3269"/>
      <c r="P260" s="3269"/>
      <c r="Q260" s="3270"/>
    </row>
    <row r="261" spans="2:17">
      <c r="B261" s="3260" t="s">
        <v>64</v>
      </c>
      <c r="C261" s="3268"/>
      <c r="D261" s="3269"/>
      <c r="E261" s="3269"/>
      <c r="F261" s="3269"/>
      <c r="G261" s="3270"/>
      <c r="H261" s="3268"/>
      <c r="I261" s="3269">
        <v>1.7599999999999998</v>
      </c>
      <c r="J261" s="3269">
        <v>2.6160000000000005</v>
      </c>
      <c r="K261" s="3269">
        <v>2.6160000000000005</v>
      </c>
      <c r="L261" s="3271">
        <v>2.6160000000000005</v>
      </c>
      <c r="M261" s="3268">
        <v>2.6160000000000005</v>
      </c>
      <c r="N261" s="3269">
        <v>2.6160000000000005</v>
      </c>
      <c r="O261" s="3269">
        <v>2.6160000000000005</v>
      </c>
      <c r="P261" s="3269">
        <v>2.6160000000000005</v>
      </c>
      <c r="Q261" s="3270">
        <v>2.6160000000000005</v>
      </c>
    </row>
    <row r="262" spans="2:17">
      <c r="B262" s="3260" t="s">
        <v>65</v>
      </c>
      <c r="C262" s="3268"/>
      <c r="D262" s="3269"/>
      <c r="E262" s="3269"/>
      <c r="F262" s="3269"/>
      <c r="G262" s="3270"/>
      <c r="H262" s="3268"/>
      <c r="I262" s="3269">
        <v>0</v>
      </c>
      <c r="J262" s="3269">
        <v>0</v>
      </c>
      <c r="K262" s="3269">
        <v>0</v>
      </c>
      <c r="L262" s="3271">
        <v>0</v>
      </c>
      <c r="M262" s="3268">
        <v>0</v>
      </c>
      <c r="N262" s="3269">
        <v>0</v>
      </c>
      <c r="O262" s="3269">
        <v>0</v>
      </c>
      <c r="P262" s="3269">
        <v>0</v>
      </c>
      <c r="Q262" s="3270">
        <v>0</v>
      </c>
    </row>
    <row r="263" spans="2:17">
      <c r="B263" s="3260" t="s">
        <v>82</v>
      </c>
      <c r="C263" s="3268"/>
      <c r="D263" s="3269"/>
      <c r="E263" s="3269"/>
      <c r="F263" s="3269"/>
      <c r="G263" s="3270"/>
      <c r="H263" s="3268"/>
      <c r="I263" s="3269">
        <v>0</v>
      </c>
      <c r="J263" s="3269">
        <v>0</v>
      </c>
      <c r="K263" s="3269">
        <v>0</v>
      </c>
      <c r="L263" s="3271">
        <v>0</v>
      </c>
      <c r="M263" s="3268">
        <v>0</v>
      </c>
      <c r="N263" s="3269">
        <v>0</v>
      </c>
      <c r="O263" s="3269">
        <v>0</v>
      </c>
      <c r="P263" s="3269">
        <v>0</v>
      </c>
      <c r="Q263" s="3270">
        <v>0</v>
      </c>
    </row>
    <row r="264" spans="2:17">
      <c r="B264" s="3260" t="s">
        <v>680</v>
      </c>
      <c r="C264" s="3268"/>
      <c r="D264" s="3269"/>
      <c r="E264" s="3269"/>
      <c r="F264" s="3269"/>
      <c r="G264" s="3270"/>
      <c r="H264" s="3268"/>
      <c r="I264" s="3269">
        <v>1.2670000000000001</v>
      </c>
      <c r="J264" s="3269">
        <v>1.2669999999999999</v>
      </c>
      <c r="K264" s="3269">
        <v>1.2669999999999999</v>
      </c>
      <c r="L264" s="3271">
        <v>1.2669999999999999</v>
      </c>
      <c r="M264" s="3268">
        <v>1.2669999999999999</v>
      </c>
      <c r="N264" s="3269">
        <v>1.2669999999999999</v>
      </c>
      <c r="O264" s="3269">
        <v>1.2669999999999999</v>
      </c>
      <c r="P264" s="3269">
        <v>1.2669999999999999</v>
      </c>
      <c r="Q264" s="3270">
        <v>1.2669999999999999</v>
      </c>
    </row>
    <row r="265" spans="2:17">
      <c r="B265" s="3260" t="s">
        <v>681</v>
      </c>
      <c r="C265" s="3268"/>
      <c r="D265" s="3269"/>
      <c r="E265" s="3269"/>
      <c r="F265" s="3269"/>
      <c r="G265" s="3270"/>
      <c r="H265" s="3268"/>
      <c r="I265" s="3269">
        <v>256.52099999999979</v>
      </c>
      <c r="J265" s="3269">
        <v>258.70999999999981</v>
      </c>
      <c r="K265" s="3269">
        <v>258.70999999999981</v>
      </c>
      <c r="L265" s="3271">
        <v>258.70999999999981</v>
      </c>
      <c r="M265" s="3268">
        <v>258.70999999999981</v>
      </c>
      <c r="N265" s="3269">
        <v>258.70999999999981</v>
      </c>
      <c r="O265" s="3269">
        <v>258.70999999999981</v>
      </c>
      <c r="P265" s="3269">
        <v>258.70999999999981</v>
      </c>
      <c r="Q265" s="3270">
        <v>258.70999999999981</v>
      </c>
    </row>
    <row r="266" spans="2:17">
      <c r="B266" s="3260" t="s">
        <v>682</v>
      </c>
      <c r="C266" s="3268"/>
      <c r="D266" s="3269"/>
      <c r="E266" s="3269"/>
      <c r="F266" s="3269"/>
      <c r="G266" s="3270"/>
      <c r="H266" s="3268"/>
      <c r="I266" s="3269">
        <v>1.9650000000000001</v>
      </c>
      <c r="J266" s="3269">
        <v>1.9649999999999999</v>
      </c>
      <c r="K266" s="3269">
        <v>1.9649999999999999</v>
      </c>
      <c r="L266" s="3271">
        <v>1.9649999999999999</v>
      </c>
      <c r="M266" s="3268">
        <v>1.9649999999999999</v>
      </c>
      <c r="N266" s="3269">
        <v>1.9649999999999999</v>
      </c>
      <c r="O266" s="3269">
        <v>1.9649999999999999</v>
      </c>
      <c r="P266" s="3269">
        <v>1.9649999999999999</v>
      </c>
      <c r="Q266" s="3270">
        <v>1.9649999999999999</v>
      </c>
    </row>
    <row r="267" spans="2:17">
      <c r="B267" s="3260" t="s">
        <v>66</v>
      </c>
      <c r="C267" s="3268"/>
      <c r="D267" s="3269"/>
      <c r="E267" s="3269"/>
      <c r="F267" s="3269"/>
      <c r="G267" s="3270"/>
      <c r="H267" s="3268"/>
      <c r="I267" s="3269">
        <v>29.729000000000013</v>
      </c>
      <c r="J267" s="3269">
        <v>29.049000000000017</v>
      </c>
      <c r="K267" s="3269">
        <v>29.049000000000017</v>
      </c>
      <c r="L267" s="3271">
        <v>29.049000000000017</v>
      </c>
      <c r="M267" s="3268">
        <v>29.049000000000017</v>
      </c>
      <c r="N267" s="3269">
        <v>29.049000000000017</v>
      </c>
      <c r="O267" s="3269">
        <v>29.049000000000017</v>
      </c>
      <c r="P267" s="3269">
        <v>29.049000000000017</v>
      </c>
      <c r="Q267" s="3270">
        <v>29.049000000000017</v>
      </c>
    </row>
    <row r="268" spans="2:17" ht="13.5" thickBot="1">
      <c r="B268" s="3260" t="s">
        <v>67</v>
      </c>
      <c r="C268" s="3268"/>
      <c r="D268" s="3269"/>
      <c r="E268" s="3269"/>
      <c r="F268" s="3269"/>
      <c r="G268" s="3270"/>
      <c r="H268" s="3268"/>
      <c r="I268" s="3269">
        <v>35.561999999999998</v>
      </c>
      <c r="J268" s="3269">
        <v>35.640000000000008</v>
      </c>
      <c r="K268" s="3269">
        <v>35.640000000000008</v>
      </c>
      <c r="L268" s="3271">
        <v>35.640000000000008</v>
      </c>
      <c r="M268" s="3272">
        <v>35.640000000000008</v>
      </c>
      <c r="N268" s="3273">
        <v>35.640000000000008</v>
      </c>
      <c r="O268" s="3273">
        <v>35.640000000000008</v>
      </c>
      <c r="P268" s="3273">
        <v>35.640000000000008</v>
      </c>
      <c r="Q268" s="3274">
        <v>35.640000000000008</v>
      </c>
    </row>
    <row r="269" spans="2:17" ht="12.75" customHeight="1">
      <c r="B269" s="4689">
        <v>3024</v>
      </c>
      <c r="C269" s="4691" t="s">
        <v>36</v>
      </c>
      <c r="D269" s="4692"/>
      <c r="E269" s="4692"/>
      <c r="F269" s="4692"/>
      <c r="G269" s="4692"/>
      <c r="H269" s="4693" t="s">
        <v>37</v>
      </c>
      <c r="I269" s="4694"/>
      <c r="J269" s="4694"/>
      <c r="K269" s="4694"/>
      <c r="L269" s="4694"/>
      <c r="M269" s="4695" t="s">
        <v>73</v>
      </c>
      <c r="N269" s="4695"/>
      <c r="O269" s="4695"/>
      <c r="P269" s="4695"/>
      <c r="Q269" s="4696"/>
    </row>
    <row r="270" spans="2:17" ht="12.75" customHeight="1">
      <c r="B270" s="4690"/>
      <c r="C270" s="4697" t="s">
        <v>1673</v>
      </c>
      <c r="D270" s="4698"/>
      <c r="E270" s="4698"/>
      <c r="F270" s="4698"/>
      <c r="G270" s="4698"/>
      <c r="H270" s="4698"/>
      <c r="I270" s="4698"/>
      <c r="J270" s="4698"/>
      <c r="K270" s="4698"/>
      <c r="L270" s="4698"/>
      <c r="M270" s="4698"/>
      <c r="N270" s="4698"/>
      <c r="O270" s="4698"/>
      <c r="P270" s="4698"/>
      <c r="Q270" s="4699"/>
    </row>
    <row r="271" spans="2:17" ht="12.75" customHeight="1">
      <c r="B271" s="4690"/>
      <c r="C271" s="4697" t="s">
        <v>54</v>
      </c>
      <c r="D271" s="4698"/>
      <c r="E271" s="4698"/>
      <c r="F271" s="4698"/>
      <c r="G271" s="4698"/>
      <c r="H271" s="4698"/>
      <c r="I271" s="4698"/>
      <c r="J271" s="4700"/>
      <c r="K271" s="4701" t="s">
        <v>55</v>
      </c>
      <c r="L271" s="4702"/>
      <c r="M271" s="4702"/>
      <c r="N271" s="4702"/>
      <c r="O271" s="4702"/>
      <c r="P271" s="4702"/>
      <c r="Q271" s="4703"/>
    </row>
    <row r="272" spans="2:17" ht="13.5" customHeight="1" thickBot="1">
      <c r="B272" s="4690"/>
      <c r="C272" s="3252">
        <f t="array" ref="C272:G272">PRCP</f>
        <v>2008</v>
      </c>
      <c r="D272" s="3253">
        <v>2009</v>
      </c>
      <c r="E272" s="3253">
        <v>2010</v>
      </c>
      <c r="F272" s="3253">
        <v>2011</v>
      </c>
      <c r="G272" s="3253">
        <v>2012</v>
      </c>
      <c r="H272" s="3254">
        <f>CRCP_y1</f>
        <v>2013</v>
      </c>
      <c r="I272" s="3254">
        <f>CRCP_y2</f>
        <v>2014</v>
      </c>
      <c r="J272" s="3254">
        <f>CRCP_y3</f>
        <v>2015</v>
      </c>
      <c r="K272" s="3254">
        <f>CRCP_y4</f>
        <v>2016</v>
      </c>
      <c r="L272" s="3254">
        <f>CRCP_y5</f>
        <v>2017</v>
      </c>
      <c r="M272" s="3253" t="str">
        <f t="array" ref="M272:Q272">FRCP</f>
        <v>2018</v>
      </c>
      <c r="N272" s="3253">
        <v>2019</v>
      </c>
      <c r="O272" s="3253">
        <v>2020</v>
      </c>
      <c r="P272" s="3253">
        <v>2021</v>
      </c>
      <c r="Q272" s="3255">
        <v>2022</v>
      </c>
    </row>
    <row r="273" spans="2:17">
      <c r="B273" s="3256" t="s">
        <v>1682</v>
      </c>
      <c r="C273" s="3257"/>
      <c r="D273" s="3258"/>
      <c r="E273" s="3258"/>
      <c r="F273" s="3258"/>
      <c r="G273" s="3259"/>
      <c r="H273" s="3257"/>
      <c r="I273" s="3258"/>
      <c r="J273" s="3258"/>
      <c r="K273" s="3258"/>
      <c r="L273" s="3258"/>
      <c r="M273" s="3257"/>
      <c r="N273" s="3258"/>
      <c r="O273" s="3258"/>
      <c r="P273" s="3258"/>
      <c r="Q273" s="3259"/>
    </row>
    <row r="274" spans="2:17">
      <c r="B274" s="3260"/>
      <c r="C274" s="3268"/>
      <c r="D274" s="3269"/>
      <c r="E274" s="3269"/>
      <c r="F274" s="3269"/>
      <c r="G274" s="3270"/>
      <c r="H274" s="3268"/>
      <c r="I274" s="3305"/>
      <c r="J274" s="3305"/>
      <c r="K274" s="3305"/>
      <c r="L274" s="3306"/>
      <c r="M274" s="3307"/>
      <c r="N274" s="3305"/>
      <c r="O274" s="3305"/>
      <c r="P274" s="3305"/>
      <c r="Q274" s="3308"/>
    </row>
    <row r="275" spans="2:17">
      <c r="B275" s="3260" t="s">
        <v>64</v>
      </c>
      <c r="C275" s="3268"/>
      <c r="D275" s="3269"/>
      <c r="E275" s="3269"/>
      <c r="F275" s="3269"/>
      <c r="G275" s="3270"/>
      <c r="H275" s="3268"/>
      <c r="I275" s="2969">
        <v>0</v>
      </c>
      <c r="J275" s="2969">
        <v>0</v>
      </c>
      <c r="K275" s="2969">
        <v>0</v>
      </c>
      <c r="L275" s="3312">
        <v>0</v>
      </c>
      <c r="M275" s="3313">
        <v>0</v>
      </c>
      <c r="N275" s="2969">
        <v>0</v>
      </c>
      <c r="O275" s="2969">
        <v>0</v>
      </c>
      <c r="P275" s="2969">
        <v>0</v>
      </c>
      <c r="Q275" s="3314">
        <v>0</v>
      </c>
    </row>
    <row r="276" spans="2:17">
      <c r="B276" s="3260" t="s">
        <v>65</v>
      </c>
      <c r="C276" s="3268"/>
      <c r="D276" s="3269"/>
      <c r="E276" s="3269"/>
      <c r="F276" s="3269"/>
      <c r="G276" s="3270"/>
      <c r="H276" s="3268"/>
      <c r="I276" s="2969">
        <v>0</v>
      </c>
      <c r="J276" s="2969">
        <v>0</v>
      </c>
      <c r="K276" s="2969">
        <v>0</v>
      </c>
      <c r="L276" s="3312">
        <v>0</v>
      </c>
      <c r="M276" s="3313">
        <v>0</v>
      </c>
      <c r="N276" s="2969">
        <v>0</v>
      </c>
      <c r="O276" s="2969">
        <v>0</v>
      </c>
      <c r="P276" s="2969">
        <v>0</v>
      </c>
      <c r="Q276" s="3314">
        <v>0</v>
      </c>
    </row>
    <row r="277" spans="2:17">
      <c r="B277" s="3260" t="s">
        <v>82</v>
      </c>
      <c r="C277" s="3268"/>
      <c r="D277" s="3269"/>
      <c r="E277" s="3269"/>
      <c r="F277" s="3269"/>
      <c r="G277" s="3270"/>
      <c r="H277" s="3268"/>
      <c r="I277" s="2969">
        <v>0</v>
      </c>
      <c r="J277" s="2969">
        <v>0</v>
      </c>
      <c r="K277" s="2969">
        <v>0</v>
      </c>
      <c r="L277" s="3312">
        <v>0</v>
      </c>
      <c r="M277" s="3313">
        <v>0</v>
      </c>
      <c r="N277" s="2969">
        <v>0</v>
      </c>
      <c r="O277" s="2969">
        <v>0</v>
      </c>
      <c r="P277" s="2969">
        <v>0</v>
      </c>
      <c r="Q277" s="3314">
        <v>0</v>
      </c>
    </row>
    <row r="278" spans="2:17">
      <c r="B278" s="3260" t="s">
        <v>680</v>
      </c>
      <c r="C278" s="3268"/>
      <c r="D278" s="3269"/>
      <c r="E278" s="3269"/>
      <c r="F278" s="3269"/>
      <c r="G278" s="3270"/>
      <c r="H278" s="3268"/>
      <c r="I278" s="2969">
        <v>0</v>
      </c>
      <c r="J278" s="2969">
        <v>0</v>
      </c>
      <c r="K278" s="2969">
        <v>0</v>
      </c>
      <c r="L278" s="3312">
        <v>0</v>
      </c>
      <c r="M278" s="3313">
        <v>0</v>
      </c>
      <c r="N278" s="2969">
        <v>0</v>
      </c>
      <c r="O278" s="2969">
        <v>0</v>
      </c>
      <c r="P278" s="2969">
        <v>0</v>
      </c>
      <c r="Q278" s="3314">
        <v>0</v>
      </c>
    </row>
    <row r="279" spans="2:17">
      <c r="B279" s="3260" t="s">
        <v>681</v>
      </c>
      <c r="C279" s="3268"/>
      <c r="D279" s="3269"/>
      <c r="E279" s="3269"/>
      <c r="F279" s="3269"/>
      <c r="G279" s="3270"/>
      <c r="H279" s="3268"/>
      <c r="I279" s="2969">
        <v>98.882000000000147</v>
      </c>
      <c r="J279" s="2969">
        <v>105.84900000000015</v>
      </c>
      <c r="K279" s="2969">
        <v>107.96598000000014</v>
      </c>
      <c r="L279" s="3312">
        <v>111.20495940000015</v>
      </c>
      <c r="M279" s="3315">
        <v>114.54110818200016</v>
      </c>
      <c r="N279" s="3312">
        <v>117.97734142746016</v>
      </c>
      <c r="O279" s="3312">
        <v>121.51666167028397</v>
      </c>
      <c r="P279" s="3312">
        <v>125.16216152039249</v>
      </c>
      <c r="Q279" s="3314">
        <v>128.91702636600428</v>
      </c>
    </row>
    <row r="280" spans="2:17">
      <c r="B280" s="3260" t="s">
        <v>682</v>
      </c>
      <c r="C280" s="3268"/>
      <c r="D280" s="3269"/>
      <c r="E280" s="3269"/>
      <c r="F280" s="3269"/>
      <c r="G280" s="3270"/>
      <c r="H280" s="3268"/>
      <c r="I280" s="2969">
        <v>0</v>
      </c>
      <c r="J280" s="2969">
        <v>0</v>
      </c>
      <c r="K280" s="2969">
        <v>0</v>
      </c>
      <c r="L280" s="3312">
        <v>0</v>
      </c>
      <c r="M280" s="3313">
        <v>0</v>
      </c>
      <c r="N280" s="2969">
        <v>0</v>
      </c>
      <c r="O280" s="2969">
        <v>0</v>
      </c>
      <c r="P280" s="2969">
        <v>0</v>
      </c>
      <c r="Q280" s="3314">
        <v>0</v>
      </c>
    </row>
    <row r="281" spans="2:17">
      <c r="B281" s="3260" t="s">
        <v>66</v>
      </c>
      <c r="C281" s="3268"/>
      <c r="D281" s="3269"/>
      <c r="E281" s="3269"/>
      <c r="F281" s="3269"/>
      <c r="G281" s="3270"/>
      <c r="H281" s="3268"/>
      <c r="I281" s="2969">
        <v>0</v>
      </c>
      <c r="J281" s="2969">
        <v>0</v>
      </c>
      <c r="K281" s="2969">
        <v>0</v>
      </c>
      <c r="L281" s="3312">
        <v>0</v>
      </c>
      <c r="M281" s="3313">
        <v>0</v>
      </c>
      <c r="N281" s="2969">
        <v>0</v>
      </c>
      <c r="O281" s="2969">
        <v>0</v>
      </c>
      <c r="P281" s="2969">
        <v>0</v>
      </c>
      <c r="Q281" s="3314">
        <v>0</v>
      </c>
    </row>
    <row r="282" spans="2:17" ht="13.5" thickBot="1">
      <c r="B282" s="3260" t="s">
        <v>67</v>
      </c>
      <c r="C282" s="3268"/>
      <c r="D282" s="3269"/>
      <c r="E282" s="3269"/>
      <c r="F282" s="3269"/>
      <c r="G282" s="3270"/>
      <c r="H282" s="3268"/>
      <c r="I282" s="2969">
        <v>22.357999999999986</v>
      </c>
      <c r="J282" s="2969">
        <v>22.357999999999983</v>
      </c>
      <c r="K282" s="2969">
        <v>22.357999999999983</v>
      </c>
      <c r="L282" s="3312">
        <v>22.357999999999983</v>
      </c>
      <c r="M282" s="3316">
        <v>22.357999999999983</v>
      </c>
      <c r="N282" s="3317">
        <v>22.357999999999983</v>
      </c>
      <c r="O282" s="3317">
        <v>22.357999999999983</v>
      </c>
      <c r="P282" s="3317">
        <v>22.357999999999983</v>
      </c>
      <c r="Q282" s="3318">
        <v>22.357999999999983</v>
      </c>
    </row>
    <row r="283" spans="2:17" ht="12.75" customHeight="1">
      <c r="B283" s="4689">
        <v>3025</v>
      </c>
      <c r="C283" s="4691" t="s">
        <v>36</v>
      </c>
      <c r="D283" s="4692"/>
      <c r="E283" s="4692"/>
      <c r="F283" s="4692"/>
      <c r="G283" s="4692"/>
      <c r="H283" s="4693" t="s">
        <v>37</v>
      </c>
      <c r="I283" s="4694"/>
      <c r="J283" s="4694"/>
      <c r="K283" s="4694"/>
      <c r="L283" s="4694"/>
      <c r="M283" s="4695" t="s">
        <v>73</v>
      </c>
      <c r="N283" s="4695"/>
      <c r="O283" s="4695"/>
      <c r="P283" s="4695"/>
      <c r="Q283" s="4696"/>
    </row>
    <row r="284" spans="2:17" ht="12.75" customHeight="1">
      <c r="B284" s="4690"/>
      <c r="C284" s="4697" t="s">
        <v>1673</v>
      </c>
      <c r="D284" s="4698"/>
      <c r="E284" s="4698"/>
      <c r="F284" s="4698"/>
      <c r="G284" s="4698"/>
      <c r="H284" s="4698"/>
      <c r="I284" s="4698"/>
      <c r="J284" s="4698"/>
      <c r="K284" s="4698"/>
      <c r="L284" s="4698"/>
      <c r="M284" s="4698"/>
      <c r="N284" s="4698"/>
      <c r="O284" s="4698"/>
      <c r="P284" s="4698"/>
      <c r="Q284" s="4699"/>
    </row>
    <row r="285" spans="2:17" ht="12.75" customHeight="1">
      <c r="B285" s="4690"/>
      <c r="C285" s="4697" t="s">
        <v>54</v>
      </c>
      <c r="D285" s="4698"/>
      <c r="E285" s="4698"/>
      <c r="F285" s="4698"/>
      <c r="G285" s="4698"/>
      <c r="H285" s="4698"/>
      <c r="I285" s="4698"/>
      <c r="J285" s="4700"/>
      <c r="K285" s="4701" t="s">
        <v>55</v>
      </c>
      <c r="L285" s="4702"/>
      <c r="M285" s="4702"/>
      <c r="N285" s="4702"/>
      <c r="O285" s="4702"/>
      <c r="P285" s="4702"/>
      <c r="Q285" s="4703"/>
    </row>
    <row r="286" spans="2:17" ht="13.5" customHeight="1" thickBot="1">
      <c r="B286" s="4690"/>
      <c r="C286" s="3252">
        <f t="array" ref="C286:G286">PRCP</f>
        <v>2008</v>
      </c>
      <c r="D286" s="3253">
        <v>2009</v>
      </c>
      <c r="E286" s="3253">
        <v>2010</v>
      </c>
      <c r="F286" s="3253">
        <v>2011</v>
      </c>
      <c r="G286" s="3253">
        <v>2012</v>
      </c>
      <c r="H286" s="3254">
        <f>CRCP_y1</f>
        <v>2013</v>
      </c>
      <c r="I286" s="3254">
        <f>CRCP_y2</f>
        <v>2014</v>
      </c>
      <c r="J286" s="3254">
        <f>CRCP_y3</f>
        <v>2015</v>
      </c>
      <c r="K286" s="3254">
        <f>CRCP_y4</f>
        <v>2016</v>
      </c>
      <c r="L286" s="3254">
        <f>CRCP_y5</f>
        <v>2017</v>
      </c>
      <c r="M286" s="3253" t="str">
        <f t="array" ref="M286:Q286">FRCP</f>
        <v>2018</v>
      </c>
      <c r="N286" s="3253">
        <v>2019</v>
      </c>
      <c r="O286" s="3253">
        <v>2020</v>
      </c>
      <c r="P286" s="3253">
        <v>2021</v>
      </c>
      <c r="Q286" s="3255">
        <v>2022</v>
      </c>
    </row>
    <row r="287" spans="2:17">
      <c r="B287" s="3256" t="s">
        <v>1682</v>
      </c>
      <c r="C287" s="3257"/>
      <c r="D287" s="3258"/>
      <c r="E287" s="3258"/>
      <c r="F287" s="3258"/>
      <c r="G287" s="3259"/>
      <c r="H287" s="3257"/>
      <c r="I287" s="3258"/>
      <c r="J287" s="3258"/>
      <c r="K287" s="3258"/>
      <c r="L287" s="3258"/>
      <c r="M287" s="3257"/>
      <c r="N287" s="3258"/>
      <c r="O287" s="3258"/>
      <c r="P287" s="3258"/>
      <c r="Q287" s="3259"/>
    </row>
    <row r="288" spans="2:17">
      <c r="B288" s="3260"/>
      <c r="C288" s="3268"/>
      <c r="D288" s="3269"/>
      <c r="E288" s="3269"/>
      <c r="F288" s="3269"/>
      <c r="G288" s="3270"/>
      <c r="H288" s="3268"/>
      <c r="I288" s="3305"/>
      <c r="J288" s="3305"/>
      <c r="K288" s="3305"/>
      <c r="L288" s="3306"/>
      <c r="M288" s="3307"/>
      <c r="N288" s="3305"/>
      <c r="O288" s="3305"/>
      <c r="P288" s="3305"/>
      <c r="Q288" s="3308"/>
    </row>
    <row r="289" spans="2:17">
      <c r="B289" s="3260" t="s">
        <v>64</v>
      </c>
      <c r="C289" s="3268"/>
      <c r="D289" s="3269"/>
      <c r="E289" s="3269"/>
      <c r="F289" s="3269"/>
      <c r="G289" s="3270"/>
      <c r="H289" s="3268"/>
      <c r="I289" s="3305">
        <v>1.3889999999999998</v>
      </c>
      <c r="J289" s="3305">
        <v>1.5849999999999995</v>
      </c>
      <c r="K289" s="3305">
        <v>1.5849999999999995</v>
      </c>
      <c r="L289" s="3306">
        <v>1.5849999999999995</v>
      </c>
      <c r="M289" s="3307">
        <v>1.5849999999999995</v>
      </c>
      <c r="N289" s="3305">
        <v>1.5849999999999995</v>
      </c>
      <c r="O289" s="3305">
        <v>1.5849999999999995</v>
      </c>
      <c r="P289" s="3305">
        <v>1.5849999999999995</v>
      </c>
      <c r="Q289" s="3308">
        <v>1.5849999999999995</v>
      </c>
    </row>
    <row r="290" spans="2:17">
      <c r="B290" s="3260" t="s">
        <v>65</v>
      </c>
      <c r="C290" s="3268"/>
      <c r="D290" s="3269"/>
      <c r="E290" s="3269"/>
      <c r="F290" s="3269"/>
      <c r="G290" s="3270"/>
      <c r="H290" s="3268"/>
      <c r="I290" s="3305">
        <v>0</v>
      </c>
      <c r="J290" s="3305">
        <v>0</v>
      </c>
      <c r="K290" s="3305">
        <v>0</v>
      </c>
      <c r="L290" s="3306">
        <v>0</v>
      </c>
      <c r="M290" s="3307">
        <v>0</v>
      </c>
      <c r="N290" s="3305">
        <v>0</v>
      </c>
      <c r="O290" s="3305">
        <v>0</v>
      </c>
      <c r="P290" s="3305">
        <v>0</v>
      </c>
      <c r="Q290" s="3308">
        <v>0</v>
      </c>
    </row>
    <row r="291" spans="2:17">
      <c r="B291" s="3260" t="s">
        <v>82</v>
      </c>
      <c r="C291" s="3268"/>
      <c r="D291" s="3269"/>
      <c r="E291" s="3269"/>
      <c r="F291" s="3269"/>
      <c r="G291" s="3270"/>
      <c r="H291" s="3268"/>
      <c r="I291" s="3305">
        <v>0</v>
      </c>
      <c r="J291" s="3305">
        <v>0</v>
      </c>
      <c r="K291" s="3305">
        <v>0</v>
      </c>
      <c r="L291" s="3306">
        <v>0</v>
      </c>
      <c r="M291" s="3307">
        <v>0</v>
      </c>
      <c r="N291" s="3305">
        <v>0</v>
      </c>
      <c r="O291" s="3305">
        <v>0</v>
      </c>
      <c r="P291" s="3305">
        <v>0</v>
      </c>
      <c r="Q291" s="3308">
        <v>0</v>
      </c>
    </row>
    <row r="292" spans="2:17">
      <c r="B292" s="3260" t="s">
        <v>680</v>
      </c>
      <c r="C292" s="3268"/>
      <c r="D292" s="3269"/>
      <c r="E292" s="3269"/>
      <c r="F292" s="3269"/>
      <c r="G292" s="3270"/>
      <c r="H292" s="3268"/>
      <c r="I292" s="3305">
        <v>0</v>
      </c>
      <c r="J292" s="3305">
        <v>0</v>
      </c>
      <c r="K292" s="3305">
        <v>0</v>
      </c>
      <c r="L292" s="3306">
        <v>0</v>
      </c>
      <c r="M292" s="3307">
        <v>0</v>
      </c>
      <c r="N292" s="3305">
        <v>0</v>
      </c>
      <c r="O292" s="3305">
        <v>0</v>
      </c>
      <c r="P292" s="3305">
        <v>0</v>
      </c>
      <c r="Q292" s="3308">
        <v>0</v>
      </c>
    </row>
    <row r="293" spans="2:17">
      <c r="B293" s="3260" t="s">
        <v>681</v>
      </c>
      <c r="C293" s="3268"/>
      <c r="D293" s="3269"/>
      <c r="E293" s="3269"/>
      <c r="F293" s="3269"/>
      <c r="G293" s="3270"/>
      <c r="H293" s="3268"/>
      <c r="I293" s="3305">
        <v>22.365999999999996</v>
      </c>
      <c r="J293" s="3305">
        <v>22.451999999999995</v>
      </c>
      <c r="K293" s="3305">
        <v>22.901039999999995</v>
      </c>
      <c r="L293" s="3306">
        <v>23.359060799999995</v>
      </c>
      <c r="M293" s="3307">
        <v>23.826242015999995</v>
      </c>
      <c r="N293" s="3305">
        <v>24.302766856319995</v>
      </c>
      <c r="O293" s="3305">
        <v>24.788822193446396</v>
      </c>
      <c r="P293" s="3305">
        <v>25.284598637315323</v>
      </c>
      <c r="Q293" s="3308">
        <v>25.790290610061628</v>
      </c>
    </row>
    <row r="294" spans="2:17">
      <c r="B294" s="3260" t="s">
        <v>682</v>
      </c>
      <c r="C294" s="3268"/>
      <c r="D294" s="3269"/>
      <c r="E294" s="3269"/>
      <c r="F294" s="3269"/>
      <c r="G294" s="3270"/>
      <c r="H294" s="3268"/>
      <c r="I294" s="3305">
        <v>0</v>
      </c>
      <c r="J294" s="3305">
        <v>0</v>
      </c>
      <c r="K294" s="3305">
        <v>0</v>
      </c>
      <c r="L294" s="3306">
        <v>0</v>
      </c>
      <c r="M294" s="3307">
        <v>0</v>
      </c>
      <c r="N294" s="3305">
        <v>0</v>
      </c>
      <c r="O294" s="3305">
        <v>0</v>
      </c>
      <c r="P294" s="3305">
        <v>0</v>
      </c>
      <c r="Q294" s="3308">
        <v>0</v>
      </c>
    </row>
    <row r="295" spans="2:17">
      <c r="B295" s="3260" t="s">
        <v>66</v>
      </c>
      <c r="C295" s="3268"/>
      <c r="D295" s="3269"/>
      <c r="E295" s="3269"/>
      <c r="F295" s="3269"/>
      <c r="G295" s="3270"/>
      <c r="H295" s="3268"/>
      <c r="I295" s="3305">
        <v>39.513000000000019</v>
      </c>
      <c r="J295" s="3305">
        <v>39.592000000000027</v>
      </c>
      <c r="K295" s="3305">
        <v>39.592000000000027</v>
      </c>
      <c r="L295" s="3306">
        <v>39.592000000000027</v>
      </c>
      <c r="M295" s="3307">
        <v>39.592000000000027</v>
      </c>
      <c r="N295" s="3305">
        <v>39.592000000000027</v>
      </c>
      <c r="O295" s="3305">
        <v>39.592000000000027</v>
      </c>
      <c r="P295" s="3305">
        <v>39.592000000000027</v>
      </c>
      <c r="Q295" s="3308">
        <v>39.592000000000027</v>
      </c>
    </row>
    <row r="296" spans="2:17" ht="13.5" thickBot="1">
      <c r="B296" s="3260" t="s">
        <v>67</v>
      </c>
      <c r="C296" s="3268"/>
      <c r="D296" s="3269"/>
      <c r="E296" s="3269"/>
      <c r="F296" s="3269"/>
      <c r="G296" s="3270"/>
      <c r="H296" s="3268"/>
      <c r="I296" s="3305">
        <v>34.647999999999982</v>
      </c>
      <c r="J296" s="3305">
        <v>34.647999999999982</v>
      </c>
      <c r="K296" s="3305">
        <v>34.647999999999982</v>
      </c>
      <c r="L296" s="3306">
        <v>34.647999999999982</v>
      </c>
      <c r="M296" s="3309">
        <v>34.647999999999982</v>
      </c>
      <c r="N296" s="3310">
        <v>34.647999999999982</v>
      </c>
      <c r="O296" s="3310">
        <v>34.647999999999982</v>
      </c>
      <c r="P296" s="3310">
        <v>34.647999999999982</v>
      </c>
      <c r="Q296" s="3311">
        <v>34.647999999999982</v>
      </c>
    </row>
    <row r="297" spans="2:17" ht="12.75" customHeight="1">
      <c r="B297" s="4689">
        <v>3026</v>
      </c>
      <c r="C297" s="4691" t="s">
        <v>36</v>
      </c>
      <c r="D297" s="4692"/>
      <c r="E297" s="4692"/>
      <c r="F297" s="4692"/>
      <c r="G297" s="4692"/>
      <c r="H297" s="4693" t="s">
        <v>37</v>
      </c>
      <c r="I297" s="4694"/>
      <c r="J297" s="4694"/>
      <c r="K297" s="4694"/>
      <c r="L297" s="4694"/>
      <c r="M297" s="4695" t="s">
        <v>73</v>
      </c>
      <c r="N297" s="4695"/>
      <c r="O297" s="4695"/>
      <c r="P297" s="4695"/>
      <c r="Q297" s="4696"/>
    </row>
    <row r="298" spans="2:17" ht="12.75" customHeight="1">
      <c r="B298" s="4690"/>
      <c r="C298" s="4697" t="s">
        <v>1673</v>
      </c>
      <c r="D298" s="4698"/>
      <c r="E298" s="4698"/>
      <c r="F298" s="4698"/>
      <c r="G298" s="4698"/>
      <c r="H298" s="4698"/>
      <c r="I298" s="4698"/>
      <c r="J298" s="4698"/>
      <c r="K298" s="4698"/>
      <c r="L298" s="4698"/>
      <c r="M298" s="4698"/>
      <c r="N298" s="4698"/>
      <c r="O298" s="4698"/>
      <c r="P298" s="4698"/>
      <c r="Q298" s="4699"/>
    </row>
    <row r="299" spans="2:17" ht="12.75" customHeight="1">
      <c r="B299" s="4690"/>
      <c r="C299" s="4697" t="s">
        <v>54</v>
      </c>
      <c r="D299" s="4698"/>
      <c r="E299" s="4698"/>
      <c r="F299" s="4698"/>
      <c r="G299" s="4698"/>
      <c r="H299" s="4698"/>
      <c r="I299" s="4698"/>
      <c r="J299" s="4700"/>
      <c r="K299" s="4701" t="s">
        <v>55</v>
      </c>
      <c r="L299" s="4702"/>
      <c r="M299" s="4702"/>
      <c r="N299" s="4702"/>
      <c r="O299" s="4702"/>
      <c r="P299" s="4702"/>
      <c r="Q299" s="4703"/>
    </row>
    <row r="300" spans="2:17" ht="13.5" customHeight="1" thickBot="1">
      <c r="B300" s="4690"/>
      <c r="C300" s="3252">
        <f t="array" ref="C300:G300">PRCP</f>
        <v>2008</v>
      </c>
      <c r="D300" s="3253">
        <v>2009</v>
      </c>
      <c r="E300" s="3253">
        <v>2010</v>
      </c>
      <c r="F300" s="3253">
        <v>2011</v>
      </c>
      <c r="G300" s="3253">
        <v>2012</v>
      </c>
      <c r="H300" s="3254">
        <f>CRCP_y1</f>
        <v>2013</v>
      </c>
      <c r="I300" s="3254">
        <f>CRCP_y2</f>
        <v>2014</v>
      </c>
      <c r="J300" s="3254">
        <f>CRCP_y3</f>
        <v>2015</v>
      </c>
      <c r="K300" s="3254">
        <f>CRCP_y4</f>
        <v>2016</v>
      </c>
      <c r="L300" s="3254">
        <f>CRCP_y5</f>
        <v>2017</v>
      </c>
      <c r="M300" s="3253" t="str">
        <f t="array" ref="M300:Q300">FRCP</f>
        <v>2018</v>
      </c>
      <c r="N300" s="3253">
        <v>2019</v>
      </c>
      <c r="O300" s="3253">
        <v>2020</v>
      </c>
      <c r="P300" s="3253">
        <v>2021</v>
      </c>
      <c r="Q300" s="3255">
        <v>2022</v>
      </c>
    </row>
    <row r="301" spans="2:17">
      <c r="B301" s="3256" t="s">
        <v>1683</v>
      </c>
      <c r="C301" s="3257"/>
      <c r="D301" s="3258"/>
      <c r="E301" s="3258"/>
      <c r="F301" s="3258"/>
      <c r="G301" s="3259"/>
      <c r="H301" s="3257"/>
      <c r="I301" s="3258"/>
      <c r="J301" s="3258"/>
      <c r="K301" s="3258"/>
      <c r="L301" s="3258"/>
      <c r="M301" s="3257"/>
      <c r="N301" s="3258"/>
      <c r="O301" s="3258"/>
      <c r="P301" s="3258"/>
      <c r="Q301" s="3259"/>
    </row>
    <row r="302" spans="2:17">
      <c r="B302" s="3260"/>
      <c r="C302" s="3268"/>
      <c r="D302" s="3269"/>
      <c r="E302" s="3269"/>
      <c r="F302" s="3269"/>
      <c r="G302" s="3270"/>
      <c r="H302" s="3268"/>
      <c r="I302" s="3269"/>
      <c r="J302" s="3269"/>
      <c r="K302" s="3269"/>
      <c r="L302" s="3271"/>
      <c r="M302" s="3268"/>
      <c r="N302" s="3269"/>
      <c r="O302" s="3269"/>
      <c r="P302" s="3269"/>
      <c r="Q302" s="3270"/>
    </row>
    <row r="303" spans="2:17">
      <c r="B303" s="3260" t="s">
        <v>64</v>
      </c>
      <c r="C303" s="3268"/>
      <c r="D303" s="3269"/>
      <c r="E303" s="3269"/>
      <c r="F303" s="3269"/>
      <c r="G303" s="3270"/>
      <c r="H303" s="3268"/>
      <c r="I303" s="3305">
        <v>0</v>
      </c>
      <c r="J303" s="3305">
        <v>0</v>
      </c>
      <c r="K303" s="3305">
        <v>0</v>
      </c>
      <c r="L303" s="3306">
        <v>0</v>
      </c>
      <c r="M303" s="3307">
        <v>0</v>
      </c>
      <c r="N303" s="3305">
        <v>0</v>
      </c>
      <c r="O303" s="3305">
        <v>0</v>
      </c>
      <c r="P303" s="3305">
        <v>0</v>
      </c>
      <c r="Q303" s="3308">
        <v>0</v>
      </c>
    </row>
    <row r="304" spans="2:17">
      <c r="B304" s="3260" t="s">
        <v>65</v>
      </c>
      <c r="C304" s="3268"/>
      <c r="D304" s="3269"/>
      <c r="E304" s="3269"/>
      <c r="F304" s="3269"/>
      <c r="G304" s="3270"/>
      <c r="H304" s="3268"/>
      <c r="I304" s="3305">
        <v>0</v>
      </c>
      <c r="J304" s="3305">
        <v>0</v>
      </c>
      <c r="K304" s="3305">
        <v>0</v>
      </c>
      <c r="L304" s="3306">
        <v>0</v>
      </c>
      <c r="M304" s="3307">
        <v>0</v>
      </c>
      <c r="N304" s="3305">
        <v>0</v>
      </c>
      <c r="O304" s="3305">
        <v>0</v>
      </c>
      <c r="P304" s="3305">
        <v>0</v>
      </c>
      <c r="Q304" s="3308">
        <v>0</v>
      </c>
    </row>
    <row r="305" spans="2:17">
      <c r="B305" s="3260" t="s">
        <v>82</v>
      </c>
      <c r="C305" s="3268"/>
      <c r="D305" s="3269"/>
      <c r="E305" s="3269"/>
      <c r="F305" s="3269"/>
      <c r="G305" s="3270"/>
      <c r="H305" s="3268"/>
      <c r="I305" s="3305">
        <v>0</v>
      </c>
      <c r="J305" s="3305">
        <v>0</v>
      </c>
      <c r="K305" s="3305">
        <v>0</v>
      </c>
      <c r="L305" s="3306">
        <v>0</v>
      </c>
      <c r="M305" s="3307">
        <v>0</v>
      </c>
      <c r="N305" s="3305">
        <v>0</v>
      </c>
      <c r="O305" s="3305">
        <v>0</v>
      </c>
      <c r="P305" s="3305">
        <v>0</v>
      </c>
      <c r="Q305" s="3308">
        <v>0</v>
      </c>
    </row>
    <row r="306" spans="2:17">
      <c r="B306" s="3260" t="s">
        <v>680</v>
      </c>
      <c r="C306" s="3268"/>
      <c r="D306" s="3269"/>
      <c r="E306" s="3269"/>
      <c r="F306" s="3269"/>
      <c r="G306" s="3270"/>
      <c r="H306" s="3268"/>
      <c r="I306" s="3305">
        <v>0</v>
      </c>
      <c r="J306" s="3305">
        <v>0</v>
      </c>
      <c r="K306" s="3305">
        <v>0</v>
      </c>
      <c r="L306" s="3306">
        <v>0</v>
      </c>
      <c r="M306" s="3307">
        <v>0</v>
      </c>
      <c r="N306" s="3305">
        <v>0</v>
      </c>
      <c r="O306" s="3305">
        <v>0</v>
      </c>
      <c r="P306" s="3305">
        <v>0</v>
      </c>
      <c r="Q306" s="3308">
        <v>0</v>
      </c>
    </row>
    <row r="307" spans="2:17">
      <c r="B307" s="3260" t="s">
        <v>681</v>
      </c>
      <c r="C307" s="3268"/>
      <c r="D307" s="3269"/>
      <c r="E307" s="3269"/>
      <c r="F307" s="3269"/>
      <c r="G307" s="3270"/>
      <c r="H307" s="3268"/>
      <c r="I307" s="3305">
        <v>5.1869999999999994</v>
      </c>
      <c r="J307" s="3305">
        <v>5.1869999999999994</v>
      </c>
      <c r="K307" s="3305">
        <v>5.2907399999999996</v>
      </c>
      <c r="L307" s="3306">
        <v>5.3965547999999997</v>
      </c>
      <c r="M307" s="3307">
        <v>5.5044858959999994</v>
      </c>
      <c r="N307" s="3305">
        <v>5.6145756139199996</v>
      </c>
      <c r="O307" s="3305">
        <v>5.7268671261983997</v>
      </c>
      <c r="P307" s="3305">
        <v>5.8414044687223674</v>
      </c>
      <c r="Q307" s="3308">
        <v>5.9582325580968147</v>
      </c>
    </row>
    <row r="308" spans="2:17">
      <c r="B308" s="3260" t="s">
        <v>682</v>
      </c>
      <c r="C308" s="3268"/>
      <c r="D308" s="3269"/>
      <c r="E308" s="3269"/>
      <c r="F308" s="3269"/>
      <c r="G308" s="3270"/>
      <c r="H308" s="3268"/>
      <c r="I308" s="3305">
        <v>0</v>
      </c>
      <c r="J308" s="3305">
        <v>0</v>
      </c>
      <c r="K308" s="3305">
        <v>0</v>
      </c>
      <c r="L308" s="3306">
        <v>0</v>
      </c>
      <c r="M308" s="3307">
        <v>0</v>
      </c>
      <c r="N308" s="3305">
        <v>0</v>
      </c>
      <c r="O308" s="3305">
        <v>0</v>
      </c>
      <c r="P308" s="3305">
        <v>0</v>
      </c>
      <c r="Q308" s="3308">
        <v>0</v>
      </c>
    </row>
    <row r="309" spans="2:17">
      <c r="B309" s="3260" t="s">
        <v>66</v>
      </c>
      <c r="C309" s="3268"/>
      <c r="D309" s="3269"/>
      <c r="E309" s="3269"/>
      <c r="F309" s="3269"/>
      <c r="G309" s="3270"/>
      <c r="H309" s="3268"/>
      <c r="I309" s="3305">
        <v>0</v>
      </c>
      <c r="J309" s="3305">
        <v>0</v>
      </c>
      <c r="K309" s="3305">
        <v>0</v>
      </c>
      <c r="L309" s="3306">
        <v>0</v>
      </c>
      <c r="M309" s="3307">
        <v>0</v>
      </c>
      <c r="N309" s="3305">
        <v>0</v>
      </c>
      <c r="O309" s="3305">
        <v>0</v>
      </c>
      <c r="P309" s="3305">
        <v>0</v>
      </c>
      <c r="Q309" s="3308">
        <v>0</v>
      </c>
    </row>
    <row r="310" spans="2:17" ht="13.5" thickBot="1">
      <c r="B310" s="3260" t="s">
        <v>67</v>
      </c>
      <c r="C310" s="3268"/>
      <c r="D310" s="3269"/>
      <c r="E310" s="3269"/>
      <c r="F310" s="3269"/>
      <c r="G310" s="3270"/>
      <c r="H310" s="3268"/>
      <c r="I310" s="3305">
        <v>19.307000000000002</v>
      </c>
      <c r="J310" s="3305">
        <v>19.307000000000002</v>
      </c>
      <c r="K310" s="3305">
        <v>19.307000000000002</v>
      </c>
      <c r="L310" s="3306">
        <v>19.307000000000002</v>
      </c>
      <c r="M310" s="3309">
        <v>19.307000000000002</v>
      </c>
      <c r="N310" s="3310">
        <v>19.307000000000002</v>
      </c>
      <c r="O310" s="3310">
        <v>19.307000000000002</v>
      </c>
      <c r="P310" s="3310">
        <v>19.307000000000002</v>
      </c>
      <c r="Q310" s="3311">
        <v>19.307000000000002</v>
      </c>
    </row>
    <row r="311" spans="2:17" ht="12.75" customHeight="1">
      <c r="B311" s="4689">
        <v>3027</v>
      </c>
      <c r="C311" s="4691" t="s">
        <v>36</v>
      </c>
      <c r="D311" s="4692"/>
      <c r="E311" s="4692"/>
      <c r="F311" s="4692"/>
      <c r="G311" s="4692"/>
      <c r="H311" s="4693" t="s">
        <v>37</v>
      </c>
      <c r="I311" s="4694"/>
      <c r="J311" s="4694"/>
      <c r="K311" s="4694"/>
      <c r="L311" s="4694"/>
      <c r="M311" s="4695" t="s">
        <v>73</v>
      </c>
      <c r="N311" s="4695"/>
      <c r="O311" s="4695"/>
      <c r="P311" s="4695"/>
      <c r="Q311" s="4696"/>
    </row>
    <row r="312" spans="2:17" ht="12.75" customHeight="1">
      <c r="B312" s="4690"/>
      <c r="C312" s="4697" t="s">
        <v>1673</v>
      </c>
      <c r="D312" s="4698"/>
      <c r="E312" s="4698"/>
      <c r="F312" s="4698"/>
      <c r="G312" s="4698"/>
      <c r="H312" s="4698"/>
      <c r="I312" s="4698"/>
      <c r="J312" s="4698"/>
      <c r="K312" s="4698"/>
      <c r="L312" s="4698"/>
      <c r="M312" s="4698"/>
      <c r="N312" s="4698"/>
      <c r="O312" s="4698"/>
      <c r="P312" s="4698"/>
      <c r="Q312" s="4699"/>
    </row>
    <row r="313" spans="2:17" ht="12.75" customHeight="1">
      <c r="B313" s="4690"/>
      <c r="C313" s="4697" t="s">
        <v>54</v>
      </c>
      <c r="D313" s="4698"/>
      <c r="E313" s="4698"/>
      <c r="F313" s="4698"/>
      <c r="G313" s="4698"/>
      <c r="H313" s="4698"/>
      <c r="I313" s="4698"/>
      <c r="J313" s="4700"/>
      <c r="K313" s="4701" t="s">
        <v>55</v>
      </c>
      <c r="L313" s="4702"/>
      <c r="M313" s="4702"/>
      <c r="N313" s="4702"/>
      <c r="O313" s="4702"/>
      <c r="P313" s="4702"/>
      <c r="Q313" s="4703"/>
    </row>
    <row r="314" spans="2:17" ht="13.5" customHeight="1" thickBot="1">
      <c r="B314" s="4690"/>
      <c r="C314" s="3252">
        <f t="array" ref="C314:G314">PRCP</f>
        <v>2008</v>
      </c>
      <c r="D314" s="3253">
        <v>2009</v>
      </c>
      <c r="E314" s="3253">
        <v>2010</v>
      </c>
      <c r="F314" s="3253">
        <v>2011</v>
      </c>
      <c r="G314" s="3253">
        <v>2012</v>
      </c>
      <c r="H314" s="3254">
        <f>CRCP_y1</f>
        <v>2013</v>
      </c>
      <c r="I314" s="3254">
        <f>CRCP_y2</f>
        <v>2014</v>
      </c>
      <c r="J314" s="3254">
        <f>CRCP_y3</f>
        <v>2015</v>
      </c>
      <c r="K314" s="3254">
        <f>CRCP_y4</f>
        <v>2016</v>
      </c>
      <c r="L314" s="3254">
        <f>CRCP_y5</f>
        <v>2017</v>
      </c>
      <c r="M314" s="3253" t="str">
        <f t="array" ref="M314:Q314">FRCP</f>
        <v>2018</v>
      </c>
      <c r="N314" s="3253">
        <v>2019</v>
      </c>
      <c r="O314" s="3253">
        <v>2020</v>
      </c>
      <c r="P314" s="3253">
        <v>2021</v>
      </c>
      <c r="Q314" s="3255">
        <v>2022</v>
      </c>
    </row>
    <row r="315" spans="2:17">
      <c r="B315" s="3256" t="s">
        <v>1683</v>
      </c>
      <c r="C315" s="3257"/>
      <c r="D315" s="3258"/>
      <c r="E315" s="3258"/>
      <c r="F315" s="3258"/>
      <c r="G315" s="3259"/>
      <c r="H315" s="3257"/>
      <c r="I315" s="3258"/>
      <c r="J315" s="3258"/>
      <c r="K315" s="3258"/>
      <c r="L315" s="3258"/>
      <c r="M315" s="3257"/>
      <c r="N315" s="3258"/>
      <c r="O315" s="3258"/>
      <c r="P315" s="3258"/>
      <c r="Q315" s="3259"/>
    </row>
    <row r="316" spans="2:17">
      <c r="B316" s="3260"/>
      <c r="C316" s="3268"/>
      <c r="D316" s="3269"/>
      <c r="E316" s="3269"/>
      <c r="F316" s="3269"/>
      <c r="G316" s="3270"/>
      <c r="H316" s="3268"/>
      <c r="I316" s="3305"/>
      <c r="J316" s="3305"/>
      <c r="K316" s="3305"/>
      <c r="L316" s="3306"/>
      <c r="M316" s="3307"/>
      <c r="N316" s="3305"/>
      <c r="O316" s="3305"/>
      <c r="P316" s="3305"/>
      <c r="Q316" s="3308"/>
    </row>
    <row r="317" spans="2:17">
      <c r="B317" s="3260" t="s">
        <v>64</v>
      </c>
      <c r="C317" s="3268"/>
      <c r="D317" s="3269"/>
      <c r="E317" s="3269"/>
      <c r="F317" s="3269"/>
      <c r="G317" s="3270"/>
      <c r="H317" s="3268"/>
      <c r="I317" s="3305">
        <v>0</v>
      </c>
      <c r="J317" s="3305">
        <v>0</v>
      </c>
      <c r="K317" s="3305">
        <v>0</v>
      </c>
      <c r="L317" s="3306">
        <v>0</v>
      </c>
      <c r="M317" s="3307">
        <v>0</v>
      </c>
      <c r="N317" s="3305">
        <v>0</v>
      </c>
      <c r="O317" s="3305">
        <v>0</v>
      </c>
      <c r="P317" s="3305">
        <v>0</v>
      </c>
      <c r="Q317" s="3308">
        <v>0</v>
      </c>
    </row>
    <row r="318" spans="2:17">
      <c r="B318" s="3260" t="s">
        <v>65</v>
      </c>
      <c r="C318" s="3268"/>
      <c r="D318" s="3269"/>
      <c r="E318" s="3269"/>
      <c r="F318" s="3269"/>
      <c r="G318" s="3270"/>
      <c r="H318" s="3268"/>
      <c r="I318" s="3305">
        <v>0</v>
      </c>
      <c r="J318" s="3305">
        <v>0</v>
      </c>
      <c r="K318" s="3305">
        <v>0</v>
      </c>
      <c r="L318" s="3306">
        <v>0</v>
      </c>
      <c r="M318" s="3307">
        <v>0</v>
      </c>
      <c r="N318" s="3305">
        <v>0</v>
      </c>
      <c r="O318" s="3305">
        <v>0</v>
      </c>
      <c r="P318" s="3305">
        <v>0</v>
      </c>
      <c r="Q318" s="3308">
        <v>0</v>
      </c>
    </row>
    <row r="319" spans="2:17">
      <c r="B319" s="3260" t="s">
        <v>82</v>
      </c>
      <c r="C319" s="3268"/>
      <c r="D319" s="3269"/>
      <c r="E319" s="3269"/>
      <c r="F319" s="3269"/>
      <c r="G319" s="3270"/>
      <c r="H319" s="3268"/>
      <c r="I319" s="3305">
        <v>0</v>
      </c>
      <c r="J319" s="3305">
        <v>0</v>
      </c>
      <c r="K319" s="3305">
        <v>0</v>
      </c>
      <c r="L319" s="3306">
        <v>0</v>
      </c>
      <c r="M319" s="3307">
        <v>0</v>
      </c>
      <c r="N319" s="3305">
        <v>0</v>
      </c>
      <c r="O319" s="3305">
        <v>0</v>
      </c>
      <c r="P319" s="3305">
        <v>0</v>
      </c>
      <c r="Q319" s="3308">
        <v>0</v>
      </c>
    </row>
    <row r="320" spans="2:17">
      <c r="B320" s="3260" t="s">
        <v>680</v>
      </c>
      <c r="C320" s="3268"/>
      <c r="D320" s="3269"/>
      <c r="E320" s="3269"/>
      <c r="F320" s="3269"/>
      <c r="G320" s="3270"/>
      <c r="H320" s="3268"/>
      <c r="I320" s="3305">
        <v>0</v>
      </c>
      <c r="J320" s="3305">
        <v>0</v>
      </c>
      <c r="K320" s="3305">
        <v>0</v>
      </c>
      <c r="L320" s="3306">
        <v>0</v>
      </c>
      <c r="M320" s="3307">
        <v>0</v>
      </c>
      <c r="N320" s="3305">
        <v>0</v>
      </c>
      <c r="O320" s="3305">
        <v>0</v>
      </c>
      <c r="P320" s="3305">
        <v>0</v>
      </c>
      <c r="Q320" s="3308">
        <v>0</v>
      </c>
    </row>
    <row r="321" spans="2:17">
      <c r="B321" s="3260" t="s">
        <v>681</v>
      </c>
      <c r="C321" s="3268"/>
      <c r="D321" s="3269"/>
      <c r="E321" s="3269"/>
      <c r="F321" s="3269"/>
      <c r="G321" s="3270"/>
      <c r="H321" s="3268"/>
      <c r="I321" s="3305">
        <v>35.174000000000021</v>
      </c>
      <c r="J321" s="3305">
        <v>40.227999999999994</v>
      </c>
      <c r="K321" s="3305">
        <v>40.227999999999994</v>
      </c>
      <c r="L321" s="3306">
        <v>40.227999999999994</v>
      </c>
      <c r="M321" s="3307">
        <v>40.227999999999994</v>
      </c>
      <c r="N321" s="3305">
        <v>40.227999999999994</v>
      </c>
      <c r="O321" s="3305">
        <v>40.227999999999994</v>
      </c>
      <c r="P321" s="3305">
        <v>40.227999999999994</v>
      </c>
      <c r="Q321" s="3308">
        <v>40.227999999999994</v>
      </c>
    </row>
    <row r="322" spans="2:17">
      <c r="B322" s="3260" t="s">
        <v>682</v>
      </c>
      <c r="C322" s="3268"/>
      <c r="D322" s="3269"/>
      <c r="E322" s="3269"/>
      <c r="F322" s="3269"/>
      <c r="G322" s="3270"/>
      <c r="H322" s="3268"/>
      <c r="I322" s="3305">
        <v>0</v>
      </c>
      <c r="J322" s="3305">
        <v>0</v>
      </c>
      <c r="K322" s="3305">
        <v>0</v>
      </c>
      <c r="L322" s="3306">
        <v>0</v>
      </c>
      <c r="M322" s="3307">
        <v>0</v>
      </c>
      <c r="N322" s="3305">
        <v>0</v>
      </c>
      <c r="O322" s="3305">
        <v>0</v>
      </c>
      <c r="P322" s="3305">
        <v>0</v>
      </c>
      <c r="Q322" s="3308">
        <v>0</v>
      </c>
    </row>
    <row r="323" spans="2:17">
      <c r="B323" s="3260" t="s">
        <v>66</v>
      </c>
      <c r="C323" s="3268"/>
      <c r="D323" s="3269"/>
      <c r="E323" s="3269"/>
      <c r="F323" s="3269"/>
      <c r="G323" s="3270"/>
      <c r="H323" s="3268"/>
      <c r="I323" s="3305">
        <v>0</v>
      </c>
      <c r="J323" s="3305">
        <v>0</v>
      </c>
      <c r="K323" s="3305">
        <v>0</v>
      </c>
      <c r="L323" s="3306">
        <v>0</v>
      </c>
      <c r="M323" s="3307">
        <v>0</v>
      </c>
      <c r="N323" s="3305">
        <v>0</v>
      </c>
      <c r="O323" s="3305">
        <v>0</v>
      </c>
      <c r="P323" s="3305">
        <v>0</v>
      </c>
      <c r="Q323" s="3308">
        <v>0</v>
      </c>
    </row>
    <row r="324" spans="2:17" ht="13.5" thickBot="1">
      <c r="B324" s="3260" t="s">
        <v>67</v>
      </c>
      <c r="C324" s="3268"/>
      <c r="D324" s="3269"/>
      <c r="E324" s="3269"/>
      <c r="F324" s="3269"/>
      <c r="G324" s="3270"/>
      <c r="H324" s="3268"/>
      <c r="I324" s="3305">
        <v>2.8459999999999996</v>
      </c>
      <c r="J324" s="3305">
        <v>2.8459999999999996</v>
      </c>
      <c r="K324" s="3305">
        <v>2.8459999999999996</v>
      </c>
      <c r="L324" s="3306">
        <v>2.8459999999999996</v>
      </c>
      <c r="M324" s="3309">
        <v>2.8459999999999996</v>
      </c>
      <c r="N324" s="3310">
        <v>2.8459999999999996</v>
      </c>
      <c r="O324" s="3310">
        <v>2.8459999999999996</v>
      </c>
      <c r="P324" s="3310">
        <v>2.8459999999999996</v>
      </c>
      <c r="Q324" s="3311">
        <v>2.8459999999999996</v>
      </c>
    </row>
    <row r="325" spans="2:17" ht="12.75" customHeight="1">
      <c r="B325" s="4689">
        <v>3028</v>
      </c>
      <c r="C325" s="4691" t="s">
        <v>36</v>
      </c>
      <c r="D325" s="4692"/>
      <c r="E325" s="4692"/>
      <c r="F325" s="4692"/>
      <c r="G325" s="4692"/>
      <c r="H325" s="4693" t="s">
        <v>37</v>
      </c>
      <c r="I325" s="4694"/>
      <c r="J325" s="4694"/>
      <c r="K325" s="4694"/>
      <c r="L325" s="4694"/>
      <c r="M325" s="4695" t="s">
        <v>73</v>
      </c>
      <c r="N325" s="4695"/>
      <c r="O325" s="4695"/>
      <c r="P325" s="4695"/>
      <c r="Q325" s="4696"/>
    </row>
    <row r="326" spans="2:17" ht="12.75" customHeight="1">
      <c r="B326" s="4690"/>
      <c r="C326" s="4697" t="s">
        <v>1673</v>
      </c>
      <c r="D326" s="4698"/>
      <c r="E326" s="4698"/>
      <c r="F326" s="4698"/>
      <c r="G326" s="4698"/>
      <c r="H326" s="4698"/>
      <c r="I326" s="4698"/>
      <c r="J326" s="4698"/>
      <c r="K326" s="4698"/>
      <c r="L326" s="4698"/>
      <c r="M326" s="4698"/>
      <c r="N326" s="4698"/>
      <c r="O326" s="4698"/>
      <c r="P326" s="4698"/>
      <c r="Q326" s="4699"/>
    </row>
    <row r="327" spans="2:17" ht="12.75" customHeight="1">
      <c r="B327" s="4690"/>
      <c r="C327" s="4697" t="s">
        <v>54</v>
      </c>
      <c r="D327" s="4698"/>
      <c r="E327" s="4698"/>
      <c r="F327" s="4698"/>
      <c r="G327" s="4698"/>
      <c r="H327" s="4698"/>
      <c r="I327" s="4698"/>
      <c r="J327" s="4700"/>
      <c r="K327" s="4701" t="s">
        <v>55</v>
      </c>
      <c r="L327" s="4702"/>
      <c r="M327" s="4702"/>
      <c r="N327" s="4702"/>
      <c r="O327" s="4702"/>
      <c r="P327" s="4702"/>
      <c r="Q327" s="4703"/>
    </row>
    <row r="328" spans="2:17" ht="13.5" customHeight="1" thickBot="1">
      <c r="B328" s="4690"/>
      <c r="C328" s="3252">
        <f t="array" ref="C328:G328">PRCP</f>
        <v>2008</v>
      </c>
      <c r="D328" s="3253">
        <v>2009</v>
      </c>
      <c r="E328" s="3253">
        <v>2010</v>
      </c>
      <c r="F328" s="3253">
        <v>2011</v>
      </c>
      <c r="G328" s="3253">
        <v>2012</v>
      </c>
      <c r="H328" s="3254">
        <f>CRCP_y1</f>
        <v>2013</v>
      </c>
      <c r="I328" s="3254">
        <f>CRCP_y2</f>
        <v>2014</v>
      </c>
      <c r="J328" s="3254">
        <f>CRCP_y3</f>
        <v>2015</v>
      </c>
      <c r="K328" s="3254">
        <f>CRCP_y4</f>
        <v>2016</v>
      </c>
      <c r="L328" s="3254">
        <f>CRCP_y5</f>
        <v>2017</v>
      </c>
      <c r="M328" s="3253" t="str">
        <f t="array" ref="M328:Q328">FRCP</f>
        <v>2018</v>
      </c>
      <c r="N328" s="3253">
        <v>2019</v>
      </c>
      <c r="O328" s="3253">
        <v>2020</v>
      </c>
      <c r="P328" s="3253">
        <v>2021</v>
      </c>
      <c r="Q328" s="3255">
        <v>2022</v>
      </c>
    </row>
    <row r="329" spans="2:17">
      <c r="B329" s="3256" t="s">
        <v>1684</v>
      </c>
      <c r="C329" s="3257"/>
      <c r="D329" s="3258"/>
      <c r="E329" s="3258"/>
      <c r="F329" s="3258"/>
      <c r="G329" s="3259"/>
      <c r="H329" s="3257"/>
      <c r="I329" s="3258"/>
      <c r="J329" s="3258"/>
      <c r="K329" s="3258"/>
      <c r="L329" s="3258"/>
      <c r="M329" s="3257"/>
      <c r="N329" s="3258"/>
      <c r="O329" s="3258"/>
      <c r="P329" s="3258"/>
      <c r="Q329" s="3259"/>
    </row>
    <row r="330" spans="2:17">
      <c r="B330" s="3260"/>
      <c r="C330" s="3268"/>
      <c r="D330" s="3269"/>
      <c r="E330" s="3269"/>
      <c r="F330" s="3269"/>
      <c r="G330" s="3270"/>
      <c r="H330" s="3268"/>
      <c r="I330" s="3269"/>
      <c r="J330" s="3269"/>
      <c r="K330" s="3269"/>
      <c r="L330" s="3271"/>
      <c r="M330" s="3268"/>
      <c r="N330" s="3269"/>
      <c r="O330" s="3269"/>
      <c r="P330" s="3269"/>
      <c r="Q330" s="3270"/>
    </row>
    <row r="331" spans="2:17">
      <c r="B331" s="3260" t="s">
        <v>64</v>
      </c>
      <c r="C331" s="3268"/>
      <c r="D331" s="3269"/>
      <c r="E331" s="3269"/>
      <c r="F331" s="3269"/>
      <c r="G331" s="3270"/>
      <c r="H331" s="3268"/>
      <c r="I331" s="3305">
        <v>0</v>
      </c>
      <c r="J331" s="3305">
        <v>0</v>
      </c>
      <c r="K331" s="3305">
        <v>0</v>
      </c>
      <c r="L331" s="3306">
        <v>0</v>
      </c>
      <c r="M331" s="3307">
        <v>0</v>
      </c>
      <c r="N331" s="3305">
        <v>0</v>
      </c>
      <c r="O331" s="3305">
        <v>0</v>
      </c>
      <c r="P331" s="3305">
        <v>0</v>
      </c>
      <c r="Q331" s="3308">
        <v>0</v>
      </c>
    </row>
    <row r="332" spans="2:17">
      <c r="B332" s="3260" t="s">
        <v>65</v>
      </c>
      <c r="C332" s="3268"/>
      <c r="D332" s="3269"/>
      <c r="E332" s="3269"/>
      <c r="F332" s="3269"/>
      <c r="G332" s="3270"/>
      <c r="H332" s="3268"/>
      <c r="I332" s="3305">
        <v>0</v>
      </c>
      <c r="J332" s="3305">
        <v>0</v>
      </c>
      <c r="K332" s="3305">
        <v>0</v>
      </c>
      <c r="L332" s="3306">
        <v>0</v>
      </c>
      <c r="M332" s="3307">
        <v>0</v>
      </c>
      <c r="N332" s="3305">
        <v>0</v>
      </c>
      <c r="O332" s="3305">
        <v>0</v>
      </c>
      <c r="P332" s="3305">
        <v>0</v>
      </c>
      <c r="Q332" s="3308">
        <v>0</v>
      </c>
    </row>
    <row r="333" spans="2:17">
      <c r="B333" s="3260" t="s">
        <v>82</v>
      </c>
      <c r="C333" s="3268"/>
      <c r="D333" s="3269"/>
      <c r="E333" s="3269"/>
      <c r="F333" s="3269"/>
      <c r="G333" s="3270"/>
      <c r="H333" s="3268"/>
      <c r="I333" s="3305">
        <v>0</v>
      </c>
      <c r="J333" s="3305">
        <v>0</v>
      </c>
      <c r="K333" s="3305">
        <v>0</v>
      </c>
      <c r="L333" s="3306">
        <v>0</v>
      </c>
      <c r="M333" s="3307">
        <v>0</v>
      </c>
      <c r="N333" s="3305">
        <v>0</v>
      </c>
      <c r="O333" s="3305">
        <v>0</v>
      </c>
      <c r="P333" s="3305">
        <v>0</v>
      </c>
      <c r="Q333" s="3308">
        <v>0</v>
      </c>
    </row>
    <row r="334" spans="2:17">
      <c r="B334" s="3260" t="s">
        <v>680</v>
      </c>
      <c r="C334" s="3268"/>
      <c r="D334" s="3269"/>
      <c r="E334" s="3269"/>
      <c r="F334" s="3269"/>
      <c r="G334" s="3270"/>
      <c r="H334" s="3268"/>
      <c r="I334" s="3305">
        <v>0</v>
      </c>
      <c r="J334" s="3305">
        <v>0</v>
      </c>
      <c r="K334" s="3305">
        <v>0</v>
      </c>
      <c r="L334" s="3306">
        <v>0</v>
      </c>
      <c r="M334" s="3307">
        <v>0</v>
      </c>
      <c r="N334" s="3305">
        <v>0</v>
      </c>
      <c r="O334" s="3305">
        <v>0</v>
      </c>
      <c r="P334" s="3305">
        <v>0</v>
      </c>
      <c r="Q334" s="3308">
        <v>0</v>
      </c>
    </row>
    <row r="335" spans="2:17">
      <c r="B335" s="3260" t="s">
        <v>681</v>
      </c>
      <c r="C335" s="3268"/>
      <c r="D335" s="3269"/>
      <c r="E335" s="3269"/>
      <c r="F335" s="3269"/>
      <c r="G335" s="3270"/>
      <c r="H335" s="3268"/>
      <c r="I335" s="3305">
        <v>77.576000000000093</v>
      </c>
      <c r="J335" s="3305">
        <v>77.580000000000112</v>
      </c>
      <c r="K335" s="3305">
        <v>77.580000000000112</v>
      </c>
      <c r="L335" s="3306">
        <v>77.580000000000112</v>
      </c>
      <c r="M335" s="3307">
        <v>77.580000000000112</v>
      </c>
      <c r="N335" s="3305">
        <v>77.580000000000112</v>
      </c>
      <c r="O335" s="3305">
        <v>77.580000000000112</v>
      </c>
      <c r="P335" s="3305">
        <v>77.580000000000112</v>
      </c>
      <c r="Q335" s="3308">
        <v>77.580000000000112</v>
      </c>
    </row>
    <row r="336" spans="2:17">
      <c r="B336" s="3260" t="s">
        <v>682</v>
      </c>
      <c r="C336" s="3268"/>
      <c r="D336" s="3269"/>
      <c r="E336" s="3269"/>
      <c r="F336" s="3269"/>
      <c r="G336" s="3270"/>
      <c r="H336" s="3268"/>
      <c r="I336" s="3305">
        <v>0</v>
      </c>
      <c r="J336" s="3305">
        <v>0</v>
      </c>
      <c r="K336" s="3305">
        <v>0</v>
      </c>
      <c r="L336" s="3306">
        <v>0</v>
      </c>
      <c r="M336" s="3307">
        <v>0</v>
      </c>
      <c r="N336" s="3305">
        <v>0</v>
      </c>
      <c r="O336" s="3305">
        <v>0</v>
      </c>
      <c r="P336" s="3305">
        <v>0</v>
      </c>
      <c r="Q336" s="3308">
        <v>0</v>
      </c>
    </row>
    <row r="337" spans="2:17">
      <c r="B337" s="3260" t="s">
        <v>66</v>
      </c>
      <c r="C337" s="3268"/>
      <c r="D337" s="3269"/>
      <c r="E337" s="3269"/>
      <c r="F337" s="3269"/>
      <c r="G337" s="3270"/>
      <c r="H337" s="3268"/>
      <c r="I337" s="3305">
        <v>1.2E-2</v>
      </c>
      <c r="J337" s="3305">
        <v>1.2E-2</v>
      </c>
      <c r="K337" s="3305">
        <v>1.2E-2</v>
      </c>
      <c r="L337" s="3306">
        <v>1.2E-2</v>
      </c>
      <c r="M337" s="3307">
        <v>1.2E-2</v>
      </c>
      <c r="N337" s="3305">
        <v>1.2E-2</v>
      </c>
      <c r="O337" s="3305">
        <v>1.2E-2</v>
      </c>
      <c r="P337" s="3305">
        <v>1.2E-2</v>
      </c>
      <c r="Q337" s="3308">
        <v>1.2E-2</v>
      </c>
    </row>
    <row r="338" spans="2:17" ht="13.5" thickBot="1">
      <c r="B338" s="3260" t="s">
        <v>67</v>
      </c>
      <c r="C338" s="3268"/>
      <c r="D338" s="3269"/>
      <c r="E338" s="3269"/>
      <c r="F338" s="3269"/>
      <c r="G338" s="3270"/>
      <c r="H338" s="3268"/>
      <c r="I338" s="3305">
        <v>49.082000000000015</v>
      </c>
      <c r="J338" s="3305">
        <v>49.082000000000008</v>
      </c>
      <c r="K338" s="3305">
        <v>49.082000000000008</v>
      </c>
      <c r="L338" s="3306">
        <v>49.082000000000008</v>
      </c>
      <c r="M338" s="3309">
        <v>49.082000000000008</v>
      </c>
      <c r="N338" s="3310">
        <v>49.082000000000008</v>
      </c>
      <c r="O338" s="3310">
        <v>49.082000000000008</v>
      </c>
      <c r="P338" s="3310">
        <v>49.082000000000008</v>
      </c>
      <c r="Q338" s="3311">
        <v>49.082000000000008</v>
      </c>
    </row>
    <row r="339" spans="2:17" ht="12.75" customHeight="1">
      <c r="B339" s="4689">
        <v>3029</v>
      </c>
      <c r="C339" s="4691" t="s">
        <v>36</v>
      </c>
      <c r="D339" s="4692"/>
      <c r="E339" s="4692"/>
      <c r="F339" s="4692"/>
      <c r="G339" s="4692"/>
      <c r="H339" s="4693" t="s">
        <v>37</v>
      </c>
      <c r="I339" s="4694"/>
      <c r="J339" s="4694"/>
      <c r="K339" s="4694"/>
      <c r="L339" s="4694"/>
      <c r="M339" s="4695" t="s">
        <v>73</v>
      </c>
      <c r="N339" s="4695"/>
      <c r="O339" s="4695"/>
      <c r="P339" s="4695"/>
      <c r="Q339" s="4696"/>
    </row>
    <row r="340" spans="2:17" ht="12.75" customHeight="1">
      <c r="B340" s="4690"/>
      <c r="C340" s="4697" t="s">
        <v>1673</v>
      </c>
      <c r="D340" s="4698"/>
      <c r="E340" s="4698"/>
      <c r="F340" s="4698"/>
      <c r="G340" s="4698"/>
      <c r="H340" s="4698"/>
      <c r="I340" s="4698"/>
      <c r="J340" s="4698"/>
      <c r="K340" s="4698"/>
      <c r="L340" s="4698"/>
      <c r="M340" s="4698"/>
      <c r="N340" s="4698"/>
      <c r="O340" s="4698"/>
      <c r="P340" s="4698"/>
      <c r="Q340" s="4699"/>
    </row>
    <row r="341" spans="2:17" ht="12.75" customHeight="1">
      <c r="B341" s="4690"/>
      <c r="C341" s="4697" t="s">
        <v>54</v>
      </c>
      <c r="D341" s="4698"/>
      <c r="E341" s="4698"/>
      <c r="F341" s="4698"/>
      <c r="G341" s="4698"/>
      <c r="H341" s="4698"/>
      <c r="I341" s="4698"/>
      <c r="J341" s="4700"/>
      <c r="K341" s="4701" t="s">
        <v>55</v>
      </c>
      <c r="L341" s="4702"/>
      <c r="M341" s="4702"/>
      <c r="N341" s="4702"/>
      <c r="O341" s="4702"/>
      <c r="P341" s="4702"/>
      <c r="Q341" s="4703"/>
    </row>
    <row r="342" spans="2:17" ht="13.5" customHeight="1" thickBot="1">
      <c r="B342" s="4690"/>
      <c r="C342" s="3252">
        <f t="array" ref="C342:G342">PRCP</f>
        <v>2008</v>
      </c>
      <c r="D342" s="3253">
        <v>2009</v>
      </c>
      <c r="E342" s="3253">
        <v>2010</v>
      </c>
      <c r="F342" s="3253">
        <v>2011</v>
      </c>
      <c r="G342" s="3253">
        <v>2012</v>
      </c>
      <c r="H342" s="3254">
        <f>CRCP_y1</f>
        <v>2013</v>
      </c>
      <c r="I342" s="3254">
        <f>CRCP_y2</f>
        <v>2014</v>
      </c>
      <c r="J342" s="3254">
        <f>CRCP_y3</f>
        <v>2015</v>
      </c>
      <c r="K342" s="3254">
        <f>CRCP_y4</f>
        <v>2016</v>
      </c>
      <c r="L342" s="3254">
        <f>CRCP_y5</f>
        <v>2017</v>
      </c>
      <c r="M342" s="3253" t="str">
        <f t="array" ref="M342:Q342">FRCP</f>
        <v>2018</v>
      </c>
      <c r="N342" s="3253">
        <v>2019</v>
      </c>
      <c r="O342" s="3253">
        <v>2020</v>
      </c>
      <c r="P342" s="3253">
        <v>2021</v>
      </c>
      <c r="Q342" s="3255">
        <v>2022</v>
      </c>
    </row>
    <row r="343" spans="2:17">
      <c r="B343" s="3256" t="s">
        <v>1684</v>
      </c>
      <c r="C343" s="3257"/>
      <c r="D343" s="3258"/>
      <c r="E343" s="3258"/>
      <c r="F343" s="3258"/>
      <c r="G343" s="3259"/>
      <c r="H343" s="3257"/>
      <c r="I343" s="3258"/>
      <c r="J343" s="3258"/>
      <c r="K343" s="3258"/>
      <c r="L343" s="3258"/>
      <c r="M343" s="3257"/>
      <c r="N343" s="3258"/>
      <c r="O343" s="3258"/>
      <c r="P343" s="3258"/>
      <c r="Q343" s="3259"/>
    </row>
    <row r="344" spans="2:17">
      <c r="B344" s="3260"/>
      <c r="C344" s="3268"/>
      <c r="D344" s="3269"/>
      <c r="E344" s="3269"/>
      <c r="F344" s="3269"/>
      <c r="G344" s="3270"/>
      <c r="H344" s="3268"/>
      <c r="I344" s="3269"/>
      <c r="J344" s="3269"/>
      <c r="K344" s="3269"/>
      <c r="L344" s="3271"/>
      <c r="M344" s="3268"/>
      <c r="N344" s="3269"/>
      <c r="O344" s="3269"/>
      <c r="P344" s="3269"/>
      <c r="Q344" s="3270"/>
    </row>
    <row r="345" spans="2:17">
      <c r="B345" s="3260" t="s">
        <v>64</v>
      </c>
      <c r="C345" s="3268"/>
      <c r="D345" s="3269"/>
      <c r="E345" s="3269"/>
      <c r="F345" s="3269"/>
      <c r="G345" s="3270"/>
      <c r="H345" s="3268"/>
      <c r="I345" s="3305">
        <v>0</v>
      </c>
      <c r="J345" s="3305">
        <v>0</v>
      </c>
      <c r="K345" s="3305">
        <v>0</v>
      </c>
      <c r="L345" s="3306">
        <v>0</v>
      </c>
      <c r="M345" s="3307">
        <v>0</v>
      </c>
      <c r="N345" s="3305">
        <v>0</v>
      </c>
      <c r="O345" s="3305">
        <v>0</v>
      </c>
      <c r="P345" s="3305">
        <v>0</v>
      </c>
      <c r="Q345" s="3308">
        <v>0</v>
      </c>
    </row>
    <row r="346" spans="2:17">
      <c r="B346" s="3260" t="s">
        <v>65</v>
      </c>
      <c r="C346" s="3268"/>
      <c r="D346" s="3269"/>
      <c r="E346" s="3269"/>
      <c r="F346" s="3269"/>
      <c r="G346" s="3270"/>
      <c r="H346" s="3268"/>
      <c r="I346" s="3305">
        <v>0</v>
      </c>
      <c r="J346" s="3305">
        <v>0</v>
      </c>
      <c r="K346" s="3305">
        <v>0</v>
      </c>
      <c r="L346" s="3306">
        <v>0</v>
      </c>
      <c r="M346" s="3307">
        <v>0</v>
      </c>
      <c r="N346" s="3305">
        <v>0</v>
      </c>
      <c r="O346" s="3305">
        <v>0</v>
      </c>
      <c r="P346" s="3305">
        <v>0</v>
      </c>
      <c r="Q346" s="3308">
        <v>0</v>
      </c>
    </row>
    <row r="347" spans="2:17">
      <c r="B347" s="3260" t="s">
        <v>82</v>
      </c>
      <c r="C347" s="3268"/>
      <c r="D347" s="3269"/>
      <c r="E347" s="3269"/>
      <c r="F347" s="3269"/>
      <c r="G347" s="3270"/>
      <c r="H347" s="3268"/>
      <c r="I347" s="3305">
        <v>0</v>
      </c>
      <c r="J347" s="3305">
        <v>0</v>
      </c>
      <c r="K347" s="3305">
        <v>0</v>
      </c>
      <c r="L347" s="3306">
        <v>0</v>
      </c>
      <c r="M347" s="3307">
        <v>0</v>
      </c>
      <c r="N347" s="3305">
        <v>0</v>
      </c>
      <c r="O347" s="3305">
        <v>0</v>
      </c>
      <c r="P347" s="3305">
        <v>0</v>
      </c>
      <c r="Q347" s="3308">
        <v>0</v>
      </c>
    </row>
    <row r="348" spans="2:17">
      <c r="B348" s="3260" t="s">
        <v>680</v>
      </c>
      <c r="C348" s="3268"/>
      <c r="D348" s="3269"/>
      <c r="E348" s="3269"/>
      <c r="F348" s="3269"/>
      <c r="G348" s="3270"/>
      <c r="H348" s="3268"/>
      <c r="I348" s="3305">
        <v>0</v>
      </c>
      <c r="J348" s="3305">
        <v>0</v>
      </c>
      <c r="K348" s="3305">
        <v>0</v>
      </c>
      <c r="L348" s="3306">
        <v>0</v>
      </c>
      <c r="M348" s="3307">
        <v>0</v>
      </c>
      <c r="N348" s="3305">
        <v>0</v>
      </c>
      <c r="O348" s="3305">
        <v>0</v>
      </c>
      <c r="P348" s="3305">
        <v>0</v>
      </c>
      <c r="Q348" s="3308">
        <v>0</v>
      </c>
    </row>
    <row r="349" spans="2:17">
      <c r="B349" s="3260" t="s">
        <v>681</v>
      </c>
      <c r="C349" s="3268"/>
      <c r="D349" s="3269"/>
      <c r="E349" s="3269"/>
      <c r="F349" s="3269"/>
      <c r="G349" s="3270"/>
      <c r="H349" s="3268"/>
      <c r="I349" s="3305">
        <v>352.28799999999882</v>
      </c>
      <c r="J349" s="3305">
        <v>374.59199999999834</v>
      </c>
      <c r="K349" s="3305">
        <v>374.59199999999834</v>
      </c>
      <c r="L349" s="3306">
        <v>374.59199999999834</v>
      </c>
      <c r="M349" s="3307">
        <v>374.59199999999834</v>
      </c>
      <c r="N349" s="3305">
        <v>374.59199999999834</v>
      </c>
      <c r="O349" s="3305">
        <v>374.59199999999834</v>
      </c>
      <c r="P349" s="3305">
        <v>374.59199999999834</v>
      </c>
      <c r="Q349" s="3308">
        <v>374.59199999999834</v>
      </c>
    </row>
    <row r="350" spans="2:17">
      <c r="B350" s="3260" t="s">
        <v>682</v>
      </c>
      <c r="C350" s="3268"/>
      <c r="D350" s="3269"/>
      <c r="E350" s="3269"/>
      <c r="F350" s="3269"/>
      <c r="G350" s="3270"/>
      <c r="H350" s="3268"/>
      <c r="I350" s="3305">
        <v>2.3369999999999997</v>
      </c>
      <c r="J350" s="3305">
        <v>2.3369999999999997</v>
      </c>
      <c r="K350" s="3305">
        <v>2.3369999999999997</v>
      </c>
      <c r="L350" s="3306">
        <v>2.3369999999999997</v>
      </c>
      <c r="M350" s="3307">
        <v>2.3369999999999997</v>
      </c>
      <c r="N350" s="3305">
        <v>2.3369999999999997</v>
      </c>
      <c r="O350" s="3305">
        <v>2.3369999999999997</v>
      </c>
      <c r="P350" s="3305">
        <v>2.3369999999999997</v>
      </c>
      <c r="Q350" s="3308">
        <v>2.3369999999999997</v>
      </c>
    </row>
    <row r="351" spans="2:17">
      <c r="B351" s="3260" t="s">
        <v>66</v>
      </c>
      <c r="C351" s="3268"/>
      <c r="D351" s="3269"/>
      <c r="E351" s="3269"/>
      <c r="F351" s="3269"/>
      <c r="G351" s="3270"/>
      <c r="H351" s="3268"/>
      <c r="I351" s="3305">
        <v>0</v>
      </c>
      <c r="J351" s="3305">
        <v>0</v>
      </c>
      <c r="K351" s="3305">
        <v>0</v>
      </c>
      <c r="L351" s="3306">
        <v>0</v>
      </c>
      <c r="M351" s="3307">
        <v>0</v>
      </c>
      <c r="N351" s="3305">
        <v>0</v>
      </c>
      <c r="O351" s="3305">
        <v>0</v>
      </c>
      <c r="P351" s="3305">
        <v>0</v>
      </c>
      <c r="Q351" s="3308">
        <v>0</v>
      </c>
    </row>
    <row r="352" spans="2:17" ht="13.5" thickBot="1">
      <c r="B352" s="3260" t="s">
        <v>67</v>
      </c>
      <c r="C352" s="3268"/>
      <c r="D352" s="3269"/>
      <c r="E352" s="3269"/>
      <c r="F352" s="3269"/>
      <c r="G352" s="3270"/>
      <c r="H352" s="3268"/>
      <c r="I352" s="3305">
        <v>71.456000000000103</v>
      </c>
      <c r="J352" s="3305">
        <v>71.781000000000091</v>
      </c>
      <c r="K352" s="3305">
        <v>71.781000000000091</v>
      </c>
      <c r="L352" s="3306">
        <v>71.781000000000091</v>
      </c>
      <c r="M352" s="3309">
        <v>71.781000000000091</v>
      </c>
      <c r="N352" s="3310">
        <v>71.781000000000091</v>
      </c>
      <c r="O352" s="3310">
        <v>71.781000000000091</v>
      </c>
      <c r="P352" s="3310">
        <v>71.781000000000091</v>
      </c>
      <c r="Q352" s="3311">
        <v>71.781000000000091</v>
      </c>
    </row>
    <row r="353" spans="2:17" ht="12.75" customHeight="1">
      <c r="B353" s="4689">
        <v>3030</v>
      </c>
      <c r="C353" s="4691" t="s">
        <v>36</v>
      </c>
      <c r="D353" s="4692"/>
      <c r="E353" s="4692"/>
      <c r="F353" s="4692"/>
      <c r="G353" s="4692"/>
      <c r="H353" s="4693" t="s">
        <v>37</v>
      </c>
      <c r="I353" s="4694"/>
      <c r="J353" s="4694"/>
      <c r="K353" s="4694"/>
      <c r="L353" s="4694"/>
      <c r="M353" s="4695" t="s">
        <v>73</v>
      </c>
      <c r="N353" s="4695"/>
      <c r="O353" s="4695"/>
      <c r="P353" s="4695"/>
      <c r="Q353" s="4696"/>
    </row>
    <row r="354" spans="2:17" ht="12.75" customHeight="1">
      <c r="B354" s="4690"/>
      <c r="C354" s="4697" t="s">
        <v>1673</v>
      </c>
      <c r="D354" s="4698"/>
      <c r="E354" s="4698"/>
      <c r="F354" s="4698"/>
      <c r="G354" s="4698"/>
      <c r="H354" s="4698"/>
      <c r="I354" s="4698"/>
      <c r="J354" s="4698"/>
      <c r="K354" s="4698"/>
      <c r="L354" s="4698"/>
      <c r="M354" s="4698"/>
      <c r="N354" s="4698"/>
      <c r="O354" s="4698"/>
      <c r="P354" s="4698"/>
      <c r="Q354" s="4699"/>
    </row>
    <row r="355" spans="2:17" ht="12.75" customHeight="1">
      <c r="B355" s="4690"/>
      <c r="C355" s="4697" t="s">
        <v>54</v>
      </c>
      <c r="D355" s="4698"/>
      <c r="E355" s="4698"/>
      <c r="F355" s="4698"/>
      <c r="G355" s="4698"/>
      <c r="H355" s="4698"/>
      <c r="I355" s="4698"/>
      <c r="J355" s="4700"/>
      <c r="K355" s="4701" t="s">
        <v>55</v>
      </c>
      <c r="L355" s="4702"/>
      <c r="M355" s="4702"/>
      <c r="N355" s="4702"/>
      <c r="O355" s="4702"/>
      <c r="P355" s="4702"/>
      <c r="Q355" s="4703"/>
    </row>
    <row r="356" spans="2:17" ht="13.5" customHeight="1" thickBot="1">
      <c r="B356" s="4690"/>
      <c r="C356" s="3252">
        <f t="array" ref="C356:G356">PRCP</f>
        <v>2008</v>
      </c>
      <c r="D356" s="3253">
        <v>2009</v>
      </c>
      <c r="E356" s="3253">
        <v>2010</v>
      </c>
      <c r="F356" s="3253">
        <v>2011</v>
      </c>
      <c r="G356" s="3253">
        <v>2012</v>
      </c>
      <c r="H356" s="3254">
        <f>CRCP_y1</f>
        <v>2013</v>
      </c>
      <c r="I356" s="3254">
        <f>CRCP_y2</f>
        <v>2014</v>
      </c>
      <c r="J356" s="3254">
        <f>CRCP_y3</f>
        <v>2015</v>
      </c>
      <c r="K356" s="3254">
        <f>CRCP_y4</f>
        <v>2016</v>
      </c>
      <c r="L356" s="3254">
        <f>CRCP_y5</f>
        <v>2017</v>
      </c>
      <c r="M356" s="3253" t="str">
        <f t="array" ref="M356:Q356">FRCP</f>
        <v>2018</v>
      </c>
      <c r="N356" s="3253">
        <v>2019</v>
      </c>
      <c r="O356" s="3253">
        <v>2020</v>
      </c>
      <c r="P356" s="3253">
        <v>2021</v>
      </c>
      <c r="Q356" s="3255">
        <v>2022</v>
      </c>
    </row>
    <row r="357" spans="2:17">
      <c r="B357" s="3256" t="s">
        <v>1685</v>
      </c>
      <c r="C357" s="3257"/>
      <c r="D357" s="3258"/>
      <c r="E357" s="3258"/>
      <c r="F357" s="3258"/>
      <c r="G357" s="3259"/>
      <c r="H357" s="3257"/>
      <c r="I357" s="3258"/>
      <c r="J357" s="3258"/>
      <c r="K357" s="3258"/>
      <c r="L357" s="3258"/>
      <c r="M357" s="3257"/>
      <c r="N357" s="3258"/>
      <c r="O357" s="3258"/>
      <c r="P357" s="3258"/>
      <c r="Q357" s="3259"/>
    </row>
    <row r="358" spans="2:17">
      <c r="B358" s="3260"/>
      <c r="C358" s="3268"/>
      <c r="D358" s="3269"/>
      <c r="E358" s="3269"/>
      <c r="F358" s="3269"/>
      <c r="G358" s="3270"/>
      <c r="H358" s="3268"/>
      <c r="I358" s="3269"/>
      <c r="J358" s="3269"/>
      <c r="K358" s="3269"/>
      <c r="L358" s="3271"/>
      <c r="M358" s="3268"/>
      <c r="N358" s="3269"/>
      <c r="O358" s="3269"/>
      <c r="P358" s="3269"/>
      <c r="Q358" s="3270"/>
    </row>
    <row r="359" spans="2:17">
      <c r="B359" s="3260" t="s">
        <v>64</v>
      </c>
      <c r="C359" s="3268"/>
      <c r="D359" s="3269"/>
      <c r="E359" s="3269"/>
      <c r="F359" s="3269"/>
      <c r="G359" s="3270"/>
      <c r="H359" s="3268"/>
      <c r="I359" s="3305">
        <v>0</v>
      </c>
      <c r="J359" s="3305">
        <v>0</v>
      </c>
      <c r="K359" s="3305">
        <v>0</v>
      </c>
      <c r="L359" s="3306">
        <v>0</v>
      </c>
      <c r="M359" s="3307">
        <v>0</v>
      </c>
      <c r="N359" s="3305">
        <v>0</v>
      </c>
      <c r="O359" s="3305">
        <v>0</v>
      </c>
      <c r="P359" s="3305">
        <v>0</v>
      </c>
      <c r="Q359" s="3308">
        <v>0</v>
      </c>
    </row>
    <row r="360" spans="2:17">
      <c r="B360" s="3260" t="s">
        <v>65</v>
      </c>
      <c r="C360" s="3268"/>
      <c r="D360" s="3269"/>
      <c r="E360" s="3269"/>
      <c r="F360" s="3269"/>
      <c r="G360" s="3270"/>
      <c r="H360" s="3268"/>
      <c r="I360" s="3305">
        <v>0</v>
      </c>
      <c r="J360" s="3305">
        <v>0</v>
      </c>
      <c r="K360" s="3305">
        <v>0</v>
      </c>
      <c r="L360" s="3306">
        <v>0</v>
      </c>
      <c r="M360" s="3307">
        <v>0</v>
      </c>
      <c r="N360" s="3305">
        <v>0</v>
      </c>
      <c r="O360" s="3305">
        <v>0</v>
      </c>
      <c r="P360" s="3305">
        <v>0</v>
      </c>
      <c r="Q360" s="3308">
        <v>0</v>
      </c>
    </row>
    <row r="361" spans="2:17">
      <c r="B361" s="3260" t="s">
        <v>82</v>
      </c>
      <c r="C361" s="3268"/>
      <c r="D361" s="3269"/>
      <c r="E361" s="3269"/>
      <c r="F361" s="3269"/>
      <c r="G361" s="3270"/>
      <c r="H361" s="3268"/>
      <c r="I361" s="3305">
        <v>0</v>
      </c>
      <c r="J361" s="3305">
        <v>0</v>
      </c>
      <c r="K361" s="3305">
        <v>0</v>
      </c>
      <c r="L361" s="3306">
        <v>0</v>
      </c>
      <c r="M361" s="3307">
        <v>0</v>
      </c>
      <c r="N361" s="3305">
        <v>0</v>
      </c>
      <c r="O361" s="3305">
        <v>0</v>
      </c>
      <c r="P361" s="3305">
        <v>0</v>
      </c>
      <c r="Q361" s="3308">
        <v>0</v>
      </c>
    </row>
    <row r="362" spans="2:17">
      <c r="B362" s="3260" t="s">
        <v>680</v>
      </c>
      <c r="C362" s="3268"/>
      <c r="D362" s="3269"/>
      <c r="E362" s="3269"/>
      <c r="F362" s="3269"/>
      <c r="G362" s="3270"/>
      <c r="H362" s="3268"/>
      <c r="I362" s="3305">
        <v>0</v>
      </c>
      <c r="J362" s="3305">
        <v>0</v>
      </c>
      <c r="K362" s="3305">
        <v>0</v>
      </c>
      <c r="L362" s="3306">
        <v>0</v>
      </c>
      <c r="M362" s="3307">
        <v>0</v>
      </c>
      <c r="N362" s="3305">
        <v>0</v>
      </c>
      <c r="O362" s="3305">
        <v>0</v>
      </c>
      <c r="P362" s="3305">
        <v>0</v>
      </c>
      <c r="Q362" s="3308">
        <v>0</v>
      </c>
    </row>
    <row r="363" spans="2:17">
      <c r="B363" s="3260" t="s">
        <v>681</v>
      </c>
      <c r="C363" s="3268"/>
      <c r="D363" s="3269"/>
      <c r="E363" s="3269"/>
      <c r="F363" s="3269"/>
      <c r="G363" s="3270"/>
      <c r="H363" s="3268"/>
      <c r="I363" s="3305">
        <v>417.50600000000054</v>
      </c>
      <c r="J363" s="3305">
        <v>436.46300000000065</v>
      </c>
      <c r="K363" s="3305">
        <v>445.19226000000066</v>
      </c>
      <c r="L363" s="3306">
        <v>454.09610520000069</v>
      </c>
      <c r="M363" s="3307">
        <v>463.17802730400069</v>
      </c>
      <c r="N363" s="3305">
        <v>472.44158785008074</v>
      </c>
      <c r="O363" s="3305">
        <v>481.89041960708238</v>
      </c>
      <c r="P363" s="3305">
        <v>491.52822799922404</v>
      </c>
      <c r="Q363" s="3308">
        <v>501.35879255920855</v>
      </c>
    </row>
    <row r="364" spans="2:17">
      <c r="B364" s="3260" t="s">
        <v>682</v>
      </c>
      <c r="C364" s="3268"/>
      <c r="D364" s="3269"/>
      <c r="E364" s="3269"/>
      <c r="F364" s="3269"/>
      <c r="G364" s="3270"/>
      <c r="H364" s="3268"/>
      <c r="I364" s="3305">
        <v>0</v>
      </c>
      <c r="J364" s="3305">
        <v>0</v>
      </c>
      <c r="K364" s="3305">
        <v>0</v>
      </c>
      <c r="L364" s="3306">
        <v>0</v>
      </c>
      <c r="M364" s="3307">
        <v>0</v>
      </c>
      <c r="N364" s="3305">
        <v>0</v>
      </c>
      <c r="O364" s="3305">
        <v>0</v>
      </c>
      <c r="P364" s="3305">
        <v>0</v>
      </c>
      <c r="Q364" s="3308">
        <v>0</v>
      </c>
    </row>
    <row r="365" spans="2:17">
      <c r="B365" s="3260" t="s">
        <v>66</v>
      </c>
      <c r="C365" s="3268"/>
      <c r="D365" s="3269"/>
      <c r="E365" s="3269"/>
      <c r="F365" s="3269"/>
      <c r="G365" s="3270"/>
      <c r="H365" s="3268"/>
      <c r="I365" s="3305">
        <v>0</v>
      </c>
      <c r="J365" s="3305">
        <v>0</v>
      </c>
      <c r="K365" s="3305">
        <v>0</v>
      </c>
      <c r="L365" s="3306">
        <v>0</v>
      </c>
      <c r="M365" s="3307">
        <v>0</v>
      </c>
      <c r="N365" s="3305">
        <v>0</v>
      </c>
      <c r="O365" s="3305">
        <v>0</v>
      </c>
      <c r="P365" s="3305">
        <v>0</v>
      </c>
      <c r="Q365" s="3308">
        <v>0</v>
      </c>
    </row>
    <row r="366" spans="2:17" ht="13.5" thickBot="1">
      <c r="B366" s="3260" t="s">
        <v>67</v>
      </c>
      <c r="C366" s="3268"/>
      <c r="D366" s="3269"/>
      <c r="E366" s="3269"/>
      <c r="F366" s="3269"/>
      <c r="G366" s="3270"/>
      <c r="H366" s="3268"/>
      <c r="I366" s="3305">
        <v>98.411999999999992</v>
      </c>
      <c r="J366" s="3305">
        <v>99.32099999999997</v>
      </c>
      <c r="K366" s="3305">
        <v>99.32099999999997</v>
      </c>
      <c r="L366" s="3306">
        <v>99.32099999999997</v>
      </c>
      <c r="M366" s="3309">
        <v>99.32099999999997</v>
      </c>
      <c r="N366" s="3310">
        <v>99.32099999999997</v>
      </c>
      <c r="O366" s="3310">
        <v>99.32099999999997</v>
      </c>
      <c r="P366" s="3310">
        <v>99.32099999999997</v>
      </c>
      <c r="Q366" s="3311">
        <v>99.32099999999997</v>
      </c>
    </row>
    <row r="367" spans="2:17" ht="12.75" customHeight="1">
      <c r="B367" s="4689">
        <v>3031</v>
      </c>
      <c r="C367" s="4691" t="s">
        <v>36</v>
      </c>
      <c r="D367" s="4692"/>
      <c r="E367" s="4692"/>
      <c r="F367" s="4692"/>
      <c r="G367" s="4692"/>
      <c r="H367" s="4693" t="s">
        <v>37</v>
      </c>
      <c r="I367" s="4694"/>
      <c r="J367" s="4694"/>
      <c r="K367" s="4694"/>
      <c r="L367" s="4694"/>
      <c r="M367" s="4695" t="s">
        <v>73</v>
      </c>
      <c r="N367" s="4695"/>
      <c r="O367" s="4695"/>
      <c r="P367" s="4695"/>
      <c r="Q367" s="4696"/>
    </row>
    <row r="368" spans="2:17" ht="12.75" customHeight="1">
      <c r="B368" s="4690"/>
      <c r="C368" s="4697" t="s">
        <v>1673</v>
      </c>
      <c r="D368" s="4698"/>
      <c r="E368" s="4698"/>
      <c r="F368" s="4698"/>
      <c r="G368" s="4698"/>
      <c r="H368" s="4698"/>
      <c r="I368" s="4698"/>
      <c r="J368" s="4698"/>
      <c r="K368" s="4698"/>
      <c r="L368" s="4698"/>
      <c r="M368" s="4698"/>
      <c r="N368" s="4698"/>
      <c r="O368" s="4698"/>
      <c r="P368" s="4698"/>
      <c r="Q368" s="4699"/>
    </row>
    <row r="369" spans="2:17" ht="12.75" customHeight="1">
      <c r="B369" s="4690"/>
      <c r="C369" s="4697" t="s">
        <v>54</v>
      </c>
      <c r="D369" s="4698"/>
      <c r="E369" s="4698"/>
      <c r="F369" s="4698"/>
      <c r="G369" s="4698"/>
      <c r="H369" s="4698"/>
      <c r="I369" s="4698"/>
      <c r="J369" s="4700"/>
      <c r="K369" s="4701" t="s">
        <v>55</v>
      </c>
      <c r="L369" s="4702"/>
      <c r="M369" s="4702"/>
      <c r="N369" s="4702"/>
      <c r="O369" s="4702"/>
      <c r="P369" s="4702"/>
      <c r="Q369" s="4703"/>
    </row>
    <row r="370" spans="2:17" ht="13.5" customHeight="1" thickBot="1">
      <c r="B370" s="4690"/>
      <c r="C370" s="3252">
        <f t="array" ref="C370:G370">PRCP</f>
        <v>2008</v>
      </c>
      <c r="D370" s="3253">
        <v>2009</v>
      </c>
      <c r="E370" s="3253">
        <v>2010</v>
      </c>
      <c r="F370" s="3253">
        <v>2011</v>
      </c>
      <c r="G370" s="3253">
        <v>2012</v>
      </c>
      <c r="H370" s="3254">
        <f>CRCP_y1</f>
        <v>2013</v>
      </c>
      <c r="I370" s="3254">
        <f>CRCP_y2</f>
        <v>2014</v>
      </c>
      <c r="J370" s="3254">
        <f>CRCP_y3</f>
        <v>2015</v>
      </c>
      <c r="K370" s="3254">
        <f>CRCP_y4</f>
        <v>2016</v>
      </c>
      <c r="L370" s="3254">
        <f>CRCP_y5</f>
        <v>2017</v>
      </c>
      <c r="M370" s="3253" t="str">
        <f t="array" ref="M370:Q370">FRCP</f>
        <v>2018</v>
      </c>
      <c r="N370" s="3253">
        <v>2019</v>
      </c>
      <c r="O370" s="3253">
        <v>2020</v>
      </c>
      <c r="P370" s="3253">
        <v>2021</v>
      </c>
      <c r="Q370" s="3255">
        <v>2022</v>
      </c>
    </row>
    <row r="371" spans="2:17">
      <c r="B371" s="3256" t="s">
        <v>1685</v>
      </c>
      <c r="C371" s="3257"/>
      <c r="D371" s="3258"/>
      <c r="E371" s="3258"/>
      <c r="F371" s="3258"/>
      <c r="G371" s="3259"/>
      <c r="H371" s="3257"/>
      <c r="I371" s="3258"/>
      <c r="J371" s="3258"/>
      <c r="K371" s="3258"/>
      <c r="L371" s="3258"/>
      <c r="M371" s="3257"/>
      <c r="N371" s="3258"/>
      <c r="O371" s="3258"/>
      <c r="P371" s="3258"/>
      <c r="Q371" s="3259"/>
    </row>
    <row r="372" spans="2:17">
      <c r="B372" s="3260"/>
      <c r="C372" s="3268"/>
      <c r="D372" s="3269"/>
      <c r="E372" s="3269"/>
      <c r="F372" s="3269"/>
      <c r="G372" s="3270"/>
      <c r="H372" s="3268"/>
      <c r="I372" s="3305"/>
      <c r="J372" s="3305"/>
      <c r="K372" s="3305"/>
      <c r="L372" s="3306"/>
      <c r="M372" s="3307"/>
      <c r="N372" s="3305"/>
      <c r="O372" s="3305"/>
      <c r="P372" s="3305"/>
      <c r="Q372" s="3308"/>
    </row>
    <row r="373" spans="2:17">
      <c r="B373" s="3260" t="s">
        <v>64</v>
      </c>
      <c r="C373" s="3268"/>
      <c r="D373" s="3269"/>
      <c r="E373" s="3269"/>
      <c r="F373" s="3269"/>
      <c r="G373" s="3270"/>
      <c r="H373" s="3268"/>
      <c r="I373" s="3305">
        <v>9.1029999999999962</v>
      </c>
      <c r="J373" s="3305">
        <v>9.1029999999999962</v>
      </c>
      <c r="K373" s="3305">
        <v>8.5115603380053777</v>
      </c>
      <c r="L373" s="3306">
        <v>7.7193721752281768</v>
      </c>
      <c r="M373" s="3307">
        <v>6.7205923535515151</v>
      </c>
      <c r="N373" s="3305">
        <v>5.9201597348011852</v>
      </c>
      <c r="O373" s="3305">
        <v>4.1523242530292075</v>
      </c>
      <c r="P373" s="3305">
        <v>4.1523242530292075</v>
      </c>
      <c r="Q373" s="3308">
        <v>4.1523242530292075</v>
      </c>
    </row>
    <row r="374" spans="2:17">
      <c r="B374" s="3260" t="s">
        <v>65</v>
      </c>
      <c r="C374" s="3268"/>
      <c r="D374" s="3269"/>
      <c r="E374" s="3269"/>
      <c r="F374" s="3269"/>
      <c r="G374" s="3270"/>
      <c r="H374" s="3268"/>
      <c r="I374" s="3305">
        <v>20.244999999999997</v>
      </c>
      <c r="J374" s="3305">
        <v>20.243999999999996</v>
      </c>
      <c r="K374" s="3305">
        <v>18.9287078416545</v>
      </c>
      <c r="L374" s="3306">
        <v>17.16697465838946</v>
      </c>
      <c r="M374" s="3307">
        <v>14.945805954662958</v>
      </c>
      <c r="N374" s="3305">
        <v>13.165738072208638</v>
      </c>
      <c r="O374" s="3305">
        <v>9.2342801470200264</v>
      </c>
      <c r="P374" s="3305">
        <v>9.2342801470200264</v>
      </c>
      <c r="Q374" s="3308">
        <v>9.2342801470200264</v>
      </c>
    </row>
    <row r="375" spans="2:17">
      <c r="B375" s="3260" t="s">
        <v>82</v>
      </c>
      <c r="C375" s="3268"/>
      <c r="D375" s="3269"/>
      <c r="E375" s="3269"/>
      <c r="F375" s="3269"/>
      <c r="G375" s="3270"/>
      <c r="H375" s="3268"/>
      <c r="I375" s="3305">
        <v>0</v>
      </c>
      <c r="J375" s="3305">
        <v>0</v>
      </c>
      <c r="K375" s="3305">
        <v>0</v>
      </c>
      <c r="L375" s="3306">
        <v>0</v>
      </c>
      <c r="M375" s="3307">
        <v>0</v>
      </c>
      <c r="N375" s="3305">
        <v>0</v>
      </c>
      <c r="O375" s="3305">
        <v>0</v>
      </c>
      <c r="P375" s="3305">
        <v>0</v>
      </c>
      <c r="Q375" s="3308">
        <v>0</v>
      </c>
    </row>
    <row r="376" spans="2:17">
      <c r="B376" s="3260" t="s">
        <v>680</v>
      </c>
      <c r="C376" s="3268"/>
      <c r="D376" s="3269"/>
      <c r="E376" s="3269"/>
      <c r="F376" s="3269"/>
      <c r="G376" s="3270"/>
      <c r="H376" s="3268"/>
      <c r="I376" s="3305">
        <v>0</v>
      </c>
      <c r="J376" s="3305">
        <v>0</v>
      </c>
      <c r="K376" s="3305">
        <v>0</v>
      </c>
      <c r="L376" s="3306">
        <v>0</v>
      </c>
      <c r="M376" s="3307">
        <v>0</v>
      </c>
      <c r="N376" s="3305">
        <v>0</v>
      </c>
      <c r="O376" s="3305">
        <v>0</v>
      </c>
      <c r="P376" s="3305">
        <v>0</v>
      </c>
      <c r="Q376" s="3308">
        <v>0</v>
      </c>
    </row>
    <row r="377" spans="2:17">
      <c r="B377" s="3260" t="s">
        <v>681</v>
      </c>
      <c r="C377" s="3268"/>
      <c r="D377" s="3269"/>
      <c r="E377" s="3269"/>
      <c r="F377" s="3269"/>
      <c r="G377" s="3270"/>
      <c r="H377" s="3268"/>
      <c r="I377" s="3305">
        <v>20.690999999999999</v>
      </c>
      <c r="J377" s="3305">
        <v>20.816000000000003</v>
      </c>
      <c r="K377" s="3305">
        <v>23.158043886182583</v>
      </c>
      <c r="L377" s="3306">
        <v>26.29503242882015</v>
      </c>
      <c r="M377" s="3307">
        <v>30.250103969189109</v>
      </c>
      <c r="N377" s="3305">
        <v>33.419739760476944</v>
      </c>
      <c r="O377" s="3305">
        <v>40.420197369115243</v>
      </c>
      <c r="P377" s="3305">
        <v>40.420197369115243</v>
      </c>
      <c r="Q377" s="3308">
        <v>40.420197369115243</v>
      </c>
    </row>
    <row r="378" spans="2:17">
      <c r="B378" s="3260" t="s">
        <v>682</v>
      </c>
      <c r="C378" s="3268"/>
      <c r="D378" s="3269"/>
      <c r="E378" s="3269"/>
      <c r="F378" s="3269"/>
      <c r="G378" s="3270"/>
      <c r="H378" s="3268"/>
      <c r="I378" s="3305">
        <v>0.14300000000000002</v>
      </c>
      <c r="J378" s="3305">
        <v>0.14300000000000002</v>
      </c>
      <c r="K378" s="3305">
        <v>0.13370901113201908</v>
      </c>
      <c r="L378" s="3306">
        <v>0.12126444260767108</v>
      </c>
      <c r="M378" s="3307">
        <v>0.10557450363153545</v>
      </c>
      <c r="N378" s="3305">
        <v>9.3000422067073485E-2</v>
      </c>
      <c r="O378" s="3305">
        <v>6.5229305523802808E-2</v>
      </c>
      <c r="P378" s="3305">
        <v>6.5229305523802808E-2</v>
      </c>
      <c r="Q378" s="3308">
        <v>6.5229305523802808E-2</v>
      </c>
    </row>
    <row r="379" spans="2:17">
      <c r="B379" s="3260" t="s">
        <v>66</v>
      </c>
      <c r="C379" s="3268"/>
      <c r="D379" s="3269"/>
      <c r="E379" s="3269"/>
      <c r="F379" s="3269"/>
      <c r="G379" s="3270"/>
      <c r="H379" s="3268"/>
      <c r="I379" s="3305">
        <v>0.17200000000000001</v>
      </c>
      <c r="J379" s="3305">
        <v>0.17200000000000001</v>
      </c>
      <c r="K379" s="3305">
        <v>0.16082482457837258</v>
      </c>
      <c r="L379" s="3306">
        <v>0.1458565323672687</v>
      </c>
      <c r="M379" s="3307">
        <v>0.12698471765471395</v>
      </c>
      <c r="N379" s="3305">
        <v>0.11186064752123523</v>
      </c>
      <c r="O379" s="3305">
        <v>7.845762622443414E-2</v>
      </c>
      <c r="P379" s="3305">
        <v>7.845762622443414E-2</v>
      </c>
      <c r="Q379" s="3308">
        <v>7.845762622443414E-2</v>
      </c>
    </row>
    <row r="380" spans="2:17" ht="13.5" thickBot="1">
      <c r="B380" s="3260" t="s">
        <v>67</v>
      </c>
      <c r="C380" s="3268"/>
      <c r="D380" s="3269"/>
      <c r="E380" s="3269"/>
      <c r="F380" s="3269"/>
      <c r="G380" s="3270"/>
      <c r="H380" s="3268"/>
      <c r="I380" s="3305">
        <v>6.3849999999999962</v>
      </c>
      <c r="J380" s="3305">
        <v>6.3849999999999945</v>
      </c>
      <c r="K380" s="3305">
        <v>5.9701540984471393</v>
      </c>
      <c r="L380" s="3306">
        <v>5.4144997625872655</v>
      </c>
      <c r="M380" s="3309">
        <v>4.7139385013101611</v>
      </c>
      <c r="N380" s="3310">
        <v>4.1525013629249194</v>
      </c>
      <c r="O380" s="3310">
        <v>2.9125112990872752</v>
      </c>
      <c r="P380" s="3310">
        <v>2.9125112990872752</v>
      </c>
      <c r="Q380" s="3311">
        <v>2.9125112990872752</v>
      </c>
    </row>
    <row r="381" spans="2:17" ht="12.75" customHeight="1">
      <c r="B381" s="4689">
        <v>3032</v>
      </c>
      <c r="C381" s="4691" t="s">
        <v>36</v>
      </c>
      <c r="D381" s="4692"/>
      <c r="E381" s="4692"/>
      <c r="F381" s="4692"/>
      <c r="G381" s="4692"/>
      <c r="H381" s="4693" t="s">
        <v>37</v>
      </c>
      <c r="I381" s="4694"/>
      <c r="J381" s="4694"/>
      <c r="K381" s="4694"/>
      <c r="L381" s="4694"/>
      <c r="M381" s="4695" t="s">
        <v>73</v>
      </c>
      <c r="N381" s="4695"/>
      <c r="O381" s="4695"/>
      <c r="P381" s="4695"/>
      <c r="Q381" s="4696"/>
    </row>
    <row r="382" spans="2:17" ht="12.75" customHeight="1">
      <c r="B382" s="4690"/>
      <c r="C382" s="4697" t="s">
        <v>1673</v>
      </c>
      <c r="D382" s="4698"/>
      <c r="E382" s="4698"/>
      <c r="F382" s="4698"/>
      <c r="G382" s="4698"/>
      <c r="H382" s="4698"/>
      <c r="I382" s="4698"/>
      <c r="J382" s="4698"/>
      <c r="K382" s="4698"/>
      <c r="L382" s="4698"/>
      <c r="M382" s="4698"/>
      <c r="N382" s="4698"/>
      <c r="O382" s="4698"/>
      <c r="P382" s="4698"/>
      <c r="Q382" s="4699"/>
    </row>
    <row r="383" spans="2:17" ht="12.75" customHeight="1">
      <c r="B383" s="4690"/>
      <c r="C383" s="4697" t="s">
        <v>54</v>
      </c>
      <c r="D383" s="4698"/>
      <c r="E383" s="4698"/>
      <c r="F383" s="4698"/>
      <c r="G383" s="4698"/>
      <c r="H383" s="4698"/>
      <c r="I383" s="4698"/>
      <c r="J383" s="4700"/>
      <c r="K383" s="4701" t="s">
        <v>55</v>
      </c>
      <c r="L383" s="4702"/>
      <c r="M383" s="4702"/>
      <c r="N383" s="4702"/>
      <c r="O383" s="4702"/>
      <c r="P383" s="4702"/>
      <c r="Q383" s="4703"/>
    </row>
    <row r="384" spans="2:17" ht="13.5" customHeight="1" thickBot="1">
      <c r="B384" s="4690"/>
      <c r="C384" s="3252">
        <f t="array" ref="C384:G384">PRCP</f>
        <v>2008</v>
      </c>
      <c r="D384" s="3253">
        <v>2009</v>
      </c>
      <c r="E384" s="3253">
        <v>2010</v>
      </c>
      <c r="F384" s="3253">
        <v>2011</v>
      </c>
      <c r="G384" s="3253">
        <v>2012</v>
      </c>
      <c r="H384" s="3254">
        <f>CRCP_y1</f>
        <v>2013</v>
      </c>
      <c r="I384" s="3254">
        <f>CRCP_y2</f>
        <v>2014</v>
      </c>
      <c r="J384" s="3254">
        <f>CRCP_y3</f>
        <v>2015</v>
      </c>
      <c r="K384" s="3254">
        <f>CRCP_y4</f>
        <v>2016</v>
      </c>
      <c r="L384" s="3254">
        <f>CRCP_y5</f>
        <v>2017</v>
      </c>
      <c r="M384" s="3253" t="str">
        <f t="array" ref="M384:Q384">FRCP</f>
        <v>2018</v>
      </c>
      <c r="N384" s="3253">
        <v>2019</v>
      </c>
      <c r="O384" s="3253">
        <v>2020</v>
      </c>
      <c r="P384" s="3253">
        <v>2021</v>
      </c>
      <c r="Q384" s="3255">
        <v>2022</v>
      </c>
    </row>
    <row r="385" spans="2:17">
      <c r="B385" s="3256" t="s">
        <v>1686</v>
      </c>
      <c r="C385" s="3257"/>
      <c r="D385" s="3258"/>
      <c r="E385" s="3258"/>
      <c r="F385" s="3258"/>
      <c r="G385" s="3259"/>
      <c r="H385" s="3257"/>
      <c r="I385" s="3319"/>
      <c r="J385" s="3319"/>
      <c r="K385" s="3319"/>
      <c r="L385" s="3319"/>
      <c r="M385" s="3320"/>
      <c r="N385" s="3319"/>
      <c r="O385" s="3319"/>
      <c r="P385" s="3319"/>
      <c r="Q385" s="3321"/>
    </row>
    <row r="386" spans="2:17">
      <c r="B386" s="3260"/>
      <c r="C386" s="3268"/>
      <c r="D386" s="3269"/>
      <c r="E386" s="3269"/>
      <c r="F386" s="3269"/>
      <c r="G386" s="3270"/>
      <c r="H386" s="3268"/>
      <c r="I386" s="3305"/>
      <c r="J386" s="3305"/>
      <c r="K386" s="3305"/>
      <c r="L386" s="3306"/>
      <c r="M386" s="3307"/>
      <c r="N386" s="3305"/>
      <c r="O386" s="3305"/>
      <c r="P386" s="3305"/>
      <c r="Q386" s="3308"/>
    </row>
    <row r="387" spans="2:17">
      <c r="B387" s="3260" t="s">
        <v>64</v>
      </c>
      <c r="C387" s="3268"/>
      <c r="D387" s="3269"/>
      <c r="E387" s="3269"/>
      <c r="F387" s="3269"/>
      <c r="G387" s="3270"/>
      <c r="H387" s="3268"/>
      <c r="I387" s="3305">
        <v>11.308999999999994</v>
      </c>
      <c r="J387" s="3305">
        <v>8.9999999999999964</v>
      </c>
      <c r="K387" s="3305">
        <v>8.6286819732982067</v>
      </c>
      <c r="L387" s="3306">
        <v>8.3916886188109885</v>
      </c>
      <c r="M387" s="3307">
        <v>7.4558836735915675</v>
      </c>
      <c r="N387" s="3305">
        <v>7.1316904148955249</v>
      </c>
      <c r="O387" s="3305">
        <v>7.1316904148955249</v>
      </c>
      <c r="P387" s="3305">
        <v>7.1316904148955249</v>
      </c>
      <c r="Q387" s="3308">
        <v>7.1316904148955249</v>
      </c>
    </row>
    <row r="388" spans="2:17">
      <c r="B388" s="3260" t="s">
        <v>65</v>
      </c>
      <c r="C388" s="3268"/>
      <c r="D388" s="3269"/>
      <c r="E388" s="3269"/>
      <c r="F388" s="3269"/>
      <c r="G388" s="3270"/>
      <c r="H388" s="3268"/>
      <c r="I388" s="3305">
        <v>9.3719999999999999</v>
      </c>
      <c r="J388" s="3305">
        <v>9.3150000000000013</v>
      </c>
      <c r="K388" s="3305">
        <v>8.9306858423636477</v>
      </c>
      <c r="L388" s="3306">
        <v>8.6853977204693766</v>
      </c>
      <c r="M388" s="3307">
        <v>7.7168396021672754</v>
      </c>
      <c r="N388" s="3305">
        <v>7.3812995794168712</v>
      </c>
      <c r="O388" s="3305">
        <v>7.3812995794168712</v>
      </c>
      <c r="P388" s="3305">
        <v>7.3812995794168712</v>
      </c>
      <c r="Q388" s="3308">
        <v>7.3812995794168712</v>
      </c>
    </row>
    <row r="389" spans="2:17">
      <c r="B389" s="3260" t="s">
        <v>82</v>
      </c>
      <c r="C389" s="3268"/>
      <c r="D389" s="3269"/>
      <c r="E389" s="3269"/>
      <c r="F389" s="3269"/>
      <c r="G389" s="3270"/>
      <c r="H389" s="3268"/>
      <c r="I389" s="3305">
        <v>0</v>
      </c>
      <c r="J389" s="3305">
        <v>0</v>
      </c>
      <c r="K389" s="3305">
        <v>0</v>
      </c>
      <c r="L389" s="3306">
        <v>0</v>
      </c>
      <c r="M389" s="3307">
        <v>0</v>
      </c>
      <c r="N389" s="3305">
        <v>0</v>
      </c>
      <c r="O389" s="3305">
        <v>0</v>
      </c>
      <c r="P389" s="3305">
        <v>0</v>
      </c>
      <c r="Q389" s="3308">
        <v>0</v>
      </c>
    </row>
    <row r="390" spans="2:17">
      <c r="B390" s="3260" t="s">
        <v>680</v>
      </c>
      <c r="C390" s="3268"/>
      <c r="D390" s="3269"/>
      <c r="E390" s="3269"/>
      <c r="F390" s="3269"/>
      <c r="G390" s="3270"/>
      <c r="H390" s="3268"/>
      <c r="I390" s="3305">
        <v>0</v>
      </c>
      <c r="J390" s="3305">
        <v>0</v>
      </c>
      <c r="K390" s="3305">
        <v>0</v>
      </c>
      <c r="L390" s="3306">
        <v>0</v>
      </c>
      <c r="M390" s="3307">
        <v>0</v>
      </c>
      <c r="N390" s="3305">
        <v>0</v>
      </c>
      <c r="O390" s="3305">
        <v>0</v>
      </c>
      <c r="P390" s="3305">
        <v>0</v>
      </c>
      <c r="Q390" s="3308">
        <v>0</v>
      </c>
    </row>
    <row r="391" spans="2:17">
      <c r="B391" s="3260" t="s">
        <v>681</v>
      </c>
      <c r="C391" s="3268"/>
      <c r="D391" s="3269"/>
      <c r="E391" s="3269"/>
      <c r="F391" s="3269"/>
      <c r="G391" s="3270"/>
      <c r="H391" s="3268"/>
      <c r="I391" s="3305">
        <v>66.813000000000002</v>
      </c>
      <c r="J391" s="3305">
        <v>71.205000000000027</v>
      </c>
      <c r="K391" s="3305">
        <v>72.402005545411029</v>
      </c>
      <c r="L391" s="3306">
        <v>73.165993122492992</v>
      </c>
      <c r="M391" s="3307">
        <v>76.182716330898671</v>
      </c>
      <c r="N391" s="3305">
        <v>77.227807332515141</v>
      </c>
      <c r="O391" s="3305">
        <v>77.227807332515141</v>
      </c>
      <c r="P391" s="3305">
        <v>77.227807332515141</v>
      </c>
      <c r="Q391" s="3308">
        <v>77.227807332515141</v>
      </c>
    </row>
    <row r="392" spans="2:17">
      <c r="B392" s="3260" t="s">
        <v>682</v>
      </c>
      <c r="C392" s="3268"/>
      <c r="D392" s="3269"/>
      <c r="E392" s="3269"/>
      <c r="F392" s="3269"/>
      <c r="G392" s="3270"/>
      <c r="H392" s="3268"/>
      <c r="I392" s="3305">
        <v>1.643</v>
      </c>
      <c r="J392" s="3305">
        <v>1.6430000000000002</v>
      </c>
      <c r="K392" s="3305">
        <v>1.5752138313476622</v>
      </c>
      <c r="L392" s="3306">
        <v>1.5319493778562734</v>
      </c>
      <c r="M392" s="3307">
        <v>1.3611129861901057</v>
      </c>
      <c r="N392" s="3305">
        <v>1.3019297057414836</v>
      </c>
      <c r="O392" s="3305">
        <v>1.3019297057414836</v>
      </c>
      <c r="P392" s="3305">
        <v>1.3019297057414836</v>
      </c>
      <c r="Q392" s="3308">
        <v>1.3019297057414836</v>
      </c>
    </row>
    <row r="393" spans="2:17">
      <c r="B393" s="3260" t="s">
        <v>66</v>
      </c>
      <c r="C393" s="3268"/>
      <c r="D393" s="3269"/>
      <c r="E393" s="3269"/>
      <c r="F393" s="3269"/>
      <c r="G393" s="3270"/>
      <c r="H393" s="3268"/>
      <c r="I393" s="3305">
        <v>1.5159999999999998</v>
      </c>
      <c r="J393" s="3305">
        <v>1.5159999999999996</v>
      </c>
      <c r="K393" s="3305">
        <v>1.4534535412800091</v>
      </c>
      <c r="L393" s="3306">
        <v>1.4135333273463844</v>
      </c>
      <c r="M393" s="3307">
        <v>1.2559021832405353</v>
      </c>
      <c r="N393" s="3305">
        <v>1.2012936298868464</v>
      </c>
      <c r="O393" s="3305">
        <v>1.2012936298868464</v>
      </c>
      <c r="P393" s="3305">
        <v>1.2012936298868464</v>
      </c>
      <c r="Q393" s="3308">
        <v>1.2012936298868464</v>
      </c>
    </row>
    <row r="394" spans="2:17" ht="13.5" thickBot="1">
      <c r="B394" s="3260" t="s">
        <v>67</v>
      </c>
      <c r="C394" s="3268"/>
      <c r="D394" s="3269"/>
      <c r="E394" s="3269"/>
      <c r="F394" s="3269"/>
      <c r="G394" s="3270"/>
      <c r="H394" s="3268"/>
      <c r="I394" s="3305">
        <v>8.450999999999997</v>
      </c>
      <c r="J394" s="3305">
        <v>7.5389999999999979</v>
      </c>
      <c r="K394" s="3305">
        <v>7.2279592662994654</v>
      </c>
      <c r="L394" s="3306">
        <v>7.0294378330240059</v>
      </c>
      <c r="M394" s="3309">
        <v>6.2455452239118712</v>
      </c>
      <c r="N394" s="3310">
        <v>5.9739793375441526</v>
      </c>
      <c r="O394" s="3310">
        <v>5.9739793375441526</v>
      </c>
      <c r="P394" s="3310">
        <v>5.9739793375441526</v>
      </c>
      <c r="Q394" s="3311">
        <v>5.9739793375441526</v>
      </c>
    </row>
    <row r="395" spans="2:17" ht="12.75" customHeight="1">
      <c r="B395" s="4689">
        <v>3033</v>
      </c>
      <c r="C395" s="4691" t="s">
        <v>36</v>
      </c>
      <c r="D395" s="4692"/>
      <c r="E395" s="4692"/>
      <c r="F395" s="4692"/>
      <c r="G395" s="4692"/>
      <c r="H395" s="4693" t="s">
        <v>37</v>
      </c>
      <c r="I395" s="4694"/>
      <c r="J395" s="4694"/>
      <c r="K395" s="4694"/>
      <c r="L395" s="4694"/>
      <c r="M395" s="4695" t="s">
        <v>73</v>
      </c>
      <c r="N395" s="4695"/>
      <c r="O395" s="4695"/>
      <c r="P395" s="4695"/>
      <c r="Q395" s="4696"/>
    </row>
    <row r="396" spans="2:17" ht="12.75" customHeight="1">
      <c r="B396" s="4690"/>
      <c r="C396" s="4697" t="s">
        <v>1673</v>
      </c>
      <c r="D396" s="4698"/>
      <c r="E396" s="4698"/>
      <c r="F396" s="4698"/>
      <c r="G396" s="4698"/>
      <c r="H396" s="4698"/>
      <c r="I396" s="4698"/>
      <c r="J396" s="4698"/>
      <c r="K396" s="4698"/>
      <c r="L396" s="4698"/>
      <c r="M396" s="4698"/>
      <c r="N396" s="4698"/>
      <c r="O396" s="4698"/>
      <c r="P396" s="4698"/>
      <c r="Q396" s="4699"/>
    </row>
    <row r="397" spans="2:17" ht="12.75" customHeight="1">
      <c r="B397" s="4690"/>
      <c r="C397" s="4697" t="s">
        <v>54</v>
      </c>
      <c r="D397" s="4698"/>
      <c r="E397" s="4698"/>
      <c r="F397" s="4698"/>
      <c r="G397" s="4698"/>
      <c r="H397" s="4698"/>
      <c r="I397" s="4698"/>
      <c r="J397" s="4700"/>
      <c r="K397" s="4701" t="s">
        <v>55</v>
      </c>
      <c r="L397" s="4702"/>
      <c r="M397" s="4702"/>
      <c r="N397" s="4702"/>
      <c r="O397" s="4702"/>
      <c r="P397" s="4702"/>
      <c r="Q397" s="4703"/>
    </row>
    <row r="398" spans="2:17" ht="13.5" customHeight="1" thickBot="1">
      <c r="B398" s="4690"/>
      <c r="C398" s="3252">
        <f t="array" ref="C398:G398">PRCP</f>
        <v>2008</v>
      </c>
      <c r="D398" s="3253">
        <v>2009</v>
      </c>
      <c r="E398" s="3253">
        <v>2010</v>
      </c>
      <c r="F398" s="3253">
        <v>2011</v>
      </c>
      <c r="G398" s="3253">
        <v>2012</v>
      </c>
      <c r="H398" s="3254">
        <f>CRCP_y1</f>
        <v>2013</v>
      </c>
      <c r="I398" s="3254">
        <f>CRCP_y2</f>
        <v>2014</v>
      </c>
      <c r="J398" s="3254">
        <f>CRCP_y3</f>
        <v>2015</v>
      </c>
      <c r="K398" s="3254">
        <f>CRCP_y4</f>
        <v>2016</v>
      </c>
      <c r="L398" s="3254">
        <f>CRCP_y5</f>
        <v>2017</v>
      </c>
      <c r="M398" s="3253" t="str">
        <f t="array" ref="M398:Q398">FRCP</f>
        <v>2018</v>
      </c>
      <c r="N398" s="3253">
        <v>2019</v>
      </c>
      <c r="O398" s="3253">
        <v>2020</v>
      </c>
      <c r="P398" s="3253">
        <v>2021</v>
      </c>
      <c r="Q398" s="3255">
        <v>2022</v>
      </c>
    </row>
    <row r="399" spans="2:17">
      <c r="B399" s="3256" t="s">
        <v>1686</v>
      </c>
      <c r="C399" s="3257"/>
      <c r="D399" s="3258"/>
      <c r="E399" s="3258"/>
      <c r="F399" s="3258"/>
      <c r="G399" s="3259"/>
      <c r="H399" s="3257"/>
      <c r="I399" s="3319"/>
      <c r="J399" s="3319"/>
      <c r="K399" s="3319"/>
      <c r="L399" s="3319"/>
      <c r="M399" s="3320"/>
      <c r="N399" s="3319"/>
      <c r="O399" s="3319"/>
      <c r="P399" s="3319"/>
      <c r="Q399" s="3321"/>
    </row>
    <row r="400" spans="2:17">
      <c r="B400" s="3260"/>
      <c r="C400" s="3268"/>
      <c r="D400" s="3269"/>
      <c r="E400" s="3269"/>
      <c r="F400" s="3269"/>
      <c r="G400" s="3270"/>
      <c r="H400" s="3268"/>
      <c r="I400" s="3305"/>
      <c r="J400" s="3305"/>
      <c r="K400" s="3305"/>
      <c r="L400" s="3306"/>
      <c r="M400" s="3307"/>
      <c r="N400" s="3305"/>
      <c r="O400" s="3305"/>
      <c r="P400" s="3305"/>
      <c r="Q400" s="3308"/>
    </row>
    <row r="401" spans="2:17">
      <c r="B401" s="3260" t="s">
        <v>64</v>
      </c>
      <c r="C401" s="3268"/>
      <c r="D401" s="3269"/>
      <c r="E401" s="3269"/>
      <c r="F401" s="3269"/>
      <c r="G401" s="3270"/>
      <c r="H401" s="3268"/>
      <c r="I401" s="3305">
        <v>2E-3</v>
      </c>
      <c r="J401" s="3305">
        <v>2E-3</v>
      </c>
      <c r="K401" s="3305">
        <v>2E-3</v>
      </c>
      <c r="L401" s="3306">
        <v>2E-3</v>
      </c>
      <c r="M401" s="3307">
        <v>2E-3</v>
      </c>
      <c r="N401" s="3305">
        <v>2E-3</v>
      </c>
      <c r="O401" s="3305">
        <v>2E-3</v>
      </c>
      <c r="P401" s="3305">
        <v>2E-3</v>
      </c>
      <c r="Q401" s="3308">
        <v>2E-3</v>
      </c>
    </row>
    <row r="402" spans="2:17">
      <c r="B402" s="3260" t="s">
        <v>65</v>
      </c>
      <c r="C402" s="3268"/>
      <c r="D402" s="3269"/>
      <c r="E402" s="3269"/>
      <c r="F402" s="3269"/>
      <c r="G402" s="3270"/>
      <c r="H402" s="3268"/>
      <c r="I402" s="3305">
        <v>0</v>
      </c>
      <c r="J402" s="3305">
        <v>0</v>
      </c>
      <c r="K402" s="3305">
        <v>0</v>
      </c>
      <c r="L402" s="3306">
        <v>0</v>
      </c>
      <c r="M402" s="3307">
        <v>0</v>
      </c>
      <c r="N402" s="3305">
        <v>0</v>
      </c>
      <c r="O402" s="3305">
        <v>0</v>
      </c>
      <c r="P402" s="3305">
        <v>0</v>
      </c>
      <c r="Q402" s="3308">
        <v>0</v>
      </c>
    </row>
    <row r="403" spans="2:17">
      <c r="B403" s="3260" t="s">
        <v>82</v>
      </c>
      <c r="C403" s="3268"/>
      <c r="D403" s="3269"/>
      <c r="E403" s="3269"/>
      <c r="F403" s="3269"/>
      <c r="G403" s="3270"/>
      <c r="H403" s="3268"/>
      <c r="I403" s="3305">
        <v>0</v>
      </c>
      <c r="J403" s="3305">
        <v>0</v>
      </c>
      <c r="K403" s="3305">
        <v>0</v>
      </c>
      <c r="L403" s="3306">
        <v>0</v>
      </c>
      <c r="M403" s="3307">
        <v>0</v>
      </c>
      <c r="N403" s="3305">
        <v>0</v>
      </c>
      <c r="O403" s="3305">
        <v>0</v>
      </c>
      <c r="P403" s="3305">
        <v>0</v>
      </c>
      <c r="Q403" s="3308">
        <v>0</v>
      </c>
    </row>
    <row r="404" spans="2:17">
      <c r="B404" s="3260" t="s">
        <v>680</v>
      </c>
      <c r="C404" s="3268"/>
      <c r="D404" s="3269"/>
      <c r="E404" s="3269"/>
      <c r="F404" s="3269"/>
      <c r="G404" s="3270"/>
      <c r="H404" s="3268"/>
      <c r="I404" s="3305">
        <v>0</v>
      </c>
      <c r="J404" s="3305">
        <v>0</v>
      </c>
      <c r="K404" s="3305">
        <v>0</v>
      </c>
      <c r="L404" s="3306">
        <v>0</v>
      </c>
      <c r="M404" s="3307">
        <v>0</v>
      </c>
      <c r="N404" s="3305">
        <v>0</v>
      </c>
      <c r="O404" s="3305">
        <v>0</v>
      </c>
      <c r="P404" s="3305">
        <v>0</v>
      </c>
      <c r="Q404" s="3308">
        <v>0</v>
      </c>
    </row>
    <row r="405" spans="2:17">
      <c r="B405" s="3260" t="s">
        <v>681</v>
      </c>
      <c r="C405" s="3268"/>
      <c r="D405" s="3269"/>
      <c r="E405" s="3269"/>
      <c r="F405" s="3269"/>
      <c r="G405" s="3270"/>
      <c r="H405" s="3268"/>
      <c r="I405" s="3305">
        <v>69.50400000000009</v>
      </c>
      <c r="J405" s="3305">
        <v>69.73900000000009</v>
      </c>
      <c r="K405" s="3305">
        <v>69.73900000000009</v>
      </c>
      <c r="L405" s="3306">
        <v>69.73900000000009</v>
      </c>
      <c r="M405" s="3307">
        <v>69.73900000000009</v>
      </c>
      <c r="N405" s="3305">
        <v>69.73900000000009</v>
      </c>
      <c r="O405" s="3305">
        <v>69.73900000000009</v>
      </c>
      <c r="P405" s="3305">
        <v>69.73900000000009</v>
      </c>
      <c r="Q405" s="3308">
        <v>69.73900000000009</v>
      </c>
    </row>
    <row r="406" spans="2:17">
      <c r="B406" s="3260" t="s">
        <v>682</v>
      </c>
      <c r="C406" s="3268"/>
      <c r="D406" s="3269"/>
      <c r="E406" s="3269"/>
      <c r="F406" s="3269"/>
      <c r="G406" s="3270"/>
      <c r="H406" s="3268"/>
      <c r="I406" s="3305">
        <v>0.752</v>
      </c>
      <c r="J406" s="3305">
        <v>0.752</v>
      </c>
      <c r="K406" s="3305">
        <v>0.752</v>
      </c>
      <c r="L406" s="3306">
        <v>0.752</v>
      </c>
      <c r="M406" s="3307">
        <v>0.752</v>
      </c>
      <c r="N406" s="3305">
        <v>0.752</v>
      </c>
      <c r="O406" s="3305">
        <v>0.752</v>
      </c>
      <c r="P406" s="3305">
        <v>0.752</v>
      </c>
      <c r="Q406" s="3308">
        <v>0.752</v>
      </c>
    </row>
    <row r="407" spans="2:17">
      <c r="B407" s="3260" t="s">
        <v>66</v>
      </c>
      <c r="C407" s="3268"/>
      <c r="D407" s="3269"/>
      <c r="E407" s="3269"/>
      <c r="F407" s="3269"/>
      <c r="G407" s="3270"/>
      <c r="H407" s="3268"/>
      <c r="I407" s="3305">
        <v>0</v>
      </c>
      <c r="J407" s="3305">
        <v>0</v>
      </c>
      <c r="K407" s="3305">
        <v>0</v>
      </c>
      <c r="L407" s="3306">
        <v>0</v>
      </c>
      <c r="M407" s="3307">
        <v>0</v>
      </c>
      <c r="N407" s="3305">
        <v>0</v>
      </c>
      <c r="O407" s="3305">
        <v>0</v>
      </c>
      <c r="P407" s="3305">
        <v>0</v>
      </c>
      <c r="Q407" s="3308">
        <v>0</v>
      </c>
    </row>
    <row r="408" spans="2:17" ht="13.5" thickBot="1">
      <c r="B408" s="3260" t="s">
        <v>67</v>
      </c>
      <c r="C408" s="3268"/>
      <c r="D408" s="3269"/>
      <c r="E408" s="3269"/>
      <c r="F408" s="3269"/>
      <c r="G408" s="3270"/>
      <c r="H408" s="3268"/>
      <c r="I408" s="3305">
        <v>6.86</v>
      </c>
      <c r="J408" s="3305">
        <v>6.8740000000000032</v>
      </c>
      <c r="K408" s="3305">
        <v>6.8740000000000032</v>
      </c>
      <c r="L408" s="3306">
        <v>6.8740000000000032</v>
      </c>
      <c r="M408" s="3309">
        <v>6.8740000000000032</v>
      </c>
      <c r="N408" s="3310">
        <v>6.8740000000000032</v>
      </c>
      <c r="O408" s="3310">
        <v>6.8740000000000032</v>
      </c>
      <c r="P408" s="3310">
        <v>6.8740000000000032</v>
      </c>
      <c r="Q408" s="3311">
        <v>6.8740000000000032</v>
      </c>
    </row>
    <row r="409" spans="2:17" ht="12.75" customHeight="1">
      <c r="B409" s="4689">
        <v>3034</v>
      </c>
      <c r="C409" s="4691" t="s">
        <v>36</v>
      </c>
      <c r="D409" s="4692"/>
      <c r="E409" s="4692"/>
      <c r="F409" s="4692"/>
      <c r="G409" s="4692"/>
      <c r="H409" s="4693" t="s">
        <v>37</v>
      </c>
      <c r="I409" s="4694"/>
      <c r="J409" s="4694"/>
      <c r="K409" s="4694"/>
      <c r="L409" s="4694"/>
      <c r="M409" s="4695" t="s">
        <v>73</v>
      </c>
      <c r="N409" s="4695"/>
      <c r="O409" s="4695"/>
      <c r="P409" s="4695"/>
      <c r="Q409" s="4696"/>
    </row>
    <row r="410" spans="2:17" ht="12.75" customHeight="1">
      <c r="B410" s="4690"/>
      <c r="C410" s="4697" t="s">
        <v>1673</v>
      </c>
      <c r="D410" s="4698"/>
      <c r="E410" s="4698"/>
      <c r="F410" s="4698"/>
      <c r="G410" s="4698"/>
      <c r="H410" s="4698"/>
      <c r="I410" s="4698"/>
      <c r="J410" s="4698"/>
      <c r="K410" s="4698"/>
      <c r="L410" s="4698"/>
      <c r="M410" s="4698"/>
      <c r="N410" s="4698"/>
      <c r="O410" s="4698"/>
      <c r="P410" s="4698"/>
      <c r="Q410" s="4699"/>
    </row>
    <row r="411" spans="2:17" ht="12.75" customHeight="1">
      <c r="B411" s="4690"/>
      <c r="C411" s="4697" t="s">
        <v>54</v>
      </c>
      <c r="D411" s="4698"/>
      <c r="E411" s="4698"/>
      <c r="F411" s="4698"/>
      <c r="G411" s="4698"/>
      <c r="H411" s="4698"/>
      <c r="I411" s="4698"/>
      <c r="J411" s="4700"/>
      <c r="K411" s="4701" t="s">
        <v>55</v>
      </c>
      <c r="L411" s="4702"/>
      <c r="M411" s="4702"/>
      <c r="N411" s="4702"/>
      <c r="O411" s="4702"/>
      <c r="P411" s="4702"/>
      <c r="Q411" s="4703"/>
    </row>
    <row r="412" spans="2:17" ht="13.5" customHeight="1" thickBot="1">
      <c r="B412" s="4690"/>
      <c r="C412" s="3252">
        <f t="array" ref="C412:G412">PRCP</f>
        <v>2008</v>
      </c>
      <c r="D412" s="3253">
        <v>2009</v>
      </c>
      <c r="E412" s="3253">
        <v>2010</v>
      </c>
      <c r="F412" s="3253">
        <v>2011</v>
      </c>
      <c r="G412" s="3253">
        <v>2012</v>
      </c>
      <c r="H412" s="3254">
        <f>CRCP_y1</f>
        <v>2013</v>
      </c>
      <c r="I412" s="3254">
        <f>CRCP_y2</f>
        <v>2014</v>
      </c>
      <c r="J412" s="3254">
        <f>CRCP_y3</f>
        <v>2015</v>
      </c>
      <c r="K412" s="3254">
        <f>CRCP_y4</f>
        <v>2016</v>
      </c>
      <c r="L412" s="3254">
        <f>CRCP_y5</f>
        <v>2017</v>
      </c>
      <c r="M412" s="3253" t="str">
        <f t="array" ref="M412:Q412">FRCP</f>
        <v>2018</v>
      </c>
      <c r="N412" s="3253">
        <v>2019</v>
      </c>
      <c r="O412" s="3253">
        <v>2020</v>
      </c>
      <c r="P412" s="3253">
        <v>2021</v>
      </c>
      <c r="Q412" s="3255">
        <v>2022</v>
      </c>
    </row>
    <row r="413" spans="2:17">
      <c r="B413" s="3256" t="s">
        <v>1687</v>
      </c>
      <c r="C413" s="3257"/>
      <c r="D413" s="3258"/>
      <c r="E413" s="3258"/>
      <c r="F413" s="3258"/>
      <c r="G413" s="3259"/>
      <c r="H413" s="3257"/>
      <c r="I413" s="3258"/>
      <c r="J413" s="3258"/>
      <c r="K413" s="3258"/>
      <c r="L413" s="3258"/>
      <c r="M413" s="3257"/>
      <c r="N413" s="3258"/>
      <c r="O413" s="3258"/>
      <c r="P413" s="3258"/>
      <c r="Q413" s="3259"/>
    </row>
    <row r="414" spans="2:17">
      <c r="B414" s="3260"/>
      <c r="C414" s="3268"/>
      <c r="D414" s="3269"/>
      <c r="E414" s="3269"/>
      <c r="F414" s="3269"/>
      <c r="G414" s="3270"/>
      <c r="H414" s="3268"/>
      <c r="I414" s="3305"/>
      <c r="J414" s="3305"/>
      <c r="K414" s="3305"/>
      <c r="L414" s="3306"/>
      <c r="M414" s="3307"/>
      <c r="N414" s="3305"/>
      <c r="O414" s="3305"/>
      <c r="P414" s="3305"/>
      <c r="Q414" s="3308"/>
    </row>
    <row r="415" spans="2:17">
      <c r="B415" s="3260" t="s">
        <v>64</v>
      </c>
      <c r="C415" s="3268"/>
      <c r="D415" s="3269"/>
      <c r="E415" s="3269"/>
      <c r="F415" s="3269"/>
      <c r="G415" s="3270"/>
      <c r="H415" s="3268"/>
      <c r="I415" s="3305">
        <v>0</v>
      </c>
      <c r="J415" s="3305">
        <v>0</v>
      </c>
      <c r="K415" s="3305">
        <v>0</v>
      </c>
      <c r="L415" s="3306">
        <v>0</v>
      </c>
      <c r="M415" s="3307">
        <v>0</v>
      </c>
      <c r="N415" s="3305">
        <v>0</v>
      </c>
      <c r="O415" s="3305">
        <v>0</v>
      </c>
      <c r="P415" s="3305">
        <v>0</v>
      </c>
      <c r="Q415" s="3308">
        <v>0</v>
      </c>
    </row>
    <row r="416" spans="2:17">
      <c r="B416" s="3260" t="s">
        <v>65</v>
      </c>
      <c r="C416" s="3268"/>
      <c r="D416" s="3269"/>
      <c r="E416" s="3269"/>
      <c r="F416" s="3269"/>
      <c r="G416" s="3270"/>
      <c r="H416" s="3268"/>
      <c r="I416" s="3305">
        <v>0</v>
      </c>
      <c r="J416" s="3305">
        <v>0</v>
      </c>
      <c r="K416" s="3305">
        <v>0</v>
      </c>
      <c r="L416" s="3306">
        <v>0</v>
      </c>
      <c r="M416" s="3307">
        <v>0</v>
      </c>
      <c r="N416" s="3305">
        <v>0</v>
      </c>
      <c r="O416" s="3305">
        <v>0</v>
      </c>
      <c r="P416" s="3305">
        <v>0</v>
      </c>
      <c r="Q416" s="3308">
        <v>0</v>
      </c>
    </row>
    <row r="417" spans="2:17">
      <c r="B417" s="3260" t="s">
        <v>82</v>
      </c>
      <c r="C417" s="3268"/>
      <c r="D417" s="3269"/>
      <c r="E417" s="3269"/>
      <c r="F417" s="3269"/>
      <c r="G417" s="3270"/>
      <c r="H417" s="3268"/>
      <c r="I417" s="3305">
        <v>0</v>
      </c>
      <c r="J417" s="3305">
        <v>0</v>
      </c>
      <c r="K417" s="3305">
        <v>0</v>
      </c>
      <c r="L417" s="3306">
        <v>0</v>
      </c>
      <c r="M417" s="3307">
        <v>0</v>
      </c>
      <c r="N417" s="3305">
        <v>0</v>
      </c>
      <c r="O417" s="3305">
        <v>0</v>
      </c>
      <c r="P417" s="3305">
        <v>0</v>
      </c>
      <c r="Q417" s="3308">
        <v>0</v>
      </c>
    </row>
    <row r="418" spans="2:17">
      <c r="B418" s="3260" t="s">
        <v>680</v>
      </c>
      <c r="C418" s="3268"/>
      <c r="D418" s="3269"/>
      <c r="E418" s="3269"/>
      <c r="F418" s="3269"/>
      <c r="G418" s="3270"/>
      <c r="H418" s="3268"/>
      <c r="I418" s="3305">
        <v>0</v>
      </c>
      <c r="J418" s="3305">
        <v>0</v>
      </c>
      <c r="K418" s="3305">
        <v>0</v>
      </c>
      <c r="L418" s="3306">
        <v>0</v>
      </c>
      <c r="M418" s="3307">
        <v>0</v>
      </c>
      <c r="N418" s="3305">
        <v>0</v>
      </c>
      <c r="O418" s="3305">
        <v>0</v>
      </c>
      <c r="P418" s="3305">
        <v>0</v>
      </c>
      <c r="Q418" s="3308">
        <v>0</v>
      </c>
    </row>
    <row r="419" spans="2:17">
      <c r="B419" s="3260" t="s">
        <v>681</v>
      </c>
      <c r="C419" s="3268"/>
      <c r="D419" s="3269"/>
      <c r="E419" s="3269"/>
      <c r="F419" s="3269"/>
      <c r="G419" s="3270"/>
      <c r="H419" s="3268"/>
      <c r="I419" s="3305">
        <v>55.291000000000004</v>
      </c>
      <c r="J419" s="3305">
        <v>55.291000000000011</v>
      </c>
      <c r="K419" s="3305">
        <v>55.291000000000011</v>
      </c>
      <c r="L419" s="3306">
        <v>55.291000000000011</v>
      </c>
      <c r="M419" s="3307">
        <v>55.291000000000011</v>
      </c>
      <c r="N419" s="3305">
        <v>55.291000000000011</v>
      </c>
      <c r="O419" s="3305">
        <v>55.291000000000011</v>
      </c>
      <c r="P419" s="3305">
        <v>55.291000000000011</v>
      </c>
      <c r="Q419" s="3308">
        <v>55.291000000000011</v>
      </c>
    </row>
    <row r="420" spans="2:17">
      <c r="B420" s="3260" t="s">
        <v>682</v>
      </c>
      <c r="C420" s="3268"/>
      <c r="D420" s="3269"/>
      <c r="E420" s="3269"/>
      <c r="F420" s="3269"/>
      <c r="G420" s="3270"/>
      <c r="H420" s="3268"/>
      <c r="I420" s="3305">
        <v>0</v>
      </c>
      <c r="J420" s="3305">
        <v>0</v>
      </c>
      <c r="K420" s="3305">
        <v>0</v>
      </c>
      <c r="L420" s="3306">
        <v>0</v>
      </c>
      <c r="M420" s="3307">
        <v>0</v>
      </c>
      <c r="N420" s="3305">
        <v>0</v>
      </c>
      <c r="O420" s="3305">
        <v>0</v>
      </c>
      <c r="P420" s="3305">
        <v>0</v>
      </c>
      <c r="Q420" s="3308">
        <v>0</v>
      </c>
    </row>
    <row r="421" spans="2:17">
      <c r="B421" s="3260" t="s">
        <v>66</v>
      </c>
      <c r="C421" s="3268"/>
      <c r="D421" s="3269"/>
      <c r="E421" s="3269"/>
      <c r="F421" s="3269"/>
      <c r="G421" s="3270"/>
      <c r="H421" s="3268"/>
      <c r="I421" s="3305">
        <v>0</v>
      </c>
      <c r="J421" s="3305">
        <v>0</v>
      </c>
      <c r="K421" s="3305">
        <v>0</v>
      </c>
      <c r="L421" s="3306">
        <v>0</v>
      </c>
      <c r="M421" s="3307">
        <v>0</v>
      </c>
      <c r="N421" s="3305">
        <v>0</v>
      </c>
      <c r="O421" s="3305">
        <v>0</v>
      </c>
      <c r="P421" s="3305">
        <v>0</v>
      </c>
      <c r="Q421" s="3308">
        <v>0</v>
      </c>
    </row>
    <row r="422" spans="2:17" ht="13.5" thickBot="1">
      <c r="B422" s="3260" t="s">
        <v>67</v>
      </c>
      <c r="C422" s="3268"/>
      <c r="D422" s="3269"/>
      <c r="E422" s="3269"/>
      <c r="F422" s="3269"/>
      <c r="G422" s="3270"/>
      <c r="H422" s="3268"/>
      <c r="I422" s="3305">
        <v>3.3070000000000004</v>
      </c>
      <c r="J422" s="3305">
        <v>3.3070000000000004</v>
      </c>
      <c r="K422" s="3305">
        <v>3.3070000000000004</v>
      </c>
      <c r="L422" s="3306">
        <v>3.3070000000000004</v>
      </c>
      <c r="M422" s="3309">
        <v>3.3070000000000004</v>
      </c>
      <c r="N422" s="3310">
        <v>3.3070000000000004</v>
      </c>
      <c r="O422" s="3310">
        <v>3.3070000000000004</v>
      </c>
      <c r="P422" s="3310">
        <v>3.3070000000000004</v>
      </c>
      <c r="Q422" s="3311">
        <v>3.3070000000000004</v>
      </c>
    </row>
    <row r="423" spans="2:17" ht="12.75" customHeight="1">
      <c r="B423" s="4689">
        <v>3036</v>
      </c>
      <c r="C423" s="4691" t="s">
        <v>36</v>
      </c>
      <c r="D423" s="4692"/>
      <c r="E423" s="4692"/>
      <c r="F423" s="4692"/>
      <c r="G423" s="4692"/>
      <c r="H423" s="4693" t="s">
        <v>37</v>
      </c>
      <c r="I423" s="4694"/>
      <c r="J423" s="4694"/>
      <c r="K423" s="4694"/>
      <c r="L423" s="4694"/>
      <c r="M423" s="4695" t="s">
        <v>73</v>
      </c>
      <c r="N423" s="4695"/>
      <c r="O423" s="4695"/>
      <c r="P423" s="4695"/>
      <c r="Q423" s="4696"/>
    </row>
    <row r="424" spans="2:17" ht="12.75" customHeight="1">
      <c r="B424" s="4690"/>
      <c r="C424" s="4697" t="s">
        <v>1673</v>
      </c>
      <c r="D424" s="4698"/>
      <c r="E424" s="4698"/>
      <c r="F424" s="4698"/>
      <c r="G424" s="4698"/>
      <c r="H424" s="4698"/>
      <c r="I424" s="4698"/>
      <c r="J424" s="4698"/>
      <c r="K424" s="4698"/>
      <c r="L424" s="4698"/>
      <c r="M424" s="4698"/>
      <c r="N424" s="4698"/>
      <c r="O424" s="4698"/>
      <c r="P424" s="4698"/>
      <c r="Q424" s="4699"/>
    </row>
    <row r="425" spans="2:17" ht="12.75" customHeight="1">
      <c r="B425" s="4690"/>
      <c r="C425" s="4697" t="s">
        <v>54</v>
      </c>
      <c r="D425" s="4698"/>
      <c r="E425" s="4698"/>
      <c r="F425" s="4698"/>
      <c r="G425" s="4698"/>
      <c r="H425" s="4698"/>
      <c r="I425" s="4698"/>
      <c r="J425" s="4700"/>
      <c r="K425" s="4701" t="s">
        <v>55</v>
      </c>
      <c r="L425" s="4702"/>
      <c r="M425" s="4702"/>
      <c r="N425" s="4702"/>
      <c r="O425" s="4702"/>
      <c r="P425" s="4702"/>
      <c r="Q425" s="4703"/>
    </row>
    <row r="426" spans="2:17" ht="13.5" customHeight="1" thickBot="1">
      <c r="B426" s="4690"/>
      <c r="C426" s="3252">
        <f t="array" ref="C426:G426">PRCP</f>
        <v>2008</v>
      </c>
      <c r="D426" s="3253">
        <v>2009</v>
      </c>
      <c r="E426" s="3253">
        <v>2010</v>
      </c>
      <c r="F426" s="3253">
        <v>2011</v>
      </c>
      <c r="G426" s="3253">
        <v>2012</v>
      </c>
      <c r="H426" s="3254">
        <f>CRCP_y1</f>
        <v>2013</v>
      </c>
      <c r="I426" s="3254">
        <f>CRCP_y2</f>
        <v>2014</v>
      </c>
      <c r="J426" s="3254">
        <f>CRCP_y3</f>
        <v>2015</v>
      </c>
      <c r="K426" s="3254">
        <f>CRCP_y4</f>
        <v>2016</v>
      </c>
      <c r="L426" s="3254">
        <f>CRCP_y5</f>
        <v>2017</v>
      </c>
      <c r="M426" s="3253" t="str">
        <f t="array" ref="M426:Q426">FRCP</f>
        <v>2018</v>
      </c>
      <c r="N426" s="3253">
        <v>2019</v>
      </c>
      <c r="O426" s="3253">
        <v>2020</v>
      </c>
      <c r="P426" s="3253">
        <v>2021</v>
      </c>
      <c r="Q426" s="3255">
        <v>2022</v>
      </c>
    </row>
    <row r="427" spans="2:17">
      <c r="B427" s="3256" t="s">
        <v>1687</v>
      </c>
      <c r="C427" s="3257"/>
      <c r="D427" s="3258"/>
      <c r="E427" s="3258"/>
      <c r="F427" s="3258"/>
      <c r="G427" s="3259"/>
      <c r="H427" s="3257"/>
      <c r="I427" s="3258"/>
      <c r="J427" s="3258"/>
      <c r="K427" s="3258"/>
      <c r="L427" s="3258"/>
      <c r="M427" s="3257"/>
      <c r="N427" s="3258"/>
      <c r="O427" s="3258"/>
      <c r="P427" s="3258"/>
      <c r="Q427" s="3259"/>
    </row>
    <row r="428" spans="2:17">
      <c r="B428" s="3260"/>
      <c r="C428" s="3268"/>
      <c r="D428" s="3269"/>
      <c r="E428" s="3269"/>
      <c r="F428" s="3269"/>
      <c r="G428" s="3270"/>
      <c r="H428" s="3268"/>
      <c r="I428" s="3269"/>
      <c r="J428" s="3269"/>
      <c r="K428" s="3269"/>
      <c r="L428" s="3271"/>
      <c r="M428" s="3268"/>
      <c r="N428" s="3269"/>
      <c r="O428" s="3269"/>
      <c r="P428" s="3269"/>
      <c r="Q428" s="3270"/>
    </row>
    <row r="429" spans="2:17">
      <c r="B429" s="3260" t="s">
        <v>64</v>
      </c>
      <c r="C429" s="3268"/>
      <c r="D429" s="3269"/>
      <c r="E429" s="3269"/>
      <c r="F429" s="3269"/>
      <c r="G429" s="3270"/>
      <c r="H429" s="3268"/>
      <c r="I429" s="3305">
        <v>0</v>
      </c>
      <c r="J429" s="3305">
        <v>0</v>
      </c>
      <c r="K429" s="3305">
        <v>0</v>
      </c>
      <c r="L429" s="3306">
        <v>0</v>
      </c>
      <c r="M429" s="3307">
        <v>0</v>
      </c>
      <c r="N429" s="3305">
        <v>0</v>
      </c>
      <c r="O429" s="3305">
        <v>0</v>
      </c>
      <c r="P429" s="3305">
        <v>0</v>
      </c>
      <c r="Q429" s="3308">
        <v>0</v>
      </c>
    </row>
    <row r="430" spans="2:17">
      <c r="B430" s="3260" t="s">
        <v>65</v>
      </c>
      <c r="C430" s="3268"/>
      <c r="D430" s="3269"/>
      <c r="E430" s="3269"/>
      <c r="F430" s="3269"/>
      <c r="G430" s="3270"/>
      <c r="H430" s="3268"/>
      <c r="I430" s="3305">
        <v>0</v>
      </c>
      <c r="J430" s="3305">
        <v>0</v>
      </c>
      <c r="K430" s="3305">
        <v>0</v>
      </c>
      <c r="L430" s="3306">
        <v>0</v>
      </c>
      <c r="M430" s="3307">
        <v>0</v>
      </c>
      <c r="N430" s="3305">
        <v>0</v>
      </c>
      <c r="O430" s="3305">
        <v>0</v>
      </c>
      <c r="P430" s="3305">
        <v>0</v>
      </c>
      <c r="Q430" s="3308">
        <v>0</v>
      </c>
    </row>
    <row r="431" spans="2:17">
      <c r="B431" s="3260" t="s">
        <v>82</v>
      </c>
      <c r="C431" s="3268"/>
      <c r="D431" s="3269"/>
      <c r="E431" s="3269"/>
      <c r="F431" s="3269"/>
      <c r="G431" s="3270"/>
      <c r="H431" s="3268"/>
      <c r="I431" s="3305">
        <v>0</v>
      </c>
      <c r="J431" s="3305">
        <v>0</v>
      </c>
      <c r="K431" s="3305">
        <v>0</v>
      </c>
      <c r="L431" s="3306">
        <v>0</v>
      </c>
      <c r="M431" s="3307">
        <v>0</v>
      </c>
      <c r="N431" s="3305">
        <v>0</v>
      </c>
      <c r="O431" s="3305">
        <v>0</v>
      </c>
      <c r="P431" s="3305">
        <v>0</v>
      </c>
      <c r="Q431" s="3308">
        <v>0</v>
      </c>
    </row>
    <row r="432" spans="2:17">
      <c r="B432" s="3260" t="s">
        <v>680</v>
      </c>
      <c r="C432" s="3268"/>
      <c r="D432" s="3269"/>
      <c r="E432" s="3269"/>
      <c r="F432" s="3269"/>
      <c r="G432" s="3270"/>
      <c r="H432" s="3268"/>
      <c r="I432" s="3305">
        <v>0</v>
      </c>
      <c r="J432" s="3305">
        <v>0</v>
      </c>
      <c r="K432" s="3305">
        <v>0</v>
      </c>
      <c r="L432" s="3306">
        <v>0</v>
      </c>
      <c r="M432" s="3307">
        <v>0</v>
      </c>
      <c r="N432" s="3305">
        <v>0</v>
      </c>
      <c r="O432" s="3305">
        <v>0</v>
      </c>
      <c r="P432" s="3305">
        <v>0</v>
      </c>
      <c r="Q432" s="3308">
        <v>0</v>
      </c>
    </row>
    <row r="433" spans="2:17">
      <c r="B433" s="3260" t="s">
        <v>681</v>
      </c>
      <c r="C433" s="3268"/>
      <c r="D433" s="3269"/>
      <c r="E433" s="3269"/>
      <c r="F433" s="3269"/>
      <c r="G433" s="3270"/>
      <c r="H433" s="3268"/>
      <c r="I433" s="3305">
        <v>11.575000000000003</v>
      </c>
      <c r="J433" s="3305">
        <v>11.575000000000001</v>
      </c>
      <c r="K433" s="3305">
        <v>11.575000000000001</v>
      </c>
      <c r="L433" s="3306">
        <v>11.575000000000001</v>
      </c>
      <c r="M433" s="3307">
        <v>11.575000000000001</v>
      </c>
      <c r="N433" s="3305">
        <v>11.575000000000001</v>
      </c>
      <c r="O433" s="3305">
        <v>11.575000000000001</v>
      </c>
      <c r="P433" s="3305">
        <v>11.575000000000001</v>
      </c>
      <c r="Q433" s="3308">
        <v>11.575000000000001</v>
      </c>
    </row>
    <row r="434" spans="2:17">
      <c r="B434" s="3260" t="s">
        <v>682</v>
      </c>
      <c r="C434" s="3268"/>
      <c r="D434" s="3269"/>
      <c r="E434" s="3269"/>
      <c r="F434" s="3269"/>
      <c r="G434" s="3270"/>
      <c r="H434" s="3268"/>
      <c r="I434" s="3305">
        <v>0</v>
      </c>
      <c r="J434" s="3305">
        <v>0</v>
      </c>
      <c r="K434" s="3305">
        <v>0</v>
      </c>
      <c r="L434" s="3306">
        <v>0</v>
      </c>
      <c r="M434" s="3307">
        <v>0</v>
      </c>
      <c r="N434" s="3305">
        <v>0</v>
      </c>
      <c r="O434" s="3305">
        <v>0</v>
      </c>
      <c r="P434" s="3305">
        <v>0</v>
      </c>
      <c r="Q434" s="3308">
        <v>0</v>
      </c>
    </row>
    <row r="435" spans="2:17">
      <c r="B435" s="3260" t="s">
        <v>66</v>
      </c>
      <c r="C435" s="3268"/>
      <c r="D435" s="3269"/>
      <c r="E435" s="3269"/>
      <c r="F435" s="3269"/>
      <c r="G435" s="3270"/>
      <c r="H435" s="3268"/>
      <c r="I435" s="3305">
        <v>0</v>
      </c>
      <c r="J435" s="3305">
        <v>0</v>
      </c>
      <c r="K435" s="3305">
        <v>0</v>
      </c>
      <c r="L435" s="3306">
        <v>0</v>
      </c>
      <c r="M435" s="3307">
        <v>0</v>
      </c>
      <c r="N435" s="3305">
        <v>0</v>
      </c>
      <c r="O435" s="3305">
        <v>0</v>
      </c>
      <c r="P435" s="3305">
        <v>0</v>
      </c>
      <c r="Q435" s="3308">
        <v>0</v>
      </c>
    </row>
    <row r="436" spans="2:17" ht="13.5" thickBot="1">
      <c r="B436" s="3260" t="s">
        <v>67</v>
      </c>
      <c r="C436" s="3268"/>
      <c r="D436" s="3269"/>
      <c r="E436" s="3269"/>
      <c r="F436" s="3269"/>
      <c r="G436" s="3270"/>
      <c r="H436" s="3268"/>
      <c r="I436" s="3305">
        <v>22.542000000000005</v>
      </c>
      <c r="J436" s="3305">
        <v>22.542000000000009</v>
      </c>
      <c r="K436" s="3305">
        <v>22.542000000000009</v>
      </c>
      <c r="L436" s="3306">
        <v>22.542000000000009</v>
      </c>
      <c r="M436" s="3309">
        <v>22.542000000000009</v>
      </c>
      <c r="N436" s="3310">
        <v>22.542000000000009</v>
      </c>
      <c r="O436" s="3310">
        <v>22.542000000000009</v>
      </c>
      <c r="P436" s="3310">
        <v>22.542000000000009</v>
      </c>
      <c r="Q436" s="3311">
        <v>22.542000000000009</v>
      </c>
    </row>
    <row r="437" spans="2:17" ht="12.75" customHeight="1">
      <c r="B437" s="4689">
        <v>3037</v>
      </c>
      <c r="C437" s="4691" t="s">
        <v>36</v>
      </c>
      <c r="D437" s="4692"/>
      <c r="E437" s="4692"/>
      <c r="F437" s="4692"/>
      <c r="G437" s="4692"/>
      <c r="H437" s="4693" t="s">
        <v>37</v>
      </c>
      <c r="I437" s="4694"/>
      <c r="J437" s="4694"/>
      <c r="K437" s="4694"/>
      <c r="L437" s="4694"/>
      <c r="M437" s="4695" t="s">
        <v>73</v>
      </c>
      <c r="N437" s="4695"/>
      <c r="O437" s="4695"/>
      <c r="P437" s="4695"/>
      <c r="Q437" s="4696"/>
    </row>
    <row r="438" spans="2:17" ht="12.75" customHeight="1">
      <c r="B438" s="4690"/>
      <c r="C438" s="4697" t="s">
        <v>1673</v>
      </c>
      <c r="D438" s="4698"/>
      <c r="E438" s="4698"/>
      <c r="F438" s="4698"/>
      <c r="G438" s="4698"/>
      <c r="H438" s="4698"/>
      <c r="I438" s="4698"/>
      <c r="J438" s="4698"/>
      <c r="K438" s="4698"/>
      <c r="L438" s="4698"/>
      <c r="M438" s="4698"/>
      <c r="N438" s="4698"/>
      <c r="O438" s="4698"/>
      <c r="P438" s="4698"/>
      <c r="Q438" s="4699"/>
    </row>
    <row r="439" spans="2:17" ht="12.75" customHeight="1">
      <c r="B439" s="4690"/>
      <c r="C439" s="4697" t="s">
        <v>54</v>
      </c>
      <c r="D439" s="4698"/>
      <c r="E439" s="4698"/>
      <c r="F439" s="4698"/>
      <c r="G439" s="4698"/>
      <c r="H439" s="4698"/>
      <c r="I439" s="4698"/>
      <c r="J439" s="4700"/>
      <c r="K439" s="4701" t="s">
        <v>55</v>
      </c>
      <c r="L439" s="4702"/>
      <c r="M439" s="4702"/>
      <c r="N439" s="4702"/>
      <c r="O439" s="4702"/>
      <c r="P439" s="4702"/>
      <c r="Q439" s="4703"/>
    </row>
    <row r="440" spans="2:17" ht="13.5" customHeight="1" thickBot="1">
      <c r="B440" s="4690"/>
      <c r="C440" s="3252">
        <f t="array" ref="C440:G440">PRCP</f>
        <v>2008</v>
      </c>
      <c r="D440" s="3253">
        <v>2009</v>
      </c>
      <c r="E440" s="3253">
        <v>2010</v>
      </c>
      <c r="F440" s="3253">
        <v>2011</v>
      </c>
      <c r="G440" s="3253">
        <v>2012</v>
      </c>
      <c r="H440" s="3254">
        <f>CRCP_y1</f>
        <v>2013</v>
      </c>
      <c r="I440" s="3254">
        <f>CRCP_y2</f>
        <v>2014</v>
      </c>
      <c r="J440" s="3254">
        <f>CRCP_y3</f>
        <v>2015</v>
      </c>
      <c r="K440" s="3254">
        <f>CRCP_y4</f>
        <v>2016</v>
      </c>
      <c r="L440" s="3254">
        <f>CRCP_y5</f>
        <v>2017</v>
      </c>
      <c r="M440" s="3253" t="str">
        <f t="array" ref="M440:Q440">FRCP</f>
        <v>2018</v>
      </c>
      <c r="N440" s="3253">
        <v>2019</v>
      </c>
      <c r="O440" s="3253">
        <v>2020</v>
      </c>
      <c r="P440" s="3253">
        <v>2021</v>
      </c>
      <c r="Q440" s="3255">
        <v>2022</v>
      </c>
    </row>
    <row r="441" spans="2:17">
      <c r="B441" s="3256" t="s">
        <v>1688</v>
      </c>
      <c r="C441" s="3257"/>
      <c r="D441" s="3258"/>
      <c r="E441" s="3258"/>
      <c r="F441" s="3258"/>
      <c r="G441" s="3259"/>
      <c r="H441" s="3257"/>
      <c r="I441" s="3258"/>
      <c r="J441" s="3258"/>
      <c r="K441" s="3258"/>
      <c r="L441" s="3258"/>
      <c r="M441" s="3257"/>
      <c r="N441" s="3258"/>
      <c r="O441" s="3258"/>
      <c r="P441" s="3258"/>
      <c r="Q441" s="3259"/>
    </row>
    <row r="442" spans="2:17">
      <c r="B442" s="3260"/>
      <c r="C442" s="3268"/>
      <c r="D442" s="3269"/>
      <c r="E442" s="3269"/>
      <c r="F442" s="3269"/>
      <c r="G442" s="3270"/>
      <c r="H442" s="3268"/>
      <c r="I442" s="3269"/>
      <c r="J442" s="3269"/>
      <c r="K442" s="3269"/>
      <c r="L442" s="3271"/>
      <c r="M442" s="3268"/>
      <c r="N442" s="3269"/>
      <c r="O442" s="3269"/>
      <c r="P442" s="3269"/>
      <c r="Q442" s="3270"/>
    </row>
    <row r="443" spans="2:17">
      <c r="B443" s="3260" t="s">
        <v>64</v>
      </c>
      <c r="C443" s="3268"/>
      <c r="D443" s="3269"/>
      <c r="E443" s="3269"/>
      <c r="F443" s="3269"/>
      <c r="G443" s="3270"/>
      <c r="H443" s="3268"/>
      <c r="I443" s="3305">
        <v>0</v>
      </c>
      <c r="J443" s="3305">
        <v>0</v>
      </c>
      <c r="K443" s="3305">
        <v>0</v>
      </c>
      <c r="L443" s="3306">
        <v>0</v>
      </c>
      <c r="M443" s="3307">
        <v>0</v>
      </c>
      <c r="N443" s="3305">
        <v>0</v>
      </c>
      <c r="O443" s="3305">
        <v>0</v>
      </c>
      <c r="P443" s="3305">
        <v>0</v>
      </c>
      <c r="Q443" s="3308">
        <v>0</v>
      </c>
    </row>
    <row r="444" spans="2:17">
      <c r="B444" s="3260" t="s">
        <v>65</v>
      </c>
      <c r="C444" s="3268"/>
      <c r="D444" s="3269"/>
      <c r="E444" s="3269"/>
      <c r="F444" s="3269"/>
      <c r="G444" s="3270"/>
      <c r="H444" s="3268"/>
      <c r="I444" s="3305">
        <v>0</v>
      </c>
      <c r="J444" s="3305">
        <v>0</v>
      </c>
      <c r="K444" s="3305">
        <v>0</v>
      </c>
      <c r="L444" s="3306">
        <v>0</v>
      </c>
      <c r="M444" s="3307">
        <v>0</v>
      </c>
      <c r="N444" s="3305">
        <v>0</v>
      </c>
      <c r="O444" s="3305">
        <v>0</v>
      </c>
      <c r="P444" s="3305">
        <v>0</v>
      </c>
      <c r="Q444" s="3308">
        <v>0</v>
      </c>
    </row>
    <row r="445" spans="2:17">
      <c r="B445" s="3260" t="s">
        <v>82</v>
      </c>
      <c r="C445" s="3268"/>
      <c r="D445" s="3269"/>
      <c r="E445" s="3269"/>
      <c r="F445" s="3269"/>
      <c r="G445" s="3270"/>
      <c r="H445" s="3268"/>
      <c r="I445" s="3305">
        <v>0</v>
      </c>
      <c r="J445" s="3305">
        <v>0</v>
      </c>
      <c r="K445" s="3305">
        <v>0</v>
      </c>
      <c r="L445" s="3306">
        <v>0</v>
      </c>
      <c r="M445" s="3307">
        <v>0</v>
      </c>
      <c r="N445" s="3305">
        <v>0</v>
      </c>
      <c r="O445" s="3305">
        <v>0</v>
      </c>
      <c r="P445" s="3305">
        <v>0</v>
      </c>
      <c r="Q445" s="3308">
        <v>0</v>
      </c>
    </row>
    <row r="446" spans="2:17">
      <c r="B446" s="3260" t="s">
        <v>680</v>
      </c>
      <c r="C446" s="3268"/>
      <c r="D446" s="3269"/>
      <c r="E446" s="3269"/>
      <c r="F446" s="3269"/>
      <c r="G446" s="3270"/>
      <c r="H446" s="3268"/>
      <c r="I446" s="3305">
        <v>0</v>
      </c>
      <c r="J446" s="3305">
        <v>0</v>
      </c>
      <c r="K446" s="3305">
        <v>0</v>
      </c>
      <c r="L446" s="3306">
        <v>0</v>
      </c>
      <c r="M446" s="3307">
        <v>0</v>
      </c>
      <c r="N446" s="3305">
        <v>0</v>
      </c>
      <c r="O446" s="3305">
        <v>0</v>
      </c>
      <c r="P446" s="3305">
        <v>0</v>
      </c>
      <c r="Q446" s="3308">
        <v>0</v>
      </c>
    </row>
    <row r="447" spans="2:17">
      <c r="B447" s="3260" t="s">
        <v>681</v>
      </c>
      <c r="C447" s="3268"/>
      <c r="D447" s="3269"/>
      <c r="E447" s="3269"/>
      <c r="F447" s="3269"/>
      <c r="G447" s="3270"/>
      <c r="H447" s="3268"/>
      <c r="I447" s="3305">
        <v>206.84799999999964</v>
      </c>
      <c r="J447" s="3305">
        <v>206.87199999999956</v>
      </c>
      <c r="K447" s="3305">
        <v>206.87199999999956</v>
      </c>
      <c r="L447" s="3306">
        <v>206.87199999999956</v>
      </c>
      <c r="M447" s="3307">
        <v>206.87199999999956</v>
      </c>
      <c r="N447" s="3305">
        <v>206.87199999999956</v>
      </c>
      <c r="O447" s="3305">
        <v>206.87199999999956</v>
      </c>
      <c r="P447" s="3305">
        <v>206.87199999999956</v>
      </c>
      <c r="Q447" s="3308">
        <v>206.87199999999956</v>
      </c>
    </row>
    <row r="448" spans="2:17">
      <c r="B448" s="3260" t="s">
        <v>682</v>
      </c>
      <c r="C448" s="3268"/>
      <c r="D448" s="3269"/>
      <c r="E448" s="3269"/>
      <c r="F448" s="3269"/>
      <c r="G448" s="3270"/>
      <c r="H448" s="3268"/>
      <c r="I448" s="3305">
        <v>0</v>
      </c>
      <c r="J448" s="3305">
        <v>0</v>
      </c>
      <c r="K448" s="3305">
        <v>0</v>
      </c>
      <c r="L448" s="3306">
        <v>0</v>
      </c>
      <c r="M448" s="3307">
        <v>0</v>
      </c>
      <c r="N448" s="3305">
        <v>0</v>
      </c>
      <c r="O448" s="3305">
        <v>0</v>
      </c>
      <c r="P448" s="3305">
        <v>0</v>
      </c>
      <c r="Q448" s="3308">
        <v>0</v>
      </c>
    </row>
    <row r="449" spans="2:17">
      <c r="B449" s="3260" t="s">
        <v>66</v>
      </c>
      <c r="C449" s="3268"/>
      <c r="D449" s="3269"/>
      <c r="E449" s="3269"/>
      <c r="F449" s="3269"/>
      <c r="G449" s="3270"/>
      <c r="H449" s="3268"/>
      <c r="I449" s="3305">
        <v>0</v>
      </c>
      <c r="J449" s="3305">
        <v>0</v>
      </c>
      <c r="K449" s="3305">
        <v>0</v>
      </c>
      <c r="L449" s="3306">
        <v>0</v>
      </c>
      <c r="M449" s="3307">
        <v>0</v>
      </c>
      <c r="N449" s="3305">
        <v>0</v>
      </c>
      <c r="O449" s="3305">
        <v>0</v>
      </c>
      <c r="P449" s="3305">
        <v>0</v>
      </c>
      <c r="Q449" s="3308">
        <v>0</v>
      </c>
    </row>
    <row r="450" spans="2:17" ht="13.5" thickBot="1">
      <c r="B450" s="3260" t="s">
        <v>67</v>
      </c>
      <c r="C450" s="3268"/>
      <c r="D450" s="3269"/>
      <c r="E450" s="3269"/>
      <c r="F450" s="3269"/>
      <c r="G450" s="3270"/>
      <c r="H450" s="3268"/>
      <c r="I450" s="3305">
        <v>21.998000000000001</v>
      </c>
      <c r="J450" s="3305">
        <v>21.998000000000005</v>
      </c>
      <c r="K450" s="3305">
        <v>21.998000000000005</v>
      </c>
      <c r="L450" s="3306">
        <v>21.998000000000005</v>
      </c>
      <c r="M450" s="3309">
        <v>21.998000000000005</v>
      </c>
      <c r="N450" s="3310">
        <v>21.998000000000005</v>
      </c>
      <c r="O450" s="3310">
        <v>21.998000000000005</v>
      </c>
      <c r="P450" s="3310">
        <v>21.998000000000005</v>
      </c>
      <c r="Q450" s="3311">
        <v>21.998000000000005</v>
      </c>
    </row>
    <row r="451" spans="2:17" ht="12.75" customHeight="1">
      <c r="B451" s="4689">
        <v>3038</v>
      </c>
      <c r="C451" s="4691" t="s">
        <v>36</v>
      </c>
      <c r="D451" s="4692"/>
      <c r="E451" s="4692"/>
      <c r="F451" s="4692"/>
      <c r="G451" s="4692"/>
      <c r="H451" s="4693" t="s">
        <v>37</v>
      </c>
      <c r="I451" s="4694"/>
      <c r="J451" s="4694"/>
      <c r="K451" s="4694"/>
      <c r="L451" s="4694"/>
      <c r="M451" s="4695" t="s">
        <v>73</v>
      </c>
      <c r="N451" s="4695"/>
      <c r="O451" s="4695"/>
      <c r="P451" s="4695"/>
      <c r="Q451" s="4696"/>
    </row>
    <row r="452" spans="2:17" ht="12.75" customHeight="1">
      <c r="B452" s="4690"/>
      <c r="C452" s="4697" t="s">
        <v>1673</v>
      </c>
      <c r="D452" s="4698"/>
      <c r="E452" s="4698"/>
      <c r="F452" s="4698"/>
      <c r="G452" s="4698"/>
      <c r="H452" s="4698"/>
      <c r="I452" s="4698"/>
      <c r="J452" s="4698"/>
      <c r="K452" s="4698"/>
      <c r="L452" s="4698"/>
      <c r="M452" s="4698"/>
      <c r="N452" s="4698"/>
      <c r="O452" s="4698"/>
      <c r="P452" s="4698"/>
      <c r="Q452" s="4699"/>
    </row>
    <row r="453" spans="2:17" ht="12.75" customHeight="1">
      <c r="B453" s="4690"/>
      <c r="C453" s="4697" t="s">
        <v>54</v>
      </c>
      <c r="D453" s="4698"/>
      <c r="E453" s="4698"/>
      <c r="F453" s="4698"/>
      <c r="G453" s="4698"/>
      <c r="H453" s="4698"/>
      <c r="I453" s="4698"/>
      <c r="J453" s="4700"/>
      <c r="K453" s="4701" t="s">
        <v>55</v>
      </c>
      <c r="L453" s="4702"/>
      <c r="M453" s="4702"/>
      <c r="N453" s="4702"/>
      <c r="O453" s="4702"/>
      <c r="P453" s="4702"/>
      <c r="Q453" s="4703"/>
    </row>
    <row r="454" spans="2:17" ht="13.5" customHeight="1" thickBot="1">
      <c r="B454" s="4690"/>
      <c r="C454" s="3252">
        <f t="array" ref="C454:G454">PRCP</f>
        <v>2008</v>
      </c>
      <c r="D454" s="3253">
        <v>2009</v>
      </c>
      <c r="E454" s="3253">
        <v>2010</v>
      </c>
      <c r="F454" s="3253">
        <v>2011</v>
      </c>
      <c r="G454" s="3253">
        <v>2012</v>
      </c>
      <c r="H454" s="3254">
        <f>CRCP_y1</f>
        <v>2013</v>
      </c>
      <c r="I454" s="3254">
        <f>CRCP_y2</f>
        <v>2014</v>
      </c>
      <c r="J454" s="3254">
        <f>CRCP_y3</f>
        <v>2015</v>
      </c>
      <c r="K454" s="3254">
        <f>CRCP_y4</f>
        <v>2016</v>
      </c>
      <c r="L454" s="3254">
        <f>CRCP_y5</f>
        <v>2017</v>
      </c>
      <c r="M454" s="3253" t="str">
        <f t="array" ref="M454:Q454">FRCP</f>
        <v>2018</v>
      </c>
      <c r="N454" s="3253">
        <v>2019</v>
      </c>
      <c r="O454" s="3253">
        <v>2020</v>
      </c>
      <c r="P454" s="3253">
        <v>2021</v>
      </c>
      <c r="Q454" s="3255">
        <v>2022</v>
      </c>
    </row>
    <row r="455" spans="2:17">
      <c r="B455" s="3256" t="s">
        <v>1688</v>
      </c>
      <c r="C455" s="3257"/>
      <c r="D455" s="3258"/>
      <c r="E455" s="3258"/>
      <c r="F455" s="3258"/>
      <c r="G455" s="3259"/>
      <c r="H455" s="3257"/>
      <c r="I455" s="3258"/>
      <c r="J455" s="3258"/>
      <c r="K455" s="3258"/>
      <c r="L455" s="3258"/>
      <c r="M455" s="3257"/>
      <c r="N455" s="3258"/>
      <c r="O455" s="3258"/>
      <c r="P455" s="3258"/>
      <c r="Q455" s="3259"/>
    </row>
    <row r="456" spans="2:17">
      <c r="B456" s="3260"/>
      <c r="C456" s="3268"/>
      <c r="D456" s="3269"/>
      <c r="E456" s="3269"/>
      <c r="F456" s="3269"/>
      <c r="G456" s="3270"/>
      <c r="H456" s="3268"/>
      <c r="I456" s="3269"/>
      <c r="J456" s="3269"/>
      <c r="K456" s="3269"/>
      <c r="L456" s="3271"/>
      <c r="M456" s="3268"/>
      <c r="N456" s="3269"/>
      <c r="O456" s="3269"/>
      <c r="P456" s="3269"/>
      <c r="Q456" s="3270"/>
    </row>
    <row r="457" spans="2:17">
      <c r="B457" s="3260" t="s">
        <v>64</v>
      </c>
      <c r="C457" s="3268"/>
      <c r="D457" s="3269"/>
      <c r="E457" s="3269"/>
      <c r="F457" s="3269"/>
      <c r="G457" s="3270"/>
      <c r="H457" s="3268"/>
      <c r="I457" s="3305">
        <v>0</v>
      </c>
      <c r="J457" s="3305">
        <v>0</v>
      </c>
      <c r="K457" s="3305">
        <v>0</v>
      </c>
      <c r="L457" s="3306">
        <v>0</v>
      </c>
      <c r="M457" s="3307">
        <v>0</v>
      </c>
      <c r="N457" s="3305">
        <v>0</v>
      </c>
      <c r="O457" s="3305">
        <v>0</v>
      </c>
      <c r="P457" s="3305">
        <v>0</v>
      </c>
      <c r="Q457" s="3308">
        <v>0</v>
      </c>
    </row>
    <row r="458" spans="2:17">
      <c r="B458" s="3260" t="s">
        <v>65</v>
      </c>
      <c r="C458" s="3268"/>
      <c r="D458" s="3269"/>
      <c r="E458" s="3269"/>
      <c r="F458" s="3269"/>
      <c r="G458" s="3270"/>
      <c r="H458" s="3268"/>
      <c r="I458" s="3305">
        <v>0</v>
      </c>
      <c r="J458" s="3305">
        <v>0</v>
      </c>
      <c r="K458" s="3305">
        <v>0</v>
      </c>
      <c r="L458" s="3306">
        <v>0</v>
      </c>
      <c r="M458" s="3307">
        <v>0</v>
      </c>
      <c r="N458" s="3305">
        <v>0</v>
      </c>
      <c r="O458" s="3305">
        <v>0</v>
      </c>
      <c r="P458" s="3305">
        <v>0</v>
      </c>
      <c r="Q458" s="3308">
        <v>0</v>
      </c>
    </row>
    <row r="459" spans="2:17">
      <c r="B459" s="3260" t="s">
        <v>82</v>
      </c>
      <c r="C459" s="3268"/>
      <c r="D459" s="3269"/>
      <c r="E459" s="3269"/>
      <c r="F459" s="3269"/>
      <c r="G459" s="3270"/>
      <c r="H459" s="3268"/>
      <c r="I459" s="3305">
        <v>0</v>
      </c>
      <c r="J459" s="3305">
        <v>0</v>
      </c>
      <c r="K459" s="3305">
        <v>0</v>
      </c>
      <c r="L459" s="3306">
        <v>0</v>
      </c>
      <c r="M459" s="3307">
        <v>0</v>
      </c>
      <c r="N459" s="3305">
        <v>0</v>
      </c>
      <c r="O459" s="3305">
        <v>0</v>
      </c>
      <c r="P459" s="3305">
        <v>0</v>
      </c>
      <c r="Q459" s="3308">
        <v>0</v>
      </c>
    </row>
    <row r="460" spans="2:17">
      <c r="B460" s="3260" t="s">
        <v>680</v>
      </c>
      <c r="C460" s="3268"/>
      <c r="D460" s="3269"/>
      <c r="E460" s="3269"/>
      <c r="F460" s="3269"/>
      <c r="G460" s="3270"/>
      <c r="H460" s="3268"/>
      <c r="I460" s="3305">
        <v>0</v>
      </c>
      <c r="J460" s="3305">
        <v>0</v>
      </c>
      <c r="K460" s="3305">
        <v>0</v>
      </c>
      <c r="L460" s="3306">
        <v>0</v>
      </c>
      <c r="M460" s="3307">
        <v>0</v>
      </c>
      <c r="N460" s="3305">
        <v>0</v>
      </c>
      <c r="O460" s="3305">
        <v>0</v>
      </c>
      <c r="P460" s="3305">
        <v>0</v>
      </c>
      <c r="Q460" s="3308">
        <v>0</v>
      </c>
    </row>
    <row r="461" spans="2:17">
      <c r="B461" s="3260" t="s">
        <v>681</v>
      </c>
      <c r="C461" s="3268"/>
      <c r="D461" s="3269"/>
      <c r="E461" s="3269"/>
      <c r="F461" s="3269"/>
      <c r="G461" s="3270"/>
      <c r="H461" s="3268"/>
      <c r="I461" s="3305">
        <v>103.05499999999985</v>
      </c>
      <c r="J461" s="3305">
        <v>103.08199999999988</v>
      </c>
      <c r="K461" s="3305">
        <v>103.08199999999988</v>
      </c>
      <c r="L461" s="3306">
        <v>103.08199999999988</v>
      </c>
      <c r="M461" s="3307">
        <v>103.08199999999988</v>
      </c>
      <c r="N461" s="3305">
        <v>103.08199999999988</v>
      </c>
      <c r="O461" s="3305">
        <v>103.08199999999988</v>
      </c>
      <c r="P461" s="3305">
        <v>103.08199999999988</v>
      </c>
      <c r="Q461" s="3308">
        <v>103.08199999999988</v>
      </c>
    </row>
    <row r="462" spans="2:17">
      <c r="B462" s="3260" t="s">
        <v>682</v>
      </c>
      <c r="C462" s="3268"/>
      <c r="D462" s="3269"/>
      <c r="E462" s="3269"/>
      <c r="F462" s="3269"/>
      <c r="G462" s="3270"/>
      <c r="H462" s="3268"/>
      <c r="I462" s="3305">
        <v>0</v>
      </c>
      <c r="J462" s="3305">
        <v>0</v>
      </c>
      <c r="K462" s="3305">
        <v>0</v>
      </c>
      <c r="L462" s="3306">
        <v>0</v>
      </c>
      <c r="M462" s="3307">
        <v>0</v>
      </c>
      <c r="N462" s="3305">
        <v>0</v>
      </c>
      <c r="O462" s="3305">
        <v>0</v>
      </c>
      <c r="P462" s="3305">
        <v>0</v>
      </c>
      <c r="Q462" s="3308">
        <v>0</v>
      </c>
    </row>
    <row r="463" spans="2:17">
      <c r="B463" s="3260" t="s">
        <v>66</v>
      </c>
      <c r="C463" s="3268"/>
      <c r="D463" s="3269"/>
      <c r="E463" s="3269"/>
      <c r="F463" s="3269"/>
      <c r="G463" s="3270"/>
      <c r="H463" s="3268"/>
      <c r="I463" s="3305">
        <v>0</v>
      </c>
      <c r="J463" s="3305">
        <v>0</v>
      </c>
      <c r="K463" s="3305">
        <v>0</v>
      </c>
      <c r="L463" s="3306">
        <v>0</v>
      </c>
      <c r="M463" s="3307">
        <v>0</v>
      </c>
      <c r="N463" s="3305">
        <v>0</v>
      </c>
      <c r="O463" s="3305">
        <v>0</v>
      </c>
      <c r="P463" s="3305">
        <v>0</v>
      </c>
      <c r="Q463" s="3308">
        <v>0</v>
      </c>
    </row>
    <row r="464" spans="2:17" ht="13.5" thickBot="1">
      <c r="B464" s="3260" t="s">
        <v>67</v>
      </c>
      <c r="C464" s="3268"/>
      <c r="D464" s="3269"/>
      <c r="E464" s="3269"/>
      <c r="F464" s="3269"/>
      <c r="G464" s="3270"/>
      <c r="H464" s="3268"/>
      <c r="I464" s="3305">
        <v>25.342000000000013</v>
      </c>
      <c r="J464" s="3305">
        <v>25.342000000000013</v>
      </c>
      <c r="K464" s="3305">
        <v>25.342000000000013</v>
      </c>
      <c r="L464" s="3306">
        <v>25.342000000000013</v>
      </c>
      <c r="M464" s="3309">
        <v>25.342000000000013</v>
      </c>
      <c r="N464" s="3310">
        <v>25.342000000000013</v>
      </c>
      <c r="O464" s="3310">
        <v>25.342000000000013</v>
      </c>
      <c r="P464" s="3310">
        <v>25.342000000000013</v>
      </c>
      <c r="Q464" s="3311">
        <v>25.342000000000013</v>
      </c>
    </row>
    <row r="465" spans="2:17" ht="12.75" customHeight="1">
      <c r="B465" s="4689">
        <v>3039</v>
      </c>
      <c r="C465" s="4691" t="s">
        <v>36</v>
      </c>
      <c r="D465" s="4692"/>
      <c r="E465" s="4692"/>
      <c r="F465" s="4692"/>
      <c r="G465" s="4692"/>
      <c r="H465" s="4693" t="s">
        <v>37</v>
      </c>
      <c r="I465" s="4694"/>
      <c r="J465" s="4694"/>
      <c r="K465" s="4694"/>
      <c r="L465" s="4694"/>
      <c r="M465" s="4695" t="s">
        <v>73</v>
      </c>
      <c r="N465" s="4695"/>
      <c r="O465" s="4695"/>
      <c r="P465" s="4695"/>
      <c r="Q465" s="4696"/>
    </row>
    <row r="466" spans="2:17" ht="12.75" customHeight="1">
      <c r="B466" s="4690"/>
      <c r="C466" s="4697" t="s">
        <v>1673</v>
      </c>
      <c r="D466" s="4698"/>
      <c r="E466" s="4698"/>
      <c r="F466" s="4698"/>
      <c r="G466" s="4698"/>
      <c r="H466" s="4698"/>
      <c r="I466" s="4698"/>
      <c r="J466" s="4698"/>
      <c r="K466" s="4698"/>
      <c r="L466" s="4698"/>
      <c r="M466" s="4698"/>
      <c r="N466" s="4698"/>
      <c r="O466" s="4698"/>
      <c r="P466" s="4698"/>
      <c r="Q466" s="4699"/>
    </row>
    <row r="467" spans="2:17" ht="12.75" customHeight="1">
      <c r="B467" s="4690"/>
      <c r="C467" s="4697" t="s">
        <v>54</v>
      </c>
      <c r="D467" s="4698"/>
      <c r="E467" s="4698"/>
      <c r="F467" s="4698"/>
      <c r="G467" s="4698"/>
      <c r="H467" s="4698"/>
      <c r="I467" s="4698"/>
      <c r="J467" s="4700"/>
      <c r="K467" s="4701" t="s">
        <v>55</v>
      </c>
      <c r="L467" s="4702"/>
      <c r="M467" s="4702"/>
      <c r="N467" s="4702"/>
      <c r="O467" s="4702"/>
      <c r="P467" s="4702"/>
      <c r="Q467" s="4703"/>
    </row>
    <row r="468" spans="2:17" ht="13.5" customHeight="1" thickBot="1">
      <c r="B468" s="4690"/>
      <c r="C468" s="3252">
        <f t="array" ref="C468:G468">PRCP</f>
        <v>2008</v>
      </c>
      <c r="D468" s="3253">
        <v>2009</v>
      </c>
      <c r="E468" s="3253">
        <v>2010</v>
      </c>
      <c r="F468" s="3253">
        <v>2011</v>
      </c>
      <c r="G468" s="3253">
        <v>2012</v>
      </c>
      <c r="H468" s="3254">
        <f>CRCP_y1</f>
        <v>2013</v>
      </c>
      <c r="I468" s="3254">
        <f>CRCP_y2</f>
        <v>2014</v>
      </c>
      <c r="J468" s="3254">
        <f>CRCP_y3</f>
        <v>2015</v>
      </c>
      <c r="K468" s="3254">
        <f>CRCP_y4</f>
        <v>2016</v>
      </c>
      <c r="L468" s="3254">
        <f>CRCP_y5</f>
        <v>2017</v>
      </c>
      <c r="M468" s="3253" t="str">
        <f t="array" ref="M468:Q468">FRCP</f>
        <v>2018</v>
      </c>
      <c r="N468" s="3253">
        <v>2019</v>
      </c>
      <c r="O468" s="3253">
        <v>2020</v>
      </c>
      <c r="P468" s="3253">
        <v>2021</v>
      </c>
      <c r="Q468" s="3255">
        <v>2022</v>
      </c>
    </row>
    <row r="469" spans="2:17">
      <c r="B469" s="3256" t="s">
        <v>1689</v>
      </c>
      <c r="C469" s="3257"/>
      <c r="D469" s="3258"/>
      <c r="E469" s="3258"/>
      <c r="F469" s="3258"/>
      <c r="G469" s="3259"/>
      <c r="H469" s="3257"/>
      <c r="I469" s="3258"/>
      <c r="J469" s="3258"/>
      <c r="K469" s="3258"/>
      <c r="L469" s="3258"/>
      <c r="M469" s="3257"/>
      <c r="N469" s="3258"/>
      <c r="O469" s="3258"/>
      <c r="P469" s="3258"/>
      <c r="Q469" s="3259"/>
    </row>
    <row r="470" spans="2:17">
      <c r="B470" s="3260"/>
      <c r="C470" s="3268"/>
      <c r="D470" s="3269"/>
      <c r="E470" s="3269"/>
      <c r="F470" s="3269"/>
      <c r="G470" s="3270"/>
      <c r="H470" s="3268"/>
      <c r="I470" s="3305"/>
      <c r="J470" s="3305"/>
      <c r="K470" s="3305"/>
      <c r="L470" s="3306"/>
      <c r="M470" s="3307"/>
      <c r="N470" s="3305"/>
      <c r="O470" s="3305"/>
      <c r="P470" s="3305"/>
      <c r="Q470" s="3308"/>
    </row>
    <row r="471" spans="2:17">
      <c r="B471" s="3260" t="s">
        <v>64</v>
      </c>
      <c r="C471" s="3268"/>
      <c r="D471" s="3269"/>
      <c r="E471" s="3269"/>
      <c r="F471" s="3269"/>
      <c r="G471" s="3270"/>
      <c r="H471" s="3268"/>
      <c r="I471" s="3305">
        <v>21.176000000000002</v>
      </c>
      <c r="J471" s="3305">
        <v>14.520999999999994</v>
      </c>
      <c r="K471" s="3305">
        <v>13.523001943462893</v>
      </c>
      <c r="L471" s="3306">
        <v>10.958431591788656</v>
      </c>
      <c r="M471" s="3307">
        <v>10.178138583207133</v>
      </c>
      <c r="N471" s="3305">
        <v>9.614939777889953</v>
      </c>
      <c r="O471" s="3305">
        <v>9.614939777889953</v>
      </c>
      <c r="P471" s="3305">
        <v>9.614939777889953</v>
      </c>
      <c r="Q471" s="3308">
        <v>9.614939777889953</v>
      </c>
    </row>
    <row r="472" spans="2:17">
      <c r="B472" s="3260" t="s">
        <v>65</v>
      </c>
      <c r="C472" s="3268"/>
      <c r="D472" s="3269"/>
      <c r="E472" s="3269"/>
      <c r="F472" s="3269"/>
      <c r="G472" s="3270"/>
      <c r="H472" s="3268"/>
      <c r="I472" s="3305">
        <v>9.528000000000004</v>
      </c>
      <c r="J472" s="3305">
        <v>6.3870000000000022</v>
      </c>
      <c r="K472" s="3305">
        <v>5.9480348056537125</v>
      </c>
      <c r="L472" s="3306">
        <v>4.8200194598687558</v>
      </c>
      <c r="M472" s="3307">
        <v>4.4768109035840515</v>
      </c>
      <c r="N472" s="3305">
        <v>4.2290903079252935</v>
      </c>
      <c r="O472" s="3305">
        <v>4.2290903079252935</v>
      </c>
      <c r="P472" s="3305">
        <v>4.2290903079252935</v>
      </c>
      <c r="Q472" s="3308">
        <v>4.2290903079252935</v>
      </c>
    </row>
    <row r="473" spans="2:17">
      <c r="B473" s="3260" t="s">
        <v>82</v>
      </c>
      <c r="C473" s="3268"/>
      <c r="D473" s="3269"/>
      <c r="E473" s="3269"/>
      <c r="F473" s="3269"/>
      <c r="G473" s="3270"/>
      <c r="H473" s="3268"/>
      <c r="I473" s="3305">
        <v>0</v>
      </c>
      <c r="J473" s="3305">
        <v>0</v>
      </c>
      <c r="K473" s="3305">
        <v>0</v>
      </c>
      <c r="L473" s="3306">
        <v>0</v>
      </c>
      <c r="M473" s="3307">
        <v>0</v>
      </c>
      <c r="N473" s="3305">
        <v>0</v>
      </c>
      <c r="O473" s="3305">
        <v>0</v>
      </c>
      <c r="P473" s="3305">
        <v>0</v>
      </c>
      <c r="Q473" s="3308">
        <v>0</v>
      </c>
    </row>
    <row r="474" spans="2:17">
      <c r="B474" s="3260" t="s">
        <v>680</v>
      </c>
      <c r="C474" s="3268"/>
      <c r="D474" s="3269"/>
      <c r="E474" s="3269"/>
      <c r="F474" s="3269"/>
      <c r="G474" s="3270"/>
      <c r="H474" s="3268"/>
      <c r="I474" s="3305">
        <v>0</v>
      </c>
      <c r="J474" s="3305">
        <v>0</v>
      </c>
      <c r="K474" s="3305">
        <v>0</v>
      </c>
      <c r="L474" s="3306">
        <v>0</v>
      </c>
      <c r="M474" s="3307">
        <v>0</v>
      </c>
      <c r="N474" s="3305">
        <v>0</v>
      </c>
      <c r="O474" s="3305">
        <v>0</v>
      </c>
      <c r="P474" s="3305">
        <v>0</v>
      </c>
      <c r="Q474" s="3308">
        <v>0</v>
      </c>
    </row>
    <row r="475" spans="2:17">
      <c r="B475" s="3260" t="s">
        <v>681</v>
      </c>
      <c r="C475" s="3268"/>
      <c r="D475" s="3269"/>
      <c r="E475" s="3269"/>
      <c r="F475" s="3269"/>
      <c r="G475" s="3270"/>
      <c r="H475" s="3268"/>
      <c r="I475" s="3305">
        <v>24.835000000000026</v>
      </c>
      <c r="J475" s="3305">
        <v>34.07600000000005</v>
      </c>
      <c r="K475" s="3305">
        <v>35.818527561837506</v>
      </c>
      <c r="L475" s="3306">
        <v>40.296326383981203</v>
      </c>
      <c r="M475" s="3307">
        <v>41.658735924617247</v>
      </c>
      <c r="N475" s="3305">
        <v>42.642093992932914</v>
      </c>
      <c r="O475" s="3305">
        <v>42.642093992932914</v>
      </c>
      <c r="P475" s="3305">
        <v>42.642093992932914</v>
      </c>
      <c r="Q475" s="3308">
        <v>42.642093992932914</v>
      </c>
    </row>
    <row r="476" spans="2:17">
      <c r="B476" s="3260" t="s">
        <v>682</v>
      </c>
      <c r="C476" s="3268"/>
      <c r="D476" s="3269"/>
      <c r="E476" s="3269"/>
      <c r="F476" s="3269"/>
      <c r="G476" s="3270"/>
      <c r="H476" s="3268"/>
      <c r="I476" s="3305">
        <v>0.115</v>
      </c>
      <c r="J476" s="3305">
        <v>0.115</v>
      </c>
      <c r="K476" s="3305">
        <v>0.10709628975265019</v>
      </c>
      <c r="L476" s="3306">
        <v>8.67860087497897E-2</v>
      </c>
      <c r="M476" s="3307">
        <v>8.0606427730102681E-2</v>
      </c>
      <c r="N476" s="3305">
        <v>7.6146138313982883E-2</v>
      </c>
      <c r="O476" s="3305">
        <v>7.6146138313982883E-2</v>
      </c>
      <c r="P476" s="3305">
        <v>7.6146138313982883E-2</v>
      </c>
      <c r="Q476" s="3308">
        <v>7.6146138313982883E-2</v>
      </c>
    </row>
    <row r="477" spans="2:17">
      <c r="B477" s="3260" t="s">
        <v>66</v>
      </c>
      <c r="C477" s="3268"/>
      <c r="D477" s="3269"/>
      <c r="E477" s="3269"/>
      <c r="F477" s="3269"/>
      <c r="G477" s="3270"/>
      <c r="H477" s="3268"/>
      <c r="I477" s="3305">
        <v>0.23400000000000001</v>
      </c>
      <c r="J477" s="3305">
        <v>3.0000000000000001E-3</v>
      </c>
      <c r="K477" s="3305">
        <v>2.7938162544169612E-3</v>
      </c>
      <c r="L477" s="3306">
        <v>2.2639828369510353E-3</v>
      </c>
      <c r="M477" s="3307">
        <v>2.1027763755678956E-3</v>
      </c>
      <c r="N477" s="3305">
        <v>1.9864209994952049E-3</v>
      </c>
      <c r="O477" s="3305">
        <v>1.9864209994952049E-3</v>
      </c>
      <c r="P477" s="3305">
        <v>1.9864209994952049E-3</v>
      </c>
      <c r="Q477" s="3308">
        <v>1.9864209994952049E-3</v>
      </c>
    </row>
    <row r="478" spans="2:17" ht="13.5" thickBot="1">
      <c r="B478" s="3260" t="s">
        <v>67</v>
      </c>
      <c r="C478" s="3268"/>
      <c r="D478" s="3269"/>
      <c r="E478" s="3269"/>
      <c r="F478" s="3269"/>
      <c r="G478" s="3270"/>
      <c r="H478" s="3268"/>
      <c r="I478" s="3305">
        <v>4.4460000000000015</v>
      </c>
      <c r="J478" s="3305">
        <v>4.3280000000000003</v>
      </c>
      <c r="K478" s="3305">
        <v>4.0305455830388697</v>
      </c>
      <c r="L478" s="3306">
        <v>3.266172572774694</v>
      </c>
      <c r="M478" s="3309">
        <v>3.0336053844859512</v>
      </c>
      <c r="N478" s="3310">
        <v>2.8657433619384163</v>
      </c>
      <c r="O478" s="3310">
        <v>2.8657433619384163</v>
      </c>
      <c r="P478" s="3310">
        <v>2.8657433619384163</v>
      </c>
      <c r="Q478" s="3311">
        <v>2.8657433619384163</v>
      </c>
    </row>
    <row r="479" spans="2:17" ht="12.75" customHeight="1">
      <c r="B479" s="4689">
        <v>3040</v>
      </c>
      <c r="C479" s="4691" t="s">
        <v>36</v>
      </c>
      <c r="D479" s="4692"/>
      <c r="E479" s="4692"/>
      <c r="F479" s="4692"/>
      <c r="G479" s="4692"/>
      <c r="H479" s="4693" t="s">
        <v>37</v>
      </c>
      <c r="I479" s="4694"/>
      <c r="J479" s="4694"/>
      <c r="K479" s="4694"/>
      <c r="L479" s="4694"/>
      <c r="M479" s="4695" t="s">
        <v>73</v>
      </c>
      <c r="N479" s="4695"/>
      <c r="O479" s="4695"/>
      <c r="P479" s="4695"/>
      <c r="Q479" s="4696"/>
    </row>
    <row r="480" spans="2:17" ht="12.75" customHeight="1">
      <c r="B480" s="4690"/>
      <c r="C480" s="4697" t="s">
        <v>1673</v>
      </c>
      <c r="D480" s="4698"/>
      <c r="E480" s="4698"/>
      <c r="F480" s="4698"/>
      <c r="G480" s="4698"/>
      <c r="H480" s="4698"/>
      <c r="I480" s="4698"/>
      <c r="J480" s="4698"/>
      <c r="K480" s="4698"/>
      <c r="L480" s="4698"/>
      <c r="M480" s="4698"/>
      <c r="N480" s="4698"/>
      <c r="O480" s="4698"/>
      <c r="P480" s="4698"/>
      <c r="Q480" s="4699"/>
    </row>
    <row r="481" spans="2:17" ht="12.75" customHeight="1">
      <c r="B481" s="4690"/>
      <c r="C481" s="4697" t="s">
        <v>54</v>
      </c>
      <c r="D481" s="4698"/>
      <c r="E481" s="4698"/>
      <c r="F481" s="4698"/>
      <c r="G481" s="4698"/>
      <c r="H481" s="4698"/>
      <c r="I481" s="4698"/>
      <c r="J481" s="4700"/>
      <c r="K481" s="4701" t="s">
        <v>55</v>
      </c>
      <c r="L481" s="4702"/>
      <c r="M481" s="4702"/>
      <c r="N481" s="4702"/>
      <c r="O481" s="4702"/>
      <c r="P481" s="4702"/>
      <c r="Q481" s="4703"/>
    </row>
    <row r="482" spans="2:17" ht="13.5" customHeight="1" thickBot="1">
      <c r="B482" s="4690"/>
      <c r="C482" s="3252">
        <f t="array" ref="C482:G482">PRCP</f>
        <v>2008</v>
      </c>
      <c r="D482" s="3253">
        <v>2009</v>
      </c>
      <c r="E482" s="3253">
        <v>2010</v>
      </c>
      <c r="F482" s="3253">
        <v>2011</v>
      </c>
      <c r="G482" s="3253">
        <v>2012</v>
      </c>
      <c r="H482" s="3254">
        <f>CRCP_y1</f>
        <v>2013</v>
      </c>
      <c r="I482" s="3254">
        <f>CRCP_y2</f>
        <v>2014</v>
      </c>
      <c r="J482" s="3254">
        <f>CRCP_y3</f>
        <v>2015</v>
      </c>
      <c r="K482" s="3254">
        <f>CRCP_y4</f>
        <v>2016</v>
      </c>
      <c r="L482" s="3254">
        <f>CRCP_y5</f>
        <v>2017</v>
      </c>
      <c r="M482" s="3253" t="str">
        <f t="array" ref="M482:Q482">FRCP</f>
        <v>2018</v>
      </c>
      <c r="N482" s="3253">
        <v>2019</v>
      </c>
      <c r="O482" s="3253">
        <v>2020</v>
      </c>
      <c r="P482" s="3253">
        <v>2021</v>
      </c>
      <c r="Q482" s="3255">
        <v>2022</v>
      </c>
    </row>
    <row r="483" spans="2:17">
      <c r="B483" s="3256" t="s">
        <v>1689</v>
      </c>
      <c r="C483" s="3257"/>
      <c r="D483" s="3258"/>
      <c r="E483" s="3258"/>
      <c r="F483" s="3258"/>
      <c r="G483" s="3259"/>
      <c r="H483" s="3257"/>
      <c r="I483" s="3258"/>
      <c r="J483" s="3258"/>
      <c r="K483" s="3258"/>
      <c r="L483" s="3258"/>
      <c r="M483" s="3257"/>
      <c r="N483" s="3258"/>
      <c r="O483" s="3258"/>
      <c r="P483" s="3258"/>
      <c r="Q483" s="3259"/>
    </row>
    <row r="484" spans="2:17">
      <c r="B484" s="3260"/>
      <c r="C484" s="3268"/>
      <c r="D484" s="3269"/>
      <c r="E484" s="3269"/>
      <c r="F484" s="3269"/>
      <c r="G484" s="3270"/>
      <c r="H484" s="3268"/>
      <c r="I484" s="3269"/>
      <c r="J484" s="3269"/>
      <c r="K484" s="3269"/>
      <c r="L484" s="3271"/>
      <c r="M484" s="3268"/>
      <c r="N484" s="3269"/>
      <c r="O484" s="3269"/>
      <c r="P484" s="3269"/>
      <c r="Q484" s="3270"/>
    </row>
    <row r="485" spans="2:17">
      <c r="B485" s="3260" t="s">
        <v>64</v>
      </c>
      <c r="C485" s="3268"/>
      <c r="D485" s="3269"/>
      <c r="E485" s="3269"/>
      <c r="F485" s="3269"/>
      <c r="G485" s="3270"/>
      <c r="H485" s="3268"/>
      <c r="I485" s="3305">
        <v>23.713000000000001</v>
      </c>
      <c r="J485" s="3305">
        <v>14.718000000000002</v>
      </c>
      <c r="K485" s="3305">
        <v>14.198840157868773</v>
      </c>
      <c r="L485" s="3306">
        <v>13.096887913172178</v>
      </c>
      <c r="M485" s="3307">
        <v>12.777338924518997</v>
      </c>
      <c r="N485" s="3305">
        <v>12.6607672422299</v>
      </c>
      <c r="O485" s="3305">
        <v>12.6607672422299</v>
      </c>
      <c r="P485" s="3305">
        <v>12.6607672422299</v>
      </c>
      <c r="Q485" s="3308">
        <v>12.6607672422299</v>
      </c>
    </row>
    <row r="486" spans="2:17">
      <c r="B486" s="3260" t="s">
        <v>65</v>
      </c>
      <c r="C486" s="3268"/>
      <c r="D486" s="3269"/>
      <c r="E486" s="3269"/>
      <c r="F486" s="3269"/>
      <c r="G486" s="3270"/>
      <c r="H486" s="3268"/>
      <c r="I486" s="3305">
        <v>9.8950000000000014</v>
      </c>
      <c r="J486" s="3305">
        <v>2.4129999999999989</v>
      </c>
      <c r="K486" s="3305">
        <v>2.327884311790823</v>
      </c>
      <c r="L486" s="3306">
        <v>2.1472204466968643</v>
      </c>
      <c r="M486" s="3307">
        <v>2.0948307395613752</v>
      </c>
      <c r="N486" s="3305">
        <v>2.0757189397676812</v>
      </c>
      <c r="O486" s="3305">
        <v>2.0757189397676812</v>
      </c>
      <c r="P486" s="3305">
        <v>2.0757189397676812</v>
      </c>
      <c r="Q486" s="3308">
        <v>2.0757189397676812</v>
      </c>
    </row>
    <row r="487" spans="2:17">
      <c r="B487" s="3260" t="s">
        <v>82</v>
      </c>
      <c r="C487" s="3268"/>
      <c r="D487" s="3269"/>
      <c r="E487" s="3269"/>
      <c r="F487" s="3269"/>
      <c r="G487" s="3270"/>
      <c r="H487" s="3268"/>
      <c r="I487" s="3305">
        <v>0</v>
      </c>
      <c r="J487" s="3305">
        <v>0</v>
      </c>
      <c r="K487" s="3305">
        <v>0</v>
      </c>
      <c r="L487" s="3306">
        <v>0</v>
      </c>
      <c r="M487" s="3307">
        <v>0</v>
      </c>
      <c r="N487" s="3305">
        <v>0</v>
      </c>
      <c r="O487" s="3305">
        <v>0</v>
      </c>
      <c r="P487" s="3305">
        <v>0</v>
      </c>
      <c r="Q487" s="3308">
        <v>0</v>
      </c>
    </row>
    <row r="488" spans="2:17">
      <c r="B488" s="3260" t="s">
        <v>680</v>
      </c>
      <c r="C488" s="3268"/>
      <c r="D488" s="3269"/>
      <c r="E488" s="3269"/>
      <c r="F488" s="3269"/>
      <c r="G488" s="3270"/>
      <c r="H488" s="3268"/>
      <c r="I488" s="3305">
        <v>0</v>
      </c>
      <c r="J488" s="3305">
        <v>0</v>
      </c>
      <c r="K488" s="3305">
        <v>0</v>
      </c>
      <c r="L488" s="3306">
        <v>0</v>
      </c>
      <c r="M488" s="3307">
        <v>0</v>
      </c>
      <c r="N488" s="3305">
        <v>0</v>
      </c>
      <c r="O488" s="3305">
        <v>0</v>
      </c>
      <c r="P488" s="3305">
        <v>0</v>
      </c>
      <c r="Q488" s="3308">
        <v>0</v>
      </c>
    </row>
    <row r="489" spans="2:17">
      <c r="B489" s="3260" t="s">
        <v>681</v>
      </c>
      <c r="C489" s="3268"/>
      <c r="D489" s="3269"/>
      <c r="E489" s="3269"/>
      <c r="F489" s="3269"/>
      <c r="G489" s="3270"/>
      <c r="H489" s="3268"/>
      <c r="I489" s="3305">
        <v>67.623000000000005</v>
      </c>
      <c r="J489" s="3305">
        <v>86.517000000000067</v>
      </c>
      <c r="K489" s="3305">
        <v>87.39771632955113</v>
      </c>
      <c r="L489" s="3306">
        <v>89.267096927837883</v>
      </c>
      <c r="M489" s="3307">
        <v>89.809188186751641</v>
      </c>
      <c r="N489" s="3305">
        <v>90.006943436336783</v>
      </c>
      <c r="O489" s="3305">
        <v>90.006943436336783</v>
      </c>
      <c r="P489" s="3305">
        <v>90.006943436336783</v>
      </c>
      <c r="Q489" s="3308">
        <v>90.006943436336783</v>
      </c>
    </row>
    <row r="490" spans="2:17">
      <c r="B490" s="3260" t="s">
        <v>682</v>
      </c>
      <c r="C490" s="3268"/>
      <c r="D490" s="3269"/>
      <c r="E490" s="3269"/>
      <c r="F490" s="3269"/>
      <c r="G490" s="3270"/>
      <c r="H490" s="3268"/>
      <c r="I490" s="3305">
        <v>0.495</v>
      </c>
      <c r="J490" s="3305">
        <v>0.495</v>
      </c>
      <c r="K490" s="3305">
        <v>0.47753946719289592</v>
      </c>
      <c r="L490" s="3306">
        <v>0.44047829304390729</v>
      </c>
      <c r="M490" s="3307">
        <v>0.42973112974839667</v>
      </c>
      <c r="N490" s="3305">
        <v>0.42581055747409968</v>
      </c>
      <c r="O490" s="3305">
        <v>0.42581055747409968</v>
      </c>
      <c r="P490" s="3305">
        <v>0.42581055747409968</v>
      </c>
      <c r="Q490" s="3308">
        <v>0.42581055747409968</v>
      </c>
    </row>
    <row r="491" spans="2:17">
      <c r="B491" s="3260" t="s">
        <v>66</v>
      </c>
      <c r="C491" s="3268"/>
      <c r="D491" s="3269"/>
      <c r="E491" s="3269"/>
      <c r="F491" s="3269"/>
      <c r="G491" s="3270"/>
      <c r="H491" s="3268"/>
      <c r="I491" s="3305">
        <v>0.8550000000000002</v>
      </c>
      <c r="J491" s="3305">
        <v>0.29700000000000004</v>
      </c>
      <c r="K491" s="3305">
        <v>0.28652368031573761</v>
      </c>
      <c r="L491" s="3306">
        <v>0.26428697582634442</v>
      </c>
      <c r="M491" s="3307">
        <v>0.25783867784903808</v>
      </c>
      <c r="N491" s="3305">
        <v>0.2554863344844599</v>
      </c>
      <c r="O491" s="3305">
        <v>0.2554863344844599</v>
      </c>
      <c r="P491" s="3305">
        <v>0.2554863344844599</v>
      </c>
      <c r="Q491" s="3308">
        <v>0.2554863344844599</v>
      </c>
    </row>
    <row r="492" spans="2:17" ht="13.5" thickBot="1">
      <c r="B492" s="3260" t="s">
        <v>67</v>
      </c>
      <c r="C492" s="3268"/>
      <c r="D492" s="3269"/>
      <c r="E492" s="3269"/>
      <c r="F492" s="3269"/>
      <c r="G492" s="3270"/>
      <c r="H492" s="3268"/>
      <c r="I492" s="3305">
        <v>6.9329999999999963</v>
      </c>
      <c r="J492" s="3305">
        <v>7.0449999999999964</v>
      </c>
      <c r="K492" s="3305">
        <v>6.7964960532807073</v>
      </c>
      <c r="L492" s="3306">
        <v>6.2690294434228795</v>
      </c>
      <c r="M492" s="3309">
        <v>6.1160723415706126</v>
      </c>
      <c r="N492" s="3310">
        <v>6.0602734897071331</v>
      </c>
      <c r="O492" s="3310">
        <v>6.0602734897071331</v>
      </c>
      <c r="P492" s="3310">
        <v>6.0602734897071331</v>
      </c>
      <c r="Q492" s="3311">
        <v>6.0602734897071331</v>
      </c>
    </row>
    <row r="493" spans="2:17" ht="12.75" customHeight="1">
      <c r="B493" s="4689">
        <v>3041</v>
      </c>
      <c r="C493" s="4691" t="s">
        <v>36</v>
      </c>
      <c r="D493" s="4692"/>
      <c r="E493" s="4692"/>
      <c r="F493" s="4692"/>
      <c r="G493" s="4692"/>
      <c r="H493" s="4693" t="s">
        <v>37</v>
      </c>
      <c r="I493" s="4694"/>
      <c r="J493" s="4694"/>
      <c r="K493" s="4694"/>
      <c r="L493" s="4694"/>
      <c r="M493" s="4695" t="s">
        <v>73</v>
      </c>
      <c r="N493" s="4695"/>
      <c r="O493" s="4695"/>
      <c r="P493" s="4695"/>
      <c r="Q493" s="4696"/>
    </row>
    <row r="494" spans="2:17" ht="12.75" customHeight="1">
      <c r="B494" s="4690"/>
      <c r="C494" s="4697" t="s">
        <v>1673</v>
      </c>
      <c r="D494" s="4698"/>
      <c r="E494" s="4698"/>
      <c r="F494" s="4698"/>
      <c r="G494" s="4698"/>
      <c r="H494" s="4698"/>
      <c r="I494" s="4698"/>
      <c r="J494" s="4698"/>
      <c r="K494" s="4698"/>
      <c r="L494" s="4698"/>
      <c r="M494" s="4698"/>
      <c r="N494" s="4698"/>
      <c r="O494" s="4698"/>
      <c r="P494" s="4698"/>
      <c r="Q494" s="4699"/>
    </row>
    <row r="495" spans="2:17" ht="12.75" customHeight="1">
      <c r="B495" s="4690"/>
      <c r="C495" s="4697" t="s">
        <v>54</v>
      </c>
      <c r="D495" s="4698"/>
      <c r="E495" s="4698"/>
      <c r="F495" s="4698"/>
      <c r="G495" s="4698"/>
      <c r="H495" s="4698"/>
      <c r="I495" s="4698"/>
      <c r="J495" s="4700"/>
      <c r="K495" s="4701" t="s">
        <v>55</v>
      </c>
      <c r="L495" s="4702"/>
      <c r="M495" s="4702"/>
      <c r="N495" s="4702"/>
      <c r="O495" s="4702"/>
      <c r="P495" s="4702"/>
      <c r="Q495" s="4703"/>
    </row>
    <row r="496" spans="2:17" ht="13.5" customHeight="1" thickBot="1">
      <c r="B496" s="4690"/>
      <c r="C496" s="3252">
        <f t="array" ref="C496:G496">PRCP</f>
        <v>2008</v>
      </c>
      <c r="D496" s="3253">
        <v>2009</v>
      </c>
      <c r="E496" s="3253">
        <v>2010</v>
      </c>
      <c r="F496" s="3253">
        <v>2011</v>
      </c>
      <c r="G496" s="3253">
        <v>2012</v>
      </c>
      <c r="H496" s="3254">
        <f>CRCP_y1</f>
        <v>2013</v>
      </c>
      <c r="I496" s="3254">
        <f>CRCP_y2</f>
        <v>2014</v>
      </c>
      <c r="J496" s="3254">
        <f>CRCP_y3</f>
        <v>2015</v>
      </c>
      <c r="K496" s="3254">
        <f>CRCP_y4</f>
        <v>2016</v>
      </c>
      <c r="L496" s="3254">
        <f>CRCP_y5</f>
        <v>2017</v>
      </c>
      <c r="M496" s="3253" t="str">
        <f t="array" ref="M496:Q496">FRCP</f>
        <v>2018</v>
      </c>
      <c r="N496" s="3253">
        <v>2019</v>
      </c>
      <c r="O496" s="3253">
        <v>2020</v>
      </c>
      <c r="P496" s="3253">
        <v>2021</v>
      </c>
      <c r="Q496" s="3255">
        <v>2022</v>
      </c>
    </row>
    <row r="497" spans="2:17">
      <c r="B497" s="3256" t="s">
        <v>1690</v>
      </c>
      <c r="C497" s="3257"/>
      <c r="D497" s="3258"/>
      <c r="E497" s="3258"/>
      <c r="F497" s="3258"/>
      <c r="G497" s="3259"/>
      <c r="H497" s="3257"/>
      <c r="I497" s="3258"/>
      <c r="J497" s="3258"/>
      <c r="K497" s="3258"/>
      <c r="L497" s="3258"/>
      <c r="M497" s="3257"/>
      <c r="N497" s="3258"/>
      <c r="O497" s="3258"/>
      <c r="P497" s="3258"/>
      <c r="Q497" s="3259"/>
    </row>
    <row r="498" spans="2:17">
      <c r="B498" s="3260"/>
      <c r="C498" s="3268"/>
      <c r="D498" s="3269"/>
      <c r="E498" s="3269"/>
      <c r="F498" s="3269"/>
      <c r="G498" s="3270"/>
      <c r="H498" s="3268"/>
      <c r="I498" s="3269"/>
      <c r="J498" s="3269"/>
      <c r="K498" s="3269"/>
      <c r="L498" s="3271"/>
      <c r="M498" s="3268"/>
      <c r="N498" s="3269"/>
      <c r="O498" s="3269"/>
      <c r="P498" s="3269"/>
      <c r="Q498" s="3270"/>
    </row>
    <row r="499" spans="2:17">
      <c r="B499" s="3260" t="s">
        <v>64</v>
      </c>
      <c r="C499" s="3268"/>
      <c r="D499" s="3269"/>
      <c r="E499" s="3269"/>
      <c r="F499" s="3269"/>
      <c r="G499" s="3270"/>
      <c r="H499" s="3268"/>
      <c r="I499" s="3305">
        <v>0</v>
      </c>
      <c r="J499" s="3305">
        <v>0</v>
      </c>
      <c r="K499" s="3305">
        <v>0</v>
      </c>
      <c r="L499" s="3306">
        <v>0</v>
      </c>
      <c r="M499" s="3307">
        <v>0</v>
      </c>
      <c r="N499" s="3305">
        <v>0</v>
      </c>
      <c r="O499" s="3305">
        <v>0</v>
      </c>
      <c r="P499" s="3305">
        <v>0</v>
      </c>
      <c r="Q499" s="3308">
        <v>0</v>
      </c>
    </row>
    <row r="500" spans="2:17">
      <c r="B500" s="3260" t="s">
        <v>65</v>
      </c>
      <c r="C500" s="3268"/>
      <c r="D500" s="3269"/>
      <c r="E500" s="3269"/>
      <c r="F500" s="3269"/>
      <c r="G500" s="3270"/>
      <c r="H500" s="3268"/>
      <c r="I500" s="3305">
        <v>3.0000000000000001E-3</v>
      </c>
      <c r="J500" s="3305">
        <v>3.0000000000000001E-3</v>
      </c>
      <c r="K500" s="3305">
        <v>3.0000000000000001E-3</v>
      </c>
      <c r="L500" s="3306">
        <v>3.0000000000000001E-3</v>
      </c>
      <c r="M500" s="3307">
        <v>3.0000000000000001E-3</v>
      </c>
      <c r="N500" s="3305">
        <v>3.0000000000000001E-3</v>
      </c>
      <c r="O500" s="3305">
        <v>3.0000000000000001E-3</v>
      </c>
      <c r="P500" s="3305">
        <v>3.0000000000000001E-3</v>
      </c>
      <c r="Q500" s="3308">
        <v>3.0000000000000001E-3</v>
      </c>
    </row>
    <row r="501" spans="2:17">
      <c r="B501" s="3260" t="s">
        <v>82</v>
      </c>
      <c r="C501" s="3268"/>
      <c r="D501" s="3269"/>
      <c r="E501" s="3269"/>
      <c r="F501" s="3269"/>
      <c r="G501" s="3270"/>
      <c r="H501" s="3268"/>
      <c r="I501" s="3305">
        <v>0</v>
      </c>
      <c r="J501" s="3305">
        <v>0</v>
      </c>
      <c r="K501" s="3305">
        <v>0</v>
      </c>
      <c r="L501" s="3306">
        <v>0</v>
      </c>
      <c r="M501" s="3307">
        <v>0</v>
      </c>
      <c r="N501" s="3305">
        <v>0</v>
      </c>
      <c r="O501" s="3305">
        <v>0</v>
      </c>
      <c r="P501" s="3305">
        <v>0</v>
      </c>
      <c r="Q501" s="3308">
        <v>0</v>
      </c>
    </row>
    <row r="502" spans="2:17">
      <c r="B502" s="3260" t="s">
        <v>680</v>
      </c>
      <c r="C502" s="3268"/>
      <c r="D502" s="3269"/>
      <c r="E502" s="3269"/>
      <c r="F502" s="3269"/>
      <c r="G502" s="3270"/>
      <c r="H502" s="3268"/>
      <c r="I502" s="3305">
        <v>0</v>
      </c>
      <c r="J502" s="3305">
        <v>0</v>
      </c>
      <c r="K502" s="3305">
        <v>0</v>
      </c>
      <c r="L502" s="3306">
        <v>0</v>
      </c>
      <c r="M502" s="3307">
        <v>0</v>
      </c>
      <c r="N502" s="3305">
        <v>0</v>
      </c>
      <c r="O502" s="3305">
        <v>0</v>
      </c>
      <c r="P502" s="3305">
        <v>0</v>
      </c>
      <c r="Q502" s="3308">
        <v>0</v>
      </c>
    </row>
    <row r="503" spans="2:17">
      <c r="B503" s="3260" t="s">
        <v>681</v>
      </c>
      <c r="C503" s="3268"/>
      <c r="D503" s="3269"/>
      <c r="E503" s="3269"/>
      <c r="F503" s="3269"/>
      <c r="G503" s="3270"/>
      <c r="H503" s="3268"/>
      <c r="I503" s="3305">
        <v>50.038999999999994</v>
      </c>
      <c r="J503" s="3305">
        <v>50.238999999999997</v>
      </c>
      <c r="K503" s="3305">
        <v>50.238999999999997</v>
      </c>
      <c r="L503" s="3306">
        <v>50.238999999999997</v>
      </c>
      <c r="M503" s="3307">
        <v>50.238999999999997</v>
      </c>
      <c r="N503" s="3305">
        <v>50.238999999999997</v>
      </c>
      <c r="O503" s="3305">
        <v>50.238999999999997</v>
      </c>
      <c r="P503" s="3305">
        <v>50.238999999999997</v>
      </c>
      <c r="Q503" s="3308">
        <v>50.238999999999997</v>
      </c>
    </row>
    <row r="504" spans="2:17">
      <c r="B504" s="3260" t="s">
        <v>682</v>
      </c>
      <c r="C504" s="3268"/>
      <c r="D504" s="3269"/>
      <c r="E504" s="3269"/>
      <c r="F504" s="3269"/>
      <c r="G504" s="3270"/>
      <c r="H504" s="3268"/>
      <c r="I504" s="3305">
        <v>1.782</v>
      </c>
      <c r="J504" s="3305">
        <v>1.7819999999999998</v>
      </c>
      <c r="K504" s="3305">
        <v>1.7819999999999998</v>
      </c>
      <c r="L504" s="3306">
        <v>1.7819999999999998</v>
      </c>
      <c r="M504" s="3307">
        <v>1.7819999999999998</v>
      </c>
      <c r="N504" s="3305">
        <v>1.7819999999999998</v>
      </c>
      <c r="O504" s="3305">
        <v>1.7819999999999998</v>
      </c>
      <c r="P504" s="3305">
        <v>1.7819999999999998</v>
      </c>
      <c r="Q504" s="3308">
        <v>1.7819999999999998</v>
      </c>
    </row>
    <row r="505" spans="2:17">
      <c r="B505" s="3260" t="s">
        <v>66</v>
      </c>
      <c r="C505" s="3268"/>
      <c r="D505" s="3269"/>
      <c r="E505" s="3269"/>
      <c r="F505" s="3269"/>
      <c r="G505" s="3270"/>
      <c r="H505" s="3268"/>
      <c r="I505" s="3305">
        <v>0</v>
      </c>
      <c r="J505" s="3305">
        <v>0</v>
      </c>
      <c r="K505" s="3305">
        <v>0</v>
      </c>
      <c r="L505" s="3306">
        <v>0</v>
      </c>
      <c r="M505" s="3307">
        <v>0</v>
      </c>
      <c r="N505" s="3305">
        <v>0</v>
      </c>
      <c r="O505" s="3305">
        <v>0</v>
      </c>
      <c r="P505" s="3305">
        <v>0</v>
      </c>
      <c r="Q505" s="3308">
        <v>0</v>
      </c>
    </row>
    <row r="506" spans="2:17" ht="13.5" thickBot="1">
      <c r="B506" s="3260" t="s">
        <v>67</v>
      </c>
      <c r="C506" s="3268"/>
      <c r="D506" s="3269"/>
      <c r="E506" s="3269"/>
      <c r="F506" s="3269"/>
      <c r="G506" s="3270"/>
      <c r="H506" s="3268"/>
      <c r="I506" s="3305">
        <v>6.6610000000000005</v>
      </c>
      <c r="J506" s="3305">
        <v>6.6610000000000005</v>
      </c>
      <c r="K506" s="3305">
        <v>6.6610000000000005</v>
      </c>
      <c r="L506" s="3306">
        <v>6.6610000000000005</v>
      </c>
      <c r="M506" s="3309">
        <v>6.6610000000000005</v>
      </c>
      <c r="N506" s="3310">
        <v>6.6610000000000005</v>
      </c>
      <c r="O506" s="3310">
        <v>6.6610000000000005</v>
      </c>
      <c r="P506" s="3310">
        <v>6.6610000000000005</v>
      </c>
      <c r="Q506" s="3311">
        <v>6.6610000000000005</v>
      </c>
    </row>
    <row r="507" spans="2:17" ht="12.75" customHeight="1">
      <c r="B507" s="4689">
        <v>3042</v>
      </c>
      <c r="C507" s="4691" t="s">
        <v>36</v>
      </c>
      <c r="D507" s="4692"/>
      <c r="E507" s="4692"/>
      <c r="F507" s="4692"/>
      <c r="G507" s="4692"/>
      <c r="H507" s="4693" t="s">
        <v>37</v>
      </c>
      <c r="I507" s="4694"/>
      <c r="J507" s="4694"/>
      <c r="K507" s="4694"/>
      <c r="L507" s="4694"/>
      <c r="M507" s="4695" t="s">
        <v>73</v>
      </c>
      <c r="N507" s="4695"/>
      <c r="O507" s="4695"/>
      <c r="P507" s="4695"/>
      <c r="Q507" s="4696"/>
    </row>
    <row r="508" spans="2:17" ht="12.75" customHeight="1">
      <c r="B508" s="4690"/>
      <c r="C508" s="4697" t="s">
        <v>1673</v>
      </c>
      <c r="D508" s="4698"/>
      <c r="E508" s="4698"/>
      <c r="F508" s="4698"/>
      <c r="G508" s="4698"/>
      <c r="H508" s="4698"/>
      <c r="I508" s="4698"/>
      <c r="J508" s="4698"/>
      <c r="K508" s="4698"/>
      <c r="L508" s="4698"/>
      <c r="M508" s="4698"/>
      <c r="N508" s="4698"/>
      <c r="O508" s="4698"/>
      <c r="P508" s="4698"/>
      <c r="Q508" s="4699"/>
    </row>
    <row r="509" spans="2:17" ht="12.75" customHeight="1">
      <c r="B509" s="4690"/>
      <c r="C509" s="4697" t="s">
        <v>54</v>
      </c>
      <c r="D509" s="4698"/>
      <c r="E509" s="4698"/>
      <c r="F509" s="4698"/>
      <c r="G509" s="4698"/>
      <c r="H509" s="4698"/>
      <c r="I509" s="4698"/>
      <c r="J509" s="4700"/>
      <c r="K509" s="4701" t="s">
        <v>55</v>
      </c>
      <c r="L509" s="4702"/>
      <c r="M509" s="4702"/>
      <c r="N509" s="4702"/>
      <c r="O509" s="4702"/>
      <c r="P509" s="4702"/>
      <c r="Q509" s="4703"/>
    </row>
    <row r="510" spans="2:17" ht="13.5" customHeight="1" thickBot="1">
      <c r="B510" s="4690"/>
      <c r="C510" s="3252">
        <f t="array" ref="C510:G510">PRCP</f>
        <v>2008</v>
      </c>
      <c r="D510" s="3253">
        <v>2009</v>
      </c>
      <c r="E510" s="3253">
        <v>2010</v>
      </c>
      <c r="F510" s="3253">
        <v>2011</v>
      </c>
      <c r="G510" s="3253">
        <v>2012</v>
      </c>
      <c r="H510" s="3254">
        <f>CRCP_y1</f>
        <v>2013</v>
      </c>
      <c r="I510" s="3254">
        <f>CRCP_y2</f>
        <v>2014</v>
      </c>
      <c r="J510" s="3254">
        <f>CRCP_y3</f>
        <v>2015</v>
      </c>
      <c r="K510" s="3254">
        <f>CRCP_y4</f>
        <v>2016</v>
      </c>
      <c r="L510" s="3254">
        <f>CRCP_y5</f>
        <v>2017</v>
      </c>
      <c r="M510" s="3253" t="str">
        <f t="array" ref="M510:Q510">FRCP</f>
        <v>2018</v>
      </c>
      <c r="N510" s="3253">
        <v>2019</v>
      </c>
      <c r="O510" s="3253">
        <v>2020</v>
      </c>
      <c r="P510" s="3253">
        <v>2021</v>
      </c>
      <c r="Q510" s="3255">
        <v>2022</v>
      </c>
    </row>
    <row r="511" spans="2:17">
      <c r="B511" s="3256" t="s">
        <v>1690</v>
      </c>
      <c r="C511" s="3257"/>
      <c r="D511" s="3258"/>
      <c r="E511" s="3258"/>
      <c r="F511" s="3258"/>
      <c r="G511" s="3259"/>
      <c r="H511" s="3257"/>
      <c r="I511" s="3258"/>
      <c r="J511" s="3258"/>
      <c r="K511" s="3258"/>
      <c r="L511" s="3258"/>
      <c r="M511" s="3257"/>
      <c r="N511" s="3258"/>
      <c r="O511" s="3258"/>
      <c r="P511" s="3258"/>
      <c r="Q511" s="3259"/>
    </row>
    <row r="512" spans="2:17">
      <c r="B512" s="3260"/>
      <c r="C512" s="3268"/>
      <c r="D512" s="3269"/>
      <c r="E512" s="3269"/>
      <c r="F512" s="3269"/>
      <c r="G512" s="3270"/>
      <c r="H512" s="3268"/>
      <c r="I512" s="3269"/>
      <c r="J512" s="3269"/>
      <c r="K512" s="3269"/>
      <c r="L512" s="3271"/>
      <c r="M512" s="3268"/>
      <c r="N512" s="3269"/>
      <c r="O512" s="3269"/>
      <c r="P512" s="3269"/>
      <c r="Q512" s="3270"/>
    </row>
    <row r="513" spans="2:17">
      <c r="B513" s="3260" t="s">
        <v>64</v>
      </c>
      <c r="C513" s="3268"/>
      <c r="D513" s="3269"/>
      <c r="E513" s="3269"/>
      <c r="F513" s="3269"/>
      <c r="G513" s="3270"/>
      <c r="H513" s="3268"/>
      <c r="I513" s="3305">
        <v>0</v>
      </c>
      <c r="J513" s="3305">
        <v>0</v>
      </c>
      <c r="K513" s="3305">
        <v>0</v>
      </c>
      <c r="L513" s="3306">
        <v>0</v>
      </c>
      <c r="M513" s="3307">
        <v>0</v>
      </c>
      <c r="N513" s="3305">
        <v>0</v>
      </c>
      <c r="O513" s="3305">
        <v>0</v>
      </c>
      <c r="P513" s="3305">
        <v>0</v>
      </c>
      <c r="Q513" s="3308">
        <v>0</v>
      </c>
    </row>
    <row r="514" spans="2:17">
      <c r="B514" s="3260" t="s">
        <v>65</v>
      </c>
      <c r="C514" s="3268"/>
      <c r="D514" s="3269"/>
      <c r="E514" s="3269"/>
      <c r="F514" s="3269"/>
      <c r="G514" s="3270"/>
      <c r="H514" s="3268"/>
      <c r="I514" s="3305">
        <v>0</v>
      </c>
      <c r="J514" s="3305">
        <v>0</v>
      </c>
      <c r="K514" s="3305">
        <v>0</v>
      </c>
      <c r="L514" s="3306">
        <v>0</v>
      </c>
      <c r="M514" s="3307">
        <v>0</v>
      </c>
      <c r="N514" s="3305">
        <v>0</v>
      </c>
      <c r="O514" s="3305">
        <v>0</v>
      </c>
      <c r="P514" s="3305">
        <v>0</v>
      </c>
      <c r="Q514" s="3308">
        <v>0</v>
      </c>
    </row>
    <row r="515" spans="2:17">
      <c r="B515" s="3260" t="s">
        <v>82</v>
      </c>
      <c r="C515" s="3268"/>
      <c r="D515" s="3269"/>
      <c r="E515" s="3269"/>
      <c r="F515" s="3269"/>
      <c r="G515" s="3270"/>
      <c r="H515" s="3268"/>
      <c r="I515" s="3305">
        <v>0</v>
      </c>
      <c r="J515" s="3305">
        <v>0</v>
      </c>
      <c r="K515" s="3305">
        <v>0</v>
      </c>
      <c r="L515" s="3306">
        <v>0</v>
      </c>
      <c r="M515" s="3307">
        <v>0</v>
      </c>
      <c r="N515" s="3305">
        <v>0</v>
      </c>
      <c r="O515" s="3305">
        <v>0</v>
      </c>
      <c r="P515" s="3305">
        <v>0</v>
      </c>
      <c r="Q515" s="3308">
        <v>0</v>
      </c>
    </row>
    <row r="516" spans="2:17">
      <c r="B516" s="3260" t="s">
        <v>680</v>
      </c>
      <c r="C516" s="3268"/>
      <c r="D516" s="3269"/>
      <c r="E516" s="3269"/>
      <c r="F516" s="3269"/>
      <c r="G516" s="3270"/>
      <c r="H516" s="3268"/>
      <c r="I516" s="3305">
        <v>0</v>
      </c>
      <c r="J516" s="3305">
        <v>0</v>
      </c>
      <c r="K516" s="3305">
        <v>0</v>
      </c>
      <c r="L516" s="3306">
        <v>0</v>
      </c>
      <c r="M516" s="3307">
        <v>0</v>
      </c>
      <c r="N516" s="3305">
        <v>0</v>
      </c>
      <c r="O516" s="3305">
        <v>0</v>
      </c>
      <c r="P516" s="3305">
        <v>0</v>
      </c>
      <c r="Q516" s="3308">
        <v>0</v>
      </c>
    </row>
    <row r="517" spans="2:17">
      <c r="B517" s="3260" t="s">
        <v>681</v>
      </c>
      <c r="C517" s="3268"/>
      <c r="D517" s="3269"/>
      <c r="E517" s="3269"/>
      <c r="F517" s="3269"/>
      <c r="G517" s="3270"/>
      <c r="H517" s="3268"/>
      <c r="I517" s="3305">
        <v>61.118999999999907</v>
      </c>
      <c r="J517" s="3305">
        <v>61.253999999999913</v>
      </c>
      <c r="K517" s="3305">
        <v>61.253999999999913</v>
      </c>
      <c r="L517" s="3306">
        <v>61.253999999999913</v>
      </c>
      <c r="M517" s="3307">
        <v>61.253999999999913</v>
      </c>
      <c r="N517" s="3305">
        <v>61.253999999999913</v>
      </c>
      <c r="O517" s="3305">
        <v>61.253999999999913</v>
      </c>
      <c r="P517" s="3305">
        <v>61.253999999999913</v>
      </c>
      <c r="Q517" s="3308">
        <v>61.253999999999913</v>
      </c>
    </row>
    <row r="518" spans="2:17">
      <c r="B518" s="3260" t="s">
        <v>682</v>
      </c>
      <c r="C518" s="3268"/>
      <c r="D518" s="3269"/>
      <c r="E518" s="3269"/>
      <c r="F518" s="3269"/>
      <c r="G518" s="3270"/>
      <c r="H518" s="3268"/>
      <c r="I518" s="3305">
        <v>0</v>
      </c>
      <c r="J518" s="3305">
        <v>0</v>
      </c>
      <c r="K518" s="3305">
        <v>0</v>
      </c>
      <c r="L518" s="3306">
        <v>0</v>
      </c>
      <c r="M518" s="3307">
        <v>0</v>
      </c>
      <c r="N518" s="3305">
        <v>0</v>
      </c>
      <c r="O518" s="3305">
        <v>0</v>
      </c>
      <c r="P518" s="3305">
        <v>0</v>
      </c>
      <c r="Q518" s="3308">
        <v>0</v>
      </c>
    </row>
    <row r="519" spans="2:17">
      <c r="B519" s="3260" t="s">
        <v>66</v>
      </c>
      <c r="C519" s="3268"/>
      <c r="D519" s="3269"/>
      <c r="E519" s="3269"/>
      <c r="F519" s="3269"/>
      <c r="G519" s="3270"/>
      <c r="H519" s="3268"/>
      <c r="I519" s="3305">
        <v>0</v>
      </c>
      <c r="J519" s="3305">
        <v>0</v>
      </c>
      <c r="K519" s="3305">
        <v>0</v>
      </c>
      <c r="L519" s="3306">
        <v>0</v>
      </c>
      <c r="M519" s="3307">
        <v>0</v>
      </c>
      <c r="N519" s="3305">
        <v>0</v>
      </c>
      <c r="O519" s="3305">
        <v>0</v>
      </c>
      <c r="P519" s="3305">
        <v>0</v>
      </c>
      <c r="Q519" s="3308">
        <v>0</v>
      </c>
    </row>
    <row r="520" spans="2:17" ht="13.5" thickBot="1">
      <c r="B520" s="3260" t="s">
        <v>67</v>
      </c>
      <c r="C520" s="3268"/>
      <c r="D520" s="3269"/>
      <c r="E520" s="3269"/>
      <c r="F520" s="3269"/>
      <c r="G520" s="3270"/>
      <c r="H520" s="3268"/>
      <c r="I520" s="3305">
        <v>17.654999999999998</v>
      </c>
      <c r="J520" s="3305">
        <v>17.663</v>
      </c>
      <c r="K520" s="3305">
        <v>17.663</v>
      </c>
      <c r="L520" s="3306">
        <v>17.663</v>
      </c>
      <c r="M520" s="3309">
        <v>17.663</v>
      </c>
      <c r="N520" s="3310">
        <v>17.663</v>
      </c>
      <c r="O520" s="3310">
        <v>17.663</v>
      </c>
      <c r="P520" s="3310">
        <v>17.663</v>
      </c>
      <c r="Q520" s="3311">
        <v>17.663</v>
      </c>
    </row>
    <row r="521" spans="2:17" ht="12.75" customHeight="1">
      <c r="B521" s="4689">
        <v>3043</v>
      </c>
      <c r="C521" s="4691" t="s">
        <v>36</v>
      </c>
      <c r="D521" s="4692"/>
      <c r="E521" s="4692"/>
      <c r="F521" s="4692"/>
      <c r="G521" s="4692"/>
      <c r="H521" s="4693" t="s">
        <v>37</v>
      </c>
      <c r="I521" s="4694"/>
      <c r="J521" s="4694"/>
      <c r="K521" s="4694"/>
      <c r="L521" s="4694"/>
      <c r="M521" s="4695" t="s">
        <v>73</v>
      </c>
      <c r="N521" s="4695"/>
      <c r="O521" s="4695"/>
      <c r="P521" s="4695"/>
      <c r="Q521" s="4696"/>
    </row>
    <row r="522" spans="2:17" ht="12.75" customHeight="1">
      <c r="B522" s="4690"/>
      <c r="C522" s="4697" t="s">
        <v>1673</v>
      </c>
      <c r="D522" s="4698"/>
      <c r="E522" s="4698"/>
      <c r="F522" s="4698"/>
      <c r="G522" s="4698"/>
      <c r="H522" s="4698"/>
      <c r="I522" s="4698"/>
      <c r="J522" s="4698"/>
      <c r="K522" s="4698"/>
      <c r="L522" s="4698"/>
      <c r="M522" s="4698"/>
      <c r="N522" s="4698"/>
      <c r="O522" s="4698"/>
      <c r="P522" s="4698"/>
      <c r="Q522" s="4699"/>
    </row>
    <row r="523" spans="2:17" ht="12.75" customHeight="1">
      <c r="B523" s="4690"/>
      <c r="C523" s="4697" t="s">
        <v>54</v>
      </c>
      <c r="D523" s="4698"/>
      <c r="E523" s="4698"/>
      <c r="F523" s="4698"/>
      <c r="G523" s="4698"/>
      <c r="H523" s="4698"/>
      <c r="I523" s="4698"/>
      <c r="J523" s="4700"/>
      <c r="K523" s="4701" t="s">
        <v>55</v>
      </c>
      <c r="L523" s="4702"/>
      <c r="M523" s="4702"/>
      <c r="N523" s="4702"/>
      <c r="O523" s="4702"/>
      <c r="P523" s="4702"/>
      <c r="Q523" s="4703"/>
    </row>
    <row r="524" spans="2:17" ht="13.5" customHeight="1" thickBot="1">
      <c r="B524" s="4690"/>
      <c r="C524" s="3252">
        <f t="array" ref="C524:G524">PRCP</f>
        <v>2008</v>
      </c>
      <c r="D524" s="3253">
        <v>2009</v>
      </c>
      <c r="E524" s="3253">
        <v>2010</v>
      </c>
      <c r="F524" s="3253">
        <v>2011</v>
      </c>
      <c r="G524" s="3253">
        <v>2012</v>
      </c>
      <c r="H524" s="3254">
        <f>CRCP_y1</f>
        <v>2013</v>
      </c>
      <c r="I524" s="3254">
        <f>CRCP_y2</f>
        <v>2014</v>
      </c>
      <c r="J524" s="3254">
        <f>CRCP_y3</f>
        <v>2015</v>
      </c>
      <c r="K524" s="3254">
        <f>CRCP_y4</f>
        <v>2016</v>
      </c>
      <c r="L524" s="3254">
        <f>CRCP_y5</f>
        <v>2017</v>
      </c>
      <c r="M524" s="3253" t="str">
        <f t="array" ref="M524:Q524">FRCP</f>
        <v>2018</v>
      </c>
      <c r="N524" s="3253">
        <v>2019</v>
      </c>
      <c r="O524" s="3253">
        <v>2020</v>
      </c>
      <c r="P524" s="3253">
        <v>2021</v>
      </c>
      <c r="Q524" s="3255">
        <v>2022</v>
      </c>
    </row>
    <row r="525" spans="2:17">
      <c r="B525" s="3256" t="s">
        <v>1691</v>
      </c>
      <c r="C525" s="3257"/>
      <c r="D525" s="3258"/>
      <c r="E525" s="3258"/>
      <c r="F525" s="3258"/>
      <c r="G525" s="3259"/>
      <c r="H525" s="3257"/>
      <c r="I525" s="3258"/>
      <c r="J525" s="3258"/>
      <c r="K525" s="3258"/>
      <c r="L525" s="3258"/>
      <c r="M525" s="3257"/>
      <c r="N525" s="3258"/>
      <c r="O525" s="3258"/>
      <c r="P525" s="3258"/>
      <c r="Q525" s="3259"/>
    </row>
    <row r="526" spans="2:17">
      <c r="B526" s="3260"/>
      <c r="C526" s="3268"/>
      <c r="D526" s="3269"/>
      <c r="E526" s="3269"/>
      <c r="F526" s="3269"/>
      <c r="G526" s="3270"/>
      <c r="H526" s="3268"/>
      <c r="I526" s="3269"/>
      <c r="J526" s="3269"/>
      <c r="K526" s="3269"/>
      <c r="L526" s="3271"/>
      <c r="M526" s="3268"/>
      <c r="N526" s="3269"/>
      <c r="O526" s="3269"/>
      <c r="P526" s="3269"/>
      <c r="Q526" s="3270"/>
    </row>
    <row r="527" spans="2:17">
      <c r="B527" s="3260" t="s">
        <v>64</v>
      </c>
      <c r="C527" s="3268"/>
      <c r="D527" s="3269"/>
      <c r="E527" s="3269"/>
      <c r="F527" s="3269"/>
      <c r="G527" s="3270"/>
      <c r="H527" s="3268"/>
      <c r="I527" s="3305">
        <v>0</v>
      </c>
      <c r="J527" s="3305">
        <v>0</v>
      </c>
      <c r="K527" s="3305">
        <v>0</v>
      </c>
      <c r="L527" s="3306">
        <v>0</v>
      </c>
      <c r="M527" s="3307">
        <v>0</v>
      </c>
      <c r="N527" s="3305">
        <v>0</v>
      </c>
      <c r="O527" s="3305">
        <v>0</v>
      </c>
      <c r="P527" s="3305">
        <v>0</v>
      </c>
      <c r="Q527" s="3308">
        <v>0</v>
      </c>
    </row>
    <row r="528" spans="2:17">
      <c r="B528" s="3260" t="s">
        <v>65</v>
      </c>
      <c r="C528" s="3268"/>
      <c r="D528" s="3269"/>
      <c r="E528" s="3269"/>
      <c r="F528" s="3269"/>
      <c r="G528" s="3270"/>
      <c r="H528" s="3268"/>
      <c r="I528" s="3305">
        <v>0</v>
      </c>
      <c r="J528" s="3305">
        <v>0</v>
      </c>
      <c r="K528" s="3305">
        <v>0</v>
      </c>
      <c r="L528" s="3306">
        <v>0</v>
      </c>
      <c r="M528" s="3307">
        <v>0</v>
      </c>
      <c r="N528" s="3305">
        <v>0</v>
      </c>
      <c r="O528" s="3305">
        <v>0</v>
      </c>
      <c r="P528" s="3305">
        <v>0</v>
      </c>
      <c r="Q528" s="3308">
        <v>0</v>
      </c>
    </row>
    <row r="529" spans="2:17">
      <c r="B529" s="3260" t="s">
        <v>82</v>
      </c>
      <c r="C529" s="3268"/>
      <c r="D529" s="3269"/>
      <c r="E529" s="3269"/>
      <c r="F529" s="3269"/>
      <c r="G529" s="3270"/>
      <c r="H529" s="3268"/>
      <c r="I529" s="3305">
        <v>0</v>
      </c>
      <c r="J529" s="3305">
        <v>0</v>
      </c>
      <c r="K529" s="3305">
        <v>0</v>
      </c>
      <c r="L529" s="3306">
        <v>0</v>
      </c>
      <c r="M529" s="3307">
        <v>0</v>
      </c>
      <c r="N529" s="3305">
        <v>0</v>
      </c>
      <c r="O529" s="3305">
        <v>0</v>
      </c>
      <c r="P529" s="3305">
        <v>0</v>
      </c>
      <c r="Q529" s="3308">
        <v>0</v>
      </c>
    </row>
    <row r="530" spans="2:17">
      <c r="B530" s="3260" t="s">
        <v>680</v>
      </c>
      <c r="C530" s="3268"/>
      <c r="D530" s="3269"/>
      <c r="E530" s="3269"/>
      <c r="F530" s="3269"/>
      <c r="G530" s="3270"/>
      <c r="H530" s="3268"/>
      <c r="I530" s="3305">
        <v>0</v>
      </c>
      <c r="J530" s="3305">
        <v>0</v>
      </c>
      <c r="K530" s="3305">
        <v>0</v>
      </c>
      <c r="L530" s="3306">
        <v>0</v>
      </c>
      <c r="M530" s="3307">
        <v>0</v>
      </c>
      <c r="N530" s="3305">
        <v>0</v>
      </c>
      <c r="O530" s="3305">
        <v>0</v>
      </c>
      <c r="P530" s="3305">
        <v>0</v>
      </c>
      <c r="Q530" s="3308">
        <v>0</v>
      </c>
    </row>
    <row r="531" spans="2:17">
      <c r="B531" s="3260" t="s">
        <v>681</v>
      </c>
      <c r="C531" s="3268"/>
      <c r="D531" s="3269"/>
      <c r="E531" s="3269"/>
      <c r="F531" s="3269"/>
      <c r="G531" s="3270"/>
      <c r="H531" s="3268"/>
      <c r="I531" s="3305">
        <v>24.96899999999998</v>
      </c>
      <c r="J531" s="3305">
        <v>25.109999999999982</v>
      </c>
      <c r="K531" s="3305">
        <v>25.109999999999982</v>
      </c>
      <c r="L531" s="3306">
        <v>25.109999999999982</v>
      </c>
      <c r="M531" s="3307">
        <v>25.109999999999982</v>
      </c>
      <c r="N531" s="3305">
        <v>25.109999999999982</v>
      </c>
      <c r="O531" s="3305">
        <v>25.109999999999982</v>
      </c>
      <c r="P531" s="3305">
        <v>25.109999999999982</v>
      </c>
      <c r="Q531" s="3308">
        <v>25.109999999999982</v>
      </c>
    </row>
    <row r="532" spans="2:17">
      <c r="B532" s="3260" t="s">
        <v>682</v>
      </c>
      <c r="C532" s="3268"/>
      <c r="D532" s="3269"/>
      <c r="E532" s="3269"/>
      <c r="F532" s="3269"/>
      <c r="G532" s="3270"/>
      <c r="H532" s="3268"/>
      <c r="I532" s="3305">
        <v>0</v>
      </c>
      <c r="J532" s="3305">
        <v>0</v>
      </c>
      <c r="K532" s="3305">
        <v>0</v>
      </c>
      <c r="L532" s="3306">
        <v>0</v>
      </c>
      <c r="M532" s="3307">
        <v>0</v>
      </c>
      <c r="N532" s="3305">
        <v>0</v>
      </c>
      <c r="O532" s="3305">
        <v>0</v>
      </c>
      <c r="P532" s="3305">
        <v>0</v>
      </c>
      <c r="Q532" s="3308">
        <v>0</v>
      </c>
    </row>
    <row r="533" spans="2:17">
      <c r="B533" s="3260" t="s">
        <v>66</v>
      </c>
      <c r="C533" s="3268"/>
      <c r="D533" s="3269"/>
      <c r="E533" s="3269"/>
      <c r="F533" s="3269"/>
      <c r="G533" s="3270"/>
      <c r="H533" s="3268"/>
      <c r="I533" s="3305">
        <v>0</v>
      </c>
      <c r="J533" s="3305">
        <v>0</v>
      </c>
      <c r="K533" s="3305">
        <v>0</v>
      </c>
      <c r="L533" s="3306">
        <v>0</v>
      </c>
      <c r="M533" s="3307">
        <v>0</v>
      </c>
      <c r="N533" s="3305">
        <v>0</v>
      </c>
      <c r="O533" s="3305">
        <v>0</v>
      </c>
      <c r="P533" s="3305">
        <v>0</v>
      </c>
      <c r="Q533" s="3308">
        <v>0</v>
      </c>
    </row>
    <row r="534" spans="2:17" ht="13.5" thickBot="1">
      <c r="B534" s="3260" t="s">
        <v>67</v>
      </c>
      <c r="C534" s="3268"/>
      <c r="D534" s="3269"/>
      <c r="E534" s="3269"/>
      <c r="F534" s="3269"/>
      <c r="G534" s="3270"/>
      <c r="H534" s="3268"/>
      <c r="I534" s="3305">
        <v>72.568000000000055</v>
      </c>
      <c r="J534" s="3305">
        <v>72.571000000000055</v>
      </c>
      <c r="K534" s="3305">
        <v>72.571000000000055</v>
      </c>
      <c r="L534" s="3306">
        <v>72.571000000000055</v>
      </c>
      <c r="M534" s="3309">
        <v>72.571000000000055</v>
      </c>
      <c r="N534" s="3310">
        <v>72.571000000000055</v>
      </c>
      <c r="O534" s="3310">
        <v>72.571000000000055</v>
      </c>
      <c r="P534" s="3310">
        <v>72.571000000000055</v>
      </c>
      <c r="Q534" s="3311">
        <v>72.571000000000055</v>
      </c>
    </row>
    <row r="535" spans="2:17" ht="12.75" customHeight="1">
      <c r="B535" s="4689">
        <v>3044</v>
      </c>
      <c r="C535" s="4691" t="s">
        <v>36</v>
      </c>
      <c r="D535" s="4692"/>
      <c r="E535" s="4692"/>
      <c r="F535" s="4692"/>
      <c r="G535" s="4692"/>
      <c r="H535" s="4693" t="s">
        <v>37</v>
      </c>
      <c r="I535" s="4694"/>
      <c r="J535" s="4694"/>
      <c r="K535" s="4694"/>
      <c r="L535" s="4694"/>
      <c r="M535" s="4695" t="s">
        <v>73</v>
      </c>
      <c r="N535" s="4695"/>
      <c r="O535" s="4695"/>
      <c r="P535" s="4695"/>
      <c r="Q535" s="4696"/>
    </row>
    <row r="536" spans="2:17" ht="12.75" customHeight="1">
      <c r="B536" s="4690"/>
      <c r="C536" s="4697" t="s">
        <v>1673</v>
      </c>
      <c r="D536" s="4698"/>
      <c r="E536" s="4698"/>
      <c r="F536" s="4698"/>
      <c r="G536" s="4698"/>
      <c r="H536" s="4698"/>
      <c r="I536" s="4698"/>
      <c r="J536" s="4698"/>
      <c r="K536" s="4698"/>
      <c r="L536" s="4698"/>
      <c r="M536" s="4698"/>
      <c r="N536" s="4698"/>
      <c r="O536" s="4698"/>
      <c r="P536" s="4698"/>
      <c r="Q536" s="4699"/>
    </row>
    <row r="537" spans="2:17" ht="12.75" customHeight="1">
      <c r="B537" s="4690"/>
      <c r="C537" s="4697" t="s">
        <v>54</v>
      </c>
      <c r="D537" s="4698"/>
      <c r="E537" s="4698"/>
      <c r="F537" s="4698"/>
      <c r="G537" s="4698"/>
      <c r="H537" s="4698"/>
      <c r="I537" s="4698"/>
      <c r="J537" s="4700"/>
      <c r="K537" s="4701" t="s">
        <v>55</v>
      </c>
      <c r="L537" s="4702"/>
      <c r="M537" s="4702"/>
      <c r="N537" s="4702"/>
      <c r="O537" s="4702"/>
      <c r="P537" s="4702"/>
      <c r="Q537" s="4703"/>
    </row>
    <row r="538" spans="2:17" ht="13.5" customHeight="1" thickBot="1">
      <c r="B538" s="4690"/>
      <c r="C538" s="3252">
        <f t="array" ref="C538:G538">PRCP</f>
        <v>2008</v>
      </c>
      <c r="D538" s="3253">
        <v>2009</v>
      </c>
      <c r="E538" s="3253">
        <v>2010</v>
      </c>
      <c r="F538" s="3253">
        <v>2011</v>
      </c>
      <c r="G538" s="3253">
        <v>2012</v>
      </c>
      <c r="H538" s="3254">
        <f>CRCP_y1</f>
        <v>2013</v>
      </c>
      <c r="I538" s="3254">
        <f>CRCP_y2</f>
        <v>2014</v>
      </c>
      <c r="J538" s="3254">
        <f>CRCP_y3</f>
        <v>2015</v>
      </c>
      <c r="K538" s="3254">
        <f>CRCP_y4</f>
        <v>2016</v>
      </c>
      <c r="L538" s="3254">
        <f>CRCP_y5</f>
        <v>2017</v>
      </c>
      <c r="M538" s="3253" t="str">
        <f t="array" ref="M538:Q538">FRCP</f>
        <v>2018</v>
      </c>
      <c r="N538" s="3253">
        <v>2019</v>
      </c>
      <c r="O538" s="3253">
        <v>2020</v>
      </c>
      <c r="P538" s="3253">
        <v>2021</v>
      </c>
      <c r="Q538" s="3255">
        <v>2022</v>
      </c>
    </row>
    <row r="539" spans="2:17">
      <c r="B539" s="3256" t="s">
        <v>1691</v>
      </c>
      <c r="C539" s="3257"/>
      <c r="D539" s="3258"/>
      <c r="E539" s="3258"/>
      <c r="F539" s="3258"/>
      <c r="G539" s="3259"/>
      <c r="H539" s="3257"/>
      <c r="I539" s="3258"/>
      <c r="J539" s="3258"/>
      <c r="K539" s="3258"/>
      <c r="L539" s="3258"/>
      <c r="M539" s="3257"/>
      <c r="N539" s="3258"/>
      <c r="O539" s="3258"/>
      <c r="P539" s="3258"/>
      <c r="Q539" s="3259"/>
    </row>
    <row r="540" spans="2:17">
      <c r="B540" s="3260"/>
      <c r="C540" s="3268"/>
      <c r="D540" s="3269"/>
      <c r="E540" s="3269"/>
      <c r="F540" s="3269"/>
      <c r="G540" s="3270"/>
      <c r="H540" s="3268"/>
      <c r="I540" s="3269"/>
      <c r="J540" s="3269"/>
      <c r="K540" s="3269"/>
      <c r="L540" s="3271"/>
      <c r="M540" s="3268"/>
      <c r="N540" s="3269"/>
      <c r="O540" s="3269"/>
      <c r="P540" s="3269"/>
      <c r="Q540" s="3270"/>
    </row>
    <row r="541" spans="2:17">
      <c r="B541" s="3260" t="s">
        <v>64</v>
      </c>
      <c r="C541" s="3268"/>
      <c r="D541" s="3269"/>
      <c r="E541" s="3269"/>
      <c r="F541" s="3269"/>
      <c r="G541" s="3270"/>
      <c r="H541" s="3268"/>
      <c r="I541" s="3305">
        <v>6.7999999999999945</v>
      </c>
      <c r="J541" s="3305">
        <v>6.7999999999999945</v>
      </c>
      <c r="K541" s="3305">
        <v>6.7999999999999945</v>
      </c>
      <c r="L541" s="3306">
        <v>6.7999999999999945</v>
      </c>
      <c r="M541" s="3307">
        <v>6.7999999999999945</v>
      </c>
      <c r="N541" s="3305">
        <v>6.7999999999999945</v>
      </c>
      <c r="O541" s="3305">
        <v>6.7999999999999945</v>
      </c>
      <c r="P541" s="3305">
        <v>6.7999999999999945</v>
      </c>
      <c r="Q541" s="3308">
        <v>6.7999999999999945</v>
      </c>
    </row>
    <row r="542" spans="2:17">
      <c r="B542" s="3260" t="s">
        <v>65</v>
      </c>
      <c r="C542" s="3268"/>
      <c r="D542" s="3269"/>
      <c r="E542" s="3269"/>
      <c r="F542" s="3269"/>
      <c r="G542" s="3270"/>
      <c r="H542" s="3268"/>
      <c r="I542" s="3305">
        <v>0.86599999999999999</v>
      </c>
      <c r="J542" s="3305">
        <v>0.86599999999999999</v>
      </c>
      <c r="K542" s="3305">
        <v>0.86599999999999999</v>
      </c>
      <c r="L542" s="3306">
        <v>0.86599999999999999</v>
      </c>
      <c r="M542" s="3307">
        <v>0.86599999999999999</v>
      </c>
      <c r="N542" s="3305">
        <v>0.86599999999999999</v>
      </c>
      <c r="O542" s="3305">
        <v>0.86599999999999999</v>
      </c>
      <c r="P542" s="3305">
        <v>0.86599999999999999</v>
      </c>
      <c r="Q542" s="3308">
        <v>0.86599999999999999</v>
      </c>
    </row>
    <row r="543" spans="2:17">
      <c r="B543" s="3260" t="s">
        <v>82</v>
      </c>
      <c r="C543" s="3268"/>
      <c r="D543" s="3269"/>
      <c r="E543" s="3269"/>
      <c r="F543" s="3269"/>
      <c r="G543" s="3270"/>
      <c r="H543" s="3268"/>
      <c r="I543" s="3305">
        <v>0</v>
      </c>
      <c r="J543" s="3305">
        <v>0</v>
      </c>
      <c r="K543" s="3305">
        <v>0</v>
      </c>
      <c r="L543" s="3306">
        <v>0</v>
      </c>
      <c r="M543" s="3307">
        <v>0</v>
      </c>
      <c r="N543" s="3305">
        <v>0</v>
      </c>
      <c r="O543" s="3305">
        <v>0</v>
      </c>
      <c r="P543" s="3305">
        <v>0</v>
      </c>
      <c r="Q543" s="3308">
        <v>0</v>
      </c>
    </row>
    <row r="544" spans="2:17">
      <c r="B544" s="3260" t="s">
        <v>680</v>
      </c>
      <c r="C544" s="3268"/>
      <c r="D544" s="3269"/>
      <c r="E544" s="3269"/>
      <c r="F544" s="3269"/>
      <c r="G544" s="3270"/>
      <c r="H544" s="3268"/>
      <c r="I544" s="3305">
        <v>0</v>
      </c>
      <c r="J544" s="3305">
        <v>0</v>
      </c>
      <c r="K544" s="3305">
        <v>0</v>
      </c>
      <c r="L544" s="3306">
        <v>0</v>
      </c>
      <c r="M544" s="3307">
        <v>0</v>
      </c>
      <c r="N544" s="3305">
        <v>0</v>
      </c>
      <c r="O544" s="3305">
        <v>0</v>
      </c>
      <c r="P544" s="3305">
        <v>0</v>
      </c>
      <c r="Q544" s="3308">
        <v>0</v>
      </c>
    </row>
    <row r="545" spans="2:17">
      <c r="B545" s="3260" t="s">
        <v>681</v>
      </c>
      <c r="C545" s="3268"/>
      <c r="D545" s="3269"/>
      <c r="E545" s="3269"/>
      <c r="F545" s="3269"/>
      <c r="G545" s="3270"/>
      <c r="H545" s="3268"/>
      <c r="I545" s="3305">
        <v>88.968999999999951</v>
      </c>
      <c r="J545" s="3305">
        <v>96.893000000000001</v>
      </c>
      <c r="K545" s="3305">
        <v>96.893000000000001</v>
      </c>
      <c r="L545" s="3306">
        <v>96.893000000000001</v>
      </c>
      <c r="M545" s="3307">
        <v>96.893000000000001</v>
      </c>
      <c r="N545" s="3305">
        <v>96.893000000000001</v>
      </c>
      <c r="O545" s="3305">
        <v>96.893000000000001</v>
      </c>
      <c r="P545" s="3305">
        <v>96.893000000000001</v>
      </c>
      <c r="Q545" s="3308">
        <v>96.893000000000001</v>
      </c>
    </row>
    <row r="546" spans="2:17">
      <c r="B546" s="3260" t="s">
        <v>682</v>
      </c>
      <c r="C546" s="3268"/>
      <c r="D546" s="3269"/>
      <c r="E546" s="3269"/>
      <c r="F546" s="3269"/>
      <c r="G546" s="3270"/>
      <c r="H546" s="3268"/>
      <c r="I546" s="3305">
        <v>2.3320000000000007</v>
      </c>
      <c r="J546" s="3305">
        <v>2.3320000000000007</v>
      </c>
      <c r="K546" s="3305">
        <v>2.3320000000000007</v>
      </c>
      <c r="L546" s="3306">
        <v>2.3320000000000007</v>
      </c>
      <c r="M546" s="3307">
        <v>2.3320000000000007</v>
      </c>
      <c r="N546" s="3305">
        <v>2.3320000000000007</v>
      </c>
      <c r="O546" s="3305">
        <v>2.3320000000000007</v>
      </c>
      <c r="P546" s="3305">
        <v>2.3320000000000007</v>
      </c>
      <c r="Q546" s="3308">
        <v>2.3320000000000007</v>
      </c>
    </row>
    <row r="547" spans="2:17">
      <c r="B547" s="3260" t="s">
        <v>66</v>
      </c>
      <c r="C547" s="3268"/>
      <c r="D547" s="3269"/>
      <c r="E547" s="3269"/>
      <c r="F547" s="3269"/>
      <c r="G547" s="3270"/>
      <c r="H547" s="3268"/>
      <c r="I547" s="3305">
        <v>0.91700000000000026</v>
      </c>
      <c r="J547" s="3305">
        <v>1.3000000000000001E-2</v>
      </c>
      <c r="K547" s="3305">
        <v>1.3000000000000001E-2</v>
      </c>
      <c r="L547" s="3306">
        <v>1.3000000000000001E-2</v>
      </c>
      <c r="M547" s="3307">
        <v>1.3000000000000001E-2</v>
      </c>
      <c r="N547" s="3305">
        <v>1.3000000000000001E-2</v>
      </c>
      <c r="O547" s="3305">
        <v>1.3000000000000001E-2</v>
      </c>
      <c r="P547" s="3305">
        <v>1.3000000000000001E-2</v>
      </c>
      <c r="Q547" s="3308">
        <v>1.3000000000000001E-2</v>
      </c>
    </row>
    <row r="548" spans="2:17" ht="13.5" thickBot="1">
      <c r="B548" s="3260" t="s">
        <v>67</v>
      </c>
      <c r="C548" s="3268"/>
      <c r="D548" s="3269"/>
      <c r="E548" s="3269"/>
      <c r="F548" s="3269"/>
      <c r="G548" s="3270"/>
      <c r="H548" s="3268"/>
      <c r="I548" s="3305">
        <v>7.3919999999999977</v>
      </c>
      <c r="J548" s="3305">
        <v>7.195999999999998</v>
      </c>
      <c r="K548" s="3305">
        <v>7.195999999999998</v>
      </c>
      <c r="L548" s="3306">
        <v>7.195999999999998</v>
      </c>
      <c r="M548" s="3309">
        <v>7.195999999999998</v>
      </c>
      <c r="N548" s="3310">
        <v>7.195999999999998</v>
      </c>
      <c r="O548" s="3310">
        <v>7.195999999999998</v>
      </c>
      <c r="P548" s="3310">
        <v>7.195999999999998</v>
      </c>
      <c r="Q548" s="3311">
        <v>7.195999999999998</v>
      </c>
    </row>
    <row r="549" spans="2:17" ht="12.75" customHeight="1">
      <c r="B549" s="4689">
        <v>3045</v>
      </c>
      <c r="C549" s="4691" t="s">
        <v>36</v>
      </c>
      <c r="D549" s="4692"/>
      <c r="E549" s="4692"/>
      <c r="F549" s="4692"/>
      <c r="G549" s="4692"/>
      <c r="H549" s="4693" t="s">
        <v>37</v>
      </c>
      <c r="I549" s="4694"/>
      <c r="J549" s="4694"/>
      <c r="K549" s="4694"/>
      <c r="L549" s="4694"/>
      <c r="M549" s="4695" t="s">
        <v>73</v>
      </c>
      <c r="N549" s="4695"/>
      <c r="O549" s="4695"/>
      <c r="P549" s="4695"/>
      <c r="Q549" s="4696"/>
    </row>
    <row r="550" spans="2:17" ht="12.75" customHeight="1">
      <c r="B550" s="4690"/>
      <c r="C550" s="4697" t="s">
        <v>1673</v>
      </c>
      <c r="D550" s="4698"/>
      <c r="E550" s="4698"/>
      <c r="F550" s="4698"/>
      <c r="G550" s="4698"/>
      <c r="H550" s="4698"/>
      <c r="I550" s="4698"/>
      <c r="J550" s="4698"/>
      <c r="K550" s="4698"/>
      <c r="L550" s="4698"/>
      <c r="M550" s="4698"/>
      <c r="N550" s="4698"/>
      <c r="O550" s="4698"/>
      <c r="P550" s="4698"/>
      <c r="Q550" s="4699"/>
    </row>
    <row r="551" spans="2:17" ht="12.75" customHeight="1">
      <c r="B551" s="4690"/>
      <c r="C551" s="4697" t="s">
        <v>54</v>
      </c>
      <c r="D551" s="4698"/>
      <c r="E551" s="4698"/>
      <c r="F551" s="4698"/>
      <c r="G551" s="4698"/>
      <c r="H551" s="4698"/>
      <c r="I551" s="4698"/>
      <c r="J551" s="4700"/>
      <c r="K551" s="4701" t="s">
        <v>55</v>
      </c>
      <c r="L551" s="4702"/>
      <c r="M551" s="4702"/>
      <c r="N551" s="4702"/>
      <c r="O551" s="4702"/>
      <c r="P551" s="4702"/>
      <c r="Q551" s="4703"/>
    </row>
    <row r="552" spans="2:17" ht="13.5" customHeight="1" thickBot="1">
      <c r="B552" s="4690"/>
      <c r="C552" s="3252">
        <f t="array" ref="C552:G552">PRCP</f>
        <v>2008</v>
      </c>
      <c r="D552" s="3253">
        <v>2009</v>
      </c>
      <c r="E552" s="3253">
        <v>2010</v>
      </c>
      <c r="F552" s="3253">
        <v>2011</v>
      </c>
      <c r="G552" s="3253">
        <v>2012</v>
      </c>
      <c r="H552" s="3254">
        <f>CRCP_y1</f>
        <v>2013</v>
      </c>
      <c r="I552" s="3254">
        <f>CRCP_y2</f>
        <v>2014</v>
      </c>
      <c r="J552" s="3254">
        <f>CRCP_y3</f>
        <v>2015</v>
      </c>
      <c r="K552" s="3254">
        <f>CRCP_y4</f>
        <v>2016</v>
      </c>
      <c r="L552" s="3254">
        <f>CRCP_y5</f>
        <v>2017</v>
      </c>
      <c r="M552" s="3253" t="str">
        <f t="array" ref="M552:Q552">FRCP</f>
        <v>2018</v>
      </c>
      <c r="N552" s="3253">
        <v>2019</v>
      </c>
      <c r="O552" s="3253">
        <v>2020</v>
      </c>
      <c r="P552" s="3253">
        <v>2021</v>
      </c>
      <c r="Q552" s="3255">
        <v>2022</v>
      </c>
    </row>
    <row r="553" spans="2:17">
      <c r="B553" s="3256" t="s">
        <v>1692</v>
      </c>
      <c r="C553" s="3257"/>
      <c r="D553" s="3258"/>
      <c r="E553" s="3258"/>
      <c r="F553" s="3258"/>
      <c r="G553" s="3259"/>
      <c r="H553" s="3257"/>
      <c r="I553" s="3258"/>
      <c r="J553" s="3258"/>
      <c r="K553" s="3258"/>
      <c r="L553" s="3258"/>
      <c r="M553" s="3257"/>
      <c r="N553" s="3258"/>
      <c r="O553" s="3258"/>
      <c r="P553" s="3258"/>
      <c r="Q553" s="3259"/>
    </row>
    <row r="554" spans="2:17">
      <c r="B554" s="3260"/>
      <c r="C554" s="3268"/>
      <c r="D554" s="3269"/>
      <c r="E554" s="3269"/>
      <c r="F554" s="3269"/>
      <c r="G554" s="3270"/>
      <c r="H554" s="3268"/>
      <c r="I554" s="3269"/>
      <c r="J554" s="3269"/>
      <c r="K554" s="3269"/>
      <c r="L554" s="3271"/>
      <c r="M554" s="3268"/>
      <c r="N554" s="3269"/>
      <c r="O554" s="3269"/>
      <c r="P554" s="3269"/>
      <c r="Q554" s="3270"/>
    </row>
    <row r="555" spans="2:17">
      <c r="B555" s="3260" t="s">
        <v>64</v>
      </c>
      <c r="C555" s="3268"/>
      <c r="D555" s="3269"/>
      <c r="E555" s="3269"/>
      <c r="F555" s="3269"/>
      <c r="G555" s="3270"/>
      <c r="H555" s="3268"/>
      <c r="I555" s="3305">
        <v>0</v>
      </c>
      <c r="J555" s="3305">
        <v>0</v>
      </c>
      <c r="K555" s="3305">
        <v>0</v>
      </c>
      <c r="L555" s="3306">
        <v>0</v>
      </c>
      <c r="M555" s="3307">
        <v>0</v>
      </c>
      <c r="N555" s="3305">
        <v>0</v>
      </c>
      <c r="O555" s="3305">
        <v>0</v>
      </c>
      <c r="P555" s="3305">
        <v>0</v>
      </c>
      <c r="Q555" s="3308">
        <v>0</v>
      </c>
    </row>
    <row r="556" spans="2:17">
      <c r="B556" s="3260" t="s">
        <v>65</v>
      </c>
      <c r="C556" s="3268"/>
      <c r="D556" s="3269"/>
      <c r="E556" s="3269"/>
      <c r="F556" s="3269"/>
      <c r="G556" s="3270"/>
      <c r="H556" s="3268"/>
      <c r="I556" s="3305">
        <v>0</v>
      </c>
      <c r="J556" s="3305">
        <v>0</v>
      </c>
      <c r="K556" s="3305">
        <v>0</v>
      </c>
      <c r="L556" s="3306">
        <v>0</v>
      </c>
      <c r="M556" s="3307">
        <v>0</v>
      </c>
      <c r="N556" s="3305">
        <v>0</v>
      </c>
      <c r="O556" s="3305">
        <v>0</v>
      </c>
      <c r="P556" s="3305">
        <v>0</v>
      </c>
      <c r="Q556" s="3308">
        <v>0</v>
      </c>
    </row>
    <row r="557" spans="2:17">
      <c r="B557" s="3260" t="s">
        <v>82</v>
      </c>
      <c r="C557" s="3268"/>
      <c r="D557" s="3269"/>
      <c r="E557" s="3269"/>
      <c r="F557" s="3269"/>
      <c r="G557" s="3270"/>
      <c r="H557" s="3268"/>
      <c r="I557" s="3305">
        <v>0</v>
      </c>
      <c r="J557" s="3305">
        <v>0</v>
      </c>
      <c r="K557" s="3305">
        <v>0</v>
      </c>
      <c r="L557" s="3306">
        <v>0</v>
      </c>
      <c r="M557" s="3307">
        <v>0</v>
      </c>
      <c r="N557" s="3305">
        <v>0</v>
      </c>
      <c r="O557" s="3305">
        <v>0</v>
      </c>
      <c r="P557" s="3305">
        <v>0</v>
      </c>
      <c r="Q557" s="3308">
        <v>0</v>
      </c>
    </row>
    <row r="558" spans="2:17">
      <c r="B558" s="3260" t="s">
        <v>680</v>
      </c>
      <c r="C558" s="3268"/>
      <c r="D558" s="3269"/>
      <c r="E558" s="3269"/>
      <c r="F558" s="3269"/>
      <c r="G558" s="3270"/>
      <c r="H558" s="3268"/>
      <c r="I558" s="3305">
        <v>0</v>
      </c>
      <c r="J558" s="3305">
        <v>0</v>
      </c>
      <c r="K558" s="3305">
        <v>0</v>
      </c>
      <c r="L558" s="3306">
        <v>0</v>
      </c>
      <c r="M558" s="3307">
        <v>0</v>
      </c>
      <c r="N558" s="3305">
        <v>0</v>
      </c>
      <c r="O558" s="3305">
        <v>0</v>
      </c>
      <c r="P558" s="3305">
        <v>0</v>
      </c>
      <c r="Q558" s="3308">
        <v>0</v>
      </c>
    </row>
    <row r="559" spans="2:17">
      <c r="B559" s="3260" t="s">
        <v>681</v>
      </c>
      <c r="C559" s="3268"/>
      <c r="D559" s="3269"/>
      <c r="E559" s="3269"/>
      <c r="F559" s="3269"/>
      <c r="G559" s="3270"/>
      <c r="H559" s="3268"/>
      <c r="I559" s="3305">
        <v>2.6339999999999999</v>
      </c>
      <c r="J559" s="3305">
        <v>2.839</v>
      </c>
      <c r="K559" s="3305">
        <v>2.839</v>
      </c>
      <c r="L559" s="3306">
        <v>2.839</v>
      </c>
      <c r="M559" s="3307">
        <v>2.839</v>
      </c>
      <c r="N559" s="3305">
        <v>2.839</v>
      </c>
      <c r="O559" s="3305">
        <v>2.839</v>
      </c>
      <c r="P559" s="3305">
        <v>2.839</v>
      </c>
      <c r="Q559" s="3308">
        <v>2.839</v>
      </c>
    </row>
    <row r="560" spans="2:17">
      <c r="B560" s="3260" t="s">
        <v>682</v>
      </c>
      <c r="C560" s="3268"/>
      <c r="D560" s="3269"/>
      <c r="E560" s="3269"/>
      <c r="F560" s="3269"/>
      <c r="G560" s="3270"/>
      <c r="H560" s="3268"/>
      <c r="I560" s="3305">
        <v>0.40499999999999997</v>
      </c>
      <c r="J560" s="3305">
        <v>0.40499999999999997</v>
      </c>
      <c r="K560" s="3305">
        <v>0.40499999999999997</v>
      </c>
      <c r="L560" s="3306">
        <v>0.40499999999999997</v>
      </c>
      <c r="M560" s="3307">
        <v>0.40499999999999997</v>
      </c>
      <c r="N560" s="3305">
        <v>0.40499999999999997</v>
      </c>
      <c r="O560" s="3305">
        <v>0.40499999999999997</v>
      </c>
      <c r="P560" s="3305">
        <v>0.40499999999999997</v>
      </c>
      <c r="Q560" s="3308">
        <v>0.40499999999999997</v>
      </c>
    </row>
    <row r="561" spans="2:17">
      <c r="B561" s="3260" t="s">
        <v>66</v>
      </c>
      <c r="C561" s="3268"/>
      <c r="D561" s="3269"/>
      <c r="E561" s="3269"/>
      <c r="F561" s="3269"/>
      <c r="G561" s="3270"/>
      <c r="H561" s="3268"/>
      <c r="I561" s="3305">
        <v>4.5999999999999999E-2</v>
      </c>
      <c r="J561" s="3305">
        <v>4.5999999999999999E-2</v>
      </c>
      <c r="K561" s="3305">
        <v>4.5999999999999999E-2</v>
      </c>
      <c r="L561" s="3306">
        <v>4.5999999999999999E-2</v>
      </c>
      <c r="M561" s="3307">
        <v>4.5999999999999999E-2</v>
      </c>
      <c r="N561" s="3305">
        <v>4.5999999999999999E-2</v>
      </c>
      <c r="O561" s="3305">
        <v>4.5999999999999999E-2</v>
      </c>
      <c r="P561" s="3305">
        <v>4.5999999999999999E-2</v>
      </c>
      <c r="Q561" s="3308">
        <v>4.5999999999999999E-2</v>
      </c>
    </row>
    <row r="562" spans="2:17" ht="13.5" thickBot="1">
      <c r="B562" s="3260" t="s">
        <v>67</v>
      </c>
      <c r="C562" s="3268"/>
      <c r="D562" s="3269"/>
      <c r="E562" s="3269"/>
      <c r="F562" s="3269"/>
      <c r="G562" s="3270"/>
      <c r="H562" s="3268"/>
      <c r="I562" s="3305">
        <v>8.8950000000000014</v>
      </c>
      <c r="J562" s="3305">
        <v>9.2740000000000027</v>
      </c>
      <c r="K562" s="3305">
        <v>9.2740000000000027</v>
      </c>
      <c r="L562" s="3306">
        <v>9.2740000000000027</v>
      </c>
      <c r="M562" s="3309">
        <v>9.2740000000000027</v>
      </c>
      <c r="N562" s="3310">
        <v>9.2740000000000027</v>
      </c>
      <c r="O562" s="3310">
        <v>9.2740000000000027</v>
      </c>
      <c r="P562" s="3310">
        <v>9.2740000000000027</v>
      </c>
      <c r="Q562" s="3311">
        <v>9.2740000000000027</v>
      </c>
    </row>
    <row r="563" spans="2:17" ht="12.75" customHeight="1">
      <c r="B563" s="4689">
        <v>3046</v>
      </c>
      <c r="C563" s="4691" t="s">
        <v>36</v>
      </c>
      <c r="D563" s="4692"/>
      <c r="E563" s="4692"/>
      <c r="F563" s="4692"/>
      <c r="G563" s="4692"/>
      <c r="H563" s="4693" t="s">
        <v>37</v>
      </c>
      <c r="I563" s="4694"/>
      <c r="J563" s="4694"/>
      <c r="K563" s="4694"/>
      <c r="L563" s="4694"/>
      <c r="M563" s="4695" t="s">
        <v>73</v>
      </c>
      <c r="N563" s="4695"/>
      <c r="O563" s="4695"/>
      <c r="P563" s="4695"/>
      <c r="Q563" s="4696"/>
    </row>
    <row r="564" spans="2:17" ht="12.75" customHeight="1">
      <c r="B564" s="4690"/>
      <c r="C564" s="4697" t="s">
        <v>1673</v>
      </c>
      <c r="D564" s="4698"/>
      <c r="E564" s="4698"/>
      <c r="F564" s="4698"/>
      <c r="G564" s="4698"/>
      <c r="H564" s="4698"/>
      <c r="I564" s="4698"/>
      <c r="J564" s="4698"/>
      <c r="K564" s="4698"/>
      <c r="L564" s="4698"/>
      <c r="M564" s="4698"/>
      <c r="N564" s="4698"/>
      <c r="O564" s="4698"/>
      <c r="P564" s="4698"/>
      <c r="Q564" s="4699"/>
    </row>
    <row r="565" spans="2:17" ht="12.75" customHeight="1">
      <c r="B565" s="4690"/>
      <c r="C565" s="4697" t="s">
        <v>54</v>
      </c>
      <c r="D565" s="4698"/>
      <c r="E565" s="4698"/>
      <c r="F565" s="4698"/>
      <c r="G565" s="4698"/>
      <c r="H565" s="4698"/>
      <c r="I565" s="4698"/>
      <c r="J565" s="4700"/>
      <c r="K565" s="4701" t="s">
        <v>55</v>
      </c>
      <c r="L565" s="4702"/>
      <c r="M565" s="4702"/>
      <c r="N565" s="4702"/>
      <c r="O565" s="4702"/>
      <c r="P565" s="4702"/>
      <c r="Q565" s="4703"/>
    </row>
    <row r="566" spans="2:17" ht="13.5" customHeight="1" thickBot="1">
      <c r="B566" s="4690"/>
      <c r="C566" s="3252">
        <f t="array" ref="C566:G566">PRCP</f>
        <v>2008</v>
      </c>
      <c r="D566" s="3253">
        <v>2009</v>
      </c>
      <c r="E566" s="3253">
        <v>2010</v>
      </c>
      <c r="F566" s="3253">
        <v>2011</v>
      </c>
      <c r="G566" s="3253">
        <v>2012</v>
      </c>
      <c r="H566" s="3254">
        <f>CRCP_y1</f>
        <v>2013</v>
      </c>
      <c r="I566" s="3254">
        <f>CRCP_y2</f>
        <v>2014</v>
      </c>
      <c r="J566" s="3254">
        <f>CRCP_y3</f>
        <v>2015</v>
      </c>
      <c r="K566" s="3254">
        <f>CRCP_y4</f>
        <v>2016</v>
      </c>
      <c r="L566" s="3254">
        <f>CRCP_y5</f>
        <v>2017</v>
      </c>
      <c r="M566" s="3253" t="str">
        <f t="array" ref="M566:Q566">FRCP</f>
        <v>2018</v>
      </c>
      <c r="N566" s="3253">
        <v>2019</v>
      </c>
      <c r="O566" s="3253">
        <v>2020</v>
      </c>
      <c r="P566" s="3253">
        <v>2021</v>
      </c>
      <c r="Q566" s="3255">
        <v>2022</v>
      </c>
    </row>
    <row r="567" spans="2:17">
      <c r="B567" s="3256" t="s">
        <v>1692</v>
      </c>
      <c r="C567" s="3257"/>
      <c r="D567" s="3258"/>
      <c r="E567" s="3258"/>
      <c r="F567" s="3258"/>
      <c r="G567" s="3259"/>
      <c r="H567" s="3257"/>
      <c r="I567" s="3258"/>
      <c r="J567" s="3258"/>
      <c r="K567" s="3258"/>
      <c r="L567" s="3258"/>
      <c r="M567" s="3257"/>
      <c r="N567" s="3258"/>
      <c r="O567" s="3258"/>
      <c r="P567" s="3258"/>
      <c r="Q567" s="3259"/>
    </row>
    <row r="568" spans="2:17">
      <c r="B568" s="3260"/>
      <c r="C568" s="3268"/>
      <c r="D568" s="3269"/>
      <c r="E568" s="3269"/>
      <c r="F568" s="3269"/>
      <c r="G568" s="3270"/>
      <c r="H568" s="3268"/>
      <c r="I568" s="3269"/>
      <c r="J568" s="3269"/>
      <c r="K568" s="3269"/>
      <c r="L568" s="3271"/>
      <c r="M568" s="3268"/>
      <c r="N568" s="3269"/>
      <c r="O568" s="3269"/>
      <c r="P568" s="3269"/>
      <c r="Q568" s="3270"/>
    </row>
    <row r="569" spans="2:17">
      <c r="B569" s="3260" t="s">
        <v>64</v>
      </c>
      <c r="C569" s="3268"/>
      <c r="D569" s="3269"/>
      <c r="E569" s="3269"/>
      <c r="F569" s="3269"/>
      <c r="G569" s="3270"/>
      <c r="H569" s="3268"/>
      <c r="I569" s="3305">
        <v>7.9000000000000001E-2</v>
      </c>
      <c r="J569" s="3305">
        <v>7.9000000000000001E-2</v>
      </c>
      <c r="K569" s="3305">
        <v>7.9000000000000001E-2</v>
      </c>
      <c r="L569" s="3306">
        <v>7.9000000000000001E-2</v>
      </c>
      <c r="M569" s="3307">
        <v>7.9000000000000001E-2</v>
      </c>
      <c r="N569" s="3305">
        <v>7.9000000000000001E-2</v>
      </c>
      <c r="O569" s="3305">
        <v>7.9000000000000001E-2</v>
      </c>
      <c r="P569" s="3305">
        <v>7.9000000000000001E-2</v>
      </c>
      <c r="Q569" s="3308">
        <v>7.9000000000000001E-2</v>
      </c>
    </row>
    <row r="570" spans="2:17">
      <c r="B570" s="3260" t="s">
        <v>65</v>
      </c>
      <c r="C570" s="3268"/>
      <c r="D570" s="3269"/>
      <c r="E570" s="3269"/>
      <c r="F570" s="3269"/>
      <c r="G570" s="3270"/>
      <c r="H570" s="3268"/>
      <c r="I570" s="3305">
        <v>0</v>
      </c>
      <c r="J570" s="3305">
        <v>0</v>
      </c>
      <c r="K570" s="3305">
        <v>0</v>
      </c>
      <c r="L570" s="3306">
        <v>0</v>
      </c>
      <c r="M570" s="3307">
        <v>0</v>
      </c>
      <c r="N570" s="3305">
        <v>0</v>
      </c>
      <c r="O570" s="3305">
        <v>0</v>
      </c>
      <c r="P570" s="3305">
        <v>0</v>
      </c>
      <c r="Q570" s="3308">
        <v>0</v>
      </c>
    </row>
    <row r="571" spans="2:17">
      <c r="B571" s="3260" t="s">
        <v>82</v>
      </c>
      <c r="C571" s="3268"/>
      <c r="D571" s="3269"/>
      <c r="E571" s="3269"/>
      <c r="F571" s="3269"/>
      <c r="G571" s="3270"/>
      <c r="H571" s="3268"/>
      <c r="I571" s="3305">
        <v>0</v>
      </c>
      <c r="J571" s="3305">
        <v>0</v>
      </c>
      <c r="K571" s="3305">
        <v>0</v>
      </c>
      <c r="L571" s="3306">
        <v>0</v>
      </c>
      <c r="M571" s="3307">
        <v>0</v>
      </c>
      <c r="N571" s="3305">
        <v>0</v>
      </c>
      <c r="O571" s="3305">
        <v>0</v>
      </c>
      <c r="P571" s="3305">
        <v>0</v>
      </c>
      <c r="Q571" s="3308">
        <v>0</v>
      </c>
    </row>
    <row r="572" spans="2:17">
      <c r="B572" s="3260" t="s">
        <v>680</v>
      </c>
      <c r="C572" s="3268"/>
      <c r="D572" s="3269"/>
      <c r="E572" s="3269"/>
      <c r="F572" s="3269"/>
      <c r="G572" s="3270"/>
      <c r="H572" s="3268"/>
      <c r="I572" s="3305">
        <v>0</v>
      </c>
      <c r="J572" s="3305">
        <v>0</v>
      </c>
      <c r="K572" s="3305">
        <v>0</v>
      </c>
      <c r="L572" s="3306">
        <v>0</v>
      </c>
      <c r="M572" s="3307">
        <v>0</v>
      </c>
      <c r="N572" s="3305">
        <v>0</v>
      </c>
      <c r="O572" s="3305">
        <v>0</v>
      </c>
      <c r="P572" s="3305">
        <v>0</v>
      </c>
      <c r="Q572" s="3308">
        <v>0</v>
      </c>
    </row>
    <row r="573" spans="2:17">
      <c r="B573" s="3260" t="s">
        <v>681</v>
      </c>
      <c r="C573" s="3268"/>
      <c r="D573" s="3269"/>
      <c r="E573" s="3269"/>
      <c r="F573" s="3269"/>
      <c r="G573" s="3270"/>
      <c r="H573" s="3268"/>
      <c r="I573" s="3305">
        <v>92.521999999999963</v>
      </c>
      <c r="J573" s="3305">
        <v>92.745999999999995</v>
      </c>
      <c r="K573" s="3305">
        <v>92.745999999999995</v>
      </c>
      <c r="L573" s="3306">
        <v>92.745999999999995</v>
      </c>
      <c r="M573" s="3307">
        <v>92.745999999999995</v>
      </c>
      <c r="N573" s="3305">
        <v>92.745999999999995</v>
      </c>
      <c r="O573" s="3305">
        <v>92.745999999999995</v>
      </c>
      <c r="P573" s="3305">
        <v>92.745999999999995</v>
      </c>
      <c r="Q573" s="3308">
        <v>92.745999999999995</v>
      </c>
    </row>
    <row r="574" spans="2:17">
      <c r="B574" s="3260" t="s">
        <v>682</v>
      </c>
      <c r="C574" s="3268"/>
      <c r="D574" s="3269"/>
      <c r="E574" s="3269"/>
      <c r="F574" s="3269"/>
      <c r="G574" s="3270"/>
      <c r="H574" s="3268"/>
      <c r="I574" s="3305">
        <v>1.766</v>
      </c>
      <c r="J574" s="3305">
        <v>1.7659999999999996</v>
      </c>
      <c r="K574" s="3305">
        <v>1.7659999999999996</v>
      </c>
      <c r="L574" s="3306">
        <v>1.7659999999999996</v>
      </c>
      <c r="M574" s="3307">
        <v>1.7659999999999996</v>
      </c>
      <c r="N574" s="3305">
        <v>1.7659999999999996</v>
      </c>
      <c r="O574" s="3305">
        <v>1.7659999999999996</v>
      </c>
      <c r="P574" s="3305">
        <v>1.7659999999999996</v>
      </c>
      <c r="Q574" s="3308">
        <v>1.7659999999999996</v>
      </c>
    </row>
    <row r="575" spans="2:17">
      <c r="B575" s="3260" t="s">
        <v>66</v>
      </c>
      <c r="C575" s="3268"/>
      <c r="D575" s="3269"/>
      <c r="E575" s="3269"/>
      <c r="F575" s="3269"/>
      <c r="G575" s="3270"/>
      <c r="H575" s="3268"/>
      <c r="I575" s="3305">
        <v>0</v>
      </c>
      <c r="J575" s="3305">
        <v>0</v>
      </c>
      <c r="K575" s="3305">
        <v>0</v>
      </c>
      <c r="L575" s="3306">
        <v>0</v>
      </c>
      <c r="M575" s="3307">
        <v>0</v>
      </c>
      <c r="N575" s="3305">
        <v>0</v>
      </c>
      <c r="O575" s="3305">
        <v>0</v>
      </c>
      <c r="P575" s="3305">
        <v>0</v>
      </c>
      <c r="Q575" s="3308">
        <v>0</v>
      </c>
    </row>
    <row r="576" spans="2:17" ht="13.5" thickBot="1">
      <c r="B576" s="3260" t="s">
        <v>67</v>
      </c>
      <c r="C576" s="3268"/>
      <c r="D576" s="3269"/>
      <c r="E576" s="3269"/>
      <c r="F576" s="3269"/>
      <c r="G576" s="3270"/>
      <c r="H576" s="3268"/>
      <c r="I576" s="3305">
        <v>44.81400000000005</v>
      </c>
      <c r="J576" s="3305">
        <v>44.82500000000006</v>
      </c>
      <c r="K576" s="3305">
        <v>44.82500000000006</v>
      </c>
      <c r="L576" s="3306">
        <v>44.82500000000006</v>
      </c>
      <c r="M576" s="3309">
        <v>44.82500000000006</v>
      </c>
      <c r="N576" s="3310">
        <v>44.82500000000006</v>
      </c>
      <c r="O576" s="3310">
        <v>44.82500000000006</v>
      </c>
      <c r="P576" s="3310">
        <v>44.82500000000006</v>
      </c>
      <c r="Q576" s="3311">
        <v>44.82500000000006</v>
      </c>
    </row>
    <row r="577" spans="2:17" ht="12.75" customHeight="1">
      <c r="B577" s="4689">
        <v>3047</v>
      </c>
      <c r="C577" s="4691" t="s">
        <v>36</v>
      </c>
      <c r="D577" s="4692"/>
      <c r="E577" s="4692"/>
      <c r="F577" s="4692"/>
      <c r="G577" s="4692"/>
      <c r="H577" s="4693" t="s">
        <v>37</v>
      </c>
      <c r="I577" s="4694"/>
      <c r="J577" s="4694"/>
      <c r="K577" s="4694"/>
      <c r="L577" s="4694"/>
      <c r="M577" s="4695" t="s">
        <v>73</v>
      </c>
      <c r="N577" s="4695"/>
      <c r="O577" s="4695"/>
      <c r="P577" s="4695"/>
      <c r="Q577" s="4696"/>
    </row>
    <row r="578" spans="2:17" ht="12.75" customHeight="1">
      <c r="B578" s="4690"/>
      <c r="C578" s="4697" t="s">
        <v>1673</v>
      </c>
      <c r="D578" s="4698"/>
      <c r="E578" s="4698"/>
      <c r="F578" s="4698"/>
      <c r="G578" s="4698"/>
      <c r="H578" s="4698"/>
      <c r="I578" s="4698"/>
      <c r="J578" s="4698"/>
      <c r="K578" s="4698"/>
      <c r="L578" s="4698"/>
      <c r="M578" s="4698"/>
      <c r="N578" s="4698"/>
      <c r="O578" s="4698"/>
      <c r="P578" s="4698"/>
      <c r="Q578" s="4699"/>
    </row>
    <row r="579" spans="2:17" ht="12.75" customHeight="1">
      <c r="B579" s="4690"/>
      <c r="C579" s="4697" t="s">
        <v>54</v>
      </c>
      <c r="D579" s="4698"/>
      <c r="E579" s="4698"/>
      <c r="F579" s="4698"/>
      <c r="G579" s="4698"/>
      <c r="H579" s="4698"/>
      <c r="I579" s="4698"/>
      <c r="J579" s="4700"/>
      <c r="K579" s="4701" t="s">
        <v>55</v>
      </c>
      <c r="L579" s="4702"/>
      <c r="M579" s="4702"/>
      <c r="N579" s="4702"/>
      <c r="O579" s="4702"/>
      <c r="P579" s="4702"/>
      <c r="Q579" s="4703"/>
    </row>
    <row r="580" spans="2:17" ht="13.5" customHeight="1" thickBot="1">
      <c r="B580" s="4690"/>
      <c r="C580" s="3252">
        <f t="array" ref="C580:G580">PRCP</f>
        <v>2008</v>
      </c>
      <c r="D580" s="3253">
        <v>2009</v>
      </c>
      <c r="E580" s="3253">
        <v>2010</v>
      </c>
      <c r="F580" s="3253">
        <v>2011</v>
      </c>
      <c r="G580" s="3253">
        <v>2012</v>
      </c>
      <c r="H580" s="3254">
        <f>CRCP_y1</f>
        <v>2013</v>
      </c>
      <c r="I580" s="3254">
        <f>CRCP_y2</f>
        <v>2014</v>
      </c>
      <c r="J580" s="3254">
        <f>CRCP_y3</f>
        <v>2015</v>
      </c>
      <c r="K580" s="3254">
        <f>CRCP_y4</f>
        <v>2016</v>
      </c>
      <c r="L580" s="3254">
        <f>CRCP_y5</f>
        <v>2017</v>
      </c>
      <c r="M580" s="3253" t="str">
        <f t="array" ref="M580:Q580">FRCP</f>
        <v>2018</v>
      </c>
      <c r="N580" s="3253">
        <v>2019</v>
      </c>
      <c r="O580" s="3253">
        <v>2020</v>
      </c>
      <c r="P580" s="3253">
        <v>2021</v>
      </c>
      <c r="Q580" s="3255">
        <v>2022</v>
      </c>
    </row>
    <row r="581" spans="2:17">
      <c r="B581" s="3256" t="s">
        <v>1693</v>
      </c>
      <c r="C581" s="3257"/>
      <c r="D581" s="3258"/>
      <c r="E581" s="3258"/>
      <c r="F581" s="3258"/>
      <c r="G581" s="3259"/>
      <c r="H581" s="3257"/>
      <c r="I581" s="3258"/>
      <c r="J581" s="3258"/>
      <c r="K581" s="3258"/>
      <c r="L581" s="3258"/>
      <c r="M581" s="3257"/>
      <c r="N581" s="3258"/>
      <c r="O581" s="3258"/>
      <c r="P581" s="3258"/>
      <c r="Q581" s="3259"/>
    </row>
    <row r="582" spans="2:17">
      <c r="B582" s="3260"/>
      <c r="C582" s="3268"/>
      <c r="D582" s="3269"/>
      <c r="E582" s="3269"/>
      <c r="F582" s="3269"/>
      <c r="G582" s="3270"/>
      <c r="H582" s="3268"/>
      <c r="I582" s="3269"/>
      <c r="J582" s="3269"/>
      <c r="K582" s="3269"/>
      <c r="L582" s="3271"/>
      <c r="M582" s="3268"/>
      <c r="N582" s="3269"/>
      <c r="O582" s="3269"/>
      <c r="P582" s="3269"/>
      <c r="Q582" s="3270"/>
    </row>
    <row r="583" spans="2:17">
      <c r="B583" s="3260" t="s">
        <v>64</v>
      </c>
      <c r="C583" s="3268"/>
      <c r="D583" s="3269"/>
      <c r="E583" s="3269"/>
      <c r="F583" s="3269"/>
      <c r="G583" s="3270"/>
      <c r="H583" s="3268"/>
      <c r="I583" s="3305">
        <v>0</v>
      </c>
      <c r="J583" s="3305">
        <v>0</v>
      </c>
      <c r="K583" s="3305">
        <v>0</v>
      </c>
      <c r="L583" s="3306">
        <v>0</v>
      </c>
      <c r="M583" s="3307">
        <v>0</v>
      </c>
      <c r="N583" s="3305">
        <v>0</v>
      </c>
      <c r="O583" s="3305">
        <v>0</v>
      </c>
      <c r="P583" s="3305">
        <v>0</v>
      </c>
      <c r="Q583" s="3308">
        <v>0</v>
      </c>
    </row>
    <row r="584" spans="2:17">
      <c r="B584" s="3260" t="s">
        <v>65</v>
      </c>
      <c r="C584" s="3268"/>
      <c r="D584" s="3269"/>
      <c r="E584" s="3269"/>
      <c r="F584" s="3269"/>
      <c r="G584" s="3270"/>
      <c r="H584" s="3268"/>
      <c r="I584" s="3305">
        <v>0</v>
      </c>
      <c r="J584" s="3305">
        <v>0</v>
      </c>
      <c r="K584" s="3305">
        <v>0</v>
      </c>
      <c r="L584" s="3306">
        <v>0</v>
      </c>
      <c r="M584" s="3307">
        <v>0</v>
      </c>
      <c r="N584" s="3305">
        <v>0</v>
      </c>
      <c r="O584" s="3305">
        <v>0</v>
      </c>
      <c r="P584" s="3305">
        <v>0</v>
      </c>
      <c r="Q584" s="3308">
        <v>0</v>
      </c>
    </row>
    <row r="585" spans="2:17">
      <c r="B585" s="3260" t="s">
        <v>82</v>
      </c>
      <c r="C585" s="3268"/>
      <c r="D585" s="3269"/>
      <c r="E585" s="3269"/>
      <c r="F585" s="3269"/>
      <c r="G585" s="3270"/>
      <c r="H585" s="3268"/>
      <c r="I585" s="3305">
        <v>0</v>
      </c>
      <c r="J585" s="3305">
        <v>0</v>
      </c>
      <c r="K585" s="3305">
        <v>0</v>
      </c>
      <c r="L585" s="3306">
        <v>0</v>
      </c>
      <c r="M585" s="3307">
        <v>0</v>
      </c>
      <c r="N585" s="3305">
        <v>0</v>
      </c>
      <c r="O585" s="3305">
        <v>0</v>
      </c>
      <c r="P585" s="3305">
        <v>0</v>
      </c>
      <c r="Q585" s="3308">
        <v>0</v>
      </c>
    </row>
    <row r="586" spans="2:17">
      <c r="B586" s="3260" t="s">
        <v>680</v>
      </c>
      <c r="C586" s="3268"/>
      <c r="D586" s="3269"/>
      <c r="E586" s="3269"/>
      <c r="F586" s="3269"/>
      <c r="G586" s="3270"/>
      <c r="H586" s="3268"/>
      <c r="I586" s="3305">
        <v>0</v>
      </c>
      <c r="J586" s="3305">
        <v>0</v>
      </c>
      <c r="K586" s="3305">
        <v>0</v>
      </c>
      <c r="L586" s="3306">
        <v>0</v>
      </c>
      <c r="M586" s="3307">
        <v>0</v>
      </c>
      <c r="N586" s="3305">
        <v>0</v>
      </c>
      <c r="O586" s="3305">
        <v>0</v>
      </c>
      <c r="P586" s="3305">
        <v>0</v>
      </c>
      <c r="Q586" s="3308">
        <v>0</v>
      </c>
    </row>
    <row r="587" spans="2:17">
      <c r="B587" s="3260" t="s">
        <v>681</v>
      </c>
      <c r="C587" s="3268"/>
      <c r="D587" s="3269"/>
      <c r="E587" s="3269"/>
      <c r="F587" s="3269"/>
      <c r="G587" s="3270"/>
      <c r="H587" s="3268"/>
      <c r="I587" s="3305">
        <v>33.098999999999982</v>
      </c>
      <c r="J587" s="3305">
        <v>33.142999999999986</v>
      </c>
      <c r="K587" s="3305">
        <v>33.186999999999998</v>
      </c>
      <c r="L587" s="3306">
        <v>33.231000000000002</v>
      </c>
      <c r="M587" s="3307">
        <v>33.274999999999999</v>
      </c>
      <c r="N587" s="3305">
        <v>33.319000000000003</v>
      </c>
      <c r="O587" s="3305">
        <v>33.363</v>
      </c>
      <c r="P587" s="3305">
        <v>33.406999999999996</v>
      </c>
      <c r="Q587" s="3308">
        <v>33.451000000000001</v>
      </c>
    </row>
    <row r="588" spans="2:17">
      <c r="B588" s="3260" t="s">
        <v>682</v>
      </c>
      <c r="C588" s="3268"/>
      <c r="D588" s="3269"/>
      <c r="E588" s="3269"/>
      <c r="F588" s="3269"/>
      <c r="G588" s="3270"/>
      <c r="H588" s="3268"/>
      <c r="I588" s="3305">
        <v>1.5880000000000001</v>
      </c>
      <c r="J588" s="3305">
        <v>1.5879999999999999</v>
      </c>
      <c r="K588" s="3305">
        <v>1.5880000000000001</v>
      </c>
      <c r="L588" s="3306">
        <v>1.5880000000000001</v>
      </c>
      <c r="M588" s="3307">
        <v>1.5880000000000001</v>
      </c>
      <c r="N588" s="3305">
        <v>1.5880000000000001</v>
      </c>
      <c r="O588" s="3305">
        <v>1.5880000000000001</v>
      </c>
      <c r="P588" s="3305">
        <v>1.5880000000000001</v>
      </c>
      <c r="Q588" s="3308">
        <v>1.5880000000000001</v>
      </c>
    </row>
    <row r="589" spans="2:17">
      <c r="B589" s="3260" t="s">
        <v>66</v>
      </c>
      <c r="C589" s="3268"/>
      <c r="D589" s="3269"/>
      <c r="E589" s="3269"/>
      <c r="F589" s="3269"/>
      <c r="G589" s="3270"/>
      <c r="H589" s="3268"/>
      <c r="I589" s="3305">
        <v>0</v>
      </c>
      <c r="J589" s="3305">
        <v>0</v>
      </c>
      <c r="K589" s="3305">
        <v>0</v>
      </c>
      <c r="L589" s="3306">
        <v>0</v>
      </c>
      <c r="M589" s="3307">
        <v>0</v>
      </c>
      <c r="N589" s="3305">
        <v>0</v>
      </c>
      <c r="O589" s="3305">
        <v>0</v>
      </c>
      <c r="P589" s="3305">
        <v>0</v>
      </c>
      <c r="Q589" s="3308">
        <v>0</v>
      </c>
    </row>
    <row r="590" spans="2:17" ht="13.5" thickBot="1">
      <c r="B590" s="3260" t="s">
        <v>67</v>
      </c>
      <c r="C590" s="3268"/>
      <c r="D590" s="3269"/>
      <c r="E590" s="3269"/>
      <c r="F590" s="3269"/>
      <c r="G590" s="3270"/>
      <c r="H590" s="3268"/>
      <c r="I590" s="3305">
        <v>64.817999999999998</v>
      </c>
      <c r="J590" s="3305">
        <v>64.984999999999999</v>
      </c>
      <c r="K590" s="3305">
        <v>65.152000000000001</v>
      </c>
      <c r="L590" s="3306">
        <v>65.319000000000003</v>
      </c>
      <c r="M590" s="3309">
        <v>65.486000000000004</v>
      </c>
      <c r="N590" s="3310">
        <v>65.653000000000006</v>
      </c>
      <c r="O590" s="3310">
        <v>65.819999999999993</v>
      </c>
      <c r="P590" s="3310">
        <v>65.986999999999995</v>
      </c>
      <c r="Q590" s="3311">
        <v>66.153999999999996</v>
      </c>
    </row>
    <row r="591" spans="2:17" ht="12.75" customHeight="1">
      <c r="B591" s="4689">
        <v>3048</v>
      </c>
      <c r="C591" s="4691" t="s">
        <v>36</v>
      </c>
      <c r="D591" s="4692"/>
      <c r="E591" s="4692"/>
      <c r="F591" s="4692"/>
      <c r="G591" s="4692"/>
      <c r="H591" s="4693" t="s">
        <v>37</v>
      </c>
      <c r="I591" s="4694"/>
      <c r="J591" s="4694"/>
      <c r="K591" s="4694"/>
      <c r="L591" s="4694"/>
      <c r="M591" s="4695" t="s">
        <v>73</v>
      </c>
      <c r="N591" s="4695"/>
      <c r="O591" s="4695"/>
      <c r="P591" s="4695"/>
      <c r="Q591" s="4696"/>
    </row>
    <row r="592" spans="2:17" ht="12.75" customHeight="1">
      <c r="B592" s="4690"/>
      <c r="C592" s="4697" t="s">
        <v>1673</v>
      </c>
      <c r="D592" s="4698"/>
      <c r="E592" s="4698"/>
      <c r="F592" s="4698"/>
      <c r="G592" s="4698"/>
      <c r="H592" s="4698"/>
      <c r="I592" s="4698"/>
      <c r="J592" s="4698"/>
      <c r="K592" s="4698"/>
      <c r="L592" s="4698"/>
      <c r="M592" s="4698"/>
      <c r="N592" s="4698"/>
      <c r="O592" s="4698"/>
      <c r="P592" s="4698"/>
      <c r="Q592" s="4699"/>
    </row>
    <row r="593" spans="2:17" ht="12.75" customHeight="1">
      <c r="B593" s="4690"/>
      <c r="C593" s="4697" t="s">
        <v>54</v>
      </c>
      <c r="D593" s="4698"/>
      <c r="E593" s="4698"/>
      <c r="F593" s="4698"/>
      <c r="G593" s="4698"/>
      <c r="H593" s="4698"/>
      <c r="I593" s="4698"/>
      <c r="J593" s="4700"/>
      <c r="K593" s="4701" t="s">
        <v>55</v>
      </c>
      <c r="L593" s="4702"/>
      <c r="M593" s="4702"/>
      <c r="N593" s="4702"/>
      <c r="O593" s="4702"/>
      <c r="P593" s="4702"/>
      <c r="Q593" s="4703"/>
    </row>
    <row r="594" spans="2:17" ht="13.5" customHeight="1" thickBot="1">
      <c r="B594" s="4690"/>
      <c r="C594" s="3252">
        <f t="array" ref="C594:G594">PRCP</f>
        <v>2008</v>
      </c>
      <c r="D594" s="3253">
        <v>2009</v>
      </c>
      <c r="E594" s="3253">
        <v>2010</v>
      </c>
      <c r="F594" s="3253">
        <v>2011</v>
      </c>
      <c r="G594" s="3253">
        <v>2012</v>
      </c>
      <c r="H594" s="3254">
        <f>CRCP_y1</f>
        <v>2013</v>
      </c>
      <c r="I594" s="3254">
        <f>CRCP_y2</f>
        <v>2014</v>
      </c>
      <c r="J594" s="3254">
        <f>CRCP_y3</f>
        <v>2015</v>
      </c>
      <c r="K594" s="3254">
        <f>CRCP_y4</f>
        <v>2016</v>
      </c>
      <c r="L594" s="3254">
        <f>CRCP_y5</f>
        <v>2017</v>
      </c>
      <c r="M594" s="3253" t="str">
        <f t="array" ref="M594:Q594">FRCP</f>
        <v>2018</v>
      </c>
      <c r="N594" s="3253">
        <v>2019</v>
      </c>
      <c r="O594" s="3253">
        <v>2020</v>
      </c>
      <c r="P594" s="3253">
        <v>2021</v>
      </c>
      <c r="Q594" s="3255">
        <v>2022</v>
      </c>
    </row>
    <row r="595" spans="2:17">
      <c r="B595" s="3256" t="s">
        <v>1693</v>
      </c>
      <c r="C595" s="3257"/>
      <c r="D595" s="3258"/>
      <c r="E595" s="3258"/>
      <c r="F595" s="3258"/>
      <c r="G595" s="3259"/>
      <c r="H595" s="3257"/>
      <c r="I595" s="3258"/>
      <c r="J595" s="3258"/>
      <c r="K595" s="3258"/>
      <c r="L595" s="3258"/>
      <c r="M595" s="3257"/>
      <c r="N595" s="3258"/>
      <c r="O595" s="3258"/>
      <c r="P595" s="3258"/>
      <c r="Q595" s="3259"/>
    </row>
    <row r="596" spans="2:17">
      <c r="B596" s="3260"/>
      <c r="C596" s="3268"/>
      <c r="D596" s="3269"/>
      <c r="E596" s="3269"/>
      <c r="F596" s="3269"/>
      <c r="G596" s="3270"/>
      <c r="H596" s="3268"/>
      <c r="I596" s="3269"/>
      <c r="J596" s="3269"/>
      <c r="K596" s="3269"/>
      <c r="L596" s="3271"/>
      <c r="M596" s="3268"/>
      <c r="N596" s="3269"/>
      <c r="O596" s="3269"/>
      <c r="P596" s="3269"/>
      <c r="Q596" s="3270"/>
    </row>
    <row r="597" spans="2:17">
      <c r="B597" s="3260" t="s">
        <v>64</v>
      </c>
      <c r="C597" s="3268"/>
      <c r="D597" s="3269"/>
      <c r="E597" s="3269"/>
      <c r="F597" s="3269"/>
      <c r="G597" s="3270"/>
      <c r="H597" s="3268"/>
      <c r="I597" s="3305">
        <v>0</v>
      </c>
      <c r="J597" s="3305">
        <v>0</v>
      </c>
      <c r="K597" s="3305">
        <v>0</v>
      </c>
      <c r="L597" s="3306">
        <v>0</v>
      </c>
      <c r="M597" s="3307">
        <v>0</v>
      </c>
      <c r="N597" s="3305">
        <v>0</v>
      </c>
      <c r="O597" s="3305">
        <v>0</v>
      </c>
      <c r="P597" s="3305">
        <v>0</v>
      </c>
      <c r="Q597" s="3308">
        <v>0</v>
      </c>
    </row>
    <row r="598" spans="2:17">
      <c r="B598" s="3260" t="s">
        <v>65</v>
      </c>
      <c r="C598" s="3268"/>
      <c r="D598" s="3269"/>
      <c r="E598" s="3269"/>
      <c r="F598" s="3269"/>
      <c r="G598" s="3270"/>
      <c r="H598" s="3268"/>
      <c r="I598" s="3305">
        <v>0</v>
      </c>
      <c r="J598" s="3305">
        <v>0</v>
      </c>
      <c r="K598" s="3305">
        <v>0</v>
      </c>
      <c r="L598" s="3306">
        <v>0</v>
      </c>
      <c r="M598" s="3307">
        <v>0</v>
      </c>
      <c r="N598" s="3305">
        <v>0</v>
      </c>
      <c r="O598" s="3305">
        <v>0</v>
      </c>
      <c r="P598" s="3305">
        <v>0</v>
      </c>
      <c r="Q598" s="3308">
        <v>0</v>
      </c>
    </row>
    <row r="599" spans="2:17">
      <c r="B599" s="3260" t="s">
        <v>82</v>
      </c>
      <c r="C599" s="3268"/>
      <c r="D599" s="3269"/>
      <c r="E599" s="3269"/>
      <c r="F599" s="3269"/>
      <c r="G599" s="3270"/>
      <c r="H599" s="3268"/>
      <c r="I599" s="3305">
        <v>0</v>
      </c>
      <c r="J599" s="3305">
        <v>0</v>
      </c>
      <c r="K599" s="3305">
        <v>0</v>
      </c>
      <c r="L599" s="3306">
        <v>0</v>
      </c>
      <c r="M599" s="3307">
        <v>0</v>
      </c>
      <c r="N599" s="3305">
        <v>0</v>
      </c>
      <c r="O599" s="3305">
        <v>0</v>
      </c>
      <c r="P599" s="3305">
        <v>0</v>
      </c>
      <c r="Q599" s="3308">
        <v>0</v>
      </c>
    </row>
    <row r="600" spans="2:17">
      <c r="B600" s="3260" t="s">
        <v>680</v>
      </c>
      <c r="C600" s="3268"/>
      <c r="D600" s="3269"/>
      <c r="E600" s="3269"/>
      <c r="F600" s="3269"/>
      <c r="G600" s="3270"/>
      <c r="H600" s="3268"/>
      <c r="I600" s="3305">
        <v>0</v>
      </c>
      <c r="J600" s="3305">
        <v>0</v>
      </c>
      <c r="K600" s="3305">
        <v>0</v>
      </c>
      <c r="L600" s="3306">
        <v>0</v>
      </c>
      <c r="M600" s="3307">
        <v>0</v>
      </c>
      <c r="N600" s="3305">
        <v>0</v>
      </c>
      <c r="O600" s="3305">
        <v>0</v>
      </c>
      <c r="P600" s="3305">
        <v>0</v>
      </c>
      <c r="Q600" s="3308">
        <v>0</v>
      </c>
    </row>
    <row r="601" spans="2:17">
      <c r="B601" s="3260" t="s">
        <v>681</v>
      </c>
      <c r="C601" s="3268"/>
      <c r="D601" s="3269"/>
      <c r="E601" s="3269"/>
      <c r="F601" s="3269"/>
      <c r="G601" s="3270"/>
      <c r="H601" s="3268"/>
      <c r="I601" s="3305">
        <v>45.744999999999983</v>
      </c>
      <c r="J601" s="3305">
        <v>45.744999999999976</v>
      </c>
      <c r="K601" s="3305">
        <v>45.744999999999997</v>
      </c>
      <c r="L601" s="3306">
        <v>45.744999999999997</v>
      </c>
      <c r="M601" s="3307">
        <v>45.744999999999997</v>
      </c>
      <c r="N601" s="3305">
        <v>45.744999999999898</v>
      </c>
      <c r="O601" s="3305">
        <v>45.744999999999898</v>
      </c>
      <c r="P601" s="3305">
        <v>45.744999999999898</v>
      </c>
      <c r="Q601" s="3308">
        <v>45.744999999999898</v>
      </c>
    </row>
    <row r="602" spans="2:17">
      <c r="B602" s="3260" t="s">
        <v>682</v>
      </c>
      <c r="C602" s="3268"/>
      <c r="D602" s="3269"/>
      <c r="E602" s="3269"/>
      <c r="F602" s="3269"/>
      <c r="G602" s="3270"/>
      <c r="H602" s="3268"/>
      <c r="I602" s="3305">
        <v>0</v>
      </c>
      <c r="J602" s="3305">
        <v>0</v>
      </c>
      <c r="K602" s="3305">
        <v>0</v>
      </c>
      <c r="L602" s="3306">
        <v>0</v>
      </c>
      <c r="M602" s="3307">
        <v>0</v>
      </c>
      <c r="N602" s="3305">
        <v>0</v>
      </c>
      <c r="O602" s="3305">
        <v>0</v>
      </c>
      <c r="P602" s="3305">
        <v>0</v>
      </c>
      <c r="Q602" s="3308">
        <v>0</v>
      </c>
    </row>
    <row r="603" spans="2:17">
      <c r="B603" s="3260" t="s">
        <v>66</v>
      </c>
      <c r="C603" s="3268"/>
      <c r="D603" s="3269"/>
      <c r="E603" s="3269"/>
      <c r="F603" s="3269"/>
      <c r="G603" s="3270"/>
      <c r="H603" s="3268"/>
      <c r="I603" s="3305">
        <v>0</v>
      </c>
      <c r="J603" s="3305">
        <v>0</v>
      </c>
      <c r="K603" s="3305">
        <v>0</v>
      </c>
      <c r="L603" s="3306">
        <v>0</v>
      </c>
      <c r="M603" s="3307">
        <v>0</v>
      </c>
      <c r="N603" s="3305">
        <v>0</v>
      </c>
      <c r="O603" s="3305">
        <v>0</v>
      </c>
      <c r="P603" s="3305">
        <v>0</v>
      </c>
      <c r="Q603" s="3308">
        <v>0</v>
      </c>
    </row>
    <row r="604" spans="2:17" ht="13.5" thickBot="1">
      <c r="B604" s="3260" t="s">
        <v>67</v>
      </c>
      <c r="C604" s="3268"/>
      <c r="D604" s="3269"/>
      <c r="E604" s="3269"/>
      <c r="F604" s="3269"/>
      <c r="G604" s="3270"/>
      <c r="H604" s="3268"/>
      <c r="I604" s="3305">
        <v>24.176000000000009</v>
      </c>
      <c r="J604" s="3305">
        <v>24.175000000000004</v>
      </c>
      <c r="K604" s="3305">
        <v>24.173999999999999</v>
      </c>
      <c r="L604" s="3306">
        <v>24.172999999999998</v>
      </c>
      <c r="M604" s="3309">
        <v>24.172000000000001</v>
      </c>
      <c r="N604" s="3310">
        <v>24.170999999999999</v>
      </c>
      <c r="O604" s="3310">
        <v>24.17</v>
      </c>
      <c r="P604" s="3310">
        <v>24.169</v>
      </c>
      <c r="Q604" s="3311">
        <v>24.167999999999999</v>
      </c>
    </row>
    <row r="605" spans="2:17" ht="12.75" customHeight="1">
      <c r="B605" s="4689">
        <v>3049</v>
      </c>
      <c r="C605" s="4691" t="s">
        <v>36</v>
      </c>
      <c r="D605" s="4692"/>
      <c r="E605" s="4692"/>
      <c r="F605" s="4692"/>
      <c r="G605" s="4692"/>
      <c r="H605" s="4693" t="s">
        <v>37</v>
      </c>
      <c r="I605" s="4694"/>
      <c r="J605" s="4694"/>
      <c r="K605" s="4694"/>
      <c r="L605" s="4694"/>
      <c r="M605" s="4695" t="s">
        <v>73</v>
      </c>
      <c r="N605" s="4695"/>
      <c r="O605" s="4695"/>
      <c r="P605" s="4695"/>
      <c r="Q605" s="4696"/>
    </row>
    <row r="606" spans="2:17" ht="12.75" customHeight="1">
      <c r="B606" s="4690"/>
      <c r="C606" s="4697" t="s">
        <v>1673</v>
      </c>
      <c r="D606" s="4698"/>
      <c r="E606" s="4698"/>
      <c r="F606" s="4698"/>
      <c r="G606" s="4698"/>
      <c r="H606" s="4698"/>
      <c r="I606" s="4698"/>
      <c r="J606" s="4698"/>
      <c r="K606" s="4698"/>
      <c r="L606" s="4698"/>
      <c r="M606" s="4698"/>
      <c r="N606" s="4698"/>
      <c r="O606" s="4698"/>
      <c r="P606" s="4698"/>
      <c r="Q606" s="4699"/>
    </row>
    <row r="607" spans="2:17" ht="12.75" customHeight="1">
      <c r="B607" s="4690"/>
      <c r="C607" s="4697" t="s">
        <v>54</v>
      </c>
      <c r="D607" s="4698"/>
      <c r="E607" s="4698"/>
      <c r="F607" s="4698"/>
      <c r="G607" s="4698"/>
      <c r="H607" s="4698"/>
      <c r="I607" s="4698"/>
      <c r="J607" s="4700"/>
      <c r="K607" s="4701" t="s">
        <v>55</v>
      </c>
      <c r="L607" s="4702"/>
      <c r="M607" s="4702"/>
      <c r="N607" s="4702"/>
      <c r="O607" s="4702"/>
      <c r="P607" s="4702"/>
      <c r="Q607" s="4703"/>
    </row>
    <row r="608" spans="2:17" ht="13.5" customHeight="1" thickBot="1">
      <c r="B608" s="4690"/>
      <c r="C608" s="3252">
        <f t="array" ref="C608:G608">PRCP</f>
        <v>2008</v>
      </c>
      <c r="D608" s="3253">
        <v>2009</v>
      </c>
      <c r="E608" s="3253">
        <v>2010</v>
      </c>
      <c r="F608" s="3253">
        <v>2011</v>
      </c>
      <c r="G608" s="3253">
        <v>2012</v>
      </c>
      <c r="H608" s="3254">
        <f>CRCP_y1</f>
        <v>2013</v>
      </c>
      <c r="I608" s="3254">
        <f>CRCP_y2</f>
        <v>2014</v>
      </c>
      <c r="J608" s="3254">
        <f>CRCP_y3</f>
        <v>2015</v>
      </c>
      <c r="K608" s="3254">
        <f>CRCP_y4</f>
        <v>2016</v>
      </c>
      <c r="L608" s="3254">
        <f>CRCP_y5</f>
        <v>2017</v>
      </c>
      <c r="M608" s="3253" t="str">
        <f t="array" ref="M608:Q608">FRCP</f>
        <v>2018</v>
      </c>
      <c r="N608" s="3253">
        <v>2019</v>
      </c>
      <c r="O608" s="3253">
        <v>2020</v>
      </c>
      <c r="P608" s="3253">
        <v>2021</v>
      </c>
      <c r="Q608" s="3255">
        <v>2022</v>
      </c>
    </row>
    <row r="609" spans="2:17">
      <c r="B609" s="3256" t="s">
        <v>1694</v>
      </c>
      <c r="C609" s="3257"/>
      <c r="D609" s="3258"/>
      <c r="E609" s="3258"/>
      <c r="F609" s="3258"/>
      <c r="G609" s="3259"/>
      <c r="H609" s="3257"/>
      <c r="I609" s="3258"/>
      <c r="J609" s="3258"/>
      <c r="K609" s="3258"/>
      <c r="L609" s="3258"/>
      <c r="M609" s="3257"/>
      <c r="N609" s="3258"/>
      <c r="O609" s="3258"/>
      <c r="P609" s="3258"/>
      <c r="Q609" s="3259"/>
    </row>
    <row r="610" spans="2:17">
      <c r="B610" s="3260"/>
      <c r="C610" s="3268"/>
      <c r="D610" s="3269"/>
      <c r="E610" s="3269"/>
      <c r="F610" s="3269"/>
      <c r="G610" s="3270"/>
      <c r="H610" s="3268"/>
      <c r="I610" s="3269"/>
      <c r="J610" s="3269"/>
      <c r="K610" s="3269"/>
      <c r="L610" s="3271"/>
      <c r="M610" s="3268"/>
      <c r="N610" s="3269"/>
      <c r="O610" s="3269"/>
      <c r="P610" s="3269"/>
      <c r="Q610" s="3270"/>
    </row>
    <row r="611" spans="2:17">
      <c r="B611" s="3260" t="s">
        <v>64</v>
      </c>
      <c r="C611" s="3268"/>
      <c r="D611" s="3269"/>
      <c r="E611" s="3269"/>
      <c r="F611" s="3269"/>
      <c r="G611" s="3270"/>
      <c r="H611" s="3268"/>
      <c r="I611" s="3305">
        <v>0</v>
      </c>
      <c r="J611" s="3305">
        <v>0</v>
      </c>
      <c r="K611" s="3305">
        <v>0</v>
      </c>
      <c r="L611" s="3306">
        <v>0</v>
      </c>
      <c r="M611" s="3307">
        <v>0</v>
      </c>
      <c r="N611" s="3305">
        <v>0</v>
      </c>
      <c r="O611" s="3305">
        <v>0</v>
      </c>
      <c r="P611" s="3305">
        <v>0</v>
      </c>
      <c r="Q611" s="3308">
        <v>0</v>
      </c>
    </row>
    <row r="612" spans="2:17">
      <c r="B612" s="3260" t="s">
        <v>65</v>
      </c>
      <c r="C612" s="3268"/>
      <c r="D612" s="3269"/>
      <c r="E612" s="3269"/>
      <c r="F612" s="3269"/>
      <c r="G612" s="3270"/>
      <c r="H612" s="3268"/>
      <c r="I612" s="3305">
        <v>0</v>
      </c>
      <c r="J612" s="3305">
        <v>0</v>
      </c>
      <c r="K612" s="3305">
        <v>0</v>
      </c>
      <c r="L612" s="3306">
        <v>0</v>
      </c>
      <c r="M612" s="3307">
        <v>0</v>
      </c>
      <c r="N612" s="3305">
        <v>0</v>
      </c>
      <c r="O612" s="3305">
        <v>0</v>
      </c>
      <c r="P612" s="3305">
        <v>0</v>
      </c>
      <c r="Q612" s="3308">
        <v>0</v>
      </c>
    </row>
    <row r="613" spans="2:17">
      <c r="B613" s="3260" t="s">
        <v>82</v>
      </c>
      <c r="C613" s="3268"/>
      <c r="D613" s="3269"/>
      <c r="E613" s="3269"/>
      <c r="F613" s="3269"/>
      <c r="G613" s="3270"/>
      <c r="H613" s="3268"/>
      <c r="I613" s="3305">
        <v>0</v>
      </c>
      <c r="J613" s="3305">
        <v>0</v>
      </c>
      <c r="K613" s="3305">
        <v>0</v>
      </c>
      <c r="L613" s="3306">
        <v>0</v>
      </c>
      <c r="M613" s="3307">
        <v>0</v>
      </c>
      <c r="N613" s="3305">
        <v>0</v>
      </c>
      <c r="O613" s="3305">
        <v>0</v>
      </c>
      <c r="P613" s="3305">
        <v>0</v>
      </c>
      <c r="Q613" s="3308">
        <v>0</v>
      </c>
    </row>
    <row r="614" spans="2:17">
      <c r="B614" s="3260" t="s">
        <v>680</v>
      </c>
      <c r="C614" s="3268"/>
      <c r="D614" s="3269"/>
      <c r="E614" s="3269"/>
      <c r="F614" s="3269"/>
      <c r="G614" s="3270"/>
      <c r="H614" s="3268"/>
      <c r="I614" s="3305">
        <v>0</v>
      </c>
      <c r="J614" s="3305">
        <v>0</v>
      </c>
      <c r="K614" s="3305">
        <v>0</v>
      </c>
      <c r="L614" s="3306">
        <v>0</v>
      </c>
      <c r="M614" s="3307">
        <v>0</v>
      </c>
      <c r="N614" s="3305">
        <v>0</v>
      </c>
      <c r="O614" s="3305">
        <v>0</v>
      </c>
      <c r="P614" s="3305">
        <v>0</v>
      </c>
      <c r="Q614" s="3308">
        <v>0</v>
      </c>
    </row>
    <row r="615" spans="2:17">
      <c r="B615" s="3260" t="s">
        <v>681</v>
      </c>
      <c r="C615" s="3268"/>
      <c r="D615" s="3269"/>
      <c r="E615" s="3269"/>
      <c r="F615" s="3269"/>
      <c r="G615" s="3270"/>
      <c r="H615" s="3268"/>
      <c r="I615" s="3305">
        <v>25.881999999999991</v>
      </c>
      <c r="J615" s="3305">
        <v>26.030999999999985</v>
      </c>
      <c r="K615" s="3305">
        <v>26.030999999999985</v>
      </c>
      <c r="L615" s="3306">
        <v>26.030999999999985</v>
      </c>
      <c r="M615" s="3307">
        <v>26.030999999999985</v>
      </c>
      <c r="N615" s="3305">
        <v>26.030999999999985</v>
      </c>
      <c r="O615" s="3305">
        <v>26.030999999999985</v>
      </c>
      <c r="P615" s="3305">
        <v>26.030999999999985</v>
      </c>
      <c r="Q615" s="3308">
        <v>26.030999999999985</v>
      </c>
    </row>
    <row r="616" spans="2:17">
      <c r="B616" s="3260" t="s">
        <v>682</v>
      </c>
      <c r="C616" s="3268"/>
      <c r="D616" s="3269"/>
      <c r="E616" s="3269"/>
      <c r="F616" s="3269"/>
      <c r="G616" s="3270"/>
      <c r="H616" s="3268"/>
      <c r="I616" s="3305">
        <v>1.1079999999999997</v>
      </c>
      <c r="J616" s="3305">
        <v>1.1079999999999999</v>
      </c>
      <c r="K616" s="3305">
        <v>1.1079999999999999</v>
      </c>
      <c r="L616" s="3306">
        <v>1.1079999999999999</v>
      </c>
      <c r="M616" s="3307">
        <v>1.1079999999999999</v>
      </c>
      <c r="N616" s="3305">
        <v>1.1079999999999999</v>
      </c>
      <c r="O616" s="3305">
        <v>1.1079999999999999</v>
      </c>
      <c r="P616" s="3305">
        <v>1.1079999999999999</v>
      </c>
      <c r="Q616" s="3308">
        <v>1.1079999999999999</v>
      </c>
    </row>
    <row r="617" spans="2:17">
      <c r="B617" s="3260" t="s">
        <v>66</v>
      </c>
      <c r="C617" s="3268"/>
      <c r="D617" s="3269"/>
      <c r="E617" s="3269"/>
      <c r="F617" s="3269"/>
      <c r="G617" s="3270"/>
      <c r="H617" s="3268"/>
      <c r="I617" s="3305">
        <v>0</v>
      </c>
      <c r="J617" s="3305">
        <v>0</v>
      </c>
      <c r="K617" s="3305">
        <v>0</v>
      </c>
      <c r="L617" s="3306">
        <v>0</v>
      </c>
      <c r="M617" s="3307">
        <v>0</v>
      </c>
      <c r="N617" s="3305">
        <v>0</v>
      </c>
      <c r="O617" s="3305">
        <v>0</v>
      </c>
      <c r="P617" s="3305">
        <v>0</v>
      </c>
      <c r="Q617" s="3308">
        <v>0</v>
      </c>
    </row>
    <row r="618" spans="2:17" ht="13.5" thickBot="1">
      <c r="B618" s="3260" t="s">
        <v>67</v>
      </c>
      <c r="C618" s="3268"/>
      <c r="D618" s="3269"/>
      <c r="E618" s="3269"/>
      <c r="F618" s="3269"/>
      <c r="G618" s="3270"/>
      <c r="H618" s="3268"/>
      <c r="I618" s="3305">
        <v>22.052</v>
      </c>
      <c r="J618" s="3305">
        <v>22.051999999999989</v>
      </c>
      <c r="K618" s="3305">
        <v>22.051999999999989</v>
      </c>
      <c r="L618" s="3306">
        <v>22.051999999999989</v>
      </c>
      <c r="M618" s="3309">
        <v>22.051999999999989</v>
      </c>
      <c r="N618" s="3310">
        <v>22.051999999999989</v>
      </c>
      <c r="O618" s="3310">
        <v>22.051999999999989</v>
      </c>
      <c r="P618" s="3310">
        <v>22.051999999999989</v>
      </c>
      <c r="Q618" s="3311">
        <v>22.051999999999989</v>
      </c>
    </row>
    <row r="619" spans="2:17" ht="12.75" customHeight="1">
      <c r="B619" s="4689">
        <v>3055</v>
      </c>
      <c r="C619" s="4691" t="s">
        <v>36</v>
      </c>
      <c r="D619" s="4692"/>
      <c r="E619" s="4692"/>
      <c r="F619" s="4692"/>
      <c r="G619" s="4692"/>
      <c r="H619" s="4693" t="s">
        <v>37</v>
      </c>
      <c r="I619" s="4694"/>
      <c r="J619" s="4694"/>
      <c r="K619" s="4694"/>
      <c r="L619" s="4694"/>
      <c r="M619" s="4695" t="s">
        <v>73</v>
      </c>
      <c r="N619" s="4695"/>
      <c r="O619" s="4695"/>
      <c r="P619" s="4695"/>
      <c r="Q619" s="4696"/>
    </row>
    <row r="620" spans="2:17" ht="12.75" customHeight="1">
      <c r="B620" s="4690"/>
      <c r="C620" s="4697" t="s">
        <v>1673</v>
      </c>
      <c r="D620" s="4698"/>
      <c r="E620" s="4698"/>
      <c r="F620" s="4698"/>
      <c r="G620" s="4698"/>
      <c r="H620" s="4698"/>
      <c r="I620" s="4698"/>
      <c r="J620" s="4698"/>
      <c r="K620" s="4698"/>
      <c r="L620" s="4698"/>
      <c r="M620" s="4698"/>
      <c r="N620" s="4698"/>
      <c r="O620" s="4698"/>
      <c r="P620" s="4698"/>
      <c r="Q620" s="4699"/>
    </row>
    <row r="621" spans="2:17" ht="12.75" customHeight="1">
      <c r="B621" s="4690"/>
      <c r="C621" s="4697" t="s">
        <v>54</v>
      </c>
      <c r="D621" s="4698"/>
      <c r="E621" s="4698"/>
      <c r="F621" s="4698"/>
      <c r="G621" s="4698"/>
      <c r="H621" s="4698"/>
      <c r="I621" s="4698"/>
      <c r="J621" s="4700"/>
      <c r="K621" s="4701" t="s">
        <v>55</v>
      </c>
      <c r="L621" s="4702"/>
      <c r="M621" s="4702"/>
      <c r="N621" s="4702"/>
      <c r="O621" s="4702"/>
      <c r="P621" s="4702"/>
      <c r="Q621" s="4703"/>
    </row>
    <row r="622" spans="2:17" ht="13.5" customHeight="1" thickBot="1">
      <c r="B622" s="4690"/>
      <c r="C622" s="3252">
        <f t="array" ref="C622:G622">PRCP</f>
        <v>2008</v>
      </c>
      <c r="D622" s="3253">
        <v>2009</v>
      </c>
      <c r="E622" s="3253">
        <v>2010</v>
      </c>
      <c r="F622" s="3253">
        <v>2011</v>
      </c>
      <c r="G622" s="3253">
        <v>2012</v>
      </c>
      <c r="H622" s="3254">
        <f>CRCP_y1</f>
        <v>2013</v>
      </c>
      <c r="I622" s="3254">
        <f>CRCP_y2</f>
        <v>2014</v>
      </c>
      <c r="J622" s="3254">
        <f>CRCP_y3</f>
        <v>2015</v>
      </c>
      <c r="K622" s="3254">
        <f>CRCP_y4</f>
        <v>2016</v>
      </c>
      <c r="L622" s="3254">
        <f>CRCP_y5</f>
        <v>2017</v>
      </c>
      <c r="M622" s="3253" t="str">
        <f t="array" ref="M622:Q622">FRCP</f>
        <v>2018</v>
      </c>
      <c r="N622" s="3253">
        <v>2019</v>
      </c>
      <c r="O622" s="3253">
        <v>2020</v>
      </c>
      <c r="P622" s="3253">
        <v>2021</v>
      </c>
      <c r="Q622" s="3255">
        <v>2022</v>
      </c>
    </row>
    <row r="623" spans="2:17">
      <c r="B623" s="3256" t="s">
        <v>1694</v>
      </c>
      <c r="C623" s="3257"/>
      <c r="D623" s="3258"/>
      <c r="E623" s="3258"/>
      <c r="F623" s="3258"/>
      <c r="G623" s="3259"/>
      <c r="H623" s="3257"/>
      <c r="I623" s="3258"/>
      <c r="J623" s="3258"/>
      <c r="K623" s="3258"/>
      <c r="L623" s="3259"/>
      <c r="M623" s="3257"/>
      <c r="N623" s="3258"/>
      <c r="O623" s="3258"/>
      <c r="P623" s="3258"/>
      <c r="Q623" s="3259"/>
    </row>
    <row r="624" spans="2:17">
      <c r="B624" s="3260"/>
      <c r="C624" s="3268"/>
      <c r="D624" s="3269"/>
      <c r="E624" s="3269"/>
      <c r="F624" s="3269"/>
      <c r="G624" s="3270"/>
      <c r="H624" s="3268"/>
      <c r="I624" s="3305"/>
      <c r="J624" s="3305"/>
      <c r="K624" s="3305"/>
      <c r="L624" s="3308"/>
      <c r="M624" s="3307"/>
      <c r="N624" s="3305"/>
      <c r="O624" s="3305"/>
      <c r="P624" s="3305"/>
      <c r="Q624" s="3308"/>
    </row>
    <row r="625" spans="2:17">
      <c r="B625" s="3260" t="s">
        <v>64</v>
      </c>
      <c r="C625" s="3268"/>
      <c r="D625" s="3269"/>
      <c r="E625" s="3269"/>
      <c r="F625" s="3269"/>
      <c r="G625" s="3270"/>
      <c r="H625" s="3268"/>
      <c r="I625" s="3305">
        <v>0.13500000000000001</v>
      </c>
      <c r="J625" s="3305">
        <v>0.14300000000000002</v>
      </c>
      <c r="K625" s="3305">
        <v>0.14300000000000002</v>
      </c>
      <c r="L625" s="3305">
        <v>0.14300000000000002</v>
      </c>
      <c r="M625" s="3305">
        <v>0.14300000000000002</v>
      </c>
      <c r="N625" s="3305">
        <v>0.14300000000000002</v>
      </c>
      <c r="O625" s="3305">
        <v>0.14300000000000002</v>
      </c>
      <c r="P625" s="3305">
        <v>0.14300000000000002</v>
      </c>
      <c r="Q625" s="3305">
        <v>0.14300000000000002</v>
      </c>
    </row>
    <row r="626" spans="2:17">
      <c r="B626" s="3260" t="s">
        <v>65</v>
      </c>
      <c r="C626" s="3268"/>
      <c r="D626" s="3269"/>
      <c r="E626" s="3269"/>
      <c r="F626" s="3269"/>
      <c r="G626" s="3270"/>
      <c r="H626" s="3268"/>
      <c r="I626" s="3305">
        <v>0</v>
      </c>
      <c r="J626" s="3305">
        <v>0</v>
      </c>
      <c r="K626" s="3305">
        <v>0</v>
      </c>
      <c r="L626" s="3305">
        <v>0</v>
      </c>
      <c r="M626" s="3305">
        <v>0</v>
      </c>
      <c r="N626" s="3305">
        <v>0</v>
      </c>
      <c r="O626" s="3305">
        <v>0</v>
      </c>
      <c r="P626" s="3305">
        <v>0</v>
      </c>
      <c r="Q626" s="3305">
        <v>0</v>
      </c>
    </row>
    <row r="627" spans="2:17">
      <c r="B627" s="3260" t="s">
        <v>82</v>
      </c>
      <c r="C627" s="3268"/>
      <c r="D627" s="3269"/>
      <c r="E627" s="3269"/>
      <c r="F627" s="3269"/>
      <c r="G627" s="3270"/>
      <c r="H627" s="3268"/>
      <c r="I627" s="3305">
        <v>0</v>
      </c>
      <c r="J627" s="3305">
        <v>0</v>
      </c>
      <c r="K627" s="3305">
        <v>0</v>
      </c>
      <c r="L627" s="3305">
        <v>0</v>
      </c>
      <c r="M627" s="3305">
        <v>0</v>
      </c>
      <c r="N627" s="3305">
        <v>0</v>
      </c>
      <c r="O627" s="3305">
        <v>0</v>
      </c>
      <c r="P627" s="3305">
        <v>0</v>
      </c>
      <c r="Q627" s="3305">
        <v>0</v>
      </c>
    </row>
    <row r="628" spans="2:17">
      <c r="B628" s="3260" t="s">
        <v>680</v>
      </c>
      <c r="C628" s="3268"/>
      <c r="D628" s="3269"/>
      <c r="E628" s="3269"/>
      <c r="F628" s="3269"/>
      <c r="G628" s="3270"/>
      <c r="H628" s="3268"/>
      <c r="I628" s="3305">
        <v>0</v>
      </c>
      <c r="J628" s="3305">
        <v>0</v>
      </c>
      <c r="K628" s="3305">
        <v>0</v>
      </c>
      <c r="L628" s="3305">
        <v>0</v>
      </c>
      <c r="M628" s="3305">
        <v>0</v>
      </c>
      <c r="N628" s="3305">
        <v>0</v>
      </c>
      <c r="O628" s="3305">
        <v>0</v>
      </c>
      <c r="P628" s="3305">
        <v>0</v>
      </c>
      <c r="Q628" s="3305">
        <v>0</v>
      </c>
    </row>
    <row r="629" spans="2:17">
      <c r="B629" s="3260" t="s">
        <v>681</v>
      </c>
      <c r="C629" s="3268"/>
      <c r="D629" s="3269"/>
      <c r="E629" s="3269"/>
      <c r="F629" s="3269"/>
      <c r="G629" s="3270"/>
      <c r="H629" s="3268"/>
      <c r="I629" s="3305">
        <v>1.79</v>
      </c>
      <c r="J629" s="3305">
        <v>1.8109999999999999</v>
      </c>
      <c r="K629" s="3305">
        <v>1.8109999999999999</v>
      </c>
      <c r="L629" s="3305">
        <v>1.8109999999999999</v>
      </c>
      <c r="M629" s="3305">
        <v>1.8109999999999999</v>
      </c>
      <c r="N629" s="3305">
        <v>1.8109999999999999</v>
      </c>
      <c r="O629" s="3305">
        <v>1.8109999999999999</v>
      </c>
      <c r="P629" s="3305">
        <v>1.8109999999999999</v>
      </c>
      <c r="Q629" s="3305">
        <v>1.8109999999999999</v>
      </c>
    </row>
    <row r="630" spans="2:17">
      <c r="B630" s="3260" t="s">
        <v>682</v>
      </c>
      <c r="C630" s="3268"/>
      <c r="D630" s="3269"/>
      <c r="E630" s="3269"/>
      <c r="F630" s="3269"/>
      <c r="G630" s="3270"/>
      <c r="H630" s="3268"/>
      <c r="I630" s="3305">
        <v>0</v>
      </c>
      <c r="J630" s="3305">
        <v>0</v>
      </c>
      <c r="K630" s="3305">
        <v>0</v>
      </c>
      <c r="L630" s="3305">
        <v>0</v>
      </c>
      <c r="M630" s="3305">
        <v>0</v>
      </c>
      <c r="N630" s="3305">
        <v>0</v>
      </c>
      <c r="O630" s="3305">
        <v>0</v>
      </c>
      <c r="P630" s="3305">
        <v>0</v>
      </c>
      <c r="Q630" s="3305">
        <v>0</v>
      </c>
    </row>
    <row r="631" spans="2:17">
      <c r="B631" s="3260" t="s">
        <v>66</v>
      </c>
      <c r="C631" s="3268"/>
      <c r="D631" s="3269"/>
      <c r="E631" s="3269"/>
      <c r="F631" s="3269"/>
      <c r="G631" s="3270"/>
      <c r="H631" s="3268"/>
      <c r="I631" s="3305">
        <v>0</v>
      </c>
      <c r="J631" s="3305">
        <v>0</v>
      </c>
      <c r="K631" s="3305">
        <v>0</v>
      </c>
      <c r="L631" s="3305">
        <v>0</v>
      </c>
      <c r="M631" s="3305">
        <v>0</v>
      </c>
      <c r="N631" s="3305">
        <v>0</v>
      </c>
      <c r="O631" s="3305">
        <v>0</v>
      </c>
      <c r="P631" s="3305">
        <v>0</v>
      </c>
      <c r="Q631" s="3305">
        <v>0</v>
      </c>
    </row>
    <row r="632" spans="2:17" ht="13.5" thickBot="1">
      <c r="B632" s="3260" t="s">
        <v>67</v>
      </c>
      <c r="C632" s="3268"/>
      <c r="D632" s="3269"/>
      <c r="E632" s="3269"/>
      <c r="F632" s="3269"/>
      <c r="G632" s="3270"/>
      <c r="H632" s="3268"/>
      <c r="I632" s="3305">
        <v>0.19300000000000003</v>
      </c>
      <c r="J632" s="3305">
        <v>0.19700000000000001</v>
      </c>
      <c r="K632" s="3305">
        <v>0.19700000000000001</v>
      </c>
      <c r="L632" s="3305">
        <v>0.19700000000000001</v>
      </c>
      <c r="M632" s="3305">
        <v>0.19700000000000001</v>
      </c>
      <c r="N632" s="3305">
        <v>0.19700000000000001</v>
      </c>
      <c r="O632" s="3305">
        <v>0.19700000000000001</v>
      </c>
      <c r="P632" s="3305">
        <v>0.19700000000000001</v>
      </c>
      <c r="Q632" s="3305">
        <v>0.19700000000000001</v>
      </c>
    </row>
    <row r="633" spans="2:17" ht="12.75" customHeight="1">
      <c r="B633" s="4689">
        <v>3056</v>
      </c>
      <c r="C633" s="4691" t="s">
        <v>36</v>
      </c>
      <c r="D633" s="4692"/>
      <c r="E633" s="4692"/>
      <c r="F633" s="4692"/>
      <c r="G633" s="4692"/>
      <c r="H633" s="4693" t="s">
        <v>37</v>
      </c>
      <c r="I633" s="4694"/>
      <c r="J633" s="4694"/>
      <c r="K633" s="4694"/>
      <c r="L633" s="4694"/>
      <c r="M633" s="4695" t="s">
        <v>73</v>
      </c>
      <c r="N633" s="4695"/>
      <c r="O633" s="4695"/>
      <c r="P633" s="4695"/>
      <c r="Q633" s="4696"/>
    </row>
    <row r="634" spans="2:17" ht="12.75" customHeight="1">
      <c r="B634" s="4690"/>
      <c r="C634" s="4697" t="s">
        <v>1673</v>
      </c>
      <c r="D634" s="4698"/>
      <c r="E634" s="4698"/>
      <c r="F634" s="4698"/>
      <c r="G634" s="4698"/>
      <c r="H634" s="4698"/>
      <c r="I634" s="4698"/>
      <c r="J634" s="4698"/>
      <c r="K634" s="4698"/>
      <c r="L634" s="4698"/>
      <c r="M634" s="4698"/>
      <c r="N634" s="4698"/>
      <c r="O634" s="4698"/>
      <c r="P634" s="4698"/>
      <c r="Q634" s="4699"/>
    </row>
    <row r="635" spans="2:17" ht="12.75" customHeight="1">
      <c r="B635" s="4690"/>
      <c r="C635" s="4697" t="s">
        <v>54</v>
      </c>
      <c r="D635" s="4698"/>
      <c r="E635" s="4698"/>
      <c r="F635" s="4698"/>
      <c r="G635" s="4698"/>
      <c r="H635" s="4698"/>
      <c r="I635" s="4698"/>
      <c r="J635" s="4700"/>
      <c r="K635" s="4701" t="s">
        <v>55</v>
      </c>
      <c r="L635" s="4702"/>
      <c r="M635" s="4702"/>
      <c r="N635" s="4702"/>
      <c r="O635" s="4702"/>
      <c r="P635" s="4702"/>
      <c r="Q635" s="4703"/>
    </row>
    <row r="636" spans="2:17" ht="13.5" customHeight="1" thickBot="1">
      <c r="B636" s="4690"/>
      <c r="C636" s="3252">
        <f t="array" ref="C636:G636">PRCP</f>
        <v>2008</v>
      </c>
      <c r="D636" s="3253">
        <v>2009</v>
      </c>
      <c r="E636" s="3253">
        <v>2010</v>
      </c>
      <c r="F636" s="3253">
        <v>2011</v>
      </c>
      <c r="G636" s="3253">
        <v>2012</v>
      </c>
      <c r="H636" s="3254">
        <f>CRCP_y1</f>
        <v>2013</v>
      </c>
      <c r="I636" s="3254">
        <f>CRCP_y2</f>
        <v>2014</v>
      </c>
      <c r="J636" s="3254">
        <f>CRCP_y3</f>
        <v>2015</v>
      </c>
      <c r="K636" s="3254">
        <f>CRCP_y4</f>
        <v>2016</v>
      </c>
      <c r="L636" s="3254">
        <f>CRCP_y5</f>
        <v>2017</v>
      </c>
      <c r="M636" s="3253" t="str">
        <f t="array" ref="M636:Q636">FRCP</f>
        <v>2018</v>
      </c>
      <c r="N636" s="3253">
        <v>2019</v>
      </c>
      <c r="O636" s="3253">
        <v>2020</v>
      </c>
      <c r="P636" s="3253">
        <v>2021</v>
      </c>
      <c r="Q636" s="3255">
        <v>2022</v>
      </c>
    </row>
    <row r="637" spans="2:17">
      <c r="B637" s="3256" t="s">
        <v>1695</v>
      </c>
      <c r="C637" s="3257"/>
      <c r="D637" s="3258"/>
      <c r="E637" s="3258"/>
      <c r="F637" s="3258"/>
      <c r="G637" s="3259"/>
      <c r="H637" s="3257"/>
      <c r="I637" s="3258"/>
      <c r="J637" s="3258"/>
      <c r="K637" s="3258"/>
      <c r="L637" s="3259"/>
      <c r="M637" s="3257"/>
      <c r="N637" s="3258"/>
      <c r="O637" s="3258"/>
      <c r="P637" s="3258"/>
      <c r="Q637" s="3259"/>
    </row>
    <row r="638" spans="2:17">
      <c r="B638" s="3260"/>
      <c r="C638" s="3268"/>
      <c r="D638" s="3269"/>
      <c r="E638" s="3269"/>
      <c r="F638" s="3269"/>
      <c r="G638" s="3270"/>
      <c r="H638" s="3268"/>
      <c r="I638" s="3269"/>
      <c r="J638" s="3269"/>
      <c r="K638" s="3269"/>
      <c r="L638" s="3270"/>
      <c r="M638" s="3268"/>
      <c r="N638" s="3269"/>
      <c r="O638" s="3269"/>
      <c r="P638" s="3269"/>
      <c r="Q638" s="3270"/>
    </row>
    <row r="639" spans="2:17">
      <c r="B639" s="3260" t="s">
        <v>64</v>
      </c>
      <c r="C639" s="3268"/>
      <c r="D639" s="3269"/>
      <c r="E639" s="3269"/>
      <c r="F639" s="3269"/>
      <c r="G639" s="3270"/>
      <c r="H639" s="3268"/>
      <c r="I639" s="3305">
        <v>0</v>
      </c>
      <c r="J639" s="3305">
        <v>0</v>
      </c>
      <c r="K639" s="3305">
        <v>0</v>
      </c>
      <c r="L639" s="3308">
        <v>0</v>
      </c>
      <c r="M639" s="3307">
        <v>0</v>
      </c>
      <c r="N639" s="3305">
        <v>0</v>
      </c>
      <c r="O639" s="3305">
        <v>0</v>
      </c>
      <c r="P639" s="3305">
        <v>0</v>
      </c>
      <c r="Q639" s="3308">
        <v>0</v>
      </c>
    </row>
    <row r="640" spans="2:17">
      <c r="B640" s="3260" t="s">
        <v>65</v>
      </c>
      <c r="C640" s="3268"/>
      <c r="D640" s="3269"/>
      <c r="E640" s="3269"/>
      <c r="F640" s="3269"/>
      <c r="G640" s="3270"/>
      <c r="H640" s="3268"/>
      <c r="I640" s="3305">
        <v>0</v>
      </c>
      <c r="J640" s="3305">
        <v>0</v>
      </c>
      <c r="K640" s="3305">
        <v>0</v>
      </c>
      <c r="L640" s="3308">
        <v>0</v>
      </c>
      <c r="M640" s="3307">
        <v>0</v>
      </c>
      <c r="N640" s="3305">
        <v>0</v>
      </c>
      <c r="O640" s="3305">
        <v>0</v>
      </c>
      <c r="P640" s="3305">
        <v>0</v>
      </c>
      <c r="Q640" s="3308">
        <v>0</v>
      </c>
    </row>
    <row r="641" spans="2:17">
      <c r="B641" s="3260" t="s">
        <v>82</v>
      </c>
      <c r="C641" s="3268"/>
      <c r="D641" s="3269"/>
      <c r="E641" s="3269"/>
      <c r="F641" s="3269"/>
      <c r="G641" s="3270"/>
      <c r="H641" s="3268"/>
      <c r="I641" s="3305">
        <v>0</v>
      </c>
      <c r="J641" s="3305">
        <v>0</v>
      </c>
      <c r="K641" s="3305">
        <v>0</v>
      </c>
      <c r="L641" s="3308">
        <v>0</v>
      </c>
      <c r="M641" s="3307">
        <v>0</v>
      </c>
      <c r="N641" s="3305">
        <v>0</v>
      </c>
      <c r="O641" s="3305">
        <v>0</v>
      </c>
      <c r="P641" s="3305">
        <v>0</v>
      </c>
      <c r="Q641" s="3308">
        <v>0</v>
      </c>
    </row>
    <row r="642" spans="2:17">
      <c r="B642" s="3260" t="s">
        <v>680</v>
      </c>
      <c r="C642" s="3268"/>
      <c r="D642" s="3269"/>
      <c r="E642" s="3269"/>
      <c r="F642" s="3269"/>
      <c r="G642" s="3270"/>
      <c r="H642" s="3268"/>
      <c r="I642" s="3305">
        <v>0</v>
      </c>
      <c r="J642" s="3305">
        <v>0</v>
      </c>
      <c r="K642" s="3305">
        <v>0</v>
      </c>
      <c r="L642" s="3308">
        <v>0</v>
      </c>
      <c r="M642" s="3307">
        <v>0</v>
      </c>
      <c r="N642" s="3305">
        <v>0</v>
      </c>
      <c r="O642" s="3305">
        <v>0</v>
      </c>
      <c r="P642" s="3305">
        <v>0</v>
      </c>
      <c r="Q642" s="3308">
        <v>0</v>
      </c>
    </row>
    <row r="643" spans="2:17">
      <c r="B643" s="3260" t="s">
        <v>681</v>
      </c>
      <c r="C643" s="3268"/>
      <c r="D643" s="3269"/>
      <c r="E643" s="3269"/>
      <c r="F643" s="3269"/>
      <c r="G643" s="3270"/>
      <c r="H643" s="3268"/>
      <c r="I643" s="3305">
        <v>0</v>
      </c>
      <c r="J643" s="3305">
        <v>0</v>
      </c>
      <c r="K643" s="3305">
        <v>0</v>
      </c>
      <c r="L643" s="3308">
        <v>0</v>
      </c>
      <c r="M643" s="3307">
        <v>0</v>
      </c>
      <c r="N643" s="3305">
        <v>0</v>
      </c>
      <c r="O643" s="3305">
        <v>0</v>
      </c>
      <c r="P643" s="3305">
        <v>0</v>
      </c>
      <c r="Q643" s="3308">
        <v>0</v>
      </c>
    </row>
    <row r="644" spans="2:17">
      <c r="B644" s="3260" t="s">
        <v>682</v>
      </c>
      <c r="C644" s="3268"/>
      <c r="D644" s="3269"/>
      <c r="E644" s="3269"/>
      <c r="F644" s="3269"/>
      <c r="G644" s="3270"/>
      <c r="H644" s="3268"/>
      <c r="I644" s="3305">
        <v>0</v>
      </c>
      <c r="J644" s="3305">
        <v>0</v>
      </c>
      <c r="K644" s="3305">
        <v>0</v>
      </c>
      <c r="L644" s="3308">
        <v>0</v>
      </c>
      <c r="M644" s="3307">
        <v>0</v>
      </c>
      <c r="N644" s="3305">
        <v>0</v>
      </c>
      <c r="O644" s="3305">
        <v>0</v>
      </c>
      <c r="P644" s="3305">
        <v>0</v>
      </c>
      <c r="Q644" s="3308">
        <v>0</v>
      </c>
    </row>
    <row r="645" spans="2:17">
      <c r="B645" s="3260" t="s">
        <v>66</v>
      </c>
      <c r="C645" s="3268"/>
      <c r="D645" s="3269"/>
      <c r="E645" s="3269"/>
      <c r="F645" s="3269"/>
      <c r="G645" s="3270"/>
      <c r="H645" s="3268"/>
      <c r="I645" s="3305">
        <v>0</v>
      </c>
      <c r="J645" s="3305">
        <v>0</v>
      </c>
      <c r="K645" s="3305">
        <v>0</v>
      </c>
      <c r="L645" s="3308">
        <v>0</v>
      </c>
      <c r="M645" s="3307">
        <v>0</v>
      </c>
      <c r="N645" s="3305">
        <v>0</v>
      </c>
      <c r="O645" s="3305">
        <v>0</v>
      </c>
      <c r="P645" s="3305">
        <v>0</v>
      </c>
      <c r="Q645" s="3308">
        <v>0</v>
      </c>
    </row>
    <row r="646" spans="2:17" ht="13.5" thickBot="1">
      <c r="B646" s="3260" t="s">
        <v>67</v>
      </c>
      <c r="C646" s="3268"/>
      <c r="D646" s="3269"/>
      <c r="E646" s="3269"/>
      <c r="F646" s="3269"/>
      <c r="G646" s="3270"/>
      <c r="H646" s="3268"/>
      <c r="I646" s="3305">
        <v>0.02</v>
      </c>
      <c r="J646" s="3305">
        <v>0.02</v>
      </c>
      <c r="K646" s="3305">
        <v>0.02</v>
      </c>
      <c r="L646" s="3305">
        <v>0.02</v>
      </c>
      <c r="M646" s="3305">
        <v>0.02</v>
      </c>
      <c r="N646" s="3305">
        <v>0.02</v>
      </c>
      <c r="O646" s="3305">
        <v>0.02</v>
      </c>
      <c r="P646" s="3305">
        <v>0.02</v>
      </c>
      <c r="Q646" s="3305">
        <v>0.02</v>
      </c>
    </row>
    <row r="647" spans="2:17" ht="12.75" customHeight="1">
      <c r="B647" s="4689">
        <v>3057</v>
      </c>
      <c r="C647" s="4691" t="s">
        <v>36</v>
      </c>
      <c r="D647" s="4692"/>
      <c r="E647" s="4692"/>
      <c r="F647" s="4692"/>
      <c r="G647" s="4692"/>
      <c r="H647" s="4693" t="s">
        <v>37</v>
      </c>
      <c r="I647" s="4694"/>
      <c r="J647" s="4694"/>
      <c r="K647" s="4694"/>
      <c r="L647" s="4694"/>
      <c r="M647" s="4695" t="s">
        <v>73</v>
      </c>
      <c r="N647" s="4695"/>
      <c r="O647" s="4695"/>
      <c r="P647" s="4695"/>
      <c r="Q647" s="4696"/>
    </row>
    <row r="648" spans="2:17" ht="12.75" customHeight="1">
      <c r="B648" s="4690"/>
      <c r="C648" s="4697" t="s">
        <v>1673</v>
      </c>
      <c r="D648" s="4698"/>
      <c r="E648" s="4698"/>
      <c r="F648" s="4698"/>
      <c r="G648" s="4698"/>
      <c r="H648" s="4698"/>
      <c r="I648" s="4698"/>
      <c r="J648" s="4698"/>
      <c r="K648" s="4698"/>
      <c r="L648" s="4698"/>
      <c r="M648" s="4698"/>
      <c r="N648" s="4698"/>
      <c r="O648" s="4698"/>
      <c r="P648" s="4698"/>
      <c r="Q648" s="4699"/>
    </row>
    <row r="649" spans="2:17" ht="12.75" customHeight="1">
      <c r="B649" s="4690"/>
      <c r="C649" s="4697" t="s">
        <v>54</v>
      </c>
      <c r="D649" s="4698"/>
      <c r="E649" s="4698"/>
      <c r="F649" s="4698"/>
      <c r="G649" s="4698"/>
      <c r="H649" s="4698"/>
      <c r="I649" s="4698"/>
      <c r="J649" s="4700"/>
      <c r="K649" s="4701" t="s">
        <v>55</v>
      </c>
      <c r="L649" s="4702"/>
      <c r="M649" s="4702"/>
      <c r="N649" s="4702"/>
      <c r="O649" s="4702"/>
      <c r="P649" s="4702"/>
      <c r="Q649" s="4703"/>
    </row>
    <row r="650" spans="2:17" ht="13.5" customHeight="1" thickBot="1">
      <c r="B650" s="4690"/>
      <c r="C650" s="3252">
        <f t="array" ref="C650:G650">PRCP</f>
        <v>2008</v>
      </c>
      <c r="D650" s="3253">
        <v>2009</v>
      </c>
      <c r="E650" s="3253">
        <v>2010</v>
      </c>
      <c r="F650" s="3253">
        <v>2011</v>
      </c>
      <c r="G650" s="3253">
        <v>2012</v>
      </c>
      <c r="H650" s="3254">
        <f>CRCP_y1</f>
        <v>2013</v>
      </c>
      <c r="I650" s="3254">
        <f>CRCP_y2</f>
        <v>2014</v>
      </c>
      <c r="J650" s="3254">
        <f>CRCP_y3</f>
        <v>2015</v>
      </c>
      <c r="K650" s="3254">
        <f>CRCP_y4</f>
        <v>2016</v>
      </c>
      <c r="L650" s="3254">
        <f>CRCP_y5</f>
        <v>2017</v>
      </c>
      <c r="M650" s="3253" t="str">
        <f t="array" ref="M650:Q650">FRCP</f>
        <v>2018</v>
      </c>
      <c r="N650" s="3253">
        <v>2019</v>
      </c>
      <c r="O650" s="3253">
        <v>2020</v>
      </c>
      <c r="P650" s="3253">
        <v>2021</v>
      </c>
      <c r="Q650" s="3255">
        <v>2022</v>
      </c>
    </row>
    <row r="651" spans="2:17">
      <c r="B651" s="3256" t="s">
        <v>1695</v>
      </c>
      <c r="C651" s="3257"/>
      <c r="D651" s="3258"/>
      <c r="E651" s="3258"/>
      <c r="F651" s="3258"/>
      <c r="G651" s="3259"/>
      <c r="H651" s="3257"/>
      <c r="I651" s="3258"/>
      <c r="J651" s="3258"/>
      <c r="K651" s="3258"/>
      <c r="L651" s="3258"/>
      <c r="M651" s="3257"/>
      <c r="N651" s="3258"/>
      <c r="O651" s="3258"/>
      <c r="P651" s="3258"/>
      <c r="Q651" s="3259"/>
    </row>
    <row r="652" spans="2:17">
      <c r="B652" s="3260"/>
      <c r="C652" s="3268"/>
      <c r="D652" s="3269"/>
      <c r="E652" s="3269"/>
      <c r="F652" s="3269"/>
      <c r="G652" s="3270"/>
      <c r="H652" s="3268"/>
      <c r="I652" s="3269"/>
      <c r="J652" s="3269"/>
      <c r="K652" s="3269"/>
      <c r="L652" s="3271"/>
      <c r="M652" s="3268"/>
      <c r="N652" s="3269"/>
      <c r="O652" s="3269"/>
      <c r="P652" s="3269"/>
      <c r="Q652" s="3270"/>
    </row>
    <row r="653" spans="2:17">
      <c r="B653" s="3260" t="s">
        <v>64</v>
      </c>
      <c r="C653" s="3268"/>
      <c r="D653" s="3269"/>
      <c r="E653" s="3269"/>
      <c r="F653" s="3269"/>
      <c r="G653" s="3270"/>
      <c r="H653" s="3268"/>
      <c r="I653" s="3305">
        <v>0</v>
      </c>
      <c r="J653" s="3305">
        <v>0</v>
      </c>
      <c r="K653" s="3305">
        <v>0</v>
      </c>
      <c r="L653" s="3306">
        <v>0</v>
      </c>
      <c r="M653" s="3307">
        <v>0</v>
      </c>
      <c r="N653" s="3305">
        <v>0</v>
      </c>
      <c r="O653" s="3305">
        <v>0</v>
      </c>
      <c r="P653" s="3305">
        <v>0</v>
      </c>
      <c r="Q653" s="3308">
        <v>0</v>
      </c>
    </row>
    <row r="654" spans="2:17">
      <c r="B654" s="3260" t="s">
        <v>65</v>
      </c>
      <c r="C654" s="3268"/>
      <c r="D654" s="3269"/>
      <c r="E654" s="3269"/>
      <c r="F654" s="3269"/>
      <c r="G654" s="3270"/>
      <c r="H654" s="3268"/>
      <c r="I654" s="3305">
        <v>0</v>
      </c>
      <c r="J654" s="3305">
        <v>0</v>
      </c>
      <c r="K654" s="3305">
        <v>0</v>
      </c>
      <c r="L654" s="3306">
        <v>0</v>
      </c>
      <c r="M654" s="3307">
        <v>0</v>
      </c>
      <c r="N654" s="3305">
        <v>0</v>
      </c>
      <c r="O654" s="3305">
        <v>0</v>
      </c>
      <c r="P654" s="3305">
        <v>0</v>
      </c>
      <c r="Q654" s="3308">
        <v>0</v>
      </c>
    </row>
    <row r="655" spans="2:17">
      <c r="B655" s="3260" t="s">
        <v>82</v>
      </c>
      <c r="C655" s="3268"/>
      <c r="D655" s="3269"/>
      <c r="E655" s="3269"/>
      <c r="F655" s="3269"/>
      <c r="G655" s="3270"/>
      <c r="H655" s="3268"/>
      <c r="I655" s="3305">
        <v>0</v>
      </c>
      <c r="J655" s="3305">
        <v>0</v>
      </c>
      <c r="K655" s="3305">
        <v>0</v>
      </c>
      <c r="L655" s="3306">
        <v>0</v>
      </c>
      <c r="M655" s="3307">
        <v>0</v>
      </c>
      <c r="N655" s="3305">
        <v>0</v>
      </c>
      <c r="O655" s="3305">
        <v>0</v>
      </c>
      <c r="P655" s="3305">
        <v>0</v>
      </c>
      <c r="Q655" s="3308">
        <v>0</v>
      </c>
    </row>
    <row r="656" spans="2:17">
      <c r="B656" s="3260" t="s">
        <v>680</v>
      </c>
      <c r="C656" s="3268"/>
      <c r="D656" s="3269"/>
      <c r="E656" s="3269"/>
      <c r="F656" s="3269"/>
      <c r="G656" s="3270"/>
      <c r="H656" s="3268"/>
      <c r="I656" s="3305">
        <v>0</v>
      </c>
      <c r="J656" s="3305">
        <v>0</v>
      </c>
      <c r="K656" s="3305">
        <v>0</v>
      </c>
      <c r="L656" s="3306">
        <v>0</v>
      </c>
      <c r="M656" s="3307">
        <v>0</v>
      </c>
      <c r="N656" s="3305">
        <v>0</v>
      </c>
      <c r="O656" s="3305">
        <v>0</v>
      </c>
      <c r="P656" s="3305">
        <v>0</v>
      </c>
      <c r="Q656" s="3308">
        <v>0</v>
      </c>
    </row>
    <row r="657" spans="2:17">
      <c r="B657" s="3260" t="s">
        <v>681</v>
      </c>
      <c r="C657" s="3268"/>
      <c r="D657" s="3269"/>
      <c r="E657" s="3269"/>
      <c r="F657" s="3269"/>
      <c r="G657" s="3270"/>
      <c r="H657" s="3268"/>
      <c r="I657" s="3305">
        <v>8.9999999999999993E-3</v>
      </c>
      <c r="J657" s="3305">
        <v>8.9999999999999993E-3</v>
      </c>
      <c r="K657" s="3305">
        <v>8.9999999999999993E-3</v>
      </c>
      <c r="L657" s="3306">
        <v>8.9999999999999993E-3</v>
      </c>
      <c r="M657" s="3307">
        <v>8.9999999999999993E-3</v>
      </c>
      <c r="N657" s="3305">
        <v>8.9999999999999993E-3</v>
      </c>
      <c r="O657" s="3305">
        <v>8.9999999999999993E-3</v>
      </c>
      <c r="P657" s="3305">
        <v>8.9999999999999993E-3</v>
      </c>
      <c r="Q657" s="3308">
        <v>8.9999999999999993E-3</v>
      </c>
    </row>
    <row r="658" spans="2:17">
      <c r="B658" s="3260" t="s">
        <v>682</v>
      </c>
      <c r="C658" s="3268"/>
      <c r="D658" s="3269"/>
      <c r="E658" s="3269"/>
      <c r="F658" s="3269"/>
      <c r="G658" s="3270"/>
      <c r="H658" s="3268"/>
      <c r="I658" s="3305">
        <v>0</v>
      </c>
      <c r="J658" s="3305">
        <v>0</v>
      </c>
      <c r="K658" s="3305">
        <v>0</v>
      </c>
      <c r="L658" s="3306">
        <v>0</v>
      </c>
      <c r="M658" s="3307">
        <v>0</v>
      </c>
      <c r="N658" s="3305">
        <v>0</v>
      </c>
      <c r="O658" s="3305">
        <v>0</v>
      </c>
      <c r="P658" s="3305">
        <v>0</v>
      </c>
      <c r="Q658" s="3308">
        <v>0</v>
      </c>
    </row>
    <row r="659" spans="2:17">
      <c r="B659" s="3260" t="s">
        <v>66</v>
      </c>
      <c r="C659" s="3268"/>
      <c r="D659" s="3269"/>
      <c r="E659" s="3269"/>
      <c r="F659" s="3269"/>
      <c r="G659" s="3270"/>
      <c r="H659" s="3268"/>
      <c r="I659" s="3305">
        <v>0</v>
      </c>
      <c r="J659" s="3305">
        <v>0</v>
      </c>
      <c r="K659" s="3305">
        <v>0</v>
      </c>
      <c r="L659" s="3306">
        <v>0</v>
      </c>
      <c r="M659" s="3307">
        <v>0</v>
      </c>
      <c r="N659" s="3305">
        <v>0</v>
      </c>
      <c r="O659" s="3305">
        <v>0</v>
      </c>
      <c r="P659" s="3305">
        <v>0</v>
      </c>
      <c r="Q659" s="3308">
        <v>0</v>
      </c>
    </row>
    <row r="660" spans="2:17" ht="13.5" thickBot="1">
      <c r="B660" s="3260" t="s">
        <v>67</v>
      </c>
      <c r="C660" s="3268"/>
      <c r="D660" s="3269"/>
      <c r="E660" s="3269"/>
      <c r="F660" s="3269"/>
      <c r="G660" s="3270"/>
      <c r="H660" s="3268"/>
      <c r="I660" s="3305">
        <v>0</v>
      </c>
      <c r="J660" s="3305">
        <v>0</v>
      </c>
      <c r="K660" s="3305">
        <v>0</v>
      </c>
      <c r="L660" s="3306">
        <v>0</v>
      </c>
      <c r="M660" s="3309">
        <v>0</v>
      </c>
      <c r="N660" s="3310">
        <v>0</v>
      </c>
      <c r="O660" s="3310">
        <v>0</v>
      </c>
      <c r="P660" s="3310">
        <v>0</v>
      </c>
      <c r="Q660" s="3311">
        <v>0</v>
      </c>
    </row>
    <row r="661" spans="2:17" ht="12.75" customHeight="1">
      <c r="B661" s="4689">
        <v>3058</v>
      </c>
      <c r="C661" s="4691" t="s">
        <v>36</v>
      </c>
      <c r="D661" s="4692"/>
      <c r="E661" s="4692"/>
      <c r="F661" s="4692"/>
      <c r="G661" s="4692"/>
      <c r="H661" s="4693" t="s">
        <v>37</v>
      </c>
      <c r="I661" s="4694"/>
      <c r="J661" s="4694"/>
      <c r="K661" s="4694"/>
      <c r="L661" s="4694"/>
      <c r="M661" s="4695" t="s">
        <v>73</v>
      </c>
      <c r="N661" s="4695"/>
      <c r="O661" s="4695"/>
      <c r="P661" s="4695"/>
      <c r="Q661" s="4696"/>
    </row>
    <row r="662" spans="2:17" ht="12.75" customHeight="1">
      <c r="B662" s="4690"/>
      <c r="C662" s="4697" t="s">
        <v>1673</v>
      </c>
      <c r="D662" s="4698"/>
      <c r="E662" s="4698"/>
      <c r="F662" s="4698"/>
      <c r="G662" s="4698"/>
      <c r="H662" s="4698"/>
      <c r="I662" s="4698"/>
      <c r="J662" s="4698"/>
      <c r="K662" s="4698"/>
      <c r="L662" s="4698"/>
      <c r="M662" s="4698"/>
      <c r="N662" s="4698"/>
      <c r="O662" s="4698"/>
      <c r="P662" s="4698"/>
      <c r="Q662" s="4699"/>
    </row>
    <row r="663" spans="2:17" ht="12.75" customHeight="1">
      <c r="B663" s="4690"/>
      <c r="C663" s="4697" t="s">
        <v>54</v>
      </c>
      <c r="D663" s="4698"/>
      <c r="E663" s="4698"/>
      <c r="F663" s="4698"/>
      <c r="G663" s="4698"/>
      <c r="H663" s="4698"/>
      <c r="I663" s="4698"/>
      <c r="J663" s="4700"/>
      <c r="K663" s="4701" t="s">
        <v>55</v>
      </c>
      <c r="L663" s="4702"/>
      <c r="M663" s="4702"/>
      <c r="N663" s="4702"/>
      <c r="O663" s="4702"/>
      <c r="P663" s="4702"/>
      <c r="Q663" s="4703"/>
    </row>
    <row r="664" spans="2:17" ht="13.5" customHeight="1" thickBot="1">
      <c r="B664" s="4690"/>
      <c r="C664" s="3252">
        <f t="array" ref="C664:G664">PRCP</f>
        <v>2008</v>
      </c>
      <c r="D664" s="3253">
        <v>2009</v>
      </c>
      <c r="E664" s="3253">
        <v>2010</v>
      </c>
      <c r="F664" s="3253">
        <v>2011</v>
      </c>
      <c r="G664" s="3253">
        <v>2012</v>
      </c>
      <c r="H664" s="3254">
        <f>CRCP_y1</f>
        <v>2013</v>
      </c>
      <c r="I664" s="3254">
        <f>CRCP_y2</f>
        <v>2014</v>
      </c>
      <c r="J664" s="3254">
        <f>CRCP_y3</f>
        <v>2015</v>
      </c>
      <c r="K664" s="3254">
        <f>CRCP_y4</f>
        <v>2016</v>
      </c>
      <c r="L664" s="3254">
        <f>CRCP_y5</f>
        <v>2017</v>
      </c>
      <c r="M664" s="3253" t="str">
        <f t="array" ref="M664:Q664">FRCP</f>
        <v>2018</v>
      </c>
      <c r="N664" s="3253">
        <v>2019</v>
      </c>
      <c r="O664" s="3253">
        <v>2020</v>
      </c>
      <c r="P664" s="3253">
        <v>2021</v>
      </c>
      <c r="Q664" s="3255">
        <v>2022</v>
      </c>
    </row>
    <row r="665" spans="2:17">
      <c r="B665" s="3256" t="s">
        <v>1696</v>
      </c>
      <c r="C665" s="3257"/>
      <c r="D665" s="3258"/>
      <c r="E665" s="3258"/>
      <c r="F665" s="3258"/>
      <c r="G665" s="3259"/>
      <c r="H665" s="3257"/>
      <c r="I665" s="3258"/>
      <c r="J665" s="3258"/>
      <c r="K665" s="3258"/>
      <c r="L665" s="3258"/>
      <c r="M665" s="3257"/>
      <c r="N665" s="3258"/>
      <c r="O665" s="3258"/>
      <c r="P665" s="3258"/>
      <c r="Q665" s="3259"/>
    </row>
    <row r="666" spans="2:17">
      <c r="B666" s="3260"/>
      <c r="C666" s="3268"/>
      <c r="D666" s="3269"/>
      <c r="E666" s="3269"/>
      <c r="F666" s="3269"/>
      <c r="G666" s="3270"/>
      <c r="H666" s="3268"/>
      <c r="I666" s="3269"/>
      <c r="J666" s="3269"/>
      <c r="K666" s="3269"/>
      <c r="L666" s="3271"/>
      <c r="M666" s="3268"/>
      <c r="N666" s="3269"/>
      <c r="O666" s="3269"/>
      <c r="P666" s="3269"/>
      <c r="Q666" s="3270"/>
    </row>
    <row r="667" spans="2:17">
      <c r="B667" s="3260" t="s">
        <v>64</v>
      </c>
      <c r="C667" s="3268"/>
      <c r="D667" s="3269"/>
      <c r="E667" s="3269"/>
      <c r="F667" s="3269"/>
      <c r="G667" s="3270"/>
      <c r="H667" s="3268"/>
      <c r="I667" s="3305">
        <v>13.63299999999999</v>
      </c>
      <c r="J667" s="3305">
        <v>10.623999999999993</v>
      </c>
      <c r="K667" s="3305">
        <v>10.267719114837268</v>
      </c>
      <c r="L667" s="3306">
        <v>9.4221290681253169</v>
      </c>
      <c r="M667" s="3307">
        <v>8.9993340447693413</v>
      </c>
      <c r="N667" s="3305">
        <v>8.9993340447693413</v>
      </c>
      <c r="O667" s="3305">
        <v>8.9993340447693413</v>
      </c>
      <c r="P667" s="3305">
        <v>8.9993340447693413</v>
      </c>
      <c r="Q667" s="3308">
        <v>8.9993340447693413</v>
      </c>
    </row>
    <row r="668" spans="2:17">
      <c r="B668" s="3260" t="s">
        <v>65</v>
      </c>
      <c r="C668" s="3268"/>
      <c r="D668" s="3269"/>
      <c r="E668" s="3269"/>
      <c r="F668" s="3269"/>
      <c r="G668" s="3270"/>
      <c r="H668" s="3268"/>
      <c r="I668" s="3305">
        <v>20.800999999999998</v>
      </c>
      <c r="J668" s="3305">
        <v>18.428999999999988</v>
      </c>
      <c r="K668" s="3305">
        <v>17.810974733371236</v>
      </c>
      <c r="L668" s="3306">
        <v>16.344165718795317</v>
      </c>
      <c r="M668" s="3307">
        <v>15.610761211507358</v>
      </c>
      <c r="N668" s="3305">
        <v>15.610761211507358</v>
      </c>
      <c r="O668" s="3305">
        <v>15.610761211507358</v>
      </c>
      <c r="P668" s="3305">
        <v>15.610761211507358</v>
      </c>
      <c r="Q668" s="3308">
        <v>15.610761211507358</v>
      </c>
    </row>
    <row r="669" spans="2:17">
      <c r="B669" s="3260" t="s">
        <v>82</v>
      </c>
      <c r="C669" s="3268"/>
      <c r="D669" s="3269"/>
      <c r="E669" s="3269"/>
      <c r="F669" s="3269"/>
      <c r="G669" s="3270"/>
      <c r="H669" s="3268"/>
      <c r="I669" s="3305"/>
      <c r="J669" s="3305"/>
      <c r="K669" s="3305">
        <v>0</v>
      </c>
      <c r="L669" s="3306">
        <v>0</v>
      </c>
      <c r="M669" s="3307">
        <v>0</v>
      </c>
      <c r="N669" s="3305">
        <v>0</v>
      </c>
      <c r="O669" s="3305">
        <v>0</v>
      </c>
      <c r="P669" s="3305">
        <v>0</v>
      </c>
      <c r="Q669" s="3308">
        <v>0</v>
      </c>
    </row>
    <row r="670" spans="2:17">
      <c r="B670" s="3260" t="s">
        <v>680</v>
      </c>
      <c r="C670" s="3268"/>
      <c r="D670" s="3269"/>
      <c r="E670" s="3269"/>
      <c r="F670" s="3269"/>
      <c r="G670" s="3270"/>
      <c r="H670" s="3268"/>
      <c r="I670" s="3305"/>
      <c r="J670" s="3305"/>
      <c r="K670" s="3305">
        <v>0</v>
      </c>
      <c r="L670" s="3306">
        <v>0</v>
      </c>
      <c r="M670" s="3307">
        <v>0</v>
      </c>
      <c r="N670" s="3305">
        <v>0</v>
      </c>
      <c r="O670" s="3305">
        <v>0</v>
      </c>
      <c r="P670" s="3305">
        <v>0</v>
      </c>
      <c r="Q670" s="3308">
        <v>0</v>
      </c>
    </row>
    <row r="671" spans="2:17">
      <c r="B671" s="3260" t="s">
        <v>681</v>
      </c>
      <c r="C671" s="3268"/>
      <c r="D671" s="3269"/>
      <c r="E671" s="3269"/>
      <c r="F671" s="3269"/>
      <c r="G671" s="3270"/>
      <c r="H671" s="3268"/>
      <c r="I671" s="3305">
        <v>97.191999999999936</v>
      </c>
      <c r="J671" s="3305">
        <v>104.50499999999994</v>
      </c>
      <c r="K671" s="3305">
        <v>106.24837519729563</v>
      </c>
      <c r="L671" s="3306">
        <v>110.3860676077218</v>
      </c>
      <c r="M671" s="3307">
        <v>112.45491381293488</v>
      </c>
      <c r="N671" s="3305">
        <v>112.45491381293488</v>
      </c>
      <c r="O671" s="3305">
        <v>112.45491381293488</v>
      </c>
      <c r="P671" s="3305">
        <v>112.45491381293488</v>
      </c>
      <c r="Q671" s="3308">
        <v>112.45491381293488</v>
      </c>
    </row>
    <row r="672" spans="2:17">
      <c r="B672" s="3260" t="s">
        <v>682</v>
      </c>
      <c r="C672" s="3268"/>
      <c r="D672" s="3269"/>
      <c r="E672" s="3269"/>
      <c r="F672" s="3269"/>
      <c r="G672" s="3270"/>
      <c r="H672" s="3268"/>
      <c r="I672" s="3305"/>
      <c r="J672" s="3305"/>
      <c r="K672" s="3305">
        <v>0</v>
      </c>
      <c r="L672" s="3306">
        <v>0</v>
      </c>
      <c r="M672" s="3307">
        <v>0</v>
      </c>
      <c r="N672" s="3305">
        <v>0</v>
      </c>
      <c r="O672" s="3305">
        <v>0</v>
      </c>
      <c r="P672" s="3305">
        <v>0</v>
      </c>
      <c r="Q672" s="3308">
        <v>0</v>
      </c>
    </row>
    <row r="673" spans="2:17">
      <c r="B673" s="3260" t="s">
        <v>66</v>
      </c>
      <c r="C673" s="3268"/>
      <c r="D673" s="3269"/>
      <c r="E673" s="3269"/>
      <c r="F673" s="3269"/>
      <c r="G673" s="3270"/>
      <c r="H673" s="3268"/>
      <c r="I673" s="3305">
        <v>0.49500000000000005</v>
      </c>
      <c r="J673" s="3305">
        <v>0.495</v>
      </c>
      <c r="K673" s="3305">
        <v>0.4783999399326479</v>
      </c>
      <c r="L673" s="3306">
        <v>0.43900168380290239</v>
      </c>
      <c r="M673" s="3307">
        <v>0.41930255573802966</v>
      </c>
      <c r="N673" s="3305">
        <v>0.41930255573802966</v>
      </c>
      <c r="O673" s="3305">
        <v>0.41930255573802966</v>
      </c>
      <c r="P673" s="3305">
        <v>0.41930255573802966</v>
      </c>
      <c r="Q673" s="3308">
        <v>0.41930255573802966</v>
      </c>
    </row>
    <row r="674" spans="2:17" ht="13.5" thickBot="1">
      <c r="B674" s="3260" t="s">
        <v>67</v>
      </c>
      <c r="C674" s="3268"/>
      <c r="D674" s="3269"/>
      <c r="E674" s="3269"/>
      <c r="F674" s="3269"/>
      <c r="G674" s="3270"/>
      <c r="H674" s="3268"/>
      <c r="I674" s="3305">
        <v>22.438000000000013</v>
      </c>
      <c r="J674" s="3305">
        <v>22.43800000000002</v>
      </c>
      <c r="K674" s="3305">
        <v>21.685531014563157</v>
      </c>
      <c r="L674" s="3306">
        <v>19.899635921554612</v>
      </c>
      <c r="M674" s="3309">
        <v>19.006688375050338</v>
      </c>
      <c r="N674" s="3310">
        <v>19.006688375050338</v>
      </c>
      <c r="O674" s="3310">
        <v>19.006688375050338</v>
      </c>
      <c r="P674" s="3310">
        <v>19.006688375050338</v>
      </c>
      <c r="Q674" s="3311">
        <v>19.006688375050338</v>
      </c>
    </row>
    <row r="675" spans="2:17" ht="12.75" customHeight="1">
      <c r="B675" s="4689">
        <v>3059</v>
      </c>
      <c r="C675" s="4691" t="s">
        <v>36</v>
      </c>
      <c r="D675" s="4692"/>
      <c r="E675" s="4692"/>
      <c r="F675" s="4692"/>
      <c r="G675" s="4692"/>
      <c r="H675" s="4693" t="s">
        <v>37</v>
      </c>
      <c r="I675" s="4694"/>
      <c r="J675" s="4694"/>
      <c r="K675" s="4694"/>
      <c r="L675" s="4694"/>
      <c r="M675" s="4695" t="s">
        <v>73</v>
      </c>
      <c r="N675" s="4695"/>
      <c r="O675" s="4695"/>
      <c r="P675" s="4695"/>
      <c r="Q675" s="4696"/>
    </row>
    <row r="676" spans="2:17" ht="12.75" customHeight="1">
      <c r="B676" s="4690"/>
      <c r="C676" s="4697" t="s">
        <v>1673</v>
      </c>
      <c r="D676" s="4698"/>
      <c r="E676" s="4698"/>
      <c r="F676" s="4698"/>
      <c r="G676" s="4698"/>
      <c r="H676" s="4698"/>
      <c r="I676" s="4698"/>
      <c r="J676" s="4698"/>
      <c r="K676" s="4698"/>
      <c r="L676" s="4698"/>
      <c r="M676" s="4698"/>
      <c r="N676" s="4698"/>
      <c r="O676" s="4698"/>
      <c r="P676" s="4698"/>
      <c r="Q676" s="4699"/>
    </row>
    <row r="677" spans="2:17" ht="12.75" customHeight="1">
      <c r="B677" s="4690"/>
      <c r="C677" s="4697" t="s">
        <v>54</v>
      </c>
      <c r="D677" s="4698"/>
      <c r="E677" s="4698"/>
      <c r="F677" s="4698"/>
      <c r="G677" s="4698"/>
      <c r="H677" s="4698"/>
      <c r="I677" s="4698"/>
      <c r="J677" s="4700"/>
      <c r="K677" s="4701" t="s">
        <v>55</v>
      </c>
      <c r="L677" s="4702"/>
      <c r="M677" s="4702"/>
      <c r="N677" s="4702"/>
      <c r="O677" s="4702"/>
      <c r="P677" s="4702"/>
      <c r="Q677" s="4703"/>
    </row>
    <row r="678" spans="2:17" ht="13.5" customHeight="1" thickBot="1">
      <c r="B678" s="4690"/>
      <c r="C678" s="3252">
        <f t="array" ref="C678:G678">PRCP</f>
        <v>2008</v>
      </c>
      <c r="D678" s="3253">
        <v>2009</v>
      </c>
      <c r="E678" s="3253">
        <v>2010</v>
      </c>
      <c r="F678" s="3253">
        <v>2011</v>
      </c>
      <c r="G678" s="3253">
        <v>2012</v>
      </c>
      <c r="H678" s="3254">
        <f>CRCP_y1</f>
        <v>2013</v>
      </c>
      <c r="I678" s="3254">
        <f>CRCP_y2</f>
        <v>2014</v>
      </c>
      <c r="J678" s="3254">
        <f>CRCP_y3</f>
        <v>2015</v>
      </c>
      <c r="K678" s="3254">
        <f>CRCP_y4</f>
        <v>2016</v>
      </c>
      <c r="L678" s="3254">
        <f>CRCP_y5</f>
        <v>2017</v>
      </c>
      <c r="M678" s="3253" t="str">
        <f t="array" ref="M678:Q678">FRCP</f>
        <v>2018</v>
      </c>
      <c r="N678" s="3253">
        <v>2019</v>
      </c>
      <c r="O678" s="3253">
        <v>2020</v>
      </c>
      <c r="P678" s="3253">
        <v>2021</v>
      </c>
      <c r="Q678" s="3255">
        <v>2022</v>
      </c>
    </row>
    <row r="679" spans="2:17">
      <c r="B679" s="3256" t="s">
        <v>1696</v>
      </c>
      <c r="C679" s="3257"/>
      <c r="D679" s="3258"/>
      <c r="E679" s="3258"/>
      <c r="F679" s="3258"/>
      <c r="G679" s="3259"/>
      <c r="H679" s="3257"/>
      <c r="I679" s="3258"/>
      <c r="J679" s="3258"/>
      <c r="K679" s="3258"/>
      <c r="L679" s="3258"/>
      <c r="M679" s="3257"/>
      <c r="N679" s="3258"/>
      <c r="O679" s="3258"/>
      <c r="P679" s="3258"/>
      <c r="Q679" s="3259"/>
    </row>
    <row r="680" spans="2:17">
      <c r="B680" s="3260"/>
      <c r="C680" s="3268"/>
      <c r="D680" s="3269"/>
      <c r="E680" s="3269"/>
      <c r="F680" s="3269"/>
      <c r="G680" s="3270"/>
      <c r="H680" s="3268"/>
      <c r="I680" s="3269"/>
      <c r="J680" s="3269"/>
      <c r="K680" s="3269"/>
      <c r="L680" s="3271"/>
      <c r="M680" s="3268"/>
      <c r="N680" s="3269"/>
      <c r="O680" s="3269"/>
      <c r="P680" s="3269"/>
      <c r="Q680" s="3270"/>
    </row>
    <row r="681" spans="2:17">
      <c r="B681" s="3260" t="s">
        <v>64</v>
      </c>
      <c r="C681" s="3268"/>
      <c r="D681" s="3269"/>
      <c r="E681" s="3269"/>
      <c r="F681" s="3269"/>
      <c r="G681" s="3270"/>
      <c r="H681" s="3268"/>
      <c r="I681" s="3305">
        <v>0</v>
      </c>
      <c r="J681" s="3305">
        <v>0</v>
      </c>
      <c r="K681" s="3305">
        <v>0</v>
      </c>
      <c r="L681" s="3306">
        <v>0</v>
      </c>
      <c r="M681" s="3307">
        <v>0</v>
      </c>
      <c r="N681" s="3305">
        <v>0</v>
      </c>
      <c r="O681" s="3305">
        <v>0</v>
      </c>
      <c r="P681" s="3305">
        <v>0</v>
      </c>
      <c r="Q681" s="3308">
        <v>0</v>
      </c>
    </row>
    <row r="682" spans="2:17">
      <c r="B682" s="3260" t="s">
        <v>65</v>
      </c>
      <c r="C682" s="3268"/>
      <c r="D682" s="3269"/>
      <c r="E682" s="3269"/>
      <c r="F682" s="3269"/>
      <c r="G682" s="3270"/>
      <c r="H682" s="3268"/>
      <c r="I682" s="3305">
        <v>0</v>
      </c>
      <c r="J682" s="3305">
        <v>0</v>
      </c>
      <c r="K682" s="3305">
        <v>0</v>
      </c>
      <c r="L682" s="3306">
        <v>0</v>
      </c>
      <c r="M682" s="3307">
        <v>0</v>
      </c>
      <c r="N682" s="3305">
        <v>0</v>
      </c>
      <c r="O682" s="3305">
        <v>0</v>
      </c>
      <c r="P682" s="3305">
        <v>0</v>
      </c>
      <c r="Q682" s="3308">
        <v>0</v>
      </c>
    </row>
    <row r="683" spans="2:17">
      <c r="B683" s="3260" t="s">
        <v>82</v>
      </c>
      <c r="C683" s="3268"/>
      <c r="D683" s="3269"/>
      <c r="E683" s="3269"/>
      <c r="F683" s="3269"/>
      <c r="G683" s="3270"/>
      <c r="H683" s="3268"/>
      <c r="I683" s="3305">
        <v>0</v>
      </c>
      <c r="J683" s="3305">
        <v>0</v>
      </c>
      <c r="K683" s="3305">
        <v>0</v>
      </c>
      <c r="L683" s="3306">
        <v>0</v>
      </c>
      <c r="M683" s="3307">
        <v>0</v>
      </c>
      <c r="N683" s="3305">
        <v>0</v>
      </c>
      <c r="O683" s="3305">
        <v>0</v>
      </c>
      <c r="P683" s="3305">
        <v>0</v>
      </c>
      <c r="Q683" s="3308">
        <v>0</v>
      </c>
    </row>
    <row r="684" spans="2:17">
      <c r="B684" s="3260" t="s">
        <v>680</v>
      </c>
      <c r="C684" s="3268"/>
      <c r="D684" s="3269"/>
      <c r="E684" s="3269"/>
      <c r="F684" s="3269"/>
      <c r="G684" s="3270"/>
      <c r="H684" s="3268"/>
      <c r="I684" s="3305">
        <v>0</v>
      </c>
      <c r="J684" s="3305">
        <v>0</v>
      </c>
      <c r="K684" s="3305">
        <v>0</v>
      </c>
      <c r="L684" s="3306">
        <v>0</v>
      </c>
      <c r="M684" s="3307">
        <v>0</v>
      </c>
      <c r="N684" s="3305">
        <v>0</v>
      </c>
      <c r="O684" s="3305">
        <v>0</v>
      </c>
      <c r="P684" s="3305">
        <v>0</v>
      </c>
      <c r="Q684" s="3308">
        <v>0</v>
      </c>
    </row>
    <row r="685" spans="2:17">
      <c r="B685" s="3260" t="s">
        <v>681</v>
      </c>
      <c r="C685" s="3268"/>
      <c r="D685" s="3269"/>
      <c r="E685" s="3269"/>
      <c r="F685" s="3269"/>
      <c r="G685" s="3270"/>
      <c r="H685" s="3268"/>
      <c r="I685" s="3305">
        <v>77.200000000000117</v>
      </c>
      <c r="J685" s="3305">
        <v>82.60800000000016</v>
      </c>
      <c r="K685" s="3305">
        <v>84.26016000000017</v>
      </c>
      <c r="L685" s="3306">
        <v>85.945363200000173</v>
      </c>
      <c r="M685" s="3307">
        <v>87.664270464000182</v>
      </c>
      <c r="N685" s="3305">
        <v>89.417555873280193</v>
      </c>
      <c r="O685" s="3305">
        <v>91.205906990745802</v>
      </c>
      <c r="P685" s="3305">
        <v>93.030025130560716</v>
      </c>
      <c r="Q685" s="3308">
        <v>94.890625633171936</v>
      </c>
    </row>
    <row r="686" spans="2:17">
      <c r="B686" s="3260" t="s">
        <v>682</v>
      </c>
      <c r="C686" s="3268"/>
      <c r="D686" s="3269"/>
      <c r="E686" s="3269"/>
      <c r="F686" s="3269"/>
      <c r="G686" s="3270"/>
      <c r="H686" s="3268"/>
      <c r="I686" s="3305">
        <v>0</v>
      </c>
      <c r="J686" s="3305">
        <v>0</v>
      </c>
      <c r="K686" s="3305">
        <v>0</v>
      </c>
      <c r="L686" s="3306">
        <v>0</v>
      </c>
      <c r="M686" s="3307">
        <v>0</v>
      </c>
      <c r="N686" s="3305">
        <v>0</v>
      </c>
      <c r="O686" s="3305">
        <v>0</v>
      </c>
      <c r="P686" s="3305">
        <v>0</v>
      </c>
      <c r="Q686" s="3308">
        <v>0</v>
      </c>
    </row>
    <row r="687" spans="2:17">
      <c r="B687" s="3260" t="s">
        <v>66</v>
      </c>
      <c r="C687" s="3268"/>
      <c r="D687" s="3269"/>
      <c r="E687" s="3269"/>
      <c r="F687" s="3269"/>
      <c r="G687" s="3270"/>
      <c r="H687" s="3268"/>
      <c r="I687" s="3305">
        <v>0</v>
      </c>
      <c r="J687" s="3305">
        <v>0</v>
      </c>
      <c r="K687" s="3305">
        <v>0</v>
      </c>
      <c r="L687" s="3306">
        <v>0</v>
      </c>
      <c r="M687" s="3307">
        <v>0</v>
      </c>
      <c r="N687" s="3305">
        <v>0</v>
      </c>
      <c r="O687" s="3305">
        <v>0</v>
      </c>
      <c r="P687" s="3305">
        <v>0</v>
      </c>
      <c r="Q687" s="3308">
        <v>0</v>
      </c>
    </row>
    <row r="688" spans="2:17" ht="13.5" thickBot="1">
      <c r="B688" s="3260" t="s">
        <v>67</v>
      </c>
      <c r="C688" s="3268"/>
      <c r="D688" s="3269"/>
      <c r="E688" s="3269"/>
      <c r="F688" s="3269"/>
      <c r="G688" s="3270"/>
      <c r="H688" s="3268"/>
      <c r="I688" s="3305">
        <v>8.0969999999999978</v>
      </c>
      <c r="J688" s="3305">
        <v>8.0969999999999995</v>
      </c>
      <c r="K688" s="3305">
        <v>8.0969999999999995</v>
      </c>
      <c r="L688" s="3306">
        <v>8.0969999999999995</v>
      </c>
      <c r="M688" s="3309">
        <v>8.0969999999999995</v>
      </c>
      <c r="N688" s="3310">
        <v>8.0969999999999995</v>
      </c>
      <c r="O688" s="3310">
        <v>8.0969999999999995</v>
      </c>
      <c r="P688" s="3310">
        <v>8.0969999999999995</v>
      </c>
      <c r="Q688" s="3311">
        <v>8.0969999999999995</v>
      </c>
    </row>
    <row r="689" spans="2:17" ht="12.75" customHeight="1">
      <c r="B689" s="4689">
        <v>3060</v>
      </c>
      <c r="C689" s="4691" t="s">
        <v>36</v>
      </c>
      <c r="D689" s="4692"/>
      <c r="E689" s="4692"/>
      <c r="F689" s="4692"/>
      <c r="G689" s="4692"/>
      <c r="H689" s="4693" t="s">
        <v>37</v>
      </c>
      <c r="I689" s="4694"/>
      <c r="J689" s="4694"/>
      <c r="K689" s="4694"/>
      <c r="L689" s="4694"/>
      <c r="M689" s="4695" t="s">
        <v>73</v>
      </c>
      <c r="N689" s="4695"/>
      <c r="O689" s="4695"/>
      <c r="P689" s="4695"/>
      <c r="Q689" s="4696"/>
    </row>
    <row r="690" spans="2:17" ht="12.75" customHeight="1">
      <c r="B690" s="4690"/>
      <c r="C690" s="4697" t="s">
        <v>1673</v>
      </c>
      <c r="D690" s="4698"/>
      <c r="E690" s="4698"/>
      <c r="F690" s="4698"/>
      <c r="G690" s="4698"/>
      <c r="H690" s="4698"/>
      <c r="I690" s="4698"/>
      <c r="J690" s="4698"/>
      <c r="K690" s="4698"/>
      <c r="L690" s="4698"/>
      <c r="M690" s="4698"/>
      <c r="N690" s="4698"/>
      <c r="O690" s="4698"/>
      <c r="P690" s="4698"/>
      <c r="Q690" s="4699"/>
    </row>
    <row r="691" spans="2:17" ht="12.75" customHeight="1">
      <c r="B691" s="4690"/>
      <c r="C691" s="4697" t="s">
        <v>54</v>
      </c>
      <c r="D691" s="4698"/>
      <c r="E691" s="4698"/>
      <c r="F691" s="4698"/>
      <c r="G691" s="4698"/>
      <c r="H691" s="4698"/>
      <c r="I691" s="4698"/>
      <c r="J691" s="4700"/>
      <c r="K691" s="4701" t="s">
        <v>55</v>
      </c>
      <c r="L691" s="4702"/>
      <c r="M691" s="4702"/>
      <c r="N691" s="4702"/>
      <c r="O691" s="4702"/>
      <c r="P691" s="4702"/>
      <c r="Q691" s="4703"/>
    </row>
    <row r="692" spans="2:17" ht="13.5" customHeight="1" thickBot="1">
      <c r="B692" s="4690"/>
      <c r="C692" s="3252">
        <f t="array" ref="C692:G692">PRCP</f>
        <v>2008</v>
      </c>
      <c r="D692" s="3253">
        <v>2009</v>
      </c>
      <c r="E692" s="3253">
        <v>2010</v>
      </c>
      <c r="F692" s="3253">
        <v>2011</v>
      </c>
      <c r="G692" s="3253">
        <v>2012</v>
      </c>
      <c r="H692" s="3254">
        <f>CRCP_y1</f>
        <v>2013</v>
      </c>
      <c r="I692" s="3254">
        <f>CRCP_y2</f>
        <v>2014</v>
      </c>
      <c r="J692" s="3254">
        <f>CRCP_y3</f>
        <v>2015</v>
      </c>
      <c r="K692" s="3254">
        <f>CRCP_y4</f>
        <v>2016</v>
      </c>
      <c r="L692" s="3254">
        <f>CRCP_y5</f>
        <v>2017</v>
      </c>
      <c r="M692" s="3253" t="str">
        <f t="array" ref="M692:Q692">FRCP</f>
        <v>2018</v>
      </c>
      <c r="N692" s="3253">
        <v>2019</v>
      </c>
      <c r="O692" s="3253">
        <v>2020</v>
      </c>
      <c r="P692" s="3253">
        <v>2021</v>
      </c>
      <c r="Q692" s="3255">
        <v>2022</v>
      </c>
    </row>
    <row r="693" spans="2:17">
      <c r="B693" s="3256" t="s">
        <v>1697</v>
      </c>
      <c r="C693" s="3257"/>
      <c r="D693" s="3258"/>
      <c r="E693" s="3258"/>
      <c r="F693" s="3258"/>
      <c r="G693" s="3259"/>
      <c r="H693" s="3257"/>
      <c r="I693" s="3258"/>
      <c r="J693" s="3258"/>
      <c r="K693" s="3258"/>
      <c r="L693" s="3259"/>
      <c r="M693" s="3257"/>
      <c r="N693" s="3258"/>
      <c r="O693" s="3258"/>
      <c r="P693" s="3258"/>
      <c r="Q693" s="3259"/>
    </row>
    <row r="694" spans="2:17">
      <c r="B694" s="3260"/>
      <c r="C694" s="3268"/>
      <c r="D694" s="3269"/>
      <c r="E694" s="3269"/>
      <c r="F694" s="3269"/>
      <c r="G694" s="3270"/>
      <c r="H694" s="3268"/>
      <c r="I694" s="3269"/>
      <c r="J694" s="3269"/>
      <c r="K694" s="3269"/>
      <c r="L694" s="3270"/>
      <c r="M694" s="3268"/>
      <c r="N694" s="3269"/>
      <c r="O694" s="3269"/>
      <c r="P694" s="3269"/>
      <c r="Q694" s="3270"/>
    </row>
    <row r="695" spans="2:17">
      <c r="B695" s="3260" t="s">
        <v>64</v>
      </c>
      <c r="C695" s="3268"/>
      <c r="D695" s="3269"/>
      <c r="E695" s="3269"/>
      <c r="F695" s="3269"/>
      <c r="G695" s="3270"/>
      <c r="H695" s="3268"/>
      <c r="I695" s="3305">
        <v>0</v>
      </c>
      <c r="J695" s="3305">
        <v>0</v>
      </c>
      <c r="K695" s="3305">
        <v>0</v>
      </c>
      <c r="L695" s="3308">
        <v>0</v>
      </c>
      <c r="M695" s="3307">
        <v>0</v>
      </c>
      <c r="N695" s="3305">
        <v>0</v>
      </c>
      <c r="O695" s="3305">
        <v>0</v>
      </c>
      <c r="P695" s="3305">
        <v>0</v>
      </c>
      <c r="Q695" s="3308">
        <v>0</v>
      </c>
    </row>
    <row r="696" spans="2:17">
      <c r="B696" s="3260" t="s">
        <v>65</v>
      </c>
      <c r="C696" s="3268"/>
      <c r="D696" s="3269"/>
      <c r="E696" s="3269"/>
      <c r="F696" s="3269"/>
      <c r="G696" s="3270"/>
      <c r="H696" s="3268"/>
      <c r="I696" s="3305">
        <v>0</v>
      </c>
      <c r="J696" s="3305">
        <v>0</v>
      </c>
      <c r="K696" s="3305">
        <v>0</v>
      </c>
      <c r="L696" s="3308">
        <v>0</v>
      </c>
      <c r="M696" s="3307">
        <v>0</v>
      </c>
      <c r="N696" s="3305">
        <v>0</v>
      </c>
      <c r="O696" s="3305">
        <v>0</v>
      </c>
      <c r="P696" s="3305">
        <v>0</v>
      </c>
      <c r="Q696" s="3308">
        <v>0</v>
      </c>
    </row>
    <row r="697" spans="2:17">
      <c r="B697" s="3260" t="s">
        <v>82</v>
      </c>
      <c r="C697" s="3268"/>
      <c r="D697" s="3269"/>
      <c r="E697" s="3269"/>
      <c r="F697" s="3269"/>
      <c r="G697" s="3270"/>
      <c r="H697" s="3268"/>
      <c r="I697" s="3305">
        <v>0</v>
      </c>
      <c r="J697" s="3305">
        <v>0</v>
      </c>
      <c r="K697" s="3305">
        <v>0</v>
      </c>
      <c r="L697" s="3308">
        <v>0</v>
      </c>
      <c r="M697" s="3307">
        <v>0</v>
      </c>
      <c r="N697" s="3305">
        <v>0</v>
      </c>
      <c r="O697" s="3305">
        <v>0</v>
      </c>
      <c r="P697" s="3305">
        <v>0</v>
      </c>
      <c r="Q697" s="3308">
        <v>0</v>
      </c>
    </row>
    <row r="698" spans="2:17">
      <c r="B698" s="3260" t="s">
        <v>680</v>
      </c>
      <c r="C698" s="3268"/>
      <c r="D698" s="3269"/>
      <c r="E698" s="3269"/>
      <c r="F698" s="3269"/>
      <c r="G698" s="3270"/>
      <c r="H698" s="3268"/>
      <c r="I698" s="3305">
        <v>0</v>
      </c>
      <c r="J698" s="3305">
        <v>0</v>
      </c>
      <c r="K698" s="3305">
        <v>0</v>
      </c>
      <c r="L698" s="3308">
        <v>0</v>
      </c>
      <c r="M698" s="3307">
        <v>0</v>
      </c>
      <c r="N698" s="3305">
        <v>0</v>
      </c>
      <c r="O698" s="3305">
        <v>0</v>
      </c>
      <c r="P698" s="3305">
        <v>0</v>
      </c>
      <c r="Q698" s="3308">
        <v>0</v>
      </c>
    </row>
    <row r="699" spans="2:17">
      <c r="B699" s="3260" t="s">
        <v>681</v>
      </c>
      <c r="C699" s="3268"/>
      <c r="D699" s="3269"/>
      <c r="E699" s="3269"/>
      <c r="F699" s="3269"/>
      <c r="G699" s="3270"/>
      <c r="H699" s="3268"/>
      <c r="I699" s="3305">
        <v>51.231999999999964</v>
      </c>
      <c r="J699" s="3305">
        <v>51.311999999999962</v>
      </c>
      <c r="K699" s="3305">
        <v>51.311999999999962</v>
      </c>
      <c r="L699" s="3305">
        <v>51.311999999999962</v>
      </c>
      <c r="M699" s="3305">
        <v>51.311999999999962</v>
      </c>
      <c r="N699" s="3305">
        <v>51.311999999999962</v>
      </c>
      <c r="O699" s="3305">
        <v>51.311999999999962</v>
      </c>
      <c r="P699" s="3305">
        <v>51.311999999999962</v>
      </c>
      <c r="Q699" s="3305">
        <v>51.311999999999962</v>
      </c>
    </row>
    <row r="700" spans="2:17">
      <c r="B700" s="3260" t="s">
        <v>682</v>
      </c>
      <c r="C700" s="3268"/>
      <c r="D700" s="3269"/>
      <c r="E700" s="3269"/>
      <c r="F700" s="3269"/>
      <c r="G700" s="3270"/>
      <c r="H700" s="3268"/>
      <c r="I700" s="3305">
        <v>0.28200000000000003</v>
      </c>
      <c r="J700" s="3305">
        <v>0.28200000000000003</v>
      </c>
      <c r="K700" s="3305">
        <v>0.28200000000000003</v>
      </c>
      <c r="L700" s="3305">
        <v>0.28200000000000003</v>
      </c>
      <c r="M700" s="3305">
        <v>0.28200000000000003</v>
      </c>
      <c r="N700" s="3305">
        <v>0.28200000000000003</v>
      </c>
      <c r="O700" s="3305">
        <v>0.28200000000000003</v>
      </c>
      <c r="P700" s="3305">
        <v>0.28200000000000003</v>
      </c>
      <c r="Q700" s="3305">
        <v>0.28200000000000003</v>
      </c>
    </row>
    <row r="701" spans="2:17">
      <c r="B701" s="3260" t="s">
        <v>66</v>
      </c>
      <c r="C701" s="3268"/>
      <c r="D701" s="3269"/>
      <c r="E701" s="3269"/>
      <c r="F701" s="3269"/>
      <c r="G701" s="3270"/>
      <c r="H701" s="3268"/>
      <c r="I701" s="3305">
        <v>0</v>
      </c>
      <c r="J701" s="3305">
        <v>0</v>
      </c>
      <c r="K701" s="3305">
        <v>0</v>
      </c>
      <c r="L701" s="3305">
        <v>0</v>
      </c>
      <c r="M701" s="3305">
        <v>0</v>
      </c>
      <c r="N701" s="3305">
        <v>0</v>
      </c>
      <c r="O701" s="3305">
        <v>0</v>
      </c>
      <c r="P701" s="3305">
        <v>0</v>
      </c>
      <c r="Q701" s="3305">
        <v>0</v>
      </c>
    </row>
    <row r="702" spans="2:17" ht="13.5" thickBot="1">
      <c r="B702" s="3260" t="s">
        <v>67</v>
      </c>
      <c r="C702" s="3268"/>
      <c r="D702" s="3269"/>
      <c r="E702" s="3269"/>
      <c r="F702" s="3269"/>
      <c r="G702" s="3270"/>
      <c r="H702" s="3268"/>
      <c r="I702" s="3305">
        <v>6.625</v>
      </c>
      <c r="J702" s="3305">
        <v>6.625</v>
      </c>
      <c r="K702" s="3305">
        <v>6.625</v>
      </c>
      <c r="L702" s="3305">
        <v>6.625</v>
      </c>
      <c r="M702" s="3305">
        <v>6.625</v>
      </c>
      <c r="N702" s="3305">
        <v>6.625</v>
      </c>
      <c r="O702" s="3305">
        <v>6.625</v>
      </c>
      <c r="P702" s="3305">
        <v>6.625</v>
      </c>
      <c r="Q702" s="3305">
        <v>6.625</v>
      </c>
    </row>
    <row r="703" spans="2:17" ht="12.75" customHeight="1">
      <c r="B703" s="4689">
        <v>3061</v>
      </c>
      <c r="C703" s="4691" t="s">
        <v>36</v>
      </c>
      <c r="D703" s="4692"/>
      <c r="E703" s="4692"/>
      <c r="F703" s="4692"/>
      <c r="G703" s="4692"/>
      <c r="H703" s="4693" t="s">
        <v>37</v>
      </c>
      <c r="I703" s="4694"/>
      <c r="J703" s="4694"/>
      <c r="K703" s="4694"/>
      <c r="L703" s="4694"/>
      <c r="M703" s="4695" t="s">
        <v>73</v>
      </c>
      <c r="N703" s="4695"/>
      <c r="O703" s="4695"/>
      <c r="P703" s="4695"/>
      <c r="Q703" s="4696"/>
    </row>
    <row r="704" spans="2:17" ht="12.75" customHeight="1">
      <c r="B704" s="4690"/>
      <c r="C704" s="4697" t="s">
        <v>1673</v>
      </c>
      <c r="D704" s="4698"/>
      <c r="E704" s="4698"/>
      <c r="F704" s="4698"/>
      <c r="G704" s="4698"/>
      <c r="H704" s="4698"/>
      <c r="I704" s="4698"/>
      <c r="J704" s="4698"/>
      <c r="K704" s="4698"/>
      <c r="L704" s="4698"/>
      <c r="M704" s="4698"/>
      <c r="N704" s="4698"/>
      <c r="O704" s="4698"/>
      <c r="P704" s="4698"/>
      <c r="Q704" s="4699"/>
    </row>
    <row r="705" spans="2:17" ht="12.75" customHeight="1">
      <c r="B705" s="4690"/>
      <c r="C705" s="4697" t="s">
        <v>54</v>
      </c>
      <c r="D705" s="4698"/>
      <c r="E705" s="4698"/>
      <c r="F705" s="4698"/>
      <c r="G705" s="4698"/>
      <c r="H705" s="4698"/>
      <c r="I705" s="4698"/>
      <c r="J705" s="4700"/>
      <c r="K705" s="4701" t="s">
        <v>55</v>
      </c>
      <c r="L705" s="4702"/>
      <c r="M705" s="4702"/>
      <c r="N705" s="4702"/>
      <c r="O705" s="4702"/>
      <c r="P705" s="4702"/>
      <c r="Q705" s="4703"/>
    </row>
    <row r="706" spans="2:17" ht="13.5" customHeight="1" thickBot="1">
      <c r="B706" s="4690"/>
      <c r="C706" s="3252">
        <f t="array" ref="C706:G706">PRCP</f>
        <v>2008</v>
      </c>
      <c r="D706" s="3253">
        <v>2009</v>
      </c>
      <c r="E706" s="3253">
        <v>2010</v>
      </c>
      <c r="F706" s="3253">
        <v>2011</v>
      </c>
      <c r="G706" s="3253">
        <v>2012</v>
      </c>
      <c r="H706" s="3254">
        <f>CRCP_y1</f>
        <v>2013</v>
      </c>
      <c r="I706" s="3254">
        <f>CRCP_y2</f>
        <v>2014</v>
      </c>
      <c r="J706" s="3254">
        <f>CRCP_y3</f>
        <v>2015</v>
      </c>
      <c r="K706" s="3254">
        <f>CRCP_y4</f>
        <v>2016</v>
      </c>
      <c r="L706" s="3254">
        <f>CRCP_y5</f>
        <v>2017</v>
      </c>
      <c r="M706" s="3253" t="str">
        <f t="array" ref="M706:Q706">FRCP</f>
        <v>2018</v>
      </c>
      <c r="N706" s="3253">
        <v>2019</v>
      </c>
      <c r="O706" s="3253">
        <v>2020</v>
      </c>
      <c r="P706" s="3253">
        <v>2021</v>
      </c>
      <c r="Q706" s="3255">
        <v>2022</v>
      </c>
    </row>
    <row r="707" spans="2:17">
      <c r="B707" s="3256" t="s">
        <v>1697</v>
      </c>
      <c r="C707" s="3257"/>
      <c r="D707" s="3258"/>
      <c r="E707" s="3258"/>
      <c r="F707" s="3258"/>
      <c r="G707" s="3259"/>
      <c r="H707" s="3257"/>
      <c r="I707" s="3258"/>
      <c r="J707" s="3258"/>
      <c r="K707" s="3258"/>
      <c r="L707" s="3258"/>
      <c r="M707" s="3257"/>
      <c r="N707" s="3258"/>
      <c r="O707" s="3258"/>
      <c r="P707" s="3258"/>
      <c r="Q707" s="3259"/>
    </row>
    <row r="708" spans="2:17">
      <c r="B708" s="3260"/>
      <c r="C708" s="3268"/>
      <c r="D708" s="3269"/>
      <c r="E708" s="3269"/>
      <c r="F708" s="3269"/>
      <c r="G708" s="3270"/>
      <c r="H708" s="3268"/>
      <c r="I708" s="3269"/>
      <c r="J708" s="3269"/>
      <c r="K708" s="3269"/>
      <c r="L708" s="3271"/>
      <c r="M708" s="3268"/>
      <c r="N708" s="3269"/>
      <c r="O708" s="3269"/>
      <c r="P708" s="3269"/>
      <c r="Q708" s="3270"/>
    </row>
    <row r="709" spans="2:17">
      <c r="B709" s="3260" t="s">
        <v>64</v>
      </c>
      <c r="C709" s="3268"/>
      <c r="D709" s="3269"/>
      <c r="E709" s="3269"/>
      <c r="F709" s="3269"/>
      <c r="G709" s="3270"/>
      <c r="H709" s="3268"/>
      <c r="I709" s="3305">
        <v>0</v>
      </c>
      <c r="J709" s="3305">
        <v>0</v>
      </c>
      <c r="K709" s="3305">
        <v>0</v>
      </c>
      <c r="L709" s="3306">
        <v>0</v>
      </c>
      <c r="M709" s="3307">
        <v>0</v>
      </c>
      <c r="N709" s="3305">
        <v>0</v>
      </c>
      <c r="O709" s="3305">
        <v>0</v>
      </c>
      <c r="P709" s="3305">
        <v>0</v>
      </c>
      <c r="Q709" s="3308">
        <v>0</v>
      </c>
    </row>
    <row r="710" spans="2:17">
      <c r="B710" s="3260" t="s">
        <v>65</v>
      </c>
      <c r="C710" s="3268"/>
      <c r="D710" s="3269"/>
      <c r="E710" s="3269"/>
      <c r="F710" s="3269"/>
      <c r="G710" s="3270"/>
      <c r="H710" s="3268"/>
      <c r="I710" s="3305">
        <v>0</v>
      </c>
      <c r="J710" s="3305">
        <v>0</v>
      </c>
      <c r="K710" s="3305">
        <v>0</v>
      </c>
      <c r="L710" s="3306">
        <v>0</v>
      </c>
      <c r="M710" s="3307">
        <v>0</v>
      </c>
      <c r="N710" s="3305">
        <v>0</v>
      </c>
      <c r="O710" s="3305">
        <v>0</v>
      </c>
      <c r="P710" s="3305">
        <v>0</v>
      </c>
      <c r="Q710" s="3308">
        <v>0</v>
      </c>
    </row>
    <row r="711" spans="2:17">
      <c r="B711" s="3260" t="s">
        <v>82</v>
      </c>
      <c r="C711" s="3268"/>
      <c r="D711" s="3269"/>
      <c r="E711" s="3269"/>
      <c r="F711" s="3269"/>
      <c r="G711" s="3270"/>
      <c r="H711" s="3268"/>
      <c r="I711" s="3305">
        <v>0</v>
      </c>
      <c r="J711" s="3305">
        <v>0</v>
      </c>
      <c r="K711" s="3305">
        <v>0</v>
      </c>
      <c r="L711" s="3306">
        <v>0</v>
      </c>
      <c r="M711" s="3307">
        <v>0</v>
      </c>
      <c r="N711" s="3305">
        <v>0</v>
      </c>
      <c r="O711" s="3305">
        <v>0</v>
      </c>
      <c r="P711" s="3305">
        <v>0</v>
      </c>
      <c r="Q711" s="3308">
        <v>0</v>
      </c>
    </row>
    <row r="712" spans="2:17">
      <c r="B712" s="3260" t="s">
        <v>680</v>
      </c>
      <c r="C712" s="3268"/>
      <c r="D712" s="3269"/>
      <c r="E712" s="3269"/>
      <c r="F712" s="3269"/>
      <c r="G712" s="3270"/>
      <c r="H712" s="3268"/>
      <c r="I712" s="3305">
        <v>0</v>
      </c>
      <c r="J712" s="3305">
        <v>0</v>
      </c>
      <c r="K712" s="3305">
        <v>0</v>
      </c>
      <c r="L712" s="3306">
        <v>0</v>
      </c>
      <c r="M712" s="3307">
        <v>0</v>
      </c>
      <c r="N712" s="3305">
        <v>0</v>
      </c>
      <c r="O712" s="3305">
        <v>0</v>
      </c>
      <c r="P712" s="3305">
        <v>0</v>
      </c>
      <c r="Q712" s="3308">
        <v>0</v>
      </c>
    </row>
    <row r="713" spans="2:17">
      <c r="B713" s="3260" t="s">
        <v>681</v>
      </c>
      <c r="C713" s="3268"/>
      <c r="D713" s="3269"/>
      <c r="E713" s="3269"/>
      <c r="F713" s="3269"/>
      <c r="G713" s="3270"/>
      <c r="H713" s="3268"/>
      <c r="I713" s="3305">
        <v>12.839999999999998</v>
      </c>
      <c r="J713" s="3305">
        <v>12.984999999999999</v>
      </c>
      <c r="K713" s="3305">
        <v>12.984999999999999</v>
      </c>
      <c r="L713" s="3306">
        <v>12.984999999999999</v>
      </c>
      <c r="M713" s="3307">
        <v>12.984999999999999</v>
      </c>
      <c r="N713" s="3305">
        <v>12.984999999999999</v>
      </c>
      <c r="O713" s="3305">
        <v>12.984999999999999</v>
      </c>
      <c r="P713" s="3305">
        <v>12.984999999999999</v>
      </c>
      <c r="Q713" s="3308">
        <v>12.984999999999999</v>
      </c>
    </row>
    <row r="714" spans="2:17">
      <c r="B714" s="3260" t="s">
        <v>682</v>
      </c>
      <c r="C714" s="3268"/>
      <c r="D714" s="3269"/>
      <c r="E714" s="3269"/>
      <c r="F714" s="3269"/>
      <c r="G714" s="3270"/>
      <c r="H714" s="3268"/>
      <c r="I714" s="3305">
        <v>0.56399999999999995</v>
      </c>
      <c r="J714" s="3305">
        <v>0.56399999999999995</v>
      </c>
      <c r="K714" s="3305">
        <v>0.56399999999999995</v>
      </c>
      <c r="L714" s="3306">
        <v>0.56399999999999995</v>
      </c>
      <c r="M714" s="3307">
        <v>0.56399999999999995</v>
      </c>
      <c r="N714" s="3305">
        <v>0.56399999999999995</v>
      </c>
      <c r="O714" s="3305">
        <v>0.56399999999999995</v>
      </c>
      <c r="P714" s="3305">
        <v>0.56399999999999995</v>
      </c>
      <c r="Q714" s="3308">
        <v>0.56399999999999995</v>
      </c>
    </row>
    <row r="715" spans="2:17">
      <c r="B715" s="3260" t="s">
        <v>66</v>
      </c>
      <c r="C715" s="3268"/>
      <c r="D715" s="3269"/>
      <c r="E715" s="3269"/>
      <c r="F715" s="3269"/>
      <c r="G715" s="3270"/>
      <c r="H715" s="3268"/>
      <c r="I715" s="3305">
        <v>0</v>
      </c>
      <c r="J715" s="3305">
        <v>0</v>
      </c>
      <c r="K715" s="3305">
        <v>0</v>
      </c>
      <c r="L715" s="3306">
        <v>0</v>
      </c>
      <c r="M715" s="3307">
        <v>0</v>
      </c>
      <c r="N715" s="3305">
        <v>0</v>
      </c>
      <c r="O715" s="3305">
        <v>0</v>
      </c>
      <c r="P715" s="3305">
        <v>0</v>
      </c>
      <c r="Q715" s="3308">
        <v>0</v>
      </c>
    </row>
    <row r="716" spans="2:17" ht="13.5" thickBot="1">
      <c r="B716" s="3260" t="s">
        <v>67</v>
      </c>
      <c r="C716" s="3268"/>
      <c r="D716" s="3269"/>
      <c r="E716" s="3269"/>
      <c r="F716" s="3269"/>
      <c r="G716" s="3270"/>
      <c r="H716" s="3268"/>
      <c r="I716" s="3305">
        <v>30.366000000000014</v>
      </c>
      <c r="J716" s="3305">
        <v>30.431000000000012</v>
      </c>
      <c r="K716" s="3305">
        <v>30.431000000000012</v>
      </c>
      <c r="L716" s="3306">
        <v>30.431000000000012</v>
      </c>
      <c r="M716" s="3309">
        <v>30.431000000000012</v>
      </c>
      <c r="N716" s="3310">
        <v>30.431000000000012</v>
      </c>
      <c r="O716" s="3310">
        <v>30.431000000000012</v>
      </c>
      <c r="P716" s="3310">
        <v>30.431000000000012</v>
      </c>
      <c r="Q716" s="3311">
        <v>30.431000000000012</v>
      </c>
    </row>
    <row r="717" spans="2:17" ht="12.75" customHeight="1">
      <c r="B717" s="4689">
        <v>3062</v>
      </c>
      <c r="C717" s="4691" t="s">
        <v>36</v>
      </c>
      <c r="D717" s="4692"/>
      <c r="E717" s="4692"/>
      <c r="F717" s="4692"/>
      <c r="G717" s="4692"/>
      <c r="H717" s="4693" t="s">
        <v>37</v>
      </c>
      <c r="I717" s="4694"/>
      <c r="J717" s="4694"/>
      <c r="K717" s="4694"/>
      <c r="L717" s="4694"/>
      <c r="M717" s="4695" t="s">
        <v>73</v>
      </c>
      <c r="N717" s="4695"/>
      <c r="O717" s="4695"/>
      <c r="P717" s="4695"/>
      <c r="Q717" s="4696"/>
    </row>
    <row r="718" spans="2:17" ht="12.75" customHeight="1">
      <c r="B718" s="4690"/>
      <c r="C718" s="4697" t="s">
        <v>1673</v>
      </c>
      <c r="D718" s="4698"/>
      <c r="E718" s="4698"/>
      <c r="F718" s="4698"/>
      <c r="G718" s="4698"/>
      <c r="H718" s="4698"/>
      <c r="I718" s="4698"/>
      <c r="J718" s="4698"/>
      <c r="K718" s="4698"/>
      <c r="L718" s="4698"/>
      <c r="M718" s="4698"/>
      <c r="N718" s="4698"/>
      <c r="O718" s="4698"/>
      <c r="P718" s="4698"/>
      <c r="Q718" s="4699"/>
    </row>
    <row r="719" spans="2:17" ht="12.75" customHeight="1">
      <c r="B719" s="4690"/>
      <c r="C719" s="4697" t="s">
        <v>54</v>
      </c>
      <c r="D719" s="4698"/>
      <c r="E719" s="4698"/>
      <c r="F719" s="4698"/>
      <c r="G719" s="4698"/>
      <c r="H719" s="4698"/>
      <c r="I719" s="4698"/>
      <c r="J719" s="4700"/>
      <c r="K719" s="4701" t="s">
        <v>55</v>
      </c>
      <c r="L719" s="4702"/>
      <c r="M719" s="4702"/>
      <c r="N719" s="4702"/>
      <c r="O719" s="4702"/>
      <c r="P719" s="4702"/>
      <c r="Q719" s="4703"/>
    </row>
    <row r="720" spans="2:17" ht="13.5" customHeight="1" thickBot="1">
      <c r="B720" s="4690"/>
      <c r="C720" s="3252">
        <f t="array" ref="C720:G720">PRCP</f>
        <v>2008</v>
      </c>
      <c r="D720" s="3253">
        <v>2009</v>
      </c>
      <c r="E720" s="3253">
        <v>2010</v>
      </c>
      <c r="F720" s="3253">
        <v>2011</v>
      </c>
      <c r="G720" s="3253">
        <v>2012</v>
      </c>
      <c r="H720" s="3254">
        <f>CRCP_y1</f>
        <v>2013</v>
      </c>
      <c r="I720" s="3254">
        <f>CRCP_y2</f>
        <v>2014</v>
      </c>
      <c r="J720" s="3254">
        <f>CRCP_y3</f>
        <v>2015</v>
      </c>
      <c r="K720" s="3254">
        <f>CRCP_y4</f>
        <v>2016</v>
      </c>
      <c r="L720" s="3254">
        <f>CRCP_y5</f>
        <v>2017</v>
      </c>
      <c r="M720" s="3253" t="str">
        <f t="array" ref="M720:Q720">FRCP</f>
        <v>2018</v>
      </c>
      <c r="N720" s="3253">
        <v>2019</v>
      </c>
      <c r="O720" s="3253">
        <v>2020</v>
      </c>
      <c r="P720" s="3253">
        <v>2021</v>
      </c>
      <c r="Q720" s="3255">
        <v>2022</v>
      </c>
    </row>
    <row r="721" spans="2:17">
      <c r="B721" s="3256" t="s">
        <v>1698</v>
      </c>
      <c r="C721" s="3257"/>
      <c r="D721" s="3258"/>
      <c r="E721" s="3258"/>
      <c r="F721" s="3258"/>
      <c r="G721" s="3259"/>
      <c r="H721" s="3257"/>
      <c r="I721" s="3258"/>
      <c r="J721" s="3258"/>
      <c r="K721" s="3258"/>
      <c r="L721" s="3258"/>
      <c r="M721" s="3257"/>
      <c r="N721" s="3258"/>
      <c r="O721" s="3258"/>
      <c r="P721" s="3258"/>
      <c r="Q721" s="3259"/>
    </row>
    <row r="722" spans="2:17">
      <c r="B722" s="3260"/>
      <c r="C722" s="3268"/>
      <c r="D722" s="3269"/>
      <c r="E722" s="3269"/>
      <c r="F722" s="3269"/>
      <c r="G722" s="3270"/>
      <c r="H722" s="3268"/>
      <c r="I722" s="3269"/>
      <c r="J722" s="3269"/>
      <c r="K722" s="3269"/>
      <c r="L722" s="3271"/>
      <c r="M722" s="3268"/>
      <c r="N722" s="3269"/>
      <c r="O722" s="3269"/>
      <c r="P722" s="3269"/>
      <c r="Q722" s="3270"/>
    </row>
    <row r="723" spans="2:17">
      <c r="B723" s="3260" t="s">
        <v>64</v>
      </c>
      <c r="C723" s="3268"/>
      <c r="D723" s="3269"/>
      <c r="E723" s="3269"/>
      <c r="F723" s="3269"/>
      <c r="G723" s="3270"/>
      <c r="H723" s="3268"/>
      <c r="I723" s="3305">
        <v>0</v>
      </c>
      <c r="J723" s="3305">
        <v>0</v>
      </c>
      <c r="K723" s="3305">
        <v>0</v>
      </c>
      <c r="L723" s="3306">
        <v>0</v>
      </c>
      <c r="M723" s="3307">
        <v>0</v>
      </c>
      <c r="N723" s="3305">
        <v>0</v>
      </c>
      <c r="O723" s="3305">
        <v>0</v>
      </c>
      <c r="P723" s="3305">
        <v>0</v>
      </c>
      <c r="Q723" s="3308">
        <v>0</v>
      </c>
    </row>
    <row r="724" spans="2:17">
      <c r="B724" s="3260" t="s">
        <v>65</v>
      </c>
      <c r="C724" s="3268"/>
      <c r="D724" s="3269"/>
      <c r="E724" s="3269"/>
      <c r="F724" s="3269"/>
      <c r="G724" s="3270"/>
      <c r="H724" s="3268"/>
      <c r="I724" s="3305">
        <v>0</v>
      </c>
      <c r="J724" s="3305">
        <v>0</v>
      </c>
      <c r="K724" s="3305">
        <v>0</v>
      </c>
      <c r="L724" s="3306">
        <v>0</v>
      </c>
      <c r="M724" s="3307">
        <v>0</v>
      </c>
      <c r="N724" s="3305">
        <v>0</v>
      </c>
      <c r="O724" s="3305">
        <v>0</v>
      </c>
      <c r="P724" s="3305">
        <v>0</v>
      </c>
      <c r="Q724" s="3308">
        <v>0</v>
      </c>
    </row>
    <row r="725" spans="2:17">
      <c r="B725" s="3260" t="s">
        <v>82</v>
      </c>
      <c r="C725" s="3268"/>
      <c r="D725" s="3269"/>
      <c r="E725" s="3269"/>
      <c r="F725" s="3269"/>
      <c r="G725" s="3270"/>
      <c r="H725" s="3268"/>
      <c r="I725" s="3305">
        <v>0</v>
      </c>
      <c r="J725" s="3305">
        <v>0</v>
      </c>
      <c r="K725" s="3305">
        <v>0</v>
      </c>
      <c r="L725" s="3306">
        <v>0</v>
      </c>
      <c r="M725" s="3307">
        <v>0</v>
      </c>
      <c r="N725" s="3305">
        <v>0</v>
      </c>
      <c r="O725" s="3305">
        <v>0</v>
      </c>
      <c r="P725" s="3305">
        <v>0</v>
      </c>
      <c r="Q725" s="3308">
        <v>0</v>
      </c>
    </row>
    <row r="726" spans="2:17">
      <c r="B726" s="3260" t="s">
        <v>680</v>
      </c>
      <c r="C726" s="3268"/>
      <c r="D726" s="3269"/>
      <c r="E726" s="3269"/>
      <c r="F726" s="3269"/>
      <c r="G726" s="3270"/>
      <c r="H726" s="3268"/>
      <c r="I726" s="3305">
        <v>0</v>
      </c>
      <c r="J726" s="3305">
        <v>0</v>
      </c>
      <c r="K726" s="3305">
        <v>0</v>
      </c>
      <c r="L726" s="3306">
        <v>0</v>
      </c>
      <c r="M726" s="3307">
        <v>0</v>
      </c>
      <c r="N726" s="3305">
        <v>0</v>
      </c>
      <c r="O726" s="3305">
        <v>0</v>
      </c>
      <c r="P726" s="3305">
        <v>0</v>
      </c>
      <c r="Q726" s="3308">
        <v>0</v>
      </c>
    </row>
    <row r="727" spans="2:17">
      <c r="B727" s="3260" t="s">
        <v>681</v>
      </c>
      <c r="C727" s="3268"/>
      <c r="D727" s="3269"/>
      <c r="E727" s="3269"/>
      <c r="F727" s="3269"/>
      <c r="G727" s="3270"/>
      <c r="H727" s="3268"/>
      <c r="I727" s="3305">
        <v>0.93400000000000005</v>
      </c>
      <c r="J727" s="3305">
        <v>1.3860000000000001</v>
      </c>
      <c r="K727" s="3305">
        <v>1.3860000000000001</v>
      </c>
      <c r="L727" s="3306">
        <v>1.3860000000000001</v>
      </c>
      <c r="M727" s="3307">
        <v>1.3860000000000001</v>
      </c>
      <c r="N727" s="3305">
        <v>1.3860000000000001</v>
      </c>
      <c r="O727" s="3305">
        <v>1.3860000000000001</v>
      </c>
      <c r="P727" s="3305">
        <v>1.3860000000000001</v>
      </c>
      <c r="Q727" s="3308">
        <v>1.3860000000000001</v>
      </c>
    </row>
    <row r="728" spans="2:17">
      <c r="B728" s="3260" t="s">
        <v>682</v>
      </c>
      <c r="C728" s="3268"/>
      <c r="D728" s="3269"/>
      <c r="E728" s="3269"/>
      <c r="F728" s="3269"/>
      <c r="G728" s="3270"/>
      <c r="H728" s="3268"/>
      <c r="I728" s="3305">
        <v>0</v>
      </c>
      <c r="J728" s="3305">
        <v>0</v>
      </c>
      <c r="K728" s="3305">
        <v>0</v>
      </c>
      <c r="L728" s="3306">
        <v>0</v>
      </c>
      <c r="M728" s="3307">
        <v>0</v>
      </c>
      <c r="N728" s="3305">
        <v>0</v>
      </c>
      <c r="O728" s="3305">
        <v>0</v>
      </c>
      <c r="P728" s="3305">
        <v>0</v>
      </c>
      <c r="Q728" s="3308">
        <v>0</v>
      </c>
    </row>
    <row r="729" spans="2:17">
      <c r="B729" s="3260" t="s">
        <v>66</v>
      </c>
      <c r="C729" s="3268"/>
      <c r="D729" s="3269"/>
      <c r="E729" s="3269"/>
      <c r="F729" s="3269"/>
      <c r="G729" s="3270"/>
      <c r="H729" s="3268"/>
      <c r="I729" s="3305">
        <v>0</v>
      </c>
      <c r="J729" s="3305">
        <v>0</v>
      </c>
      <c r="K729" s="3305">
        <v>0</v>
      </c>
      <c r="L729" s="3306">
        <v>0</v>
      </c>
      <c r="M729" s="3307">
        <v>0</v>
      </c>
      <c r="N729" s="3305">
        <v>0</v>
      </c>
      <c r="O729" s="3305">
        <v>0</v>
      </c>
      <c r="P729" s="3305">
        <v>0</v>
      </c>
      <c r="Q729" s="3308">
        <v>0</v>
      </c>
    </row>
    <row r="730" spans="2:17" ht="13.5" thickBot="1">
      <c r="B730" s="3260" t="s">
        <v>67</v>
      </c>
      <c r="C730" s="3268"/>
      <c r="D730" s="3269"/>
      <c r="E730" s="3269"/>
      <c r="F730" s="3269"/>
      <c r="G730" s="3270"/>
      <c r="H730" s="3268"/>
      <c r="I730" s="3305">
        <v>3.5819999999999994</v>
      </c>
      <c r="J730" s="3305">
        <v>3.6249999999999991</v>
      </c>
      <c r="K730" s="3305">
        <v>3.6249999999999991</v>
      </c>
      <c r="L730" s="3306">
        <v>3.6249999999999991</v>
      </c>
      <c r="M730" s="3309">
        <v>3.6249999999999991</v>
      </c>
      <c r="N730" s="3310">
        <v>3.6249999999999991</v>
      </c>
      <c r="O730" s="3310">
        <v>3.6249999999999991</v>
      </c>
      <c r="P730" s="3310">
        <v>3.6249999999999991</v>
      </c>
      <c r="Q730" s="3311">
        <v>3.6249999999999991</v>
      </c>
    </row>
    <row r="731" spans="2:17" ht="12.75" customHeight="1">
      <c r="B731" s="4689">
        <v>3064</v>
      </c>
      <c r="C731" s="4691" t="s">
        <v>36</v>
      </c>
      <c r="D731" s="4692"/>
      <c r="E731" s="4692"/>
      <c r="F731" s="4692"/>
      <c r="G731" s="4692"/>
      <c r="H731" s="4693" t="s">
        <v>37</v>
      </c>
      <c r="I731" s="4694"/>
      <c r="J731" s="4694"/>
      <c r="K731" s="4694"/>
      <c r="L731" s="4694"/>
      <c r="M731" s="4695" t="s">
        <v>73</v>
      </c>
      <c r="N731" s="4695"/>
      <c r="O731" s="4695"/>
      <c r="P731" s="4695"/>
      <c r="Q731" s="4696"/>
    </row>
    <row r="732" spans="2:17" ht="12.75" customHeight="1">
      <c r="B732" s="4690"/>
      <c r="C732" s="4697" t="s">
        <v>1673</v>
      </c>
      <c r="D732" s="4698"/>
      <c r="E732" s="4698"/>
      <c r="F732" s="4698"/>
      <c r="G732" s="4698"/>
      <c r="H732" s="4698"/>
      <c r="I732" s="4698"/>
      <c r="J732" s="4698"/>
      <c r="K732" s="4698"/>
      <c r="L732" s="4698"/>
      <c r="M732" s="4698"/>
      <c r="N732" s="4698"/>
      <c r="O732" s="4698"/>
      <c r="P732" s="4698"/>
      <c r="Q732" s="4699"/>
    </row>
    <row r="733" spans="2:17" ht="12.75" customHeight="1">
      <c r="B733" s="4690"/>
      <c r="C733" s="4697" t="s">
        <v>54</v>
      </c>
      <c r="D733" s="4698"/>
      <c r="E733" s="4698"/>
      <c r="F733" s="4698"/>
      <c r="G733" s="4698"/>
      <c r="H733" s="4698"/>
      <c r="I733" s="4698"/>
      <c r="J733" s="4700"/>
      <c r="K733" s="4701" t="s">
        <v>55</v>
      </c>
      <c r="L733" s="4702"/>
      <c r="M733" s="4702"/>
      <c r="N733" s="4702"/>
      <c r="O733" s="4702"/>
      <c r="P733" s="4702"/>
      <c r="Q733" s="4703"/>
    </row>
    <row r="734" spans="2:17" ht="13.5" customHeight="1" thickBot="1">
      <c r="B734" s="4690"/>
      <c r="C734" s="3252">
        <f t="array" ref="C734:G734">PRCP</f>
        <v>2008</v>
      </c>
      <c r="D734" s="3253">
        <v>2009</v>
      </c>
      <c r="E734" s="3253">
        <v>2010</v>
      </c>
      <c r="F734" s="3253">
        <v>2011</v>
      </c>
      <c r="G734" s="3253">
        <v>2012</v>
      </c>
      <c r="H734" s="3254">
        <f>CRCP_y1</f>
        <v>2013</v>
      </c>
      <c r="I734" s="3254">
        <f>CRCP_y2</f>
        <v>2014</v>
      </c>
      <c r="J734" s="3254">
        <f>CRCP_y3</f>
        <v>2015</v>
      </c>
      <c r="K734" s="3254">
        <f>CRCP_y4</f>
        <v>2016</v>
      </c>
      <c r="L734" s="3254">
        <f>CRCP_y5</f>
        <v>2017</v>
      </c>
      <c r="M734" s="3253" t="str">
        <f t="array" ref="M734:Q734">FRCP</f>
        <v>2018</v>
      </c>
      <c r="N734" s="3253">
        <v>2019</v>
      </c>
      <c r="O734" s="3253">
        <v>2020</v>
      </c>
      <c r="P734" s="3253">
        <v>2021</v>
      </c>
      <c r="Q734" s="3255">
        <v>2022</v>
      </c>
    </row>
    <row r="735" spans="2:17">
      <c r="B735" s="3256" t="s">
        <v>1698</v>
      </c>
      <c r="C735" s="3257"/>
      <c r="D735" s="3258"/>
      <c r="E735" s="3258"/>
      <c r="F735" s="3258"/>
      <c r="G735" s="3259"/>
      <c r="H735" s="3257"/>
      <c r="I735" s="3258"/>
      <c r="J735" s="3258"/>
      <c r="K735" s="3258"/>
      <c r="L735" s="3258"/>
      <c r="M735" s="3257"/>
      <c r="N735" s="3258"/>
      <c r="O735" s="3258"/>
      <c r="P735" s="3258"/>
      <c r="Q735" s="3259"/>
    </row>
    <row r="736" spans="2:17">
      <c r="B736" s="3260"/>
      <c r="C736" s="3268"/>
      <c r="D736" s="3269"/>
      <c r="E736" s="3269"/>
      <c r="F736" s="3269"/>
      <c r="G736" s="3270"/>
      <c r="H736" s="3268"/>
      <c r="I736" s="3269"/>
      <c r="J736" s="3269"/>
      <c r="K736" s="3269"/>
      <c r="L736" s="3271"/>
      <c r="M736" s="3268"/>
      <c r="N736" s="3269"/>
      <c r="O736" s="3269"/>
      <c r="P736" s="3269"/>
      <c r="Q736" s="3270"/>
    </row>
    <row r="737" spans="2:17">
      <c r="B737" s="3260" t="s">
        <v>64</v>
      </c>
      <c r="C737" s="3268"/>
      <c r="D737" s="3269"/>
      <c r="E737" s="3269"/>
      <c r="F737" s="3269"/>
      <c r="G737" s="3270"/>
      <c r="H737" s="3268"/>
      <c r="I737" s="3305">
        <v>0</v>
      </c>
      <c r="J737" s="3305">
        <v>0</v>
      </c>
      <c r="K737" s="3305">
        <v>0</v>
      </c>
      <c r="L737" s="3306">
        <v>0</v>
      </c>
      <c r="M737" s="3307">
        <v>0</v>
      </c>
      <c r="N737" s="3305">
        <v>0</v>
      </c>
      <c r="O737" s="3305">
        <v>0</v>
      </c>
      <c r="P737" s="3305">
        <v>0</v>
      </c>
      <c r="Q737" s="3308">
        <v>0</v>
      </c>
    </row>
    <row r="738" spans="2:17">
      <c r="B738" s="3260" t="s">
        <v>65</v>
      </c>
      <c r="C738" s="3268"/>
      <c r="D738" s="3269"/>
      <c r="E738" s="3269"/>
      <c r="F738" s="3269"/>
      <c r="G738" s="3270"/>
      <c r="H738" s="3268"/>
      <c r="I738" s="3305">
        <v>0</v>
      </c>
      <c r="J738" s="3305">
        <v>0</v>
      </c>
      <c r="K738" s="3305">
        <v>0</v>
      </c>
      <c r="L738" s="3306">
        <v>0</v>
      </c>
      <c r="M738" s="3307">
        <v>0</v>
      </c>
      <c r="N738" s="3305">
        <v>0</v>
      </c>
      <c r="O738" s="3305">
        <v>0</v>
      </c>
      <c r="P738" s="3305">
        <v>0</v>
      </c>
      <c r="Q738" s="3308">
        <v>0</v>
      </c>
    </row>
    <row r="739" spans="2:17">
      <c r="B739" s="3260" t="s">
        <v>82</v>
      </c>
      <c r="C739" s="3268"/>
      <c r="D739" s="3269"/>
      <c r="E739" s="3269"/>
      <c r="F739" s="3269"/>
      <c r="G739" s="3270"/>
      <c r="H739" s="3268"/>
      <c r="I739" s="3305">
        <v>0</v>
      </c>
      <c r="J739" s="3305">
        <v>0</v>
      </c>
      <c r="K739" s="3305">
        <v>0</v>
      </c>
      <c r="L739" s="3306">
        <v>0</v>
      </c>
      <c r="M739" s="3307">
        <v>0</v>
      </c>
      <c r="N739" s="3305">
        <v>0</v>
      </c>
      <c r="O739" s="3305">
        <v>0</v>
      </c>
      <c r="P739" s="3305">
        <v>0</v>
      </c>
      <c r="Q739" s="3308">
        <v>0</v>
      </c>
    </row>
    <row r="740" spans="2:17">
      <c r="B740" s="3260" t="s">
        <v>680</v>
      </c>
      <c r="C740" s="3268"/>
      <c r="D740" s="3269"/>
      <c r="E740" s="3269"/>
      <c r="F740" s="3269"/>
      <c r="G740" s="3270"/>
      <c r="H740" s="3268"/>
      <c r="I740" s="3305">
        <v>0</v>
      </c>
      <c r="J740" s="3305">
        <v>0</v>
      </c>
      <c r="K740" s="3305">
        <v>0</v>
      </c>
      <c r="L740" s="3306">
        <v>0</v>
      </c>
      <c r="M740" s="3307">
        <v>0</v>
      </c>
      <c r="N740" s="3305">
        <v>0</v>
      </c>
      <c r="O740" s="3305">
        <v>0</v>
      </c>
      <c r="P740" s="3305">
        <v>0</v>
      </c>
      <c r="Q740" s="3308">
        <v>0</v>
      </c>
    </row>
    <row r="741" spans="2:17">
      <c r="B741" s="3260" t="s">
        <v>681</v>
      </c>
      <c r="C741" s="3268"/>
      <c r="D741" s="3269"/>
      <c r="E741" s="3269"/>
      <c r="F741" s="3269"/>
      <c r="G741" s="3270"/>
      <c r="H741" s="3268"/>
      <c r="I741" s="3305">
        <v>275.53999999999962</v>
      </c>
      <c r="J741" s="3305">
        <v>292.11799999999971</v>
      </c>
      <c r="K741" s="3305">
        <v>297.9603599999997</v>
      </c>
      <c r="L741" s="3306">
        <v>303.91956719999968</v>
      </c>
      <c r="M741" s="3307">
        <v>309.99795854399969</v>
      </c>
      <c r="N741" s="3305">
        <v>316.19791771487968</v>
      </c>
      <c r="O741" s="3305">
        <v>322.52187606917727</v>
      </c>
      <c r="P741" s="3305">
        <v>328.97231359056082</v>
      </c>
      <c r="Q741" s="3308">
        <v>335.55175986237202</v>
      </c>
    </row>
    <row r="742" spans="2:17">
      <c r="B742" s="3260" t="s">
        <v>682</v>
      </c>
      <c r="C742" s="3268"/>
      <c r="D742" s="3269"/>
      <c r="E742" s="3269"/>
      <c r="F742" s="3269"/>
      <c r="G742" s="3270"/>
      <c r="H742" s="3268"/>
      <c r="I742" s="3305">
        <v>0.74299999999999999</v>
      </c>
      <c r="J742" s="3305">
        <v>0.74299999999999999</v>
      </c>
      <c r="K742" s="3305">
        <v>0.74299999999999999</v>
      </c>
      <c r="L742" s="3306">
        <v>0.74299999999999999</v>
      </c>
      <c r="M742" s="3307">
        <v>0.74299999999999999</v>
      </c>
      <c r="N742" s="3305">
        <v>0.74299999999999999</v>
      </c>
      <c r="O742" s="3305">
        <v>0.74299999999999999</v>
      </c>
      <c r="P742" s="3305">
        <v>0.74299999999999999</v>
      </c>
      <c r="Q742" s="3308">
        <v>0.74299999999999999</v>
      </c>
    </row>
    <row r="743" spans="2:17">
      <c r="B743" s="3260" t="s">
        <v>66</v>
      </c>
      <c r="C743" s="3268"/>
      <c r="D743" s="3269"/>
      <c r="E743" s="3269"/>
      <c r="F743" s="3269"/>
      <c r="G743" s="3270"/>
      <c r="H743" s="3268"/>
      <c r="I743" s="3305">
        <v>0</v>
      </c>
      <c r="J743" s="3305">
        <v>0</v>
      </c>
      <c r="K743" s="3305">
        <v>0</v>
      </c>
      <c r="L743" s="3306">
        <v>0</v>
      </c>
      <c r="M743" s="3307">
        <v>0</v>
      </c>
      <c r="N743" s="3305">
        <v>0</v>
      </c>
      <c r="O743" s="3305">
        <v>0</v>
      </c>
      <c r="P743" s="3305">
        <v>0</v>
      </c>
      <c r="Q743" s="3308">
        <v>0</v>
      </c>
    </row>
    <row r="744" spans="2:17" ht="13.5" thickBot="1">
      <c r="B744" s="3260" t="s">
        <v>67</v>
      </c>
      <c r="C744" s="3268"/>
      <c r="D744" s="3269"/>
      <c r="E744" s="3269"/>
      <c r="F744" s="3269"/>
      <c r="G744" s="3270"/>
      <c r="H744" s="3268"/>
      <c r="I744" s="3305">
        <v>41.389000000000024</v>
      </c>
      <c r="J744" s="3305">
        <v>41.521000000000022</v>
      </c>
      <c r="K744" s="3305">
        <v>41.521000000000022</v>
      </c>
      <c r="L744" s="3306">
        <v>41.521000000000022</v>
      </c>
      <c r="M744" s="3309">
        <v>41.521000000000022</v>
      </c>
      <c r="N744" s="3310">
        <v>41.521000000000022</v>
      </c>
      <c r="O744" s="3310">
        <v>41.521000000000022</v>
      </c>
      <c r="P744" s="3310">
        <v>41.521000000000022</v>
      </c>
      <c r="Q744" s="3311">
        <v>41.521000000000022</v>
      </c>
    </row>
    <row r="745" spans="2:17" ht="12.75" customHeight="1">
      <c r="B745" s="4689">
        <v>3072</v>
      </c>
      <c r="C745" s="4691" t="s">
        <v>36</v>
      </c>
      <c r="D745" s="4692"/>
      <c r="E745" s="4692"/>
      <c r="F745" s="4692"/>
      <c r="G745" s="4692"/>
      <c r="H745" s="4693" t="s">
        <v>37</v>
      </c>
      <c r="I745" s="4694"/>
      <c r="J745" s="4694"/>
      <c r="K745" s="4694"/>
      <c r="L745" s="4694"/>
      <c r="M745" s="4695" t="s">
        <v>73</v>
      </c>
      <c r="N745" s="4695"/>
      <c r="O745" s="4695"/>
      <c r="P745" s="4695"/>
      <c r="Q745" s="4696"/>
    </row>
    <row r="746" spans="2:17" ht="12.75" customHeight="1">
      <c r="B746" s="4690"/>
      <c r="C746" s="4697" t="s">
        <v>1673</v>
      </c>
      <c r="D746" s="4698"/>
      <c r="E746" s="4698"/>
      <c r="F746" s="4698"/>
      <c r="G746" s="4698"/>
      <c r="H746" s="4698"/>
      <c r="I746" s="4698"/>
      <c r="J746" s="4698"/>
      <c r="K746" s="4698"/>
      <c r="L746" s="4698"/>
      <c r="M746" s="4698"/>
      <c r="N746" s="4698"/>
      <c r="O746" s="4698"/>
      <c r="P746" s="4698"/>
      <c r="Q746" s="4699"/>
    </row>
    <row r="747" spans="2:17" ht="12.75" customHeight="1">
      <c r="B747" s="4690"/>
      <c r="C747" s="4697" t="s">
        <v>54</v>
      </c>
      <c r="D747" s="4698"/>
      <c r="E747" s="4698"/>
      <c r="F747" s="4698"/>
      <c r="G747" s="4698"/>
      <c r="H747" s="4698"/>
      <c r="I747" s="4698"/>
      <c r="J747" s="4700"/>
      <c r="K747" s="4701" t="s">
        <v>55</v>
      </c>
      <c r="L747" s="4702"/>
      <c r="M747" s="4702"/>
      <c r="N747" s="4702"/>
      <c r="O747" s="4702"/>
      <c r="P747" s="4702"/>
      <c r="Q747" s="4703"/>
    </row>
    <row r="748" spans="2:17" ht="13.5" customHeight="1" thickBot="1">
      <c r="B748" s="4690"/>
      <c r="C748" s="3252">
        <f t="array" ref="C748:G748">PRCP</f>
        <v>2008</v>
      </c>
      <c r="D748" s="3253">
        <v>2009</v>
      </c>
      <c r="E748" s="3253">
        <v>2010</v>
      </c>
      <c r="F748" s="3253">
        <v>2011</v>
      </c>
      <c r="G748" s="3253">
        <v>2012</v>
      </c>
      <c r="H748" s="3254">
        <f>CRCP_y1</f>
        <v>2013</v>
      </c>
      <c r="I748" s="3254">
        <f>CRCP_y2</f>
        <v>2014</v>
      </c>
      <c r="J748" s="3254">
        <f>CRCP_y3</f>
        <v>2015</v>
      </c>
      <c r="K748" s="3254">
        <f>CRCP_y4</f>
        <v>2016</v>
      </c>
      <c r="L748" s="3254">
        <f>CRCP_y5</f>
        <v>2017</v>
      </c>
      <c r="M748" s="3253" t="str">
        <f t="array" ref="M748:Q748">FRCP</f>
        <v>2018</v>
      </c>
      <c r="N748" s="3253">
        <v>2019</v>
      </c>
      <c r="O748" s="3253">
        <v>2020</v>
      </c>
      <c r="P748" s="3253">
        <v>2021</v>
      </c>
      <c r="Q748" s="3255">
        <v>2022</v>
      </c>
    </row>
    <row r="749" spans="2:17">
      <c r="B749" s="3256" t="s">
        <v>1699</v>
      </c>
      <c r="C749" s="3257"/>
      <c r="D749" s="3258"/>
      <c r="E749" s="3258"/>
      <c r="F749" s="3258"/>
      <c r="G749" s="3259"/>
      <c r="H749" s="3257"/>
      <c r="I749" s="3258"/>
      <c r="J749" s="3258"/>
      <c r="K749" s="3258"/>
      <c r="L749" s="3258"/>
      <c r="M749" s="3257"/>
      <c r="N749" s="3258"/>
      <c r="O749" s="3258"/>
      <c r="P749" s="3258"/>
      <c r="Q749" s="3259"/>
    </row>
    <row r="750" spans="2:17">
      <c r="B750" s="3260"/>
      <c r="C750" s="3268"/>
      <c r="D750" s="3269"/>
      <c r="E750" s="3269"/>
      <c r="F750" s="3269"/>
      <c r="G750" s="3270"/>
      <c r="H750" s="3268"/>
      <c r="I750" s="3269"/>
      <c r="J750" s="3269"/>
      <c r="K750" s="3269"/>
      <c r="L750" s="3271"/>
      <c r="M750" s="3268"/>
      <c r="N750" s="3269"/>
      <c r="O750" s="3269"/>
      <c r="P750" s="3269"/>
      <c r="Q750" s="3270"/>
    </row>
    <row r="751" spans="2:17">
      <c r="B751" s="3260" t="s">
        <v>64</v>
      </c>
      <c r="C751" s="3268"/>
      <c r="D751" s="3269"/>
      <c r="E751" s="3269"/>
      <c r="F751" s="3269"/>
      <c r="G751" s="3270"/>
      <c r="H751" s="3268"/>
      <c r="I751" s="3305">
        <v>0</v>
      </c>
      <c r="J751" s="3305">
        <v>0</v>
      </c>
      <c r="K751" s="3305">
        <v>0</v>
      </c>
      <c r="L751" s="3306">
        <v>0</v>
      </c>
      <c r="M751" s="3307">
        <v>0</v>
      </c>
      <c r="N751" s="3305">
        <v>0</v>
      </c>
      <c r="O751" s="3305">
        <v>0</v>
      </c>
      <c r="P751" s="3305">
        <v>0</v>
      </c>
      <c r="Q751" s="3308">
        <v>0</v>
      </c>
    </row>
    <row r="752" spans="2:17">
      <c r="B752" s="3260" t="s">
        <v>65</v>
      </c>
      <c r="C752" s="3268"/>
      <c r="D752" s="3269"/>
      <c r="E752" s="3269"/>
      <c r="F752" s="3269"/>
      <c r="G752" s="3270"/>
      <c r="H752" s="3268"/>
      <c r="I752" s="3305">
        <v>0</v>
      </c>
      <c r="J752" s="3305">
        <v>0</v>
      </c>
      <c r="K752" s="3305">
        <v>0</v>
      </c>
      <c r="L752" s="3306">
        <v>0</v>
      </c>
      <c r="M752" s="3307">
        <v>0</v>
      </c>
      <c r="N752" s="3305">
        <v>0</v>
      </c>
      <c r="O752" s="3305">
        <v>0</v>
      </c>
      <c r="P752" s="3305">
        <v>0</v>
      </c>
      <c r="Q752" s="3308">
        <v>0</v>
      </c>
    </row>
    <row r="753" spans="2:17">
      <c r="B753" s="3260" t="s">
        <v>82</v>
      </c>
      <c r="C753" s="3268"/>
      <c r="D753" s="3269"/>
      <c r="E753" s="3269"/>
      <c r="F753" s="3269"/>
      <c r="G753" s="3270"/>
      <c r="H753" s="3268"/>
      <c r="I753" s="3305">
        <v>0</v>
      </c>
      <c r="J753" s="3305">
        <v>0</v>
      </c>
      <c r="K753" s="3305">
        <v>0</v>
      </c>
      <c r="L753" s="3306">
        <v>0</v>
      </c>
      <c r="M753" s="3307">
        <v>0</v>
      </c>
      <c r="N753" s="3305">
        <v>0</v>
      </c>
      <c r="O753" s="3305">
        <v>0</v>
      </c>
      <c r="P753" s="3305">
        <v>0</v>
      </c>
      <c r="Q753" s="3308">
        <v>0</v>
      </c>
    </row>
    <row r="754" spans="2:17">
      <c r="B754" s="3260" t="s">
        <v>680</v>
      </c>
      <c r="C754" s="3268"/>
      <c r="D754" s="3269"/>
      <c r="E754" s="3269"/>
      <c r="F754" s="3269"/>
      <c r="G754" s="3270"/>
      <c r="H754" s="3268"/>
      <c r="I754" s="3305">
        <v>0</v>
      </c>
      <c r="J754" s="3305">
        <v>0</v>
      </c>
      <c r="K754" s="3305">
        <v>0</v>
      </c>
      <c r="L754" s="3306">
        <v>0</v>
      </c>
      <c r="M754" s="3307">
        <v>0</v>
      </c>
      <c r="N754" s="3305">
        <v>0</v>
      </c>
      <c r="O754" s="3305">
        <v>0</v>
      </c>
      <c r="P754" s="3305">
        <v>0</v>
      </c>
      <c r="Q754" s="3308">
        <v>0</v>
      </c>
    </row>
    <row r="755" spans="2:17">
      <c r="B755" s="3260" t="s">
        <v>681</v>
      </c>
      <c r="C755" s="3268"/>
      <c r="D755" s="3269"/>
      <c r="E755" s="3269"/>
      <c r="F755" s="3269"/>
      <c r="G755" s="3270"/>
      <c r="H755" s="3268"/>
      <c r="I755" s="3305">
        <v>2E-3</v>
      </c>
      <c r="J755" s="3305">
        <v>2E-3</v>
      </c>
      <c r="K755" s="3305">
        <v>2E-3</v>
      </c>
      <c r="L755" s="3306">
        <v>2E-3</v>
      </c>
      <c r="M755" s="3307">
        <v>2E-3</v>
      </c>
      <c r="N755" s="3305">
        <v>2E-3</v>
      </c>
      <c r="O755" s="3305">
        <v>2E-3</v>
      </c>
      <c r="P755" s="3305">
        <v>2E-3</v>
      </c>
      <c r="Q755" s="3308">
        <v>2E-3</v>
      </c>
    </row>
    <row r="756" spans="2:17">
      <c r="B756" s="3260" t="s">
        <v>682</v>
      </c>
      <c r="C756" s="3268"/>
      <c r="D756" s="3269"/>
      <c r="E756" s="3269"/>
      <c r="F756" s="3269"/>
      <c r="G756" s="3270"/>
      <c r="H756" s="3268"/>
      <c r="I756" s="3305">
        <v>0</v>
      </c>
      <c r="J756" s="3305">
        <v>0</v>
      </c>
      <c r="K756" s="3305">
        <v>0</v>
      </c>
      <c r="L756" s="3306">
        <v>0</v>
      </c>
      <c r="M756" s="3307">
        <v>0</v>
      </c>
      <c r="N756" s="3305">
        <v>0</v>
      </c>
      <c r="O756" s="3305">
        <v>0</v>
      </c>
      <c r="P756" s="3305">
        <v>0</v>
      </c>
      <c r="Q756" s="3308">
        <v>0</v>
      </c>
    </row>
    <row r="757" spans="2:17">
      <c r="B757" s="3260" t="s">
        <v>66</v>
      </c>
      <c r="C757" s="3268"/>
      <c r="D757" s="3269"/>
      <c r="E757" s="3269"/>
      <c r="F757" s="3269"/>
      <c r="G757" s="3270"/>
      <c r="H757" s="3268"/>
      <c r="I757" s="3305">
        <v>0</v>
      </c>
      <c r="J757" s="3305">
        <v>0</v>
      </c>
      <c r="K757" s="3305">
        <v>0</v>
      </c>
      <c r="L757" s="3306">
        <v>0</v>
      </c>
      <c r="M757" s="3307">
        <v>0</v>
      </c>
      <c r="N757" s="3305">
        <v>0</v>
      </c>
      <c r="O757" s="3305">
        <v>0</v>
      </c>
      <c r="P757" s="3305">
        <v>0</v>
      </c>
      <c r="Q757" s="3308">
        <v>0</v>
      </c>
    </row>
    <row r="758" spans="2:17" ht="13.5" thickBot="1">
      <c r="B758" s="3260" t="s">
        <v>67</v>
      </c>
      <c r="C758" s="3268"/>
      <c r="D758" s="3269"/>
      <c r="E758" s="3269"/>
      <c r="F758" s="3269"/>
      <c r="G758" s="3270"/>
      <c r="H758" s="3268"/>
      <c r="I758" s="3305">
        <v>0.112</v>
      </c>
      <c r="J758" s="3305">
        <v>0.11199999999999999</v>
      </c>
      <c r="K758" s="3305">
        <v>0.11199999999999999</v>
      </c>
      <c r="L758" s="3306">
        <v>0.11199999999999999</v>
      </c>
      <c r="M758" s="3309">
        <v>0.11199999999999999</v>
      </c>
      <c r="N758" s="3310">
        <v>0.11199999999999999</v>
      </c>
      <c r="O758" s="3310">
        <v>0.11199999999999999</v>
      </c>
      <c r="P758" s="3310">
        <v>0.11199999999999999</v>
      </c>
      <c r="Q758" s="3311">
        <v>0.11199999999999999</v>
      </c>
    </row>
    <row r="759" spans="2:17" ht="12.75" customHeight="1">
      <c r="B759" s="4689">
        <v>3212</v>
      </c>
      <c r="C759" s="4691" t="s">
        <v>36</v>
      </c>
      <c r="D759" s="4692"/>
      <c r="E759" s="4692"/>
      <c r="F759" s="4692"/>
      <c r="G759" s="4692"/>
      <c r="H759" s="4693" t="s">
        <v>37</v>
      </c>
      <c r="I759" s="4694"/>
      <c r="J759" s="4694"/>
      <c r="K759" s="4694"/>
      <c r="L759" s="4694"/>
      <c r="M759" s="4695" t="s">
        <v>73</v>
      </c>
      <c r="N759" s="4695"/>
      <c r="O759" s="4695"/>
      <c r="P759" s="4695"/>
      <c r="Q759" s="4696"/>
    </row>
    <row r="760" spans="2:17" ht="12.75" customHeight="1">
      <c r="B760" s="4690"/>
      <c r="C760" s="4697" t="s">
        <v>1673</v>
      </c>
      <c r="D760" s="4698"/>
      <c r="E760" s="4698"/>
      <c r="F760" s="4698"/>
      <c r="G760" s="4698"/>
      <c r="H760" s="4698"/>
      <c r="I760" s="4698"/>
      <c r="J760" s="4698"/>
      <c r="K760" s="4698"/>
      <c r="L760" s="4698"/>
      <c r="M760" s="4698"/>
      <c r="N760" s="4698"/>
      <c r="O760" s="4698"/>
      <c r="P760" s="4698"/>
      <c r="Q760" s="4699"/>
    </row>
    <row r="761" spans="2:17" ht="12.75" customHeight="1">
      <c r="B761" s="4690"/>
      <c r="C761" s="4697" t="s">
        <v>54</v>
      </c>
      <c r="D761" s="4698"/>
      <c r="E761" s="4698"/>
      <c r="F761" s="4698"/>
      <c r="G761" s="4698"/>
      <c r="H761" s="4698"/>
      <c r="I761" s="4698"/>
      <c r="J761" s="4700"/>
      <c r="K761" s="4701" t="s">
        <v>55</v>
      </c>
      <c r="L761" s="4702"/>
      <c r="M761" s="4702"/>
      <c r="N761" s="4702"/>
      <c r="O761" s="4702"/>
      <c r="P761" s="4702"/>
      <c r="Q761" s="4703"/>
    </row>
    <row r="762" spans="2:17" ht="13.5" customHeight="1" thickBot="1">
      <c r="B762" s="4690"/>
      <c r="C762" s="3252">
        <f t="array" ref="C762:G762">PRCP</f>
        <v>2008</v>
      </c>
      <c r="D762" s="3253">
        <v>2009</v>
      </c>
      <c r="E762" s="3253">
        <v>2010</v>
      </c>
      <c r="F762" s="3253">
        <v>2011</v>
      </c>
      <c r="G762" s="3253">
        <v>2012</v>
      </c>
      <c r="H762" s="3254">
        <f>CRCP_y1</f>
        <v>2013</v>
      </c>
      <c r="I762" s="3254">
        <f>CRCP_y2</f>
        <v>2014</v>
      </c>
      <c r="J762" s="3254">
        <f>CRCP_y3</f>
        <v>2015</v>
      </c>
      <c r="K762" s="3254">
        <f>CRCP_y4</f>
        <v>2016</v>
      </c>
      <c r="L762" s="3254">
        <f>CRCP_y5</f>
        <v>2017</v>
      </c>
      <c r="M762" s="3253" t="str">
        <f t="array" ref="M762:Q762">FRCP</f>
        <v>2018</v>
      </c>
      <c r="N762" s="3253">
        <v>2019</v>
      </c>
      <c r="O762" s="3253">
        <v>2020</v>
      </c>
      <c r="P762" s="3253">
        <v>2021</v>
      </c>
      <c r="Q762" s="3255">
        <v>2022</v>
      </c>
    </row>
    <row r="763" spans="2:17">
      <c r="B763" s="3256" t="s">
        <v>1699</v>
      </c>
      <c r="C763" s="3257"/>
      <c r="D763" s="3258"/>
      <c r="E763" s="3258"/>
      <c r="F763" s="3258"/>
      <c r="G763" s="3259"/>
      <c r="H763" s="3257"/>
      <c r="I763" s="3258"/>
      <c r="J763" s="3258"/>
      <c r="K763" s="3258"/>
      <c r="L763" s="3259"/>
      <c r="M763" s="3257"/>
      <c r="N763" s="3258"/>
      <c r="O763" s="3258"/>
      <c r="P763" s="3258"/>
      <c r="Q763" s="3259"/>
    </row>
    <row r="764" spans="2:17">
      <c r="B764" s="3260"/>
      <c r="C764" s="3268"/>
      <c r="D764" s="3269"/>
      <c r="E764" s="3269"/>
      <c r="F764" s="3269"/>
      <c r="G764" s="3270"/>
      <c r="H764" s="3268"/>
      <c r="I764" s="3269"/>
      <c r="J764" s="3269"/>
      <c r="K764" s="3269"/>
      <c r="L764" s="3270"/>
      <c r="M764" s="3268"/>
      <c r="N764" s="3269"/>
      <c r="O764" s="3269"/>
      <c r="P764" s="3269"/>
      <c r="Q764" s="3270"/>
    </row>
    <row r="765" spans="2:17">
      <c r="B765" s="3260" t="s">
        <v>64</v>
      </c>
      <c r="C765" s="3268"/>
      <c r="D765" s="3269"/>
      <c r="E765" s="3269"/>
      <c r="F765" s="3269"/>
      <c r="G765" s="3270"/>
      <c r="H765" s="3268"/>
      <c r="I765" s="3305">
        <v>0</v>
      </c>
      <c r="J765" s="3305">
        <v>0</v>
      </c>
      <c r="K765" s="3305">
        <v>0</v>
      </c>
      <c r="L765" s="3308">
        <v>0</v>
      </c>
      <c r="M765" s="3307">
        <v>0</v>
      </c>
      <c r="N765" s="3305">
        <v>0</v>
      </c>
      <c r="O765" s="3305">
        <v>0</v>
      </c>
      <c r="P765" s="3305">
        <v>0</v>
      </c>
      <c r="Q765" s="3308">
        <v>0</v>
      </c>
    </row>
    <row r="766" spans="2:17">
      <c r="B766" s="3260" t="s">
        <v>65</v>
      </c>
      <c r="C766" s="3268"/>
      <c r="D766" s="3269"/>
      <c r="E766" s="3269"/>
      <c r="F766" s="3269"/>
      <c r="G766" s="3270"/>
      <c r="H766" s="3268"/>
      <c r="I766" s="3305">
        <v>0</v>
      </c>
      <c r="J766" s="3305">
        <v>0</v>
      </c>
      <c r="K766" s="3305">
        <v>0</v>
      </c>
      <c r="L766" s="3308">
        <v>0</v>
      </c>
      <c r="M766" s="3307">
        <v>0</v>
      </c>
      <c r="N766" s="3305">
        <v>0</v>
      </c>
      <c r="O766" s="3305">
        <v>0</v>
      </c>
      <c r="P766" s="3305">
        <v>0</v>
      </c>
      <c r="Q766" s="3308">
        <v>0</v>
      </c>
    </row>
    <row r="767" spans="2:17">
      <c r="B767" s="3260" t="s">
        <v>82</v>
      </c>
      <c r="C767" s="3268"/>
      <c r="D767" s="3269"/>
      <c r="E767" s="3269"/>
      <c r="F767" s="3269"/>
      <c r="G767" s="3270"/>
      <c r="H767" s="3268"/>
      <c r="I767" s="3305">
        <v>0</v>
      </c>
      <c r="J767" s="3305">
        <v>0</v>
      </c>
      <c r="K767" s="3305">
        <v>0</v>
      </c>
      <c r="L767" s="3308">
        <v>0</v>
      </c>
      <c r="M767" s="3307">
        <v>0</v>
      </c>
      <c r="N767" s="3305">
        <v>0</v>
      </c>
      <c r="O767" s="3305">
        <v>0</v>
      </c>
      <c r="P767" s="3305">
        <v>0</v>
      </c>
      <c r="Q767" s="3308">
        <v>0</v>
      </c>
    </row>
    <row r="768" spans="2:17">
      <c r="B768" s="3260" t="s">
        <v>680</v>
      </c>
      <c r="C768" s="3268"/>
      <c r="D768" s="3269"/>
      <c r="E768" s="3269"/>
      <c r="F768" s="3269"/>
      <c r="G768" s="3270"/>
      <c r="H768" s="3268"/>
      <c r="I768" s="3305">
        <v>0</v>
      </c>
      <c r="J768" s="3305">
        <v>0</v>
      </c>
      <c r="K768" s="3305">
        <v>0</v>
      </c>
      <c r="L768" s="3308">
        <v>0</v>
      </c>
      <c r="M768" s="3307">
        <v>0</v>
      </c>
      <c r="N768" s="3305">
        <v>0</v>
      </c>
      <c r="O768" s="3305">
        <v>0</v>
      </c>
      <c r="P768" s="3305">
        <v>0</v>
      </c>
      <c r="Q768" s="3308">
        <v>0</v>
      </c>
    </row>
    <row r="769" spans="2:17">
      <c r="B769" s="3260" t="s">
        <v>681</v>
      </c>
      <c r="C769" s="3268"/>
      <c r="D769" s="3269"/>
      <c r="E769" s="3269"/>
      <c r="F769" s="3269"/>
      <c r="G769" s="3270"/>
      <c r="H769" s="3268"/>
      <c r="I769" s="3305">
        <v>57.789000000000001</v>
      </c>
      <c r="J769" s="3305">
        <v>60.465000000000011</v>
      </c>
      <c r="K769" s="3305">
        <v>61.674300000000009</v>
      </c>
      <c r="L769" s="3305">
        <v>62.907786000000009</v>
      </c>
      <c r="M769" s="3305">
        <v>64.165941720000006</v>
      </c>
      <c r="N769" s="3305">
        <v>65.449260554400013</v>
      </c>
      <c r="O769" s="3305">
        <v>66.758245765488013</v>
      </c>
      <c r="P769" s="3305">
        <v>68.093410680797774</v>
      </c>
      <c r="Q769" s="3305">
        <v>69.455278894413738</v>
      </c>
    </row>
    <row r="770" spans="2:17">
      <c r="B770" s="3260" t="s">
        <v>682</v>
      </c>
      <c r="C770" s="3268"/>
      <c r="D770" s="3269"/>
      <c r="E770" s="3269"/>
      <c r="F770" s="3269"/>
      <c r="G770" s="3270"/>
      <c r="H770" s="3268"/>
      <c r="I770" s="3305">
        <v>0</v>
      </c>
      <c r="J770" s="3305">
        <v>0</v>
      </c>
      <c r="K770" s="3305">
        <v>0</v>
      </c>
      <c r="L770" s="3308">
        <v>0</v>
      </c>
      <c r="M770" s="3307">
        <v>0</v>
      </c>
      <c r="N770" s="3305">
        <v>0</v>
      </c>
      <c r="O770" s="3305">
        <v>0</v>
      </c>
      <c r="P770" s="3305">
        <v>0</v>
      </c>
      <c r="Q770" s="3308">
        <v>0</v>
      </c>
    </row>
    <row r="771" spans="2:17">
      <c r="B771" s="3260" t="s">
        <v>66</v>
      </c>
      <c r="C771" s="3268"/>
      <c r="D771" s="3269"/>
      <c r="E771" s="3269"/>
      <c r="F771" s="3269"/>
      <c r="G771" s="3270"/>
      <c r="H771" s="3268"/>
      <c r="I771" s="3305">
        <v>0</v>
      </c>
      <c r="J771" s="3305">
        <v>0</v>
      </c>
      <c r="K771" s="3305">
        <v>0</v>
      </c>
      <c r="L771" s="3308">
        <v>0</v>
      </c>
      <c r="M771" s="3307">
        <v>0</v>
      </c>
      <c r="N771" s="3305">
        <v>0</v>
      </c>
      <c r="O771" s="3305">
        <v>0</v>
      </c>
      <c r="P771" s="3305">
        <v>0</v>
      </c>
      <c r="Q771" s="3308">
        <v>0</v>
      </c>
    </row>
    <row r="772" spans="2:17" ht="13.5" thickBot="1">
      <c r="B772" s="3260" t="s">
        <v>67</v>
      </c>
      <c r="C772" s="3268"/>
      <c r="D772" s="3269"/>
      <c r="E772" s="3269"/>
      <c r="F772" s="3269"/>
      <c r="G772" s="3270"/>
      <c r="H772" s="3268"/>
      <c r="I772" s="3305">
        <v>33.393999999999998</v>
      </c>
      <c r="J772" s="3305">
        <v>33.389000000000003</v>
      </c>
      <c r="K772" s="3305">
        <v>33.389000000000003</v>
      </c>
      <c r="L772" s="3305">
        <v>33.389000000000003</v>
      </c>
      <c r="M772" s="3305">
        <v>33.389000000000003</v>
      </c>
      <c r="N772" s="3305">
        <v>33.389000000000003</v>
      </c>
      <c r="O772" s="3305">
        <v>33.389000000000003</v>
      </c>
      <c r="P772" s="3305">
        <v>33.389000000000003</v>
      </c>
      <c r="Q772" s="3305">
        <v>33.389000000000003</v>
      </c>
    </row>
    <row r="773" spans="2:17" ht="12.75" customHeight="1">
      <c r="B773" s="4689">
        <v>3213</v>
      </c>
      <c r="C773" s="4691" t="s">
        <v>36</v>
      </c>
      <c r="D773" s="4692"/>
      <c r="E773" s="4692"/>
      <c r="F773" s="4692"/>
      <c r="G773" s="4692"/>
      <c r="H773" s="4693" t="s">
        <v>37</v>
      </c>
      <c r="I773" s="4694"/>
      <c r="J773" s="4694"/>
      <c r="K773" s="4694"/>
      <c r="L773" s="4694"/>
      <c r="M773" s="4695" t="s">
        <v>73</v>
      </c>
      <c r="N773" s="4695"/>
      <c r="O773" s="4695"/>
      <c r="P773" s="4695"/>
      <c r="Q773" s="4696"/>
    </row>
    <row r="774" spans="2:17" ht="12.75" customHeight="1">
      <c r="B774" s="4690"/>
      <c r="C774" s="4697" t="s">
        <v>1673</v>
      </c>
      <c r="D774" s="4698"/>
      <c r="E774" s="4698"/>
      <c r="F774" s="4698"/>
      <c r="G774" s="4698"/>
      <c r="H774" s="4698"/>
      <c r="I774" s="4698"/>
      <c r="J774" s="4698"/>
      <c r="K774" s="4698"/>
      <c r="L774" s="4698"/>
      <c r="M774" s="4698"/>
      <c r="N774" s="4698"/>
      <c r="O774" s="4698"/>
      <c r="P774" s="4698"/>
      <c r="Q774" s="4699"/>
    </row>
    <row r="775" spans="2:17" ht="12.75" customHeight="1">
      <c r="B775" s="4690"/>
      <c r="C775" s="4697" t="s">
        <v>54</v>
      </c>
      <c r="D775" s="4698"/>
      <c r="E775" s="4698"/>
      <c r="F775" s="4698"/>
      <c r="G775" s="4698"/>
      <c r="H775" s="4698"/>
      <c r="I775" s="4698"/>
      <c r="J775" s="4700"/>
      <c r="K775" s="4701" t="s">
        <v>55</v>
      </c>
      <c r="L775" s="4702"/>
      <c r="M775" s="4702"/>
      <c r="N775" s="4702"/>
      <c r="O775" s="4702"/>
      <c r="P775" s="4702"/>
      <c r="Q775" s="4703"/>
    </row>
    <row r="776" spans="2:17" ht="13.5" customHeight="1" thickBot="1">
      <c r="B776" s="4690"/>
      <c r="C776" s="3252">
        <f t="array" ref="C776:G776">PRCP</f>
        <v>2008</v>
      </c>
      <c r="D776" s="3253">
        <v>2009</v>
      </c>
      <c r="E776" s="3253">
        <v>2010</v>
      </c>
      <c r="F776" s="3253">
        <v>2011</v>
      </c>
      <c r="G776" s="3253">
        <v>2012</v>
      </c>
      <c r="H776" s="3254">
        <f>CRCP_y1</f>
        <v>2013</v>
      </c>
      <c r="I776" s="3254">
        <f>CRCP_y2</f>
        <v>2014</v>
      </c>
      <c r="J776" s="3254">
        <f>CRCP_y3</f>
        <v>2015</v>
      </c>
      <c r="K776" s="3254">
        <f>CRCP_y4</f>
        <v>2016</v>
      </c>
      <c r="L776" s="3254">
        <f>CRCP_y5</f>
        <v>2017</v>
      </c>
      <c r="M776" s="3253" t="str">
        <f t="array" ref="M776:Q776">FRCP</f>
        <v>2018</v>
      </c>
      <c r="N776" s="3253">
        <v>2019</v>
      </c>
      <c r="O776" s="3253">
        <v>2020</v>
      </c>
      <c r="P776" s="3253">
        <v>2021</v>
      </c>
      <c r="Q776" s="3255">
        <v>2022</v>
      </c>
    </row>
    <row r="777" spans="2:17">
      <c r="B777" s="3256" t="s">
        <v>1700</v>
      </c>
      <c r="C777" s="3257"/>
      <c r="D777" s="3258"/>
      <c r="E777" s="3258"/>
      <c r="F777" s="3258"/>
      <c r="G777" s="3259"/>
      <c r="H777" s="3257"/>
      <c r="I777" s="3258"/>
      <c r="J777" s="3258"/>
      <c r="K777" s="3258"/>
      <c r="L777" s="3258"/>
      <c r="M777" s="3257"/>
      <c r="N777" s="3258"/>
      <c r="O777" s="3258"/>
      <c r="P777" s="3258"/>
      <c r="Q777" s="3259"/>
    </row>
    <row r="778" spans="2:17">
      <c r="B778" s="3260"/>
      <c r="C778" s="3268"/>
      <c r="D778" s="3269"/>
      <c r="E778" s="3269"/>
      <c r="F778" s="3269"/>
      <c r="G778" s="3270"/>
      <c r="H778" s="3268"/>
      <c r="I778" s="3269"/>
      <c r="J778" s="3269"/>
      <c r="K778" s="3269"/>
      <c r="L778" s="3271"/>
      <c r="M778" s="3268"/>
      <c r="N778" s="3269"/>
      <c r="O778" s="3269"/>
      <c r="P778" s="3269"/>
      <c r="Q778" s="3270"/>
    </row>
    <row r="779" spans="2:17">
      <c r="B779" s="3260" t="s">
        <v>64</v>
      </c>
      <c r="C779" s="3268"/>
      <c r="D779" s="3269"/>
      <c r="E779" s="3269"/>
      <c r="F779" s="3269"/>
      <c r="G779" s="3270"/>
      <c r="H779" s="3268"/>
      <c r="I779" s="3305">
        <v>0</v>
      </c>
      <c r="J779" s="3305">
        <v>0</v>
      </c>
      <c r="K779" s="3305">
        <v>0</v>
      </c>
      <c r="L779" s="3306">
        <v>0</v>
      </c>
      <c r="M779" s="3307">
        <v>0</v>
      </c>
      <c r="N779" s="3305">
        <v>0</v>
      </c>
      <c r="O779" s="3305">
        <v>0</v>
      </c>
      <c r="P779" s="3305">
        <v>0</v>
      </c>
      <c r="Q779" s="3308">
        <v>0</v>
      </c>
    </row>
    <row r="780" spans="2:17">
      <c r="B780" s="3260" t="s">
        <v>65</v>
      </c>
      <c r="C780" s="3268"/>
      <c r="D780" s="3269"/>
      <c r="E780" s="3269"/>
      <c r="F780" s="3269"/>
      <c r="G780" s="3270"/>
      <c r="H780" s="3268"/>
      <c r="I780" s="3305">
        <v>0</v>
      </c>
      <c r="J780" s="3305">
        <v>0</v>
      </c>
      <c r="K780" s="3305">
        <v>0</v>
      </c>
      <c r="L780" s="3306">
        <v>0</v>
      </c>
      <c r="M780" s="3307">
        <v>0</v>
      </c>
      <c r="N780" s="3305">
        <v>0</v>
      </c>
      <c r="O780" s="3305">
        <v>0</v>
      </c>
      <c r="P780" s="3305">
        <v>0</v>
      </c>
      <c r="Q780" s="3308">
        <v>0</v>
      </c>
    </row>
    <row r="781" spans="2:17">
      <c r="B781" s="3260" t="s">
        <v>82</v>
      </c>
      <c r="C781" s="3268"/>
      <c r="D781" s="3269"/>
      <c r="E781" s="3269"/>
      <c r="F781" s="3269"/>
      <c r="G781" s="3270"/>
      <c r="H781" s="3268"/>
      <c r="I781" s="3305">
        <v>0</v>
      </c>
      <c r="J781" s="3305">
        <v>0</v>
      </c>
      <c r="K781" s="3305">
        <v>0</v>
      </c>
      <c r="L781" s="3306">
        <v>0</v>
      </c>
      <c r="M781" s="3307">
        <v>0</v>
      </c>
      <c r="N781" s="3305">
        <v>0</v>
      </c>
      <c r="O781" s="3305">
        <v>0</v>
      </c>
      <c r="P781" s="3305">
        <v>0</v>
      </c>
      <c r="Q781" s="3308">
        <v>0</v>
      </c>
    </row>
    <row r="782" spans="2:17">
      <c r="B782" s="3260" t="s">
        <v>680</v>
      </c>
      <c r="C782" s="3268"/>
      <c r="D782" s="3269"/>
      <c r="E782" s="3269"/>
      <c r="F782" s="3269"/>
      <c r="G782" s="3270"/>
      <c r="H782" s="3268"/>
      <c r="I782" s="3305">
        <v>0</v>
      </c>
      <c r="J782" s="3305">
        <v>0</v>
      </c>
      <c r="K782" s="3305">
        <v>0</v>
      </c>
      <c r="L782" s="3306">
        <v>0</v>
      </c>
      <c r="M782" s="3307">
        <v>0</v>
      </c>
      <c r="N782" s="3305">
        <v>0</v>
      </c>
      <c r="O782" s="3305">
        <v>0</v>
      </c>
      <c r="P782" s="3305">
        <v>0</v>
      </c>
      <c r="Q782" s="3308">
        <v>0</v>
      </c>
    </row>
    <row r="783" spans="2:17">
      <c r="B783" s="3260" t="s">
        <v>681</v>
      </c>
      <c r="C783" s="3268"/>
      <c r="D783" s="3269"/>
      <c r="E783" s="3269"/>
      <c r="F783" s="3269"/>
      <c r="G783" s="3270"/>
      <c r="H783" s="3268"/>
      <c r="I783" s="3305">
        <v>14.787999999999995</v>
      </c>
      <c r="J783" s="3305">
        <v>14.787999999999995</v>
      </c>
      <c r="K783" s="3305">
        <v>14.788</v>
      </c>
      <c r="L783" s="3306">
        <v>14.788</v>
      </c>
      <c r="M783" s="3307">
        <v>14.788</v>
      </c>
      <c r="N783" s="3305">
        <v>14.788</v>
      </c>
      <c r="O783" s="3305">
        <v>14.788</v>
      </c>
      <c r="P783" s="3305">
        <v>14.788</v>
      </c>
      <c r="Q783" s="3308">
        <v>14.788</v>
      </c>
    </row>
    <row r="784" spans="2:17">
      <c r="B784" s="3260" t="s">
        <v>682</v>
      </c>
      <c r="C784" s="3268"/>
      <c r="D784" s="3269"/>
      <c r="E784" s="3269"/>
      <c r="F784" s="3269"/>
      <c r="G784" s="3270"/>
      <c r="H784" s="3268"/>
      <c r="I784" s="3305">
        <v>0</v>
      </c>
      <c r="J784" s="3305">
        <v>0</v>
      </c>
      <c r="K784" s="3305">
        <v>0</v>
      </c>
      <c r="L784" s="3306">
        <v>0</v>
      </c>
      <c r="M784" s="3307">
        <v>0</v>
      </c>
      <c r="N784" s="3305">
        <v>0</v>
      </c>
      <c r="O784" s="3305">
        <v>0</v>
      </c>
      <c r="P784" s="3305">
        <v>0</v>
      </c>
      <c r="Q784" s="3308">
        <v>0</v>
      </c>
    </row>
    <row r="785" spans="2:17">
      <c r="B785" s="3260" t="s">
        <v>66</v>
      </c>
      <c r="C785" s="3268"/>
      <c r="D785" s="3269"/>
      <c r="E785" s="3269"/>
      <c r="F785" s="3269"/>
      <c r="G785" s="3270"/>
      <c r="H785" s="3268"/>
      <c r="I785" s="3305">
        <v>0</v>
      </c>
      <c r="J785" s="3305">
        <v>0</v>
      </c>
      <c r="K785" s="3305">
        <v>0</v>
      </c>
      <c r="L785" s="3306">
        <v>0</v>
      </c>
      <c r="M785" s="3307">
        <v>0</v>
      </c>
      <c r="N785" s="3305">
        <v>0</v>
      </c>
      <c r="O785" s="3305">
        <v>0</v>
      </c>
      <c r="P785" s="3305">
        <v>0</v>
      </c>
      <c r="Q785" s="3308">
        <v>0</v>
      </c>
    </row>
    <row r="786" spans="2:17" ht="13.5" thickBot="1">
      <c r="B786" s="3260" t="s">
        <v>67</v>
      </c>
      <c r="C786" s="3268"/>
      <c r="D786" s="3269"/>
      <c r="E786" s="3269"/>
      <c r="F786" s="3269"/>
      <c r="G786" s="3270"/>
      <c r="H786" s="3268"/>
      <c r="I786" s="3305">
        <v>2.1000000000000001E-2</v>
      </c>
      <c r="J786" s="3305">
        <v>2.1000000000000001E-2</v>
      </c>
      <c r="K786" s="3305">
        <v>2.1000000000000001E-2</v>
      </c>
      <c r="L786" s="3306">
        <v>2.1000000000000001E-2</v>
      </c>
      <c r="M786" s="3309">
        <v>2.1000000000000001E-2</v>
      </c>
      <c r="N786" s="3310">
        <v>2.1000000000000001E-2</v>
      </c>
      <c r="O786" s="3310">
        <v>2.1000000000000001E-2</v>
      </c>
      <c r="P786" s="3310">
        <v>2.1000000000000001E-2</v>
      </c>
      <c r="Q786" s="3311">
        <v>2.1000000000000001E-2</v>
      </c>
    </row>
    <row r="787" spans="2:17" ht="12.75" customHeight="1">
      <c r="B787" s="4689">
        <v>3214</v>
      </c>
      <c r="C787" s="4691" t="s">
        <v>36</v>
      </c>
      <c r="D787" s="4692"/>
      <c r="E787" s="4692"/>
      <c r="F787" s="4692"/>
      <c r="G787" s="4692"/>
      <c r="H787" s="4693" t="s">
        <v>37</v>
      </c>
      <c r="I787" s="4694"/>
      <c r="J787" s="4694"/>
      <c r="K787" s="4694"/>
      <c r="L787" s="4694"/>
      <c r="M787" s="4695" t="s">
        <v>73</v>
      </c>
      <c r="N787" s="4695"/>
      <c r="O787" s="4695"/>
      <c r="P787" s="4695"/>
      <c r="Q787" s="4696"/>
    </row>
    <row r="788" spans="2:17" ht="12.75" customHeight="1">
      <c r="B788" s="4690"/>
      <c r="C788" s="4697" t="s">
        <v>1673</v>
      </c>
      <c r="D788" s="4698"/>
      <c r="E788" s="4698"/>
      <c r="F788" s="4698"/>
      <c r="G788" s="4698"/>
      <c r="H788" s="4698"/>
      <c r="I788" s="4698"/>
      <c r="J788" s="4698"/>
      <c r="K788" s="4698"/>
      <c r="L788" s="4698"/>
      <c r="M788" s="4698"/>
      <c r="N788" s="4698"/>
      <c r="O788" s="4698"/>
      <c r="P788" s="4698"/>
      <c r="Q788" s="4699"/>
    </row>
    <row r="789" spans="2:17" ht="12.75" customHeight="1">
      <c r="B789" s="4690"/>
      <c r="C789" s="4697" t="s">
        <v>54</v>
      </c>
      <c r="D789" s="4698"/>
      <c r="E789" s="4698"/>
      <c r="F789" s="4698"/>
      <c r="G789" s="4698"/>
      <c r="H789" s="4698"/>
      <c r="I789" s="4698"/>
      <c r="J789" s="4700"/>
      <c r="K789" s="4701" t="s">
        <v>55</v>
      </c>
      <c r="L789" s="4702"/>
      <c r="M789" s="4702"/>
      <c r="N789" s="4702"/>
      <c r="O789" s="4702"/>
      <c r="P789" s="4702"/>
      <c r="Q789" s="4703"/>
    </row>
    <row r="790" spans="2:17" ht="13.5" customHeight="1" thickBot="1">
      <c r="B790" s="4690"/>
      <c r="C790" s="3252">
        <f t="array" ref="C790:G790">PRCP</f>
        <v>2008</v>
      </c>
      <c r="D790" s="3253">
        <v>2009</v>
      </c>
      <c r="E790" s="3253">
        <v>2010</v>
      </c>
      <c r="F790" s="3253">
        <v>2011</v>
      </c>
      <c r="G790" s="3253">
        <v>2012</v>
      </c>
      <c r="H790" s="3254">
        <f>CRCP_y1</f>
        <v>2013</v>
      </c>
      <c r="I790" s="3254">
        <f>CRCP_y2</f>
        <v>2014</v>
      </c>
      <c r="J790" s="3254">
        <f>CRCP_y3</f>
        <v>2015</v>
      </c>
      <c r="K790" s="3254">
        <f>CRCP_y4</f>
        <v>2016</v>
      </c>
      <c r="L790" s="3254">
        <f>CRCP_y5</f>
        <v>2017</v>
      </c>
      <c r="M790" s="3253" t="str">
        <f t="array" ref="M790:Q790">FRCP</f>
        <v>2018</v>
      </c>
      <c r="N790" s="3253">
        <v>2019</v>
      </c>
      <c r="O790" s="3253">
        <v>2020</v>
      </c>
      <c r="P790" s="3253">
        <v>2021</v>
      </c>
      <c r="Q790" s="3255">
        <v>2022</v>
      </c>
    </row>
    <row r="791" spans="2:17">
      <c r="B791" s="3256" t="s">
        <v>1700</v>
      </c>
      <c r="C791" s="3257"/>
      <c r="D791" s="3258"/>
      <c r="E791" s="3258"/>
      <c r="F791" s="3258"/>
      <c r="G791" s="3259"/>
      <c r="H791" s="3257"/>
      <c r="I791" s="3258"/>
      <c r="J791" s="3258"/>
      <c r="K791" s="3258"/>
      <c r="L791" s="3258"/>
      <c r="M791" s="3257"/>
      <c r="N791" s="3258"/>
      <c r="O791" s="3258"/>
      <c r="P791" s="3258"/>
      <c r="Q791" s="3259"/>
    </row>
    <row r="792" spans="2:17">
      <c r="B792" s="3260"/>
      <c r="C792" s="3268"/>
      <c r="D792" s="3269"/>
      <c r="E792" s="3269"/>
      <c r="F792" s="3269"/>
      <c r="G792" s="3270"/>
      <c r="H792" s="3268"/>
      <c r="I792" s="3305"/>
      <c r="J792" s="3305"/>
      <c r="K792" s="3305"/>
      <c r="L792" s="3306"/>
      <c r="M792" s="3307"/>
      <c r="N792" s="3305"/>
      <c r="O792" s="3305"/>
      <c r="P792" s="3305"/>
      <c r="Q792" s="3308"/>
    </row>
    <row r="793" spans="2:17">
      <c r="B793" s="3260" t="s">
        <v>64</v>
      </c>
      <c r="C793" s="3268"/>
      <c r="D793" s="3269"/>
      <c r="E793" s="3269"/>
      <c r="F793" s="3269"/>
      <c r="G793" s="3270"/>
      <c r="H793" s="3268"/>
      <c r="I793" s="3305">
        <v>9.8809999999999985</v>
      </c>
      <c r="J793" s="3305">
        <v>3.4399999999999991</v>
      </c>
      <c r="K793" s="3305">
        <v>3.3652834893284447</v>
      </c>
      <c r="L793" s="3306">
        <v>3.3403779857712599</v>
      </c>
      <c r="M793" s="3307">
        <v>3.3403779857712599</v>
      </c>
      <c r="N793" s="3305">
        <v>3.3403779857712599</v>
      </c>
      <c r="O793" s="3305">
        <v>3.3403779857712599</v>
      </c>
      <c r="P793" s="3305">
        <v>3.3403779857712599</v>
      </c>
      <c r="Q793" s="3308">
        <v>3.3403779857712599</v>
      </c>
    </row>
    <row r="794" spans="2:17">
      <c r="B794" s="3260" t="s">
        <v>65</v>
      </c>
      <c r="C794" s="3268"/>
      <c r="D794" s="3269"/>
      <c r="E794" s="3269"/>
      <c r="F794" s="3269"/>
      <c r="G794" s="3270"/>
      <c r="H794" s="3268"/>
      <c r="I794" s="3305">
        <v>2.3849999999999993</v>
      </c>
      <c r="J794" s="3305">
        <v>1.333</v>
      </c>
      <c r="K794" s="3305">
        <v>1.3040473521147726</v>
      </c>
      <c r="L794" s="3306">
        <v>1.2943964694863634</v>
      </c>
      <c r="M794" s="3307">
        <v>1.2943964694863634</v>
      </c>
      <c r="N794" s="3305">
        <v>1.2943964694863634</v>
      </c>
      <c r="O794" s="3305">
        <v>1.2943964694863634</v>
      </c>
      <c r="P794" s="3305">
        <v>1.2943964694863634</v>
      </c>
      <c r="Q794" s="3308">
        <v>1.2943964694863634</v>
      </c>
    </row>
    <row r="795" spans="2:17">
      <c r="B795" s="3260" t="s">
        <v>82</v>
      </c>
      <c r="C795" s="3268"/>
      <c r="D795" s="3269"/>
      <c r="E795" s="3269"/>
      <c r="F795" s="3269"/>
      <c r="G795" s="3270"/>
      <c r="H795" s="3268"/>
      <c r="I795" s="3305">
        <v>0</v>
      </c>
      <c r="J795" s="3305">
        <v>0</v>
      </c>
      <c r="K795" s="3305">
        <v>0</v>
      </c>
      <c r="L795" s="3306">
        <v>0</v>
      </c>
      <c r="M795" s="3307">
        <v>0</v>
      </c>
      <c r="N795" s="3305">
        <v>0</v>
      </c>
      <c r="O795" s="3305">
        <v>0</v>
      </c>
      <c r="P795" s="3305">
        <v>0</v>
      </c>
      <c r="Q795" s="3308">
        <v>0</v>
      </c>
    </row>
    <row r="796" spans="2:17">
      <c r="B796" s="3260" t="s">
        <v>680</v>
      </c>
      <c r="C796" s="3268"/>
      <c r="D796" s="3269"/>
      <c r="E796" s="3269"/>
      <c r="F796" s="3269"/>
      <c r="G796" s="3270"/>
      <c r="H796" s="3268"/>
      <c r="I796" s="3305">
        <v>0</v>
      </c>
      <c r="J796" s="3305">
        <v>0</v>
      </c>
      <c r="K796" s="3305">
        <v>0</v>
      </c>
      <c r="L796" s="3306">
        <v>0</v>
      </c>
      <c r="M796" s="3307">
        <v>0</v>
      </c>
      <c r="N796" s="3305">
        <v>0</v>
      </c>
      <c r="O796" s="3305">
        <v>0</v>
      </c>
      <c r="P796" s="3305">
        <v>0</v>
      </c>
      <c r="Q796" s="3308">
        <v>0</v>
      </c>
    </row>
    <row r="797" spans="2:17">
      <c r="B797" s="3260" t="s">
        <v>681</v>
      </c>
      <c r="C797" s="3268"/>
      <c r="D797" s="3269"/>
      <c r="E797" s="3269"/>
      <c r="F797" s="3269"/>
      <c r="G797" s="3270"/>
      <c r="H797" s="3268"/>
      <c r="I797" s="3305">
        <v>101.89000000000004</v>
      </c>
      <c r="J797" s="3305">
        <v>111.68700000000003</v>
      </c>
      <c r="K797" s="3305">
        <v>112.76291775367041</v>
      </c>
      <c r="L797" s="3306">
        <v>113.12155700489386</v>
      </c>
      <c r="M797" s="3307">
        <v>113.12155700489386</v>
      </c>
      <c r="N797" s="3305">
        <v>113.12155700489386</v>
      </c>
      <c r="O797" s="3305">
        <v>113.12155700489386</v>
      </c>
      <c r="P797" s="3305">
        <v>113.12155700489386</v>
      </c>
      <c r="Q797" s="3308">
        <v>113.12155700489386</v>
      </c>
    </row>
    <row r="798" spans="2:17">
      <c r="B798" s="3260" t="s">
        <v>682</v>
      </c>
      <c r="C798" s="3268"/>
      <c r="D798" s="3269"/>
      <c r="E798" s="3269"/>
      <c r="F798" s="3269"/>
      <c r="G798" s="3270"/>
      <c r="H798" s="3268"/>
      <c r="I798" s="3305">
        <v>0</v>
      </c>
      <c r="J798" s="3305">
        <v>0</v>
      </c>
      <c r="K798" s="3305">
        <v>0</v>
      </c>
      <c r="L798" s="3306">
        <v>0</v>
      </c>
      <c r="M798" s="3307">
        <v>0</v>
      </c>
      <c r="N798" s="3305">
        <v>0</v>
      </c>
      <c r="O798" s="3305">
        <v>0</v>
      </c>
      <c r="P798" s="3305">
        <v>0</v>
      </c>
      <c r="Q798" s="3308">
        <v>0</v>
      </c>
    </row>
    <row r="799" spans="2:17">
      <c r="B799" s="3260" t="s">
        <v>66</v>
      </c>
      <c r="C799" s="3268"/>
      <c r="D799" s="3269"/>
      <c r="E799" s="3269"/>
      <c r="F799" s="3269"/>
      <c r="G799" s="3270"/>
      <c r="H799" s="3268"/>
      <c r="I799" s="3305">
        <v>0.54699999999999993</v>
      </c>
      <c r="J799" s="3305">
        <v>0.28599999999999998</v>
      </c>
      <c r="K799" s="3305">
        <v>0.27978810405463239</v>
      </c>
      <c r="L799" s="3306">
        <v>0.2777174720728432</v>
      </c>
      <c r="M799" s="3307">
        <v>0.2777174720728432</v>
      </c>
      <c r="N799" s="3305">
        <v>0.2777174720728432</v>
      </c>
      <c r="O799" s="3305">
        <v>0.2777174720728432</v>
      </c>
      <c r="P799" s="3305">
        <v>0.2777174720728432</v>
      </c>
      <c r="Q799" s="3308">
        <v>0.2777174720728432</v>
      </c>
    </row>
    <row r="800" spans="2:17" ht="13.5" thickBot="1">
      <c r="B800" s="3260" t="s">
        <v>67</v>
      </c>
      <c r="C800" s="3268"/>
      <c r="D800" s="3269"/>
      <c r="E800" s="3269"/>
      <c r="F800" s="3269"/>
      <c r="G800" s="3270"/>
      <c r="H800" s="3268"/>
      <c r="I800" s="3305">
        <v>44.769999999999989</v>
      </c>
      <c r="J800" s="3305">
        <v>44.47699999999999</v>
      </c>
      <c r="K800" s="3305">
        <v>43.510963300831754</v>
      </c>
      <c r="L800" s="3306">
        <v>43.188951067775676</v>
      </c>
      <c r="M800" s="3309">
        <v>43.188951067775676</v>
      </c>
      <c r="N800" s="3310">
        <v>43.188951067775676</v>
      </c>
      <c r="O800" s="3310">
        <v>43.188951067775676</v>
      </c>
      <c r="P800" s="3310">
        <v>43.188951067775676</v>
      </c>
      <c r="Q800" s="3311">
        <v>43.188951067775676</v>
      </c>
    </row>
    <row r="801" spans="2:17" ht="12.75" customHeight="1">
      <c r="B801" s="4689">
        <v>3215</v>
      </c>
      <c r="C801" s="4691" t="s">
        <v>36</v>
      </c>
      <c r="D801" s="4692"/>
      <c r="E801" s="4692"/>
      <c r="F801" s="4692"/>
      <c r="G801" s="4692"/>
      <c r="H801" s="4693" t="s">
        <v>37</v>
      </c>
      <c r="I801" s="4694"/>
      <c r="J801" s="4694"/>
      <c r="K801" s="4694"/>
      <c r="L801" s="4694"/>
      <c r="M801" s="4695" t="s">
        <v>73</v>
      </c>
      <c r="N801" s="4695"/>
      <c r="O801" s="4695"/>
      <c r="P801" s="4695"/>
      <c r="Q801" s="4696"/>
    </row>
    <row r="802" spans="2:17" ht="12.75" customHeight="1">
      <c r="B802" s="4690"/>
      <c r="C802" s="4697" t="s">
        <v>1673</v>
      </c>
      <c r="D802" s="4698"/>
      <c r="E802" s="4698"/>
      <c r="F802" s="4698"/>
      <c r="G802" s="4698"/>
      <c r="H802" s="4698"/>
      <c r="I802" s="4698"/>
      <c r="J802" s="4698"/>
      <c r="K802" s="4698"/>
      <c r="L802" s="4698"/>
      <c r="M802" s="4698"/>
      <c r="N802" s="4698"/>
      <c r="O802" s="4698"/>
      <c r="P802" s="4698"/>
      <c r="Q802" s="4699"/>
    </row>
    <row r="803" spans="2:17" ht="12.75" customHeight="1">
      <c r="B803" s="4690"/>
      <c r="C803" s="4697" t="s">
        <v>54</v>
      </c>
      <c r="D803" s="4698"/>
      <c r="E803" s="4698"/>
      <c r="F803" s="4698"/>
      <c r="G803" s="4698"/>
      <c r="H803" s="4698"/>
      <c r="I803" s="4698"/>
      <c r="J803" s="4700"/>
      <c r="K803" s="4701" t="s">
        <v>55</v>
      </c>
      <c r="L803" s="4702"/>
      <c r="M803" s="4702"/>
      <c r="N803" s="4702"/>
      <c r="O803" s="4702"/>
      <c r="P803" s="4702"/>
      <c r="Q803" s="4703"/>
    </row>
    <row r="804" spans="2:17" ht="13.5" customHeight="1" thickBot="1">
      <c r="B804" s="4690"/>
      <c r="C804" s="3252">
        <f t="array" ref="C804:G804">PRCP</f>
        <v>2008</v>
      </c>
      <c r="D804" s="3253">
        <v>2009</v>
      </c>
      <c r="E804" s="3253">
        <v>2010</v>
      </c>
      <c r="F804" s="3253">
        <v>2011</v>
      </c>
      <c r="G804" s="3253">
        <v>2012</v>
      </c>
      <c r="H804" s="3254">
        <f>CRCP_y1</f>
        <v>2013</v>
      </c>
      <c r="I804" s="3254">
        <f>CRCP_y2</f>
        <v>2014</v>
      </c>
      <c r="J804" s="3254">
        <f>CRCP_y3</f>
        <v>2015</v>
      </c>
      <c r="K804" s="3254">
        <f>CRCP_y4</f>
        <v>2016</v>
      </c>
      <c r="L804" s="3254">
        <f>CRCP_y5</f>
        <v>2017</v>
      </c>
      <c r="M804" s="3253" t="str">
        <f t="array" ref="M804:Q804">FRCP</f>
        <v>2018</v>
      </c>
      <c r="N804" s="3253">
        <v>2019</v>
      </c>
      <c r="O804" s="3253">
        <v>2020</v>
      </c>
      <c r="P804" s="3253">
        <v>2021</v>
      </c>
      <c r="Q804" s="3255">
        <v>2022</v>
      </c>
    </row>
    <row r="805" spans="2:17">
      <c r="B805" s="3256" t="s">
        <v>1701</v>
      </c>
      <c r="C805" s="3257"/>
      <c r="D805" s="3258"/>
      <c r="E805" s="3258"/>
      <c r="F805" s="3258"/>
      <c r="G805" s="3259"/>
      <c r="H805" s="3257"/>
      <c r="I805" s="3258"/>
      <c r="J805" s="3258"/>
      <c r="K805" s="3258"/>
      <c r="L805" s="3258"/>
      <c r="M805" s="3257"/>
      <c r="N805" s="3258"/>
      <c r="O805" s="3258"/>
      <c r="P805" s="3258"/>
      <c r="Q805" s="3259"/>
    </row>
    <row r="806" spans="2:17">
      <c r="B806" s="3260"/>
      <c r="C806" s="3268"/>
      <c r="D806" s="3269"/>
      <c r="E806" s="3269"/>
      <c r="F806" s="3269"/>
      <c r="G806" s="3270"/>
      <c r="H806" s="3268"/>
      <c r="I806" s="3305"/>
      <c r="J806" s="3305"/>
      <c r="K806" s="3305"/>
      <c r="L806" s="3306"/>
      <c r="M806" s="3307"/>
      <c r="N806" s="3305"/>
      <c r="O806" s="3305"/>
      <c r="P806" s="3305"/>
      <c r="Q806" s="3308"/>
    </row>
    <row r="807" spans="2:17">
      <c r="B807" s="3260" t="s">
        <v>64</v>
      </c>
      <c r="C807" s="3268"/>
      <c r="D807" s="3269"/>
      <c r="E807" s="3269"/>
      <c r="F807" s="3269"/>
      <c r="G807" s="3270"/>
      <c r="H807" s="3268"/>
      <c r="I807" s="3305">
        <v>29.565999999999999</v>
      </c>
      <c r="J807" s="3305">
        <v>13.99</v>
      </c>
      <c r="K807" s="3305">
        <v>13.020490257130623</v>
      </c>
      <c r="L807" s="3306">
        <v>12.122447499680746</v>
      </c>
      <c r="M807" s="3307">
        <v>11.901110551895615</v>
      </c>
      <c r="N807" s="3305">
        <v>11.901110551895615</v>
      </c>
      <c r="O807" s="3305">
        <v>11.901110551895615</v>
      </c>
      <c r="P807" s="3305">
        <v>11.901110551895615</v>
      </c>
      <c r="Q807" s="3308">
        <v>11.901110551895615</v>
      </c>
    </row>
    <row r="808" spans="2:17">
      <c r="B808" s="3260" t="s">
        <v>65</v>
      </c>
      <c r="C808" s="3268"/>
      <c r="D808" s="3269"/>
      <c r="E808" s="3269"/>
      <c r="F808" s="3269"/>
      <c r="G808" s="3270"/>
      <c r="H808" s="3268"/>
      <c r="I808" s="3305">
        <v>11.1</v>
      </c>
      <c r="J808" s="3305">
        <v>6.0289999999999999</v>
      </c>
      <c r="K808" s="3305">
        <v>5.6111891179585793</v>
      </c>
      <c r="L808" s="3306">
        <v>5.2241769818138106</v>
      </c>
      <c r="M808" s="3307">
        <v>5.1287916738655221</v>
      </c>
      <c r="N808" s="3305">
        <v>5.1287916738655221</v>
      </c>
      <c r="O808" s="3305">
        <v>5.1287916738655221</v>
      </c>
      <c r="P808" s="3305">
        <v>5.1287916738655221</v>
      </c>
      <c r="Q808" s="3308">
        <v>5.1287916738655221</v>
      </c>
    </row>
    <row r="809" spans="2:17">
      <c r="B809" s="3260" t="s">
        <v>82</v>
      </c>
      <c r="C809" s="3268"/>
      <c r="D809" s="3269"/>
      <c r="E809" s="3269"/>
      <c r="F809" s="3269"/>
      <c r="G809" s="3270"/>
      <c r="H809" s="3268"/>
      <c r="I809" s="3305">
        <v>0</v>
      </c>
      <c r="J809" s="3305">
        <v>0</v>
      </c>
      <c r="K809" s="3305">
        <v>0</v>
      </c>
      <c r="L809" s="3306">
        <v>0</v>
      </c>
      <c r="M809" s="3307">
        <v>0</v>
      </c>
      <c r="N809" s="3305">
        <v>0</v>
      </c>
      <c r="O809" s="3305">
        <v>0</v>
      </c>
      <c r="P809" s="3305">
        <v>0</v>
      </c>
      <c r="Q809" s="3308">
        <v>0</v>
      </c>
    </row>
    <row r="810" spans="2:17">
      <c r="B810" s="3260" t="s">
        <v>680</v>
      </c>
      <c r="C810" s="3268"/>
      <c r="D810" s="3269"/>
      <c r="E810" s="3269"/>
      <c r="F810" s="3269"/>
      <c r="G810" s="3270"/>
      <c r="H810" s="3268"/>
      <c r="I810" s="3305">
        <v>0</v>
      </c>
      <c r="J810" s="3305">
        <v>0</v>
      </c>
      <c r="K810" s="3305">
        <v>0</v>
      </c>
      <c r="L810" s="3306">
        <v>0</v>
      </c>
      <c r="M810" s="3307">
        <v>0</v>
      </c>
      <c r="N810" s="3305">
        <v>0</v>
      </c>
      <c r="O810" s="3305">
        <v>0</v>
      </c>
      <c r="P810" s="3305">
        <v>0</v>
      </c>
      <c r="Q810" s="3308">
        <v>0</v>
      </c>
    </row>
    <row r="811" spans="2:17">
      <c r="B811" s="3260" t="s">
        <v>681</v>
      </c>
      <c r="C811" s="3268"/>
      <c r="D811" s="3269"/>
      <c r="E811" s="3269"/>
      <c r="F811" s="3269"/>
      <c r="G811" s="3270"/>
      <c r="H811" s="3268"/>
      <c r="I811" s="3305">
        <v>65.67699999999995</v>
      </c>
      <c r="J811" s="3305">
        <v>91.489999999999924</v>
      </c>
      <c r="K811" s="3305">
        <v>94.375175062536073</v>
      </c>
      <c r="L811" s="3306">
        <v>97.047670710921409</v>
      </c>
      <c r="M811" s="3307">
        <v>97.706349849387337</v>
      </c>
      <c r="N811" s="3305">
        <v>97.706349849387337</v>
      </c>
      <c r="O811" s="3305">
        <v>97.706349849387337</v>
      </c>
      <c r="P811" s="3305">
        <v>97.706349849387337</v>
      </c>
      <c r="Q811" s="3308">
        <v>97.706349849387337</v>
      </c>
    </row>
    <row r="812" spans="2:17">
      <c r="B812" s="3260" t="s">
        <v>682</v>
      </c>
      <c r="C812" s="3268"/>
      <c r="D812" s="3269"/>
      <c r="E812" s="3269"/>
      <c r="F812" s="3269"/>
      <c r="G812" s="3270"/>
      <c r="H812" s="3268"/>
      <c r="I812" s="3305">
        <v>0.54800000000000004</v>
      </c>
      <c r="J812" s="3305">
        <v>0.54799999999999993</v>
      </c>
      <c r="K812" s="3305">
        <v>0.51002349255951251</v>
      </c>
      <c r="L812" s="3306">
        <v>0.47484640670657952</v>
      </c>
      <c r="M812" s="3307">
        <v>0.46617645335516766</v>
      </c>
      <c r="N812" s="3305">
        <v>0.46617645335516766</v>
      </c>
      <c r="O812" s="3305">
        <v>0.46617645335516766</v>
      </c>
      <c r="P812" s="3305">
        <v>0.46617645335516766</v>
      </c>
      <c r="Q812" s="3308">
        <v>0.46617645335516766</v>
      </c>
    </row>
    <row r="813" spans="2:17">
      <c r="B813" s="3260" t="s">
        <v>66</v>
      </c>
      <c r="C813" s="3268"/>
      <c r="D813" s="3269"/>
      <c r="E813" s="3269"/>
      <c r="F813" s="3269"/>
      <c r="G813" s="3270"/>
      <c r="H813" s="3268"/>
      <c r="I813" s="3305">
        <v>1.4029999999999998</v>
      </c>
      <c r="J813" s="3305">
        <v>1.085</v>
      </c>
      <c r="K813" s="3305">
        <v>1.0098092872756772</v>
      </c>
      <c r="L813" s="3306">
        <v>0.94016122495737009</v>
      </c>
      <c r="M813" s="3307">
        <v>0.92299535016488499</v>
      </c>
      <c r="N813" s="3305">
        <v>0.92299535016488499</v>
      </c>
      <c r="O813" s="3305">
        <v>0.92299535016488499</v>
      </c>
      <c r="P813" s="3305">
        <v>0.92299535016488499</v>
      </c>
      <c r="Q813" s="3308">
        <v>0.92299535016488499</v>
      </c>
    </row>
    <row r="814" spans="2:17" ht="13.5" thickBot="1">
      <c r="B814" s="3260" t="s">
        <v>67</v>
      </c>
      <c r="C814" s="3268"/>
      <c r="D814" s="3269"/>
      <c r="E814" s="3269"/>
      <c r="F814" s="3269"/>
      <c r="G814" s="3270"/>
      <c r="H814" s="3268"/>
      <c r="I814" s="3305">
        <v>20.908000000000015</v>
      </c>
      <c r="J814" s="3305">
        <v>19.981000000000016</v>
      </c>
      <c r="K814" s="3305">
        <v>18.596312782539471</v>
      </c>
      <c r="L814" s="3306">
        <v>17.313697175920026</v>
      </c>
      <c r="M814" s="3309">
        <v>16.997576121331413</v>
      </c>
      <c r="N814" s="3310">
        <v>16.997576121331413</v>
      </c>
      <c r="O814" s="3310">
        <v>16.997576121331413</v>
      </c>
      <c r="P814" s="3310">
        <v>16.997576121331413</v>
      </c>
      <c r="Q814" s="3311">
        <v>16.997576121331413</v>
      </c>
    </row>
    <row r="815" spans="2:17" ht="12.75" customHeight="1">
      <c r="B815" s="4689">
        <v>3216</v>
      </c>
      <c r="C815" s="4691" t="s">
        <v>36</v>
      </c>
      <c r="D815" s="4692"/>
      <c r="E815" s="4692"/>
      <c r="F815" s="4692"/>
      <c r="G815" s="4692"/>
      <c r="H815" s="4693" t="s">
        <v>37</v>
      </c>
      <c r="I815" s="4694"/>
      <c r="J815" s="4694"/>
      <c r="K815" s="4694"/>
      <c r="L815" s="4694"/>
      <c r="M815" s="4695" t="s">
        <v>73</v>
      </c>
      <c r="N815" s="4695"/>
      <c r="O815" s="4695"/>
      <c r="P815" s="4695"/>
      <c r="Q815" s="4696"/>
    </row>
    <row r="816" spans="2:17" ht="12.75" customHeight="1">
      <c r="B816" s="4690"/>
      <c r="C816" s="4697" t="s">
        <v>1673</v>
      </c>
      <c r="D816" s="4698"/>
      <c r="E816" s="4698"/>
      <c r="F816" s="4698"/>
      <c r="G816" s="4698"/>
      <c r="H816" s="4698"/>
      <c r="I816" s="4698"/>
      <c r="J816" s="4698"/>
      <c r="K816" s="4698"/>
      <c r="L816" s="4698"/>
      <c r="M816" s="4698"/>
      <c r="N816" s="4698"/>
      <c r="O816" s="4698"/>
      <c r="P816" s="4698"/>
      <c r="Q816" s="4699"/>
    </row>
    <row r="817" spans="2:17" ht="12.75" customHeight="1">
      <c r="B817" s="4690"/>
      <c r="C817" s="4697" t="s">
        <v>54</v>
      </c>
      <c r="D817" s="4698"/>
      <c r="E817" s="4698"/>
      <c r="F817" s="4698"/>
      <c r="G817" s="4698"/>
      <c r="H817" s="4698"/>
      <c r="I817" s="4698"/>
      <c r="J817" s="4700"/>
      <c r="K817" s="4701" t="s">
        <v>55</v>
      </c>
      <c r="L817" s="4702"/>
      <c r="M817" s="4702"/>
      <c r="N817" s="4702"/>
      <c r="O817" s="4702"/>
      <c r="P817" s="4702"/>
      <c r="Q817" s="4703"/>
    </row>
    <row r="818" spans="2:17" ht="13.5" customHeight="1" thickBot="1">
      <c r="B818" s="4690"/>
      <c r="C818" s="3252">
        <f t="array" ref="C818:G818">PRCP</f>
        <v>2008</v>
      </c>
      <c r="D818" s="3253">
        <v>2009</v>
      </c>
      <c r="E818" s="3253">
        <v>2010</v>
      </c>
      <c r="F818" s="3253">
        <v>2011</v>
      </c>
      <c r="G818" s="3253">
        <v>2012</v>
      </c>
      <c r="H818" s="3254">
        <f>CRCP_y1</f>
        <v>2013</v>
      </c>
      <c r="I818" s="3254">
        <f>CRCP_y2</f>
        <v>2014</v>
      </c>
      <c r="J818" s="3254">
        <f>CRCP_y3</f>
        <v>2015</v>
      </c>
      <c r="K818" s="3254">
        <f>CRCP_y4</f>
        <v>2016</v>
      </c>
      <c r="L818" s="3254">
        <f>CRCP_y5</f>
        <v>2017</v>
      </c>
      <c r="M818" s="3253" t="str">
        <f t="array" ref="M818:Q818">FRCP</f>
        <v>2018</v>
      </c>
      <c r="N818" s="3253">
        <v>2019</v>
      </c>
      <c r="O818" s="3253">
        <v>2020</v>
      </c>
      <c r="P818" s="3253">
        <v>2021</v>
      </c>
      <c r="Q818" s="3255">
        <v>2022</v>
      </c>
    </row>
    <row r="819" spans="2:17">
      <c r="B819" s="3256" t="s">
        <v>1701</v>
      </c>
      <c r="C819" s="3257"/>
      <c r="D819" s="3258"/>
      <c r="E819" s="3258"/>
      <c r="F819" s="3258"/>
      <c r="G819" s="3259"/>
      <c r="H819" s="3257"/>
      <c r="I819" s="3258"/>
      <c r="J819" s="3258"/>
      <c r="K819" s="3258"/>
      <c r="L819" s="3258"/>
      <c r="M819" s="3257"/>
      <c r="N819" s="3258"/>
      <c r="O819" s="3258"/>
      <c r="P819" s="3258"/>
      <c r="Q819" s="3259"/>
    </row>
    <row r="820" spans="2:17">
      <c r="B820" s="3260"/>
      <c r="C820" s="3268"/>
      <c r="D820" s="3269"/>
      <c r="E820" s="3269"/>
      <c r="F820" s="3269"/>
      <c r="G820" s="3270"/>
      <c r="H820" s="3268"/>
      <c r="I820" s="3269"/>
      <c r="J820" s="3269"/>
      <c r="K820" s="3269"/>
      <c r="L820" s="3271"/>
      <c r="M820" s="3268"/>
      <c r="N820" s="3269"/>
      <c r="O820" s="3269"/>
      <c r="P820" s="3269"/>
      <c r="Q820" s="3270"/>
    </row>
    <row r="821" spans="2:17">
      <c r="B821" s="3260" t="s">
        <v>64</v>
      </c>
      <c r="C821" s="3268"/>
      <c r="D821" s="3269"/>
      <c r="E821" s="3269"/>
      <c r="F821" s="3269"/>
      <c r="G821" s="3270"/>
      <c r="H821" s="3268"/>
      <c r="I821" s="3305">
        <v>3.141</v>
      </c>
      <c r="J821" s="3305">
        <v>2.6709999999999998</v>
      </c>
      <c r="K821" s="3305">
        <v>2.6709999999999998</v>
      </c>
      <c r="L821" s="3306">
        <v>2.6709999999999998</v>
      </c>
      <c r="M821" s="3307">
        <v>2.5728494538035482</v>
      </c>
      <c r="N821" s="3305">
        <v>2.5656916644281567</v>
      </c>
      <c r="O821" s="3305">
        <v>2.5656916644281567</v>
      </c>
      <c r="P821" s="3305">
        <v>2.5656916644281567</v>
      </c>
      <c r="Q821" s="3308">
        <v>2.5656916644281567</v>
      </c>
    </row>
    <row r="822" spans="2:17">
      <c r="B822" s="3260" t="s">
        <v>65</v>
      </c>
      <c r="C822" s="3268"/>
      <c r="D822" s="3269"/>
      <c r="E822" s="3269"/>
      <c r="F822" s="3269"/>
      <c r="G822" s="3270"/>
      <c r="H822" s="3268"/>
      <c r="I822" s="3305">
        <v>6.4099999999999984</v>
      </c>
      <c r="J822" s="3305">
        <v>5.6479999999999988</v>
      </c>
      <c r="K822" s="3305">
        <v>5.6479999999999988</v>
      </c>
      <c r="L822" s="3306">
        <v>5.6479999999999988</v>
      </c>
      <c r="M822" s="3307">
        <v>5.4404544047481984</v>
      </c>
      <c r="N822" s="3305">
        <v>5.4253188022052514</v>
      </c>
      <c r="O822" s="3305">
        <v>5.4253188022052514</v>
      </c>
      <c r="P822" s="3305">
        <v>5.4253188022052514</v>
      </c>
      <c r="Q822" s="3308">
        <v>5.4253188022052514</v>
      </c>
    </row>
    <row r="823" spans="2:17">
      <c r="B823" s="3260" t="s">
        <v>82</v>
      </c>
      <c r="C823" s="3268"/>
      <c r="D823" s="3269"/>
      <c r="E823" s="3269"/>
      <c r="F823" s="3269"/>
      <c r="G823" s="3270"/>
      <c r="H823" s="3268"/>
      <c r="I823" s="3305">
        <v>0</v>
      </c>
      <c r="J823" s="3305">
        <v>0</v>
      </c>
      <c r="K823" s="3305">
        <v>0</v>
      </c>
      <c r="L823" s="3306">
        <v>0</v>
      </c>
      <c r="M823" s="3307">
        <v>0</v>
      </c>
      <c r="N823" s="3305">
        <v>0</v>
      </c>
      <c r="O823" s="3305">
        <v>0</v>
      </c>
      <c r="P823" s="3305">
        <v>0</v>
      </c>
      <c r="Q823" s="3308">
        <v>0</v>
      </c>
    </row>
    <row r="824" spans="2:17">
      <c r="B824" s="3260" t="s">
        <v>680</v>
      </c>
      <c r="C824" s="3268"/>
      <c r="D824" s="3269"/>
      <c r="E824" s="3269"/>
      <c r="F824" s="3269"/>
      <c r="G824" s="3270"/>
      <c r="H824" s="3268"/>
      <c r="I824" s="3305">
        <v>0</v>
      </c>
      <c r="J824" s="3305">
        <v>0</v>
      </c>
      <c r="K824" s="3305">
        <v>0</v>
      </c>
      <c r="L824" s="3306">
        <v>0</v>
      </c>
      <c r="M824" s="3307">
        <v>0</v>
      </c>
      <c r="N824" s="3305">
        <v>0</v>
      </c>
      <c r="O824" s="3305">
        <v>0</v>
      </c>
      <c r="P824" s="3305">
        <v>0</v>
      </c>
      <c r="Q824" s="3308">
        <v>0</v>
      </c>
    </row>
    <row r="825" spans="2:17">
      <c r="B825" s="3260" t="s">
        <v>681</v>
      </c>
      <c r="C825" s="3268"/>
      <c r="D825" s="3269"/>
      <c r="E825" s="3269"/>
      <c r="F825" s="3269"/>
      <c r="G825" s="3270"/>
      <c r="H825" s="3268"/>
      <c r="I825" s="3305">
        <v>250.47299999999984</v>
      </c>
      <c r="J825" s="3305">
        <v>255.04199999999986</v>
      </c>
      <c r="K825" s="3305">
        <v>255.04199999999986</v>
      </c>
      <c r="L825" s="3306">
        <v>255.04199999999986</v>
      </c>
      <c r="M825" s="3307">
        <v>257.16103758778144</v>
      </c>
      <c r="N825" s="3305">
        <v>257.31557187535964</v>
      </c>
      <c r="O825" s="3305">
        <v>257.31557187535964</v>
      </c>
      <c r="P825" s="3305">
        <v>257.31557187535964</v>
      </c>
      <c r="Q825" s="3308">
        <v>257.31557187535964</v>
      </c>
    </row>
    <row r="826" spans="2:17">
      <c r="B826" s="3260" t="s">
        <v>682</v>
      </c>
      <c r="C826" s="3268"/>
      <c r="D826" s="3269"/>
      <c r="E826" s="3269"/>
      <c r="F826" s="3269"/>
      <c r="G826" s="3270"/>
      <c r="H826" s="3268"/>
      <c r="I826" s="3305">
        <v>0.26699999999999996</v>
      </c>
      <c r="J826" s="3305">
        <v>0.26699999999999996</v>
      </c>
      <c r="K826" s="3305">
        <v>0.26699999999999996</v>
      </c>
      <c r="L826" s="3306">
        <v>0.26699999999999996</v>
      </c>
      <c r="M826" s="3307">
        <v>0.25718862005449167</v>
      </c>
      <c r="N826" s="3305">
        <v>0.2564731090985839</v>
      </c>
      <c r="O826" s="3305">
        <v>0.2564731090985839</v>
      </c>
      <c r="P826" s="3305">
        <v>0.2564731090985839</v>
      </c>
      <c r="Q826" s="3308">
        <v>0.2564731090985839</v>
      </c>
    </row>
    <row r="827" spans="2:17">
      <c r="B827" s="3260" t="s">
        <v>66</v>
      </c>
      <c r="C827" s="3268"/>
      <c r="D827" s="3269"/>
      <c r="E827" s="3269"/>
      <c r="F827" s="3269"/>
      <c r="G827" s="3270"/>
      <c r="H827" s="3268"/>
      <c r="I827" s="3305">
        <v>2.948</v>
      </c>
      <c r="J827" s="3305">
        <v>2.948</v>
      </c>
      <c r="K827" s="3305">
        <v>2.948</v>
      </c>
      <c r="L827" s="3306">
        <v>2.948</v>
      </c>
      <c r="M827" s="3307">
        <v>2.8396706064443507</v>
      </c>
      <c r="N827" s="3305">
        <v>2.8317705079499085</v>
      </c>
      <c r="O827" s="3305">
        <v>2.8317705079499085</v>
      </c>
      <c r="P827" s="3305">
        <v>2.8317705079499085</v>
      </c>
      <c r="Q827" s="3308">
        <v>2.8317705079499085</v>
      </c>
    </row>
    <row r="828" spans="2:17" ht="13.5" thickBot="1">
      <c r="B828" s="3260" t="s">
        <v>67</v>
      </c>
      <c r="C828" s="3268"/>
      <c r="D828" s="3269"/>
      <c r="E828" s="3269"/>
      <c r="F828" s="3269"/>
      <c r="G828" s="3270"/>
      <c r="H828" s="3268"/>
      <c r="I828" s="3305">
        <v>45.803000000000019</v>
      </c>
      <c r="J828" s="3305">
        <v>46.132000000000026</v>
      </c>
      <c r="K828" s="3305">
        <v>46.132000000000026</v>
      </c>
      <c r="L828" s="3306">
        <v>46.132000000000026</v>
      </c>
      <c r="M828" s="3309">
        <v>44.436799327167861</v>
      </c>
      <c r="N828" s="3310">
        <v>44.313174040958366</v>
      </c>
      <c r="O828" s="3310">
        <v>44.313174040958366</v>
      </c>
      <c r="P828" s="3310">
        <v>44.313174040958366</v>
      </c>
      <c r="Q828" s="3311">
        <v>44.313174040958366</v>
      </c>
    </row>
    <row r="829" spans="2:17" ht="12.75" customHeight="1">
      <c r="B829" s="4689">
        <v>3217</v>
      </c>
      <c r="C829" s="4691" t="s">
        <v>36</v>
      </c>
      <c r="D829" s="4692"/>
      <c r="E829" s="4692"/>
      <c r="F829" s="4692"/>
      <c r="G829" s="4692"/>
      <c r="H829" s="4693" t="s">
        <v>37</v>
      </c>
      <c r="I829" s="4694"/>
      <c r="J829" s="4694"/>
      <c r="K829" s="4694"/>
      <c r="L829" s="4694"/>
      <c r="M829" s="4695" t="s">
        <v>73</v>
      </c>
      <c r="N829" s="4695"/>
      <c r="O829" s="4695"/>
      <c r="P829" s="4695"/>
      <c r="Q829" s="4696"/>
    </row>
    <row r="830" spans="2:17" ht="12.75" customHeight="1">
      <c r="B830" s="4690"/>
      <c r="C830" s="4697" t="s">
        <v>1673</v>
      </c>
      <c r="D830" s="4698"/>
      <c r="E830" s="4698"/>
      <c r="F830" s="4698"/>
      <c r="G830" s="4698"/>
      <c r="H830" s="4698"/>
      <c r="I830" s="4698"/>
      <c r="J830" s="4698"/>
      <c r="K830" s="4698"/>
      <c r="L830" s="4698"/>
      <c r="M830" s="4698"/>
      <c r="N830" s="4698"/>
      <c r="O830" s="4698"/>
      <c r="P830" s="4698"/>
      <c r="Q830" s="4699"/>
    </row>
    <row r="831" spans="2:17" ht="12.75" customHeight="1">
      <c r="B831" s="4690"/>
      <c r="C831" s="4697" t="s">
        <v>54</v>
      </c>
      <c r="D831" s="4698"/>
      <c r="E831" s="4698"/>
      <c r="F831" s="4698"/>
      <c r="G831" s="4698"/>
      <c r="H831" s="4698"/>
      <c r="I831" s="4698"/>
      <c r="J831" s="4700"/>
      <c r="K831" s="4701" t="s">
        <v>55</v>
      </c>
      <c r="L831" s="4702"/>
      <c r="M831" s="4702"/>
      <c r="N831" s="4702"/>
      <c r="O831" s="4702"/>
      <c r="P831" s="4702"/>
      <c r="Q831" s="4703"/>
    </row>
    <row r="832" spans="2:17" ht="13.5" customHeight="1" thickBot="1">
      <c r="B832" s="4690"/>
      <c r="C832" s="3252">
        <f t="array" ref="C832:G832">PRCP</f>
        <v>2008</v>
      </c>
      <c r="D832" s="3253">
        <v>2009</v>
      </c>
      <c r="E832" s="3253">
        <v>2010</v>
      </c>
      <c r="F832" s="3253">
        <v>2011</v>
      </c>
      <c r="G832" s="3253">
        <v>2012</v>
      </c>
      <c r="H832" s="3254">
        <f>CRCP_y1</f>
        <v>2013</v>
      </c>
      <c r="I832" s="3254">
        <f>CRCP_y2</f>
        <v>2014</v>
      </c>
      <c r="J832" s="3254">
        <f>CRCP_y3</f>
        <v>2015</v>
      </c>
      <c r="K832" s="3254">
        <f>CRCP_y4</f>
        <v>2016</v>
      </c>
      <c r="L832" s="3254">
        <f>CRCP_y5</f>
        <v>2017</v>
      </c>
      <c r="M832" s="3253" t="str">
        <f t="array" ref="M832:Q832">FRCP</f>
        <v>2018</v>
      </c>
      <c r="N832" s="3253">
        <v>2019</v>
      </c>
      <c r="O832" s="3253">
        <v>2020</v>
      </c>
      <c r="P832" s="3253">
        <v>2021</v>
      </c>
      <c r="Q832" s="3255">
        <v>2022</v>
      </c>
    </row>
    <row r="833" spans="2:17">
      <c r="B833" s="3256" t="s">
        <v>1702</v>
      </c>
      <c r="C833" s="3257"/>
      <c r="D833" s="3258"/>
      <c r="E833" s="3258"/>
      <c r="F833" s="3258"/>
      <c r="G833" s="3259"/>
      <c r="H833" s="3257"/>
      <c r="I833" s="3258"/>
      <c r="J833" s="3258"/>
      <c r="K833" s="3258"/>
      <c r="L833" s="3258"/>
      <c r="M833" s="3257"/>
      <c r="N833" s="3258"/>
      <c r="O833" s="3258"/>
      <c r="P833" s="3258"/>
      <c r="Q833" s="3259"/>
    </row>
    <row r="834" spans="2:17">
      <c r="B834" s="3260"/>
      <c r="C834" s="3268"/>
      <c r="D834" s="3269"/>
      <c r="E834" s="3269"/>
      <c r="F834" s="3269"/>
      <c r="G834" s="3270"/>
      <c r="H834" s="3268"/>
      <c r="I834" s="3269"/>
      <c r="J834" s="3269"/>
      <c r="K834" s="3269"/>
      <c r="L834" s="3271"/>
      <c r="M834" s="3268"/>
      <c r="N834" s="3269"/>
      <c r="O834" s="3269"/>
      <c r="P834" s="3269"/>
      <c r="Q834" s="3270"/>
    </row>
    <row r="835" spans="2:17">
      <c r="B835" s="3260" t="s">
        <v>64</v>
      </c>
      <c r="C835" s="3268"/>
      <c r="D835" s="3269"/>
      <c r="E835" s="3269"/>
      <c r="F835" s="3269"/>
      <c r="G835" s="3270"/>
      <c r="H835" s="3268"/>
      <c r="I835" s="3305">
        <v>0</v>
      </c>
      <c r="J835" s="3305">
        <v>0</v>
      </c>
      <c r="K835" s="3305">
        <v>0</v>
      </c>
      <c r="L835" s="3306">
        <v>0</v>
      </c>
      <c r="M835" s="3307">
        <v>0</v>
      </c>
      <c r="N835" s="3305">
        <v>0</v>
      </c>
      <c r="O835" s="3305">
        <v>0</v>
      </c>
      <c r="P835" s="3305">
        <v>0</v>
      </c>
      <c r="Q835" s="3308">
        <v>0</v>
      </c>
    </row>
    <row r="836" spans="2:17">
      <c r="B836" s="3260" t="s">
        <v>65</v>
      </c>
      <c r="C836" s="3268"/>
      <c r="D836" s="3269"/>
      <c r="E836" s="3269"/>
      <c r="F836" s="3269"/>
      <c r="G836" s="3270"/>
      <c r="H836" s="3268"/>
      <c r="I836" s="3305">
        <v>0</v>
      </c>
      <c r="J836" s="3305">
        <v>0</v>
      </c>
      <c r="K836" s="3305">
        <v>0</v>
      </c>
      <c r="L836" s="3306">
        <v>0</v>
      </c>
      <c r="M836" s="3307">
        <v>0</v>
      </c>
      <c r="N836" s="3305">
        <v>0</v>
      </c>
      <c r="O836" s="3305">
        <v>0</v>
      </c>
      <c r="P836" s="3305">
        <v>0</v>
      </c>
      <c r="Q836" s="3308">
        <v>0</v>
      </c>
    </row>
    <row r="837" spans="2:17">
      <c r="B837" s="3260" t="s">
        <v>82</v>
      </c>
      <c r="C837" s="3268"/>
      <c r="D837" s="3269"/>
      <c r="E837" s="3269"/>
      <c r="F837" s="3269"/>
      <c r="G837" s="3270"/>
      <c r="H837" s="3268"/>
      <c r="I837" s="3305">
        <v>0</v>
      </c>
      <c r="J837" s="3305">
        <v>0</v>
      </c>
      <c r="K837" s="3305">
        <v>0</v>
      </c>
      <c r="L837" s="3306">
        <v>0</v>
      </c>
      <c r="M837" s="3307">
        <v>0</v>
      </c>
      <c r="N837" s="3305">
        <v>0</v>
      </c>
      <c r="O837" s="3305">
        <v>0</v>
      </c>
      <c r="P837" s="3305">
        <v>0</v>
      </c>
      <c r="Q837" s="3308">
        <v>0</v>
      </c>
    </row>
    <row r="838" spans="2:17">
      <c r="B838" s="3260" t="s">
        <v>680</v>
      </c>
      <c r="C838" s="3268"/>
      <c r="D838" s="3269"/>
      <c r="E838" s="3269"/>
      <c r="F838" s="3269"/>
      <c r="G838" s="3270"/>
      <c r="H838" s="3268"/>
      <c r="I838" s="3305">
        <v>0</v>
      </c>
      <c r="J838" s="3305">
        <v>0</v>
      </c>
      <c r="K838" s="3305">
        <v>0</v>
      </c>
      <c r="L838" s="3306">
        <v>0</v>
      </c>
      <c r="M838" s="3307">
        <v>0</v>
      </c>
      <c r="N838" s="3305">
        <v>0</v>
      </c>
      <c r="O838" s="3305">
        <v>0</v>
      </c>
      <c r="P838" s="3305">
        <v>0</v>
      </c>
      <c r="Q838" s="3308">
        <v>0</v>
      </c>
    </row>
    <row r="839" spans="2:17">
      <c r="B839" s="3260" t="s">
        <v>681</v>
      </c>
      <c r="C839" s="3268"/>
      <c r="D839" s="3269"/>
      <c r="E839" s="3269"/>
      <c r="F839" s="3269"/>
      <c r="G839" s="3270"/>
      <c r="H839" s="3268"/>
      <c r="I839" s="3305">
        <v>52.007999999999974</v>
      </c>
      <c r="J839" s="3305">
        <v>69.643999999999977</v>
      </c>
      <c r="K839" s="3305">
        <v>71.036879999999982</v>
      </c>
      <c r="L839" s="3306">
        <v>72.457617599999978</v>
      </c>
      <c r="M839" s="3307">
        <v>73.906769951999976</v>
      </c>
      <c r="N839" s="3305">
        <v>75.384905351039976</v>
      </c>
      <c r="O839" s="3305">
        <v>76.892603458060776</v>
      </c>
      <c r="P839" s="3305">
        <v>78.430455527221994</v>
      </c>
      <c r="Q839" s="3308">
        <v>79.999064637766438</v>
      </c>
    </row>
    <row r="840" spans="2:17">
      <c r="B840" s="3260" t="s">
        <v>682</v>
      </c>
      <c r="C840" s="3268"/>
      <c r="D840" s="3269"/>
      <c r="E840" s="3269"/>
      <c r="F840" s="3269"/>
      <c r="G840" s="3270"/>
      <c r="H840" s="3268"/>
      <c r="I840" s="3305">
        <v>0</v>
      </c>
      <c r="J840" s="3305">
        <v>0</v>
      </c>
      <c r="K840" s="3305">
        <v>0</v>
      </c>
      <c r="L840" s="3306">
        <v>0</v>
      </c>
      <c r="M840" s="3307">
        <v>0</v>
      </c>
      <c r="N840" s="3305">
        <v>0</v>
      </c>
      <c r="O840" s="3305">
        <v>0</v>
      </c>
      <c r="P840" s="3305">
        <v>0</v>
      </c>
      <c r="Q840" s="3308">
        <v>0</v>
      </c>
    </row>
    <row r="841" spans="2:17">
      <c r="B841" s="3260" t="s">
        <v>66</v>
      </c>
      <c r="C841" s="3268"/>
      <c r="D841" s="3269"/>
      <c r="E841" s="3269"/>
      <c r="F841" s="3269"/>
      <c r="G841" s="3270"/>
      <c r="H841" s="3268"/>
      <c r="I841" s="3305">
        <v>0</v>
      </c>
      <c r="J841" s="3305">
        <v>0</v>
      </c>
      <c r="K841" s="3305">
        <v>0</v>
      </c>
      <c r="L841" s="3306">
        <v>0</v>
      </c>
      <c r="M841" s="3307">
        <v>0</v>
      </c>
      <c r="N841" s="3305">
        <v>0</v>
      </c>
      <c r="O841" s="3305">
        <v>0</v>
      </c>
      <c r="P841" s="3305">
        <v>0</v>
      </c>
      <c r="Q841" s="3308">
        <v>0</v>
      </c>
    </row>
    <row r="842" spans="2:17" ht="13.5" thickBot="1">
      <c r="B842" s="3260" t="s">
        <v>67</v>
      </c>
      <c r="C842" s="3268"/>
      <c r="D842" s="3269"/>
      <c r="E842" s="3269"/>
      <c r="F842" s="3269"/>
      <c r="G842" s="3270"/>
      <c r="H842" s="3268"/>
      <c r="I842" s="3305">
        <v>0.123</v>
      </c>
      <c r="J842" s="3305">
        <v>0.123</v>
      </c>
      <c r="K842" s="3305">
        <v>0.123</v>
      </c>
      <c r="L842" s="3306">
        <v>0.123</v>
      </c>
      <c r="M842" s="3309">
        <v>0.123</v>
      </c>
      <c r="N842" s="3310">
        <v>0.123</v>
      </c>
      <c r="O842" s="3310">
        <v>0.123</v>
      </c>
      <c r="P842" s="3310">
        <v>0.123</v>
      </c>
      <c r="Q842" s="3311">
        <v>0.123</v>
      </c>
    </row>
    <row r="843" spans="2:17" ht="12.75" customHeight="1">
      <c r="B843" s="4689">
        <v>3218</v>
      </c>
      <c r="C843" s="4691" t="s">
        <v>36</v>
      </c>
      <c r="D843" s="4692"/>
      <c r="E843" s="4692"/>
      <c r="F843" s="4692"/>
      <c r="G843" s="4692"/>
      <c r="H843" s="4693" t="s">
        <v>37</v>
      </c>
      <c r="I843" s="4694"/>
      <c r="J843" s="4694"/>
      <c r="K843" s="4694"/>
      <c r="L843" s="4694"/>
      <c r="M843" s="4695" t="s">
        <v>73</v>
      </c>
      <c r="N843" s="4695"/>
      <c r="O843" s="4695"/>
      <c r="P843" s="4695"/>
      <c r="Q843" s="4696"/>
    </row>
    <row r="844" spans="2:17" ht="12.75" customHeight="1">
      <c r="B844" s="4690"/>
      <c r="C844" s="4697" t="s">
        <v>1673</v>
      </c>
      <c r="D844" s="4698"/>
      <c r="E844" s="4698"/>
      <c r="F844" s="4698"/>
      <c r="G844" s="4698"/>
      <c r="H844" s="4698"/>
      <c r="I844" s="4698"/>
      <c r="J844" s="4698"/>
      <c r="K844" s="4698"/>
      <c r="L844" s="4698"/>
      <c r="M844" s="4698"/>
      <c r="N844" s="4698"/>
      <c r="O844" s="4698"/>
      <c r="P844" s="4698"/>
      <c r="Q844" s="4699"/>
    </row>
    <row r="845" spans="2:17" ht="12.75" customHeight="1">
      <c r="B845" s="4690"/>
      <c r="C845" s="4697" t="s">
        <v>54</v>
      </c>
      <c r="D845" s="4698"/>
      <c r="E845" s="4698"/>
      <c r="F845" s="4698"/>
      <c r="G845" s="4698"/>
      <c r="H845" s="4698"/>
      <c r="I845" s="4698"/>
      <c r="J845" s="4700"/>
      <c r="K845" s="4701" t="s">
        <v>55</v>
      </c>
      <c r="L845" s="4702"/>
      <c r="M845" s="4702"/>
      <c r="N845" s="4702"/>
      <c r="O845" s="4702"/>
      <c r="P845" s="4702"/>
      <c r="Q845" s="4703"/>
    </row>
    <row r="846" spans="2:17" ht="13.5" customHeight="1" thickBot="1">
      <c r="B846" s="4690"/>
      <c r="C846" s="3252">
        <f t="array" ref="C846:G846">PRCP</f>
        <v>2008</v>
      </c>
      <c r="D846" s="3253">
        <v>2009</v>
      </c>
      <c r="E846" s="3253">
        <v>2010</v>
      </c>
      <c r="F846" s="3253">
        <v>2011</v>
      </c>
      <c r="G846" s="3253">
        <v>2012</v>
      </c>
      <c r="H846" s="3254">
        <f>CRCP_y1</f>
        <v>2013</v>
      </c>
      <c r="I846" s="3254">
        <f>CRCP_y2</f>
        <v>2014</v>
      </c>
      <c r="J846" s="3254">
        <f>CRCP_y3</f>
        <v>2015</v>
      </c>
      <c r="K846" s="3254">
        <f>CRCP_y4</f>
        <v>2016</v>
      </c>
      <c r="L846" s="3254">
        <f>CRCP_y5</f>
        <v>2017</v>
      </c>
      <c r="M846" s="3253" t="str">
        <f t="array" ref="M846:Q846">FRCP</f>
        <v>2018</v>
      </c>
      <c r="N846" s="3253">
        <v>2019</v>
      </c>
      <c r="O846" s="3253">
        <v>2020</v>
      </c>
      <c r="P846" s="3253">
        <v>2021</v>
      </c>
      <c r="Q846" s="3255">
        <v>2022</v>
      </c>
    </row>
    <row r="847" spans="2:17">
      <c r="B847" s="3256" t="s">
        <v>1702</v>
      </c>
      <c r="C847" s="3257"/>
      <c r="D847" s="3258"/>
      <c r="E847" s="3258"/>
      <c r="F847" s="3258"/>
      <c r="G847" s="3259"/>
      <c r="H847" s="3257"/>
      <c r="I847" s="3258"/>
      <c r="J847" s="3258"/>
      <c r="K847" s="3258"/>
      <c r="L847" s="3258"/>
      <c r="M847" s="3257"/>
      <c r="N847" s="3258"/>
      <c r="O847" s="3258"/>
      <c r="P847" s="3258"/>
      <c r="Q847" s="3259"/>
    </row>
    <row r="848" spans="2:17">
      <c r="B848" s="3260"/>
      <c r="C848" s="3268"/>
      <c r="D848" s="3269"/>
      <c r="E848" s="3269"/>
      <c r="F848" s="3269"/>
      <c r="G848" s="3270"/>
      <c r="H848" s="3268"/>
      <c r="I848" s="3269"/>
      <c r="J848" s="3269"/>
      <c r="K848" s="3269"/>
      <c r="L848" s="3271"/>
      <c r="M848" s="3268"/>
      <c r="N848" s="3269"/>
      <c r="O848" s="3269"/>
      <c r="P848" s="3269"/>
      <c r="Q848" s="3270"/>
    </row>
    <row r="849" spans="2:17">
      <c r="B849" s="3260" t="s">
        <v>64</v>
      </c>
      <c r="C849" s="3268"/>
      <c r="D849" s="3269"/>
      <c r="E849" s="3269"/>
      <c r="F849" s="3269"/>
      <c r="G849" s="3270"/>
      <c r="H849" s="3268"/>
      <c r="I849" s="3281">
        <v>12.917999999999996</v>
      </c>
      <c r="J849" s="3281">
        <v>11.394999999999996</v>
      </c>
      <c r="K849" s="3281">
        <v>9.9950879728022031</v>
      </c>
      <c r="L849" s="3282">
        <v>9.4041721832907292</v>
      </c>
      <c r="M849" s="3283">
        <v>9.3518917832218005</v>
      </c>
      <c r="N849" s="3281">
        <v>7.7155725322381423</v>
      </c>
      <c r="O849" s="3281">
        <v>6.4102806657284788</v>
      </c>
      <c r="P849" s="3281">
        <v>6.4102806657284788</v>
      </c>
      <c r="Q849" s="3284">
        <v>6.4102806657284788</v>
      </c>
    </row>
    <row r="850" spans="2:17">
      <c r="B850" s="3260" t="s">
        <v>65</v>
      </c>
      <c r="C850" s="3268"/>
      <c r="D850" s="3269"/>
      <c r="E850" s="3269"/>
      <c r="F850" s="3269"/>
      <c r="G850" s="3270"/>
      <c r="H850" s="3268"/>
      <c r="I850" s="3281">
        <v>16.386999999999997</v>
      </c>
      <c r="J850" s="3281">
        <v>15.616999999999994</v>
      </c>
      <c r="K850" s="3281">
        <v>13.698401831614918</v>
      </c>
      <c r="L850" s="3282">
        <v>12.888543833826354</v>
      </c>
      <c r="M850" s="3283">
        <v>12.816892845860014</v>
      </c>
      <c r="N850" s="3281">
        <v>10.574295413423702</v>
      </c>
      <c r="O850" s="3281">
        <v>8.7853754415692542</v>
      </c>
      <c r="P850" s="3281">
        <v>8.7853754415692542</v>
      </c>
      <c r="Q850" s="3284">
        <v>8.7853754415692542</v>
      </c>
    </row>
    <row r="851" spans="2:17">
      <c r="B851" s="3260" t="s">
        <v>82</v>
      </c>
      <c r="C851" s="3268"/>
      <c r="D851" s="3269"/>
      <c r="E851" s="3269"/>
      <c r="F851" s="3269"/>
      <c r="G851" s="3270"/>
      <c r="H851" s="3268"/>
      <c r="I851" s="3281">
        <v>0</v>
      </c>
      <c r="J851" s="3281">
        <v>0</v>
      </c>
      <c r="K851" s="3281">
        <v>0</v>
      </c>
      <c r="L851" s="3282">
        <v>0</v>
      </c>
      <c r="M851" s="3283">
        <v>0</v>
      </c>
      <c r="N851" s="3281">
        <v>0</v>
      </c>
      <c r="O851" s="3281">
        <v>0</v>
      </c>
      <c r="P851" s="3281">
        <v>0</v>
      </c>
      <c r="Q851" s="3284">
        <v>0</v>
      </c>
    </row>
    <row r="852" spans="2:17">
      <c r="B852" s="3260" t="s">
        <v>680</v>
      </c>
      <c r="C852" s="3268"/>
      <c r="D852" s="3269"/>
      <c r="E852" s="3269"/>
      <c r="F852" s="3269"/>
      <c r="G852" s="3270"/>
      <c r="H852" s="3268"/>
      <c r="I852" s="3281">
        <v>0</v>
      </c>
      <c r="J852" s="3281">
        <v>0</v>
      </c>
      <c r="K852" s="3281">
        <v>0</v>
      </c>
      <c r="L852" s="3282">
        <v>0</v>
      </c>
      <c r="M852" s="3283">
        <v>0</v>
      </c>
      <c r="N852" s="3281">
        <v>0</v>
      </c>
      <c r="O852" s="3281">
        <v>0</v>
      </c>
      <c r="P852" s="3281">
        <v>0</v>
      </c>
      <c r="Q852" s="3284">
        <v>0</v>
      </c>
    </row>
    <row r="853" spans="2:17">
      <c r="B853" s="3260" t="s">
        <v>681</v>
      </c>
      <c r="C853" s="3268"/>
      <c r="D853" s="3269"/>
      <c r="E853" s="3269"/>
      <c r="F853" s="3269"/>
      <c r="G853" s="3270"/>
      <c r="H853" s="3268"/>
      <c r="I853" s="3281">
        <v>28.088000000000008</v>
      </c>
      <c r="J853" s="3281">
        <v>30.412000000000006</v>
      </c>
      <c r="K853" s="3281">
        <v>35.231038980154516</v>
      </c>
      <c r="L853" s="3282">
        <v>37.265199819064307</v>
      </c>
      <c r="M853" s="3283">
        <v>37.445169189235763</v>
      </c>
      <c r="N853" s="3281">
        <v>43.078013326057615</v>
      </c>
      <c r="O853" s="3281">
        <v>47.571333094000408</v>
      </c>
      <c r="P853" s="3281">
        <v>47.571333094000408</v>
      </c>
      <c r="Q853" s="3284">
        <v>47.571333094000408</v>
      </c>
    </row>
    <row r="854" spans="2:17">
      <c r="B854" s="3260" t="s">
        <v>682</v>
      </c>
      <c r="C854" s="3268"/>
      <c r="D854" s="3269"/>
      <c r="E854" s="3269"/>
      <c r="F854" s="3269"/>
      <c r="G854" s="3270"/>
      <c r="H854" s="3268"/>
      <c r="I854" s="3281">
        <v>0</v>
      </c>
      <c r="J854" s="3281">
        <v>0</v>
      </c>
      <c r="K854" s="3281">
        <v>0</v>
      </c>
      <c r="L854" s="3282">
        <v>0</v>
      </c>
      <c r="M854" s="3283">
        <v>0</v>
      </c>
      <c r="N854" s="3281">
        <v>0</v>
      </c>
      <c r="O854" s="3281">
        <v>0</v>
      </c>
      <c r="P854" s="3281">
        <v>0</v>
      </c>
      <c r="Q854" s="3284">
        <v>0</v>
      </c>
    </row>
    <row r="855" spans="2:17">
      <c r="B855" s="3260" t="s">
        <v>66</v>
      </c>
      <c r="C855" s="3268"/>
      <c r="D855" s="3269"/>
      <c r="E855" s="3269"/>
      <c r="F855" s="3269"/>
      <c r="G855" s="3270"/>
      <c r="H855" s="3268"/>
      <c r="I855" s="3281">
        <v>1.597</v>
      </c>
      <c r="J855" s="3281">
        <v>1.5689999999999997</v>
      </c>
      <c r="K855" s="3281">
        <v>1.3762433549211635</v>
      </c>
      <c r="L855" s="3282">
        <v>1.2948789956632871</v>
      </c>
      <c r="M855" s="3283">
        <v>1.2876804043769206</v>
      </c>
      <c r="N855" s="3281">
        <v>1.0623723828943967</v>
      </c>
      <c r="O855" s="3281">
        <v>0.8826441741577874</v>
      </c>
      <c r="P855" s="3281">
        <v>0.8826441741577874</v>
      </c>
      <c r="Q855" s="3284">
        <v>0.8826441741577874</v>
      </c>
    </row>
    <row r="856" spans="2:17" ht="13.5" thickBot="1">
      <c r="B856" s="3260" t="s">
        <v>67</v>
      </c>
      <c r="C856" s="3268"/>
      <c r="D856" s="3269"/>
      <c r="E856" s="3269"/>
      <c r="F856" s="3269"/>
      <c r="G856" s="3270"/>
      <c r="H856" s="3268"/>
      <c r="I856" s="3281">
        <v>10.643000000000001</v>
      </c>
      <c r="J856" s="3281">
        <v>10.645000000000001</v>
      </c>
      <c r="K856" s="3281">
        <v>9.3372278605071948</v>
      </c>
      <c r="L856" s="3282">
        <v>8.7852051681553185</v>
      </c>
      <c r="M856" s="3285">
        <v>8.7363657773054957</v>
      </c>
      <c r="N856" s="3286">
        <v>7.2077463453861412</v>
      </c>
      <c r="O856" s="3286">
        <v>5.9883666245440716</v>
      </c>
      <c r="P856" s="3286">
        <v>5.9883666245440716</v>
      </c>
      <c r="Q856" s="3287">
        <v>5.9883666245440716</v>
      </c>
    </row>
    <row r="857" spans="2:17" ht="12.75" customHeight="1">
      <c r="B857" s="4689">
        <v>3219</v>
      </c>
      <c r="C857" s="4691" t="s">
        <v>36</v>
      </c>
      <c r="D857" s="4692"/>
      <c r="E857" s="4692"/>
      <c r="F857" s="4692"/>
      <c r="G857" s="4692"/>
      <c r="H857" s="4693" t="s">
        <v>37</v>
      </c>
      <c r="I857" s="4694"/>
      <c r="J857" s="4694"/>
      <c r="K857" s="4694"/>
      <c r="L857" s="4694"/>
      <c r="M857" s="4695" t="s">
        <v>73</v>
      </c>
      <c r="N857" s="4695"/>
      <c r="O857" s="4695"/>
      <c r="P857" s="4695"/>
      <c r="Q857" s="4696"/>
    </row>
    <row r="858" spans="2:17" ht="12.75" customHeight="1">
      <c r="B858" s="4690"/>
      <c r="C858" s="4697" t="s">
        <v>1673</v>
      </c>
      <c r="D858" s="4698"/>
      <c r="E858" s="4698"/>
      <c r="F858" s="4698"/>
      <c r="G858" s="4698"/>
      <c r="H858" s="4698"/>
      <c r="I858" s="4698"/>
      <c r="J858" s="4698"/>
      <c r="K858" s="4698"/>
      <c r="L858" s="4698"/>
      <c r="M858" s="4698"/>
      <c r="N858" s="4698"/>
      <c r="O858" s="4698"/>
      <c r="P858" s="4698"/>
      <c r="Q858" s="4699"/>
    </row>
    <row r="859" spans="2:17" ht="12.75" customHeight="1">
      <c r="B859" s="4690"/>
      <c r="C859" s="4697" t="s">
        <v>54</v>
      </c>
      <c r="D859" s="4698"/>
      <c r="E859" s="4698"/>
      <c r="F859" s="4698"/>
      <c r="G859" s="4698"/>
      <c r="H859" s="4698"/>
      <c r="I859" s="4698"/>
      <c r="J859" s="4700"/>
      <c r="K859" s="4701" t="s">
        <v>55</v>
      </c>
      <c r="L859" s="4702"/>
      <c r="M859" s="4702"/>
      <c r="N859" s="4702"/>
      <c r="O859" s="4702"/>
      <c r="P859" s="4702"/>
      <c r="Q859" s="4703"/>
    </row>
    <row r="860" spans="2:17" ht="13.5" customHeight="1" thickBot="1">
      <c r="B860" s="4690"/>
      <c r="C860" s="3252">
        <f t="array" ref="C860:G860">PRCP</f>
        <v>2008</v>
      </c>
      <c r="D860" s="3253">
        <v>2009</v>
      </c>
      <c r="E860" s="3253">
        <v>2010</v>
      </c>
      <c r="F860" s="3253">
        <v>2011</v>
      </c>
      <c r="G860" s="3253">
        <v>2012</v>
      </c>
      <c r="H860" s="3254">
        <f>CRCP_y1</f>
        <v>2013</v>
      </c>
      <c r="I860" s="3254">
        <f>CRCP_y2</f>
        <v>2014</v>
      </c>
      <c r="J860" s="3254">
        <f>CRCP_y3</f>
        <v>2015</v>
      </c>
      <c r="K860" s="3254">
        <f>CRCP_y4</f>
        <v>2016</v>
      </c>
      <c r="L860" s="3254">
        <f>CRCP_y5</f>
        <v>2017</v>
      </c>
      <c r="M860" s="3253" t="str">
        <f t="array" ref="M860:Q860">FRCP</f>
        <v>2018</v>
      </c>
      <c r="N860" s="3253">
        <v>2019</v>
      </c>
      <c r="O860" s="3253">
        <v>2020</v>
      </c>
      <c r="P860" s="3253">
        <v>2021</v>
      </c>
      <c r="Q860" s="3255">
        <v>2022</v>
      </c>
    </row>
    <row r="861" spans="2:17">
      <c r="B861" s="3256" t="s">
        <v>1703</v>
      </c>
      <c r="C861" s="3257"/>
      <c r="D861" s="3258"/>
      <c r="E861" s="3258"/>
      <c r="F861" s="3258"/>
      <c r="G861" s="3259"/>
      <c r="H861" s="3257"/>
      <c r="I861" s="3258"/>
      <c r="J861" s="3258"/>
      <c r="K861" s="3258"/>
      <c r="L861" s="3258"/>
      <c r="M861" s="3257"/>
      <c r="N861" s="3258"/>
      <c r="O861" s="3258"/>
      <c r="P861" s="3258"/>
      <c r="Q861" s="3259"/>
    </row>
    <row r="862" spans="2:17">
      <c r="B862" s="3260"/>
      <c r="C862" s="3268"/>
      <c r="D862" s="3269"/>
      <c r="E862" s="3269"/>
      <c r="F862" s="3269"/>
      <c r="G862" s="3270"/>
      <c r="H862" s="3268"/>
      <c r="I862" s="3269"/>
      <c r="J862" s="3269"/>
      <c r="K862" s="3269"/>
      <c r="L862" s="3271"/>
      <c r="M862" s="3268"/>
      <c r="N862" s="3269"/>
      <c r="O862" s="3269"/>
      <c r="P862" s="3269"/>
      <c r="Q862" s="3270"/>
    </row>
    <row r="863" spans="2:17">
      <c r="B863" s="3260" t="s">
        <v>64</v>
      </c>
      <c r="C863" s="3268"/>
      <c r="D863" s="3269"/>
      <c r="E863" s="3269"/>
      <c r="F863" s="3269"/>
      <c r="G863" s="3270"/>
      <c r="H863" s="3268"/>
      <c r="I863" s="3281">
        <v>16.837999999999997</v>
      </c>
      <c r="J863" s="3281">
        <v>16.903999999999996</v>
      </c>
      <c r="K863" s="3281">
        <v>16.903999999999996</v>
      </c>
      <c r="L863" s="3282">
        <v>16.903999999999996</v>
      </c>
      <c r="M863" s="3283">
        <v>16.903999999999996</v>
      </c>
      <c r="N863" s="3281">
        <v>15.845022263629644</v>
      </c>
      <c r="O863" s="3281">
        <v>14.96254081665435</v>
      </c>
      <c r="P863" s="3281">
        <v>13.87640980499245</v>
      </c>
      <c r="Q863" s="3284">
        <v>12.742760561570343</v>
      </c>
    </row>
    <row r="864" spans="2:17">
      <c r="B864" s="3260" t="s">
        <v>65</v>
      </c>
      <c r="C864" s="3268"/>
      <c r="D864" s="3269"/>
      <c r="E864" s="3269"/>
      <c r="F864" s="3269"/>
      <c r="G864" s="3270"/>
      <c r="H864" s="3268"/>
      <c r="I864" s="3281">
        <v>8.0559999999999956</v>
      </c>
      <c r="J864" s="3281">
        <v>8.0559999999999956</v>
      </c>
      <c r="K864" s="3281">
        <v>8.0559999999999956</v>
      </c>
      <c r="L864" s="3282">
        <v>8.0559999999999956</v>
      </c>
      <c r="M864" s="3283">
        <v>8.0559999999999956</v>
      </c>
      <c r="N864" s="3281">
        <v>7.5513191762778256</v>
      </c>
      <c r="O864" s="3281">
        <v>7.1307518231760172</v>
      </c>
      <c r="P864" s="3281">
        <v>6.6131304655122536</v>
      </c>
      <c r="Q864" s="3284">
        <v>6.0728631734506999</v>
      </c>
    </row>
    <row r="865" spans="2:17">
      <c r="B865" s="3260" t="s">
        <v>82</v>
      </c>
      <c r="C865" s="3268"/>
      <c r="D865" s="3269"/>
      <c r="E865" s="3269"/>
      <c r="F865" s="3269"/>
      <c r="G865" s="3270"/>
      <c r="H865" s="3268"/>
      <c r="I865" s="3281">
        <v>0</v>
      </c>
      <c r="J865" s="3281">
        <v>0</v>
      </c>
      <c r="K865" s="3281">
        <v>0</v>
      </c>
      <c r="L865" s="3282">
        <v>0</v>
      </c>
      <c r="M865" s="3283">
        <v>0</v>
      </c>
      <c r="N865" s="3281">
        <v>0</v>
      </c>
      <c r="O865" s="3281">
        <v>0</v>
      </c>
      <c r="P865" s="3281">
        <v>0</v>
      </c>
      <c r="Q865" s="3284">
        <v>0</v>
      </c>
    </row>
    <row r="866" spans="2:17">
      <c r="B866" s="3260" t="s">
        <v>680</v>
      </c>
      <c r="C866" s="3268"/>
      <c r="D866" s="3269"/>
      <c r="E866" s="3269"/>
      <c r="F866" s="3269"/>
      <c r="G866" s="3270"/>
      <c r="H866" s="3268"/>
      <c r="I866" s="3281">
        <v>0</v>
      </c>
      <c r="J866" s="3281">
        <v>0</v>
      </c>
      <c r="K866" s="3281">
        <v>0</v>
      </c>
      <c r="L866" s="3282">
        <v>0</v>
      </c>
      <c r="M866" s="3283">
        <v>0</v>
      </c>
      <c r="N866" s="3281">
        <v>0</v>
      </c>
      <c r="O866" s="3281">
        <v>0</v>
      </c>
      <c r="P866" s="3281">
        <v>0</v>
      </c>
      <c r="Q866" s="3284">
        <v>0</v>
      </c>
    </row>
    <row r="867" spans="2:17">
      <c r="B867" s="3260" t="s">
        <v>681</v>
      </c>
      <c r="C867" s="3268"/>
      <c r="D867" s="3269"/>
      <c r="E867" s="3269"/>
      <c r="F867" s="3269"/>
      <c r="G867" s="3270"/>
      <c r="H867" s="3268"/>
      <c r="I867" s="3281">
        <v>81.027000000000072</v>
      </c>
      <c r="J867" s="3281">
        <v>81.480000000000089</v>
      </c>
      <c r="K867" s="3281">
        <v>81.480000000000089</v>
      </c>
      <c r="L867" s="3282">
        <v>81.480000000000089</v>
      </c>
      <c r="M867" s="3283">
        <v>81.480000000000089</v>
      </c>
      <c r="N867" s="3281">
        <v>84.175556912005746</v>
      </c>
      <c r="O867" s="3281">
        <v>86.421854338677122</v>
      </c>
      <c r="P867" s="3281">
        <v>89.186528094580353</v>
      </c>
      <c r="Q867" s="3284">
        <v>92.072156327304342</v>
      </c>
    </row>
    <row r="868" spans="2:17">
      <c r="B868" s="3260" t="s">
        <v>682</v>
      </c>
      <c r="C868" s="3268"/>
      <c r="D868" s="3269"/>
      <c r="E868" s="3269"/>
      <c r="F868" s="3269"/>
      <c r="G868" s="3270"/>
      <c r="H868" s="3268"/>
      <c r="I868" s="3281">
        <v>0.255</v>
      </c>
      <c r="J868" s="3281">
        <v>0.255</v>
      </c>
      <c r="K868" s="3281">
        <v>0.255</v>
      </c>
      <c r="L868" s="3282">
        <v>0.255</v>
      </c>
      <c r="M868" s="3283">
        <v>0.255</v>
      </c>
      <c r="N868" s="3281">
        <v>0.23902512288367014</v>
      </c>
      <c r="O868" s="3281">
        <v>0.22571272528672859</v>
      </c>
      <c r="P868" s="3281">
        <v>0.20932823593664668</v>
      </c>
      <c r="Q868" s="3284">
        <v>0.19222692517749868</v>
      </c>
    </row>
    <row r="869" spans="2:17">
      <c r="B869" s="3260" t="s">
        <v>66</v>
      </c>
      <c r="C869" s="3268"/>
      <c r="D869" s="3269"/>
      <c r="E869" s="3269"/>
      <c r="F869" s="3269"/>
      <c r="G869" s="3270"/>
      <c r="H869" s="3268"/>
      <c r="I869" s="3281">
        <v>1.4989999999999997</v>
      </c>
      <c r="J869" s="3281">
        <v>1.4989999999999997</v>
      </c>
      <c r="K869" s="3281">
        <v>1.4989999999999997</v>
      </c>
      <c r="L869" s="3282">
        <v>1.4989999999999997</v>
      </c>
      <c r="M869" s="3283">
        <v>1.4989999999999997</v>
      </c>
      <c r="N869" s="3281">
        <v>1.4050927811867508</v>
      </c>
      <c r="O869" s="3281">
        <v>1.3268367655090434</v>
      </c>
      <c r="P869" s="3281">
        <v>1.2305216692903267</v>
      </c>
      <c r="Q869" s="3284">
        <v>1.129992787612041</v>
      </c>
    </row>
    <row r="870" spans="2:17" ht="13.5" thickBot="1">
      <c r="B870" s="3260" t="s">
        <v>67</v>
      </c>
      <c r="C870" s="3268"/>
      <c r="D870" s="3269"/>
      <c r="E870" s="3269"/>
      <c r="F870" s="3269"/>
      <c r="G870" s="3270"/>
      <c r="H870" s="3268"/>
      <c r="I870" s="3281">
        <v>16.314000000000004</v>
      </c>
      <c r="J870" s="3281">
        <v>16.314000000000007</v>
      </c>
      <c r="K870" s="3281">
        <v>16.314000000000007</v>
      </c>
      <c r="L870" s="3282">
        <v>16.314000000000007</v>
      </c>
      <c r="M870" s="3285">
        <v>16.314000000000007</v>
      </c>
      <c r="N870" s="3286">
        <v>15.291983744016456</v>
      </c>
      <c r="O870" s="3286">
        <v>14.440303530696831</v>
      </c>
      <c r="P870" s="3286">
        <v>13.39208172968806</v>
      </c>
      <c r="Q870" s="3287">
        <v>12.298000224885156</v>
      </c>
    </row>
    <row r="871" spans="2:17" ht="12.75" customHeight="1">
      <c r="B871" s="4689">
        <v>3220</v>
      </c>
      <c r="C871" s="4691" t="s">
        <v>36</v>
      </c>
      <c r="D871" s="4692"/>
      <c r="E871" s="4692"/>
      <c r="F871" s="4692"/>
      <c r="G871" s="4692"/>
      <c r="H871" s="4693" t="s">
        <v>37</v>
      </c>
      <c r="I871" s="4694"/>
      <c r="J871" s="4694"/>
      <c r="K871" s="4694"/>
      <c r="L871" s="4694"/>
      <c r="M871" s="4695" t="s">
        <v>73</v>
      </c>
      <c r="N871" s="4695"/>
      <c r="O871" s="4695"/>
      <c r="P871" s="4695"/>
      <c r="Q871" s="4696"/>
    </row>
    <row r="872" spans="2:17" ht="12.75" customHeight="1">
      <c r="B872" s="4690"/>
      <c r="C872" s="4697" t="s">
        <v>1673</v>
      </c>
      <c r="D872" s="4698"/>
      <c r="E872" s="4698"/>
      <c r="F872" s="4698"/>
      <c r="G872" s="4698"/>
      <c r="H872" s="4698"/>
      <c r="I872" s="4698"/>
      <c r="J872" s="4698"/>
      <c r="K872" s="4698"/>
      <c r="L872" s="4698"/>
      <c r="M872" s="4698"/>
      <c r="N872" s="4698"/>
      <c r="O872" s="4698"/>
      <c r="P872" s="4698"/>
      <c r="Q872" s="4699"/>
    </row>
    <row r="873" spans="2:17" ht="12.75" customHeight="1">
      <c r="B873" s="4690"/>
      <c r="C873" s="4697" t="s">
        <v>54</v>
      </c>
      <c r="D873" s="4698"/>
      <c r="E873" s="4698"/>
      <c r="F873" s="4698"/>
      <c r="G873" s="4698"/>
      <c r="H873" s="4698"/>
      <c r="I873" s="4698"/>
      <c r="J873" s="4700"/>
      <c r="K873" s="4701" t="s">
        <v>55</v>
      </c>
      <c r="L873" s="4702"/>
      <c r="M873" s="4702"/>
      <c r="N873" s="4702"/>
      <c r="O873" s="4702"/>
      <c r="P873" s="4702"/>
      <c r="Q873" s="4703"/>
    </row>
    <row r="874" spans="2:17" ht="13.5" customHeight="1" thickBot="1">
      <c r="B874" s="4690"/>
      <c r="C874" s="3252">
        <f t="array" ref="C874:G874">PRCP</f>
        <v>2008</v>
      </c>
      <c r="D874" s="3253">
        <v>2009</v>
      </c>
      <c r="E874" s="3253">
        <v>2010</v>
      </c>
      <c r="F874" s="3253">
        <v>2011</v>
      </c>
      <c r="G874" s="3253">
        <v>2012</v>
      </c>
      <c r="H874" s="3254">
        <f>CRCP_y1</f>
        <v>2013</v>
      </c>
      <c r="I874" s="3254">
        <f>CRCP_y2</f>
        <v>2014</v>
      </c>
      <c r="J874" s="3254">
        <f>CRCP_y3</f>
        <v>2015</v>
      </c>
      <c r="K874" s="3254">
        <f>CRCP_y4</f>
        <v>2016</v>
      </c>
      <c r="L874" s="3254">
        <f>CRCP_y5</f>
        <v>2017</v>
      </c>
      <c r="M874" s="3253" t="str">
        <f t="array" ref="M874:Q874">FRCP</f>
        <v>2018</v>
      </c>
      <c r="N874" s="3253">
        <v>2019</v>
      </c>
      <c r="O874" s="3253">
        <v>2020</v>
      </c>
      <c r="P874" s="3253">
        <v>2021</v>
      </c>
      <c r="Q874" s="3255">
        <v>2022</v>
      </c>
    </row>
    <row r="875" spans="2:17">
      <c r="B875" s="3256" t="s">
        <v>1703</v>
      </c>
      <c r="C875" s="3257"/>
      <c r="D875" s="3258"/>
      <c r="E875" s="3258"/>
      <c r="F875" s="3258"/>
      <c r="G875" s="3259"/>
      <c r="H875" s="3257"/>
      <c r="I875" s="3258"/>
      <c r="J875" s="3258"/>
      <c r="K875" s="3258"/>
      <c r="L875" s="3258"/>
      <c r="M875" s="3257"/>
      <c r="N875" s="3258"/>
      <c r="O875" s="3258"/>
      <c r="P875" s="3258"/>
      <c r="Q875" s="3259"/>
    </row>
    <row r="876" spans="2:17">
      <c r="B876" s="3260"/>
      <c r="C876" s="3268"/>
      <c r="D876" s="3269"/>
      <c r="E876" s="3269"/>
      <c r="F876" s="3269"/>
      <c r="G876" s="3270"/>
      <c r="H876" s="3268"/>
      <c r="I876" s="3269"/>
      <c r="J876" s="3269"/>
      <c r="K876" s="3269"/>
      <c r="L876" s="3271"/>
      <c r="M876" s="3268"/>
      <c r="N876" s="3269"/>
      <c r="O876" s="3269"/>
      <c r="P876" s="3269"/>
      <c r="Q876" s="3270"/>
    </row>
    <row r="877" spans="2:17">
      <c r="B877" s="3260" t="s">
        <v>64</v>
      </c>
      <c r="C877" s="3268"/>
      <c r="D877" s="3269"/>
      <c r="E877" s="3269"/>
      <c r="F877" s="3269"/>
      <c r="G877" s="3270"/>
      <c r="H877" s="3268"/>
      <c r="I877" s="3281">
        <v>22.635000000000002</v>
      </c>
      <c r="J877" s="3281">
        <v>22.590999999999998</v>
      </c>
      <c r="K877" s="3281">
        <v>22.456217473238091</v>
      </c>
      <c r="L877" s="3282">
        <v>21.978119296722888</v>
      </c>
      <c r="M877" s="3283">
        <v>20.649813647986111</v>
      </c>
      <c r="N877" s="3281">
        <v>18.883332301172125</v>
      </c>
      <c r="O877" s="3281">
        <v>16.940202819676742</v>
      </c>
      <c r="P877" s="3281">
        <v>14.997073338181359</v>
      </c>
      <c r="Q877" s="3284">
        <v>13.115770703824465</v>
      </c>
    </row>
    <row r="878" spans="2:17">
      <c r="B878" s="3260" t="s">
        <v>65</v>
      </c>
      <c r="C878" s="3268"/>
      <c r="D878" s="3269"/>
      <c r="E878" s="3269"/>
      <c r="F878" s="3269"/>
      <c r="G878" s="3270"/>
      <c r="H878" s="3268"/>
      <c r="I878" s="3281">
        <v>17.666000000000004</v>
      </c>
      <c r="J878" s="3281">
        <v>17.667000000000002</v>
      </c>
      <c r="K878" s="3281">
        <v>17.561595064392787</v>
      </c>
      <c r="L878" s="3282">
        <v>17.187704555584229</v>
      </c>
      <c r="M878" s="3283">
        <v>16.148920265546931</v>
      </c>
      <c r="N878" s="3281">
        <v>14.767466325740696</v>
      </c>
      <c r="O878" s="3281">
        <v>13.247866991953837</v>
      </c>
      <c r="P878" s="3281">
        <v>11.728267658166978</v>
      </c>
      <c r="Q878" s="3284">
        <v>10.257019212273336</v>
      </c>
    </row>
    <row r="879" spans="2:17">
      <c r="B879" s="3260" t="s">
        <v>82</v>
      </c>
      <c r="C879" s="3268"/>
      <c r="D879" s="3269"/>
      <c r="E879" s="3269"/>
      <c r="F879" s="3269"/>
      <c r="G879" s="3270"/>
      <c r="H879" s="3268"/>
      <c r="I879" s="3281">
        <v>0</v>
      </c>
      <c r="J879" s="3281">
        <v>0</v>
      </c>
      <c r="K879" s="3281">
        <v>0</v>
      </c>
      <c r="L879" s="3282">
        <v>0</v>
      </c>
      <c r="M879" s="3283">
        <v>0</v>
      </c>
      <c r="N879" s="3281">
        <v>0</v>
      </c>
      <c r="O879" s="3281">
        <v>0</v>
      </c>
      <c r="P879" s="3281">
        <v>0</v>
      </c>
      <c r="Q879" s="3284">
        <v>0</v>
      </c>
    </row>
    <row r="880" spans="2:17">
      <c r="B880" s="3260" t="s">
        <v>680</v>
      </c>
      <c r="C880" s="3268"/>
      <c r="D880" s="3269"/>
      <c r="E880" s="3269"/>
      <c r="F880" s="3269"/>
      <c r="G880" s="3270"/>
      <c r="H880" s="3268"/>
      <c r="I880" s="3281">
        <v>0</v>
      </c>
      <c r="J880" s="3281">
        <v>0</v>
      </c>
      <c r="K880" s="3281">
        <v>0</v>
      </c>
      <c r="L880" s="3282">
        <v>0</v>
      </c>
      <c r="M880" s="3283">
        <v>0</v>
      </c>
      <c r="N880" s="3281">
        <v>0</v>
      </c>
      <c r="O880" s="3281">
        <v>0</v>
      </c>
      <c r="P880" s="3281">
        <v>0</v>
      </c>
      <c r="Q880" s="3284">
        <v>0</v>
      </c>
    </row>
    <row r="881" spans="2:17">
      <c r="B881" s="3260" t="s">
        <v>681</v>
      </c>
      <c r="C881" s="3268"/>
      <c r="D881" s="3269"/>
      <c r="E881" s="3269"/>
      <c r="F881" s="3269"/>
      <c r="G881" s="3270"/>
      <c r="H881" s="3268"/>
      <c r="I881" s="3281">
        <v>56.755999999999986</v>
      </c>
      <c r="J881" s="3281">
        <v>57.703999999999965</v>
      </c>
      <c r="K881" s="3281">
        <v>58.122726133226955</v>
      </c>
      <c r="L881" s="3282">
        <v>59.608024009477084</v>
      </c>
      <c r="M881" s="3283">
        <v>63.734644138966402</v>
      </c>
      <c r="N881" s="3281">
        <v>69.222535793317519</v>
      </c>
      <c r="O881" s="3281">
        <v>75.259216613103746</v>
      </c>
      <c r="P881" s="3281">
        <v>81.295897432889973</v>
      </c>
      <c r="Q881" s="3284">
        <v>87.14050204477391</v>
      </c>
    </row>
    <row r="882" spans="2:17">
      <c r="B882" s="3260" t="s">
        <v>682</v>
      </c>
      <c r="C882" s="3268"/>
      <c r="D882" s="3269"/>
      <c r="E882" s="3269"/>
      <c r="F882" s="3269"/>
      <c r="G882" s="3270"/>
      <c r="H882" s="3268"/>
      <c r="I882" s="3281">
        <v>0</v>
      </c>
      <c r="J882" s="3281">
        <v>0</v>
      </c>
      <c r="K882" s="3281">
        <v>0</v>
      </c>
      <c r="L882" s="3282">
        <v>0</v>
      </c>
      <c r="M882" s="3283">
        <v>0</v>
      </c>
      <c r="N882" s="3281">
        <v>0</v>
      </c>
      <c r="O882" s="3281">
        <v>0</v>
      </c>
      <c r="P882" s="3281">
        <v>0</v>
      </c>
      <c r="Q882" s="3284">
        <v>0</v>
      </c>
    </row>
    <row r="883" spans="2:17">
      <c r="B883" s="3260" t="s">
        <v>66</v>
      </c>
      <c r="C883" s="3268"/>
      <c r="D883" s="3269"/>
      <c r="E883" s="3269"/>
      <c r="F883" s="3269"/>
      <c r="G883" s="3270"/>
      <c r="H883" s="3268"/>
      <c r="I883" s="3281">
        <v>8.7999999999999936</v>
      </c>
      <c r="J883" s="3281">
        <v>8.709999999999992</v>
      </c>
      <c r="K883" s="3281">
        <v>8.6580343584570674</v>
      </c>
      <c r="L883" s="3282">
        <v>8.4737027610312143</v>
      </c>
      <c r="M883" s="3283">
        <v>7.961572169180597</v>
      </c>
      <c r="N883" s="3281">
        <v>7.2805021620649404</v>
      </c>
      <c r="O883" s="3281">
        <v>6.5313251542377184</v>
      </c>
      <c r="P883" s="3281">
        <v>5.7821481464104965</v>
      </c>
      <c r="Q883" s="3284">
        <v>5.0568085888323226</v>
      </c>
    </row>
    <row r="884" spans="2:17" ht="13.5" thickBot="1">
      <c r="B884" s="3260" t="s">
        <v>67</v>
      </c>
      <c r="C884" s="3268"/>
      <c r="D884" s="3269"/>
      <c r="E884" s="3269"/>
      <c r="F884" s="3269"/>
      <c r="G884" s="3270"/>
      <c r="H884" s="3268"/>
      <c r="I884" s="3281">
        <v>21.107000000000024</v>
      </c>
      <c r="J884" s="3281">
        <v>21.215000000000025</v>
      </c>
      <c r="K884" s="3281">
        <v>21.088426970685081</v>
      </c>
      <c r="L884" s="3282">
        <v>20.639449377184569</v>
      </c>
      <c r="M884" s="3285">
        <v>19.392049778319944</v>
      </c>
      <c r="N884" s="3286">
        <v>17.733163417704709</v>
      </c>
      <c r="O884" s="3286">
        <v>15.908388421027952</v>
      </c>
      <c r="P884" s="3286">
        <v>14.083613424351196</v>
      </c>
      <c r="Q884" s="3287">
        <v>12.316899450295972</v>
      </c>
    </row>
    <row r="885" spans="2:17" ht="12.75" customHeight="1">
      <c r="B885" s="4689">
        <v>3222</v>
      </c>
      <c r="C885" s="4691" t="s">
        <v>36</v>
      </c>
      <c r="D885" s="4692"/>
      <c r="E885" s="4692"/>
      <c r="F885" s="4692"/>
      <c r="G885" s="4692"/>
      <c r="H885" s="4693" t="s">
        <v>37</v>
      </c>
      <c r="I885" s="4694"/>
      <c r="J885" s="4694"/>
      <c r="K885" s="4694"/>
      <c r="L885" s="4694"/>
      <c r="M885" s="4695" t="s">
        <v>73</v>
      </c>
      <c r="N885" s="4695"/>
      <c r="O885" s="4695"/>
      <c r="P885" s="4695"/>
      <c r="Q885" s="4696"/>
    </row>
    <row r="886" spans="2:17" ht="12.75" customHeight="1">
      <c r="B886" s="4690"/>
      <c r="C886" s="4697" t="s">
        <v>1673</v>
      </c>
      <c r="D886" s="4698"/>
      <c r="E886" s="4698"/>
      <c r="F886" s="4698"/>
      <c r="G886" s="4698"/>
      <c r="H886" s="4698"/>
      <c r="I886" s="4698"/>
      <c r="J886" s="4698"/>
      <c r="K886" s="4698"/>
      <c r="L886" s="4698"/>
      <c r="M886" s="4698"/>
      <c r="N886" s="4698"/>
      <c r="O886" s="4698"/>
      <c r="P886" s="4698"/>
      <c r="Q886" s="4699"/>
    </row>
    <row r="887" spans="2:17" ht="12.75" customHeight="1">
      <c r="B887" s="4690"/>
      <c r="C887" s="4697" t="s">
        <v>54</v>
      </c>
      <c r="D887" s="4698"/>
      <c r="E887" s="4698"/>
      <c r="F887" s="4698"/>
      <c r="G887" s="4698"/>
      <c r="H887" s="4698"/>
      <c r="I887" s="4698"/>
      <c r="J887" s="4700"/>
      <c r="K887" s="4701" t="s">
        <v>55</v>
      </c>
      <c r="L887" s="4702"/>
      <c r="M887" s="4702"/>
      <c r="N887" s="4702"/>
      <c r="O887" s="4702"/>
      <c r="P887" s="4702"/>
      <c r="Q887" s="4703"/>
    </row>
    <row r="888" spans="2:17" ht="13.5" customHeight="1" thickBot="1">
      <c r="B888" s="4690"/>
      <c r="C888" s="3252">
        <f t="array" ref="C888:G888">PRCP</f>
        <v>2008</v>
      </c>
      <c r="D888" s="3253">
        <v>2009</v>
      </c>
      <c r="E888" s="3253">
        <v>2010</v>
      </c>
      <c r="F888" s="3253">
        <v>2011</v>
      </c>
      <c r="G888" s="3253">
        <v>2012</v>
      </c>
      <c r="H888" s="3254">
        <f>CRCP_y1</f>
        <v>2013</v>
      </c>
      <c r="I888" s="3254">
        <f>CRCP_y2</f>
        <v>2014</v>
      </c>
      <c r="J888" s="3254">
        <f>CRCP_y3</f>
        <v>2015</v>
      </c>
      <c r="K888" s="3254">
        <f>CRCP_y4</f>
        <v>2016</v>
      </c>
      <c r="L888" s="3254">
        <f>CRCP_y5</f>
        <v>2017</v>
      </c>
      <c r="M888" s="3253" t="str">
        <f t="array" ref="M888:Q888">FRCP</f>
        <v>2018</v>
      </c>
      <c r="N888" s="3253">
        <v>2019</v>
      </c>
      <c r="O888" s="3253">
        <v>2020</v>
      </c>
      <c r="P888" s="3253">
        <v>2021</v>
      </c>
      <c r="Q888" s="3255">
        <v>2022</v>
      </c>
    </row>
    <row r="889" spans="2:17">
      <c r="B889" s="3256" t="s">
        <v>1704</v>
      </c>
      <c r="C889" s="3257"/>
      <c r="D889" s="3258"/>
      <c r="E889" s="3258"/>
      <c r="F889" s="3258"/>
      <c r="G889" s="3259"/>
      <c r="H889" s="3257"/>
      <c r="I889" s="3258"/>
      <c r="J889" s="3258"/>
      <c r="K889" s="3258"/>
      <c r="L889" s="3258"/>
      <c r="M889" s="3257"/>
      <c r="N889" s="3258"/>
      <c r="O889" s="3258"/>
      <c r="P889" s="3258"/>
      <c r="Q889" s="3259"/>
    </row>
    <row r="890" spans="2:17">
      <c r="B890" s="3260"/>
      <c r="C890" s="3268"/>
      <c r="D890" s="3269"/>
      <c r="E890" s="3269"/>
      <c r="F890" s="3269"/>
      <c r="G890" s="3270"/>
      <c r="H890" s="3268"/>
      <c r="I890" s="3269"/>
      <c r="J890" s="3269"/>
      <c r="K890" s="3269"/>
      <c r="L890" s="3271"/>
      <c r="M890" s="3268"/>
      <c r="N890" s="3269"/>
      <c r="O890" s="3269"/>
      <c r="P890" s="3269"/>
      <c r="Q890" s="3270"/>
    </row>
    <row r="891" spans="2:17">
      <c r="B891" s="3260" t="s">
        <v>64</v>
      </c>
      <c r="C891" s="3268"/>
      <c r="D891" s="3269"/>
      <c r="E891" s="3269"/>
      <c r="F891" s="3269"/>
      <c r="G891" s="3270"/>
      <c r="H891" s="3268"/>
      <c r="I891" s="3281">
        <v>0</v>
      </c>
      <c r="J891" s="3281">
        <v>0</v>
      </c>
      <c r="K891" s="3281">
        <v>0</v>
      </c>
      <c r="L891" s="3282">
        <v>0</v>
      </c>
      <c r="M891" s="3283">
        <v>0</v>
      </c>
      <c r="N891" s="3281">
        <v>0</v>
      </c>
      <c r="O891" s="3281">
        <v>0</v>
      </c>
      <c r="P891" s="3281">
        <v>0</v>
      </c>
      <c r="Q891" s="3284">
        <v>0</v>
      </c>
    </row>
    <row r="892" spans="2:17">
      <c r="B892" s="3260" t="s">
        <v>65</v>
      </c>
      <c r="C892" s="3268"/>
      <c r="D892" s="3269"/>
      <c r="E892" s="3269"/>
      <c r="F892" s="3269"/>
      <c r="G892" s="3270"/>
      <c r="H892" s="3268"/>
      <c r="I892" s="3281">
        <v>0</v>
      </c>
      <c r="J892" s="3281">
        <v>0</v>
      </c>
      <c r="K892" s="3281">
        <v>0</v>
      </c>
      <c r="L892" s="3282">
        <v>0</v>
      </c>
      <c r="M892" s="3283">
        <v>0</v>
      </c>
      <c r="N892" s="3281">
        <v>0</v>
      </c>
      <c r="O892" s="3281">
        <v>0</v>
      </c>
      <c r="P892" s="3281">
        <v>0</v>
      </c>
      <c r="Q892" s="3284">
        <v>0</v>
      </c>
    </row>
    <row r="893" spans="2:17">
      <c r="B893" s="3260" t="s">
        <v>82</v>
      </c>
      <c r="C893" s="3268"/>
      <c r="D893" s="3269"/>
      <c r="E893" s="3269"/>
      <c r="F893" s="3269"/>
      <c r="G893" s="3270"/>
      <c r="H893" s="3268"/>
      <c r="I893" s="3281">
        <v>0</v>
      </c>
      <c r="J893" s="3281">
        <v>0</v>
      </c>
      <c r="K893" s="3281">
        <v>0</v>
      </c>
      <c r="L893" s="3282">
        <v>0</v>
      </c>
      <c r="M893" s="3283">
        <v>0</v>
      </c>
      <c r="N893" s="3281">
        <v>0</v>
      </c>
      <c r="O893" s="3281">
        <v>0</v>
      </c>
      <c r="P893" s="3281">
        <v>0</v>
      </c>
      <c r="Q893" s="3284">
        <v>0</v>
      </c>
    </row>
    <row r="894" spans="2:17">
      <c r="B894" s="3260" t="s">
        <v>680</v>
      </c>
      <c r="C894" s="3268"/>
      <c r="D894" s="3269"/>
      <c r="E894" s="3269"/>
      <c r="F894" s="3269"/>
      <c r="G894" s="3270"/>
      <c r="H894" s="3268"/>
      <c r="I894" s="3281">
        <v>0</v>
      </c>
      <c r="J894" s="3281">
        <v>0</v>
      </c>
      <c r="K894" s="3281">
        <v>0</v>
      </c>
      <c r="L894" s="3282">
        <v>0</v>
      </c>
      <c r="M894" s="3283">
        <v>0</v>
      </c>
      <c r="N894" s="3281">
        <v>0</v>
      </c>
      <c r="O894" s="3281">
        <v>0</v>
      </c>
      <c r="P894" s="3281">
        <v>0</v>
      </c>
      <c r="Q894" s="3284">
        <v>0</v>
      </c>
    </row>
    <row r="895" spans="2:17">
      <c r="B895" s="3260" t="s">
        <v>681</v>
      </c>
      <c r="C895" s="3268"/>
      <c r="D895" s="3269"/>
      <c r="E895" s="3269"/>
      <c r="F895" s="3269"/>
      <c r="G895" s="3270"/>
      <c r="H895" s="3268"/>
      <c r="I895" s="3281">
        <v>87.246000000000052</v>
      </c>
      <c r="J895" s="3281">
        <v>88.80900000000004</v>
      </c>
      <c r="K895" s="3281">
        <v>90.585180000000037</v>
      </c>
      <c r="L895" s="3282">
        <v>92.396883600000038</v>
      </c>
      <c r="M895" s="3283">
        <v>94.244821272000038</v>
      </c>
      <c r="N895" s="3281">
        <v>96.129717697440043</v>
      </c>
      <c r="O895" s="3281">
        <v>98.052312051388839</v>
      </c>
      <c r="P895" s="3281">
        <v>100.01335829241661</v>
      </c>
      <c r="Q895" s="3284">
        <v>102.01362545826494</v>
      </c>
    </row>
    <row r="896" spans="2:17">
      <c r="B896" s="3260" t="s">
        <v>682</v>
      </c>
      <c r="C896" s="3268"/>
      <c r="D896" s="3269"/>
      <c r="E896" s="3269"/>
      <c r="F896" s="3269"/>
      <c r="G896" s="3270"/>
      <c r="H896" s="3268"/>
      <c r="I896" s="3281">
        <v>0</v>
      </c>
      <c r="J896" s="3281">
        <v>0</v>
      </c>
      <c r="K896" s="3281">
        <v>0</v>
      </c>
      <c r="L896" s="3282">
        <v>0</v>
      </c>
      <c r="M896" s="3283">
        <v>0</v>
      </c>
      <c r="N896" s="3281">
        <v>0</v>
      </c>
      <c r="O896" s="3281">
        <v>0</v>
      </c>
      <c r="P896" s="3281">
        <v>0</v>
      </c>
      <c r="Q896" s="3284">
        <v>0</v>
      </c>
    </row>
    <row r="897" spans="2:17">
      <c r="B897" s="3260" t="s">
        <v>66</v>
      </c>
      <c r="C897" s="3268"/>
      <c r="D897" s="3269"/>
      <c r="E897" s="3269"/>
      <c r="F897" s="3269"/>
      <c r="G897" s="3270"/>
      <c r="H897" s="3268"/>
      <c r="I897" s="3281">
        <v>0</v>
      </c>
      <c r="J897" s="3281">
        <v>0</v>
      </c>
      <c r="K897" s="3281">
        <v>0</v>
      </c>
      <c r="L897" s="3282">
        <v>0</v>
      </c>
      <c r="M897" s="3283">
        <v>0</v>
      </c>
      <c r="N897" s="3281">
        <v>0</v>
      </c>
      <c r="O897" s="3281">
        <v>0</v>
      </c>
      <c r="P897" s="3281">
        <v>0</v>
      </c>
      <c r="Q897" s="3284">
        <v>0</v>
      </c>
    </row>
    <row r="898" spans="2:17" ht="13.5" thickBot="1">
      <c r="B898" s="3260" t="s">
        <v>67</v>
      </c>
      <c r="C898" s="3268"/>
      <c r="D898" s="3269"/>
      <c r="E898" s="3269"/>
      <c r="F898" s="3269"/>
      <c r="G898" s="3270"/>
      <c r="H898" s="3268"/>
      <c r="I898" s="3281">
        <v>28.880000000000006</v>
      </c>
      <c r="J898" s="3281">
        <v>28.880000000000006</v>
      </c>
      <c r="K898" s="3281">
        <v>28.880000000000006</v>
      </c>
      <c r="L898" s="3282">
        <v>28.880000000000006</v>
      </c>
      <c r="M898" s="3285">
        <v>28.880000000000006</v>
      </c>
      <c r="N898" s="3286">
        <v>28.880000000000006</v>
      </c>
      <c r="O898" s="3286">
        <v>28.880000000000006</v>
      </c>
      <c r="P898" s="3286">
        <v>28.880000000000006</v>
      </c>
      <c r="Q898" s="3287">
        <v>28.880000000000006</v>
      </c>
    </row>
    <row r="899" spans="2:17" ht="12.75" customHeight="1">
      <c r="B899" s="4689">
        <v>3223</v>
      </c>
      <c r="C899" s="4691" t="s">
        <v>36</v>
      </c>
      <c r="D899" s="4692"/>
      <c r="E899" s="4692"/>
      <c r="F899" s="4692"/>
      <c r="G899" s="4692"/>
      <c r="H899" s="4693" t="s">
        <v>37</v>
      </c>
      <c r="I899" s="4694"/>
      <c r="J899" s="4694"/>
      <c r="K899" s="4694"/>
      <c r="L899" s="4694"/>
      <c r="M899" s="4695" t="s">
        <v>73</v>
      </c>
      <c r="N899" s="4695"/>
      <c r="O899" s="4695"/>
      <c r="P899" s="4695"/>
      <c r="Q899" s="4696"/>
    </row>
    <row r="900" spans="2:17" ht="12.75" customHeight="1">
      <c r="B900" s="4690"/>
      <c r="C900" s="4697" t="s">
        <v>1673</v>
      </c>
      <c r="D900" s="4698"/>
      <c r="E900" s="4698"/>
      <c r="F900" s="4698"/>
      <c r="G900" s="4698"/>
      <c r="H900" s="4698"/>
      <c r="I900" s="4698"/>
      <c r="J900" s="4698"/>
      <c r="K900" s="4698"/>
      <c r="L900" s="4698"/>
      <c r="M900" s="4698"/>
      <c r="N900" s="4698"/>
      <c r="O900" s="4698"/>
      <c r="P900" s="4698"/>
      <c r="Q900" s="4699"/>
    </row>
    <row r="901" spans="2:17" ht="12.75" customHeight="1">
      <c r="B901" s="4690"/>
      <c r="C901" s="4697" t="s">
        <v>54</v>
      </c>
      <c r="D901" s="4698"/>
      <c r="E901" s="4698"/>
      <c r="F901" s="4698"/>
      <c r="G901" s="4698"/>
      <c r="H901" s="4698"/>
      <c r="I901" s="4698"/>
      <c r="J901" s="4700"/>
      <c r="K901" s="4701" t="s">
        <v>55</v>
      </c>
      <c r="L901" s="4702"/>
      <c r="M901" s="4702"/>
      <c r="N901" s="4702"/>
      <c r="O901" s="4702"/>
      <c r="P901" s="4702"/>
      <c r="Q901" s="4703"/>
    </row>
    <row r="902" spans="2:17" ht="13.5" customHeight="1" thickBot="1">
      <c r="B902" s="4690"/>
      <c r="C902" s="3252">
        <f t="array" ref="C902:G902">PRCP</f>
        <v>2008</v>
      </c>
      <c r="D902" s="3253">
        <v>2009</v>
      </c>
      <c r="E902" s="3253">
        <v>2010</v>
      </c>
      <c r="F902" s="3253">
        <v>2011</v>
      </c>
      <c r="G902" s="3253">
        <v>2012</v>
      </c>
      <c r="H902" s="3254">
        <f>CRCP_y1</f>
        <v>2013</v>
      </c>
      <c r="I902" s="3254">
        <f>CRCP_y2</f>
        <v>2014</v>
      </c>
      <c r="J902" s="3254">
        <f>CRCP_y3</f>
        <v>2015</v>
      </c>
      <c r="K902" s="3254">
        <f>CRCP_y4</f>
        <v>2016</v>
      </c>
      <c r="L902" s="3254">
        <f>CRCP_y5</f>
        <v>2017</v>
      </c>
      <c r="M902" s="3253" t="str">
        <f t="array" ref="M902:Q902">FRCP</f>
        <v>2018</v>
      </c>
      <c r="N902" s="3253">
        <v>2019</v>
      </c>
      <c r="O902" s="3253">
        <v>2020</v>
      </c>
      <c r="P902" s="3253">
        <v>2021</v>
      </c>
      <c r="Q902" s="3255">
        <v>2022</v>
      </c>
    </row>
    <row r="903" spans="2:17">
      <c r="B903" s="3256" t="s">
        <v>1704</v>
      </c>
      <c r="C903" s="3257"/>
      <c r="D903" s="3258"/>
      <c r="E903" s="3258"/>
      <c r="F903" s="3258"/>
      <c r="G903" s="3259"/>
      <c r="H903" s="3257"/>
      <c r="I903" s="3258"/>
      <c r="J903" s="3258"/>
      <c r="K903" s="3258"/>
      <c r="L903" s="3258"/>
      <c r="M903" s="3257"/>
      <c r="N903" s="3258"/>
      <c r="O903" s="3258"/>
      <c r="P903" s="3258"/>
      <c r="Q903" s="3259"/>
    </row>
    <row r="904" spans="2:17">
      <c r="B904" s="3260"/>
      <c r="C904" s="3268"/>
      <c r="D904" s="3269"/>
      <c r="E904" s="3269"/>
      <c r="F904" s="3269"/>
      <c r="G904" s="3270"/>
      <c r="H904" s="3268"/>
      <c r="I904" s="3269"/>
      <c r="J904" s="3269"/>
      <c r="K904" s="3269"/>
      <c r="L904" s="3271"/>
      <c r="M904" s="3268"/>
      <c r="N904" s="3269"/>
      <c r="O904" s="3269"/>
      <c r="P904" s="3269"/>
      <c r="Q904" s="3270"/>
    </row>
    <row r="905" spans="2:17">
      <c r="B905" s="3260" t="s">
        <v>64</v>
      </c>
      <c r="C905" s="3268"/>
      <c r="D905" s="3269"/>
      <c r="E905" s="3269"/>
      <c r="F905" s="3269"/>
      <c r="G905" s="3270"/>
      <c r="H905" s="3268"/>
      <c r="I905" s="3281">
        <v>0</v>
      </c>
      <c r="J905" s="3281">
        <v>0</v>
      </c>
      <c r="K905" s="3281">
        <v>0</v>
      </c>
      <c r="L905" s="3282">
        <v>0</v>
      </c>
      <c r="M905" s="3283">
        <v>0</v>
      </c>
      <c r="N905" s="3281">
        <v>0</v>
      </c>
      <c r="O905" s="3281">
        <v>0</v>
      </c>
      <c r="P905" s="3281">
        <v>0</v>
      </c>
      <c r="Q905" s="3284">
        <v>0</v>
      </c>
    </row>
    <row r="906" spans="2:17">
      <c r="B906" s="3260" t="s">
        <v>65</v>
      </c>
      <c r="C906" s="3268"/>
      <c r="D906" s="3269"/>
      <c r="E906" s="3269"/>
      <c r="F906" s="3269"/>
      <c r="G906" s="3270"/>
      <c r="H906" s="3268"/>
      <c r="I906" s="3281">
        <v>0</v>
      </c>
      <c r="J906" s="3281">
        <v>0</v>
      </c>
      <c r="K906" s="3281">
        <v>0</v>
      </c>
      <c r="L906" s="3282">
        <v>0</v>
      </c>
      <c r="M906" s="3283">
        <v>0</v>
      </c>
      <c r="N906" s="3281">
        <v>0</v>
      </c>
      <c r="O906" s="3281">
        <v>0</v>
      </c>
      <c r="P906" s="3281">
        <v>0</v>
      </c>
      <c r="Q906" s="3284">
        <v>0</v>
      </c>
    </row>
    <row r="907" spans="2:17">
      <c r="B907" s="3260" t="s">
        <v>82</v>
      </c>
      <c r="C907" s="3268"/>
      <c r="D907" s="3269"/>
      <c r="E907" s="3269"/>
      <c r="F907" s="3269"/>
      <c r="G907" s="3270"/>
      <c r="H907" s="3268"/>
      <c r="I907" s="3281">
        <v>0</v>
      </c>
      <c r="J907" s="3281">
        <v>0</v>
      </c>
      <c r="K907" s="3281">
        <v>0</v>
      </c>
      <c r="L907" s="3282">
        <v>0</v>
      </c>
      <c r="M907" s="3283">
        <v>0</v>
      </c>
      <c r="N907" s="3281">
        <v>0</v>
      </c>
      <c r="O907" s="3281">
        <v>0</v>
      </c>
      <c r="P907" s="3281">
        <v>0</v>
      </c>
      <c r="Q907" s="3284">
        <v>0</v>
      </c>
    </row>
    <row r="908" spans="2:17">
      <c r="B908" s="3260" t="s">
        <v>680</v>
      </c>
      <c r="C908" s="3268"/>
      <c r="D908" s="3269"/>
      <c r="E908" s="3269"/>
      <c r="F908" s="3269"/>
      <c r="G908" s="3270"/>
      <c r="H908" s="3268"/>
      <c r="I908" s="3281">
        <v>0</v>
      </c>
      <c r="J908" s="3281">
        <v>0</v>
      </c>
      <c r="K908" s="3281">
        <v>0</v>
      </c>
      <c r="L908" s="3282">
        <v>0</v>
      </c>
      <c r="M908" s="3283">
        <v>0</v>
      </c>
      <c r="N908" s="3281">
        <v>0</v>
      </c>
      <c r="O908" s="3281">
        <v>0</v>
      </c>
      <c r="P908" s="3281">
        <v>0</v>
      </c>
      <c r="Q908" s="3284">
        <v>0</v>
      </c>
    </row>
    <row r="909" spans="2:17">
      <c r="B909" s="3260" t="s">
        <v>681</v>
      </c>
      <c r="C909" s="3268"/>
      <c r="D909" s="3269"/>
      <c r="E909" s="3269"/>
      <c r="F909" s="3269"/>
      <c r="G909" s="3270"/>
      <c r="H909" s="3268"/>
      <c r="I909" s="3281">
        <v>109.40499999999986</v>
      </c>
      <c r="J909" s="3281">
        <v>110.43999999999984</v>
      </c>
      <c r="K909" s="3281">
        <v>112.64879999999984</v>
      </c>
      <c r="L909" s="3282">
        <v>114.90177599999984</v>
      </c>
      <c r="M909" s="3283">
        <v>117.19981151999984</v>
      </c>
      <c r="N909" s="3281">
        <v>119.54380775039984</v>
      </c>
      <c r="O909" s="3281">
        <v>121.93468390540784</v>
      </c>
      <c r="P909" s="3281">
        <v>124.373377583516</v>
      </c>
      <c r="Q909" s="3284">
        <v>126.86084513518632</v>
      </c>
    </row>
    <row r="910" spans="2:17">
      <c r="B910" s="3260" t="s">
        <v>682</v>
      </c>
      <c r="C910" s="3268"/>
      <c r="D910" s="3269"/>
      <c r="E910" s="3269"/>
      <c r="F910" s="3269"/>
      <c r="G910" s="3270"/>
      <c r="H910" s="3268"/>
      <c r="I910" s="3281">
        <v>0</v>
      </c>
      <c r="J910" s="3281">
        <v>0</v>
      </c>
      <c r="K910" s="3281">
        <v>0</v>
      </c>
      <c r="L910" s="3282">
        <v>0</v>
      </c>
      <c r="M910" s="3283">
        <v>0</v>
      </c>
      <c r="N910" s="3281">
        <v>0</v>
      </c>
      <c r="O910" s="3281">
        <v>0</v>
      </c>
      <c r="P910" s="3281">
        <v>0</v>
      </c>
      <c r="Q910" s="3284">
        <v>0</v>
      </c>
    </row>
    <row r="911" spans="2:17">
      <c r="B911" s="3260" t="s">
        <v>66</v>
      </c>
      <c r="C911" s="3268"/>
      <c r="D911" s="3269"/>
      <c r="E911" s="3269"/>
      <c r="F911" s="3269"/>
      <c r="G911" s="3270"/>
      <c r="H911" s="3268"/>
      <c r="I911" s="3281">
        <v>0</v>
      </c>
      <c r="J911" s="3281">
        <v>0</v>
      </c>
      <c r="K911" s="3281">
        <v>0</v>
      </c>
      <c r="L911" s="3282">
        <v>0</v>
      </c>
      <c r="M911" s="3283">
        <v>0</v>
      </c>
      <c r="N911" s="3281">
        <v>0</v>
      </c>
      <c r="O911" s="3281">
        <v>0</v>
      </c>
      <c r="P911" s="3281">
        <v>0</v>
      </c>
      <c r="Q911" s="3284">
        <v>0</v>
      </c>
    </row>
    <row r="912" spans="2:17" ht="13.5" thickBot="1">
      <c r="B912" s="3260" t="s">
        <v>67</v>
      </c>
      <c r="C912" s="3268"/>
      <c r="D912" s="3269"/>
      <c r="E912" s="3269"/>
      <c r="F912" s="3269"/>
      <c r="G912" s="3270"/>
      <c r="H912" s="3268"/>
      <c r="I912" s="3281">
        <v>0</v>
      </c>
      <c r="J912" s="3281">
        <v>0</v>
      </c>
      <c r="K912" s="3281">
        <v>0</v>
      </c>
      <c r="L912" s="3282">
        <v>0</v>
      </c>
      <c r="M912" s="3285">
        <v>0</v>
      </c>
      <c r="N912" s="3286">
        <v>0</v>
      </c>
      <c r="O912" s="3286">
        <v>0</v>
      </c>
      <c r="P912" s="3286">
        <v>0</v>
      </c>
      <c r="Q912" s="3287">
        <v>0</v>
      </c>
    </row>
    <row r="913" spans="2:17" ht="12.75" customHeight="1">
      <c r="B913" s="4689">
        <v>3224</v>
      </c>
      <c r="C913" s="4691" t="s">
        <v>36</v>
      </c>
      <c r="D913" s="4692"/>
      <c r="E913" s="4692"/>
      <c r="F913" s="4692"/>
      <c r="G913" s="4692"/>
      <c r="H913" s="4693" t="s">
        <v>37</v>
      </c>
      <c r="I913" s="4694"/>
      <c r="J913" s="4694"/>
      <c r="K913" s="4694"/>
      <c r="L913" s="4694"/>
      <c r="M913" s="4695" t="s">
        <v>73</v>
      </c>
      <c r="N913" s="4695"/>
      <c r="O913" s="4695"/>
      <c r="P913" s="4695"/>
      <c r="Q913" s="4696"/>
    </row>
    <row r="914" spans="2:17" ht="12.75" customHeight="1">
      <c r="B914" s="4690"/>
      <c r="C914" s="4697" t="s">
        <v>1673</v>
      </c>
      <c r="D914" s="4698"/>
      <c r="E914" s="4698"/>
      <c r="F914" s="4698"/>
      <c r="G914" s="4698"/>
      <c r="H914" s="4698"/>
      <c r="I914" s="4698"/>
      <c r="J914" s="4698"/>
      <c r="K914" s="4698"/>
      <c r="L914" s="4698"/>
      <c r="M914" s="4698"/>
      <c r="N914" s="4698"/>
      <c r="O914" s="4698"/>
      <c r="P914" s="4698"/>
      <c r="Q914" s="4699"/>
    </row>
    <row r="915" spans="2:17" ht="12.75" customHeight="1">
      <c r="B915" s="4690"/>
      <c r="C915" s="4697" t="s">
        <v>54</v>
      </c>
      <c r="D915" s="4698"/>
      <c r="E915" s="4698"/>
      <c r="F915" s="4698"/>
      <c r="G915" s="4698"/>
      <c r="H915" s="4698"/>
      <c r="I915" s="4698"/>
      <c r="J915" s="4700"/>
      <c r="K915" s="4701" t="s">
        <v>55</v>
      </c>
      <c r="L915" s="4702"/>
      <c r="M915" s="4702"/>
      <c r="N915" s="4702"/>
      <c r="O915" s="4702"/>
      <c r="P915" s="4702"/>
      <c r="Q915" s="4703"/>
    </row>
    <row r="916" spans="2:17" ht="13.5" customHeight="1" thickBot="1">
      <c r="B916" s="4690"/>
      <c r="C916" s="3252">
        <f t="array" ref="C916:G916">PRCP</f>
        <v>2008</v>
      </c>
      <c r="D916" s="3253">
        <v>2009</v>
      </c>
      <c r="E916" s="3253">
        <v>2010</v>
      </c>
      <c r="F916" s="3253">
        <v>2011</v>
      </c>
      <c r="G916" s="3253">
        <v>2012</v>
      </c>
      <c r="H916" s="3254">
        <f>CRCP_y1</f>
        <v>2013</v>
      </c>
      <c r="I916" s="3254">
        <f>CRCP_y2</f>
        <v>2014</v>
      </c>
      <c r="J916" s="3254">
        <f>CRCP_y3</f>
        <v>2015</v>
      </c>
      <c r="K916" s="3254">
        <f>CRCP_y4</f>
        <v>2016</v>
      </c>
      <c r="L916" s="3254">
        <f>CRCP_y5</f>
        <v>2017</v>
      </c>
      <c r="M916" s="3253" t="str">
        <f t="array" ref="M916:Q916">FRCP</f>
        <v>2018</v>
      </c>
      <c r="N916" s="3253">
        <v>2019</v>
      </c>
      <c r="O916" s="3253">
        <v>2020</v>
      </c>
      <c r="P916" s="3253">
        <v>2021</v>
      </c>
      <c r="Q916" s="3255">
        <v>2022</v>
      </c>
    </row>
    <row r="917" spans="2:17">
      <c r="B917" s="3256" t="s">
        <v>1705</v>
      </c>
      <c r="C917" s="3257"/>
      <c r="D917" s="3258"/>
      <c r="E917" s="3258"/>
      <c r="F917" s="3258"/>
      <c r="G917" s="3259"/>
      <c r="H917" s="3257"/>
      <c r="I917" s="3258"/>
      <c r="J917" s="3258"/>
      <c r="K917" s="3258"/>
      <c r="L917" s="3258"/>
      <c r="M917" s="3257"/>
      <c r="N917" s="3258"/>
      <c r="O917" s="3258"/>
      <c r="P917" s="3258"/>
      <c r="Q917" s="3259"/>
    </row>
    <row r="918" spans="2:17">
      <c r="B918" s="3260"/>
      <c r="C918" s="3268"/>
      <c r="D918" s="3269"/>
      <c r="E918" s="3269"/>
      <c r="F918" s="3269"/>
      <c r="G918" s="3270"/>
      <c r="H918" s="3268"/>
      <c r="I918" s="3269"/>
      <c r="J918" s="3269"/>
      <c r="K918" s="3269"/>
      <c r="L918" s="3271"/>
      <c r="M918" s="3268"/>
      <c r="N918" s="3269"/>
      <c r="O918" s="3269"/>
      <c r="P918" s="3269"/>
      <c r="Q918" s="3270"/>
    </row>
    <row r="919" spans="2:17">
      <c r="B919" s="3260" t="s">
        <v>64</v>
      </c>
      <c r="C919" s="3268"/>
      <c r="D919" s="3269"/>
      <c r="E919" s="3269"/>
      <c r="F919" s="3269"/>
      <c r="G919" s="3270"/>
      <c r="H919" s="3268"/>
      <c r="I919" s="3281">
        <v>0</v>
      </c>
      <c r="J919" s="3281">
        <v>0</v>
      </c>
      <c r="K919" s="3281">
        <v>0</v>
      </c>
      <c r="L919" s="3282">
        <v>0</v>
      </c>
      <c r="M919" s="3283">
        <v>0</v>
      </c>
      <c r="N919" s="3281">
        <v>0</v>
      </c>
      <c r="O919" s="3281">
        <v>0</v>
      </c>
      <c r="P919" s="3281">
        <v>0</v>
      </c>
      <c r="Q919" s="3284">
        <v>0</v>
      </c>
    </row>
    <row r="920" spans="2:17">
      <c r="B920" s="3260" t="s">
        <v>65</v>
      </c>
      <c r="C920" s="3268"/>
      <c r="D920" s="3269"/>
      <c r="E920" s="3269"/>
      <c r="F920" s="3269"/>
      <c r="G920" s="3270"/>
      <c r="H920" s="3268"/>
      <c r="I920" s="3281">
        <v>0</v>
      </c>
      <c r="J920" s="3281">
        <v>0</v>
      </c>
      <c r="K920" s="3281">
        <v>0</v>
      </c>
      <c r="L920" s="3282">
        <v>0</v>
      </c>
      <c r="M920" s="3283">
        <v>0</v>
      </c>
      <c r="N920" s="3281">
        <v>0</v>
      </c>
      <c r="O920" s="3281">
        <v>0</v>
      </c>
      <c r="P920" s="3281">
        <v>0</v>
      </c>
      <c r="Q920" s="3284">
        <v>0</v>
      </c>
    </row>
    <row r="921" spans="2:17">
      <c r="B921" s="3260" t="s">
        <v>82</v>
      </c>
      <c r="C921" s="3268"/>
      <c r="D921" s="3269"/>
      <c r="E921" s="3269"/>
      <c r="F921" s="3269"/>
      <c r="G921" s="3270"/>
      <c r="H921" s="3268"/>
      <c r="I921" s="3281">
        <v>0</v>
      </c>
      <c r="J921" s="3281">
        <v>0</v>
      </c>
      <c r="K921" s="3281">
        <v>0</v>
      </c>
      <c r="L921" s="3282">
        <v>0</v>
      </c>
      <c r="M921" s="3283">
        <v>0</v>
      </c>
      <c r="N921" s="3281">
        <v>0</v>
      </c>
      <c r="O921" s="3281">
        <v>0</v>
      </c>
      <c r="P921" s="3281">
        <v>0</v>
      </c>
      <c r="Q921" s="3284">
        <v>0</v>
      </c>
    </row>
    <row r="922" spans="2:17">
      <c r="B922" s="3260" t="s">
        <v>680</v>
      </c>
      <c r="C922" s="3268"/>
      <c r="D922" s="3269"/>
      <c r="E922" s="3269"/>
      <c r="F922" s="3269"/>
      <c r="G922" s="3270"/>
      <c r="H922" s="3268"/>
      <c r="I922" s="3281">
        <v>0</v>
      </c>
      <c r="J922" s="3281">
        <v>0</v>
      </c>
      <c r="K922" s="3281">
        <v>0</v>
      </c>
      <c r="L922" s="3282">
        <v>0</v>
      </c>
      <c r="M922" s="3283">
        <v>0</v>
      </c>
      <c r="N922" s="3281">
        <v>0</v>
      </c>
      <c r="O922" s="3281">
        <v>0</v>
      </c>
      <c r="P922" s="3281">
        <v>0</v>
      </c>
      <c r="Q922" s="3284">
        <v>0</v>
      </c>
    </row>
    <row r="923" spans="2:17">
      <c r="B923" s="3260" t="s">
        <v>681</v>
      </c>
      <c r="C923" s="3268"/>
      <c r="D923" s="3269"/>
      <c r="E923" s="3269"/>
      <c r="F923" s="3269"/>
      <c r="G923" s="3270"/>
      <c r="H923" s="3268"/>
      <c r="I923" s="3281">
        <v>65.930999999999926</v>
      </c>
      <c r="J923" s="3281">
        <v>67.224999999999952</v>
      </c>
      <c r="K923" s="3281">
        <v>68.569499999999948</v>
      </c>
      <c r="L923" s="3282">
        <v>69.940889999999953</v>
      </c>
      <c r="M923" s="3283">
        <v>71.339707799999957</v>
      </c>
      <c r="N923" s="3281">
        <v>72.766501955999956</v>
      </c>
      <c r="O923" s="3281">
        <v>74.221831995119956</v>
      </c>
      <c r="P923" s="3281">
        <v>75.706268635022354</v>
      </c>
      <c r="Q923" s="3284">
        <v>77.220394007722803</v>
      </c>
    </row>
    <row r="924" spans="2:17">
      <c r="B924" s="3260" t="s">
        <v>682</v>
      </c>
      <c r="C924" s="3268"/>
      <c r="D924" s="3269"/>
      <c r="E924" s="3269"/>
      <c r="F924" s="3269"/>
      <c r="G924" s="3270"/>
      <c r="H924" s="3268"/>
      <c r="I924" s="3281">
        <v>0</v>
      </c>
      <c r="J924" s="3281">
        <v>0</v>
      </c>
      <c r="K924" s="3281">
        <v>0</v>
      </c>
      <c r="L924" s="3282">
        <v>0</v>
      </c>
      <c r="M924" s="3283">
        <v>0</v>
      </c>
      <c r="N924" s="3281">
        <v>0</v>
      </c>
      <c r="O924" s="3281">
        <v>0</v>
      </c>
      <c r="P924" s="3281">
        <v>0</v>
      </c>
      <c r="Q924" s="3284">
        <v>0</v>
      </c>
    </row>
    <row r="925" spans="2:17">
      <c r="B925" s="3260" t="s">
        <v>66</v>
      </c>
      <c r="C925" s="3268"/>
      <c r="D925" s="3269"/>
      <c r="E925" s="3269"/>
      <c r="F925" s="3269"/>
      <c r="G925" s="3270"/>
      <c r="H925" s="3268"/>
      <c r="I925" s="3281">
        <v>0</v>
      </c>
      <c r="J925" s="3281">
        <v>0</v>
      </c>
      <c r="K925" s="3281">
        <v>0</v>
      </c>
      <c r="L925" s="3282">
        <v>0</v>
      </c>
      <c r="M925" s="3283">
        <v>0</v>
      </c>
      <c r="N925" s="3281">
        <v>0</v>
      </c>
      <c r="O925" s="3281">
        <v>0</v>
      </c>
      <c r="P925" s="3281">
        <v>0</v>
      </c>
      <c r="Q925" s="3284">
        <v>0</v>
      </c>
    </row>
    <row r="926" spans="2:17" ht="13.5" thickBot="1">
      <c r="B926" s="3260" t="s">
        <v>67</v>
      </c>
      <c r="C926" s="3268"/>
      <c r="D926" s="3269"/>
      <c r="E926" s="3269"/>
      <c r="F926" s="3269"/>
      <c r="G926" s="3270"/>
      <c r="H926" s="3268"/>
      <c r="I926" s="3281">
        <v>35.064999999999984</v>
      </c>
      <c r="J926" s="3281">
        <v>35.064999999999984</v>
      </c>
      <c r="K926" s="3281">
        <v>35.064999999999984</v>
      </c>
      <c r="L926" s="3282">
        <v>35.064999999999984</v>
      </c>
      <c r="M926" s="3285">
        <v>35.064999999999984</v>
      </c>
      <c r="N926" s="3286">
        <v>35.064999999999984</v>
      </c>
      <c r="O926" s="3286">
        <v>35.064999999999984</v>
      </c>
      <c r="P926" s="3286">
        <v>35.064999999999984</v>
      </c>
      <c r="Q926" s="3287">
        <v>35.064999999999984</v>
      </c>
    </row>
    <row r="927" spans="2:17" ht="12.75" customHeight="1">
      <c r="B927" s="4689">
        <v>3225</v>
      </c>
      <c r="C927" s="4691" t="s">
        <v>36</v>
      </c>
      <c r="D927" s="4692"/>
      <c r="E927" s="4692"/>
      <c r="F927" s="4692"/>
      <c r="G927" s="4692"/>
      <c r="H927" s="4693" t="s">
        <v>37</v>
      </c>
      <c r="I927" s="4694"/>
      <c r="J927" s="4694"/>
      <c r="K927" s="4694"/>
      <c r="L927" s="4694"/>
      <c r="M927" s="4695" t="s">
        <v>73</v>
      </c>
      <c r="N927" s="4695"/>
      <c r="O927" s="4695"/>
      <c r="P927" s="4695"/>
      <c r="Q927" s="4696"/>
    </row>
    <row r="928" spans="2:17" ht="12.75" customHeight="1">
      <c r="B928" s="4690"/>
      <c r="C928" s="4697" t="s">
        <v>1673</v>
      </c>
      <c r="D928" s="4698"/>
      <c r="E928" s="4698"/>
      <c r="F928" s="4698"/>
      <c r="G928" s="4698"/>
      <c r="H928" s="4698"/>
      <c r="I928" s="4698"/>
      <c r="J928" s="4698"/>
      <c r="K928" s="4698"/>
      <c r="L928" s="4698"/>
      <c r="M928" s="4698"/>
      <c r="N928" s="4698"/>
      <c r="O928" s="4698"/>
      <c r="P928" s="4698"/>
      <c r="Q928" s="4699"/>
    </row>
    <row r="929" spans="2:17" ht="12.75" customHeight="1">
      <c r="B929" s="4690"/>
      <c r="C929" s="4697" t="s">
        <v>54</v>
      </c>
      <c r="D929" s="4698"/>
      <c r="E929" s="4698"/>
      <c r="F929" s="4698"/>
      <c r="G929" s="4698"/>
      <c r="H929" s="4698"/>
      <c r="I929" s="4698"/>
      <c r="J929" s="4700"/>
      <c r="K929" s="4701" t="s">
        <v>55</v>
      </c>
      <c r="L929" s="4702"/>
      <c r="M929" s="4702"/>
      <c r="N929" s="4702"/>
      <c r="O929" s="4702"/>
      <c r="P929" s="4702"/>
      <c r="Q929" s="4703"/>
    </row>
    <row r="930" spans="2:17" ht="13.5" customHeight="1" thickBot="1">
      <c r="B930" s="4690"/>
      <c r="C930" s="3252">
        <f t="array" ref="C930:G930">PRCP</f>
        <v>2008</v>
      </c>
      <c r="D930" s="3253">
        <v>2009</v>
      </c>
      <c r="E930" s="3253">
        <v>2010</v>
      </c>
      <c r="F930" s="3253">
        <v>2011</v>
      </c>
      <c r="G930" s="3253">
        <v>2012</v>
      </c>
      <c r="H930" s="3254">
        <f>CRCP_y1</f>
        <v>2013</v>
      </c>
      <c r="I930" s="3254">
        <f>CRCP_y2</f>
        <v>2014</v>
      </c>
      <c r="J930" s="3254">
        <f>CRCP_y3</f>
        <v>2015</v>
      </c>
      <c r="K930" s="3254">
        <f>CRCP_y4</f>
        <v>2016</v>
      </c>
      <c r="L930" s="3254">
        <f>CRCP_y5</f>
        <v>2017</v>
      </c>
      <c r="M930" s="3253" t="str">
        <f t="array" ref="M930:Q930">FRCP</f>
        <v>2018</v>
      </c>
      <c r="N930" s="3253">
        <v>2019</v>
      </c>
      <c r="O930" s="3253">
        <v>2020</v>
      </c>
      <c r="P930" s="3253">
        <v>2021</v>
      </c>
      <c r="Q930" s="3255">
        <v>2022</v>
      </c>
    </row>
    <row r="931" spans="2:17">
      <c r="B931" s="3256" t="s">
        <v>1705</v>
      </c>
      <c r="C931" s="3257"/>
      <c r="D931" s="3258"/>
      <c r="E931" s="3258"/>
      <c r="F931" s="3258"/>
      <c r="G931" s="3259"/>
      <c r="H931" s="3257"/>
      <c r="I931" s="3258"/>
      <c r="J931" s="3258"/>
      <c r="K931" s="3258"/>
      <c r="L931" s="3258"/>
      <c r="M931" s="3257"/>
      <c r="N931" s="3258"/>
      <c r="O931" s="3258"/>
      <c r="P931" s="3258"/>
      <c r="Q931" s="3259"/>
    </row>
    <row r="932" spans="2:17">
      <c r="B932" s="3260"/>
      <c r="C932" s="3268"/>
      <c r="D932" s="3269"/>
      <c r="E932" s="3269"/>
      <c r="F932" s="3269"/>
      <c r="G932" s="3270"/>
      <c r="H932" s="3268"/>
      <c r="I932" s="3269"/>
      <c r="J932" s="3269"/>
      <c r="K932" s="3269"/>
      <c r="L932" s="3271"/>
      <c r="M932" s="3268"/>
      <c r="N932" s="3269"/>
      <c r="O932" s="3269"/>
      <c r="P932" s="3269"/>
      <c r="Q932" s="3270"/>
    </row>
    <row r="933" spans="2:17">
      <c r="B933" s="3260" t="s">
        <v>64</v>
      </c>
      <c r="C933" s="3268"/>
      <c r="D933" s="3269"/>
      <c r="E933" s="3269"/>
      <c r="F933" s="3269"/>
      <c r="G933" s="3270"/>
      <c r="H933" s="3268"/>
      <c r="I933" s="3281">
        <v>0</v>
      </c>
      <c r="J933" s="3281">
        <v>0</v>
      </c>
      <c r="K933" s="3281">
        <v>0</v>
      </c>
      <c r="L933" s="3282">
        <v>0</v>
      </c>
      <c r="M933" s="3283">
        <v>0</v>
      </c>
      <c r="N933" s="3281">
        <v>0</v>
      </c>
      <c r="O933" s="3281">
        <v>0</v>
      </c>
      <c r="P933" s="3281">
        <v>0</v>
      </c>
      <c r="Q933" s="3284">
        <v>0</v>
      </c>
    </row>
    <row r="934" spans="2:17">
      <c r="B934" s="3260" t="s">
        <v>65</v>
      </c>
      <c r="C934" s="3268"/>
      <c r="D934" s="3269"/>
      <c r="E934" s="3269"/>
      <c r="F934" s="3269"/>
      <c r="G934" s="3270"/>
      <c r="H934" s="3268"/>
      <c r="I934" s="3281">
        <v>0</v>
      </c>
      <c r="J934" s="3281">
        <v>0</v>
      </c>
      <c r="K934" s="3281">
        <v>0</v>
      </c>
      <c r="L934" s="3282">
        <v>0</v>
      </c>
      <c r="M934" s="3283">
        <v>0</v>
      </c>
      <c r="N934" s="3281">
        <v>0</v>
      </c>
      <c r="O934" s="3281">
        <v>0</v>
      </c>
      <c r="P934" s="3281">
        <v>0</v>
      </c>
      <c r="Q934" s="3284">
        <v>0</v>
      </c>
    </row>
    <row r="935" spans="2:17">
      <c r="B935" s="3260" t="s">
        <v>82</v>
      </c>
      <c r="C935" s="3268"/>
      <c r="D935" s="3269"/>
      <c r="E935" s="3269"/>
      <c r="F935" s="3269"/>
      <c r="G935" s="3270"/>
      <c r="H935" s="3268"/>
      <c r="I935" s="3281">
        <v>0</v>
      </c>
      <c r="J935" s="3281">
        <v>0</v>
      </c>
      <c r="K935" s="3281">
        <v>0</v>
      </c>
      <c r="L935" s="3282">
        <v>0</v>
      </c>
      <c r="M935" s="3283">
        <v>0</v>
      </c>
      <c r="N935" s="3281">
        <v>0</v>
      </c>
      <c r="O935" s="3281">
        <v>0</v>
      </c>
      <c r="P935" s="3281">
        <v>0</v>
      </c>
      <c r="Q935" s="3284">
        <v>0</v>
      </c>
    </row>
    <row r="936" spans="2:17">
      <c r="B936" s="3260" t="s">
        <v>680</v>
      </c>
      <c r="C936" s="3268"/>
      <c r="D936" s="3269"/>
      <c r="E936" s="3269"/>
      <c r="F936" s="3269"/>
      <c r="G936" s="3270"/>
      <c r="H936" s="3268"/>
      <c r="I936" s="3281">
        <v>0</v>
      </c>
      <c r="J936" s="3281">
        <v>0</v>
      </c>
      <c r="K936" s="3281">
        <v>0</v>
      </c>
      <c r="L936" s="3282">
        <v>0</v>
      </c>
      <c r="M936" s="3283">
        <v>0</v>
      </c>
      <c r="N936" s="3281">
        <v>0</v>
      </c>
      <c r="O936" s="3281">
        <v>0</v>
      </c>
      <c r="P936" s="3281">
        <v>0</v>
      </c>
      <c r="Q936" s="3284">
        <v>0</v>
      </c>
    </row>
    <row r="937" spans="2:17">
      <c r="B937" s="3260" t="s">
        <v>681</v>
      </c>
      <c r="C937" s="3268"/>
      <c r="D937" s="3269"/>
      <c r="E937" s="3269"/>
      <c r="F937" s="3269"/>
      <c r="G937" s="3270"/>
      <c r="H937" s="3268"/>
      <c r="I937" s="3281">
        <v>40.696999999999981</v>
      </c>
      <c r="J937" s="3281">
        <v>40.895999999999987</v>
      </c>
      <c r="K937" s="3281">
        <v>41.713919999999987</v>
      </c>
      <c r="L937" s="3282">
        <v>42.54819839999999</v>
      </c>
      <c r="M937" s="3283">
        <v>43.399162367999992</v>
      </c>
      <c r="N937" s="3281">
        <v>44.267145615359993</v>
      </c>
      <c r="O937" s="3281">
        <v>45.152488527667195</v>
      </c>
      <c r="P937" s="3281">
        <v>46.05553829822054</v>
      </c>
      <c r="Q937" s="3284">
        <v>46.976649064184954</v>
      </c>
    </row>
    <row r="938" spans="2:17">
      <c r="B938" s="3260" t="s">
        <v>682</v>
      </c>
      <c r="C938" s="3268"/>
      <c r="D938" s="3269"/>
      <c r="E938" s="3269"/>
      <c r="F938" s="3269"/>
      <c r="G938" s="3270"/>
      <c r="H938" s="3268"/>
      <c r="I938" s="3281">
        <v>0</v>
      </c>
      <c r="J938" s="3281">
        <v>0</v>
      </c>
      <c r="K938" s="3281">
        <v>0</v>
      </c>
      <c r="L938" s="3282">
        <v>0</v>
      </c>
      <c r="M938" s="3283">
        <v>0</v>
      </c>
      <c r="N938" s="3281">
        <v>0</v>
      </c>
      <c r="O938" s="3281">
        <v>0</v>
      </c>
      <c r="P938" s="3281">
        <v>0</v>
      </c>
      <c r="Q938" s="3284">
        <v>0</v>
      </c>
    </row>
    <row r="939" spans="2:17">
      <c r="B939" s="3260" t="s">
        <v>66</v>
      </c>
      <c r="C939" s="3268"/>
      <c r="D939" s="3269"/>
      <c r="E939" s="3269"/>
      <c r="F939" s="3269"/>
      <c r="G939" s="3270"/>
      <c r="H939" s="3268"/>
      <c r="I939" s="3281">
        <v>0</v>
      </c>
      <c r="J939" s="3281">
        <v>0</v>
      </c>
      <c r="K939" s="3281">
        <v>0</v>
      </c>
      <c r="L939" s="3282">
        <v>0</v>
      </c>
      <c r="M939" s="3283">
        <v>0</v>
      </c>
      <c r="N939" s="3281">
        <v>0</v>
      </c>
      <c r="O939" s="3281">
        <v>0</v>
      </c>
      <c r="P939" s="3281">
        <v>0</v>
      </c>
      <c r="Q939" s="3284">
        <v>0</v>
      </c>
    </row>
    <row r="940" spans="2:17" ht="13.5" thickBot="1">
      <c r="B940" s="3260" t="s">
        <v>67</v>
      </c>
      <c r="C940" s="3268"/>
      <c r="D940" s="3269"/>
      <c r="E940" s="3269"/>
      <c r="F940" s="3269"/>
      <c r="G940" s="3270"/>
      <c r="H940" s="3268"/>
      <c r="I940" s="3281">
        <v>16.476999999999993</v>
      </c>
      <c r="J940" s="3281">
        <v>16.477000000000004</v>
      </c>
      <c r="K940" s="3281">
        <v>16.477000000000004</v>
      </c>
      <c r="L940" s="3282">
        <v>17.477</v>
      </c>
      <c r="M940" s="3285">
        <v>18.477</v>
      </c>
      <c r="N940" s="3286">
        <v>19.477</v>
      </c>
      <c r="O940" s="3286">
        <v>20.477</v>
      </c>
      <c r="P940" s="3286">
        <v>21.477</v>
      </c>
      <c r="Q940" s="3287">
        <v>22.477</v>
      </c>
    </row>
    <row r="941" spans="2:17" ht="12.75" customHeight="1">
      <c r="B941" s="4689">
        <v>3226</v>
      </c>
      <c r="C941" s="4691" t="s">
        <v>36</v>
      </c>
      <c r="D941" s="4692"/>
      <c r="E941" s="4692"/>
      <c r="F941" s="4692"/>
      <c r="G941" s="4692"/>
      <c r="H941" s="4693" t="s">
        <v>37</v>
      </c>
      <c r="I941" s="4694"/>
      <c r="J941" s="4694"/>
      <c r="K941" s="4694"/>
      <c r="L941" s="4694"/>
      <c r="M941" s="4695" t="s">
        <v>73</v>
      </c>
      <c r="N941" s="4695"/>
      <c r="O941" s="4695"/>
      <c r="P941" s="4695"/>
      <c r="Q941" s="4696"/>
    </row>
    <row r="942" spans="2:17" ht="12.75" customHeight="1">
      <c r="B942" s="4690"/>
      <c r="C942" s="4697" t="s">
        <v>1673</v>
      </c>
      <c r="D942" s="4698"/>
      <c r="E942" s="4698"/>
      <c r="F942" s="4698"/>
      <c r="G942" s="4698"/>
      <c r="H942" s="4698"/>
      <c r="I942" s="4698"/>
      <c r="J942" s="4698"/>
      <c r="K942" s="4698"/>
      <c r="L942" s="4698"/>
      <c r="M942" s="4698"/>
      <c r="N942" s="4698"/>
      <c r="O942" s="4698"/>
      <c r="P942" s="4698"/>
      <c r="Q942" s="4699"/>
    </row>
    <row r="943" spans="2:17" ht="12.75" customHeight="1">
      <c r="B943" s="4690"/>
      <c r="C943" s="4697" t="s">
        <v>54</v>
      </c>
      <c r="D943" s="4698"/>
      <c r="E943" s="4698"/>
      <c r="F943" s="4698"/>
      <c r="G943" s="4698"/>
      <c r="H943" s="4698"/>
      <c r="I943" s="4698"/>
      <c r="J943" s="4700"/>
      <c r="K943" s="4701" t="s">
        <v>55</v>
      </c>
      <c r="L943" s="4702"/>
      <c r="M943" s="4702"/>
      <c r="N943" s="4702"/>
      <c r="O943" s="4702"/>
      <c r="P943" s="4702"/>
      <c r="Q943" s="4703"/>
    </row>
    <row r="944" spans="2:17" ht="13.5" customHeight="1" thickBot="1">
      <c r="B944" s="4690"/>
      <c r="C944" s="3252">
        <f t="array" ref="C944:G944">PRCP</f>
        <v>2008</v>
      </c>
      <c r="D944" s="3253">
        <v>2009</v>
      </c>
      <c r="E944" s="3253">
        <v>2010</v>
      </c>
      <c r="F944" s="3253">
        <v>2011</v>
      </c>
      <c r="G944" s="3253">
        <v>2012</v>
      </c>
      <c r="H944" s="3254">
        <f>CRCP_y1</f>
        <v>2013</v>
      </c>
      <c r="I944" s="3254">
        <f>CRCP_y2</f>
        <v>2014</v>
      </c>
      <c r="J944" s="3254">
        <f>CRCP_y3</f>
        <v>2015</v>
      </c>
      <c r="K944" s="3254">
        <f>CRCP_y4</f>
        <v>2016</v>
      </c>
      <c r="L944" s="3254">
        <f>CRCP_y5</f>
        <v>2017</v>
      </c>
      <c r="M944" s="3253" t="str">
        <f t="array" ref="M944:Q944">FRCP</f>
        <v>2018</v>
      </c>
      <c r="N944" s="3253">
        <v>2019</v>
      </c>
      <c r="O944" s="3253">
        <v>2020</v>
      </c>
      <c r="P944" s="3253">
        <v>2021</v>
      </c>
      <c r="Q944" s="3255">
        <v>2022</v>
      </c>
    </row>
    <row r="945" spans="2:17">
      <c r="B945" s="3256" t="s">
        <v>1706</v>
      </c>
      <c r="C945" s="3257"/>
      <c r="D945" s="3258"/>
      <c r="E945" s="3258"/>
      <c r="F945" s="3258"/>
      <c r="G945" s="3259"/>
      <c r="H945" s="3257"/>
      <c r="I945" s="3258"/>
      <c r="J945" s="3258"/>
      <c r="K945" s="3258"/>
      <c r="L945" s="3258"/>
      <c r="M945" s="3257"/>
      <c r="N945" s="3258"/>
      <c r="O945" s="3258"/>
      <c r="P945" s="3258"/>
      <c r="Q945" s="3259"/>
    </row>
    <row r="946" spans="2:17">
      <c r="B946" s="3260"/>
      <c r="C946" s="3268"/>
      <c r="D946" s="3269"/>
      <c r="E946" s="3269"/>
      <c r="F946" s="3269"/>
      <c r="G946" s="3270"/>
      <c r="H946" s="3268"/>
      <c r="I946" s="3269"/>
      <c r="J946" s="3269"/>
      <c r="K946" s="3269"/>
      <c r="L946" s="3271"/>
      <c r="M946" s="3268"/>
      <c r="N946" s="3269"/>
      <c r="O946" s="3269"/>
      <c r="P946" s="3269"/>
      <c r="Q946" s="3270"/>
    </row>
    <row r="947" spans="2:17">
      <c r="B947" s="3260" t="s">
        <v>64</v>
      </c>
      <c r="C947" s="3268"/>
      <c r="D947" s="3269"/>
      <c r="E947" s="3269"/>
      <c r="F947" s="3269"/>
      <c r="G947" s="3270"/>
      <c r="H947" s="3268"/>
      <c r="I947" s="3281">
        <v>0</v>
      </c>
      <c r="J947" s="3281">
        <v>0</v>
      </c>
      <c r="K947" s="3281">
        <v>0</v>
      </c>
      <c r="L947" s="3282">
        <v>0</v>
      </c>
      <c r="M947" s="3283">
        <v>0</v>
      </c>
      <c r="N947" s="3281">
        <v>0</v>
      </c>
      <c r="O947" s="3281">
        <v>0</v>
      </c>
      <c r="P947" s="3281">
        <v>0</v>
      </c>
      <c r="Q947" s="3284">
        <v>0</v>
      </c>
    </row>
    <row r="948" spans="2:17">
      <c r="B948" s="3260" t="s">
        <v>65</v>
      </c>
      <c r="C948" s="3268"/>
      <c r="D948" s="3269"/>
      <c r="E948" s="3269"/>
      <c r="F948" s="3269"/>
      <c r="G948" s="3270"/>
      <c r="H948" s="3268"/>
      <c r="I948" s="3281">
        <v>0</v>
      </c>
      <c r="J948" s="3281">
        <v>0</v>
      </c>
      <c r="K948" s="3281">
        <v>0</v>
      </c>
      <c r="L948" s="3282">
        <v>0</v>
      </c>
      <c r="M948" s="3283">
        <v>0</v>
      </c>
      <c r="N948" s="3281">
        <v>0</v>
      </c>
      <c r="O948" s="3281">
        <v>0</v>
      </c>
      <c r="P948" s="3281">
        <v>0</v>
      </c>
      <c r="Q948" s="3284">
        <v>0</v>
      </c>
    </row>
    <row r="949" spans="2:17">
      <c r="B949" s="3260" t="s">
        <v>82</v>
      </c>
      <c r="C949" s="3268"/>
      <c r="D949" s="3269"/>
      <c r="E949" s="3269"/>
      <c r="F949" s="3269"/>
      <c r="G949" s="3270"/>
      <c r="H949" s="3268"/>
      <c r="I949" s="3281">
        <v>0</v>
      </c>
      <c r="J949" s="3281">
        <v>0</v>
      </c>
      <c r="K949" s="3281">
        <v>0</v>
      </c>
      <c r="L949" s="3282">
        <v>0</v>
      </c>
      <c r="M949" s="3283">
        <v>0</v>
      </c>
      <c r="N949" s="3281">
        <v>0</v>
      </c>
      <c r="O949" s="3281">
        <v>0</v>
      </c>
      <c r="P949" s="3281">
        <v>0</v>
      </c>
      <c r="Q949" s="3284">
        <v>0</v>
      </c>
    </row>
    <row r="950" spans="2:17">
      <c r="B950" s="3260" t="s">
        <v>680</v>
      </c>
      <c r="C950" s="3268"/>
      <c r="D950" s="3269"/>
      <c r="E950" s="3269"/>
      <c r="F950" s="3269"/>
      <c r="G950" s="3270"/>
      <c r="H950" s="3268"/>
      <c r="I950" s="3281">
        <v>0</v>
      </c>
      <c r="J950" s="3281">
        <v>0</v>
      </c>
      <c r="K950" s="3281">
        <v>0</v>
      </c>
      <c r="L950" s="3282">
        <v>0</v>
      </c>
      <c r="M950" s="3283">
        <v>0</v>
      </c>
      <c r="N950" s="3281">
        <v>0</v>
      </c>
      <c r="O950" s="3281">
        <v>0</v>
      </c>
      <c r="P950" s="3281">
        <v>0</v>
      </c>
      <c r="Q950" s="3284">
        <v>0</v>
      </c>
    </row>
    <row r="951" spans="2:17">
      <c r="B951" s="3260" t="s">
        <v>681</v>
      </c>
      <c r="C951" s="3268"/>
      <c r="D951" s="3269"/>
      <c r="E951" s="3269"/>
      <c r="F951" s="3269"/>
      <c r="G951" s="3270"/>
      <c r="H951" s="3268"/>
      <c r="I951" s="3281">
        <v>93.545000000000329</v>
      </c>
      <c r="J951" s="3281">
        <v>96.13500000000036</v>
      </c>
      <c r="K951" s="3281">
        <v>98.057700000000366</v>
      </c>
      <c r="L951" s="3282">
        <v>100.01885400000037</v>
      </c>
      <c r="M951" s="3283">
        <v>102.01923108000038</v>
      </c>
      <c r="N951" s="3281">
        <v>104.05961570160039</v>
      </c>
      <c r="O951" s="3281">
        <v>106.1408080156324</v>
      </c>
      <c r="P951" s="3281">
        <v>108.26362417594505</v>
      </c>
      <c r="Q951" s="3284">
        <v>110.42889665946396</v>
      </c>
    </row>
    <row r="952" spans="2:17">
      <c r="B952" s="3260" t="s">
        <v>682</v>
      </c>
      <c r="C952" s="3268"/>
      <c r="D952" s="3269"/>
      <c r="E952" s="3269"/>
      <c r="F952" s="3269"/>
      <c r="G952" s="3270"/>
      <c r="H952" s="3268"/>
      <c r="I952" s="3281">
        <v>0</v>
      </c>
      <c r="J952" s="3281">
        <v>0</v>
      </c>
      <c r="K952" s="3281">
        <v>0</v>
      </c>
      <c r="L952" s="3282">
        <v>0</v>
      </c>
      <c r="M952" s="3283">
        <v>0</v>
      </c>
      <c r="N952" s="3281">
        <v>0</v>
      </c>
      <c r="O952" s="3281">
        <v>0</v>
      </c>
      <c r="P952" s="3281">
        <v>0</v>
      </c>
      <c r="Q952" s="3284">
        <v>0</v>
      </c>
    </row>
    <row r="953" spans="2:17">
      <c r="B953" s="3260" t="s">
        <v>66</v>
      </c>
      <c r="C953" s="3268"/>
      <c r="D953" s="3269"/>
      <c r="E953" s="3269"/>
      <c r="F953" s="3269"/>
      <c r="G953" s="3270"/>
      <c r="H953" s="3268"/>
      <c r="I953" s="3281">
        <v>0</v>
      </c>
      <c r="J953" s="3281">
        <v>0</v>
      </c>
      <c r="K953" s="3281">
        <v>0</v>
      </c>
      <c r="L953" s="3282">
        <v>0</v>
      </c>
      <c r="M953" s="3283">
        <v>0</v>
      </c>
      <c r="N953" s="3281">
        <v>0</v>
      </c>
      <c r="O953" s="3281">
        <v>0</v>
      </c>
      <c r="P953" s="3281">
        <v>0</v>
      </c>
      <c r="Q953" s="3284">
        <v>0</v>
      </c>
    </row>
    <row r="954" spans="2:17" ht="13.5" thickBot="1">
      <c r="B954" s="3260" t="s">
        <v>67</v>
      </c>
      <c r="C954" s="3268"/>
      <c r="D954" s="3269"/>
      <c r="E954" s="3269"/>
      <c r="F954" s="3269"/>
      <c r="G954" s="3270"/>
      <c r="H954" s="3268"/>
      <c r="I954" s="3281">
        <v>8.1779999999999973</v>
      </c>
      <c r="J954" s="3281">
        <v>8.1779999999999973</v>
      </c>
      <c r="K954" s="3281">
        <v>8.1779999999999973</v>
      </c>
      <c r="L954" s="3282">
        <v>9.1780000000000008</v>
      </c>
      <c r="M954" s="3285">
        <v>10.178000000000001</v>
      </c>
      <c r="N954" s="3286">
        <v>11.178000000000001</v>
      </c>
      <c r="O954" s="3286">
        <v>12.178000000000001</v>
      </c>
      <c r="P954" s="3286">
        <v>13.178000000000001</v>
      </c>
      <c r="Q954" s="3287">
        <v>14.178000000000001</v>
      </c>
    </row>
    <row r="955" spans="2:17" ht="12.75" customHeight="1">
      <c r="B955" s="4689">
        <v>3227</v>
      </c>
      <c r="C955" s="4691" t="s">
        <v>36</v>
      </c>
      <c r="D955" s="4692"/>
      <c r="E955" s="4692"/>
      <c r="F955" s="4692"/>
      <c r="G955" s="4692"/>
      <c r="H955" s="4693" t="s">
        <v>37</v>
      </c>
      <c r="I955" s="4694"/>
      <c r="J955" s="4694"/>
      <c r="K955" s="4694"/>
      <c r="L955" s="4694"/>
      <c r="M955" s="4695" t="s">
        <v>73</v>
      </c>
      <c r="N955" s="4695"/>
      <c r="O955" s="4695"/>
      <c r="P955" s="4695"/>
      <c r="Q955" s="4696"/>
    </row>
    <row r="956" spans="2:17" ht="12.75" customHeight="1">
      <c r="B956" s="4690"/>
      <c r="C956" s="4697" t="s">
        <v>1673</v>
      </c>
      <c r="D956" s="4698"/>
      <c r="E956" s="4698"/>
      <c r="F956" s="4698"/>
      <c r="G956" s="4698"/>
      <c r="H956" s="4698"/>
      <c r="I956" s="4698"/>
      <c r="J956" s="4698"/>
      <c r="K956" s="4698"/>
      <c r="L956" s="4698"/>
      <c r="M956" s="4698"/>
      <c r="N956" s="4698"/>
      <c r="O956" s="4698"/>
      <c r="P956" s="4698"/>
      <c r="Q956" s="4699"/>
    </row>
    <row r="957" spans="2:17" ht="12.75" customHeight="1">
      <c r="B957" s="4690"/>
      <c r="C957" s="4697" t="s">
        <v>54</v>
      </c>
      <c r="D957" s="4698"/>
      <c r="E957" s="4698"/>
      <c r="F957" s="4698"/>
      <c r="G957" s="4698"/>
      <c r="H957" s="4698"/>
      <c r="I957" s="4698"/>
      <c r="J957" s="4700"/>
      <c r="K957" s="4701" t="s">
        <v>55</v>
      </c>
      <c r="L957" s="4702"/>
      <c r="M957" s="4702"/>
      <c r="N957" s="4702"/>
      <c r="O957" s="4702"/>
      <c r="P957" s="4702"/>
      <c r="Q957" s="4703"/>
    </row>
    <row r="958" spans="2:17" ht="13.5" customHeight="1" thickBot="1">
      <c r="B958" s="4690"/>
      <c r="C958" s="3252">
        <f t="array" ref="C958:G958">PRCP</f>
        <v>2008</v>
      </c>
      <c r="D958" s="3253">
        <v>2009</v>
      </c>
      <c r="E958" s="3253">
        <v>2010</v>
      </c>
      <c r="F958" s="3253">
        <v>2011</v>
      </c>
      <c r="G958" s="3253">
        <v>2012</v>
      </c>
      <c r="H958" s="3254">
        <f>CRCP_y1</f>
        <v>2013</v>
      </c>
      <c r="I958" s="3254">
        <f>CRCP_y2</f>
        <v>2014</v>
      </c>
      <c r="J958" s="3254">
        <f>CRCP_y3</f>
        <v>2015</v>
      </c>
      <c r="K958" s="3254">
        <f>CRCP_y4</f>
        <v>2016</v>
      </c>
      <c r="L958" s="3254">
        <f>CRCP_y5</f>
        <v>2017</v>
      </c>
      <c r="M958" s="3253" t="str">
        <f t="array" ref="M958:Q958">FRCP</f>
        <v>2018</v>
      </c>
      <c r="N958" s="3253">
        <v>2019</v>
      </c>
      <c r="O958" s="3253">
        <v>2020</v>
      </c>
      <c r="P958" s="3253">
        <v>2021</v>
      </c>
      <c r="Q958" s="3255">
        <v>2022</v>
      </c>
    </row>
    <row r="959" spans="2:17">
      <c r="B959" s="3256" t="s">
        <v>1706</v>
      </c>
      <c r="C959" s="3257"/>
      <c r="D959" s="3258"/>
      <c r="E959" s="3258"/>
      <c r="F959" s="3258"/>
      <c r="G959" s="3259"/>
      <c r="H959" s="3257"/>
      <c r="I959" s="3258"/>
      <c r="J959" s="3258"/>
      <c r="K959" s="3258"/>
      <c r="L959" s="3258"/>
      <c r="M959" s="3257"/>
      <c r="N959" s="3258"/>
      <c r="O959" s="3258"/>
      <c r="P959" s="3258"/>
      <c r="Q959" s="3259"/>
    </row>
    <row r="960" spans="2:17">
      <c r="B960" s="3260"/>
      <c r="C960" s="3268"/>
      <c r="D960" s="3269"/>
      <c r="E960" s="3269"/>
      <c r="F960" s="3269"/>
      <c r="G960" s="3270"/>
      <c r="H960" s="3268"/>
      <c r="I960" s="3269"/>
      <c r="J960" s="3269"/>
      <c r="K960" s="3269"/>
      <c r="L960" s="3271"/>
      <c r="M960" s="3268"/>
      <c r="N960" s="3269"/>
      <c r="O960" s="3269"/>
      <c r="P960" s="3269"/>
      <c r="Q960" s="3270"/>
    </row>
    <row r="961" spans="2:17">
      <c r="B961" s="3260" t="s">
        <v>64</v>
      </c>
      <c r="C961" s="3268"/>
      <c r="D961" s="3269"/>
      <c r="E961" s="3269"/>
      <c r="F961" s="3269"/>
      <c r="G961" s="3270"/>
      <c r="H961" s="3268"/>
      <c r="I961" s="3305">
        <v>0</v>
      </c>
      <c r="J961" s="3305">
        <v>0</v>
      </c>
      <c r="K961" s="3305">
        <v>0</v>
      </c>
      <c r="L961" s="3306">
        <v>0</v>
      </c>
      <c r="M961" s="3307">
        <v>0</v>
      </c>
      <c r="N961" s="3305">
        <v>0</v>
      </c>
      <c r="O961" s="3305">
        <v>0</v>
      </c>
      <c r="P961" s="3305">
        <v>0</v>
      </c>
      <c r="Q961" s="3308">
        <v>0</v>
      </c>
    </row>
    <row r="962" spans="2:17">
      <c r="B962" s="3260" t="s">
        <v>65</v>
      </c>
      <c r="C962" s="3268"/>
      <c r="D962" s="3269"/>
      <c r="E962" s="3269"/>
      <c r="F962" s="3269"/>
      <c r="G962" s="3270"/>
      <c r="H962" s="3268"/>
      <c r="I962" s="3305">
        <v>0</v>
      </c>
      <c r="J962" s="3305">
        <v>0</v>
      </c>
      <c r="K962" s="3305">
        <v>0</v>
      </c>
      <c r="L962" s="3306">
        <v>0</v>
      </c>
      <c r="M962" s="3307">
        <v>0</v>
      </c>
      <c r="N962" s="3305">
        <v>0</v>
      </c>
      <c r="O962" s="3305">
        <v>0</v>
      </c>
      <c r="P962" s="3305">
        <v>0</v>
      </c>
      <c r="Q962" s="3308">
        <v>0</v>
      </c>
    </row>
    <row r="963" spans="2:17">
      <c r="B963" s="3260" t="s">
        <v>82</v>
      </c>
      <c r="C963" s="3268"/>
      <c r="D963" s="3269"/>
      <c r="E963" s="3269"/>
      <c r="F963" s="3269"/>
      <c r="G963" s="3270"/>
      <c r="H963" s="3268"/>
      <c r="I963" s="3305">
        <v>0</v>
      </c>
      <c r="J963" s="3305">
        <v>0</v>
      </c>
      <c r="K963" s="3305">
        <v>0</v>
      </c>
      <c r="L963" s="3306">
        <v>0</v>
      </c>
      <c r="M963" s="3307">
        <v>0</v>
      </c>
      <c r="N963" s="3305">
        <v>0</v>
      </c>
      <c r="O963" s="3305">
        <v>0</v>
      </c>
      <c r="P963" s="3305">
        <v>0</v>
      </c>
      <c r="Q963" s="3308">
        <v>0</v>
      </c>
    </row>
    <row r="964" spans="2:17">
      <c r="B964" s="3260" t="s">
        <v>680</v>
      </c>
      <c r="C964" s="3268"/>
      <c r="D964" s="3269"/>
      <c r="E964" s="3269"/>
      <c r="F964" s="3269"/>
      <c r="G964" s="3270"/>
      <c r="H964" s="3268"/>
      <c r="I964" s="3305">
        <v>0</v>
      </c>
      <c r="J964" s="3305">
        <v>0</v>
      </c>
      <c r="K964" s="3305">
        <v>0</v>
      </c>
      <c r="L964" s="3306">
        <v>0</v>
      </c>
      <c r="M964" s="3307">
        <v>0</v>
      </c>
      <c r="N964" s="3305">
        <v>0</v>
      </c>
      <c r="O964" s="3305">
        <v>0</v>
      </c>
      <c r="P964" s="3305">
        <v>0</v>
      </c>
      <c r="Q964" s="3308">
        <v>0</v>
      </c>
    </row>
    <row r="965" spans="2:17">
      <c r="B965" s="3260" t="s">
        <v>681</v>
      </c>
      <c r="C965" s="3268"/>
      <c r="D965" s="3269"/>
      <c r="E965" s="3269"/>
      <c r="F965" s="3269"/>
      <c r="G965" s="3270"/>
      <c r="H965" s="3268"/>
      <c r="I965" s="3305">
        <v>46.36399999999999</v>
      </c>
      <c r="J965" s="3305">
        <v>46.361999999999981</v>
      </c>
      <c r="K965" s="3305">
        <v>46.36</v>
      </c>
      <c r="L965" s="3306">
        <v>46.357999999999997</v>
      </c>
      <c r="M965" s="3307">
        <v>46.356000000000002</v>
      </c>
      <c r="N965" s="3305">
        <v>46.3539999999999</v>
      </c>
      <c r="O965" s="3305">
        <v>46.351999999999897</v>
      </c>
      <c r="P965" s="3305">
        <v>46.349999999999902</v>
      </c>
      <c r="Q965" s="3308">
        <v>46.3479999999999</v>
      </c>
    </row>
    <row r="966" spans="2:17">
      <c r="B966" s="3260" t="s">
        <v>682</v>
      </c>
      <c r="C966" s="3268"/>
      <c r="D966" s="3269"/>
      <c r="E966" s="3269"/>
      <c r="F966" s="3269"/>
      <c r="G966" s="3270"/>
      <c r="H966" s="3268"/>
      <c r="I966" s="3305">
        <v>0</v>
      </c>
      <c r="J966" s="3305">
        <v>0</v>
      </c>
      <c r="K966" s="3305">
        <v>0</v>
      </c>
      <c r="L966" s="3306">
        <v>0</v>
      </c>
      <c r="M966" s="3307">
        <v>0</v>
      </c>
      <c r="N966" s="3305">
        <v>0</v>
      </c>
      <c r="O966" s="3305">
        <v>0</v>
      </c>
      <c r="P966" s="3305">
        <v>0</v>
      </c>
      <c r="Q966" s="3308">
        <v>0</v>
      </c>
    </row>
    <row r="967" spans="2:17">
      <c r="B967" s="3260" t="s">
        <v>66</v>
      </c>
      <c r="C967" s="3268"/>
      <c r="D967" s="3269"/>
      <c r="E967" s="3269"/>
      <c r="F967" s="3269"/>
      <c r="G967" s="3270"/>
      <c r="H967" s="3268"/>
      <c r="I967" s="3305">
        <v>0</v>
      </c>
      <c r="J967" s="3305">
        <v>0</v>
      </c>
      <c r="K967" s="3305">
        <v>0</v>
      </c>
      <c r="L967" s="3306">
        <v>0</v>
      </c>
      <c r="M967" s="3307">
        <v>0</v>
      </c>
      <c r="N967" s="3305">
        <v>0</v>
      </c>
      <c r="O967" s="3305">
        <v>0</v>
      </c>
      <c r="P967" s="3305">
        <v>0</v>
      </c>
      <c r="Q967" s="3308">
        <v>0</v>
      </c>
    </row>
    <row r="968" spans="2:17" ht="13.5" thickBot="1">
      <c r="B968" s="3260" t="s">
        <v>67</v>
      </c>
      <c r="C968" s="3268"/>
      <c r="D968" s="3269"/>
      <c r="E968" s="3269"/>
      <c r="F968" s="3269"/>
      <c r="G968" s="3270"/>
      <c r="H968" s="3268"/>
      <c r="I968" s="3305">
        <v>5.3999999999999999E-2</v>
      </c>
      <c r="J968" s="3305">
        <v>5.3999999999999999E-2</v>
      </c>
      <c r="K968" s="3305">
        <v>5.3999999999999999E-2</v>
      </c>
      <c r="L968" s="3306">
        <v>5.3999999999999999E-2</v>
      </c>
      <c r="M968" s="3309">
        <v>5.3999999999999999E-2</v>
      </c>
      <c r="N968" s="3310">
        <v>5.3999999999999999E-2</v>
      </c>
      <c r="O968" s="3310">
        <v>5.3999999999999999E-2</v>
      </c>
      <c r="P968" s="3310">
        <v>5.3999999999999999E-2</v>
      </c>
      <c r="Q968" s="3311">
        <v>5.3999999999999999E-2</v>
      </c>
    </row>
    <row r="969" spans="2:17" ht="12.75" customHeight="1">
      <c r="B969" s="4689">
        <v>3228</v>
      </c>
      <c r="C969" s="4691" t="s">
        <v>36</v>
      </c>
      <c r="D969" s="4692"/>
      <c r="E969" s="4692"/>
      <c r="F969" s="4692"/>
      <c r="G969" s="4692"/>
      <c r="H969" s="4693" t="s">
        <v>37</v>
      </c>
      <c r="I969" s="4694"/>
      <c r="J969" s="4694"/>
      <c r="K969" s="4694"/>
      <c r="L969" s="4694"/>
      <c r="M969" s="4695" t="s">
        <v>73</v>
      </c>
      <c r="N969" s="4695"/>
      <c r="O969" s="4695"/>
      <c r="P969" s="4695"/>
      <c r="Q969" s="4696"/>
    </row>
    <row r="970" spans="2:17" ht="12.75" customHeight="1">
      <c r="B970" s="4690"/>
      <c r="C970" s="4697" t="s">
        <v>1673</v>
      </c>
      <c r="D970" s="4698"/>
      <c r="E970" s="4698"/>
      <c r="F970" s="4698"/>
      <c r="G970" s="4698"/>
      <c r="H970" s="4698"/>
      <c r="I970" s="4698"/>
      <c r="J970" s="4698"/>
      <c r="K970" s="4698"/>
      <c r="L970" s="4698"/>
      <c r="M970" s="4698"/>
      <c r="N970" s="4698"/>
      <c r="O970" s="4698"/>
      <c r="P970" s="4698"/>
      <c r="Q970" s="4699"/>
    </row>
    <row r="971" spans="2:17" ht="12.75" customHeight="1">
      <c r="B971" s="4690"/>
      <c r="C971" s="4697" t="s">
        <v>54</v>
      </c>
      <c r="D971" s="4698"/>
      <c r="E971" s="4698"/>
      <c r="F971" s="4698"/>
      <c r="G971" s="4698"/>
      <c r="H971" s="4698"/>
      <c r="I971" s="4698"/>
      <c r="J971" s="4700"/>
      <c r="K971" s="4701" t="s">
        <v>55</v>
      </c>
      <c r="L971" s="4702"/>
      <c r="M971" s="4702"/>
      <c r="N971" s="4702"/>
      <c r="O971" s="4702"/>
      <c r="P971" s="4702"/>
      <c r="Q971" s="4703"/>
    </row>
    <row r="972" spans="2:17" ht="13.5" customHeight="1" thickBot="1">
      <c r="B972" s="4690"/>
      <c r="C972" s="3252">
        <f t="array" ref="C972:G972">PRCP</f>
        <v>2008</v>
      </c>
      <c r="D972" s="3253">
        <v>2009</v>
      </c>
      <c r="E972" s="3253">
        <v>2010</v>
      </c>
      <c r="F972" s="3253">
        <v>2011</v>
      </c>
      <c r="G972" s="3253">
        <v>2012</v>
      </c>
      <c r="H972" s="3254">
        <f>CRCP_y1</f>
        <v>2013</v>
      </c>
      <c r="I972" s="3254">
        <f>CRCP_y2</f>
        <v>2014</v>
      </c>
      <c r="J972" s="3254">
        <f>CRCP_y3</f>
        <v>2015</v>
      </c>
      <c r="K972" s="3254">
        <f>CRCP_y4</f>
        <v>2016</v>
      </c>
      <c r="L972" s="3254">
        <f>CRCP_y5</f>
        <v>2017</v>
      </c>
      <c r="M972" s="3253" t="str">
        <f t="array" ref="M972:Q972">FRCP</f>
        <v>2018</v>
      </c>
      <c r="N972" s="3253">
        <v>2019</v>
      </c>
      <c r="O972" s="3253">
        <v>2020</v>
      </c>
      <c r="P972" s="3253">
        <v>2021</v>
      </c>
      <c r="Q972" s="3255">
        <v>2022</v>
      </c>
    </row>
    <row r="973" spans="2:17">
      <c r="B973" s="3256" t="s">
        <v>1707</v>
      </c>
      <c r="C973" s="3257"/>
      <c r="D973" s="3258"/>
      <c r="E973" s="3258"/>
      <c r="F973" s="3258"/>
      <c r="G973" s="3259"/>
      <c r="H973" s="3257"/>
      <c r="I973" s="3258"/>
      <c r="J973" s="3258"/>
      <c r="K973" s="3258"/>
      <c r="L973" s="3258"/>
      <c r="M973" s="3257"/>
      <c r="N973" s="3258"/>
      <c r="O973" s="3258"/>
      <c r="P973" s="3258"/>
      <c r="Q973" s="3259"/>
    </row>
    <row r="974" spans="2:17">
      <c r="B974" s="3260"/>
      <c r="C974" s="3268"/>
      <c r="D974" s="3269"/>
      <c r="E974" s="3269"/>
      <c r="F974" s="3269"/>
      <c r="G974" s="3270"/>
      <c r="H974" s="3268"/>
      <c r="I974" s="3269"/>
      <c r="J974" s="3269"/>
      <c r="K974" s="3269"/>
      <c r="L974" s="3271"/>
      <c r="M974" s="3268"/>
      <c r="N974" s="3269"/>
      <c r="O974" s="3269"/>
      <c r="P974" s="3269"/>
      <c r="Q974" s="3270"/>
    </row>
    <row r="975" spans="2:17">
      <c r="B975" s="3260" t="s">
        <v>64</v>
      </c>
      <c r="C975" s="3268"/>
      <c r="D975" s="3269"/>
      <c r="E975" s="3269"/>
      <c r="F975" s="3269"/>
      <c r="G975" s="3270"/>
      <c r="H975" s="3268"/>
      <c r="I975" s="3305">
        <v>0</v>
      </c>
      <c r="J975" s="3305">
        <v>0</v>
      </c>
      <c r="K975" s="3305">
        <v>0</v>
      </c>
      <c r="L975" s="3306">
        <v>0</v>
      </c>
      <c r="M975" s="3307">
        <v>0</v>
      </c>
      <c r="N975" s="3305">
        <v>0</v>
      </c>
      <c r="O975" s="3305">
        <v>0</v>
      </c>
      <c r="P975" s="3305">
        <v>0</v>
      </c>
      <c r="Q975" s="3308">
        <v>0</v>
      </c>
    </row>
    <row r="976" spans="2:17">
      <c r="B976" s="3260" t="s">
        <v>65</v>
      </c>
      <c r="C976" s="3268"/>
      <c r="D976" s="3269"/>
      <c r="E976" s="3269"/>
      <c r="F976" s="3269"/>
      <c r="G976" s="3270"/>
      <c r="H976" s="3268"/>
      <c r="I976" s="3305">
        <v>0</v>
      </c>
      <c r="J976" s="3305">
        <v>0</v>
      </c>
      <c r="K976" s="3305">
        <v>0</v>
      </c>
      <c r="L976" s="3306">
        <v>0</v>
      </c>
      <c r="M976" s="3307">
        <v>0</v>
      </c>
      <c r="N976" s="3305">
        <v>0</v>
      </c>
      <c r="O976" s="3305">
        <v>0</v>
      </c>
      <c r="P976" s="3305">
        <v>0</v>
      </c>
      <c r="Q976" s="3308">
        <v>0</v>
      </c>
    </row>
    <row r="977" spans="2:17">
      <c r="B977" s="3260" t="s">
        <v>82</v>
      </c>
      <c r="C977" s="3268"/>
      <c r="D977" s="3269"/>
      <c r="E977" s="3269"/>
      <c r="F977" s="3269"/>
      <c r="G977" s="3270"/>
      <c r="H977" s="3268"/>
      <c r="I977" s="3305">
        <v>0</v>
      </c>
      <c r="J977" s="3305">
        <v>0</v>
      </c>
      <c r="K977" s="3305">
        <v>0</v>
      </c>
      <c r="L977" s="3306">
        <v>0</v>
      </c>
      <c r="M977" s="3307">
        <v>0</v>
      </c>
      <c r="N977" s="3305">
        <v>0</v>
      </c>
      <c r="O977" s="3305">
        <v>0</v>
      </c>
      <c r="P977" s="3305">
        <v>0</v>
      </c>
      <c r="Q977" s="3308">
        <v>0</v>
      </c>
    </row>
    <row r="978" spans="2:17">
      <c r="B978" s="3260" t="s">
        <v>680</v>
      </c>
      <c r="C978" s="3268"/>
      <c r="D978" s="3269"/>
      <c r="E978" s="3269"/>
      <c r="F978" s="3269"/>
      <c r="G978" s="3270"/>
      <c r="H978" s="3268"/>
      <c r="I978" s="3305">
        <v>0</v>
      </c>
      <c r="J978" s="3305">
        <v>0</v>
      </c>
      <c r="K978" s="3305">
        <v>0</v>
      </c>
      <c r="L978" s="3306">
        <v>0</v>
      </c>
      <c r="M978" s="3307">
        <v>0</v>
      </c>
      <c r="N978" s="3305">
        <v>0</v>
      </c>
      <c r="O978" s="3305">
        <v>0</v>
      </c>
      <c r="P978" s="3305">
        <v>0</v>
      </c>
      <c r="Q978" s="3308">
        <v>0</v>
      </c>
    </row>
    <row r="979" spans="2:17">
      <c r="B979" s="3260" t="s">
        <v>681</v>
      </c>
      <c r="C979" s="3268"/>
      <c r="D979" s="3269"/>
      <c r="E979" s="3269"/>
      <c r="F979" s="3269"/>
      <c r="G979" s="3270"/>
      <c r="H979" s="3268"/>
      <c r="I979" s="2969">
        <v>129.30300000000025</v>
      </c>
      <c r="J979" s="2969">
        <v>134.02100000000021</v>
      </c>
      <c r="K979" s="2969">
        <v>136.70142000000021</v>
      </c>
      <c r="L979" s="3312">
        <v>139.43544840000021</v>
      </c>
      <c r="M979" s="3313">
        <v>142.22415736800022</v>
      </c>
      <c r="N979" s="2969">
        <v>145.06864051536022</v>
      </c>
      <c r="O979" s="2969">
        <v>147.97001332566742</v>
      </c>
      <c r="P979" s="2969">
        <v>150.92941359218077</v>
      </c>
      <c r="Q979" s="3314">
        <v>153.94800186402438</v>
      </c>
    </row>
    <row r="980" spans="2:17">
      <c r="B980" s="3260" t="s">
        <v>682</v>
      </c>
      <c r="C980" s="3268"/>
      <c r="D980" s="3269"/>
      <c r="E980" s="3269"/>
      <c r="F980" s="3269"/>
      <c r="G980" s="3270"/>
      <c r="H980" s="3268"/>
      <c r="I980" s="3305">
        <v>0.84599999999999997</v>
      </c>
      <c r="J980" s="3305">
        <v>0.84599999999999997</v>
      </c>
      <c r="K980" s="3305">
        <v>0.84599999999999997</v>
      </c>
      <c r="L980" s="3306">
        <v>0.84599999999999997</v>
      </c>
      <c r="M980" s="3307">
        <v>0.84599999999999997</v>
      </c>
      <c r="N980" s="3305">
        <v>0.84599999999999997</v>
      </c>
      <c r="O980" s="3305">
        <v>0.84599999999999997</v>
      </c>
      <c r="P980" s="3305">
        <v>0.84599999999999997</v>
      </c>
      <c r="Q980" s="3308">
        <v>0.84599999999999997</v>
      </c>
    </row>
    <row r="981" spans="2:17">
      <c r="B981" s="3260" t="s">
        <v>66</v>
      </c>
      <c r="C981" s="3268"/>
      <c r="D981" s="3269"/>
      <c r="E981" s="3269"/>
      <c r="F981" s="3269"/>
      <c r="G981" s="3270"/>
      <c r="H981" s="3268"/>
      <c r="I981" s="3305">
        <v>0</v>
      </c>
      <c r="J981" s="3305">
        <v>0</v>
      </c>
      <c r="K981" s="3305">
        <v>0</v>
      </c>
      <c r="L981" s="3306">
        <v>0</v>
      </c>
      <c r="M981" s="3307">
        <v>0</v>
      </c>
      <c r="N981" s="3305">
        <v>0</v>
      </c>
      <c r="O981" s="3305">
        <v>0</v>
      </c>
      <c r="P981" s="3305">
        <v>0</v>
      </c>
      <c r="Q981" s="3308">
        <v>0</v>
      </c>
    </row>
    <row r="982" spans="2:17" ht="13.5" thickBot="1">
      <c r="B982" s="3260" t="s">
        <v>67</v>
      </c>
      <c r="C982" s="3268"/>
      <c r="D982" s="3269"/>
      <c r="E982" s="3269"/>
      <c r="F982" s="3269"/>
      <c r="G982" s="3270"/>
      <c r="H982" s="3268"/>
      <c r="I982" s="3305">
        <v>0</v>
      </c>
      <c r="J982" s="3305">
        <v>0</v>
      </c>
      <c r="K982" s="3305">
        <v>0</v>
      </c>
      <c r="L982" s="3306">
        <v>0</v>
      </c>
      <c r="M982" s="3309">
        <v>0</v>
      </c>
      <c r="N982" s="3310">
        <v>0</v>
      </c>
      <c r="O982" s="3310">
        <v>0</v>
      </c>
      <c r="P982" s="3310">
        <v>0</v>
      </c>
      <c r="Q982" s="3311">
        <v>0</v>
      </c>
    </row>
    <row r="983" spans="2:17" ht="12.75" customHeight="1">
      <c r="B983" s="4689">
        <v>3250</v>
      </c>
      <c r="C983" s="4691" t="s">
        <v>36</v>
      </c>
      <c r="D983" s="4692"/>
      <c r="E983" s="4692"/>
      <c r="F983" s="4692"/>
      <c r="G983" s="4692"/>
      <c r="H983" s="4693" t="s">
        <v>37</v>
      </c>
      <c r="I983" s="4694"/>
      <c r="J983" s="4694"/>
      <c r="K983" s="4694"/>
      <c r="L983" s="4694"/>
      <c r="M983" s="4695" t="s">
        <v>73</v>
      </c>
      <c r="N983" s="4695"/>
      <c r="O983" s="4695"/>
      <c r="P983" s="4695"/>
      <c r="Q983" s="4696"/>
    </row>
    <row r="984" spans="2:17" ht="12.75" customHeight="1">
      <c r="B984" s="4690"/>
      <c r="C984" s="4697" t="s">
        <v>1673</v>
      </c>
      <c r="D984" s="4698"/>
      <c r="E984" s="4698"/>
      <c r="F984" s="4698"/>
      <c r="G984" s="4698"/>
      <c r="H984" s="4698"/>
      <c r="I984" s="4698"/>
      <c r="J984" s="4698"/>
      <c r="K984" s="4698"/>
      <c r="L984" s="4698"/>
      <c r="M984" s="4698"/>
      <c r="N984" s="4698"/>
      <c r="O984" s="4698"/>
      <c r="P984" s="4698"/>
      <c r="Q984" s="4699"/>
    </row>
    <row r="985" spans="2:17" ht="12.75" customHeight="1">
      <c r="B985" s="4690"/>
      <c r="C985" s="4697" t="s">
        <v>54</v>
      </c>
      <c r="D985" s="4698"/>
      <c r="E985" s="4698"/>
      <c r="F985" s="4698"/>
      <c r="G985" s="4698"/>
      <c r="H985" s="4698"/>
      <c r="I985" s="4698"/>
      <c r="J985" s="4700"/>
      <c r="K985" s="4701" t="s">
        <v>55</v>
      </c>
      <c r="L985" s="4702"/>
      <c r="M985" s="4702"/>
      <c r="N985" s="4702"/>
      <c r="O985" s="4702"/>
      <c r="P985" s="4702"/>
      <c r="Q985" s="4703"/>
    </row>
    <row r="986" spans="2:17" ht="13.5" customHeight="1" thickBot="1">
      <c r="B986" s="4690"/>
      <c r="C986" s="3252">
        <f t="array" ref="C986:G986">PRCP</f>
        <v>2008</v>
      </c>
      <c r="D986" s="3253">
        <v>2009</v>
      </c>
      <c r="E986" s="3253">
        <v>2010</v>
      </c>
      <c r="F986" s="3253">
        <v>2011</v>
      </c>
      <c r="G986" s="3253">
        <v>2012</v>
      </c>
      <c r="H986" s="3254">
        <f>CRCP_y1</f>
        <v>2013</v>
      </c>
      <c r="I986" s="3254">
        <f>CRCP_y2</f>
        <v>2014</v>
      </c>
      <c r="J986" s="3254">
        <f>CRCP_y3</f>
        <v>2015</v>
      </c>
      <c r="K986" s="3254">
        <f>CRCP_y4</f>
        <v>2016</v>
      </c>
      <c r="L986" s="3254">
        <f>CRCP_y5</f>
        <v>2017</v>
      </c>
      <c r="M986" s="3253" t="str">
        <f t="array" ref="M986:Q986">FRCP</f>
        <v>2018</v>
      </c>
      <c r="N986" s="3253">
        <v>2019</v>
      </c>
      <c r="O986" s="3253">
        <v>2020</v>
      </c>
      <c r="P986" s="3253">
        <v>2021</v>
      </c>
      <c r="Q986" s="3255">
        <v>2022</v>
      </c>
    </row>
    <row r="987" spans="2:17">
      <c r="B987" s="3256" t="s">
        <v>1707</v>
      </c>
      <c r="C987" s="3257"/>
      <c r="D987" s="3258"/>
      <c r="E987" s="3258"/>
      <c r="F987" s="3258"/>
      <c r="G987" s="3259"/>
      <c r="H987" s="3257"/>
      <c r="I987" s="3258"/>
      <c r="J987" s="3258"/>
      <c r="K987" s="3258"/>
      <c r="L987" s="3258"/>
      <c r="M987" s="3257"/>
      <c r="N987" s="3258"/>
      <c r="O987" s="3258"/>
      <c r="P987" s="3258"/>
      <c r="Q987" s="3259"/>
    </row>
    <row r="988" spans="2:17">
      <c r="B988" s="3260"/>
      <c r="C988" s="3268"/>
      <c r="D988" s="3269"/>
      <c r="E988" s="3269"/>
      <c r="F988" s="3269"/>
      <c r="G988" s="3270"/>
      <c r="H988" s="3268"/>
      <c r="I988" s="3269"/>
      <c r="J988" s="3269"/>
      <c r="K988" s="3269"/>
      <c r="L988" s="3271"/>
      <c r="M988" s="3268"/>
      <c r="N988" s="3269"/>
      <c r="O988" s="3269"/>
      <c r="P988" s="3269"/>
      <c r="Q988" s="3270"/>
    </row>
    <row r="989" spans="2:17">
      <c r="B989" s="3260" t="s">
        <v>64</v>
      </c>
      <c r="C989" s="3268"/>
      <c r="D989" s="3269"/>
      <c r="E989" s="3269"/>
      <c r="F989" s="3269"/>
      <c r="G989" s="3270"/>
      <c r="H989" s="3268"/>
      <c r="I989" s="3281">
        <v>6.384999999999998</v>
      </c>
      <c r="J989" s="3281">
        <v>6.3879999999999981</v>
      </c>
      <c r="K989" s="3281">
        <v>6.3879999999999981</v>
      </c>
      <c r="L989" s="3282">
        <v>6.3879999999999981</v>
      </c>
      <c r="M989" s="3283">
        <v>6.3879999999999981</v>
      </c>
      <c r="N989" s="3281">
        <v>6.0809525201157415</v>
      </c>
      <c r="O989" s="3281">
        <v>5.3440385683935263</v>
      </c>
      <c r="P989" s="3281">
        <v>4.8527626005787159</v>
      </c>
      <c r="Q989" s="3284">
        <v>4.2386676408102035</v>
      </c>
    </row>
    <row r="990" spans="2:17">
      <c r="B990" s="3260" t="s">
        <v>65</v>
      </c>
      <c r="C990" s="3268"/>
      <c r="D990" s="3269"/>
      <c r="E990" s="3269"/>
      <c r="F990" s="3269"/>
      <c r="G990" s="3270"/>
      <c r="H990" s="3268"/>
      <c r="I990" s="3281">
        <v>33.088999999999992</v>
      </c>
      <c r="J990" s="3281">
        <v>33.097999999999999</v>
      </c>
      <c r="K990" s="3281">
        <v>33.097999999999999</v>
      </c>
      <c r="L990" s="3282">
        <v>33.097999999999999</v>
      </c>
      <c r="M990" s="3283">
        <v>33.097999999999999</v>
      </c>
      <c r="N990" s="3281">
        <v>31.507101833248417</v>
      </c>
      <c r="O990" s="3281">
        <v>27.688946233044614</v>
      </c>
      <c r="P990" s="3281">
        <v>25.14350916624208</v>
      </c>
      <c r="Q990" s="3284">
        <v>21.961712832738911</v>
      </c>
    </row>
    <row r="991" spans="2:17">
      <c r="B991" s="3260" t="s">
        <v>82</v>
      </c>
      <c r="C991" s="3268"/>
      <c r="D991" s="3269"/>
      <c r="E991" s="3269"/>
      <c r="F991" s="3269"/>
      <c r="G991" s="3270"/>
      <c r="H991" s="3268"/>
      <c r="I991" s="3281">
        <v>0</v>
      </c>
      <c r="J991" s="3281">
        <v>0</v>
      </c>
      <c r="K991" s="3281">
        <v>0</v>
      </c>
      <c r="L991" s="3282">
        <v>0</v>
      </c>
      <c r="M991" s="3283">
        <v>0</v>
      </c>
      <c r="N991" s="3281">
        <v>0</v>
      </c>
      <c r="O991" s="3281">
        <v>0</v>
      </c>
      <c r="P991" s="3281">
        <v>0</v>
      </c>
      <c r="Q991" s="3284">
        <v>0</v>
      </c>
    </row>
    <row r="992" spans="2:17">
      <c r="B992" s="3260" t="s">
        <v>680</v>
      </c>
      <c r="C992" s="3268"/>
      <c r="D992" s="3269"/>
      <c r="E992" s="3269"/>
      <c r="F992" s="3269"/>
      <c r="G992" s="3270"/>
      <c r="H992" s="3268"/>
      <c r="I992" s="3281">
        <v>0</v>
      </c>
      <c r="J992" s="3281">
        <v>0</v>
      </c>
      <c r="K992" s="3281">
        <v>0</v>
      </c>
      <c r="L992" s="3282">
        <v>0</v>
      </c>
      <c r="M992" s="3283">
        <v>0</v>
      </c>
      <c r="N992" s="3281">
        <v>0</v>
      </c>
      <c r="O992" s="3281">
        <v>0</v>
      </c>
      <c r="P992" s="3281">
        <v>0</v>
      </c>
      <c r="Q992" s="3284">
        <v>0</v>
      </c>
    </row>
    <row r="993" spans="2:17">
      <c r="B993" s="3260" t="s">
        <v>681</v>
      </c>
      <c r="C993" s="3268"/>
      <c r="D993" s="3269"/>
      <c r="E993" s="3269"/>
      <c r="F993" s="3269"/>
      <c r="G993" s="3270"/>
      <c r="H993" s="3268"/>
      <c r="I993" s="3281">
        <v>37.102999999999994</v>
      </c>
      <c r="J993" s="3281">
        <v>38.932999999999986</v>
      </c>
      <c r="K993" s="3281">
        <v>38.932999999999986</v>
      </c>
      <c r="L993" s="3282">
        <v>38.932999999999986</v>
      </c>
      <c r="M993" s="3283">
        <v>38.932999999999986</v>
      </c>
      <c r="N993" s="3281">
        <v>42.061635013410481</v>
      </c>
      <c r="O993" s="3281">
        <v>49.570359045595673</v>
      </c>
      <c r="P993" s="3281">
        <v>54.576175067052468</v>
      </c>
      <c r="Q993" s="3284">
        <v>60.833445093873458</v>
      </c>
    </row>
    <row r="994" spans="2:17">
      <c r="B994" s="3260" t="s">
        <v>682</v>
      </c>
      <c r="C994" s="3268"/>
      <c r="D994" s="3269"/>
      <c r="E994" s="3269"/>
      <c r="F994" s="3269"/>
      <c r="G994" s="3270"/>
      <c r="H994" s="3268"/>
      <c r="I994" s="3281">
        <v>1.4029999999999998</v>
      </c>
      <c r="J994" s="3281">
        <v>1.4149999999999998</v>
      </c>
      <c r="K994" s="3281">
        <v>1.4149999999999998</v>
      </c>
      <c r="L994" s="3282">
        <v>1.4149999999999998</v>
      </c>
      <c r="M994" s="3283">
        <v>1.4149999999999998</v>
      </c>
      <c r="N994" s="3281">
        <v>1.3469861953606412</v>
      </c>
      <c r="O994" s="3281">
        <v>1.1837530642261807</v>
      </c>
      <c r="P994" s="3281">
        <v>1.0749309768032069</v>
      </c>
      <c r="Q994" s="3284">
        <v>0.93890336752448977</v>
      </c>
    </row>
    <row r="995" spans="2:17">
      <c r="B995" s="3260" t="s">
        <v>66</v>
      </c>
      <c r="C995" s="3268"/>
      <c r="D995" s="3269"/>
      <c r="E995" s="3269"/>
      <c r="F995" s="3269"/>
      <c r="G995" s="3270"/>
      <c r="H995" s="3268"/>
      <c r="I995" s="3281">
        <v>4.1229999999999984</v>
      </c>
      <c r="J995" s="3281">
        <v>4.1229999999999984</v>
      </c>
      <c r="K995" s="3281">
        <v>4.1229999999999984</v>
      </c>
      <c r="L995" s="3282">
        <v>4.1229999999999984</v>
      </c>
      <c r="M995" s="3283">
        <v>4.1229999999999984</v>
      </c>
      <c r="N995" s="3281">
        <v>3.9248226738317471</v>
      </c>
      <c r="O995" s="3281">
        <v>3.4491970910279441</v>
      </c>
      <c r="P995" s="3281">
        <v>3.1321133691587422</v>
      </c>
      <c r="Q995" s="3284">
        <v>2.7357587168222399</v>
      </c>
    </row>
    <row r="996" spans="2:17" ht="13.5" thickBot="1">
      <c r="B996" s="3260" t="s">
        <v>67</v>
      </c>
      <c r="C996" s="3268"/>
      <c r="D996" s="3269"/>
      <c r="E996" s="3269"/>
      <c r="F996" s="3269"/>
      <c r="G996" s="3270"/>
      <c r="H996" s="3268"/>
      <c r="I996" s="3281">
        <v>20.067999999999998</v>
      </c>
      <c r="J996" s="3281">
        <v>20.065999999999995</v>
      </c>
      <c r="K996" s="3281">
        <v>20.065999999999995</v>
      </c>
      <c r="L996" s="3282">
        <v>20.065999999999995</v>
      </c>
      <c r="M996" s="3285">
        <v>20.065999999999995</v>
      </c>
      <c r="N996" s="3286">
        <v>19.10150176403295</v>
      </c>
      <c r="O996" s="3286">
        <v>16.786705997712041</v>
      </c>
      <c r="P996" s="3286">
        <v>15.243508820164768</v>
      </c>
      <c r="Q996" s="3287">
        <v>13.314512348230677</v>
      </c>
    </row>
    <row r="997" spans="2:17" ht="12.75" customHeight="1">
      <c r="B997" s="4689">
        <v>3260</v>
      </c>
      <c r="C997" s="4691" t="s">
        <v>36</v>
      </c>
      <c r="D997" s="4692"/>
      <c r="E997" s="4692"/>
      <c r="F997" s="4692"/>
      <c r="G997" s="4692"/>
      <c r="H997" s="4693" t="s">
        <v>37</v>
      </c>
      <c r="I997" s="4694"/>
      <c r="J997" s="4694"/>
      <c r="K997" s="4694"/>
      <c r="L997" s="4694"/>
      <c r="M997" s="4695" t="s">
        <v>73</v>
      </c>
      <c r="N997" s="4695"/>
      <c r="O997" s="4695"/>
      <c r="P997" s="4695"/>
      <c r="Q997" s="4696"/>
    </row>
    <row r="998" spans="2:17" ht="12.75" customHeight="1">
      <c r="B998" s="4690"/>
      <c r="C998" s="4697" t="s">
        <v>1673</v>
      </c>
      <c r="D998" s="4698"/>
      <c r="E998" s="4698"/>
      <c r="F998" s="4698"/>
      <c r="G998" s="4698"/>
      <c r="H998" s="4698"/>
      <c r="I998" s="4698"/>
      <c r="J998" s="4698"/>
      <c r="K998" s="4698"/>
      <c r="L998" s="4698"/>
      <c r="M998" s="4698"/>
      <c r="N998" s="4698"/>
      <c r="O998" s="4698"/>
      <c r="P998" s="4698"/>
      <c r="Q998" s="4699"/>
    </row>
    <row r="999" spans="2:17" ht="12.75" customHeight="1">
      <c r="B999" s="4690"/>
      <c r="C999" s="4697" t="s">
        <v>54</v>
      </c>
      <c r="D999" s="4698"/>
      <c r="E999" s="4698"/>
      <c r="F999" s="4698"/>
      <c r="G999" s="4698"/>
      <c r="H999" s="4698"/>
      <c r="I999" s="4698"/>
      <c r="J999" s="4700"/>
      <c r="K999" s="4701" t="s">
        <v>55</v>
      </c>
      <c r="L999" s="4702"/>
      <c r="M999" s="4702"/>
      <c r="N999" s="4702"/>
      <c r="O999" s="4702"/>
      <c r="P999" s="4702"/>
      <c r="Q999" s="4703"/>
    </row>
    <row r="1000" spans="2:17" ht="13.5" customHeight="1" thickBot="1">
      <c r="B1000" s="4690"/>
      <c r="C1000" s="3252">
        <f t="array" ref="C1000:G1000">PRCP</f>
        <v>2008</v>
      </c>
      <c r="D1000" s="3253">
        <v>2009</v>
      </c>
      <c r="E1000" s="3253">
        <v>2010</v>
      </c>
      <c r="F1000" s="3253">
        <v>2011</v>
      </c>
      <c r="G1000" s="3253">
        <v>2012</v>
      </c>
      <c r="H1000" s="3254">
        <f>CRCP_y1</f>
        <v>2013</v>
      </c>
      <c r="I1000" s="3254">
        <f>CRCP_y2</f>
        <v>2014</v>
      </c>
      <c r="J1000" s="3254">
        <f>CRCP_y3</f>
        <v>2015</v>
      </c>
      <c r="K1000" s="3254">
        <f>CRCP_y4</f>
        <v>2016</v>
      </c>
      <c r="L1000" s="3254">
        <f>CRCP_y5</f>
        <v>2017</v>
      </c>
      <c r="M1000" s="3253" t="str">
        <f t="array" ref="M1000:Q1000">FRCP</f>
        <v>2018</v>
      </c>
      <c r="N1000" s="3253">
        <v>2019</v>
      </c>
      <c r="O1000" s="3253">
        <v>2020</v>
      </c>
      <c r="P1000" s="3253">
        <v>2021</v>
      </c>
      <c r="Q1000" s="3255">
        <v>2022</v>
      </c>
    </row>
    <row r="1001" spans="2:17">
      <c r="B1001" s="3256" t="s">
        <v>1708</v>
      </c>
      <c r="C1001" s="3257"/>
      <c r="D1001" s="3258"/>
      <c r="E1001" s="3258"/>
      <c r="F1001" s="3258"/>
      <c r="G1001" s="3259"/>
      <c r="H1001" s="3257"/>
      <c r="I1001" s="3258"/>
      <c r="J1001" s="3258"/>
      <c r="K1001" s="3258"/>
      <c r="L1001" s="3259"/>
      <c r="M1001" s="3257"/>
      <c r="N1001" s="3258"/>
      <c r="O1001" s="3258"/>
      <c r="P1001" s="3258"/>
      <c r="Q1001" s="3259"/>
    </row>
    <row r="1002" spans="2:17">
      <c r="B1002" s="3260"/>
      <c r="C1002" s="3268"/>
      <c r="D1002" s="3269"/>
      <c r="E1002" s="3269"/>
      <c r="F1002" s="3269"/>
      <c r="G1002" s="3270"/>
      <c r="H1002" s="3268"/>
      <c r="I1002" s="3269"/>
      <c r="J1002" s="3269"/>
      <c r="K1002" s="3269"/>
      <c r="L1002" s="3270"/>
      <c r="M1002" s="3268"/>
      <c r="N1002" s="3269"/>
      <c r="O1002" s="3269"/>
      <c r="P1002" s="3269"/>
      <c r="Q1002" s="3270"/>
    </row>
    <row r="1003" spans="2:17">
      <c r="B1003" s="3260" t="s">
        <v>64</v>
      </c>
      <c r="C1003" s="3268"/>
      <c r="D1003" s="3269"/>
      <c r="E1003" s="3269"/>
      <c r="F1003" s="3269"/>
      <c r="G1003" s="3270"/>
      <c r="H1003" s="3268"/>
      <c r="I1003" s="3269">
        <v>0</v>
      </c>
      <c r="J1003" s="3269">
        <v>0</v>
      </c>
      <c r="K1003" s="3269">
        <v>0</v>
      </c>
      <c r="L1003" s="3270">
        <v>0</v>
      </c>
      <c r="M1003" s="3268">
        <v>0</v>
      </c>
      <c r="N1003" s="3269">
        <v>0</v>
      </c>
      <c r="O1003" s="3269">
        <v>0</v>
      </c>
      <c r="P1003" s="3269">
        <v>0</v>
      </c>
      <c r="Q1003" s="3270">
        <v>0</v>
      </c>
    </row>
    <row r="1004" spans="2:17">
      <c r="B1004" s="3260" t="s">
        <v>65</v>
      </c>
      <c r="C1004" s="3268"/>
      <c r="D1004" s="3269"/>
      <c r="E1004" s="3269"/>
      <c r="F1004" s="3269"/>
      <c r="G1004" s="3270"/>
      <c r="H1004" s="3268"/>
      <c r="I1004" s="3269">
        <v>0</v>
      </c>
      <c r="J1004" s="3269">
        <v>0</v>
      </c>
      <c r="K1004" s="3269">
        <v>0</v>
      </c>
      <c r="L1004" s="3270">
        <v>0</v>
      </c>
      <c r="M1004" s="3268">
        <v>0</v>
      </c>
      <c r="N1004" s="3269">
        <v>0</v>
      </c>
      <c r="O1004" s="3269">
        <v>0</v>
      </c>
      <c r="P1004" s="3269">
        <v>0</v>
      </c>
      <c r="Q1004" s="3270">
        <v>0</v>
      </c>
    </row>
    <row r="1005" spans="2:17">
      <c r="B1005" s="3260" t="s">
        <v>82</v>
      </c>
      <c r="C1005" s="3268"/>
      <c r="D1005" s="3269"/>
      <c r="E1005" s="3269"/>
      <c r="F1005" s="3269"/>
      <c r="G1005" s="3270"/>
      <c r="H1005" s="3268"/>
      <c r="I1005" s="3269">
        <v>0</v>
      </c>
      <c r="J1005" s="3269">
        <v>0</v>
      </c>
      <c r="K1005" s="3269">
        <v>0</v>
      </c>
      <c r="L1005" s="3270">
        <v>0</v>
      </c>
      <c r="M1005" s="3268">
        <v>0</v>
      </c>
      <c r="N1005" s="3269">
        <v>0</v>
      </c>
      <c r="O1005" s="3269">
        <v>0</v>
      </c>
      <c r="P1005" s="3269">
        <v>0</v>
      </c>
      <c r="Q1005" s="3270">
        <v>0</v>
      </c>
    </row>
    <row r="1006" spans="2:17">
      <c r="B1006" s="3260" t="s">
        <v>680</v>
      </c>
      <c r="C1006" s="3268"/>
      <c r="D1006" s="3269"/>
      <c r="E1006" s="3269"/>
      <c r="F1006" s="3269"/>
      <c r="G1006" s="3270"/>
      <c r="H1006" s="3268"/>
      <c r="I1006" s="3269">
        <v>0</v>
      </c>
      <c r="J1006" s="3269">
        <v>0</v>
      </c>
      <c r="K1006" s="3269">
        <v>0</v>
      </c>
      <c r="L1006" s="3270">
        <v>0</v>
      </c>
      <c r="M1006" s="3268">
        <v>0</v>
      </c>
      <c r="N1006" s="3269">
        <v>0</v>
      </c>
      <c r="O1006" s="3269">
        <v>0</v>
      </c>
      <c r="P1006" s="3269">
        <v>0</v>
      </c>
      <c r="Q1006" s="3270">
        <v>0</v>
      </c>
    </row>
    <row r="1007" spans="2:17">
      <c r="B1007" s="3260" t="s">
        <v>681</v>
      </c>
      <c r="C1007" s="3268"/>
      <c r="D1007" s="3269"/>
      <c r="E1007" s="3269"/>
      <c r="F1007" s="3269"/>
      <c r="G1007" s="3270"/>
      <c r="H1007" s="3268"/>
      <c r="I1007" s="3269">
        <v>42.163000000000004</v>
      </c>
      <c r="J1007" s="3269">
        <v>42.240999999999985</v>
      </c>
      <c r="K1007" s="3269">
        <v>42.240999999999985</v>
      </c>
      <c r="L1007" s="3269">
        <v>42.240999999999985</v>
      </c>
      <c r="M1007" s="3269">
        <v>42.240999999999985</v>
      </c>
      <c r="N1007" s="3269">
        <v>42.240999999999985</v>
      </c>
      <c r="O1007" s="3269">
        <v>42.240999999999985</v>
      </c>
      <c r="P1007" s="3269">
        <v>42.240999999999985</v>
      </c>
      <c r="Q1007" s="3269">
        <v>42.240999999999985</v>
      </c>
    </row>
    <row r="1008" spans="2:17">
      <c r="B1008" s="3260" t="s">
        <v>682</v>
      </c>
      <c r="C1008" s="3268"/>
      <c r="D1008" s="3269"/>
      <c r="E1008" s="3269"/>
      <c r="F1008" s="3269"/>
      <c r="G1008" s="3270"/>
      <c r="H1008" s="3268"/>
      <c r="I1008" s="3269">
        <v>0</v>
      </c>
      <c r="J1008" s="3269">
        <v>0</v>
      </c>
      <c r="K1008" s="3269">
        <v>0</v>
      </c>
      <c r="L1008" s="3270">
        <v>0</v>
      </c>
      <c r="M1008" s="3268">
        <v>0</v>
      </c>
      <c r="N1008" s="3269">
        <v>0</v>
      </c>
      <c r="O1008" s="3269">
        <v>0</v>
      </c>
      <c r="P1008" s="3269">
        <v>0</v>
      </c>
      <c r="Q1008" s="3270">
        <v>0</v>
      </c>
    </row>
    <row r="1009" spans="2:17">
      <c r="B1009" s="3260" t="s">
        <v>66</v>
      </c>
      <c r="C1009" s="3268"/>
      <c r="D1009" s="3269"/>
      <c r="E1009" s="3269"/>
      <c r="F1009" s="3269"/>
      <c r="G1009" s="3270"/>
      <c r="H1009" s="3268"/>
      <c r="I1009" s="3269">
        <v>0</v>
      </c>
      <c r="J1009" s="3269">
        <v>0</v>
      </c>
      <c r="K1009" s="3269">
        <v>0</v>
      </c>
      <c r="L1009" s="3270">
        <v>0</v>
      </c>
      <c r="M1009" s="3268">
        <v>0</v>
      </c>
      <c r="N1009" s="3269">
        <v>0</v>
      </c>
      <c r="O1009" s="3269">
        <v>0</v>
      </c>
      <c r="P1009" s="3269">
        <v>0</v>
      </c>
      <c r="Q1009" s="3270">
        <v>0</v>
      </c>
    </row>
    <row r="1010" spans="2:17" ht="13.5" thickBot="1">
      <c r="B1010" s="3260" t="s">
        <v>67</v>
      </c>
      <c r="C1010" s="3268"/>
      <c r="D1010" s="3269"/>
      <c r="E1010" s="3269"/>
      <c r="F1010" s="3269"/>
      <c r="G1010" s="3270"/>
      <c r="H1010" s="3268"/>
      <c r="I1010" s="3269">
        <v>0</v>
      </c>
      <c r="J1010" s="3269">
        <v>0</v>
      </c>
      <c r="K1010" s="3269">
        <v>0</v>
      </c>
      <c r="L1010" s="3270">
        <v>0</v>
      </c>
      <c r="M1010" s="3268">
        <v>0</v>
      </c>
      <c r="N1010" s="3269">
        <v>0</v>
      </c>
      <c r="O1010" s="3269">
        <v>0</v>
      </c>
      <c r="P1010" s="3269">
        <v>0</v>
      </c>
      <c r="Q1010" s="3270">
        <v>0</v>
      </c>
    </row>
    <row r="1011" spans="2:17" ht="12.75" customHeight="1">
      <c r="B1011" s="4689">
        <v>3266</v>
      </c>
      <c r="C1011" s="4691" t="s">
        <v>36</v>
      </c>
      <c r="D1011" s="4692"/>
      <c r="E1011" s="4692"/>
      <c r="F1011" s="4692"/>
      <c r="G1011" s="4692"/>
      <c r="H1011" s="4693" t="s">
        <v>37</v>
      </c>
      <c r="I1011" s="4694"/>
      <c r="J1011" s="4694"/>
      <c r="K1011" s="4694"/>
      <c r="L1011" s="4694"/>
      <c r="M1011" s="4695" t="s">
        <v>73</v>
      </c>
      <c r="N1011" s="4695"/>
      <c r="O1011" s="4695"/>
      <c r="P1011" s="4695"/>
      <c r="Q1011" s="4696"/>
    </row>
    <row r="1012" spans="2:17" ht="12.75" customHeight="1">
      <c r="B1012" s="4690"/>
      <c r="C1012" s="4697" t="s">
        <v>1673</v>
      </c>
      <c r="D1012" s="4698"/>
      <c r="E1012" s="4698"/>
      <c r="F1012" s="4698"/>
      <c r="G1012" s="4698"/>
      <c r="H1012" s="4698"/>
      <c r="I1012" s="4698"/>
      <c r="J1012" s="4698"/>
      <c r="K1012" s="4698"/>
      <c r="L1012" s="4698"/>
      <c r="M1012" s="4698"/>
      <c r="N1012" s="4698"/>
      <c r="O1012" s="4698"/>
      <c r="P1012" s="4698"/>
      <c r="Q1012" s="4699"/>
    </row>
    <row r="1013" spans="2:17" ht="12.75" customHeight="1">
      <c r="B1013" s="4690"/>
      <c r="C1013" s="4697" t="s">
        <v>54</v>
      </c>
      <c r="D1013" s="4698"/>
      <c r="E1013" s="4698"/>
      <c r="F1013" s="4698"/>
      <c r="G1013" s="4698"/>
      <c r="H1013" s="4698"/>
      <c r="I1013" s="4698"/>
      <c r="J1013" s="4700"/>
      <c r="K1013" s="4701" t="s">
        <v>55</v>
      </c>
      <c r="L1013" s="4702"/>
      <c r="M1013" s="4702"/>
      <c r="N1013" s="4702"/>
      <c r="O1013" s="4702"/>
      <c r="P1013" s="4702"/>
      <c r="Q1013" s="4703"/>
    </row>
    <row r="1014" spans="2:17" ht="13.5" customHeight="1" thickBot="1">
      <c r="B1014" s="4690"/>
      <c r="C1014" s="3252">
        <f t="array" ref="C1014:G1014">PRCP</f>
        <v>2008</v>
      </c>
      <c r="D1014" s="3253">
        <v>2009</v>
      </c>
      <c r="E1014" s="3253">
        <v>2010</v>
      </c>
      <c r="F1014" s="3253">
        <v>2011</v>
      </c>
      <c r="G1014" s="3253">
        <v>2012</v>
      </c>
      <c r="H1014" s="3254">
        <f>CRCP_y1</f>
        <v>2013</v>
      </c>
      <c r="I1014" s="3254">
        <f>CRCP_y2</f>
        <v>2014</v>
      </c>
      <c r="J1014" s="3254">
        <f>CRCP_y3</f>
        <v>2015</v>
      </c>
      <c r="K1014" s="3254">
        <f>CRCP_y4</f>
        <v>2016</v>
      </c>
      <c r="L1014" s="3254">
        <f>CRCP_y5</f>
        <v>2017</v>
      </c>
      <c r="M1014" s="3253" t="str">
        <f t="array" ref="M1014:Q1014">FRCP</f>
        <v>2018</v>
      </c>
      <c r="N1014" s="3253">
        <v>2019</v>
      </c>
      <c r="O1014" s="3253">
        <v>2020</v>
      </c>
      <c r="P1014" s="3253">
        <v>2021</v>
      </c>
      <c r="Q1014" s="3255">
        <v>2022</v>
      </c>
    </row>
    <row r="1015" spans="2:17">
      <c r="B1015" s="3256" t="s">
        <v>1708</v>
      </c>
      <c r="C1015" s="3257"/>
      <c r="D1015" s="3258"/>
      <c r="E1015" s="3258"/>
      <c r="F1015" s="3258"/>
      <c r="G1015" s="3259"/>
      <c r="H1015" s="3257"/>
      <c r="I1015" s="3258"/>
      <c r="J1015" s="3258"/>
      <c r="K1015" s="3258"/>
      <c r="L1015" s="3259"/>
      <c r="M1015" s="3257"/>
      <c r="N1015" s="3258"/>
      <c r="O1015" s="3258"/>
      <c r="P1015" s="3258"/>
      <c r="Q1015" s="3259"/>
    </row>
    <row r="1016" spans="2:17">
      <c r="B1016" s="3260"/>
      <c r="C1016" s="3268"/>
      <c r="D1016" s="3269"/>
      <c r="E1016" s="3269"/>
      <c r="F1016" s="3269"/>
      <c r="G1016" s="3270"/>
      <c r="H1016" s="3268"/>
      <c r="I1016" s="3269"/>
      <c r="J1016" s="3269"/>
      <c r="K1016" s="3269"/>
      <c r="L1016" s="3270"/>
      <c r="M1016" s="3268"/>
      <c r="N1016" s="3269"/>
      <c r="O1016" s="3269"/>
      <c r="P1016" s="3269"/>
      <c r="Q1016" s="3270"/>
    </row>
    <row r="1017" spans="2:17">
      <c r="B1017" s="3260" t="s">
        <v>64</v>
      </c>
      <c r="C1017" s="3268"/>
      <c r="D1017" s="3269"/>
      <c r="E1017" s="3269"/>
      <c r="F1017" s="3269"/>
      <c r="G1017" s="3270"/>
      <c r="H1017" s="3268"/>
      <c r="I1017" s="3269"/>
      <c r="J1017" s="3269"/>
      <c r="K1017" s="3269"/>
      <c r="L1017" s="3270"/>
      <c r="M1017" s="3268"/>
      <c r="N1017" s="3269"/>
      <c r="O1017" s="3269"/>
      <c r="P1017" s="3269"/>
      <c r="Q1017" s="3270"/>
    </row>
    <row r="1018" spans="2:17">
      <c r="B1018" s="3260" t="s">
        <v>65</v>
      </c>
      <c r="C1018" s="3268"/>
      <c r="D1018" s="3269"/>
      <c r="E1018" s="3269"/>
      <c r="F1018" s="3269"/>
      <c r="G1018" s="3270"/>
      <c r="H1018" s="3268"/>
      <c r="I1018" s="3269"/>
      <c r="J1018" s="3269"/>
      <c r="K1018" s="3269"/>
      <c r="L1018" s="3270"/>
      <c r="M1018" s="3268"/>
      <c r="N1018" s="3269"/>
      <c r="O1018" s="3269"/>
      <c r="P1018" s="3269"/>
      <c r="Q1018" s="3270"/>
    </row>
    <row r="1019" spans="2:17">
      <c r="B1019" s="3260" t="s">
        <v>82</v>
      </c>
      <c r="C1019" s="3268"/>
      <c r="D1019" s="3269"/>
      <c r="E1019" s="3269"/>
      <c r="F1019" s="3269"/>
      <c r="G1019" s="3270"/>
      <c r="H1019" s="3268"/>
      <c r="I1019" s="3269"/>
      <c r="J1019" s="3269"/>
      <c r="K1019" s="3269"/>
      <c r="L1019" s="3270"/>
      <c r="M1019" s="3268"/>
      <c r="N1019" s="3269"/>
      <c r="O1019" s="3269"/>
      <c r="P1019" s="3269"/>
      <c r="Q1019" s="3270"/>
    </row>
    <row r="1020" spans="2:17">
      <c r="B1020" s="3260" t="s">
        <v>680</v>
      </c>
      <c r="C1020" s="3268"/>
      <c r="D1020" s="3269"/>
      <c r="E1020" s="3269"/>
      <c r="F1020" s="3269"/>
      <c r="G1020" s="3270"/>
      <c r="H1020" s="3268"/>
      <c r="I1020" s="3269"/>
      <c r="J1020" s="3269"/>
      <c r="K1020" s="3269"/>
      <c r="L1020" s="3270"/>
      <c r="M1020" s="3268"/>
      <c r="N1020" s="3269"/>
      <c r="O1020" s="3269"/>
      <c r="P1020" s="3269"/>
      <c r="Q1020" s="3270"/>
    </row>
    <row r="1021" spans="2:17">
      <c r="B1021" s="3260" t="s">
        <v>681</v>
      </c>
      <c r="C1021" s="3268"/>
      <c r="D1021" s="3269"/>
      <c r="E1021" s="3269"/>
      <c r="F1021" s="3269"/>
      <c r="G1021" s="3270"/>
      <c r="H1021" s="3268"/>
      <c r="I1021" s="3269"/>
      <c r="J1021" s="3269"/>
      <c r="K1021" s="3269"/>
      <c r="L1021" s="3270"/>
      <c r="M1021" s="3268"/>
      <c r="N1021" s="3269"/>
      <c r="O1021" s="3269"/>
      <c r="P1021" s="3269"/>
      <c r="Q1021" s="3270"/>
    </row>
    <row r="1022" spans="2:17">
      <c r="B1022" s="3260" t="s">
        <v>682</v>
      </c>
      <c r="C1022" s="3268"/>
      <c r="D1022" s="3269"/>
      <c r="E1022" s="3269"/>
      <c r="F1022" s="3269"/>
      <c r="G1022" s="3270"/>
      <c r="H1022" s="3268"/>
      <c r="I1022" s="3269"/>
      <c r="J1022" s="3269"/>
      <c r="K1022" s="3269"/>
      <c r="L1022" s="3270"/>
      <c r="M1022" s="3268"/>
      <c r="N1022" s="3269"/>
      <c r="O1022" s="3269"/>
      <c r="P1022" s="3269"/>
      <c r="Q1022" s="3270"/>
    </row>
    <row r="1023" spans="2:17">
      <c r="B1023" s="3260" t="s">
        <v>66</v>
      </c>
      <c r="C1023" s="3268"/>
      <c r="D1023" s="3269"/>
      <c r="E1023" s="3269"/>
      <c r="F1023" s="3269"/>
      <c r="G1023" s="3270"/>
      <c r="H1023" s="3268"/>
      <c r="I1023" s="3269"/>
      <c r="J1023" s="3269"/>
      <c r="K1023" s="3269"/>
      <c r="L1023" s="3270"/>
      <c r="M1023" s="3268"/>
      <c r="N1023" s="3269"/>
      <c r="O1023" s="3269"/>
      <c r="P1023" s="3269"/>
      <c r="Q1023" s="3270"/>
    </row>
    <row r="1024" spans="2:17" ht="13.5" thickBot="1">
      <c r="B1024" s="3260" t="s">
        <v>67</v>
      </c>
      <c r="C1024" s="3268"/>
      <c r="D1024" s="3269"/>
      <c r="E1024" s="3269"/>
      <c r="F1024" s="3269"/>
      <c r="G1024" s="3270"/>
      <c r="H1024" s="3268"/>
      <c r="I1024" s="3269"/>
      <c r="J1024" s="3269"/>
      <c r="K1024" s="3269"/>
      <c r="L1024" s="3270"/>
      <c r="M1024" s="3268"/>
      <c r="N1024" s="3269"/>
      <c r="O1024" s="3269"/>
      <c r="P1024" s="3269"/>
      <c r="Q1024" s="3270"/>
    </row>
    <row r="1025" spans="2:17" ht="12.75" customHeight="1">
      <c r="B1025" s="4689">
        <v>3277</v>
      </c>
      <c r="C1025" s="4691" t="s">
        <v>36</v>
      </c>
      <c r="D1025" s="4692"/>
      <c r="E1025" s="4692"/>
      <c r="F1025" s="4692"/>
      <c r="G1025" s="4692"/>
      <c r="H1025" s="4693" t="s">
        <v>37</v>
      </c>
      <c r="I1025" s="4694"/>
      <c r="J1025" s="4694"/>
      <c r="K1025" s="4694"/>
      <c r="L1025" s="4694"/>
      <c r="M1025" s="4695" t="s">
        <v>73</v>
      </c>
      <c r="N1025" s="4695"/>
      <c r="O1025" s="4695"/>
      <c r="P1025" s="4695"/>
      <c r="Q1025" s="4696"/>
    </row>
    <row r="1026" spans="2:17" ht="12.75" customHeight="1">
      <c r="B1026" s="4690"/>
      <c r="C1026" s="4697" t="s">
        <v>1673</v>
      </c>
      <c r="D1026" s="4698"/>
      <c r="E1026" s="4698"/>
      <c r="F1026" s="4698"/>
      <c r="G1026" s="4698"/>
      <c r="H1026" s="4698"/>
      <c r="I1026" s="4698"/>
      <c r="J1026" s="4698"/>
      <c r="K1026" s="4698"/>
      <c r="L1026" s="4698"/>
      <c r="M1026" s="4698"/>
      <c r="N1026" s="4698"/>
      <c r="O1026" s="4698"/>
      <c r="P1026" s="4698"/>
      <c r="Q1026" s="4699"/>
    </row>
    <row r="1027" spans="2:17" ht="12.75" customHeight="1">
      <c r="B1027" s="4690"/>
      <c r="C1027" s="4697" t="s">
        <v>54</v>
      </c>
      <c r="D1027" s="4698"/>
      <c r="E1027" s="4698"/>
      <c r="F1027" s="4698"/>
      <c r="G1027" s="4698"/>
      <c r="H1027" s="4698"/>
      <c r="I1027" s="4698"/>
      <c r="J1027" s="4700"/>
      <c r="K1027" s="4701" t="s">
        <v>55</v>
      </c>
      <c r="L1027" s="4702"/>
      <c r="M1027" s="4702"/>
      <c r="N1027" s="4702"/>
      <c r="O1027" s="4702"/>
      <c r="P1027" s="4702"/>
      <c r="Q1027" s="4703"/>
    </row>
    <row r="1028" spans="2:17" ht="13.5" customHeight="1" thickBot="1">
      <c r="B1028" s="4690"/>
      <c r="C1028" s="3252">
        <f t="array" ref="C1028:G1028">PRCP</f>
        <v>2008</v>
      </c>
      <c r="D1028" s="3253">
        <v>2009</v>
      </c>
      <c r="E1028" s="3253">
        <v>2010</v>
      </c>
      <c r="F1028" s="3253">
        <v>2011</v>
      </c>
      <c r="G1028" s="3253">
        <v>2012</v>
      </c>
      <c r="H1028" s="3254">
        <f>CRCP_y1</f>
        <v>2013</v>
      </c>
      <c r="I1028" s="3254">
        <f>CRCP_y2</f>
        <v>2014</v>
      </c>
      <c r="J1028" s="3254">
        <f>CRCP_y3</f>
        <v>2015</v>
      </c>
      <c r="K1028" s="3254">
        <f>CRCP_y4</f>
        <v>2016</v>
      </c>
      <c r="L1028" s="3254">
        <f>CRCP_y5</f>
        <v>2017</v>
      </c>
      <c r="M1028" s="3253" t="str">
        <f t="array" ref="M1028:Q1028">FRCP</f>
        <v>2018</v>
      </c>
      <c r="N1028" s="3253">
        <v>2019</v>
      </c>
      <c r="O1028" s="3253">
        <v>2020</v>
      </c>
      <c r="P1028" s="3253">
        <v>2021</v>
      </c>
      <c r="Q1028" s="3255">
        <v>2022</v>
      </c>
    </row>
    <row r="1029" spans="2:17">
      <c r="B1029" s="3256" t="s">
        <v>1709</v>
      </c>
      <c r="C1029" s="3257"/>
      <c r="D1029" s="3258"/>
      <c r="E1029" s="3258"/>
      <c r="F1029" s="3258"/>
      <c r="G1029" s="3259"/>
      <c r="H1029" s="3257"/>
      <c r="I1029" s="3258"/>
      <c r="J1029" s="3258"/>
      <c r="K1029" s="3258"/>
      <c r="L1029" s="3258"/>
      <c r="M1029" s="3257"/>
      <c r="N1029" s="3258"/>
      <c r="O1029" s="3258"/>
      <c r="P1029" s="3258"/>
      <c r="Q1029" s="3259"/>
    </row>
    <row r="1030" spans="2:17">
      <c r="B1030" s="3260"/>
      <c r="C1030" s="3268"/>
      <c r="D1030" s="3269"/>
      <c r="E1030" s="3269"/>
      <c r="F1030" s="3269"/>
      <c r="G1030" s="3270"/>
      <c r="H1030" s="3268"/>
      <c r="I1030" s="3269"/>
      <c r="J1030" s="3269"/>
      <c r="K1030" s="3269"/>
      <c r="L1030" s="3271"/>
      <c r="M1030" s="3268"/>
      <c r="N1030" s="3269"/>
      <c r="O1030" s="3269"/>
      <c r="P1030" s="3269"/>
      <c r="Q1030" s="3270"/>
    </row>
    <row r="1031" spans="2:17">
      <c r="B1031" s="3260" t="s">
        <v>64</v>
      </c>
      <c r="C1031" s="3268"/>
      <c r="D1031" s="3269"/>
      <c r="E1031" s="3269"/>
      <c r="F1031" s="3269"/>
      <c r="G1031" s="3270"/>
      <c r="H1031" s="3268"/>
      <c r="I1031" s="3269">
        <v>0</v>
      </c>
      <c r="J1031" s="3269">
        <v>0</v>
      </c>
      <c r="K1031" s="3269">
        <v>0</v>
      </c>
      <c r="L1031" s="3271">
        <v>0</v>
      </c>
      <c r="M1031" s="3268">
        <v>0</v>
      </c>
      <c r="N1031" s="3269">
        <v>0</v>
      </c>
      <c r="O1031" s="3269">
        <v>0</v>
      </c>
      <c r="P1031" s="3269">
        <v>0</v>
      </c>
      <c r="Q1031" s="3270">
        <v>0</v>
      </c>
    </row>
    <row r="1032" spans="2:17">
      <c r="B1032" s="3260" t="s">
        <v>65</v>
      </c>
      <c r="C1032" s="3268"/>
      <c r="D1032" s="3269"/>
      <c r="E1032" s="3269"/>
      <c r="F1032" s="3269"/>
      <c r="G1032" s="3270"/>
      <c r="H1032" s="3268"/>
      <c r="I1032" s="3269">
        <v>0</v>
      </c>
      <c r="J1032" s="3269">
        <v>0</v>
      </c>
      <c r="K1032" s="3269">
        <v>0</v>
      </c>
      <c r="L1032" s="3271">
        <v>0</v>
      </c>
      <c r="M1032" s="3268">
        <v>0</v>
      </c>
      <c r="N1032" s="3269">
        <v>0</v>
      </c>
      <c r="O1032" s="3269">
        <v>0</v>
      </c>
      <c r="P1032" s="3269">
        <v>0</v>
      </c>
      <c r="Q1032" s="3270">
        <v>0</v>
      </c>
    </row>
    <row r="1033" spans="2:17">
      <c r="B1033" s="3260" t="s">
        <v>82</v>
      </c>
      <c r="C1033" s="3268"/>
      <c r="D1033" s="3269"/>
      <c r="E1033" s="3269"/>
      <c r="F1033" s="3269"/>
      <c r="G1033" s="3270"/>
      <c r="H1033" s="3268"/>
      <c r="I1033" s="3269">
        <v>0</v>
      </c>
      <c r="J1033" s="3269">
        <v>0</v>
      </c>
      <c r="K1033" s="3269">
        <v>0</v>
      </c>
      <c r="L1033" s="3271">
        <v>0</v>
      </c>
      <c r="M1033" s="3268">
        <v>0</v>
      </c>
      <c r="N1033" s="3269">
        <v>0</v>
      </c>
      <c r="O1033" s="3269">
        <v>0</v>
      </c>
      <c r="P1033" s="3269">
        <v>0</v>
      </c>
      <c r="Q1033" s="3270">
        <v>0</v>
      </c>
    </row>
    <row r="1034" spans="2:17">
      <c r="B1034" s="3260" t="s">
        <v>680</v>
      </c>
      <c r="C1034" s="3268"/>
      <c r="D1034" s="3269"/>
      <c r="E1034" s="3269"/>
      <c r="F1034" s="3269"/>
      <c r="G1034" s="3270"/>
      <c r="H1034" s="3268"/>
      <c r="I1034" s="3269">
        <v>0</v>
      </c>
      <c r="J1034" s="3269">
        <v>0</v>
      </c>
      <c r="K1034" s="3269">
        <v>0</v>
      </c>
      <c r="L1034" s="3271">
        <v>0</v>
      </c>
      <c r="M1034" s="3268">
        <v>0</v>
      </c>
      <c r="N1034" s="3269">
        <v>0</v>
      </c>
      <c r="O1034" s="3269">
        <v>0</v>
      </c>
      <c r="P1034" s="3269">
        <v>0</v>
      </c>
      <c r="Q1034" s="3270">
        <v>0</v>
      </c>
    </row>
    <row r="1035" spans="2:17">
      <c r="B1035" s="3260" t="s">
        <v>681</v>
      </c>
      <c r="C1035" s="3268"/>
      <c r="D1035" s="3269"/>
      <c r="E1035" s="3269"/>
      <c r="F1035" s="3269"/>
      <c r="G1035" s="3270"/>
      <c r="H1035" s="3268"/>
      <c r="I1035" s="3269">
        <v>7.205000000000001</v>
      </c>
      <c r="J1035" s="3269">
        <v>7.2050000000000001</v>
      </c>
      <c r="K1035" s="3269">
        <v>7.2050000000000001</v>
      </c>
      <c r="L1035" s="3271">
        <v>7.2050000000000001</v>
      </c>
      <c r="M1035" s="3268">
        <v>7.2050000000000001</v>
      </c>
      <c r="N1035" s="3269">
        <v>7.2050000000000001</v>
      </c>
      <c r="O1035" s="3269">
        <v>7.2050000000000001</v>
      </c>
      <c r="P1035" s="3269">
        <v>7.2049999999999903</v>
      </c>
      <c r="Q1035" s="3270">
        <v>7.2049999999999903</v>
      </c>
    </row>
    <row r="1036" spans="2:17">
      <c r="B1036" s="3260" t="s">
        <v>682</v>
      </c>
      <c r="C1036" s="3268"/>
      <c r="D1036" s="3269"/>
      <c r="E1036" s="3269"/>
      <c r="F1036" s="3269"/>
      <c r="G1036" s="3270"/>
      <c r="H1036" s="3268"/>
      <c r="I1036" s="3269">
        <v>0</v>
      </c>
      <c r="J1036" s="3269">
        <v>0</v>
      </c>
      <c r="K1036" s="3269">
        <v>0</v>
      </c>
      <c r="L1036" s="3271">
        <v>0</v>
      </c>
      <c r="M1036" s="3268">
        <v>0</v>
      </c>
      <c r="N1036" s="3269">
        <v>0</v>
      </c>
      <c r="O1036" s="3269">
        <v>0</v>
      </c>
      <c r="P1036" s="3269">
        <v>0</v>
      </c>
      <c r="Q1036" s="3270">
        <v>0</v>
      </c>
    </row>
    <row r="1037" spans="2:17">
      <c r="B1037" s="3260" t="s">
        <v>66</v>
      </c>
      <c r="C1037" s="3268"/>
      <c r="D1037" s="3269"/>
      <c r="E1037" s="3269"/>
      <c r="F1037" s="3269"/>
      <c r="G1037" s="3270"/>
      <c r="H1037" s="3268"/>
      <c r="I1037" s="3269">
        <v>0</v>
      </c>
      <c r="J1037" s="3269">
        <v>0</v>
      </c>
      <c r="K1037" s="3269">
        <v>0</v>
      </c>
      <c r="L1037" s="3271">
        <v>0</v>
      </c>
      <c r="M1037" s="3268">
        <v>0</v>
      </c>
      <c r="N1037" s="3269">
        <v>0</v>
      </c>
      <c r="O1037" s="3269">
        <v>0</v>
      </c>
      <c r="P1037" s="3269">
        <v>0</v>
      </c>
      <c r="Q1037" s="3270">
        <v>0</v>
      </c>
    </row>
    <row r="1038" spans="2:17" ht="13.5" thickBot="1">
      <c r="B1038" s="3260" t="s">
        <v>67</v>
      </c>
      <c r="C1038" s="3268"/>
      <c r="D1038" s="3269"/>
      <c r="E1038" s="3269"/>
      <c r="F1038" s="3269"/>
      <c r="G1038" s="3270"/>
      <c r="H1038" s="3268"/>
      <c r="I1038" s="3269">
        <v>8.7260000000000009</v>
      </c>
      <c r="J1038" s="3269">
        <v>8.7260000000000026</v>
      </c>
      <c r="K1038" s="3269">
        <v>8.7260000000000009</v>
      </c>
      <c r="L1038" s="3271">
        <v>8.7260000000000097</v>
      </c>
      <c r="M1038" s="3272">
        <v>8.7260000000000097</v>
      </c>
      <c r="N1038" s="3273">
        <v>8.7260000000000097</v>
      </c>
      <c r="O1038" s="3273">
        <v>8.7260000000000097</v>
      </c>
      <c r="P1038" s="3273">
        <v>8.7260000000000097</v>
      </c>
      <c r="Q1038" s="3274">
        <v>8.7260000000000204</v>
      </c>
    </row>
    <row r="1039" spans="2:17" ht="12.75" customHeight="1">
      <c r="B1039" s="4689">
        <v>3280</v>
      </c>
      <c r="C1039" s="4691" t="s">
        <v>36</v>
      </c>
      <c r="D1039" s="4692"/>
      <c r="E1039" s="4692"/>
      <c r="F1039" s="4692"/>
      <c r="G1039" s="4692"/>
      <c r="H1039" s="4693" t="s">
        <v>37</v>
      </c>
      <c r="I1039" s="4694"/>
      <c r="J1039" s="4694"/>
      <c r="K1039" s="4694"/>
      <c r="L1039" s="4694"/>
      <c r="M1039" s="4695" t="s">
        <v>73</v>
      </c>
      <c r="N1039" s="4695"/>
      <c r="O1039" s="4695"/>
      <c r="P1039" s="4695"/>
      <c r="Q1039" s="4696"/>
    </row>
    <row r="1040" spans="2:17" ht="12.75" customHeight="1">
      <c r="B1040" s="4690"/>
      <c r="C1040" s="4697" t="s">
        <v>1673</v>
      </c>
      <c r="D1040" s="4698"/>
      <c r="E1040" s="4698"/>
      <c r="F1040" s="4698"/>
      <c r="G1040" s="4698"/>
      <c r="H1040" s="4698"/>
      <c r="I1040" s="4698"/>
      <c r="J1040" s="4698"/>
      <c r="K1040" s="4698"/>
      <c r="L1040" s="4698"/>
      <c r="M1040" s="4698"/>
      <c r="N1040" s="4698"/>
      <c r="O1040" s="4698"/>
      <c r="P1040" s="4698"/>
      <c r="Q1040" s="4699"/>
    </row>
    <row r="1041" spans="2:17" ht="12.75" customHeight="1">
      <c r="B1041" s="4690"/>
      <c r="C1041" s="4697" t="s">
        <v>54</v>
      </c>
      <c r="D1041" s="4698"/>
      <c r="E1041" s="4698"/>
      <c r="F1041" s="4698"/>
      <c r="G1041" s="4698"/>
      <c r="H1041" s="4698"/>
      <c r="I1041" s="4698"/>
      <c r="J1041" s="4700"/>
      <c r="K1041" s="4701" t="s">
        <v>55</v>
      </c>
      <c r="L1041" s="4702"/>
      <c r="M1041" s="4702"/>
      <c r="N1041" s="4702"/>
      <c r="O1041" s="4702"/>
      <c r="P1041" s="4702"/>
      <c r="Q1041" s="4703"/>
    </row>
    <row r="1042" spans="2:17" ht="13.5" customHeight="1" thickBot="1">
      <c r="B1042" s="4690"/>
      <c r="C1042" s="3252">
        <f t="array" ref="C1042:G1042">PRCP</f>
        <v>2008</v>
      </c>
      <c r="D1042" s="3253">
        <v>2009</v>
      </c>
      <c r="E1042" s="3253">
        <v>2010</v>
      </c>
      <c r="F1042" s="3253">
        <v>2011</v>
      </c>
      <c r="G1042" s="3253">
        <v>2012</v>
      </c>
      <c r="H1042" s="3254">
        <f>CRCP_y1</f>
        <v>2013</v>
      </c>
      <c r="I1042" s="3254">
        <f>CRCP_y2</f>
        <v>2014</v>
      </c>
      <c r="J1042" s="3254">
        <f>CRCP_y3</f>
        <v>2015</v>
      </c>
      <c r="K1042" s="3254">
        <f>CRCP_y4</f>
        <v>2016</v>
      </c>
      <c r="L1042" s="3254">
        <f>CRCP_y5</f>
        <v>2017</v>
      </c>
      <c r="M1042" s="3253" t="str">
        <f t="array" ref="M1042:Q1042">FRCP</f>
        <v>2018</v>
      </c>
      <c r="N1042" s="3253">
        <v>2019</v>
      </c>
      <c r="O1042" s="3253">
        <v>2020</v>
      </c>
      <c r="P1042" s="3253">
        <v>2021</v>
      </c>
      <c r="Q1042" s="3255">
        <v>2022</v>
      </c>
    </row>
    <row r="1043" spans="2:17">
      <c r="B1043" s="3256" t="s">
        <v>1709</v>
      </c>
      <c r="C1043" s="3257"/>
      <c r="D1043" s="3258"/>
      <c r="E1043" s="3258"/>
      <c r="F1043" s="3258"/>
      <c r="G1043" s="3259"/>
      <c r="H1043" s="3257"/>
      <c r="I1043" s="3258"/>
      <c r="J1043" s="3258"/>
      <c r="K1043" s="3258"/>
      <c r="L1043" s="3258"/>
      <c r="M1043" s="3257"/>
      <c r="N1043" s="3258"/>
      <c r="O1043" s="3258"/>
      <c r="P1043" s="3258"/>
      <c r="Q1043" s="3259"/>
    </row>
    <row r="1044" spans="2:17">
      <c r="B1044" s="3260"/>
      <c r="C1044" s="3268"/>
      <c r="D1044" s="3269"/>
      <c r="E1044" s="3269"/>
      <c r="F1044" s="3269"/>
      <c r="G1044" s="3270"/>
      <c r="H1044" s="3268"/>
      <c r="I1044" s="3269"/>
      <c r="J1044" s="3269"/>
      <c r="K1044" s="3269"/>
      <c r="L1044" s="3271"/>
      <c r="M1044" s="3268"/>
      <c r="N1044" s="3269"/>
      <c r="O1044" s="3269"/>
      <c r="P1044" s="3269"/>
      <c r="Q1044" s="3270"/>
    </row>
    <row r="1045" spans="2:17">
      <c r="B1045" s="3260" t="s">
        <v>64</v>
      </c>
      <c r="C1045" s="3268"/>
      <c r="D1045" s="3269"/>
      <c r="E1045" s="3269"/>
      <c r="F1045" s="3269"/>
      <c r="G1045" s="3270"/>
      <c r="H1045" s="3268"/>
      <c r="I1045" s="3281">
        <v>22.323999999999991</v>
      </c>
      <c r="J1045" s="3281">
        <v>22.323999999999995</v>
      </c>
      <c r="K1045" s="3281">
        <v>22.323999999999995</v>
      </c>
      <c r="L1045" s="3282">
        <v>22.323999999999995</v>
      </c>
      <c r="M1045" s="3283">
        <v>22.323999999999995</v>
      </c>
      <c r="N1045" s="3281">
        <v>22.323999999999995</v>
      </c>
      <c r="O1045" s="3281">
        <v>22.323999999999995</v>
      </c>
      <c r="P1045" s="3281">
        <v>21.397166073660124</v>
      </c>
      <c r="Q1045" s="3284">
        <v>20.006915184150319</v>
      </c>
    </row>
    <row r="1046" spans="2:17">
      <c r="B1046" s="3260" t="s">
        <v>65</v>
      </c>
      <c r="C1046" s="3268"/>
      <c r="D1046" s="3269"/>
      <c r="E1046" s="3269"/>
      <c r="F1046" s="3269"/>
      <c r="G1046" s="3270"/>
      <c r="H1046" s="3268"/>
      <c r="I1046" s="3281">
        <v>38.654999999999994</v>
      </c>
      <c r="J1046" s="3281">
        <v>38.722000000000008</v>
      </c>
      <c r="K1046" s="3281">
        <v>38.722000000000008</v>
      </c>
      <c r="L1046" s="3282">
        <v>38.722000000000008</v>
      </c>
      <c r="M1046" s="3283">
        <v>38.722000000000008</v>
      </c>
      <c r="N1046" s="3281">
        <v>38.722000000000008</v>
      </c>
      <c r="O1046" s="3281">
        <v>38.722000000000008</v>
      </c>
      <c r="P1046" s="3281">
        <v>37.114364124004112</v>
      </c>
      <c r="Q1046" s="3284">
        <v>34.702910310010267</v>
      </c>
    </row>
    <row r="1047" spans="2:17">
      <c r="B1047" s="3260" t="s">
        <v>82</v>
      </c>
      <c r="C1047" s="3268"/>
      <c r="D1047" s="3269"/>
      <c r="E1047" s="3269"/>
      <c r="F1047" s="3269"/>
      <c r="G1047" s="3270"/>
      <c r="H1047" s="3268"/>
      <c r="I1047" s="3281">
        <v>0</v>
      </c>
      <c r="J1047" s="3281">
        <v>0</v>
      </c>
      <c r="K1047" s="3281">
        <v>0</v>
      </c>
      <c r="L1047" s="3282">
        <v>0</v>
      </c>
      <c r="M1047" s="3283">
        <v>0</v>
      </c>
      <c r="N1047" s="3281">
        <v>0</v>
      </c>
      <c r="O1047" s="3281">
        <v>0</v>
      </c>
      <c r="P1047" s="3281">
        <v>0</v>
      </c>
      <c r="Q1047" s="3284">
        <v>0</v>
      </c>
    </row>
    <row r="1048" spans="2:17">
      <c r="B1048" s="3260" t="s">
        <v>680</v>
      </c>
      <c r="C1048" s="3268"/>
      <c r="D1048" s="3269"/>
      <c r="E1048" s="3269"/>
      <c r="F1048" s="3269"/>
      <c r="G1048" s="3270"/>
      <c r="H1048" s="3268"/>
      <c r="I1048" s="3281">
        <v>0</v>
      </c>
      <c r="J1048" s="3281">
        <v>0</v>
      </c>
      <c r="K1048" s="3281">
        <v>0</v>
      </c>
      <c r="L1048" s="3282">
        <v>0</v>
      </c>
      <c r="M1048" s="3283">
        <v>0</v>
      </c>
      <c r="N1048" s="3281">
        <v>0</v>
      </c>
      <c r="O1048" s="3281">
        <v>0</v>
      </c>
      <c r="P1048" s="3281">
        <v>0</v>
      </c>
      <c r="Q1048" s="3284">
        <v>0</v>
      </c>
    </row>
    <row r="1049" spans="2:17">
      <c r="B1049" s="3260" t="s">
        <v>681</v>
      </c>
      <c r="C1049" s="3268"/>
      <c r="D1049" s="3269"/>
      <c r="E1049" s="3269"/>
      <c r="F1049" s="3269"/>
      <c r="G1049" s="3270"/>
      <c r="H1049" s="3268"/>
      <c r="I1049" s="3281">
        <v>89.598999999999975</v>
      </c>
      <c r="J1049" s="3281">
        <v>94.396999999999963</v>
      </c>
      <c r="K1049" s="3281">
        <v>94.396999999999963</v>
      </c>
      <c r="L1049" s="3282">
        <v>94.396999999999963</v>
      </c>
      <c r="M1049" s="3283">
        <v>94.396999999999963</v>
      </c>
      <c r="N1049" s="3281">
        <v>94.396999999999963</v>
      </c>
      <c r="O1049" s="3281">
        <v>94.396999999999963</v>
      </c>
      <c r="P1049" s="3281">
        <v>100.47788415406265</v>
      </c>
      <c r="Q1049" s="3284">
        <v>109.59921038515668</v>
      </c>
    </row>
    <row r="1050" spans="2:17">
      <c r="B1050" s="3260" t="s">
        <v>682</v>
      </c>
      <c r="C1050" s="3268"/>
      <c r="D1050" s="3269"/>
      <c r="E1050" s="3269"/>
      <c r="F1050" s="3269"/>
      <c r="G1050" s="3270"/>
      <c r="H1050" s="3268"/>
      <c r="I1050" s="3281">
        <v>0</v>
      </c>
      <c r="J1050" s="3281">
        <v>0</v>
      </c>
      <c r="K1050" s="3281">
        <v>0</v>
      </c>
      <c r="L1050" s="3282">
        <v>0</v>
      </c>
      <c r="M1050" s="3283">
        <v>0</v>
      </c>
      <c r="N1050" s="3281">
        <v>0</v>
      </c>
      <c r="O1050" s="3281">
        <v>0</v>
      </c>
      <c r="P1050" s="3281">
        <v>0</v>
      </c>
      <c r="Q1050" s="3284">
        <v>0</v>
      </c>
    </row>
    <row r="1051" spans="2:17">
      <c r="B1051" s="3260" t="s">
        <v>66</v>
      </c>
      <c r="C1051" s="3268"/>
      <c r="D1051" s="3269"/>
      <c r="E1051" s="3269"/>
      <c r="F1051" s="3269"/>
      <c r="G1051" s="3270"/>
      <c r="H1051" s="3268"/>
      <c r="I1051" s="3281">
        <v>20.064999999999998</v>
      </c>
      <c r="J1051" s="3281">
        <v>20.064999999999994</v>
      </c>
      <c r="K1051" s="3281">
        <v>20.064999999999994</v>
      </c>
      <c r="L1051" s="3282">
        <v>20.064999999999994</v>
      </c>
      <c r="M1051" s="3283">
        <v>20.064999999999994</v>
      </c>
      <c r="N1051" s="3281">
        <v>20.064999999999994</v>
      </c>
      <c r="O1051" s="3281">
        <v>20.064999999999994</v>
      </c>
      <c r="P1051" s="3281">
        <v>19.231953828524922</v>
      </c>
      <c r="Q1051" s="3284">
        <v>17.982384571312316</v>
      </c>
    </row>
    <row r="1052" spans="2:17" ht="13.5" thickBot="1">
      <c r="B1052" s="3260" t="s">
        <v>67</v>
      </c>
      <c r="C1052" s="3268"/>
      <c r="D1052" s="3269"/>
      <c r="E1052" s="3269"/>
      <c r="F1052" s="3269"/>
      <c r="G1052" s="3270"/>
      <c r="H1052" s="3268"/>
      <c r="I1052" s="3281">
        <v>65.344999999999999</v>
      </c>
      <c r="J1052" s="3281">
        <v>65.35499999999999</v>
      </c>
      <c r="K1052" s="3281">
        <v>65.35499999999999</v>
      </c>
      <c r="L1052" s="3282">
        <v>65.35499999999999</v>
      </c>
      <c r="M1052" s="3285">
        <v>65.35499999999999</v>
      </c>
      <c r="N1052" s="3286">
        <v>65.35499999999999</v>
      </c>
      <c r="O1052" s="3286">
        <v>65.35499999999999</v>
      </c>
      <c r="P1052" s="3286">
        <v>62.641631819748142</v>
      </c>
      <c r="Q1052" s="3287">
        <v>58.571579549370377</v>
      </c>
    </row>
    <row r="1053" spans="2:17" ht="12.75" customHeight="1">
      <c r="B1053" s="4689">
        <v>3282</v>
      </c>
      <c r="C1053" s="4691" t="s">
        <v>36</v>
      </c>
      <c r="D1053" s="4692"/>
      <c r="E1053" s="4692"/>
      <c r="F1053" s="4692"/>
      <c r="G1053" s="4692"/>
      <c r="H1053" s="4693" t="s">
        <v>37</v>
      </c>
      <c r="I1053" s="4694"/>
      <c r="J1053" s="4694"/>
      <c r="K1053" s="4694"/>
      <c r="L1053" s="4694"/>
      <c r="M1053" s="4695" t="s">
        <v>73</v>
      </c>
      <c r="N1053" s="4695"/>
      <c r="O1053" s="4695"/>
      <c r="P1053" s="4695"/>
      <c r="Q1053" s="4696"/>
    </row>
    <row r="1054" spans="2:17" ht="12.75" customHeight="1">
      <c r="B1054" s="4690"/>
      <c r="C1054" s="4697" t="s">
        <v>1673</v>
      </c>
      <c r="D1054" s="4698"/>
      <c r="E1054" s="4698"/>
      <c r="F1054" s="4698"/>
      <c r="G1054" s="4698"/>
      <c r="H1054" s="4698"/>
      <c r="I1054" s="4698"/>
      <c r="J1054" s="4698"/>
      <c r="K1054" s="4698"/>
      <c r="L1054" s="4698"/>
      <c r="M1054" s="4698"/>
      <c r="N1054" s="4698"/>
      <c r="O1054" s="4698"/>
      <c r="P1054" s="4698"/>
      <c r="Q1054" s="4699"/>
    </row>
    <row r="1055" spans="2:17" ht="12.75" customHeight="1">
      <c r="B1055" s="4690"/>
      <c r="C1055" s="4697" t="s">
        <v>54</v>
      </c>
      <c r="D1055" s="4698"/>
      <c r="E1055" s="4698"/>
      <c r="F1055" s="4698"/>
      <c r="G1055" s="4698"/>
      <c r="H1055" s="4698"/>
      <c r="I1055" s="4698"/>
      <c r="J1055" s="4700"/>
      <c r="K1055" s="4701" t="s">
        <v>55</v>
      </c>
      <c r="L1055" s="4702"/>
      <c r="M1055" s="4702"/>
      <c r="N1055" s="4702"/>
      <c r="O1055" s="4702"/>
      <c r="P1055" s="4702"/>
      <c r="Q1055" s="4703"/>
    </row>
    <row r="1056" spans="2:17" ht="13.5" customHeight="1" thickBot="1">
      <c r="B1056" s="4690"/>
      <c r="C1056" s="3252">
        <f t="array" ref="C1056:G1056">PRCP</f>
        <v>2008</v>
      </c>
      <c r="D1056" s="3253">
        <v>2009</v>
      </c>
      <c r="E1056" s="3253">
        <v>2010</v>
      </c>
      <c r="F1056" s="3253">
        <v>2011</v>
      </c>
      <c r="G1056" s="3253">
        <v>2012</v>
      </c>
      <c r="H1056" s="3254">
        <f>CRCP_y1</f>
        <v>2013</v>
      </c>
      <c r="I1056" s="3254">
        <f>CRCP_y2</f>
        <v>2014</v>
      </c>
      <c r="J1056" s="3254">
        <f>CRCP_y3</f>
        <v>2015</v>
      </c>
      <c r="K1056" s="3254">
        <f>CRCP_y4</f>
        <v>2016</v>
      </c>
      <c r="L1056" s="3254">
        <f>CRCP_y5</f>
        <v>2017</v>
      </c>
      <c r="M1056" s="3253" t="str">
        <f t="array" ref="M1056:Q1056">FRCP</f>
        <v>2018</v>
      </c>
      <c r="N1056" s="3253">
        <v>2019</v>
      </c>
      <c r="O1056" s="3253">
        <v>2020</v>
      </c>
      <c r="P1056" s="3253">
        <v>2021</v>
      </c>
      <c r="Q1056" s="3255">
        <v>2022</v>
      </c>
    </row>
    <row r="1057" spans="2:17">
      <c r="B1057" s="3256" t="s">
        <v>1710</v>
      </c>
      <c r="C1057" s="3257"/>
      <c r="D1057" s="3258"/>
      <c r="E1057" s="3258"/>
      <c r="F1057" s="3258"/>
      <c r="G1057" s="3259"/>
      <c r="H1057" s="3257"/>
      <c r="I1057" s="3258"/>
      <c r="J1057" s="3258"/>
      <c r="K1057" s="3258"/>
      <c r="L1057" s="3258"/>
      <c r="M1057" s="3257"/>
      <c r="N1057" s="3258"/>
      <c r="O1057" s="3258"/>
      <c r="P1057" s="3258"/>
      <c r="Q1057" s="3259"/>
    </row>
    <row r="1058" spans="2:17">
      <c r="B1058" s="3260"/>
      <c r="C1058" s="3268"/>
      <c r="D1058" s="3269"/>
      <c r="E1058" s="3269"/>
      <c r="F1058" s="3269"/>
      <c r="G1058" s="3270"/>
      <c r="H1058" s="3268"/>
      <c r="I1058" s="3269"/>
      <c r="J1058" s="3269"/>
      <c r="K1058" s="3269"/>
      <c r="L1058" s="3271"/>
      <c r="M1058" s="3268"/>
      <c r="N1058" s="3269"/>
      <c r="O1058" s="3269"/>
      <c r="P1058" s="3269"/>
      <c r="Q1058" s="3270"/>
    </row>
    <row r="1059" spans="2:17">
      <c r="B1059" s="3260" t="s">
        <v>64</v>
      </c>
      <c r="C1059" s="3268"/>
      <c r="D1059" s="3269"/>
      <c r="E1059" s="3269"/>
      <c r="F1059" s="3269"/>
      <c r="G1059" s="3270"/>
      <c r="H1059" s="3268"/>
      <c r="I1059" s="3269">
        <v>0</v>
      </c>
      <c r="J1059" s="3269">
        <v>0</v>
      </c>
      <c r="K1059" s="3269">
        <v>0</v>
      </c>
      <c r="L1059" s="3271">
        <v>0</v>
      </c>
      <c r="M1059" s="3268">
        <v>0</v>
      </c>
      <c r="N1059" s="3269">
        <v>0</v>
      </c>
      <c r="O1059" s="3269">
        <v>0</v>
      </c>
      <c r="P1059" s="3269">
        <v>0</v>
      </c>
      <c r="Q1059" s="3270">
        <v>0</v>
      </c>
    </row>
    <row r="1060" spans="2:17">
      <c r="B1060" s="3260" t="s">
        <v>65</v>
      </c>
      <c r="C1060" s="3268"/>
      <c r="D1060" s="3269"/>
      <c r="E1060" s="3269"/>
      <c r="F1060" s="3269"/>
      <c r="G1060" s="3270"/>
      <c r="H1060" s="3268"/>
      <c r="I1060" s="3269">
        <v>0</v>
      </c>
      <c r="J1060" s="3269">
        <v>0</v>
      </c>
      <c r="K1060" s="3269">
        <v>0</v>
      </c>
      <c r="L1060" s="3271">
        <v>0</v>
      </c>
      <c r="M1060" s="3268">
        <v>0</v>
      </c>
      <c r="N1060" s="3269">
        <v>0</v>
      </c>
      <c r="O1060" s="3269">
        <v>0</v>
      </c>
      <c r="P1060" s="3269">
        <v>0</v>
      </c>
      <c r="Q1060" s="3270">
        <v>0</v>
      </c>
    </row>
    <row r="1061" spans="2:17">
      <c r="B1061" s="3260" t="s">
        <v>82</v>
      </c>
      <c r="C1061" s="3268"/>
      <c r="D1061" s="3269"/>
      <c r="E1061" s="3269"/>
      <c r="F1061" s="3269"/>
      <c r="G1061" s="3270"/>
      <c r="H1061" s="3268"/>
      <c r="I1061" s="3269">
        <v>0</v>
      </c>
      <c r="J1061" s="3269">
        <v>0</v>
      </c>
      <c r="K1061" s="3269">
        <v>0</v>
      </c>
      <c r="L1061" s="3271">
        <v>0</v>
      </c>
      <c r="M1061" s="3268">
        <v>0</v>
      </c>
      <c r="N1061" s="3269">
        <v>0</v>
      </c>
      <c r="O1061" s="3269">
        <v>0</v>
      </c>
      <c r="P1061" s="3269">
        <v>0</v>
      </c>
      <c r="Q1061" s="3270">
        <v>0</v>
      </c>
    </row>
    <row r="1062" spans="2:17">
      <c r="B1062" s="3260" t="s">
        <v>680</v>
      </c>
      <c r="C1062" s="3268"/>
      <c r="D1062" s="3269"/>
      <c r="E1062" s="3269"/>
      <c r="F1062" s="3269"/>
      <c r="G1062" s="3270"/>
      <c r="H1062" s="3268"/>
      <c r="I1062" s="3269">
        <v>0</v>
      </c>
      <c r="J1062" s="3269">
        <v>0</v>
      </c>
      <c r="K1062" s="3269">
        <v>0</v>
      </c>
      <c r="L1062" s="3271">
        <v>0</v>
      </c>
      <c r="M1062" s="3268">
        <v>0</v>
      </c>
      <c r="N1062" s="3269">
        <v>0</v>
      </c>
      <c r="O1062" s="3269">
        <v>0</v>
      </c>
      <c r="P1062" s="3269">
        <v>0</v>
      </c>
      <c r="Q1062" s="3270">
        <v>0</v>
      </c>
    </row>
    <row r="1063" spans="2:17">
      <c r="B1063" s="3260" t="s">
        <v>681</v>
      </c>
      <c r="C1063" s="3268"/>
      <c r="D1063" s="3269"/>
      <c r="E1063" s="3269"/>
      <c r="F1063" s="3269"/>
      <c r="G1063" s="3270"/>
      <c r="H1063" s="3268"/>
      <c r="I1063" s="3269">
        <v>14.617999999999997</v>
      </c>
      <c r="J1063" s="3269">
        <v>14.815000000000001</v>
      </c>
      <c r="K1063" s="3269">
        <v>15.012</v>
      </c>
      <c r="L1063" s="3271">
        <v>15.209</v>
      </c>
      <c r="M1063" s="3268">
        <v>15.406000000000001</v>
      </c>
      <c r="N1063" s="3269">
        <v>15.603</v>
      </c>
      <c r="O1063" s="3269">
        <v>15.8</v>
      </c>
      <c r="P1063" s="3269">
        <v>15.997</v>
      </c>
      <c r="Q1063" s="3270">
        <v>16.193999999999999</v>
      </c>
    </row>
    <row r="1064" spans="2:17">
      <c r="B1064" s="3260" t="s">
        <v>682</v>
      </c>
      <c r="C1064" s="3268"/>
      <c r="D1064" s="3269"/>
      <c r="E1064" s="3269"/>
      <c r="F1064" s="3269"/>
      <c r="G1064" s="3270"/>
      <c r="H1064" s="3268"/>
      <c r="I1064" s="3269">
        <v>0</v>
      </c>
      <c r="J1064" s="3269">
        <v>0</v>
      </c>
      <c r="K1064" s="3269">
        <v>0</v>
      </c>
      <c r="L1064" s="3271">
        <v>0</v>
      </c>
      <c r="M1064" s="3268">
        <v>0</v>
      </c>
      <c r="N1064" s="3269">
        <v>0</v>
      </c>
      <c r="O1064" s="3269">
        <v>0</v>
      </c>
      <c r="P1064" s="3269">
        <v>0</v>
      </c>
      <c r="Q1064" s="3270">
        <v>0</v>
      </c>
    </row>
    <row r="1065" spans="2:17">
      <c r="B1065" s="3260" t="s">
        <v>66</v>
      </c>
      <c r="C1065" s="3268"/>
      <c r="D1065" s="3269"/>
      <c r="E1065" s="3269"/>
      <c r="F1065" s="3269"/>
      <c r="G1065" s="3270"/>
      <c r="H1065" s="3268"/>
      <c r="I1065" s="3269">
        <v>0</v>
      </c>
      <c r="J1065" s="3269">
        <v>0</v>
      </c>
      <c r="K1065" s="3269">
        <v>0</v>
      </c>
      <c r="L1065" s="3271">
        <v>0</v>
      </c>
      <c r="M1065" s="3268">
        <v>0</v>
      </c>
      <c r="N1065" s="3269">
        <v>0</v>
      </c>
      <c r="O1065" s="3269">
        <v>0</v>
      </c>
      <c r="P1065" s="3269">
        <v>0</v>
      </c>
      <c r="Q1065" s="3270">
        <v>0</v>
      </c>
    </row>
    <row r="1066" spans="2:17" ht="13.5" thickBot="1">
      <c r="B1066" s="3260" t="s">
        <v>67</v>
      </c>
      <c r="C1066" s="3268"/>
      <c r="D1066" s="3269"/>
      <c r="E1066" s="3269"/>
      <c r="F1066" s="3269"/>
      <c r="G1066" s="3270"/>
      <c r="H1066" s="3268"/>
      <c r="I1066" s="3269">
        <v>4.6670000000000007</v>
      </c>
      <c r="J1066" s="3269">
        <v>4.6670000000000007</v>
      </c>
      <c r="K1066" s="3269">
        <v>4.6669999999999998</v>
      </c>
      <c r="L1066" s="3271">
        <v>4.6669999999999998</v>
      </c>
      <c r="M1066" s="3272">
        <v>4.6669999999999998</v>
      </c>
      <c r="N1066" s="3273">
        <v>4.6669999999999998</v>
      </c>
      <c r="O1066" s="3273">
        <v>4.6669999999999998</v>
      </c>
      <c r="P1066" s="3273">
        <v>4.6669999999999998</v>
      </c>
      <c r="Q1066" s="3274">
        <v>4.6669999999999998</v>
      </c>
    </row>
    <row r="1067" spans="2:17" ht="12.75" customHeight="1">
      <c r="B1067" s="4689">
        <v>3283</v>
      </c>
      <c r="C1067" s="4691" t="s">
        <v>36</v>
      </c>
      <c r="D1067" s="4692"/>
      <c r="E1067" s="4692"/>
      <c r="F1067" s="4692"/>
      <c r="G1067" s="4692"/>
      <c r="H1067" s="4693" t="s">
        <v>37</v>
      </c>
      <c r="I1067" s="4694"/>
      <c r="J1067" s="4694"/>
      <c r="K1067" s="4694"/>
      <c r="L1067" s="4694"/>
      <c r="M1067" s="4695" t="s">
        <v>73</v>
      </c>
      <c r="N1067" s="4695"/>
      <c r="O1067" s="4695"/>
      <c r="P1067" s="4695"/>
      <c r="Q1067" s="4696"/>
    </row>
    <row r="1068" spans="2:17" ht="12.75" customHeight="1">
      <c r="B1068" s="4690"/>
      <c r="C1068" s="4697" t="s">
        <v>1673</v>
      </c>
      <c r="D1068" s="4698"/>
      <c r="E1068" s="4698"/>
      <c r="F1068" s="4698"/>
      <c r="G1068" s="4698"/>
      <c r="H1068" s="4698"/>
      <c r="I1068" s="4698"/>
      <c r="J1068" s="4698"/>
      <c r="K1068" s="4698"/>
      <c r="L1068" s="4698"/>
      <c r="M1068" s="4698"/>
      <c r="N1068" s="4698"/>
      <c r="O1068" s="4698"/>
      <c r="P1068" s="4698"/>
      <c r="Q1068" s="4699"/>
    </row>
    <row r="1069" spans="2:17" ht="12.75" customHeight="1">
      <c r="B1069" s="4690"/>
      <c r="C1069" s="4697" t="s">
        <v>54</v>
      </c>
      <c r="D1069" s="4698"/>
      <c r="E1069" s="4698"/>
      <c r="F1069" s="4698"/>
      <c r="G1069" s="4698"/>
      <c r="H1069" s="4698"/>
      <c r="I1069" s="4698"/>
      <c r="J1069" s="4700"/>
      <c r="K1069" s="4701" t="s">
        <v>55</v>
      </c>
      <c r="L1069" s="4702"/>
      <c r="M1069" s="4702"/>
      <c r="N1069" s="4702"/>
      <c r="O1069" s="4702"/>
      <c r="P1069" s="4702"/>
      <c r="Q1069" s="4703"/>
    </row>
    <row r="1070" spans="2:17" ht="13.5" customHeight="1" thickBot="1">
      <c r="B1070" s="4690"/>
      <c r="C1070" s="3252">
        <f t="array" ref="C1070:G1070">PRCP</f>
        <v>2008</v>
      </c>
      <c r="D1070" s="3253">
        <v>2009</v>
      </c>
      <c r="E1070" s="3253">
        <v>2010</v>
      </c>
      <c r="F1070" s="3253">
        <v>2011</v>
      </c>
      <c r="G1070" s="3253">
        <v>2012</v>
      </c>
      <c r="H1070" s="3254">
        <f>CRCP_y1</f>
        <v>2013</v>
      </c>
      <c r="I1070" s="3254">
        <f>CRCP_y2</f>
        <v>2014</v>
      </c>
      <c r="J1070" s="3254">
        <f>CRCP_y3</f>
        <v>2015</v>
      </c>
      <c r="K1070" s="3254">
        <f>CRCP_y4</f>
        <v>2016</v>
      </c>
      <c r="L1070" s="3254">
        <f>CRCP_y5</f>
        <v>2017</v>
      </c>
      <c r="M1070" s="3253" t="str">
        <f t="array" ref="M1070:Q1070">FRCP</f>
        <v>2018</v>
      </c>
      <c r="N1070" s="3253">
        <v>2019</v>
      </c>
      <c r="O1070" s="3253">
        <v>2020</v>
      </c>
      <c r="P1070" s="3253">
        <v>2021</v>
      </c>
      <c r="Q1070" s="3255">
        <v>2022</v>
      </c>
    </row>
    <row r="1071" spans="2:17">
      <c r="B1071" s="3256" t="s">
        <v>1710</v>
      </c>
      <c r="C1071" s="3257"/>
      <c r="D1071" s="3258"/>
      <c r="E1071" s="3258"/>
      <c r="F1071" s="3258"/>
      <c r="G1071" s="3259"/>
      <c r="H1071" s="3257"/>
      <c r="I1071" s="3258"/>
      <c r="J1071" s="3258"/>
      <c r="K1071" s="3258"/>
      <c r="L1071" s="3258"/>
      <c r="M1071" s="3257"/>
      <c r="N1071" s="3258"/>
      <c r="O1071" s="3258"/>
      <c r="P1071" s="3258"/>
      <c r="Q1071" s="3259"/>
    </row>
    <row r="1072" spans="2:17">
      <c r="B1072" s="3260"/>
      <c r="C1072" s="3268"/>
      <c r="D1072" s="3269"/>
      <c r="E1072" s="3269"/>
      <c r="F1072" s="3269"/>
      <c r="G1072" s="3270"/>
      <c r="H1072" s="3268"/>
      <c r="I1072" s="3269"/>
      <c r="J1072" s="3269"/>
      <c r="K1072" s="3269"/>
      <c r="L1072" s="3271"/>
      <c r="M1072" s="3268"/>
      <c r="N1072" s="3269"/>
      <c r="O1072" s="3269"/>
      <c r="P1072" s="3269"/>
      <c r="Q1072" s="3270"/>
    </row>
    <row r="1073" spans="2:17">
      <c r="B1073" s="3260" t="s">
        <v>64</v>
      </c>
      <c r="C1073" s="3268"/>
      <c r="D1073" s="3269"/>
      <c r="E1073" s="3269"/>
      <c r="F1073" s="3269"/>
      <c r="G1073" s="3270"/>
      <c r="H1073" s="3268"/>
      <c r="I1073" s="3269">
        <v>0</v>
      </c>
      <c r="J1073" s="3269">
        <v>0</v>
      </c>
      <c r="K1073" s="3269">
        <v>0</v>
      </c>
      <c r="L1073" s="3271">
        <v>0</v>
      </c>
      <c r="M1073" s="3268">
        <v>0</v>
      </c>
      <c r="N1073" s="3269">
        <v>0</v>
      </c>
      <c r="O1073" s="3269">
        <v>0</v>
      </c>
      <c r="P1073" s="3269">
        <v>0</v>
      </c>
      <c r="Q1073" s="3270">
        <v>0</v>
      </c>
    </row>
    <row r="1074" spans="2:17">
      <c r="B1074" s="3260" t="s">
        <v>65</v>
      </c>
      <c r="C1074" s="3268"/>
      <c r="D1074" s="3269"/>
      <c r="E1074" s="3269"/>
      <c r="F1074" s="3269"/>
      <c r="G1074" s="3270"/>
      <c r="H1074" s="3268"/>
      <c r="I1074" s="3269">
        <v>0</v>
      </c>
      <c r="J1074" s="3269">
        <v>0</v>
      </c>
      <c r="K1074" s="3269">
        <v>0</v>
      </c>
      <c r="L1074" s="3271">
        <v>0</v>
      </c>
      <c r="M1074" s="3268">
        <v>0</v>
      </c>
      <c r="N1074" s="3269">
        <v>0</v>
      </c>
      <c r="O1074" s="3269">
        <v>0</v>
      </c>
      <c r="P1074" s="3269">
        <v>0</v>
      </c>
      <c r="Q1074" s="3270">
        <v>0</v>
      </c>
    </row>
    <row r="1075" spans="2:17">
      <c r="B1075" s="3260" t="s">
        <v>82</v>
      </c>
      <c r="C1075" s="3268"/>
      <c r="D1075" s="3269"/>
      <c r="E1075" s="3269"/>
      <c r="F1075" s="3269"/>
      <c r="G1075" s="3270"/>
      <c r="H1075" s="3268"/>
      <c r="I1075" s="3269">
        <v>0</v>
      </c>
      <c r="J1075" s="3269">
        <v>0</v>
      </c>
      <c r="K1075" s="3269">
        <v>0</v>
      </c>
      <c r="L1075" s="3271">
        <v>0</v>
      </c>
      <c r="M1075" s="3268">
        <v>0</v>
      </c>
      <c r="N1075" s="3269">
        <v>0</v>
      </c>
      <c r="O1075" s="3269">
        <v>0</v>
      </c>
      <c r="P1075" s="3269">
        <v>0</v>
      </c>
      <c r="Q1075" s="3270">
        <v>0</v>
      </c>
    </row>
    <row r="1076" spans="2:17">
      <c r="B1076" s="3260" t="s">
        <v>680</v>
      </c>
      <c r="C1076" s="3268"/>
      <c r="D1076" s="3269"/>
      <c r="E1076" s="3269"/>
      <c r="F1076" s="3269"/>
      <c r="G1076" s="3270"/>
      <c r="H1076" s="3268"/>
      <c r="I1076" s="3269">
        <v>0</v>
      </c>
      <c r="J1076" s="3269">
        <v>0</v>
      </c>
      <c r="K1076" s="3269">
        <v>0</v>
      </c>
      <c r="L1076" s="3271">
        <v>0</v>
      </c>
      <c r="M1076" s="3268">
        <v>0</v>
      </c>
      <c r="N1076" s="3269">
        <v>0</v>
      </c>
      <c r="O1076" s="3269">
        <v>0</v>
      </c>
      <c r="P1076" s="3269">
        <v>0</v>
      </c>
      <c r="Q1076" s="3270">
        <v>0</v>
      </c>
    </row>
    <row r="1077" spans="2:17">
      <c r="B1077" s="3260" t="s">
        <v>681</v>
      </c>
      <c r="C1077" s="3268"/>
      <c r="D1077" s="3269"/>
      <c r="E1077" s="3269"/>
      <c r="F1077" s="3269"/>
      <c r="G1077" s="3270"/>
      <c r="H1077" s="3268"/>
      <c r="I1077" s="3269">
        <v>16.199000000000002</v>
      </c>
      <c r="J1077" s="3269">
        <v>16.199000000000002</v>
      </c>
      <c r="K1077" s="3269">
        <v>16.199000000000002</v>
      </c>
      <c r="L1077" s="3271">
        <v>16.199000000000002</v>
      </c>
      <c r="M1077" s="3268">
        <v>16.199000000000002</v>
      </c>
      <c r="N1077" s="3269">
        <v>16.199000000000002</v>
      </c>
      <c r="O1077" s="3269">
        <v>16.199000000000002</v>
      </c>
      <c r="P1077" s="3269">
        <v>16.199000000000002</v>
      </c>
      <c r="Q1077" s="3270">
        <v>16.199000000000002</v>
      </c>
    </row>
    <row r="1078" spans="2:17">
      <c r="B1078" s="3260" t="s">
        <v>682</v>
      </c>
      <c r="C1078" s="3268"/>
      <c r="D1078" s="3269"/>
      <c r="E1078" s="3269"/>
      <c r="F1078" s="3269"/>
      <c r="G1078" s="3270"/>
      <c r="H1078" s="3268"/>
      <c r="I1078" s="3269">
        <v>0</v>
      </c>
      <c r="J1078" s="3269">
        <v>0</v>
      </c>
      <c r="K1078" s="3269">
        <v>0</v>
      </c>
      <c r="L1078" s="3271">
        <v>0</v>
      </c>
      <c r="M1078" s="3268">
        <v>0</v>
      </c>
      <c r="N1078" s="3269">
        <v>0</v>
      </c>
      <c r="O1078" s="3269">
        <v>0</v>
      </c>
      <c r="P1078" s="3269">
        <v>0</v>
      </c>
      <c r="Q1078" s="3270">
        <v>0</v>
      </c>
    </row>
    <row r="1079" spans="2:17">
      <c r="B1079" s="3260" t="s">
        <v>66</v>
      </c>
      <c r="C1079" s="3268"/>
      <c r="D1079" s="3269"/>
      <c r="E1079" s="3269"/>
      <c r="F1079" s="3269"/>
      <c r="G1079" s="3270"/>
      <c r="H1079" s="3268"/>
      <c r="I1079" s="3269">
        <v>0</v>
      </c>
      <c r="J1079" s="3269">
        <v>0</v>
      </c>
      <c r="K1079" s="3269">
        <v>0</v>
      </c>
      <c r="L1079" s="3271">
        <v>0</v>
      </c>
      <c r="M1079" s="3268">
        <v>0</v>
      </c>
      <c r="N1079" s="3269">
        <v>0</v>
      </c>
      <c r="O1079" s="3269">
        <v>0</v>
      </c>
      <c r="P1079" s="3269">
        <v>0</v>
      </c>
      <c r="Q1079" s="3270">
        <v>0</v>
      </c>
    </row>
    <row r="1080" spans="2:17" ht="13.5" thickBot="1">
      <c r="B1080" s="3260" t="s">
        <v>67</v>
      </c>
      <c r="C1080" s="3268"/>
      <c r="D1080" s="3269"/>
      <c r="E1080" s="3269"/>
      <c r="F1080" s="3269"/>
      <c r="G1080" s="3270"/>
      <c r="H1080" s="3268"/>
      <c r="I1080" s="3269">
        <v>0</v>
      </c>
      <c r="J1080" s="3269">
        <v>0</v>
      </c>
      <c r="K1080" s="3269">
        <v>0</v>
      </c>
      <c r="L1080" s="3271">
        <v>0</v>
      </c>
      <c r="M1080" s="3272">
        <v>0</v>
      </c>
      <c r="N1080" s="3273">
        <v>0</v>
      </c>
      <c r="O1080" s="3273">
        <v>0</v>
      </c>
      <c r="P1080" s="3273">
        <v>0</v>
      </c>
      <c r="Q1080" s="3274">
        <v>0</v>
      </c>
    </row>
    <row r="1081" spans="2:17" ht="12.75" customHeight="1">
      <c r="B1081" s="4689">
        <v>3284</v>
      </c>
      <c r="C1081" s="4691" t="s">
        <v>36</v>
      </c>
      <c r="D1081" s="4692"/>
      <c r="E1081" s="4692"/>
      <c r="F1081" s="4692"/>
      <c r="G1081" s="4692"/>
      <c r="H1081" s="4693" t="s">
        <v>37</v>
      </c>
      <c r="I1081" s="4694"/>
      <c r="J1081" s="4694"/>
      <c r="K1081" s="4694"/>
      <c r="L1081" s="4694"/>
      <c r="M1081" s="4695" t="s">
        <v>73</v>
      </c>
      <c r="N1081" s="4695"/>
      <c r="O1081" s="4695"/>
      <c r="P1081" s="4695"/>
      <c r="Q1081" s="4696"/>
    </row>
    <row r="1082" spans="2:17" ht="12.75" customHeight="1">
      <c r="B1082" s="4690"/>
      <c r="C1082" s="4697" t="s">
        <v>1673</v>
      </c>
      <c r="D1082" s="4698"/>
      <c r="E1082" s="4698"/>
      <c r="F1082" s="4698"/>
      <c r="G1082" s="4698"/>
      <c r="H1082" s="4698"/>
      <c r="I1082" s="4698"/>
      <c r="J1082" s="4698"/>
      <c r="K1082" s="4698"/>
      <c r="L1082" s="4698"/>
      <c r="M1082" s="4698"/>
      <c r="N1082" s="4698"/>
      <c r="O1082" s="4698"/>
      <c r="P1082" s="4698"/>
      <c r="Q1082" s="4699"/>
    </row>
    <row r="1083" spans="2:17" ht="12.75" customHeight="1">
      <c r="B1083" s="4690"/>
      <c r="C1083" s="4697" t="s">
        <v>54</v>
      </c>
      <c r="D1083" s="4698"/>
      <c r="E1083" s="4698"/>
      <c r="F1083" s="4698"/>
      <c r="G1083" s="4698"/>
      <c r="H1083" s="4698"/>
      <c r="I1083" s="4698"/>
      <c r="J1083" s="4700"/>
      <c r="K1083" s="4701" t="s">
        <v>55</v>
      </c>
      <c r="L1083" s="4702"/>
      <c r="M1083" s="4702"/>
      <c r="N1083" s="4702"/>
      <c r="O1083" s="4702"/>
      <c r="P1083" s="4702"/>
      <c r="Q1083" s="4703"/>
    </row>
    <row r="1084" spans="2:17" ht="13.5" customHeight="1" thickBot="1">
      <c r="B1084" s="4690"/>
      <c r="C1084" s="3252">
        <f t="array" ref="C1084:G1084">PRCP</f>
        <v>2008</v>
      </c>
      <c r="D1084" s="3253">
        <v>2009</v>
      </c>
      <c r="E1084" s="3253">
        <v>2010</v>
      </c>
      <c r="F1084" s="3253">
        <v>2011</v>
      </c>
      <c r="G1084" s="3253">
        <v>2012</v>
      </c>
      <c r="H1084" s="3254">
        <f>CRCP_y1</f>
        <v>2013</v>
      </c>
      <c r="I1084" s="3254">
        <f>CRCP_y2</f>
        <v>2014</v>
      </c>
      <c r="J1084" s="3254">
        <f>CRCP_y3</f>
        <v>2015</v>
      </c>
      <c r="K1084" s="3254">
        <f>CRCP_y4</f>
        <v>2016</v>
      </c>
      <c r="L1084" s="3254">
        <f>CRCP_y5</f>
        <v>2017</v>
      </c>
      <c r="M1084" s="3253" t="str">
        <f t="array" ref="M1084:Q1084">FRCP</f>
        <v>2018</v>
      </c>
      <c r="N1084" s="3253">
        <v>2019</v>
      </c>
      <c r="O1084" s="3253">
        <v>2020</v>
      </c>
      <c r="P1084" s="3253">
        <v>2021</v>
      </c>
      <c r="Q1084" s="3255">
        <v>2022</v>
      </c>
    </row>
    <row r="1085" spans="2:17">
      <c r="B1085" s="3256" t="s">
        <v>1711</v>
      </c>
      <c r="C1085" s="3257"/>
      <c r="D1085" s="3258"/>
      <c r="E1085" s="3258"/>
      <c r="F1085" s="3258"/>
      <c r="G1085" s="3259"/>
      <c r="H1085" s="3257"/>
      <c r="I1085" s="3258"/>
      <c r="J1085" s="3258"/>
      <c r="K1085" s="3258"/>
      <c r="L1085" s="3258"/>
      <c r="M1085" s="3257"/>
      <c r="N1085" s="3258"/>
      <c r="O1085" s="3258"/>
      <c r="P1085" s="3258"/>
      <c r="Q1085" s="3259"/>
    </row>
    <row r="1086" spans="2:17">
      <c r="B1086" s="3260"/>
      <c r="C1086" s="3268"/>
      <c r="D1086" s="3269"/>
      <c r="E1086" s="3269"/>
      <c r="F1086" s="3269"/>
      <c r="G1086" s="3270"/>
      <c r="H1086" s="3268"/>
      <c r="I1086" s="3269"/>
      <c r="J1086" s="3269"/>
      <c r="K1086" s="3269"/>
      <c r="L1086" s="3271"/>
      <c r="M1086" s="3268"/>
      <c r="N1086" s="3269"/>
      <c r="O1086" s="3269"/>
      <c r="P1086" s="3269"/>
      <c r="Q1086" s="3270"/>
    </row>
    <row r="1087" spans="2:17">
      <c r="B1087" s="3260" t="s">
        <v>64</v>
      </c>
      <c r="C1087" s="3268"/>
      <c r="D1087" s="3269"/>
      <c r="E1087" s="3269"/>
      <c r="F1087" s="3269"/>
      <c r="G1087" s="3270"/>
      <c r="H1087" s="3268"/>
      <c r="I1087" s="3269">
        <v>0</v>
      </c>
      <c r="J1087" s="3269">
        <v>0</v>
      </c>
      <c r="K1087" s="3269">
        <v>0</v>
      </c>
      <c r="L1087" s="3271">
        <v>0</v>
      </c>
      <c r="M1087" s="3268">
        <v>0</v>
      </c>
      <c r="N1087" s="3269">
        <v>0</v>
      </c>
      <c r="O1087" s="3269">
        <v>0</v>
      </c>
      <c r="P1087" s="3269">
        <v>0</v>
      </c>
      <c r="Q1087" s="3270">
        <v>0</v>
      </c>
    </row>
    <row r="1088" spans="2:17">
      <c r="B1088" s="3260" t="s">
        <v>65</v>
      </c>
      <c r="C1088" s="3268"/>
      <c r="D1088" s="3269"/>
      <c r="E1088" s="3269"/>
      <c r="F1088" s="3269"/>
      <c r="G1088" s="3270"/>
      <c r="H1088" s="3268"/>
      <c r="I1088" s="3269">
        <v>0</v>
      </c>
      <c r="J1088" s="3269">
        <v>0</v>
      </c>
      <c r="K1088" s="3269">
        <v>0</v>
      </c>
      <c r="L1088" s="3271">
        <v>0</v>
      </c>
      <c r="M1088" s="3268">
        <v>0</v>
      </c>
      <c r="N1088" s="3269">
        <v>0</v>
      </c>
      <c r="O1088" s="3269">
        <v>0</v>
      </c>
      <c r="P1088" s="3269">
        <v>0</v>
      </c>
      <c r="Q1088" s="3270">
        <v>0</v>
      </c>
    </row>
    <row r="1089" spans="2:17">
      <c r="B1089" s="3260" t="s">
        <v>82</v>
      </c>
      <c r="C1089" s="3268"/>
      <c r="D1089" s="3269"/>
      <c r="E1089" s="3269"/>
      <c r="F1089" s="3269"/>
      <c r="G1089" s="3270"/>
      <c r="H1089" s="3268"/>
      <c r="I1089" s="3269">
        <v>0</v>
      </c>
      <c r="J1089" s="3269">
        <v>0</v>
      </c>
      <c r="K1089" s="3269">
        <v>0</v>
      </c>
      <c r="L1089" s="3271">
        <v>0</v>
      </c>
      <c r="M1089" s="3268">
        <v>0</v>
      </c>
      <c r="N1089" s="3269">
        <v>0</v>
      </c>
      <c r="O1089" s="3269">
        <v>0</v>
      </c>
      <c r="P1089" s="3269">
        <v>0</v>
      </c>
      <c r="Q1089" s="3270">
        <v>0</v>
      </c>
    </row>
    <row r="1090" spans="2:17">
      <c r="B1090" s="3260" t="s">
        <v>680</v>
      </c>
      <c r="C1090" s="3268"/>
      <c r="D1090" s="3269"/>
      <c r="E1090" s="3269"/>
      <c r="F1090" s="3269"/>
      <c r="G1090" s="3270"/>
      <c r="H1090" s="3268"/>
      <c r="I1090" s="3269">
        <v>0</v>
      </c>
      <c r="J1090" s="3269">
        <v>0</v>
      </c>
      <c r="K1090" s="3269">
        <v>0</v>
      </c>
      <c r="L1090" s="3271">
        <v>0</v>
      </c>
      <c r="M1090" s="3268">
        <v>0</v>
      </c>
      <c r="N1090" s="3269">
        <v>0</v>
      </c>
      <c r="O1090" s="3269">
        <v>0</v>
      </c>
      <c r="P1090" s="3269">
        <v>0</v>
      </c>
      <c r="Q1090" s="3270">
        <v>0</v>
      </c>
    </row>
    <row r="1091" spans="2:17">
      <c r="B1091" s="3260" t="s">
        <v>681</v>
      </c>
      <c r="C1091" s="3268"/>
      <c r="D1091" s="3269"/>
      <c r="E1091" s="3269"/>
      <c r="F1091" s="3269"/>
      <c r="G1091" s="3270"/>
      <c r="H1091" s="3268"/>
      <c r="I1091" s="3269">
        <v>31.150000000000009</v>
      </c>
      <c r="J1091" s="3269">
        <v>31.291000000000007</v>
      </c>
      <c r="K1091" s="3269">
        <v>31.291000000000007</v>
      </c>
      <c r="L1091" s="3271">
        <v>31.291000000000007</v>
      </c>
      <c r="M1091" s="3268">
        <v>31.291000000000007</v>
      </c>
      <c r="N1091" s="3269">
        <v>31.291000000000007</v>
      </c>
      <c r="O1091" s="3269">
        <v>31.291000000000007</v>
      </c>
      <c r="P1091" s="3269">
        <v>31.291000000000007</v>
      </c>
      <c r="Q1091" s="3270">
        <v>31.291000000000007</v>
      </c>
    </row>
    <row r="1092" spans="2:17">
      <c r="B1092" s="3260" t="s">
        <v>682</v>
      </c>
      <c r="C1092" s="3268"/>
      <c r="D1092" s="3269"/>
      <c r="E1092" s="3269"/>
      <c r="F1092" s="3269"/>
      <c r="G1092" s="3270"/>
      <c r="H1092" s="3268"/>
      <c r="I1092" s="3269">
        <v>0</v>
      </c>
      <c r="J1092" s="3269">
        <v>0</v>
      </c>
      <c r="K1092" s="3269">
        <v>0</v>
      </c>
      <c r="L1092" s="3271">
        <v>0</v>
      </c>
      <c r="M1092" s="3268">
        <v>0</v>
      </c>
      <c r="N1092" s="3269">
        <v>0</v>
      </c>
      <c r="O1092" s="3269">
        <v>0</v>
      </c>
      <c r="P1092" s="3269">
        <v>0</v>
      </c>
      <c r="Q1092" s="3270">
        <v>0</v>
      </c>
    </row>
    <row r="1093" spans="2:17">
      <c r="B1093" s="3260" t="s">
        <v>66</v>
      </c>
      <c r="C1093" s="3268"/>
      <c r="D1093" s="3269"/>
      <c r="E1093" s="3269"/>
      <c r="F1093" s="3269"/>
      <c r="G1093" s="3270"/>
      <c r="H1093" s="3268"/>
      <c r="I1093" s="3269">
        <v>0</v>
      </c>
      <c r="J1093" s="3269">
        <v>0</v>
      </c>
      <c r="K1093" s="3269">
        <v>0</v>
      </c>
      <c r="L1093" s="3271">
        <v>0</v>
      </c>
      <c r="M1093" s="3268">
        <v>0</v>
      </c>
      <c r="N1093" s="3269">
        <v>0</v>
      </c>
      <c r="O1093" s="3269">
        <v>0</v>
      </c>
      <c r="P1093" s="3269">
        <v>0</v>
      </c>
      <c r="Q1093" s="3270">
        <v>0</v>
      </c>
    </row>
    <row r="1094" spans="2:17" ht="13.5" thickBot="1">
      <c r="B1094" s="3260" t="s">
        <v>67</v>
      </c>
      <c r="C1094" s="3268"/>
      <c r="D1094" s="3269"/>
      <c r="E1094" s="3269"/>
      <c r="F1094" s="3269"/>
      <c r="G1094" s="3270"/>
      <c r="H1094" s="3268"/>
      <c r="I1094" s="3269">
        <v>0.05</v>
      </c>
      <c r="J1094" s="3269">
        <v>0.05</v>
      </c>
      <c r="K1094" s="3269">
        <v>0.05</v>
      </c>
      <c r="L1094" s="3271">
        <v>0.05</v>
      </c>
      <c r="M1094" s="3272">
        <v>0.05</v>
      </c>
      <c r="N1094" s="3273">
        <v>0.05</v>
      </c>
      <c r="O1094" s="3273">
        <v>0.05</v>
      </c>
      <c r="P1094" s="3273">
        <v>0.05</v>
      </c>
      <c r="Q1094" s="3274">
        <v>0.05</v>
      </c>
    </row>
    <row r="1095" spans="2:17" ht="12.75" customHeight="1">
      <c r="B1095" s="4689">
        <v>3300</v>
      </c>
      <c r="C1095" s="4691" t="s">
        <v>36</v>
      </c>
      <c r="D1095" s="4692"/>
      <c r="E1095" s="4692"/>
      <c r="F1095" s="4692"/>
      <c r="G1095" s="4692"/>
      <c r="H1095" s="4693" t="s">
        <v>37</v>
      </c>
      <c r="I1095" s="4694"/>
      <c r="J1095" s="4694"/>
      <c r="K1095" s="4694"/>
      <c r="L1095" s="4694"/>
      <c r="M1095" s="4695" t="s">
        <v>73</v>
      </c>
      <c r="N1095" s="4695"/>
      <c r="O1095" s="4695"/>
      <c r="P1095" s="4695"/>
      <c r="Q1095" s="4696"/>
    </row>
    <row r="1096" spans="2:17" ht="12.75" customHeight="1">
      <c r="B1096" s="4690"/>
      <c r="C1096" s="4697" t="s">
        <v>1673</v>
      </c>
      <c r="D1096" s="4698"/>
      <c r="E1096" s="4698"/>
      <c r="F1096" s="4698"/>
      <c r="G1096" s="4698"/>
      <c r="H1096" s="4698"/>
      <c r="I1096" s="4698"/>
      <c r="J1096" s="4698"/>
      <c r="K1096" s="4698"/>
      <c r="L1096" s="4698"/>
      <c r="M1096" s="4698"/>
      <c r="N1096" s="4698"/>
      <c r="O1096" s="4698"/>
      <c r="P1096" s="4698"/>
      <c r="Q1096" s="4699"/>
    </row>
    <row r="1097" spans="2:17" ht="12.75" customHeight="1">
      <c r="B1097" s="4690"/>
      <c r="C1097" s="4697" t="s">
        <v>54</v>
      </c>
      <c r="D1097" s="4698"/>
      <c r="E1097" s="4698"/>
      <c r="F1097" s="4698"/>
      <c r="G1097" s="4698"/>
      <c r="H1097" s="4698"/>
      <c r="I1097" s="4698"/>
      <c r="J1097" s="4700"/>
      <c r="K1097" s="4701" t="s">
        <v>55</v>
      </c>
      <c r="L1097" s="4702"/>
      <c r="M1097" s="4702"/>
      <c r="N1097" s="4702"/>
      <c r="O1097" s="4702"/>
      <c r="P1097" s="4702"/>
      <c r="Q1097" s="4703"/>
    </row>
    <row r="1098" spans="2:17" ht="13.5" customHeight="1" thickBot="1">
      <c r="B1098" s="4690"/>
      <c r="C1098" s="3252">
        <f t="array" ref="C1098:G1098">PRCP</f>
        <v>2008</v>
      </c>
      <c r="D1098" s="3253">
        <v>2009</v>
      </c>
      <c r="E1098" s="3253">
        <v>2010</v>
      </c>
      <c r="F1098" s="3253">
        <v>2011</v>
      </c>
      <c r="G1098" s="3253">
        <v>2012</v>
      </c>
      <c r="H1098" s="3254">
        <f>CRCP_y1</f>
        <v>2013</v>
      </c>
      <c r="I1098" s="3254">
        <f>CRCP_y2</f>
        <v>2014</v>
      </c>
      <c r="J1098" s="3254">
        <f>CRCP_y3</f>
        <v>2015</v>
      </c>
      <c r="K1098" s="3254">
        <f>CRCP_y4</f>
        <v>2016</v>
      </c>
      <c r="L1098" s="3254">
        <f>CRCP_y5</f>
        <v>2017</v>
      </c>
      <c r="M1098" s="3253" t="str">
        <f t="array" ref="M1098:Q1098">FRCP</f>
        <v>2018</v>
      </c>
      <c r="N1098" s="3253">
        <v>2019</v>
      </c>
      <c r="O1098" s="3253">
        <v>2020</v>
      </c>
      <c r="P1098" s="3253">
        <v>2021</v>
      </c>
      <c r="Q1098" s="3255">
        <v>2022</v>
      </c>
    </row>
    <row r="1099" spans="2:17">
      <c r="B1099" s="3256" t="s">
        <v>1711</v>
      </c>
      <c r="C1099" s="3257"/>
      <c r="D1099" s="3258"/>
      <c r="E1099" s="3258"/>
      <c r="F1099" s="3258"/>
      <c r="G1099" s="3259"/>
      <c r="H1099" s="3257"/>
      <c r="I1099" s="3258"/>
      <c r="J1099" s="3258"/>
      <c r="K1099" s="3258"/>
      <c r="L1099" s="3258"/>
      <c r="M1099" s="3257"/>
      <c r="N1099" s="3258"/>
      <c r="O1099" s="3258"/>
      <c r="P1099" s="3258"/>
      <c r="Q1099" s="3259"/>
    </row>
    <row r="1100" spans="2:17">
      <c r="B1100" s="3260"/>
      <c r="C1100" s="3268"/>
      <c r="D1100" s="3269"/>
      <c r="E1100" s="3269"/>
      <c r="F1100" s="3269"/>
      <c r="G1100" s="3270"/>
      <c r="H1100" s="3268"/>
      <c r="I1100" s="3269"/>
      <c r="J1100" s="3269"/>
      <c r="K1100" s="3269"/>
      <c r="L1100" s="3271"/>
      <c r="M1100" s="3268"/>
      <c r="N1100" s="3269"/>
      <c r="O1100" s="3269"/>
      <c r="P1100" s="3269"/>
      <c r="Q1100" s="3270"/>
    </row>
    <row r="1101" spans="2:17">
      <c r="B1101" s="3260" t="s">
        <v>64</v>
      </c>
      <c r="C1101" s="3268"/>
      <c r="D1101" s="3269"/>
      <c r="E1101" s="3269"/>
      <c r="F1101" s="3269"/>
      <c r="G1101" s="3270"/>
      <c r="H1101" s="3268"/>
      <c r="I1101" s="3269">
        <v>0.82700000000000018</v>
      </c>
      <c r="J1101" s="3269">
        <v>0.82700000000000018</v>
      </c>
      <c r="K1101" s="3269">
        <v>0.82700000000000018</v>
      </c>
      <c r="L1101" s="3271">
        <v>0.82700000000000018</v>
      </c>
      <c r="M1101" s="3268">
        <v>0.82700000000000018</v>
      </c>
      <c r="N1101" s="3269">
        <v>0.82700000000000018</v>
      </c>
      <c r="O1101" s="3269">
        <v>0.82700000000000018</v>
      </c>
      <c r="P1101" s="3269">
        <v>0.82700000000000018</v>
      </c>
      <c r="Q1101" s="3270">
        <v>0.82700000000000018</v>
      </c>
    </row>
    <row r="1102" spans="2:17">
      <c r="B1102" s="3260" t="s">
        <v>65</v>
      </c>
      <c r="C1102" s="3268"/>
      <c r="D1102" s="3269"/>
      <c r="E1102" s="3269"/>
      <c r="F1102" s="3269"/>
      <c r="G1102" s="3270"/>
      <c r="H1102" s="3268"/>
      <c r="I1102" s="3269">
        <v>23.062000000000012</v>
      </c>
      <c r="J1102" s="3269">
        <v>23.062000000000008</v>
      </c>
      <c r="K1102" s="3269">
        <v>23.062000000000008</v>
      </c>
      <c r="L1102" s="3271">
        <v>23.062000000000008</v>
      </c>
      <c r="M1102" s="3268">
        <v>23.062000000000008</v>
      </c>
      <c r="N1102" s="3269">
        <v>23.062000000000008</v>
      </c>
      <c r="O1102" s="3269">
        <v>23.062000000000008</v>
      </c>
      <c r="P1102" s="3269">
        <v>23.062000000000008</v>
      </c>
      <c r="Q1102" s="3270">
        <v>23.062000000000008</v>
      </c>
    </row>
    <row r="1103" spans="2:17">
      <c r="B1103" s="3260" t="s">
        <v>82</v>
      </c>
      <c r="C1103" s="3268"/>
      <c r="D1103" s="3269"/>
      <c r="E1103" s="3269"/>
      <c r="F1103" s="3269"/>
      <c r="G1103" s="3270"/>
      <c r="H1103" s="3268"/>
      <c r="I1103" s="3269">
        <v>0</v>
      </c>
      <c r="J1103" s="3269">
        <v>0</v>
      </c>
      <c r="K1103" s="3269">
        <v>0</v>
      </c>
      <c r="L1103" s="3271">
        <v>0</v>
      </c>
      <c r="M1103" s="3268">
        <v>0</v>
      </c>
      <c r="N1103" s="3269">
        <v>0</v>
      </c>
      <c r="O1103" s="3269">
        <v>0</v>
      </c>
      <c r="P1103" s="3269">
        <v>0</v>
      </c>
      <c r="Q1103" s="3270">
        <v>0</v>
      </c>
    </row>
    <row r="1104" spans="2:17">
      <c r="B1104" s="3260" t="s">
        <v>680</v>
      </c>
      <c r="C1104" s="3268"/>
      <c r="D1104" s="3269"/>
      <c r="E1104" s="3269"/>
      <c r="F1104" s="3269"/>
      <c r="G1104" s="3270"/>
      <c r="H1104" s="3268"/>
      <c r="I1104" s="3269">
        <v>0</v>
      </c>
      <c r="J1104" s="3269">
        <v>0</v>
      </c>
      <c r="K1104" s="3269">
        <v>0</v>
      </c>
      <c r="L1104" s="3271">
        <v>0</v>
      </c>
      <c r="M1104" s="3268">
        <v>0</v>
      </c>
      <c r="N1104" s="3269">
        <v>0</v>
      </c>
      <c r="O1104" s="3269">
        <v>0</v>
      </c>
      <c r="P1104" s="3269">
        <v>0</v>
      </c>
      <c r="Q1104" s="3270">
        <v>0</v>
      </c>
    </row>
    <row r="1105" spans="2:17">
      <c r="B1105" s="3260" t="s">
        <v>681</v>
      </c>
      <c r="C1105" s="3268"/>
      <c r="D1105" s="3269"/>
      <c r="E1105" s="3269"/>
      <c r="F1105" s="3269"/>
      <c r="G1105" s="3270"/>
      <c r="H1105" s="3268"/>
      <c r="I1105" s="3269">
        <v>21.436</v>
      </c>
      <c r="J1105" s="3269">
        <v>22.673999999999999</v>
      </c>
      <c r="K1105" s="3269">
        <v>22.673999999999999</v>
      </c>
      <c r="L1105" s="3271">
        <v>22.673999999999999</v>
      </c>
      <c r="M1105" s="3268">
        <v>22.673999999999999</v>
      </c>
      <c r="N1105" s="3269">
        <v>22.673999999999999</v>
      </c>
      <c r="O1105" s="3269">
        <v>22.673999999999999</v>
      </c>
      <c r="P1105" s="3269">
        <v>22.673999999999999</v>
      </c>
      <c r="Q1105" s="3270">
        <v>22.673999999999999</v>
      </c>
    </row>
    <row r="1106" spans="2:17">
      <c r="B1106" s="3260" t="s">
        <v>682</v>
      </c>
      <c r="C1106" s="3268"/>
      <c r="D1106" s="3269"/>
      <c r="E1106" s="3269"/>
      <c r="F1106" s="3269"/>
      <c r="G1106" s="3270"/>
      <c r="H1106" s="3268"/>
      <c r="I1106" s="3269">
        <v>8.5000000000000006E-2</v>
      </c>
      <c r="J1106" s="3269">
        <v>8.5000000000000006E-2</v>
      </c>
      <c r="K1106" s="3269">
        <v>8.5000000000000006E-2</v>
      </c>
      <c r="L1106" s="3271">
        <v>8.5000000000000006E-2</v>
      </c>
      <c r="M1106" s="3268">
        <v>8.5000000000000006E-2</v>
      </c>
      <c r="N1106" s="3269">
        <v>8.5000000000000006E-2</v>
      </c>
      <c r="O1106" s="3269">
        <v>8.5000000000000006E-2</v>
      </c>
      <c r="P1106" s="3269">
        <v>8.5000000000000006E-2</v>
      </c>
      <c r="Q1106" s="3270">
        <v>8.5000000000000006E-2</v>
      </c>
    </row>
    <row r="1107" spans="2:17">
      <c r="B1107" s="3260" t="s">
        <v>66</v>
      </c>
      <c r="C1107" s="3268"/>
      <c r="D1107" s="3269"/>
      <c r="E1107" s="3269"/>
      <c r="F1107" s="3269"/>
      <c r="G1107" s="3270"/>
      <c r="H1107" s="3268"/>
      <c r="I1107" s="3269">
        <v>0.25900000000000001</v>
      </c>
      <c r="J1107" s="3269">
        <v>0.25900000000000001</v>
      </c>
      <c r="K1107" s="3269">
        <v>0.25900000000000001</v>
      </c>
      <c r="L1107" s="3271">
        <v>0.25900000000000001</v>
      </c>
      <c r="M1107" s="3268">
        <v>0.25900000000000001</v>
      </c>
      <c r="N1107" s="3269">
        <v>0.25900000000000001</v>
      </c>
      <c r="O1107" s="3269">
        <v>0.25900000000000001</v>
      </c>
      <c r="P1107" s="3269">
        <v>0.25900000000000001</v>
      </c>
      <c r="Q1107" s="3270">
        <v>0.25900000000000001</v>
      </c>
    </row>
    <row r="1108" spans="2:17" ht="13.5" thickBot="1">
      <c r="B1108" s="3260" t="s">
        <v>67</v>
      </c>
      <c r="C1108" s="3268"/>
      <c r="D1108" s="3269"/>
      <c r="E1108" s="3269"/>
      <c r="F1108" s="3269"/>
      <c r="G1108" s="3270"/>
      <c r="H1108" s="3268"/>
      <c r="I1108" s="3269">
        <v>47.377000000000038</v>
      </c>
      <c r="J1108" s="3269">
        <v>47.377000000000038</v>
      </c>
      <c r="K1108" s="3269">
        <v>47.377000000000038</v>
      </c>
      <c r="L1108" s="3271">
        <v>47.377000000000038</v>
      </c>
      <c r="M1108" s="3272">
        <v>47.377000000000038</v>
      </c>
      <c r="N1108" s="3273">
        <v>47.377000000000038</v>
      </c>
      <c r="O1108" s="3273">
        <v>47.377000000000038</v>
      </c>
      <c r="P1108" s="3273">
        <v>47.377000000000038</v>
      </c>
      <c r="Q1108" s="3274">
        <v>47.377000000000038</v>
      </c>
    </row>
    <row r="1109" spans="2:17" ht="12.75" customHeight="1">
      <c r="B1109" s="4689">
        <v>3305</v>
      </c>
      <c r="C1109" s="4691" t="s">
        <v>36</v>
      </c>
      <c r="D1109" s="4692"/>
      <c r="E1109" s="4692"/>
      <c r="F1109" s="4692"/>
      <c r="G1109" s="4692"/>
      <c r="H1109" s="4693" t="s">
        <v>37</v>
      </c>
      <c r="I1109" s="4694"/>
      <c r="J1109" s="4694"/>
      <c r="K1109" s="4694"/>
      <c r="L1109" s="4694"/>
      <c r="M1109" s="4695" t="s">
        <v>73</v>
      </c>
      <c r="N1109" s="4695"/>
      <c r="O1109" s="4695"/>
      <c r="P1109" s="4695"/>
      <c r="Q1109" s="4696"/>
    </row>
    <row r="1110" spans="2:17" ht="12.75" customHeight="1">
      <c r="B1110" s="4690"/>
      <c r="C1110" s="4697" t="s">
        <v>1673</v>
      </c>
      <c r="D1110" s="4698"/>
      <c r="E1110" s="4698"/>
      <c r="F1110" s="4698"/>
      <c r="G1110" s="4698"/>
      <c r="H1110" s="4698"/>
      <c r="I1110" s="4698"/>
      <c r="J1110" s="4698"/>
      <c r="K1110" s="4698"/>
      <c r="L1110" s="4698"/>
      <c r="M1110" s="4698"/>
      <c r="N1110" s="4698"/>
      <c r="O1110" s="4698"/>
      <c r="P1110" s="4698"/>
      <c r="Q1110" s="4699"/>
    </row>
    <row r="1111" spans="2:17" ht="12.75" customHeight="1">
      <c r="B1111" s="4690"/>
      <c r="C1111" s="4697" t="s">
        <v>54</v>
      </c>
      <c r="D1111" s="4698"/>
      <c r="E1111" s="4698"/>
      <c r="F1111" s="4698"/>
      <c r="G1111" s="4698"/>
      <c r="H1111" s="4698"/>
      <c r="I1111" s="4698"/>
      <c r="J1111" s="4700"/>
      <c r="K1111" s="4701" t="s">
        <v>55</v>
      </c>
      <c r="L1111" s="4702"/>
      <c r="M1111" s="4702"/>
      <c r="N1111" s="4702"/>
      <c r="O1111" s="4702"/>
      <c r="P1111" s="4702"/>
      <c r="Q1111" s="4703"/>
    </row>
    <row r="1112" spans="2:17" ht="13.5" customHeight="1" thickBot="1">
      <c r="B1112" s="4690"/>
      <c r="C1112" s="3252">
        <f t="array" ref="C1112:G1112">PRCP</f>
        <v>2008</v>
      </c>
      <c r="D1112" s="3253">
        <v>2009</v>
      </c>
      <c r="E1112" s="3253">
        <v>2010</v>
      </c>
      <c r="F1112" s="3253">
        <v>2011</v>
      </c>
      <c r="G1112" s="3253">
        <v>2012</v>
      </c>
      <c r="H1112" s="3254">
        <f>CRCP_y1</f>
        <v>2013</v>
      </c>
      <c r="I1112" s="3254">
        <f>CRCP_y2</f>
        <v>2014</v>
      </c>
      <c r="J1112" s="3254">
        <f>CRCP_y3</f>
        <v>2015</v>
      </c>
      <c r="K1112" s="3254">
        <f>CRCP_y4</f>
        <v>2016</v>
      </c>
      <c r="L1112" s="3254">
        <f>CRCP_y5</f>
        <v>2017</v>
      </c>
      <c r="M1112" s="3253" t="str">
        <f t="array" ref="M1112:Q1112">FRCP</f>
        <v>2018</v>
      </c>
      <c r="N1112" s="3253">
        <v>2019</v>
      </c>
      <c r="O1112" s="3253">
        <v>2020</v>
      </c>
      <c r="P1112" s="3253">
        <v>2021</v>
      </c>
      <c r="Q1112" s="3255">
        <v>2022</v>
      </c>
    </row>
    <row r="1113" spans="2:17">
      <c r="B1113" s="3256" t="s">
        <v>1712</v>
      </c>
      <c r="C1113" s="3257"/>
      <c r="D1113" s="3258"/>
      <c r="E1113" s="3258"/>
      <c r="F1113" s="3258"/>
      <c r="G1113" s="3259"/>
      <c r="H1113" s="3257"/>
      <c r="I1113" s="3258"/>
      <c r="J1113" s="3258"/>
      <c r="K1113" s="3258"/>
      <c r="L1113" s="3258"/>
      <c r="M1113" s="3257"/>
      <c r="N1113" s="3258"/>
      <c r="O1113" s="3258"/>
      <c r="P1113" s="3258"/>
      <c r="Q1113" s="3259"/>
    </row>
    <row r="1114" spans="2:17">
      <c r="B1114" s="3260"/>
      <c r="C1114" s="3268"/>
      <c r="D1114" s="3269"/>
      <c r="E1114" s="3269"/>
      <c r="F1114" s="3269"/>
      <c r="G1114" s="3270"/>
      <c r="H1114" s="3268"/>
      <c r="I1114" s="3269"/>
      <c r="J1114" s="3269"/>
      <c r="K1114" s="3269"/>
      <c r="L1114" s="3271"/>
      <c r="M1114" s="3268"/>
      <c r="N1114" s="3269"/>
      <c r="O1114" s="3269"/>
      <c r="P1114" s="3269"/>
      <c r="Q1114" s="3270"/>
    </row>
    <row r="1115" spans="2:17">
      <c r="B1115" s="3260" t="s">
        <v>64</v>
      </c>
      <c r="C1115" s="3268"/>
      <c r="D1115" s="3269"/>
      <c r="E1115" s="3269"/>
      <c r="F1115" s="3269"/>
      <c r="G1115" s="3270"/>
      <c r="H1115" s="3268"/>
      <c r="I1115" s="3281">
        <v>5.6659999999999995</v>
      </c>
      <c r="J1115" s="3281">
        <v>5.6919999999999993</v>
      </c>
      <c r="K1115" s="3281">
        <v>5.6919999999999993</v>
      </c>
      <c r="L1115" s="3282">
        <v>5.6919999999999993</v>
      </c>
      <c r="M1115" s="3283">
        <v>5.6919999999999993</v>
      </c>
      <c r="N1115" s="3281">
        <v>5.6919999999999993</v>
      </c>
      <c r="O1115" s="3281">
        <v>5.6919999999999993</v>
      </c>
      <c r="P1115" s="3281">
        <v>4.9563497806099877</v>
      </c>
      <c r="Q1115" s="3284">
        <v>4.2758222881122894</v>
      </c>
    </row>
    <row r="1116" spans="2:17">
      <c r="B1116" s="3260" t="s">
        <v>65</v>
      </c>
      <c r="C1116" s="3268"/>
      <c r="D1116" s="3269"/>
      <c r="E1116" s="3269"/>
      <c r="F1116" s="3269"/>
      <c r="G1116" s="3270"/>
      <c r="H1116" s="3268"/>
      <c r="I1116" s="3281">
        <v>18.505000000000006</v>
      </c>
      <c r="J1116" s="3281">
        <v>18.505000000000006</v>
      </c>
      <c r="K1116" s="3281">
        <v>18.505000000000006</v>
      </c>
      <c r="L1116" s="3282">
        <v>18.505000000000006</v>
      </c>
      <c r="M1116" s="3283">
        <v>18.505000000000006</v>
      </c>
      <c r="N1116" s="3281">
        <v>18.505000000000006</v>
      </c>
      <c r="O1116" s="3281">
        <v>18.505000000000006</v>
      </c>
      <c r="P1116" s="3281">
        <v>16.113361329969759</v>
      </c>
      <c r="Q1116" s="3284">
        <v>13.900929627814119</v>
      </c>
    </row>
    <row r="1117" spans="2:17">
      <c r="B1117" s="3260" t="s">
        <v>82</v>
      </c>
      <c r="C1117" s="3268"/>
      <c r="D1117" s="3269"/>
      <c r="E1117" s="3269"/>
      <c r="F1117" s="3269"/>
      <c r="G1117" s="3270"/>
      <c r="H1117" s="3268"/>
      <c r="I1117" s="3281">
        <v>0</v>
      </c>
      <c r="J1117" s="3281">
        <v>0</v>
      </c>
      <c r="K1117" s="3281">
        <v>0</v>
      </c>
      <c r="L1117" s="3282">
        <v>0</v>
      </c>
      <c r="M1117" s="3283">
        <v>0</v>
      </c>
      <c r="N1117" s="3281">
        <v>0</v>
      </c>
      <c r="O1117" s="3281">
        <v>0</v>
      </c>
      <c r="P1117" s="3281">
        <v>0</v>
      </c>
      <c r="Q1117" s="3284">
        <v>0</v>
      </c>
    </row>
    <row r="1118" spans="2:17">
      <c r="B1118" s="3260" t="s">
        <v>680</v>
      </c>
      <c r="C1118" s="3268"/>
      <c r="D1118" s="3269"/>
      <c r="E1118" s="3269"/>
      <c r="F1118" s="3269"/>
      <c r="G1118" s="3270"/>
      <c r="H1118" s="3268"/>
      <c r="I1118" s="3281">
        <v>0</v>
      </c>
      <c r="J1118" s="3281">
        <v>0</v>
      </c>
      <c r="K1118" s="3281">
        <v>0</v>
      </c>
      <c r="L1118" s="3282">
        <v>0</v>
      </c>
      <c r="M1118" s="3283">
        <v>0</v>
      </c>
      <c r="N1118" s="3281">
        <v>0</v>
      </c>
      <c r="O1118" s="3281">
        <v>0</v>
      </c>
      <c r="P1118" s="3281">
        <v>0</v>
      </c>
      <c r="Q1118" s="3284">
        <v>0</v>
      </c>
    </row>
    <row r="1119" spans="2:17">
      <c r="B1119" s="3260" t="s">
        <v>681</v>
      </c>
      <c r="C1119" s="3268"/>
      <c r="D1119" s="3269"/>
      <c r="E1119" s="3269"/>
      <c r="F1119" s="3269"/>
      <c r="G1119" s="3270"/>
      <c r="H1119" s="3268"/>
      <c r="I1119" s="3281">
        <v>15.639000000000005</v>
      </c>
      <c r="J1119" s="3281">
        <v>15.806000000000004</v>
      </c>
      <c r="K1119" s="3281">
        <v>15.806000000000004</v>
      </c>
      <c r="L1119" s="3282">
        <v>15.806000000000004</v>
      </c>
      <c r="M1119" s="3283">
        <v>15.806000000000004</v>
      </c>
      <c r="N1119" s="3281">
        <v>15.806000000000004</v>
      </c>
      <c r="O1119" s="3281">
        <v>15.806000000000004</v>
      </c>
      <c r="P1119" s="3281">
        <v>24.573187742853392</v>
      </c>
      <c r="Q1119" s="3284">
        <v>32.683444674262631</v>
      </c>
    </row>
    <row r="1120" spans="2:17">
      <c r="B1120" s="3260" t="s">
        <v>682</v>
      </c>
      <c r="C1120" s="3268"/>
      <c r="D1120" s="3269"/>
      <c r="E1120" s="3269"/>
      <c r="F1120" s="3269"/>
      <c r="G1120" s="3270"/>
      <c r="H1120" s="3268"/>
      <c r="I1120" s="3281">
        <v>0</v>
      </c>
      <c r="J1120" s="3281">
        <v>0</v>
      </c>
      <c r="K1120" s="3281">
        <v>0</v>
      </c>
      <c r="L1120" s="3282">
        <v>0</v>
      </c>
      <c r="M1120" s="3283">
        <v>0</v>
      </c>
      <c r="N1120" s="3281">
        <v>0</v>
      </c>
      <c r="O1120" s="3281">
        <v>0</v>
      </c>
      <c r="P1120" s="3281">
        <v>0</v>
      </c>
      <c r="Q1120" s="3284">
        <v>0</v>
      </c>
    </row>
    <row r="1121" spans="2:17">
      <c r="B1121" s="3260" t="s">
        <v>66</v>
      </c>
      <c r="C1121" s="3268"/>
      <c r="D1121" s="3269"/>
      <c r="E1121" s="3269"/>
      <c r="F1121" s="3269"/>
      <c r="G1121" s="3270"/>
      <c r="H1121" s="3268"/>
      <c r="I1121" s="3281">
        <v>2.2989999999999999</v>
      </c>
      <c r="J1121" s="3281">
        <v>2.2169999999999996</v>
      </c>
      <c r="K1121" s="3281">
        <v>2.2169999999999996</v>
      </c>
      <c r="L1121" s="3282">
        <v>2.2169999999999996</v>
      </c>
      <c r="M1121" s="3283">
        <v>2.2169999999999996</v>
      </c>
      <c r="N1121" s="3281">
        <v>2.2169999999999996</v>
      </c>
      <c r="O1121" s="3281">
        <v>2.2169999999999996</v>
      </c>
      <c r="P1121" s="3281">
        <v>1.9304686338039954</v>
      </c>
      <c r="Q1121" s="3284">
        <v>1.6654072404681912</v>
      </c>
    </row>
    <row r="1122" spans="2:17" ht="13.5" thickBot="1">
      <c r="B1122" s="3260" t="s">
        <v>67</v>
      </c>
      <c r="C1122" s="3268"/>
      <c r="D1122" s="3269"/>
      <c r="E1122" s="3269"/>
      <c r="F1122" s="3269"/>
      <c r="G1122" s="3270"/>
      <c r="H1122" s="3268"/>
      <c r="I1122" s="3281">
        <v>41.421000000000021</v>
      </c>
      <c r="J1122" s="3281">
        <v>41.421000000000021</v>
      </c>
      <c r="K1122" s="3281">
        <v>41.421000000000021</v>
      </c>
      <c r="L1122" s="3282">
        <v>41.421000000000021</v>
      </c>
      <c r="M1122" s="3285">
        <v>41.421000000000021</v>
      </c>
      <c r="N1122" s="3286">
        <v>41.421000000000021</v>
      </c>
      <c r="O1122" s="3286">
        <v>41.421000000000021</v>
      </c>
      <c r="P1122" s="3286">
        <v>36.067632512762899</v>
      </c>
      <c r="Q1122" s="3287">
        <v>31.115396169342805</v>
      </c>
    </row>
    <row r="1123" spans="2:17" ht="12.75" customHeight="1">
      <c r="B1123" s="4689">
        <v>3335</v>
      </c>
      <c r="C1123" s="4691" t="s">
        <v>36</v>
      </c>
      <c r="D1123" s="4692"/>
      <c r="E1123" s="4692"/>
      <c r="F1123" s="4692"/>
      <c r="G1123" s="4692"/>
      <c r="H1123" s="4693" t="s">
        <v>37</v>
      </c>
      <c r="I1123" s="4694"/>
      <c r="J1123" s="4694"/>
      <c r="K1123" s="4694"/>
      <c r="L1123" s="4694"/>
      <c r="M1123" s="4695" t="s">
        <v>73</v>
      </c>
      <c r="N1123" s="4695"/>
      <c r="O1123" s="4695"/>
      <c r="P1123" s="4695"/>
      <c r="Q1123" s="4696"/>
    </row>
    <row r="1124" spans="2:17" ht="12.75" customHeight="1">
      <c r="B1124" s="4690"/>
      <c r="C1124" s="4697" t="s">
        <v>1673</v>
      </c>
      <c r="D1124" s="4698"/>
      <c r="E1124" s="4698"/>
      <c r="F1124" s="4698"/>
      <c r="G1124" s="4698"/>
      <c r="H1124" s="4698"/>
      <c r="I1124" s="4698"/>
      <c r="J1124" s="4698"/>
      <c r="K1124" s="4698"/>
      <c r="L1124" s="4698"/>
      <c r="M1124" s="4698"/>
      <c r="N1124" s="4698"/>
      <c r="O1124" s="4698"/>
      <c r="P1124" s="4698"/>
      <c r="Q1124" s="4699"/>
    </row>
    <row r="1125" spans="2:17" ht="12.75" customHeight="1">
      <c r="B1125" s="4690"/>
      <c r="C1125" s="4697" t="s">
        <v>54</v>
      </c>
      <c r="D1125" s="4698"/>
      <c r="E1125" s="4698"/>
      <c r="F1125" s="4698"/>
      <c r="G1125" s="4698"/>
      <c r="H1125" s="4698"/>
      <c r="I1125" s="4698"/>
      <c r="J1125" s="4700"/>
      <c r="K1125" s="4701" t="s">
        <v>55</v>
      </c>
      <c r="L1125" s="4702"/>
      <c r="M1125" s="4702"/>
      <c r="N1125" s="4702"/>
      <c r="O1125" s="4702"/>
      <c r="P1125" s="4702"/>
      <c r="Q1125" s="4703"/>
    </row>
    <row r="1126" spans="2:17" ht="13.5" customHeight="1" thickBot="1">
      <c r="B1126" s="4690"/>
      <c r="C1126" s="3252">
        <f t="array" ref="C1126:G1126">PRCP</f>
        <v>2008</v>
      </c>
      <c r="D1126" s="3253">
        <v>2009</v>
      </c>
      <c r="E1126" s="3253">
        <v>2010</v>
      </c>
      <c r="F1126" s="3253">
        <v>2011</v>
      </c>
      <c r="G1126" s="3253">
        <v>2012</v>
      </c>
      <c r="H1126" s="3254">
        <f>CRCP_y1</f>
        <v>2013</v>
      </c>
      <c r="I1126" s="3254">
        <f>CRCP_y2</f>
        <v>2014</v>
      </c>
      <c r="J1126" s="3254">
        <f>CRCP_y3</f>
        <v>2015</v>
      </c>
      <c r="K1126" s="3254">
        <f>CRCP_y4</f>
        <v>2016</v>
      </c>
      <c r="L1126" s="3254">
        <f>CRCP_y5</f>
        <v>2017</v>
      </c>
      <c r="M1126" s="3253" t="str">
        <f t="array" ref="M1126:Q1126">FRCP</f>
        <v>2018</v>
      </c>
      <c r="N1126" s="3253">
        <v>2019</v>
      </c>
      <c r="O1126" s="3253">
        <v>2020</v>
      </c>
      <c r="P1126" s="3253">
        <v>2021</v>
      </c>
      <c r="Q1126" s="3255">
        <v>2022</v>
      </c>
    </row>
    <row r="1127" spans="2:17">
      <c r="B1127" s="3256" t="s">
        <v>1712</v>
      </c>
      <c r="C1127" s="3257"/>
      <c r="D1127" s="3258"/>
      <c r="E1127" s="3258"/>
      <c r="F1127" s="3258"/>
      <c r="G1127" s="3259"/>
      <c r="H1127" s="3257"/>
      <c r="I1127" s="3258"/>
      <c r="J1127" s="3258"/>
      <c r="K1127" s="3258"/>
      <c r="L1127" s="3258"/>
      <c r="M1127" s="3257"/>
      <c r="N1127" s="3258"/>
      <c r="O1127" s="3258"/>
      <c r="P1127" s="3258"/>
      <c r="Q1127" s="3259"/>
    </row>
    <row r="1128" spans="2:17">
      <c r="B1128" s="3260"/>
      <c r="C1128" s="3268"/>
      <c r="D1128" s="3269"/>
      <c r="E1128" s="3269"/>
      <c r="F1128" s="3269"/>
      <c r="G1128" s="3270"/>
      <c r="H1128" s="3268"/>
      <c r="I1128" s="3269"/>
      <c r="J1128" s="3269"/>
      <c r="K1128" s="3269"/>
      <c r="L1128" s="3271"/>
      <c r="M1128" s="3268"/>
      <c r="N1128" s="3269"/>
      <c r="O1128" s="3269"/>
      <c r="P1128" s="3269"/>
      <c r="Q1128" s="3270"/>
    </row>
    <row r="1129" spans="2:17">
      <c r="B1129" s="3260" t="s">
        <v>64</v>
      </c>
      <c r="C1129" s="3268"/>
      <c r="D1129" s="3269"/>
      <c r="E1129" s="3269"/>
      <c r="F1129" s="3269"/>
      <c r="G1129" s="3270"/>
      <c r="H1129" s="3268"/>
      <c r="I1129" s="3281">
        <v>0</v>
      </c>
      <c r="J1129" s="3281">
        <v>0</v>
      </c>
      <c r="K1129" s="3281">
        <v>0</v>
      </c>
      <c r="L1129" s="3282">
        <v>0</v>
      </c>
      <c r="M1129" s="3283">
        <v>0</v>
      </c>
      <c r="N1129" s="3281">
        <v>0</v>
      </c>
      <c r="O1129" s="3281">
        <v>0</v>
      </c>
      <c r="P1129" s="3281">
        <v>0</v>
      </c>
      <c r="Q1129" s="3284">
        <v>0</v>
      </c>
    </row>
    <row r="1130" spans="2:17">
      <c r="B1130" s="3260" t="s">
        <v>65</v>
      </c>
      <c r="C1130" s="3268"/>
      <c r="D1130" s="3269"/>
      <c r="E1130" s="3269"/>
      <c r="F1130" s="3269"/>
      <c r="G1130" s="3270"/>
      <c r="H1130" s="3268"/>
      <c r="I1130" s="3281">
        <v>0</v>
      </c>
      <c r="J1130" s="3281">
        <v>0</v>
      </c>
      <c r="K1130" s="3281">
        <v>0</v>
      </c>
      <c r="L1130" s="3282">
        <v>0</v>
      </c>
      <c r="M1130" s="3283">
        <v>0</v>
      </c>
      <c r="N1130" s="3281">
        <v>0</v>
      </c>
      <c r="O1130" s="3281">
        <v>0</v>
      </c>
      <c r="P1130" s="3281">
        <v>0</v>
      </c>
      <c r="Q1130" s="3284">
        <v>0</v>
      </c>
    </row>
    <row r="1131" spans="2:17">
      <c r="B1131" s="3260" t="s">
        <v>82</v>
      </c>
      <c r="C1131" s="3268"/>
      <c r="D1131" s="3269"/>
      <c r="E1131" s="3269"/>
      <c r="F1131" s="3269"/>
      <c r="G1131" s="3270"/>
      <c r="H1131" s="3268"/>
      <c r="I1131" s="3281">
        <v>0</v>
      </c>
      <c r="J1131" s="3281">
        <v>0</v>
      </c>
      <c r="K1131" s="3281">
        <v>0</v>
      </c>
      <c r="L1131" s="3282">
        <v>0</v>
      </c>
      <c r="M1131" s="3283">
        <v>0</v>
      </c>
      <c r="N1131" s="3281">
        <v>0</v>
      </c>
      <c r="O1131" s="3281">
        <v>0</v>
      </c>
      <c r="P1131" s="3281">
        <v>0</v>
      </c>
      <c r="Q1131" s="3284">
        <v>0</v>
      </c>
    </row>
    <row r="1132" spans="2:17">
      <c r="B1132" s="3260" t="s">
        <v>680</v>
      </c>
      <c r="C1132" s="3268"/>
      <c r="D1132" s="3269"/>
      <c r="E1132" s="3269"/>
      <c r="F1132" s="3269"/>
      <c r="G1132" s="3270"/>
      <c r="H1132" s="3268"/>
      <c r="I1132" s="3281">
        <v>0</v>
      </c>
      <c r="J1132" s="3281">
        <v>0</v>
      </c>
      <c r="K1132" s="3281">
        <v>0</v>
      </c>
      <c r="L1132" s="3282">
        <v>0</v>
      </c>
      <c r="M1132" s="3283">
        <v>0</v>
      </c>
      <c r="N1132" s="3281">
        <v>0</v>
      </c>
      <c r="O1132" s="3281">
        <v>0</v>
      </c>
      <c r="P1132" s="3281">
        <v>0</v>
      </c>
      <c r="Q1132" s="3284">
        <v>0</v>
      </c>
    </row>
    <row r="1133" spans="2:17">
      <c r="B1133" s="3260" t="s">
        <v>681</v>
      </c>
      <c r="C1133" s="3268"/>
      <c r="D1133" s="3269"/>
      <c r="E1133" s="3269"/>
      <c r="F1133" s="3269"/>
      <c r="G1133" s="3270"/>
      <c r="H1133" s="3268"/>
      <c r="I1133" s="3281">
        <v>13.398999999999999</v>
      </c>
      <c r="J1133" s="3281">
        <v>20.327000000000002</v>
      </c>
      <c r="K1133" s="3281">
        <v>20.733540000000001</v>
      </c>
      <c r="L1133" s="3282">
        <v>21.148210800000001</v>
      </c>
      <c r="M1133" s="3283">
        <v>21.571175016000002</v>
      </c>
      <c r="N1133" s="3281">
        <v>22.002598516320003</v>
      </c>
      <c r="O1133" s="3281">
        <v>22.442650486646404</v>
      </c>
      <c r="P1133" s="3281">
        <v>22.891503496379332</v>
      </c>
      <c r="Q1133" s="3284">
        <v>23.349333566306921</v>
      </c>
    </row>
    <row r="1134" spans="2:17">
      <c r="B1134" s="3260" t="s">
        <v>682</v>
      </c>
      <c r="C1134" s="3268"/>
      <c r="D1134" s="3269"/>
      <c r="E1134" s="3269"/>
      <c r="F1134" s="3269"/>
      <c r="G1134" s="3270"/>
      <c r="H1134" s="3268"/>
      <c r="I1134" s="3281">
        <v>0</v>
      </c>
      <c r="J1134" s="3281">
        <v>0</v>
      </c>
      <c r="K1134" s="3281">
        <v>0</v>
      </c>
      <c r="L1134" s="3282">
        <v>0</v>
      </c>
      <c r="M1134" s="3283">
        <v>0</v>
      </c>
      <c r="N1134" s="3281">
        <v>0</v>
      </c>
      <c r="O1134" s="3281">
        <v>0</v>
      </c>
      <c r="P1134" s="3281">
        <v>0</v>
      </c>
      <c r="Q1134" s="3284">
        <v>0</v>
      </c>
    </row>
    <row r="1135" spans="2:17">
      <c r="B1135" s="3260" t="s">
        <v>66</v>
      </c>
      <c r="C1135" s="3268"/>
      <c r="D1135" s="3269"/>
      <c r="E1135" s="3269"/>
      <c r="F1135" s="3269"/>
      <c r="G1135" s="3270"/>
      <c r="H1135" s="3268"/>
      <c r="I1135" s="3281">
        <v>0</v>
      </c>
      <c r="J1135" s="3281">
        <v>0</v>
      </c>
      <c r="K1135" s="3281">
        <v>0</v>
      </c>
      <c r="L1135" s="3282">
        <v>0</v>
      </c>
      <c r="M1135" s="3283">
        <v>0</v>
      </c>
      <c r="N1135" s="3281">
        <v>0</v>
      </c>
      <c r="O1135" s="3281">
        <v>0</v>
      </c>
      <c r="P1135" s="3281">
        <v>0</v>
      </c>
      <c r="Q1135" s="3284">
        <v>0</v>
      </c>
    </row>
    <row r="1136" spans="2:17" ht="13.5" thickBot="1">
      <c r="B1136" s="3260" t="s">
        <v>67</v>
      </c>
      <c r="C1136" s="3268"/>
      <c r="D1136" s="3269"/>
      <c r="E1136" s="3269"/>
      <c r="F1136" s="3269"/>
      <c r="G1136" s="3270"/>
      <c r="H1136" s="3268"/>
      <c r="I1136" s="3281">
        <v>2.3380000000000001</v>
      </c>
      <c r="J1136" s="3281">
        <v>2.3380000000000001</v>
      </c>
      <c r="K1136" s="3281">
        <v>2.3380000000000001</v>
      </c>
      <c r="L1136" s="3282">
        <v>3.3380000000000001</v>
      </c>
      <c r="M1136" s="3285">
        <v>4.3380000000000001</v>
      </c>
      <c r="N1136" s="3286">
        <v>5.3380000000000001</v>
      </c>
      <c r="O1136" s="3286">
        <v>6.3380000000000001</v>
      </c>
      <c r="P1136" s="3286">
        <v>7.3380000000000001</v>
      </c>
      <c r="Q1136" s="3287">
        <v>8.3379999999999992</v>
      </c>
    </row>
    <row r="1137" spans="2:17" ht="12.75" customHeight="1">
      <c r="B1137" s="4689">
        <v>3337</v>
      </c>
      <c r="C1137" s="4691" t="s">
        <v>36</v>
      </c>
      <c r="D1137" s="4692"/>
      <c r="E1137" s="4692"/>
      <c r="F1137" s="4692"/>
      <c r="G1137" s="4692"/>
      <c r="H1137" s="4693" t="s">
        <v>37</v>
      </c>
      <c r="I1137" s="4694"/>
      <c r="J1137" s="4694"/>
      <c r="K1137" s="4694"/>
      <c r="L1137" s="4694"/>
      <c r="M1137" s="4695" t="s">
        <v>73</v>
      </c>
      <c r="N1137" s="4695"/>
      <c r="O1137" s="4695"/>
      <c r="P1137" s="4695"/>
      <c r="Q1137" s="4696"/>
    </row>
    <row r="1138" spans="2:17" ht="12.75" customHeight="1">
      <c r="B1138" s="4690"/>
      <c r="C1138" s="4697" t="s">
        <v>1673</v>
      </c>
      <c r="D1138" s="4698"/>
      <c r="E1138" s="4698"/>
      <c r="F1138" s="4698"/>
      <c r="G1138" s="4698"/>
      <c r="H1138" s="4698"/>
      <c r="I1138" s="4698"/>
      <c r="J1138" s="4698"/>
      <c r="K1138" s="4698"/>
      <c r="L1138" s="4698"/>
      <c r="M1138" s="4698"/>
      <c r="N1138" s="4698"/>
      <c r="O1138" s="4698"/>
      <c r="P1138" s="4698"/>
      <c r="Q1138" s="4699"/>
    </row>
    <row r="1139" spans="2:17" ht="12.75" customHeight="1">
      <c r="B1139" s="4690"/>
      <c r="C1139" s="4697" t="s">
        <v>54</v>
      </c>
      <c r="D1139" s="4698"/>
      <c r="E1139" s="4698"/>
      <c r="F1139" s="4698"/>
      <c r="G1139" s="4698"/>
      <c r="H1139" s="4698"/>
      <c r="I1139" s="4698"/>
      <c r="J1139" s="4700"/>
      <c r="K1139" s="4701" t="s">
        <v>55</v>
      </c>
      <c r="L1139" s="4702"/>
      <c r="M1139" s="4702"/>
      <c r="N1139" s="4702"/>
      <c r="O1139" s="4702"/>
      <c r="P1139" s="4702"/>
      <c r="Q1139" s="4703"/>
    </row>
    <row r="1140" spans="2:17" ht="13.5" customHeight="1" thickBot="1">
      <c r="B1140" s="4690"/>
      <c r="C1140" s="3252">
        <f t="array" ref="C1140:G1140">PRCP</f>
        <v>2008</v>
      </c>
      <c r="D1140" s="3253">
        <v>2009</v>
      </c>
      <c r="E1140" s="3253">
        <v>2010</v>
      </c>
      <c r="F1140" s="3253">
        <v>2011</v>
      </c>
      <c r="G1140" s="3253">
        <v>2012</v>
      </c>
      <c r="H1140" s="3254">
        <f>CRCP_y1</f>
        <v>2013</v>
      </c>
      <c r="I1140" s="3254">
        <f>CRCP_y2</f>
        <v>2014</v>
      </c>
      <c r="J1140" s="3254">
        <f>CRCP_y3</f>
        <v>2015</v>
      </c>
      <c r="K1140" s="3254">
        <f>CRCP_y4</f>
        <v>2016</v>
      </c>
      <c r="L1140" s="3254">
        <f>CRCP_y5</f>
        <v>2017</v>
      </c>
      <c r="M1140" s="3253" t="str">
        <f t="array" ref="M1140:Q1140">FRCP</f>
        <v>2018</v>
      </c>
      <c r="N1140" s="3253">
        <v>2019</v>
      </c>
      <c r="O1140" s="3253">
        <v>2020</v>
      </c>
      <c r="P1140" s="3253">
        <v>2021</v>
      </c>
      <c r="Q1140" s="3255">
        <v>2022</v>
      </c>
    </row>
    <row r="1141" spans="2:17">
      <c r="B1141" s="3256" t="s">
        <v>1713</v>
      </c>
      <c r="C1141" s="3257"/>
      <c r="D1141" s="3258"/>
      <c r="E1141" s="3258"/>
      <c r="F1141" s="3258"/>
      <c r="G1141" s="3259"/>
      <c r="H1141" s="3257"/>
      <c r="I1141" s="3258"/>
      <c r="J1141" s="3258"/>
      <c r="K1141" s="3258"/>
      <c r="L1141" s="3258"/>
      <c r="M1141" s="3257"/>
      <c r="N1141" s="3258"/>
      <c r="O1141" s="3258"/>
      <c r="P1141" s="3258"/>
      <c r="Q1141" s="3259"/>
    </row>
    <row r="1142" spans="2:17">
      <c r="B1142" s="3260"/>
      <c r="C1142" s="3268"/>
      <c r="D1142" s="3269"/>
      <c r="E1142" s="3269"/>
      <c r="F1142" s="3269"/>
      <c r="G1142" s="3270"/>
      <c r="H1142" s="3268"/>
      <c r="I1142" s="3269"/>
      <c r="J1142" s="3269"/>
      <c r="K1142" s="3269"/>
      <c r="L1142" s="3271"/>
      <c r="M1142" s="3268"/>
      <c r="N1142" s="3269"/>
      <c r="O1142" s="3269"/>
      <c r="P1142" s="3269"/>
      <c r="Q1142" s="3270"/>
    </row>
    <row r="1143" spans="2:17">
      <c r="B1143" s="3260" t="s">
        <v>64</v>
      </c>
      <c r="C1143" s="3268"/>
      <c r="D1143" s="3269"/>
      <c r="E1143" s="3269"/>
      <c r="F1143" s="3269"/>
      <c r="G1143" s="3270"/>
      <c r="H1143" s="3268"/>
      <c r="I1143" s="3281">
        <v>0</v>
      </c>
      <c r="J1143" s="3281">
        <v>0</v>
      </c>
      <c r="K1143" s="3281">
        <v>0</v>
      </c>
      <c r="L1143" s="3282">
        <v>0</v>
      </c>
      <c r="M1143" s="3283">
        <v>0</v>
      </c>
      <c r="N1143" s="3281">
        <v>0</v>
      </c>
      <c r="O1143" s="3281">
        <v>0</v>
      </c>
      <c r="P1143" s="3281">
        <v>0</v>
      </c>
      <c r="Q1143" s="3284">
        <v>0</v>
      </c>
    </row>
    <row r="1144" spans="2:17">
      <c r="B1144" s="3260" t="s">
        <v>65</v>
      </c>
      <c r="C1144" s="3268"/>
      <c r="D1144" s="3269"/>
      <c r="E1144" s="3269"/>
      <c r="F1144" s="3269"/>
      <c r="G1144" s="3270"/>
      <c r="H1144" s="3268"/>
      <c r="I1144" s="3281">
        <v>0</v>
      </c>
      <c r="J1144" s="3281">
        <v>0</v>
      </c>
      <c r="K1144" s="3281">
        <v>0</v>
      </c>
      <c r="L1144" s="3282">
        <v>0</v>
      </c>
      <c r="M1144" s="3283">
        <v>0</v>
      </c>
      <c r="N1144" s="3281">
        <v>0</v>
      </c>
      <c r="O1144" s="3281">
        <v>0</v>
      </c>
      <c r="P1144" s="3281">
        <v>0</v>
      </c>
      <c r="Q1144" s="3284">
        <v>0</v>
      </c>
    </row>
    <row r="1145" spans="2:17">
      <c r="B1145" s="3260" t="s">
        <v>82</v>
      </c>
      <c r="C1145" s="3268"/>
      <c r="D1145" s="3269"/>
      <c r="E1145" s="3269"/>
      <c r="F1145" s="3269"/>
      <c r="G1145" s="3270"/>
      <c r="H1145" s="3268"/>
      <c r="I1145" s="3281">
        <v>0</v>
      </c>
      <c r="J1145" s="3281">
        <v>0</v>
      </c>
      <c r="K1145" s="3281">
        <v>0</v>
      </c>
      <c r="L1145" s="3282">
        <v>0</v>
      </c>
      <c r="M1145" s="3283">
        <v>0</v>
      </c>
      <c r="N1145" s="3281">
        <v>0</v>
      </c>
      <c r="O1145" s="3281">
        <v>0</v>
      </c>
      <c r="P1145" s="3281">
        <v>0</v>
      </c>
      <c r="Q1145" s="3284">
        <v>0</v>
      </c>
    </row>
    <row r="1146" spans="2:17">
      <c r="B1146" s="3260" t="s">
        <v>680</v>
      </c>
      <c r="C1146" s="3268"/>
      <c r="D1146" s="3269"/>
      <c r="E1146" s="3269"/>
      <c r="F1146" s="3269"/>
      <c r="G1146" s="3270"/>
      <c r="H1146" s="3268"/>
      <c r="I1146" s="3281">
        <v>0</v>
      </c>
      <c r="J1146" s="3281">
        <v>0</v>
      </c>
      <c r="K1146" s="3281">
        <v>0</v>
      </c>
      <c r="L1146" s="3282">
        <v>0</v>
      </c>
      <c r="M1146" s="3283">
        <v>0</v>
      </c>
      <c r="N1146" s="3281">
        <v>0</v>
      </c>
      <c r="O1146" s="3281">
        <v>0</v>
      </c>
      <c r="P1146" s="3281">
        <v>0</v>
      </c>
      <c r="Q1146" s="3284">
        <v>0</v>
      </c>
    </row>
    <row r="1147" spans="2:17">
      <c r="B1147" s="3260" t="s">
        <v>681</v>
      </c>
      <c r="C1147" s="3268"/>
      <c r="D1147" s="3269"/>
      <c r="E1147" s="3269"/>
      <c r="F1147" s="3269"/>
      <c r="G1147" s="3270"/>
      <c r="H1147" s="3268"/>
      <c r="I1147" s="3281">
        <v>169.64100000000022</v>
      </c>
      <c r="J1147" s="3281">
        <v>171.44600000000031</v>
      </c>
      <c r="K1147" s="3281">
        <v>174.87492000000032</v>
      </c>
      <c r="L1147" s="3282">
        <v>178.37241840000033</v>
      </c>
      <c r="M1147" s="3283">
        <v>181.93986676800034</v>
      </c>
      <c r="N1147" s="3281">
        <v>185.57866410336035</v>
      </c>
      <c r="O1147" s="3281">
        <v>189.29023738542756</v>
      </c>
      <c r="P1147" s="3281">
        <v>193.07604213313613</v>
      </c>
      <c r="Q1147" s="3284">
        <v>196.93756297579884</v>
      </c>
    </row>
    <row r="1148" spans="2:17">
      <c r="B1148" s="3260" t="s">
        <v>682</v>
      </c>
      <c r="C1148" s="3268"/>
      <c r="D1148" s="3269"/>
      <c r="E1148" s="3269"/>
      <c r="F1148" s="3269"/>
      <c r="G1148" s="3270"/>
      <c r="H1148" s="3268"/>
      <c r="I1148" s="3281">
        <v>0.42600000000000005</v>
      </c>
      <c r="J1148" s="3281">
        <v>0.42600000000000005</v>
      </c>
      <c r="K1148" s="3281">
        <v>0.42600000000000005</v>
      </c>
      <c r="L1148" s="3282">
        <v>0.42600000000000005</v>
      </c>
      <c r="M1148" s="3283">
        <v>0.42600000000000005</v>
      </c>
      <c r="N1148" s="3281">
        <v>0.42600000000000005</v>
      </c>
      <c r="O1148" s="3281">
        <v>0.42600000000000005</v>
      </c>
      <c r="P1148" s="3281">
        <v>0.42600000000000005</v>
      </c>
      <c r="Q1148" s="3284">
        <v>0.42600000000000005</v>
      </c>
    </row>
    <row r="1149" spans="2:17">
      <c r="B1149" s="3260" t="s">
        <v>66</v>
      </c>
      <c r="C1149" s="3268"/>
      <c r="D1149" s="3269"/>
      <c r="E1149" s="3269"/>
      <c r="F1149" s="3269"/>
      <c r="G1149" s="3270"/>
      <c r="H1149" s="3268"/>
      <c r="I1149" s="3281">
        <v>0</v>
      </c>
      <c r="J1149" s="3281">
        <v>0</v>
      </c>
      <c r="K1149" s="3281">
        <v>0</v>
      </c>
      <c r="L1149" s="3282">
        <v>0</v>
      </c>
      <c r="M1149" s="3283">
        <v>0</v>
      </c>
      <c r="N1149" s="3281">
        <v>0</v>
      </c>
      <c r="O1149" s="3281">
        <v>0</v>
      </c>
      <c r="P1149" s="3281">
        <v>0</v>
      </c>
      <c r="Q1149" s="3284">
        <v>0</v>
      </c>
    </row>
    <row r="1150" spans="2:17" ht="13.5" thickBot="1">
      <c r="B1150" s="3260" t="s">
        <v>67</v>
      </c>
      <c r="C1150" s="3268"/>
      <c r="D1150" s="3269"/>
      <c r="E1150" s="3269"/>
      <c r="F1150" s="3269"/>
      <c r="G1150" s="3270"/>
      <c r="H1150" s="3268"/>
      <c r="I1150" s="3281">
        <v>54.704000000000022</v>
      </c>
      <c r="J1150" s="3281">
        <v>54.889000000000017</v>
      </c>
      <c r="K1150" s="3281">
        <v>54.889000000000017</v>
      </c>
      <c r="L1150" s="3282">
        <v>54.889000000000017</v>
      </c>
      <c r="M1150" s="3285">
        <v>54.889000000000017</v>
      </c>
      <c r="N1150" s="3286">
        <v>54.889000000000017</v>
      </c>
      <c r="O1150" s="3286">
        <v>54.889000000000017</v>
      </c>
      <c r="P1150" s="3286">
        <v>54.889000000000017</v>
      </c>
      <c r="Q1150" s="3287">
        <v>54.889000000000017</v>
      </c>
    </row>
    <row r="1151" spans="2:17" ht="12.75" customHeight="1">
      <c r="B1151" s="4689">
        <v>3338</v>
      </c>
      <c r="C1151" s="4691" t="s">
        <v>36</v>
      </c>
      <c r="D1151" s="4692"/>
      <c r="E1151" s="4692"/>
      <c r="F1151" s="4692"/>
      <c r="G1151" s="4692"/>
      <c r="H1151" s="4693" t="s">
        <v>37</v>
      </c>
      <c r="I1151" s="4694"/>
      <c r="J1151" s="4694"/>
      <c r="K1151" s="4694"/>
      <c r="L1151" s="4694"/>
      <c r="M1151" s="4695" t="s">
        <v>73</v>
      </c>
      <c r="N1151" s="4695"/>
      <c r="O1151" s="4695"/>
      <c r="P1151" s="4695"/>
      <c r="Q1151" s="4696"/>
    </row>
    <row r="1152" spans="2:17" ht="12.75" customHeight="1">
      <c r="B1152" s="4690"/>
      <c r="C1152" s="4697" t="s">
        <v>1673</v>
      </c>
      <c r="D1152" s="4698"/>
      <c r="E1152" s="4698"/>
      <c r="F1152" s="4698"/>
      <c r="G1152" s="4698"/>
      <c r="H1152" s="4698"/>
      <c r="I1152" s="4698"/>
      <c r="J1152" s="4698"/>
      <c r="K1152" s="4698"/>
      <c r="L1152" s="4698"/>
      <c r="M1152" s="4698"/>
      <c r="N1152" s="4698"/>
      <c r="O1152" s="4698"/>
      <c r="P1152" s="4698"/>
      <c r="Q1152" s="4699"/>
    </row>
    <row r="1153" spans="2:17" ht="12.75" customHeight="1">
      <c r="B1153" s="4690"/>
      <c r="C1153" s="4697" t="s">
        <v>54</v>
      </c>
      <c r="D1153" s="4698"/>
      <c r="E1153" s="4698"/>
      <c r="F1153" s="4698"/>
      <c r="G1153" s="4698"/>
      <c r="H1153" s="4698"/>
      <c r="I1153" s="4698"/>
      <c r="J1153" s="4700"/>
      <c r="K1153" s="4701" t="s">
        <v>55</v>
      </c>
      <c r="L1153" s="4702"/>
      <c r="M1153" s="4702"/>
      <c r="N1153" s="4702"/>
      <c r="O1153" s="4702"/>
      <c r="P1153" s="4702"/>
      <c r="Q1153" s="4703"/>
    </row>
    <row r="1154" spans="2:17" ht="13.5" customHeight="1" thickBot="1">
      <c r="B1154" s="4690"/>
      <c r="C1154" s="3252">
        <f t="array" ref="C1154:G1154">PRCP</f>
        <v>2008</v>
      </c>
      <c r="D1154" s="3253">
        <v>2009</v>
      </c>
      <c r="E1154" s="3253">
        <v>2010</v>
      </c>
      <c r="F1154" s="3253">
        <v>2011</v>
      </c>
      <c r="G1154" s="3253">
        <v>2012</v>
      </c>
      <c r="H1154" s="3254">
        <f>CRCP_y1</f>
        <v>2013</v>
      </c>
      <c r="I1154" s="3254">
        <f>CRCP_y2</f>
        <v>2014</v>
      </c>
      <c r="J1154" s="3254">
        <f>CRCP_y3</f>
        <v>2015</v>
      </c>
      <c r="K1154" s="3254">
        <f>CRCP_y4</f>
        <v>2016</v>
      </c>
      <c r="L1154" s="3254">
        <f>CRCP_y5</f>
        <v>2017</v>
      </c>
      <c r="M1154" s="3253" t="str">
        <f t="array" ref="M1154:Q1154">FRCP</f>
        <v>2018</v>
      </c>
      <c r="N1154" s="3253">
        <v>2019</v>
      </c>
      <c r="O1154" s="3253">
        <v>2020</v>
      </c>
      <c r="P1154" s="3253">
        <v>2021</v>
      </c>
      <c r="Q1154" s="3255">
        <v>2022</v>
      </c>
    </row>
    <row r="1155" spans="2:17">
      <c r="B1155" s="3256" t="s">
        <v>1713</v>
      </c>
      <c r="C1155" s="3257"/>
      <c r="D1155" s="3258"/>
      <c r="E1155" s="3258"/>
      <c r="F1155" s="3258"/>
      <c r="G1155" s="3259"/>
      <c r="H1155" s="3257"/>
      <c r="I1155" s="3258"/>
      <c r="J1155" s="3258"/>
      <c r="K1155" s="3258"/>
      <c r="L1155" s="3258"/>
      <c r="M1155" s="3257"/>
      <c r="N1155" s="3258"/>
      <c r="O1155" s="3258"/>
      <c r="P1155" s="3258"/>
      <c r="Q1155" s="3259"/>
    </row>
    <row r="1156" spans="2:17">
      <c r="B1156" s="3260"/>
      <c r="C1156" s="3268"/>
      <c r="D1156" s="3269"/>
      <c r="E1156" s="3269"/>
      <c r="F1156" s="3269"/>
      <c r="G1156" s="3270"/>
      <c r="H1156" s="3268"/>
      <c r="I1156" s="3305"/>
      <c r="J1156" s="3305"/>
      <c r="K1156" s="3305"/>
      <c r="L1156" s="3306"/>
      <c r="M1156" s="3307"/>
      <c r="N1156" s="3305"/>
      <c r="O1156" s="3305"/>
      <c r="P1156" s="3305"/>
      <c r="Q1156" s="3308"/>
    </row>
    <row r="1157" spans="2:17">
      <c r="B1157" s="3260" t="s">
        <v>64</v>
      </c>
      <c r="C1157" s="3268"/>
      <c r="D1157" s="3269"/>
      <c r="E1157" s="3269"/>
      <c r="F1157" s="3269"/>
      <c r="G1157" s="3270"/>
      <c r="H1157" s="3268"/>
      <c r="I1157" s="3305">
        <v>0</v>
      </c>
      <c r="J1157" s="3305">
        <v>0</v>
      </c>
      <c r="K1157" s="3305">
        <v>0</v>
      </c>
      <c r="L1157" s="3306">
        <v>0</v>
      </c>
      <c r="M1157" s="3307">
        <v>0</v>
      </c>
      <c r="N1157" s="3305">
        <v>0</v>
      </c>
      <c r="O1157" s="3305">
        <v>0</v>
      </c>
      <c r="P1157" s="3305">
        <v>0</v>
      </c>
      <c r="Q1157" s="3308">
        <v>0</v>
      </c>
    </row>
    <row r="1158" spans="2:17">
      <c r="B1158" s="3260" t="s">
        <v>65</v>
      </c>
      <c r="C1158" s="3268"/>
      <c r="D1158" s="3269"/>
      <c r="E1158" s="3269"/>
      <c r="F1158" s="3269"/>
      <c r="G1158" s="3270"/>
      <c r="H1158" s="3268"/>
      <c r="I1158" s="3305">
        <v>0</v>
      </c>
      <c r="J1158" s="3305">
        <v>0</v>
      </c>
      <c r="K1158" s="3305">
        <v>0</v>
      </c>
      <c r="L1158" s="3306">
        <v>0</v>
      </c>
      <c r="M1158" s="3307">
        <v>0</v>
      </c>
      <c r="N1158" s="3305">
        <v>0</v>
      </c>
      <c r="O1158" s="3305">
        <v>0</v>
      </c>
      <c r="P1158" s="3305">
        <v>0</v>
      </c>
      <c r="Q1158" s="3308">
        <v>0</v>
      </c>
    </row>
    <row r="1159" spans="2:17">
      <c r="B1159" s="3260" t="s">
        <v>82</v>
      </c>
      <c r="C1159" s="3268"/>
      <c r="D1159" s="3269"/>
      <c r="E1159" s="3269"/>
      <c r="F1159" s="3269"/>
      <c r="G1159" s="3270"/>
      <c r="H1159" s="3268"/>
      <c r="I1159" s="3305">
        <v>0</v>
      </c>
      <c r="J1159" s="3305">
        <v>0</v>
      </c>
      <c r="K1159" s="3305">
        <v>0</v>
      </c>
      <c r="L1159" s="3306">
        <v>0</v>
      </c>
      <c r="M1159" s="3307">
        <v>0</v>
      </c>
      <c r="N1159" s="3305">
        <v>0</v>
      </c>
      <c r="O1159" s="3305">
        <v>0</v>
      </c>
      <c r="P1159" s="3305">
        <v>0</v>
      </c>
      <c r="Q1159" s="3308">
        <v>0</v>
      </c>
    </row>
    <row r="1160" spans="2:17">
      <c r="B1160" s="3260" t="s">
        <v>680</v>
      </c>
      <c r="C1160" s="3268"/>
      <c r="D1160" s="3269"/>
      <c r="E1160" s="3269"/>
      <c r="F1160" s="3269"/>
      <c r="G1160" s="3270"/>
      <c r="H1160" s="3268"/>
      <c r="I1160" s="3305">
        <v>0</v>
      </c>
      <c r="J1160" s="3305">
        <v>0</v>
      </c>
      <c r="K1160" s="3305">
        <v>0</v>
      </c>
      <c r="L1160" s="3306">
        <v>0</v>
      </c>
      <c r="M1160" s="3307">
        <v>0</v>
      </c>
      <c r="N1160" s="3305">
        <v>0</v>
      </c>
      <c r="O1160" s="3305">
        <v>0</v>
      </c>
      <c r="P1160" s="3305">
        <v>0</v>
      </c>
      <c r="Q1160" s="3308">
        <v>0</v>
      </c>
    </row>
    <row r="1161" spans="2:17">
      <c r="B1161" s="3260" t="s">
        <v>681</v>
      </c>
      <c r="C1161" s="3268"/>
      <c r="D1161" s="3269"/>
      <c r="E1161" s="3269"/>
      <c r="F1161" s="3269"/>
      <c r="G1161" s="3270"/>
      <c r="H1161" s="3268"/>
      <c r="I1161" s="3305">
        <v>120.88600000000038</v>
      </c>
      <c r="J1161" s="3305">
        <v>127.70600000000042</v>
      </c>
      <c r="K1161" s="3305">
        <v>130.26012000000043</v>
      </c>
      <c r="L1161" s="3306">
        <v>132.86532240000045</v>
      </c>
      <c r="M1161" s="3307">
        <v>135.52262884800047</v>
      </c>
      <c r="N1161" s="3305">
        <v>138.23308142496049</v>
      </c>
      <c r="O1161" s="3305">
        <v>140.99774305345971</v>
      </c>
      <c r="P1161" s="3305">
        <v>143.81769791452891</v>
      </c>
      <c r="Q1161" s="3308">
        <v>146.6940518728195</v>
      </c>
    </row>
    <row r="1162" spans="2:17">
      <c r="B1162" s="3260" t="s">
        <v>682</v>
      </c>
      <c r="C1162" s="3268"/>
      <c r="D1162" s="3269"/>
      <c r="E1162" s="3269"/>
      <c r="F1162" s="3269"/>
      <c r="G1162" s="3270"/>
      <c r="H1162" s="3268"/>
      <c r="I1162" s="3305">
        <v>4.4489999999999998</v>
      </c>
      <c r="J1162" s="3305">
        <v>4.4489999999999998</v>
      </c>
      <c r="K1162" s="3305">
        <v>4.4489999999999998</v>
      </c>
      <c r="L1162" s="3306">
        <v>4.4489999999999998</v>
      </c>
      <c r="M1162" s="3307">
        <v>4.4489999999999998</v>
      </c>
      <c r="N1162" s="3305">
        <v>4.4489999999999998</v>
      </c>
      <c r="O1162" s="3305">
        <v>4.4489999999999998</v>
      </c>
      <c r="P1162" s="3305">
        <v>4.4489999999999998</v>
      </c>
      <c r="Q1162" s="3308">
        <v>4.4489999999999998</v>
      </c>
    </row>
    <row r="1163" spans="2:17">
      <c r="B1163" s="3260" t="s">
        <v>66</v>
      </c>
      <c r="C1163" s="3268"/>
      <c r="D1163" s="3269"/>
      <c r="E1163" s="3269"/>
      <c r="F1163" s="3269"/>
      <c r="G1163" s="3270"/>
      <c r="H1163" s="3268"/>
      <c r="I1163" s="3305">
        <v>0</v>
      </c>
      <c r="J1163" s="3305">
        <v>0</v>
      </c>
      <c r="K1163" s="3305">
        <v>0</v>
      </c>
      <c r="L1163" s="3306">
        <v>0</v>
      </c>
      <c r="M1163" s="3307">
        <v>0</v>
      </c>
      <c r="N1163" s="3305">
        <v>0</v>
      </c>
      <c r="O1163" s="3305">
        <v>0</v>
      </c>
      <c r="P1163" s="3305">
        <v>0</v>
      </c>
      <c r="Q1163" s="3308">
        <v>0</v>
      </c>
    </row>
    <row r="1164" spans="2:17" ht="13.5" thickBot="1">
      <c r="B1164" s="3260" t="s">
        <v>67</v>
      </c>
      <c r="C1164" s="3268"/>
      <c r="D1164" s="3269"/>
      <c r="E1164" s="3269"/>
      <c r="F1164" s="3269"/>
      <c r="G1164" s="3270"/>
      <c r="H1164" s="3268"/>
      <c r="I1164" s="3305">
        <v>12.795999999999994</v>
      </c>
      <c r="J1164" s="3305">
        <v>12.795999999999994</v>
      </c>
      <c r="K1164" s="3305">
        <v>12.795999999999994</v>
      </c>
      <c r="L1164" s="3306">
        <v>12.795999999999994</v>
      </c>
      <c r="M1164" s="3309">
        <v>12.795999999999994</v>
      </c>
      <c r="N1164" s="3310">
        <v>12.795999999999994</v>
      </c>
      <c r="O1164" s="3310">
        <v>12.795999999999994</v>
      </c>
      <c r="P1164" s="3310">
        <v>12.795999999999994</v>
      </c>
      <c r="Q1164" s="3311">
        <v>12.795999999999994</v>
      </c>
    </row>
    <row r="1165" spans="2:17" ht="12.75" customHeight="1">
      <c r="B1165" s="4689">
        <v>3340</v>
      </c>
      <c r="C1165" s="4691" t="s">
        <v>36</v>
      </c>
      <c r="D1165" s="4692"/>
      <c r="E1165" s="4692"/>
      <c r="F1165" s="4692"/>
      <c r="G1165" s="4692"/>
      <c r="H1165" s="4693" t="s">
        <v>37</v>
      </c>
      <c r="I1165" s="4694"/>
      <c r="J1165" s="4694"/>
      <c r="K1165" s="4694"/>
      <c r="L1165" s="4694"/>
      <c r="M1165" s="4695" t="s">
        <v>73</v>
      </c>
      <c r="N1165" s="4695"/>
      <c r="O1165" s="4695"/>
      <c r="P1165" s="4695"/>
      <c r="Q1165" s="4696"/>
    </row>
    <row r="1166" spans="2:17" ht="12.75" customHeight="1">
      <c r="B1166" s="4690"/>
      <c r="C1166" s="4697" t="s">
        <v>1673</v>
      </c>
      <c r="D1166" s="4698"/>
      <c r="E1166" s="4698"/>
      <c r="F1166" s="4698"/>
      <c r="G1166" s="4698"/>
      <c r="H1166" s="4698"/>
      <c r="I1166" s="4698"/>
      <c r="J1166" s="4698"/>
      <c r="K1166" s="4698"/>
      <c r="L1166" s="4698"/>
      <c r="M1166" s="4698"/>
      <c r="N1166" s="4698"/>
      <c r="O1166" s="4698"/>
      <c r="P1166" s="4698"/>
      <c r="Q1166" s="4699"/>
    </row>
    <row r="1167" spans="2:17" ht="12.75" customHeight="1">
      <c r="B1167" s="4690"/>
      <c r="C1167" s="4697" t="s">
        <v>54</v>
      </c>
      <c r="D1167" s="4698"/>
      <c r="E1167" s="4698"/>
      <c r="F1167" s="4698"/>
      <c r="G1167" s="4698"/>
      <c r="H1167" s="4698"/>
      <c r="I1167" s="4698"/>
      <c r="J1167" s="4700"/>
      <c r="K1167" s="4701" t="s">
        <v>55</v>
      </c>
      <c r="L1167" s="4702"/>
      <c r="M1167" s="4702"/>
      <c r="N1167" s="4702"/>
      <c r="O1167" s="4702"/>
      <c r="P1167" s="4702"/>
      <c r="Q1167" s="4703"/>
    </row>
    <row r="1168" spans="2:17" ht="13.5" customHeight="1" thickBot="1">
      <c r="B1168" s="4690"/>
      <c r="C1168" s="3252">
        <f t="array" ref="C1168:G1168">PRCP</f>
        <v>2008</v>
      </c>
      <c r="D1168" s="3253">
        <v>2009</v>
      </c>
      <c r="E1168" s="3253">
        <v>2010</v>
      </c>
      <c r="F1168" s="3253">
        <v>2011</v>
      </c>
      <c r="G1168" s="3253">
        <v>2012</v>
      </c>
      <c r="H1168" s="3254">
        <f>CRCP_y1</f>
        <v>2013</v>
      </c>
      <c r="I1168" s="3254">
        <f>CRCP_y2</f>
        <v>2014</v>
      </c>
      <c r="J1168" s="3254">
        <f>CRCP_y3</f>
        <v>2015</v>
      </c>
      <c r="K1168" s="3254">
        <f>CRCP_y4</f>
        <v>2016</v>
      </c>
      <c r="L1168" s="3254">
        <f>CRCP_y5</f>
        <v>2017</v>
      </c>
      <c r="M1168" s="3253" t="str">
        <f t="array" ref="M1168:Q1168">FRCP</f>
        <v>2018</v>
      </c>
      <c r="N1168" s="3253">
        <v>2019</v>
      </c>
      <c r="O1168" s="3253">
        <v>2020</v>
      </c>
      <c r="P1168" s="3253">
        <v>2021</v>
      </c>
      <c r="Q1168" s="3255">
        <v>2022</v>
      </c>
    </row>
    <row r="1169" spans="2:17">
      <c r="B1169" s="3256" t="s">
        <v>1714</v>
      </c>
      <c r="C1169" s="3257"/>
      <c r="D1169" s="3258"/>
      <c r="E1169" s="3258"/>
      <c r="F1169" s="3258"/>
      <c r="G1169" s="3259"/>
      <c r="H1169" s="3257"/>
      <c r="I1169" s="3258"/>
      <c r="J1169" s="3258"/>
      <c r="K1169" s="3258"/>
      <c r="L1169" s="3259"/>
      <c r="M1169" s="3257"/>
      <c r="N1169" s="3258"/>
      <c r="O1169" s="3258"/>
      <c r="P1169" s="3258"/>
      <c r="Q1169" s="3259"/>
    </row>
    <row r="1170" spans="2:17">
      <c r="B1170" s="3260"/>
      <c r="C1170" s="3268"/>
      <c r="D1170" s="3269"/>
      <c r="E1170" s="3269"/>
      <c r="F1170" s="3269"/>
      <c r="G1170" s="3270"/>
      <c r="H1170" s="3268"/>
      <c r="I1170" s="3269"/>
      <c r="J1170" s="3269"/>
      <c r="K1170" s="3269"/>
      <c r="L1170" s="3270"/>
      <c r="M1170" s="3268"/>
      <c r="N1170" s="3269"/>
      <c r="O1170" s="3269"/>
      <c r="P1170" s="3269"/>
      <c r="Q1170" s="3270"/>
    </row>
    <row r="1171" spans="2:17">
      <c r="B1171" s="3260" t="s">
        <v>64</v>
      </c>
      <c r="C1171" s="3268"/>
      <c r="D1171" s="3269"/>
      <c r="E1171" s="3269"/>
      <c r="F1171" s="3269"/>
      <c r="G1171" s="3270"/>
      <c r="H1171" s="3268"/>
      <c r="I1171" s="3305">
        <v>0</v>
      </c>
      <c r="J1171" s="3305">
        <v>0</v>
      </c>
      <c r="K1171" s="3305">
        <v>0</v>
      </c>
      <c r="L1171" s="3308">
        <v>0</v>
      </c>
      <c r="M1171" s="3307">
        <v>0</v>
      </c>
      <c r="N1171" s="3305">
        <v>0</v>
      </c>
      <c r="O1171" s="3305">
        <v>0</v>
      </c>
      <c r="P1171" s="3305">
        <v>0</v>
      </c>
      <c r="Q1171" s="3308">
        <v>0</v>
      </c>
    </row>
    <row r="1172" spans="2:17">
      <c r="B1172" s="3260" t="s">
        <v>65</v>
      </c>
      <c r="C1172" s="3268"/>
      <c r="D1172" s="3269"/>
      <c r="E1172" s="3269"/>
      <c r="F1172" s="3269"/>
      <c r="G1172" s="3270"/>
      <c r="H1172" s="3268"/>
      <c r="I1172" s="3305">
        <v>0</v>
      </c>
      <c r="J1172" s="3305">
        <v>0</v>
      </c>
      <c r="K1172" s="3305">
        <v>0</v>
      </c>
      <c r="L1172" s="3308">
        <v>0</v>
      </c>
      <c r="M1172" s="3307">
        <v>0</v>
      </c>
      <c r="N1172" s="3305">
        <v>0</v>
      </c>
      <c r="O1172" s="3305">
        <v>0</v>
      </c>
      <c r="P1172" s="3305">
        <v>0</v>
      </c>
      <c r="Q1172" s="3308">
        <v>0</v>
      </c>
    </row>
    <row r="1173" spans="2:17">
      <c r="B1173" s="3260" t="s">
        <v>82</v>
      </c>
      <c r="C1173" s="3268"/>
      <c r="D1173" s="3269"/>
      <c r="E1173" s="3269"/>
      <c r="F1173" s="3269"/>
      <c r="G1173" s="3270"/>
      <c r="H1173" s="3268"/>
      <c r="I1173" s="3305">
        <v>0</v>
      </c>
      <c r="J1173" s="3305">
        <v>0</v>
      </c>
      <c r="K1173" s="3305">
        <v>0</v>
      </c>
      <c r="L1173" s="3308">
        <v>0</v>
      </c>
      <c r="M1173" s="3307">
        <v>0</v>
      </c>
      <c r="N1173" s="3305">
        <v>0</v>
      </c>
      <c r="O1173" s="3305">
        <v>0</v>
      </c>
      <c r="P1173" s="3305">
        <v>0</v>
      </c>
      <c r="Q1173" s="3308">
        <v>0</v>
      </c>
    </row>
    <row r="1174" spans="2:17">
      <c r="B1174" s="3260" t="s">
        <v>680</v>
      </c>
      <c r="C1174" s="3268"/>
      <c r="D1174" s="3269"/>
      <c r="E1174" s="3269"/>
      <c r="F1174" s="3269"/>
      <c r="G1174" s="3270"/>
      <c r="H1174" s="3268"/>
      <c r="I1174" s="3305">
        <v>0</v>
      </c>
      <c r="J1174" s="3305">
        <v>0</v>
      </c>
      <c r="K1174" s="3305">
        <v>0</v>
      </c>
      <c r="L1174" s="3308">
        <v>0</v>
      </c>
      <c r="M1174" s="3307">
        <v>0</v>
      </c>
      <c r="N1174" s="3305">
        <v>0</v>
      </c>
      <c r="O1174" s="3305">
        <v>0</v>
      </c>
      <c r="P1174" s="3305">
        <v>0</v>
      </c>
      <c r="Q1174" s="3308">
        <v>0</v>
      </c>
    </row>
    <row r="1175" spans="2:17">
      <c r="B1175" s="3260" t="s">
        <v>681</v>
      </c>
      <c r="C1175" s="3268"/>
      <c r="D1175" s="3269"/>
      <c r="E1175" s="3269"/>
      <c r="F1175" s="3269"/>
      <c r="G1175" s="3270"/>
      <c r="H1175" s="3268"/>
      <c r="I1175" s="3305">
        <v>86.538000000000082</v>
      </c>
      <c r="J1175" s="3305">
        <v>90.214000000000098</v>
      </c>
      <c r="K1175" s="3305">
        <v>92.018280000000104</v>
      </c>
      <c r="L1175" s="3305">
        <v>93.858645600000102</v>
      </c>
      <c r="M1175" s="3305">
        <v>95.735818512000108</v>
      </c>
      <c r="N1175" s="3305">
        <v>97.650534882240109</v>
      </c>
      <c r="O1175" s="3305">
        <v>99.603545579884909</v>
      </c>
      <c r="P1175" s="3305">
        <v>101.5956164914826</v>
      </c>
      <c r="Q1175" s="3305">
        <v>103.62752882131225</v>
      </c>
    </row>
    <row r="1176" spans="2:17">
      <c r="B1176" s="3260" t="s">
        <v>682</v>
      </c>
      <c r="C1176" s="3268"/>
      <c r="D1176" s="3269"/>
      <c r="E1176" s="3269"/>
      <c r="F1176" s="3269"/>
      <c r="G1176" s="3270"/>
      <c r="H1176" s="3268"/>
      <c r="I1176" s="3305">
        <v>8.8999999999999996E-2</v>
      </c>
      <c r="J1176" s="3305">
        <v>8.8999999999999996E-2</v>
      </c>
      <c r="K1176" s="3305">
        <v>8.8999999999999996E-2</v>
      </c>
      <c r="L1176" s="3305">
        <v>8.8999999999999996E-2</v>
      </c>
      <c r="M1176" s="3305">
        <v>8.8999999999999996E-2</v>
      </c>
      <c r="N1176" s="3305">
        <v>8.8999999999999996E-2</v>
      </c>
      <c r="O1176" s="3305">
        <v>8.8999999999999996E-2</v>
      </c>
      <c r="P1176" s="3305">
        <v>8.8999999999999996E-2</v>
      </c>
      <c r="Q1176" s="3305">
        <v>8.8999999999999996E-2</v>
      </c>
    </row>
    <row r="1177" spans="2:17">
      <c r="B1177" s="3260" t="s">
        <v>66</v>
      </c>
      <c r="C1177" s="3268"/>
      <c r="D1177" s="3269"/>
      <c r="E1177" s="3269"/>
      <c r="F1177" s="3269"/>
      <c r="G1177" s="3270"/>
      <c r="H1177" s="3268"/>
      <c r="I1177" s="3305">
        <v>0</v>
      </c>
      <c r="J1177" s="3305">
        <v>0</v>
      </c>
      <c r="K1177" s="3305">
        <v>0</v>
      </c>
      <c r="L1177" s="3305">
        <v>0</v>
      </c>
      <c r="M1177" s="3305">
        <v>0</v>
      </c>
      <c r="N1177" s="3305">
        <v>0</v>
      </c>
      <c r="O1177" s="3305">
        <v>0</v>
      </c>
      <c r="P1177" s="3305">
        <v>0</v>
      </c>
      <c r="Q1177" s="3305">
        <v>0</v>
      </c>
    </row>
    <row r="1178" spans="2:17" ht="13.5" thickBot="1">
      <c r="B1178" s="3260" t="s">
        <v>67</v>
      </c>
      <c r="C1178" s="3268"/>
      <c r="D1178" s="3269"/>
      <c r="E1178" s="3269"/>
      <c r="F1178" s="3269"/>
      <c r="G1178" s="3270"/>
      <c r="H1178" s="3268"/>
      <c r="I1178" s="3305">
        <v>62.443000000000012</v>
      </c>
      <c r="J1178" s="3305">
        <v>62.442999999999998</v>
      </c>
      <c r="K1178" s="3305">
        <v>62.442999999999998</v>
      </c>
      <c r="L1178" s="3305">
        <v>62.442999999999998</v>
      </c>
      <c r="M1178" s="3305">
        <v>62.442999999999998</v>
      </c>
      <c r="N1178" s="3305">
        <v>62.442999999999998</v>
      </c>
      <c r="O1178" s="3305">
        <v>62.442999999999998</v>
      </c>
      <c r="P1178" s="3305">
        <v>62.442999999999998</v>
      </c>
      <c r="Q1178" s="3305">
        <v>62.442999999999998</v>
      </c>
    </row>
    <row r="1179" spans="2:17" ht="12.75" customHeight="1">
      <c r="B1179" s="4689">
        <v>3342</v>
      </c>
      <c r="C1179" s="4691" t="s">
        <v>36</v>
      </c>
      <c r="D1179" s="4692"/>
      <c r="E1179" s="4692"/>
      <c r="F1179" s="4692"/>
      <c r="G1179" s="4692"/>
      <c r="H1179" s="4693" t="s">
        <v>37</v>
      </c>
      <c r="I1179" s="4694"/>
      <c r="J1179" s="4694"/>
      <c r="K1179" s="4694"/>
      <c r="L1179" s="4694"/>
      <c r="M1179" s="4695" t="s">
        <v>73</v>
      </c>
      <c r="N1179" s="4695"/>
      <c r="O1179" s="4695"/>
      <c r="P1179" s="4695"/>
      <c r="Q1179" s="4696"/>
    </row>
    <row r="1180" spans="2:17" ht="12.75" customHeight="1">
      <c r="B1180" s="4690"/>
      <c r="C1180" s="4697" t="s">
        <v>1673</v>
      </c>
      <c r="D1180" s="4698"/>
      <c r="E1180" s="4698"/>
      <c r="F1180" s="4698"/>
      <c r="G1180" s="4698"/>
      <c r="H1180" s="4698"/>
      <c r="I1180" s="4698"/>
      <c r="J1180" s="4698"/>
      <c r="K1180" s="4698"/>
      <c r="L1180" s="4698"/>
      <c r="M1180" s="4698"/>
      <c r="N1180" s="4698"/>
      <c r="O1180" s="4698"/>
      <c r="P1180" s="4698"/>
      <c r="Q1180" s="4699"/>
    </row>
    <row r="1181" spans="2:17" ht="12.75" customHeight="1">
      <c r="B1181" s="4690"/>
      <c r="C1181" s="4697" t="s">
        <v>54</v>
      </c>
      <c r="D1181" s="4698"/>
      <c r="E1181" s="4698"/>
      <c r="F1181" s="4698"/>
      <c r="G1181" s="4698"/>
      <c r="H1181" s="4698"/>
      <c r="I1181" s="4698"/>
      <c r="J1181" s="4700"/>
      <c r="K1181" s="4701" t="s">
        <v>55</v>
      </c>
      <c r="L1181" s="4702"/>
      <c r="M1181" s="4702"/>
      <c r="N1181" s="4702"/>
      <c r="O1181" s="4702"/>
      <c r="P1181" s="4702"/>
      <c r="Q1181" s="4703"/>
    </row>
    <row r="1182" spans="2:17" ht="13.5" customHeight="1" thickBot="1">
      <c r="B1182" s="4690"/>
      <c r="C1182" s="3252">
        <f t="array" ref="C1182:G1182">PRCP</f>
        <v>2008</v>
      </c>
      <c r="D1182" s="3253">
        <v>2009</v>
      </c>
      <c r="E1182" s="3253">
        <v>2010</v>
      </c>
      <c r="F1182" s="3253">
        <v>2011</v>
      </c>
      <c r="G1182" s="3253">
        <v>2012</v>
      </c>
      <c r="H1182" s="3254">
        <f>CRCP_y1</f>
        <v>2013</v>
      </c>
      <c r="I1182" s="3254">
        <f>CRCP_y2</f>
        <v>2014</v>
      </c>
      <c r="J1182" s="3254">
        <f>CRCP_y3</f>
        <v>2015</v>
      </c>
      <c r="K1182" s="3254">
        <f>CRCP_y4</f>
        <v>2016</v>
      </c>
      <c r="L1182" s="3254">
        <f>CRCP_y5</f>
        <v>2017</v>
      </c>
      <c r="M1182" s="3253" t="str">
        <f t="array" ref="M1182:Q1182">FRCP</f>
        <v>2018</v>
      </c>
      <c r="N1182" s="3253">
        <v>2019</v>
      </c>
      <c r="O1182" s="3253">
        <v>2020</v>
      </c>
      <c r="P1182" s="3253">
        <v>2021</v>
      </c>
      <c r="Q1182" s="3255">
        <v>2022</v>
      </c>
    </row>
    <row r="1183" spans="2:17">
      <c r="B1183" s="3256" t="s">
        <v>1714</v>
      </c>
      <c r="C1183" s="3257"/>
      <c r="D1183" s="3258"/>
      <c r="E1183" s="3258"/>
      <c r="F1183" s="3258"/>
      <c r="G1183" s="3259"/>
      <c r="H1183" s="3257"/>
      <c r="I1183" s="3258"/>
      <c r="J1183" s="3258"/>
      <c r="K1183" s="3258"/>
      <c r="L1183" s="3258"/>
      <c r="M1183" s="3257"/>
      <c r="N1183" s="3258"/>
      <c r="O1183" s="3258"/>
      <c r="P1183" s="3258"/>
      <c r="Q1183" s="3259"/>
    </row>
    <row r="1184" spans="2:17">
      <c r="B1184" s="3260"/>
      <c r="C1184" s="3268"/>
      <c r="D1184" s="3269"/>
      <c r="E1184" s="3269"/>
      <c r="F1184" s="3269"/>
      <c r="G1184" s="3270"/>
      <c r="H1184" s="3268"/>
      <c r="I1184" s="3269"/>
      <c r="J1184" s="3269"/>
      <c r="K1184" s="3269"/>
      <c r="L1184" s="3271"/>
      <c r="M1184" s="3268"/>
      <c r="N1184" s="3269"/>
      <c r="O1184" s="3269"/>
      <c r="P1184" s="3269"/>
      <c r="Q1184" s="3270"/>
    </row>
    <row r="1185" spans="2:17">
      <c r="B1185" s="3260" t="s">
        <v>64</v>
      </c>
      <c r="C1185" s="3268"/>
      <c r="D1185" s="3269"/>
      <c r="E1185" s="3269"/>
      <c r="F1185" s="3269"/>
      <c r="G1185" s="3270"/>
      <c r="H1185" s="3268"/>
      <c r="I1185" s="3281">
        <v>0</v>
      </c>
      <c r="J1185" s="3281">
        <v>0</v>
      </c>
      <c r="K1185" s="3281">
        <v>0</v>
      </c>
      <c r="L1185" s="3282">
        <v>0</v>
      </c>
      <c r="M1185" s="3283">
        <v>0</v>
      </c>
      <c r="N1185" s="3281">
        <v>0</v>
      </c>
      <c r="O1185" s="3281">
        <v>0</v>
      </c>
      <c r="P1185" s="3281">
        <v>0</v>
      </c>
      <c r="Q1185" s="3284">
        <v>0</v>
      </c>
    </row>
    <row r="1186" spans="2:17">
      <c r="B1186" s="3260" t="s">
        <v>65</v>
      </c>
      <c r="C1186" s="3268"/>
      <c r="D1186" s="3269"/>
      <c r="E1186" s="3269"/>
      <c r="F1186" s="3269"/>
      <c r="G1186" s="3270"/>
      <c r="H1186" s="3268"/>
      <c r="I1186" s="3281">
        <v>0</v>
      </c>
      <c r="J1186" s="3281">
        <v>0</v>
      </c>
      <c r="K1186" s="3281">
        <v>0</v>
      </c>
      <c r="L1186" s="3282">
        <v>0</v>
      </c>
      <c r="M1186" s="3283">
        <v>0</v>
      </c>
      <c r="N1186" s="3281">
        <v>0</v>
      </c>
      <c r="O1186" s="3281">
        <v>0</v>
      </c>
      <c r="P1186" s="3281">
        <v>0</v>
      </c>
      <c r="Q1186" s="3284">
        <v>0</v>
      </c>
    </row>
    <row r="1187" spans="2:17">
      <c r="B1187" s="3260" t="s">
        <v>82</v>
      </c>
      <c r="C1187" s="3268"/>
      <c r="D1187" s="3269"/>
      <c r="E1187" s="3269"/>
      <c r="F1187" s="3269"/>
      <c r="G1187" s="3270"/>
      <c r="H1187" s="3268"/>
      <c r="I1187" s="3281">
        <v>0</v>
      </c>
      <c r="J1187" s="3281">
        <v>0</v>
      </c>
      <c r="K1187" s="3281">
        <v>0</v>
      </c>
      <c r="L1187" s="3282">
        <v>0</v>
      </c>
      <c r="M1187" s="3283">
        <v>0</v>
      </c>
      <c r="N1187" s="3281">
        <v>0</v>
      </c>
      <c r="O1187" s="3281">
        <v>0</v>
      </c>
      <c r="P1187" s="3281">
        <v>0</v>
      </c>
      <c r="Q1187" s="3284">
        <v>0</v>
      </c>
    </row>
    <row r="1188" spans="2:17">
      <c r="B1188" s="3260" t="s">
        <v>680</v>
      </c>
      <c r="C1188" s="3268"/>
      <c r="D1188" s="3269"/>
      <c r="E1188" s="3269"/>
      <c r="F1188" s="3269"/>
      <c r="G1188" s="3270"/>
      <c r="H1188" s="3268"/>
      <c r="I1188" s="3281">
        <v>0</v>
      </c>
      <c r="J1188" s="3281">
        <v>0</v>
      </c>
      <c r="K1188" s="3281">
        <v>0</v>
      </c>
      <c r="L1188" s="3282">
        <v>0</v>
      </c>
      <c r="M1188" s="3283">
        <v>0</v>
      </c>
      <c r="N1188" s="3281">
        <v>0</v>
      </c>
      <c r="O1188" s="3281">
        <v>0</v>
      </c>
      <c r="P1188" s="3281">
        <v>0</v>
      </c>
      <c r="Q1188" s="3284">
        <v>0</v>
      </c>
    </row>
    <row r="1189" spans="2:17">
      <c r="B1189" s="3260" t="s">
        <v>681</v>
      </c>
      <c r="C1189" s="3268"/>
      <c r="D1189" s="3269"/>
      <c r="E1189" s="3269"/>
      <c r="F1189" s="3269"/>
      <c r="G1189" s="3270"/>
      <c r="H1189" s="3268"/>
      <c r="I1189" s="3281">
        <v>14.852999999999998</v>
      </c>
      <c r="J1189" s="3281">
        <v>15.417</v>
      </c>
      <c r="K1189" s="3281">
        <v>15.725339999999999</v>
      </c>
      <c r="L1189" s="3282">
        <v>16.039846799999999</v>
      </c>
      <c r="M1189" s="3283">
        <v>16.360643736</v>
      </c>
      <c r="N1189" s="3281">
        <v>16.687856610720001</v>
      </c>
      <c r="O1189" s="3281">
        <v>17.021613742934402</v>
      </c>
      <c r="P1189" s="3281">
        <v>17.362046017793091</v>
      </c>
      <c r="Q1189" s="3284">
        <v>17.709286938148953</v>
      </c>
    </row>
    <row r="1190" spans="2:17">
      <c r="B1190" s="3260" t="s">
        <v>682</v>
      </c>
      <c r="C1190" s="3268"/>
      <c r="D1190" s="3269"/>
      <c r="E1190" s="3269"/>
      <c r="F1190" s="3269"/>
      <c r="G1190" s="3270"/>
      <c r="H1190" s="3268"/>
      <c r="I1190" s="3281">
        <v>0</v>
      </c>
      <c r="J1190" s="3281">
        <v>0</v>
      </c>
      <c r="K1190" s="3281">
        <v>0</v>
      </c>
      <c r="L1190" s="3282">
        <v>0</v>
      </c>
      <c r="M1190" s="3283">
        <v>0</v>
      </c>
      <c r="N1190" s="3281">
        <v>0</v>
      </c>
      <c r="O1190" s="3281">
        <v>0</v>
      </c>
      <c r="P1190" s="3281">
        <v>0</v>
      </c>
      <c r="Q1190" s="3284">
        <v>0</v>
      </c>
    </row>
    <row r="1191" spans="2:17">
      <c r="B1191" s="3260" t="s">
        <v>66</v>
      </c>
      <c r="C1191" s="3268"/>
      <c r="D1191" s="3269"/>
      <c r="E1191" s="3269"/>
      <c r="F1191" s="3269"/>
      <c r="G1191" s="3270"/>
      <c r="H1191" s="3268"/>
      <c r="I1191" s="3281">
        <v>0</v>
      </c>
      <c r="J1191" s="3281">
        <v>0</v>
      </c>
      <c r="K1191" s="3281">
        <v>0</v>
      </c>
      <c r="L1191" s="3282">
        <v>0</v>
      </c>
      <c r="M1191" s="3283">
        <v>0</v>
      </c>
      <c r="N1191" s="3281">
        <v>0</v>
      </c>
      <c r="O1191" s="3281">
        <v>0</v>
      </c>
      <c r="P1191" s="3281">
        <v>0</v>
      </c>
      <c r="Q1191" s="3284">
        <v>0</v>
      </c>
    </row>
    <row r="1192" spans="2:17" ht="13.5" thickBot="1">
      <c r="B1192" s="3260" t="s">
        <v>67</v>
      </c>
      <c r="C1192" s="3268"/>
      <c r="D1192" s="3269"/>
      <c r="E1192" s="3269"/>
      <c r="F1192" s="3269"/>
      <c r="G1192" s="3270"/>
      <c r="H1192" s="3268"/>
      <c r="I1192" s="3281">
        <v>9.5550000000000015</v>
      </c>
      <c r="J1192" s="3281">
        <v>9.5550000000000033</v>
      </c>
      <c r="K1192" s="3281">
        <v>9.5550000000000033</v>
      </c>
      <c r="L1192" s="3282">
        <v>10.555</v>
      </c>
      <c r="M1192" s="3285">
        <v>11.555</v>
      </c>
      <c r="N1192" s="3286">
        <v>12.555</v>
      </c>
      <c r="O1192" s="3286">
        <v>13.555</v>
      </c>
      <c r="P1192" s="3286">
        <v>14.555</v>
      </c>
      <c r="Q1192" s="3287">
        <v>15.555</v>
      </c>
    </row>
    <row r="1193" spans="2:17" ht="12.75" customHeight="1">
      <c r="B1193" s="4689">
        <v>3350</v>
      </c>
      <c r="C1193" s="4691" t="s">
        <v>36</v>
      </c>
      <c r="D1193" s="4692"/>
      <c r="E1193" s="4692"/>
      <c r="F1193" s="4692"/>
      <c r="G1193" s="4692"/>
      <c r="H1193" s="4693" t="s">
        <v>37</v>
      </c>
      <c r="I1193" s="4694"/>
      <c r="J1193" s="4694"/>
      <c r="K1193" s="4694"/>
      <c r="L1193" s="4694"/>
      <c r="M1193" s="4695" t="s">
        <v>73</v>
      </c>
      <c r="N1193" s="4695"/>
      <c r="O1193" s="4695"/>
      <c r="P1193" s="4695"/>
      <c r="Q1193" s="4696"/>
    </row>
    <row r="1194" spans="2:17" ht="12.75" customHeight="1">
      <c r="B1194" s="4690"/>
      <c r="C1194" s="4697" t="s">
        <v>1673</v>
      </c>
      <c r="D1194" s="4698"/>
      <c r="E1194" s="4698"/>
      <c r="F1194" s="4698"/>
      <c r="G1194" s="4698"/>
      <c r="H1194" s="4698"/>
      <c r="I1194" s="4698"/>
      <c r="J1194" s="4698"/>
      <c r="K1194" s="4698"/>
      <c r="L1194" s="4698"/>
      <c r="M1194" s="4698"/>
      <c r="N1194" s="4698"/>
      <c r="O1194" s="4698"/>
      <c r="P1194" s="4698"/>
      <c r="Q1194" s="4699"/>
    </row>
    <row r="1195" spans="2:17" ht="12.75" customHeight="1">
      <c r="B1195" s="4690"/>
      <c r="C1195" s="4697" t="s">
        <v>54</v>
      </c>
      <c r="D1195" s="4698"/>
      <c r="E1195" s="4698"/>
      <c r="F1195" s="4698"/>
      <c r="G1195" s="4698"/>
      <c r="H1195" s="4698"/>
      <c r="I1195" s="4698"/>
      <c r="J1195" s="4700"/>
      <c r="K1195" s="4701" t="s">
        <v>55</v>
      </c>
      <c r="L1195" s="4702"/>
      <c r="M1195" s="4702"/>
      <c r="N1195" s="4702"/>
      <c r="O1195" s="4702"/>
      <c r="P1195" s="4702"/>
      <c r="Q1195" s="4703"/>
    </row>
    <row r="1196" spans="2:17" ht="13.5" customHeight="1" thickBot="1">
      <c r="B1196" s="4690"/>
      <c r="C1196" s="3252">
        <f t="array" ref="C1196:G1196">PRCP</f>
        <v>2008</v>
      </c>
      <c r="D1196" s="3253">
        <v>2009</v>
      </c>
      <c r="E1196" s="3253">
        <v>2010</v>
      </c>
      <c r="F1196" s="3253">
        <v>2011</v>
      </c>
      <c r="G1196" s="3253">
        <v>2012</v>
      </c>
      <c r="H1196" s="3254">
        <f>CRCP_y1</f>
        <v>2013</v>
      </c>
      <c r="I1196" s="3254">
        <f>CRCP_y2</f>
        <v>2014</v>
      </c>
      <c r="J1196" s="3254">
        <f>CRCP_y3</f>
        <v>2015</v>
      </c>
      <c r="K1196" s="3254">
        <f>CRCP_y4</f>
        <v>2016</v>
      </c>
      <c r="L1196" s="3254">
        <f>CRCP_y5</f>
        <v>2017</v>
      </c>
      <c r="M1196" s="3253" t="str">
        <f t="array" ref="M1196:Q1196">FRCP</f>
        <v>2018</v>
      </c>
      <c r="N1196" s="3253">
        <v>2019</v>
      </c>
      <c r="O1196" s="3253">
        <v>2020</v>
      </c>
      <c r="P1196" s="3253">
        <v>2021</v>
      </c>
      <c r="Q1196" s="3255">
        <v>2022</v>
      </c>
    </row>
    <row r="1197" spans="2:17">
      <c r="B1197" s="3256" t="s">
        <v>1715</v>
      </c>
      <c r="C1197" s="3257"/>
      <c r="D1197" s="3258"/>
      <c r="E1197" s="3258"/>
      <c r="F1197" s="3258"/>
      <c r="G1197" s="3259"/>
      <c r="H1197" s="3257"/>
      <c r="I1197" s="3258"/>
      <c r="J1197" s="3258"/>
      <c r="K1197" s="3258"/>
      <c r="L1197" s="3258"/>
      <c r="M1197" s="3257"/>
      <c r="N1197" s="3258"/>
      <c r="O1197" s="3258"/>
      <c r="P1197" s="3258"/>
      <c r="Q1197" s="3259"/>
    </row>
    <row r="1198" spans="2:17">
      <c r="B1198" s="3260"/>
      <c r="C1198" s="3268"/>
      <c r="D1198" s="3269"/>
      <c r="E1198" s="3269"/>
      <c r="F1198" s="3269"/>
      <c r="G1198" s="3270"/>
      <c r="H1198" s="3268"/>
      <c r="I1198" s="3269"/>
      <c r="J1198" s="3269"/>
      <c r="K1198" s="3269"/>
      <c r="L1198" s="3271"/>
      <c r="M1198" s="3268"/>
      <c r="N1198" s="3269"/>
      <c r="O1198" s="3269"/>
      <c r="P1198" s="3269"/>
      <c r="Q1198" s="3270"/>
    </row>
    <row r="1199" spans="2:17">
      <c r="B1199" s="3260" t="s">
        <v>64</v>
      </c>
      <c r="C1199" s="3268"/>
      <c r="D1199" s="3269"/>
      <c r="E1199" s="3269"/>
      <c r="F1199" s="3269"/>
      <c r="G1199" s="3270"/>
      <c r="H1199" s="3268"/>
      <c r="I1199" s="3281">
        <v>7.3419999999999996</v>
      </c>
      <c r="J1199" s="3281">
        <v>7.3419999999999987</v>
      </c>
      <c r="K1199" s="3281">
        <v>7.2731442243452689</v>
      </c>
      <c r="L1199" s="3282">
        <v>7.2501922991270256</v>
      </c>
      <c r="M1199" s="3283">
        <v>7.2011409896668441</v>
      </c>
      <c r="N1199" s="3281">
        <v>7.0703374977730258</v>
      </c>
      <c r="O1199" s="3281">
        <v>6.9068331329057528</v>
      </c>
      <c r="P1199" s="3281">
        <v>6.8347277079992859</v>
      </c>
      <c r="Q1199" s="3284">
        <v>6.8347277079992859</v>
      </c>
    </row>
    <row r="1200" spans="2:17">
      <c r="B1200" s="3260" t="s">
        <v>65</v>
      </c>
      <c r="C1200" s="3268"/>
      <c r="D1200" s="3269"/>
      <c r="E1200" s="3269"/>
      <c r="F1200" s="3269"/>
      <c r="G1200" s="3270"/>
      <c r="H1200" s="3268"/>
      <c r="I1200" s="3281">
        <v>21.736000000000011</v>
      </c>
      <c r="J1200" s="3281">
        <v>21.736000000000015</v>
      </c>
      <c r="K1200" s="3281">
        <v>21.53215239176912</v>
      </c>
      <c r="L1200" s="3282">
        <v>21.46420318902549</v>
      </c>
      <c r="M1200" s="3283">
        <v>21.318986727240347</v>
      </c>
      <c r="N1200" s="3281">
        <v>20.931742829146636</v>
      </c>
      <c r="O1200" s="3281">
        <v>20.447687956529496</v>
      </c>
      <c r="P1200" s="3281">
        <v>20.234219757705336</v>
      </c>
      <c r="Q1200" s="3284">
        <v>20.234219757705336</v>
      </c>
    </row>
    <row r="1201" spans="2:17">
      <c r="B1201" s="3260" t="s">
        <v>82</v>
      </c>
      <c r="C1201" s="3268"/>
      <c r="D1201" s="3269"/>
      <c r="E1201" s="3269"/>
      <c r="F1201" s="3269"/>
      <c r="G1201" s="3270"/>
      <c r="H1201" s="3268"/>
      <c r="I1201" s="3281"/>
      <c r="J1201" s="3281"/>
      <c r="K1201" s="3281">
        <v>0</v>
      </c>
      <c r="L1201" s="3282">
        <v>0</v>
      </c>
      <c r="M1201" s="3283">
        <v>0</v>
      </c>
      <c r="N1201" s="3281">
        <v>0</v>
      </c>
      <c r="O1201" s="3281">
        <v>0</v>
      </c>
      <c r="P1201" s="3281">
        <v>0</v>
      </c>
      <c r="Q1201" s="3284">
        <v>0</v>
      </c>
    </row>
    <row r="1202" spans="2:17">
      <c r="B1202" s="3260" t="s">
        <v>680</v>
      </c>
      <c r="C1202" s="3268"/>
      <c r="D1202" s="3269"/>
      <c r="E1202" s="3269"/>
      <c r="F1202" s="3269"/>
      <c r="G1202" s="3270"/>
      <c r="H1202" s="3268"/>
      <c r="I1202" s="3281"/>
      <c r="J1202" s="3281"/>
      <c r="K1202" s="3281">
        <v>0</v>
      </c>
      <c r="L1202" s="3282">
        <v>0</v>
      </c>
      <c r="M1202" s="3283">
        <v>0</v>
      </c>
      <c r="N1202" s="3281">
        <v>0</v>
      </c>
      <c r="O1202" s="3281">
        <v>0</v>
      </c>
      <c r="P1202" s="3281">
        <v>0</v>
      </c>
      <c r="Q1202" s="3284">
        <v>0</v>
      </c>
    </row>
    <row r="1203" spans="2:17">
      <c r="B1203" s="3260" t="s">
        <v>681</v>
      </c>
      <c r="C1203" s="3268"/>
      <c r="D1203" s="3269"/>
      <c r="E1203" s="3269"/>
      <c r="F1203" s="3269"/>
      <c r="G1203" s="3270"/>
      <c r="H1203" s="3268"/>
      <c r="I1203" s="3281">
        <v>277.17699999999894</v>
      </c>
      <c r="J1203" s="3281">
        <v>282.32899999999881</v>
      </c>
      <c r="K1203" s="3281">
        <v>283.89247251636709</v>
      </c>
      <c r="L1203" s="3282">
        <v>284.41363002182317</v>
      </c>
      <c r="M1203" s="3283">
        <v>285.52741275832773</v>
      </c>
      <c r="N1203" s="3281">
        <v>288.49750005567319</v>
      </c>
      <c r="O1203" s="3281">
        <v>292.21010917735498</v>
      </c>
      <c r="P1203" s="3281">
        <v>293.84736980001668</v>
      </c>
      <c r="Q1203" s="3284">
        <v>293.84736980001668</v>
      </c>
    </row>
    <row r="1204" spans="2:17">
      <c r="B1204" s="3260" t="s">
        <v>682</v>
      </c>
      <c r="C1204" s="3268"/>
      <c r="D1204" s="3269"/>
      <c r="E1204" s="3269"/>
      <c r="F1204" s="3269"/>
      <c r="G1204" s="3270"/>
      <c r="H1204" s="3268"/>
      <c r="I1204" s="3281">
        <v>1.3839999999999999</v>
      </c>
      <c r="J1204" s="3281">
        <v>1.3839999999999999</v>
      </c>
      <c r="K1204" s="3281">
        <v>1.371020376803848</v>
      </c>
      <c r="L1204" s="3282">
        <v>1.3666938357384641</v>
      </c>
      <c r="M1204" s="3283">
        <v>1.3574474434348831</v>
      </c>
      <c r="N1204" s="3281">
        <v>1.3327903972920006</v>
      </c>
      <c r="O1204" s="3281">
        <v>1.3019690896133973</v>
      </c>
      <c r="P1204" s="3281">
        <v>1.2883768929271333</v>
      </c>
      <c r="Q1204" s="3284">
        <v>1.2883768929271333</v>
      </c>
    </row>
    <row r="1205" spans="2:17">
      <c r="B1205" s="3260" t="s">
        <v>66</v>
      </c>
      <c r="C1205" s="3268"/>
      <c r="D1205" s="3269"/>
      <c r="E1205" s="3269"/>
      <c r="F1205" s="3269"/>
      <c r="G1205" s="3270"/>
      <c r="H1205" s="3268"/>
      <c r="I1205" s="3281">
        <v>0.53</v>
      </c>
      <c r="J1205" s="3281">
        <v>0.53</v>
      </c>
      <c r="K1205" s="3281">
        <v>0.52502947955638701</v>
      </c>
      <c r="L1205" s="3282">
        <v>0.52337263940851597</v>
      </c>
      <c r="M1205" s="3283">
        <v>0.5198317521824336</v>
      </c>
      <c r="N1205" s="3281">
        <v>0.51038938624621411</v>
      </c>
      <c r="O1205" s="3281">
        <v>0.49858642882593973</v>
      </c>
      <c r="P1205" s="3281">
        <v>0.49338132460359874</v>
      </c>
      <c r="Q1205" s="3284">
        <v>0.49338132460359874</v>
      </c>
    </row>
    <row r="1206" spans="2:17" ht="13.5" thickBot="1">
      <c r="B1206" s="3260" t="s">
        <v>67</v>
      </c>
      <c r="C1206" s="3268"/>
      <c r="D1206" s="3269"/>
      <c r="E1206" s="3269"/>
      <c r="F1206" s="3269"/>
      <c r="G1206" s="3270"/>
      <c r="H1206" s="3268"/>
      <c r="I1206" s="3281">
        <v>135.71900000000008</v>
      </c>
      <c r="J1206" s="3281">
        <v>135.71900000000008</v>
      </c>
      <c r="K1206" s="3281">
        <v>134.44618101115722</v>
      </c>
      <c r="L1206" s="3282">
        <v>134.02190801487626</v>
      </c>
      <c r="M1206" s="3285">
        <v>133.11518032914671</v>
      </c>
      <c r="N1206" s="3286">
        <v>130.69723983386788</v>
      </c>
      <c r="O1206" s="3286">
        <v>127.67481421476936</v>
      </c>
      <c r="P1206" s="3286">
        <v>126.3419245167469</v>
      </c>
      <c r="Q1206" s="3287">
        <v>126.3419245167469</v>
      </c>
    </row>
    <row r="1207" spans="2:17" ht="12.75" customHeight="1">
      <c r="B1207" s="4689">
        <v>3352</v>
      </c>
      <c r="C1207" s="4691" t="s">
        <v>36</v>
      </c>
      <c r="D1207" s="4692"/>
      <c r="E1207" s="4692"/>
      <c r="F1207" s="4692"/>
      <c r="G1207" s="4692"/>
      <c r="H1207" s="4693" t="s">
        <v>37</v>
      </c>
      <c r="I1207" s="4694"/>
      <c r="J1207" s="4694"/>
      <c r="K1207" s="4694"/>
      <c r="L1207" s="4694"/>
      <c r="M1207" s="4695" t="s">
        <v>73</v>
      </c>
      <c r="N1207" s="4695"/>
      <c r="O1207" s="4695"/>
      <c r="P1207" s="4695"/>
      <c r="Q1207" s="4696"/>
    </row>
    <row r="1208" spans="2:17" ht="12.75" customHeight="1">
      <c r="B1208" s="4690"/>
      <c r="C1208" s="4697" t="s">
        <v>1673</v>
      </c>
      <c r="D1208" s="4698"/>
      <c r="E1208" s="4698"/>
      <c r="F1208" s="4698"/>
      <c r="G1208" s="4698"/>
      <c r="H1208" s="4698"/>
      <c r="I1208" s="4698"/>
      <c r="J1208" s="4698"/>
      <c r="K1208" s="4698"/>
      <c r="L1208" s="4698"/>
      <c r="M1208" s="4698"/>
      <c r="N1208" s="4698"/>
      <c r="O1208" s="4698"/>
      <c r="P1208" s="4698"/>
      <c r="Q1208" s="4699"/>
    </row>
    <row r="1209" spans="2:17" ht="12.75" customHeight="1">
      <c r="B1209" s="4690"/>
      <c r="C1209" s="4697" t="s">
        <v>54</v>
      </c>
      <c r="D1209" s="4698"/>
      <c r="E1209" s="4698"/>
      <c r="F1209" s="4698"/>
      <c r="G1209" s="4698"/>
      <c r="H1209" s="4698"/>
      <c r="I1209" s="4698"/>
      <c r="J1209" s="4700"/>
      <c r="K1209" s="4701" t="s">
        <v>55</v>
      </c>
      <c r="L1209" s="4702"/>
      <c r="M1209" s="4702"/>
      <c r="N1209" s="4702"/>
      <c r="O1209" s="4702"/>
      <c r="P1209" s="4702"/>
      <c r="Q1209" s="4703"/>
    </row>
    <row r="1210" spans="2:17" ht="13.5" customHeight="1" thickBot="1">
      <c r="B1210" s="4690"/>
      <c r="C1210" s="3252">
        <f t="array" ref="C1210:G1210">PRCP</f>
        <v>2008</v>
      </c>
      <c r="D1210" s="3253">
        <v>2009</v>
      </c>
      <c r="E1210" s="3253">
        <v>2010</v>
      </c>
      <c r="F1210" s="3253">
        <v>2011</v>
      </c>
      <c r="G1210" s="3253">
        <v>2012</v>
      </c>
      <c r="H1210" s="3254">
        <f>CRCP_y1</f>
        <v>2013</v>
      </c>
      <c r="I1210" s="3254">
        <f>CRCP_y2</f>
        <v>2014</v>
      </c>
      <c r="J1210" s="3254">
        <f>CRCP_y3</f>
        <v>2015</v>
      </c>
      <c r="K1210" s="3254">
        <f>CRCP_y4</f>
        <v>2016</v>
      </c>
      <c r="L1210" s="3254">
        <f>CRCP_y5</f>
        <v>2017</v>
      </c>
      <c r="M1210" s="3253" t="str">
        <f t="array" ref="M1210:Q1210">FRCP</f>
        <v>2018</v>
      </c>
      <c r="N1210" s="3253">
        <v>2019</v>
      </c>
      <c r="O1210" s="3253">
        <v>2020</v>
      </c>
      <c r="P1210" s="3253">
        <v>2021</v>
      </c>
      <c r="Q1210" s="3255">
        <v>2022</v>
      </c>
    </row>
    <row r="1211" spans="2:17">
      <c r="B1211" s="3256" t="s">
        <v>1715</v>
      </c>
      <c r="C1211" s="3257"/>
      <c r="D1211" s="3258"/>
      <c r="E1211" s="3258"/>
      <c r="F1211" s="3258"/>
      <c r="G1211" s="3259"/>
      <c r="H1211" s="3257"/>
      <c r="I1211" s="3258"/>
      <c r="J1211" s="3258"/>
      <c r="K1211" s="3258"/>
      <c r="L1211" s="3258"/>
      <c r="M1211" s="3257"/>
      <c r="N1211" s="3258"/>
      <c r="O1211" s="3258"/>
      <c r="P1211" s="3258"/>
      <c r="Q1211" s="3259"/>
    </row>
    <row r="1212" spans="2:17">
      <c r="B1212" s="3260"/>
      <c r="C1212" s="3268"/>
      <c r="D1212" s="3269"/>
      <c r="E1212" s="3269"/>
      <c r="F1212" s="3269"/>
      <c r="G1212" s="3270"/>
      <c r="H1212" s="3268"/>
      <c r="I1212" s="3269"/>
      <c r="J1212" s="3269"/>
      <c r="K1212" s="3269"/>
      <c r="L1212" s="3271"/>
      <c r="M1212" s="3268"/>
      <c r="N1212" s="3269"/>
      <c r="O1212" s="3269"/>
      <c r="P1212" s="3269"/>
      <c r="Q1212" s="3270"/>
    </row>
    <row r="1213" spans="2:17">
      <c r="B1213" s="3260" t="s">
        <v>64</v>
      </c>
      <c r="C1213" s="3268"/>
      <c r="D1213" s="3269"/>
      <c r="E1213" s="3269"/>
      <c r="F1213" s="3269"/>
      <c r="G1213" s="3270"/>
      <c r="H1213" s="3268"/>
      <c r="I1213" s="3269">
        <v>0</v>
      </c>
      <c r="J1213" s="3269">
        <v>0</v>
      </c>
      <c r="K1213" s="3269">
        <v>0</v>
      </c>
      <c r="L1213" s="3271">
        <v>0</v>
      </c>
      <c r="M1213" s="3268">
        <v>0</v>
      </c>
      <c r="N1213" s="3269">
        <v>0</v>
      </c>
      <c r="O1213" s="3269">
        <v>0</v>
      </c>
      <c r="P1213" s="3269">
        <v>0</v>
      </c>
      <c r="Q1213" s="3270">
        <v>0</v>
      </c>
    </row>
    <row r="1214" spans="2:17">
      <c r="B1214" s="3260" t="s">
        <v>65</v>
      </c>
      <c r="C1214" s="3268"/>
      <c r="D1214" s="3269"/>
      <c r="E1214" s="3269"/>
      <c r="F1214" s="3269"/>
      <c r="G1214" s="3270"/>
      <c r="H1214" s="3268"/>
      <c r="I1214" s="3269">
        <v>0</v>
      </c>
      <c r="J1214" s="3269">
        <v>0</v>
      </c>
      <c r="K1214" s="3269">
        <v>0</v>
      </c>
      <c r="L1214" s="3271">
        <v>0</v>
      </c>
      <c r="M1214" s="3268">
        <v>0</v>
      </c>
      <c r="N1214" s="3269">
        <v>0</v>
      </c>
      <c r="O1214" s="3269">
        <v>0</v>
      </c>
      <c r="P1214" s="3269">
        <v>0</v>
      </c>
      <c r="Q1214" s="3270">
        <v>0</v>
      </c>
    </row>
    <row r="1215" spans="2:17">
      <c r="B1215" s="3260" t="s">
        <v>82</v>
      </c>
      <c r="C1215" s="3268"/>
      <c r="D1215" s="3269"/>
      <c r="E1215" s="3269"/>
      <c r="F1215" s="3269"/>
      <c r="G1215" s="3270"/>
      <c r="H1215" s="3268"/>
      <c r="I1215" s="3269">
        <v>0</v>
      </c>
      <c r="J1215" s="3269">
        <v>0</v>
      </c>
      <c r="K1215" s="3269">
        <v>0</v>
      </c>
      <c r="L1215" s="3271">
        <v>0</v>
      </c>
      <c r="M1215" s="3268">
        <v>0</v>
      </c>
      <c r="N1215" s="3269">
        <v>0</v>
      </c>
      <c r="O1215" s="3269">
        <v>0</v>
      </c>
      <c r="P1215" s="3269">
        <v>0</v>
      </c>
      <c r="Q1215" s="3270">
        <v>0</v>
      </c>
    </row>
    <row r="1216" spans="2:17">
      <c r="B1216" s="3260" t="s">
        <v>680</v>
      </c>
      <c r="C1216" s="3268"/>
      <c r="D1216" s="3269"/>
      <c r="E1216" s="3269"/>
      <c r="F1216" s="3269"/>
      <c r="G1216" s="3270"/>
      <c r="H1216" s="3268"/>
      <c r="I1216" s="3269">
        <v>0</v>
      </c>
      <c r="J1216" s="3269">
        <v>0</v>
      </c>
      <c r="K1216" s="3269">
        <v>0</v>
      </c>
      <c r="L1216" s="3271">
        <v>0</v>
      </c>
      <c r="M1216" s="3268">
        <v>0</v>
      </c>
      <c r="N1216" s="3269">
        <v>0</v>
      </c>
      <c r="O1216" s="3269">
        <v>0</v>
      </c>
      <c r="P1216" s="3269">
        <v>0</v>
      </c>
      <c r="Q1216" s="3270">
        <v>0</v>
      </c>
    </row>
    <row r="1217" spans="2:17">
      <c r="B1217" s="3260" t="s">
        <v>681</v>
      </c>
      <c r="C1217" s="3268"/>
      <c r="D1217" s="3269"/>
      <c r="E1217" s="3269"/>
      <c r="F1217" s="3269"/>
      <c r="G1217" s="3270"/>
      <c r="H1217" s="3268"/>
      <c r="I1217" s="3269">
        <v>50.523000000000025</v>
      </c>
      <c r="J1217" s="3269">
        <v>53.137000000000022</v>
      </c>
      <c r="K1217" s="3269">
        <v>53.137000000000022</v>
      </c>
      <c r="L1217" s="3271">
        <v>53.137000000000022</v>
      </c>
      <c r="M1217" s="3268">
        <v>53.137000000000022</v>
      </c>
      <c r="N1217" s="3269">
        <v>53.137000000000022</v>
      </c>
      <c r="O1217" s="3269">
        <v>53.137000000000022</v>
      </c>
      <c r="P1217" s="3269">
        <v>53.137000000000022</v>
      </c>
      <c r="Q1217" s="3270">
        <v>53.137000000000022</v>
      </c>
    </row>
    <row r="1218" spans="2:17">
      <c r="B1218" s="3260" t="s">
        <v>682</v>
      </c>
      <c r="C1218" s="3268"/>
      <c r="D1218" s="3269"/>
      <c r="E1218" s="3269"/>
      <c r="F1218" s="3269"/>
      <c r="G1218" s="3270"/>
      <c r="H1218" s="3268"/>
      <c r="I1218" s="3269">
        <v>0.68100000000000005</v>
      </c>
      <c r="J1218" s="3269">
        <v>0.68100000000000005</v>
      </c>
      <c r="K1218" s="3269">
        <v>0.68100000000000005</v>
      </c>
      <c r="L1218" s="3271">
        <v>0.68100000000000005</v>
      </c>
      <c r="M1218" s="3268">
        <v>0.68100000000000005</v>
      </c>
      <c r="N1218" s="3269">
        <v>0.68100000000000005</v>
      </c>
      <c r="O1218" s="3269">
        <v>0.68100000000000005</v>
      </c>
      <c r="P1218" s="3269">
        <v>0.68100000000000005</v>
      </c>
      <c r="Q1218" s="3270">
        <v>0.68100000000000005</v>
      </c>
    </row>
    <row r="1219" spans="2:17">
      <c r="B1219" s="3260" t="s">
        <v>66</v>
      </c>
      <c r="C1219" s="3268"/>
      <c r="D1219" s="3269"/>
      <c r="E1219" s="3269"/>
      <c r="F1219" s="3269"/>
      <c r="G1219" s="3270"/>
      <c r="H1219" s="3268"/>
      <c r="I1219" s="3269">
        <v>0</v>
      </c>
      <c r="J1219" s="3269">
        <v>0</v>
      </c>
      <c r="K1219" s="3269">
        <v>0</v>
      </c>
      <c r="L1219" s="3271">
        <v>0</v>
      </c>
      <c r="M1219" s="3268">
        <v>0</v>
      </c>
      <c r="N1219" s="3269">
        <v>0</v>
      </c>
      <c r="O1219" s="3269">
        <v>0</v>
      </c>
      <c r="P1219" s="3269">
        <v>0</v>
      </c>
      <c r="Q1219" s="3270">
        <v>0</v>
      </c>
    </row>
    <row r="1220" spans="2:17" ht="13.5" thickBot="1">
      <c r="B1220" s="3260" t="s">
        <v>67</v>
      </c>
      <c r="C1220" s="3268"/>
      <c r="D1220" s="3269"/>
      <c r="E1220" s="3269"/>
      <c r="F1220" s="3269"/>
      <c r="G1220" s="3270"/>
      <c r="H1220" s="3268"/>
      <c r="I1220" s="3269">
        <v>16.255000000000006</v>
      </c>
      <c r="J1220" s="3269">
        <v>16.255000000000006</v>
      </c>
      <c r="K1220" s="3269">
        <v>16.255000000000006</v>
      </c>
      <c r="L1220" s="3271">
        <v>16.255000000000006</v>
      </c>
      <c r="M1220" s="3272">
        <v>16.255000000000006</v>
      </c>
      <c r="N1220" s="3273">
        <v>16.255000000000006</v>
      </c>
      <c r="O1220" s="3273">
        <v>16.255000000000006</v>
      </c>
      <c r="P1220" s="3273">
        <v>16.255000000000006</v>
      </c>
      <c r="Q1220" s="3274">
        <v>16.255000000000006</v>
      </c>
    </row>
    <row r="1221" spans="2:17" ht="12.75" customHeight="1">
      <c r="B1221" s="4689">
        <v>3355</v>
      </c>
      <c r="C1221" s="4691" t="s">
        <v>36</v>
      </c>
      <c r="D1221" s="4692"/>
      <c r="E1221" s="4692"/>
      <c r="F1221" s="4692"/>
      <c r="G1221" s="4692"/>
      <c r="H1221" s="4693" t="s">
        <v>37</v>
      </c>
      <c r="I1221" s="4694"/>
      <c r="J1221" s="4694"/>
      <c r="K1221" s="4694"/>
      <c r="L1221" s="4694"/>
      <c r="M1221" s="4695" t="s">
        <v>73</v>
      </c>
      <c r="N1221" s="4695"/>
      <c r="O1221" s="4695"/>
      <c r="P1221" s="4695"/>
      <c r="Q1221" s="4696"/>
    </row>
    <row r="1222" spans="2:17" ht="12.75" customHeight="1">
      <c r="B1222" s="4690"/>
      <c r="C1222" s="4697" t="s">
        <v>1673</v>
      </c>
      <c r="D1222" s="4698"/>
      <c r="E1222" s="4698"/>
      <c r="F1222" s="4698"/>
      <c r="G1222" s="4698"/>
      <c r="H1222" s="4698"/>
      <c r="I1222" s="4698"/>
      <c r="J1222" s="4698"/>
      <c r="K1222" s="4698"/>
      <c r="L1222" s="4698"/>
      <c r="M1222" s="4698"/>
      <c r="N1222" s="4698"/>
      <c r="O1222" s="4698"/>
      <c r="P1222" s="4698"/>
      <c r="Q1222" s="4699"/>
    </row>
    <row r="1223" spans="2:17" ht="12.75" customHeight="1">
      <c r="B1223" s="4690"/>
      <c r="C1223" s="4697" t="s">
        <v>54</v>
      </c>
      <c r="D1223" s="4698"/>
      <c r="E1223" s="4698"/>
      <c r="F1223" s="4698"/>
      <c r="G1223" s="4698"/>
      <c r="H1223" s="4698"/>
      <c r="I1223" s="4698"/>
      <c r="J1223" s="4700"/>
      <c r="K1223" s="4701" t="s">
        <v>55</v>
      </c>
      <c r="L1223" s="4702"/>
      <c r="M1223" s="4702"/>
      <c r="N1223" s="4702"/>
      <c r="O1223" s="4702"/>
      <c r="P1223" s="4702"/>
      <c r="Q1223" s="4703"/>
    </row>
    <row r="1224" spans="2:17" ht="13.5" customHeight="1" thickBot="1">
      <c r="B1224" s="4690"/>
      <c r="C1224" s="3252">
        <f t="array" ref="C1224:G1224">PRCP</f>
        <v>2008</v>
      </c>
      <c r="D1224" s="3253">
        <v>2009</v>
      </c>
      <c r="E1224" s="3253">
        <v>2010</v>
      </c>
      <c r="F1224" s="3253">
        <v>2011</v>
      </c>
      <c r="G1224" s="3253">
        <v>2012</v>
      </c>
      <c r="H1224" s="3254">
        <f>CRCP_y1</f>
        <v>2013</v>
      </c>
      <c r="I1224" s="3254">
        <f>CRCP_y2</f>
        <v>2014</v>
      </c>
      <c r="J1224" s="3254">
        <f>CRCP_y3</f>
        <v>2015</v>
      </c>
      <c r="K1224" s="3254">
        <f>CRCP_y4</f>
        <v>2016</v>
      </c>
      <c r="L1224" s="3254">
        <f>CRCP_y5</f>
        <v>2017</v>
      </c>
      <c r="M1224" s="3253" t="str">
        <f t="array" ref="M1224:Q1224">FRCP</f>
        <v>2018</v>
      </c>
      <c r="N1224" s="3253">
        <v>2019</v>
      </c>
      <c r="O1224" s="3253">
        <v>2020</v>
      </c>
      <c r="P1224" s="3253">
        <v>2021</v>
      </c>
      <c r="Q1224" s="3255">
        <v>2022</v>
      </c>
    </row>
    <row r="1225" spans="2:17">
      <c r="B1225" s="3256" t="s">
        <v>1716</v>
      </c>
      <c r="C1225" s="3257"/>
      <c r="D1225" s="3258"/>
      <c r="E1225" s="3258"/>
      <c r="F1225" s="3258"/>
      <c r="G1225" s="3259"/>
      <c r="H1225" s="3257"/>
      <c r="I1225" s="3258"/>
      <c r="J1225" s="3258"/>
      <c r="K1225" s="3258"/>
      <c r="L1225" s="3258"/>
      <c r="M1225" s="3257"/>
      <c r="N1225" s="3258"/>
      <c r="O1225" s="3258"/>
      <c r="P1225" s="3258"/>
      <c r="Q1225" s="3259"/>
    </row>
    <row r="1226" spans="2:17">
      <c r="B1226" s="3260"/>
      <c r="C1226" s="3268"/>
      <c r="D1226" s="3269"/>
      <c r="E1226" s="3269"/>
      <c r="F1226" s="3269"/>
      <c r="G1226" s="3270"/>
      <c r="H1226" s="3268"/>
      <c r="I1226" s="3269"/>
      <c r="J1226" s="3269"/>
      <c r="K1226" s="3269"/>
      <c r="L1226" s="3271"/>
      <c r="M1226" s="3268"/>
      <c r="N1226" s="3269"/>
      <c r="O1226" s="3269"/>
      <c r="P1226" s="3269"/>
      <c r="Q1226" s="3270"/>
    </row>
    <row r="1227" spans="2:17">
      <c r="B1227" s="3260" t="s">
        <v>64</v>
      </c>
      <c r="C1227" s="3268"/>
      <c r="D1227" s="3269"/>
      <c r="E1227" s="3269"/>
      <c r="F1227" s="3269"/>
      <c r="G1227" s="3270"/>
      <c r="H1227" s="3268"/>
      <c r="I1227" s="3281">
        <v>0</v>
      </c>
      <c r="J1227" s="3281">
        <v>0</v>
      </c>
      <c r="K1227" s="3281">
        <v>0</v>
      </c>
      <c r="L1227" s="3282">
        <v>0</v>
      </c>
      <c r="M1227" s="3283">
        <v>0</v>
      </c>
      <c r="N1227" s="3281">
        <v>0</v>
      </c>
      <c r="O1227" s="3281">
        <v>0</v>
      </c>
      <c r="P1227" s="3281">
        <v>0</v>
      </c>
      <c r="Q1227" s="3284">
        <v>0</v>
      </c>
    </row>
    <row r="1228" spans="2:17">
      <c r="B1228" s="3260" t="s">
        <v>65</v>
      </c>
      <c r="C1228" s="3268"/>
      <c r="D1228" s="3269"/>
      <c r="E1228" s="3269"/>
      <c r="F1228" s="3269"/>
      <c r="G1228" s="3270"/>
      <c r="H1228" s="3268"/>
      <c r="I1228" s="3281">
        <v>0</v>
      </c>
      <c r="J1228" s="3281">
        <v>0</v>
      </c>
      <c r="K1228" s="3281">
        <v>0</v>
      </c>
      <c r="L1228" s="3282">
        <v>0</v>
      </c>
      <c r="M1228" s="3283">
        <v>0</v>
      </c>
      <c r="N1228" s="3281">
        <v>0</v>
      </c>
      <c r="O1228" s="3281">
        <v>0</v>
      </c>
      <c r="P1228" s="3281">
        <v>0</v>
      </c>
      <c r="Q1228" s="3284">
        <v>0</v>
      </c>
    </row>
    <row r="1229" spans="2:17">
      <c r="B1229" s="3260" t="s">
        <v>82</v>
      </c>
      <c r="C1229" s="3268"/>
      <c r="D1229" s="3269"/>
      <c r="E1229" s="3269"/>
      <c r="F1229" s="3269"/>
      <c r="G1229" s="3270"/>
      <c r="H1229" s="3268"/>
      <c r="I1229" s="3281">
        <v>0</v>
      </c>
      <c r="J1229" s="3281">
        <v>0</v>
      </c>
      <c r="K1229" s="3281">
        <v>0</v>
      </c>
      <c r="L1229" s="3282">
        <v>0</v>
      </c>
      <c r="M1229" s="3283">
        <v>0</v>
      </c>
      <c r="N1229" s="3281">
        <v>0</v>
      </c>
      <c r="O1229" s="3281">
        <v>0</v>
      </c>
      <c r="P1229" s="3281">
        <v>0</v>
      </c>
      <c r="Q1229" s="3284">
        <v>0</v>
      </c>
    </row>
    <row r="1230" spans="2:17">
      <c r="B1230" s="3260" t="s">
        <v>680</v>
      </c>
      <c r="C1230" s="3268"/>
      <c r="D1230" s="3269"/>
      <c r="E1230" s="3269"/>
      <c r="F1230" s="3269"/>
      <c r="G1230" s="3270"/>
      <c r="H1230" s="3268"/>
      <c r="I1230" s="3281">
        <v>0</v>
      </c>
      <c r="J1230" s="3281">
        <v>0</v>
      </c>
      <c r="K1230" s="3281">
        <v>0</v>
      </c>
      <c r="L1230" s="3282">
        <v>0</v>
      </c>
      <c r="M1230" s="3283">
        <v>0</v>
      </c>
      <c r="N1230" s="3281">
        <v>0</v>
      </c>
      <c r="O1230" s="3281">
        <v>0</v>
      </c>
      <c r="P1230" s="3281">
        <v>0</v>
      </c>
      <c r="Q1230" s="3284">
        <v>0</v>
      </c>
    </row>
    <row r="1231" spans="2:17">
      <c r="B1231" s="3260" t="s">
        <v>681</v>
      </c>
      <c r="C1231" s="3268"/>
      <c r="D1231" s="3269"/>
      <c r="E1231" s="3269"/>
      <c r="F1231" s="3269"/>
      <c r="G1231" s="3270"/>
      <c r="H1231" s="3268"/>
      <c r="I1231" s="3281">
        <v>39.683000000000007</v>
      </c>
      <c r="J1231" s="3281">
        <v>41.08</v>
      </c>
      <c r="K1231" s="3281">
        <v>41.901600000000002</v>
      </c>
      <c r="L1231" s="3282">
        <v>42.739632</v>
      </c>
      <c r="M1231" s="3283">
        <v>43.59442464</v>
      </c>
      <c r="N1231" s="3281">
        <v>44.466313132800003</v>
      </c>
      <c r="O1231" s="3281">
        <v>45.355639395456002</v>
      </c>
      <c r="P1231" s="3281">
        <v>46.262752183365123</v>
      </c>
      <c r="Q1231" s="3284">
        <v>47.188007227032429</v>
      </c>
    </row>
    <row r="1232" spans="2:17">
      <c r="B1232" s="3260" t="s">
        <v>682</v>
      </c>
      <c r="C1232" s="3268"/>
      <c r="D1232" s="3269"/>
      <c r="E1232" s="3269"/>
      <c r="F1232" s="3269"/>
      <c r="G1232" s="3270"/>
      <c r="H1232" s="3268"/>
      <c r="I1232" s="3281">
        <v>0.66100000000000003</v>
      </c>
      <c r="J1232" s="3281">
        <v>0.66100000000000003</v>
      </c>
      <c r="K1232" s="3281">
        <v>0.66100000000000003</v>
      </c>
      <c r="L1232" s="3282">
        <v>0.66100000000000003</v>
      </c>
      <c r="M1232" s="3283">
        <v>0.66100000000000003</v>
      </c>
      <c r="N1232" s="3281">
        <v>0.66100000000000003</v>
      </c>
      <c r="O1232" s="3281">
        <v>0.66100000000000003</v>
      </c>
      <c r="P1232" s="3281">
        <v>0.66100000000000003</v>
      </c>
      <c r="Q1232" s="3284">
        <v>0.66100000000000003</v>
      </c>
    </row>
    <row r="1233" spans="2:17">
      <c r="B1233" s="3260" t="s">
        <v>66</v>
      </c>
      <c r="C1233" s="3268"/>
      <c r="D1233" s="3269"/>
      <c r="E1233" s="3269"/>
      <c r="F1233" s="3269"/>
      <c r="G1233" s="3270"/>
      <c r="H1233" s="3268"/>
      <c r="I1233" s="3281">
        <v>0</v>
      </c>
      <c r="J1233" s="3281">
        <v>0</v>
      </c>
      <c r="K1233" s="3281">
        <v>0</v>
      </c>
      <c r="L1233" s="3282">
        <v>0</v>
      </c>
      <c r="M1233" s="3283">
        <v>0</v>
      </c>
      <c r="N1233" s="3281">
        <v>0</v>
      </c>
      <c r="O1233" s="3281">
        <v>0</v>
      </c>
      <c r="P1233" s="3281">
        <v>0</v>
      </c>
      <c r="Q1233" s="3284">
        <v>0</v>
      </c>
    </row>
    <row r="1234" spans="2:17" ht="13.5" thickBot="1">
      <c r="B1234" s="3260" t="s">
        <v>67</v>
      </c>
      <c r="C1234" s="3268"/>
      <c r="D1234" s="3269"/>
      <c r="E1234" s="3269"/>
      <c r="F1234" s="3269"/>
      <c r="G1234" s="3270"/>
      <c r="H1234" s="3268"/>
      <c r="I1234" s="3281">
        <v>57.939000000000071</v>
      </c>
      <c r="J1234" s="3281">
        <v>57.97000000000007</v>
      </c>
      <c r="K1234" s="3281">
        <v>57.97000000000007</v>
      </c>
      <c r="L1234" s="3282">
        <v>57.97000000000007</v>
      </c>
      <c r="M1234" s="3285">
        <v>57.97000000000007</v>
      </c>
      <c r="N1234" s="3286">
        <v>57.97000000000007</v>
      </c>
      <c r="O1234" s="3286">
        <v>57.97000000000007</v>
      </c>
      <c r="P1234" s="3286">
        <v>57.97000000000007</v>
      </c>
      <c r="Q1234" s="3287">
        <v>57.97000000000007</v>
      </c>
    </row>
    <row r="1235" spans="2:17" ht="12.75" customHeight="1">
      <c r="B1235" s="4689">
        <v>3356</v>
      </c>
      <c r="C1235" s="4691" t="s">
        <v>36</v>
      </c>
      <c r="D1235" s="4692"/>
      <c r="E1235" s="4692"/>
      <c r="F1235" s="4692"/>
      <c r="G1235" s="4692"/>
      <c r="H1235" s="4693" t="s">
        <v>37</v>
      </c>
      <c r="I1235" s="4694"/>
      <c r="J1235" s="4694"/>
      <c r="K1235" s="4694"/>
      <c r="L1235" s="4694"/>
      <c r="M1235" s="4695" t="s">
        <v>73</v>
      </c>
      <c r="N1235" s="4695"/>
      <c r="O1235" s="4695"/>
      <c r="P1235" s="4695"/>
      <c r="Q1235" s="4696"/>
    </row>
    <row r="1236" spans="2:17" ht="12.75" customHeight="1">
      <c r="B1236" s="4690"/>
      <c r="C1236" s="4697" t="s">
        <v>1673</v>
      </c>
      <c r="D1236" s="4698"/>
      <c r="E1236" s="4698"/>
      <c r="F1236" s="4698"/>
      <c r="G1236" s="4698"/>
      <c r="H1236" s="4698"/>
      <c r="I1236" s="4698"/>
      <c r="J1236" s="4698"/>
      <c r="K1236" s="4698"/>
      <c r="L1236" s="4698"/>
      <c r="M1236" s="4698"/>
      <c r="N1236" s="4698"/>
      <c r="O1236" s="4698"/>
      <c r="P1236" s="4698"/>
      <c r="Q1236" s="4699"/>
    </row>
    <row r="1237" spans="2:17" ht="12.75" customHeight="1">
      <c r="B1237" s="4690"/>
      <c r="C1237" s="4697" t="s">
        <v>54</v>
      </c>
      <c r="D1237" s="4698"/>
      <c r="E1237" s="4698"/>
      <c r="F1237" s="4698"/>
      <c r="G1237" s="4698"/>
      <c r="H1237" s="4698"/>
      <c r="I1237" s="4698"/>
      <c r="J1237" s="4700"/>
      <c r="K1237" s="4701" t="s">
        <v>55</v>
      </c>
      <c r="L1237" s="4702"/>
      <c r="M1237" s="4702"/>
      <c r="N1237" s="4702"/>
      <c r="O1237" s="4702"/>
      <c r="P1237" s="4702"/>
      <c r="Q1237" s="4703"/>
    </row>
    <row r="1238" spans="2:17" ht="13.5" customHeight="1" thickBot="1">
      <c r="B1238" s="4690"/>
      <c r="C1238" s="3252">
        <f t="array" ref="C1238:G1238">PRCP</f>
        <v>2008</v>
      </c>
      <c r="D1238" s="3253">
        <v>2009</v>
      </c>
      <c r="E1238" s="3253">
        <v>2010</v>
      </c>
      <c r="F1238" s="3253">
        <v>2011</v>
      </c>
      <c r="G1238" s="3253">
        <v>2012</v>
      </c>
      <c r="H1238" s="3254">
        <f>CRCP_y1</f>
        <v>2013</v>
      </c>
      <c r="I1238" s="3254">
        <f>CRCP_y2</f>
        <v>2014</v>
      </c>
      <c r="J1238" s="3254">
        <f>CRCP_y3</f>
        <v>2015</v>
      </c>
      <c r="K1238" s="3254">
        <f>CRCP_y4</f>
        <v>2016</v>
      </c>
      <c r="L1238" s="3254">
        <f>CRCP_y5</f>
        <v>2017</v>
      </c>
      <c r="M1238" s="3253" t="str">
        <f t="array" ref="M1238:Q1238">FRCP</f>
        <v>2018</v>
      </c>
      <c r="N1238" s="3253">
        <v>2019</v>
      </c>
      <c r="O1238" s="3253">
        <v>2020</v>
      </c>
      <c r="P1238" s="3253">
        <v>2021</v>
      </c>
      <c r="Q1238" s="3255">
        <v>2022</v>
      </c>
    </row>
    <row r="1239" spans="2:17">
      <c r="B1239" s="3256" t="s">
        <v>1716</v>
      </c>
      <c r="C1239" s="3257"/>
      <c r="D1239" s="3258"/>
      <c r="E1239" s="3258"/>
      <c r="F1239" s="3258"/>
      <c r="G1239" s="3259"/>
      <c r="H1239" s="3257"/>
      <c r="I1239" s="3258"/>
      <c r="J1239" s="3258"/>
      <c r="K1239" s="3258"/>
      <c r="L1239" s="3258"/>
      <c r="M1239" s="3257"/>
      <c r="N1239" s="3258"/>
      <c r="O1239" s="3258"/>
      <c r="P1239" s="3258"/>
      <c r="Q1239" s="3259"/>
    </row>
    <row r="1240" spans="2:17">
      <c r="B1240" s="3260"/>
      <c r="C1240" s="3268"/>
      <c r="D1240" s="3269"/>
      <c r="E1240" s="3269"/>
      <c r="F1240" s="3269"/>
      <c r="G1240" s="3270"/>
      <c r="H1240" s="3268"/>
      <c r="I1240" s="3269"/>
      <c r="J1240" s="3269"/>
      <c r="K1240" s="3269"/>
      <c r="L1240" s="3271"/>
      <c r="M1240" s="3268"/>
      <c r="N1240" s="3269"/>
      <c r="O1240" s="3269"/>
      <c r="P1240" s="3269"/>
      <c r="Q1240" s="3270"/>
    </row>
    <row r="1241" spans="2:17">
      <c r="B1241" s="3260" t="s">
        <v>64</v>
      </c>
      <c r="C1241" s="3268"/>
      <c r="D1241" s="3269"/>
      <c r="E1241" s="3269"/>
      <c r="F1241" s="3269"/>
      <c r="G1241" s="3270"/>
      <c r="H1241" s="3268"/>
      <c r="I1241" s="3281">
        <v>0</v>
      </c>
      <c r="J1241" s="3281">
        <v>0</v>
      </c>
      <c r="K1241" s="3281">
        <v>0</v>
      </c>
      <c r="L1241" s="3282">
        <v>0</v>
      </c>
      <c r="M1241" s="3283">
        <v>0</v>
      </c>
      <c r="N1241" s="3281">
        <v>0</v>
      </c>
      <c r="O1241" s="3281">
        <v>0</v>
      </c>
      <c r="P1241" s="3281">
        <v>0</v>
      </c>
      <c r="Q1241" s="3284">
        <v>0</v>
      </c>
    </row>
    <row r="1242" spans="2:17">
      <c r="B1242" s="3260" t="s">
        <v>65</v>
      </c>
      <c r="C1242" s="3268"/>
      <c r="D1242" s="3269"/>
      <c r="E1242" s="3269"/>
      <c r="F1242" s="3269"/>
      <c r="G1242" s="3270"/>
      <c r="H1242" s="3268"/>
      <c r="I1242" s="3281">
        <v>0</v>
      </c>
      <c r="J1242" s="3281">
        <v>0</v>
      </c>
      <c r="K1242" s="3281">
        <v>0</v>
      </c>
      <c r="L1242" s="3282">
        <v>0</v>
      </c>
      <c r="M1242" s="3283">
        <v>0</v>
      </c>
      <c r="N1242" s="3281">
        <v>0</v>
      </c>
      <c r="O1242" s="3281">
        <v>0</v>
      </c>
      <c r="P1242" s="3281">
        <v>0</v>
      </c>
      <c r="Q1242" s="3284">
        <v>0</v>
      </c>
    </row>
    <row r="1243" spans="2:17">
      <c r="B1243" s="3260" t="s">
        <v>82</v>
      </c>
      <c r="C1243" s="3268"/>
      <c r="D1243" s="3269"/>
      <c r="E1243" s="3269"/>
      <c r="F1243" s="3269"/>
      <c r="G1243" s="3270"/>
      <c r="H1243" s="3268"/>
      <c r="I1243" s="3281">
        <v>0</v>
      </c>
      <c r="J1243" s="3281">
        <v>0</v>
      </c>
      <c r="K1243" s="3281">
        <v>0</v>
      </c>
      <c r="L1243" s="3282">
        <v>0</v>
      </c>
      <c r="M1243" s="3283">
        <v>0</v>
      </c>
      <c r="N1243" s="3281">
        <v>0</v>
      </c>
      <c r="O1243" s="3281">
        <v>0</v>
      </c>
      <c r="P1243" s="3281">
        <v>0</v>
      </c>
      <c r="Q1243" s="3284">
        <v>0</v>
      </c>
    </row>
    <row r="1244" spans="2:17">
      <c r="B1244" s="3260" t="s">
        <v>680</v>
      </c>
      <c r="C1244" s="3268"/>
      <c r="D1244" s="3269"/>
      <c r="E1244" s="3269"/>
      <c r="F1244" s="3269"/>
      <c r="G1244" s="3270"/>
      <c r="H1244" s="3268"/>
      <c r="I1244" s="3281">
        <v>0</v>
      </c>
      <c r="J1244" s="3281">
        <v>0</v>
      </c>
      <c r="K1244" s="3281">
        <v>0</v>
      </c>
      <c r="L1244" s="3282">
        <v>0</v>
      </c>
      <c r="M1244" s="3283">
        <v>0</v>
      </c>
      <c r="N1244" s="3281">
        <v>0</v>
      </c>
      <c r="O1244" s="3281">
        <v>0</v>
      </c>
      <c r="P1244" s="3281">
        <v>0</v>
      </c>
      <c r="Q1244" s="3284">
        <v>0</v>
      </c>
    </row>
    <row r="1245" spans="2:17">
      <c r="B1245" s="3260" t="s">
        <v>681</v>
      </c>
      <c r="C1245" s="3268"/>
      <c r="D1245" s="3269"/>
      <c r="E1245" s="3269"/>
      <c r="F1245" s="3269"/>
      <c r="G1245" s="3270"/>
      <c r="H1245" s="3268"/>
      <c r="I1245" s="3281">
        <v>73.23900000000009</v>
      </c>
      <c r="J1245" s="3281">
        <v>76.187000000000154</v>
      </c>
      <c r="K1245" s="3281">
        <v>77.710740000000158</v>
      </c>
      <c r="L1245" s="3282">
        <v>79.264954800000169</v>
      </c>
      <c r="M1245" s="3283">
        <v>80.850253896000169</v>
      </c>
      <c r="N1245" s="3281">
        <v>82.467258973920167</v>
      </c>
      <c r="O1245" s="3281">
        <v>84.116604153398569</v>
      </c>
      <c r="P1245" s="3281">
        <v>85.798936236466545</v>
      </c>
      <c r="Q1245" s="3284">
        <v>87.514914961195885</v>
      </c>
    </row>
    <row r="1246" spans="2:17">
      <c r="B1246" s="3260" t="s">
        <v>682</v>
      </c>
      <c r="C1246" s="3268"/>
      <c r="D1246" s="3269"/>
      <c r="E1246" s="3269"/>
      <c r="F1246" s="3269"/>
      <c r="G1246" s="3270"/>
      <c r="H1246" s="3268"/>
      <c r="I1246" s="3281">
        <v>0</v>
      </c>
      <c r="J1246" s="3281">
        <v>0</v>
      </c>
      <c r="K1246" s="3281">
        <v>0</v>
      </c>
      <c r="L1246" s="3282">
        <v>0</v>
      </c>
      <c r="M1246" s="3283">
        <v>0</v>
      </c>
      <c r="N1246" s="3281">
        <v>0</v>
      </c>
      <c r="O1246" s="3281">
        <v>0</v>
      </c>
      <c r="P1246" s="3281">
        <v>0</v>
      </c>
      <c r="Q1246" s="3284">
        <v>0</v>
      </c>
    </row>
    <row r="1247" spans="2:17">
      <c r="B1247" s="3260" t="s">
        <v>66</v>
      </c>
      <c r="C1247" s="3268"/>
      <c r="D1247" s="3269"/>
      <c r="E1247" s="3269"/>
      <c r="F1247" s="3269"/>
      <c r="G1247" s="3270"/>
      <c r="H1247" s="3268"/>
      <c r="I1247" s="3281">
        <v>0</v>
      </c>
      <c r="J1247" s="3281">
        <v>0</v>
      </c>
      <c r="K1247" s="3281">
        <v>0</v>
      </c>
      <c r="L1247" s="3282">
        <v>0</v>
      </c>
      <c r="M1247" s="3283">
        <v>0</v>
      </c>
      <c r="N1247" s="3281">
        <v>0</v>
      </c>
      <c r="O1247" s="3281">
        <v>0</v>
      </c>
      <c r="P1247" s="3281">
        <v>0</v>
      </c>
      <c r="Q1247" s="3284">
        <v>0</v>
      </c>
    </row>
    <row r="1248" spans="2:17" ht="13.5" thickBot="1">
      <c r="B1248" s="3260" t="s">
        <v>67</v>
      </c>
      <c r="C1248" s="3268"/>
      <c r="D1248" s="3269"/>
      <c r="E1248" s="3269"/>
      <c r="F1248" s="3269"/>
      <c r="G1248" s="3270"/>
      <c r="H1248" s="3268"/>
      <c r="I1248" s="3281">
        <v>36.163000000000061</v>
      </c>
      <c r="J1248" s="3281">
        <v>36.166000000000075</v>
      </c>
      <c r="K1248" s="3281">
        <v>36.166000000000075</v>
      </c>
      <c r="L1248" s="3282">
        <v>37.166000000000103</v>
      </c>
      <c r="M1248" s="3285">
        <v>38.166000000000103</v>
      </c>
      <c r="N1248" s="3286">
        <v>39.166000000000103</v>
      </c>
      <c r="O1248" s="3286">
        <v>40.166000000000103</v>
      </c>
      <c r="P1248" s="3286">
        <v>41.166000000000103</v>
      </c>
      <c r="Q1248" s="3287">
        <v>42.166000000000103</v>
      </c>
    </row>
    <row r="1249" spans="2:17" ht="12.75" customHeight="1">
      <c r="B1249" s="4689">
        <v>3357</v>
      </c>
      <c r="C1249" s="4691" t="s">
        <v>36</v>
      </c>
      <c r="D1249" s="4692"/>
      <c r="E1249" s="4692"/>
      <c r="F1249" s="4692"/>
      <c r="G1249" s="4692"/>
      <c r="H1249" s="4693" t="s">
        <v>37</v>
      </c>
      <c r="I1249" s="4694"/>
      <c r="J1249" s="4694"/>
      <c r="K1249" s="4694"/>
      <c r="L1249" s="4694"/>
      <c r="M1249" s="4695" t="s">
        <v>73</v>
      </c>
      <c r="N1249" s="4695"/>
      <c r="O1249" s="4695"/>
      <c r="P1249" s="4695"/>
      <c r="Q1249" s="4696"/>
    </row>
    <row r="1250" spans="2:17" ht="12.75" customHeight="1">
      <c r="B1250" s="4690"/>
      <c r="C1250" s="4697" t="s">
        <v>1673</v>
      </c>
      <c r="D1250" s="4698"/>
      <c r="E1250" s="4698"/>
      <c r="F1250" s="4698"/>
      <c r="G1250" s="4698"/>
      <c r="H1250" s="4698"/>
      <c r="I1250" s="4698"/>
      <c r="J1250" s="4698"/>
      <c r="K1250" s="4698"/>
      <c r="L1250" s="4698"/>
      <c r="M1250" s="4698"/>
      <c r="N1250" s="4698"/>
      <c r="O1250" s="4698"/>
      <c r="P1250" s="4698"/>
      <c r="Q1250" s="4699"/>
    </row>
    <row r="1251" spans="2:17" ht="12.75" customHeight="1">
      <c r="B1251" s="4690"/>
      <c r="C1251" s="4697" t="s">
        <v>54</v>
      </c>
      <c r="D1251" s="4698"/>
      <c r="E1251" s="4698"/>
      <c r="F1251" s="4698"/>
      <c r="G1251" s="4698"/>
      <c r="H1251" s="4698"/>
      <c r="I1251" s="4698"/>
      <c r="J1251" s="4700"/>
      <c r="K1251" s="4701" t="s">
        <v>55</v>
      </c>
      <c r="L1251" s="4702"/>
      <c r="M1251" s="4702"/>
      <c r="N1251" s="4702"/>
      <c r="O1251" s="4702"/>
      <c r="P1251" s="4702"/>
      <c r="Q1251" s="4703"/>
    </row>
    <row r="1252" spans="2:17" ht="13.5" customHeight="1" thickBot="1">
      <c r="B1252" s="4690"/>
      <c r="C1252" s="3252">
        <f t="array" ref="C1252:G1252">PRCP</f>
        <v>2008</v>
      </c>
      <c r="D1252" s="3253">
        <v>2009</v>
      </c>
      <c r="E1252" s="3253">
        <v>2010</v>
      </c>
      <c r="F1252" s="3253">
        <v>2011</v>
      </c>
      <c r="G1252" s="3253">
        <v>2012</v>
      </c>
      <c r="H1252" s="3254">
        <f>CRCP_y1</f>
        <v>2013</v>
      </c>
      <c r="I1252" s="3254">
        <f>CRCP_y2</f>
        <v>2014</v>
      </c>
      <c r="J1252" s="3254">
        <f>CRCP_y3</f>
        <v>2015</v>
      </c>
      <c r="K1252" s="3254">
        <f>CRCP_y4</f>
        <v>2016</v>
      </c>
      <c r="L1252" s="3254">
        <f>CRCP_y5</f>
        <v>2017</v>
      </c>
      <c r="M1252" s="3253" t="str">
        <f t="array" ref="M1252:Q1252">FRCP</f>
        <v>2018</v>
      </c>
      <c r="N1252" s="3253">
        <v>2019</v>
      </c>
      <c r="O1252" s="3253">
        <v>2020</v>
      </c>
      <c r="P1252" s="3253">
        <v>2021</v>
      </c>
      <c r="Q1252" s="3255">
        <v>2022</v>
      </c>
    </row>
    <row r="1253" spans="2:17">
      <c r="B1253" s="3256" t="s">
        <v>1717</v>
      </c>
      <c r="C1253" s="3257"/>
      <c r="D1253" s="3258"/>
      <c r="E1253" s="3258"/>
      <c r="F1253" s="3258"/>
      <c r="G1253" s="3259"/>
      <c r="H1253" s="3257"/>
      <c r="I1253" s="3258"/>
      <c r="J1253" s="3258"/>
      <c r="K1253" s="3258"/>
      <c r="L1253" s="3258"/>
      <c r="M1253" s="3257"/>
      <c r="N1253" s="3258"/>
      <c r="O1253" s="3258"/>
      <c r="P1253" s="3258"/>
      <c r="Q1253" s="3259"/>
    </row>
    <row r="1254" spans="2:17">
      <c r="B1254" s="3260"/>
      <c r="C1254" s="3268"/>
      <c r="D1254" s="3269"/>
      <c r="E1254" s="3269"/>
      <c r="F1254" s="3269"/>
      <c r="G1254" s="3270"/>
      <c r="H1254" s="3268"/>
      <c r="I1254" s="3269"/>
      <c r="J1254" s="3269"/>
      <c r="K1254" s="3269"/>
      <c r="L1254" s="3271"/>
      <c r="M1254" s="3268"/>
      <c r="N1254" s="3269"/>
      <c r="O1254" s="3269"/>
      <c r="P1254" s="3269"/>
      <c r="Q1254" s="3270"/>
    </row>
    <row r="1255" spans="2:17">
      <c r="B1255" s="3260" t="s">
        <v>64</v>
      </c>
      <c r="C1255" s="3268"/>
      <c r="D1255" s="3269"/>
      <c r="E1255" s="3269"/>
      <c r="F1255" s="3269"/>
      <c r="G1255" s="3270"/>
      <c r="H1255" s="3268"/>
      <c r="I1255" s="3269">
        <v>0</v>
      </c>
      <c r="J1255" s="3269">
        <v>0</v>
      </c>
      <c r="K1255" s="3269">
        <v>0</v>
      </c>
      <c r="L1255" s="3271">
        <v>0</v>
      </c>
      <c r="M1255" s="3268">
        <v>0</v>
      </c>
      <c r="N1255" s="3269">
        <v>0</v>
      </c>
      <c r="O1255" s="3269">
        <v>0</v>
      </c>
      <c r="P1255" s="3269">
        <v>0</v>
      </c>
      <c r="Q1255" s="3270">
        <v>0</v>
      </c>
    </row>
    <row r="1256" spans="2:17">
      <c r="B1256" s="3260" t="s">
        <v>65</v>
      </c>
      <c r="C1256" s="3268"/>
      <c r="D1256" s="3269"/>
      <c r="E1256" s="3269"/>
      <c r="F1256" s="3269"/>
      <c r="G1256" s="3270"/>
      <c r="H1256" s="3268"/>
      <c r="I1256" s="3269">
        <v>0</v>
      </c>
      <c r="J1256" s="3269">
        <v>0</v>
      </c>
      <c r="K1256" s="3269">
        <v>0</v>
      </c>
      <c r="L1256" s="3271">
        <v>0</v>
      </c>
      <c r="M1256" s="3268">
        <v>0</v>
      </c>
      <c r="N1256" s="3269">
        <v>0</v>
      </c>
      <c r="O1256" s="3269">
        <v>0</v>
      </c>
      <c r="P1256" s="3269">
        <v>0</v>
      </c>
      <c r="Q1256" s="3270">
        <v>0</v>
      </c>
    </row>
    <row r="1257" spans="2:17">
      <c r="B1257" s="3260" t="s">
        <v>82</v>
      </c>
      <c r="C1257" s="3268"/>
      <c r="D1257" s="3269"/>
      <c r="E1257" s="3269"/>
      <c r="F1257" s="3269"/>
      <c r="G1257" s="3270"/>
      <c r="H1257" s="3268"/>
      <c r="I1257" s="3269">
        <v>0</v>
      </c>
      <c r="J1257" s="3269">
        <v>0</v>
      </c>
      <c r="K1257" s="3269">
        <v>0</v>
      </c>
      <c r="L1257" s="3271">
        <v>0</v>
      </c>
      <c r="M1257" s="3268">
        <v>0</v>
      </c>
      <c r="N1257" s="3269">
        <v>0</v>
      </c>
      <c r="O1257" s="3269">
        <v>0</v>
      </c>
      <c r="P1257" s="3269">
        <v>0</v>
      </c>
      <c r="Q1257" s="3270">
        <v>0</v>
      </c>
    </row>
    <row r="1258" spans="2:17">
      <c r="B1258" s="3260" t="s">
        <v>680</v>
      </c>
      <c r="C1258" s="3268"/>
      <c r="D1258" s="3269"/>
      <c r="E1258" s="3269"/>
      <c r="F1258" s="3269"/>
      <c r="G1258" s="3270"/>
      <c r="H1258" s="3268"/>
      <c r="I1258" s="3269">
        <v>0</v>
      </c>
      <c r="J1258" s="3269">
        <v>0</v>
      </c>
      <c r="K1258" s="3269">
        <v>0</v>
      </c>
      <c r="L1258" s="3271">
        <v>0</v>
      </c>
      <c r="M1258" s="3268">
        <v>0</v>
      </c>
      <c r="N1258" s="3269">
        <v>0</v>
      </c>
      <c r="O1258" s="3269">
        <v>0</v>
      </c>
      <c r="P1258" s="3269">
        <v>0</v>
      </c>
      <c r="Q1258" s="3270">
        <v>0</v>
      </c>
    </row>
    <row r="1259" spans="2:17">
      <c r="B1259" s="3260" t="s">
        <v>681</v>
      </c>
      <c r="C1259" s="3268"/>
      <c r="D1259" s="3269"/>
      <c r="E1259" s="3269"/>
      <c r="F1259" s="3269"/>
      <c r="G1259" s="3270"/>
      <c r="H1259" s="3268"/>
      <c r="I1259" s="3269">
        <v>14.420999999999994</v>
      </c>
      <c r="J1259" s="3269">
        <v>14.765999999999993</v>
      </c>
      <c r="K1259" s="3269">
        <v>14.765999999999993</v>
      </c>
      <c r="L1259" s="3271">
        <v>14.765999999999993</v>
      </c>
      <c r="M1259" s="3268">
        <v>14.765999999999993</v>
      </c>
      <c r="N1259" s="3269">
        <v>14.765999999999993</v>
      </c>
      <c r="O1259" s="3269">
        <v>14.765999999999993</v>
      </c>
      <c r="P1259" s="3269">
        <v>14.765999999999993</v>
      </c>
      <c r="Q1259" s="3270">
        <v>14.765999999999993</v>
      </c>
    </row>
    <row r="1260" spans="2:17">
      <c r="B1260" s="3260" t="s">
        <v>682</v>
      </c>
      <c r="C1260" s="3268"/>
      <c r="D1260" s="3269"/>
      <c r="E1260" s="3269"/>
      <c r="F1260" s="3269"/>
      <c r="G1260" s="3270"/>
      <c r="H1260" s="3268"/>
      <c r="I1260" s="3269">
        <v>0</v>
      </c>
      <c r="J1260" s="3269">
        <v>0</v>
      </c>
      <c r="K1260" s="3269">
        <v>0</v>
      </c>
      <c r="L1260" s="3271">
        <v>0</v>
      </c>
      <c r="M1260" s="3268">
        <v>0</v>
      </c>
      <c r="N1260" s="3269">
        <v>0</v>
      </c>
      <c r="O1260" s="3269">
        <v>0</v>
      </c>
      <c r="P1260" s="3269">
        <v>0</v>
      </c>
      <c r="Q1260" s="3270">
        <v>0</v>
      </c>
    </row>
    <row r="1261" spans="2:17">
      <c r="B1261" s="3260" t="s">
        <v>66</v>
      </c>
      <c r="C1261" s="3268"/>
      <c r="D1261" s="3269"/>
      <c r="E1261" s="3269"/>
      <c r="F1261" s="3269"/>
      <c r="G1261" s="3270"/>
      <c r="H1261" s="3268"/>
      <c r="I1261" s="3269">
        <v>0</v>
      </c>
      <c r="J1261" s="3269">
        <v>0</v>
      </c>
      <c r="K1261" s="3269">
        <v>0</v>
      </c>
      <c r="L1261" s="3271">
        <v>0</v>
      </c>
      <c r="M1261" s="3268">
        <v>0</v>
      </c>
      <c r="N1261" s="3269">
        <v>0</v>
      </c>
      <c r="O1261" s="3269">
        <v>0</v>
      </c>
      <c r="P1261" s="3269">
        <v>0</v>
      </c>
      <c r="Q1261" s="3270">
        <v>0</v>
      </c>
    </row>
    <row r="1262" spans="2:17" ht="13.5" thickBot="1">
      <c r="B1262" s="3260" t="s">
        <v>67</v>
      </c>
      <c r="C1262" s="3268"/>
      <c r="D1262" s="3269"/>
      <c r="E1262" s="3269"/>
      <c r="F1262" s="3269"/>
      <c r="G1262" s="3270"/>
      <c r="H1262" s="3268"/>
      <c r="I1262" s="3269">
        <v>14.348000000000006</v>
      </c>
      <c r="J1262" s="3269">
        <v>14.348000000000004</v>
      </c>
      <c r="K1262" s="3269">
        <v>14.348000000000004</v>
      </c>
      <c r="L1262" s="3271">
        <v>14.348000000000004</v>
      </c>
      <c r="M1262" s="3272">
        <v>14.348000000000004</v>
      </c>
      <c r="N1262" s="3273">
        <v>14.348000000000004</v>
      </c>
      <c r="O1262" s="3273">
        <v>14.348000000000004</v>
      </c>
      <c r="P1262" s="3273">
        <v>14.348000000000004</v>
      </c>
      <c r="Q1262" s="3274">
        <v>14.348000000000004</v>
      </c>
    </row>
    <row r="1263" spans="2:17" ht="12.75" customHeight="1">
      <c r="B1263" s="4689">
        <v>3363</v>
      </c>
      <c r="C1263" s="4691" t="s">
        <v>36</v>
      </c>
      <c r="D1263" s="4692"/>
      <c r="E1263" s="4692"/>
      <c r="F1263" s="4692"/>
      <c r="G1263" s="4692"/>
      <c r="H1263" s="4693" t="s">
        <v>37</v>
      </c>
      <c r="I1263" s="4694"/>
      <c r="J1263" s="4694"/>
      <c r="K1263" s="4694"/>
      <c r="L1263" s="4694"/>
      <c r="M1263" s="4695" t="s">
        <v>73</v>
      </c>
      <c r="N1263" s="4695"/>
      <c r="O1263" s="4695"/>
      <c r="P1263" s="4695"/>
      <c r="Q1263" s="4696"/>
    </row>
    <row r="1264" spans="2:17" ht="12.75" customHeight="1">
      <c r="B1264" s="4690"/>
      <c r="C1264" s="4697" t="s">
        <v>1673</v>
      </c>
      <c r="D1264" s="4698"/>
      <c r="E1264" s="4698"/>
      <c r="F1264" s="4698"/>
      <c r="G1264" s="4698"/>
      <c r="H1264" s="4698"/>
      <c r="I1264" s="4698"/>
      <c r="J1264" s="4698"/>
      <c r="K1264" s="4698"/>
      <c r="L1264" s="4698"/>
      <c r="M1264" s="4698"/>
      <c r="N1264" s="4698"/>
      <c r="O1264" s="4698"/>
      <c r="P1264" s="4698"/>
      <c r="Q1264" s="4699"/>
    </row>
    <row r="1265" spans="2:17" ht="12.75" customHeight="1">
      <c r="B1265" s="4690"/>
      <c r="C1265" s="4697" t="s">
        <v>54</v>
      </c>
      <c r="D1265" s="4698"/>
      <c r="E1265" s="4698"/>
      <c r="F1265" s="4698"/>
      <c r="G1265" s="4698"/>
      <c r="H1265" s="4698"/>
      <c r="I1265" s="4698"/>
      <c r="J1265" s="4700"/>
      <c r="K1265" s="4701" t="s">
        <v>55</v>
      </c>
      <c r="L1265" s="4702"/>
      <c r="M1265" s="4702"/>
      <c r="N1265" s="4702"/>
      <c r="O1265" s="4702"/>
      <c r="P1265" s="4702"/>
      <c r="Q1265" s="4703"/>
    </row>
    <row r="1266" spans="2:17" ht="13.5" customHeight="1" thickBot="1">
      <c r="B1266" s="4690"/>
      <c r="C1266" s="3252">
        <f t="array" ref="C1266:G1266">PRCP</f>
        <v>2008</v>
      </c>
      <c r="D1266" s="3253">
        <v>2009</v>
      </c>
      <c r="E1266" s="3253">
        <v>2010</v>
      </c>
      <c r="F1266" s="3253">
        <v>2011</v>
      </c>
      <c r="G1266" s="3253">
        <v>2012</v>
      </c>
      <c r="H1266" s="3254">
        <f>CRCP_y1</f>
        <v>2013</v>
      </c>
      <c r="I1266" s="3254">
        <f>CRCP_y2</f>
        <v>2014</v>
      </c>
      <c r="J1266" s="3254">
        <f>CRCP_y3</f>
        <v>2015</v>
      </c>
      <c r="K1266" s="3254">
        <f>CRCP_y4</f>
        <v>2016</v>
      </c>
      <c r="L1266" s="3254">
        <f>CRCP_y5</f>
        <v>2017</v>
      </c>
      <c r="M1266" s="3253" t="str">
        <f t="array" ref="M1266:Q1266">FRCP</f>
        <v>2018</v>
      </c>
      <c r="N1266" s="3253">
        <v>2019</v>
      </c>
      <c r="O1266" s="3253">
        <v>2020</v>
      </c>
      <c r="P1266" s="3253">
        <v>2021</v>
      </c>
      <c r="Q1266" s="3255">
        <v>2022</v>
      </c>
    </row>
    <row r="1267" spans="2:17">
      <c r="B1267" s="3256" t="s">
        <v>1717</v>
      </c>
      <c r="C1267" s="3257"/>
      <c r="D1267" s="3258"/>
      <c r="E1267" s="3258"/>
      <c r="F1267" s="3258"/>
      <c r="G1267" s="3259"/>
      <c r="H1267" s="3257"/>
      <c r="I1267" s="3258"/>
      <c r="J1267" s="3258"/>
      <c r="K1267" s="3258"/>
      <c r="L1267" s="3258"/>
      <c r="M1267" s="3257"/>
      <c r="N1267" s="3258"/>
      <c r="O1267" s="3258"/>
      <c r="P1267" s="3258"/>
      <c r="Q1267" s="3259"/>
    </row>
    <row r="1268" spans="2:17">
      <c r="B1268" s="3260"/>
      <c r="C1268" s="3268"/>
      <c r="D1268" s="3269"/>
      <c r="E1268" s="3269"/>
      <c r="F1268" s="3269"/>
      <c r="G1268" s="3270"/>
      <c r="H1268" s="3268"/>
      <c r="I1268" s="3269"/>
      <c r="J1268" s="3269"/>
      <c r="K1268" s="3269"/>
      <c r="L1268" s="3271"/>
      <c r="M1268" s="3268"/>
      <c r="N1268" s="3269"/>
      <c r="O1268" s="3269"/>
      <c r="P1268" s="3269"/>
      <c r="Q1268" s="3270"/>
    </row>
    <row r="1269" spans="2:17">
      <c r="B1269" s="3260" t="s">
        <v>64</v>
      </c>
      <c r="C1269" s="3268"/>
      <c r="D1269" s="3269"/>
      <c r="E1269" s="3269"/>
      <c r="F1269" s="3269"/>
      <c r="G1269" s="3270"/>
      <c r="H1269" s="3268"/>
      <c r="I1269" s="3269">
        <v>0</v>
      </c>
      <c r="J1269" s="3269">
        <v>0</v>
      </c>
      <c r="K1269" s="3269">
        <v>0</v>
      </c>
      <c r="L1269" s="3271">
        <v>0</v>
      </c>
      <c r="M1269" s="3268">
        <v>0</v>
      </c>
      <c r="N1269" s="3269">
        <v>0</v>
      </c>
      <c r="O1269" s="3269">
        <v>0</v>
      </c>
      <c r="P1269" s="3269">
        <v>0</v>
      </c>
      <c r="Q1269" s="3270">
        <v>0</v>
      </c>
    </row>
    <row r="1270" spans="2:17">
      <c r="B1270" s="3260" t="s">
        <v>65</v>
      </c>
      <c r="C1270" s="3268"/>
      <c r="D1270" s="3269"/>
      <c r="E1270" s="3269"/>
      <c r="F1270" s="3269"/>
      <c r="G1270" s="3270"/>
      <c r="H1270" s="3268"/>
      <c r="I1270" s="3269">
        <v>0</v>
      </c>
      <c r="J1270" s="3269">
        <v>0</v>
      </c>
      <c r="K1270" s="3269">
        <v>0</v>
      </c>
      <c r="L1270" s="3271">
        <v>0</v>
      </c>
      <c r="M1270" s="3268">
        <v>0</v>
      </c>
      <c r="N1270" s="3269">
        <v>0</v>
      </c>
      <c r="O1270" s="3269">
        <v>0</v>
      </c>
      <c r="P1270" s="3269">
        <v>0</v>
      </c>
      <c r="Q1270" s="3270">
        <v>0</v>
      </c>
    </row>
    <row r="1271" spans="2:17">
      <c r="B1271" s="3260" t="s">
        <v>82</v>
      </c>
      <c r="C1271" s="3268"/>
      <c r="D1271" s="3269"/>
      <c r="E1271" s="3269"/>
      <c r="F1271" s="3269"/>
      <c r="G1271" s="3270"/>
      <c r="H1271" s="3268"/>
      <c r="I1271" s="3269">
        <v>0</v>
      </c>
      <c r="J1271" s="3269">
        <v>0</v>
      </c>
      <c r="K1271" s="3269">
        <v>0</v>
      </c>
      <c r="L1271" s="3271">
        <v>0</v>
      </c>
      <c r="M1271" s="3268">
        <v>0</v>
      </c>
      <c r="N1271" s="3269">
        <v>0</v>
      </c>
      <c r="O1271" s="3269">
        <v>0</v>
      </c>
      <c r="P1271" s="3269">
        <v>0</v>
      </c>
      <c r="Q1271" s="3270">
        <v>0</v>
      </c>
    </row>
    <row r="1272" spans="2:17">
      <c r="B1272" s="3260" t="s">
        <v>680</v>
      </c>
      <c r="C1272" s="3268"/>
      <c r="D1272" s="3269"/>
      <c r="E1272" s="3269"/>
      <c r="F1272" s="3269"/>
      <c r="G1272" s="3270"/>
      <c r="H1272" s="3268"/>
      <c r="I1272" s="3269">
        <v>0</v>
      </c>
      <c r="J1272" s="3269">
        <v>0</v>
      </c>
      <c r="K1272" s="3269">
        <v>0</v>
      </c>
      <c r="L1272" s="3271">
        <v>0</v>
      </c>
      <c r="M1272" s="3268">
        <v>0</v>
      </c>
      <c r="N1272" s="3269">
        <v>0</v>
      </c>
      <c r="O1272" s="3269">
        <v>0</v>
      </c>
      <c r="P1272" s="3269">
        <v>0</v>
      </c>
      <c r="Q1272" s="3270">
        <v>0</v>
      </c>
    </row>
    <row r="1273" spans="2:17">
      <c r="B1273" s="3260" t="s">
        <v>681</v>
      </c>
      <c r="C1273" s="3268"/>
      <c r="D1273" s="3269"/>
      <c r="E1273" s="3269"/>
      <c r="F1273" s="3269"/>
      <c r="G1273" s="3270"/>
      <c r="H1273" s="3268"/>
      <c r="I1273" s="3269">
        <v>34.256</v>
      </c>
      <c r="J1273" s="3269">
        <v>34.541999999999994</v>
      </c>
      <c r="K1273" s="3269">
        <v>34.541999999999994</v>
      </c>
      <c r="L1273" s="3271">
        <v>34.541999999999994</v>
      </c>
      <c r="M1273" s="3268">
        <v>34.541999999999994</v>
      </c>
      <c r="N1273" s="3269">
        <v>34.541999999999994</v>
      </c>
      <c r="O1273" s="3269">
        <v>34.541999999999994</v>
      </c>
      <c r="P1273" s="3269">
        <v>34.541999999999994</v>
      </c>
      <c r="Q1273" s="3270">
        <v>34.541999999999994</v>
      </c>
    </row>
    <row r="1274" spans="2:17">
      <c r="B1274" s="3260" t="s">
        <v>682</v>
      </c>
      <c r="C1274" s="3268"/>
      <c r="D1274" s="3269"/>
      <c r="E1274" s="3269"/>
      <c r="F1274" s="3269"/>
      <c r="G1274" s="3270"/>
      <c r="H1274" s="3268"/>
      <c r="I1274" s="3269">
        <v>0</v>
      </c>
      <c r="J1274" s="3269">
        <v>0</v>
      </c>
      <c r="K1274" s="3269">
        <v>0</v>
      </c>
      <c r="L1274" s="3271">
        <v>0</v>
      </c>
      <c r="M1274" s="3268">
        <v>0</v>
      </c>
      <c r="N1274" s="3269">
        <v>0</v>
      </c>
      <c r="O1274" s="3269">
        <v>0</v>
      </c>
      <c r="P1274" s="3269">
        <v>0</v>
      </c>
      <c r="Q1274" s="3270">
        <v>0</v>
      </c>
    </row>
    <row r="1275" spans="2:17">
      <c r="B1275" s="3260" t="s">
        <v>66</v>
      </c>
      <c r="C1275" s="3268"/>
      <c r="D1275" s="3269"/>
      <c r="E1275" s="3269"/>
      <c r="F1275" s="3269"/>
      <c r="G1275" s="3270"/>
      <c r="H1275" s="3268"/>
      <c r="I1275" s="3269">
        <v>0</v>
      </c>
      <c r="J1275" s="3269">
        <v>0</v>
      </c>
      <c r="K1275" s="3269">
        <v>0</v>
      </c>
      <c r="L1275" s="3271">
        <v>0</v>
      </c>
      <c r="M1275" s="3268">
        <v>0</v>
      </c>
      <c r="N1275" s="3269">
        <v>0</v>
      </c>
      <c r="O1275" s="3269">
        <v>0</v>
      </c>
      <c r="P1275" s="3269">
        <v>0</v>
      </c>
      <c r="Q1275" s="3270">
        <v>0</v>
      </c>
    </row>
    <row r="1276" spans="2:17" ht="13.5" thickBot="1">
      <c r="B1276" s="3260" t="s">
        <v>67</v>
      </c>
      <c r="C1276" s="3268"/>
      <c r="D1276" s="3269"/>
      <c r="E1276" s="3269"/>
      <c r="F1276" s="3269"/>
      <c r="G1276" s="3270"/>
      <c r="H1276" s="3268"/>
      <c r="I1276" s="3269">
        <v>0</v>
      </c>
      <c r="J1276" s="3269">
        <v>0</v>
      </c>
      <c r="K1276" s="3269">
        <v>0</v>
      </c>
      <c r="L1276" s="3271">
        <v>0</v>
      </c>
      <c r="M1276" s="3272">
        <v>0</v>
      </c>
      <c r="N1276" s="3273">
        <v>0</v>
      </c>
      <c r="O1276" s="3273">
        <v>0</v>
      </c>
      <c r="P1276" s="3273">
        <v>0</v>
      </c>
      <c r="Q1276" s="3274">
        <v>0</v>
      </c>
    </row>
    <row r="1277" spans="2:17" ht="12.75" customHeight="1">
      <c r="B1277" s="4689">
        <v>3364</v>
      </c>
      <c r="C1277" s="4691" t="s">
        <v>36</v>
      </c>
      <c r="D1277" s="4692"/>
      <c r="E1277" s="4692"/>
      <c r="F1277" s="4692"/>
      <c r="G1277" s="4692"/>
      <c r="H1277" s="4693" t="s">
        <v>37</v>
      </c>
      <c r="I1277" s="4694"/>
      <c r="J1277" s="4694"/>
      <c r="K1277" s="4694"/>
      <c r="L1277" s="4694"/>
      <c r="M1277" s="4695" t="s">
        <v>73</v>
      </c>
      <c r="N1277" s="4695"/>
      <c r="O1277" s="4695"/>
      <c r="P1277" s="4695"/>
      <c r="Q1277" s="4696"/>
    </row>
    <row r="1278" spans="2:17" ht="12.75" customHeight="1">
      <c r="B1278" s="4690"/>
      <c r="C1278" s="4697" t="s">
        <v>1673</v>
      </c>
      <c r="D1278" s="4698"/>
      <c r="E1278" s="4698"/>
      <c r="F1278" s="4698"/>
      <c r="G1278" s="4698"/>
      <c r="H1278" s="4698"/>
      <c r="I1278" s="4698"/>
      <c r="J1278" s="4698"/>
      <c r="K1278" s="4698"/>
      <c r="L1278" s="4698"/>
      <c r="M1278" s="4698"/>
      <c r="N1278" s="4698"/>
      <c r="O1278" s="4698"/>
      <c r="P1278" s="4698"/>
      <c r="Q1278" s="4699"/>
    </row>
    <row r="1279" spans="2:17" ht="12.75" customHeight="1">
      <c r="B1279" s="4690"/>
      <c r="C1279" s="4697" t="s">
        <v>54</v>
      </c>
      <c r="D1279" s="4698"/>
      <c r="E1279" s="4698"/>
      <c r="F1279" s="4698"/>
      <c r="G1279" s="4698"/>
      <c r="H1279" s="4698"/>
      <c r="I1279" s="4698"/>
      <c r="J1279" s="4700"/>
      <c r="K1279" s="4701" t="s">
        <v>55</v>
      </c>
      <c r="L1279" s="4702"/>
      <c r="M1279" s="4702"/>
      <c r="N1279" s="4702"/>
      <c r="O1279" s="4702"/>
      <c r="P1279" s="4702"/>
      <c r="Q1279" s="4703"/>
    </row>
    <row r="1280" spans="2:17" ht="13.5" customHeight="1" thickBot="1">
      <c r="B1280" s="4690"/>
      <c r="C1280" s="3252">
        <f t="array" ref="C1280:G1280">PRCP</f>
        <v>2008</v>
      </c>
      <c r="D1280" s="3253">
        <v>2009</v>
      </c>
      <c r="E1280" s="3253">
        <v>2010</v>
      </c>
      <c r="F1280" s="3253">
        <v>2011</v>
      </c>
      <c r="G1280" s="3253">
        <v>2012</v>
      </c>
      <c r="H1280" s="3254">
        <f>CRCP_y1</f>
        <v>2013</v>
      </c>
      <c r="I1280" s="3254">
        <f>CRCP_y2</f>
        <v>2014</v>
      </c>
      <c r="J1280" s="3254">
        <f>CRCP_y3</f>
        <v>2015</v>
      </c>
      <c r="K1280" s="3254">
        <f>CRCP_y4</f>
        <v>2016</v>
      </c>
      <c r="L1280" s="3254">
        <f>CRCP_y5</f>
        <v>2017</v>
      </c>
      <c r="M1280" s="3253" t="str">
        <f t="array" ref="M1280:Q1280">FRCP</f>
        <v>2018</v>
      </c>
      <c r="N1280" s="3253">
        <v>2019</v>
      </c>
      <c r="O1280" s="3253">
        <v>2020</v>
      </c>
      <c r="P1280" s="3253">
        <v>2021</v>
      </c>
      <c r="Q1280" s="3255">
        <v>2022</v>
      </c>
    </row>
    <row r="1281" spans="2:17">
      <c r="B1281" s="3256" t="s">
        <v>1718</v>
      </c>
      <c r="C1281" s="3257"/>
      <c r="D1281" s="3258"/>
      <c r="E1281" s="3258"/>
      <c r="F1281" s="3258"/>
      <c r="G1281" s="3259"/>
      <c r="H1281" s="3257"/>
      <c r="I1281" s="3258"/>
      <c r="J1281" s="3258"/>
      <c r="K1281" s="3258"/>
      <c r="L1281" s="3258"/>
      <c r="M1281" s="3257"/>
      <c r="N1281" s="3258"/>
      <c r="O1281" s="3258"/>
      <c r="P1281" s="3258"/>
      <c r="Q1281" s="3259"/>
    </row>
    <row r="1282" spans="2:17">
      <c r="B1282" s="3260"/>
      <c r="C1282" s="3268"/>
      <c r="D1282" s="3269"/>
      <c r="E1282" s="3269"/>
      <c r="F1282" s="3269"/>
      <c r="G1282" s="3270"/>
      <c r="H1282" s="3268"/>
      <c r="I1282" s="3269"/>
      <c r="J1282" s="3269"/>
      <c r="K1282" s="3269"/>
      <c r="L1282" s="3271"/>
      <c r="M1282" s="3268"/>
      <c r="N1282" s="3269"/>
      <c r="O1282" s="3269"/>
      <c r="P1282" s="3269"/>
      <c r="Q1282" s="3270"/>
    </row>
    <row r="1283" spans="2:17">
      <c r="B1283" s="3260" t="s">
        <v>64</v>
      </c>
      <c r="C1283" s="3268"/>
      <c r="D1283" s="3269"/>
      <c r="E1283" s="3269"/>
      <c r="F1283" s="3269"/>
      <c r="G1283" s="3270"/>
      <c r="H1283" s="3268"/>
      <c r="I1283" s="3269">
        <v>0</v>
      </c>
      <c r="J1283" s="3269">
        <v>0</v>
      </c>
      <c r="K1283" s="3269">
        <v>0</v>
      </c>
      <c r="L1283" s="3271">
        <v>0</v>
      </c>
      <c r="M1283" s="3268">
        <v>0</v>
      </c>
      <c r="N1283" s="3269">
        <v>0</v>
      </c>
      <c r="O1283" s="3269">
        <v>0</v>
      </c>
      <c r="P1283" s="3269">
        <v>0</v>
      </c>
      <c r="Q1283" s="3270">
        <v>0</v>
      </c>
    </row>
    <row r="1284" spans="2:17">
      <c r="B1284" s="3260" t="s">
        <v>65</v>
      </c>
      <c r="C1284" s="3268"/>
      <c r="D1284" s="3269"/>
      <c r="E1284" s="3269"/>
      <c r="F1284" s="3269"/>
      <c r="G1284" s="3270"/>
      <c r="H1284" s="3268"/>
      <c r="I1284" s="3269">
        <v>0</v>
      </c>
      <c r="J1284" s="3269">
        <v>0</v>
      </c>
      <c r="K1284" s="3269">
        <v>0</v>
      </c>
      <c r="L1284" s="3271">
        <v>0</v>
      </c>
      <c r="M1284" s="3268">
        <v>0</v>
      </c>
      <c r="N1284" s="3269">
        <v>0</v>
      </c>
      <c r="O1284" s="3269">
        <v>0</v>
      </c>
      <c r="P1284" s="3269">
        <v>0</v>
      </c>
      <c r="Q1284" s="3270">
        <v>0</v>
      </c>
    </row>
    <row r="1285" spans="2:17">
      <c r="B1285" s="3260" t="s">
        <v>82</v>
      </c>
      <c r="C1285" s="3268"/>
      <c r="D1285" s="3269"/>
      <c r="E1285" s="3269"/>
      <c r="F1285" s="3269"/>
      <c r="G1285" s="3270"/>
      <c r="H1285" s="3268"/>
      <c r="I1285" s="3269">
        <v>0</v>
      </c>
      <c r="J1285" s="3269">
        <v>0</v>
      </c>
      <c r="K1285" s="3269">
        <v>0</v>
      </c>
      <c r="L1285" s="3271">
        <v>0</v>
      </c>
      <c r="M1285" s="3268">
        <v>0</v>
      </c>
      <c r="N1285" s="3269">
        <v>0</v>
      </c>
      <c r="O1285" s="3269">
        <v>0</v>
      </c>
      <c r="P1285" s="3269">
        <v>0</v>
      </c>
      <c r="Q1285" s="3270">
        <v>0</v>
      </c>
    </row>
    <row r="1286" spans="2:17">
      <c r="B1286" s="3260" t="s">
        <v>680</v>
      </c>
      <c r="C1286" s="3268"/>
      <c r="D1286" s="3269"/>
      <c r="E1286" s="3269"/>
      <c r="F1286" s="3269"/>
      <c r="G1286" s="3270"/>
      <c r="H1286" s="3268"/>
      <c r="I1286" s="3269">
        <v>0</v>
      </c>
      <c r="J1286" s="3269">
        <v>0</v>
      </c>
      <c r="K1286" s="3269">
        <v>0</v>
      </c>
      <c r="L1286" s="3271">
        <v>0</v>
      </c>
      <c r="M1286" s="3268">
        <v>0</v>
      </c>
      <c r="N1286" s="3269">
        <v>0</v>
      </c>
      <c r="O1286" s="3269">
        <v>0</v>
      </c>
      <c r="P1286" s="3269">
        <v>0</v>
      </c>
      <c r="Q1286" s="3270">
        <v>0</v>
      </c>
    </row>
    <row r="1287" spans="2:17">
      <c r="B1287" s="3260" t="s">
        <v>681</v>
      </c>
      <c r="C1287" s="3268"/>
      <c r="D1287" s="3269"/>
      <c r="E1287" s="3269"/>
      <c r="F1287" s="3269"/>
      <c r="G1287" s="3270"/>
      <c r="H1287" s="3268"/>
      <c r="I1287" s="3269">
        <v>0.96199999999999997</v>
      </c>
      <c r="J1287" s="3269">
        <v>0.96199999999999997</v>
      </c>
      <c r="K1287" s="3269">
        <v>0.96199999999999997</v>
      </c>
      <c r="L1287" s="3271">
        <v>0.96199999999999997</v>
      </c>
      <c r="M1287" s="3268">
        <v>0.96199999999999997</v>
      </c>
      <c r="N1287" s="3269">
        <v>0.96199999999999997</v>
      </c>
      <c r="O1287" s="3269">
        <v>0.96199999999999997</v>
      </c>
      <c r="P1287" s="3269">
        <v>0.96199999999999997</v>
      </c>
      <c r="Q1287" s="3270">
        <v>0.96199999999999997</v>
      </c>
    </row>
    <row r="1288" spans="2:17">
      <c r="B1288" s="3260" t="s">
        <v>682</v>
      </c>
      <c r="C1288" s="3268"/>
      <c r="D1288" s="3269"/>
      <c r="E1288" s="3269"/>
      <c r="F1288" s="3269"/>
      <c r="G1288" s="3270"/>
      <c r="H1288" s="3268"/>
      <c r="I1288" s="3269">
        <v>0</v>
      </c>
      <c r="J1288" s="3269">
        <v>0</v>
      </c>
      <c r="K1288" s="3269">
        <v>0</v>
      </c>
      <c r="L1288" s="3271">
        <v>0</v>
      </c>
      <c r="M1288" s="3268">
        <v>0</v>
      </c>
      <c r="N1288" s="3269">
        <v>0</v>
      </c>
      <c r="O1288" s="3269">
        <v>0</v>
      </c>
      <c r="P1288" s="3269">
        <v>0</v>
      </c>
      <c r="Q1288" s="3270">
        <v>0</v>
      </c>
    </row>
    <row r="1289" spans="2:17">
      <c r="B1289" s="3260" t="s">
        <v>66</v>
      </c>
      <c r="C1289" s="3268"/>
      <c r="D1289" s="3269"/>
      <c r="E1289" s="3269"/>
      <c r="F1289" s="3269"/>
      <c r="G1289" s="3270"/>
      <c r="H1289" s="3268"/>
      <c r="I1289" s="3269">
        <v>0</v>
      </c>
      <c r="J1289" s="3269">
        <v>0</v>
      </c>
      <c r="K1289" s="3269">
        <v>0</v>
      </c>
      <c r="L1289" s="3271">
        <v>0</v>
      </c>
      <c r="M1289" s="3268">
        <v>0</v>
      </c>
      <c r="N1289" s="3269">
        <v>0</v>
      </c>
      <c r="O1289" s="3269">
        <v>0</v>
      </c>
      <c r="P1289" s="3269">
        <v>0</v>
      </c>
      <c r="Q1289" s="3270">
        <v>0</v>
      </c>
    </row>
    <row r="1290" spans="2:17" ht="13.5" thickBot="1">
      <c r="B1290" s="3260" t="s">
        <v>67</v>
      </c>
      <c r="C1290" s="3268"/>
      <c r="D1290" s="3269"/>
      <c r="E1290" s="3269"/>
      <c r="F1290" s="3269"/>
      <c r="G1290" s="3270"/>
      <c r="H1290" s="3268"/>
      <c r="I1290" s="3269">
        <v>0</v>
      </c>
      <c r="J1290" s="3269">
        <v>0</v>
      </c>
      <c r="K1290" s="3269">
        <v>0</v>
      </c>
      <c r="L1290" s="3271">
        <v>0</v>
      </c>
      <c r="M1290" s="3272">
        <v>0</v>
      </c>
      <c r="N1290" s="3273">
        <v>0</v>
      </c>
      <c r="O1290" s="3273">
        <v>0</v>
      </c>
      <c r="P1290" s="3273">
        <v>0</v>
      </c>
      <c r="Q1290" s="3274">
        <v>0</v>
      </c>
    </row>
    <row r="1291" spans="2:17" ht="12.75" customHeight="1">
      <c r="B1291" s="4689">
        <v>3377</v>
      </c>
      <c r="C1291" s="4691" t="s">
        <v>36</v>
      </c>
      <c r="D1291" s="4692"/>
      <c r="E1291" s="4692"/>
      <c r="F1291" s="4692"/>
      <c r="G1291" s="4692"/>
      <c r="H1291" s="4693" t="s">
        <v>37</v>
      </c>
      <c r="I1291" s="4694"/>
      <c r="J1291" s="4694"/>
      <c r="K1291" s="4694"/>
      <c r="L1291" s="4694"/>
      <c r="M1291" s="4695" t="s">
        <v>73</v>
      </c>
      <c r="N1291" s="4695"/>
      <c r="O1291" s="4695"/>
      <c r="P1291" s="4695"/>
      <c r="Q1291" s="4696"/>
    </row>
    <row r="1292" spans="2:17" ht="12.75" customHeight="1">
      <c r="B1292" s="4690"/>
      <c r="C1292" s="4697" t="s">
        <v>1673</v>
      </c>
      <c r="D1292" s="4698"/>
      <c r="E1292" s="4698"/>
      <c r="F1292" s="4698"/>
      <c r="G1292" s="4698"/>
      <c r="H1292" s="4698"/>
      <c r="I1292" s="4698"/>
      <c r="J1292" s="4698"/>
      <c r="K1292" s="4698"/>
      <c r="L1292" s="4698"/>
      <c r="M1292" s="4698"/>
      <c r="N1292" s="4698"/>
      <c r="O1292" s="4698"/>
      <c r="P1292" s="4698"/>
      <c r="Q1292" s="4699"/>
    </row>
    <row r="1293" spans="2:17" ht="12.75" customHeight="1">
      <c r="B1293" s="4690"/>
      <c r="C1293" s="4697" t="s">
        <v>54</v>
      </c>
      <c r="D1293" s="4698"/>
      <c r="E1293" s="4698"/>
      <c r="F1293" s="4698"/>
      <c r="G1293" s="4698"/>
      <c r="H1293" s="4698"/>
      <c r="I1293" s="4698"/>
      <c r="J1293" s="4700"/>
      <c r="K1293" s="4701" t="s">
        <v>55</v>
      </c>
      <c r="L1293" s="4702"/>
      <c r="M1293" s="4702"/>
      <c r="N1293" s="4702"/>
      <c r="O1293" s="4702"/>
      <c r="P1293" s="4702"/>
      <c r="Q1293" s="4703"/>
    </row>
    <row r="1294" spans="2:17" ht="13.5" customHeight="1" thickBot="1">
      <c r="B1294" s="4690"/>
      <c r="C1294" s="3252">
        <f t="array" ref="C1294:G1294">PRCP</f>
        <v>2008</v>
      </c>
      <c r="D1294" s="3253">
        <v>2009</v>
      </c>
      <c r="E1294" s="3253">
        <v>2010</v>
      </c>
      <c r="F1294" s="3253">
        <v>2011</v>
      </c>
      <c r="G1294" s="3253">
        <v>2012</v>
      </c>
      <c r="H1294" s="3254">
        <f>CRCP_y1</f>
        <v>2013</v>
      </c>
      <c r="I1294" s="3254">
        <f>CRCP_y2</f>
        <v>2014</v>
      </c>
      <c r="J1294" s="3254">
        <f>CRCP_y3</f>
        <v>2015</v>
      </c>
      <c r="K1294" s="3254">
        <f>CRCP_y4</f>
        <v>2016</v>
      </c>
      <c r="L1294" s="3254">
        <f>CRCP_y5</f>
        <v>2017</v>
      </c>
      <c r="M1294" s="3253" t="str">
        <f t="array" ref="M1294:Q1294">FRCP</f>
        <v>2018</v>
      </c>
      <c r="N1294" s="3253">
        <v>2019</v>
      </c>
      <c r="O1294" s="3253">
        <v>2020</v>
      </c>
      <c r="P1294" s="3253">
        <v>2021</v>
      </c>
      <c r="Q1294" s="3255">
        <v>2022</v>
      </c>
    </row>
    <row r="1295" spans="2:17">
      <c r="B1295" s="3256" t="s">
        <v>1718</v>
      </c>
      <c r="C1295" s="3257"/>
      <c r="D1295" s="3258"/>
      <c r="E1295" s="3258"/>
      <c r="F1295" s="3258"/>
      <c r="G1295" s="3259"/>
      <c r="H1295" s="3257"/>
      <c r="I1295" s="3258"/>
      <c r="J1295" s="3258"/>
      <c r="K1295" s="3258"/>
      <c r="L1295" s="3258"/>
      <c r="M1295" s="3257"/>
      <c r="N1295" s="3258"/>
      <c r="O1295" s="3258"/>
      <c r="P1295" s="3258"/>
      <c r="Q1295" s="3259"/>
    </row>
    <row r="1296" spans="2:17">
      <c r="B1296" s="3260"/>
      <c r="C1296" s="3268"/>
      <c r="D1296" s="3269"/>
      <c r="E1296" s="3269"/>
      <c r="F1296" s="3269"/>
      <c r="G1296" s="3270"/>
      <c r="H1296" s="3268"/>
      <c r="I1296" s="3269"/>
      <c r="J1296" s="3269"/>
      <c r="K1296" s="3269"/>
      <c r="L1296" s="3271"/>
      <c r="M1296" s="3268"/>
      <c r="N1296" s="3269"/>
      <c r="O1296" s="3269"/>
      <c r="P1296" s="3269"/>
      <c r="Q1296" s="3270"/>
    </row>
    <row r="1297" spans="2:17">
      <c r="B1297" s="3260" t="s">
        <v>64</v>
      </c>
      <c r="C1297" s="3268"/>
      <c r="D1297" s="3269"/>
      <c r="E1297" s="3269"/>
      <c r="F1297" s="3269"/>
      <c r="G1297" s="3270"/>
      <c r="H1297" s="3268"/>
      <c r="I1297" s="3269">
        <v>5.9040000000000017</v>
      </c>
      <c r="J1297" s="3269">
        <v>5.9040000000000017</v>
      </c>
      <c r="K1297" s="3269">
        <v>5.9040000000000017</v>
      </c>
      <c r="L1297" s="3271">
        <v>5.9040000000000017</v>
      </c>
      <c r="M1297" s="3268">
        <v>5.9040000000000017</v>
      </c>
      <c r="N1297" s="3269">
        <v>5.9040000000000017</v>
      </c>
      <c r="O1297" s="3269">
        <v>5.9040000000000017</v>
      </c>
      <c r="P1297" s="3269">
        <v>5.9040000000000017</v>
      </c>
      <c r="Q1297" s="3270">
        <v>5.9040000000000017</v>
      </c>
    </row>
    <row r="1298" spans="2:17">
      <c r="B1298" s="3260" t="s">
        <v>65</v>
      </c>
      <c r="C1298" s="3268"/>
      <c r="D1298" s="3269"/>
      <c r="E1298" s="3269"/>
      <c r="F1298" s="3269"/>
      <c r="G1298" s="3270"/>
      <c r="H1298" s="3268"/>
      <c r="I1298" s="3269">
        <v>35.076000000000001</v>
      </c>
      <c r="J1298" s="3269">
        <v>35.076000000000015</v>
      </c>
      <c r="K1298" s="3269">
        <v>35.076000000000015</v>
      </c>
      <c r="L1298" s="3271">
        <v>35.076000000000015</v>
      </c>
      <c r="M1298" s="3268">
        <v>35.076000000000015</v>
      </c>
      <c r="N1298" s="3269">
        <v>35.076000000000015</v>
      </c>
      <c r="O1298" s="3269">
        <v>35.076000000000015</v>
      </c>
      <c r="P1298" s="3269">
        <v>35.076000000000015</v>
      </c>
      <c r="Q1298" s="3270">
        <v>35.076000000000015</v>
      </c>
    </row>
    <row r="1299" spans="2:17">
      <c r="B1299" s="3260" t="s">
        <v>82</v>
      </c>
      <c r="C1299" s="3268"/>
      <c r="D1299" s="3269"/>
      <c r="E1299" s="3269"/>
      <c r="F1299" s="3269"/>
      <c r="G1299" s="3270"/>
      <c r="H1299" s="3268"/>
      <c r="I1299" s="3269">
        <v>0</v>
      </c>
      <c r="J1299" s="3269">
        <v>0</v>
      </c>
      <c r="K1299" s="3269">
        <v>0</v>
      </c>
      <c r="L1299" s="3271">
        <v>0</v>
      </c>
      <c r="M1299" s="3268">
        <v>0</v>
      </c>
      <c r="N1299" s="3269">
        <v>0</v>
      </c>
      <c r="O1299" s="3269">
        <v>0</v>
      </c>
      <c r="P1299" s="3269">
        <v>0</v>
      </c>
      <c r="Q1299" s="3270">
        <v>0</v>
      </c>
    </row>
    <row r="1300" spans="2:17">
      <c r="B1300" s="3260" t="s">
        <v>680</v>
      </c>
      <c r="C1300" s="3268"/>
      <c r="D1300" s="3269"/>
      <c r="E1300" s="3269"/>
      <c r="F1300" s="3269"/>
      <c r="G1300" s="3270"/>
      <c r="H1300" s="3268"/>
      <c r="I1300" s="3269">
        <v>0</v>
      </c>
      <c r="J1300" s="3269">
        <v>0</v>
      </c>
      <c r="K1300" s="3269">
        <v>0</v>
      </c>
      <c r="L1300" s="3271">
        <v>0</v>
      </c>
      <c r="M1300" s="3268">
        <v>0</v>
      </c>
      <c r="N1300" s="3269">
        <v>0</v>
      </c>
      <c r="O1300" s="3269">
        <v>0</v>
      </c>
      <c r="P1300" s="3269">
        <v>0</v>
      </c>
      <c r="Q1300" s="3270">
        <v>0</v>
      </c>
    </row>
    <row r="1301" spans="2:17">
      <c r="B1301" s="3260" t="s">
        <v>681</v>
      </c>
      <c r="C1301" s="3268"/>
      <c r="D1301" s="3269"/>
      <c r="E1301" s="3269"/>
      <c r="F1301" s="3269"/>
      <c r="G1301" s="3270"/>
      <c r="H1301" s="3268"/>
      <c r="I1301" s="3269">
        <v>12.122999999999992</v>
      </c>
      <c r="J1301" s="3269">
        <v>12.285999999999992</v>
      </c>
      <c r="K1301" s="3269">
        <v>12.285999999999992</v>
      </c>
      <c r="L1301" s="3271">
        <v>12.285999999999992</v>
      </c>
      <c r="M1301" s="3268">
        <v>12.285999999999992</v>
      </c>
      <c r="N1301" s="3269">
        <v>12.285999999999992</v>
      </c>
      <c r="O1301" s="3269">
        <v>12.285999999999992</v>
      </c>
      <c r="P1301" s="3269">
        <v>12.285999999999992</v>
      </c>
      <c r="Q1301" s="3270">
        <v>12.285999999999992</v>
      </c>
    </row>
    <row r="1302" spans="2:17">
      <c r="B1302" s="3260" t="s">
        <v>682</v>
      </c>
      <c r="C1302" s="3268"/>
      <c r="D1302" s="3269"/>
      <c r="E1302" s="3269"/>
      <c r="F1302" s="3269"/>
      <c r="G1302" s="3270"/>
      <c r="H1302" s="3268"/>
      <c r="I1302" s="3269">
        <v>4.7349999999999985</v>
      </c>
      <c r="J1302" s="3269">
        <v>4.7349999999999985</v>
      </c>
      <c r="K1302" s="3269">
        <v>4.7349999999999985</v>
      </c>
      <c r="L1302" s="3271">
        <v>4.7349999999999985</v>
      </c>
      <c r="M1302" s="3268">
        <v>4.7349999999999985</v>
      </c>
      <c r="N1302" s="3269">
        <v>4.7349999999999985</v>
      </c>
      <c r="O1302" s="3269">
        <v>4.7349999999999985</v>
      </c>
      <c r="P1302" s="3269">
        <v>4.7349999999999985</v>
      </c>
      <c r="Q1302" s="3270">
        <v>4.7349999999999985</v>
      </c>
    </row>
    <row r="1303" spans="2:17">
      <c r="B1303" s="3260" t="s">
        <v>66</v>
      </c>
      <c r="C1303" s="3268"/>
      <c r="D1303" s="3269"/>
      <c r="E1303" s="3269"/>
      <c r="F1303" s="3269"/>
      <c r="G1303" s="3270"/>
      <c r="H1303" s="3268"/>
      <c r="I1303" s="3269">
        <v>1.7709999999999999</v>
      </c>
      <c r="J1303" s="3269">
        <v>1.7709999999999999</v>
      </c>
      <c r="K1303" s="3269">
        <v>1.7709999999999999</v>
      </c>
      <c r="L1303" s="3271">
        <v>1.7709999999999999</v>
      </c>
      <c r="M1303" s="3268">
        <v>1.7709999999999999</v>
      </c>
      <c r="N1303" s="3269">
        <v>1.7709999999999999</v>
      </c>
      <c r="O1303" s="3269">
        <v>1.7709999999999999</v>
      </c>
      <c r="P1303" s="3269">
        <v>1.7709999999999999</v>
      </c>
      <c r="Q1303" s="3270">
        <v>1.7709999999999999</v>
      </c>
    </row>
    <row r="1304" spans="2:17" ht="13.5" thickBot="1">
      <c r="B1304" s="3260" t="s">
        <v>67</v>
      </c>
      <c r="C1304" s="3268"/>
      <c r="D1304" s="3269"/>
      <c r="E1304" s="3269"/>
      <c r="F1304" s="3269"/>
      <c r="G1304" s="3270"/>
      <c r="H1304" s="3268"/>
      <c r="I1304" s="3269">
        <v>10.386999999999997</v>
      </c>
      <c r="J1304" s="3269">
        <v>10.386999999999999</v>
      </c>
      <c r="K1304" s="3269">
        <v>10.386999999999999</v>
      </c>
      <c r="L1304" s="3271">
        <v>10.386999999999999</v>
      </c>
      <c r="M1304" s="3272">
        <v>10.386999999999999</v>
      </c>
      <c r="N1304" s="3273">
        <v>10.386999999999999</v>
      </c>
      <c r="O1304" s="3273">
        <v>10.386999999999999</v>
      </c>
      <c r="P1304" s="3273">
        <v>10.386999999999999</v>
      </c>
      <c r="Q1304" s="3274">
        <v>10.386999999999999</v>
      </c>
    </row>
    <row r="1305" spans="2:17" ht="12.75" customHeight="1">
      <c r="B1305" s="4689">
        <v>3380</v>
      </c>
      <c r="C1305" s="4691" t="s">
        <v>36</v>
      </c>
      <c r="D1305" s="4692"/>
      <c r="E1305" s="4692"/>
      <c r="F1305" s="4692"/>
      <c r="G1305" s="4692"/>
      <c r="H1305" s="4693" t="s">
        <v>37</v>
      </c>
      <c r="I1305" s="4694"/>
      <c r="J1305" s="4694"/>
      <c r="K1305" s="4694"/>
      <c r="L1305" s="4694"/>
      <c r="M1305" s="4695" t="s">
        <v>73</v>
      </c>
      <c r="N1305" s="4695"/>
      <c r="O1305" s="4695"/>
      <c r="P1305" s="4695"/>
      <c r="Q1305" s="4696"/>
    </row>
    <row r="1306" spans="2:17" ht="12.75" customHeight="1">
      <c r="B1306" s="4690"/>
      <c r="C1306" s="4697" t="s">
        <v>1673</v>
      </c>
      <c r="D1306" s="4698"/>
      <c r="E1306" s="4698"/>
      <c r="F1306" s="4698"/>
      <c r="G1306" s="4698"/>
      <c r="H1306" s="4698"/>
      <c r="I1306" s="4698"/>
      <c r="J1306" s="4698"/>
      <c r="K1306" s="4698"/>
      <c r="L1306" s="4698"/>
      <c r="M1306" s="4698"/>
      <c r="N1306" s="4698"/>
      <c r="O1306" s="4698"/>
      <c r="P1306" s="4698"/>
      <c r="Q1306" s="4699"/>
    </row>
    <row r="1307" spans="2:17" ht="12.75" customHeight="1">
      <c r="B1307" s="4690"/>
      <c r="C1307" s="4697" t="s">
        <v>54</v>
      </c>
      <c r="D1307" s="4698"/>
      <c r="E1307" s="4698"/>
      <c r="F1307" s="4698"/>
      <c r="G1307" s="4698"/>
      <c r="H1307" s="4698"/>
      <c r="I1307" s="4698"/>
      <c r="J1307" s="4700"/>
      <c r="K1307" s="4701" t="s">
        <v>55</v>
      </c>
      <c r="L1307" s="4702"/>
      <c r="M1307" s="4702"/>
      <c r="N1307" s="4702"/>
      <c r="O1307" s="4702"/>
      <c r="P1307" s="4702"/>
      <c r="Q1307" s="4703"/>
    </row>
    <row r="1308" spans="2:17" ht="13.5" customHeight="1" thickBot="1">
      <c r="B1308" s="4690"/>
      <c r="C1308" s="3252">
        <f t="array" ref="C1308:G1308">PRCP</f>
        <v>2008</v>
      </c>
      <c r="D1308" s="3253">
        <v>2009</v>
      </c>
      <c r="E1308" s="3253">
        <v>2010</v>
      </c>
      <c r="F1308" s="3253">
        <v>2011</v>
      </c>
      <c r="G1308" s="3253">
        <v>2012</v>
      </c>
      <c r="H1308" s="3254">
        <f>CRCP_y1</f>
        <v>2013</v>
      </c>
      <c r="I1308" s="3254">
        <f>CRCP_y2</f>
        <v>2014</v>
      </c>
      <c r="J1308" s="3254">
        <f>CRCP_y3</f>
        <v>2015</v>
      </c>
      <c r="K1308" s="3254">
        <f>CRCP_y4</f>
        <v>2016</v>
      </c>
      <c r="L1308" s="3254">
        <f>CRCP_y5</f>
        <v>2017</v>
      </c>
      <c r="M1308" s="3253" t="str">
        <f t="array" ref="M1308:Q1308">FRCP</f>
        <v>2018</v>
      </c>
      <c r="N1308" s="3253">
        <v>2019</v>
      </c>
      <c r="O1308" s="3253">
        <v>2020</v>
      </c>
      <c r="P1308" s="3253">
        <v>2021</v>
      </c>
      <c r="Q1308" s="3255">
        <v>2022</v>
      </c>
    </row>
    <row r="1309" spans="2:17">
      <c r="B1309" s="3256" t="s">
        <v>1719</v>
      </c>
      <c r="C1309" s="3257"/>
      <c r="D1309" s="3258"/>
      <c r="E1309" s="3258"/>
      <c r="F1309" s="3258"/>
      <c r="G1309" s="3259"/>
      <c r="H1309" s="3257"/>
      <c r="I1309" s="3258"/>
      <c r="J1309" s="3258"/>
      <c r="K1309" s="3258"/>
      <c r="L1309" s="3258"/>
      <c r="M1309" s="3257"/>
      <c r="N1309" s="3258"/>
      <c r="O1309" s="3258"/>
      <c r="P1309" s="3258"/>
      <c r="Q1309" s="3259"/>
    </row>
    <row r="1310" spans="2:17">
      <c r="B1310" s="3260"/>
      <c r="C1310" s="3268"/>
      <c r="D1310" s="3269"/>
      <c r="E1310" s="3269"/>
      <c r="F1310" s="3269"/>
      <c r="G1310" s="3270"/>
      <c r="H1310" s="3268"/>
      <c r="I1310" s="3269"/>
      <c r="J1310" s="3269"/>
      <c r="K1310" s="3269"/>
      <c r="L1310" s="3271"/>
      <c r="M1310" s="3268"/>
      <c r="N1310" s="3269"/>
      <c r="O1310" s="3269"/>
      <c r="P1310" s="3269"/>
      <c r="Q1310" s="3270"/>
    </row>
    <row r="1311" spans="2:17">
      <c r="B1311" s="3260" t="s">
        <v>64</v>
      </c>
      <c r="C1311" s="3268"/>
      <c r="D1311" s="3269"/>
      <c r="E1311" s="3269"/>
      <c r="F1311" s="3269"/>
      <c r="G1311" s="3270"/>
      <c r="H1311" s="3268"/>
      <c r="I1311" s="3281">
        <v>6.7550000000000008</v>
      </c>
      <c r="J1311" s="3281">
        <v>6.7550000000000008</v>
      </c>
      <c r="K1311" s="3281">
        <v>6.7550000000000008</v>
      </c>
      <c r="L1311" s="3282">
        <v>6.7550000000000008</v>
      </c>
      <c r="M1311" s="3283">
        <v>6.7550000000000008</v>
      </c>
      <c r="N1311" s="3281">
        <v>6.7550000000000008</v>
      </c>
      <c r="O1311" s="3281">
        <v>6.7550000000000008</v>
      </c>
      <c r="P1311" s="3281">
        <v>6.7550000000000008</v>
      </c>
      <c r="Q1311" s="3284">
        <v>6.1362402674727496</v>
      </c>
    </row>
    <row r="1312" spans="2:17">
      <c r="B1312" s="3260" t="s">
        <v>65</v>
      </c>
      <c r="C1312" s="3268"/>
      <c r="D1312" s="3269"/>
      <c r="E1312" s="3269"/>
      <c r="F1312" s="3269"/>
      <c r="G1312" s="3270"/>
      <c r="H1312" s="3268"/>
      <c r="I1312" s="3281">
        <v>36.585000000000015</v>
      </c>
      <c r="J1312" s="3281">
        <v>36.585000000000015</v>
      </c>
      <c r="K1312" s="3281">
        <v>36.585000000000015</v>
      </c>
      <c r="L1312" s="3282">
        <v>36.585000000000015</v>
      </c>
      <c r="M1312" s="3283">
        <v>36.585000000000015</v>
      </c>
      <c r="N1312" s="3281">
        <v>36.585000000000015</v>
      </c>
      <c r="O1312" s="3281">
        <v>36.585000000000015</v>
      </c>
      <c r="P1312" s="3281">
        <v>36.585000000000015</v>
      </c>
      <c r="Q1312" s="3284">
        <v>33.23380461665294</v>
      </c>
    </row>
    <row r="1313" spans="2:17">
      <c r="B1313" s="3260" t="s">
        <v>82</v>
      </c>
      <c r="C1313" s="3268"/>
      <c r="D1313" s="3269"/>
      <c r="E1313" s="3269"/>
      <c r="F1313" s="3269"/>
      <c r="G1313" s="3270"/>
      <c r="H1313" s="3268"/>
      <c r="I1313" s="3281">
        <v>0</v>
      </c>
      <c r="J1313" s="3281">
        <v>0</v>
      </c>
      <c r="K1313" s="3281">
        <v>0</v>
      </c>
      <c r="L1313" s="3282">
        <v>0</v>
      </c>
      <c r="M1313" s="3283">
        <v>0</v>
      </c>
      <c r="N1313" s="3281">
        <v>0</v>
      </c>
      <c r="O1313" s="3281">
        <v>0</v>
      </c>
      <c r="P1313" s="3281">
        <v>0</v>
      </c>
      <c r="Q1313" s="3284">
        <v>0</v>
      </c>
    </row>
    <row r="1314" spans="2:17">
      <c r="B1314" s="3260" t="s">
        <v>680</v>
      </c>
      <c r="C1314" s="3268"/>
      <c r="D1314" s="3269"/>
      <c r="E1314" s="3269"/>
      <c r="F1314" s="3269"/>
      <c r="G1314" s="3270"/>
      <c r="H1314" s="3268"/>
      <c r="I1314" s="3281">
        <v>0</v>
      </c>
      <c r="J1314" s="3281">
        <v>0</v>
      </c>
      <c r="K1314" s="3281">
        <v>0</v>
      </c>
      <c r="L1314" s="3282">
        <v>0</v>
      </c>
      <c r="M1314" s="3283">
        <v>0</v>
      </c>
      <c r="N1314" s="3281">
        <v>0</v>
      </c>
      <c r="O1314" s="3281">
        <v>0</v>
      </c>
      <c r="P1314" s="3281">
        <v>0</v>
      </c>
      <c r="Q1314" s="3284">
        <v>0</v>
      </c>
    </row>
    <row r="1315" spans="2:17">
      <c r="B1315" s="3260" t="s">
        <v>681</v>
      </c>
      <c r="C1315" s="3268"/>
      <c r="D1315" s="3269"/>
      <c r="E1315" s="3269"/>
      <c r="F1315" s="3269"/>
      <c r="G1315" s="3270"/>
      <c r="H1315" s="3268"/>
      <c r="I1315" s="3281">
        <v>8.495000000000001</v>
      </c>
      <c r="J1315" s="3281">
        <v>8.4950000000000028</v>
      </c>
      <c r="K1315" s="3281">
        <v>8.4950000000000028</v>
      </c>
      <c r="L1315" s="3282">
        <v>8.4950000000000028</v>
      </c>
      <c r="M1315" s="3283">
        <v>8.4950000000000028</v>
      </c>
      <c r="N1315" s="3281">
        <v>8.4950000000000028</v>
      </c>
      <c r="O1315" s="3281">
        <v>8.4950000000000028</v>
      </c>
      <c r="P1315" s="3281">
        <v>8.4950000000000028</v>
      </c>
      <c r="Q1315" s="3284">
        <v>7.7168558211963019</v>
      </c>
    </row>
    <row r="1316" spans="2:17">
      <c r="B1316" s="3260" t="s">
        <v>682</v>
      </c>
      <c r="C1316" s="3268"/>
      <c r="D1316" s="3269"/>
      <c r="E1316" s="3269"/>
      <c r="F1316" s="3269"/>
      <c r="G1316" s="3270"/>
      <c r="H1316" s="3268"/>
      <c r="I1316" s="3281">
        <v>3.1229999999999998</v>
      </c>
      <c r="J1316" s="3281">
        <v>3.1229999999999998</v>
      </c>
      <c r="K1316" s="3281">
        <v>3.1229999999999998</v>
      </c>
      <c r="L1316" s="3282">
        <v>3.1229999999999998</v>
      </c>
      <c r="M1316" s="3283">
        <v>3.1229999999999998</v>
      </c>
      <c r="N1316" s="3281">
        <v>3.1229999999999998</v>
      </c>
      <c r="O1316" s="3281">
        <v>3.1229999999999998</v>
      </c>
      <c r="P1316" s="3281">
        <v>3.1229999999999998</v>
      </c>
      <c r="Q1316" s="3284">
        <v>2.8369323990107169</v>
      </c>
    </row>
    <row r="1317" spans="2:17">
      <c r="B1317" s="3260" t="s">
        <v>66</v>
      </c>
      <c r="C1317" s="3268"/>
      <c r="D1317" s="3269"/>
      <c r="E1317" s="3269"/>
      <c r="F1317" s="3269"/>
      <c r="G1317" s="3270"/>
      <c r="H1317" s="3268"/>
      <c r="I1317" s="3281">
        <v>0.70100000000000007</v>
      </c>
      <c r="J1317" s="3281">
        <v>0.70100000000000007</v>
      </c>
      <c r="K1317" s="3281">
        <v>0.70100000000000007</v>
      </c>
      <c r="L1317" s="3282">
        <v>0.70100000000000007</v>
      </c>
      <c r="M1317" s="3283">
        <v>0.70100000000000007</v>
      </c>
      <c r="N1317" s="3281">
        <v>0.70100000000000007</v>
      </c>
      <c r="O1317" s="3281">
        <v>0.70100000000000007</v>
      </c>
      <c r="P1317" s="3281">
        <v>0.70100000000000007</v>
      </c>
      <c r="Q1317" s="3284">
        <v>0.63678822020701664</v>
      </c>
    </row>
    <row r="1318" spans="2:17" ht="13.5" thickBot="1">
      <c r="B1318" s="3260" t="s">
        <v>67</v>
      </c>
      <c r="C1318" s="3268"/>
      <c r="D1318" s="3269"/>
      <c r="E1318" s="3269"/>
      <c r="F1318" s="3269"/>
      <c r="G1318" s="3270"/>
      <c r="H1318" s="3268"/>
      <c r="I1318" s="3281">
        <v>9.8430000000000017</v>
      </c>
      <c r="J1318" s="3281">
        <v>9.8430000000000017</v>
      </c>
      <c r="K1318" s="3281">
        <v>9.8430000000000017</v>
      </c>
      <c r="L1318" s="3282">
        <v>9.8430000000000017</v>
      </c>
      <c r="M1318" s="3285">
        <v>9.8430000000000017</v>
      </c>
      <c r="N1318" s="3286">
        <v>9.8430000000000017</v>
      </c>
      <c r="O1318" s="3286">
        <v>9.8430000000000017</v>
      </c>
      <c r="P1318" s="3286">
        <v>9.8430000000000017</v>
      </c>
      <c r="Q1318" s="3287">
        <v>8.9413786754602924</v>
      </c>
    </row>
    <row r="1319" spans="2:17" ht="12.75" customHeight="1">
      <c r="B1319" s="4689">
        <v>3384</v>
      </c>
      <c r="C1319" s="4691" t="s">
        <v>36</v>
      </c>
      <c r="D1319" s="4692"/>
      <c r="E1319" s="4692"/>
      <c r="F1319" s="4692"/>
      <c r="G1319" s="4692"/>
      <c r="H1319" s="4693" t="s">
        <v>37</v>
      </c>
      <c r="I1319" s="4694"/>
      <c r="J1319" s="4694"/>
      <c r="K1319" s="4694"/>
      <c r="L1319" s="4694"/>
      <c r="M1319" s="4695" t="s">
        <v>73</v>
      </c>
      <c r="N1319" s="4695"/>
      <c r="O1319" s="4695"/>
      <c r="P1319" s="4695"/>
      <c r="Q1319" s="4696"/>
    </row>
    <row r="1320" spans="2:17" ht="12.75" customHeight="1">
      <c r="B1320" s="4690"/>
      <c r="C1320" s="4697" t="s">
        <v>1673</v>
      </c>
      <c r="D1320" s="4698"/>
      <c r="E1320" s="4698"/>
      <c r="F1320" s="4698"/>
      <c r="G1320" s="4698"/>
      <c r="H1320" s="4698"/>
      <c r="I1320" s="4698"/>
      <c r="J1320" s="4698"/>
      <c r="K1320" s="4698"/>
      <c r="L1320" s="4698"/>
      <c r="M1320" s="4698"/>
      <c r="N1320" s="4698"/>
      <c r="O1320" s="4698"/>
      <c r="P1320" s="4698"/>
      <c r="Q1320" s="4699"/>
    </row>
    <row r="1321" spans="2:17" ht="12.75" customHeight="1">
      <c r="B1321" s="4690"/>
      <c r="C1321" s="4697" t="s">
        <v>54</v>
      </c>
      <c r="D1321" s="4698"/>
      <c r="E1321" s="4698"/>
      <c r="F1321" s="4698"/>
      <c r="G1321" s="4698"/>
      <c r="H1321" s="4698"/>
      <c r="I1321" s="4698"/>
      <c r="J1321" s="4700"/>
      <c r="K1321" s="4701" t="s">
        <v>55</v>
      </c>
      <c r="L1321" s="4702"/>
      <c r="M1321" s="4702"/>
      <c r="N1321" s="4702"/>
      <c r="O1321" s="4702"/>
      <c r="P1321" s="4702"/>
      <c r="Q1321" s="4703"/>
    </row>
    <row r="1322" spans="2:17" ht="13.5" customHeight="1" thickBot="1">
      <c r="B1322" s="4690"/>
      <c r="C1322" s="3252">
        <f t="array" ref="C1322:G1322">PRCP</f>
        <v>2008</v>
      </c>
      <c r="D1322" s="3253">
        <v>2009</v>
      </c>
      <c r="E1322" s="3253">
        <v>2010</v>
      </c>
      <c r="F1322" s="3253">
        <v>2011</v>
      </c>
      <c r="G1322" s="3253">
        <v>2012</v>
      </c>
      <c r="H1322" s="3254">
        <f>CRCP_y1</f>
        <v>2013</v>
      </c>
      <c r="I1322" s="3254">
        <f>CRCP_y2</f>
        <v>2014</v>
      </c>
      <c r="J1322" s="3254">
        <f>CRCP_y3</f>
        <v>2015</v>
      </c>
      <c r="K1322" s="3254">
        <f>CRCP_y4</f>
        <v>2016</v>
      </c>
      <c r="L1322" s="3254">
        <f>CRCP_y5</f>
        <v>2017</v>
      </c>
      <c r="M1322" s="3253" t="str">
        <f t="array" ref="M1322:Q1322">FRCP</f>
        <v>2018</v>
      </c>
      <c r="N1322" s="3253">
        <v>2019</v>
      </c>
      <c r="O1322" s="3253">
        <v>2020</v>
      </c>
      <c r="P1322" s="3253">
        <v>2021</v>
      </c>
      <c r="Q1322" s="3255">
        <v>2022</v>
      </c>
    </row>
    <row r="1323" spans="2:17">
      <c r="B1323" s="3256" t="s">
        <v>1719</v>
      </c>
      <c r="C1323" s="3257"/>
      <c r="D1323" s="3258"/>
      <c r="E1323" s="3258"/>
      <c r="F1323" s="3258"/>
      <c r="G1323" s="3259"/>
      <c r="H1323" s="3257"/>
      <c r="I1323" s="3258"/>
      <c r="J1323" s="3258"/>
      <c r="K1323" s="3258"/>
      <c r="L1323" s="3258"/>
      <c r="M1323" s="3257"/>
      <c r="N1323" s="3258"/>
      <c r="O1323" s="3258"/>
      <c r="P1323" s="3258"/>
      <c r="Q1323" s="3259"/>
    </row>
    <row r="1324" spans="2:17">
      <c r="B1324" s="3260"/>
      <c r="C1324" s="3268"/>
      <c r="D1324" s="3269"/>
      <c r="E1324" s="3269"/>
      <c r="F1324" s="3269"/>
      <c r="G1324" s="3270"/>
      <c r="H1324" s="3268"/>
      <c r="I1324" s="3269"/>
      <c r="J1324" s="3269"/>
      <c r="K1324" s="3269"/>
      <c r="L1324" s="3271"/>
      <c r="M1324" s="3268"/>
      <c r="N1324" s="3269"/>
      <c r="O1324" s="3269"/>
      <c r="P1324" s="3269"/>
      <c r="Q1324" s="3270"/>
    </row>
    <row r="1325" spans="2:17">
      <c r="B1325" s="3260" t="s">
        <v>64</v>
      </c>
      <c r="C1325" s="3268"/>
      <c r="D1325" s="3269"/>
      <c r="E1325" s="3269"/>
      <c r="F1325" s="3269"/>
      <c r="G1325" s="3270"/>
      <c r="H1325" s="3268"/>
      <c r="I1325" s="3269">
        <v>0</v>
      </c>
      <c r="J1325" s="3269">
        <v>0</v>
      </c>
      <c r="K1325" s="3269">
        <v>0</v>
      </c>
      <c r="L1325" s="3271">
        <v>0</v>
      </c>
      <c r="M1325" s="3268">
        <v>0</v>
      </c>
      <c r="N1325" s="3269">
        <v>0</v>
      </c>
      <c r="O1325" s="3269">
        <v>0</v>
      </c>
      <c r="P1325" s="3269">
        <v>0</v>
      </c>
      <c r="Q1325" s="3270">
        <v>0</v>
      </c>
    </row>
    <row r="1326" spans="2:17">
      <c r="B1326" s="3260" t="s">
        <v>65</v>
      </c>
      <c r="C1326" s="3268"/>
      <c r="D1326" s="3269"/>
      <c r="E1326" s="3269"/>
      <c r="F1326" s="3269"/>
      <c r="G1326" s="3270"/>
      <c r="H1326" s="3268"/>
      <c r="I1326" s="3269">
        <v>0</v>
      </c>
      <c r="J1326" s="3269">
        <v>0</v>
      </c>
      <c r="K1326" s="3269">
        <v>0</v>
      </c>
      <c r="L1326" s="3271">
        <v>0</v>
      </c>
      <c r="M1326" s="3268">
        <v>0</v>
      </c>
      <c r="N1326" s="3269">
        <v>0</v>
      </c>
      <c r="O1326" s="3269">
        <v>0</v>
      </c>
      <c r="P1326" s="3269">
        <v>0</v>
      </c>
      <c r="Q1326" s="3270">
        <v>0</v>
      </c>
    </row>
    <row r="1327" spans="2:17">
      <c r="B1327" s="3260" t="s">
        <v>82</v>
      </c>
      <c r="C1327" s="3268"/>
      <c r="D1327" s="3269"/>
      <c r="E1327" s="3269"/>
      <c r="F1327" s="3269"/>
      <c r="G1327" s="3270"/>
      <c r="H1327" s="3268"/>
      <c r="I1327" s="3269">
        <v>0</v>
      </c>
      <c r="J1327" s="3269">
        <v>0</v>
      </c>
      <c r="K1327" s="3269">
        <v>0</v>
      </c>
      <c r="L1327" s="3271">
        <v>0</v>
      </c>
      <c r="M1327" s="3268">
        <v>0</v>
      </c>
      <c r="N1327" s="3269">
        <v>0</v>
      </c>
      <c r="O1327" s="3269">
        <v>0</v>
      </c>
      <c r="P1327" s="3269">
        <v>0</v>
      </c>
      <c r="Q1327" s="3270">
        <v>0</v>
      </c>
    </row>
    <row r="1328" spans="2:17">
      <c r="B1328" s="3260" t="s">
        <v>680</v>
      </c>
      <c r="C1328" s="3268"/>
      <c r="D1328" s="3269"/>
      <c r="E1328" s="3269"/>
      <c r="F1328" s="3269"/>
      <c r="G1328" s="3270"/>
      <c r="H1328" s="3268"/>
      <c r="I1328" s="3269">
        <v>0</v>
      </c>
      <c r="J1328" s="3269">
        <v>0</v>
      </c>
      <c r="K1328" s="3269">
        <v>0</v>
      </c>
      <c r="L1328" s="3271">
        <v>0</v>
      </c>
      <c r="M1328" s="3268">
        <v>0</v>
      </c>
      <c r="N1328" s="3269">
        <v>0</v>
      </c>
      <c r="O1328" s="3269">
        <v>0</v>
      </c>
      <c r="P1328" s="3269">
        <v>0</v>
      </c>
      <c r="Q1328" s="3270">
        <v>0</v>
      </c>
    </row>
    <row r="1329" spans="2:17">
      <c r="B1329" s="3260" t="s">
        <v>681</v>
      </c>
      <c r="C1329" s="3268"/>
      <c r="D1329" s="3269"/>
      <c r="E1329" s="3269"/>
      <c r="F1329" s="3269"/>
      <c r="G1329" s="3270"/>
      <c r="H1329" s="3268"/>
      <c r="I1329" s="3269">
        <v>0.72099999999999997</v>
      </c>
      <c r="J1329" s="3269">
        <v>0.72099999999999997</v>
      </c>
      <c r="K1329" s="3269">
        <v>0.72099999999999997</v>
      </c>
      <c r="L1329" s="3271">
        <v>0.72099999999999997</v>
      </c>
      <c r="M1329" s="3268">
        <v>0.72099999999999997</v>
      </c>
      <c r="N1329" s="3269">
        <v>0.72099999999999997</v>
      </c>
      <c r="O1329" s="3269">
        <v>0.72099999999999997</v>
      </c>
      <c r="P1329" s="3269">
        <v>0.72099999999999997</v>
      </c>
      <c r="Q1329" s="3270">
        <v>0.72099999999999997</v>
      </c>
    </row>
    <row r="1330" spans="2:17">
      <c r="B1330" s="3260" t="s">
        <v>682</v>
      </c>
      <c r="C1330" s="3268"/>
      <c r="D1330" s="3269"/>
      <c r="E1330" s="3269"/>
      <c r="F1330" s="3269"/>
      <c r="G1330" s="3270"/>
      <c r="H1330" s="3268"/>
      <c r="I1330" s="3269">
        <v>0</v>
      </c>
      <c r="J1330" s="3269">
        <v>0</v>
      </c>
      <c r="K1330" s="3269">
        <v>0</v>
      </c>
      <c r="L1330" s="3271">
        <v>0</v>
      </c>
      <c r="M1330" s="3268">
        <v>0</v>
      </c>
      <c r="N1330" s="3269">
        <v>0</v>
      </c>
      <c r="O1330" s="3269">
        <v>0</v>
      </c>
      <c r="P1330" s="3269">
        <v>0</v>
      </c>
      <c r="Q1330" s="3270">
        <v>0</v>
      </c>
    </row>
    <row r="1331" spans="2:17">
      <c r="B1331" s="3260" t="s">
        <v>66</v>
      </c>
      <c r="C1331" s="3268"/>
      <c r="D1331" s="3269"/>
      <c r="E1331" s="3269"/>
      <c r="F1331" s="3269"/>
      <c r="G1331" s="3270"/>
      <c r="H1331" s="3268"/>
      <c r="I1331" s="3269">
        <v>0</v>
      </c>
      <c r="J1331" s="3269">
        <v>0</v>
      </c>
      <c r="K1331" s="3269">
        <v>0</v>
      </c>
      <c r="L1331" s="3271">
        <v>0</v>
      </c>
      <c r="M1331" s="3268">
        <v>0</v>
      </c>
      <c r="N1331" s="3269">
        <v>0</v>
      </c>
      <c r="O1331" s="3269">
        <v>0</v>
      </c>
      <c r="P1331" s="3269">
        <v>0</v>
      </c>
      <c r="Q1331" s="3270">
        <v>0</v>
      </c>
    </row>
    <row r="1332" spans="2:17" ht="13.5" thickBot="1">
      <c r="B1332" s="3260" t="s">
        <v>67</v>
      </c>
      <c r="C1332" s="3268"/>
      <c r="D1332" s="3269"/>
      <c r="E1332" s="3269"/>
      <c r="F1332" s="3269"/>
      <c r="G1332" s="3270"/>
      <c r="H1332" s="3268"/>
      <c r="I1332" s="3269">
        <v>0</v>
      </c>
      <c r="J1332" s="3269">
        <v>0</v>
      </c>
      <c r="K1332" s="3269">
        <v>0</v>
      </c>
      <c r="L1332" s="3271">
        <v>0</v>
      </c>
      <c r="M1332" s="3272">
        <v>0</v>
      </c>
      <c r="N1332" s="3273">
        <v>0</v>
      </c>
      <c r="O1332" s="3273">
        <v>0</v>
      </c>
      <c r="P1332" s="3273">
        <v>0</v>
      </c>
      <c r="Q1332" s="3274">
        <v>0</v>
      </c>
    </row>
    <row r="1333" spans="2:17" ht="12.75" customHeight="1">
      <c r="B1333" s="4689">
        <v>3400</v>
      </c>
      <c r="C1333" s="4691" t="s">
        <v>36</v>
      </c>
      <c r="D1333" s="4692"/>
      <c r="E1333" s="4692"/>
      <c r="F1333" s="4692"/>
      <c r="G1333" s="4692"/>
      <c r="H1333" s="4693" t="s">
        <v>37</v>
      </c>
      <c r="I1333" s="4694"/>
      <c r="J1333" s="4694"/>
      <c r="K1333" s="4694"/>
      <c r="L1333" s="4694"/>
      <c r="M1333" s="4695" t="s">
        <v>73</v>
      </c>
      <c r="N1333" s="4695"/>
      <c r="O1333" s="4695"/>
      <c r="P1333" s="4695"/>
      <c r="Q1333" s="4696"/>
    </row>
    <row r="1334" spans="2:17" ht="12.75" customHeight="1">
      <c r="B1334" s="4690"/>
      <c r="C1334" s="4697" t="s">
        <v>1673</v>
      </c>
      <c r="D1334" s="4698"/>
      <c r="E1334" s="4698"/>
      <c r="F1334" s="4698"/>
      <c r="G1334" s="4698"/>
      <c r="H1334" s="4698"/>
      <c r="I1334" s="4698"/>
      <c r="J1334" s="4698"/>
      <c r="K1334" s="4698"/>
      <c r="L1334" s="4698"/>
      <c r="M1334" s="4698"/>
      <c r="N1334" s="4698"/>
      <c r="O1334" s="4698"/>
      <c r="P1334" s="4698"/>
      <c r="Q1334" s="4699"/>
    </row>
    <row r="1335" spans="2:17" ht="12.75" customHeight="1">
      <c r="B1335" s="4690"/>
      <c r="C1335" s="4697" t="s">
        <v>54</v>
      </c>
      <c r="D1335" s="4698"/>
      <c r="E1335" s="4698"/>
      <c r="F1335" s="4698"/>
      <c r="G1335" s="4698"/>
      <c r="H1335" s="4698"/>
      <c r="I1335" s="4698"/>
      <c r="J1335" s="4700"/>
      <c r="K1335" s="4701" t="s">
        <v>55</v>
      </c>
      <c r="L1335" s="4702"/>
      <c r="M1335" s="4702"/>
      <c r="N1335" s="4702"/>
      <c r="O1335" s="4702"/>
      <c r="P1335" s="4702"/>
      <c r="Q1335" s="4703"/>
    </row>
    <row r="1336" spans="2:17" ht="13.5" customHeight="1" thickBot="1">
      <c r="B1336" s="4690"/>
      <c r="C1336" s="3252">
        <f t="array" ref="C1336:G1336">PRCP</f>
        <v>2008</v>
      </c>
      <c r="D1336" s="3253">
        <v>2009</v>
      </c>
      <c r="E1336" s="3253">
        <v>2010</v>
      </c>
      <c r="F1336" s="3253">
        <v>2011</v>
      </c>
      <c r="G1336" s="3253">
        <v>2012</v>
      </c>
      <c r="H1336" s="3254">
        <f>CRCP_y1</f>
        <v>2013</v>
      </c>
      <c r="I1336" s="3254">
        <f>CRCP_y2</f>
        <v>2014</v>
      </c>
      <c r="J1336" s="3254">
        <f>CRCP_y3</f>
        <v>2015</v>
      </c>
      <c r="K1336" s="3254">
        <f>CRCP_y4</f>
        <v>2016</v>
      </c>
      <c r="L1336" s="3254">
        <f>CRCP_y5</f>
        <v>2017</v>
      </c>
      <c r="M1336" s="3253" t="str">
        <f t="array" ref="M1336:Q1336">FRCP</f>
        <v>2018</v>
      </c>
      <c r="N1336" s="3253">
        <v>2019</v>
      </c>
      <c r="O1336" s="3253">
        <v>2020</v>
      </c>
      <c r="P1336" s="3253">
        <v>2021</v>
      </c>
      <c r="Q1336" s="3255">
        <v>2022</v>
      </c>
    </row>
    <row r="1337" spans="2:17">
      <c r="B1337" s="3256" t="s">
        <v>1720</v>
      </c>
      <c r="C1337" s="3257"/>
      <c r="D1337" s="3258"/>
      <c r="E1337" s="3258"/>
      <c r="F1337" s="3258"/>
      <c r="G1337" s="3259"/>
      <c r="H1337" s="3257"/>
      <c r="I1337" s="3258"/>
      <c r="J1337" s="3258"/>
      <c r="K1337" s="3258"/>
      <c r="L1337" s="3258"/>
      <c r="M1337" s="3257"/>
      <c r="N1337" s="3258"/>
      <c r="O1337" s="3258"/>
      <c r="P1337" s="3258"/>
      <c r="Q1337" s="3259"/>
    </row>
    <row r="1338" spans="2:17">
      <c r="B1338" s="3260"/>
      <c r="C1338" s="3268"/>
      <c r="D1338" s="3269"/>
      <c r="E1338" s="3269"/>
      <c r="F1338" s="3269"/>
      <c r="G1338" s="3270"/>
      <c r="H1338" s="3268"/>
      <c r="I1338" s="3269"/>
      <c r="J1338" s="3269"/>
      <c r="K1338" s="3269"/>
      <c r="L1338" s="3271"/>
      <c r="M1338" s="3268"/>
      <c r="N1338" s="3269"/>
      <c r="O1338" s="3269"/>
      <c r="P1338" s="3269"/>
      <c r="Q1338" s="3270"/>
    </row>
    <row r="1339" spans="2:17">
      <c r="B1339" s="3260" t="s">
        <v>64</v>
      </c>
      <c r="C1339" s="3268"/>
      <c r="D1339" s="3269"/>
      <c r="E1339" s="3269"/>
      <c r="F1339" s="3269"/>
      <c r="G1339" s="3270"/>
      <c r="H1339" s="3268"/>
      <c r="I1339" s="3281">
        <v>1.482</v>
      </c>
      <c r="J1339" s="3281">
        <v>1.4820000000000002</v>
      </c>
      <c r="K1339" s="3281">
        <v>1.4820000000000002</v>
      </c>
      <c r="L1339" s="3282">
        <v>1.4820000000000002</v>
      </c>
      <c r="M1339" s="3283">
        <v>1.4820000000000002</v>
      </c>
      <c r="N1339" s="3281">
        <v>1.4820000000000002</v>
      </c>
      <c r="O1339" s="3281">
        <v>1.4820000000000002</v>
      </c>
      <c r="P1339" s="3281">
        <v>1.3350575821924036</v>
      </c>
      <c r="Q1339" s="3284">
        <v>1.1881151643848069</v>
      </c>
    </row>
    <row r="1340" spans="2:17">
      <c r="B1340" s="3260" t="s">
        <v>65</v>
      </c>
      <c r="C1340" s="3268"/>
      <c r="D1340" s="3269"/>
      <c r="E1340" s="3269"/>
      <c r="F1340" s="3269"/>
      <c r="G1340" s="3270"/>
      <c r="H1340" s="3268"/>
      <c r="I1340" s="3281">
        <v>29.337999999999994</v>
      </c>
      <c r="J1340" s="3281">
        <v>29.33799999999999</v>
      </c>
      <c r="K1340" s="3281">
        <v>29.33799999999999</v>
      </c>
      <c r="L1340" s="3282">
        <v>29.33799999999999</v>
      </c>
      <c r="M1340" s="3283">
        <v>29.33799999999999</v>
      </c>
      <c r="N1340" s="3281">
        <v>29.33799999999999</v>
      </c>
      <c r="O1340" s="3281">
        <v>29.33799999999999</v>
      </c>
      <c r="P1340" s="3281">
        <v>26.429095375412089</v>
      </c>
      <c r="Q1340" s="3284">
        <v>23.520190750824188</v>
      </c>
    </row>
    <row r="1341" spans="2:17">
      <c r="B1341" s="3260" t="s">
        <v>82</v>
      </c>
      <c r="C1341" s="3268"/>
      <c r="D1341" s="3269"/>
      <c r="E1341" s="3269"/>
      <c r="F1341" s="3269"/>
      <c r="G1341" s="3270"/>
      <c r="H1341" s="3268"/>
      <c r="I1341" s="3281">
        <v>0</v>
      </c>
      <c r="J1341" s="3281">
        <v>0</v>
      </c>
      <c r="K1341" s="3281">
        <v>0</v>
      </c>
      <c r="L1341" s="3282">
        <v>0</v>
      </c>
      <c r="M1341" s="3283">
        <v>0</v>
      </c>
      <c r="N1341" s="3281">
        <v>0</v>
      </c>
      <c r="O1341" s="3281">
        <v>0</v>
      </c>
      <c r="P1341" s="3281">
        <v>0</v>
      </c>
      <c r="Q1341" s="3284">
        <v>0</v>
      </c>
    </row>
    <row r="1342" spans="2:17">
      <c r="B1342" s="3260" t="s">
        <v>680</v>
      </c>
      <c r="C1342" s="3268"/>
      <c r="D1342" s="3269"/>
      <c r="E1342" s="3269"/>
      <c r="F1342" s="3269"/>
      <c r="G1342" s="3270"/>
      <c r="H1342" s="3268"/>
      <c r="I1342" s="3281">
        <v>0</v>
      </c>
      <c r="J1342" s="3281">
        <v>0</v>
      </c>
      <c r="K1342" s="3281">
        <v>0</v>
      </c>
      <c r="L1342" s="3282">
        <v>0</v>
      </c>
      <c r="M1342" s="3283">
        <v>0</v>
      </c>
      <c r="N1342" s="3281">
        <v>0</v>
      </c>
      <c r="O1342" s="3281">
        <v>0</v>
      </c>
      <c r="P1342" s="3281">
        <v>0</v>
      </c>
      <c r="Q1342" s="3284">
        <v>0</v>
      </c>
    </row>
    <row r="1343" spans="2:17">
      <c r="B1343" s="3260" t="s">
        <v>681</v>
      </c>
      <c r="C1343" s="3268"/>
      <c r="D1343" s="3269"/>
      <c r="E1343" s="3269"/>
      <c r="F1343" s="3269"/>
      <c r="G1343" s="3270"/>
      <c r="H1343" s="3268"/>
      <c r="I1343" s="3281">
        <v>37.800000000000011</v>
      </c>
      <c r="J1343" s="3281">
        <v>38.843000000000011</v>
      </c>
      <c r="K1343" s="3281">
        <v>38.843000000000011</v>
      </c>
      <c r="L1343" s="3282">
        <v>38.843000000000011</v>
      </c>
      <c r="M1343" s="3283">
        <v>38.843000000000011</v>
      </c>
      <c r="N1343" s="3281">
        <v>38.843000000000011</v>
      </c>
      <c r="O1343" s="3281">
        <v>38.843000000000011</v>
      </c>
      <c r="P1343" s="3281">
        <v>46.991661042577284</v>
      </c>
      <c r="Q1343" s="3284">
        <v>55.140322085154558</v>
      </c>
    </row>
    <row r="1344" spans="2:17">
      <c r="B1344" s="3260" t="s">
        <v>682</v>
      </c>
      <c r="C1344" s="3268"/>
      <c r="D1344" s="3269"/>
      <c r="E1344" s="3269"/>
      <c r="F1344" s="3269"/>
      <c r="G1344" s="3270"/>
      <c r="H1344" s="3268"/>
      <c r="I1344" s="3281">
        <v>2.7530000000000001</v>
      </c>
      <c r="J1344" s="3281">
        <v>2.7530000000000001</v>
      </c>
      <c r="K1344" s="3281">
        <v>2.7530000000000001</v>
      </c>
      <c r="L1344" s="3282">
        <v>2.7530000000000001</v>
      </c>
      <c r="M1344" s="3283">
        <v>2.7530000000000001</v>
      </c>
      <c r="N1344" s="3281">
        <v>2.7530000000000001</v>
      </c>
      <c r="O1344" s="3281">
        <v>2.7530000000000001</v>
      </c>
      <c r="P1344" s="3281">
        <v>2.4800361159080206</v>
      </c>
      <c r="Q1344" s="3284">
        <v>2.2070722318160412</v>
      </c>
    </row>
    <row r="1345" spans="2:17">
      <c r="B1345" s="3260" t="s">
        <v>66</v>
      </c>
      <c r="C1345" s="3268"/>
      <c r="D1345" s="3269"/>
      <c r="E1345" s="3269"/>
      <c r="F1345" s="3269"/>
      <c r="G1345" s="3270"/>
      <c r="H1345" s="3268"/>
      <c r="I1345" s="3281">
        <v>1.8859999999999995</v>
      </c>
      <c r="J1345" s="3281">
        <v>1.8859999999999995</v>
      </c>
      <c r="K1345" s="3281">
        <v>1.8859999999999995</v>
      </c>
      <c r="L1345" s="3282">
        <v>1.8859999999999995</v>
      </c>
      <c r="M1345" s="3283">
        <v>1.8859999999999995</v>
      </c>
      <c r="N1345" s="3281">
        <v>1.8859999999999995</v>
      </c>
      <c r="O1345" s="3281">
        <v>1.8859999999999995</v>
      </c>
      <c r="P1345" s="3281">
        <v>1.6990004048683347</v>
      </c>
      <c r="Q1345" s="3284">
        <v>1.5120008097366697</v>
      </c>
    </row>
    <row r="1346" spans="2:17" ht="13.5" thickBot="1">
      <c r="B1346" s="3260" t="s">
        <v>67</v>
      </c>
      <c r="C1346" s="3268"/>
      <c r="D1346" s="3269"/>
      <c r="E1346" s="3269"/>
      <c r="F1346" s="3269"/>
      <c r="G1346" s="3270"/>
      <c r="H1346" s="3268"/>
      <c r="I1346" s="3281">
        <v>46.724999999999973</v>
      </c>
      <c r="J1346" s="3281">
        <v>46.724999999999952</v>
      </c>
      <c r="K1346" s="3281">
        <v>46.724999999999952</v>
      </c>
      <c r="L1346" s="3282">
        <v>46.724999999999952</v>
      </c>
      <c r="M1346" s="3285">
        <v>46.724999999999952</v>
      </c>
      <c r="N1346" s="3286">
        <v>46.724999999999952</v>
      </c>
      <c r="O1346" s="3286">
        <v>46.724999999999952</v>
      </c>
      <c r="P1346" s="3286">
        <v>42.092149479041822</v>
      </c>
      <c r="Q1346" s="3287">
        <v>37.459298958083693</v>
      </c>
    </row>
    <row r="1347" spans="2:17" ht="12.75" customHeight="1">
      <c r="B1347" s="4689">
        <v>3401</v>
      </c>
      <c r="C1347" s="4691" t="s">
        <v>36</v>
      </c>
      <c r="D1347" s="4692"/>
      <c r="E1347" s="4692"/>
      <c r="F1347" s="4692"/>
      <c r="G1347" s="4692"/>
      <c r="H1347" s="4693" t="s">
        <v>37</v>
      </c>
      <c r="I1347" s="4694"/>
      <c r="J1347" s="4694"/>
      <c r="K1347" s="4694"/>
      <c r="L1347" s="4694"/>
      <c r="M1347" s="4695" t="s">
        <v>73</v>
      </c>
      <c r="N1347" s="4695"/>
      <c r="O1347" s="4695"/>
      <c r="P1347" s="4695"/>
      <c r="Q1347" s="4696"/>
    </row>
    <row r="1348" spans="2:17" ht="12.75" customHeight="1">
      <c r="B1348" s="4690"/>
      <c r="C1348" s="4697" t="s">
        <v>1673</v>
      </c>
      <c r="D1348" s="4698"/>
      <c r="E1348" s="4698"/>
      <c r="F1348" s="4698"/>
      <c r="G1348" s="4698"/>
      <c r="H1348" s="4698"/>
      <c r="I1348" s="4698"/>
      <c r="J1348" s="4698"/>
      <c r="K1348" s="4698"/>
      <c r="L1348" s="4698"/>
      <c r="M1348" s="4698"/>
      <c r="N1348" s="4698"/>
      <c r="O1348" s="4698"/>
      <c r="P1348" s="4698"/>
      <c r="Q1348" s="4699"/>
    </row>
    <row r="1349" spans="2:17" ht="12.75" customHeight="1">
      <c r="B1349" s="4690"/>
      <c r="C1349" s="4697" t="s">
        <v>54</v>
      </c>
      <c r="D1349" s="4698"/>
      <c r="E1349" s="4698"/>
      <c r="F1349" s="4698"/>
      <c r="G1349" s="4698"/>
      <c r="H1349" s="4698"/>
      <c r="I1349" s="4698"/>
      <c r="J1349" s="4700"/>
      <c r="K1349" s="4701" t="s">
        <v>55</v>
      </c>
      <c r="L1349" s="4702"/>
      <c r="M1349" s="4702"/>
      <c r="N1349" s="4702"/>
      <c r="O1349" s="4702"/>
      <c r="P1349" s="4702"/>
      <c r="Q1349" s="4703"/>
    </row>
    <row r="1350" spans="2:17" ht="13.5" customHeight="1" thickBot="1">
      <c r="B1350" s="4690"/>
      <c r="C1350" s="3252">
        <f t="array" ref="C1350:G1350">PRCP</f>
        <v>2008</v>
      </c>
      <c r="D1350" s="3253">
        <v>2009</v>
      </c>
      <c r="E1350" s="3253">
        <v>2010</v>
      </c>
      <c r="F1350" s="3253">
        <v>2011</v>
      </c>
      <c r="G1350" s="3253">
        <v>2012</v>
      </c>
      <c r="H1350" s="3254">
        <f>CRCP_y1</f>
        <v>2013</v>
      </c>
      <c r="I1350" s="3254">
        <f>CRCP_y2</f>
        <v>2014</v>
      </c>
      <c r="J1350" s="3254">
        <f>CRCP_y3</f>
        <v>2015</v>
      </c>
      <c r="K1350" s="3254">
        <f>CRCP_y4</f>
        <v>2016</v>
      </c>
      <c r="L1350" s="3254">
        <f>CRCP_y5</f>
        <v>2017</v>
      </c>
      <c r="M1350" s="3253" t="str">
        <f t="array" ref="M1350:Q1350">FRCP</f>
        <v>2018</v>
      </c>
      <c r="N1350" s="3253">
        <v>2019</v>
      </c>
      <c r="O1350" s="3253">
        <v>2020</v>
      </c>
      <c r="P1350" s="3253">
        <v>2021</v>
      </c>
      <c r="Q1350" s="3255">
        <v>2022</v>
      </c>
    </row>
    <row r="1351" spans="2:17">
      <c r="B1351" s="3256" t="s">
        <v>1720</v>
      </c>
      <c r="C1351" s="3257"/>
      <c r="D1351" s="3258"/>
      <c r="E1351" s="3258"/>
      <c r="F1351" s="3258"/>
      <c r="G1351" s="3259"/>
      <c r="H1351" s="3257"/>
      <c r="I1351" s="3258"/>
      <c r="J1351" s="3258"/>
      <c r="K1351" s="3258"/>
      <c r="L1351" s="3258"/>
      <c r="M1351" s="3257"/>
      <c r="N1351" s="3258"/>
      <c r="O1351" s="3258"/>
      <c r="P1351" s="3258"/>
      <c r="Q1351" s="3259"/>
    </row>
    <row r="1352" spans="2:17">
      <c r="B1352" s="3260"/>
      <c r="C1352" s="3268"/>
      <c r="D1352" s="3269"/>
      <c r="E1352" s="3269"/>
      <c r="F1352" s="3269"/>
      <c r="G1352" s="3270"/>
      <c r="H1352" s="3268"/>
      <c r="I1352" s="3269"/>
      <c r="J1352" s="3269"/>
      <c r="K1352" s="3269"/>
      <c r="L1352" s="3271"/>
      <c r="M1352" s="3268"/>
      <c r="N1352" s="3269"/>
      <c r="O1352" s="3269"/>
      <c r="P1352" s="3269"/>
      <c r="Q1352" s="3270"/>
    </row>
    <row r="1353" spans="2:17">
      <c r="B1353" s="3260" t="s">
        <v>64</v>
      </c>
      <c r="C1353" s="3268"/>
      <c r="D1353" s="3269"/>
      <c r="E1353" s="3269"/>
      <c r="F1353" s="3269"/>
      <c r="G1353" s="3270"/>
      <c r="H1353" s="3268"/>
      <c r="I1353" s="3269">
        <v>0</v>
      </c>
      <c r="J1353" s="3269">
        <v>0</v>
      </c>
      <c r="K1353" s="3269">
        <v>0</v>
      </c>
      <c r="L1353" s="3271">
        <v>0</v>
      </c>
      <c r="M1353" s="3268">
        <v>0</v>
      </c>
      <c r="N1353" s="3269">
        <v>0</v>
      </c>
      <c r="O1353" s="3269">
        <v>0</v>
      </c>
      <c r="P1353" s="3269">
        <v>0</v>
      </c>
      <c r="Q1353" s="3270">
        <v>0</v>
      </c>
    </row>
    <row r="1354" spans="2:17">
      <c r="B1354" s="3260" t="s">
        <v>65</v>
      </c>
      <c r="C1354" s="3268"/>
      <c r="D1354" s="3269"/>
      <c r="E1354" s="3269"/>
      <c r="F1354" s="3269"/>
      <c r="G1354" s="3270"/>
      <c r="H1354" s="3268"/>
      <c r="I1354" s="3269">
        <v>0</v>
      </c>
      <c r="J1354" s="3269">
        <v>0</v>
      </c>
      <c r="K1354" s="3269">
        <v>0</v>
      </c>
      <c r="L1354" s="3271">
        <v>0</v>
      </c>
      <c r="M1354" s="3268">
        <v>0</v>
      </c>
      <c r="N1354" s="3269">
        <v>0</v>
      </c>
      <c r="O1354" s="3269">
        <v>0</v>
      </c>
      <c r="P1354" s="3269">
        <v>0</v>
      </c>
      <c r="Q1354" s="3270">
        <v>0</v>
      </c>
    </row>
    <row r="1355" spans="2:17">
      <c r="B1355" s="3260" t="s">
        <v>82</v>
      </c>
      <c r="C1355" s="3268"/>
      <c r="D1355" s="3269"/>
      <c r="E1355" s="3269"/>
      <c r="F1355" s="3269"/>
      <c r="G1355" s="3270"/>
      <c r="H1355" s="3268"/>
      <c r="I1355" s="3269">
        <v>0</v>
      </c>
      <c r="J1355" s="3269">
        <v>0</v>
      </c>
      <c r="K1355" s="3269">
        <v>0</v>
      </c>
      <c r="L1355" s="3271">
        <v>0</v>
      </c>
      <c r="M1355" s="3268">
        <v>0</v>
      </c>
      <c r="N1355" s="3269">
        <v>0</v>
      </c>
      <c r="O1355" s="3269">
        <v>0</v>
      </c>
      <c r="P1355" s="3269">
        <v>0</v>
      </c>
      <c r="Q1355" s="3270">
        <v>0</v>
      </c>
    </row>
    <row r="1356" spans="2:17">
      <c r="B1356" s="3260" t="s">
        <v>680</v>
      </c>
      <c r="C1356" s="3268"/>
      <c r="D1356" s="3269"/>
      <c r="E1356" s="3269"/>
      <c r="F1356" s="3269"/>
      <c r="G1356" s="3270"/>
      <c r="H1356" s="3268"/>
      <c r="I1356" s="3269">
        <v>0</v>
      </c>
      <c r="J1356" s="3269">
        <v>0</v>
      </c>
      <c r="K1356" s="3269">
        <v>0</v>
      </c>
      <c r="L1356" s="3271">
        <v>0</v>
      </c>
      <c r="M1356" s="3268">
        <v>0</v>
      </c>
      <c r="N1356" s="3269">
        <v>0</v>
      </c>
      <c r="O1356" s="3269">
        <v>0</v>
      </c>
      <c r="P1356" s="3269">
        <v>0</v>
      </c>
      <c r="Q1356" s="3270">
        <v>0</v>
      </c>
    </row>
    <row r="1357" spans="2:17">
      <c r="B1357" s="3260" t="s">
        <v>681</v>
      </c>
      <c r="C1357" s="3268"/>
      <c r="D1357" s="3269"/>
      <c r="E1357" s="3269"/>
      <c r="F1357" s="3269"/>
      <c r="G1357" s="3270"/>
      <c r="H1357" s="3268"/>
      <c r="I1357" s="3269">
        <v>0</v>
      </c>
      <c r="J1357" s="3269">
        <v>0</v>
      </c>
      <c r="K1357" s="3269">
        <v>0</v>
      </c>
      <c r="L1357" s="3271">
        <v>0</v>
      </c>
      <c r="M1357" s="3268">
        <v>0</v>
      </c>
      <c r="N1357" s="3269">
        <v>0</v>
      </c>
      <c r="O1357" s="3269">
        <v>0</v>
      </c>
      <c r="P1357" s="3269">
        <v>0</v>
      </c>
      <c r="Q1357" s="3270">
        <v>0</v>
      </c>
    </row>
    <row r="1358" spans="2:17">
      <c r="B1358" s="3260" t="s">
        <v>682</v>
      </c>
      <c r="C1358" s="3268"/>
      <c r="D1358" s="3269"/>
      <c r="E1358" s="3269"/>
      <c r="F1358" s="3269"/>
      <c r="G1358" s="3270"/>
      <c r="H1358" s="3268"/>
      <c r="I1358" s="3269">
        <v>0</v>
      </c>
      <c r="J1358" s="3269">
        <v>0</v>
      </c>
      <c r="K1358" s="3269">
        <v>0</v>
      </c>
      <c r="L1358" s="3271">
        <v>0</v>
      </c>
      <c r="M1358" s="3268">
        <v>0</v>
      </c>
      <c r="N1358" s="3269">
        <v>0</v>
      </c>
      <c r="O1358" s="3269">
        <v>0</v>
      </c>
      <c r="P1358" s="3269">
        <v>0</v>
      </c>
      <c r="Q1358" s="3270">
        <v>0</v>
      </c>
    </row>
    <row r="1359" spans="2:17">
      <c r="B1359" s="3260" t="s">
        <v>66</v>
      </c>
      <c r="C1359" s="3268"/>
      <c r="D1359" s="3269"/>
      <c r="E1359" s="3269"/>
      <c r="F1359" s="3269"/>
      <c r="G1359" s="3270"/>
      <c r="H1359" s="3268"/>
      <c r="I1359" s="3269">
        <v>0</v>
      </c>
      <c r="J1359" s="3269">
        <v>0</v>
      </c>
      <c r="K1359" s="3269">
        <v>0</v>
      </c>
      <c r="L1359" s="3271">
        <v>0</v>
      </c>
      <c r="M1359" s="3268">
        <v>0</v>
      </c>
      <c r="N1359" s="3269">
        <v>0</v>
      </c>
      <c r="O1359" s="3269">
        <v>0</v>
      </c>
      <c r="P1359" s="3269">
        <v>0</v>
      </c>
      <c r="Q1359" s="3270">
        <v>0</v>
      </c>
    </row>
    <row r="1360" spans="2:17" ht="13.5" thickBot="1">
      <c r="B1360" s="3260" t="s">
        <v>67</v>
      </c>
      <c r="C1360" s="3268"/>
      <c r="D1360" s="3269"/>
      <c r="E1360" s="3269"/>
      <c r="F1360" s="3269"/>
      <c r="G1360" s="3270"/>
      <c r="H1360" s="3268"/>
      <c r="I1360" s="3269">
        <v>3.25</v>
      </c>
      <c r="J1360" s="3269">
        <v>3.25</v>
      </c>
      <c r="K1360" s="3269">
        <v>3.25</v>
      </c>
      <c r="L1360" s="3271">
        <v>3.25</v>
      </c>
      <c r="M1360" s="3272">
        <v>3.25</v>
      </c>
      <c r="N1360" s="3273">
        <v>3.25</v>
      </c>
      <c r="O1360" s="3273">
        <v>3.25</v>
      </c>
      <c r="P1360" s="3273">
        <v>3.25</v>
      </c>
      <c r="Q1360" s="3274">
        <v>3.25</v>
      </c>
    </row>
    <row r="1361" spans="2:17" ht="12.75" customHeight="1">
      <c r="B1361" s="4689">
        <v>3427</v>
      </c>
      <c r="C1361" s="4691" t="s">
        <v>36</v>
      </c>
      <c r="D1361" s="4692"/>
      <c r="E1361" s="4692"/>
      <c r="F1361" s="4692"/>
      <c r="G1361" s="4692"/>
      <c r="H1361" s="4693" t="s">
        <v>37</v>
      </c>
      <c r="I1361" s="4694"/>
      <c r="J1361" s="4694"/>
      <c r="K1361" s="4694"/>
      <c r="L1361" s="4694"/>
      <c r="M1361" s="4695" t="s">
        <v>73</v>
      </c>
      <c r="N1361" s="4695"/>
      <c r="O1361" s="4695"/>
      <c r="P1361" s="4695"/>
      <c r="Q1361" s="4696"/>
    </row>
    <row r="1362" spans="2:17" ht="12.75" customHeight="1">
      <c r="B1362" s="4690"/>
      <c r="C1362" s="4697" t="s">
        <v>1673</v>
      </c>
      <c r="D1362" s="4698"/>
      <c r="E1362" s="4698"/>
      <c r="F1362" s="4698"/>
      <c r="G1362" s="4698"/>
      <c r="H1362" s="4698"/>
      <c r="I1362" s="4698"/>
      <c r="J1362" s="4698"/>
      <c r="K1362" s="4698"/>
      <c r="L1362" s="4698"/>
      <c r="M1362" s="4698"/>
      <c r="N1362" s="4698"/>
      <c r="O1362" s="4698"/>
      <c r="P1362" s="4698"/>
      <c r="Q1362" s="4699"/>
    </row>
    <row r="1363" spans="2:17" ht="12.75" customHeight="1">
      <c r="B1363" s="4690"/>
      <c r="C1363" s="4697" t="s">
        <v>54</v>
      </c>
      <c r="D1363" s="4698"/>
      <c r="E1363" s="4698"/>
      <c r="F1363" s="4698"/>
      <c r="G1363" s="4698"/>
      <c r="H1363" s="4698"/>
      <c r="I1363" s="4698"/>
      <c r="J1363" s="4700"/>
      <c r="K1363" s="4701" t="s">
        <v>55</v>
      </c>
      <c r="L1363" s="4702"/>
      <c r="M1363" s="4702"/>
      <c r="N1363" s="4702"/>
      <c r="O1363" s="4702"/>
      <c r="P1363" s="4702"/>
      <c r="Q1363" s="4703"/>
    </row>
    <row r="1364" spans="2:17" ht="13.5" customHeight="1" thickBot="1">
      <c r="B1364" s="4690"/>
      <c r="C1364" s="3252">
        <f t="array" ref="C1364:G1364">PRCP</f>
        <v>2008</v>
      </c>
      <c r="D1364" s="3253">
        <v>2009</v>
      </c>
      <c r="E1364" s="3253">
        <v>2010</v>
      </c>
      <c r="F1364" s="3253">
        <v>2011</v>
      </c>
      <c r="G1364" s="3253">
        <v>2012</v>
      </c>
      <c r="H1364" s="3254">
        <f>CRCP_y1</f>
        <v>2013</v>
      </c>
      <c r="I1364" s="3254">
        <f>CRCP_y2</f>
        <v>2014</v>
      </c>
      <c r="J1364" s="3254">
        <f>CRCP_y3</f>
        <v>2015</v>
      </c>
      <c r="K1364" s="3254">
        <f>CRCP_y4</f>
        <v>2016</v>
      </c>
      <c r="L1364" s="3254">
        <f>CRCP_y5</f>
        <v>2017</v>
      </c>
      <c r="M1364" s="3253" t="str">
        <f t="array" ref="M1364:Q1364">FRCP</f>
        <v>2018</v>
      </c>
      <c r="N1364" s="3253">
        <v>2019</v>
      </c>
      <c r="O1364" s="3253">
        <v>2020</v>
      </c>
      <c r="P1364" s="3253">
        <v>2021</v>
      </c>
      <c r="Q1364" s="3255">
        <v>2022</v>
      </c>
    </row>
    <row r="1365" spans="2:17">
      <c r="B1365" s="3256" t="s">
        <v>1721</v>
      </c>
      <c r="C1365" s="3257"/>
      <c r="D1365" s="3258"/>
      <c r="E1365" s="3258"/>
      <c r="F1365" s="3258"/>
      <c r="G1365" s="3259"/>
      <c r="H1365" s="3257"/>
      <c r="I1365" s="3258"/>
      <c r="J1365" s="3258"/>
      <c r="K1365" s="3258"/>
      <c r="L1365" s="3259"/>
      <c r="M1365" s="3257"/>
      <c r="N1365" s="3258"/>
      <c r="O1365" s="3258"/>
      <c r="P1365" s="3258"/>
      <c r="Q1365" s="3259"/>
    </row>
    <row r="1366" spans="2:17">
      <c r="B1366" s="3260"/>
      <c r="C1366" s="3268"/>
      <c r="D1366" s="3269"/>
      <c r="E1366" s="3269"/>
      <c r="F1366" s="3269"/>
      <c r="G1366" s="3270"/>
      <c r="H1366" s="3268"/>
      <c r="I1366" s="3269"/>
      <c r="J1366" s="3269"/>
      <c r="K1366" s="3269"/>
      <c r="L1366" s="3270"/>
      <c r="M1366" s="3268"/>
      <c r="N1366" s="3269"/>
      <c r="O1366" s="3269"/>
      <c r="P1366" s="3269"/>
      <c r="Q1366" s="3270"/>
    </row>
    <row r="1367" spans="2:17">
      <c r="B1367" s="3260" t="s">
        <v>64</v>
      </c>
      <c r="C1367" s="3268"/>
      <c r="D1367" s="3269"/>
      <c r="E1367" s="3269"/>
      <c r="F1367" s="3269"/>
      <c r="G1367" s="3270"/>
      <c r="H1367" s="3268"/>
      <c r="I1367" s="3281">
        <v>0</v>
      </c>
      <c r="J1367" s="3281">
        <v>0</v>
      </c>
      <c r="K1367" s="3281">
        <v>0</v>
      </c>
      <c r="L1367" s="3284">
        <v>0</v>
      </c>
      <c r="M1367" s="3283">
        <v>0</v>
      </c>
      <c r="N1367" s="3281">
        <v>0</v>
      </c>
      <c r="O1367" s="3281">
        <v>0</v>
      </c>
      <c r="P1367" s="3281">
        <v>0</v>
      </c>
      <c r="Q1367" s="3284">
        <v>0</v>
      </c>
    </row>
    <row r="1368" spans="2:17">
      <c r="B1368" s="3260" t="s">
        <v>65</v>
      </c>
      <c r="C1368" s="3268"/>
      <c r="D1368" s="3269"/>
      <c r="E1368" s="3269"/>
      <c r="F1368" s="3269"/>
      <c r="G1368" s="3270"/>
      <c r="H1368" s="3268"/>
      <c r="I1368" s="3281">
        <v>0</v>
      </c>
      <c r="J1368" s="3281">
        <v>0</v>
      </c>
      <c r="K1368" s="3281">
        <v>0</v>
      </c>
      <c r="L1368" s="3284">
        <v>0</v>
      </c>
      <c r="M1368" s="3283">
        <v>0</v>
      </c>
      <c r="N1368" s="3281">
        <v>0</v>
      </c>
      <c r="O1368" s="3281">
        <v>0</v>
      </c>
      <c r="P1368" s="3281">
        <v>0</v>
      </c>
      <c r="Q1368" s="3284">
        <v>0</v>
      </c>
    </row>
    <row r="1369" spans="2:17">
      <c r="B1369" s="3260" t="s">
        <v>82</v>
      </c>
      <c r="C1369" s="3268"/>
      <c r="D1369" s="3269"/>
      <c r="E1369" s="3269"/>
      <c r="F1369" s="3269"/>
      <c r="G1369" s="3270"/>
      <c r="H1369" s="3268"/>
      <c r="I1369" s="3281">
        <v>0</v>
      </c>
      <c r="J1369" s="3281">
        <v>0</v>
      </c>
      <c r="K1369" s="3281">
        <v>0</v>
      </c>
      <c r="L1369" s="3284">
        <v>0</v>
      </c>
      <c r="M1369" s="3283">
        <v>0</v>
      </c>
      <c r="N1369" s="3281">
        <v>0</v>
      </c>
      <c r="O1369" s="3281">
        <v>0</v>
      </c>
      <c r="P1369" s="3281">
        <v>0</v>
      </c>
      <c r="Q1369" s="3284">
        <v>0</v>
      </c>
    </row>
    <row r="1370" spans="2:17">
      <c r="B1370" s="3260" t="s">
        <v>680</v>
      </c>
      <c r="C1370" s="3268"/>
      <c r="D1370" s="3269"/>
      <c r="E1370" s="3269"/>
      <c r="F1370" s="3269"/>
      <c r="G1370" s="3270"/>
      <c r="H1370" s="3268"/>
      <c r="I1370" s="3281">
        <v>0</v>
      </c>
      <c r="J1370" s="3281">
        <v>0</v>
      </c>
      <c r="K1370" s="3281">
        <v>0</v>
      </c>
      <c r="L1370" s="3284">
        <v>0</v>
      </c>
      <c r="M1370" s="3283">
        <v>0</v>
      </c>
      <c r="N1370" s="3281">
        <v>0</v>
      </c>
      <c r="O1370" s="3281">
        <v>0</v>
      </c>
      <c r="P1370" s="3281">
        <v>0</v>
      </c>
      <c r="Q1370" s="3284">
        <v>0</v>
      </c>
    </row>
    <row r="1371" spans="2:17">
      <c r="B1371" s="3260" t="s">
        <v>681</v>
      </c>
      <c r="C1371" s="3268"/>
      <c r="D1371" s="3269"/>
      <c r="E1371" s="3269"/>
      <c r="F1371" s="3269"/>
      <c r="G1371" s="3270"/>
      <c r="H1371" s="3268"/>
      <c r="I1371" s="3281">
        <v>4.6170000000000009</v>
      </c>
      <c r="J1371" s="3281">
        <v>6.7629999999999963</v>
      </c>
      <c r="K1371" s="3281">
        <v>6.8982599999999961</v>
      </c>
      <c r="L1371" s="3281">
        <v>7.0362251999999961</v>
      </c>
      <c r="M1371" s="3281">
        <v>7.1769497039999965</v>
      </c>
      <c r="N1371" s="3281">
        <v>7.3204886980799966</v>
      </c>
      <c r="O1371" s="3281">
        <v>7.4668984720415965</v>
      </c>
      <c r="P1371" s="3281">
        <v>7.6162364414824282</v>
      </c>
      <c r="Q1371" s="3281">
        <v>7.7685611703120765</v>
      </c>
    </row>
    <row r="1372" spans="2:17">
      <c r="B1372" s="3260" t="s">
        <v>682</v>
      </c>
      <c r="C1372" s="3268"/>
      <c r="D1372" s="3269"/>
      <c r="E1372" s="3269"/>
      <c r="F1372" s="3269"/>
      <c r="G1372" s="3270"/>
      <c r="H1372" s="3268"/>
      <c r="I1372" s="3281">
        <v>0</v>
      </c>
      <c r="J1372" s="3281">
        <v>0</v>
      </c>
      <c r="K1372" s="3281">
        <v>0</v>
      </c>
      <c r="L1372" s="3281">
        <v>0</v>
      </c>
      <c r="M1372" s="3281">
        <v>0</v>
      </c>
      <c r="N1372" s="3281">
        <v>0</v>
      </c>
      <c r="O1372" s="3281">
        <v>0</v>
      </c>
      <c r="P1372" s="3281">
        <v>0</v>
      </c>
      <c r="Q1372" s="3281">
        <v>0</v>
      </c>
    </row>
    <row r="1373" spans="2:17">
      <c r="B1373" s="3260" t="s">
        <v>66</v>
      </c>
      <c r="C1373" s="3268"/>
      <c r="D1373" s="3269"/>
      <c r="E1373" s="3269"/>
      <c r="F1373" s="3269"/>
      <c r="G1373" s="3270"/>
      <c r="H1373" s="3268"/>
      <c r="I1373" s="3281">
        <v>0</v>
      </c>
      <c r="J1373" s="3281">
        <v>0</v>
      </c>
      <c r="K1373" s="3281">
        <v>0</v>
      </c>
      <c r="L1373" s="3281">
        <v>0</v>
      </c>
      <c r="M1373" s="3281">
        <v>0</v>
      </c>
      <c r="N1373" s="3281">
        <v>0</v>
      </c>
      <c r="O1373" s="3281">
        <v>0</v>
      </c>
      <c r="P1373" s="3281">
        <v>0</v>
      </c>
      <c r="Q1373" s="3281">
        <v>0</v>
      </c>
    </row>
    <row r="1374" spans="2:17" ht="13.5" thickBot="1">
      <c r="B1374" s="3260" t="s">
        <v>67</v>
      </c>
      <c r="C1374" s="3268"/>
      <c r="D1374" s="3269"/>
      <c r="E1374" s="3269"/>
      <c r="F1374" s="3269"/>
      <c r="G1374" s="3270"/>
      <c r="H1374" s="3268"/>
      <c r="I1374" s="3281">
        <v>8.9489999999999963</v>
      </c>
      <c r="J1374" s="3281">
        <v>8.9489999999999963</v>
      </c>
      <c r="K1374" s="3281">
        <v>8.9489999999999963</v>
      </c>
      <c r="L1374" s="3281">
        <v>9.9489999999999998</v>
      </c>
      <c r="M1374" s="3281">
        <v>10.949</v>
      </c>
      <c r="N1374" s="3281">
        <v>11.949</v>
      </c>
      <c r="O1374" s="3281">
        <v>12.949</v>
      </c>
      <c r="P1374" s="3281">
        <v>13.949</v>
      </c>
      <c r="Q1374" s="3281">
        <v>14.949</v>
      </c>
    </row>
    <row r="1375" spans="2:17" ht="12.75" customHeight="1">
      <c r="B1375" s="4689">
        <v>3428</v>
      </c>
      <c r="C1375" s="4691" t="s">
        <v>36</v>
      </c>
      <c r="D1375" s="4692"/>
      <c r="E1375" s="4692"/>
      <c r="F1375" s="4692"/>
      <c r="G1375" s="4692"/>
      <c r="H1375" s="4693" t="s">
        <v>37</v>
      </c>
      <c r="I1375" s="4694"/>
      <c r="J1375" s="4694"/>
      <c r="K1375" s="4694"/>
      <c r="L1375" s="4694"/>
      <c r="M1375" s="4695" t="s">
        <v>73</v>
      </c>
      <c r="N1375" s="4695"/>
      <c r="O1375" s="4695"/>
      <c r="P1375" s="4695"/>
      <c r="Q1375" s="4696"/>
    </row>
    <row r="1376" spans="2:17" ht="12.75" customHeight="1">
      <c r="B1376" s="4690"/>
      <c r="C1376" s="4697" t="s">
        <v>1673</v>
      </c>
      <c r="D1376" s="4698"/>
      <c r="E1376" s="4698"/>
      <c r="F1376" s="4698"/>
      <c r="G1376" s="4698"/>
      <c r="H1376" s="4698"/>
      <c r="I1376" s="4698"/>
      <c r="J1376" s="4698"/>
      <c r="K1376" s="4698"/>
      <c r="L1376" s="4698"/>
      <c r="M1376" s="4698"/>
      <c r="N1376" s="4698"/>
      <c r="O1376" s="4698"/>
      <c r="P1376" s="4698"/>
      <c r="Q1376" s="4699"/>
    </row>
    <row r="1377" spans="2:17" ht="12.75" customHeight="1">
      <c r="B1377" s="4690"/>
      <c r="C1377" s="4697" t="s">
        <v>54</v>
      </c>
      <c r="D1377" s="4698"/>
      <c r="E1377" s="4698"/>
      <c r="F1377" s="4698"/>
      <c r="G1377" s="4698"/>
      <c r="H1377" s="4698"/>
      <c r="I1377" s="4698"/>
      <c r="J1377" s="4700"/>
      <c r="K1377" s="4701" t="s">
        <v>55</v>
      </c>
      <c r="L1377" s="4702"/>
      <c r="M1377" s="4702"/>
      <c r="N1377" s="4702"/>
      <c r="O1377" s="4702"/>
      <c r="P1377" s="4702"/>
      <c r="Q1377" s="4703"/>
    </row>
    <row r="1378" spans="2:17" ht="13.5" customHeight="1" thickBot="1">
      <c r="B1378" s="4690"/>
      <c r="C1378" s="3252">
        <f t="array" ref="C1378:G1378">PRCP</f>
        <v>2008</v>
      </c>
      <c r="D1378" s="3253">
        <v>2009</v>
      </c>
      <c r="E1378" s="3253">
        <v>2010</v>
      </c>
      <c r="F1378" s="3253">
        <v>2011</v>
      </c>
      <c r="G1378" s="3253">
        <v>2012</v>
      </c>
      <c r="H1378" s="3254">
        <f>CRCP_y1</f>
        <v>2013</v>
      </c>
      <c r="I1378" s="3254">
        <f>CRCP_y2</f>
        <v>2014</v>
      </c>
      <c r="J1378" s="3254">
        <f>CRCP_y3</f>
        <v>2015</v>
      </c>
      <c r="K1378" s="3254">
        <f>CRCP_y4</f>
        <v>2016</v>
      </c>
      <c r="L1378" s="3254">
        <f>CRCP_y5</f>
        <v>2017</v>
      </c>
      <c r="M1378" s="3253" t="str">
        <f t="array" ref="M1378:Q1378">FRCP</f>
        <v>2018</v>
      </c>
      <c r="N1378" s="3253">
        <v>2019</v>
      </c>
      <c r="O1378" s="3253">
        <v>2020</v>
      </c>
      <c r="P1378" s="3253">
        <v>2021</v>
      </c>
      <c r="Q1378" s="3255">
        <v>2022</v>
      </c>
    </row>
    <row r="1379" spans="2:17">
      <c r="B1379" s="3256" t="s">
        <v>1721</v>
      </c>
      <c r="C1379" s="3257"/>
      <c r="D1379" s="3258"/>
      <c r="E1379" s="3258"/>
      <c r="F1379" s="3258"/>
      <c r="G1379" s="3259"/>
      <c r="H1379" s="3257"/>
      <c r="I1379" s="3258"/>
      <c r="J1379" s="3258"/>
      <c r="K1379" s="3258"/>
      <c r="L1379" s="3258"/>
      <c r="M1379" s="3257"/>
      <c r="N1379" s="3258"/>
      <c r="O1379" s="3258"/>
      <c r="P1379" s="3258"/>
      <c r="Q1379" s="3259"/>
    </row>
    <row r="1380" spans="2:17">
      <c r="B1380" s="3260"/>
      <c r="C1380" s="3268"/>
      <c r="D1380" s="3269"/>
      <c r="E1380" s="3269"/>
      <c r="F1380" s="3269"/>
      <c r="G1380" s="3270"/>
      <c r="H1380" s="3268"/>
      <c r="I1380" s="3269"/>
      <c r="J1380" s="3269"/>
      <c r="K1380" s="3269"/>
      <c r="L1380" s="3271"/>
      <c r="M1380" s="3268"/>
      <c r="N1380" s="3269"/>
      <c r="O1380" s="3269"/>
      <c r="P1380" s="3269"/>
      <c r="Q1380" s="3270"/>
    </row>
    <row r="1381" spans="2:17">
      <c r="B1381" s="3260" t="s">
        <v>64</v>
      </c>
      <c r="C1381" s="3268"/>
      <c r="D1381" s="3269"/>
      <c r="E1381" s="3269"/>
      <c r="F1381" s="3269"/>
      <c r="G1381" s="3270"/>
      <c r="H1381" s="3268"/>
      <c r="I1381" s="3269">
        <v>0</v>
      </c>
      <c r="J1381" s="3269">
        <v>0</v>
      </c>
      <c r="K1381" s="3269">
        <v>0</v>
      </c>
      <c r="L1381" s="3271">
        <v>0</v>
      </c>
      <c r="M1381" s="3268">
        <v>0</v>
      </c>
      <c r="N1381" s="3269">
        <v>0</v>
      </c>
      <c r="O1381" s="3269">
        <v>0</v>
      </c>
      <c r="P1381" s="3269">
        <v>0</v>
      </c>
      <c r="Q1381" s="3270">
        <v>0</v>
      </c>
    </row>
    <row r="1382" spans="2:17">
      <c r="B1382" s="3260" t="s">
        <v>65</v>
      </c>
      <c r="C1382" s="3268"/>
      <c r="D1382" s="3269"/>
      <c r="E1382" s="3269"/>
      <c r="F1382" s="3269"/>
      <c r="G1382" s="3270"/>
      <c r="H1382" s="3268"/>
      <c r="I1382" s="3269">
        <v>0</v>
      </c>
      <c r="J1382" s="3269">
        <v>0</v>
      </c>
      <c r="K1382" s="3269">
        <v>0</v>
      </c>
      <c r="L1382" s="3271">
        <v>0</v>
      </c>
      <c r="M1382" s="3268">
        <v>0</v>
      </c>
      <c r="N1382" s="3269">
        <v>0</v>
      </c>
      <c r="O1382" s="3269">
        <v>0</v>
      </c>
      <c r="P1382" s="3269">
        <v>0</v>
      </c>
      <c r="Q1382" s="3270">
        <v>0</v>
      </c>
    </row>
    <row r="1383" spans="2:17">
      <c r="B1383" s="3260" t="s">
        <v>82</v>
      </c>
      <c r="C1383" s="3268"/>
      <c r="D1383" s="3269"/>
      <c r="E1383" s="3269"/>
      <c r="F1383" s="3269"/>
      <c r="G1383" s="3270"/>
      <c r="H1383" s="3268"/>
      <c r="I1383" s="3269">
        <v>0</v>
      </c>
      <c r="J1383" s="3269">
        <v>0</v>
      </c>
      <c r="K1383" s="3269">
        <v>0</v>
      </c>
      <c r="L1383" s="3271">
        <v>0</v>
      </c>
      <c r="M1383" s="3268">
        <v>0</v>
      </c>
      <c r="N1383" s="3269">
        <v>0</v>
      </c>
      <c r="O1383" s="3269">
        <v>0</v>
      </c>
      <c r="P1383" s="3269">
        <v>0</v>
      </c>
      <c r="Q1383" s="3270">
        <v>0</v>
      </c>
    </row>
    <row r="1384" spans="2:17">
      <c r="B1384" s="3260" t="s">
        <v>680</v>
      </c>
      <c r="C1384" s="3268"/>
      <c r="D1384" s="3269"/>
      <c r="E1384" s="3269"/>
      <c r="F1384" s="3269"/>
      <c r="G1384" s="3270"/>
      <c r="H1384" s="3268"/>
      <c r="I1384" s="3269">
        <v>0</v>
      </c>
      <c r="J1384" s="3269">
        <v>0</v>
      </c>
      <c r="K1384" s="3269">
        <v>0</v>
      </c>
      <c r="L1384" s="3271">
        <v>0</v>
      </c>
      <c r="M1384" s="3268">
        <v>0</v>
      </c>
      <c r="N1384" s="3269">
        <v>0</v>
      </c>
      <c r="O1384" s="3269">
        <v>0</v>
      </c>
      <c r="P1384" s="3269">
        <v>0</v>
      </c>
      <c r="Q1384" s="3270">
        <v>0</v>
      </c>
    </row>
    <row r="1385" spans="2:17">
      <c r="B1385" s="3260" t="s">
        <v>681</v>
      </c>
      <c r="C1385" s="3268"/>
      <c r="D1385" s="3269"/>
      <c r="E1385" s="3269"/>
      <c r="F1385" s="3269"/>
      <c r="G1385" s="3270"/>
      <c r="H1385" s="3268"/>
      <c r="I1385" s="3269">
        <v>0.15</v>
      </c>
      <c r="J1385" s="3269">
        <v>0.15</v>
      </c>
      <c r="K1385" s="3269">
        <v>0.15</v>
      </c>
      <c r="L1385" s="3271">
        <v>0.15</v>
      </c>
      <c r="M1385" s="3268">
        <v>0.15</v>
      </c>
      <c r="N1385" s="3269">
        <v>0.15</v>
      </c>
      <c r="O1385" s="3269">
        <v>0.15</v>
      </c>
      <c r="P1385" s="3269">
        <v>0.15</v>
      </c>
      <c r="Q1385" s="3270">
        <v>0.15</v>
      </c>
    </row>
    <row r="1386" spans="2:17">
      <c r="B1386" s="3260" t="s">
        <v>682</v>
      </c>
      <c r="C1386" s="3268"/>
      <c r="D1386" s="3269"/>
      <c r="E1386" s="3269"/>
      <c r="F1386" s="3269"/>
      <c r="G1386" s="3270"/>
      <c r="H1386" s="3268"/>
      <c r="I1386" s="3269">
        <v>0</v>
      </c>
      <c r="J1386" s="3269">
        <v>0</v>
      </c>
      <c r="K1386" s="3269">
        <v>0</v>
      </c>
      <c r="L1386" s="3271">
        <v>0</v>
      </c>
      <c r="M1386" s="3268">
        <v>0</v>
      </c>
      <c r="N1386" s="3269">
        <v>0</v>
      </c>
      <c r="O1386" s="3269">
        <v>0</v>
      </c>
      <c r="P1386" s="3269">
        <v>0</v>
      </c>
      <c r="Q1386" s="3270">
        <v>0</v>
      </c>
    </row>
    <row r="1387" spans="2:17">
      <c r="B1387" s="3260" t="s">
        <v>66</v>
      </c>
      <c r="C1387" s="3268"/>
      <c r="D1387" s="3269"/>
      <c r="E1387" s="3269"/>
      <c r="F1387" s="3269"/>
      <c r="G1387" s="3270"/>
      <c r="H1387" s="3268"/>
      <c r="I1387" s="3269">
        <v>0</v>
      </c>
      <c r="J1387" s="3269">
        <v>0</v>
      </c>
      <c r="K1387" s="3269">
        <v>0</v>
      </c>
      <c r="L1387" s="3271">
        <v>0</v>
      </c>
      <c r="M1387" s="3268">
        <v>0</v>
      </c>
      <c r="N1387" s="3269">
        <v>0</v>
      </c>
      <c r="O1387" s="3269">
        <v>0</v>
      </c>
      <c r="P1387" s="3269">
        <v>0</v>
      </c>
      <c r="Q1387" s="3270">
        <v>0</v>
      </c>
    </row>
    <row r="1388" spans="2:17" ht="13.5" thickBot="1">
      <c r="B1388" s="3260" t="s">
        <v>67</v>
      </c>
      <c r="C1388" s="3268"/>
      <c r="D1388" s="3269"/>
      <c r="E1388" s="3269"/>
      <c r="F1388" s="3269"/>
      <c r="G1388" s="3270"/>
      <c r="H1388" s="3268"/>
      <c r="I1388" s="3269">
        <v>0.02</v>
      </c>
      <c r="J1388" s="3269">
        <v>0.02</v>
      </c>
      <c r="K1388" s="3269">
        <v>0.02</v>
      </c>
      <c r="L1388" s="3271">
        <v>0.02</v>
      </c>
      <c r="M1388" s="3272">
        <v>0.02</v>
      </c>
      <c r="N1388" s="3273">
        <v>0.02</v>
      </c>
      <c r="O1388" s="3273">
        <v>0.02</v>
      </c>
      <c r="P1388" s="3273">
        <v>0.02</v>
      </c>
      <c r="Q1388" s="3274">
        <v>0.02</v>
      </c>
    </row>
    <row r="1389" spans="2:17" ht="12.75" customHeight="1">
      <c r="B1389" s="4689">
        <v>3429</v>
      </c>
      <c r="C1389" s="4691" t="s">
        <v>36</v>
      </c>
      <c r="D1389" s="4692"/>
      <c r="E1389" s="4692"/>
      <c r="F1389" s="4692"/>
      <c r="G1389" s="4692"/>
      <c r="H1389" s="4693" t="s">
        <v>37</v>
      </c>
      <c r="I1389" s="4694"/>
      <c r="J1389" s="4694"/>
      <c r="K1389" s="4694"/>
      <c r="L1389" s="4694"/>
      <c r="M1389" s="4695" t="s">
        <v>73</v>
      </c>
      <c r="N1389" s="4695"/>
      <c r="O1389" s="4695"/>
      <c r="P1389" s="4695"/>
      <c r="Q1389" s="4696"/>
    </row>
    <row r="1390" spans="2:17" ht="12.75" customHeight="1">
      <c r="B1390" s="4690"/>
      <c r="C1390" s="4697" t="s">
        <v>1673</v>
      </c>
      <c r="D1390" s="4698"/>
      <c r="E1390" s="4698"/>
      <c r="F1390" s="4698"/>
      <c r="G1390" s="4698"/>
      <c r="H1390" s="4698"/>
      <c r="I1390" s="4698"/>
      <c r="J1390" s="4698"/>
      <c r="K1390" s="4698"/>
      <c r="L1390" s="4698"/>
      <c r="M1390" s="4698"/>
      <c r="N1390" s="4698"/>
      <c r="O1390" s="4698"/>
      <c r="P1390" s="4698"/>
      <c r="Q1390" s="4699"/>
    </row>
    <row r="1391" spans="2:17" ht="12.75" customHeight="1">
      <c r="B1391" s="4690"/>
      <c r="C1391" s="4697" t="s">
        <v>54</v>
      </c>
      <c r="D1391" s="4698"/>
      <c r="E1391" s="4698"/>
      <c r="F1391" s="4698"/>
      <c r="G1391" s="4698"/>
      <c r="H1391" s="4698"/>
      <c r="I1391" s="4698"/>
      <c r="J1391" s="4700"/>
      <c r="K1391" s="4701" t="s">
        <v>55</v>
      </c>
      <c r="L1391" s="4702"/>
      <c r="M1391" s="4702"/>
      <c r="N1391" s="4702"/>
      <c r="O1391" s="4702"/>
      <c r="P1391" s="4702"/>
      <c r="Q1391" s="4703"/>
    </row>
    <row r="1392" spans="2:17" ht="13.5" customHeight="1" thickBot="1">
      <c r="B1392" s="4690"/>
      <c r="C1392" s="3252">
        <f t="array" ref="C1392:G1392">PRCP</f>
        <v>2008</v>
      </c>
      <c r="D1392" s="3253">
        <v>2009</v>
      </c>
      <c r="E1392" s="3253">
        <v>2010</v>
      </c>
      <c r="F1392" s="3253">
        <v>2011</v>
      </c>
      <c r="G1392" s="3253">
        <v>2012</v>
      </c>
      <c r="H1392" s="3254">
        <f>CRCP_y1</f>
        <v>2013</v>
      </c>
      <c r="I1392" s="3254">
        <f>CRCP_y2</f>
        <v>2014</v>
      </c>
      <c r="J1392" s="3254">
        <f>CRCP_y3</f>
        <v>2015</v>
      </c>
      <c r="K1392" s="3254">
        <f>CRCP_y4</f>
        <v>2016</v>
      </c>
      <c r="L1392" s="3254">
        <f>CRCP_y5</f>
        <v>2017</v>
      </c>
      <c r="M1392" s="3253" t="str">
        <f t="array" ref="M1392:Q1392">FRCP</f>
        <v>2018</v>
      </c>
      <c r="N1392" s="3253">
        <v>2019</v>
      </c>
      <c r="O1392" s="3253">
        <v>2020</v>
      </c>
      <c r="P1392" s="3253">
        <v>2021</v>
      </c>
      <c r="Q1392" s="3255">
        <v>2022</v>
      </c>
    </row>
    <row r="1393" spans="2:17">
      <c r="B1393" s="3256" t="s">
        <v>1722</v>
      </c>
      <c r="C1393" s="3257"/>
      <c r="D1393" s="3258"/>
      <c r="E1393" s="3258"/>
      <c r="F1393" s="3258"/>
      <c r="G1393" s="3259"/>
      <c r="H1393" s="3257"/>
      <c r="I1393" s="3258"/>
      <c r="J1393" s="3258"/>
      <c r="K1393" s="3258"/>
      <c r="L1393" s="3258"/>
      <c r="M1393" s="3257"/>
      <c r="N1393" s="3258"/>
      <c r="O1393" s="3258"/>
      <c r="P1393" s="3258"/>
      <c r="Q1393" s="3259"/>
    </row>
    <row r="1394" spans="2:17">
      <c r="B1394" s="3260"/>
      <c r="C1394" s="3268"/>
      <c r="D1394" s="3269"/>
      <c r="E1394" s="3269"/>
      <c r="F1394" s="3269"/>
      <c r="G1394" s="3270"/>
      <c r="H1394" s="3268"/>
      <c r="I1394" s="3269"/>
      <c r="J1394" s="3269"/>
      <c r="K1394" s="3269"/>
      <c r="L1394" s="3271"/>
      <c r="M1394" s="3268"/>
      <c r="N1394" s="3269"/>
      <c r="O1394" s="3269"/>
      <c r="P1394" s="3269"/>
      <c r="Q1394" s="3270"/>
    </row>
    <row r="1395" spans="2:17">
      <c r="B1395" s="3260" t="s">
        <v>64</v>
      </c>
      <c r="C1395" s="3268"/>
      <c r="D1395" s="3269"/>
      <c r="E1395" s="3269"/>
      <c r="F1395" s="3269"/>
      <c r="G1395" s="3270"/>
      <c r="H1395" s="3268"/>
      <c r="I1395" s="3281">
        <v>0</v>
      </c>
      <c r="J1395" s="3281">
        <v>0</v>
      </c>
      <c r="K1395" s="3281">
        <v>0</v>
      </c>
      <c r="L1395" s="3282">
        <v>0</v>
      </c>
      <c r="M1395" s="3283">
        <v>0</v>
      </c>
      <c r="N1395" s="3281">
        <v>0</v>
      </c>
      <c r="O1395" s="3281">
        <v>0</v>
      </c>
      <c r="P1395" s="3281">
        <v>0</v>
      </c>
      <c r="Q1395" s="3284">
        <v>0</v>
      </c>
    </row>
    <row r="1396" spans="2:17">
      <c r="B1396" s="3260" t="s">
        <v>65</v>
      </c>
      <c r="C1396" s="3268"/>
      <c r="D1396" s="3269"/>
      <c r="E1396" s="3269"/>
      <c r="F1396" s="3269"/>
      <c r="G1396" s="3270"/>
      <c r="H1396" s="3268"/>
      <c r="I1396" s="3281">
        <v>0</v>
      </c>
      <c r="J1396" s="3281">
        <v>0</v>
      </c>
      <c r="K1396" s="3281">
        <v>0</v>
      </c>
      <c r="L1396" s="3282">
        <v>0</v>
      </c>
      <c r="M1396" s="3283">
        <v>0</v>
      </c>
      <c r="N1396" s="3281">
        <v>0</v>
      </c>
      <c r="O1396" s="3281">
        <v>0</v>
      </c>
      <c r="P1396" s="3281">
        <v>0</v>
      </c>
      <c r="Q1396" s="3284">
        <v>0</v>
      </c>
    </row>
    <row r="1397" spans="2:17">
      <c r="B1397" s="3260" t="s">
        <v>82</v>
      </c>
      <c r="C1397" s="3268"/>
      <c r="D1397" s="3269"/>
      <c r="E1397" s="3269"/>
      <c r="F1397" s="3269"/>
      <c r="G1397" s="3270"/>
      <c r="H1397" s="3268"/>
      <c r="I1397" s="3281">
        <v>0</v>
      </c>
      <c r="J1397" s="3281">
        <v>0</v>
      </c>
      <c r="K1397" s="3281">
        <v>0</v>
      </c>
      <c r="L1397" s="3282">
        <v>0</v>
      </c>
      <c r="M1397" s="3283">
        <v>0</v>
      </c>
      <c r="N1397" s="3281">
        <v>0</v>
      </c>
      <c r="O1397" s="3281">
        <v>0</v>
      </c>
      <c r="P1397" s="3281">
        <v>0</v>
      </c>
      <c r="Q1397" s="3284">
        <v>0</v>
      </c>
    </row>
    <row r="1398" spans="2:17">
      <c r="B1398" s="3260" t="s">
        <v>680</v>
      </c>
      <c r="C1398" s="3268"/>
      <c r="D1398" s="3269"/>
      <c r="E1398" s="3269"/>
      <c r="F1398" s="3269"/>
      <c r="G1398" s="3270"/>
      <c r="H1398" s="3268"/>
      <c r="I1398" s="3281">
        <v>0</v>
      </c>
      <c r="J1398" s="3281">
        <v>0</v>
      </c>
      <c r="K1398" s="3281">
        <v>0</v>
      </c>
      <c r="L1398" s="3282">
        <v>0</v>
      </c>
      <c r="M1398" s="3283">
        <v>0</v>
      </c>
      <c r="N1398" s="3281">
        <v>0</v>
      </c>
      <c r="O1398" s="3281">
        <v>0</v>
      </c>
      <c r="P1398" s="3281">
        <v>0</v>
      </c>
      <c r="Q1398" s="3284">
        <v>0</v>
      </c>
    </row>
    <row r="1399" spans="2:17">
      <c r="B1399" s="3260" t="s">
        <v>681</v>
      </c>
      <c r="C1399" s="3268"/>
      <c r="D1399" s="3269"/>
      <c r="E1399" s="3269"/>
      <c r="F1399" s="3269"/>
      <c r="G1399" s="3270"/>
      <c r="H1399" s="3268"/>
      <c r="I1399" s="3281">
        <v>143.71200000000002</v>
      </c>
      <c r="J1399" s="3281">
        <v>147.822</v>
      </c>
      <c r="K1399" s="3281">
        <v>150.77844000000002</v>
      </c>
      <c r="L1399" s="3282">
        <v>153.79400880000003</v>
      </c>
      <c r="M1399" s="3283">
        <v>156.86988897600003</v>
      </c>
      <c r="N1399" s="3281">
        <v>160.00728675552003</v>
      </c>
      <c r="O1399" s="3281">
        <v>163.20743249063042</v>
      </c>
      <c r="P1399" s="3281">
        <v>166.47158114044305</v>
      </c>
      <c r="Q1399" s="3284">
        <v>169.80101276325192</v>
      </c>
    </row>
    <row r="1400" spans="2:17">
      <c r="B1400" s="3260" t="s">
        <v>682</v>
      </c>
      <c r="C1400" s="3268"/>
      <c r="D1400" s="3269"/>
      <c r="E1400" s="3269"/>
      <c r="F1400" s="3269"/>
      <c r="G1400" s="3270"/>
      <c r="H1400" s="3268"/>
      <c r="I1400" s="3281">
        <v>1.2610000000000001</v>
      </c>
      <c r="J1400" s="3281">
        <v>1.2610000000000001</v>
      </c>
      <c r="K1400" s="3281">
        <v>1.2610000000000001</v>
      </c>
      <c r="L1400" s="3282">
        <v>1.2610000000000001</v>
      </c>
      <c r="M1400" s="3283">
        <v>1.2610000000000001</v>
      </c>
      <c r="N1400" s="3281">
        <v>1.2610000000000001</v>
      </c>
      <c r="O1400" s="3281">
        <v>1.2610000000000001</v>
      </c>
      <c r="P1400" s="3281">
        <v>1.2610000000000001</v>
      </c>
      <c r="Q1400" s="3284">
        <v>1.2610000000000001</v>
      </c>
    </row>
    <row r="1401" spans="2:17">
      <c r="B1401" s="3260" t="s">
        <v>66</v>
      </c>
      <c r="C1401" s="3268"/>
      <c r="D1401" s="3269"/>
      <c r="E1401" s="3269"/>
      <c r="F1401" s="3269"/>
      <c r="G1401" s="3270"/>
      <c r="H1401" s="3268"/>
      <c r="I1401" s="3281">
        <v>0</v>
      </c>
      <c r="J1401" s="3281">
        <v>0</v>
      </c>
      <c r="K1401" s="3281">
        <v>0</v>
      </c>
      <c r="L1401" s="3282">
        <v>0</v>
      </c>
      <c r="M1401" s="3283">
        <v>0</v>
      </c>
      <c r="N1401" s="3281">
        <v>0</v>
      </c>
      <c r="O1401" s="3281">
        <v>0</v>
      </c>
      <c r="P1401" s="3281">
        <v>0</v>
      </c>
      <c r="Q1401" s="3284">
        <v>0</v>
      </c>
    </row>
    <row r="1402" spans="2:17" ht="13.5" thickBot="1">
      <c r="B1402" s="3260" t="s">
        <v>67</v>
      </c>
      <c r="C1402" s="3268"/>
      <c r="D1402" s="3269"/>
      <c r="E1402" s="3269"/>
      <c r="F1402" s="3269"/>
      <c r="G1402" s="3270"/>
      <c r="H1402" s="3268"/>
      <c r="I1402" s="3281">
        <v>69.16800000000012</v>
      </c>
      <c r="J1402" s="3281">
        <v>69.168000000000148</v>
      </c>
      <c r="K1402" s="3281">
        <v>69.168000000000148</v>
      </c>
      <c r="L1402" s="3282">
        <v>69.168000000000148</v>
      </c>
      <c r="M1402" s="3285">
        <v>69.168000000000148</v>
      </c>
      <c r="N1402" s="3286">
        <v>69.168000000000148</v>
      </c>
      <c r="O1402" s="3286">
        <v>69.168000000000148</v>
      </c>
      <c r="P1402" s="3286">
        <v>69.168000000000148</v>
      </c>
      <c r="Q1402" s="3287">
        <v>69.168000000000148</v>
      </c>
    </row>
    <row r="1403" spans="2:17" ht="12.75" customHeight="1">
      <c r="B1403" s="4689">
        <v>3431</v>
      </c>
      <c r="C1403" s="4691" t="s">
        <v>36</v>
      </c>
      <c r="D1403" s="4692"/>
      <c r="E1403" s="4692"/>
      <c r="F1403" s="4692"/>
      <c r="G1403" s="4692"/>
      <c r="H1403" s="4693" t="s">
        <v>37</v>
      </c>
      <c r="I1403" s="4694"/>
      <c r="J1403" s="4694"/>
      <c r="K1403" s="4694"/>
      <c r="L1403" s="4694"/>
      <c r="M1403" s="4695" t="s">
        <v>73</v>
      </c>
      <c r="N1403" s="4695"/>
      <c r="O1403" s="4695"/>
      <c r="P1403" s="4695"/>
      <c r="Q1403" s="4696"/>
    </row>
    <row r="1404" spans="2:17" ht="12.75" customHeight="1">
      <c r="B1404" s="4690"/>
      <c r="C1404" s="4697" t="s">
        <v>1673</v>
      </c>
      <c r="D1404" s="4698"/>
      <c r="E1404" s="4698"/>
      <c r="F1404" s="4698"/>
      <c r="G1404" s="4698"/>
      <c r="H1404" s="4698"/>
      <c r="I1404" s="4698"/>
      <c r="J1404" s="4698"/>
      <c r="K1404" s="4698"/>
      <c r="L1404" s="4698"/>
      <c r="M1404" s="4698"/>
      <c r="N1404" s="4698"/>
      <c r="O1404" s="4698"/>
      <c r="P1404" s="4698"/>
      <c r="Q1404" s="4699"/>
    </row>
    <row r="1405" spans="2:17" ht="12.75" customHeight="1">
      <c r="B1405" s="4690"/>
      <c r="C1405" s="4697" t="s">
        <v>54</v>
      </c>
      <c r="D1405" s="4698"/>
      <c r="E1405" s="4698"/>
      <c r="F1405" s="4698"/>
      <c r="G1405" s="4698"/>
      <c r="H1405" s="4698"/>
      <c r="I1405" s="4698"/>
      <c r="J1405" s="4700"/>
      <c r="K1405" s="4701" t="s">
        <v>55</v>
      </c>
      <c r="L1405" s="4702"/>
      <c r="M1405" s="4702"/>
      <c r="N1405" s="4702"/>
      <c r="O1405" s="4702"/>
      <c r="P1405" s="4702"/>
      <c r="Q1405" s="4703"/>
    </row>
    <row r="1406" spans="2:17" ht="13.5" customHeight="1" thickBot="1">
      <c r="B1406" s="4690"/>
      <c r="C1406" s="3252">
        <f t="array" ref="C1406:G1406">PRCP</f>
        <v>2008</v>
      </c>
      <c r="D1406" s="3253">
        <v>2009</v>
      </c>
      <c r="E1406" s="3253">
        <v>2010</v>
      </c>
      <c r="F1406" s="3253">
        <v>2011</v>
      </c>
      <c r="G1406" s="3253">
        <v>2012</v>
      </c>
      <c r="H1406" s="3254">
        <f>CRCP_y1</f>
        <v>2013</v>
      </c>
      <c r="I1406" s="3254">
        <f>CRCP_y2</f>
        <v>2014</v>
      </c>
      <c r="J1406" s="3254">
        <f>CRCP_y3</f>
        <v>2015</v>
      </c>
      <c r="K1406" s="3254">
        <f>CRCP_y4</f>
        <v>2016</v>
      </c>
      <c r="L1406" s="3254">
        <f>CRCP_y5</f>
        <v>2017</v>
      </c>
      <c r="M1406" s="3253" t="str">
        <f t="array" ref="M1406:Q1406">FRCP</f>
        <v>2018</v>
      </c>
      <c r="N1406" s="3253">
        <v>2019</v>
      </c>
      <c r="O1406" s="3253">
        <v>2020</v>
      </c>
      <c r="P1406" s="3253">
        <v>2021</v>
      </c>
      <c r="Q1406" s="3255">
        <v>2022</v>
      </c>
    </row>
    <row r="1407" spans="2:17">
      <c r="B1407" s="3256" t="s">
        <v>1722</v>
      </c>
      <c r="C1407" s="3257"/>
      <c r="D1407" s="3258"/>
      <c r="E1407" s="3258"/>
      <c r="F1407" s="3258"/>
      <c r="G1407" s="3259"/>
      <c r="H1407" s="3257"/>
      <c r="I1407" s="3258"/>
      <c r="J1407" s="3258"/>
      <c r="K1407" s="3258"/>
      <c r="L1407" s="3258"/>
      <c r="M1407" s="3257"/>
      <c r="N1407" s="3258"/>
      <c r="O1407" s="3258"/>
      <c r="P1407" s="3258"/>
      <c r="Q1407" s="3259"/>
    </row>
    <row r="1408" spans="2:17">
      <c r="B1408" s="3260"/>
      <c r="C1408" s="3268"/>
      <c r="D1408" s="3269"/>
      <c r="E1408" s="3269"/>
      <c r="F1408" s="3269"/>
      <c r="G1408" s="3270"/>
      <c r="H1408" s="3268"/>
      <c r="I1408" s="3269"/>
      <c r="J1408" s="3269"/>
      <c r="K1408" s="3269"/>
      <c r="L1408" s="3271"/>
      <c r="M1408" s="3268"/>
      <c r="N1408" s="3269"/>
      <c r="O1408" s="3269"/>
      <c r="P1408" s="3269"/>
      <c r="Q1408" s="3270"/>
    </row>
    <row r="1409" spans="2:17">
      <c r="B1409" s="3260" t="s">
        <v>64</v>
      </c>
      <c r="C1409" s="3268"/>
      <c r="D1409" s="3269"/>
      <c r="E1409" s="3269"/>
      <c r="F1409" s="3269"/>
      <c r="G1409" s="3270"/>
      <c r="H1409" s="3268"/>
      <c r="I1409" s="3269">
        <v>0</v>
      </c>
      <c r="J1409" s="3269">
        <v>0</v>
      </c>
      <c r="K1409" s="3269">
        <v>0</v>
      </c>
      <c r="L1409" s="3271">
        <v>0</v>
      </c>
      <c r="M1409" s="3268">
        <v>0</v>
      </c>
      <c r="N1409" s="3269">
        <v>0</v>
      </c>
      <c r="O1409" s="3269">
        <v>0</v>
      </c>
      <c r="P1409" s="3269">
        <v>0</v>
      </c>
      <c r="Q1409" s="3270">
        <v>0</v>
      </c>
    </row>
    <row r="1410" spans="2:17">
      <c r="B1410" s="3260" t="s">
        <v>65</v>
      </c>
      <c r="C1410" s="3268"/>
      <c r="D1410" s="3269"/>
      <c r="E1410" s="3269"/>
      <c r="F1410" s="3269"/>
      <c r="G1410" s="3270"/>
      <c r="H1410" s="3268"/>
      <c r="I1410" s="3269">
        <v>0</v>
      </c>
      <c r="J1410" s="3269">
        <v>0</v>
      </c>
      <c r="K1410" s="3269">
        <v>0</v>
      </c>
      <c r="L1410" s="3271">
        <v>0</v>
      </c>
      <c r="M1410" s="3268">
        <v>0</v>
      </c>
      <c r="N1410" s="3269">
        <v>0</v>
      </c>
      <c r="O1410" s="3269">
        <v>0</v>
      </c>
      <c r="P1410" s="3269">
        <v>0</v>
      </c>
      <c r="Q1410" s="3270">
        <v>0</v>
      </c>
    </row>
    <row r="1411" spans="2:17">
      <c r="B1411" s="3260" t="s">
        <v>82</v>
      </c>
      <c r="C1411" s="3268"/>
      <c r="D1411" s="3269"/>
      <c r="E1411" s="3269"/>
      <c r="F1411" s="3269"/>
      <c r="G1411" s="3270"/>
      <c r="H1411" s="3268"/>
      <c r="I1411" s="3269">
        <v>0</v>
      </c>
      <c r="J1411" s="3269">
        <v>0</v>
      </c>
      <c r="K1411" s="3269">
        <v>0</v>
      </c>
      <c r="L1411" s="3271">
        <v>0</v>
      </c>
      <c r="M1411" s="3268">
        <v>0</v>
      </c>
      <c r="N1411" s="3269">
        <v>0</v>
      </c>
      <c r="O1411" s="3269">
        <v>0</v>
      </c>
      <c r="P1411" s="3269">
        <v>0</v>
      </c>
      <c r="Q1411" s="3270">
        <v>0</v>
      </c>
    </row>
    <row r="1412" spans="2:17">
      <c r="B1412" s="3260" t="s">
        <v>680</v>
      </c>
      <c r="C1412" s="3268"/>
      <c r="D1412" s="3269"/>
      <c r="E1412" s="3269"/>
      <c r="F1412" s="3269"/>
      <c r="G1412" s="3270"/>
      <c r="H1412" s="3268"/>
      <c r="I1412" s="3269">
        <v>0</v>
      </c>
      <c r="J1412" s="3269">
        <v>0</v>
      </c>
      <c r="K1412" s="3269">
        <v>0</v>
      </c>
      <c r="L1412" s="3271">
        <v>0</v>
      </c>
      <c r="M1412" s="3268">
        <v>0</v>
      </c>
      <c r="N1412" s="3269">
        <v>0</v>
      </c>
      <c r="O1412" s="3269">
        <v>0</v>
      </c>
      <c r="P1412" s="3269">
        <v>0</v>
      </c>
      <c r="Q1412" s="3270">
        <v>0</v>
      </c>
    </row>
    <row r="1413" spans="2:17">
      <c r="B1413" s="3260" t="s">
        <v>681</v>
      </c>
      <c r="C1413" s="3268"/>
      <c r="D1413" s="3269"/>
      <c r="E1413" s="3269"/>
      <c r="F1413" s="3269"/>
      <c r="G1413" s="3270"/>
      <c r="H1413" s="3268"/>
      <c r="I1413" s="3269">
        <v>25.86</v>
      </c>
      <c r="J1413" s="3269">
        <v>25.86</v>
      </c>
      <c r="K1413" s="3269">
        <v>25.86</v>
      </c>
      <c r="L1413" s="3271">
        <v>25.86</v>
      </c>
      <c r="M1413" s="3268">
        <v>25.86</v>
      </c>
      <c r="N1413" s="3269">
        <v>25.86</v>
      </c>
      <c r="O1413" s="3269">
        <v>25.86</v>
      </c>
      <c r="P1413" s="3269">
        <v>25.86</v>
      </c>
      <c r="Q1413" s="3270">
        <v>25.86</v>
      </c>
    </row>
    <row r="1414" spans="2:17">
      <c r="B1414" s="3260" t="s">
        <v>682</v>
      </c>
      <c r="C1414" s="3268"/>
      <c r="D1414" s="3269"/>
      <c r="E1414" s="3269"/>
      <c r="F1414" s="3269"/>
      <c r="G1414" s="3270"/>
      <c r="H1414" s="3268"/>
      <c r="I1414" s="3269">
        <v>0</v>
      </c>
      <c r="J1414" s="3269">
        <v>0</v>
      </c>
      <c r="K1414" s="3269">
        <v>0</v>
      </c>
      <c r="L1414" s="3271">
        <v>0</v>
      </c>
      <c r="M1414" s="3268">
        <v>0</v>
      </c>
      <c r="N1414" s="3269">
        <v>0</v>
      </c>
      <c r="O1414" s="3269">
        <v>0</v>
      </c>
      <c r="P1414" s="3269">
        <v>0</v>
      </c>
      <c r="Q1414" s="3270">
        <v>0</v>
      </c>
    </row>
    <row r="1415" spans="2:17">
      <c r="B1415" s="3260" t="s">
        <v>66</v>
      </c>
      <c r="C1415" s="3268"/>
      <c r="D1415" s="3269"/>
      <c r="E1415" s="3269"/>
      <c r="F1415" s="3269"/>
      <c r="G1415" s="3270"/>
      <c r="H1415" s="3268"/>
      <c r="I1415" s="3269">
        <v>0</v>
      </c>
      <c r="J1415" s="3269">
        <v>0</v>
      </c>
      <c r="K1415" s="3269">
        <v>0</v>
      </c>
      <c r="L1415" s="3271">
        <v>0</v>
      </c>
      <c r="M1415" s="3268">
        <v>0</v>
      </c>
      <c r="N1415" s="3269">
        <v>0</v>
      </c>
      <c r="O1415" s="3269">
        <v>0</v>
      </c>
      <c r="P1415" s="3269">
        <v>0</v>
      </c>
      <c r="Q1415" s="3270">
        <v>0</v>
      </c>
    </row>
    <row r="1416" spans="2:17" ht="13.5" thickBot="1">
      <c r="B1416" s="3260" t="s">
        <v>67</v>
      </c>
      <c r="C1416" s="3268"/>
      <c r="D1416" s="3269"/>
      <c r="E1416" s="3269"/>
      <c r="F1416" s="3269"/>
      <c r="G1416" s="3270"/>
      <c r="H1416" s="3268"/>
      <c r="I1416" s="3269">
        <v>0</v>
      </c>
      <c r="J1416" s="3269">
        <v>0</v>
      </c>
      <c r="K1416" s="3269">
        <v>0</v>
      </c>
      <c r="L1416" s="3271">
        <v>0</v>
      </c>
      <c r="M1416" s="3272">
        <v>0</v>
      </c>
      <c r="N1416" s="3273">
        <v>0</v>
      </c>
      <c r="O1416" s="3273">
        <v>0</v>
      </c>
      <c r="P1416" s="3273">
        <v>0</v>
      </c>
      <c r="Q1416" s="3274">
        <v>0</v>
      </c>
    </row>
    <row r="1417" spans="2:17" ht="12.75" customHeight="1">
      <c r="B1417" s="4689">
        <v>3434</v>
      </c>
      <c r="C1417" s="4691" t="s">
        <v>36</v>
      </c>
      <c r="D1417" s="4692"/>
      <c r="E1417" s="4692"/>
      <c r="F1417" s="4692"/>
      <c r="G1417" s="4692"/>
      <c r="H1417" s="4693" t="s">
        <v>37</v>
      </c>
      <c r="I1417" s="4694"/>
      <c r="J1417" s="4694"/>
      <c r="K1417" s="4694"/>
      <c r="L1417" s="4694"/>
      <c r="M1417" s="4695" t="s">
        <v>73</v>
      </c>
      <c r="N1417" s="4695"/>
      <c r="O1417" s="4695"/>
      <c r="P1417" s="4695"/>
      <c r="Q1417" s="4696"/>
    </row>
    <row r="1418" spans="2:17" ht="12.75" customHeight="1">
      <c r="B1418" s="4690"/>
      <c r="C1418" s="4697" t="s">
        <v>1673</v>
      </c>
      <c r="D1418" s="4698"/>
      <c r="E1418" s="4698"/>
      <c r="F1418" s="4698"/>
      <c r="G1418" s="4698"/>
      <c r="H1418" s="4698"/>
      <c r="I1418" s="4698"/>
      <c r="J1418" s="4698"/>
      <c r="K1418" s="4698"/>
      <c r="L1418" s="4698"/>
      <c r="M1418" s="4698"/>
      <c r="N1418" s="4698"/>
      <c r="O1418" s="4698"/>
      <c r="P1418" s="4698"/>
      <c r="Q1418" s="4699"/>
    </row>
    <row r="1419" spans="2:17" ht="12.75" customHeight="1">
      <c r="B1419" s="4690"/>
      <c r="C1419" s="4697" t="s">
        <v>54</v>
      </c>
      <c r="D1419" s="4698"/>
      <c r="E1419" s="4698"/>
      <c r="F1419" s="4698"/>
      <c r="G1419" s="4698"/>
      <c r="H1419" s="4698"/>
      <c r="I1419" s="4698"/>
      <c r="J1419" s="4700"/>
      <c r="K1419" s="4701" t="s">
        <v>55</v>
      </c>
      <c r="L1419" s="4702"/>
      <c r="M1419" s="4702"/>
      <c r="N1419" s="4702"/>
      <c r="O1419" s="4702"/>
      <c r="P1419" s="4702"/>
      <c r="Q1419" s="4703"/>
    </row>
    <row r="1420" spans="2:17" ht="13.5" customHeight="1" thickBot="1">
      <c r="B1420" s="4690"/>
      <c r="C1420" s="3252">
        <f t="array" ref="C1420:G1420">PRCP</f>
        <v>2008</v>
      </c>
      <c r="D1420" s="3253">
        <v>2009</v>
      </c>
      <c r="E1420" s="3253">
        <v>2010</v>
      </c>
      <c r="F1420" s="3253">
        <v>2011</v>
      </c>
      <c r="G1420" s="3253">
        <v>2012</v>
      </c>
      <c r="H1420" s="3254">
        <f>CRCP_y1</f>
        <v>2013</v>
      </c>
      <c r="I1420" s="3254">
        <f>CRCP_y2</f>
        <v>2014</v>
      </c>
      <c r="J1420" s="3254">
        <f>CRCP_y3</f>
        <v>2015</v>
      </c>
      <c r="K1420" s="3254">
        <f>CRCP_y4</f>
        <v>2016</v>
      </c>
      <c r="L1420" s="3254">
        <f>CRCP_y5</f>
        <v>2017</v>
      </c>
      <c r="M1420" s="3253" t="str">
        <f t="array" ref="M1420:Q1420">FRCP</f>
        <v>2018</v>
      </c>
      <c r="N1420" s="3253">
        <v>2019</v>
      </c>
      <c r="O1420" s="3253">
        <v>2020</v>
      </c>
      <c r="P1420" s="3253">
        <v>2021</v>
      </c>
      <c r="Q1420" s="3255">
        <v>2022</v>
      </c>
    </row>
    <row r="1421" spans="2:17">
      <c r="B1421" s="3256" t="s">
        <v>1723</v>
      </c>
      <c r="C1421" s="3257"/>
      <c r="D1421" s="3258"/>
      <c r="E1421" s="3258"/>
      <c r="F1421" s="3258"/>
      <c r="G1421" s="3259"/>
      <c r="H1421" s="3257"/>
      <c r="I1421" s="3258"/>
      <c r="J1421" s="3258"/>
      <c r="K1421" s="3258"/>
      <c r="L1421" s="3258"/>
      <c r="M1421" s="3257"/>
      <c r="N1421" s="3258"/>
      <c r="O1421" s="3258"/>
      <c r="P1421" s="3258"/>
      <c r="Q1421" s="3259"/>
    </row>
    <row r="1422" spans="2:17">
      <c r="B1422" s="3260"/>
      <c r="C1422" s="3268"/>
      <c r="D1422" s="3269"/>
      <c r="E1422" s="3269"/>
      <c r="F1422" s="3269"/>
      <c r="G1422" s="3270"/>
      <c r="H1422" s="3268"/>
      <c r="I1422" s="3269"/>
      <c r="J1422" s="3269"/>
      <c r="K1422" s="3269"/>
      <c r="L1422" s="3271"/>
      <c r="M1422" s="3268"/>
      <c r="N1422" s="3269"/>
      <c r="O1422" s="3269"/>
      <c r="P1422" s="3269"/>
      <c r="Q1422" s="3270"/>
    </row>
    <row r="1423" spans="2:17">
      <c r="B1423" s="3260" t="s">
        <v>64</v>
      </c>
      <c r="C1423" s="3268"/>
      <c r="D1423" s="3269"/>
      <c r="E1423" s="3269"/>
      <c r="F1423" s="3269"/>
      <c r="G1423" s="3270"/>
      <c r="H1423" s="3268"/>
      <c r="I1423" s="3281">
        <v>0</v>
      </c>
      <c r="J1423" s="3281">
        <v>0</v>
      </c>
      <c r="K1423" s="3281">
        <v>0</v>
      </c>
      <c r="L1423" s="3282">
        <v>0</v>
      </c>
      <c r="M1423" s="3283">
        <v>0</v>
      </c>
      <c r="N1423" s="3281">
        <v>0</v>
      </c>
      <c r="O1423" s="3281">
        <v>0</v>
      </c>
      <c r="P1423" s="3281">
        <v>0</v>
      </c>
      <c r="Q1423" s="3284">
        <v>0</v>
      </c>
    </row>
    <row r="1424" spans="2:17">
      <c r="B1424" s="3260" t="s">
        <v>65</v>
      </c>
      <c r="C1424" s="3268"/>
      <c r="D1424" s="3269"/>
      <c r="E1424" s="3269"/>
      <c r="F1424" s="3269"/>
      <c r="G1424" s="3270"/>
      <c r="H1424" s="3268"/>
      <c r="I1424" s="3281">
        <v>0</v>
      </c>
      <c r="J1424" s="3281">
        <v>0</v>
      </c>
      <c r="K1424" s="3281">
        <v>0</v>
      </c>
      <c r="L1424" s="3282">
        <v>0</v>
      </c>
      <c r="M1424" s="3283">
        <v>0</v>
      </c>
      <c r="N1424" s="3281">
        <v>0</v>
      </c>
      <c r="O1424" s="3281">
        <v>0</v>
      </c>
      <c r="P1424" s="3281">
        <v>0</v>
      </c>
      <c r="Q1424" s="3284">
        <v>0</v>
      </c>
    </row>
    <row r="1425" spans="2:17">
      <c r="B1425" s="3260" t="s">
        <v>82</v>
      </c>
      <c r="C1425" s="3268"/>
      <c r="D1425" s="3269"/>
      <c r="E1425" s="3269"/>
      <c r="F1425" s="3269"/>
      <c r="G1425" s="3270"/>
      <c r="H1425" s="3268"/>
      <c r="I1425" s="3281">
        <v>0</v>
      </c>
      <c r="J1425" s="3281">
        <v>0</v>
      </c>
      <c r="K1425" s="3281">
        <v>0</v>
      </c>
      <c r="L1425" s="3282">
        <v>0</v>
      </c>
      <c r="M1425" s="3283">
        <v>0</v>
      </c>
      <c r="N1425" s="3281">
        <v>0</v>
      </c>
      <c r="O1425" s="3281">
        <v>0</v>
      </c>
      <c r="P1425" s="3281">
        <v>0</v>
      </c>
      <c r="Q1425" s="3284">
        <v>0</v>
      </c>
    </row>
    <row r="1426" spans="2:17">
      <c r="B1426" s="3260" t="s">
        <v>680</v>
      </c>
      <c r="C1426" s="3268"/>
      <c r="D1426" s="3269"/>
      <c r="E1426" s="3269"/>
      <c r="F1426" s="3269"/>
      <c r="G1426" s="3270"/>
      <c r="H1426" s="3268"/>
      <c r="I1426" s="3281">
        <v>0</v>
      </c>
      <c r="J1426" s="3281">
        <v>0</v>
      </c>
      <c r="K1426" s="3281">
        <v>0</v>
      </c>
      <c r="L1426" s="3282">
        <v>0</v>
      </c>
      <c r="M1426" s="3283">
        <v>0</v>
      </c>
      <c r="N1426" s="3281">
        <v>0</v>
      </c>
      <c r="O1426" s="3281">
        <v>0</v>
      </c>
      <c r="P1426" s="3281">
        <v>0</v>
      </c>
      <c r="Q1426" s="3284">
        <v>0</v>
      </c>
    </row>
    <row r="1427" spans="2:17">
      <c r="B1427" s="3260" t="s">
        <v>681</v>
      </c>
      <c r="C1427" s="3268"/>
      <c r="D1427" s="3269"/>
      <c r="E1427" s="3269"/>
      <c r="F1427" s="3269"/>
      <c r="G1427" s="3270"/>
      <c r="H1427" s="3268"/>
      <c r="I1427" s="3281">
        <v>33.213999999999999</v>
      </c>
      <c r="J1427" s="3281">
        <v>35.197000000000003</v>
      </c>
      <c r="K1427" s="3281">
        <v>35.900940000000006</v>
      </c>
      <c r="L1427" s="3282">
        <v>36.618958800000009</v>
      </c>
      <c r="M1427" s="3283">
        <v>37.351337976000011</v>
      </c>
      <c r="N1427" s="3281">
        <v>38.098364735520015</v>
      </c>
      <c r="O1427" s="3281">
        <v>38.860332030230417</v>
      </c>
      <c r="P1427" s="3281">
        <v>39.637538670835028</v>
      </c>
      <c r="Q1427" s="3284">
        <v>40.430289444251727</v>
      </c>
    </row>
    <row r="1428" spans="2:17">
      <c r="B1428" s="3260" t="s">
        <v>682</v>
      </c>
      <c r="C1428" s="3268"/>
      <c r="D1428" s="3269"/>
      <c r="E1428" s="3269"/>
      <c r="F1428" s="3269"/>
      <c r="G1428" s="3270"/>
      <c r="H1428" s="3268"/>
      <c r="I1428" s="3281">
        <v>0</v>
      </c>
      <c r="J1428" s="3281">
        <v>0</v>
      </c>
      <c r="K1428" s="3281">
        <v>0</v>
      </c>
      <c r="L1428" s="3282">
        <v>0</v>
      </c>
      <c r="M1428" s="3283">
        <v>0</v>
      </c>
      <c r="N1428" s="3281">
        <v>0</v>
      </c>
      <c r="O1428" s="3281">
        <v>0</v>
      </c>
      <c r="P1428" s="3281">
        <v>0</v>
      </c>
      <c r="Q1428" s="3284">
        <v>0</v>
      </c>
    </row>
    <row r="1429" spans="2:17">
      <c r="B1429" s="3260" t="s">
        <v>66</v>
      </c>
      <c r="C1429" s="3268"/>
      <c r="D1429" s="3269"/>
      <c r="E1429" s="3269"/>
      <c r="F1429" s="3269"/>
      <c r="G1429" s="3270"/>
      <c r="H1429" s="3268"/>
      <c r="I1429" s="3281">
        <v>0</v>
      </c>
      <c r="J1429" s="3281">
        <v>0</v>
      </c>
      <c r="K1429" s="3281">
        <v>0</v>
      </c>
      <c r="L1429" s="3282">
        <v>0</v>
      </c>
      <c r="M1429" s="3283">
        <v>0</v>
      </c>
      <c r="N1429" s="3281">
        <v>0</v>
      </c>
      <c r="O1429" s="3281">
        <v>0</v>
      </c>
      <c r="P1429" s="3281">
        <v>0</v>
      </c>
      <c r="Q1429" s="3284">
        <v>0</v>
      </c>
    </row>
    <row r="1430" spans="2:17" ht="13.5" thickBot="1">
      <c r="B1430" s="3260" t="s">
        <v>67</v>
      </c>
      <c r="C1430" s="3268"/>
      <c r="D1430" s="3269"/>
      <c r="E1430" s="3269"/>
      <c r="F1430" s="3269"/>
      <c r="G1430" s="3270"/>
      <c r="H1430" s="3268"/>
      <c r="I1430" s="3281">
        <v>0</v>
      </c>
      <c r="J1430" s="3281">
        <v>0</v>
      </c>
      <c r="K1430" s="3281">
        <v>0</v>
      </c>
      <c r="L1430" s="3282">
        <v>0</v>
      </c>
      <c r="M1430" s="3285">
        <v>0</v>
      </c>
      <c r="N1430" s="3286">
        <v>0</v>
      </c>
      <c r="O1430" s="3286">
        <v>0</v>
      </c>
      <c r="P1430" s="3286">
        <v>0</v>
      </c>
      <c r="Q1430" s="3287">
        <v>0</v>
      </c>
    </row>
    <row r="1431" spans="2:17" ht="12.75" customHeight="1">
      <c r="B1431" s="4689">
        <v>3435</v>
      </c>
      <c r="C1431" s="4691" t="s">
        <v>36</v>
      </c>
      <c r="D1431" s="4692"/>
      <c r="E1431" s="4692"/>
      <c r="F1431" s="4692"/>
      <c r="G1431" s="4692"/>
      <c r="H1431" s="4693" t="s">
        <v>37</v>
      </c>
      <c r="I1431" s="4694"/>
      <c r="J1431" s="4694"/>
      <c r="K1431" s="4694"/>
      <c r="L1431" s="4694"/>
      <c r="M1431" s="4695" t="s">
        <v>73</v>
      </c>
      <c r="N1431" s="4695"/>
      <c r="O1431" s="4695"/>
      <c r="P1431" s="4695"/>
      <c r="Q1431" s="4696"/>
    </row>
    <row r="1432" spans="2:17" ht="12.75" customHeight="1">
      <c r="B1432" s="4690"/>
      <c r="C1432" s="4697" t="s">
        <v>1673</v>
      </c>
      <c r="D1432" s="4698"/>
      <c r="E1432" s="4698"/>
      <c r="F1432" s="4698"/>
      <c r="G1432" s="4698"/>
      <c r="H1432" s="4698"/>
      <c r="I1432" s="4698"/>
      <c r="J1432" s="4698"/>
      <c r="K1432" s="4698"/>
      <c r="L1432" s="4698"/>
      <c r="M1432" s="4698"/>
      <c r="N1432" s="4698"/>
      <c r="O1432" s="4698"/>
      <c r="P1432" s="4698"/>
      <c r="Q1432" s="4699"/>
    </row>
    <row r="1433" spans="2:17" ht="12.75" customHeight="1">
      <c r="B1433" s="4690"/>
      <c r="C1433" s="4697" t="s">
        <v>54</v>
      </c>
      <c r="D1433" s="4698"/>
      <c r="E1433" s="4698"/>
      <c r="F1433" s="4698"/>
      <c r="G1433" s="4698"/>
      <c r="H1433" s="4698"/>
      <c r="I1433" s="4698"/>
      <c r="J1433" s="4700"/>
      <c r="K1433" s="4701" t="s">
        <v>55</v>
      </c>
      <c r="L1433" s="4702"/>
      <c r="M1433" s="4702"/>
      <c r="N1433" s="4702"/>
      <c r="O1433" s="4702"/>
      <c r="P1433" s="4702"/>
      <c r="Q1433" s="4703"/>
    </row>
    <row r="1434" spans="2:17" ht="13.5" customHeight="1" thickBot="1">
      <c r="B1434" s="4690"/>
      <c r="C1434" s="3252">
        <f t="array" ref="C1434:G1434">PRCP</f>
        <v>2008</v>
      </c>
      <c r="D1434" s="3253">
        <v>2009</v>
      </c>
      <c r="E1434" s="3253">
        <v>2010</v>
      </c>
      <c r="F1434" s="3253">
        <v>2011</v>
      </c>
      <c r="G1434" s="3253">
        <v>2012</v>
      </c>
      <c r="H1434" s="3254">
        <f>CRCP_y1</f>
        <v>2013</v>
      </c>
      <c r="I1434" s="3254">
        <f>CRCP_y2</f>
        <v>2014</v>
      </c>
      <c r="J1434" s="3254">
        <f>CRCP_y3</f>
        <v>2015</v>
      </c>
      <c r="K1434" s="3254">
        <f>CRCP_y4</f>
        <v>2016</v>
      </c>
      <c r="L1434" s="3254">
        <f>CRCP_y5</f>
        <v>2017</v>
      </c>
      <c r="M1434" s="3253" t="str">
        <f t="array" ref="M1434:Q1434">FRCP</f>
        <v>2018</v>
      </c>
      <c r="N1434" s="3253">
        <v>2019</v>
      </c>
      <c r="O1434" s="3253">
        <v>2020</v>
      </c>
      <c r="P1434" s="3253">
        <v>2021</v>
      </c>
      <c r="Q1434" s="3255">
        <v>2022</v>
      </c>
    </row>
    <row r="1435" spans="2:17">
      <c r="B1435" s="3256" t="s">
        <v>1723</v>
      </c>
      <c r="C1435" s="3257"/>
      <c r="D1435" s="3258"/>
      <c r="E1435" s="3258"/>
      <c r="F1435" s="3258"/>
      <c r="G1435" s="3259"/>
      <c r="H1435" s="3257"/>
      <c r="I1435" s="3258"/>
      <c r="J1435" s="3258"/>
      <c r="K1435" s="3258"/>
      <c r="L1435" s="3259"/>
      <c r="M1435" s="3257"/>
      <c r="N1435" s="3258"/>
      <c r="O1435" s="3258"/>
      <c r="P1435" s="3258"/>
      <c r="Q1435" s="3259"/>
    </row>
    <row r="1436" spans="2:17">
      <c r="B1436" s="3260"/>
      <c r="C1436" s="3268"/>
      <c r="D1436" s="3269"/>
      <c r="E1436" s="3269"/>
      <c r="F1436" s="3269"/>
      <c r="G1436" s="3270"/>
      <c r="H1436" s="3268"/>
      <c r="I1436" s="3269"/>
      <c r="J1436" s="3269"/>
      <c r="K1436" s="3269"/>
      <c r="L1436" s="3270"/>
      <c r="M1436" s="3268"/>
      <c r="N1436" s="3269"/>
      <c r="O1436" s="3269"/>
      <c r="P1436" s="3269"/>
      <c r="Q1436" s="3270"/>
    </row>
    <row r="1437" spans="2:17">
      <c r="B1437" s="3260" t="s">
        <v>64</v>
      </c>
      <c r="C1437" s="3268"/>
      <c r="D1437" s="3269"/>
      <c r="E1437" s="3269"/>
      <c r="F1437" s="3269"/>
      <c r="G1437" s="3270"/>
      <c r="H1437" s="3268"/>
      <c r="I1437" s="3281">
        <v>0</v>
      </c>
      <c r="J1437" s="3281">
        <v>0</v>
      </c>
      <c r="K1437" s="3281">
        <v>0</v>
      </c>
      <c r="L1437" s="3284">
        <v>0</v>
      </c>
      <c r="M1437" s="3283">
        <v>0</v>
      </c>
      <c r="N1437" s="3281">
        <v>0</v>
      </c>
      <c r="O1437" s="3281">
        <v>0</v>
      </c>
      <c r="P1437" s="3281">
        <v>0</v>
      </c>
      <c r="Q1437" s="3284">
        <v>0</v>
      </c>
    </row>
    <row r="1438" spans="2:17">
      <c r="B1438" s="3260" t="s">
        <v>65</v>
      </c>
      <c r="C1438" s="3268"/>
      <c r="D1438" s="3269"/>
      <c r="E1438" s="3269"/>
      <c r="F1438" s="3269"/>
      <c r="G1438" s="3270"/>
      <c r="H1438" s="3268"/>
      <c r="I1438" s="3281">
        <v>0</v>
      </c>
      <c r="J1438" s="3281">
        <v>0</v>
      </c>
      <c r="K1438" s="3281">
        <v>0</v>
      </c>
      <c r="L1438" s="3284">
        <v>0</v>
      </c>
      <c r="M1438" s="3283">
        <v>0</v>
      </c>
      <c r="N1438" s="3281">
        <v>0</v>
      </c>
      <c r="O1438" s="3281">
        <v>0</v>
      </c>
      <c r="P1438" s="3281">
        <v>0</v>
      </c>
      <c r="Q1438" s="3284">
        <v>0</v>
      </c>
    </row>
    <row r="1439" spans="2:17">
      <c r="B1439" s="3260" t="s">
        <v>82</v>
      </c>
      <c r="C1439" s="3268"/>
      <c r="D1439" s="3269"/>
      <c r="E1439" s="3269"/>
      <c r="F1439" s="3269"/>
      <c r="G1439" s="3270"/>
      <c r="H1439" s="3268"/>
      <c r="I1439" s="3281">
        <v>0</v>
      </c>
      <c r="J1439" s="3281">
        <v>0</v>
      </c>
      <c r="K1439" s="3281">
        <v>0</v>
      </c>
      <c r="L1439" s="3284">
        <v>0</v>
      </c>
      <c r="M1439" s="3283">
        <v>0</v>
      </c>
      <c r="N1439" s="3281">
        <v>0</v>
      </c>
      <c r="O1439" s="3281">
        <v>0</v>
      </c>
      <c r="P1439" s="3281">
        <v>0</v>
      </c>
      <c r="Q1439" s="3284">
        <v>0</v>
      </c>
    </row>
    <row r="1440" spans="2:17">
      <c r="B1440" s="3260" t="s">
        <v>680</v>
      </c>
      <c r="C1440" s="3268"/>
      <c r="D1440" s="3269"/>
      <c r="E1440" s="3269"/>
      <c r="F1440" s="3269"/>
      <c r="G1440" s="3270"/>
      <c r="H1440" s="3268"/>
      <c r="I1440" s="3281">
        <v>0</v>
      </c>
      <c r="J1440" s="3281">
        <v>0</v>
      </c>
      <c r="K1440" s="3281">
        <v>0</v>
      </c>
      <c r="L1440" s="3284">
        <v>0</v>
      </c>
      <c r="M1440" s="3283">
        <v>0</v>
      </c>
      <c r="N1440" s="3281">
        <v>0</v>
      </c>
      <c r="O1440" s="3281">
        <v>0</v>
      </c>
      <c r="P1440" s="3281">
        <v>0</v>
      </c>
      <c r="Q1440" s="3284">
        <v>0</v>
      </c>
    </row>
    <row r="1441" spans="2:17">
      <c r="B1441" s="3260" t="s">
        <v>681</v>
      </c>
      <c r="C1441" s="3268"/>
      <c r="D1441" s="3269"/>
      <c r="E1441" s="3269"/>
      <c r="F1441" s="3269"/>
      <c r="G1441" s="3270"/>
      <c r="H1441" s="3268"/>
      <c r="I1441" s="3281">
        <v>19.753999999999998</v>
      </c>
      <c r="J1441" s="3281">
        <v>20.440999999999999</v>
      </c>
      <c r="K1441" s="3281">
        <v>20.849819999999998</v>
      </c>
      <c r="L1441" s="3281">
        <v>21.266816399999996</v>
      </c>
      <c r="M1441" s="3281">
        <v>21.692152727999996</v>
      </c>
      <c r="N1441" s="3281">
        <v>22.125995782559997</v>
      </c>
      <c r="O1441" s="3281">
        <v>22.568515698211197</v>
      </c>
      <c r="P1441" s="3281">
        <v>23.019886012175423</v>
      </c>
      <c r="Q1441" s="3281">
        <v>23.480283732418933</v>
      </c>
    </row>
    <row r="1442" spans="2:17">
      <c r="B1442" s="3260" t="s">
        <v>682</v>
      </c>
      <c r="C1442" s="3268"/>
      <c r="D1442" s="3269"/>
      <c r="E1442" s="3269"/>
      <c r="F1442" s="3269"/>
      <c r="G1442" s="3270"/>
      <c r="H1442" s="3268"/>
      <c r="I1442" s="3281">
        <v>0</v>
      </c>
      <c r="J1442" s="3281">
        <v>0</v>
      </c>
      <c r="K1442" s="3281">
        <v>0</v>
      </c>
      <c r="L1442" s="3281">
        <v>0</v>
      </c>
      <c r="M1442" s="3281">
        <v>0</v>
      </c>
      <c r="N1442" s="3281">
        <v>0</v>
      </c>
      <c r="O1442" s="3281">
        <v>0</v>
      </c>
      <c r="P1442" s="3281">
        <v>0</v>
      </c>
      <c r="Q1442" s="3281">
        <v>0</v>
      </c>
    </row>
    <row r="1443" spans="2:17">
      <c r="B1443" s="3260" t="s">
        <v>66</v>
      </c>
      <c r="C1443" s="3268"/>
      <c r="D1443" s="3269"/>
      <c r="E1443" s="3269"/>
      <c r="F1443" s="3269"/>
      <c r="G1443" s="3270"/>
      <c r="H1443" s="3268"/>
      <c r="I1443" s="3281">
        <v>0</v>
      </c>
      <c r="J1443" s="3281">
        <v>0</v>
      </c>
      <c r="K1443" s="3281">
        <v>0</v>
      </c>
      <c r="L1443" s="3281">
        <v>0</v>
      </c>
      <c r="M1443" s="3281">
        <v>0</v>
      </c>
      <c r="N1443" s="3281">
        <v>0</v>
      </c>
      <c r="O1443" s="3281">
        <v>0</v>
      </c>
      <c r="P1443" s="3281">
        <v>0</v>
      </c>
      <c r="Q1443" s="3281">
        <v>0</v>
      </c>
    </row>
    <row r="1444" spans="2:17" ht="13.5" thickBot="1">
      <c r="B1444" s="3260" t="s">
        <v>67</v>
      </c>
      <c r="C1444" s="3268"/>
      <c r="D1444" s="3269"/>
      <c r="E1444" s="3269"/>
      <c r="F1444" s="3269"/>
      <c r="G1444" s="3270"/>
      <c r="H1444" s="3268"/>
      <c r="I1444" s="3281">
        <v>0.13600000000000001</v>
      </c>
      <c r="J1444" s="3281">
        <v>0.13600000000000001</v>
      </c>
      <c r="K1444" s="3281">
        <v>0.13600000000000001</v>
      </c>
      <c r="L1444" s="3281">
        <v>1.1359999999999999</v>
      </c>
      <c r="M1444" s="3281">
        <v>2.1360000000000001</v>
      </c>
      <c r="N1444" s="3281">
        <v>3.1360000000000001</v>
      </c>
      <c r="O1444" s="3281">
        <v>4.1360000000000001</v>
      </c>
      <c r="P1444" s="3281">
        <v>5.1360000000000001</v>
      </c>
      <c r="Q1444" s="3281">
        <v>6.1360000000000001</v>
      </c>
    </row>
    <row r="1445" spans="2:17" ht="12.75" customHeight="1">
      <c r="B1445" s="4689">
        <v>3437</v>
      </c>
      <c r="C1445" s="4691" t="s">
        <v>36</v>
      </c>
      <c r="D1445" s="4692"/>
      <c r="E1445" s="4692"/>
      <c r="F1445" s="4692"/>
      <c r="G1445" s="4692"/>
      <c r="H1445" s="4693" t="s">
        <v>37</v>
      </c>
      <c r="I1445" s="4694"/>
      <c r="J1445" s="4694"/>
      <c r="K1445" s="4694"/>
      <c r="L1445" s="4694"/>
      <c r="M1445" s="4695" t="s">
        <v>73</v>
      </c>
      <c r="N1445" s="4695"/>
      <c r="O1445" s="4695"/>
      <c r="P1445" s="4695"/>
      <c r="Q1445" s="4696"/>
    </row>
    <row r="1446" spans="2:17" ht="12.75" customHeight="1">
      <c r="B1446" s="4690"/>
      <c r="C1446" s="4697" t="s">
        <v>1673</v>
      </c>
      <c r="D1446" s="4698"/>
      <c r="E1446" s="4698"/>
      <c r="F1446" s="4698"/>
      <c r="G1446" s="4698"/>
      <c r="H1446" s="4698"/>
      <c r="I1446" s="4698"/>
      <c r="J1446" s="4698"/>
      <c r="K1446" s="4698"/>
      <c r="L1446" s="4698"/>
      <c r="M1446" s="4698"/>
      <c r="N1446" s="4698"/>
      <c r="O1446" s="4698"/>
      <c r="P1446" s="4698"/>
      <c r="Q1446" s="4699"/>
    </row>
    <row r="1447" spans="2:17" ht="12.75" customHeight="1">
      <c r="B1447" s="4690"/>
      <c r="C1447" s="4697" t="s">
        <v>54</v>
      </c>
      <c r="D1447" s="4698"/>
      <c r="E1447" s="4698"/>
      <c r="F1447" s="4698"/>
      <c r="G1447" s="4698"/>
      <c r="H1447" s="4698"/>
      <c r="I1447" s="4698"/>
      <c r="J1447" s="4700"/>
      <c r="K1447" s="4701" t="s">
        <v>55</v>
      </c>
      <c r="L1447" s="4702"/>
      <c r="M1447" s="4702"/>
      <c r="N1447" s="4702"/>
      <c r="O1447" s="4702"/>
      <c r="P1447" s="4702"/>
      <c r="Q1447" s="4703"/>
    </row>
    <row r="1448" spans="2:17" ht="13.5" customHeight="1" thickBot="1">
      <c r="B1448" s="4690"/>
      <c r="C1448" s="3252">
        <f t="array" ref="C1448:G1448">PRCP</f>
        <v>2008</v>
      </c>
      <c r="D1448" s="3253">
        <v>2009</v>
      </c>
      <c r="E1448" s="3253">
        <v>2010</v>
      </c>
      <c r="F1448" s="3253">
        <v>2011</v>
      </c>
      <c r="G1448" s="3253">
        <v>2012</v>
      </c>
      <c r="H1448" s="3254">
        <f>CRCP_y1</f>
        <v>2013</v>
      </c>
      <c r="I1448" s="3254">
        <f>CRCP_y2</f>
        <v>2014</v>
      </c>
      <c r="J1448" s="3254">
        <f>CRCP_y3</f>
        <v>2015</v>
      </c>
      <c r="K1448" s="3254">
        <f>CRCP_y4</f>
        <v>2016</v>
      </c>
      <c r="L1448" s="3254">
        <f>CRCP_y5</f>
        <v>2017</v>
      </c>
      <c r="M1448" s="3253" t="str">
        <f t="array" ref="M1448:Q1448">FRCP</f>
        <v>2018</v>
      </c>
      <c r="N1448" s="3253">
        <v>2019</v>
      </c>
      <c r="O1448" s="3253">
        <v>2020</v>
      </c>
      <c r="P1448" s="3253">
        <v>2021</v>
      </c>
      <c r="Q1448" s="3255">
        <v>2022</v>
      </c>
    </row>
    <row r="1449" spans="2:17">
      <c r="B1449" s="3256" t="s">
        <v>1724</v>
      </c>
      <c r="C1449" s="3257"/>
      <c r="D1449" s="3258"/>
      <c r="E1449" s="3258"/>
      <c r="F1449" s="3258"/>
      <c r="G1449" s="3259"/>
      <c r="H1449" s="3257"/>
      <c r="I1449" s="3258"/>
      <c r="J1449" s="3258"/>
      <c r="K1449" s="3258"/>
      <c r="L1449" s="3258"/>
      <c r="M1449" s="3257"/>
      <c r="N1449" s="3258"/>
      <c r="O1449" s="3258"/>
      <c r="P1449" s="3258"/>
      <c r="Q1449" s="3259"/>
    </row>
    <row r="1450" spans="2:17">
      <c r="B1450" s="3260"/>
      <c r="C1450" s="3268"/>
      <c r="D1450" s="3269"/>
      <c r="E1450" s="3269"/>
      <c r="F1450" s="3269"/>
      <c r="G1450" s="3270"/>
      <c r="H1450" s="3268"/>
      <c r="I1450" s="3269"/>
      <c r="J1450" s="3269"/>
      <c r="K1450" s="3269"/>
      <c r="L1450" s="3271"/>
      <c r="M1450" s="3268"/>
      <c r="N1450" s="3269"/>
      <c r="O1450" s="3269"/>
      <c r="P1450" s="3269"/>
      <c r="Q1450" s="3270"/>
    </row>
    <row r="1451" spans="2:17">
      <c r="B1451" s="3260" t="s">
        <v>64</v>
      </c>
      <c r="C1451" s="3268"/>
      <c r="D1451" s="3269"/>
      <c r="E1451" s="3269"/>
      <c r="F1451" s="3269"/>
      <c r="G1451" s="3270"/>
      <c r="H1451" s="3268"/>
      <c r="I1451" s="3281">
        <v>0</v>
      </c>
      <c r="J1451" s="3281">
        <v>0</v>
      </c>
      <c r="K1451" s="3281">
        <v>0</v>
      </c>
      <c r="L1451" s="3282">
        <v>0</v>
      </c>
      <c r="M1451" s="3283">
        <v>0</v>
      </c>
      <c r="N1451" s="3281">
        <v>0</v>
      </c>
      <c r="O1451" s="3281">
        <v>0</v>
      </c>
      <c r="P1451" s="3281">
        <v>0</v>
      </c>
      <c r="Q1451" s="3284">
        <v>0</v>
      </c>
    </row>
    <row r="1452" spans="2:17">
      <c r="B1452" s="3260" t="s">
        <v>65</v>
      </c>
      <c r="C1452" s="3268"/>
      <c r="D1452" s="3269"/>
      <c r="E1452" s="3269"/>
      <c r="F1452" s="3269"/>
      <c r="G1452" s="3270"/>
      <c r="H1452" s="3268"/>
      <c r="I1452" s="3281">
        <v>0</v>
      </c>
      <c r="J1452" s="3281">
        <v>0</v>
      </c>
      <c r="K1452" s="3281">
        <v>0</v>
      </c>
      <c r="L1452" s="3282">
        <v>0</v>
      </c>
      <c r="M1452" s="3283">
        <v>0</v>
      </c>
      <c r="N1452" s="3281">
        <v>0</v>
      </c>
      <c r="O1452" s="3281">
        <v>0</v>
      </c>
      <c r="P1452" s="3281">
        <v>0</v>
      </c>
      <c r="Q1452" s="3284">
        <v>0</v>
      </c>
    </row>
    <row r="1453" spans="2:17">
      <c r="B1453" s="3260" t="s">
        <v>82</v>
      </c>
      <c r="C1453" s="3268"/>
      <c r="D1453" s="3269"/>
      <c r="E1453" s="3269"/>
      <c r="F1453" s="3269"/>
      <c r="G1453" s="3270"/>
      <c r="H1453" s="3268"/>
      <c r="I1453" s="3281">
        <v>0</v>
      </c>
      <c r="J1453" s="3281">
        <v>0</v>
      </c>
      <c r="K1453" s="3281">
        <v>0</v>
      </c>
      <c r="L1453" s="3282">
        <v>0</v>
      </c>
      <c r="M1453" s="3283">
        <v>0</v>
      </c>
      <c r="N1453" s="3281">
        <v>0</v>
      </c>
      <c r="O1453" s="3281">
        <v>0</v>
      </c>
      <c r="P1453" s="3281">
        <v>0</v>
      </c>
      <c r="Q1453" s="3284">
        <v>0</v>
      </c>
    </row>
    <row r="1454" spans="2:17">
      <c r="B1454" s="3260" t="s">
        <v>680</v>
      </c>
      <c r="C1454" s="3268"/>
      <c r="D1454" s="3269"/>
      <c r="E1454" s="3269"/>
      <c r="F1454" s="3269"/>
      <c r="G1454" s="3270"/>
      <c r="H1454" s="3268"/>
      <c r="I1454" s="3281">
        <v>0</v>
      </c>
      <c r="J1454" s="3281">
        <v>0</v>
      </c>
      <c r="K1454" s="3281">
        <v>0</v>
      </c>
      <c r="L1454" s="3282">
        <v>0</v>
      </c>
      <c r="M1454" s="3283">
        <v>0</v>
      </c>
      <c r="N1454" s="3281">
        <v>0</v>
      </c>
      <c r="O1454" s="3281">
        <v>0</v>
      </c>
      <c r="P1454" s="3281">
        <v>0</v>
      </c>
      <c r="Q1454" s="3284">
        <v>0</v>
      </c>
    </row>
    <row r="1455" spans="2:17">
      <c r="B1455" s="3260" t="s">
        <v>681</v>
      </c>
      <c r="C1455" s="3268"/>
      <c r="D1455" s="3269"/>
      <c r="E1455" s="3269"/>
      <c r="F1455" s="3269"/>
      <c r="G1455" s="3270"/>
      <c r="H1455" s="3268"/>
      <c r="I1455" s="3281">
        <v>56.866</v>
      </c>
      <c r="J1455" s="3281">
        <v>57.975000000000001</v>
      </c>
      <c r="K1455" s="3281">
        <v>59.134500000000003</v>
      </c>
      <c r="L1455" s="3282">
        <v>60.317190000000004</v>
      </c>
      <c r="M1455" s="3283">
        <v>61.523533800000003</v>
      </c>
      <c r="N1455" s="3281">
        <v>62.754004476000006</v>
      </c>
      <c r="O1455" s="3281">
        <v>64.009084565520013</v>
      </c>
      <c r="P1455" s="3281">
        <v>65.289266256830416</v>
      </c>
      <c r="Q1455" s="3284">
        <v>66.595051581967027</v>
      </c>
    </row>
    <row r="1456" spans="2:17">
      <c r="B1456" s="3260" t="s">
        <v>682</v>
      </c>
      <c r="C1456" s="3268"/>
      <c r="D1456" s="3269"/>
      <c r="E1456" s="3269"/>
      <c r="F1456" s="3269"/>
      <c r="G1456" s="3270"/>
      <c r="H1456" s="3268"/>
      <c r="I1456" s="3281">
        <v>0</v>
      </c>
      <c r="J1456" s="3281">
        <v>0</v>
      </c>
      <c r="K1456" s="3281">
        <v>0</v>
      </c>
      <c r="L1456" s="3282">
        <v>0</v>
      </c>
      <c r="M1456" s="3283">
        <v>0</v>
      </c>
      <c r="N1456" s="3281">
        <v>0</v>
      </c>
      <c r="O1456" s="3281">
        <v>0</v>
      </c>
      <c r="P1456" s="3281">
        <v>0</v>
      </c>
      <c r="Q1456" s="3284">
        <v>0</v>
      </c>
    </row>
    <row r="1457" spans="2:17">
      <c r="B1457" s="3260" t="s">
        <v>66</v>
      </c>
      <c r="C1457" s="3268"/>
      <c r="D1457" s="3269"/>
      <c r="E1457" s="3269"/>
      <c r="F1457" s="3269"/>
      <c r="G1457" s="3270"/>
      <c r="H1457" s="3268"/>
      <c r="I1457" s="3281">
        <v>0</v>
      </c>
      <c r="J1457" s="3281">
        <v>0</v>
      </c>
      <c r="K1457" s="3281">
        <v>0</v>
      </c>
      <c r="L1457" s="3282">
        <v>0</v>
      </c>
      <c r="M1457" s="3283">
        <v>0</v>
      </c>
      <c r="N1457" s="3281">
        <v>0</v>
      </c>
      <c r="O1457" s="3281">
        <v>0</v>
      </c>
      <c r="P1457" s="3281">
        <v>0</v>
      </c>
      <c r="Q1457" s="3284">
        <v>0</v>
      </c>
    </row>
    <row r="1458" spans="2:17" ht="13.5" thickBot="1">
      <c r="B1458" s="3260" t="s">
        <v>67</v>
      </c>
      <c r="C1458" s="3268"/>
      <c r="D1458" s="3269"/>
      <c r="E1458" s="3269"/>
      <c r="F1458" s="3269"/>
      <c r="G1458" s="3270"/>
      <c r="H1458" s="3268"/>
      <c r="I1458" s="3281">
        <v>0</v>
      </c>
      <c r="J1458" s="3281">
        <v>0</v>
      </c>
      <c r="K1458" s="3281">
        <v>0</v>
      </c>
      <c r="L1458" s="3282">
        <v>0</v>
      </c>
      <c r="M1458" s="3285">
        <v>0</v>
      </c>
      <c r="N1458" s="3286">
        <v>0</v>
      </c>
      <c r="O1458" s="3286">
        <v>0</v>
      </c>
      <c r="P1458" s="3286">
        <v>0</v>
      </c>
      <c r="Q1458" s="3287">
        <v>0</v>
      </c>
    </row>
    <row r="1459" spans="2:17" ht="12.75" customHeight="1">
      <c r="B1459" s="4689">
        <v>3438</v>
      </c>
      <c r="C1459" s="4691" t="s">
        <v>36</v>
      </c>
      <c r="D1459" s="4692"/>
      <c r="E1459" s="4692"/>
      <c r="F1459" s="4692"/>
      <c r="G1459" s="4692"/>
      <c r="H1459" s="4693" t="s">
        <v>37</v>
      </c>
      <c r="I1459" s="4694"/>
      <c r="J1459" s="4694"/>
      <c r="K1459" s="4694"/>
      <c r="L1459" s="4694"/>
      <c r="M1459" s="4695" t="s">
        <v>73</v>
      </c>
      <c r="N1459" s="4695"/>
      <c r="O1459" s="4695"/>
      <c r="P1459" s="4695"/>
      <c r="Q1459" s="4696"/>
    </row>
    <row r="1460" spans="2:17" ht="12.75" customHeight="1">
      <c r="B1460" s="4690"/>
      <c r="C1460" s="4697" t="s">
        <v>1673</v>
      </c>
      <c r="D1460" s="4698"/>
      <c r="E1460" s="4698"/>
      <c r="F1460" s="4698"/>
      <c r="G1460" s="4698"/>
      <c r="H1460" s="4698"/>
      <c r="I1460" s="4698"/>
      <c r="J1460" s="4698"/>
      <c r="K1460" s="4698"/>
      <c r="L1460" s="4698"/>
      <c r="M1460" s="4698"/>
      <c r="N1460" s="4698"/>
      <c r="O1460" s="4698"/>
      <c r="P1460" s="4698"/>
      <c r="Q1460" s="4699"/>
    </row>
    <row r="1461" spans="2:17" ht="12.75" customHeight="1">
      <c r="B1461" s="4690"/>
      <c r="C1461" s="4697" t="s">
        <v>54</v>
      </c>
      <c r="D1461" s="4698"/>
      <c r="E1461" s="4698"/>
      <c r="F1461" s="4698"/>
      <c r="G1461" s="4698"/>
      <c r="H1461" s="4698"/>
      <c r="I1461" s="4698"/>
      <c r="J1461" s="4700"/>
      <c r="K1461" s="4701" t="s">
        <v>55</v>
      </c>
      <c r="L1461" s="4702"/>
      <c r="M1461" s="4702"/>
      <c r="N1461" s="4702"/>
      <c r="O1461" s="4702"/>
      <c r="P1461" s="4702"/>
      <c r="Q1461" s="4703"/>
    </row>
    <row r="1462" spans="2:17" ht="13.5" customHeight="1" thickBot="1">
      <c r="B1462" s="4690"/>
      <c r="C1462" s="3252">
        <f t="array" ref="C1462:G1462">PRCP</f>
        <v>2008</v>
      </c>
      <c r="D1462" s="3253">
        <v>2009</v>
      </c>
      <c r="E1462" s="3253">
        <v>2010</v>
      </c>
      <c r="F1462" s="3253">
        <v>2011</v>
      </c>
      <c r="G1462" s="3253">
        <v>2012</v>
      </c>
      <c r="H1462" s="3254">
        <f>CRCP_y1</f>
        <v>2013</v>
      </c>
      <c r="I1462" s="3254">
        <f>CRCP_y2</f>
        <v>2014</v>
      </c>
      <c r="J1462" s="3254">
        <f>CRCP_y3</f>
        <v>2015</v>
      </c>
      <c r="K1462" s="3254">
        <f>CRCP_y4</f>
        <v>2016</v>
      </c>
      <c r="L1462" s="3254">
        <f>CRCP_y5</f>
        <v>2017</v>
      </c>
      <c r="M1462" s="3253" t="str">
        <f t="array" ref="M1462:Q1462">FRCP</f>
        <v>2018</v>
      </c>
      <c r="N1462" s="3253">
        <v>2019</v>
      </c>
      <c r="O1462" s="3253">
        <v>2020</v>
      </c>
      <c r="P1462" s="3253">
        <v>2021</v>
      </c>
      <c r="Q1462" s="3255">
        <v>2022</v>
      </c>
    </row>
    <row r="1463" spans="2:17">
      <c r="B1463" s="3256" t="s">
        <v>1724</v>
      </c>
      <c r="C1463" s="3257"/>
      <c r="D1463" s="3258"/>
      <c r="E1463" s="3258"/>
      <c r="F1463" s="3258"/>
      <c r="G1463" s="3259"/>
      <c r="H1463" s="3257"/>
      <c r="I1463" s="3258"/>
      <c r="J1463" s="3258"/>
      <c r="K1463" s="3258"/>
      <c r="L1463" s="3259"/>
      <c r="M1463" s="3257"/>
      <c r="N1463" s="3258"/>
      <c r="O1463" s="3258"/>
      <c r="P1463" s="3258"/>
      <c r="Q1463" s="3259"/>
    </row>
    <row r="1464" spans="2:17">
      <c r="B1464" s="3260"/>
      <c r="C1464" s="3268"/>
      <c r="D1464" s="3269"/>
      <c r="E1464" s="3269"/>
      <c r="F1464" s="3269"/>
      <c r="G1464" s="3270"/>
      <c r="H1464" s="3268"/>
      <c r="I1464" s="3269"/>
      <c r="J1464" s="3269"/>
      <c r="K1464" s="3269"/>
      <c r="L1464" s="3270"/>
      <c r="M1464" s="3268"/>
      <c r="N1464" s="3269"/>
      <c r="O1464" s="3269"/>
      <c r="P1464" s="3269"/>
      <c r="Q1464" s="3270"/>
    </row>
    <row r="1465" spans="2:17">
      <c r="B1465" s="3260" t="s">
        <v>64</v>
      </c>
      <c r="C1465" s="3268"/>
      <c r="D1465" s="3269"/>
      <c r="E1465" s="3269"/>
      <c r="F1465" s="3269"/>
      <c r="G1465" s="3270"/>
      <c r="H1465" s="3268"/>
      <c r="I1465" s="3269">
        <v>0</v>
      </c>
      <c r="J1465" s="3269">
        <v>0</v>
      </c>
      <c r="K1465" s="3269">
        <v>0</v>
      </c>
      <c r="L1465" s="3270">
        <v>0</v>
      </c>
      <c r="M1465" s="3268">
        <v>0</v>
      </c>
      <c r="N1465" s="3269">
        <v>0</v>
      </c>
      <c r="O1465" s="3269">
        <v>0</v>
      </c>
      <c r="P1465" s="3269">
        <v>0</v>
      </c>
      <c r="Q1465" s="3270">
        <v>0</v>
      </c>
    </row>
    <row r="1466" spans="2:17">
      <c r="B1466" s="3260" t="s">
        <v>65</v>
      </c>
      <c r="C1466" s="3268"/>
      <c r="D1466" s="3269"/>
      <c r="E1466" s="3269"/>
      <c r="F1466" s="3269"/>
      <c r="G1466" s="3270"/>
      <c r="H1466" s="3268"/>
      <c r="I1466" s="3269">
        <v>0</v>
      </c>
      <c r="J1466" s="3269">
        <v>0</v>
      </c>
      <c r="K1466" s="3269">
        <v>0</v>
      </c>
      <c r="L1466" s="3270">
        <v>0</v>
      </c>
      <c r="M1466" s="3268">
        <v>0</v>
      </c>
      <c r="N1466" s="3269">
        <v>0</v>
      </c>
      <c r="O1466" s="3269">
        <v>0</v>
      </c>
      <c r="P1466" s="3269">
        <v>0</v>
      </c>
      <c r="Q1466" s="3270">
        <v>0</v>
      </c>
    </row>
    <row r="1467" spans="2:17">
      <c r="B1467" s="3260" t="s">
        <v>82</v>
      </c>
      <c r="C1467" s="3268"/>
      <c r="D1467" s="3269"/>
      <c r="E1467" s="3269"/>
      <c r="F1467" s="3269"/>
      <c r="G1467" s="3270"/>
      <c r="H1467" s="3268"/>
      <c r="I1467" s="3269">
        <v>0</v>
      </c>
      <c r="J1467" s="3269">
        <v>0</v>
      </c>
      <c r="K1467" s="3269">
        <v>0</v>
      </c>
      <c r="L1467" s="3270">
        <v>0</v>
      </c>
      <c r="M1467" s="3268">
        <v>0</v>
      </c>
      <c r="N1467" s="3269">
        <v>0</v>
      </c>
      <c r="O1467" s="3269">
        <v>0</v>
      </c>
      <c r="P1467" s="3269">
        <v>0</v>
      </c>
      <c r="Q1467" s="3270">
        <v>0</v>
      </c>
    </row>
    <row r="1468" spans="2:17">
      <c r="B1468" s="3260" t="s">
        <v>680</v>
      </c>
      <c r="C1468" s="3268"/>
      <c r="D1468" s="3269"/>
      <c r="E1468" s="3269"/>
      <c r="F1468" s="3269"/>
      <c r="G1468" s="3270"/>
      <c r="H1468" s="3268"/>
      <c r="I1468" s="3269">
        <v>0</v>
      </c>
      <c r="J1468" s="3269">
        <v>0</v>
      </c>
      <c r="K1468" s="3269">
        <v>0</v>
      </c>
      <c r="L1468" s="3270">
        <v>0</v>
      </c>
      <c r="M1468" s="3268">
        <v>0</v>
      </c>
      <c r="N1468" s="3269">
        <v>0</v>
      </c>
      <c r="O1468" s="3269">
        <v>0</v>
      </c>
      <c r="P1468" s="3269">
        <v>0</v>
      </c>
      <c r="Q1468" s="3270">
        <v>0</v>
      </c>
    </row>
    <row r="1469" spans="2:17">
      <c r="B1469" s="3260" t="s">
        <v>681</v>
      </c>
      <c r="C1469" s="3268"/>
      <c r="D1469" s="3269"/>
      <c r="E1469" s="3269"/>
      <c r="F1469" s="3269"/>
      <c r="G1469" s="3270"/>
      <c r="H1469" s="3268"/>
      <c r="I1469" s="3269">
        <v>17.114000000000001</v>
      </c>
      <c r="J1469" s="3269">
        <v>17.319000000000003</v>
      </c>
      <c r="K1469" s="3269">
        <v>17.319000000000003</v>
      </c>
      <c r="L1469" s="3269">
        <v>17.319000000000003</v>
      </c>
      <c r="M1469" s="3269">
        <v>17.319000000000003</v>
      </c>
      <c r="N1469" s="3269">
        <v>17.319000000000003</v>
      </c>
      <c r="O1469" s="3269">
        <v>17.319000000000003</v>
      </c>
      <c r="P1469" s="3269">
        <v>17.319000000000003</v>
      </c>
      <c r="Q1469" s="3269">
        <v>17.319000000000003</v>
      </c>
    </row>
    <row r="1470" spans="2:17">
      <c r="B1470" s="3260" t="s">
        <v>682</v>
      </c>
      <c r="C1470" s="3268"/>
      <c r="D1470" s="3269"/>
      <c r="E1470" s="3269"/>
      <c r="F1470" s="3269"/>
      <c r="G1470" s="3270"/>
      <c r="H1470" s="3268"/>
      <c r="I1470" s="3269">
        <v>0</v>
      </c>
      <c r="J1470" s="3269">
        <v>0</v>
      </c>
      <c r="K1470" s="3269">
        <v>0</v>
      </c>
      <c r="L1470" s="3269">
        <v>0</v>
      </c>
      <c r="M1470" s="3269">
        <v>0</v>
      </c>
      <c r="N1470" s="3269">
        <v>0</v>
      </c>
      <c r="O1470" s="3269">
        <v>0</v>
      </c>
      <c r="P1470" s="3269">
        <v>0</v>
      </c>
      <c r="Q1470" s="3269">
        <v>0</v>
      </c>
    </row>
    <row r="1471" spans="2:17">
      <c r="B1471" s="3260" t="s">
        <v>66</v>
      </c>
      <c r="C1471" s="3268"/>
      <c r="D1471" s="3269"/>
      <c r="E1471" s="3269"/>
      <c r="F1471" s="3269"/>
      <c r="G1471" s="3270"/>
      <c r="H1471" s="3268"/>
      <c r="I1471" s="3269">
        <v>0</v>
      </c>
      <c r="J1471" s="3269">
        <v>0</v>
      </c>
      <c r="K1471" s="3269">
        <v>0</v>
      </c>
      <c r="L1471" s="3269">
        <v>0</v>
      </c>
      <c r="M1471" s="3269">
        <v>0</v>
      </c>
      <c r="N1471" s="3269">
        <v>0</v>
      </c>
      <c r="O1471" s="3269">
        <v>0</v>
      </c>
      <c r="P1471" s="3269">
        <v>0</v>
      </c>
      <c r="Q1471" s="3269">
        <v>0</v>
      </c>
    </row>
    <row r="1472" spans="2:17" ht="13.5" thickBot="1">
      <c r="B1472" s="3260" t="s">
        <v>67</v>
      </c>
      <c r="C1472" s="3268"/>
      <c r="D1472" s="3269"/>
      <c r="E1472" s="3269"/>
      <c r="F1472" s="3269"/>
      <c r="G1472" s="3270"/>
      <c r="H1472" s="3268"/>
      <c r="I1472" s="3269">
        <v>0.14100000000000001</v>
      </c>
      <c r="J1472" s="3269">
        <v>0.14100000000000001</v>
      </c>
      <c r="K1472" s="3269">
        <v>0.14100000000000001</v>
      </c>
      <c r="L1472" s="3269">
        <v>0.14100000000000001</v>
      </c>
      <c r="M1472" s="3269">
        <v>0.14100000000000001</v>
      </c>
      <c r="N1472" s="3269">
        <v>0.14100000000000001</v>
      </c>
      <c r="O1472" s="3269">
        <v>0.14100000000000001</v>
      </c>
      <c r="P1472" s="3269">
        <v>0.14100000000000001</v>
      </c>
      <c r="Q1472" s="3269">
        <v>0.14100000000000001</v>
      </c>
    </row>
    <row r="1473" spans="2:17" ht="12.75" customHeight="1">
      <c r="B1473" s="4689">
        <v>3440</v>
      </c>
      <c r="C1473" s="4691" t="s">
        <v>36</v>
      </c>
      <c r="D1473" s="4692"/>
      <c r="E1473" s="4692"/>
      <c r="F1473" s="4692"/>
      <c r="G1473" s="4692"/>
      <c r="H1473" s="4693" t="s">
        <v>37</v>
      </c>
      <c r="I1473" s="4694"/>
      <c r="J1473" s="4694"/>
      <c r="K1473" s="4694"/>
      <c r="L1473" s="4694"/>
      <c r="M1473" s="4695" t="s">
        <v>73</v>
      </c>
      <c r="N1473" s="4695"/>
      <c r="O1473" s="4695"/>
      <c r="P1473" s="4695"/>
      <c r="Q1473" s="4696"/>
    </row>
    <row r="1474" spans="2:17" ht="12.75" customHeight="1">
      <c r="B1474" s="4690"/>
      <c r="C1474" s="4697" t="s">
        <v>1673</v>
      </c>
      <c r="D1474" s="4698"/>
      <c r="E1474" s="4698"/>
      <c r="F1474" s="4698"/>
      <c r="G1474" s="4698"/>
      <c r="H1474" s="4698"/>
      <c r="I1474" s="4698"/>
      <c r="J1474" s="4698"/>
      <c r="K1474" s="4698"/>
      <c r="L1474" s="4698"/>
      <c r="M1474" s="4698"/>
      <c r="N1474" s="4698"/>
      <c r="O1474" s="4698"/>
      <c r="P1474" s="4698"/>
      <c r="Q1474" s="4699"/>
    </row>
    <row r="1475" spans="2:17" ht="12.75" customHeight="1">
      <c r="B1475" s="4690"/>
      <c r="C1475" s="4697" t="s">
        <v>54</v>
      </c>
      <c r="D1475" s="4698"/>
      <c r="E1475" s="4698"/>
      <c r="F1475" s="4698"/>
      <c r="G1475" s="4698"/>
      <c r="H1475" s="4698"/>
      <c r="I1475" s="4698"/>
      <c r="J1475" s="4700"/>
      <c r="K1475" s="4701" t="s">
        <v>55</v>
      </c>
      <c r="L1475" s="4702"/>
      <c r="M1475" s="4702"/>
      <c r="N1475" s="4702"/>
      <c r="O1475" s="4702"/>
      <c r="P1475" s="4702"/>
      <c r="Q1475" s="4703"/>
    </row>
    <row r="1476" spans="2:17" ht="13.5" customHeight="1" thickBot="1">
      <c r="B1476" s="4690"/>
      <c r="C1476" s="3252">
        <f t="array" ref="C1476:G1476">PRCP</f>
        <v>2008</v>
      </c>
      <c r="D1476" s="3253">
        <v>2009</v>
      </c>
      <c r="E1476" s="3253">
        <v>2010</v>
      </c>
      <c r="F1476" s="3253">
        <v>2011</v>
      </c>
      <c r="G1476" s="3253">
        <v>2012</v>
      </c>
      <c r="H1476" s="3254">
        <f>CRCP_y1</f>
        <v>2013</v>
      </c>
      <c r="I1476" s="3254">
        <f>CRCP_y2</f>
        <v>2014</v>
      </c>
      <c r="J1476" s="3254">
        <f>CRCP_y3</f>
        <v>2015</v>
      </c>
      <c r="K1476" s="3254">
        <f>CRCP_y4</f>
        <v>2016</v>
      </c>
      <c r="L1476" s="3254">
        <f>CRCP_y5</f>
        <v>2017</v>
      </c>
      <c r="M1476" s="3253" t="str">
        <f t="array" ref="M1476:Q1476">FRCP</f>
        <v>2018</v>
      </c>
      <c r="N1476" s="3253">
        <v>2019</v>
      </c>
      <c r="O1476" s="3253">
        <v>2020</v>
      </c>
      <c r="P1476" s="3253">
        <v>2021</v>
      </c>
      <c r="Q1476" s="3255">
        <v>2022</v>
      </c>
    </row>
    <row r="1477" spans="2:17">
      <c r="B1477" s="3256" t="s">
        <v>1725</v>
      </c>
      <c r="C1477" s="3257"/>
      <c r="D1477" s="3258"/>
      <c r="E1477" s="3258"/>
      <c r="F1477" s="3258"/>
      <c r="G1477" s="3259"/>
      <c r="H1477" s="3257"/>
      <c r="I1477" s="3258"/>
      <c r="J1477" s="3258"/>
      <c r="K1477" s="3258"/>
      <c r="L1477" s="3259"/>
      <c r="M1477" s="3257"/>
      <c r="N1477" s="3258"/>
      <c r="O1477" s="3258"/>
      <c r="P1477" s="3258"/>
      <c r="Q1477" s="3259"/>
    </row>
    <row r="1478" spans="2:17">
      <c r="B1478" s="3260"/>
      <c r="C1478" s="3268"/>
      <c r="D1478" s="3269"/>
      <c r="E1478" s="3269"/>
      <c r="F1478" s="3269"/>
      <c r="G1478" s="3270"/>
      <c r="H1478" s="3268"/>
      <c r="I1478" s="3269"/>
      <c r="J1478" s="3269"/>
      <c r="K1478" s="3269"/>
      <c r="L1478" s="3270"/>
      <c r="M1478" s="3268"/>
      <c r="N1478" s="3269"/>
      <c r="O1478" s="3269"/>
      <c r="P1478" s="3269"/>
      <c r="Q1478" s="3270"/>
    </row>
    <row r="1479" spans="2:17">
      <c r="B1479" s="3260" t="s">
        <v>64</v>
      </c>
      <c r="C1479" s="3268"/>
      <c r="D1479" s="3269"/>
      <c r="E1479" s="3269"/>
      <c r="F1479" s="3269"/>
      <c r="G1479" s="3270"/>
      <c r="H1479" s="3268"/>
      <c r="I1479" s="3269">
        <v>0</v>
      </c>
      <c r="J1479" s="3269">
        <v>0</v>
      </c>
      <c r="K1479" s="3269">
        <v>0</v>
      </c>
      <c r="L1479" s="3270">
        <v>0</v>
      </c>
      <c r="M1479" s="3268">
        <v>0</v>
      </c>
      <c r="N1479" s="3269">
        <v>0</v>
      </c>
      <c r="O1479" s="3269">
        <v>0</v>
      </c>
      <c r="P1479" s="3269">
        <v>0</v>
      </c>
      <c r="Q1479" s="3270">
        <v>0</v>
      </c>
    </row>
    <row r="1480" spans="2:17">
      <c r="B1480" s="3260" t="s">
        <v>65</v>
      </c>
      <c r="C1480" s="3268"/>
      <c r="D1480" s="3269"/>
      <c r="E1480" s="3269"/>
      <c r="F1480" s="3269"/>
      <c r="G1480" s="3270"/>
      <c r="H1480" s="3268"/>
      <c r="I1480" s="3269">
        <v>0</v>
      </c>
      <c r="J1480" s="3269">
        <v>0</v>
      </c>
      <c r="K1480" s="3269">
        <v>0</v>
      </c>
      <c r="L1480" s="3270">
        <v>0</v>
      </c>
      <c r="M1480" s="3268">
        <v>0</v>
      </c>
      <c r="N1480" s="3269">
        <v>0</v>
      </c>
      <c r="O1480" s="3269">
        <v>0</v>
      </c>
      <c r="P1480" s="3269">
        <v>0</v>
      </c>
      <c r="Q1480" s="3270">
        <v>0</v>
      </c>
    </row>
    <row r="1481" spans="2:17">
      <c r="B1481" s="3260" t="s">
        <v>82</v>
      </c>
      <c r="C1481" s="3268"/>
      <c r="D1481" s="3269"/>
      <c r="E1481" s="3269"/>
      <c r="F1481" s="3269"/>
      <c r="G1481" s="3270"/>
      <c r="H1481" s="3268"/>
      <c r="I1481" s="3269">
        <v>0</v>
      </c>
      <c r="J1481" s="3269">
        <v>0</v>
      </c>
      <c r="K1481" s="3269">
        <v>0</v>
      </c>
      <c r="L1481" s="3270">
        <v>0</v>
      </c>
      <c r="M1481" s="3268">
        <v>0</v>
      </c>
      <c r="N1481" s="3269">
        <v>0</v>
      </c>
      <c r="O1481" s="3269">
        <v>0</v>
      </c>
      <c r="P1481" s="3269">
        <v>0</v>
      </c>
      <c r="Q1481" s="3270">
        <v>0</v>
      </c>
    </row>
    <row r="1482" spans="2:17">
      <c r="B1482" s="3260" t="s">
        <v>680</v>
      </c>
      <c r="C1482" s="3268"/>
      <c r="D1482" s="3269"/>
      <c r="E1482" s="3269"/>
      <c r="F1482" s="3269"/>
      <c r="G1482" s="3270"/>
      <c r="H1482" s="3268"/>
      <c r="I1482" s="3269">
        <v>0</v>
      </c>
      <c r="J1482" s="3269">
        <v>0</v>
      </c>
      <c r="K1482" s="3269">
        <v>0</v>
      </c>
      <c r="L1482" s="3270">
        <v>0</v>
      </c>
      <c r="M1482" s="3268">
        <v>0</v>
      </c>
      <c r="N1482" s="3269">
        <v>0</v>
      </c>
      <c r="O1482" s="3269">
        <v>0</v>
      </c>
      <c r="P1482" s="3269">
        <v>0</v>
      </c>
      <c r="Q1482" s="3270">
        <v>0</v>
      </c>
    </row>
    <row r="1483" spans="2:17">
      <c r="B1483" s="3260" t="s">
        <v>681</v>
      </c>
      <c r="C1483" s="3268"/>
      <c r="D1483" s="3269"/>
      <c r="E1483" s="3269"/>
      <c r="F1483" s="3269"/>
      <c r="G1483" s="3270"/>
      <c r="H1483" s="3268"/>
      <c r="I1483" s="3269">
        <v>20.276000000000007</v>
      </c>
      <c r="J1483" s="3269">
        <v>20.276000000000007</v>
      </c>
      <c r="K1483" s="3269">
        <v>20.276000000000007</v>
      </c>
      <c r="L1483" s="3269">
        <v>20.276000000000007</v>
      </c>
      <c r="M1483" s="3269">
        <v>20.276000000000007</v>
      </c>
      <c r="N1483" s="3269">
        <v>20.276000000000007</v>
      </c>
      <c r="O1483" s="3269">
        <v>20.276000000000007</v>
      </c>
      <c r="P1483" s="3269">
        <v>20.276000000000007</v>
      </c>
      <c r="Q1483" s="3269">
        <v>20.276000000000007</v>
      </c>
    </row>
    <row r="1484" spans="2:17">
      <c r="B1484" s="3260" t="s">
        <v>682</v>
      </c>
      <c r="C1484" s="3268"/>
      <c r="D1484" s="3269"/>
      <c r="E1484" s="3269"/>
      <c r="F1484" s="3269"/>
      <c r="G1484" s="3270"/>
      <c r="H1484" s="3268"/>
      <c r="I1484" s="3269">
        <v>0</v>
      </c>
      <c r="J1484" s="3269">
        <v>0</v>
      </c>
      <c r="K1484" s="3269">
        <v>0</v>
      </c>
      <c r="L1484" s="3269">
        <v>0</v>
      </c>
      <c r="M1484" s="3269">
        <v>0</v>
      </c>
      <c r="N1484" s="3269">
        <v>0</v>
      </c>
      <c r="O1484" s="3269">
        <v>0</v>
      </c>
      <c r="P1484" s="3269">
        <v>0</v>
      </c>
      <c r="Q1484" s="3269">
        <v>0</v>
      </c>
    </row>
    <row r="1485" spans="2:17">
      <c r="B1485" s="3260" t="s">
        <v>66</v>
      </c>
      <c r="C1485" s="3268"/>
      <c r="D1485" s="3269"/>
      <c r="E1485" s="3269"/>
      <c r="F1485" s="3269"/>
      <c r="G1485" s="3270"/>
      <c r="H1485" s="3268"/>
      <c r="I1485" s="3269">
        <v>0</v>
      </c>
      <c r="J1485" s="3269">
        <v>0</v>
      </c>
      <c r="K1485" s="3269">
        <v>0</v>
      </c>
      <c r="L1485" s="3269">
        <v>0</v>
      </c>
      <c r="M1485" s="3269">
        <v>0</v>
      </c>
      <c r="N1485" s="3269">
        <v>0</v>
      </c>
      <c r="O1485" s="3269">
        <v>0</v>
      </c>
      <c r="P1485" s="3269">
        <v>0</v>
      </c>
      <c r="Q1485" s="3269">
        <v>0</v>
      </c>
    </row>
    <row r="1486" spans="2:17" ht="13.5" thickBot="1">
      <c r="B1486" s="3260" t="s">
        <v>67</v>
      </c>
      <c r="C1486" s="3268"/>
      <c r="D1486" s="3269"/>
      <c r="E1486" s="3269"/>
      <c r="F1486" s="3269"/>
      <c r="G1486" s="3270"/>
      <c r="H1486" s="3268"/>
      <c r="I1486" s="3269">
        <v>5.5E-2</v>
      </c>
      <c r="J1486" s="3269">
        <v>5.5E-2</v>
      </c>
      <c r="K1486" s="3269">
        <v>5.5E-2</v>
      </c>
      <c r="L1486" s="3269">
        <v>5.5E-2</v>
      </c>
      <c r="M1486" s="3269">
        <v>5.5E-2</v>
      </c>
      <c r="N1486" s="3269">
        <v>5.5E-2</v>
      </c>
      <c r="O1486" s="3269">
        <v>5.5E-2</v>
      </c>
      <c r="P1486" s="3269">
        <v>5.5E-2</v>
      </c>
      <c r="Q1486" s="3269">
        <v>5.5E-2</v>
      </c>
    </row>
    <row r="1487" spans="2:17" ht="12.75" customHeight="1">
      <c r="B1487" s="4689">
        <v>3441</v>
      </c>
      <c r="C1487" s="4691" t="s">
        <v>36</v>
      </c>
      <c r="D1487" s="4692"/>
      <c r="E1487" s="4692"/>
      <c r="F1487" s="4692"/>
      <c r="G1487" s="4692"/>
      <c r="H1487" s="4693" t="s">
        <v>37</v>
      </c>
      <c r="I1487" s="4694"/>
      <c r="J1487" s="4694"/>
      <c r="K1487" s="4694"/>
      <c r="L1487" s="4694"/>
      <c r="M1487" s="4695" t="s">
        <v>73</v>
      </c>
      <c r="N1487" s="4695"/>
      <c r="O1487" s="4695"/>
      <c r="P1487" s="4695"/>
      <c r="Q1487" s="4696"/>
    </row>
    <row r="1488" spans="2:17" ht="12.75" customHeight="1">
      <c r="B1488" s="4690"/>
      <c r="C1488" s="4697" t="s">
        <v>1673</v>
      </c>
      <c r="D1488" s="4698"/>
      <c r="E1488" s="4698"/>
      <c r="F1488" s="4698"/>
      <c r="G1488" s="4698"/>
      <c r="H1488" s="4698"/>
      <c r="I1488" s="4698"/>
      <c r="J1488" s="4698"/>
      <c r="K1488" s="4698"/>
      <c r="L1488" s="4698"/>
      <c r="M1488" s="4698"/>
      <c r="N1488" s="4698"/>
      <c r="O1488" s="4698"/>
      <c r="P1488" s="4698"/>
      <c r="Q1488" s="4699"/>
    </row>
    <row r="1489" spans="2:17" ht="12.75" customHeight="1">
      <c r="B1489" s="4690"/>
      <c r="C1489" s="4697" t="s">
        <v>54</v>
      </c>
      <c r="D1489" s="4698"/>
      <c r="E1489" s="4698"/>
      <c r="F1489" s="4698"/>
      <c r="G1489" s="4698"/>
      <c r="H1489" s="4698"/>
      <c r="I1489" s="4698"/>
      <c r="J1489" s="4700"/>
      <c r="K1489" s="4701" t="s">
        <v>55</v>
      </c>
      <c r="L1489" s="4702"/>
      <c r="M1489" s="4702"/>
      <c r="N1489" s="4702"/>
      <c r="O1489" s="4702"/>
      <c r="P1489" s="4702"/>
      <c r="Q1489" s="4703"/>
    </row>
    <row r="1490" spans="2:17" ht="13.5" customHeight="1" thickBot="1">
      <c r="B1490" s="4690"/>
      <c r="C1490" s="3252">
        <f t="array" ref="C1490:G1490">PRCP</f>
        <v>2008</v>
      </c>
      <c r="D1490" s="3253">
        <v>2009</v>
      </c>
      <c r="E1490" s="3253">
        <v>2010</v>
      </c>
      <c r="F1490" s="3253">
        <v>2011</v>
      </c>
      <c r="G1490" s="3253">
        <v>2012</v>
      </c>
      <c r="H1490" s="3254">
        <f>CRCP_y1</f>
        <v>2013</v>
      </c>
      <c r="I1490" s="3254">
        <f>CRCP_y2</f>
        <v>2014</v>
      </c>
      <c r="J1490" s="3254">
        <f>CRCP_y3</f>
        <v>2015</v>
      </c>
      <c r="K1490" s="3254">
        <f>CRCP_y4</f>
        <v>2016</v>
      </c>
      <c r="L1490" s="3254">
        <f>CRCP_y5</f>
        <v>2017</v>
      </c>
      <c r="M1490" s="3253" t="str">
        <f t="array" ref="M1490:Q1490">FRCP</f>
        <v>2018</v>
      </c>
      <c r="N1490" s="3253">
        <v>2019</v>
      </c>
      <c r="O1490" s="3253">
        <v>2020</v>
      </c>
      <c r="P1490" s="3253">
        <v>2021</v>
      </c>
      <c r="Q1490" s="3255">
        <v>2022</v>
      </c>
    </row>
    <row r="1491" spans="2:17">
      <c r="B1491" s="3256" t="s">
        <v>1725</v>
      </c>
      <c r="C1491" s="3257"/>
      <c r="D1491" s="3258"/>
      <c r="E1491" s="3258"/>
      <c r="F1491" s="3258"/>
      <c r="G1491" s="3259"/>
      <c r="H1491" s="3257"/>
      <c r="I1491" s="3258"/>
      <c r="J1491" s="3258"/>
      <c r="K1491" s="3258"/>
      <c r="L1491" s="3259"/>
      <c r="M1491" s="3257"/>
      <c r="N1491" s="3258"/>
      <c r="O1491" s="3258"/>
      <c r="P1491" s="3258"/>
      <c r="Q1491" s="3259"/>
    </row>
    <row r="1492" spans="2:17">
      <c r="B1492" s="3260"/>
      <c r="C1492" s="3268"/>
      <c r="D1492" s="3269"/>
      <c r="E1492" s="3269"/>
      <c r="F1492" s="3269"/>
      <c r="G1492" s="3270"/>
      <c r="H1492" s="3268"/>
      <c r="I1492" s="3269"/>
      <c r="J1492" s="3269"/>
      <c r="K1492" s="3269"/>
      <c r="L1492" s="3270"/>
      <c r="M1492" s="3268"/>
      <c r="N1492" s="3269"/>
      <c r="O1492" s="3269"/>
      <c r="P1492" s="3269"/>
      <c r="Q1492" s="3270"/>
    </row>
    <row r="1493" spans="2:17">
      <c r="B1493" s="3260" t="s">
        <v>64</v>
      </c>
      <c r="C1493" s="3268"/>
      <c r="D1493" s="3269"/>
      <c r="E1493" s="3269"/>
      <c r="F1493" s="3269"/>
      <c r="G1493" s="3270"/>
      <c r="H1493" s="3268"/>
      <c r="I1493" s="3269">
        <v>0</v>
      </c>
      <c r="J1493" s="3269">
        <v>0</v>
      </c>
      <c r="K1493" s="3269">
        <v>0</v>
      </c>
      <c r="L1493" s="3270">
        <v>0</v>
      </c>
      <c r="M1493" s="3268">
        <v>0</v>
      </c>
      <c r="N1493" s="3269">
        <v>0</v>
      </c>
      <c r="O1493" s="3269">
        <v>0</v>
      </c>
      <c r="P1493" s="3269">
        <v>0</v>
      </c>
      <c r="Q1493" s="3270">
        <v>0</v>
      </c>
    </row>
    <row r="1494" spans="2:17">
      <c r="B1494" s="3260" t="s">
        <v>65</v>
      </c>
      <c r="C1494" s="3268"/>
      <c r="D1494" s="3269"/>
      <c r="E1494" s="3269"/>
      <c r="F1494" s="3269"/>
      <c r="G1494" s="3270"/>
      <c r="H1494" s="3268"/>
      <c r="I1494" s="3269">
        <v>0</v>
      </c>
      <c r="J1494" s="3269">
        <v>0</v>
      </c>
      <c r="K1494" s="3269">
        <v>0</v>
      </c>
      <c r="L1494" s="3270">
        <v>0</v>
      </c>
      <c r="M1494" s="3268">
        <v>0</v>
      </c>
      <c r="N1494" s="3269">
        <v>0</v>
      </c>
      <c r="O1494" s="3269">
        <v>0</v>
      </c>
      <c r="P1494" s="3269">
        <v>0</v>
      </c>
      <c r="Q1494" s="3270">
        <v>0</v>
      </c>
    </row>
    <row r="1495" spans="2:17">
      <c r="B1495" s="3260" t="s">
        <v>82</v>
      </c>
      <c r="C1495" s="3268"/>
      <c r="D1495" s="3269"/>
      <c r="E1495" s="3269"/>
      <c r="F1495" s="3269"/>
      <c r="G1495" s="3270"/>
      <c r="H1495" s="3268"/>
      <c r="I1495" s="3269">
        <v>0</v>
      </c>
      <c r="J1495" s="3269">
        <v>0</v>
      </c>
      <c r="K1495" s="3269">
        <v>0</v>
      </c>
      <c r="L1495" s="3270">
        <v>0</v>
      </c>
      <c r="M1495" s="3268">
        <v>0</v>
      </c>
      <c r="N1495" s="3269">
        <v>0</v>
      </c>
      <c r="O1495" s="3269">
        <v>0</v>
      </c>
      <c r="P1495" s="3269">
        <v>0</v>
      </c>
      <c r="Q1495" s="3270">
        <v>0</v>
      </c>
    </row>
    <row r="1496" spans="2:17">
      <c r="B1496" s="3260" t="s">
        <v>680</v>
      </c>
      <c r="C1496" s="3268"/>
      <c r="D1496" s="3269"/>
      <c r="E1496" s="3269"/>
      <c r="F1496" s="3269"/>
      <c r="G1496" s="3270"/>
      <c r="H1496" s="3268"/>
      <c r="I1496" s="3269">
        <v>0</v>
      </c>
      <c r="J1496" s="3269">
        <v>0</v>
      </c>
      <c r="K1496" s="3269">
        <v>0</v>
      </c>
      <c r="L1496" s="3270">
        <v>0</v>
      </c>
      <c r="M1496" s="3268">
        <v>0</v>
      </c>
      <c r="N1496" s="3269">
        <v>0</v>
      </c>
      <c r="O1496" s="3269">
        <v>0</v>
      </c>
      <c r="P1496" s="3269">
        <v>0</v>
      </c>
      <c r="Q1496" s="3270">
        <v>0</v>
      </c>
    </row>
    <row r="1497" spans="2:17">
      <c r="B1497" s="3260" t="s">
        <v>681</v>
      </c>
      <c r="C1497" s="3268"/>
      <c r="D1497" s="3269"/>
      <c r="E1497" s="3269"/>
      <c r="F1497" s="3269"/>
      <c r="G1497" s="3270"/>
      <c r="H1497" s="3268"/>
      <c r="I1497" s="3269">
        <v>12.393000000000001</v>
      </c>
      <c r="J1497" s="3269">
        <v>12.52</v>
      </c>
      <c r="K1497" s="3269">
        <v>12.52</v>
      </c>
      <c r="L1497" s="3269">
        <v>12.52</v>
      </c>
      <c r="M1497" s="3269">
        <v>12.52</v>
      </c>
      <c r="N1497" s="3269">
        <v>12.52</v>
      </c>
      <c r="O1497" s="3269">
        <v>12.52</v>
      </c>
      <c r="P1497" s="3269">
        <v>12.52</v>
      </c>
      <c r="Q1497" s="3269">
        <v>12.52</v>
      </c>
    </row>
    <row r="1498" spans="2:17">
      <c r="B1498" s="3260" t="s">
        <v>682</v>
      </c>
      <c r="C1498" s="3268"/>
      <c r="D1498" s="3269"/>
      <c r="E1498" s="3269"/>
      <c r="F1498" s="3269"/>
      <c r="G1498" s="3270"/>
      <c r="H1498" s="3268"/>
      <c r="I1498" s="3269">
        <v>0</v>
      </c>
      <c r="J1498" s="3269">
        <v>0</v>
      </c>
      <c r="K1498" s="3269">
        <v>0</v>
      </c>
      <c r="L1498" s="3270">
        <v>0</v>
      </c>
      <c r="M1498" s="3268">
        <v>0</v>
      </c>
      <c r="N1498" s="3269">
        <v>0</v>
      </c>
      <c r="O1498" s="3269">
        <v>0</v>
      </c>
      <c r="P1498" s="3269">
        <v>0</v>
      </c>
      <c r="Q1498" s="3270">
        <v>0</v>
      </c>
    </row>
    <row r="1499" spans="2:17">
      <c r="B1499" s="3260" t="s">
        <v>66</v>
      </c>
      <c r="C1499" s="3268"/>
      <c r="D1499" s="3269"/>
      <c r="E1499" s="3269"/>
      <c r="F1499" s="3269"/>
      <c r="G1499" s="3270"/>
      <c r="H1499" s="3268"/>
      <c r="I1499" s="3269">
        <v>0</v>
      </c>
      <c r="J1499" s="3269">
        <v>0</v>
      </c>
      <c r="K1499" s="3269">
        <v>0</v>
      </c>
      <c r="L1499" s="3270">
        <v>0</v>
      </c>
      <c r="M1499" s="3268">
        <v>0</v>
      </c>
      <c r="N1499" s="3269">
        <v>0</v>
      </c>
      <c r="O1499" s="3269">
        <v>0</v>
      </c>
      <c r="P1499" s="3269">
        <v>0</v>
      </c>
      <c r="Q1499" s="3270">
        <v>0</v>
      </c>
    </row>
    <row r="1500" spans="2:17" ht="13.5" thickBot="1">
      <c r="B1500" s="3260" t="s">
        <v>67</v>
      </c>
      <c r="C1500" s="3268"/>
      <c r="D1500" s="3269"/>
      <c r="E1500" s="3269"/>
      <c r="F1500" s="3269"/>
      <c r="G1500" s="3270"/>
      <c r="H1500" s="3268"/>
      <c r="I1500" s="3269">
        <v>0</v>
      </c>
      <c r="J1500" s="3269">
        <v>0</v>
      </c>
      <c r="K1500" s="3269">
        <v>0</v>
      </c>
      <c r="L1500" s="3270">
        <v>0</v>
      </c>
      <c r="M1500" s="3268">
        <v>0</v>
      </c>
      <c r="N1500" s="3269">
        <v>0</v>
      </c>
      <c r="O1500" s="3269">
        <v>0</v>
      </c>
      <c r="P1500" s="3269">
        <v>0</v>
      </c>
      <c r="Q1500" s="3270">
        <v>0</v>
      </c>
    </row>
    <row r="1501" spans="2:17" ht="12.75" customHeight="1">
      <c r="B1501" s="4689">
        <v>3442</v>
      </c>
      <c r="C1501" s="4691" t="s">
        <v>36</v>
      </c>
      <c r="D1501" s="4692"/>
      <c r="E1501" s="4692"/>
      <c r="F1501" s="4692"/>
      <c r="G1501" s="4692"/>
      <c r="H1501" s="4693" t="s">
        <v>37</v>
      </c>
      <c r="I1501" s="4694"/>
      <c r="J1501" s="4694"/>
      <c r="K1501" s="4694"/>
      <c r="L1501" s="4694"/>
      <c r="M1501" s="4695" t="s">
        <v>73</v>
      </c>
      <c r="N1501" s="4695"/>
      <c r="O1501" s="4695"/>
      <c r="P1501" s="4695"/>
      <c r="Q1501" s="4696"/>
    </row>
    <row r="1502" spans="2:17" ht="12.75" customHeight="1">
      <c r="B1502" s="4690"/>
      <c r="C1502" s="4697" t="s">
        <v>1673</v>
      </c>
      <c r="D1502" s="4698"/>
      <c r="E1502" s="4698"/>
      <c r="F1502" s="4698"/>
      <c r="G1502" s="4698"/>
      <c r="H1502" s="4698"/>
      <c r="I1502" s="4698"/>
      <c r="J1502" s="4698"/>
      <c r="K1502" s="4698"/>
      <c r="L1502" s="4698"/>
      <c r="M1502" s="4698"/>
      <c r="N1502" s="4698"/>
      <c r="O1502" s="4698"/>
      <c r="P1502" s="4698"/>
      <c r="Q1502" s="4699"/>
    </row>
    <row r="1503" spans="2:17" ht="12.75" customHeight="1">
      <c r="B1503" s="4690"/>
      <c r="C1503" s="4697" t="s">
        <v>54</v>
      </c>
      <c r="D1503" s="4698"/>
      <c r="E1503" s="4698"/>
      <c r="F1503" s="4698"/>
      <c r="G1503" s="4698"/>
      <c r="H1503" s="4698"/>
      <c r="I1503" s="4698"/>
      <c r="J1503" s="4700"/>
      <c r="K1503" s="4701" t="s">
        <v>55</v>
      </c>
      <c r="L1503" s="4702"/>
      <c r="M1503" s="4702"/>
      <c r="N1503" s="4702"/>
      <c r="O1503" s="4702"/>
      <c r="P1503" s="4702"/>
      <c r="Q1503" s="4703"/>
    </row>
    <row r="1504" spans="2:17" ht="13.5" customHeight="1" thickBot="1">
      <c r="B1504" s="4690"/>
      <c r="C1504" s="3252">
        <f t="array" ref="C1504:G1504">PRCP</f>
        <v>2008</v>
      </c>
      <c r="D1504" s="3253">
        <v>2009</v>
      </c>
      <c r="E1504" s="3253">
        <v>2010</v>
      </c>
      <c r="F1504" s="3253">
        <v>2011</v>
      </c>
      <c r="G1504" s="3253">
        <v>2012</v>
      </c>
      <c r="H1504" s="3254">
        <f>CRCP_y1</f>
        <v>2013</v>
      </c>
      <c r="I1504" s="3254">
        <f>CRCP_y2</f>
        <v>2014</v>
      </c>
      <c r="J1504" s="3254">
        <f>CRCP_y3</f>
        <v>2015</v>
      </c>
      <c r="K1504" s="3254">
        <f>CRCP_y4</f>
        <v>2016</v>
      </c>
      <c r="L1504" s="3254">
        <f>CRCP_y5</f>
        <v>2017</v>
      </c>
      <c r="M1504" s="3253" t="str">
        <f t="array" ref="M1504:Q1504">FRCP</f>
        <v>2018</v>
      </c>
      <c r="N1504" s="3253">
        <v>2019</v>
      </c>
      <c r="O1504" s="3253">
        <v>2020</v>
      </c>
      <c r="P1504" s="3253">
        <v>2021</v>
      </c>
      <c r="Q1504" s="3255">
        <v>2022</v>
      </c>
    </row>
    <row r="1505" spans="2:17">
      <c r="B1505" s="3256" t="s">
        <v>1726</v>
      </c>
      <c r="C1505" s="3257"/>
      <c r="D1505" s="3258"/>
      <c r="E1505" s="3258"/>
      <c r="F1505" s="3258"/>
      <c r="G1505" s="3259"/>
      <c r="H1505" s="3257"/>
      <c r="I1505" s="3258"/>
      <c r="J1505" s="3258"/>
      <c r="K1505" s="3258"/>
      <c r="L1505" s="3259"/>
      <c r="M1505" s="3257"/>
      <c r="N1505" s="3258"/>
      <c r="O1505" s="3258"/>
      <c r="P1505" s="3258"/>
      <c r="Q1505" s="3259"/>
    </row>
    <row r="1506" spans="2:17">
      <c r="B1506" s="3260"/>
      <c r="C1506" s="3268"/>
      <c r="D1506" s="3269"/>
      <c r="E1506" s="3269"/>
      <c r="F1506" s="3269"/>
      <c r="G1506" s="3270"/>
      <c r="H1506" s="3268"/>
      <c r="I1506" s="3269"/>
      <c r="J1506" s="3269"/>
      <c r="K1506" s="3269"/>
      <c r="L1506" s="3270"/>
      <c r="M1506" s="3268"/>
      <c r="N1506" s="3269"/>
      <c r="O1506" s="3269"/>
      <c r="P1506" s="3269"/>
      <c r="Q1506" s="3270"/>
    </row>
    <row r="1507" spans="2:17">
      <c r="B1507" s="3260" t="s">
        <v>64</v>
      </c>
      <c r="C1507" s="3268"/>
      <c r="D1507" s="3269"/>
      <c r="E1507" s="3269"/>
      <c r="F1507" s="3269"/>
      <c r="G1507" s="3270"/>
      <c r="H1507" s="3268"/>
      <c r="I1507" s="3281">
        <v>0</v>
      </c>
      <c r="J1507" s="3281">
        <v>0</v>
      </c>
      <c r="K1507" s="3281">
        <v>0</v>
      </c>
      <c r="L1507" s="3284">
        <v>0</v>
      </c>
      <c r="M1507" s="3283">
        <v>0</v>
      </c>
      <c r="N1507" s="3281">
        <v>0</v>
      </c>
      <c r="O1507" s="3281">
        <v>0</v>
      </c>
      <c r="P1507" s="3281">
        <v>0</v>
      </c>
      <c r="Q1507" s="3284">
        <v>0</v>
      </c>
    </row>
    <row r="1508" spans="2:17">
      <c r="B1508" s="3260" t="s">
        <v>65</v>
      </c>
      <c r="C1508" s="3268"/>
      <c r="D1508" s="3269"/>
      <c r="E1508" s="3269"/>
      <c r="F1508" s="3269"/>
      <c r="G1508" s="3270"/>
      <c r="H1508" s="3268"/>
      <c r="I1508" s="3281">
        <v>0</v>
      </c>
      <c r="J1508" s="3281">
        <v>0</v>
      </c>
      <c r="K1508" s="3281">
        <v>0</v>
      </c>
      <c r="L1508" s="3284">
        <v>0</v>
      </c>
      <c r="M1508" s="3283">
        <v>0</v>
      </c>
      <c r="N1508" s="3281">
        <v>0</v>
      </c>
      <c r="O1508" s="3281">
        <v>0</v>
      </c>
      <c r="P1508" s="3281">
        <v>0</v>
      </c>
      <c r="Q1508" s="3284">
        <v>0</v>
      </c>
    </row>
    <row r="1509" spans="2:17">
      <c r="B1509" s="3260" t="s">
        <v>82</v>
      </c>
      <c r="C1509" s="3268"/>
      <c r="D1509" s="3269"/>
      <c r="E1509" s="3269"/>
      <c r="F1509" s="3269"/>
      <c r="G1509" s="3270"/>
      <c r="H1509" s="3268"/>
      <c r="I1509" s="3281">
        <v>0</v>
      </c>
      <c r="J1509" s="3281">
        <v>0</v>
      </c>
      <c r="K1509" s="3281">
        <v>0</v>
      </c>
      <c r="L1509" s="3284">
        <v>0</v>
      </c>
      <c r="M1509" s="3283">
        <v>0</v>
      </c>
      <c r="N1509" s="3281">
        <v>0</v>
      </c>
      <c r="O1509" s="3281">
        <v>0</v>
      </c>
      <c r="P1509" s="3281">
        <v>0</v>
      </c>
      <c r="Q1509" s="3284">
        <v>0</v>
      </c>
    </row>
    <row r="1510" spans="2:17">
      <c r="B1510" s="3260" t="s">
        <v>680</v>
      </c>
      <c r="C1510" s="3268"/>
      <c r="D1510" s="3269"/>
      <c r="E1510" s="3269"/>
      <c r="F1510" s="3269"/>
      <c r="G1510" s="3270"/>
      <c r="H1510" s="3268"/>
      <c r="I1510" s="3281">
        <v>0</v>
      </c>
      <c r="J1510" s="3281">
        <v>0</v>
      </c>
      <c r="K1510" s="3281">
        <v>0</v>
      </c>
      <c r="L1510" s="3284">
        <v>0</v>
      </c>
      <c r="M1510" s="3283">
        <v>0</v>
      </c>
      <c r="N1510" s="3281">
        <v>0</v>
      </c>
      <c r="O1510" s="3281">
        <v>0</v>
      </c>
      <c r="P1510" s="3281">
        <v>0</v>
      </c>
      <c r="Q1510" s="3284">
        <v>0</v>
      </c>
    </row>
    <row r="1511" spans="2:17">
      <c r="B1511" s="3260" t="s">
        <v>681</v>
      </c>
      <c r="C1511" s="3268"/>
      <c r="D1511" s="3269"/>
      <c r="E1511" s="3269"/>
      <c r="F1511" s="3269"/>
      <c r="G1511" s="3270"/>
      <c r="H1511" s="3268"/>
      <c r="I1511" s="3281">
        <v>57.481000000000016</v>
      </c>
      <c r="J1511" s="3281">
        <v>58.242000000000019</v>
      </c>
      <c r="K1511" s="3281">
        <v>59.406840000000017</v>
      </c>
      <c r="L1511" s="3281">
        <v>60.594976800000019</v>
      </c>
      <c r="M1511" s="3281">
        <v>61.806876336000023</v>
      </c>
      <c r="N1511" s="3281">
        <v>63.043013862720024</v>
      </c>
      <c r="O1511" s="3281">
        <v>64.303874139974425</v>
      </c>
      <c r="P1511" s="3281">
        <v>65.58995162277391</v>
      </c>
      <c r="Q1511" s="3281">
        <v>66.901750655229392</v>
      </c>
    </row>
    <row r="1512" spans="2:17">
      <c r="B1512" s="3260" t="s">
        <v>682</v>
      </c>
      <c r="C1512" s="3268"/>
      <c r="D1512" s="3269"/>
      <c r="E1512" s="3269"/>
      <c r="F1512" s="3269"/>
      <c r="G1512" s="3270"/>
      <c r="H1512" s="3268"/>
      <c r="I1512" s="3281">
        <v>0</v>
      </c>
      <c r="J1512" s="3281">
        <v>0</v>
      </c>
      <c r="K1512" s="3281">
        <v>0</v>
      </c>
      <c r="L1512" s="3281">
        <v>0</v>
      </c>
      <c r="M1512" s="3281">
        <v>0</v>
      </c>
      <c r="N1512" s="3281">
        <v>0</v>
      </c>
      <c r="O1512" s="3281">
        <v>0</v>
      </c>
      <c r="P1512" s="3281">
        <v>0</v>
      </c>
      <c r="Q1512" s="3281">
        <v>0</v>
      </c>
    </row>
    <row r="1513" spans="2:17">
      <c r="B1513" s="3260" t="s">
        <v>66</v>
      </c>
      <c r="C1513" s="3268"/>
      <c r="D1513" s="3269"/>
      <c r="E1513" s="3269"/>
      <c r="F1513" s="3269"/>
      <c r="G1513" s="3270"/>
      <c r="H1513" s="3268"/>
      <c r="I1513" s="3281">
        <v>0</v>
      </c>
      <c r="J1513" s="3281">
        <v>0</v>
      </c>
      <c r="K1513" s="3281">
        <v>0</v>
      </c>
      <c r="L1513" s="3281">
        <v>0</v>
      </c>
      <c r="M1513" s="3281">
        <v>0</v>
      </c>
      <c r="N1513" s="3281">
        <v>0</v>
      </c>
      <c r="O1513" s="3281">
        <v>0</v>
      </c>
      <c r="P1513" s="3281">
        <v>0</v>
      </c>
      <c r="Q1513" s="3281">
        <v>0</v>
      </c>
    </row>
    <row r="1514" spans="2:17" ht="13.5" thickBot="1">
      <c r="B1514" s="3260" t="s">
        <v>67</v>
      </c>
      <c r="C1514" s="3268"/>
      <c r="D1514" s="3269"/>
      <c r="E1514" s="3269"/>
      <c r="F1514" s="3269"/>
      <c r="G1514" s="3270"/>
      <c r="H1514" s="3268"/>
      <c r="I1514" s="3281">
        <v>7.5999999999999998E-2</v>
      </c>
      <c r="J1514" s="3281">
        <v>7.5999999999999998E-2</v>
      </c>
      <c r="K1514" s="3281">
        <v>7.5999999999999998E-2</v>
      </c>
      <c r="L1514" s="3281">
        <v>1.0760000000000001</v>
      </c>
      <c r="M1514" s="3281">
        <v>2.0760000000000001</v>
      </c>
      <c r="N1514" s="3281">
        <v>3.0760000000000001</v>
      </c>
      <c r="O1514" s="3281">
        <v>4.0759999999999996</v>
      </c>
      <c r="P1514" s="3281">
        <v>5.0759999999999996</v>
      </c>
      <c r="Q1514" s="3281">
        <v>6.0759999999999996</v>
      </c>
    </row>
    <row r="1515" spans="2:17" ht="12.75" customHeight="1">
      <c r="B1515" s="4689">
        <v>3444</v>
      </c>
      <c r="C1515" s="4713" t="s">
        <v>36</v>
      </c>
      <c r="D1515" s="4714"/>
      <c r="E1515" s="4714"/>
      <c r="F1515" s="4714"/>
      <c r="G1515" s="4715"/>
      <c r="H1515" s="4716" t="s">
        <v>37</v>
      </c>
      <c r="I1515" s="4717"/>
      <c r="J1515" s="4717"/>
      <c r="K1515" s="4717"/>
      <c r="L1515" s="4718"/>
      <c r="M1515" s="4719" t="s">
        <v>73</v>
      </c>
      <c r="N1515" s="4714"/>
      <c r="O1515" s="4714"/>
      <c r="P1515" s="4714"/>
      <c r="Q1515" s="4720"/>
    </row>
    <row r="1516" spans="2:17" ht="12.75" customHeight="1">
      <c r="B1516" s="4711"/>
      <c r="C1516" s="4697" t="s">
        <v>1673</v>
      </c>
      <c r="D1516" s="4698"/>
      <c r="E1516" s="4698"/>
      <c r="F1516" s="4698"/>
      <c r="G1516" s="4698"/>
      <c r="H1516" s="4698"/>
      <c r="I1516" s="4698"/>
      <c r="J1516" s="4698"/>
      <c r="K1516" s="4698"/>
      <c r="L1516" s="4698"/>
      <c r="M1516" s="4698"/>
      <c r="N1516" s="4698"/>
      <c r="O1516" s="4698"/>
      <c r="P1516" s="4698"/>
      <c r="Q1516" s="4699"/>
    </row>
    <row r="1517" spans="2:17">
      <c r="B1517" s="4711"/>
      <c r="C1517" s="4697" t="s">
        <v>54</v>
      </c>
      <c r="D1517" s="4698"/>
      <c r="E1517" s="4698"/>
      <c r="F1517" s="4698"/>
      <c r="G1517" s="4698"/>
      <c r="H1517" s="4698"/>
      <c r="I1517" s="4698"/>
      <c r="J1517" s="4700"/>
      <c r="K1517" s="4701" t="s">
        <v>55</v>
      </c>
      <c r="L1517" s="4702"/>
      <c r="M1517" s="4702"/>
      <c r="N1517" s="4702"/>
      <c r="O1517" s="4702"/>
      <c r="P1517" s="4702"/>
      <c r="Q1517" s="4703"/>
    </row>
    <row r="1518" spans="2:17" ht="13.5" thickBot="1">
      <c r="B1518" s="4712"/>
      <c r="C1518" s="3252">
        <f t="array" ref="C1518:G1518">PRCP</f>
        <v>2008</v>
      </c>
      <c r="D1518" s="3253">
        <v>2009</v>
      </c>
      <c r="E1518" s="3253">
        <v>2010</v>
      </c>
      <c r="F1518" s="3253">
        <v>2011</v>
      </c>
      <c r="G1518" s="3253">
        <v>2012</v>
      </c>
      <c r="H1518" s="3254">
        <f>CRCP_y1</f>
        <v>2013</v>
      </c>
      <c r="I1518" s="3254">
        <f>CRCP_y2</f>
        <v>2014</v>
      </c>
      <c r="J1518" s="3254">
        <f>CRCP_y3</f>
        <v>2015</v>
      </c>
      <c r="K1518" s="3254">
        <f>CRCP_y4</f>
        <v>2016</v>
      </c>
      <c r="L1518" s="3254">
        <f>CRCP_y5</f>
        <v>2017</v>
      </c>
      <c r="M1518" s="3253" t="str">
        <f t="array" ref="M1518:Q1518">FRCP</f>
        <v>2018</v>
      </c>
      <c r="N1518" s="3253">
        <v>2019</v>
      </c>
      <c r="O1518" s="3253">
        <v>2020</v>
      </c>
      <c r="P1518" s="3253">
        <v>2021</v>
      </c>
      <c r="Q1518" s="3255">
        <v>2022</v>
      </c>
    </row>
    <row r="1519" spans="2:17">
      <c r="B1519" s="3256" t="s">
        <v>1726</v>
      </c>
      <c r="C1519" s="3257"/>
      <c r="D1519" s="3258"/>
      <c r="E1519" s="3258"/>
      <c r="F1519" s="3258"/>
      <c r="G1519" s="3259"/>
      <c r="H1519" s="3257"/>
      <c r="I1519" s="3258"/>
      <c r="J1519" s="3258"/>
      <c r="K1519" s="3258"/>
      <c r="L1519" s="3258"/>
      <c r="M1519" s="3257"/>
      <c r="N1519" s="3258"/>
      <c r="O1519" s="3258"/>
      <c r="P1519" s="3258"/>
      <c r="Q1519" s="3259"/>
    </row>
    <row r="1520" spans="2:17">
      <c r="B1520" s="3260"/>
      <c r="C1520" s="3268"/>
      <c r="D1520" s="3269"/>
      <c r="E1520" s="3269"/>
      <c r="F1520" s="3269"/>
      <c r="G1520" s="3270"/>
      <c r="H1520" s="3268"/>
      <c r="I1520" s="3269"/>
      <c r="J1520" s="3269"/>
      <c r="K1520" s="3269"/>
      <c r="L1520" s="3271"/>
      <c r="M1520" s="3268"/>
      <c r="N1520" s="3269"/>
      <c r="O1520" s="3269"/>
      <c r="P1520" s="3269"/>
      <c r="Q1520" s="3270"/>
    </row>
    <row r="1521" spans="2:17">
      <c r="B1521" s="3260" t="s">
        <v>64</v>
      </c>
      <c r="C1521" s="3268"/>
      <c r="D1521" s="3269"/>
      <c r="E1521" s="3269"/>
      <c r="F1521" s="3269"/>
      <c r="G1521" s="3270"/>
      <c r="H1521" s="3268"/>
      <c r="I1521" s="3281">
        <v>0</v>
      </c>
      <c r="J1521" s="3281">
        <v>0</v>
      </c>
      <c r="K1521" s="3281">
        <v>0</v>
      </c>
      <c r="L1521" s="3282">
        <v>0</v>
      </c>
      <c r="M1521" s="3283">
        <v>0</v>
      </c>
      <c r="N1521" s="3281">
        <v>0</v>
      </c>
      <c r="O1521" s="3281">
        <v>0</v>
      </c>
      <c r="P1521" s="3281">
        <v>0</v>
      </c>
      <c r="Q1521" s="3284">
        <v>0</v>
      </c>
    </row>
    <row r="1522" spans="2:17">
      <c r="B1522" s="3260" t="s">
        <v>65</v>
      </c>
      <c r="C1522" s="3268"/>
      <c r="D1522" s="3269"/>
      <c r="E1522" s="3269"/>
      <c r="F1522" s="3269"/>
      <c r="G1522" s="3270"/>
      <c r="H1522" s="3268"/>
      <c r="I1522" s="3281">
        <v>0</v>
      </c>
      <c r="J1522" s="3281">
        <v>0</v>
      </c>
      <c r="K1522" s="3281">
        <v>0</v>
      </c>
      <c r="L1522" s="3282">
        <v>0</v>
      </c>
      <c r="M1522" s="3283">
        <v>0</v>
      </c>
      <c r="N1522" s="3281">
        <v>0</v>
      </c>
      <c r="O1522" s="3281">
        <v>0</v>
      </c>
      <c r="P1522" s="3281">
        <v>0</v>
      </c>
      <c r="Q1522" s="3284">
        <v>0</v>
      </c>
    </row>
    <row r="1523" spans="2:17">
      <c r="B1523" s="3260" t="s">
        <v>82</v>
      </c>
      <c r="C1523" s="3268"/>
      <c r="D1523" s="3269"/>
      <c r="E1523" s="3269"/>
      <c r="F1523" s="3269"/>
      <c r="G1523" s="3270"/>
      <c r="H1523" s="3268"/>
      <c r="I1523" s="3281">
        <v>0</v>
      </c>
      <c r="J1523" s="3281">
        <v>0</v>
      </c>
      <c r="K1523" s="3281">
        <v>0</v>
      </c>
      <c r="L1523" s="3282">
        <v>0</v>
      </c>
      <c r="M1523" s="3283">
        <v>0</v>
      </c>
      <c r="N1523" s="3281">
        <v>0</v>
      </c>
      <c r="O1523" s="3281">
        <v>0</v>
      </c>
      <c r="P1523" s="3281">
        <v>0</v>
      </c>
      <c r="Q1523" s="3284">
        <v>0</v>
      </c>
    </row>
    <row r="1524" spans="2:17">
      <c r="B1524" s="3260" t="s">
        <v>680</v>
      </c>
      <c r="C1524" s="3268"/>
      <c r="D1524" s="3269"/>
      <c r="E1524" s="3269"/>
      <c r="F1524" s="3269"/>
      <c r="G1524" s="3270"/>
      <c r="H1524" s="3268"/>
      <c r="I1524" s="3281">
        <v>0</v>
      </c>
      <c r="J1524" s="3281">
        <v>0</v>
      </c>
      <c r="K1524" s="3281">
        <v>0</v>
      </c>
      <c r="L1524" s="3282">
        <v>0</v>
      </c>
      <c r="M1524" s="3283">
        <v>0</v>
      </c>
      <c r="N1524" s="3281">
        <v>0</v>
      </c>
      <c r="O1524" s="3281">
        <v>0</v>
      </c>
      <c r="P1524" s="3281">
        <v>0</v>
      </c>
      <c r="Q1524" s="3284">
        <v>0</v>
      </c>
    </row>
    <row r="1525" spans="2:17">
      <c r="B1525" s="3260" t="s">
        <v>681</v>
      </c>
      <c r="C1525" s="3268"/>
      <c r="D1525" s="3269"/>
      <c r="E1525" s="3269"/>
      <c r="F1525" s="3269"/>
      <c r="G1525" s="3270"/>
      <c r="H1525" s="3268"/>
      <c r="I1525" s="3281">
        <v>34.772000000000034</v>
      </c>
      <c r="J1525" s="3281">
        <v>35.010000000000026</v>
      </c>
      <c r="K1525" s="3281">
        <v>35.710200000000029</v>
      </c>
      <c r="L1525" s="3282">
        <v>36.424404000000031</v>
      </c>
      <c r="M1525" s="3283">
        <v>37.152892080000029</v>
      </c>
      <c r="N1525" s="3281">
        <v>37.895949921600028</v>
      </c>
      <c r="O1525" s="3281">
        <v>38.653868920032032</v>
      </c>
      <c r="P1525" s="3281">
        <v>39.426946298432675</v>
      </c>
      <c r="Q1525" s="3284">
        <v>40.215485224401327</v>
      </c>
    </row>
    <row r="1526" spans="2:17">
      <c r="B1526" s="3260" t="s">
        <v>682</v>
      </c>
      <c r="C1526" s="3268"/>
      <c r="D1526" s="3269"/>
      <c r="E1526" s="3269"/>
      <c r="F1526" s="3269"/>
      <c r="G1526" s="3270"/>
      <c r="H1526" s="3268"/>
      <c r="I1526" s="3281">
        <v>0.76100000000000001</v>
      </c>
      <c r="J1526" s="3281">
        <v>0.76100000000000001</v>
      </c>
      <c r="K1526" s="3281">
        <v>0.76100000000000001</v>
      </c>
      <c r="L1526" s="3282">
        <v>0.76100000000000001</v>
      </c>
      <c r="M1526" s="3283">
        <v>0.76100000000000001</v>
      </c>
      <c r="N1526" s="3281">
        <v>0.76100000000000001</v>
      </c>
      <c r="O1526" s="3281">
        <v>0.76100000000000001</v>
      </c>
      <c r="P1526" s="3281">
        <v>0.76100000000000001</v>
      </c>
      <c r="Q1526" s="3284">
        <v>0.76100000000000001</v>
      </c>
    </row>
    <row r="1527" spans="2:17">
      <c r="B1527" s="3260" t="s">
        <v>66</v>
      </c>
      <c r="C1527" s="3268"/>
      <c r="D1527" s="3269"/>
      <c r="E1527" s="3269"/>
      <c r="F1527" s="3269"/>
      <c r="G1527" s="3270"/>
      <c r="H1527" s="3268"/>
      <c r="I1527" s="3281">
        <v>0</v>
      </c>
      <c r="J1527" s="3281">
        <v>0</v>
      </c>
      <c r="K1527" s="3281">
        <v>0</v>
      </c>
      <c r="L1527" s="3282">
        <v>0</v>
      </c>
      <c r="M1527" s="3283">
        <v>0</v>
      </c>
      <c r="N1527" s="3281">
        <v>0</v>
      </c>
      <c r="O1527" s="3281">
        <v>0</v>
      </c>
      <c r="P1527" s="3281">
        <v>0</v>
      </c>
      <c r="Q1527" s="3284">
        <v>0</v>
      </c>
    </row>
    <row r="1528" spans="2:17" ht="13.5" thickBot="1">
      <c r="B1528" s="3260" t="s">
        <v>67</v>
      </c>
      <c r="C1528" s="3268"/>
      <c r="D1528" s="3269"/>
      <c r="E1528" s="3269"/>
      <c r="F1528" s="3269"/>
      <c r="G1528" s="3270"/>
      <c r="H1528" s="3268"/>
      <c r="I1528" s="3281">
        <v>14.596</v>
      </c>
      <c r="J1528" s="3281">
        <v>14.875000000000005</v>
      </c>
      <c r="K1528" s="3281">
        <v>14.875000000000005</v>
      </c>
      <c r="L1528" s="3282">
        <v>14.875000000000005</v>
      </c>
      <c r="M1528" s="3285">
        <v>14.875000000000005</v>
      </c>
      <c r="N1528" s="3286">
        <v>14.875000000000005</v>
      </c>
      <c r="O1528" s="3286">
        <v>14.875000000000005</v>
      </c>
      <c r="P1528" s="3286">
        <v>14.875000000000005</v>
      </c>
      <c r="Q1528" s="3287">
        <v>14.875000000000005</v>
      </c>
    </row>
    <row r="1529" spans="2:17" ht="12.75" customHeight="1">
      <c r="B1529" s="4689">
        <v>3450</v>
      </c>
      <c r="C1529" s="4691" t="s">
        <v>36</v>
      </c>
      <c r="D1529" s="4692"/>
      <c r="E1529" s="4692"/>
      <c r="F1529" s="4692"/>
      <c r="G1529" s="4692"/>
      <c r="H1529" s="4693" t="s">
        <v>37</v>
      </c>
      <c r="I1529" s="4694"/>
      <c r="J1529" s="4694"/>
      <c r="K1529" s="4694"/>
      <c r="L1529" s="4694"/>
      <c r="M1529" s="4695" t="s">
        <v>73</v>
      </c>
      <c r="N1529" s="4695"/>
      <c r="O1529" s="4695"/>
      <c r="P1529" s="4695"/>
      <c r="Q1529" s="4696"/>
    </row>
    <row r="1530" spans="2:17" ht="12.75" customHeight="1">
      <c r="B1530" s="4690"/>
      <c r="C1530" s="4697" t="s">
        <v>1673</v>
      </c>
      <c r="D1530" s="4698"/>
      <c r="E1530" s="4698"/>
      <c r="F1530" s="4698"/>
      <c r="G1530" s="4698"/>
      <c r="H1530" s="4698"/>
      <c r="I1530" s="4698"/>
      <c r="J1530" s="4698"/>
      <c r="K1530" s="4698"/>
      <c r="L1530" s="4698"/>
      <c r="M1530" s="4698"/>
      <c r="N1530" s="4698"/>
      <c r="O1530" s="4698"/>
      <c r="P1530" s="4698"/>
      <c r="Q1530" s="4699"/>
    </row>
    <row r="1531" spans="2:17" ht="12.75" customHeight="1">
      <c r="B1531" s="4690"/>
      <c r="C1531" s="4697" t="s">
        <v>54</v>
      </c>
      <c r="D1531" s="4698"/>
      <c r="E1531" s="4698"/>
      <c r="F1531" s="4698"/>
      <c r="G1531" s="4698"/>
      <c r="H1531" s="4698"/>
      <c r="I1531" s="4698"/>
      <c r="J1531" s="4700"/>
      <c r="K1531" s="4701" t="s">
        <v>55</v>
      </c>
      <c r="L1531" s="4702"/>
      <c r="M1531" s="4702"/>
      <c r="N1531" s="4702"/>
      <c r="O1531" s="4702"/>
      <c r="P1531" s="4702"/>
      <c r="Q1531" s="4703"/>
    </row>
    <row r="1532" spans="2:17" ht="13.5" customHeight="1" thickBot="1">
      <c r="B1532" s="4690"/>
      <c r="C1532" s="3252">
        <f t="array" ref="C1532:G1532">PRCP</f>
        <v>2008</v>
      </c>
      <c r="D1532" s="3253">
        <v>2009</v>
      </c>
      <c r="E1532" s="3253">
        <v>2010</v>
      </c>
      <c r="F1532" s="3253">
        <v>2011</v>
      </c>
      <c r="G1532" s="3253">
        <v>2012</v>
      </c>
      <c r="H1532" s="3254">
        <f>CRCP_y1</f>
        <v>2013</v>
      </c>
      <c r="I1532" s="3254">
        <f>CRCP_y2</f>
        <v>2014</v>
      </c>
      <c r="J1532" s="3254">
        <f>CRCP_y3</f>
        <v>2015</v>
      </c>
      <c r="K1532" s="3254">
        <f>CRCP_y4</f>
        <v>2016</v>
      </c>
      <c r="L1532" s="3254">
        <f>CRCP_y5</f>
        <v>2017</v>
      </c>
      <c r="M1532" s="3253" t="str">
        <f t="array" ref="M1532:Q1532">FRCP</f>
        <v>2018</v>
      </c>
      <c r="N1532" s="3253">
        <v>2019</v>
      </c>
      <c r="O1532" s="3253">
        <v>2020</v>
      </c>
      <c r="P1532" s="3253">
        <v>2021</v>
      </c>
      <c r="Q1532" s="3255">
        <v>2022</v>
      </c>
    </row>
    <row r="1533" spans="2:17">
      <c r="B1533" s="3256" t="s">
        <v>1726</v>
      </c>
      <c r="C1533" s="3257"/>
      <c r="D1533" s="3258"/>
      <c r="E1533" s="3258"/>
      <c r="F1533" s="3258"/>
      <c r="G1533" s="3259"/>
      <c r="H1533" s="3257"/>
      <c r="I1533" s="3258"/>
      <c r="J1533" s="3258"/>
      <c r="K1533" s="3258"/>
      <c r="L1533" s="3258"/>
      <c r="M1533" s="3257"/>
      <c r="N1533" s="3258"/>
      <c r="O1533" s="3258"/>
      <c r="P1533" s="3258"/>
      <c r="Q1533" s="3259"/>
    </row>
    <row r="1534" spans="2:17">
      <c r="B1534" s="3260"/>
      <c r="C1534" s="3268"/>
      <c r="D1534" s="3269"/>
      <c r="E1534" s="3269"/>
      <c r="F1534" s="3269"/>
      <c r="G1534" s="3270"/>
      <c r="H1534" s="3268"/>
      <c r="I1534" s="3269"/>
      <c r="J1534" s="3269"/>
      <c r="K1534" s="3269"/>
      <c r="L1534" s="3271"/>
      <c r="M1534" s="3268"/>
      <c r="N1534" s="3269"/>
      <c r="O1534" s="3269"/>
      <c r="P1534" s="3269"/>
      <c r="Q1534" s="3270"/>
    </row>
    <row r="1535" spans="2:17">
      <c r="B1535" s="3260" t="s">
        <v>64</v>
      </c>
      <c r="C1535" s="3268"/>
      <c r="D1535" s="3269"/>
      <c r="E1535" s="3269"/>
      <c r="F1535" s="3269"/>
      <c r="G1535" s="3270"/>
      <c r="H1535" s="3268"/>
      <c r="I1535" s="3269">
        <v>0</v>
      </c>
      <c r="J1535" s="3269">
        <v>0</v>
      </c>
      <c r="K1535" s="3269">
        <v>0</v>
      </c>
      <c r="L1535" s="3271">
        <v>0</v>
      </c>
      <c r="M1535" s="3268">
        <v>0</v>
      </c>
      <c r="N1535" s="3269">
        <v>0</v>
      </c>
      <c r="O1535" s="3269">
        <v>0</v>
      </c>
      <c r="P1535" s="3269">
        <v>0</v>
      </c>
      <c r="Q1535" s="3270">
        <v>0</v>
      </c>
    </row>
    <row r="1536" spans="2:17">
      <c r="B1536" s="3260" t="s">
        <v>65</v>
      </c>
      <c r="C1536" s="3268"/>
      <c r="D1536" s="3269"/>
      <c r="E1536" s="3269"/>
      <c r="F1536" s="3269"/>
      <c r="G1536" s="3270"/>
      <c r="H1536" s="3268"/>
      <c r="I1536" s="3269">
        <v>0</v>
      </c>
      <c r="J1536" s="3269">
        <v>0</v>
      </c>
      <c r="K1536" s="3269">
        <v>0</v>
      </c>
      <c r="L1536" s="3271">
        <v>0</v>
      </c>
      <c r="M1536" s="3268">
        <v>0</v>
      </c>
      <c r="N1536" s="3269">
        <v>0</v>
      </c>
      <c r="O1536" s="3269">
        <v>0</v>
      </c>
      <c r="P1536" s="3269">
        <v>0</v>
      </c>
      <c r="Q1536" s="3270">
        <v>0</v>
      </c>
    </row>
    <row r="1537" spans="2:17">
      <c r="B1537" s="3260" t="s">
        <v>82</v>
      </c>
      <c r="C1537" s="3268"/>
      <c r="D1537" s="3269"/>
      <c r="E1537" s="3269"/>
      <c r="F1537" s="3269"/>
      <c r="G1537" s="3270"/>
      <c r="H1537" s="3268"/>
      <c r="I1537" s="3269">
        <v>0</v>
      </c>
      <c r="J1537" s="3269">
        <v>0</v>
      </c>
      <c r="K1537" s="3269">
        <v>0</v>
      </c>
      <c r="L1537" s="3271">
        <v>0</v>
      </c>
      <c r="M1537" s="3268">
        <v>0</v>
      </c>
      <c r="N1537" s="3269">
        <v>0</v>
      </c>
      <c r="O1537" s="3269">
        <v>0</v>
      </c>
      <c r="P1537" s="3269">
        <v>0</v>
      </c>
      <c r="Q1537" s="3270">
        <v>0</v>
      </c>
    </row>
    <row r="1538" spans="2:17">
      <c r="B1538" s="3260" t="s">
        <v>680</v>
      </c>
      <c r="C1538" s="3268"/>
      <c r="D1538" s="3269"/>
      <c r="E1538" s="3269"/>
      <c r="F1538" s="3269"/>
      <c r="G1538" s="3270"/>
      <c r="H1538" s="3268"/>
      <c r="I1538" s="3269">
        <v>0</v>
      </c>
      <c r="J1538" s="3269">
        <v>0</v>
      </c>
      <c r="K1538" s="3269">
        <v>0</v>
      </c>
      <c r="L1538" s="3271">
        <v>0</v>
      </c>
      <c r="M1538" s="3268">
        <v>0</v>
      </c>
      <c r="N1538" s="3269">
        <v>0</v>
      </c>
      <c r="O1538" s="3269">
        <v>0</v>
      </c>
      <c r="P1538" s="3269">
        <v>0</v>
      </c>
      <c r="Q1538" s="3270">
        <v>0</v>
      </c>
    </row>
    <row r="1539" spans="2:17">
      <c r="B1539" s="3260" t="s">
        <v>681</v>
      </c>
      <c r="C1539" s="3268"/>
      <c r="D1539" s="3269"/>
      <c r="E1539" s="3269"/>
      <c r="F1539" s="3269"/>
      <c r="G1539" s="3270"/>
      <c r="H1539" s="3268"/>
      <c r="I1539" s="3269">
        <v>57.365999999999985</v>
      </c>
      <c r="J1539" s="3269">
        <v>57.819999999999972</v>
      </c>
      <c r="K1539" s="3269">
        <v>57.819999999999972</v>
      </c>
      <c r="L1539" s="3271">
        <v>57.819999999999972</v>
      </c>
      <c r="M1539" s="3268">
        <v>57.819999999999972</v>
      </c>
      <c r="N1539" s="3269">
        <v>57.819999999999972</v>
      </c>
      <c r="O1539" s="3269">
        <v>57.819999999999972</v>
      </c>
      <c r="P1539" s="3269">
        <v>57.819999999999972</v>
      </c>
      <c r="Q1539" s="3270">
        <v>57.819999999999972</v>
      </c>
    </row>
    <row r="1540" spans="2:17">
      <c r="B1540" s="3260" t="s">
        <v>682</v>
      </c>
      <c r="C1540" s="3268"/>
      <c r="D1540" s="3269"/>
      <c r="E1540" s="3269"/>
      <c r="F1540" s="3269"/>
      <c r="G1540" s="3270"/>
      <c r="H1540" s="3268"/>
      <c r="I1540" s="3269">
        <v>0</v>
      </c>
      <c r="J1540" s="3269">
        <v>0</v>
      </c>
      <c r="K1540" s="3269">
        <v>0</v>
      </c>
      <c r="L1540" s="3271">
        <v>0</v>
      </c>
      <c r="M1540" s="3268">
        <v>0</v>
      </c>
      <c r="N1540" s="3269">
        <v>0</v>
      </c>
      <c r="O1540" s="3269">
        <v>0</v>
      </c>
      <c r="P1540" s="3269">
        <v>0</v>
      </c>
      <c r="Q1540" s="3270">
        <v>0</v>
      </c>
    </row>
    <row r="1541" spans="2:17">
      <c r="B1541" s="3260" t="s">
        <v>66</v>
      </c>
      <c r="C1541" s="3268"/>
      <c r="D1541" s="3269"/>
      <c r="E1541" s="3269"/>
      <c r="F1541" s="3269"/>
      <c r="G1541" s="3270"/>
      <c r="H1541" s="3268"/>
      <c r="I1541" s="3269">
        <v>0</v>
      </c>
      <c r="J1541" s="3269">
        <v>0</v>
      </c>
      <c r="K1541" s="3269">
        <v>0</v>
      </c>
      <c r="L1541" s="3271">
        <v>0</v>
      </c>
      <c r="M1541" s="3268">
        <v>0</v>
      </c>
      <c r="N1541" s="3269">
        <v>0</v>
      </c>
      <c r="O1541" s="3269">
        <v>0</v>
      </c>
      <c r="P1541" s="3269">
        <v>0</v>
      </c>
      <c r="Q1541" s="3270">
        <v>0</v>
      </c>
    </row>
    <row r="1542" spans="2:17" ht="13.5" thickBot="1">
      <c r="B1542" s="3260" t="s">
        <v>67</v>
      </c>
      <c r="C1542" s="3268"/>
      <c r="D1542" s="3269"/>
      <c r="E1542" s="3269"/>
      <c r="F1542" s="3269"/>
      <c r="G1542" s="3270"/>
      <c r="H1542" s="3268"/>
      <c r="I1542" s="3269">
        <v>25.187999999999985</v>
      </c>
      <c r="J1542" s="3269">
        <v>25.32599999999999</v>
      </c>
      <c r="K1542" s="3269">
        <v>25.32599999999999</v>
      </c>
      <c r="L1542" s="3271">
        <v>25.32599999999999</v>
      </c>
      <c r="M1542" s="3272">
        <v>25.32599999999999</v>
      </c>
      <c r="N1542" s="3273">
        <v>25.32599999999999</v>
      </c>
      <c r="O1542" s="3273">
        <v>25.32599999999999</v>
      </c>
      <c r="P1542" s="3273">
        <v>25.32599999999999</v>
      </c>
      <c r="Q1542" s="3274">
        <v>25.32599999999999</v>
      </c>
    </row>
    <row r="1543" spans="2:17" ht="12.75" customHeight="1">
      <c r="B1543" s="4689">
        <v>3451</v>
      </c>
      <c r="C1543" s="4691" t="s">
        <v>36</v>
      </c>
      <c r="D1543" s="4692"/>
      <c r="E1543" s="4692"/>
      <c r="F1543" s="4692"/>
      <c r="G1543" s="4692"/>
      <c r="H1543" s="4693" t="s">
        <v>37</v>
      </c>
      <c r="I1543" s="4694"/>
      <c r="J1543" s="4694"/>
      <c r="K1543" s="4694"/>
      <c r="L1543" s="4694"/>
      <c r="M1543" s="4695" t="s">
        <v>73</v>
      </c>
      <c r="N1543" s="4695"/>
      <c r="O1543" s="4695"/>
      <c r="P1543" s="4695"/>
      <c r="Q1543" s="4696"/>
    </row>
    <row r="1544" spans="2:17" ht="12.75" customHeight="1">
      <c r="B1544" s="4690"/>
      <c r="C1544" s="4697" t="s">
        <v>1673</v>
      </c>
      <c r="D1544" s="4698"/>
      <c r="E1544" s="4698"/>
      <c r="F1544" s="4698"/>
      <c r="G1544" s="4698"/>
      <c r="H1544" s="4698"/>
      <c r="I1544" s="4698"/>
      <c r="J1544" s="4698"/>
      <c r="K1544" s="4698"/>
      <c r="L1544" s="4698"/>
      <c r="M1544" s="4698"/>
      <c r="N1544" s="4698"/>
      <c r="O1544" s="4698"/>
      <c r="P1544" s="4698"/>
      <c r="Q1544" s="4699"/>
    </row>
    <row r="1545" spans="2:17" ht="12.75" customHeight="1">
      <c r="B1545" s="4690"/>
      <c r="C1545" s="4697" t="s">
        <v>54</v>
      </c>
      <c r="D1545" s="4698"/>
      <c r="E1545" s="4698"/>
      <c r="F1545" s="4698"/>
      <c r="G1545" s="4698"/>
      <c r="H1545" s="4698"/>
      <c r="I1545" s="4698"/>
      <c r="J1545" s="4700"/>
      <c r="K1545" s="4701" t="s">
        <v>55</v>
      </c>
      <c r="L1545" s="4702"/>
      <c r="M1545" s="4702"/>
      <c r="N1545" s="4702"/>
      <c r="O1545" s="4702"/>
      <c r="P1545" s="4702"/>
      <c r="Q1545" s="4703"/>
    </row>
    <row r="1546" spans="2:17" ht="13.5" customHeight="1" thickBot="1">
      <c r="B1546" s="4690"/>
      <c r="C1546" s="3252">
        <f t="array" ref="C1546:G1546">PRCP</f>
        <v>2008</v>
      </c>
      <c r="D1546" s="3253">
        <v>2009</v>
      </c>
      <c r="E1546" s="3253">
        <v>2010</v>
      </c>
      <c r="F1546" s="3253">
        <v>2011</v>
      </c>
      <c r="G1546" s="3253">
        <v>2012</v>
      </c>
      <c r="H1546" s="3254">
        <f>CRCP_y1</f>
        <v>2013</v>
      </c>
      <c r="I1546" s="3254">
        <f>CRCP_y2</f>
        <v>2014</v>
      </c>
      <c r="J1546" s="3254">
        <f>CRCP_y3</f>
        <v>2015</v>
      </c>
      <c r="K1546" s="3254">
        <f>CRCP_y4</f>
        <v>2016</v>
      </c>
      <c r="L1546" s="3254">
        <f>CRCP_y5</f>
        <v>2017</v>
      </c>
      <c r="M1546" s="3253" t="str">
        <f t="array" ref="M1546:Q1546">FRCP</f>
        <v>2018</v>
      </c>
      <c r="N1546" s="3253">
        <v>2019</v>
      </c>
      <c r="O1546" s="3253">
        <v>2020</v>
      </c>
      <c r="P1546" s="3253">
        <v>2021</v>
      </c>
      <c r="Q1546" s="3255">
        <v>2022</v>
      </c>
    </row>
    <row r="1547" spans="2:17">
      <c r="B1547" s="3256" t="s">
        <v>1726</v>
      </c>
      <c r="C1547" s="3257"/>
      <c r="D1547" s="3258"/>
      <c r="E1547" s="3258"/>
      <c r="F1547" s="3258"/>
      <c r="G1547" s="3259"/>
      <c r="H1547" s="3257"/>
      <c r="I1547" s="3258"/>
      <c r="J1547" s="3258"/>
      <c r="K1547" s="3258"/>
      <c r="L1547" s="3259"/>
      <c r="M1547" s="3257"/>
      <c r="N1547" s="3258"/>
      <c r="O1547" s="3258"/>
      <c r="P1547" s="3258"/>
      <c r="Q1547" s="3259"/>
    </row>
    <row r="1548" spans="2:17">
      <c r="B1548" s="3260"/>
      <c r="C1548" s="3268"/>
      <c r="D1548" s="3269"/>
      <c r="E1548" s="3269"/>
      <c r="F1548" s="3269"/>
      <c r="G1548" s="3270"/>
      <c r="H1548" s="3268"/>
      <c r="I1548" s="3269"/>
      <c r="J1548" s="3269"/>
      <c r="K1548" s="3269"/>
      <c r="L1548" s="3270"/>
      <c r="M1548" s="3268"/>
      <c r="N1548" s="3269"/>
      <c r="O1548" s="3269"/>
      <c r="P1548" s="3269"/>
      <c r="Q1548" s="3270"/>
    </row>
    <row r="1549" spans="2:17">
      <c r="B1549" s="3260" t="s">
        <v>64</v>
      </c>
      <c r="C1549" s="3268"/>
      <c r="D1549" s="3269"/>
      <c r="E1549" s="3269"/>
      <c r="F1549" s="3269"/>
      <c r="G1549" s="3270"/>
      <c r="H1549" s="3268"/>
      <c r="I1549" s="3281">
        <v>0</v>
      </c>
      <c r="J1549" s="3281">
        <v>0</v>
      </c>
      <c r="K1549" s="3281">
        <v>0</v>
      </c>
      <c r="L1549" s="3284">
        <v>0</v>
      </c>
      <c r="M1549" s="3283">
        <v>0</v>
      </c>
      <c r="N1549" s="3281">
        <v>0</v>
      </c>
      <c r="O1549" s="3281">
        <v>0</v>
      </c>
      <c r="P1549" s="3281">
        <v>0</v>
      </c>
      <c r="Q1549" s="3284">
        <v>0</v>
      </c>
    </row>
    <row r="1550" spans="2:17">
      <c r="B1550" s="3260" t="s">
        <v>65</v>
      </c>
      <c r="C1550" s="3268"/>
      <c r="D1550" s="3269"/>
      <c r="E1550" s="3269"/>
      <c r="F1550" s="3269"/>
      <c r="G1550" s="3270"/>
      <c r="H1550" s="3268"/>
      <c r="I1550" s="3281">
        <v>0</v>
      </c>
      <c r="J1550" s="3281">
        <v>0</v>
      </c>
      <c r="K1550" s="3281">
        <v>0</v>
      </c>
      <c r="L1550" s="3284">
        <v>0</v>
      </c>
      <c r="M1550" s="3283">
        <v>0</v>
      </c>
      <c r="N1550" s="3281">
        <v>0</v>
      </c>
      <c r="O1550" s="3281">
        <v>0</v>
      </c>
      <c r="P1550" s="3281">
        <v>0</v>
      </c>
      <c r="Q1550" s="3284">
        <v>0</v>
      </c>
    </row>
    <row r="1551" spans="2:17">
      <c r="B1551" s="3260" t="s">
        <v>82</v>
      </c>
      <c r="C1551" s="3268"/>
      <c r="D1551" s="3269"/>
      <c r="E1551" s="3269"/>
      <c r="F1551" s="3269"/>
      <c r="G1551" s="3270"/>
      <c r="H1551" s="3268"/>
      <c r="I1551" s="3281">
        <v>0</v>
      </c>
      <c r="J1551" s="3281">
        <v>0</v>
      </c>
      <c r="K1551" s="3281">
        <v>0</v>
      </c>
      <c r="L1551" s="3284">
        <v>0</v>
      </c>
      <c r="M1551" s="3283">
        <v>0</v>
      </c>
      <c r="N1551" s="3281">
        <v>0</v>
      </c>
      <c r="O1551" s="3281">
        <v>0</v>
      </c>
      <c r="P1551" s="3281">
        <v>0</v>
      </c>
      <c r="Q1551" s="3284">
        <v>0</v>
      </c>
    </row>
    <row r="1552" spans="2:17">
      <c r="B1552" s="3260" t="s">
        <v>680</v>
      </c>
      <c r="C1552" s="3268"/>
      <c r="D1552" s="3269"/>
      <c r="E1552" s="3269"/>
      <c r="F1552" s="3269"/>
      <c r="G1552" s="3270"/>
      <c r="H1552" s="3268"/>
      <c r="I1552" s="3281">
        <v>0</v>
      </c>
      <c r="J1552" s="3281">
        <v>0</v>
      </c>
      <c r="K1552" s="3281">
        <v>0</v>
      </c>
      <c r="L1552" s="3284">
        <v>0</v>
      </c>
      <c r="M1552" s="3283">
        <v>0</v>
      </c>
      <c r="N1552" s="3281">
        <v>0</v>
      </c>
      <c r="O1552" s="3281">
        <v>0</v>
      </c>
      <c r="P1552" s="3281">
        <v>0</v>
      </c>
      <c r="Q1552" s="3284">
        <v>0</v>
      </c>
    </row>
    <row r="1553" spans="2:17">
      <c r="B1553" s="3260" t="s">
        <v>681</v>
      </c>
      <c r="C1553" s="3268"/>
      <c r="D1553" s="3269"/>
      <c r="E1553" s="3269"/>
      <c r="F1553" s="3269"/>
      <c r="G1553" s="3270"/>
      <c r="H1553" s="3268"/>
      <c r="I1553" s="3281">
        <v>21.989999999999984</v>
      </c>
      <c r="J1553" s="3281">
        <v>22.713999999999981</v>
      </c>
      <c r="K1553" s="3281">
        <v>23.168279999999982</v>
      </c>
      <c r="L1553" s="3281">
        <v>23.631645599999981</v>
      </c>
      <c r="M1553" s="3281">
        <v>24.104278511999983</v>
      </c>
      <c r="N1553" s="3281">
        <v>24.586364082239982</v>
      </c>
      <c r="O1553" s="3281">
        <v>25.078091363884781</v>
      </c>
      <c r="P1553" s="3281">
        <v>25.579653191162478</v>
      </c>
      <c r="Q1553" s="3281">
        <v>26.091246254985727</v>
      </c>
    </row>
    <row r="1554" spans="2:17">
      <c r="B1554" s="3260" t="s">
        <v>682</v>
      </c>
      <c r="C1554" s="3268"/>
      <c r="D1554" s="3269"/>
      <c r="E1554" s="3269"/>
      <c r="F1554" s="3269"/>
      <c r="G1554" s="3270"/>
      <c r="H1554" s="3268"/>
      <c r="I1554" s="3281">
        <v>0</v>
      </c>
      <c r="J1554" s="3281">
        <v>0</v>
      </c>
      <c r="K1554" s="3281">
        <v>0</v>
      </c>
      <c r="L1554" s="3281">
        <v>0</v>
      </c>
      <c r="M1554" s="3281">
        <v>0</v>
      </c>
      <c r="N1554" s="3281">
        <v>0</v>
      </c>
      <c r="O1554" s="3281">
        <v>0</v>
      </c>
      <c r="P1554" s="3281">
        <v>0</v>
      </c>
      <c r="Q1554" s="3281">
        <v>0</v>
      </c>
    </row>
    <row r="1555" spans="2:17">
      <c r="B1555" s="3260" t="s">
        <v>66</v>
      </c>
      <c r="C1555" s="3268"/>
      <c r="D1555" s="3269"/>
      <c r="E1555" s="3269"/>
      <c r="F1555" s="3269"/>
      <c r="G1555" s="3270"/>
      <c r="H1555" s="3268"/>
      <c r="I1555" s="3281">
        <v>0</v>
      </c>
      <c r="J1555" s="3281">
        <v>0</v>
      </c>
      <c r="K1555" s="3281">
        <v>0</v>
      </c>
      <c r="L1555" s="3281">
        <v>0</v>
      </c>
      <c r="M1555" s="3281">
        <v>0</v>
      </c>
      <c r="N1555" s="3281">
        <v>0</v>
      </c>
      <c r="O1555" s="3281">
        <v>0</v>
      </c>
      <c r="P1555" s="3281">
        <v>0</v>
      </c>
      <c r="Q1555" s="3281">
        <v>0</v>
      </c>
    </row>
    <row r="1556" spans="2:17" ht="13.5" thickBot="1">
      <c r="B1556" s="3260" t="s">
        <v>67</v>
      </c>
      <c r="C1556" s="3268"/>
      <c r="D1556" s="3269"/>
      <c r="E1556" s="3269"/>
      <c r="F1556" s="3269"/>
      <c r="G1556" s="3270"/>
      <c r="H1556" s="3268"/>
      <c r="I1556" s="3281">
        <v>11.128000000000002</v>
      </c>
      <c r="J1556" s="3281">
        <v>11.128000000000002</v>
      </c>
      <c r="K1556" s="3281">
        <v>11.128000000000002</v>
      </c>
      <c r="L1556" s="3281">
        <v>12.128</v>
      </c>
      <c r="M1556" s="3281">
        <v>13.128</v>
      </c>
      <c r="N1556" s="3281">
        <v>14.128</v>
      </c>
      <c r="O1556" s="3281">
        <v>15.128</v>
      </c>
      <c r="P1556" s="3281">
        <v>16.128</v>
      </c>
      <c r="Q1556" s="3281">
        <v>17.128</v>
      </c>
    </row>
    <row r="1557" spans="2:17" ht="12.75" customHeight="1">
      <c r="B1557" s="4689">
        <v>3460</v>
      </c>
      <c r="C1557" s="4691" t="s">
        <v>36</v>
      </c>
      <c r="D1557" s="4692"/>
      <c r="E1557" s="4692"/>
      <c r="F1557" s="4692"/>
      <c r="G1557" s="4692"/>
      <c r="H1557" s="4693" t="s">
        <v>37</v>
      </c>
      <c r="I1557" s="4694"/>
      <c r="J1557" s="4694"/>
      <c r="K1557" s="4694"/>
      <c r="L1557" s="4694"/>
      <c r="M1557" s="4695" t="s">
        <v>73</v>
      </c>
      <c r="N1557" s="4695"/>
      <c r="O1557" s="4695"/>
      <c r="P1557" s="4695"/>
      <c r="Q1557" s="4696"/>
    </row>
    <row r="1558" spans="2:17" ht="12.75" customHeight="1">
      <c r="B1558" s="4690"/>
      <c r="C1558" s="4697" t="s">
        <v>1673</v>
      </c>
      <c r="D1558" s="4698"/>
      <c r="E1558" s="4698"/>
      <c r="F1558" s="4698"/>
      <c r="G1558" s="4698"/>
      <c r="H1558" s="4698"/>
      <c r="I1558" s="4698"/>
      <c r="J1558" s="4698"/>
      <c r="K1558" s="4698"/>
      <c r="L1558" s="4698"/>
      <c r="M1558" s="4698"/>
      <c r="N1558" s="4698"/>
      <c r="O1558" s="4698"/>
      <c r="P1558" s="4698"/>
      <c r="Q1558" s="4699"/>
    </row>
    <row r="1559" spans="2:17" ht="12.75" customHeight="1">
      <c r="B1559" s="4690"/>
      <c r="C1559" s="4697" t="s">
        <v>54</v>
      </c>
      <c r="D1559" s="4698"/>
      <c r="E1559" s="4698"/>
      <c r="F1559" s="4698"/>
      <c r="G1559" s="4698"/>
      <c r="H1559" s="4698"/>
      <c r="I1559" s="4698"/>
      <c r="J1559" s="4700"/>
      <c r="K1559" s="4701" t="s">
        <v>55</v>
      </c>
      <c r="L1559" s="4702"/>
      <c r="M1559" s="4702"/>
      <c r="N1559" s="4702"/>
      <c r="O1559" s="4702"/>
      <c r="P1559" s="4702"/>
      <c r="Q1559" s="4703"/>
    </row>
    <row r="1560" spans="2:17" ht="13.5" customHeight="1" thickBot="1">
      <c r="B1560" s="4690"/>
      <c r="C1560" s="3252">
        <f t="array" ref="C1560:G1560">PRCP</f>
        <v>2008</v>
      </c>
      <c r="D1560" s="3253">
        <v>2009</v>
      </c>
      <c r="E1560" s="3253">
        <v>2010</v>
      </c>
      <c r="F1560" s="3253">
        <v>2011</v>
      </c>
      <c r="G1560" s="3253">
        <v>2012</v>
      </c>
      <c r="H1560" s="3254">
        <f>CRCP_y1</f>
        <v>2013</v>
      </c>
      <c r="I1560" s="3254">
        <f>CRCP_y2</f>
        <v>2014</v>
      </c>
      <c r="J1560" s="3254">
        <f>CRCP_y3</f>
        <v>2015</v>
      </c>
      <c r="K1560" s="3254">
        <f>CRCP_y4</f>
        <v>2016</v>
      </c>
      <c r="L1560" s="3254">
        <f>CRCP_y5</f>
        <v>2017</v>
      </c>
      <c r="M1560" s="3253" t="str">
        <f t="array" ref="M1560:Q1560">FRCP</f>
        <v>2018</v>
      </c>
      <c r="N1560" s="3253">
        <v>2019</v>
      </c>
      <c r="O1560" s="3253">
        <v>2020</v>
      </c>
      <c r="P1560" s="3253">
        <v>2021</v>
      </c>
      <c r="Q1560" s="3255">
        <v>2022</v>
      </c>
    </row>
    <row r="1561" spans="2:17">
      <c r="B1561" s="3256" t="s">
        <v>1726</v>
      </c>
      <c r="C1561" s="3257"/>
      <c r="D1561" s="3258"/>
      <c r="E1561" s="3258"/>
      <c r="F1561" s="3258"/>
      <c r="G1561" s="3259"/>
      <c r="H1561" s="3257"/>
      <c r="I1561" s="3258"/>
      <c r="J1561" s="3258"/>
      <c r="K1561" s="3258"/>
      <c r="L1561" s="3259"/>
      <c r="M1561" s="3257"/>
      <c r="N1561" s="3258"/>
      <c r="O1561" s="3258"/>
      <c r="P1561" s="3258"/>
      <c r="Q1561" s="3259"/>
    </row>
    <row r="1562" spans="2:17">
      <c r="B1562" s="3260"/>
      <c r="C1562" s="3268"/>
      <c r="D1562" s="3269"/>
      <c r="E1562" s="3269"/>
      <c r="F1562" s="3269"/>
      <c r="G1562" s="3270"/>
      <c r="H1562" s="3268"/>
      <c r="I1562" s="3269"/>
      <c r="J1562" s="3269"/>
      <c r="K1562" s="3269"/>
      <c r="L1562" s="3270"/>
      <c r="M1562" s="3268"/>
      <c r="N1562" s="3269"/>
      <c r="O1562" s="3269"/>
      <c r="P1562" s="3269"/>
      <c r="Q1562" s="3270"/>
    </row>
    <row r="1563" spans="2:17">
      <c r="B1563" s="3260" t="s">
        <v>64</v>
      </c>
      <c r="C1563" s="3268"/>
      <c r="D1563" s="3269"/>
      <c r="E1563" s="3269"/>
      <c r="F1563" s="3269"/>
      <c r="G1563" s="3270"/>
      <c r="H1563" s="3268"/>
      <c r="I1563" s="3269">
        <v>0</v>
      </c>
      <c r="J1563" s="3269">
        <v>0</v>
      </c>
      <c r="K1563" s="3269">
        <v>0</v>
      </c>
      <c r="L1563" s="3270">
        <v>0</v>
      </c>
      <c r="M1563" s="3268">
        <v>0</v>
      </c>
      <c r="N1563" s="3269">
        <v>0</v>
      </c>
      <c r="O1563" s="3269">
        <v>0</v>
      </c>
      <c r="P1563" s="3269">
        <v>0</v>
      </c>
      <c r="Q1563" s="3270">
        <v>0</v>
      </c>
    </row>
    <row r="1564" spans="2:17">
      <c r="B1564" s="3260" t="s">
        <v>65</v>
      </c>
      <c r="C1564" s="3268"/>
      <c r="D1564" s="3269"/>
      <c r="E1564" s="3269"/>
      <c r="F1564" s="3269"/>
      <c r="G1564" s="3270"/>
      <c r="H1564" s="3268"/>
      <c r="I1564" s="3269">
        <v>0</v>
      </c>
      <c r="J1564" s="3269">
        <v>0</v>
      </c>
      <c r="K1564" s="3269">
        <v>0</v>
      </c>
      <c r="L1564" s="3270">
        <v>0</v>
      </c>
      <c r="M1564" s="3268">
        <v>0</v>
      </c>
      <c r="N1564" s="3269">
        <v>0</v>
      </c>
      <c r="O1564" s="3269">
        <v>0</v>
      </c>
      <c r="P1564" s="3269">
        <v>0</v>
      </c>
      <c r="Q1564" s="3270">
        <v>0</v>
      </c>
    </row>
    <row r="1565" spans="2:17">
      <c r="B1565" s="3260" t="s">
        <v>82</v>
      </c>
      <c r="C1565" s="3268"/>
      <c r="D1565" s="3269"/>
      <c r="E1565" s="3269"/>
      <c r="F1565" s="3269"/>
      <c r="G1565" s="3270"/>
      <c r="H1565" s="3268"/>
      <c r="I1565" s="3269">
        <v>0</v>
      </c>
      <c r="J1565" s="3269">
        <v>0</v>
      </c>
      <c r="K1565" s="3269">
        <v>0</v>
      </c>
      <c r="L1565" s="3270">
        <v>0</v>
      </c>
      <c r="M1565" s="3268">
        <v>0</v>
      </c>
      <c r="N1565" s="3269">
        <v>0</v>
      </c>
      <c r="O1565" s="3269">
        <v>0</v>
      </c>
      <c r="P1565" s="3269">
        <v>0</v>
      </c>
      <c r="Q1565" s="3270">
        <v>0</v>
      </c>
    </row>
    <row r="1566" spans="2:17">
      <c r="B1566" s="3260" t="s">
        <v>680</v>
      </c>
      <c r="C1566" s="3268"/>
      <c r="D1566" s="3269"/>
      <c r="E1566" s="3269"/>
      <c r="F1566" s="3269"/>
      <c r="G1566" s="3270"/>
      <c r="H1566" s="3268"/>
      <c r="I1566" s="3269">
        <v>0</v>
      </c>
      <c r="J1566" s="3269">
        <v>0</v>
      </c>
      <c r="K1566" s="3269">
        <v>0</v>
      </c>
      <c r="L1566" s="3270">
        <v>0</v>
      </c>
      <c r="M1566" s="3268">
        <v>0</v>
      </c>
      <c r="N1566" s="3269">
        <v>0</v>
      </c>
      <c r="O1566" s="3269">
        <v>0</v>
      </c>
      <c r="P1566" s="3269">
        <v>0</v>
      </c>
      <c r="Q1566" s="3270">
        <v>0</v>
      </c>
    </row>
    <row r="1567" spans="2:17">
      <c r="B1567" s="3260" t="s">
        <v>681</v>
      </c>
      <c r="C1567" s="3268"/>
      <c r="D1567" s="3269"/>
      <c r="E1567" s="3269"/>
      <c r="F1567" s="3269"/>
      <c r="G1567" s="3270"/>
      <c r="H1567" s="3268"/>
      <c r="I1567" s="3269">
        <v>31.908000000000033</v>
      </c>
      <c r="J1567" s="3269">
        <v>32.09500000000002</v>
      </c>
      <c r="K1567" s="3269">
        <v>32.09500000000002</v>
      </c>
      <c r="L1567" s="3269">
        <v>32.09500000000002</v>
      </c>
      <c r="M1567" s="3269">
        <v>32.09500000000002</v>
      </c>
      <c r="N1567" s="3269">
        <v>32.09500000000002</v>
      </c>
      <c r="O1567" s="3269">
        <v>32.09500000000002</v>
      </c>
      <c r="P1567" s="3269">
        <v>32.09500000000002</v>
      </c>
      <c r="Q1567" s="3269">
        <v>32.09500000000002</v>
      </c>
    </row>
    <row r="1568" spans="2:17">
      <c r="B1568" s="3260" t="s">
        <v>682</v>
      </c>
      <c r="C1568" s="3268"/>
      <c r="D1568" s="3269"/>
      <c r="E1568" s="3269"/>
      <c r="F1568" s="3269"/>
      <c r="G1568" s="3270"/>
      <c r="H1568" s="3268"/>
      <c r="I1568" s="3269">
        <v>1.8699999999999999</v>
      </c>
      <c r="J1568" s="3269">
        <v>1.87</v>
      </c>
      <c r="K1568" s="3269">
        <v>1.87</v>
      </c>
      <c r="L1568" s="3269">
        <v>1.87</v>
      </c>
      <c r="M1568" s="3269">
        <v>1.87</v>
      </c>
      <c r="N1568" s="3269">
        <v>1.87</v>
      </c>
      <c r="O1568" s="3269">
        <v>1.87</v>
      </c>
      <c r="P1568" s="3269">
        <v>1.87</v>
      </c>
      <c r="Q1568" s="3269">
        <v>1.87</v>
      </c>
    </row>
    <row r="1569" spans="2:17">
      <c r="B1569" s="3260" t="s">
        <v>66</v>
      </c>
      <c r="C1569" s="3268"/>
      <c r="D1569" s="3269"/>
      <c r="E1569" s="3269"/>
      <c r="F1569" s="3269"/>
      <c r="G1569" s="3270"/>
      <c r="H1569" s="3268"/>
      <c r="I1569" s="3269">
        <v>0</v>
      </c>
      <c r="J1569" s="3269">
        <v>0</v>
      </c>
      <c r="K1569" s="3269">
        <v>0</v>
      </c>
      <c r="L1569" s="3269">
        <v>0</v>
      </c>
      <c r="M1569" s="3269">
        <v>0</v>
      </c>
      <c r="N1569" s="3269">
        <v>0</v>
      </c>
      <c r="O1569" s="3269">
        <v>0</v>
      </c>
      <c r="P1569" s="3269">
        <v>0</v>
      </c>
      <c r="Q1569" s="3269">
        <v>0</v>
      </c>
    </row>
    <row r="1570" spans="2:17" ht="13.5" thickBot="1">
      <c r="B1570" s="3260" t="s">
        <v>67</v>
      </c>
      <c r="C1570" s="3268"/>
      <c r="D1570" s="3269"/>
      <c r="E1570" s="3269"/>
      <c r="F1570" s="3269"/>
      <c r="G1570" s="3270"/>
      <c r="H1570" s="3268"/>
      <c r="I1570" s="3269">
        <v>4.5369999999999999</v>
      </c>
      <c r="J1570" s="3269">
        <v>4.5369999999999999</v>
      </c>
      <c r="K1570" s="3269">
        <v>4.5369999999999999</v>
      </c>
      <c r="L1570" s="3269">
        <v>4.5369999999999999</v>
      </c>
      <c r="M1570" s="3269">
        <v>4.5369999999999999</v>
      </c>
      <c r="N1570" s="3269">
        <v>4.5369999999999999</v>
      </c>
      <c r="O1570" s="3269">
        <v>4.5369999999999999</v>
      </c>
      <c r="P1570" s="3269">
        <v>4.5369999999999999</v>
      </c>
      <c r="Q1570" s="3269">
        <v>4.5369999999999999</v>
      </c>
    </row>
    <row r="1571" spans="2:17" ht="12.75" customHeight="1">
      <c r="B1571" s="4689">
        <v>3461</v>
      </c>
      <c r="C1571" s="4691" t="s">
        <v>36</v>
      </c>
      <c r="D1571" s="4692"/>
      <c r="E1571" s="4692"/>
      <c r="F1571" s="4692"/>
      <c r="G1571" s="4692"/>
      <c r="H1571" s="4693" t="s">
        <v>37</v>
      </c>
      <c r="I1571" s="4694"/>
      <c r="J1571" s="4694"/>
      <c r="K1571" s="4694"/>
      <c r="L1571" s="4694"/>
      <c r="M1571" s="4695" t="s">
        <v>73</v>
      </c>
      <c r="N1571" s="4695"/>
      <c r="O1571" s="4695"/>
      <c r="P1571" s="4695"/>
      <c r="Q1571" s="4696"/>
    </row>
    <row r="1572" spans="2:17" ht="12.75" customHeight="1">
      <c r="B1572" s="4690"/>
      <c r="C1572" s="4697" t="s">
        <v>1673</v>
      </c>
      <c r="D1572" s="4698"/>
      <c r="E1572" s="4698"/>
      <c r="F1572" s="4698"/>
      <c r="G1572" s="4698"/>
      <c r="H1572" s="4698"/>
      <c r="I1572" s="4698"/>
      <c r="J1572" s="4698"/>
      <c r="K1572" s="4698"/>
      <c r="L1572" s="4698"/>
      <c r="M1572" s="4698"/>
      <c r="N1572" s="4698"/>
      <c r="O1572" s="4698"/>
      <c r="P1572" s="4698"/>
      <c r="Q1572" s="4699"/>
    </row>
    <row r="1573" spans="2:17" ht="12.75" customHeight="1">
      <c r="B1573" s="4690"/>
      <c r="C1573" s="4697" t="s">
        <v>54</v>
      </c>
      <c r="D1573" s="4698"/>
      <c r="E1573" s="4698"/>
      <c r="F1573" s="4698"/>
      <c r="G1573" s="4698"/>
      <c r="H1573" s="4698"/>
      <c r="I1573" s="4698"/>
      <c r="J1573" s="4700"/>
      <c r="K1573" s="4701" t="s">
        <v>55</v>
      </c>
      <c r="L1573" s="4702"/>
      <c r="M1573" s="4702"/>
      <c r="N1573" s="4702"/>
      <c r="O1573" s="4702"/>
      <c r="P1573" s="4702"/>
      <c r="Q1573" s="4703"/>
    </row>
    <row r="1574" spans="2:17" ht="13.5" customHeight="1" thickBot="1">
      <c r="B1574" s="4690"/>
      <c r="C1574" s="3252">
        <f t="array" ref="C1574:G1574">PRCP</f>
        <v>2008</v>
      </c>
      <c r="D1574" s="3253">
        <v>2009</v>
      </c>
      <c r="E1574" s="3253">
        <v>2010</v>
      </c>
      <c r="F1574" s="3253">
        <v>2011</v>
      </c>
      <c r="G1574" s="3253">
        <v>2012</v>
      </c>
      <c r="H1574" s="3254">
        <f>CRCP_y1</f>
        <v>2013</v>
      </c>
      <c r="I1574" s="3254">
        <f>CRCP_y2</f>
        <v>2014</v>
      </c>
      <c r="J1574" s="3254">
        <f>CRCP_y3</f>
        <v>2015</v>
      </c>
      <c r="K1574" s="3254">
        <f>CRCP_y4</f>
        <v>2016</v>
      </c>
      <c r="L1574" s="3254">
        <f>CRCP_y5</f>
        <v>2017</v>
      </c>
      <c r="M1574" s="3253" t="str">
        <f t="array" ref="M1574:Q1574">FRCP</f>
        <v>2018</v>
      </c>
      <c r="N1574" s="3253">
        <v>2019</v>
      </c>
      <c r="O1574" s="3253">
        <v>2020</v>
      </c>
      <c r="P1574" s="3253">
        <v>2021</v>
      </c>
      <c r="Q1574" s="3255">
        <v>2022</v>
      </c>
    </row>
    <row r="1575" spans="2:17">
      <c r="B1575" s="3256" t="s">
        <v>1726</v>
      </c>
      <c r="C1575" s="3257"/>
      <c r="D1575" s="3258"/>
      <c r="E1575" s="3258"/>
      <c r="F1575" s="3258"/>
      <c r="G1575" s="3259"/>
      <c r="H1575" s="3257"/>
      <c r="I1575" s="3258"/>
      <c r="J1575" s="3258"/>
      <c r="K1575" s="3258"/>
      <c r="L1575" s="3259"/>
      <c r="M1575" s="3257"/>
      <c r="N1575" s="3258"/>
      <c r="O1575" s="3258"/>
      <c r="P1575" s="3258"/>
      <c r="Q1575" s="3259"/>
    </row>
    <row r="1576" spans="2:17">
      <c r="B1576" s="3260"/>
      <c r="C1576" s="3268"/>
      <c r="D1576" s="3269"/>
      <c r="E1576" s="3269"/>
      <c r="F1576" s="3269"/>
      <c r="G1576" s="3270"/>
      <c r="H1576" s="3268"/>
      <c r="I1576" s="3269"/>
      <c r="J1576" s="3269"/>
      <c r="K1576" s="3269"/>
      <c r="L1576" s="3270"/>
      <c r="M1576" s="3268"/>
      <c r="N1576" s="3269"/>
      <c r="O1576" s="3269"/>
      <c r="P1576" s="3269"/>
      <c r="Q1576" s="3270"/>
    </row>
    <row r="1577" spans="2:17">
      <c r="B1577" s="3260" t="s">
        <v>64</v>
      </c>
      <c r="C1577" s="3268"/>
      <c r="D1577" s="3269"/>
      <c r="E1577" s="3269"/>
      <c r="F1577" s="3269"/>
      <c r="G1577" s="3270"/>
      <c r="H1577" s="3268"/>
      <c r="I1577" s="3269">
        <v>0</v>
      </c>
      <c r="J1577" s="3269">
        <v>0</v>
      </c>
      <c r="K1577" s="3269">
        <v>0</v>
      </c>
      <c r="L1577" s="3270">
        <v>0</v>
      </c>
      <c r="M1577" s="3268">
        <v>0</v>
      </c>
      <c r="N1577" s="3269">
        <v>0</v>
      </c>
      <c r="O1577" s="3269">
        <v>0</v>
      </c>
      <c r="P1577" s="3269">
        <v>0</v>
      </c>
      <c r="Q1577" s="3270">
        <v>0</v>
      </c>
    </row>
    <row r="1578" spans="2:17">
      <c r="B1578" s="3260" t="s">
        <v>65</v>
      </c>
      <c r="C1578" s="3268"/>
      <c r="D1578" s="3269"/>
      <c r="E1578" s="3269"/>
      <c r="F1578" s="3269"/>
      <c r="G1578" s="3270"/>
      <c r="H1578" s="3268"/>
      <c r="I1578" s="3269">
        <v>0</v>
      </c>
      <c r="J1578" s="3269">
        <v>0</v>
      </c>
      <c r="K1578" s="3269">
        <v>0</v>
      </c>
      <c r="L1578" s="3270">
        <v>0</v>
      </c>
      <c r="M1578" s="3268">
        <v>0</v>
      </c>
      <c r="N1578" s="3269">
        <v>0</v>
      </c>
      <c r="O1578" s="3269">
        <v>0</v>
      </c>
      <c r="P1578" s="3269">
        <v>0</v>
      </c>
      <c r="Q1578" s="3270">
        <v>0</v>
      </c>
    </row>
    <row r="1579" spans="2:17">
      <c r="B1579" s="3260" t="s">
        <v>82</v>
      </c>
      <c r="C1579" s="3268"/>
      <c r="D1579" s="3269"/>
      <c r="E1579" s="3269"/>
      <c r="F1579" s="3269"/>
      <c r="G1579" s="3270"/>
      <c r="H1579" s="3268"/>
      <c r="I1579" s="3269">
        <v>0</v>
      </c>
      <c r="J1579" s="3269">
        <v>0</v>
      </c>
      <c r="K1579" s="3269">
        <v>0</v>
      </c>
      <c r="L1579" s="3270">
        <v>0</v>
      </c>
      <c r="M1579" s="3268">
        <v>0</v>
      </c>
      <c r="N1579" s="3269">
        <v>0</v>
      </c>
      <c r="O1579" s="3269">
        <v>0</v>
      </c>
      <c r="P1579" s="3269">
        <v>0</v>
      </c>
      <c r="Q1579" s="3270">
        <v>0</v>
      </c>
    </row>
    <row r="1580" spans="2:17">
      <c r="B1580" s="3260" t="s">
        <v>680</v>
      </c>
      <c r="C1580" s="3268"/>
      <c r="D1580" s="3269"/>
      <c r="E1580" s="3269"/>
      <c r="F1580" s="3269"/>
      <c r="G1580" s="3270"/>
      <c r="H1580" s="3268"/>
      <c r="I1580" s="3269">
        <v>0</v>
      </c>
      <c r="J1580" s="3269">
        <v>0</v>
      </c>
      <c r="K1580" s="3269">
        <v>0</v>
      </c>
      <c r="L1580" s="3270">
        <v>0</v>
      </c>
      <c r="M1580" s="3268">
        <v>0</v>
      </c>
      <c r="N1580" s="3269">
        <v>0</v>
      </c>
      <c r="O1580" s="3269">
        <v>0</v>
      </c>
      <c r="P1580" s="3269">
        <v>0</v>
      </c>
      <c r="Q1580" s="3270">
        <v>0</v>
      </c>
    </row>
    <row r="1581" spans="2:17">
      <c r="B1581" s="3260" t="s">
        <v>681</v>
      </c>
      <c r="C1581" s="3268"/>
      <c r="D1581" s="3269"/>
      <c r="E1581" s="3269"/>
      <c r="F1581" s="3269"/>
      <c r="G1581" s="3270"/>
      <c r="H1581" s="3268"/>
      <c r="I1581" s="3269">
        <v>10.278000000000006</v>
      </c>
      <c r="J1581" s="3269">
        <v>10.288000000000002</v>
      </c>
      <c r="K1581" s="3269">
        <v>10.288000000000002</v>
      </c>
      <c r="L1581" s="3269">
        <v>10.288000000000002</v>
      </c>
      <c r="M1581" s="3269">
        <v>10.288000000000002</v>
      </c>
      <c r="N1581" s="3269">
        <v>10.288000000000002</v>
      </c>
      <c r="O1581" s="3269">
        <v>10.288000000000002</v>
      </c>
      <c r="P1581" s="3269">
        <v>10.288000000000002</v>
      </c>
      <c r="Q1581" s="3269">
        <v>10.288000000000002</v>
      </c>
    </row>
    <row r="1582" spans="2:17">
      <c r="B1582" s="3260" t="s">
        <v>682</v>
      </c>
      <c r="C1582" s="3268"/>
      <c r="D1582" s="3269"/>
      <c r="E1582" s="3269"/>
      <c r="F1582" s="3269"/>
      <c r="G1582" s="3270"/>
      <c r="H1582" s="3268"/>
      <c r="I1582" s="3269">
        <v>0</v>
      </c>
      <c r="J1582" s="3269">
        <v>0</v>
      </c>
      <c r="K1582" s="3269">
        <v>0</v>
      </c>
      <c r="L1582" s="3269">
        <v>0</v>
      </c>
      <c r="M1582" s="3269">
        <v>0</v>
      </c>
      <c r="N1582" s="3269">
        <v>0</v>
      </c>
      <c r="O1582" s="3269">
        <v>0</v>
      </c>
      <c r="P1582" s="3269">
        <v>0</v>
      </c>
      <c r="Q1582" s="3269">
        <v>0</v>
      </c>
    </row>
    <row r="1583" spans="2:17">
      <c r="B1583" s="3260" t="s">
        <v>66</v>
      </c>
      <c r="C1583" s="3268"/>
      <c r="D1583" s="3269"/>
      <c r="E1583" s="3269"/>
      <c r="F1583" s="3269"/>
      <c r="G1583" s="3270"/>
      <c r="H1583" s="3268"/>
      <c r="I1583" s="3269">
        <v>0</v>
      </c>
      <c r="J1583" s="3269">
        <v>0</v>
      </c>
      <c r="K1583" s="3269">
        <v>0</v>
      </c>
      <c r="L1583" s="3269">
        <v>0</v>
      </c>
      <c r="M1583" s="3269">
        <v>0</v>
      </c>
      <c r="N1583" s="3269">
        <v>0</v>
      </c>
      <c r="O1583" s="3269">
        <v>0</v>
      </c>
      <c r="P1583" s="3269">
        <v>0</v>
      </c>
      <c r="Q1583" s="3269">
        <v>0</v>
      </c>
    </row>
    <row r="1584" spans="2:17" ht="13.5" thickBot="1">
      <c r="B1584" s="3260" t="s">
        <v>67</v>
      </c>
      <c r="C1584" s="3268"/>
      <c r="D1584" s="3269"/>
      <c r="E1584" s="3269"/>
      <c r="F1584" s="3269"/>
      <c r="G1584" s="3270"/>
      <c r="H1584" s="3268"/>
      <c r="I1584" s="3269">
        <v>2.3259999999999996</v>
      </c>
      <c r="J1584" s="3269">
        <v>2.3259999999999996</v>
      </c>
      <c r="K1584" s="3269">
        <v>2.3259999999999996</v>
      </c>
      <c r="L1584" s="3269">
        <v>2.3259999999999996</v>
      </c>
      <c r="M1584" s="3269">
        <v>2.3259999999999996</v>
      </c>
      <c r="N1584" s="3269">
        <v>2.3259999999999996</v>
      </c>
      <c r="O1584" s="3269">
        <v>2.3259999999999996</v>
      </c>
      <c r="P1584" s="3269">
        <v>2.3259999999999996</v>
      </c>
      <c r="Q1584" s="3269">
        <v>2.3259999999999996</v>
      </c>
    </row>
    <row r="1585" spans="2:17" ht="12.75" customHeight="1">
      <c r="B1585" s="4689">
        <v>3464</v>
      </c>
      <c r="C1585" s="4691" t="s">
        <v>36</v>
      </c>
      <c r="D1585" s="4692"/>
      <c r="E1585" s="4692"/>
      <c r="F1585" s="4692"/>
      <c r="G1585" s="4692"/>
      <c r="H1585" s="4693" t="s">
        <v>37</v>
      </c>
      <c r="I1585" s="4694"/>
      <c r="J1585" s="4694"/>
      <c r="K1585" s="4694"/>
      <c r="L1585" s="4694"/>
      <c r="M1585" s="4695" t="s">
        <v>73</v>
      </c>
      <c r="N1585" s="4695"/>
      <c r="O1585" s="4695"/>
      <c r="P1585" s="4695"/>
      <c r="Q1585" s="4696"/>
    </row>
    <row r="1586" spans="2:17" ht="12.75" customHeight="1">
      <c r="B1586" s="4690"/>
      <c r="C1586" s="4697" t="s">
        <v>1673</v>
      </c>
      <c r="D1586" s="4698"/>
      <c r="E1586" s="4698"/>
      <c r="F1586" s="4698"/>
      <c r="G1586" s="4698"/>
      <c r="H1586" s="4698"/>
      <c r="I1586" s="4698"/>
      <c r="J1586" s="4698"/>
      <c r="K1586" s="4698"/>
      <c r="L1586" s="4698"/>
      <c r="M1586" s="4698"/>
      <c r="N1586" s="4698"/>
      <c r="O1586" s="4698"/>
      <c r="P1586" s="4698"/>
      <c r="Q1586" s="4699"/>
    </row>
    <row r="1587" spans="2:17" ht="12.75" customHeight="1">
      <c r="B1587" s="4690"/>
      <c r="C1587" s="4697" t="s">
        <v>54</v>
      </c>
      <c r="D1587" s="4698"/>
      <c r="E1587" s="4698"/>
      <c r="F1587" s="4698"/>
      <c r="G1587" s="4698"/>
      <c r="H1587" s="4698"/>
      <c r="I1587" s="4698"/>
      <c r="J1587" s="4700"/>
      <c r="K1587" s="4701" t="s">
        <v>55</v>
      </c>
      <c r="L1587" s="4702"/>
      <c r="M1587" s="4702"/>
      <c r="N1587" s="4702"/>
      <c r="O1587" s="4702"/>
      <c r="P1587" s="4702"/>
      <c r="Q1587" s="4703"/>
    </row>
    <row r="1588" spans="2:17" ht="13.5" customHeight="1" thickBot="1">
      <c r="B1588" s="4690"/>
      <c r="C1588" s="3252">
        <f t="array" ref="C1588:G1588">PRCP</f>
        <v>2008</v>
      </c>
      <c r="D1588" s="3253">
        <v>2009</v>
      </c>
      <c r="E1588" s="3253">
        <v>2010</v>
      </c>
      <c r="F1588" s="3253">
        <v>2011</v>
      </c>
      <c r="G1588" s="3253">
        <v>2012</v>
      </c>
      <c r="H1588" s="3254">
        <f>CRCP_y1</f>
        <v>2013</v>
      </c>
      <c r="I1588" s="3254">
        <f>CRCP_y2</f>
        <v>2014</v>
      </c>
      <c r="J1588" s="3254">
        <f>CRCP_y3</f>
        <v>2015</v>
      </c>
      <c r="K1588" s="3254">
        <f>CRCP_y4</f>
        <v>2016</v>
      </c>
      <c r="L1588" s="3254">
        <f>CRCP_y5</f>
        <v>2017</v>
      </c>
      <c r="M1588" s="3253" t="str">
        <f t="array" ref="M1588:Q1588">FRCP</f>
        <v>2018</v>
      </c>
      <c r="N1588" s="3253">
        <v>2019</v>
      </c>
      <c r="O1588" s="3253">
        <v>2020</v>
      </c>
      <c r="P1588" s="3253">
        <v>2021</v>
      </c>
      <c r="Q1588" s="3255">
        <v>2022</v>
      </c>
    </row>
    <row r="1589" spans="2:17">
      <c r="B1589" s="3256" t="s">
        <v>1726</v>
      </c>
      <c r="C1589" s="3257"/>
      <c r="D1589" s="3258"/>
      <c r="E1589" s="3258"/>
      <c r="F1589" s="3258"/>
      <c r="G1589" s="3259"/>
      <c r="H1589" s="3257"/>
      <c r="I1589" s="3258"/>
      <c r="J1589" s="3258"/>
      <c r="K1589" s="3258"/>
      <c r="L1589" s="3259"/>
      <c r="M1589" s="3257"/>
      <c r="N1589" s="3258"/>
      <c r="O1589" s="3258"/>
      <c r="P1589" s="3258"/>
      <c r="Q1589" s="3259"/>
    </row>
    <row r="1590" spans="2:17">
      <c r="B1590" s="3260"/>
      <c r="C1590" s="3268"/>
      <c r="D1590" s="3269"/>
      <c r="E1590" s="3269"/>
      <c r="F1590" s="3269"/>
      <c r="G1590" s="3270"/>
      <c r="H1590" s="3268"/>
      <c r="I1590" s="3269"/>
      <c r="J1590" s="3269"/>
      <c r="K1590" s="3269"/>
      <c r="L1590" s="3270"/>
      <c r="M1590" s="3268"/>
      <c r="N1590" s="3269"/>
      <c r="O1590" s="3269"/>
      <c r="P1590" s="3269"/>
      <c r="Q1590" s="3270"/>
    </row>
    <row r="1591" spans="2:17">
      <c r="B1591" s="3260" t="s">
        <v>64</v>
      </c>
      <c r="C1591" s="3268"/>
      <c r="D1591" s="3269"/>
      <c r="E1591" s="3269"/>
      <c r="F1591" s="3269"/>
      <c r="G1591" s="3270"/>
      <c r="H1591" s="3268"/>
      <c r="I1591" s="3269">
        <v>0</v>
      </c>
      <c r="J1591" s="3269">
        <v>0</v>
      </c>
      <c r="K1591" s="3269">
        <v>0</v>
      </c>
      <c r="L1591" s="3270">
        <v>0</v>
      </c>
      <c r="M1591" s="3268">
        <v>0</v>
      </c>
      <c r="N1591" s="3269">
        <v>0</v>
      </c>
      <c r="O1591" s="3269">
        <v>0</v>
      </c>
      <c r="P1591" s="3269">
        <v>0</v>
      </c>
      <c r="Q1591" s="3270">
        <v>0</v>
      </c>
    </row>
    <row r="1592" spans="2:17">
      <c r="B1592" s="3260" t="s">
        <v>65</v>
      </c>
      <c r="C1592" s="3268"/>
      <c r="D1592" s="3269"/>
      <c r="E1592" s="3269"/>
      <c r="F1592" s="3269"/>
      <c r="G1592" s="3270"/>
      <c r="H1592" s="3268"/>
      <c r="I1592" s="3269">
        <v>0</v>
      </c>
      <c r="J1592" s="3269">
        <v>0</v>
      </c>
      <c r="K1592" s="3269">
        <v>0</v>
      </c>
      <c r="L1592" s="3270">
        <v>0</v>
      </c>
      <c r="M1592" s="3268">
        <v>0</v>
      </c>
      <c r="N1592" s="3269">
        <v>0</v>
      </c>
      <c r="O1592" s="3269">
        <v>0</v>
      </c>
      <c r="P1592" s="3269">
        <v>0</v>
      </c>
      <c r="Q1592" s="3270">
        <v>0</v>
      </c>
    </row>
    <row r="1593" spans="2:17">
      <c r="B1593" s="3260" t="s">
        <v>82</v>
      </c>
      <c r="C1593" s="3268"/>
      <c r="D1593" s="3269"/>
      <c r="E1593" s="3269"/>
      <c r="F1593" s="3269"/>
      <c r="G1593" s="3270"/>
      <c r="H1593" s="3268"/>
      <c r="I1593" s="3269">
        <v>0</v>
      </c>
      <c r="J1593" s="3269">
        <v>0</v>
      </c>
      <c r="K1593" s="3269">
        <v>0</v>
      </c>
      <c r="L1593" s="3270">
        <v>0</v>
      </c>
      <c r="M1593" s="3268">
        <v>0</v>
      </c>
      <c r="N1593" s="3269">
        <v>0</v>
      </c>
      <c r="O1593" s="3269">
        <v>0</v>
      </c>
      <c r="P1593" s="3269">
        <v>0</v>
      </c>
      <c r="Q1593" s="3270">
        <v>0</v>
      </c>
    </row>
    <row r="1594" spans="2:17">
      <c r="B1594" s="3260" t="s">
        <v>680</v>
      </c>
      <c r="C1594" s="3268"/>
      <c r="D1594" s="3269"/>
      <c r="E1594" s="3269"/>
      <c r="F1594" s="3269"/>
      <c r="G1594" s="3270"/>
      <c r="H1594" s="3268"/>
      <c r="I1594" s="3269">
        <v>0</v>
      </c>
      <c r="J1594" s="3269">
        <v>0</v>
      </c>
      <c r="K1594" s="3269">
        <v>0</v>
      </c>
      <c r="L1594" s="3270">
        <v>0</v>
      </c>
      <c r="M1594" s="3268">
        <v>0</v>
      </c>
      <c r="N1594" s="3269">
        <v>0</v>
      </c>
      <c r="O1594" s="3269">
        <v>0</v>
      </c>
      <c r="P1594" s="3269">
        <v>0</v>
      </c>
      <c r="Q1594" s="3270">
        <v>0</v>
      </c>
    </row>
    <row r="1595" spans="2:17">
      <c r="B1595" s="3260" t="s">
        <v>681</v>
      </c>
      <c r="C1595" s="3268"/>
      <c r="D1595" s="3269"/>
      <c r="E1595" s="3269"/>
      <c r="F1595" s="3269"/>
      <c r="G1595" s="3270"/>
      <c r="H1595" s="3268"/>
      <c r="I1595" s="3269">
        <v>13.697999999999999</v>
      </c>
      <c r="J1595" s="3269">
        <v>13.697999999999999</v>
      </c>
      <c r="K1595" s="3269">
        <v>13.697999999999999</v>
      </c>
      <c r="L1595" s="3269">
        <v>13.697999999999999</v>
      </c>
      <c r="M1595" s="3269">
        <v>13.697999999999999</v>
      </c>
      <c r="N1595" s="3269">
        <v>13.697999999999999</v>
      </c>
      <c r="O1595" s="3269">
        <v>13.697999999999999</v>
      </c>
      <c r="P1595" s="3269">
        <v>13.697999999999999</v>
      </c>
      <c r="Q1595" s="3269">
        <v>13.697999999999999</v>
      </c>
    </row>
    <row r="1596" spans="2:17">
      <c r="B1596" s="3260" t="s">
        <v>682</v>
      </c>
      <c r="C1596" s="3268"/>
      <c r="D1596" s="3269"/>
      <c r="E1596" s="3269"/>
      <c r="F1596" s="3269"/>
      <c r="G1596" s="3270"/>
      <c r="H1596" s="3268"/>
      <c r="I1596" s="3269">
        <v>0</v>
      </c>
      <c r="J1596" s="3269">
        <v>0</v>
      </c>
      <c r="K1596" s="3269">
        <v>0</v>
      </c>
      <c r="L1596" s="3269">
        <v>0</v>
      </c>
      <c r="M1596" s="3269">
        <v>0</v>
      </c>
      <c r="N1596" s="3269">
        <v>0</v>
      </c>
      <c r="O1596" s="3269">
        <v>0</v>
      </c>
      <c r="P1596" s="3269">
        <v>0</v>
      </c>
      <c r="Q1596" s="3269">
        <v>0</v>
      </c>
    </row>
    <row r="1597" spans="2:17">
      <c r="B1597" s="3260" t="s">
        <v>66</v>
      </c>
      <c r="C1597" s="3268"/>
      <c r="D1597" s="3269"/>
      <c r="E1597" s="3269"/>
      <c r="F1597" s="3269"/>
      <c r="G1597" s="3270"/>
      <c r="H1597" s="3268"/>
      <c r="I1597" s="3269">
        <v>0</v>
      </c>
      <c r="J1597" s="3269">
        <v>0</v>
      </c>
      <c r="K1597" s="3269">
        <v>0</v>
      </c>
      <c r="L1597" s="3269">
        <v>0</v>
      </c>
      <c r="M1597" s="3269">
        <v>0</v>
      </c>
      <c r="N1597" s="3269">
        <v>0</v>
      </c>
      <c r="O1597" s="3269">
        <v>0</v>
      </c>
      <c r="P1597" s="3269">
        <v>0</v>
      </c>
      <c r="Q1597" s="3269">
        <v>0</v>
      </c>
    </row>
    <row r="1598" spans="2:17" ht="13.5" thickBot="1">
      <c r="B1598" s="3260" t="s">
        <v>67</v>
      </c>
      <c r="C1598" s="3268"/>
      <c r="D1598" s="3269"/>
      <c r="E1598" s="3269"/>
      <c r="F1598" s="3269"/>
      <c r="G1598" s="3270"/>
      <c r="H1598" s="3268"/>
      <c r="I1598" s="3269">
        <v>4.3569999999999993</v>
      </c>
      <c r="J1598" s="3269">
        <v>4.3570000000000002</v>
      </c>
      <c r="K1598" s="3269">
        <v>4.3570000000000002</v>
      </c>
      <c r="L1598" s="3269">
        <v>4.3570000000000002</v>
      </c>
      <c r="M1598" s="3269">
        <v>4.3570000000000002</v>
      </c>
      <c r="N1598" s="3269">
        <v>4.3570000000000002</v>
      </c>
      <c r="O1598" s="3269">
        <v>4.3570000000000002</v>
      </c>
      <c r="P1598" s="3269">
        <v>4.3570000000000002</v>
      </c>
      <c r="Q1598" s="3269">
        <v>4.3570000000000002</v>
      </c>
    </row>
    <row r="1599" spans="2:17" ht="12.75" customHeight="1">
      <c r="B1599" s="4689">
        <v>3465</v>
      </c>
      <c r="C1599" s="4691" t="s">
        <v>36</v>
      </c>
      <c r="D1599" s="4692"/>
      <c r="E1599" s="4692"/>
      <c r="F1599" s="4692"/>
      <c r="G1599" s="4692"/>
      <c r="H1599" s="4693" t="s">
        <v>37</v>
      </c>
      <c r="I1599" s="4694"/>
      <c r="J1599" s="4694"/>
      <c r="K1599" s="4694"/>
      <c r="L1599" s="4694"/>
      <c r="M1599" s="4695" t="s">
        <v>73</v>
      </c>
      <c r="N1599" s="4695"/>
      <c r="O1599" s="4695"/>
      <c r="P1599" s="4695"/>
      <c r="Q1599" s="4696"/>
    </row>
    <row r="1600" spans="2:17" ht="12.75" customHeight="1">
      <c r="B1600" s="4690"/>
      <c r="C1600" s="4697" t="s">
        <v>1673</v>
      </c>
      <c r="D1600" s="4698"/>
      <c r="E1600" s="4698"/>
      <c r="F1600" s="4698"/>
      <c r="G1600" s="4698"/>
      <c r="H1600" s="4698"/>
      <c r="I1600" s="4698"/>
      <c r="J1600" s="4698"/>
      <c r="K1600" s="4698"/>
      <c r="L1600" s="4698"/>
      <c r="M1600" s="4698"/>
      <c r="N1600" s="4698"/>
      <c r="O1600" s="4698"/>
      <c r="P1600" s="4698"/>
      <c r="Q1600" s="4699"/>
    </row>
    <row r="1601" spans="2:17" ht="12.75" customHeight="1">
      <c r="B1601" s="4690"/>
      <c r="C1601" s="4697" t="s">
        <v>54</v>
      </c>
      <c r="D1601" s="4698"/>
      <c r="E1601" s="4698"/>
      <c r="F1601" s="4698"/>
      <c r="G1601" s="4698"/>
      <c r="H1601" s="4698"/>
      <c r="I1601" s="4698"/>
      <c r="J1601" s="4700"/>
      <c r="K1601" s="4701" t="s">
        <v>55</v>
      </c>
      <c r="L1601" s="4702"/>
      <c r="M1601" s="4702"/>
      <c r="N1601" s="4702"/>
      <c r="O1601" s="4702"/>
      <c r="P1601" s="4702"/>
      <c r="Q1601" s="4703"/>
    </row>
    <row r="1602" spans="2:17" ht="13.5" customHeight="1" thickBot="1">
      <c r="B1602" s="4690"/>
      <c r="C1602" s="3252">
        <f t="array" ref="C1602:G1602">PRCP</f>
        <v>2008</v>
      </c>
      <c r="D1602" s="3253">
        <v>2009</v>
      </c>
      <c r="E1602" s="3253">
        <v>2010</v>
      </c>
      <c r="F1602" s="3253">
        <v>2011</v>
      </c>
      <c r="G1602" s="3253">
        <v>2012</v>
      </c>
      <c r="H1602" s="3254">
        <f>CRCP_y1</f>
        <v>2013</v>
      </c>
      <c r="I1602" s="3254">
        <f>CRCP_y2</f>
        <v>2014</v>
      </c>
      <c r="J1602" s="3254">
        <f>CRCP_y3</f>
        <v>2015</v>
      </c>
      <c r="K1602" s="3254">
        <f>CRCP_y4</f>
        <v>2016</v>
      </c>
      <c r="L1602" s="3254">
        <f>CRCP_y5</f>
        <v>2017</v>
      </c>
      <c r="M1602" s="3253" t="str">
        <f t="array" ref="M1602:Q1602">FRCP</f>
        <v>2018</v>
      </c>
      <c r="N1602" s="3253">
        <v>2019</v>
      </c>
      <c r="O1602" s="3253">
        <v>2020</v>
      </c>
      <c r="P1602" s="3253">
        <v>2021</v>
      </c>
      <c r="Q1602" s="3255">
        <v>2022</v>
      </c>
    </row>
    <row r="1603" spans="2:17">
      <c r="B1603" s="3256" t="s">
        <v>1726</v>
      </c>
      <c r="C1603" s="3257"/>
      <c r="D1603" s="3258"/>
      <c r="E1603" s="3258"/>
      <c r="F1603" s="3258"/>
      <c r="G1603" s="3259"/>
      <c r="H1603" s="3257"/>
      <c r="I1603" s="3258"/>
      <c r="J1603" s="3258"/>
      <c r="K1603" s="3258"/>
      <c r="L1603" s="3259"/>
      <c r="M1603" s="3257"/>
      <c r="N1603" s="3258"/>
      <c r="O1603" s="3258"/>
      <c r="P1603" s="3258"/>
      <c r="Q1603" s="3259"/>
    </row>
    <row r="1604" spans="2:17">
      <c r="B1604" s="3260"/>
      <c r="C1604" s="3268"/>
      <c r="D1604" s="3269"/>
      <c r="E1604" s="3269"/>
      <c r="F1604" s="3269"/>
      <c r="G1604" s="3270"/>
      <c r="H1604" s="3268"/>
      <c r="I1604" s="3269"/>
      <c r="J1604" s="3269"/>
      <c r="K1604" s="3269"/>
      <c r="L1604" s="3270"/>
      <c r="M1604" s="3268"/>
      <c r="N1604" s="3269"/>
      <c r="O1604" s="3269"/>
      <c r="P1604" s="3269"/>
      <c r="Q1604" s="3270"/>
    </row>
    <row r="1605" spans="2:17">
      <c r="B1605" s="3260" t="s">
        <v>64</v>
      </c>
      <c r="C1605" s="3268"/>
      <c r="D1605" s="3269"/>
      <c r="E1605" s="3269"/>
      <c r="F1605" s="3269"/>
      <c r="G1605" s="3270"/>
      <c r="H1605" s="3268"/>
      <c r="I1605" s="3269">
        <v>0</v>
      </c>
      <c r="J1605" s="3269">
        <v>0</v>
      </c>
      <c r="K1605" s="3269">
        <v>0</v>
      </c>
      <c r="L1605" s="3270">
        <v>0</v>
      </c>
      <c r="M1605" s="3268">
        <v>0</v>
      </c>
      <c r="N1605" s="3269">
        <v>0</v>
      </c>
      <c r="O1605" s="3269">
        <v>0</v>
      </c>
      <c r="P1605" s="3269">
        <v>0</v>
      </c>
      <c r="Q1605" s="3270">
        <v>0</v>
      </c>
    </row>
    <row r="1606" spans="2:17">
      <c r="B1606" s="3260" t="s">
        <v>65</v>
      </c>
      <c r="C1606" s="3268"/>
      <c r="D1606" s="3269"/>
      <c r="E1606" s="3269"/>
      <c r="F1606" s="3269"/>
      <c r="G1606" s="3270"/>
      <c r="H1606" s="3268"/>
      <c r="I1606" s="3269">
        <v>0</v>
      </c>
      <c r="J1606" s="3269">
        <v>0</v>
      </c>
      <c r="K1606" s="3269">
        <v>0</v>
      </c>
      <c r="L1606" s="3270">
        <v>0</v>
      </c>
      <c r="M1606" s="3268">
        <v>0</v>
      </c>
      <c r="N1606" s="3269">
        <v>0</v>
      </c>
      <c r="O1606" s="3269">
        <v>0</v>
      </c>
      <c r="P1606" s="3269">
        <v>0</v>
      </c>
      <c r="Q1606" s="3270">
        <v>0</v>
      </c>
    </row>
    <row r="1607" spans="2:17">
      <c r="B1607" s="3260" t="s">
        <v>82</v>
      </c>
      <c r="C1607" s="3268"/>
      <c r="D1607" s="3269"/>
      <c r="E1607" s="3269"/>
      <c r="F1607" s="3269"/>
      <c r="G1607" s="3270"/>
      <c r="H1607" s="3268"/>
      <c r="I1607" s="3269">
        <v>0</v>
      </c>
      <c r="J1607" s="3269">
        <v>0</v>
      </c>
      <c r="K1607" s="3269">
        <v>0</v>
      </c>
      <c r="L1607" s="3270">
        <v>0</v>
      </c>
      <c r="M1607" s="3268">
        <v>0</v>
      </c>
      <c r="N1607" s="3269">
        <v>0</v>
      </c>
      <c r="O1607" s="3269">
        <v>0</v>
      </c>
      <c r="P1607" s="3269">
        <v>0</v>
      </c>
      <c r="Q1607" s="3270">
        <v>0</v>
      </c>
    </row>
    <row r="1608" spans="2:17">
      <c r="B1608" s="3260" t="s">
        <v>680</v>
      </c>
      <c r="C1608" s="3268"/>
      <c r="D1608" s="3269"/>
      <c r="E1608" s="3269"/>
      <c r="F1608" s="3269"/>
      <c r="G1608" s="3270"/>
      <c r="H1608" s="3268"/>
      <c r="I1608" s="3269">
        <v>0</v>
      </c>
      <c r="J1608" s="3269">
        <v>0</v>
      </c>
      <c r="K1608" s="3269">
        <v>0</v>
      </c>
      <c r="L1608" s="3270">
        <v>0</v>
      </c>
      <c r="M1608" s="3268">
        <v>0</v>
      </c>
      <c r="N1608" s="3269">
        <v>0</v>
      </c>
      <c r="O1608" s="3269">
        <v>0</v>
      </c>
      <c r="P1608" s="3269">
        <v>0</v>
      </c>
      <c r="Q1608" s="3270">
        <v>0</v>
      </c>
    </row>
    <row r="1609" spans="2:17">
      <c r="B1609" s="3260" t="s">
        <v>681</v>
      </c>
      <c r="C1609" s="3268"/>
      <c r="D1609" s="3269"/>
      <c r="E1609" s="3269"/>
      <c r="F1609" s="3269"/>
      <c r="G1609" s="3270"/>
      <c r="H1609" s="3268"/>
      <c r="I1609" s="3269">
        <v>73.437000000000083</v>
      </c>
      <c r="J1609" s="3269">
        <v>73.631000000000071</v>
      </c>
      <c r="K1609" s="3269">
        <v>73.631000000000071</v>
      </c>
      <c r="L1609" s="3269">
        <v>73.631000000000071</v>
      </c>
      <c r="M1609" s="3269">
        <v>73.631000000000071</v>
      </c>
      <c r="N1609" s="3269">
        <v>73.631000000000071</v>
      </c>
      <c r="O1609" s="3269">
        <v>73.631000000000071</v>
      </c>
      <c r="P1609" s="3269">
        <v>73.631000000000071</v>
      </c>
      <c r="Q1609" s="3269">
        <v>73.631000000000071</v>
      </c>
    </row>
    <row r="1610" spans="2:17">
      <c r="B1610" s="3260" t="s">
        <v>682</v>
      </c>
      <c r="C1610" s="3268"/>
      <c r="D1610" s="3269"/>
      <c r="E1610" s="3269"/>
      <c r="F1610" s="3269"/>
      <c r="G1610" s="3270"/>
      <c r="H1610" s="3268"/>
      <c r="I1610" s="3269">
        <v>0</v>
      </c>
      <c r="J1610" s="3269">
        <v>0</v>
      </c>
      <c r="K1610" s="3269">
        <v>0</v>
      </c>
      <c r="L1610" s="3269">
        <v>0</v>
      </c>
      <c r="M1610" s="3269">
        <v>0</v>
      </c>
      <c r="N1610" s="3269">
        <v>0</v>
      </c>
      <c r="O1610" s="3269">
        <v>0</v>
      </c>
      <c r="P1610" s="3269">
        <v>0</v>
      </c>
      <c r="Q1610" s="3269">
        <v>0</v>
      </c>
    </row>
    <row r="1611" spans="2:17">
      <c r="B1611" s="3260" t="s">
        <v>66</v>
      </c>
      <c r="C1611" s="3268"/>
      <c r="D1611" s="3269"/>
      <c r="E1611" s="3269"/>
      <c r="F1611" s="3269"/>
      <c r="G1611" s="3270"/>
      <c r="H1611" s="3268"/>
      <c r="I1611" s="3269">
        <v>0</v>
      </c>
      <c r="J1611" s="3269">
        <v>0</v>
      </c>
      <c r="K1611" s="3269">
        <v>0</v>
      </c>
      <c r="L1611" s="3269">
        <v>0</v>
      </c>
      <c r="M1611" s="3269">
        <v>0</v>
      </c>
      <c r="N1611" s="3269">
        <v>0</v>
      </c>
      <c r="O1611" s="3269">
        <v>0</v>
      </c>
      <c r="P1611" s="3269">
        <v>0</v>
      </c>
      <c r="Q1611" s="3269">
        <v>0</v>
      </c>
    </row>
    <row r="1612" spans="2:17" ht="13.5" thickBot="1">
      <c r="B1612" s="3260" t="s">
        <v>67</v>
      </c>
      <c r="C1612" s="3268"/>
      <c r="D1612" s="3269"/>
      <c r="E1612" s="3269"/>
      <c r="F1612" s="3269"/>
      <c r="G1612" s="3270"/>
      <c r="H1612" s="3268"/>
      <c r="I1612" s="3269">
        <v>10.662999999999998</v>
      </c>
      <c r="J1612" s="3269">
        <v>10.663</v>
      </c>
      <c r="K1612" s="3269">
        <v>10.663</v>
      </c>
      <c r="L1612" s="3269">
        <v>10.663</v>
      </c>
      <c r="M1612" s="3269">
        <v>10.663</v>
      </c>
      <c r="N1612" s="3269">
        <v>10.663</v>
      </c>
      <c r="O1612" s="3269">
        <v>10.663</v>
      </c>
      <c r="P1612" s="3269">
        <v>10.663</v>
      </c>
      <c r="Q1612" s="3269">
        <v>10.663</v>
      </c>
    </row>
    <row r="1613" spans="2:17" ht="12.75" customHeight="1">
      <c r="B1613" s="4689">
        <v>3550</v>
      </c>
      <c r="C1613" s="4691" t="s">
        <v>36</v>
      </c>
      <c r="D1613" s="4692"/>
      <c r="E1613" s="4692"/>
      <c r="F1613" s="4692"/>
      <c r="G1613" s="4692"/>
      <c r="H1613" s="4693" t="s">
        <v>37</v>
      </c>
      <c r="I1613" s="4694"/>
      <c r="J1613" s="4694"/>
      <c r="K1613" s="4694"/>
      <c r="L1613" s="4694"/>
      <c r="M1613" s="4695" t="s">
        <v>73</v>
      </c>
      <c r="N1613" s="4695"/>
      <c r="O1613" s="4695"/>
      <c r="P1613" s="4695"/>
      <c r="Q1613" s="4696"/>
    </row>
    <row r="1614" spans="2:17" ht="12.75" customHeight="1">
      <c r="B1614" s="4690"/>
      <c r="C1614" s="4697" t="s">
        <v>1673</v>
      </c>
      <c r="D1614" s="4698"/>
      <c r="E1614" s="4698"/>
      <c r="F1614" s="4698"/>
      <c r="G1614" s="4698"/>
      <c r="H1614" s="4698"/>
      <c r="I1614" s="4698"/>
      <c r="J1614" s="4698"/>
      <c r="K1614" s="4698"/>
      <c r="L1614" s="4698"/>
      <c r="M1614" s="4698"/>
      <c r="N1614" s="4698"/>
      <c r="O1614" s="4698"/>
      <c r="P1614" s="4698"/>
      <c r="Q1614" s="4699"/>
    </row>
    <row r="1615" spans="2:17" ht="12.75" customHeight="1">
      <c r="B1615" s="4690"/>
      <c r="C1615" s="4697" t="s">
        <v>54</v>
      </c>
      <c r="D1615" s="4698"/>
      <c r="E1615" s="4698"/>
      <c r="F1615" s="4698"/>
      <c r="G1615" s="4698"/>
      <c r="H1615" s="4698"/>
      <c r="I1615" s="4698"/>
      <c r="J1615" s="4700"/>
      <c r="K1615" s="4701" t="s">
        <v>55</v>
      </c>
      <c r="L1615" s="4702"/>
      <c r="M1615" s="4702"/>
      <c r="N1615" s="4702"/>
      <c r="O1615" s="4702"/>
      <c r="P1615" s="4702"/>
      <c r="Q1615" s="4703"/>
    </row>
    <row r="1616" spans="2:17" ht="13.5" customHeight="1" thickBot="1">
      <c r="B1616" s="4690"/>
      <c r="C1616" s="3252">
        <f t="array" ref="C1616:G1616">PRCP</f>
        <v>2008</v>
      </c>
      <c r="D1616" s="3253">
        <v>2009</v>
      </c>
      <c r="E1616" s="3253">
        <v>2010</v>
      </c>
      <c r="F1616" s="3253">
        <v>2011</v>
      </c>
      <c r="G1616" s="3253">
        <v>2012</v>
      </c>
      <c r="H1616" s="3254">
        <f>CRCP_y1</f>
        <v>2013</v>
      </c>
      <c r="I1616" s="3254">
        <f>CRCP_y2</f>
        <v>2014</v>
      </c>
      <c r="J1616" s="3254">
        <f>CRCP_y3</f>
        <v>2015</v>
      </c>
      <c r="K1616" s="3254">
        <f>CRCP_y4</f>
        <v>2016</v>
      </c>
      <c r="L1616" s="3254">
        <f>CRCP_y5</f>
        <v>2017</v>
      </c>
      <c r="M1616" s="3253" t="str">
        <f t="array" ref="M1616:Q1616">FRCP</f>
        <v>2018</v>
      </c>
      <c r="N1616" s="3253">
        <v>2019</v>
      </c>
      <c r="O1616" s="3253">
        <v>2020</v>
      </c>
      <c r="P1616" s="3253">
        <v>2021</v>
      </c>
      <c r="Q1616" s="3255">
        <v>2022</v>
      </c>
    </row>
    <row r="1617" spans="2:17">
      <c r="B1617" s="3256" t="s">
        <v>1726</v>
      </c>
      <c r="C1617" s="3257"/>
      <c r="D1617" s="3258"/>
      <c r="E1617" s="3258"/>
      <c r="F1617" s="3258"/>
      <c r="G1617" s="3259"/>
      <c r="H1617" s="3257"/>
      <c r="I1617" s="3258"/>
      <c r="J1617" s="3258"/>
      <c r="K1617" s="3258"/>
      <c r="L1617" s="3259"/>
      <c r="M1617" s="3257"/>
      <c r="N1617" s="3258"/>
      <c r="O1617" s="3258"/>
      <c r="P1617" s="3258"/>
      <c r="Q1617" s="3259"/>
    </row>
    <row r="1618" spans="2:17">
      <c r="B1618" s="3260"/>
      <c r="C1618" s="3268"/>
      <c r="D1618" s="3269"/>
      <c r="E1618" s="3269"/>
      <c r="F1618" s="3269"/>
      <c r="G1618" s="3270"/>
      <c r="H1618" s="3268"/>
      <c r="I1618" s="3269"/>
      <c r="J1618" s="3269"/>
      <c r="K1618" s="3269"/>
      <c r="L1618" s="3270"/>
      <c r="M1618" s="3268"/>
      <c r="N1618" s="3269"/>
      <c r="O1618" s="3269"/>
      <c r="P1618" s="3269"/>
      <c r="Q1618" s="3270"/>
    </row>
    <row r="1619" spans="2:17">
      <c r="B1619" s="3260" t="s">
        <v>64</v>
      </c>
      <c r="C1619" s="3268"/>
      <c r="D1619" s="3269"/>
      <c r="E1619" s="3269"/>
      <c r="F1619" s="3269"/>
      <c r="G1619" s="3270"/>
      <c r="H1619" s="3268"/>
      <c r="I1619" s="3281">
        <v>17.354000000000003</v>
      </c>
      <c r="J1619" s="3281">
        <v>17.354000000000006</v>
      </c>
      <c r="K1619" s="3281">
        <v>17.354000000000006</v>
      </c>
      <c r="L1619" s="3281">
        <v>17.354000000000006</v>
      </c>
      <c r="M1619" s="3281">
        <v>17.105286277319962</v>
      </c>
      <c r="N1619" s="3281">
        <v>16.657601576495885</v>
      </c>
      <c r="O1619" s="3281">
        <v>16.359145109279833</v>
      </c>
      <c r="P1619" s="3281">
        <v>15.613003941239702</v>
      </c>
      <c r="Q1619" s="3281">
        <v>15.313254162665714</v>
      </c>
    </row>
    <row r="1620" spans="2:17">
      <c r="B1620" s="3260" t="s">
        <v>65</v>
      </c>
      <c r="C1620" s="3268"/>
      <c r="D1620" s="3269"/>
      <c r="E1620" s="3269"/>
      <c r="F1620" s="3269"/>
      <c r="G1620" s="3270"/>
      <c r="H1620" s="3268"/>
      <c r="I1620" s="3281">
        <v>18.873000000000005</v>
      </c>
      <c r="J1620" s="3281">
        <v>18.873000000000005</v>
      </c>
      <c r="K1620" s="3281">
        <v>18.873000000000005</v>
      </c>
      <c r="L1620" s="3281">
        <v>18.873000000000005</v>
      </c>
      <c r="M1620" s="3281">
        <v>18.602516302400577</v>
      </c>
      <c r="N1620" s="3281">
        <v>18.115645646721607</v>
      </c>
      <c r="O1620" s="3281">
        <v>17.791065209602294</v>
      </c>
      <c r="P1620" s="3281">
        <v>16.979614116804012</v>
      </c>
      <c r="Q1620" s="3281">
        <v>16.65362716445718</v>
      </c>
    </row>
    <row r="1621" spans="2:17">
      <c r="B1621" s="3260" t="s">
        <v>82</v>
      </c>
      <c r="C1621" s="3268"/>
      <c r="D1621" s="3269"/>
      <c r="E1621" s="3269"/>
      <c r="F1621" s="3269"/>
      <c r="G1621" s="3270"/>
      <c r="H1621" s="3268"/>
      <c r="I1621" s="3281">
        <v>0</v>
      </c>
      <c r="J1621" s="3281">
        <v>0</v>
      </c>
      <c r="K1621" s="3281">
        <v>0</v>
      </c>
      <c r="L1621" s="3281">
        <v>0</v>
      </c>
      <c r="M1621" s="3281">
        <v>0</v>
      </c>
      <c r="N1621" s="3281">
        <v>0</v>
      </c>
      <c r="O1621" s="3281">
        <v>0</v>
      </c>
      <c r="P1621" s="3281">
        <v>0</v>
      </c>
      <c r="Q1621" s="3281">
        <v>0</v>
      </c>
    </row>
    <row r="1622" spans="2:17">
      <c r="B1622" s="3260" t="s">
        <v>680</v>
      </c>
      <c r="C1622" s="3268"/>
      <c r="D1622" s="3269"/>
      <c r="E1622" s="3269"/>
      <c r="F1622" s="3269"/>
      <c r="G1622" s="3270"/>
      <c r="H1622" s="3268"/>
      <c r="I1622" s="3281">
        <v>0</v>
      </c>
      <c r="J1622" s="3281">
        <v>0</v>
      </c>
      <c r="K1622" s="3281">
        <v>0</v>
      </c>
      <c r="L1622" s="3281">
        <v>0</v>
      </c>
      <c r="M1622" s="3281">
        <v>0</v>
      </c>
      <c r="N1622" s="3281">
        <v>0</v>
      </c>
      <c r="O1622" s="3281">
        <v>0</v>
      </c>
      <c r="P1622" s="3281">
        <v>0</v>
      </c>
      <c r="Q1622" s="3281">
        <v>0</v>
      </c>
    </row>
    <row r="1623" spans="2:17">
      <c r="B1623" s="3260" t="s">
        <v>681</v>
      </c>
      <c r="C1623" s="3268"/>
      <c r="D1623" s="3269"/>
      <c r="E1623" s="3269"/>
      <c r="F1623" s="3269"/>
      <c r="G1623" s="3270"/>
      <c r="H1623" s="3268"/>
      <c r="I1623" s="3281">
        <v>168.2559999999996</v>
      </c>
      <c r="J1623" s="3281">
        <v>170.3439999999996</v>
      </c>
      <c r="K1623" s="3281">
        <v>170.3439999999996</v>
      </c>
      <c r="L1623" s="3281">
        <v>170.3439999999996</v>
      </c>
      <c r="M1623" s="3281">
        <v>172.9026671443923</v>
      </c>
      <c r="N1623" s="3281">
        <v>177.50826800429914</v>
      </c>
      <c r="O1623" s="3281">
        <v>180.57866857757037</v>
      </c>
      <c r="P1623" s="3281">
        <v>188.25467001074844</v>
      </c>
      <c r="Q1623" s="3281">
        <v>191.33837565317052</v>
      </c>
    </row>
    <row r="1624" spans="2:17">
      <c r="B1624" s="3260" t="s">
        <v>682</v>
      </c>
      <c r="C1624" s="3268"/>
      <c r="D1624" s="3269"/>
      <c r="E1624" s="3269"/>
      <c r="F1624" s="3269"/>
      <c r="G1624" s="3270"/>
      <c r="H1624" s="3268"/>
      <c r="I1624" s="3281">
        <v>5.2730000000000006</v>
      </c>
      <c r="J1624" s="3281">
        <v>5.2730000000000006</v>
      </c>
      <c r="K1624" s="3281">
        <v>5.2730000000000006</v>
      </c>
      <c r="L1624" s="3281">
        <v>5.2730000000000006</v>
      </c>
      <c r="M1624" s="3281">
        <v>5.1974285202436405</v>
      </c>
      <c r="N1624" s="3281">
        <v>5.0613998566821925</v>
      </c>
      <c r="O1624" s="3281">
        <v>4.9707140809745605</v>
      </c>
      <c r="P1624" s="3281">
        <v>4.7439996417054804</v>
      </c>
      <c r="Q1624" s="3281">
        <v>4.6529208943031151</v>
      </c>
    </row>
    <row r="1625" spans="2:17">
      <c r="B1625" s="3260" t="s">
        <v>66</v>
      </c>
      <c r="C1625" s="3268"/>
      <c r="D1625" s="3269"/>
      <c r="E1625" s="3269"/>
      <c r="F1625" s="3269"/>
      <c r="G1625" s="3270"/>
      <c r="H1625" s="3268"/>
      <c r="I1625" s="3281">
        <v>2.6710000000000003</v>
      </c>
      <c r="J1625" s="3281">
        <v>2.6710000000000003</v>
      </c>
      <c r="K1625" s="3281">
        <v>2.6710000000000003</v>
      </c>
      <c r="L1625" s="3281">
        <v>2.6710000000000003</v>
      </c>
      <c r="M1625" s="3281">
        <v>2.6327198136868506</v>
      </c>
      <c r="N1625" s="3281">
        <v>2.5638154783231815</v>
      </c>
      <c r="O1625" s="3281">
        <v>2.517879254747402</v>
      </c>
      <c r="P1625" s="3281">
        <v>2.4030386958079535</v>
      </c>
      <c r="Q1625" s="3281">
        <v>2.3569034152633459</v>
      </c>
    </row>
    <row r="1626" spans="2:17" ht="13.5" thickBot="1">
      <c r="B1626" s="3260" t="s">
        <v>67</v>
      </c>
      <c r="C1626" s="3268"/>
      <c r="D1626" s="3269"/>
      <c r="E1626" s="3269"/>
      <c r="F1626" s="3269"/>
      <c r="G1626" s="3270"/>
      <c r="H1626" s="3268"/>
      <c r="I1626" s="3281">
        <v>134.26599999999974</v>
      </c>
      <c r="J1626" s="3281">
        <v>134.35999999999967</v>
      </c>
      <c r="K1626" s="3281">
        <v>134.35999999999967</v>
      </c>
      <c r="L1626" s="3281">
        <v>134.35999999999967</v>
      </c>
      <c r="M1626" s="3281">
        <v>132.43438194195596</v>
      </c>
      <c r="N1626" s="3281">
        <v>128.96826943747729</v>
      </c>
      <c r="O1626" s="3281">
        <v>126.65752776782483</v>
      </c>
      <c r="P1626" s="3281">
        <v>120.8806735936937</v>
      </c>
      <c r="Q1626" s="3281">
        <v>118.55991871013941</v>
      </c>
    </row>
    <row r="1627" spans="2:17" ht="12.75" customHeight="1">
      <c r="B1627" s="4689">
        <v>3551</v>
      </c>
      <c r="C1627" s="4691" t="s">
        <v>36</v>
      </c>
      <c r="D1627" s="4692"/>
      <c r="E1627" s="4692"/>
      <c r="F1627" s="4692"/>
      <c r="G1627" s="4692"/>
      <c r="H1627" s="4693" t="s">
        <v>37</v>
      </c>
      <c r="I1627" s="4694"/>
      <c r="J1627" s="4694"/>
      <c r="K1627" s="4694"/>
      <c r="L1627" s="4694"/>
      <c r="M1627" s="4695" t="s">
        <v>73</v>
      </c>
      <c r="N1627" s="4695"/>
      <c r="O1627" s="4695"/>
      <c r="P1627" s="4695"/>
      <c r="Q1627" s="4696"/>
    </row>
    <row r="1628" spans="2:17" ht="12.75" customHeight="1">
      <c r="B1628" s="4690"/>
      <c r="C1628" s="4697" t="s">
        <v>1673</v>
      </c>
      <c r="D1628" s="4698"/>
      <c r="E1628" s="4698"/>
      <c r="F1628" s="4698"/>
      <c r="G1628" s="4698"/>
      <c r="H1628" s="4698"/>
      <c r="I1628" s="4698"/>
      <c r="J1628" s="4698"/>
      <c r="K1628" s="4698"/>
      <c r="L1628" s="4698"/>
      <c r="M1628" s="4698"/>
      <c r="N1628" s="4698"/>
      <c r="O1628" s="4698"/>
      <c r="P1628" s="4698"/>
      <c r="Q1628" s="4699"/>
    </row>
    <row r="1629" spans="2:17" ht="12.75" customHeight="1">
      <c r="B1629" s="4690"/>
      <c r="C1629" s="4697" t="s">
        <v>54</v>
      </c>
      <c r="D1629" s="4698"/>
      <c r="E1629" s="4698"/>
      <c r="F1629" s="4698"/>
      <c r="G1629" s="4698"/>
      <c r="H1629" s="4698"/>
      <c r="I1629" s="4698"/>
      <c r="J1629" s="4700"/>
      <c r="K1629" s="4701" t="s">
        <v>55</v>
      </c>
      <c r="L1629" s="4702"/>
      <c r="M1629" s="4702"/>
      <c r="N1629" s="4702"/>
      <c r="O1629" s="4702"/>
      <c r="P1629" s="4702"/>
      <c r="Q1629" s="4703"/>
    </row>
    <row r="1630" spans="2:17" ht="13.5" customHeight="1" thickBot="1">
      <c r="B1630" s="4690"/>
      <c r="C1630" s="3252">
        <f t="array" ref="C1630:G1630">PRCP</f>
        <v>2008</v>
      </c>
      <c r="D1630" s="3253">
        <v>2009</v>
      </c>
      <c r="E1630" s="3253">
        <v>2010</v>
      </c>
      <c r="F1630" s="3253">
        <v>2011</v>
      </c>
      <c r="G1630" s="3253">
        <v>2012</v>
      </c>
      <c r="H1630" s="3254">
        <f>CRCP_y1</f>
        <v>2013</v>
      </c>
      <c r="I1630" s="3254">
        <f>CRCP_y2</f>
        <v>2014</v>
      </c>
      <c r="J1630" s="3254">
        <f>CRCP_y3</f>
        <v>2015</v>
      </c>
      <c r="K1630" s="3254">
        <f>CRCP_y4</f>
        <v>2016</v>
      </c>
      <c r="L1630" s="3254">
        <f>CRCP_y5</f>
        <v>2017</v>
      </c>
      <c r="M1630" s="3253" t="str">
        <f t="array" ref="M1630:Q1630">FRCP</f>
        <v>2018</v>
      </c>
      <c r="N1630" s="3253">
        <v>2019</v>
      </c>
      <c r="O1630" s="3253">
        <v>2020</v>
      </c>
      <c r="P1630" s="3253">
        <v>2021</v>
      </c>
      <c r="Q1630" s="3255">
        <v>2022</v>
      </c>
    </row>
    <row r="1631" spans="2:17">
      <c r="B1631" s="3256" t="s">
        <v>1726</v>
      </c>
      <c r="C1631" s="3257"/>
      <c r="D1631" s="3258"/>
      <c r="E1631" s="3258"/>
      <c r="F1631" s="3258"/>
      <c r="G1631" s="3259"/>
      <c r="H1631" s="3257"/>
      <c r="I1631" s="3258"/>
      <c r="J1631" s="3258"/>
      <c r="K1631" s="3258"/>
      <c r="L1631" s="3259"/>
      <c r="M1631" s="3257"/>
      <c r="N1631" s="3258"/>
      <c r="O1631" s="3258"/>
      <c r="P1631" s="3258"/>
      <c r="Q1631" s="3259"/>
    </row>
    <row r="1632" spans="2:17">
      <c r="B1632" s="3260"/>
      <c r="C1632" s="3268"/>
      <c r="D1632" s="3269"/>
      <c r="E1632" s="3269"/>
      <c r="F1632" s="3269"/>
      <c r="G1632" s="3270"/>
      <c r="H1632" s="3268"/>
      <c r="I1632" s="3269"/>
      <c r="J1632" s="3269"/>
      <c r="K1632" s="3269"/>
      <c r="L1632" s="3270"/>
      <c r="M1632" s="3268"/>
      <c r="N1632" s="3269"/>
      <c r="O1632" s="3269"/>
      <c r="P1632" s="3269"/>
      <c r="Q1632" s="3270"/>
    </row>
    <row r="1633" spans="2:17">
      <c r="B1633" s="3260" t="s">
        <v>64</v>
      </c>
      <c r="C1633" s="3268"/>
      <c r="D1633" s="3269"/>
      <c r="E1633" s="3269"/>
      <c r="F1633" s="3269"/>
      <c r="G1633" s="3270"/>
      <c r="H1633" s="3268"/>
      <c r="I1633" s="3269">
        <v>0</v>
      </c>
      <c r="J1633" s="3269">
        <v>0</v>
      </c>
      <c r="K1633" s="3269">
        <v>0</v>
      </c>
      <c r="L1633" s="3270">
        <v>0</v>
      </c>
      <c r="M1633" s="3268">
        <v>0</v>
      </c>
      <c r="N1633" s="3269">
        <v>0</v>
      </c>
      <c r="O1633" s="3269">
        <v>0</v>
      </c>
      <c r="P1633" s="3269">
        <v>0</v>
      </c>
      <c r="Q1633" s="3270">
        <v>0</v>
      </c>
    </row>
    <row r="1634" spans="2:17">
      <c r="B1634" s="3260" t="s">
        <v>65</v>
      </c>
      <c r="C1634" s="3268"/>
      <c r="D1634" s="3269"/>
      <c r="E1634" s="3269"/>
      <c r="F1634" s="3269"/>
      <c r="G1634" s="3270"/>
      <c r="H1634" s="3268"/>
      <c r="I1634" s="3269">
        <v>0</v>
      </c>
      <c r="J1634" s="3269">
        <v>0</v>
      </c>
      <c r="K1634" s="3269">
        <v>0</v>
      </c>
      <c r="L1634" s="3270">
        <v>0</v>
      </c>
      <c r="M1634" s="3268">
        <v>0</v>
      </c>
      <c r="N1634" s="3269">
        <v>0</v>
      </c>
      <c r="O1634" s="3269">
        <v>0</v>
      </c>
      <c r="P1634" s="3269">
        <v>0</v>
      </c>
      <c r="Q1634" s="3270">
        <v>0</v>
      </c>
    </row>
    <row r="1635" spans="2:17">
      <c r="B1635" s="3260" t="s">
        <v>82</v>
      </c>
      <c r="C1635" s="3268"/>
      <c r="D1635" s="3269"/>
      <c r="E1635" s="3269"/>
      <c r="F1635" s="3269"/>
      <c r="G1635" s="3270"/>
      <c r="H1635" s="3268"/>
      <c r="I1635" s="3269">
        <v>0</v>
      </c>
      <c r="J1635" s="3269">
        <v>0</v>
      </c>
      <c r="K1635" s="3269">
        <v>0</v>
      </c>
      <c r="L1635" s="3270">
        <v>0</v>
      </c>
      <c r="M1635" s="3268">
        <v>0</v>
      </c>
      <c r="N1635" s="3269">
        <v>0</v>
      </c>
      <c r="O1635" s="3269">
        <v>0</v>
      </c>
      <c r="P1635" s="3269">
        <v>0</v>
      </c>
      <c r="Q1635" s="3270">
        <v>0</v>
      </c>
    </row>
    <row r="1636" spans="2:17">
      <c r="B1636" s="3260" t="s">
        <v>680</v>
      </c>
      <c r="C1636" s="3268"/>
      <c r="D1636" s="3269"/>
      <c r="E1636" s="3269"/>
      <c r="F1636" s="3269"/>
      <c r="G1636" s="3270"/>
      <c r="H1636" s="3268"/>
      <c r="I1636" s="3269">
        <v>0</v>
      </c>
      <c r="J1636" s="3269">
        <v>0</v>
      </c>
      <c r="K1636" s="3269">
        <v>0</v>
      </c>
      <c r="L1636" s="3270">
        <v>0</v>
      </c>
      <c r="M1636" s="3268">
        <v>0</v>
      </c>
      <c r="N1636" s="3269">
        <v>0</v>
      </c>
      <c r="O1636" s="3269">
        <v>0</v>
      </c>
      <c r="P1636" s="3269">
        <v>0</v>
      </c>
      <c r="Q1636" s="3270">
        <v>0</v>
      </c>
    </row>
    <row r="1637" spans="2:17">
      <c r="B1637" s="3260" t="s">
        <v>681</v>
      </c>
      <c r="C1637" s="3268"/>
      <c r="D1637" s="3269"/>
      <c r="E1637" s="3269"/>
      <c r="F1637" s="3269"/>
      <c r="G1637" s="3270"/>
      <c r="H1637" s="3268"/>
      <c r="I1637" s="3269">
        <v>150.7850000000002</v>
      </c>
      <c r="J1637" s="3269">
        <v>157.02200000000019</v>
      </c>
      <c r="K1637" s="3269">
        <v>157.02200000000019</v>
      </c>
      <c r="L1637" s="3269">
        <v>157.02200000000019</v>
      </c>
      <c r="M1637" s="3269">
        <v>157.02200000000019</v>
      </c>
      <c r="N1637" s="3269">
        <v>157.02200000000019</v>
      </c>
      <c r="O1637" s="3269">
        <v>157.02200000000019</v>
      </c>
      <c r="P1637" s="3269">
        <v>157.02200000000019</v>
      </c>
      <c r="Q1637" s="3269">
        <v>157.02200000000019</v>
      </c>
    </row>
    <row r="1638" spans="2:17">
      <c r="B1638" s="3260" t="s">
        <v>682</v>
      </c>
      <c r="C1638" s="3268"/>
      <c r="D1638" s="3269"/>
      <c r="E1638" s="3269"/>
      <c r="F1638" s="3269"/>
      <c r="G1638" s="3270"/>
      <c r="H1638" s="3268"/>
      <c r="I1638" s="3269">
        <v>0</v>
      </c>
      <c r="J1638" s="3269">
        <v>0</v>
      </c>
      <c r="K1638" s="3269">
        <v>0</v>
      </c>
      <c r="L1638" s="3269">
        <v>0</v>
      </c>
      <c r="M1638" s="3269">
        <v>0</v>
      </c>
      <c r="N1638" s="3269">
        <v>0</v>
      </c>
      <c r="O1638" s="3269">
        <v>0</v>
      </c>
      <c r="P1638" s="3269">
        <v>0</v>
      </c>
      <c r="Q1638" s="3269">
        <v>0</v>
      </c>
    </row>
    <row r="1639" spans="2:17">
      <c r="B1639" s="3260" t="s">
        <v>66</v>
      </c>
      <c r="C1639" s="3268"/>
      <c r="D1639" s="3269"/>
      <c r="E1639" s="3269"/>
      <c r="F1639" s="3269"/>
      <c r="G1639" s="3270"/>
      <c r="H1639" s="3268"/>
      <c r="I1639" s="3269">
        <v>0.71399999999999997</v>
      </c>
      <c r="J1639" s="3269">
        <v>0.71399999999999997</v>
      </c>
      <c r="K1639" s="3269">
        <v>0.71399999999999997</v>
      </c>
      <c r="L1639" s="3269">
        <v>0.71399999999999997</v>
      </c>
      <c r="M1639" s="3269">
        <v>0.71399999999999997</v>
      </c>
      <c r="N1639" s="3269">
        <v>0.71399999999999997</v>
      </c>
      <c r="O1639" s="3269">
        <v>0.71399999999999997</v>
      </c>
      <c r="P1639" s="3269">
        <v>0.71399999999999997</v>
      </c>
      <c r="Q1639" s="3269">
        <v>0.71399999999999997</v>
      </c>
    </row>
    <row r="1640" spans="2:17" ht="13.5" thickBot="1">
      <c r="B1640" s="3260" t="s">
        <v>67</v>
      </c>
      <c r="C1640" s="3268"/>
      <c r="D1640" s="3269"/>
      <c r="E1640" s="3269"/>
      <c r="F1640" s="3269"/>
      <c r="G1640" s="3270"/>
      <c r="H1640" s="3268"/>
      <c r="I1640" s="3269">
        <v>21.551999999999996</v>
      </c>
      <c r="J1640" s="3269">
        <v>21.551999999999996</v>
      </c>
      <c r="K1640" s="3269">
        <v>21.551999999999996</v>
      </c>
      <c r="L1640" s="3269">
        <v>21.551999999999996</v>
      </c>
      <c r="M1640" s="3269">
        <v>21.551999999999996</v>
      </c>
      <c r="N1640" s="3269">
        <v>21.551999999999996</v>
      </c>
      <c r="O1640" s="3269">
        <v>21.551999999999996</v>
      </c>
      <c r="P1640" s="3269">
        <v>21.551999999999996</v>
      </c>
      <c r="Q1640" s="3269">
        <v>21.551999999999996</v>
      </c>
    </row>
    <row r="1641" spans="2:17" ht="12.75" customHeight="1">
      <c r="B1641" s="4689">
        <v>3555</v>
      </c>
      <c r="C1641" s="4691" t="s">
        <v>36</v>
      </c>
      <c r="D1641" s="4692"/>
      <c r="E1641" s="4692"/>
      <c r="F1641" s="4692"/>
      <c r="G1641" s="4692"/>
      <c r="H1641" s="4693" t="s">
        <v>37</v>
      </c>
      <c r="I1641" s="4694"/>
      <c r="J1641" s="4694"/>
      <c r="K1641" s="4694"/>
      <c r="L1641" s="4694"/>
      <c r="M1641" s="4695" t="s">
        <v>73</v>
      </c>
      <c r="N1641" s="4695"/>
      <c r="O1641" s="4695"/>
      <c r="P1641" s="4695"/>
      <c r="Q1641" s="4696"/>
    </row>
    <row r="1642" spans="2:17" ht="12.75" customHeight="1">
      <c r="B1642" s="4690"/>
      <c r="C1642" s="4697" t="s">
        <v>1673</v>
      </c>
      <c r="D1642" s="4698"/>
      <c r="E1642" s="4698"/>
      <c r="F1642" s="4698"/>
      <c r="G1642" s="4698"/>
      <c r="H1642" s="4698"/>
      <c r="I1642" s="4698"/>
      <c r="J1642" s="4698"/>
      <c r="K1642" s="4698"/>
      <c r="L1642" s="4698"/>
      <c r="M1642" s="4698"/>
      <c r="N1642" s="4698"/>
      <c r="O1642" s="4698"/>
      <c r="P1642" s="4698"/>
      <c r="Q1642" s="4699"/>
    </row>
    <row r="1643" spans="2:17" ht="12.75" customHeight="1">
      <c r="B1643" s="4690"/>
      <c r="C1643" s="4697" t="s">
        <v>54</v>
      </c>
      <c r="D1643" s="4698"/>
      <c r="E1643" s="4698"/>
      <c r="F1643" s="4698"/>
      <c r="G1643" s="4698"/>
      <c r="H1643" s="4698"/>
      <c r="I1643" s="4698"/>
      <c r="J1643" s="4700"/>
      <c r="K1643" s="4701" t="s">
        <v>55</v>
      </c>
      <c r="L1643" s="4702"/>
      <c r="M1643" s="4702"/>
      <c r="N1643" s="4702"/>
      <c r="O1643" s="4702"/>
      <c r="P1643" s="4702"/>
      <c r="Q1643" s="4703"/>
    </row>
    <row r="1644" spans="2:17" ht="13.5" customHeight="1" thickBot="1">
      <c r="B1644" s="4690"/>
      <c r="C1644" s="3252">
        <f t="array" ref="C1644:G1644">PRCP</f>
        <v>2008</v>
      </c>
      <c r="D1644" s="3253">
        <v>2009</v>
      </c>
      <c r="E1644" s="3253">
        <v>2010</v>
      </c>
      <c r="F1644" s="3253">
        <v>2011</v>
      </c>
      <c r="G1644" s="3253">
        <v>2012</v>
      </c>
      <c r="H1644" s="3254">
        <f>CRCP_y1</f>
        <v>2013</v>
      </c>
      <c r="I1644" s="3254">
        <f>CRCP_y2</f>
        <v>2014</v>
      </c>
      <c r="J1644" s="3254">
        <f>CRCP_y3</f>
        <v>2015</v>
      </c>
      <c r="K1644" s="3254">
        <f>CRCP_y4</f>
        <v>2016</v>
      </c>
      <c r="L1644" s="3254">
        <f>CRCP_y5</f>
        <v>2017</v>
      </c>
      <c r="M1644" s="3253" t="str">
        <f t="array" ref="M1644:Q1644">FRCP</f>
        <v>2018</v>
      </c>
      <c r="N1644" s="3253">
        <v>2019</v>
      </c>
      <c r="O1644" s="3253">
        <v>2020</v>
      </c>
      <c r="P1644" s="3253">
        <v>2021</v>
      </c>
      <c r="Q1644" s="3255">
        <v>2022</v>
      </c>
    </row>
    <row r="1645" spans="2:17">
      <c r="B1645" s="3256" t="s">
        <v>1726</v>
      </c>
      <c r="C1645" s="3257"/>
      <c r="D1645" s="3258"/>
      <c r="E1645" s="3258"/>
      <c r="F1645" s="3258"/>
      <c r="G1645" s="3259"/>
      <c r="H1645" s="3257"/>
      <c r="I1645" s="3258"/>
      <c r="J1645" s="3258"/>
      <c r="K1645" s="3258"/>
      <c r="L1645" s="3258"/>
      <c r="M1645" s="3257"/>
      <c r="N1645" s="3258"/>
      <c r="O1645" s="3258"/>
      <c r="P1645" s="3258"/>
      <c r="Q1645" s="3259"/>
    </row>
    <row r="1646" spans="2:17">
      <c r="B1646" s="3260"/>
      <c r="C1646" s="3268"/>
      <c r="D1646" s="3269"/>
      <c r="E1646" s="3269"/>
      <c r="F1646" s="3269"/>
      <c r="G1646" s="3270"/>
      <c r="H1646" s="3268"/>
      <c r="I1646" s="3269"/>
      <c r="J1646" s="3269"/>
      <c r="K1646" s="3269"/>
      <c r="L1646" s="3271"/>
      <c r="M1646" s="3268"/>
      <c r="N1646" s="3269"/>
      <c r="O1646" s="3269"/>
      <c r="P1646" s="3269"/>
      <c r="Q1646" s="3270"/>
    </row>
    <row r="1647" spans="2:17">
      <c r="B1647" s="3260" t="s">
        <v>64</v>
      </c>
      <c r="C1647" s="3268"/>
      <c r="D1647" s="3269"/>
      <c r="E1647" s="3269"/>
      <c r="F1647" s="3269"/>
      <c r="G1647" s="3270"/>
      <c r="H1647" s="3268"/>
      <c r="I1647" s="3281">
        <v>4.423</v>
      </c>
      <c r="J1647" s="3281">
        <v>4.4229999999999992</v>
      </c>
      <c r="K1647" s="3281">
        <v>4.4229999999999992</v>
      </c>
      <c r="L1647" s="3282">
        <v>4.4229999999999992</v>
      </c>
      <c r="M1647" s="3283">
        <v>4.4229999999999992</v>
      </c>
      <c r="N1647" s="3281">
        <v>4.1951086901917334</v>
      </c>
      <c r="O1647" s="3281">
        <v>4.0740699182698181</v>
      </c>
      <c r="P1647" s="3281">
        <v>4.0740699182698181</v>
      </c>
      <c r="Q1647" s="3284">
        <v>4.0740699182698181</v>
      </c>
    </row>
    <row r="1648" spans="2:17">
      <c r="B1648" s="3260" t="s">
        <v>65</v>
      </c>
      <c r="C1648" s="3268"/>
      <c r="D1648" s="3269"/>
      <c r="E1648" s="3269"/>
      <c r="F1648" s="3269"/>
      <c r="G1648" s="3270"/>
      <c r="H1648" s="3268"/>
      <c r="I1648" s="3281">
        <v>6.9150000000000009</v>
      </c>
      <c r="J1648" s="3281">
        <v>6.9640000000000013</v>
      </c>
      <c r="K1648" s="3281">
        <v>6.9640000000000013</v>
      </c>
      <c r="L1648" s="3282">
        <v>6.9640000000000013</v>
      </c>
      <c r="M1648" s="3283">
        <v>6.9640000000000013</v>
      </c>
      <c r="N1648" s="3281">
        <v>6.6051858282828944</v>
      </c>
      <c r="O1648" s="3281">
        <v>6.4146106513296459</v>
      </c>
      <c r="P1648" s="3281">
        <v>6.4146106513296459</v>
      </c>
      <c r="Q1648" s="3284">
        <v>6.4146106513296459</v>
      </c>
    </row>
    <row r="1649" spans="2:17">
      <c r="B1649" s="3260" t="s">
        <v>82</v>
      </c>
      <c r="C1649" s="3268"/>
      <c r="D1649" s="3269"/>
      <c r="E1649" s="3269"/>
      <c r="F1649" s="3269"/>
      <c r="G1649" s="3270"/>
      <c r="H1649" s="3268"/>
      <c r="I1649" s="3281">
        <v>0</v>
      </c>
      <c r="J1649" s="3281">
        <v>0</v>
      </c>
      <c r="K1649" s="3281">
        <v>0</v>
      </c>
      <c r="L1649" s="3282">
        <v>0</v>
      </c>
      <c r="M1649" s="3283">
        <v>0</v>
      </c>
      <c r="N1649" s="3281">
        <v>0</v>
      </c>
      <c r="O1649" s="3281">
        <v>0</v>
      </c>
      <c r="P1649" s="3281">
        <v>0</v>
      </c>
      <c r="Q1649" s="3284">
        <v>0</v>
      </c>
    </row>
    <row r="1650" spans="2:17">
      <c r="B1650" s="3260" t="s">
        <v>680</v>
      </c>
      <c r="C1650" s="3268"/>
      <c r="D1650" s="3269"/>
      <c r="E1650" s="3269"/>
      <c r="F1650" s="3269"/>
      <c r="G1650" s="3270"/>
      <c r="H1650" s="3268"/>
      <c r="I1650" s="3281">
        <v>0</v>
      </c>
      <c r="J1650" s="3281">
        <v>0</v>
      </c>
      <c r="K1650" s="3281">
        <v>0</v>
      </c>
      <c r="L1650" s="3282">
        <v>0</v>
      </c>
      <c r="M1650" s="3283">
        <v>0</v>
      </c>
      <c r="N1650" s="3281">
        <v>0</v>
      </c>
      <c r="O1650" s="3281">
        <v>0</v>
      </c>
      <c r="P1650" s="3281">
        <v>0</v>
      </c>
      <c r="Q1650" s="3284">
        <v>0</v>
      </c>
    </row>
    <row r="1651" spans="2:17">
      <c r="B1651" s="3260" t="s">
        <v>681</v>
      </c>
      <c r="C1651" s="3268"/>
      <c r="D1651" s="3269"/>
      <c r="E1651" s="3269"/>
      <c r="F1651" s="3269"/>
      <c r="G1651" s="3270"/>
      <c r="H1651" s="3268"/>
      <c r="I1651" s="3281">
        <v>83.890999999999977</v>
      </c>
      <c r="J1651" s="3281">
        <v>84.459999999999965</v>
      </c>
      <c r="K1651" s="3281">
        <v>84.459999999999965</v>
      </c>
      <c r="L1651" s="3282">
        <v>84.459999999999965</v>
      </c>
      <c r="M1651" s="3283">
        <v>84.459999999999965</v>
      </c>
      <c r="N1651" s="3281">
        <v>80.108270398732472</v>
      </c>
      <c r="O1651" s="3281">
        <v>77.796958014259275</v>
      </c>
      <c r="P1651" s="3281">
        <v>77.796958014259275</v>
      </c>
      <c r="Q1651" s="3284">
        <v>77.796958014259275</v>
      </c>
    </row>
    <row r="1652" spans="2:17">
      <c r="B1652" s="3260" t="s">
        <v>682</v>
      </c>
      <c r="C1652" s="3268"/>
      <c r="D1652" s="3269"/>
      <c r="E1652" s="3269"/>
      <c r="F1652" s="3269"/>
      <c r="G1652" s="3270"/>
      <c r="H1652" s="3268"/>
      <c r="I1652" s="3281">
        <v>0</v>
      </c>
      <c r="J1652" s="3281">
        <v>0</v>
      </c>
      <c r="K1652" s="3281">
        <v>0</v>
      </c>
      <c r="L1652" s="3282">
        <v>0</v>
      </c>
      <c r="M1652" s="3283">
        <v>0</v>
      </c>
      <c r="N1652" s="3281">
        <v>0</v>
      </c>
      <c r="O1652" s="3281">
        <v>0</v>
      </c>
      <c r="P1652" s="3281">
        <v>0</v>
      </c>
      <c r="Q1652" s="3284">
        <v>0</v>
      </c>
    </row>
    <row r="1653" spans="2:17">
      <c r="B1653" s="3260" t="s">
        <v>66</v>
      </c>
      <c r="C1653" s="3268"/>
      <c r="D1653" s="3269"/>
      <c r="E1653" s="3269"/>
      <c r="F1653" s="3269"/>
      <c r="G1653" s="3270"/>
      <c r="H1653" s="3268"/>
      <c r="I1653" s="3281">
        <v>0.43600000000000005</v>
      </c>
      <c r="J1653" s="3281">
        <v>0.43600000000000005</v>
      </c>
      <c r="K1653" s="3281">
        <v>0.43600000000000005</v>
      </c>
      <c r="L1653" s="3282">
        <v>0.43600000000000005</v>
      </c>
      <c r="M1653" s="3283">
        <v>0.43600000000000005</v>
      </c>
      <c r="N1653" s="3281">
        <v>0.41353547115613754</v>
      </c>
      <c r="O1653" s="3281">
        <v>0.40160399827394105</v>
      </c>
      <c r="P1653" s="3281">
        <v>0.40160399827394105</v>
      </c>
      <c r="Q1653" s="3284">
        <v>0.40160399827394105</v>
      </c>
    </row>
    <row r="1654" spans="2:17" ht="13.5" thickBot="1">
      <c r="B1654" s="3260" t="s">
        <v>67</v>
      </c>
      <c r="C1654" s="3268"/>
      <c r="D1654" s="3269"/>
      <c r="E1654" s="3269"/>
      <c r="F1654" s="3269"/>
      <c r="G1654" s="3270"/>
      <c r="H1654" s="3268"/>
      <c r="I1654" s="3281">
        <v>58.984000000000037</v>
      </c>
      <c r="J1654" s="3281">
        <v>58.984000000000037</v>
      </c>
      <c r="K1654" s="3281">
        <v>58.984000000000037</v>
      </c>
      <c r="L1654" s="3282">
        <v>58.984000000000037</v>
      </c>
      <c r="M1654" s="3285">
        <v>58.984000000000037</v>
      </c>
      <c r="N1654" s="3286">
        <v>55.944899611636764</v>
      </c>
      <c r="O1654" s="3286">
        <v>54.330757417867318</v>
      </c>
      <c r="P1654" s="3286">
        <v>54.330757417867318</v>
      </c>
      <c r="Q1654" s="3287">
        <v>54.330757417867318</v>
      </c>
    </row>
    <row r="1655" spans="2:17" ht="12.75" customHeight="1">
      <c r="B1655" s="4689">
        <v>3556</v>
      </c>
      <c r="C1655" s="4691" t="s">
        <v>36</v>
      </c>
      <c r="D1655" s="4692"/>
      <c r="E1655" s="4692"/>
      <c r="F1655" s="4692"/>
      <c r="G1655" s="4692"/>
      <c r="H1655" s="4693" t="s">
        <v>37</v>
      </c>
      <c r="I1655" s="4694"/>
      <c r="J1655" s="4694"/>
      <c r="K1655" s="4694"/>
      <c r="L1655" s="4694"/>
      <c r="M1655" s="4695" t="s">
        <v>73</v>
      </c>
      <c r="N1655" s="4695"/>
      <c r="O1655" s="4695"/>
      <c r="P1655" s="4695"/>
      <c r="Q1655" s="4696"/>
    </row>
    <row r="1656" spans="2:17" ht="12.75" customHeight="1">
      <c r="B1656" s="4690"/>
      <c r="C1656" s="4697" t="s">
        <v>1673</v>
      </c>
      <c r="D1656" s="4698"/>
      <c r="E1656" s="4698"/>
      <c r="F1656" s="4698"/>
      <c r="G1656" s="4698"/>
      <c r="H1656" s="4698"/>
      <c r="I1656" s="4698"/>
      <c r="J1656" s="4698"/>
      <c r="K1656" s="4698"/>
      <c r="L1656" s="4698"/>
      <c r="M1656" s="4698"/>
      <c r="N1656" s="4698"/>
      <c r="O1656" s="4698"/>
      <c r="P1656" s="4698"/>
      <c r="Q1656" s="4699"/>
    </row>
    <row r="1657" spans="2:17" ht="12.75" customHeight="1">
      <c r="B1657" s="4690"/>
      <c r="C1657" s="4697" t="s">
        <v>54</v>
      </c>
      <c r="D1657" s="4698"/>
      <c r="E1657" s="4698"/>
      <c r="F1657" s="4698"/>
      <c r="G1657" s="4698"/>
      <c r="H1657" s="4698"/>
      <c r="I1657" s="4698"/>
      <c r="J1657" s="4700"/>
      <c r="K1657" s="4701" t="s">
        <v>55</v>
      </c>
      <c r="L1657" s="4702"/>
      <c r="M1657" s="4702"/>
      <c r="N1657" s="4702"/>
      <c r="O1657" s="4702"/>
      <c r="P1657" s="4702"/>
      <c r="Q1657" s="4703"/>
    </row>
    <row r="1658" spans="2:17" ht="13.5" customHeight="1" thickBot="1">
      <c r="B1658" s="4690"/>
      <c r="C1658" s="3252">
        <f t="array" ref="C1658:G1658">PRCP</f>
        <v>2008</v>
      </c>
      <c r="D1658" s="3253">
        <v>2009</v>
      </c>
      <c r="E1658" s="3253">
        <v>2010</v>
      </c>
      <c r="F1658" s="3253">
        <v>2011</v>
      </c>
      <c r="G1658" s="3253">
        <v>2012</v>
      </c>
      <c r="H1658" s="3254">
        <f>CRCP_y1</f>
        <v>2013</v>
      </c>
      <c r="I1658" s="3254">
        <f>CRCP_y2</f>
        <v>2014</v>
      </c>
      <c r="J1658" s="3254">
        <f>CRCP_y3</f>
        <v>2015</v>
      </c>
      <c r="K1658" s="3254">
        <f>CRCP_y4</f>
        <v>2016</v>
      </c>
      <c r="L1658" s="3254">
        <f>CRCP_y5</f>
        <v>2017</v>
      </c>
      <c r="M1658" s="3253" t="str">
        <f t="array" ref="M1658:Q1658">FRCP</f>
        <v>2018</v>
      </c>
      <c r="N1658" s="3253">
        <v>2019</v>
      </c>
      <c r="O1658" s="3253">
        <v>2020</v>
      </c>
      <c r="P1658" s="3253">
        <v>2021</v>
      </c>
      <c r="Q1658" s="3255">
        <v>2022</v>
      </c>
    </row>
    <row r="1659" spans="2:17">
      <c r="B1659" s="3256" t="s">
        <v>1726</v>
      </c>
      <c r="C1659" s="3257"/>
      <c r="D1659" s="3258"/>
      <c r="E1659" s="3258"/>
      <c r="F1659" s="3258"/>
      <c r="G1659" s="3259"/>
      <c r="H1659" s="3257"/>
      <c r="I1659" s="3258"/>
      <c r="J1659" s="3258"/>
      <c r="K1659" s="3258"/>
      <c r="L1659" s="3258"/>
      <c r="M1659" s="3257"/>
      <c r="N1659" s="3258"/>
      <c r="O1659" s="3258"/>
      <c r="P1659" s="3258"/>
      <c r="Q1659" s="3259"/>
    </row>
    <row r="1660" spans="2:17">
      <c r="B1660" s="3260"/>
      <c r="C1660" s="3268"/>
      <c r="D1660" s="3269"/>
      <c r="E1660" s="3269"/>
      <c r="F1660" s="3269"/>
      <c r="G1660" s="3270"/>
      <c r="H1660" s="3268"/>
      <c r="I1660" s="3269"/>
      <c r="J1660" s="3269"/>
      <c r="K1660" s="3269"/>
      <c r="L1660" s="3271"/>
      <c r="M1660" s="3268"/>
      <c r="N1660" s="3269"/>
      <c r="O1660" s="3269"/>
      <c r="P1660" s="3269"/>
      <c r="Q1660" s="3270"/>
    </row>
    <row r="1661" spans="2:17">
      <c r="B1661" s="3260" t="s">
        <v>64</v>
      </c>
      <c r="C1661" s="3268"/>
      <c r="D1661" s="3269"/>
      <c r="E1661" s="3269"/>
      <c r="F1661" s="3269"/>
      <c r="G1661" s="3270"/>
      <c r="H1661" s="3268"/>
      <c r="I1661" s="3269">
        <v>0</v>
      </c>
      <c r="J1661" s="3269">
        <v>0</v>
      </c>
      <c r="K1661" s="3269">
        <v>0</v>
      </c>
      <c r="L1661" s="3271">
        <v>0</v>
      </c>
      <c r="M1661" s="3268">
        <v>0</v>
      </c>
      <c r="N1661" s="3269">
        <v>0</v>
      </c>
      <c r="O1661" s="3269">
        <v>0</v>
      </c>
      <c r="P1661" s="3269">
        <v>0</v>
      </c>
      <c r="Q1661" s="3270">
        <v>0</v>
      </c>
    </row>
    <row r="1662" spans="2:17">
      <c r="B1662" s="3260" t="s">
        <v>65</v>
      </c>
      <c r="C1662" s="3268"/>
      <c r="D1662" s="3269"/>
      <c r="E1662" s="3269"/>
      <c r="F1662" s="3269"/>
      <c r="G1662" s="3270"/>
      <c r="H1662" s="3268"/>
      <c r="I1662" s="3269">
        <v>0</v>
      </c>
      <c r="J1662" s="3269">
        <v>0</v>
      </c>
      <c r="K1662" s="3269">
        <v>0</v>
      </c>
      <c r="L1662" s="3271">
        <v>0</v>
      </c>
      <c r="M1662" s="3268">
        <v>0</v>
      </c>
      <c r="N1662" s="3269">
        <v>0</v>
      </c>
      <c r="O1662" s="3269">
        <v>0</v>
      </c>
      <c r="P1662" s="3269">
        <v>0</v>
      </c>
      <c r="Q1662" s="3270">
        <v>0</v>
      </c>
    </row>
    <row r="1663" spans="2:17">
      <c r="B1663" s="3260" t="s">
        <v>82</v>
      </c>
      <c r="C1663" s="3268"/>
      <c r="D1663" s="3269"/>
      <c r="E1663" s="3269"/>
      <c r="F1663" s="3269"/>
      <c r="G1663" s="3270"/>
      <c r="H1663" s="3268"/>
      <c r="I1663" s="3269">
        <v>0</v>
      </c>
      <c r="J1663" s="3269">
        <v>0</v>
      </c>
      <c r="K1663" s="3269">
        <v>0</v>
      </c>
      <c r="L1663" s="3271">
        <v>0</v>
      </c>
      <c r="M1663" s="3268">
        <v>0</v>
      </c>
      <c r="N1663" s="3269">
        <v>0</v>
      </c>
      <c r="O1663" s="3269">
        <v>0</v>
      </c>
      <c r="P1663" s="3269">
        <v>0</v>
      </c>
      <c r="Q1663" s="3270">
        <v>0</v>
      </c>
    </row>
    <row r="1664" spans="2:17">
      <c r="B1664" s="3260" t="s">
        <v>680</v>
      </c>
      <c r="C1664" s="3268"/>
      <c r="D1664" s="3269"/>
      <c r="E1664" s="3269"/>
      <c r="F1664" s="3269"/>
      <c r="G1664" s="3270"/>
      <c r="H1664" s="3268"/>
      <c r="I1664" s="3269">
        <v>0</v>
      </c>
      <c r="J1664" s="3269">
        <v>0</v>
      </c>
      <c r="K1664" s="3269">
        <v>0</v>
      </c>
      <c r="L1664" s="3271">
        <v>0</v>
      </c>
      <c r="M1664" s="3268">
        <v>0</v>
      </c>
      <c r="N1664" s="3269">
        <v>0</v>
      </c>
      <c r="O1664" s="3269">
        <v>0</v>
      </c>
      <c r="P1664" s="3269">
        <v>0</v>
      </c>
      <c r="Q1664" s="3270">
        <v>0</v>
      </c>
    </row>
    <row r="1665" spans="2:17">
      <c r="B1665" s="3260" t="s">
        <v>681</v>
      </c>
      <c r="C1665" s="3268"/>
      <c r="D1665" s="3269"/>
      <c r="E1665" s="3269"/>
      <c r="F1665" s="3269"/>
      <c r="G1665" s="3270"/>
      <c r="H1665" s="3268"/>
      <c r="I1665" s="3269">
        <v>51.013999999999989</v>
      </c>
      <c r="J1665" s="3269">
        <v>53.314000000000007</v>
      </c>
      <c r="K1665" s="3269">
        <v>53.314000000000007</v>
      </c>
      <c r="L1665" s="3271">
        <v>53.314000000000007</v>
      </c>
      <c r="M1665" s="3268">
        <v>53.314000000000007</v>
      </c>
      <c r="N1665" s="3269">
        <v>53.314000000000007</v>
      </c>
      <c r="O1665" s="3269">
        <v>53.314000000000007</v>
      </c>
      <c r="P1665" s="3269">
        <v>53.314000000000007</v>
      </c>
      <c r="Q1665" s="3270">
        <v>53.314000000000007</v>
      </c>
    </row>
    <row r="1666" spans="2:17">
      <c r="B1666" s="3260" t="s">
        <v>682</v>
      </c>
      <c r="C1666" s="3268"/>
      <c r="D1666" s="3269"/>
      <c r="E1666" s="3269"/>
      <c r="F1666" s="3269"/>
      <c r="G1666" s="3270"/>
      <c r="H1666" s="3268"/>
      <c r="I1666" s="3269">
        <v>9.9000000000000005E-2</v>
      </c>
      <c r="J1666" s="3269">
        <v>9.9000000000000005E-2</v>
      </c>
      <c r="K1666" s="3269">
        <v>9.9000000000000005E-2</v>
      </c>
      <c r="L1666" s="3271">
        <v>9.9000000000000005E-2</v>
      </c>
      <c r="M1666" s="3268">
        <v>9.9000000000000005E-2</v>
      </c>
      <c r="N1666" s="3269">
        <v>9.9000000000000005E-2</v>
      </c>
      <c r="O1666" s="3269">
        <v>9.9000000000000005E-2</v>
      </c>
      <c r="P1666" s="3269">
        <v>9.9000000000000005E-2</v>
      </c>
      <c r="Q1666" s="3270">
        <v>9.9000000000000005E-2</v>
      </c>
    </row>
    <row r="1667" spans="2:17">
      <c r="B1667" s="3260" t="s">
        <v>66</v>
      </c>
      <c r="C1667" s="3268"/>
      <c r="D1667" s="3269"/>
      <c r="E1667" s="3269"/>
      <c r="F1667" s="3269"/>
      <c r="G1667" s="3270"/>
      <c r="H1667" s="3268"/>
      <c r="I1667" s="3269">
        <v>0</v>
      </c>
      <c r="J1667" s="3269">
        <v>0</v>
      </c>
      <c r="K1667" s="3269">
        <v>0</v>
      </c>
      <c r="L1667" s="3271">
        <v>0</v>
      </c>
      <c r="M1667" s="3268">
        <v>0</v>
      </c>
      <c r="N1667" s="3269">
        <v>0</v>
      </c>
      <c r="O1667" s="3269">
        <v>0</v>
      </c>
      <c r="P1667" s="3269">
        <v>0</v>
      </c>
      <c r="Q1667" s="3270">
        <v>0</v>
      </c>
    </row>
    <row r="1668" spans="2:17" ht="13.5" thickBot="1">
      <c r="B1668" s="3260" t="s">
        <v>67</v>
      </c>
      <c r="C1668" s="3268"/>
      <c r="D1668" s="3269"/>
      <c r="E1668" s="3269"/>
      <c r="F1668" s="3269"/>
      <c r="G1668" s="3270"/>
      <c r="H1668" s="3268"/>
      <c r="I1668" s="3269">
        <v>43.227000000000018</v>
      </c>
      <c r="J1668" s="3269">
        <v>43.227000000000018</v>
      </c>
      <c r="K1668" s="3269">
        <v>43.227000000000018</v>
      </c>
      <c r="L1668" s="3271">
        <v>43.227000000000018</v>
      </c>
      <c r="M1668" s="3272">
        <v>43.227000000000018</v>
      </c>
      <c r="N1668" s="3273">
        <v>43.227000000000018</v>
      </c>
      <c r="O1668" s="3273">
        <v>43.227000000000018</v>
      </c>
      <c r="P1668" s="3273">
        <v>43.227000000000018</v>
      </c>
      <c r="Q1668" s="3274">
        <v>43.227000000000018</v>
      </c>
    </row>
    <row r="1669" spans="2:17" ht="12.75" customHeight="1">
      <c r="B1669" s="4689">
        <v>3750</v>
      </c>
      <c r="C1669" s="4691" t="s">
        <v>36</v>
      </c>
      <c r="D1669" s="4692"/>
      <c r="E1669" s="4692"/>
      <c r="F1669" s="4692"/>
      <c r="G1669" s="4692"/>
      <c r="H1669" s="4693" t="s">
        <v>37</v>
      </c>
      <c r="I1669" s="4694"/>
      <c r="J1669" s="4694"/>
      <c r="K1669" s="4694"/>
      <c r="L1669" s="4694"/>
      <c r="M1669" s="4695" t="s">
        <v>73</v>
      </c>
      <c r="N1669" s="4695"/>
      <c r="O1669" s="4695"/>
      <c r="P1669" s="4695"/>
      <c r="Q1669" s="4696"/>
    </row>
    <row r="1670" spans="2:17" ht="12.75" customHeight="1">
      <c r="B1670" s="4690"/>
      <c r="C1670" s="4697" t="s">
        <v>1673</v>
      </c>
      <c r="D1670" s="4698"/>
      <c r="E1670" s="4698"/>
      <c r="F1670" s="4698"/>
      <c r="G1670" s="4698"/>
      <c r="H1670" s="4698"/>
      <c r="I1670" s="4698"/>
      <c r="J1670" s="4698"/>
      <c r="K1670" s="4698"/>
      <c r="L1670" s="4698"/>
      <c r="M1670" s="4698"/>
      <c r="N1670" s="4698"/>
      <c r="O1670" s="4698"/>
      <c r="P1670" s="4698"/>
      <c r="Q1670" s="4699"/>
    </row>
    <row r="1671" spans="2:17" ht="12.75" customHeight="1">
      <c r="B1671" s="4690"/>
      <c r="C1671" s="4697" t="s">
        <v>54</v>
      </c>
      <c r="D1671" s="4698"/>
      <c r="E1671" s="4698"/>
      <c r="F1671" s="4698"/>
      <c r="G1671" s="4698"/>
      <c r="H1671" s="4698"/>
      <c r="I1671" s="4698"/>
      <c r="J1671" s="4700"/>
      <c r="K1671" s="4701" t="s">
        <v>55</v>
      </c>
      <c r="L1671" s="4702"/>
      <c r="M1671" s="4702"/>
      <c r="N1671" s="4702"/>
      <c r="O1671" s="4702"/>
      <c r="P1671" s="4702"/>
      <c r="Q1671" s="4703"/>
    </row>
    <row r="1672" spans="2:17" ht="13.5" customHeight="1" thickBot="1">
      <c r="B1672" s="4690"/>
      <c r="C1672" s="3252">
        <f t="array" ref="C1672:G1672">PRCP</f>
        <v>2008</v>
      </c>
      <c r="D1672" s="3253">
        <v>2009</v>
      </c>
      <c r="E1672" s="3253">
        <v>2010</v>
      </c>
      <c r="F1672" s="3253">
        <v>2011</v>
      </c>
      <c r="G1672" s="3253">
        <v>2012</v>
      </c>
      <c r="H1672" s="3254">
        <f>CRCP_y1</f>
        <v>2013</v>
      </c>
      <c r="I1672" s="3254">
        <f>CRCP_y2</f>
        <v>2014</v>
      </c>
      <c r="J1672" s="3254">
        <f>CRCP_y3</f>
        <v>2015</v>
      </c>
      <c r="K1672" s="3254">
        <f>CRCP_y4</f>
        <v>2016</v>
      </c>
      <c r="L1672" s="3254">
        <f>CRCP_y5</f>
        <v>2017</v>
      </c>
      <c r="M1672" s="3253" t="str">
        <f t="array" ref="M1672:Q1672">FRCP</f>
        <v>2018</v>
      </c>
      <c r="N1672" s="3253">
        <v>2019</v>
      </c>
      <c r="O1672" s="3253">
        <v>2020</v>
      </c>
      <c r="P1672" s="3253">
        <v>2021</v>
      </c>
      <c r="Q1672" s="3255">
        <v>2022</v>
      </c>
    </row>
    <row r="1673" spans="2:17">
      <c r="B1673" s="3256" t="s">
        <v>1726</v>
      </c>
      <c r="C1673" s="3257"/>
      <c r="D1673" s="3258"/>
      <c r="E1673" s="3258"/>
      <c r="F1673" s="3258"/>
      <c r="G1673" s="3259"/>
      <c r="H1673" s="3257"/>
      <c r="I1673" s="3258"/>
      <c r="J1673" s="3258"/>
      <c r="K1673" s="3258"/>
      <c r="L1673" s="3258"/>
      <c r="M1673" s="3257"/>
      <c r="N1673" s="3258"/>
      <c r="O1673" s="3258"/>
      <c r="P1673" s="3258"/>
      <c r="Q1673" s="3259"/>
    </row>
    <row r="1674" spans="2:17">
      <c r="B1674" s="3260"/>
      <c r="C1674" s="3268"/>
      <c r="D1674" s="3269"/>
      <c r="E1674" s="3269"/>
      <c r="F1674" s="3269"/>
      <c r="G1674" s="3270"/>
      <c r="H1674" s="3268"/>
      <c r="I1674" s="3269"/>
      <c r="J1674" s="3269"/>
      <c r="K1674" s="3269"/>
      <c r="L1674" s="3271"/>
      <c r="M1674" s="3268"/>
      <c r="N1674" s="3269"/>
      <c r="O1674" s="3269"/>
      <c r="P1674" s="3269"/>
      <c r="Q1674" s="3270"/>
    </row>
    <row r="1675" spans="2:17">
      <c r="B1675" s="3260" t="s">
        <v>64</v>
      </c>
      <c r="C1675" s="3268"/>
      <c r="D1675" s="3269"/>
      <c r="E1675" s="3269"/>
      <c r="F1675" s="3269"/>
      <c r="G1675" s="3270"/>
      <c r="H1675" s="3268"/>
      <c r="I1675" s="3269">
        <v>0</v>
      </c>
      <c r="J1675" s="3269">
        <v>0</v>
      </c>
      <c r="K1675" s="3269">
        <v>0</v>
      </c>
      <c r="L1675" s="3271">
        <v>0</v>
      </c>
      <c r="M1675" s="3268">
        <v>0</v>
      </c>
      <c r="N1675" s="3269">
        <v>0</v>
      </c>
      <c r="O1675" s="3269">
        <v>0</v>
      </c>
      <c r="P1675" s="3269">
        <v>0</v>
      </c>
      <c r="Q1675" s="3270">
        <v>0</v>
      </c>
    </row>
    <row r="1676" spans="2:17">
      <c r="B1676" s="3260" t="s">
        <v>65</v>
      </c>
      <c r="C1676" s="3268"/>
      <c r="D1676" s="3269"/>
      <c r="E1676" s="3269"/>
      <c r="F1676" s="3269"/>
      <c r="G1676" s="3270"/>
      <c r="H1676" s="3268"/>
      <c r="I1676" s="3269">
        <v>0</v>
      </c>
      <c r="J1676" s="3269">
        <v>0</v>
      </c>
      <c r="K1676" s="3269">
        <v>0</v>
      </c>
      <c r="L1676" s="3271">
        <v>0</v>
      </c>
      <c r="M1676" s="3268">
        <v>0</v>
      </c>
      <c r="N1676" s="3269">
        <v>0</v>
      </c>
      <c r="O1676" s="3269">
        <v>0</v>
      </c>
      <c r="P1676" s="3269">
        <v>0</v>
      </c>
      <c r="Q1676" s="3270">
        <v>0</v>
      </c>
    </row>
    <row r="1677" spans="2:17">
      <c r="B1677" s="3260" t="s">
        <v>82</v>
      </c>
      <c r="C1677" s="3268"/>
      <c r="D1677" s="3269"/>
      <c r="E1677" s="3269"/>
      <c r="F1677" s="3269"/>
      <c r="G1677" s="3270"/>
      <c r="H1677" s="3268"/>
      <c r="I1677" s="3269">
        <v>0</v>
      </c>
      <c r="J1677" s="3269">
        <v>0</v>
      </c>
      <c r="K1677" s="3269">
        <v>0</v>
      </c>
      <c r="L1677" s="3271">
        <v>0</v>
      </c>
      <c r="M1677" s="3268">
        <v>0</v>
      </c>
      <c r="N1677" s="3269">
        <v>0</v>
      </c>
      <c r="O1677" s="3269">
        <v>0</v>
      </c>
      <c r="P1677" s="3269">
        <v>0</v>
      </c>
      <c r="Q1677" s="3270">
        <v>0</v>
      </c>
    </row>
    <row r="1678" spans="2:17">
      <c r="B1678" s="3260" t="s">
        <v>680</v>
      </c>
      <c r="C1678" s="3268"/>
      <c r="D1678" s="3269"/>
      <c r="E1678" s="3269"/>
      <c r="F1678" s="3269"/>
      <c r="G1678" s="3270"/>
      <c r="H1678" s="3268"/>
      <c r="I1678" s="3269">
        <v>0</v>
      </c>
      <c r="J1678" s="3269">
        <v>0</v>
      </c>
      <c r="K1678" s="3269">
        <v>0</v>
      </c>
      <c r="L1678" s="3271">
        <v>0</v>
      </c>
      <c r="M1678" s="3268">
        <v>0</v>
      </c>
      <c r="N1678" s="3269">
        <v>0</v>
      </c>
      <c r="O1678" s="3269">
        <v>0</v>
      </c>
      <c r="P1678" s="3269">
        <v>0</v>
      </c>
      <c r="Q1678" s="3270">
        <v>0</v>
      </c>
    </row>
    <row r="1679" spans="2:17">
      <c r="B1679" s="3260" t="s">
        <v>681</v>
      </c>
      <c r="C1679" s="3268"/>
      <c r="D1679" s="3269"/>
      <c r="E1679" s="3269"/>
      <c r="F1679" s="3269"/>
      <c r="G1679" s="3270"/>
      <c r="H1679" s="3268"/>
      <c r="I1679" s="3269">
        <v>0</v>
      </c>
      <c r="J1679" s="3269">
        <v>0</v>
      </c>
      <c r="K1679" s="3269">
        <v>0</v>
      </c>
      <c r="L1679" s="3271">
        <v>0</v>
      </c>
      <c r="M1679" s="3268">
        <v>0</v>
      </c>
      <c r="N1679" s="3269">
        <v>0</v>
      </c>
      <c r="O1679" s="3269">
        <v>0</v>
      </c>
      <c r="P1679" s="3269">
        <v>0</v>
      </c>
      <c r="Q1679" s="3270">
        <v>0</v>
      </c>
    </row>
    <row r="1680" spans="2:17">
      <c r="B1680" s="3260" t="s">
        <v>682</v>
      </c>
      <c r="C1680" s="3268"/>
      <c r="D1680" s="3269"/>
      <c r="E1680" s="3269"/>
      <c r="F1680" s="3269"/>
      <c r="G1680" s="3270"/>
      <c r="H1680" s="3268"/>
      <c r="I1680" s="3269">
        <v>0</v>
      </c>
      <c r="J1680" s="3269">
        <v>0</v>
      </c>
      <c r="K1680" s="3269">
        <v>0</v>
      </c>
      <c r="L1680" s="3271">
        <v>0</v>
      </c>
      <c r="M1680" s="3268">
        <v>0</v>
      </c>
      <c r="N1680" s="3269">
        <v>0</v>
      </c>
      <c r="O1680" s="3269">
        <v>0</v>
      </c>
      <c r="P1680" s="3269">
        <v>0</v>
      </c>
      <c r="Q1680" s="3270">
        <v>0</v>
      </c>
    </row>
    <row r="1681" spans="2:17">
      <c r="B1681" s="3260" t="s">
        <v>66</v>
      </c>
      <c r="C1681" s="3268"/>
      <c r="D1681" s="3269"/>
      <c r="E1681" s="3269"/>
      <c r="F1681" s="3269"/>
      <c r="G1681" s="3270"/>
      <c r="H1681" s="3268"/>
      <c r="I1681" s="3269">
        <v>0</v>
      </c>
      <c r="J1681" s="3269">
        <v>0</v>
      </c>
      <c r="K1681" s="3269">
        <v>0</v>
      </c>
      <c r="L1681" s="3271">
        <v>0</v>
      </c>
      <c r="M1681" s="3268">
        <v>0</v>
      </c>
      <c r="N1681" s="3269">
        <v>0</v>
      </c>
      <c r="O1681" s="3269">
        <v>0</v>
      </c>
      <c r="P1681" s="3269">
        <v>0</v>
      </c>
      <c r="Q1681" s="3270">
        <v>0</v>
      </c>
    </row>
    <row r="1682" spans="2:17" ht="13.5" thickBot="1">
      <c r="B1682" s="3260" t="s">
        <v>67</v>
      </c>
      <c r="C1682" s="3268"/>
      <c r="D1682" s="3269"/>
      <c r="E1682" s="3269"/>
      <c r="F1682" s="3269"/>
      <c r="G1682" s="3270"/>
      <c r="H1682" s="3268"/>
      <c r="I1682" s="3269">
        <v>3.3319999999999999</v>
      </c>
      <c r="J1682" s="3269">
        <v>3.3319999999999999</v>
      </c>
      <c r="K1682" s="3269">
        <v>3.3319999999999999</v>
      </c>
      <c r="L1682" s="3271">
        <v>3.3319999999999999</v>
      </c>
      <c r="M1682" s="3272">
        <v>3.3319999999999999</v>
      </c>
      <c r="N1682" s="3273">
        <v>3.3319999999999999</v>
      </c>
      <c r="O1682" s="3273">
        <v>3.3319999999999999</v>
      </c>
      <c r="P1682" s="3273">
        <v>3.3319999999999999</v>
      </c>
      <c r="Q1682" s="3274">
        <v>3.3319999999999999</v>
      </c>
    </row>
    <row r="1683" spans="2:17" ht="12.75" customHeight="1">
      <c r="B1683" s="4689">
        <v>3833</v>
      </c>
      <c r="C1683" s="4691" t="s">
        <v>36</v>
      </c>
      <c r="D1683" s="4692"/>
      <c r="E1683" s="4692"/>
      <c r="F1683" s="4692"/>
      <c r="G1683" s="4692"/>
      <c r="H1683" s="4693" t="s">
        <v>37</v>
      </c>
      <c r="I1683" s="4694"/>
      <c r="J1683" s="4694"/>
      <c r="K1683" s="4694"/>
      <c r="L1683" s="4694"/>
      <c r="M1683" s="4695" t="s">
        <v>73</v>
      </c>
      <c r="N1683" s="4695"/>
      <c r="O1683" s="4695"/>
      <c r="P1683" s="4695"/>
      <c r="Q1683" s="4696"/>
    </row>
    <row r="1684" spans="2:17" ht="12.75" customHeight="1">
      <c r="B1684" s="4690"/>
      <c r="C1684" s="4697" t="s">
        <v>1673</v>
      </c>
      <c r="D1684" s="4698"/>
      <c r="E1684" s="4698"/>
      <c r="F1684" s="4698"/>
      <c r="G1684" s="4698"/>
      <c r="H1684" s="4698"/>
      <c r="I1684" s="4698"/>
      <c r="J1684" s="4698"/>
      <c r="K1684" s="4698"/>
      <c r="L1684" s="4698"/>
      <c r="M1684" s="4698"/>
      <c r="N1684" s="4698"/>
      <c r="O1684" s="4698"/>
      <c r="P1684" s="4698"/>
      <c r="Q1684" s="4699"/>
    </row>
    <row r="1685" spans="2:17" ht="12.75" customHeight="1">
      <c r="B1685" s="4690"/>
      <c r="C1685" s="4697" t="s">
        <v>54</v>
      </c>
      <c r="D1685" s="4698"/>
      <c r="E1685" s="4698"/>
      <c r="F1685" s="4698"/>
      <c r="G1685" s="4698"/>
      <c r="H1685" s="4698"/>
      <c r="I1685" s="4698"/>
      <c r="J1685" s="4700"/>
      <c r="K1685" s="4701" t="s">
        <v>55</v>
      </c>
      <c r="L1685" s="4702"/>
      <c r="M1685" s="4702"/>
      <c r="N1685" s="4702"/>
      <c r="O1685" s="4702"/>
      <c r="P1685" s="4702"/>
      <c r="Q1685" s="4703"/>
    </row>
    <row r="1686" spans="2:17" ht="13.5" customHeight="1" thickBot="1">
      <c r="B1686" s="4690"/>
      <c r="C1686" s="3252">
        <f t="array" ref="C1686:G1686">PRCP</f>
        <v>2008</v>
      </c>
      <c r="D1686" s="3253">
        <v>2009</v>
      </c>
      <c r="E1686" s="3253">
        <v>2010</v>
      </c>
      <c r="F1686" s="3253">
        <v>2011</v>
      </c>
      <c r="G1686" s="3253">
        <v>2012</v>
      </c>
      <c r="H1686" s="3254">
        <f>CRCP_y1</f>
        <v>2013</v>
      </c>
      <c r="I1686" s="3254">
        <f>CRCP_y2</f>
        <v>2014</v>
      </c>
      <c r="J1686" s="3254">
        <f>CRCP_y3</f>
        <v>2015</v>
      </c>
      <c r="K1686" s="3254">
        <f>CRCP_y4</f>
        <v>2016</v>
      </c>
      <c r="L1686" s="3254">
        <f>CRCP_y5</f>
        <v>2017</v>
      </c>
      <c r="M1686" s="3253" t="str">
        <f t="array" ref="M1686:Q1686">FRCP</f>
        <v>2018</v>
      </c>
      <c r="N1686" s="3253">
        <v>2019</v>
      </c>
      <c r="O1686" s="3253">
        <v>2020</v>
      </c>
      <c r="P1686" s="3253">
        <v>2021</v>
      </c>
      <c r="Q1686" s="3255">
        <v>2022</v>
      </c>
    </row>
    <row r="1687" spans="2:17">
      <c r="B1687" s="3256" t="s">
        <v>1726</v>
      </c>
      <c r="C1687" s="3257"/>
      <c r="D1687" s="3258"/>
      <c r="E1687" s="3258"/>
      <c r="F1687" s="3258"/>
      <c r="G1687" s="3259"/>
      <c r="H1687" s="3257"/>
      <c r="I1687" s="3258"/>
      <c r="J1687" s="3258"/>
      <c r="K1687" s="3258"/>
      <c r="L1687" s="3259"/>
      <c r="M1687" s="3257"/>
      <c r="N1687" s="3258"/>
      <c r="O1687" s="3258"/>
      <c r="P1687" s="3258"/>
      <c r="Q1687" s="3259"/>
    </row>
    <row r="1688" spans="2:17">
      <c r="B1688" s="3260"/>
      <c r="C1688" s="3268"/>
      <c r="D1688" s="3269"/>
      <c r="E1688" s="3269"/>
      <c r="F1688" s="3269"/>
      <c r="G1688" s="3270"/>
      <c r="H1688" s="3268"/>
      <c r="I1688" s="3269"/>
      <c r="J1688" s="3269"/>
      <c r="K1688" s="3269"/>
      <c r="L1688" s="3270"/>
      <c r="M1688" s="3268"/>
      <c r="N1688" s="3269"/>
      <c r="O1688" s="3269"/>
      <c r="P1688" s="3269"/>
      <c r="Q1688" s="3270"/>
    </row>
    <row r="1689" spans="2:17">
      <c r="B1689" s="3260" t="s">
        <v>64</v>
      </c>
      <c r="C1689" s="3268"/>
      <c r="D1689" s="3269"/>
      <c r="E1689" s="3269"/>
      <c r="F1689" s="3269"/>
      <c r="G1689" s="3270"/>
      <c r="H1689" s="3268"/>
      <c r="I1689" s="3269">
        <v>0</v>
      </c>
      <c r="J1689" s="3269">
        <v>0</v>
      </c>
      <c r="K1689" s="3269">
        <v>0</v>
      </c>
      <c r="L1689" s="3270">
        <v>0</v>
      </c>
      <c r="M1689" s="3268">
        <v>0</v>
      </c>
      <c r="N1689" s="3269">
        <v>0</v>
      </c>
      <c r="O1689" s="3269">
        <v>0</v>
      </c>
      <c r="P1689" s="3269">
        <v>0</v>
      </c>
      <c r="Q1689" s="3270">
        <v>0</v>
      </c>
    </row>
    <row r="1690" spans="2:17">
      <c r="B1690" s="3260" t="s">
        <v>65</v>
      </c>
      <c r="C1690" s="3268"/>
      <c r="D1690" s="3269"/>
      <c r="E1690" s="3269"/>
      <c r="F1690" s="3269"/>
      <c r="G1690" s="3270"/>
      <c r="H1690" s="3268"/>
      <c r="I1690" s="3269">
        <v>0</v>
      </c>
      <c r="J1690" s="3269">
        <v>0</v>
      </c>
      <c r="K1690" s="3269">
        <v>0</v>
      </c>
      <c r="L1690" s="3270">
        <v>0</v>
      </c>
      <c r="M1690" s="3268">
        <v>0</v>
      </c>
      <c r="N1690" s="3269">
        <v>0</v>
      </c>
      <c r="O1690" s="3269">
        <v>0</v>
      </c>
      <c r="P1690" s="3269">
        <v>0</v>
      </c>
      <c r="Q1690" s="3270">
        <v>0</v>
      </c>
    </row>
    <row r="1691" spans="2:17">
      <c r="B1691" s="3260" t="s">
        <v>82</v>
      </c>
      <c r="C1691" s="3268"/>
      <c r="D1691" s="3269"/>
      <c r="E1691" s="3269"/>
      <c r="F1691" s="3269"/>
      <c r="G1691" s="3270"/>
      <c r="H1691" s="3268"/>
      <c r="I1691" s="3269">
        <v>0</v>
      </c>
      <c r="J1691" s="3269">
        <v>0</v>
      </c>
      <c r="K1691" s="3269">
        <v>0</v>
      </c>
      <c r="L1691" s="3270">
        <v>0</v>
      </c>
      <c r="M1691" s="3268">
        <v>0</v>
      </c>
      <c r="N1691" s="3269">
        <v>0</v>
      </c>
      <c r="O1691" s="3269">
        <v>0</v>
      </c>
      <c r="P1691" s="3269">
        <v>0</v>
      </c>
      <c r="Q1691" s="3270">
        <v>0</v>
      </c>
    </row>
    <row r="1692" spans="2:17">
      <c r="B1692" s="3260" t="s">
        <v>680</v>
      </c>
      <c r="C1692" s="3268"/>
      <c r="D1692" s="3269"/>
      <c r="E1692" s="3269"/>
      <c r="F1692" s="3269"/>
      <c r="G1692" s="3270"/>
      <c r="H1692" s="3268"/>
      <c r="I1692" s="3269">
        <v>0</v>
      </c>
      <c r="J1692" s="3269">
        <v>0</v>
      </c>
      <c r="K1692" s="3269">
        <v>0</v>
      </c>
      <c r="L1692" s="3270">
        <v>0</v>
      </c>
      <c r="M1692" s="3268">
        <v>0</v>
      </c>
      <c r="N1692" s="3269">
        <v>0</v>
      </c>
      <c r="O1692" s="3269">
        <v>0</v>
      </c>
      <c r="P1692" s="3269">
        <v>0</v>
      </c>
      <c r="Q1692" s="3270">
        <v>0</v>
      </c>
    </row>
    <row r="1693" spans="2:17">
      <c r="B1693" s="3260" t="s">
        <v>681</v>
      </c>
      <c r="C1693" s="3268"/>
      <c r="D1693" s="3269"/>
      <c r="E1693" s="3269"/>
      <c r="F1693" s="3269"/>
      <c r="G1693" s="3270"/>
      <c r="H1693" s="3268"/>
      <c r="I1693" s="3269">
        <v>1.508</v>
      </c>
      <c r="J1693" s="3269">
        <v>1.508</v>
      </c>
      <c r="K1693" s="3269">
        <v>1.508</v>
      </c>
      <c r="L1693" s="3269">
        <v>1.508</v>
      </c>
      <c r="M1693" s="3269">
        <v>1.508</v>
      </c>
      <c r="N1693" s="3269">
        <v>1.508</v>
      </c>
      <c r="O1693" s="3269">
        <v>1.508</v>
      </c>
      <c r="P1693" s="3269">
        <v>1.508</v>
      </c>
      <c r="Q1693" s="3270">
        <v>1.508</v>
      </c>
    </row>
    <row r="1694" spans="2:17">
      <c r="B1694" s="3260" t="s">
        <v>682</v>
      </c>
      <c r="C1694" s="3268"/>
      <c r="D1694" s="3269"/>
      <c r="E1694" s="3269"/>
      <c r="F1694" s="3269"/>
      <c r="G1694" s="3270"/>
      <c r="H1694" s="3268"/>
      <c r="I1694" s="3269">
        <v>0</v>
      </c>
      <c r="J1694" s="3269">
        <v>0</v>
      </c>
      <c r="K1694" s="3269">
        <v>0</v>
      </c>
      <c r="L1694" s="3270">
        <v>0</v>
      </c>
      <c r="M1694" s="3268">
        <v>0</v>
      </c>
      <c r="N1694" s="3269">
        <v>0</v>
      </c>
      <c r="O1694" s="3269">
        <v>0</v>
      </c>
      <c r="P1694" s="3269">
        <v>0</v>
      </c>
      <c r="Q1694" s="3270">
        <v>0</v>
      </c>
    </row>
    <row r="1695" spans="2:17">
      <c r="B1695" s="3260" t="s">
        <v>66</v>
      </c>
      <c r="C1695" s="3268"/>
      <c r="D1695" s="3269"/>
      <c r="E1695" s="3269"/>
      <c r="F1695" s="3269"/>
      <c r="G1695" s="3270"/>
      <c r="H1695" s="3268"/>
      <c r="I1695" s="3269">
        <v>0</v>
      </c>
      <c r="J1695" s="3269">
        <v>0</v>
      </c>
      <c r="K1695" s="3269">
        <v>0</v>
      </c>
      <c r="L1695" s="3270">
        <v>0</v>
      </c>
      <c r="M1695" s="3268">
        <v>0</v>
      </c>
      <c r="N1695" s="3269">
        <v>0</v>
      </c>
      <c r="O1695" s="3269">
        <v>0</v>
      </c>
      <c r="P1695" s="3269">
        <v>0</v>
      </c>
      <c r="Q1695" s="3270">
        <v>0</v>
      </c>
    </row>
    <row r="1696" spans="2:17" ht="13.5" thickBot="1">
      <c r="B1696" s="3288" t="s">
        <v>67</v>
      </c>
      <c r="C1696" s="3272"/>
      <c r="D1696" s="3273"/>
      <c r="E1696" s="3273"/>
      <c r="F1696" s="3273"/>
      <c r="G1696" s="3274"/>
      <c r="H1696" s="3272"/>
      <c r="I1696" s="3273">
        <v>0</v>
      </c>
      <c r="J1696" s="3273">
        <v>0</v>
      </c>
      <c r="K1696" s="3273">
        <v>0</v>
      </c>
      <c r="L1696" s="3274">
        <v>0</v>
      </c>
      <c r="M1696" s="3272">
        <v>0</v>
      </c>
      <c r="N1696" s="3273">
        <v>0</v>
      </c>
      <c r="O1696" s="3273">
        <v>0</v>
      </c>
      <c r="P1696" s="3273">
        <v>0</v>
      </c>
      <c r="Q1696" s="3274">
        <v>0</v>
      </c>
    </row>
    <row r="1698" spans="2:10" ht="13.5" thickBot="1"/>
    <row r="1699" spans="2:10" ht="16.5" thickBot="1">
      <c r="B1699" s="4721" t="s">
        <v>1727</v>
      </c>
      <c r="C1699" s="4722"/>
      <c r="D1699" s="4722"/>
      <c r="E1699" s="4722"/>
      <c r="F1699" s="4722"/>
      <c r="G1699" s="4722"/>
      <c r="H1699" s="4722"/>
      <c r="I1699" s="4722"/>
      <c r="J1699" s="4722"/>
    </row>
    <row r="1700" spans="2:10" ht="38.25">
      <c r="B1700" s="4723">
        <v>3003</v>
      </c>
      <c r="C1700" s="3289"/>
      <c r="D1700" s="3290"/>
      <c r="E1700" s="3290"/>
      <c r="F1700" s="3290"/>
      <c r="G1700" s="4723">
        <v>3003</v>
      </c>
      <c r="H1700" s="3291" t="s">
        <v>687</v>
      </c>
      <c r="I1700" s="3292" t="s">
        <v>688</v>
      </c>
      <c r="J1700" s="3082"/>
    </row>
    <row r="1701" spans="2:10">
      <c r="B1701" s="4724"/>
      <c r="C1701" s="4678" t="s">
        <v>686</v>
      </c>
      <c r="D1701" s="4725"/>
      <c r="E1701" s="4725"/>
      <c r="F1701" s="4726"/>
      <c r="G1701" s="4724"/>
      <c r="H1701" s="3293"/>
      <c r="I1701" s="3294"/>
      <c r="J1701" s="3082"/>
    </row>
    <row r="1702" spans="2:10" ht="13.5" thickBot="1">
      <c r="B1702" s="4724"/>
      <c r="C1702" s="3215">
        <v>2013</v>
      </c>
      <c r="D1702" s="3215">
        <v>2014</v>
      </c>
      <c r="E1702" s="3215">
        <v>2015</v>
      </c>
      <c r="F1702" s="3215">
        <v>2016</v>
      </c>
      <c r="G1702" s="4724"/>
      <c r="H1702" s="3295" t="s">
        <v>390</v>
      </c>
      <c r="I1702" s="3296" t="s">
        <v>390</v>
      </c>
      <c r="J1702" s="3082"/>
    </row>
    <row r="1703" spans="2:10">
      <c r="B1703" s="3217" t="s">
        <v>695</v>
      </c>
      <c r="C1703" s="3218"/>
      <c r="D1703" s="3219"/>
      <c r="E1703" s="3219"/>
      <c r="F1703" s="3219"/>
      <c r="G1703" s="3217" t="s">
        <v>695</v>
      </c>
      <c r="H1703" s="3297"/>
      <c r="I1703" s="3298"/>
    </row>
    <row r="1704" spans="2:10">
      <c r="B1704" s="3299" t="s">
        <v>64</v>
      </c>
      <c r="C1704" s="3063"/>
      <c r="D1704" s="3064"/>
      <c r="E1704" s="3064"/>
      <c r="F1704" s="3064"/>
      <c r="G1704" s="3300" t="s">
        <v>64</v>
      </c>
      <c r="H1704" s="3063"/>
      <c r="I1704" s="3030"/>
    </row>
    <row r="1705" spans="2:10" ht="25.5">
      <c r="B1705" s="3192" t="s">
        <v>675</v>
      </c>
      <c r="C1705" s="3063"/>
      <c r="D1705" s="3064"/>
      <c r="E1705" s="3064"/>
      <c r="F1705" s="3064"/>
      <c r="G1705" s="3301" t="s">
        <v>675</v>
      </c>
      <c r="H1705" s="3063"/>
      <c r="I1705" s="3030"/>
    </row>
    <row r="1706" spans="2:10" ht="25.5">
      <c r="B1706" s="3192" t="s">
        <v>676</v>
      </c>
      <c r="C1706" s="3063"/>
      <c r="D1706" s="3064"/>
      <c r="E1706" s="3064"/>
      <c r="F1706" s="3064"/>
      <c r="G1706" s="3301" t="s">
        <v>676</v>
      </c>
      <c r="H1706" s="3063"/>
      <c r="I1706" s="3030"/>
    </row>
    <row r="1707" spans="2:10">
      <c r="B1707" s="3192" t="s">
        <v>677</v>
      </c>
      <c r="C1707" s="3063"/>
      <c r="D1707" s="3064"/>
      <c r="E1707" s="3064"/>
      <c r="F1707" s="3064"/>
      <c r="G1707" s="3301" t="s">
        <v>677</v>
      </c>
      <c r="H1707" s="3063"/>
      <c r="I1707" s="3030"/>
    </row>
    <row r="1708" spans="2:10">
      <c r="B1708" s="3192" t="s">
        <v>678</v>
      </c>
      <c r="C1708" s="3063"/>
      <c r="D1708" s="3064"/>
      <c r="E1708" s="3064"/>
      <c r="F1708" s="3064"/>
      <c r="G1708" s="3301" t="s">
        <v>678</v>
      </c>
      <c r="H1708" s="3063"/>
      <c r="I1708" s="3030"/>
    </row>
    <row r="1709" spans="2:10">
      <c r="B1709" s="3192" t="s">
        <v>679</v>
      </c>
      <c r="C1709" s="3063"/>
      <c r="D1709" s="3064"/>
      <c r="E1709" s="3064"/>
      <c r="F1709" s="3064"/>
      <c r="G1709" s="3301" t="s">
        <v>679</v>
      </c>
      <c r="H1709" s="3063"/>
      <c r="I1709" s="3030"/>
    </row>
    <row r="1710" spans="2:10" ht="25.5">
      <c r="B1710" s="3192" t="s">
        <v>720</v>
      </c>
      <c r="C1710" s="3063"/>
      <c r="D1710" s="3064"/>
      <c r="E1710" s="3064"/>
      <c r="F1710" s="3064"/>
      <c r="G1710" s="3301" t="s">
        <v>720</v>
      </c>
      <c r="H1710" s="3063"/>
      <c r="I1710" s="3030"/>
    </row>
    <row r="1711" spans="2:10">
      <c r="B1711" s="3299" t="s">
        <v>65</v>
      </c>
      <c r="C1711" s="3063"/>
      <c r="D1711" s="3064"/>
      <c r="E1711" s="3064"/>
      <c r="F1711" s="3064"/>
      <c r="G1711" s="3300" t="s">
        <v>65</v>
      </c>
      <c r="H1711" s="3063"/>
      <c r="I1711" s="3030"/>
    </row>
    <row r="1712" spans="2:10" ht="25.5">
      <c r="B1712" s="3192" t="s">
        <v>675</v>
      </c>
      <c r="C1712" s="3063"/>
      <c r="D1712" s="3064"/>
      <c r="E1712" s="3064"/>
      <c r="F1712" s="3064"/>
      <c r="G1712" s="3301" t="s">
        <v>675</v>
      </c>
      <c r="H1712" s="3063"/>
      <c r="I1712" s="3030"/>
    </row>
    <row r="1713" spans="2:9" ht="25.5">
      <c r="B1713" s="3192" t="s">
        <v>676</v>
      </c>
      <c r="C1713" s="3063"/>
      <c r="D1713" s="3064"/>
      <c r="E1713" s="3064"/>
      <c r="F1713" s="3064"/>
      <c r="G1713" s="3301" t="s">
        <v>676</v>
      </c>
      <c r="H1713" s="3063"/>
      <c r="I1713" s="3030"/>
    </row>
    <row r="1714" spans="2:9">
      <c r="B1714" s="3192" t="s">
        <v>677</v>
      </c>
      <c r="C1714" s="3063"/>
      <c r="D1714" s="3064"/>
      <c r="E1714" s="3064"/>
      <c r="F1714" s="3064"/>
      <c r="G1714" s="3301" t="s">
        <v>677</v>
      </c>
      <c r="H1714" s="3063"/>
      <c r="I1714" s="3030"/>
    </row>
    <row r="1715" spans="2:9">
      <c r="B1715" s="3192" t="s">
        <v>678</v>
      </c>
      <c r="C1715" s="3063"/>
      <c r="D1715" s="3064"/>
      <c r="E1715" s="3064"/>
      <c r="F1715" s="3064"/>
      <c r="G1715" s="3301" t="s">
        <v>678</v>
      </c>
      <c r="H1715" s="3063"/>
      <c r="I1715" s="3030"/>
    </row>
    <row r="1716" spans="2:9">
      <c r="B1716" s="3192" t="s">
        <v>679</v>
      </c>
      <c r="C1716" s="3063"/>
      <c r="D1716" s="3064"/>
      <c r="E1716" s="3064"/>
      <c r="F1716" s="3064"/>
      <c r="G1716" s="3301" t="s">
        <v>679</v>
      </c>
      <c r="H1716" s="3063"/>
      <c r="I1716" s="3030"/>
    </row>
    <row r="1717" spans="2:9" ht="25.5">
      <c r="B1717" s="3192" t="s">
        <v>720</v>
      </c>
      <c r="C1717" s="3063"/>
      <c r="D1717" s="3064"/>
      <c r="E1717" s="3064"/>
      <c r="F1717" s="3064"/>
      <c r="G1717" s="3301" t="s">
        <v>720</v>
      </c>
      <c r="H1717" s="3063"/>
      <c r="I1717" s="3030"/>
    </row>
    <row r="1718" spans="2:9">
      <c r="B1718" s="3299" t="s">
        <v>82</v>
      </c>
      <c r="C1718" s="3063"/>
      <c r="D1718" s="3064"/>
      <c r="E1718" s="3064"/>
      <c r="F1718" s="3064"/>
      <c r="G1718" s="3300" t="s">
        <v>82</v>
      </c>
      <c r="H1718" s="3063"/>
      <c r="I1718" s="3030"/>
    </row>
    <row r="1719" spans="2:9" ht="25.5">
      <c r="B1719" s="3192" t="s">
        <v>675</v>
      </c>
      <c r="C1719" s="3063"/>
      <c r="D1719" s="3064"/>
      <c r="E1719" s="3064"/>
      <c r="F1719" s="3064"/>
      <c r="G1719" s="3301" t="s">
        <v>675</v>
      </c>
      <c r="H1719" s="3063"/>
      <c r="I1719" s="3030"/>
    </row>
    <row r="1720" spans="2:9" ht="25.5">
      <c r="B1720" s="3192" t="s">
        <v>676</v>
      </c>
      <c r="C1720" s="3063"/>
      <c r="D1720" s="3064"/>
      <c r="E1720" s="3064"/>
      <c r="F1720" s="3064"/>
      <c r="G1720" s="3301" t="s">
        <v>676</v>
      </c>
      <c r="H1720" s="3063"/>
      <c r="I1720" s="3030"/>
    </row>
    <row r="1721" spans="2:9">
      <c r="B1721" s="3192" t="s">
        <v>677</v>
      </c>
      <c r="C1721" s="3063"/>
      <c r="D1721" s="3064"/>
      <c r="E1721" s="3064"/>
      <c r="F1721" s="3064"/>
      <c r="G1721" s="3301" t="s">
        <v>677</v>
      </c>
      <c r="H1721" s="3063"/>
      <c r="I1721" s="3030"/>
    </row>
    <row r="1722" spans="2:9">
      <c r="B1722" s="3192" t="s">
        <v>678</v>
      </c>
      <c r="C1722" s="3063"/>
      <c r="D1722" s="3064"/>
      <c r="E1722" s="3064"/>
      <c r="F1722" s="3064"/>
      <c r="G1722" s="3301" t="s">
        <v>678</v>
      </c>
      <c r="H1722" s="3063"/>
      <c r="I1722" s="3030"/>
    </row>
    <row r="1723" spans="2:9">
      <c r="B1723" s="3192" t="s">
        <v>679</v>
      </c>
      <c r="C1723" s="3063"/>
      <c r="D1723" s="3064"/>
      <c r="E1723" s="3064"/>
      <c r="F1723" s="3064"/>
      <c r="G1723" s="3301" t="s">
        <v>679</v>
      </c>
      <c r="H1723" s="3063"/>
      <c r="I1723" s="3030"/>
    </row>
    <row r="1724" spans="2:9" ht="25.5">
      <c r="B1724" s="3192" t="s">
        <v>720</v>
      </c>
      <c r="C1724" s="3063"/>
      <c r="D1724" s="3064"/>
      <c r="E1724" s="3064"/>
      <c r="F1724" s="3064"/>
      <c r="G1724" s="3301" t="s">
        <v>720</v>
      </c>
      <c r="H1724" s="3063"/>
      <c r="I1724" s="3030"/>
    </row>
    <row r="1725" spans="2:9" ht="38.25">
      <c r="B1725" s="3299" t="s">
        <v>680</v>
      </c>
      <c r="C1725" s="3063"/>
      <c r="D1725" s="3064"/>
      <c r="E1725" s="3064"/>
      <c r="F1725" s="3064"/>
      <c r="G1725" s="3300" t="s">
        <v>680</v>
      </c>
      <c r="H1725" s="3063"/>
      <c r="I1725" s="3030"/>
    </row>
    <row r="1726" spans="2:9" ht="25.5">
      <c r="B1726" s="3192" t="s">
        <v>675</v>
      </c>
      <c r="C1726" s="3063"/>
      <c r="D1726" s="3064"/>
      <c r="E1726" s="3064"/>
      <c r="F1726" s="3064"/>
      <c r="G1726" s="3301" t="s">
        <v>675</v>
      </c>
      <c r="H1726" s="3063"/>
      <c r="I1726" s="3030"/>
    </row>
    <row r="1727" spans="2:9" ht="25.5">
      <c r="B1727" s="3192" t="s">
        <v>676</v>
      </c>
      <c r="C1727" s="3063"/>
      <c r="D1727" s="3064"/>
      <c r="E1727" s="3064"/>
      <c r="F1727" s="3064"/>
      <c r="G1727" s="3301" t="s">
        <v>676</v>
      </c>
      <c r="H1727" s="3063"/>
      <c r="I1727" s="3030"/>
    </row>
    <row r="1728" spans="2:9">
      <c r="B1728" s="3192" t="s">
        <v>677</v>
      </c>
      <c r="C1728" s="3063"/>
      <c r="D1728" s="3064"/>
      <c r="E1728" s="3064"/>
      <c r="F1728" s="3064"/>
      <c r="G1728" s="3301" t="s">
        <v>677</v>
      </c>
      <c r="H1728" s="3063"/>
      <c r="I1728" s="3030"/>
    </row>
    <row r="1729" spans="2:9">
      <c r="B1729" s="3192" t="s">
        <v>678</v>
      </c>
      <c r="C1729" s="3063"/>
      <c r="D1729" s="3064"/>
      <c r="E1729" s="3064"/>
      <c r="F1729" s="3064"/>
      <c r="G1729" s="3301" t="s">
        <v>678</v>
      </c>
      <c r="H1729" s="3063"/>
      <c r="I1729" s="3030"/>
    </row>
    <row r="1730" spans="2:9">
      <c r="B1730" s="3192" t="s">
        <v>679</v>
      </c>
      <c r="C1730" s="3063"/>
      <c r="D1730" s="3064"/>
      <c r="E1730" s="3064"/>
      <c r="F1730" s="3064"/>
      <c r="G1730" s="3301" t="s">
        <v>679</v>
      </c>
      <c r="H1730" s="3063"/>
      <c r="I1730" s="3030"/>
    </row>
    <row r="1731" spans="2:9" ht="25.5">
      <c r="B1731" s="3192" t="s">
        <v>720</v>
      </c>
      <c r="C1731" s="3063"/>
      <c r="D1731" s="3064"/>
      <c r="E1731" s="3064"/>
      <c r="F1731" s="3064"/>
      <c r="G1731" s="3301" t="s">
        <v>720</v>
      </c>
      <c r="H1731" s="3063"/>
      <c r="I1731" s="3030"/>
    </row>
    <row r="1732" spans="2:9" ht="38.25">
      <c r="B1732" s="3299" t="s">
        <v>681</v>
      </c>
      <c r="C1732" s="3063"/>
      <c r="D1732" s="3064"/>
      <c r="E1732" s="3064"/>
      <c r="F1732" s="3064"/>
      <c r="G1732" s="3300" t="s">
        <v>681</v>
      </c>
      <c r="H1732" s="3063"/>
      <c r="I1732" s="3030"/>
    </row>
    <row r="1733" spans="2:9" ht="25.5">
      <c r="B1733" s="3192" t="s">
        <v>675</v>
      </c>
      <c r="C1733" s="3063"/>
      <c r="D1733" s="3064"/>
      <c r="E1733" s="3064"/>
      <c r="F1733" s="3064"/>
      <c r="G1733" s="3301" t="s">
        <v>675</v>
      </c>
      <c r="H1733" s="3063"/>
      <c r="I1733" s="3030"/>
    </row>
    <row r="1734" spans="2:9" ht="25.5">
      <c r="B1734" s="3192" t="s">
        <v>676</v>
      </c>
      <c r="C1734" s="3063"/>
      <c r="D1734" s="3064"/>
      <c r="E1734" s="3064"/>
      <c r="F1734" s="3064"/>
      <c r="G1734" s="3301" t="s">
        <v>676</v>
      </c>
      <c r="H1734" s="3063"/>
      <c r="I1734" s="3030"/>
    </row>
    <row r="1735" spans="2:9">
      <c r="B1735" s="3192" t="s">
        <v>677</v>
      </c>
      <c r="C1735" s="3063"/>
      <c r="D1735" s="3064"/>
      <c r="E1735" s="3064"/>
      <c r="F1735" s="3064"/>
      <c r="G1735" s="3301" t="s">
        <v>677</v>
      </c>
      <c r="H1735" s="3063"/>
      <c r="I1735" s="3030"/>
    </row>
    <row r="1736" spans="2:9">
      <c r="B1736" s="3192" t="s">
        <v>678</v>
      </c>
      <c r="C1736" s="3063"/>
      <c r="D1736" s="3064"/>
      <c r="E1736" s="3064"/>
      <c r="F1736" s="3064"/>
      <c r="G1736" s="3301" t="s">
        <v>678</v>
      </c>
      <c r="H1736" s="3063"/>
      <c r="I1736" s="3030"/>
    </row>
    <row r="1737" spans="2:9">
      <c r="B1737" s="3192" t="s">
        <v>679</v>
      </c>
      <c r="C1737" s="3063"/>
      <c r="D1737" s="3064"/>
      <c r="E1737" s="3064"/>
      <c r="F1737" s="3064"/>
      <c r="G1737" s="3301" t="s">
        <v>679</v>
      </c>
      <c r="H1737" s="3063"/>
      <c r="I1737" s="3030"/>
    </row>
    <row r="1738" spans="2:9" ht="25.5">
      <c r="B1738" s="3192" t="s">
        <v>720</v>
      </c>
      <c r="C1738" s="3063"/>
      <c r="D1738" s="3064"/>
      <c r="E1738" s="3064"/>
      <c r="F1738" s="3064"/>
      <c r="G1738" s="3301" t="s">
        <v>720</v>
      </c>
      <c r="H1738" s="3063"/>
      <c r="I1738" s="3030"/>
    </row>
    <row r="1739" spans="2:9" ht="25.5">
      <c r="B1739" s="3299" t="s">
        <v>682</v>
      </c>
      <c r="C1739" s="3063"/>
      <c r="D1739" s="3064"/>
      <c r="E1739" s="3064"/>
      <c r="F1739" s="3064"/>
      <c r="G1739" s="3300" t="s">
        <v>682</v>
      </c>
      <c r="H1739" s="3063"/>
      <c r="I1739" s="3030"/>
    </row>
    <row r="1740" spans="2:9" ht="25.5">
      <c r="B1740" s="3192" t="s">
        <v>675</v>
      </c>
      <c r="C1740" s="3063"/>
      <c r="D1740" s="3064"/>
      <c r="E1740" s="3064"/>
      <c r="F1740" s="3064"/>
      <c r="G1740" s="3301" t="s">
        <v>675</v>
      </c>
      <c r="H1740" s="3063"/>
      <c r="I1740" s="3030"/>
    </row>
    <row r="1741" spans="2:9" ht="25.5">
      <c r="B1741" s="3192" t="s">
        <v>676</v>
      </c>
      <c r="C1741" s="3063"/>
      <c r="D1741" s="3064"/>
      <c r="E1741" s="3064"/>
      <c r="F1741" s="3064"/>
      <c r="G1741" s="3301" t="s">
        <v>676</v>
      </c>
      <c r="H1741" s="3063"/>
      <c r="I1741" s="3030"/>
    </row>
    <row r="1742" spans="2:9">
      <c r="B1742" s="3192" t="s">
        <v>677</v>
      </c>
      <c r="C1742" s="3063"/>
      <c r="D1742" s="3064"/>
      <c r="E1742" s="3064"/>
      <c r="F1742" s="3064"/>
      <c r="G1742" s="3301" t="s">
        <v>677</v>
      </c>
      <c r="H1742" s="3063"/>
      <c r="I1742" s="3030"/>
    </row>
    <row r="1743" spans="2:9">
      <c r="B1743" s="3192" t="s">
        <v>678</v>
      </c>
      <c r="C1743" s="3063"/>
      <c r="D1743" s="3064"/>
      <c r="E1743" s="3064"/>
      <c r="F1743" s="3064"/>
      <c r="G1743" s="3301" t="s">
        <v>678</v>
      </c>
      <c r="H1743" s="3063"/>
      <c r="I1743" s="3030"/>
    </row>
    <row r="1744" spans="2:9">
      <c r="B1744" s="3192" t="s">
        <v>679</v>
      </c>
      <c r="C1744" s="3063"/>
      <c r="D1744" s="3064"/>
      <c r="E1744" s="3064"/>
      <c r="F1744" s="3064"/>
      <c r="G1744" s="3301" t="s">
        <v>679</v>
      </c>
      <c r="H1744" s="3063"/>
      <c r="I1744" s="3030"/>
    </row>
    <row r="1745" spans="2:9" ht="25.5">
      <c r="B1745" s="3192" t="s">
        <v>720</v>
      </c>
      <c r="C1745" s="3063"/>
      <c r="D1745" s="3064"/>
      <c r="E1745" s="3064"/>
      <c r="F1745" s="3064"/>
      <c r="G1745" s="3301" t="s">
        <v>720</v>
      </c>
      <c r="H1745" s="3063"/>
      <c r="I1745" s="3030"/>
    </row>
    <row r="1746" spans="2:9" ht="25.5">
      <c r="B1746" s="3299" t="s">
        <v>66</v>
      </c>
      <c r="C1746" s="3063"/>
      <c r="D1746" s="3064"/>
      <c r="E1746" s="3064"/>
      <c r="F1746" s="3064"/>
      <c r="G1746" s="3300" t="s">
        <v>66</v>
      </c>
      <c r="H1746" s="3063"/>
      <c r="I1746" s="3030"/>
    </row>
    <row r="1747" spans="2:9" ht="25.5">
      <c r="B1747" s="3192" t="s">
        <v>675</v>
      </c>
      <c r="C1747" s="3063"/>
      <c r="D1747" s="3064"/>
      <c r="E1747" s="3064"/>
      <c r="F1747" s="3064"/>
      <c r="G1747" s="3301" t="s">
        <v>675</v>
      </c>
      <c r="H1747" s="3063"/>
      <c r="I1747" s="3030"/>
    </row>
    <row r="1748" spans="2:9" ht="25.5">
      <c r="B1748" s="3192" t="s">
        <v>676</v>
      </c>
      <c r="C1748" s="3063"/>
      <c r="D1748" s="3064"/>
      <c r="E1748" s="3064"/>
      <c r="F1748" s="3064"/>
      <c r="G1748" s="3301" t="s">
        <v>676</v>
      </c>
      <c r="H1748" s="3063"/>
      <c r="I1748" s="3030"/>
    </row>
    <row r="1749" spans="2:9">
      <c r="B1749" s="3192" t="s">
        <v>677</v>
      </c>
      <c r="C1749" s="3063"/>
      <c r="D1749" s="3064"/>
      <c r="E1749" s="3064"/>
      <c r="F1749" s="3064"/>
      <c r="G1749" s="3301" t="s">
        <v>677</v>
      </c>
      <c r="H1749" s="3063"/>
      <c r="I1749" s="3030"/>
    </row>
    <row r="1750" spans="2:9">
      <c r="B1750" s="3192" t="s">
        <v>678</v>
      </c>
      <c r="C1750" s="3063"/>
      <c r="D1750" s="3064"/>
      <c r="E1750" s="3064"/>
      <c r="F1750" s="3064"/>
      <c r="G1750" s="3301" t="s">
        <v>678</v>
      </c>
      <c r="H1750" s="3063"/>
      <c r="I1750" s="3030"/>
    </row>
    <row r="1751" spans="2:9">
      <c r="B1751" s="3192" t="s">
        <v>679</v>
      </c>
      <c r="C1751" s="3063"/>
      <c r="D1751" s="3064"/>
      <c r="E1751" s="3064"/>
      <c r="F1751" s="3064"/>
      <c r="G1751" s="3301" t="s">
        <v>679</v>
      </c>
      <c r="H1751" s="3063"/>
      <c r="I1751" s="3030"/>
    </row>
    <row r="1752" spans="2:9" ht="25.5">
      <c r="B1752" s="3192" t="s">
        <v>720</v>
      </c>
      <c r="C1752" s="3063"/>
      <c r="D1752" s="3064"/>
      <c r="E1752" s="3064"/>
      <c r="F1752" s="3064"/>
      <c r="G1752" s="3301" t="s">
        <v>720</v>
      </c>
      <c r="H1752" s="3063"/>
      <c r="I1752" s="3030"/>
    </row>
    <row r="1753" spans="2:9">
      <c r="B1753" s="3299" t="s">
        <v>67</v>
      </c>
      <c r="C1753" s="3063"/>
      <c r="D1753" s="3064"/>
      <c r="E1753" s="3064"/>
      <c r="F1753" s="3064"/>
      <c r="G1753" s="3300" t="s">
        <v>67</v>
      </c>
      <c r="H1753" s="3063"/>
      <c r="I1753" s="3030"/>
    </row>
    <row r="1754" spans="2:9" ht="25.5">
      <c r="B1754" s="3192" t="s">
        <v>675</v>
      </c>
      <c r="C1754" s="3063"/>
      <c r="D1754" s="3064"/>
      <c r="E1754" s="3064"/>
      <c r="F1754" s="3064"/>
      <c r="G1754" s="3301" t="s">
        <v>675</v>
      </c>
      <c r="H1754" s="3063"/>
      <c r="I1754" s="3030"/>
    </row>
    <row r="1755" spans="2:9" ht="25.5">
      <c r="B1755" s="3192" t="s">
        <v>676</v>
      </c>
      <c r="C1755" s="3063"/>
      <c r="D1755" s="3064"/>
      <c r="E1755" s="3064"/>
      <c r="F1755" s="3064"/>
      <c r="G1755" s="3301" t="s">
        <v>676</v>
      </c>
      <c r="H1755" s="3063"/>
      <c r="I1755" s="3030"/>
    </row>
    <row r="1756" spans="2:9">
      <c r="B1756" s="3192" t="s">
        <v>677</v>
      </c>
      <c r="C1756" s="3063"/>
      <c r="D1756" s="3064"/>
      <c r="E1756" s="3064"/>
      <c r="F1756" s="3064"/>
      <c r="G1756" s="3301" t="s">
        <v>677</v>
      </c>
      <c r="H1756" s="3063"/>
      <c r="I1756" s="3030"/>
    </row>
    <row r="1757" spans="2:9">
      <c r="B1757" s="3192" t="s">
        <v>678</v>
      </c>
      <c r="C1757" s="3063"/>
      <c r="D1757" s="3064"/>
      <c r="E1757" s="3064"/>
      <c r="F1757" s="3064"/>
      <c r="G1757" s="3301" t="s">
        <v>678</v>
      </c>
      <c r="H1757" s="3063"/>
      <c r="I1757" s="3030"/>
    </row>
    <row r="1758" spans="2:9">
      <c r="B1758" s="3192" t="s">
        <v>679</v>
      </c>
      <c r="C1758" s="3063"/>
      <c r="D1758" s="3064"/>
      <c r="E1758" s="3064"/>
      <c r="F1758" s="3064"/>
      <c r="G1758" s="3301" t="s">
        <v>679</v>
      </c>
      <c r="H1758" s="3063"/>
      <c r="I1758" s="3030"/>
    </row>
    <row r="1759" spans="2:9" ht="25.5">
      <c r="B1759" s="3192" t="s">
        <v>720</v>
      </c>
      <c r="C1759" s="3063"/>
      <c r="D1759" s="3064"/>
      <c r="E1759" s="3064"/>
      <c r="F1759" s="3064"/>
      <c r="G1759" s="3301" t="s">
        <v>720</v>
      </c>
      <c r="H1759" s="3063"/>
      <c r="I1759" s="3030"/>
    </row>
    <row r="1760" spans="2:9" ht="25.5">
      <c r="B1760" s="3230" t="s">
        <v>81</v>
      </c>
      <c r="C1760" s="3063"/>
      <c r="D1760" s="3064"/>
      <c r="E1760" s="3064"/>
      <c r="F1760" s="3064"/>
      <c r="G1760" s="3302" t="s">
        <v>81</v>
      </c>
      <c r="H1760" s="3063"/>
      <c r="I1760" s="3030"/>
    </row>
    <row r="1761" spans="2:9" ht="26.25" thickBot="1">
      <c r="B1761" s="3303" t="s">
        <v>81</v>
      </c>
      <c r="C1761" s="3063"/>
      <c r="D1761" s="3064"/>
      <c r="E1761" s="3064"/>
      <c r="F1761" s="3064"/>
      <c r="G1761" s="3302" t="s">
        <v>81</v>
      </c>
      <c r="H1761" s="3063"/>
      <c r="I1761" s="3030"/>
    </row>
    <row r="1762" spans="2:9" ht="25.5">
      <c r="B1762" s="3217" t="s">
        <v>696</v>
      </c>
      <c r="C1762" s="3218"/>
      <c r="D1762" s="3219"/>
      <c r="E1762" s="3219"/>
      <c r="F1762" s="3219"/>
      <c r="G1762" s="3217" t="s">
        <v>696</v>
      </c>
      <c r="H1762" s="3297"/>
      <c r="I1762" s="3298"/>
    </row>
    <row r="1763" spans="2:9">
      <c r="B1763" s="3299" t="s">
        <v>64</v>
      </c>
      <c r="C1763" s="3063"/>
      <c r="D1763" s="3064"/>
      <c r="E1763" s="3064"/>
      <c r="F1763" s="3064"/>
      <c r="G1763" s="3300" t="s">
        <v>64</v>
      </c>
      <c r="H1763" s="3063"/>
      <c r="I1763" s="3030"/>
    </row>
    <row r="1764" spans="2:9" ht="25.5">
      <c r="B1764" s="3192" t="s">
        <v>675</v>
      </c>
      <c r="C1764" s="3063"/>
      <c r="D1764" s="3064"/>
      <c r="E1764" s="3064"/>
      <c r="F1764" s="3064"/>
      <c r="G1764" s="3301" t="s">
        <v>675</v>
      </c>
      <c r="H1764" s="3063"/>
      <c r="I1764" s="3030"/>
    </row>
    <row r="1765" spans="2:9" ht="25.5">
      <c r="B1765" s="3192" t="s">
        <v>676</v>
      </c>
      <c r="C1765" s="3063"/>
      <c r="D1765" s="3064"/>
      <c r="E1765" s="3064"/>
      <c r="F1765" s="3064"/>
      <c r="G1765" s="3301" t="s">
        <v>676</v>
      </c>
      <c r="H1765" s="3063"/>
      <c r="I1765" s="3030"/>
    </row>
    <row r="1766" spans="2:9">
      <c r="B1766" s="3192" t="s">
        <v>677</v>
      </c>
      <c r="C1766" s="3063"/>
      <c r="D1766" s="3064"/>
      <c r="E1766" s="3064"/>
      <c r="F1766" s="3064"/>
      <c r="G1766" s="3301" t="s">
        <v>677</v>
      </c>
      <c r="H1766" s="3063"/>
      <c r="I1766" s="3030"/>
    </row>
    <row r="1767" spans="2:9">
      <c r="B1767" s="3192" t="s">
        <v>678</v>
      </c>
      <c r="C1767" s="3063"/>
      <c r="D1767" s="3064"/>
      <c r="E1767" s="3064"/>
      <c r="F1767" s="3064"/>
      <c r="G1767" s="3301" t="s">
        <v>678</v>
      </c>
      <c r="H1767" s="3063"/>
      <c r="I1767" s="3030"/>
    </row>
    <row r="1768" spans="2:9">
      <c r="B1768" s="3192" t="s">
        <v>679</v>
      </c>
      <c r="C1768" s="3063"/>
      <c r="D1768" s="3064"/>
      <c r="E1768" s="3064"/>
      <c r="F1768" s="3064"/>
      <c r="G1768" s="3301" t="s">
        <v>679</v>
      </c>
      <c r="H1768" s="3063"/>
      <c r="I1768" s="3030"/>
    </row>
    <row r="1769" spans="2:9" ht="25.5">
      <c r="B1769" s="3192" t="s">
        <v>720</v>
      </c>
      <c r="C1769" s="3063"/>
      <c r="D1769" s="3064"/>
      <c r="E1769" s="3064"/>
      <c r="F1769" s="3064"/>
      <c r="G1769" s="3301" t="s">
        <v>720</v>
      </c>
      <c r="H1769" s="3063"/>
      <c r="I1769" s="3030"/>
    </row>
    <row r="1770" spans="2:9">
      <c r="B1770" s="3299" t="s">
        <v>65</v>
      </c>
      <c r="C1770" s="3063"/>
      <c r="D1770" s="3064"/>
      <c r="E1770" s="3064"/>
      <c r="F1770" s="3064"/>
      <c r="G1770" s="3300" t="s">
        <v>65</v>
      </c>
      <c r="H1770" s="3063"/>
      <c r="I1770" s="3030"/>
    </row>
    <row r="1771" spans="2:9" ht="25.5">
      <c r="B1771" s="3192" t="s">
        <v>675</v>
      </c>
      <c r="C1771" s="3063"/>
      <c r="D1771" s="3064"/>
      <c r="E1771" s="3064"/>
      <c r="F1771" s="3064"/>
      <c r="G1771" s="3301" t="s">
        <v>675</v>
      </c>
      <c r="H1771" s="3063"/>
      <c r="I1771" s="3030"/>
    </row>
    <row r="1772" spans="2:9" ht="25.5">
      <c r="B1772" s="3192" t="s">
        <v>676</v>
      </c>
      <c r="C1772" s="3063"/>
      <c r="D1772" s="3064"/>
      <c r="E1772" s="3064"/>
      <c r="F1772" s="3064"/>
      <c r="G1772" s="3301" t="s">
        <v>676</v>
      </c>
      <c r="H1772" s="3063"/>
      <c r="I1772" s="3030"/>
    </row>
    <row r="1773" spans="2:9">
      <c r="B1773" s="3192" t="s">
        <v>677</v>
      </c>
      <c r="C1773" s="3063"/>
      <c r="D1773" s="3064"/>
      <c r="E1773" s="3064"/>
      <c r="F1773" s="3064"/>
      <c r="G1773" s="3301" t="s">
        <v>677</v>
      </c>
      <c r="H1773" s="3063"/>
      <c r="I1773" s="3030"/>
    </row>
    <row r="1774" spans="2:9">
      <c r="B1774" s="3192" t="s">
        <v>678</v>
      </c>
      <c r="C1774" s="3063"/>
      <c r="D1774" s="3064"/>
      <c r="E1774" s="3064"/>
      <c r="F1774" s="3064"/>
      <c r="G1774" s="3301" t="s">
        <v>678</v>
      </c>
      <c r="H1774" s="3063"/>
      <c r="I1774" s="3030"/>
    </row>
    <row r="1775" spans="2:9">
      <c r="B1775" s="3192" t="s">
        <v>679</v>
      </c>
      <c r="C1775" s="3063"/>
      <c r="D1775" s="3064"/>
      <c r="E1775" s="3064"/>
      <c r="F1775" s="3064"/>
      <c r="G1775" s="3301" t="s">
        <v>679</v>
      </c>
      <c r="H1775" s="3063"/>
      <c r="I1775" s="3030"/>
    </row>
    <row r="1776" spans="2:9" ht="25.5">
      <c r="B1776" s="3192" t="s">
        <v>720</v>
      </c>
      <c r="C1776" s="3063"/>
      <c r="D1776" s="3064"/>
      <c r="E1776" s="3064"/>
      <c r="F1776" s="3064"/>
      <c r="G1776" s="3301" t="s">
        <v>720</v>
      </c>
      <c r="H1776" s="3063"/>
      <c r="I1776" s="3030"/>
    </row>
    <row r="1777" spans="2:9">
      <c r="B1777" s="3299" t="s">
        <v>82</v>
      </c>
      <c r="C1777" s="3063"/>
      <c r="D1777" s="3064"/>
      <c r="E1777" s="3064"/>
      <c r="F1777" s="3064"/>
      <c r="G1777" s="3300" t="s">
        <v>82</v>
      </c>
      <c r="H1777" s="3063"/>
      <c r="I1777" s="3030"/>
    </row>
    <row r="1778" spans="2:9" ht="25.5">
      <c r="B1778" s="3192" t="s">
        <v>675</v>
      </c>
      <c r="C1778" s="3063"/>
      <c r="D1778" s="3064"/>
      <c r="E1778" s="3064"/>
      <c r="F1778" s="3064"/>
      <c r="G1778" s="3301" t="s">
        <v>675</v>
      </c>
      <c r="H1778" s="3063"/>
      <c r="I1778" s="3030"/>
    </row>
    <row r="1779" spans="2:9" ht="25.5">
      <c r="B1779" s="3192" t="s">
        <v>676</v>
      </c>
      <c r="C1779" s="3063"/>
      <c r="D1779" s="3064"/>
      <c r="E1779" s="3064"/>
      <c r="F1779" s="3064"/>
      <c r="G1779" s="3301" t="s">
        <v>676</v>
      </c>
      <c r="H1779" s="3063"/>
      <c r="I1779" s="3030"/>
    </row>
    <row r="1780" spans="2:9">
      <c r="B1780" s="3192" t="s">
        <v>677</v>
      </c>
      <c r="C1780" s="3063"/>
      <c r="D1780" s="3064"/>
      <c r="E1780" s="3064"/>
      <c r="F1780" s="3064"/>
      <c r="G1780" s="3301" t="s">
        <v>677</v>
      </c>
      <c r="H1780" s="3063"/>
      <c r="I1780" s="3030"/>
    </row>
    <row r="1781" spans="2:9">
      <c r="B1781" s="3192" t="s">
        <v>678</v>
      </c>
      <c r="C1781" s="3063"/>
      <c r="D1781" s="3064"/>
      <c r="E1781" s="3064"/>
      <c r="F1781" s="3064"/>
      <c r="G1781" s="3301" t="s">
        <v>678</v>
      </c>
      <c r="H1781" s="3063"/>
      <c r="I1781" s="3030"/>
    </row>
    <row r="1782" spans="2:9">
      <c r="B1782" s="3192" t="s">
        <v>679</v>
      </c>
      <c r="C1782" s="3063"/>
      <c r="D1782" s="3064"/>
      <c r="E1782" s="3064"/>
      <c r="F1782" s="3064"/>
      <c r="G1782" s="3301" t="s">
        <v>679</v>
      </c>
      <c r="H1782" s="3063"/>
      <c r="I1782" s="3030"/>
    </row>
    <row r="1783" spans="2:9" ht="25.5">
      <c r="B1783" s="3192" t="s">
        <v>720</v>
      </c>
      <c r="C1783" s="3063"/>
      <c r="D1783" s="3064"/>
      <c r="E1783" s="3064"/>
      <c r="F1783" s="3064"/>
      <c r="G1783" s="3301" t="s">
        <v>720</v>
      </c>
      <c r="H1783" s="3063"/>
      <c r="I1783" s="3030"/>
    </row>
    <row r="1784" spans="2:9" ht="38.25">
      <c r="B1784" s="3299" t="s">
        <v>680</v>
      </c>
      <c r="C1784" s="3063"/>
      <c r="D1784" s="3064"/>
      <c r="E1784" s="3064"/>
      <c r="F1784" s="3064"/>
      <c r="G1784" s="3300" t="s">
        <v>680</v>
      </c>
      <c r="H1784" s="3063"/>
      <c r="I1784" s="3030"/>
    </row>
    <row r="1785" spans="2:9" ht="25.5">
      <c r="B1785" s="3192" t="s">
        <v>675</v>
      </c>
      <c r="C1785" s="3063"/>
      <c r="D1785" s="3064"/>
      <c r="E1785" s="3064"/>
      <c r="F1785" s="3064"/>
      <c r="G1785" s="3301" t="s">
        <v>675</v>
      </c>
      <c r="H1785" s="3063"/>
      <c r="I1785" s="3030"/>
    </row>
    <row r="1786" spans="2:9" ht="25.5">
      <c r="B1786" s="3192" t="s">
        <v>676</v>
      </c>
      <c r="C1786" s="3063"/>
      <c r="D1786" s="3064"/>
      <c r="E1786" s="3064"/>
      <c r="F1786" s="3064"/>
      <c r="G1786" s="3301" t="s">
        <v>676</v>
      </c>
      <c r="H1786" s="3063"/>
      <c r="I1786" s="3030"/>
    </row>
    <row r="1787" spans="2:9">
      <c r="B1787" s="3192" t="s">
        <v>677</v>
      </c>
      <c r="C1787" s="3063"/>
      <c r="D1787" s="3064"/>
      <c r="E1787" s="3064"/>
      <c r="F1787" s="3064"/>
      <c r="G1787" s="3301" t="s">
        <v>677</v>
      </c>
      <c r="H1787" s="3063"/>
      <c r="I1787" s="3030"/>
    </row>
    <row r="1788" spans="2:9">
      <c r="B1788" s="3192" t="s">
        <v>678</v>
      </c>
      <c r="C1788" s="3063"/>
      <c r="D1788" s="3064"/>
      <c r="E1788" s="3064"/>
      <c r="F1788" s="3064"/>
      <c r="G1788" s="3301" t="s">
        <v>678</v>
      </c>
      <c r="H1788" s="3063"/>
      <c r="I1788" s="3030"/>
    </row>
    <row r="1789" spans="2:9">
      <c r="B1789" s="3192" t="s">
        <v>679</v>
      </c>
      <c r="C1789" s="3063"/>
      <c r="D1789" s="3064"/>
      <c r="E1789" s="3064"/>
      <c r="F1789" s="3064"/>
      <c r="G1789" s="3301" t="s">
        <v>679</v>
      </c>
      <c r="H1789" s="3063"/>
      <c r="I1789" s="3030"/>
    </row>
    <row r="1790" spans="2:9" ht="25.5">
      <c r="B1790" s="3192" t="s">
        <v>720</v>
      </c>
      <c r="C1790" s="3063"/>
      <c r="D1790" s="3064"/>
      <c r="E1790" s="3064"/>
      <c r="F1790" s="3064"/>
      <c r="G1790" s="3301" t="s">
        <v>720</v>
      </c>
      <c r="H1790" s="3063"/>
      <c r="I1790" s="3030"/>
    </row>
    <row r="1791" spans="2:9" ht="38.25">
      <c r="B1791" s="3299" t="s">
        <v>681</v>
      </c>
      <c r="C1791" s="3063"/>
      <c r="D1791" s="3064"/>
      <c r="E1791" s="3064"/>
      <c r="F1791" s="3064"/>
      <c r="G1791" s="3300" t="s">
        <v>681</v>
      </c>
      <c r="H1791" s="3063"/>
      <c r="I1791" s="3030"/>
    </row>
    <row r="1792" spans="2:9" ht="25.5">
      <c r="B1792" s="3192" t="s">
        <v>675</v>
      </c>
      <c r="C1792" s="3063"/>
      <c r="D1792" s="3064"/>
      <c r="E1792" s="3064"/>
      <c r="F1792" s="3064"/>
      <c r="G1792" s="3301" t="s">
        <v>675</v>
      </c>
      <c r="H1792" s="3063"/>
      <c r="I1792" s="3030"/>
    </row>
    <row r="1793" spans="2:9" ht="25.5">
      <c r="B1793" s="3192" t="s">
        <v>676</v>
      </c>
      <c r="C1793" s="3063"/>
      <c r="D1793" s="3064"/>
      <c r="E1793" s="3064"/>
      <c r="F1793" s="3064"/>
      <c r="G1793" s="3301" t="s">
        <v>676</v>
      </c>
      <c r="H1793" s="3063"/>
      <c r="I1793" s="3030"/>
    </row>
    <row r="1794" spans="2:9">
      <c r="B1794" s="3192" t="s">
        <v>677</v>
      </c>
      <c r="C1794" s="3063"/>
      <c r="D1794" s="3064"/>
      <c r="E1794" s="3064"/>
      <c r="F1794" s="3064"/>
      <c r="G1794" s="3301" t="s">
        <v>677</v>
      </c>
      <c r="H1794" s="3063"/>
      <c r="I1794" s="3030"/>
    </row>
    <row r="1795" spans="2:9">
      <c r="B1795" s="3192" t="s">
        <v>678</v>
      </c>
      <c r="C1795" s="3063"/>
      <c r="D1795" s="3064"/>
      <c r="E1795" s="3064"/>
      <c r="F1795" s="3064"/>
      <c r="G1795" s="3301" t="s">
        <v>678</v>
      </c>
      <c r="H1795" s="3063"/>
      <c r="I1795" s="3030"/>
    </row>
    <row r="1796" spans="2:9">
      <c r="B1796" s="3192" t="s">
        <v>679</v>
      </c>
      <c r="C1796" s="3063"/>
      <c r="D1796" s="3064"/>
      <c r="E1796" s="3064"/>
      <c r="F1796" s="3064"/>
      <c r="G1796" s="3301" t="s">
        <v>679</v>
      </c>
      <c r="H1796" s="3063"/>
      <c r="I1796" s="3030"/>
    </row>
    <row r="1797" spans="2:9" ht="25.5">
      <c r="B1797" s="3192" t="s">
        <v>720</v>
      </c>
      <c r="C1797" s="3063"/>
      <c r="D1797" s="3064"/>
      <c r="E1797" s="3064"/>
      <c r="F1797" s="3064"/>
      <c r="G1797" s="3301" t="s">
        <v>720</v>
      </c>
      <c r="H1797" s="3063"/>
      <c r="I1797" s="3030"/>
    </row>
    <row r="1798" spans="2:9" ht="25.5">
      <c r="B1798" s="3299" t="s">
        <v>682</v>
      </c>
      <c r="C1798" s="3063"/>
      <c r="D1798" s="3064"/>
      <c r="E1798" s="3064"/>
      <c r="F1798" s="3064"/>
      <c r="G1798" s="3300" t="s">
        <v>682</v>
      </c>
      <c r="H1798" s="3063"/>
      <c r="I1798" s="3030"/>
    </row>
    <row r="1799" spans="2:9" ht="25.5">
      <c r="B1799" s="3192" t="s">
        <v>675</v>
      </c>
      <c r="C1799" s="3063"/>
      <c r="D1799" s="3064"/>
      <c r="E1799" s="3064"/>
      <c r="F1799" s="3064"/>
      <c r="G1799" s="3301" t="s">
        <v>675</v>
      </c>
      <c r="H1799" s="3063"/>
      <c r="I1799" s="3030"/>
    </row>
    <row r="1800" spans="2:9" ht="25.5">
      <c r="B1800" s="3192" t="s">
        <v>676</v>
      </c>
      <c r="C1800" s="3063"/>
      <c r="D1800" s="3064"/>
      <c r="E1800" s="3064"/>
      <c r="F1800" s="3064"/>
      <c r="G1800" s="3301" t="s">
        <v>676</v>
      </c>
      <c r="H1800" s="3063"/>
      <c r="I1800" s="3030"/>
    </row>
    <row r="1801" spans="2:9">
      <c r="B1801" s="3192" t="s">
        <v>677</v>
      </c>
      <c r="C1801" s="3063"/>
      <c r="D1801" s="3064"/>
      <c r="E1801" s="3064"/>
      <c r="F1801" s="3064"/>
      <c r="G1801" s="3301" t="s">
        <v>677</v>
      </c>
      <c r="H1801" s="3063"/>
      <c r="I1801" s="3030"/>
    </row>
    <row r="1802" spans="2:9">
      <c r="B1802" s="3192" t="s">
        <v>678</v>
      </c>
      <c r="C1802" s="3063"/>
      <c r="D1802" s="3064"/>
      <c r="E1802" s="3064"/>
      <c r="F1802" s="3064"/>
      <c r="G1802" s="3301" t="s">
        <v>678</v>
      </c>
      <c r="H1802" s="3063"/>
      <c r="I1802" s="3030"/>
    </row>
    <row r="1803" spans="2:9">
      <c r="B1803" s="3192" t="s">
        <v>679</v>
      </c>
      <c r="C1803" s="3063"/>
      <c r="D1803" s="3064"/>
      <c r="E1803" s="3064"/>
      <c r="F1803" s="3064"/>
      <c r="G1803" s="3301" t="s">
        <v>679</v>
      </c>
      <c r="H1803" s="3063"/>
      <c r="I1803" s="3030"/>
    </row>
    <row r="1804" spans="2:9" ht="25.5">
      <c r="B1804" s="3192" t="s">
        <v>720</v>
      </c>
      <c r="C1804" s="3063"/>
      <c r="D1804" s="3064"/>
      <c r="E1804" s="3064"/>
      <c r="F1804" s="3064"/>
      <c r="G1804" s="3301" t="s">
        <v>720</v>
      </c>
      <c r="H1804" s="3063"/>
      <c r="I1804" s="3030"/>
    </row>
    <row r="1805" spans="2:9" ht="25.5">
      <c r="B1805" s="3299" t="s">
        <v>66</v>
      </c>
      <c r="C1805" s="3063"/>
      <c r="D1805" s="3064"/>
      <c r="E1805" s="3064"/>
      <c r="F1805" s="3064"/>
      <c r="G1805" s="3300" t="s">
        <v>66</v>
      </c>
      <c r="H1805" s="3063"/>
      <c r="I1805" s="3030"/>
    </row>
    <row r="1806" spans="2:9" ht="25.5">
      <c r="B1806" s="3192" t="s">
        <v>675</v>
      </c>
      <c r="C1806" s="3063"/>
      <c r="D1806" s="3064"/>
      <c r="E1806" s="3064"/>
      <c r="F1806" s="3064"/>
      <c r="G1806" s="3301" t="s">
        <v>675</v>
      </c>
      <c r="H1806" s="3063"/>
      <c r="I1806" s="3030"/>
    </row>
    <row r="1807" spans="2:9" ht="25.5">
      <c r="B1807" s="3192" t="s">
        <v>676</v>
      </c>
      <c r="C1807" s="3063"/>
      <c r="D1807" s="3064"/>
      <c r="E1807" s="3064"/>
      <c r="F1807" s="3064"/>
      <c r="G1807" s="3301" t="s">
        <v>676</v>
      </c>
      <c r="H1807" s="3063"/>
      <c r="I1807" s="3030"/>
    </row>
    <row r="1808" spans="2:9">
      <c r="B1808" s="3192" t="s">
        <v>677</v>
      </c>
      <c r="C1808" s="3063"/>
      <c r="D1808" s="3064"/>
      <c r="E1808" s="3064"/>
      <c r="F1808" s="3064"/>
      <c r="G1808" s="3301" t="s">
        <v>677</v>
      </c>
      <c r="H1808" s="3063"/>
      <c r="I1808" s="3030"/>
    </row>
    <row r="1809" spans="2:9">
      <c r="B1809" s="3192" t="s">
        <v>678</v>
      </c>
      <c r="C1809" s="3063"/>
      <c r="D1809" s="3064"/>
      <c r="E1809" s="3064"/>
      <c r="F1809" s="3064"/>
      <c r="G1809" s="3301" t="s">
        <v>678</v>
      </c>
      <c r="H1809" s="3063"/>
      <c r="I1809" s="3030"/>
    </row>
    <row r="1810" spans="2:9">
      <c r="B1810" s="3192" t="s">
        <v>679</v>
      </c>
      <c r="C1810" s="3063"/>
      <c r="D1810" s="3064"/>
      <c r="E1810" s="3064"/>
      <c r="F1810" s="3064"/>
      <c r="G1810" s="3301" t="s">
        <v>679</v>
      </c>
      <c r="H1810" s="3063"/>
      <c r="I1810" s="3030"/>
    </row>
    <row r="1811" spans="2:9" ht="25.5">
      <c r="B1811" s="3192" t="s">
        <v>720</v>
      </c>
      <c r="C1811" s="3063"/>
      <c r="D1811" s="3064"/>
      <c r="E1811" s="3064"/>
      <c r="F1811" s="3064"/>
      <c r="G1811" s="3301" t="s">
        <v>720</v>
      </c>
      <c r="H1811" s="3063"/>
      <c r="I1811" s="3030"/>
    </row>
    <row r="1812" spans="2:9">
      <c r="B1812" s="3299" t="s">
        <v>67</v>
      </c>
      <c r="C1812" s="3063"/>
      <c r="D1812" s="3064"/>
      <c r="E1812" s="3064"/>
      <c r="F1812" s="3064"/>
      <c r="G1812" s="3300" t="s">
        <v>67</v>
      </c>
      <c r="H1812" s="3063"/>
      <c r="I1812" s="3030"/>
    </row>
    <row r="1813" spans="2:9" ht="25.5">
      <c r="B1813" s="3192" t="s">
        <v>675</v>
      </c>
      <c r="C1813" s="3063"/>
      <c r="D1813" s="3064"/>
      <c r="E1813" s="3064"/>
      <c r="F1813" s="3064"/>
      <c r="G1813" s="3301" t="s">
        <v>675</v>
      </c>
      <c r="H1813" s="3063"/>
      <c r="I1813" s="3030"/>
    </row>
    <row r="1814" spans="2:9" ht="25.5">
      <c r="B1814" s="3192" t="s">
        <v>676</v>
      </c>
      <c r="C1814" s="3063"/>
      <c r="D1814" s="3064"/>
      <c r="E1814" s="3064"/>
      <c r="F1814" s="3064"/>
      <c r="G1814" s="3301" t="s">
        <v>676</v>
      </c>
      <c r="H1814" s="3063"/>
      <c r="I1814" s="3030"/>
    </row>
    <row r="1815" spans="2:9">
      <c r="B1815" s="3192" t="s">
        <v>677</v>
      </c>
      <c r="C1815" s="3063"/>
      <c r="D1815" s="3064"/>
      <c r="E1815" s="3064"/>
      <c r="F1815" s="3064"/>
      <c r="G1815" s="3301" t="s">
        <v>677</v>
      </c>
      <c r="H1815" s="3063"/>
      <c r="I1815" s="3030"/>
    </row>
    <row r="1816" spans="2:9">
      <c r="B1816" s="3192" t="s">
        <v>678</v>
      </c>
      <c r="C1816" s="3063"/>
      <c r="D1816" s="3064"/>
      <c r="E1816" s="3064"/>
      <c r="F1816" s="3064"/>
      <c r="G1816" s="3301" t="s">
        <v>678</v>
      </c>
      <c r="H1816" s="3063"/>
      <c r="I1816" s="3030"/>
    </row>
    <row r="1817" spans="2:9">
      <c r="B1817" s="3192" t="s">
        <v>679</v>
      </c>
      <c r="C1817" s="3063"/>
      <c r="D1817" s="3064"/>
      <c r="E1817" s="3064"/>
      <c r="F1817" s="3064"/>
      <c r="G1817" s="3301" t="s">
        <v>679</v>
      </c>
      <c r="H1817" s="3063"/>
      <c r="I1817" s="3030"/>
    </row>
    <row r="1818" spans="2:9" ht="25.5">
      <c r="B1818" s="3230" t="s">
        <v>81</v>
      </c>
      <c r="C1818" s="3063"/>
      <c r="D1818" s="3064"/>
      <c r="E1818" s="3064"/>
      <c r="F1818" s="3064"/>
      <c r="G1818" s="3302" t="s">
        <v>81</v>
      </c>
      <c r="H1818" s="3063"/>
      <c r="I1818" s="3030"/>
    </row>
    <row r="1819" spans="2:9" ht="26.25" thickBot="1">
      <c r="B1819" s="3303" t="s">
        <v>81</v>
      </c>
      <c r="C1819" s="3063"/>
      <c r="D1819" s="3064"/>
      <c r="E1819" s="3064"/>
      <c r="F1819" s="3064"/>
      <c r="G1819" s="3302" t="s">
        <v>81</v>
      </c>
      <c r="H1819" s="3063"/>
      <c r="I1819" s="3030"/>
    </row>
    <row r="1820" spans="2:9">
      <c r="B1820" s="3217" t="s">
        <v>697</v>
      </c>
      <c r="C1820" s="3218"/>
      <c r="D1820" s="3219"/>
      <c r="E1820" s="3219"/>
      <c r="F1820" s="3219"/>
      <c r="G1820" s="3217" t="s">
        <v>697</v>
      </c>
      <c r="H1820" s="3297"/>
      <c r="I1820" s="3298"/>
    </row>
    <row r="1821" spans="2:9">
      <c r="B1821" s="3299" t="s">
        <v>64</v>
      </c>
      <c r="C1821" s="3063"/>
      <c r="D1821" s="3064"/>
      <c r="E1821" s="3064"/>
      <c r="F1821" s="3064"/>
      <c r="G1821" s="3300" t="s">
        <v>64</v>
      </c>
      <c r="H1821" s="3063"/>
      <c r="I1821" s="3030"/>
    </row>
    <row r="1822" spans="2:9" ht="25.5">
      <c r="B1822" s="3192" t="s">
        <v>675</v>
      </c>
      <c r="C1822" s="3063"/>
      <c r="D1822" s="3064"/>
      <c r="E1822" s="3064"/>
      <c r="F1822" s="3064"/>
      <c r="G1822" s="3301" t="s">
        <v>675</v>
      </c>
      <c r="H1822" s="3063"/>
      <c r="I1822" s="3030"/>
    </row>
    <row r="1823" spans="2:9" ht="25.5">
      <c r="B1823" s="3192" t="s">
        <v>676</v>
      </c>
      <c r="C1823" s="3063"/>
      <c r="D1823" s="3064"/>
      <c r="E1823" s="3064"/>
      <c r="F1823" s="3064"/>
      <c r="G1823" s="3301" t="s">
        <v>676</v>
      </c>
      <c r="H1823" s="3063"/>
      <c r="I1823" s="3030"/>
    </row>
    <row r="1824" spans="2:9">
      <c r="B1824" s="3192" t="s">
        <v>677</v>
      </c>
      <c r="C1824" s="3063"/>
      <c r="D1824" s="3064"/>
      <c r="E1824" s="3064"/>
      <c r="F1824" s="3064"/>
      <c r="G1824" s="3301" t="s">
        <v>677</v>
      </c>
      <c r="H1824" s="3063"/>
      <c r="I1824" s="3030"/>
    </row>
    <row r="1825" spans="2:9">
      <c r="B1825" s="3192" t="s">
        <v>678</v>
      </c>
      <c r="C1825" s="3063"/>
      <c r="D1825" s="3064"/>
      <c r="E1825" s="3064"/>
      <c r="F1825" s="3064"/>
      <c r="G1825" s="3301" t="s">
        <v>678</v>
      </c>
      <c r="H1825" s="3063"/>
      <c r="I1825" s="3030"/>
    </row>
    <row r="1826" spans="2:9">
      <c r="B1826" s="3192" t="s">
        <v>679</v>
      </c>
      <c r="C1826" s="3063"/>
      <c r="D1826" s="3064"/>
      <c r="E1826" s="3064"/>
      <c r="F1826" s="3064"/>
      <c r="G1826" s="3301" t="s">
        <v>679</v>
      </c>
      <c r="H1826" s="3063"/>
      <c r="I1826" s="3030"/>
    </row>
    <row r="1827" spans="2:9" ht="25.5">
      <c r="B1827" s="3192" t="s">
        <v>720</v>
      </c>
      <c r="C1827" s="3063"/>
      <c r="D1827" s="3064"/>
      <c r="E1827" s="3064"/>
      <c r="F1827" s="3064"/>
      <c r="G1827" s="3301" t="s">
        <v>720</v>
      </c>
      <c r="H1827" s="3063"/>
      <c r="I1827" s="3030"/>
    </row>
    <row r="1828" spans="2:9">
      <c r="B1828" s="3299" t="s">
        <v>65</v>
      </c>
      <c r="C1828" s="3063"/>
      <c r="D1828" s="3064"/>
      <c r="E1828" s="3064"/>
      <c r="F1828" s="3064"/>
      <c r="G1828" s="3300" t="s">
        <v>65</v>
      </c>
      <c r="H1828" s="3063"/>
      <c r="I1828" s="3030"/>
    </row>
    <row r="1829" spans="2:9" ht="25.5">
      <c r="B1829" s="3192" t="s">
        <v>675</v>
      </c>
      <c r="C1829" s="3063"/>
      <c r="D1829" s="3064"/>
      <c r="E1829" s="3064"/>
      <c r="F1829" s="3064"/>
      <c r="G1829" s="3301" t="s">
        <v>675</v>
      </c>
      <c r="H1829" s="3063"/>
      <c r="I1829" s="3030"/>
    </row>
    <row r="1830" spans="2:9" ht="25.5">
      <c r="B1830" s="3192" t="s">
        <v>676</v>
      </c>
      <c r="C1830" s="3063"/>
      <c r="D1830" s="3064"/>
      <c r="E1830" s="3064"/>
      <c r="F1830" s="3064"/>
      <c r="G1830" s="3301" t="s">
        <v>676</v>
      </c>
      <c r="H1830" s="3063"/>
      <c r="I1830" s="3030"/>
    </row>
    <row r="1831" spans="2:9">
      <c r="B1831" s="3192" t="s">
        <v>677</v>
      </c>
      <c r="C1831" s="3063"/>
      <c r="D1831" s="3064"/>
      <c r="E1831" s="3064"/>
      <c r="F1831" s="3064"/>
      <c r="G1831" s="3301" t="s">
        <v>677</v>
      </c>
      <c r="H1831" s="3063"/>
      <c r="I1831" s="3030"/>
    </row>
    <row r="1832" spans="2:9">
      <c r="B1832" s="3192" t="s">
        <v>678</v>
      </c>
      <c r="C1832" s="3063"/>
      <c r="D1832" s="3064"/>
      <c r="E1832" s="3064"/>
      <c r="F1832" s="3064"/>
      <c r="G1832" s="3301" t="s">
        <v>678</v>
      </c>
      <c r="H1832" s="3063"/>
      <c r="I1832" s="3030"/>
    </row>
    <row r="1833" spans="2:9">
      <c r="B1833" s="3192" t="s">
        <v>679</v>
      </c>
      <c r="C1833" s="3063"/>
      <c r="D1833" s="3064"/>
      <c r="E1833" s="3064"/>
      <c r="F1833" s="3064"/>
      <c r="G1833" s="3301" t="s">
        <v>679</v>
      </c>
      <c r="H1833" s="3063"/>
      <c r="I1833" s="3030"/>
    </row>
    <row r="1834" spans="2:9" ht="25.5">
      <c r="B1834" s="3192" t="s">
        <v>720</v>
      </c>
      <c r="C1834" s="3063"/>
      <c r="D1834" s="3064"/>
      <c r="E1834" s="3064"/>
      <c r="F1834" s="3064"/>
      <c r="G1834" s="3301" t="s">
        <v>720</v>
      </c>
      <c r="H1834" s="3063"/>
      <c r="I1834" s="3030"/>
    </row>
    <row r="1835" spans="2:9">
      <c r="B1835" s="3299" t="s">
        <v>82</v>
      </c>
      <c r="C1835" s="3063"/>
      <c r="D1835" s="3064"/>
      <c r="E1835" s="3064"/>
      <c r="F1835" s="3064"/>
      <c r="G1835" s="3300" t="s">
        <v>82</v>
      </c>
      <c r="H1835" s="3063"/>
      <c r="I1835" s="3030"/>
    </row>
    <row r="1836" spans="2:9" ht="25.5">
      <c r="B1836" s="3192" t="s">
        <v>675</v>
      </c>
      <c r="C1836" s="3063"/>
      <c r="D1836" s="3064"/>
      <c r="E1836" s="3064"/>
      <c r="F1836" s="3064"/>
      <c r="G1836" s="3301" t="s">
        <v>675</v>
      </c>
      <c r="H1836" s="3063"/>
      <c r="I1836" s="3030"/>
    </row>
    <row r="1837" spans="2:9" ht="25.5">
      <c r="B1837" s="3192" t="s">
        <v>676</v>
      </c>
      <c r="C1837" s="3063"/>
      <c r="D1837" s="3064"/>
      <c r="E1837" s="3064"/>
      <c r="F1837" s="3064"/>
      <c r="G1837" s="3301" t="s">
        <v>676</v>
      </c>
      <c r="H1837" s="3063"/>
      <c r="I1837" s="3030"/>
    </row>
    <row r="1838" spans="2:9">
      <c r="B1838" s="3192" t="s">
        <v>677</v>
      </c>
      <c r="C1838" s="3063"/>
      <c r="D1838" s="3064"/>
      <c r="E1838" s="3064"/>
      <c r="F1838" s="3064"/>
      <c r="G1838" s="3301" t="s">
        <v>677</v>
      </c>
      <c r="H1838" s="3063"/>
      <c r="I1838" s="3030"/>
    </row>
    <row r="1839" spans="2:9">
      <c r="B1839" s="3192" t="s">
        <v>678</v>
      </c>
      <c r="C1839" s="3063"/>
      <c r="D1839" s="3064"/>
      <c r="E1839" s="3064"/>
      <c r="F1839" s="3064"/>
      <c r="G1839" s="3301" t="s">
        <v>678</v>
      </c>
      <c r="H1839" s="3063"/>
      <c r="I1839" s="3030"/>
    </row>
    <row r="1840" spans="2:9">
      <c r="B1840" s="3192" t="s">
        <v>679</v>
      </c>
      <c r="C1840" s="3063"/>
      <c r="D1840" s="3064"/>
      <c r="E1840" s="3064"/>
      <c r="F1840" s="3064"/>
      <c r="G1840" s="3301" t="s">
        <v>679</v>
      </c>
      <c r="H1840" s="3063"/>
      <c r="I1840" s="3030"/>
    </row>
    <row r="1841" spans="2:9" ht="25.5">
      <c r="B1841" s="3192" t="s">
        <v>720</v>
      </c>
      <c r="C1841" s="3063"/>
      <c r="D1841" s="3064"/>
      <c r="E1841" s="3064"/>
      <c r="F1841" s="3064"/>
      <c r="G1841" s="3301" t="s">
        <v>720</v>
      </c>
      <c r="H1841" s="3063"/>
      <c r="I1841" s="3030"/>
    </row>
    <row r="1842" spans="2:9" ht="38.25">
      <c r="B1842" s="3299" t="s">
        <v>680</v>
      </c>
      <c r="C1842" s="3063"/>
      <c r="D1842" s="3064"/>
      <c r="E1842" s="3064"/>
      <c r="F1842" s="3064"/>
      <c r="G1842" s="3300" t="s">
        <v>680</v>
      </c>
      <c r="H1842" s="3063"/>
      <c r="I1842" s="3030"/>
    </row>
    <row r="1843" spans="2:9" ht="25.5">
      <c r="B1843" s="3192" t="s">
        <v>675</v>
      </c>
      <c r="C1843" s="3063"/>
      <c r="D1843" s="3064"/>
      <c r="E1843" s="3064"/>
      <c r="F1843" s="3064"/>
      <c r="G1843" s="3301" t="s">
        <v>675</v>
      </c>
      <c r="H1843" s="3063"/>
      <c r="I1843" s="3030"/>
    </row>
    <row r="1844" spans="2:9" ht="25.5">
      <c r="B1844" s="3192" t="s">
        <v>676</v>
      </c>
      <c r="C1844" s="3063"/>
      <c r="D1844" s="3064"/>
      <c r="E1844" s="3064"/>
      <c r="F1844" s="3064"/>
      <c r="G1844" s="3301" t="s">
        <v>676</v>
      </c>
      <c r="H1844" s="3063"/>
      <c r="I1844" s="3030"/>
    </row>
    <row r="1845" spans="2:9">
      <c r="B1845" s="3192" t="s">
        <v>677</v>
      </c>
      <c r="C1845" s="3063"/>
      <c r="D1845" s="3064"/>
      <c r="E1845" s="3064"/>
      <c r="F1845" s="3064"/>
      <c r="G1845" s="3301" t="s">
        <v>677</v>
      </c>
      <c r="H1845" s="3063"/>
      <c r="I1845" s="3030"/>
    </row>
    <row r="1846" spans="2:9">
      <c r="B1846" s="3192" t="s">
        <v>678</v>
      </c>
      <c r="C1846" s="3063"/>
      <c r="D1846" s="3064"/>
      <c r="E1846" s="3064"/>
      <c r="F1846" s="3064"/>
      <c r="G1846" s="3301" t="s">
        <v>678</v>
      </c>
      <c r="H1846" s="3063"/>
      <c r="I1846" s="3030"/>
    </row>
    <row r="1847" spans="2:9">
      <c r="B1847" s="3192" t="s">
        <v>679</v>
      </c>
      <c r="C1847" s="3063"/>
      <c r="D1847" s="3064"/>
      <c r="E1847" s="3064"/>
      <c r="F1847" s="3064"/>
      <c r="G1847" s="3301" t="s">
        <v>679</v>
      </c>
      <c r="H1847" s="3063"/>
      <c r="I1847" s="3030"/>
    </row>
    <row r="1848" spans="2:9" ht="25.5">
      <c r="B1848" s="3192" t="s">
        <v>720</v>
      </c>
      <c r="C1848" s="3063"/>
      <c r="D1848" s="3064"/>
      <c r="E1848" s="3064"/>
      <c r="F1848" s="3064"/>
      <c r="G1848" s="3301" t="s">
        <v>720</v>
      </c>
      <c r="H1848" s="3063"/>
      <c r="I1848" s="3030"/>
    </row>
    <row r="1849" spans="2:9" ht="38.25">
      <c r="B1849" s="3299" t="s">
        <v>681</v>
      </c>
      <c r="C1849" s="3063"/>
      <c r="D1849" s="3064"/>
      <c r="E1849" s="3064"/>
      <c r="F1849" s="3064"/>
      <c r="G1849" s="3300" t="s">
        <v>681</v>
      </c>
      <c r="H1849" s="3063"/>
      <c r="I1849" s="3030"/>
    </row>
    <row r="1850" spans="2:9" ht="25.5">
      <c r="B1850" s="3192" t="s">
        <v>675</v>
      </c>
      <c r="C1850" s="3063"/>
      <c r="D1850" s="3064"/>
      <c r="E1850" s="3064"/>
      <c r="F1850" s="3064"/>
      <c r="G1850" s="3301" t="s">
        <v>675</v>
      </c>
      <c r="H1850" s="3063"/>
      <c r="I1850" s="3030"/>
    </row>
    <row r="1851" spans="2:9" ht="25.5">
      <c r="B1851" s="3192" t="s">
        <v>676</v>
      </c>
      <c r="C1851" s="3063"/>
      <c r="D1851" s="3064"/>
      <c r="E1851" s="3064"/>
      <c r="F1851" s="3064"/>
      <c r="G1851" s="3301" t="s">
        <v>676</v>
      </c>
      <c r="H1851" s="3063"/>
      <c r="I1851" s="3030"/>
    </row>
    <row r="1852" spans="2:9">
      <c r="B1852" s="3192" t="s">
        <v>677</v>
      </c>
      <c r="C1852" s="3063"/>
      <c r="D1852" s="3064"/>
      <c r="E1852" s="3064"/>
      <c r="F1852" s="3064"/>
      <c r="G1852" s="3301" t="s">
        <v>677</v>
      </c>
      <c r="H1852" s="3063"/>
      <c r="I1852" s="3030"/>
    </row>
    <row r="1853" spans="2:9">
      <c r="B1853" s="3192" t="s">
        <v>678</v>
      </c>
      <c r="C1853" s="3063"/>
      <c r="D1853" s="3064"/>
      <c r="E1853" s="3064"/>
      <c r="F1853" s="3064"/>
      <c r="G1853" s="3301" t="s">
        <v>678</v>
      </c>
      <c r="H1853" s="3063"/>
      <c r="I1853" s="3030"/>
    </row>
    <row r="1854" spans="2:9">
      <c r="B1854" s="3192" t="s">
        <v>679</v>
      </c>
      <c r="C1854" s="3063"/>
      <c r="D1854" s="3064"/>
      <c r="E1854" s="3064"/>
      <c r="F1854" s="3064"/>
      <c r="G1854" s="3301" t="s">
        <v>679</v>
      </c>
      <c r="H1854" s="3063"/>
      <c r="I1854" s="3030"/>
    </row>
    <row r="1855" spans="2:9" ht="25.5">
      <c r="B1855" s="3192" t="s">
        <v>720</v>
      </c>
      <c r="C1855" s="3063"/>
      <c r="D1855" s="3064"/>
      <c r="E1855" s="3064"/>
      <c r="F1855" s="3064"/>
      <c r="G1855" s="3301" t="s">
        <v>720</v>
      </c>
      <c r="H1855" s="3063"/>
      <c r="I1855" s="3030"/>
    </row>
    <row r="1856" spans="2:9" ht="25.5">
      <c r="B1856" s="3299" t="s">
        <v>682</v>
      </c>
      <c r="C1856" s="3063"/>
      <c r="D1856" s="3064"/>
      <c r="E1856" s="3064"/>
      <c r="F1856" s="3064"/>
      <c r="G1856" s="3300" t="s">
        <v>682</v>
      </c>
      <c r="H1856" s="3063"/>
      <c r="I1856" s="3030"/>
    </row>
    <row r="1857" spans="2:9" ht="25.5">
      <c r="B1857" s="3192" t="s">
        <v>675</v>
      </c>
      <c r="C1857" s="3063"/>
      <c r="D1857" s="3064"/>
      <c r="E1857" s="3064"/>
      <c r="F1857" s="3064"/>
      <c r="G1857" s="3301" t="s">
        <v>675</v>
      </c>
      <c r="H1857" s="3063"/>
      <c r="I1857" s="3030"/>
    </row>
    <row r="1858" spans="2:9" ht="25.5">
      <c r="B1858" s="3192" t="s">
        <v>676</v>
      </c>
      <c r="C1858" s="3063"/>
      <c r="D1858" s="3064"/>
      <c r="E1858" s="3064"/>
      <c r="F1858" s="3064"/>
      <c r="G1858" s="3301" t="s">
        <v>676</v>
      </c>
      <c r="H1858" s="3063"/>
      <c r="I1858" s="3030"/>
    </row>
    <row r="1859" spans="2:9">
      <c r="B1859" s="3192" t="s">
        <v>677</v>
      </c>
      <c r="C1859" s="3063"/>
      <c r="D1859" s="3064"/>
      <c r="E1859" s="3064"/>
      <c r="F1859" s="3064"/>
      <c r="G1859" s="3301" t="s">
        <v>677</v>
      </c>
      <c r="H1859" s="3063"/>
      <c r="I1859" s="3030"/>
    </row>
    <row r="1860" spans="2:9">
      <c r="B1860" s="3192" t="s">
        <v>678</v>
      </c>
      <c r="C1860" s="3063"/>
      <c r="D1860" s="3064"/>
      <c r="E1860" s="3064"/>
      <c r="F1860" s="3064"/>
      <c r="G1860" s="3301" t="s">
        <v>678</v>
      </c>
      <c r="H1860" s="3063"/>
      <c r="I1860" s="3030"/>
    </row>
    <row r="1861" spans="2:9">
      <c r="B1861" s="3192" t="s">
        <v>679</v>
      </c>
      <c r="C1861" s="3063"/>
      <c r="D1861" s="3064"/>
      <c r="E1861" s="3064"/>
      <c r="F1861" s="3064"/>
      <c r="G1861" s="3301" t="s">
        <v>679</v>
      </c>
      <c r="H1861" s="3063"/>
      <c r="I1861" s="3030"/>
    </row>
    <row r="1862" spans="2:9" ht="25.5">
      <c r="B1862" s="3192" t="s">
        <v>720</v>
      </c>
      <c r="C1862" s="3063"/>
      <c r="D1862" s="3064"/>
      <c r="E1862" s="3064"/>
      <c r="F1862" s="3064"/>
      <c r="G1862" s="3301" t="s">
        <v>720</v>
      </c>
      <c r="H1862" s="3063"/>
      <c r="I1862" s="3030"/>
    </row>
    <row r="1863" spans="2:9" ht="25.5">
      <c r="B1863" s="3299" t="s">
        <v>66</v>
      </c>
      <c r="C1863" s="3063"/>
      <c r="D1863" s="3064"/>
      <c r="E1863" s="3064"/>
      <c r="F1863" s="3064"/>
      <c r="G1863" s="3300" t="s">
        <v>66</v>
      </c>
      <c r="H1863" s="3063"/>
      <c r="I1863" s="3030"/>
    </row>
    <row r="1864" spans="2:9" ht="25.5">
      <c r="B1864" s="3192" t="s">
        <v>675</v>
      </c>
      <c r="C1864" s="3063"/>
      <c r="D1864" s="3064"/>
      <c r="E1864" s="3064"/>
      <c r="F1864" s="3064"/>
      <c r="G1864" s="3301" t="s">
        <v>675</v>
      </c>
      <c r="H1864" s="3063"/>
      <c r="I1864" s="3030"/>
    </row>
    <row r="1865" spans="2:9" ht="25.5">
      <c r="B1865" s="3192" t="s">
        <v>676</v>
      </c>
      <c r="C1865" s="3063"/>
      <c r="D1865" s="3064"/>
      <c r="E1865" s="3064"/>
      <c r="F1865" s="3064"/>
      <c r="G1865" s="3301" t="s">
        <v>676</v>
      </c>
      <c r="H1865" s="3063"/>
      <c r="I1865" s="3030"/>
    </row>
    <row r="1866" spans="2:9">
      <c r="B1866" s="3192" t="s">
        <v>677</v>
      </c>
      <c r="C1866" s="3063"/>
      <c r="D1866" s="3064"/>
      <c r="E1866" s="3064"/>
      <c r="F1866" s="3064"/>
      <c r="G1866" s="3301" t="s">
        <v>677</v>
      </c>
      <c r="H1866" s="3063"/>
      <c r="I1866" s="3030"/>
    </row>
    <row r="1867" spans="2:9">
      <c r="B1867" s="3192" t="s">
        <v>678</v>
      </c>
      <c r="C1867" s="3063"/>
      <c r="D1867" s="3064"/>
      <c r="E1867" s="3064"/>
      <c r="F1867" s="3064"/>
      <c r="G1867" s="3301" t="s">
        <v>678</v>
      </c>
      <c r="H1867" s="3063"/>
      <c r="I1867" s="3030"/>
    </row>
    <row r="1868" spans="2:9">
      <c r="B1868" s="3192" t="s">
        <v>679</v>
      </c>
      <c r="C1868" s="3063"/>
      <c r="D1868" s="3064"/>
      <c r="E1868" s="3064"/>
      <c r="F1868" s="3064"/>
      <c r="G1868" s="3301" t="s">
        <v>679</v>
      </c>
      <c r="H1868" s="3063"/>
      <c r="I1868" s="3030"/>
    </row>
    <row r="1869" spans="2:9" ht="25.5">
      <c r="B1869" s="3192" t="s">
        <v>720</v>
      </c>
      <c r="C1869" s="3063"/>
      <c r="D1869" s="3064"/>
      <c r="E1869" s="3064"/>
      <c r="F1869" s="3064"/>
      <c r="G1869" s="3301" t="s">
        <v>720</v>
      </c>
      <c r="H1869" s="3063"/>
      <c r="I1869" s="3030"/>
    </row>
    <row r="1870" spans="2:9">
      <c r="B1870" s="3299" t="s">
        <v>67</v>
      </c>
      <c r="C1870" s="3063"/>
      <c r="D1870" s="3064"/>
      <c r="E1870" s="3064"/>
      <c r="F1870" s="3064">
        <v>1</v>
      </c>
      <c r="G1870" s="3300" t="s">
        <v>67</v>
      </c>
      <c r="H1870" s="3063">
        <v>0.18436578171091444</v>
      </c>
      <c r="I1870" s="3030"/>
    </row>
    <row r="1871" spans="2:9" ht="25.5">
      <c r="B1871" s="3192" t="s">
        <v>675</v>
      </c>
      <c r="C1871" s="3063"/>
      <c r="D1871" s="3064"/>
      <c r="E1871" s="3064"/>
      <c r="F1871" s="3064"/>
      <c r="G1871" s="3301" t="s">
        <v>675</v>
      </c>
      <c r="H1871" s="3063"/>
      <c r="I1871" s="3030"/>
    </row>
    <row r="1872" spans="2:9" ht="25.5">
      <c r="B1872" s="3192" t="s">
        <v>676</v>
      </c>
      <c r="C1872" s="3063"/>
      <c r="D1872" s="3064"/>
      <c r="E1872" s="3064"/>
      <c r="F1872" s="3064"/>
      <c r="G1872" s="3301" t="s">
        <v>676</v>
      </c>
      <c r="H1872" s="3063"/>
      <c r="I1872" s="3030"/>
    </row>
    <row r="1873" spans="2:9">
      <c r="B1873" s="3192" t="s">
        <v>677</v>
      </c>
      <c r="C1873" s="3063"/>
      <c r="D1873" s="3064"/>
      <c r="E1873" s="3064"/>
      <c r="F1873" s="3064"/>
      <c r="G1873" s="3301" t="s">
        <v>677</v>
      </c>
      <c r="H1873" s="3063"/>
      <c r="I1873" s="3030"/>
    </row>
    <row r="1874" spans="2:9">
      <c r="B1874" s="3192" t="s">
        <v>678</v>
      </c>
      <c r="C1874" s="3063"/>
      <c r="D1874" s="3064"/>
      <c r="E1874" s="3064"/>
      <c r="F1874" s="3064"/>
      <c r="G1874" s="3301" t="s">
        <v>678</v>
      </c>
      <c r="H1874" s="3063"/>
      <c r="I1874" s="3030"/>
    </row>
    <row r="1875" spans="2:9">
      <c r="B1875" s="3192" t="s">
        <v>679</v>
      </c>
      <c r="C1875" s="3063"/>
      <c r="D1875" s="3064"/>
      <c r="E1875" s="3064"/>
      <c r="F1875" s="3064"/>
      <c r="G1875" s="3301" t="s">
        <v>679</v>
      </c>
      <c r="H1875" s="3063"/>
      <c r="I1875" s="3030"/>
    </row>
    <row r="1876" spans="2:9" ht="25.5">
      <c r="B1876" s="3230" t="s">
        <v>81</v>
      </c>
      <c r="C1876" s="3063"/>
      <c r="D1876" s="3064"/>
      <c r="E1876" s="3064"/>
      <c r="F1876" s="3064"/>
      <c r="G1876" s="3302" t="s">
        <v>81</v>
      </c>
      <c r="H1876" s="3063"/>
      <c r="I1876" s="3030"/>
    </row>
    <row r="1877" spans="2:9" ht="26.25" thickBot="1">
      <c r="B1877" s="3303" t="s">
        <v>81</v>
      </c>
      <c r="C1877" s="3068"/>
      <c r="D1877" s="3069"/>
      <c r="E1877" s="3069"/>
      <c r="F1877" s="3069"/>
      <c r="G1877" s="3304" t="s">
        <v>81</v>
      </c>
      <c r="H1877" s="3068"/>
      <c r="I1877" s="3070"/>
    </row>
    <row r="1878" spans="2:9" ht="38.25">
      <c r="B1878" s="4723">
        <v>3008</v>
      </c>
      <c r="C1878" s="3289"/>
      <c r="D1878" s="3290"/>
      <c r="E1878" s="3290"/>
      <c r="F1878" s="3290"/>
      <c r="G1878" s="4723">
        <v>3008</v>
      </c>
      <c r="H1878" s="3291" t="s">
        <v>687</v>
      </c>
      <c r="I1878" s="3292" t="s">
        <v>688</v>
      </c>
    </row>
    <row r="1879" spans="2:9">
      <c r="B1879" s="4724"/>
      <c r="C1879" s="4678" t="s">
        <v>686</v>
      </c>
      <c r="D1879" s="4725"/>
      <c r="E1879" s="4725"/>
      <c r="F1879" s="4726"/>
      <c r="G1879" s="4724"/>
      <c r="H1879" s="3293"/>
      <c r="I1879" s="3294"/>
    </row>
    <row r="1880" spans="2:9" ht="13.5" thickBot="1">
      <c r="B1880" s="4724"/>
      <c r="C1880" s="3215">
        <v>2013</v>
      </c>
      <c r="D1880" s="3215">
        <v>2014</v>
      </c>
      <c r="E1880" s="3215">
        <v>2015</v>
      </c>
      <c r="F1880" s="3215">
        <v>2016</v>
      </c>
      <c r="G1880" s="4724"/>
      <c r="H1880" s="3295" t="s">
        <v>390</v>
      </c>
      <c r="I1880" s="3296" t="s">
        <v>390</v>
      </c>
    </row>
    <row r="1881" spans="2:9">
      <c r="B1881" s="3217" t="s">
        <v>695</v>
      </c>
      <c r="C1881" s="3218"/>
      <c r="D1881" s="3219"/>
      <c r="E1881" s="3219"/>
      <c r="F1881" s="3219"/>
      <c r="G1881" s="3217" t="s">
        <v>695</v>
      </c>
      <c r="H1881" s="3297"/>
      <c r="I1881" s="3298"/>
    </row>
    <row r="1882" spans="2:9">
      <c r="B1882" s="3299" t="s">
        <v>64</v>
      </c>
      <c r="C1882" s="3063"/>
      <c r="D1882" s="3064"/>
      <c r="E1882" s="3064"/>
      <c r="F1882" s="3064"/>
      <c r="G1882" s="3300" t="s">
        <v>64</v>
      </c>
      <c r="H1882" s="3063"/>
      <c r="I1882" s="3030"/>
    </row>
    <row r="1883" spans="2:9" ht="25.5">
      <c r="B1883" s="3192" t="s">
        <v>675</v>
      </c>
      <c r="C1883" s="3063"/>
      <c r="D1883" s="3064"/>
      <c r="E1883" s="3064"/>
      <c r="F1883" s="3064"/>
      <c r="G1883" s="3301" t="s">
        <v>675</v>
      </c>
      <c r="H1883" s="3063"/>
      <c r="I1883" s="3030"/>
    </row>
    <row r="1884" spans="2:9" ht="25.5">
      <c r="B1884" s="3192" t="s">
        <v>676</v>
      </c>
      <c r="C1884" s="3063"/>
      <c r="D1884" s="3064"/>
      <c r="E1884" s="3064"/>
      <c r="F1884" s="3064"/>
      <c r="G1884" s="3301" t="s">
        <v>676</v>
      </c>
      <c r="H1884" s="3063"/>
      <c r="I1884" s="3030"/>
    </row>
    <row r="1885" spans="2:9">
      <c r="B1885" s="3192" t="s">
        <v>677</v>
      </c>
      <c r="C1885" s="3063"/>
      <c r="D1885" s="3064"/>
      <c r="E1885" s="3064"/>
      <c r="F1885" s="3064"/>
      <c r="G1885" s="3301" t="s">
        <v>677</v>
      </c>
      <c r="H1885" s="3063"/>
      <c r="I1885" s="3030"/>
    </row>
    <row r="1886" spans="2:9">
      <c r="B1886" s="3192" t="s">
        <v>678</v>
      </c>
      <c r="C1886" s="3063"/>
      <c r="D1886" s="3064"/>
      <c r="E1886" s="3064"/>
      <c r="F1886" s="3064"/>
      <c r="G1886" s="3301" t="s">
        <v>678</v>
      </c>
      <c r="H1886" s="3063"/>
      <c r="I1886" s="3030"/>
    </row>
    <row r="1887" spans="2:9">
      <c r="B1887" s="3192" t="s">
        <v>679</v>
      </c>
      <c r="C1887" s="3063"/>
      <c r="D1887" s="3064"/>
      <c r="E1887" s="3064"/>
      <c r="F1887" s="3064"/>
      <c r="G1887" s="3301" t="s">
        <v>679</v>
      </c>
      <c r="H1887" s="3063"/>
      <c r="I1887" s="3030"/>
    </row>
    <row r="1888" spans="2:9" ht="25.5">
      <c r="B1888" s="3192" t="s">
        <v>720</v>
      </c>
      <c r="C1888" s="3063"/>
      <c r="D1888" s="3064"/>
      <c r="E1888" s="3064"/>
      <c r="F1888" s="3064"/>
      <c r="G1888" s="3301" t="s">
        <v>720</v>
      </c>
      <c r="H1888" s="3063"/>
      <c r="I1888" s="3030"/>
    </row>
    <row r="1889" spans="2:9">
      <c r="B1889" s="3299" t="s">
        <v>65</v>
      </c>
      <c r="C1889" s="3063"/>
      <c r="D1889" s="3064"/>
      <c r="E1889" s="3064"/>
      <c r="F1889" s="3064"/>
      <c r="G1889" s="3300" t="s">
        <v>65</v>
      </c>
      <c r="H1889" s="3063"/>
      <c r="I1889" s="3030"/>
    </row>
    <row r="1890" spans="2:9" ht="25.5">
      <c r="B1890" s="3192" t="s">
        <v>675</v>
      </c>
      <c r="C1890" s="3063"/>
      <c r="D1890" s="3064"/>
      <c r="E1890" s="3064"/>
      <c r="F1890" s="3064"/>
      <c r="G1890" s="3301" t="s">
        <v>675</v>
      </c>
      <c r="H1890" s="3063"/>
      <c r="I1890" s="3030"/>
    </row>
    <row r="1891" spans="2:9" ht="25.5">
      <c r="B1891" s="3192" t="s">
        <v>676</v>
      </c>
      <c r="C1891" s="3063"/>
      <c r="D1891" s="3064"/>
      <c r="E1891" s="3064"/>
      <c r="F1891" s="3064"/>
      <c r="G1891" s="3301" t="s">
        <v>676</v>
      </c>
      <c r="H1891" s="3063"/>
      <c r="I1891" s="3030"/>
    </row>
    <row r="1892" spans="2:9">
      <c r="B1892" s="3192" t="s">
        <v>677</v>
      </c>
      <c r="C1892" s="3063"/>
      <c r="D1892" s="3064"/>
      <c r="E1892" s="3064"/>
      <c r="F1892" s="3064"/>
      <c r="G1892" s="3301" t="s">
        <v>677</v>
      </c>
      <c r="H1892" s="3063"/>
      <c r="I1892" s="3030"/>
    </row>
    <row r="1893" spans="2:9">
      <c r="B1893" s="3192" t="s">
        <v>678</v>
      </c>
      <c r="C1893" s="3063"/>
      <c r="D1893" s="3064"/>
      <c r="E1893" s="3064"/>
      <c r="F1893" s="3064"/>
      <c r="G1893" s="3301" t="s">
        <v>678</v>
      </c>
      <c r="H1893" s="3063"/>
      <c r="I1893" s="3030"/>
    </row>
    <row r="1894" spans="2:9">
      <c r="B1894" s="3192" t="s">
        <v>679</v>
      </c>
      <c r="C1894" s="3063"/>
      <c r="D1894" s="3064"/>
      <c r="E1894" s="3064"/>
      <c r="F1894" s="3064"/>
      <c r="G1894" s="3301" t="s">
        <v>679</v>
      </c>
      <c r="H1894" s="3063"/>
      <c r="I1894" s="3030"/>
    </row>
    <row r="1895" spans="2:9" ht="25.5">
      <c r="B1895" s="3192" t="s">
        <v>720</v>
      </c>
      <c r="C1895" s="3063"/>
      <c r="D1895" s="3064"/>
      <c r="E1895" s="3064"/>
      <c r="F1895" s="3064"/>
      <c r="G1895" s="3301" t="s">
        <v>720</v>
      </c>
      <c r="H1895" s="3063"/>
      <c r="I1895" s="3030"/>
    </row>
    <row r="1896" spans="2:9">
      <c r="B1896" s="3299" t="s">
        <v>82</v>
      </c>
      <c r="C1896" s="3063"/>
      <c r="D1896" s="3064"/>
      <c r="E1896" s="3064"/>
      <c r="F1896" s="3064"/>
      <c r="G1896" s="3300" t="s">
        <v>82</v>
      </c>
      <c r="H1896" s="3063"/>
      <c r="I1896" s="3030"/>
    </row>
    <row r="1897" spans="2:9" ht="25.5">
      <c r="B1897" s="3192" t="s">
        <v>675</v>
      </c>
      <c r="C1897" s="3063"/>
      <c r="D1897" s="3064"/>
      <c r="E1897" s="3064"/>
      <c r="F1897" s="3064"/>
      <c r="G1897" s="3301" t="s">
        <v>675</v>
      </c>
      <c r="H1897" s="3063"/>
      <c r="I1897" s="3030"/>
    </row>
    <row r="1898" spans="2:9" ht="25.5">
      <c r="B1898" s="3192" t="s">
        <v>676</v>
      </c>
      <c r="C1898" s="3063"/>
      <c r="D1898" s="3064"/>
      <c r="E1898" s="3064"/>
      <c r="F1898" s="3064"/>
      <c r="G1898" s="3301" t="s">
        <v>676</v>
      </c>
      <c r="H1898" s="3063"/>
      <c r="I1898" s="3030"/>
    </row>
    <row r="1899" spans="2:9">
      <c r="B1899" s="3192" t="s">
        <v>677</v>
      </c>
      <c r="C1899" s="3063"/>
      <c r="D1899" s="3064"/>
      <c r="E1899" s="3064"/>
      <c r="F1899" s="3064"/>
      <c r="G1899" s="3301" t="s">
        <v>677</v>
      </c>
      <c r="H1899" s="3063"/>
      <c r="I1899" s="3030"/>
    </row>
    <row r="1900" spans="2:9">
      <c r="B1900" s="3192" t="s">
        <v>678</v>
      </c>
      <c r="C1900" s="3063"/>
      <c r="D1900" s="3064"/>
      <c r="E1900" s="3064"/>
      <c r="F1900" s="3064"/>
      <c r="G1900" s="3301" t="s">
        <v>678</v>
      </c>
      <c r="H1900" s="3063"/>
      <c r="I1900" s="3030"/>
    </row>
    <row r="1901" spans="2:9">
      <c r="B1901" s="3192" t="s">
        <v>679</v>
      </c>
      <c r="C1901" s="3063"/>
      <c r="D1901" s="3064"/>
      <c r="E1901" s="3064"/>
      <c r="F1901" s="3064"/>
      <c r="G1901" s="3301" t="s">
        <v>679</v>
      </c>
      <c r="H1901" s="3063"/>
      <c r="I1901" s="3030"/>
    </row>
    <row r="1902" spans="2:9" ht="25.5">
      <c r="B1902" s="3192" t="s">
        <v>720</v>
      </c>
      <c r="C1902" s="3063"/>
      <c r="D1902" s="3064"/>
      <c r="E1902" s="3064"/>
      <c r="F1902" s="3064"/>
      <c r="G1902" s="3301" t="s">
        <v>720</v>
      </c>
      <c r="H1902" s="3063"/>
      <c r="I1902" s="3030"/>
    </row>
    <row r="1903" spans="2:9" ht="38.25">
      <c r="B1903" s="3299" t="s">
        <v>680</v>
      </c>
      <c r="C1903" s="3063"/>
      <c r="D1903" s="3064"/>
      <c r="E1903" s="3064"/>
      <c r="F1903" s="3064"/>
      <c r="G1903" s="3300" t="s">
        <v>680</v>
      </c>
      <c r="H1903" s="3063"/>
      <c r="I1903" s="3030"/>
    </row>
    <row r="1904" spans="2:9" ht="25.5">
      <c r="B1904" s="3192" t="s">
        <v>675</v>
      </c>
      <c r="C1904" s="3063"/>
      <c r="D1904" s="3064"/>
      <c r="E1904" s="3064"/>
      <c r="F1904" s="3064"/>
      <c r="G1904" s="3301" t="s">
        <v>675</v>
      </c>
      <c r="H1904" s="3063"/>
      <c r="I1904" s="3030"/>
    </row>
    <row r="1905" spans="2:9" ht="25.5">
      <c r="B1905" s="3192" t="s">
        <v>676</v>
      </c>
      <c r="C1905" s="3063"/>
      <c r="D1905" s="3064"/>
      <c r="E1905" s="3064"/>
      <c r="F1905" s="3064"/>
      <c r="G1905" s="3301" t="s">
        <v>676</v>
      </c>
      <c r="H1905" s="3063"/>
      <c r="I1905" s="3030"/>
    </row>
    <row r="1906" spans="2:9">
      <c r="B1906" s="3192" t="s">
        <v>677</v>
      </c>
      <c r="C1906" s="3063"/>
      <c r="D1906" s="3064"/>
      <c r="E1906" s="3064"/>
      <c r="F1906" s="3064"/>
      <c r="G1906" s="3301" t="s">
        <v>677</v>
      </c>
      <c r="H1906" s="3063"/>
      <c r="I1906" s="3030"/>
    </row>
    <row r="1907" spans="2:9">
      <c r="B1907" s="3192" t="s">
        <v>678</v>
      </c>
      <c r="C1907" s="3063"/>
      <c r="D1907" s="3064"/>
      <c r="E1907" s="3064"/>
      <c r="F1907" s="3064"/>
      <c r="G1907" s="3301" t="s">
        <v>678</v>
      </c>
      <c r="H1907" s="3063"/>
      <c r="I1907" s="3030"/>
    </row>
    <row r="1908" spans="2:9">
      <c r="B1908" s="3192" t="s">
        <v>679</v>
      </c>
      <c r="C1908" s="3063"/>
      <c r="D1908" s="3064"/>
      <c r="E1908" s="3064"/>
      <c r="F1908" s="3064"/>
      <c r="G1908" s="3301" t="s">
        <v>679</v>
      </c>
      <c r="H1908" s="3063"/>
      <c r="I1908" s="3030"/>
    </row>
    <row r="1909" spans="2:9" ht="25.5">
      <c r="B1909" s="3192" t="s">
        <v>720</v>
      </c>
      <c r="C1909" s="3063"/>
      <c r="D1909" s="3064"/>
      <c r="E1909" s="3064"/>
      <c r="F1909" s="3064"/>
      <c r="G1909" s="3301" t="s">
        <v>720</v>
      </c>
      <c r="H1909" s="3063"/>
      <c r="I1909" s="3030"/>
    </row>
    <row r="1910" spans="2:9" ht="38.25">
      <c r="B1910" s="3299" t="s">
        <v>681</v>
      </c>
      <c r="C1910" s="3063"/>
      <c r="D1910" s="3064"/>
      <c r="E1910" s="3064"/>
      <c r="F1910" s="3064"/>
      <c r="G1910" s="3300" t="s">
        <v>681</v>
      </c>
      <c r="H1910" s="3063"/>
      <c r="I1910" s="3030"/>
    </row>
    <row r="1911" spans="2:9" ht="25.5">
      <c r="B1911" s="3192" t="s">
        <v>675</v>
      </c>
      <c r="C1911" s="3063"/>
      <c r="D1911" s="3064"/>
      <c r="E1911" s="3064"/>
      <c r="F1911" s="3064"/>
      <c r="G1911" s="3301" t="s">
        <v>675</v>
      </c>
      <c r="H1911" s="3063"/>
      <c r="I1911" s="3030"/>
    </row>
    <row r="1912" spans="2:9" ht="25.5">
      <c r="B1912" s="3192" t="s">
        <v>676</v>
      </c>
      <c r="C1912" s="3063"/>
      <c r="D1912" s="3064"/>
      <c r="E1912" s="3064"/>
      <c r="F1912" s="3064"/>
      <c r="G1912" s="3301" t="s">
        <v>676</v>
      </c>
      <c r="H1912" s="3063"/>
      <c r="I1912" s="3030"/>
    </row>
    <row r="1913" spans="2:9">
      <c r="B1913" s="3192" t="s">
        <v>677</v>
      </c>
      <c r="C1913" s="3063"/>
      <c r="D1913" s="3064"/>
      <c r="E1913" s="3064"/>
      <c r="F1913" s="3064"/>
      <c r="G1913" s="3301" t="s">
        <v>677</v>
      </c>
      <c r="H1913" s="3063"/>
      <c r="I1913" s="3030"/>
    </row>
    <row r="1914" spans="2:9">
      <c r="B1914" s="3192" t="s">
        <v>678</v>
      </c>
      <c r="C1914" s="3063"/>
      <c r="D1914" s="3064"/>
      <c r="E1914" s="3064"/>
      <c r="F1914" s="3064"/>
      <c r="G1914" s="3301" t="s">
        <v>678</v>
      </c>
      <c r="H1914" s="3063"/>
      <c r="I1914" s="3030"/>
    </row>
    <row r="1915" spans="2:9">
      <c r="B1915" s="3192" t="s">
        <v>679</v>
      </c>
      <c r="C1915" s="3063"/>
      <c r="D1915" s="3064"/>
      <c r="E1915" s="3064"/>
      <c r="F1915" s="3064"/>
      <c r="G1915" s="3301" t="s">
        <v>679</v>
      </c>
      <c r="H1915" s="3063"/>
      <c r="I1915" s="3030"/>
    </row>
    <row r="1916" spans="2:9" ht="25.5">
      <c r="B1916" s="3192" t="s">
        <v>720</v>
      </c>
      <c r="C1916" s="3063"/>
      <c r="D1916" s="3064"/>
      <c r="E1916" s="3064"/>
      <c r="F1916" s="3064"/>
      <c r="G1916" s="3301" t="s">
        <v>720</v>
      </c>
      <c r="H1916" s="3063"/>
      <c r="I1916" s="3030"/>
    </row>
    <row r="1917" spans="2:9" ht="25.5">
      <c r="B1917" s="3299" t="s">
        <v>682</v>
      </c>
      <c r="C1917" s="3063"/>
      <c r="D1917" s="3064"/>
      <c r="E1917" s="3064"/>
      <c r="F1917" s="3064"/>
      <c r="G1917" s="3300" t="s">
        <v>682</v>
      </c>
      <c r="H1917" s="3063"/>
      <c r="I1917" s="3030"/>
    </row>
    <row r="1918" spans="2:9" ht="25.5">
      <c r="B1918" s="3192" t="s">
        <v>675</v>
      </c>
      <c r="C1918" s="3063"/>
      <c r="D1918" s="3064"/>
      <c r="E1918" s="3064"/>
      <c r="F1918" s="3064"/>
      <c r="G1918" s="3301" t="s">
        <v>675</v>
      </c>
      <c r="H1918" s="3063"/>
      <c r="I1918" s="3030"/>
    </row>
    <row r="1919" spans="2:9" ht="25.5">
      <c r="B1919" s="3192" t="s">
        <v>676</v>
      </c>
      <c r="C1919" s="3063"/>
      <c r="D1919" s="3064"/>
      <c r="E1919" s="3064"/>
      <c r="F1919" s="3064"/>
      <c r="G1919" s="3301" t="s">
        <v>676</v>
      </c>
      <c r="H1919" s="3063"/>
      <c r="I1919" s="3030"/>
    </row>
    <row r="1920" spans="2:9">
      <c r="B1920" s="3192" t="s">
        <v>677</v>
      </c>
      <c r="C1920" s="3063"/>
      <c r="D1920" s="3064"/>
      <c r="E1920" s="3064"/>
      <c r="F1920" s="3064"/>
      <c r="G1920" s="3301" t="s">
        <v>677</v>
      </c>
      <c r="H1920" s="3063"/>
      <c r="I1920" s="3030"/>
    </row>
    <row r="1921" spans="2:9">
      <c r="B1921" s="3192" t="s">
        <v>678</v>
      </c>
      <c r="C1921" s="3063"/>
      <c r="D1921" s="3064"/>
      <c r="E1921" s="3064"/>
      <c r="F1921" s="3064"/>
      <c r="G1921" s="3301" t="s">
        <v>678</v>
      </c>
      <c r="H1921" s="3063"/>
      <c r="I1921" s="3030"/>
    </row>
    <row r="1922" spans="2:9">
      <c r="B1922" s="3192" t="s">
        <v>679</v>
      </c>
      <c r="C1922" s="3063"/>
      <c r="D1922" s="3064"/>
      <c r="E1922" s="3064"/>
      <c r="F1922" s="3064"/>
      <c r="G1922" s="3301" t="s">
        <v>679</v>
      </c>
      <c r="H1922" s="3063"/>
      <c r="I1922" s="3030"/>
    </row>
    <row r="1923" spans="2:9" ht="25.5">
      <c r="B1923" s="3192" t="s">
        <v>720</v>
      </c>
      <c r="C1923" s="3063"/>
      <c r="D1923" s="3064"/>
      <c r="E1923" s="3064"/>
      <c r="F1923" s="3064"/>
      <c r="G1923" s="3301" t="s">
        <v>720</v>
      </c>
      <c r="H1923" s="3063"/>
      <c r="I1923" s="3030"/>
    </row>
    <row r="1924" spans="2:9" ht="25.5">
      <c r="B1924" s="3299" t="s">
        <v>66</v>
      </c>
      <c r="C1924" s="3063"/>
      <c r="D1924" s="3064"/>
      <c r="E1924" s="3064"/>
      <c r="F1924" s="3064"/>
      <c r="G1924" s="3300" t="s">
        <v>66</v>
      </c>
      <c r="H1924" s="3063"/>
      <c r="I1924" s="3030"/>
    </row>
    <row r="1925" spans="2:9" ht="25.5">
      <c r="B1925" s="3192" t="s">
        <v>675</v>
      </c>
      <c r="C1925" s="3063"/>
      <c r="D1925" s="3064"/>
      <c r="E1925" s="3064"/>
      <c r="F1925" s="3064"/>
      <c r="G1925" s="3301" t="s">
        <v>675</v>
      </c>
      <c r="H1925" s="3063"/>
      <c r="I1925" s="3030"/>
    </row>
    <row r="1926" spans="2:9" ht="25.5">
      <c r="B1926" s="3192" t="s">
        <v>676</v>
      </c>
      <c r="C1926" s="3063"/>
      <c r="D1926" s="3064"/>
      <c r="E1926" s="3064"/>
      <c r="F1926" s="3064"/>
      <c r="G1926" s="3301" t="s">
        <v>676</v>
      </c>
      <c r="H1926" s="3063"/>
      <c r="I1926" s="3030"/>
    </row>
    <row r="1927" spans="2:9">
      <c r="B1927" s="3192" t="s">
        <v>677</v>
      </c>
      <c r="C1927" s="3063"/>
      <c r="D1927" s="3064"/>
      <c r="E1927" s="3064"/>
      <c r="F1927" s="3064"/>
      <c r="G1927" s="3301" t="s">
        <v>677</v>
      </c>
      <c r="H1927" s="3063"/>
      <c r="I1927" s="3030"/>
    </row>
    <row r="1928" spans="2:9">
      <c r="B1928" s="3192" t="s">
        <v>678</v>
      </c>
      <c r="C1928" s="3063"/>
      <c r="D1928" s="3064"/>
      <c r="E1928" s="3064"/>
      <c r="F1928" s="3064"/>
      <c r="G1928" s="3301" t="s">
        <v>678</v>
      </c>
      <c r="H1928" s="3063"/>
      <c r="I1928" s="3030"/>
    </row>
    <row r="1929" spans="2:9">
      <c r="B1929" s="3192" t="s">
        <v>679</v>
      </c>
      <c r="C1929" s="3063"/>
      <c r="D1929" s="3064"/>
      <c r="E1929" s="3064"/>
      <c r="F1929" s="3064"/>
      <c r="G1929" s="3301" t="s">
        <v>679</v>
      </c>
      <c r="H1929" s="3063"/>
      <c r="I1929" s="3030"/>
    </row>
    <row r="1930" spans="2:9" ht="25.5">
      <c r="B1930" s="3192" t="s">
        <v>720</v>
      </c>
      <c r="C1930" s="3063"/>
      <c r="D1930" s="3064"/>
      <c r="E1930" s="3064"/>
      <c r="F1930" s="3064"/>
      <c r="G1930" s="3301" t="s">
        <v>720</v>
      </c>
      <c r="H1930" s="3063"/>
      <c r="I1930" s="3030"/>
    </row>
    <row r="1931" spans="2:9">
      <c r="B1931" s="3299" t="s">
        <v>67</v>
      </c>
      <c r="C1931" s="3063"/>
      <c r="D1931" s="3064"/>
      <c r="E1931" s="3064"/>
      <c r="F1931" s="3064"/>
      <c r="G1931" s="3300" t="s">
        <v>67</v>
      </c>
      <c r="H1931" s="3063"/>
      <c r="I1931" s="3030"/>
    </row>
    <row r="1932" spans="2:9" ht="25.5">
      <c r="B1932" s="3192" t="s">
        <v>675</v>
      </c>
      <c r="C1932" s="3063"/>
      <c r="D1932" s="3064"/>
      <c r="E1932" s="3064"/>
      <c r="F1932" s="3064"/>
      <c r="G1932" s="3301" t="s">
        <v>675</v>
      </c>
      <c r="H1932" s="3063"/>
      <c r="I1932" s="3030"/>
    </row>
    <row r="1933" spans="2:9" ht="25.5">
      <c r="B1933" s="3192" t="s">
        <v>676</v>
      </c>
      <c r="C1933" s="3063"/>
      <c r="D1933" s="3064"/>
      <c r="E1933" s="3064"/>
      <c r="F1933" s="3064"/>
      <c r="G1933" s="3301" t="s">
        <v>676</v>
      </c>
      <c r="H1933" s="3063"/>
      <c r="I1933" s="3030"/>
    </row>
    <row r="1934" spans="2:9">
      <c r="B1934" s="3192" t="s">
        <v>677</v>
      </c>
      <c r="C1934" s="3063"/>
      <c r="D1934" s="3064"/>
      <c r="E1934" s="3064"/>
      <c r="F1934" s="3064"/>
      <c r="G1934" s="3301" t="s">
        <v>677</v>
      </c>
      <c r="H1934" s="3063"/>
      <c r="I1934" s="3030"/>
    </row>
    <row r="1935" spans="2:9">
      <c r="B1935" s="3192" t="s">
        <v>678</v>
      </c>
      <c r="C1935" s="3063"/>
      <c r="D1935" s="3064"/>
      <c r="E1935" s="3064"/>
      <c r="F1935" s="3064"/>
      <c r="G1935" s="3301" t="s">
        <v>678</v>
      </c>
      <c r="H1935" s="3063"/>
      <c r="I1935" s="3030"/>
    </row>
    <row r="1936" spans="2:9">
      <c r="B1936" s="3192" t="s">
        <v>679</v>
      </c>
      <c r="C1936" s="3063"/>
      <c r="D1936" s="3064"/>
      <c r="E1936" s="3064"/>
      <c r="F1936" s="3064"/>
      <c r="G1936" s="3301" t="s">
        <v>679</v>
      </c>
      <c r="H1936" s="3063"/>
      <c r="I1936" s="3030"/>
    </row>
    <row r="1937" spans="2:9" ht="25.5">
      <c r="B1937" s="3192" t="s">
        <v>720</v>
      </c>
      <c r="C1937" s="3063"/>
      <c r="D1937" s="3064"/>
      <c r="E1937" s="3064"/>
      <c r="F1937" s="3064"/>
      <c r="G1937" s="3301" t="s">
        <v>720</v>
      </c>
      <c r="H1937" s="3063"/>
      <c r="I1937" s="3030"/>
    </row>
    <row r="1938" spans="2:9" ht="25.5">
      <c r="B1938" s="3230" t="s">
        <v>81</v>
      </c>
      <c r="C1938" s="3063"/>
      <c r="D1938" s="3064"/>
      <c r="E1938" s="3064"/>
      <c r="F1938" s="3064"/>
      <c r="G1938" s="3302" t="s">
        <v>81</v>
      </c>
      <c r="H1938" s="3063"/>
      <c r="I1938" s="3030"/>
    </row>
    <row r="1939" spans="2:9" ht="26.25" thickBot="1">
      <c r="B1939" s="3303" t="s">
        <v>81</v>
      </c>
      <c r="C1939" s="3063"/>
      <c r="D1939" s="3064"/>
      <c r="E1939" s="3064"/>
      <c r="F1939" s="3064"/>
      <c r="G1939" s="3302" t="s">
        <v>81</v>
      </c>
      <c r="H1939" s="3063"/>
      <c r="I1939" s="3030"/>
    </row>
    <row r="1940" spans="2:9" ht="25.5">
      <c r="B1940" s="3217" t="s">
        <v>696</v>
      </c>
      <c r="C1940" s="3218"/>
      <c r="D1940" s="3219"/>
      <c r="E1940" s="3219"/>
      <c r="F1940" s="3219"/>
      <c r="G1940" s="3217" t="s">
        <v>696</v>
      </c>
      <c r="H1940" s="3297"/>
      <c r="I1940" s="3298"/>
    </row>
    <row r="1941" spans="2:9">
      <c r="B1941" s="3299" t="s">
        <v>64</v>
      </c>
      <c r="C1941" s="3063"/>
      <c r="D1941" s="3064"/>
      <c r="E1941" s="3064"/>
      <c r="F1941" s="3064"/>
      <c r="G1941" s="3300" t="s">
        <v>64</v>
      </c>
      <c r="H1941" s="3063"/>
      <c r="I1941" s="3030"/>
    </row>
    <row r="1942" spans="2:9" ht="25.5">
      <c r="B1942" s="3192" t="s">
        <v>675</v>
      </c>
      <c r="C1942" s="3063"/>
      <c r="D1942" s="3064"/>
      <c r="E1942" s="3064"/>
      <c r="F1942" s="3064"/>
      <c r="G1942" s="3301" t="s">
        <v>675</v>
      </c>
      <c r="H1942" s="3063"/>
      <c r="I1942" s="3030"/>
    </row>
    <row r="1943" spans="2:9" ht="25.5">
      <c r="B1943" s="3192" t="s">
        <v>676</v>
      </c>
      <c r="C1943" s="3063"/>
      <c r="D1943" s="3064"/>
      <c r="E1943" s="3064"/>
      <c r="F1943" s="3064"/>
      <c r="G1943" s="3301" t="s">
        <v>676</v>
      </c>
      <c r="H1943" s="3063"/>
      <c r="I1943" s="3030"/>
    </row>
    <row r="1944" spans="2:9">
      <c r="B1944" s="3192" t="s">
        <v>677</v>
      </c>
      <c r="C1944" s="3063"/>
      <c r="D1944" s="3064"/>
      <c r="E1944" s="3064"/>
      <c r="F1944" s="3064"/>
      <c r="G1944" s="3301" t="s">
        <v>677</v>
      </c>
      <c r="H1944" s="3063"/>
      <c r="I1944" s="3030"/>
    </row>
    <row r="1945" spans="2:9">
      <c r="B1945" s="3192" t="s">
        <v>678</v>
      </c>
      <c r="C1945" s="3063"/>
      <c r="D1945" s="3064"/>
      <c r="E1945" s="3064"/>
      <c r="F1945" s="3064"/>
      <c r="G1945" s="3301" t="s">
        <v>678</v>
      </c>
      <c r="H1945" s="3063"/>
      <c r="I1945" s="3030"/>
    </row>
    <row r="1946" spans="2:9">
      <c r="B1946" s="3192" t="s">
        <v>679</v>
      </c>
      <c r="C1946" s="3063"/>
      <c r="D1946" s="3064"/>
      <c r="E1946" s="3064"/>
      <c r="F1946" s="3064"/>
      <c r="G1946" s="3301" t="s">
        <v>679</v>
      </c>
      <c r="H1946" s="3063"/>
      <c r="I1946" s="3030"/>
    </row>
    <row r="1947" spans="2:9" ht="25.5">
      <c r="B1947" s="3192" t="s">
        <v>720</v>
      </c>
      <c r="C1947" s="3063"/>
      <c r="D1947" s="3064"/>
      <c r="E1947" s="3064"/>
      <c r="F1947" s="3064"/>
      <c r="G1947" s="3301" t="s">
        <v>720</v>
      </c>
      <c r="H1947" s="3063"/>
      <c r="I1947" s="3030"/>
    </row>
    <row r="1948" spans="2:9">
      <c r="B1948" s="3299" t="s">
        <v>65</v>
      </c>
      <c r="C1948" s="3063"/>
      <c r="D1948" s="3064"/>
      <c r="E1948" s="3064"/>
      <c r="F1948" s="3064"/>
      <c r="G1948" s="3300" t="s">
        <v>65</v>
      </c>
      <c r="H1948" s="3063"/>
      <c r="I1948" s="3030"/>
    </row>
    <row r="1949" spans="2:9" ht="25.5">
      <c r="B1949" s="3192" t="s">
        <v>675</v>
      </c>
      <c r="C1949" s="3063"/>
      <c r="D1949" s="3064"/>
      <c r="E1949" s="3064"/>
      <c r="F1949" s="3064"/>
      <c r="G1949" s="3301" t="s">
        <v>675</v>
      </c>
      <c r="H1949" s="3063"/>
      <c r="I1949" s="3030"/>
    </row>
    <row r="1950" spans="2:9" ht="25.5">
      <c r="B1950" s="3192" t="s">
        <v>676</v>
      </c>
      <c r="C1950" s="3063"/>
      <c r="D1950" s="3064"/>
      <c r="E1950" s="3064"/>
      <c r="F1950" s="3064"/>
      <c r="G1950" s="3301" t="s">
        <v>676</v>
      </c>
      <c r="H1950" s="3063"/>
      <c r="I1950" s="3030"/>
    </row>
    <row r="1951" spans="2:9">
      <c r="B1951" s="3192" t="s">
        <v>677</v>
      </c>
      <c r="C1951" s="3063"/>
      <c r="D1951" s="3064"/>
      <c r="E1951" s="3064"/>
      <c r="F1951" s="3064"/>
      <c r="G1951" s="3301" t="s">
        <v>677</v>
      </c>
      <c r="H1951" s="3063"/>
      <c r="I1951" s="3030"/>
    </row>
    <row r="1952" spans="2:9">
      <c r="B1952" s="3192" t="s">
        <v>678</v>
      </c>
      <c r="C1952" s="3063"/>
      <c r="D1952" s="3064"/>
      <c r="E1952" s="3064"/>
      <c r="F1952" s="3064"/>
      <c r="G1952" s="3301" t="s">
        <v>678</v>
      </c>
      <c r="H1952" s="3063"/>
      <c r="I1952" s="3030"/>
    </row>
    <row r="1953" spans="2:9">
      <c r="B1953" s="3192" t="s">
        <v>679</v>
      </c>
      <c r="C1953" s="3063"/>
      <c r="D1953" s="3064"/>
      <c r="E1953" s="3064"/>
      <c r="F1953" s="3064"/>
      <c r="G1953" s="3301" t="s">
        <v>679</v>
      </c>
      <c r="H1953" s="3063"/>
      <c r="I1953" s="3030"/>
    </row>
    <row r="1954" spans="2:9" ht="25.5">
      <c r="B1954" s="3192" t="s">
        <v>720</v>
      </c>
      <c r="C1954" s="3063"/>
      <c r="D1954" s="3064"/>
      <c r="E1954" s="3064"/>
      <c r="F1954" s="3064"/>
      <c r="G1954" s="3301" t="s">
        <v>720</v>
      </c>
      <c r="H1954" s="3063"/>
      <c r="I1954" s="3030"/>
    </row>
    <row r="1955" spans="2:9">
      <c r="B1955" s="3299" t="s">
        <v>82</v>
      </c>
      <c r="C1955" s="3063"/>
      <c r="D1955" s="3064"/>
      <c r="E1955" s="3064"/>
      <c r="F1955" s="3064"/>
      <c r="G1955" s="3300" t="s">
        <v>82</v>
      </c>
      <c r="H1955" s="3063"/>
      <c r="I1955" s="3030"/>
    </row>
    <row r="1956" spans="2:9" ht="25.5">
      <c r="B1956" s="3192" t="s">
        <v>675</v>
      </c>
      <c r="C1956" s="3063"/>
      <c r="D1956" s="3064"/>
      <c r="E1956" s="3064"/>
      <c r="F1956" s="3064"/>
      <c r="G1956" s="3301" t="s">
        <v>675</v>
      </c>
      <c r="H1956" s="3063"/>
      <c r="I1956" s="3030"/>
    </row>
    <row r="1957" spans="2:9" ht="25.5">
      <c r="B1957" s="3192" t="s">
        <v>676</v>
      </c>
      <c r="C1957" s="3063"/>
      <c r="D1957" s="3064"/>
      <c r="E1957" s="3064"/>
      <c r="F1957" s="3064"/>
      <c r="G1957" s="3301" t="s">
        <v>676</v>
      </c>
      <c r="H1957" s="3063"/>
      <c r="I1957" s="3030"/>
    </row>
    <row r="1958" spans="2:9">
      <c r="B1958" s="3192" t="s">
        <v>677</v>
      </c>
      <c r="C1958" s="3063"/>
      <c r="D1958" s="3064"/>
      <c r="E1958" s="3064"/>
      <c r="F1958" s="3064"/>
      <c r="G1958" s="3301" t="s">
        <v>677</v>
      </c>
      <c r="H1958" s="3063"/>
      <c r="I1958" s="3030"/>
    </row>
    <row r="1959" spans="2:9">
      <c r="B1959" s="3192" t="s">
        <v>678</v>
      </c>
      <c r="C1959" s="3063"/>
      <c r="D1959" s="3064"/>
      <c r="E1959" s="3064"/>
      <c r="F1959" s="3064"/>
      <c r="G1959" s="3301" t="s">
        <v>678</v>
      </c>
      <c r="H1959" s="3063"/>
      <c r="I1959" s="3030"/>
    </row>
    <row r="1960" spans="2:9">
      <c r="B1960" s="3192" t="s">
        <v>679</v>
      </c>
      <c r="C1960" s="3063"/>
      <c r="D1960" s="3064"/>
      <c r="E1960" s="3064"/>
      <c r="F1960" s="3064"/>
      <c r="G1960" s="3301" t="s">
        <v>679</v>
      </c>
      <c r="H1960" s="3063"/>
      <c r="I1960" s="3030"/>
    </row>
    <row r="1961" spans="2:9" ht="25.5">
      <c r="B1961" s="3192" t="s">
        <v>720</v>
      </c>
      <c r="C1961" s="3063"/>
      <c r="D1961" s="3064"/>
      <c r="E1961" s="3064"/>
      <c r="F1961" s="3064"/>
      <c r="G1961" s="3301" t="s">
        <v>720</v>
      </c>
      <c r="H1961" s="3063"/>
      <c r="I1961" s="3030"/>
    </row>
    <row r="1962" spans="2:9" ht="38.25">
      <c r="B1962" s="3299" t="s">
        <v>680</v>
      </c>
      <c r="C1962" s="3063"/>
      <c r="D1962" s="3064"/>
      <c r="E1962" s="3064"/>
      <c r="F1962" s="3064"/>
      <c r="G1962" s="3300" t="s">
        <v>680</v>
      </c>
      <c r="H1962" s="3063"/>
      <c r="I1962" s="3030"/>
    </row>
    <row r="1963" spans="2:9" ht="25.5">
      <c r="B1963" s="3192" t="s">
        <v>675</v>
      </c>
      <c r="C1963" s="3063"/>
      <c r="D1963" s="3064"/>
      <c r="E1963" s="3064"/>
      <c r="F1963" s="3064"/>
      <c r="G1963" s="3301" t="s">
        <v>675</v>
      </c>
      <c r="H1963" s="3063"/>
      <c r="I1963" s="3030"/>
    </row>
    <row r="1964" spans="2:9" ht="25.5">
      <c r="B1964" s="3192" t="s">
        <v>676</v>
      </c>
      <c r="C1964" s="3063"/>
      <c r="D1964" s="3064"/>
      <c r="E1964" s="3064"/>
      <c r="F1964" s="3064"/>
      <c r="G1964" s="3301" t="s">
        <v>676</v>
      </c>
      <c r="H1964" s="3063"/>
      <c r="I1964" s="3030"/>
    </row>
    <row r="1965" spans="2:9">
      <c r="B1965" s="3192" t="s">
        <v>677</v>
      </c>
      <c r="C1965" s="3063"/>
      <c r="D1965" s="3064"/>
      <c r="E1965" s="3064"/>
      <c r="F1965" s="3064"/>
      <c r="G1965" s="3301" t="s">
        <v>677</v>
      </c>
      <c r="H1965" s="3063"/>
      <c r="I1965" s="3030"/>
    </row>
    <row r="1966" spans="2:9">
      <c r="B1966" s="3192" t="s">
        <v>678</v>
      </c>
      <c r="C1966" s="3063"/>
      <c r="D1966" s="3064"/>
      <c r="E1966" s="3064"/>
      <c r="F1966" s="3064"/>
      <c r="G1966" s="3301" t="s">
        <v>678</v>
      </c>
      <c r="H1966" s="3063"/>
      <c r="I1966" s="3030"/>
    </row>
    <row r="1967" spans="2:9">
      <c r="B1967" s="3192" t="s">
        <v>679</v>
      </c>
      <c r="C1967" s="3063"/>
      <c r="D1967" s="3064"/>
      <c r="E1967" s="3064"/>
      <c r="F1967" s="3064"/>
      <c r="G1967" s="3301" t="s">
        <v>679</v>
      </c>
      <c r="H1967" s="3063"/>
      <c r="I1967" s="3030"/>
    </row>
    <row r="1968" spans="2:9" ht="25.5">
      <c r="B1968" s="3192" t="s">
        <v>720</v>
      </c>
      <c r="C1968" s="3063"/>
      <c r="D1968" s="3064"/>
      <c r="E1968" s="3064"/>
      <c r="F1968" s="3064"/>
      <c r="G1968" s="3301" t="s">
        <v>720</v>
      </c>
      <c r="H1968" s="3063"/>
      <c r="I1968" s="3030"/>
    </row>
    <row r="1969" spans="2:9" ht="38.25">
      <c r="B1969" s="3299" t="s">
        <v>681</v>
      </c>
      <c r="C1969" s="3063"/>
      <c r="D1969" s="3064"/>
      <c r="E1969" s="3064"/>
      <c r="F1969" s="3064"/>
      <c r="G1969" s="3300" t="s">
        <v>681</v>
      </c>
      <c r="H1969" s="3063"/>
      <c r="I1969" s="3030"/>
    </row>
    <row r="1970" spans="2:9" ht="25.5">
      <c r="B1970" s="3192" t="s">
        <v>675</v>
      </c>
      <c r="C1970" s="3063"/>
      <c r="D1970" s="3064"/>
      <c r="E1970" s="3064"/>
      <c r="F1970" s="3064"/>
      <c r="G1970" s="3301" t="s">
        <v>675</v>
      </c>
      <c r="H1970" s="3063"/>
      <c r="I1970" s="3030"/>
    </row>
    <row r="1971" spans="2:9" ht="25.5">
      <c r="B1971" s="3192" t="s">
        <v>676</v>
      </c>
      <c r="C1971" s="3063"/>
      <c r="D1971" s="3064"/>
      <c r="E1971" s="3064"/>
      <c r="F1971" s="3064"/>
      <c r="G1971" s="3301" t="s">
        <v>676</v>
      </c>
      <c r="H1971" s="3063"/>
      <c r="I1971" s="3030"/>
    </row>
    <row r="1972" spans="2:9">
      <c r="B1972" s="3192" t="s">
        <v>677</v>
      </c>
      <c r="C1972" s="3063"/>
      <c r="D1972" s="3064"/>
      <c r="E1972" s="3064"/>
      <c r="F1972" s="3064"/>
      <c r="G1972" s="3301" t="s">
        <v>677</v>
      </c>
      <c r="H1972" s="3063"/>
      <c r="I1972" s="3030"/>
    </row>
    <row r="1973" spans="2:9">
      <c r="B1973" s="3192" t="s">
        <v>678</v>
      </c>
      <c r="C1973" s="3063"/>
      <c r="D1973" s="3064"/>
      <c r="E1973" s="3064"/>
      <c r="F1973" s="3064"/>
      <c r="G1973" s="3301" t="s">
        <v>678</v>
      </c>
      <c r="H1973" s="3063"/>
      <c r="I1973" s="3030"/>
    </row>
    <row r="1974" spans="2:9">
      <c r="B1974" s="3192" t="s">
        <v>679</v>
      </c>
      <c r="C1974" s="3063"/>
      <c r="D1974" s="3064"/>
      <c r="E1974" s="3064"/>
      <c r="F1974" s="3064"/>
      <c r="G1974" s="3301" t="s">
        <v>679</v>
      </c>
      <c r="H1974" s="3063"/>
      <c r="I1974" s="3030"/>
    </row>
    <row r="1975" spans="2:9" ht="25.5">
      <c r="B1975" s="3192" t="s">
        <v>720</v>
      </c>
      <c r="C1975" s="3063"/>
      <c r="D1975" s="3064"/>
      <c r="E1975" s="3064"/>
      <c r="F1975" s="3064"/>
      <c r="G1975" s="3301" t="s">
        <v>720</v>
      </c>
      <c r="H1975" s="3063"/>
      <c r="I1975" s="3030"/>
    </row>
    <row r="1976" spans="2:9" ht="25.5">
      <c r="B1976" s="3299" t="s">
        <v>682</v>
      </c>
      <c r="C1976" s="3063"/>
      <c r="D1976" s="3064"/>
      <c r="E1976" s="3064"/>
      <c r="F1976" s="3064"/>
      <c r="G1976" s="3300" t="s">
        <v>682</v>
      </c>
      <c r="H1976" s="3063"/>
      <c r="I1976" s="3030"/>
    </row>
    <row r="1977" spans="2:9" ht="25.5">
      <c r="B1977" s="3192" t="s">
        <v>675</v>
      </c>
      <c r="C1977" s="3063"/>
      <c r="D1977" s="3064"/>
      <c r="E1977" s="3064"/>
      <c r="F1977" s="3064"/>
      <c r="G1977" s="3301" t="s">
        <v>675</v>
      </c>
      <c r="H1977" s="3063"/>
      <c r="I1977" s="3030"/>
    </row>
    <row r="1978" spans="2:9" ht="25.5">
      <c r="B1978" s="3192" t="s">
        <v>676</v>
      </c>
      <c r="C1978" s="3063"/>
      <c r="D1978" s="3064"/>
      <c r="E1978" s="3064"/>
      <c r="F1978" s="3064"/>
      <c r="G1978" s="3301" t="s">
        <v>676</v>
      </c>
      <c r="H1978" s="3063"/>
      <c r="I1978" s="3030"/>
    </row>
    <row r="1979" spans="2:9">
      <c r="B1979" s="3192" t="s">
        <v>677</v>
      </c>
      <c r="C1979" s="3063"/>
      <c r="D1979" s="3064"/>
      <c r="E1979" s="3064"/>
      <c r="F1979" s="3064"/>
      <c r="G1979" s="3301" t="s">
        <v>677</v>
      </c>
      <c r="H1979" s="3063"/>
      <c r="I1979" s="3030"/>
    </row>
    <row r="1980" spans="2:9">
      <c r="B1980" s="3192" t="s">
        <v>678</v>
      </c>
      <c r="C1980" s="3063"/>
      <c r="D1980" s="3064"/>
      <c r="E1980" s="3064"/>
      <c r="F1980" s="3064"/>
      <c r="G1980" s="3301" t="s">
        <v>678</v>
      </c>
      <c r="H1980" s="3063"/>
      <c r="I1980" s="3030"/>
    </row>
    <row r="1981" spans="2:9">
      <c r="B1981" s="3192" t="s">
        <v>679</v>
      </c>
      <c r="C1981" s="3063"/>
      <c r="D1981" s="3064"/>
      <c r="E1981" s="3064"/>
      <c r="F1981" s="3064"/>
      <c r="G1981" s="3301" t="s">
        <v>679</v>
      </c>
      <c r="H1981" s="3063"/>
      <c r="I1981" s="3030"/>
    </row>
    <row r="1982" spans="2:9" ht="25.5">
      <c r="B1982" s="3192" t="s">
        <v>720</v>
      </c>
      <c r="C1982" s="3063"/>
      <c r="D1982" s="3064"/>
      <c r="E1982" s="3064"/>
      <c r="F1982" s="3064"/>
      <c r="G1982" s="3301" t="s">
        <v>720</v>
      </c>
      <c r="H1982" s="3063"/>
      <c r="I1982" s="3030"/>
    </row>
    <row r="1983" spans="2:9" ht="25.5">
      <c r="B1983" s="3299" t="s">
        <v>66</v>
      </c>
      <c r="C1983" s="3063"/>
      <c r="D1983" s="3064"/>
      <c r="E1983" s="3064"/>
      <c r="F1983" s="3064"/>
      <c r="G1983" s="3300" t="s">
        <v>66</v>
      </c>
      <c r="H1983" s="3063"/>
      <c r="I1983" s="3030"/>
    </row>
    <row r="1984" spans="2:9" ht="25.5">
      <c r="B1984" s="3192" t="s">
        <v>675</v>
      </c>
      <c r="C1984" s="3063"/>
      <c r="D1984" s="3064"/>
      <c r="E1984" s="3064"/>
      <c r="F1984" s="3064"/>
      <c r="G1984" s="3301" t="s">
        <v>675</v>
      </c>
      <c r="H1984" s="3063"/>
      <c r="I1984" s="3030"/>
    </row>
    <row r="1985" spans="2:9" ht="25.5">
      <c r="B1985" s="3192" t="s">
        <v>676</v>
      </c>
      <c r="C1985" s="3063"/>
      <c r="D1985" s="3064"/>
      <c r="E1985" s="3064"/>
      <c r="F1985" s="3064"/>
      <c r="G1985" s="3301" t="s">
        <v>676</v>
      </c>
      <c r="H1985" s="3063"/>
      <c r="I1985" s="3030"/>
    </row>
    <row r="1986" spans="2:9">
      <c r="B1986" s="3192" t="s">
        <v>677</v>
      </c>
      <c r="C1986" s="3063"/>
      <c r="D1986" s="3064"/>
      <c r="E1986" s="3064"/>
      <c r="F1986" s="3064"/>
      <c r="G1986" s="3301" t="s">
        <v>677</v>
      </c>
      <c r="H1986" s="3063"/>
      <c r="I1986" s="3030"/>
    </row>
    <row r="1987" spans="2:9">
      <c r="B1987" s="3192" t="s">
        <v>678</v>
      </c>
      <c r="C1987" s="3063"/>
      <c r="D1987" s="3064"/>
      <c r="E1987" s="3064"/>
      <c r="F1987" s="3064"/>
      <c r="G1987" s="3301" t="s">
        <v>678</v>
      </c>
      <c r="H1987" s="3063"/>
      <c r="I1987" s="3030"/>
    </row>
    <row r="1988" spans="2:9">
      <c r="B1988" s="3192" t="s">
        <v>679</v>
      </c>
      <c r="C1988" s="3063"/>
      <c r="D1988" s="3064"/>
      <c r="E1988" s="3064"/>
      <c r="F1988" s="3064"/>
      <c r="G1988" s="3301" t="s">
        <v>679</v>
      </c>
      <c r="H1988" s="3063"/>
      <c r="I1988" s="3030"/>
    </row>
    <row r="1989" spans="2:9" ht="25.5">
      <c r="B1989" s="3192" t="s">
        <v>720</v>
      </c>
      <c r="C1989" s="3063"/>
      <c r="D1989" s="3064"/>
      <c r="E1989" s="3064"/>
      <c r="F1989" s="3064"/>
      <c r="G1989" s="3301" t="s">
        <v>720</v>
      </c>
      <c r="H1989" s="3063"/>
      <c r="I1989" s="3030"/>
    </row>
    <row r="1990" spans="2:9">
      <c r="B1990" s="3299" t="s">
        <v>67</v>
      </c>
      <c r="C1990" s="3063"/>
      <c r="D1990" s="3064"/>
      <c r="E1990" s="3064"/>
      <c r="F1990" s="3064"/>
      <c r="G1990" s="3300" t="s">
        <v>67</v>
      </c>
      <c r="H1990" s="3063"/>
      <c r="I1990" s="3030"/>
    </row>
    <row r="1991" spans="2:9" ht="25.5">
      <c r="B1991" s="3192" t="s">
        <v>675</v>
      </c>
      <c r="C1991" s="3063"/>
      <c r="D1991" s="3064"/>
      <c r="E1991" s="3064"/>
      <c r="F1991" s="3064"/>
      <c r="G1991" s="3301" t="s">
        <v>675</v>
      </c>
      <c r="H1991" s="3063"/>
      <c r="I1991" s="3030"/>
    </row>
    <row r="1992" spans="2:9" ht="25.5">
      <c r="B1992" s="3192" t="s">
        <v>676</v>
      </c>
      <c r="C1992" s="3063"/>
      <c r="D1992" s="3064"/>
      <c r="E1992" s="3064"/>
      <c r="F1992" s="3064"/>
      <c r="G1992" s="3301" t="s">
        <v>676</v>
      </c>
      <c r="H1992" s="3063"/>
      <c r="I1992" s="3030"/>
    </row>
    <row r="1993" spans="2:9">
      <c r="B1993" s="3192" t="s">
        <v>677</v>
      </c>
      <c r="C1993" s="3063"/>
      <c r="D1993" s="3064"/>
      <c r="E1993" s="3064"/>
      <c r="F1993" s="3064"/>
      <c r="G1993" s="3301" t="s">
        <v>677</v>
      </c>
      <c r="H1993" s="3063"/>
      <c r="I1993" s="3030"/>
    </row>
    <row r="1994" spans="2:9">
      <c r="B1994" s="3192" t="s">
        <v>678</v>
      </c>
      <c r="C1994" s="3063"/>
      <c r="D1994" s="3064"/>
      <c r="E1994" s="3064"/>
      <c r="F1994" s="3064"/>
      <c r="G1994" s="3301" t="s">
        <v>678</v>
      </c>
      <c r="H1994" s="3063"/>
      <c r="I1994" s="3030"/>
    </row>
    <row r="1995" spans="2:9">
      <c r="B1995" s="3192" t="s">
        <v>679</v>
      </c>
      <c r="C1995" s="3063"/>
      <c r="D1995" s="3064"/>
      <c r="E1995" s="3064"/>
      <c r="F1995" s="3064"/>
      <c r="G1995" s="3301" t="s">
        <v>679</v>
      </c>
      <c r="H1995" s="3063"/>
      <c r="I1995" s="3030"/>
    </row>
    <row r="1996" spans="2:9" ht="25.5">
      <c r="B1996" s="3230" t="s">
        <v>81</v>
      </c>
      <c r="C1996" s="3063"/>
      <c r="D1996" s="3064"/>
      <c r="E1996" s="3064"/>
      <c r="F1996" s="3064"/>
      <c r="G1996" s="3302" t="s">
        <v>81</v>
      </c>
      <c r="H1996" s="3063"/>
      <c r="I1996" s="3030"/>
    </row>
    <row r="1997" spans="2:9" ht="26.25" thickBot="1">
      <c r="B1997" s="3303" t="s">
        <v>81</v>
      </c>
      <c r="C1997" s="3063"/>
      <c r="D1997" s="3064"/>
      <c r="E1997" s="3064"/>
      <c r="F1997" s="3064"/>
      <c r="G1997" s="3302" t="s">
        <v>81</v>
      </c>
      <c r="H1997" s="3063"/>
      <c r="I1997" s="3030"/>
    </row>
    <row r="1998" spans="2:9">
      <c r="B1998" s="3217" t="s">
        <v>697</v>
      </c>
      <c r="C1998" s="3218"/>
      <c r="D1998" s="3219"/>
      <c r="E1998" s="3219"/>
      <c r="F1998" s="3219"/>
      <c r="G1998" s="3217" t="s">
        <v>697</v>
      </c>
      <c r="H1998" s="3297"/>
      <c r="I1998" s="3298"/>
    </row>
    <row r="1999" spans="2:9">
      <c r="B1999" s="3299" t="s">
        <v>64</v>
      </c>
      <c r="C1999" s="3063"/>
      <c r="D1999" s="3064"/>
      <c r="E1999" s="3064"/>
      <c r="F1999" s="3064"/>
      <c r="G1999" s="3300" t="s">
        <v>64</v>
      </c>
      <c r="H1999" s="3063"/>
      <c r="I1999" s="3030"/>
    </row>
    <row r="2000" spans="2:9" ht="25.5">
      <c r="B2000" s="3192" t="s">
        <v>675</v>
      </c>
      <c r="C2000" s="3063"/>
      <c r="D2000" s="3064"/>
      <c r="E2000" s="3064"/>
      <c r="F2000" s="3064"/>
      <c r="G2000" s="3301" t="s">
        <v>675</v>
      </c>
      <c r="H2000" s="3063"/>
      <c r="I2000" s="3030"/>
    </row>
    <row r="2001" spans="2:9" ht="25.5">
      <c r="B2001" s="3192" t="s">
        <v>676</v>
      </c>
      <c r="C2001" s="3063"/>
      <c r="D2001" s="3064"/>
      <c r="E2001" s="3064"/>
      <c r="F2001" s="3064"/>
      <c r="G2001" s="3301" t="s">
        <v>676</v>
      </c>
      <c r="H2001" s="3063"/>
      <c r="I2001" s="3030"/>
    </row>
    <row r="2002" spans="2:9">
      <c r="B2002" s="3192" t="s">
        <v>677</v>
      </c>
      <c r="C2002" s="3063"/>
      <c r="D2002" s="3064"/>
      <c r="E2002" s="3064"/>
      <c r="F2002" s="3064"/>
      <c r="G2002" s="3301" t="s">
        <v>677</v>
      </c>
      <c r="H2002" s="3063"/>
      <c r="I2002" s="3030"/>
    </row>
    <row r="2003" spans="2:9">
      <c r="B2003" s="3192" t="s">
        <v>678</v>
      </c>
      <c r="C2003" s="3063"/>
      <c r="D2003" s="3064"/>
      <c r="E2003" s="3064"/>
      <c r="F2003" s="3064"/>
      <c r="G2003" s="3301" t="s">
        <v>678</v>
      </c>
      <c r="H2003" s="3063"/>
      <c r="I2003" s="3030"/>
    </row>
    <row r="2004" spans="2:9">
      <c r="B2004" s="3192" t="s">
        <v>679</v>
      </c>
      <c r="C2004" s="3063"/>
      <c r="D2004" s="3064"/>
      <c r="E2004" s="3064"/>
      <c r="F2004" s="3064"/>
      <c r="G2004" s="3301" t="s">
        <v>679</v>
      </c>
      <c r="H2004" s="3063"/>
      <c r="I2004" s="3030"/>
    </row>
    <row r="2005" spans="2:9" ht="25.5">
      <c r="B2005" s="3192" t="s">
        <v>720</v>
      </c>
      <c r="C2005" s="3063"/>
      <c r="D2005" s="3064"/>
      <c r="E2005" s="3064"/>
      <c r="F2005" s="3064"/>
      <c r="G2005" s="3301" t="s">
        <v>720</v>
      </c>
      <c r="H2005" s="3063"/>
      <c r="I2005" s="3030"/>
    </row>
    <row r="2006" spans="2:9">
      <c r="B2006" s="3299" t="s">
        <v>65</v>
      </c>
      <c r="C2006" s="3063"/>
      <c r="D2006" s="3064"/>
      <c r="E2006" s="3064"/>
      <c r="F2006" s="3064"/>
      <c r="G2006" s="3300" t="s">
        <v>65</v>
      </c>
      <c r="H2006" s="3063"/>
      <c r="I2006" s="3030"/>
    </row>
    <row r="2007" spans="2:9" ht="25.5">
      <c r="B2007" s="3192" t="s">
        <v>675</v>
      </c>
      <c r="C2007" s="3063"/>
      <c r="D2007" s="3064"/>
      <c r="E2007" s="3064"/>
      <c r="F2007" s="3064"/>
      <c r="G2007" s="3301" t="s">
        <v>675</v>
      </c>
      <c r="H2007" s="3063"/>
      <c r="I2007" s="3030"/>
    </row>
    <row r="2008" spans="2:9" ht="25.5">
      <c r="B2008" s="3192" t="s">
        <v>676</v>
      </c>
      <c r="C2008" s="3063"/>
      <c r="D2008" s="3064"/>
      <c r="E2008" s="3064"/>
      <c r="F2008" s="3064"/>
      <c r="G2008" s="3301" t="s">
        <v>676</v>
      </c>
      <c r="H2008" s="3063"/>
      <c r="I2008" s="3030"/>
    </row>
    <row r="2009" spans="2:9">
      <c r="B2009" s="3192" t="s">
        <v>677</v>
      </c>
      <c r="C2009" s="3063"/>
      <c r="D2009" s="3064"/>
      <c r="E2009" s="3064"/>
      <c r="F2009" s="3064"/>
      <c r="G2009" s="3301" t="s">
        <v>677</v>
      </c>
      <c r="H2009" s="3063"/>
      <c r="I2009" s="3030"/>
    </row>
    <row r="2010" spans="2:9">
      <c r="B2010" s="3192" t="s">
        <v>678</v>
      </c>
      <c r="C2010" s="3063"/>
      <c r="D2010" s="3064"/>
      <c r="E2010" s="3064"/>
      <c r="F2010" s="3064"/>
      <c r="G2010" s="3301" t="s">
        <v>678</v>
      </c>
      <c r="H2010" s="3063"/>
      <c r="I2010" s="3030"/>
    </row>
    <row r="2011" spans="2:9">
      <c r="B2011" s="3192" t="s">
        <v>679</v>
      </c>
      <c r="C2011" s="3063"/>
      <c r="D2011" s="3064"/>
      <c r="E2011" s="3064"/>
      <c r="F2011" s="3064"/>
      <c r="G2011" s="3301" t="s">
        <v>679</v>
      </c>
      <c r="H2011" s="3063"/>
      <c r="I2011" s="3030"/>
    </row>
    <row r="2012" spans="2:9" ht="25.5">
      <c r="B2012" s="3192" t="s">
        <v>720</v>
      </c>
      <c r="C2012" s="3063"/>
      <c r="D2012" s="3064"/>
      <c r="E2012" s="3064"/>
      <c r="F2012" s="3064"/>
      <c r="G2012" s="3301" t="s">
        <v>720</v>
      </c>
      <c r="H2012" s="3063"/>
      <c r="I2012" s="3030"/>
    </row>
    <row r="2013" spans="2:9">
      <c r="B2013" s="3299" t="s">
        <v>82</v>
      </c>
      <c r="C2013" s="3063"/>
      <c r="D2013" s="3064"/>
      <c r="E2013" s="3064"/>
      <c r="F2013" s="3064"/>
      <c r="G2013" s="3300" t="s">
        <v>82</v>
      </c>
      <c r="H2013" s="3063"/>
      <c r="I2013" s="3030"/>
    </row>
    <row r="2014" spans="2:9" ht="25.5">
      <c r="B2014" s="3192" t="s">
        <v>675</v>
      </c>
      <c r="C2014" s="3063"/>
      <c r="D2014" s="3064"/>
      <c r="E2014" s="3064"/>
      <c r="F2014" s="3064"/>
      <c r="G2014" s="3301" t="s">
        <v>675</v>
      </c>
      <c r="H2014" s="3063"/>
      <c r="I2014" s="3030"/>
    </row>
    <row r="2015" spans="2:9" ht="25.5">
      <c r="B2015" s="3192" t="s">
        <v>676</v>
      </c>
      <c r="C2015" s="3063"/>
      <c r="D2015" s="3064"/>
      <c r="E2015" s="3064"/>
      <c r="F2015" s="3064"/>
      <c r="G2015" s="3301" t="s">
        <v>676</v>
      </c>
      <c r="H2015" s="3063"/>
      <c r="I2015" s="3030"/>
    </row>
    <row r="2016" spans="2:9">
      <c r="B2016" s="3192" t="s">
        <v>677</v>
      </c>
      <c r="C2016" s="3063"/>
      <c r="D2016" s="3064"/>
      <c r="E2016" s="3064"/>
      <c r="F2016" s="3064"/>
      <c r="G2016" s="3301" t="s">
        <v>677</v>
      </c>
      <c r="H2016" s="3063"/>
      <c r="I2016" s="3030"/>
    </row>
    <row r="2017" spans="2:9">
      <c r="B2017" s="3192" t="s">
        <v>678</v>
      </c>
      <c r="C2017" s="3063"/>
      <c r="D2017" s="3064"/>
      <c r="E2017" s="3064"/>
      <c r="F2017" s="3064"/>
      <c r="G2017" s="3301" t="s">
        <v>678</v>
      </c>
      <c r="H2017" s="3063"/>
      <c r="I2017" s="3030"/>
    </row>
    <row r="2018" spans="2:9">
      <c r="B2018" s="3192" t="s">
        <v>679</v>
      </c>
      <c r="C2018" s="3063"/>
      <c r="D2018" s="3064"/>
      <c r="E2018" s="3064"/>
      <c r="F2018" s="3064"/>
      <c r="G2018" s="3301" t="s">
        <v>679</v>
      </c>
      <c r="H2018" s="3063"/>
      <c r="I2018" s="3030"/>
    </row>
    <row r="2019" spans="2:9" ht="25.5">
      <c r="B2019" s="3192" t="s">
        <v>720</v>
      </c>
      <c r="C2019" s="3063"/>
      <c r="D2019" s="3064"/>
      <c r="E2019" s="3064"/>
      <c r="F2019" s="3064"/>
      <c r="G2019" s="3301" t="s">
        <v>720</v>
      </c>
      <c r="H2019" s="3063"/>
      <c r="I2019" s="3030"/>
    </row>
    <row r="2020" spans="2:9" ht="38.25">
      <c r="B2020" s="3299" t="s">
        <v>680</v>
      </c>
      <c r="C2020" s="3063"/>
      <c r="D2020" s="3064"/>
      <c r="E2020" s="3064"/>
      <c r="F2020" s="3064"/>
      <c r="G2020" s="3300" t="s">
        <v>680</v>
      </c>
      <c r="H2020" s="3063"/>
      <c r="I2020" s="3030"/>
    </row>
    <row r="2021" spans="2:9" ht="25.5">
      <c r="B2021" s="3192" t="s">
        <v>675</v>
      </c>
      <c r="C2021" s="3063"/>
      <c r="D2021" s="3064"/>
      <c r="E2021" s="3064"/>
      <c r="F2021" s="3064"/>
      <c r="G2021" s="3301" t="s">
        <v>675</v>
      </c>
      <c r="H2021" s="3063"/>
      <c r="I2021" s="3030"/>
    </row>
    <row r="2022" spans="2:9" ht="25.5">
      <c r="B2022" s="3192" t="s">
        <v>676</v>
      </c>
      <c r="C2022" s="3063"/>
      <c r="D2022" s="3064"/>
      <c r="E2022" s="3064"/>
      <c r="F2022" s="3064"/>
      <c r="G2022" s="3301" t="s">
        <v>676</v>
      </c>
      <c r="H2022" s="3063"/>
      <c r="I2022" s="3030"/>
    </row>
    <row r="2023" spans="2:9">
      <c r="B2023" s="3192" t="s">
        <v>677</v>
      </c>
      <c r="C2023" s="3063"/>
      <c r="D2023" s="3064"/>
      <c r="E2023" s="3064"/>
      <c r="F2023" s="3064"/>
      <c r="G2023" s="3301" t="s">
        <v>677</v>
      </c>
      <c r="H2023" s="3063"/>
      <c r="I2023" s="3030"/>
    </row>
    <row r="2024" spans="2:9">
      <c r="B2024" s="3192" t="s">
        <v>678</v>
      </c>
      <c r="C2024" s="3063"/>
      <c r="D2024" s="3064"/>
      <c r="E2024" s="3064"/>
      <c r="F2024" s="3064"/>
      <c r="G2024" s="3301" t="s">
        <v>678</v>
      </c>
      <c r="H2024" s="3063"/>
      <c r="I2024" s="3030"/>
    </row>
    <row r="2025" spans="2:9">
      <c r="B2025" s="3192" t="s">
        <v>679</v>
      </c>
      <c r="C2025" s="3063"/>
      <c r="D2025" s="3064"/>
      <c r="E2025" s="3064"/>
      <c r="F2025" s="3064"/>
      <c r="G2025" s="3301" t="s">
        <v>679</v>
      </c>
      <c r="H2025" s="3063"/>
      <c r="I2025" s="3030"/>
    </row>
    <row r="2026" spans="2:9" ht="25.5">
      <c r="B2026" s="3192" t="s">
        <v>720</v>
      </c>
      <c r="C2026" s="3063"/>
      <c r="D2026" s="3064"/>
      <c r="E2026" s="3064"/>
      <c r="F2026" s="3064"/>
      <c r="G2026" s="3301" t="s">
        <v>720</v>
      </c>
      <c r="H2026" s="3063"/>
      <c r="I2026" s="3030"/>
    </row>
    <row r="2027" spans="2:9" ht="38.25">
      <c r="B2027" s="3299" t="s">
        <v>681</v>
      </c>
      <c r="C2027" s="3063"/>
      <c r="D2027" s="3064"/>
      <c r="E2027" s="3064"/>
      <c r="F2027" s="3064"/>
      <c r="G2027" s="3300" t="s">
        <v>681</v>
      </c>
      <c r="H2027" s="3063"/>
      <c r="I2027" s="3030"/>
    </row>
    <row r="2028" spans="2:9" ht="25.5">
      <c r="B2028" s="3192" t="s">
        <v>675</v>
      </c>
      <c r="C2028" s="3063"/>
      <c r="D2028" s="3064"/>
      <c r="E2028" s="3064"/>
      <c r="F2028" s="3064"/>
      <c r="G2028" s="3301" t="s">
        <v>675</v>
      </c>
      <c r="H2028" s="3063"/>
      <c r="I2028" s="3030"/>
    </row>
    <row r="2029" spans="2:9" ht="25.5">
      <c r="B2029" s="3192" t="s">
        <v>676</v>
      </c>
      <c r="C2029" s="3063"/>
      <c r="D2029" s="3064"/>
      <c r="E2029" s="3064"/>
      <c r="F2029" s="3064"/>
      <c r="G2029" s="3301" t="s">
        <v>676</v>
      </c>
      <c r="H2029" s="3063"/>
      <c r="I2029" s="3030"/>
    </row>
    <row r="2030" spans="2:9">
      <c r="B2030" s="3192" t="s">
        <v>677</v>
      </c>
      <c r="C2030" s="3063"/>
      <c r="D2030" s="3064"/>
      <c r="E2030" s="3064"/>
      <c r="F2030" s="3064"/>
      <c r="G2030" s="3301" t="s">
        <v>677</v>
      </c>
      <c r="H2030" s="3063"/>
      <c r="I2030" s="3030"/>
    </row>
    <row r="2031" spans="2:9">
      <c r="B2031" s="3192" t="s">
        <v>678</v>
      </c>
      <c r="C2031" s="3063"/>
      <c r="D2031" s="3064"/>
      <c r="E2031" s="3064"/>
      <c r="F2031" s="3064"/>
      <c r="G2031" s="3301" t="s">
        <v>678</v>
      </c>
      <c r="H2031" s="3063"/>
      <c r="I2031" s="3030"/>
    </row>
    <row r="2032" spans="2:9">
      <c r="B2032" s="3192" t="s">
        <v>679</v>
      </c>
      <c r="C2032" s="3063"/>
      <c r="D2032" s="3064"/>
      <c r="E2032" s="3064"/>
      <c r="F2032" s="3064"/>
      <c r="G2032" s="3301" t="s">
        <v>679</v>
      </c>
      <c r="H2032" s="3063"/>
      <c r="I2032" s="3030"/>
    </row>
    <row r="2033" spans="2:9" ht="25.5">
      <c r="B2033" s="3192" t="s">
        <v>720</v>
      </c>
      <c r="C2033" s="3063"/>
      <c r="D2033" s="3064"/>
      <c r="E2033" s="3064"/>
      <c r="F2033" s="3064"/>
      <c r="G2033" s="3301" t="s">
        <v>720</v>
      </c>
      <c r="H2033" s="3063"/>
      <c r="I2033" s="3030"/>
    </row>
    <row r="2034" spans="2:9" ht="25.5">
      <c r="B2034" s="3299" t="s">
        <v>682</v>
      </c>
      <c r="C2034" s="3063"/>
      <c r="D2034" s="3064"/>
      <c r="E2034" s="3064"/>
      <c r="F2034" s="3064"/>
      <c r="G2034" s="3300" t="s">
        <v>682</v>
      </c>
      <c r="H2034" s="3063"/>
      <c r="I2034" s="3030"/>
    </row>
    <row r="2035" spans="2:9" ht="25.5">
      <c r="B2035" s="3192" t="s">
        <v>675</v>
      </c>
      <c r="C2035" s="3063"/>
      <c r="D2035" s="3064"/>
      <c r="E2035" s="3064"/>
      <c r="F2035" s="3064"/>
      <c r="G2035" s="3301" t="s">
        <v>675</v>
      </c>
      <c r="H2035" s="3063"/>
      <c r="I2035" s="3030"/>
    </row>
    <row r="2036" spans="2:9" ht="25.5">
      <c r="B2036" s="3192" t="s">
        <v>676</v>
      </c>
      <c r="C2036" s="3063"/>
      <c r="D2036" s="3064"/>
      <c r="E2036" s="3064"/>
      <c r="F2036" s="3064"/>
      <c r="G2036" s="3301" t="s">
        <v>676</v>
      </c>
      <c r="H2036" s="3063"/>
      <c r="I2036" s="3030"/>
    </row>
    <row r="2037" spans="2:9">
      <c r="B2037" s="3192" t="s">
        <v>677</v>
      </c>
      <c r="C2037" s="3063"/>
      <c r="D2037" s="3064"/>
      <c r="E2037" s="3064"/>
      <c r="F2037" s="3064"/>
      <c r="G2037" s="3301" t="s">
        <v>677</v>
      </c>
      <c r="H2037" s="3063"/>
      <c r="I2037" s="3030"/>
    </row>
    <row r="2038" spans="2:9">
      <c r="B2038" s="3192" t="s">
        <v>678</v>
      </c>
      <c r="C2038" s="3063"/>
      <c r="D2038" s="3064"/>
      <c r="E2038" s="3064"/>
      <c r="F2038" s="3064"/>
      <c r="G2038" s="3301" t="s">
        <v>678</v>
      </c>
      <c r="H2038" s="3063"/>
      <c r="I2038" s="3030"/>
    </row>
    <row r="2039" spans="2:9">
      <c r="B2039" s="3192" t="s">
        <v>679</v>
      </c>
      <c r="C2039" s="3063"/>
      <c r="D2039" s="3064"/>
      <c r="E2039" s="3064"/>
      <c r="F2039" s="3064"/>
      <c r="G2039" s="3301" t="s">
        <v>679</v>
      </c>
      <c r="H2039" s="3063"/>
      <c r="I2039" s="3030"/>
    </row>
    <row r="2040" spans="2:9" ht="25.5">
      <c r="B2040" s="3192" t="s">
        <v>720</v>
      </c>
      <c r="C2040" s="3063"/>
      <c r="D2040" s="3064"/>
      <c r="E2040" s="3064"/>
      <c r="F2040" s="3064"/>
      <c r="G2040" s="3301" t="s">
        <v>720</v>
      </c>
      <c r="H2040" s="3063"/>
      <c r="I2040" s="3030"/>
    </row>
    <row r="2041" spans="2:9" ht="25.5">
      <c r="B2041" s="3299" t="s">
        <v>66</v>
      </c>
      <c r="C2041" s="3063"/>
      <c r="D2041" s="3064"/>
      <c r="E2041" s="3064"/>
      <c r="F2041" s="3064"/>
      <c r="G2041" s="3300" t="s">
        <v>66</v>
      </c>
      <c r="H2041" s="3063"/>
      <c r="I2041" s="3030"/>
    </row>
    <row r="2042" spans="2:9" ht="25.5">
      <c r="B2042" s="3192" t="s">
        <v>675</v>
      </c>
      <c r="C2042" s="3063"/>
      <c r="D2042" s="3064"/>
      <c r="E2042" s="3064"/>
      <c r="F2042" s="3064"/>
      <c r="G2042" s="3301" t="s">
        <v>675</v>
      </c>
      <c r="H2042" s="3063"/>
      <c r="I2042" s="3030"/>
    </row>
    <row r="2043" spans="2:9" ht="25.5">
      <c r="B2043" s="3192" t="s">
        <v>676</v>
      </c>
      <c r="C2043" s="3063"/>
      <c r="D2043" s="3064"/>
      <c r="E2043" s="3064"/>
      <c r="F2043" s="3064"/>
      <c r="G2043" s="3301" t="s">
        <v>676</v>
      </c>
      <c r="H2043" s="3063"/>
      <c r="I2043" s="3030"/>
    </row>
    <row r="2044" spans="2:9">
      <c r="B2044" s="3192" t="s">
        <v>677</v>
      </c>
      <c r="C2044" s="3063"/>
      <c r="D2044" s="3064"/>
      <c r="E2044" s="3064"/>
      <c r="F2044" s="3064"/>
      <c r="G2044" s="3301" t="s">
        <v>677</v>
      </c>
      <c r="H2044" s="3063"/>
      <c r="I2044" s="3030"/>
    </row>
    <row r="2045" spans="2:9">
      <c r="B2045" s="3192" t="s">
        <v>678</v>
      </c>
      <c r="C2045" s="3063"/>
      <c r="D2045" s="3064"/>
      <c r="E2045" s="3064"/>
      <c r="F2045" s="3064"/>
      <c r="G2045" s="3301" t="s">
        <v>678</v>
      </c>
      <c r="H2045" s="3063"/>
      <c r="I2045" s="3030"/>
    </row>
    <row r="2046" spans="2:9">
      <c r="B2046" s="3192" t="s">
        <v>679</v>
      </c>
      <c r="C2046" s="3063"/>
      <c r="D2046" s="3064"/>
      <c r="E2046" s="3064"/>
      <c r="F2046" s="3064"/>
      <c r="G2046" s="3301" t="s">
        <v>679</v>
      </c>
      <c r="H2046" s="3063"/>
      <c r="I2046" s="3030"/>
    </row>
    <row r="2047" spans="2:9" ht="25.5">
      <c r="B2047" s="3192" t="s">
        <v>720</v>
      </c>
      <c r="C2047" s="3063"/>
      <c r="D2047" s="3064"/>
      <c r="E2047" s="3064"/>
      <c r="F2047" s="3064"/>
      <c r="G2047" s="3301" t="s">
        <v>720</v>
      </c>
      <c r="H2047" s="3063"/>
      <c r="I2047" s="3030"/>
    </row>
    <row r="2048" spans="2:9">
      <c r="B2048" s="3299" t="s">
        <v>67</v>
      </c>
      <c r="C2048" s="3063"/>
      <c r="D2048" s="3064"/>
      <c r="E2048" s="3064"/>
      <c r="F2048" s="3064">
        <v>1</v>
      </c>
      <c r="G2048" s="3300" t="s">
        <v>67</v>
      </c>
      <c r="H2048" s="3063">
        <v>23.809523809523807</v>
      </c>
      <c r="I2048" s="3030"/>
    </row>
    <row r="2049" spans="2:9" ht="25.5">
      <c r="B2049" s="3192" t="s">
        <v>675</v>
      </c>
      <c r="C2049" s="3063"/>
      <c r="D2049" s="3064"/>
      <c r="E2049" s="3064"/>
      <c r="F2049" s="3064"/>
      <c r="G2049" s="3301" t="s">
        <v>675</v>
      </c>
      <c r="H2049" s="3063"/>
      <c r="I2049" s="3030"/>
    </row>
    <row r="2050" spans="2:9" ht="25.5">
      <c r="B2050" s="3192" t="s">
        <v>676</v>
      </c>
      <c r="C2050" s="3063"/>
      <c r="D2050" s="3064"/>
      <c r="E2050" s="3064"/>
      <c r="F2050" s="3064"/>
      <c r="G2050" s="3301" t="s">
        <v>676</v>
      </c>
      <c r="H2050" s="3063"/>
      <c r="I2050" s="3030"/>
    </row>
    <row r="2051" spans="2:9">
      <c r="B2051" s="3192" t="s">
        <v>677</v>
      </c>
      <c r="C2051" s="3063"/>
      <c r="D2051" s="3064"/>
      <c r="E2051" s="3064"/>
      <c r="F2051" s="3064"/>
      <c r="G2051" s="3301" t="s">
        <v>677</v>
      </c>
      <c r="H2051" s="3063"/>
      <c r="I2051" s="3030"/>
    </row>
    <row r="2052" spans="2:9">
      <c r="B2052" s="3192" t="s">
        <v>678</v>
      </c>
      <c r="C2052" s="3063"/>
      <c r="D2052" s="3064"/>
      <c r="E2052" s="3064"/>
      <c r="F2052" s="3064"/>
      <c r="G2052" s="3301" t="s">
        <v>678</v>
      </c>
      <c r="H2052" s="3063"/>
      <c r="I2052" s="3030"/>
    </row>
    <row r="2053" spans="2:9">
      <c r="B2053" s="3192" t="s">
        <v>679</v>
      </c>
      <c r="C2053" s="3063"/>
      <c r="D2053" s="3064"/>
      <c r="E2053" s="3064"/>
      <c r="F2053" s="3064"/>
      <c r="G2053" s="3301" t="s">
        <v>679</v>
      </c>
      <c r="H2053" s="3063"/>
      <c r="I2053" s="3030"/>
    </row>
    <row r="2054" spans="2:9" ht="25.5">
      <c r="B2054" s="3230" t="s">
        <v>81</v>
      </c>
      <c r="C2054" s="3063"/>
      <c r="D2054" s="3064"/>
      <c r="E2054" s="3064"/>
      <c r="F2054" s="3064"/>
      <c r="G2054" s="3302" t="s">
        <v>81</v>
      </c>
      <c r="H2054" s="3063"/>
      <c r="I2054" s="3030"/>
    </row>
    <row r="2055" spans="2:9" ht="26.25" thickBot="1">
      <c r="B2055" s="3303" t="s">
        <v>81</v>
      </c>
      <c r="C2055" s="3068"/>
      <c r="D2055" s="3069"/>
      <c r="E2055" s="3069"/>
      <c r="F2055" s="3069"/>
      <c r="G2055" s="3304" t="s">
        <v>81</v>
      </c>
      <c r="H2055" s="3068"/>
      <c r="I2055" s="3070"/>
    </row>
    <row r="2056" spans="2:9" ht="38.25">
      <c r="B2056" s="4723" t="s">
        <v>1728</v>
      </c>
      <c r="C2056" s="3289"/>
      <c r="D2056" s="3290"/>
      <c r="E2056" s="3290"/>
      <c r="F2056" s="3290"/>
      <c r="G2056" s="4723">
        <v>3011</v>
      </c>
      <c r="H2056" s="3291" t="s">
        <v>687</v>
      </c>
      <c r="I2056" s="3292" t="s">
        <v>688</v>
      </c>
    </row>
    <row r="2057" spans="2:9">
      <c r="B2057" s="4724"/>
      <c r="C2057" s="4678" t="s">
        <v>686</v>
      </c>
      <c r="D2057" s="4725"/>
      <c r="E2057" s="4725"/>
      <c r="F2057" s="4726"/>
      <c r="G2057" s="4724"/>
      <c r="H2057" s="3293"/>
      <c r="I2057" s="3294"/>
    </row>
    <row r="2058" spans="2:9" ht="13.5" thickBot="1">
      <c r="B2058" s="4724"/>
      <c r="C2058" s="3215">
        <v>2013</v>
      </c>
      <c r="D2058" s="3215">
        <v>2014</v>
      </c>
      <c r="E2058" s="3215">
        <v>2015</v>
      </c>
      <c r="F2058" s="3215">
        <v>2016</v>
      </c>
      <c r="G2058" s="4724"/>
      <c r="H2058" s="3295" t="s">
        <v>390</v>
      </c>
      <c r="I2058" s="3296" t="s">
        <v>390</v>
      </c>
    </row>
    <row r="2059" spans="2:9">
      <c r="B2059" s="3217" t="s">
        <v>695</v>
      </c>
      <c r="C2059" s="3218"/>
      <c r="D2059" s="3219"/>
      <c r="E2059" s="3219"/>
      <c r="F2059" s="3219"/>
      <c r="G2059" s="3217" t="s">
        <v>695</v>
      </c>
      <c r="H2059" s="3297"/>
      <c r="I2059" s="3298"/>
    </row>
    <row r="2060" spans="2:9">
      <c r="B2060" s="3299" t="s">
        <v>64</v>
      </c>
      <c r="C2060" s="3063"/>
      <c r="D2060" s="3064"/>
      <c r="E2060" s="3064"/>
      <c r="F2060" s="3064">
        <v>33</v>
      </c>
      <c r="G2060" s="3300" t="s">
        <v>64</v>
      </c>
      <c r="H2060" s="3063">
        <f>AVERAGE(C2060:F2066)/K119</f>
        <v>0.64356649188070314</v>
      </c>
      <c r="I2060" s="3030"/>
    </row>
    <row r="2061" spans="2:9" ht="25.5">
      <c r="B2061" s="3192" t="s">
        <v>675</v>
      </c>
      <c r="C2061" s="3063">
        <v>21</v>
      </c>
      <c r="D2061" s="3064">
        <v>17</v>
      </c>
      <c r="E2061" s="3064"/>
      <c r="F2061" s="3064"/>
      <c r="G2061" s="3301" t="s">
        <v>675</v>
      </c>
      <c r="H2061" s="3063"/>
      <c r="I2061" s="3030">
        <v>0.65546318556800298</v>
      </c>
    </row>
    <row r="2062" spans="2:9" ht="25.5">
      <c r="B2062" s="3192" t="s">
        <v>676</v>
      </c>
      <c r="C2062" s="3063"/>
      <c r="D2062" s="3064"/>
      <c r="E2062" s="3064"/>
      <c r="F2062" s="3064"/>
      <c r="G2062" s="3301" t="s">
        <v>676</v>
      </c>
      <c r="H2062" s="3063"/>
      <c r="I2062" s="3030"/>
    </row>
    <row r="2063" spans="2:9">
      <c r="B2063" s="3192" t="s">
        <v>677</v>
      </c>
      <c r="C2063" s="3063"/>
      <c r="D2063" s="3064"/>
      <c r="E2063" s="3064"/>
      <c r="F2063" s="3064"/>
      <c r="G2063" s="3301" t="s">
        <v>677</v>
      </c>
      <c r="H2063" s="3063"/>
      <c r="I2063" s="3030"/>
    </row>
    <row r="2064" spans="2:9">
      <c r="B2064" s="3192" t="s">
        <v>678</v>
      </c>
      <c r="C2064" s="3063">
        <v>12</v>
      </c>
      <c r="D2064" s="3064">
        <v>19</v>
      </c>
      <c r="E2064" s="3064"/>
      <c r="F2064" s="3064"/>
      <c r="G2064" s="3301" t="s">
        <v>678</v>
      </c>
      <c r="H2064" s="3063"/>
      <c r="I2064" s="3030"/>
    </row>
    <row r="2065" spans="2:9">
      <c r="B2065" s="3192" t="s">
        <v>679</v>
      </c>
      <c r="C2065" s="3063"/>
      <c r="D2065" s="3064"/>
      <c r="E2065" s="3064"/>
      <c r="F2065" s="3064"/>
      <c r="G2065" s="3301" t="s">
        <v>679</v>
      </c>
      <c r="H2065" s="3063"/>
      <c r="I2065" s="3030"/>
    </row>
    <row r="2066" spans="2:9" ht="25.5">
      <c r="B2066" s="3192" t="s">
        <v>720</v>
      </c>
      <c r="C2066" s="3063"/>
      <c r="D2066" s="3064">
        <v>1</v>
      </c>
      <c r="E2066" s="3064"/>
      <c r="F2066" s="3064"/>
      <c r="G2066" s="3301" t="s">
        <v>720</v>
      </c>
      <c r="H2066" s="3063"/>
      <c r="I2066" s="3030"/>
    </row>
    <row r="2067" spans="2:9">
      <c r="B2067" s="3299" t="s">
        <v>65</v>
      </c>
      <c r="C2067" s="3063"/>
      <c r="D2067" s="3064"/>
      <c r="E2067" s="3064"/>
      <c r="F2067" s="3064">
        <v>2</v>
      </c>
      <c r="G2067" s="3300" t="s">
        <v>65</v>
      </c>
      <c r="H2067" s="3063">
        <v>0.137357237611547</v>
      </c>
      <c r="I2067" s="3030"/>
    </row>
    <row r="2068" spans="2:9" ht="25.5">
      <c r="B2068" s="3192" t="s">
        <v>675</v>
      </c>
      <c r="C2068" s="3063">
        <v>4</v>
      </c>
      <c r="D2068" s="3064">
        <v>2</v>
      </c>
      <c r="E2068" s="3064"/>
      <c r="F2068" s="3064"/>
      <c r="G2068" s="3301" t="s">
        <v>675</v>
      </c>
      <c r="H2068" s="3063"/>
      <c r="I2068" s="3030">
        <f>AVERAGE(C2068:D2068)/I120</f>
        <v>0.15548069448043533</v>
      </c>
    </row>
    <row r="2069" spans="2:9" ht="25.5">
      <c r="B2069" s="3192" t="s">
        <v>676</v>
      </c>
      <c r="C2069" s="3063"/>
      <c r="D2069" s="3064"/>
      <c r="E2069" s="3064"/>
      <c r="F2069" s="3064"/>
      <c r="G2069" s="3301" t="s">
        <v>676</v>
      </c>
      <c r="H2069" s="3063"/>
      <c r="I2069" s="3030"/>
    </row>
    <row r="2070" spans="2:9">
      <c r="B2070" s="3192" t="s">
        <v>677</v>
      </c>
      <c r="C2070" s="3063"/>
      <c r="D2070" s="3064"/>
      <c r="E2070" s="3064"/>
      <c r="F2070" s="3064"/>
      <c r="G2070" s="3301" t="s">
        <v>677</v>
      </c>
      <c r="H2070" s="3063"/>
      <c r="I2070" s="3030"/>
    </row>
    <row r="2071" spans="2:9">
      <c r="B2071" s="3192" t="s">
        <v>678</v>
      </c>
      <c r="C2071" s="3063">
        <v>3</v>
      </c>
      <c r="D2071" s="3064">
        <v>2</v>
      </c>
      <c r="E2071" s="3064"/>
      <c r="F2071" s="3064"/>
      <c r="G2071" s="3301" t="s">
        <v>678</v>
      </c>
      <c r="H2071" s="3063"/>
      <c r="I2071" s="3030"/>
    </row>
    <row r="2072" spans="2:9">
      <c r="B2072" s="3192" t="s">
        <v>679</v>
      </c>
      <c r="C2072" s="3063">
        <v>1</v>
      </c>
      <c r="D2072" s="3064">
        <v>1</v>
      </c>
      <c r="E2072" s="3064"/>
      <c r="F2072" s="3064"/>
      <c r="G2072" s="3301" t="s">
        <v>679</v>
      </c>
      <c r="H2072" s="3063"/>
      <c r="I2072" s="3030"/>
    </row>
    <row r="2073" spans="2:9" ht="25.5">
      <c r="B2073" s="3192" t="s">
        <v>720</v>
      </c>
      <c r="C2073" s="3063"/>
      <c r="D2073" s="3064"/>
      <c r="E2073" s="3064"/>
      <c r="F2073" s="3064"/>
      <c r="G2073" s="3301" t="s">
        <v>720</v>
      </c>
      <c r="H2073" s="3063"/>
      <c r="I2073" s="3030"/>
    </row>
    <row r="2074" spans="2:9">
      <c r="B2074" s="3299" t="s">
        <v>82</v>
      </c>
      <c r="C2074" s="3063"/>
      <c r="D2074" s="3064"/>
      <c r="E2074" s="3064"/>
      <c r="F2074" s="3064"/>
      <c r="G2074" s="3300" t="s">
        <v>82</v>
      </c>
      <c r="H2074" s="3063"/>
      <c r="I2074" s="3030"/>
    </row>
    <row r="2075" spans="2:9" ht="25.5">
      <c r="B2075" s="3192" t="s">
        <v>675</v>
      </c>
      <c r="C2075" s="3063"/>
      <c r="D2075" s="3064"/>
      <c r="E2075" s="3064"/>
      <c r="F2075" s="3064"/>
      <c r="G2075" s="3301" t="s">
        <v>675</v>
      </c>
      <c r="H2075" s="3063"/>
      <c r="I2075" s="3030"/>
    </row>
    <row r="2076" spans="2:9" ht="25.5">
      <c r="B2076" s="3192" t="s">
        <v>676</v>
      </c>
      <c r="C2076" s="3063"/>
      <c r="D2076" s="3064"/>
      <c r="E2076" s="3064"/>
      <c r="F2076" s="3064"/>
      <c r="G2076" s="3301" t="s">
        <v>676</v>
      </c>
      <c r="H2076" s="3063"/>
      <c r="I2076" s="3030"/>
    </row>
    <row r="2077" spans="2:9">
      <c r="B2077" s="3192" t="s">
        <v>677</v>
      </c>
      <c r="C2077" s="3063"/>
      <c r="D2077" s="3064"/>
      <c r="E2077" s="3064"/>
      <c r="F2077" s="3064"/>
      <c r="G2077" s="3301" t="s">
        <v>677</v>
      </c>
      <c r="H2077" s="3063"/>
      <c r="I2077" s="3030"/>
    </row>
    <row r="2078" spans="2:9">
      <c r="B2078" s="3192" t="s">
        <v>678</v>
      </c>
      <c r="C2078" s="3063"/>
      <c r="D2078" s="3064"/>
      <c r="E2078" s="3064"/>
      <c r="F2078" s="3064"/>
      <c r="G2078" s="3301" t="s">
        <v>678</v>
      </c>
      <c r="H2078" s="3063"/>
      <c r="I2078" s="3030"/>
    </row>
    <row r="2079" spans="2:9">
      <c r="B2079" s="3192" t="s">
        <v>679</v>
      </c>
      <c r="C2079" s="3063"/>
      <c r="D2079" s="3064"/>
      <c r="E2079" s="3064"/>
      <c r="F2079" s="3064"/>
      <c r="G2079" s="3301" t="s">
        <v>679</v>
      </c>
      <c r="H2079" s="3063"/>
      <c r="I2079" s="3030"/>
    </row>
    <row r="2080" spans="2:9" ht="25.5">
      <c r="B2080" s="3192" t="s">
        <v>720</v>
      </c>
      <c r="C2080" s="3063"/>
      <c r="D2080" s="3064"/>
      <c r="E2080" s="3064"/>
      <c r="F2080" s="3064"/>
      <c r="G2080" s="3301" t="s">
        <v>720</v>
      </c>
      <c r="H2080" s="3063"/>
      <c r="I2080" s="3030"/>
    </row>
    <row r="2081" spans="2:9" ht="38.25">
      <c r="B2081" s="3299" t="s">
        <v>680</v>
      </c>
      <c r="C2081" s="3063"/>
      <c r="D2081" s="3064"/>
      <c r="E2081" s="3064"/>
      <c r="F2081" s="3064"/>
      <c r="G2081" s="3300" t="s">
        <v>680</v>
      </c>
      <c r="H2081" s="3063"/>
      <c r="I2081" s="3030"/>
    </row>
    <row r="2082" spans="2:9" ht="25.5">
      <c r="B2082" s="3192" t="s">
        <v>675</v>
      </c>
      <c r="C2082" s="3063"/>
      <c r="D2082" s="3064"/>
      <c r="E2082" s="3064"/>
      <c r="F2082" s="3064"/>
      <c r="G2082" s="3301" t="s">
        <v>675</v>
      </c>
      <c r="H2082" s="3063"/>
      <c r="I2082" s="3030"/>
    </row>
    <row r="2083" spans="2:9" ht="25.5">
      <c r="B2083" s="3192" t="s">
        <v>676</v>
      </c>
      <c r="C2083" s="3063"/>
      <c r="D2083" s="3064"/>
      <c r="E2083" s="3064"/>
      <c r="F2083" s="3064"/>
      <c r="G2083" s="3301" t="s">
        <v>676</v>
      </c>
      <c r="H2083" s="3063"/>
      <c r="I2083" s="3030"/>
    </row>
    <row r="2084" spans="2:9">
      <c r="B2084" s="3192" t="s">
        <v>677</v>
      </c>
      <c r="C2084" s="3063"/>
      <c r="D2084" s="3064"/>
      <c r="E2084" s="3064"/>
      <c r="F2084" s="3064"/>
      <c r="G2084" s="3301" t="s">
        <v>677</v>
      </c>
      <c r="H2084" s="3063"/>
      <c r="I2084" s="3030"/>
    </row>
    <row r="2085" spans="2:9">
      <c r="B2085" s="3192" t="s">
        <v>678</v>
      </c>
      <c r="C2085" s="3063"/>
      <c r="D2085" s="3064"/>
      <c r="E2085" s="3064"/>
      <c r="F2085" s="3064"/>
      <c r="G2085" s="3301" t="s">
        <v>678</v>
      </c>
      <c r="H2085" s="3063"/>
      <c r="I2085" s="3030"/>
    </row>
    <row r="2086" spans="2:9">
      <c r="B2086" s="3192" t="s">
        <v>679</v>
      </c>
      <c r="C2086" s="3063"/>
      <c r="D2086" s="3064"/>
      <c r="E2086" s="3064"/>
      <c r="F2086" s="3064"/>
      <c r="G2086" s="3301" t="s">
        <v>679</v>
      </c>
      <c r="H2086" s="3063"/>
      <c r="I2086" s="3030"/>
    </row>
    <row r="2087" spans="2:9" ht="25.5">
      <c r="B2087" s="3192" t="s">
        <v>720</v>
      </c>
      <c r="C2087" s="3063"/>
      <c r="D2087" s="3064"/>
      <c r="E2087" s="3064"/>
      <c r="F2087" s="3064"/>
      <c r="G2087" s="3301" t="s">
        <v>720</v>
      </c>
      <c r="H2087" s="3063"/>
      <c r="I2087" s="3030"/>
    </row>
    <row r="2088" spans="2:9" ht="38.25">
      <c r="B2088" s="3299" t="s">
        <v>681</v>
      </c>
      <c r="C2088" s="3063"/>
      <c r="D2088" s="3064"/>
      <c r="E2088" s="3064"/>
      <c r="F2088" s="3064"/>
      <c r="G2088" s="3300" t="s">
        <v>681</v>
      </c>
      <c r="H2088" s="3063"/>
      <c r="I2088" s="3030"/>
    </row>
    <row r="2089" spans="2:9" ht="25.5">
      <c r="B2089" s="3192" t="s">
        <v>675</v>
      </c>
      <c r="C2089" s="3063"/>
      <c r="D2089" s="3064"/>
      <c r="E2089" s="3064"/>
      <c r="F2089" s="3064"/>
      <c r="G2089" s="3301" t="s">
        <v>675</v>
      </c>
      <c r="H2089" s="3063"/>
      <c r="I2089" s="3030"/>
    </row>
    <row r="2090" spans="2:9" ht="25.5">
      <c r="B2090" s="3192" t="s">
        <v>676</v>
      </c>
      <c r="C2090" s="3063"/>
      <c r="D2090" s="3064"/>
      <c r="E2090" s="3064"/>
      <c r="F2090" s="3064"/>
      <c r="G2090" s="3301" t="s">
        <v>676</v>
      </c>
      <c r="H2090" s="3063"/>
      <c r="I2090" s="3030"/>
    </row>
    <row r="2091" spans="2:9">
      <c r="B2091" s="3192" t="s">
        <v>677</v>
      </c>
      <c r="C2091" s="3063"/>
      <c r="D2091" s="3064"/>
      <c r="E2091" s="3064"/>
      <c r="F2091" s="3064"/>
      <c r="G2091" s="3301" t="s">
        <v>677</v>
      </c>
      <c r="H2091" s="3063"/>
      <c r="I2091" s="3030"/>
    </row>
    <row r="2092" spans="2:9">
      <c r="B2092" s="3192" t="s">
        <v>678</v>
      </c>
      <c r="C2092" s="3063"/>
      <c r="D2092" s="3064"/>
      <c r="E2092" s="3064"/>
      <c r="F2092" s="3064"/>
      <c r="G2092" s="3301" t="s">
        <v>678</v>
      </c>
      <c r="H2092" s="3063"/>
      <c r="I2092" s="3030"/>
    </row>
    <row r="2093" spans="2:9">
      <c r="B2093" s="3192" t="s">
        <v>679</v>
      </c>
      <c r="C2093" s="3063"/>
      <c r="D2093" s="3064"/>
      <c r="E2093" s="3064"/>
      <c r="F2093" s="3064"/>
      <c r="G2093" s="3301" t="s">
        <v>679</v>
      </c>
      <c r="H2093" s="3063"/>
      <c r="I2093" s="3030"/>
    </row>
    <row r="2094" spans="2:9" ht="25.5">
      <c r="B2094" s="3192" t="s">
        <v>720</v>
      </c>
      <c r="C2094" s="3063"/>
      <c r="D2094" s="3064"/>
      <c r="E2094" s="3064"/>
      <c r="F2094" s="3064"/>
      <c r="G2094" s="3301" t="s">
        <v>720</v>
      </c>
      <c r="H2094" s="3063"/>
      <c r="I2094" s="3030"/>
    </row>
    <row r="2095" spans="2:9" ht="25.5">
      <c r="B2095" s="3299" t="s">
        <v>682</v>
      </c>
      <c r="C2095" s="3063"/>
      <c r="D2095" s="3064"/>
      <c r="E2095" s="3064"/>
      <c r="F2095" s="3064"/>
      <c r="G2095" s="3300" t="s">
        <v>682</v>
      </c>
      <c r="H2095" s="3063"/>
      <c r="I2095" s="3030"/>
    </row>
    <row r="2096" spans="2:9" ht="25.5">
      <c r="B2096" s="3192" t="s">
        <v>675</v>
      </c>
      <c r="C2096" s="3063"/>
      <c r="D2096" s="3064"/>
      <c r="E2096" s="3064"/>
      <c r="F2096" s="3064"/>
      <c r="G2096" s="3301" t="s">
        <v>675</v>
      </c>
      <c r="H2096" s="3063"/>
      <c r="I2096" s="3030"/>
    </row>
    <row r="2097" spans="2:9" ht="25.5">
      <c r="B2097" s="3192" t="s">
        <v>676</v>
      </c>
      <c r="C2097" s="3063"/>
      <c r="D2097" s="3064"/>
      <c r="E2097" s="3064"/>
      <c r="F2097" s="3064"/>
      <c r="G2097" s="3301" t="s">
        <v>676</v>
      </c>
      <c r="H2097" s="3063"/>
      <c r="I2097" s="3030"/>
    </row>
    <row r="2098" spans="2:9">
      <c r="B2098" s="3192" t="s">
        <v>677</v>
      </c>
      <c r="C2098" s="3063"/>
      <c r="D2098" s="3064"/>
      <c r="E2098" s="3064"/>
      <c r="F2098" s="3064"/>
      <c r="G2098" s="3301" t="s">
        <v>677</v>
      </c>
      <c r="H2098" s="3063"/>
      <c r="I2098" s="3030"/>
    </row>
    <row r="2099" spans="2:9">
      <c r="B2099" s="3192" t="s">
        <v>678</v>
      </c>
      <c r="C2099" s="3063"/>
      <c r="D2099" s="3064"/>
      <c r="E2099" s="3064"/>
      <c r="F2099" s="3064"/>
      <c r="G2099" s="3301" t="s">
        <v>678</v>
      </c>
      <c r="H2099" s="3063"/>
      <c r="I2099" s="3030"/>
    </row>
    <row r="2100" spans="2:9">
      <c r="B2100" s="3192" t="s">
        <v>679</v>
      </c>
      <c r="C2100" s="3063"/>
      <c r="D2100" s="3064"/>
      <c r="E2100" s="3064"/>
      <c r="F2100" s="3064"/>
      <c r="G2100" s="3301" t="s">
        <v>679</v>
      </c>
      <c r="H2100" s="3063"/>
      <c r="I2100" s="3030"/>
    </row>
    <row r="2101" spans="2:9" ht="25.5">
      <c r="B2101" s="3192" t="s">
        <v>720</v>
      </c>
      <c r="C2101" s="3063"/>
      <c r="D2101" s="3064"/>
      <c r="E2101" s="3064"/>
      <c r="F2101" s="3064"/>
      <c r="G2101" s="3301" t="s">
        <v>720</v>
      </c>
      <c r="H2101" s="3063"/>
      <c r="I2101" s="3030"/>
    </row>
    <row r="2102" spans="2:9" ht="25.5">
      <c r="B2102" s="3299" t="s">
        <v>66</v>
      </c>
      <c r="C2102" s="3063"/>
      <c r="D2102" s="3064"/>
      <c r="E2102" s="3064"/>
      <c r="F2102" s="3064">
        <v>1</v>
      </c>
      <c r="G2102" s="3300" t="s">
        <v>66</v>
      </c>
      <c r="H2102" s="3063">
        <v>0.12612825931525765</v>
      </c>
      <c r="I2102" s="3030"/>
    </row>
    <row r="2103" spans="2:9" ht="25.5">
      <c r="B2103" s="3192" t="s">
        <v>675</v>
      </c>
      <c r="C2103" s="3063"/>
      <c r="D2103" s="3064"/>
      <c r="E2103" s="3064"/>
      <c r="F2103" s="3064"/>
      <c r="G2103" s="3301" t="s">
        <v>675</v>
      </c>
      <c r="H2103" s="3063"/>
      <c r="I2103" s="3030"/>
    </row>
    <row r="2104" spans="2:9" ht="25.5">
      <c r="B2104" s="3192" t="s">
        <v>676</v>
      </c>
      <c r="C2104" s="3063"/>
      <c r="D2104" s="3064"/>
      <c r="E2104" s="3064"/>
      <c r="F2104" s="3064"/>
      <c r="G2104" s="3301" t="s">
        <v>676</v>
      </c>
      <c r="H2104" s="3063"/>
      <c r="I2104" s="3030"/>
    </row>
    <row r="2105" spans="2:9">
      <c r="B2105" s="3192" t="s">
        <v>677</v>
      </c>
      <c r="C2105" s="3063"/>
      <c r="D2105" s="3064"/>
      <c r="E2105" s="3064"/>
      <c r="F2105" s="3064"/>
      <c r="G2105" s="3301" t="s">
        <v>677</v>
      </c>
      <c r="H2105" s="3063"/>
      <c r="I2105" s="3030"/>
    </row>
    <row r="2106" spans="2:9">
      <c r="B2106" s="3192" t="s">
        <v>678</v>
      </c>
      <c r="C2106" s="3063">
        <v>2</v>
      </c>
      <c r="D2106" s="3064">
        <v>1</v>
      </c>
      <c r="E2106" s="3064"/>
      <c r="F2106" s="3064"/>
      <c r="G2106" s="3301" t="s">
        <v>678</v>
      </c>
      <c r="H2106" s="3063"/>
      <c r="I2106" s="3030"/>
    </row>
    <row r="2107" spans="2:9">
      <c r="B2107" s="3192" t="s">
        <v>679</v>
      </c>
      <c r="C2107" s="3063"/>
      <c r="D2107" s="3064"/>
      <c r="E2107" s="3064"/>
      <c r="F2107" s="3064"/>
      <c r="G2107" s="3301" t="s">
        <v>679</v>
      </c>
      <c r="H2107" s="3063"/>
      <c r="I2107" s="3030"/>
    </row>
    <row r="2108" spans="2:9" ht="25.5">
      <c r="B2108" s="3192" t="s">
        <v>720</v>
      </c>
      <c r="C2108" s="3063"/>
      <c r="D2108" s="3064"/>
      <c r="E2108" s="3064"/>
      <c r="F2108" s="3064"/>
      <c r="G2108" s="3301" t="s">
        <v>720</v>
      </c>
      <c r="H2108" s="3063"/>
      <c r="I2108" s="3030"/>
    </row>
    <row r="2109" spans="2:9">
      <c r="B2109" s="3299" t="s">
        <v>67</v>
      </c>
      <c r="C2109" s="3063"/>
      <c r="D2109" s="3064"/>
      <c r="E2109" s="3064"/>
      <c r="F2109" s="3064">
        <v>1</v>
      </c>
      <c r="G2109" s="3300" t="s">
        <v>67</v>
      </c>
      <c r="H2109" s="3063">
        <v>9.6355346482831492E-2</v>
      </c>
      <c r="I2109" s="3030"/>
    </row>
    <row r="2110" spans="2:9" ht="25.5">
      <c r="B2110" s="3192" t="s">
        <v>675</v>
      </c>
      <c r="C2110" s="3063"/>
      <c r="D2110" s="3064"/>
      <c r="E2110" s="3064"/>
      <c r="F2110" s="3064"/>
      <c r="G2110" s="3301" t="s">
        <v>675</v>
      </c>
      <c r="H2110" s="3063"/>
      <c r="I2110" s="3030"/>
    </row>
    <row r="2111" spans="2:9" ht="25.5">
      <c r="B2111" s="3192" t="s">
        <v>676</v>
      </c>
      <c r="C2111" s="3063"/>
      <c r="D2111" s="3064"/>
      <c r="E2111" s="3064"/>
      <c r="F2111" s="3064"/>
      <c r="G2111" s="3301" t="s">
        <v>676</v>
      </c>
      <c r="H2111" s="3063"/>
      <c r="I2111" s="3030"/>
    </row>
    <row r="2112" spans="2:9">
      <c r="B2112" s="3192" t="s">
        <v>677</v>
      </c>
      <c r="C2112" s="3063"/>
      <c r="D2112" s="3064"/>
      <c r="E2112" s="3064"/>
      <c r="F2112" s="3064"/>
      <c r="G2112" s="3301" t="s">
        <v>677</v>
      </c>
      <c r="H2112" s="3063"/>
      <c r="I2112" s="3030"/>
    </row>
    <row r="2113" spans="2:9">
      <c r="B2113" s="3192" t="s">
        <v>678</v>
      </c>
      <c r="C2113" s="3063"/>
      <c r="D2113" s="3064"/>
      <c r="E2113" s="3064"/>
      <c r="F2113" s="3064"/>
      <c r="G2113" s="3301" t="s">
        <v>678</v>
      </c>
      <c r="H2113" s="3063"/>
      <c r="I2113" s="3030"/>
    </row>
    <row r="2114" spans="2:9">
      <c r="B2114" s="3192" t="s">
        <v>679</v>
      </c>
      <c r="C2114" s="3063"/>
      <c r="D2114" s="3064"/>
      <c r="E2114" s="3064"/>
      <c r="F2114" s="3064"/>
      <c r="G2114" s="3301" t="s">
        <v>679</v>
      </c>
      <c r="H2114" s="3063"/>
      <c r="I2114" s="3030"/>
    </row>
    <row r="2115" spans="2:9" ht="25.5">
      <c r="B2115" s="3192" t="s">
        <v>720</v>
      </c>
      <c r="C2115" s="3063"/>
      <c r="D2115" s="3064"/>
      <c r="E2115" s="3064"/>
      <c r="F2115" s="3064"/>
      <c r="G2115" s="3301" t="s">
        <v>720</v>
      </c>
      <c r="H2115" s="3063"/>
      <c r="I2115" s="3030"/>
    </row>
    <row r="2116" spans="2:9" ht="25.5">
      <c r="B2116" s="3230" t="s">
        <v>81</v>
      </c>
      <c r="C2116" s="3063"/>
      <c r="D2116" s="3064"/>
      <c r="E2116" s="3064"/>
      <c r="F2116" s="3064"/>
      <c r="G2116" s="3302" t="s">
        <v>81</v>
      </c>
      <c r="H2116" s="3063"/>
      <c r="I2116" s="3030"/>
    </row>
    <row r="2117" spans="2:9" ht="26.25" thickBot="1">
      <c r="B2117" s="3303" t="s">
        <v>81</v>
      </c>
      <c r="C2117" s="3063"/>
      <c r="D2117" s="3064"/>
      <c r="E2117" s="3064"/>
      <c r="F2117" s="3064"/>
      <c r="G2117" s="3302" t="s">
        <v>81</v>
      </c>
      <c r="H2117" s="3063"/>
      <c r="I2117" s="3030"/>
    </row>
    <row r="2118" spans="2:9" ht="25.5">
      <c r="B2118" s="3217" t="s">
        <v>696</v>
      </c>
      <c r="C2118" s="3218"/>
      <c r="D2118" s="3219"/>
      <c r="E2118" s="3219"/>
      <c r="F2118" s="3219"/>
      <c r="G2118" s="3217" t="s">
        <v>696</v>
      </c>
      <c r="H2118" s="3297"/>
      <c r="I2118" s="3298"/>
    </row>
    <row r="2119" spans="2:9">
      <c r="B2119" s="3299" t="s">
        <v>64</v>
      </c>
      <c r="C2119" s="3063"/>
      <c r="D2119" s="3064"/>
      <c r="E2119" s="3064"/>
      <c r="F2119" s="3064"/>
      <c r="G2119" s="3300" t="s">
        <v>64</v>
      </c>
      <c r="H2119" s="3063"/>
      <c r="I2119" s="3030"/>
    </row>
    <row r="2120" spans="2:9" ht="25.5">
      <c r="B2120" s="3192" t="s">
        <v>675</v>
      </c>
      <c r="C2120" s="3063"/>
      <c r="D2120" s="3064"/>
      <c r="E2120" s="3064"/>
      <c r="F2120" s="3064"/>
      <c r="G2120" s="3301" t="s">
        <v>675</v>
      </c>
      <c r="H2120" s="3063"/>
      <c r="I2120" s="3030"/>
    </row>
    <row r="2121" spans="2:9" ht="25.5">
      <c r="B2121" s="3192" t="s">
        <v>676</v>
      </c>
      <c r="C2121" s="3063"/>
      <c r="D2121" s="3064"/>
      <c r="E2121" s="3064"/>
      <c r="F2121" s="3064"/>
      <c r="G2121" s="3301" t="s">
        <v>676</v>
      </c>
      <c r="H2121" s="3063"/>
      <c r="I2121" s="3030"/>
    </row>
    <row r="2122" spans="2:9">
      <c r="B2122" s="3192" t="s">
        <v>677</v>
      </c>
      <c r="C2122" s="3063"/>
      <c r="D2122" s="3064"/>
      <c r="E2122" s="3064"/>
      <c r="F2122" s="3064"/>
      <c r="G2122" s="3301" t="s">
        <v>677</v>
      </c>
      <c r="H2122" s="3063"/>
      <c r="I2122" s="3030"/>
    </row>
    <row r="2123" spans="2:9">
      <c r="B2123" s="3192" t="s">
        <v>678</v>
      </c>
      <c r="C2123" s="3063"/>
      <c r="D2123" s="3064"/>
      <c r="E2123" s="3064"/>
      <c r="F2123" s="3064"/>
      <c r="G2123" s="3301" t="s">
        <v>678</v>
      </c>
      <c r="H2123" s="3063"/>
      <c r="I2123" s="3030"/>
    </row>
    <row r="2124" spans="2:9">
      <c r="B2124" s="3192" t="s">
        <v>679</v>
      </c>
      <c r="C2124" s="3063"/>
      <c r="D2124" s="3064"/>
      <c r="E2124" s="3064"/>
      <c r="F2124" s="3064"/>
      <c r="G2124" s="3301" t="s">
        <v>679</v>
      </c>
      <c r="H2124" s="3063"/>
      <c r="I2124" s="3030"/>
    </row>
    <row r="2125" spans="2:9" ht="25.5">
      <c r="B2125" s="3192" t="s">
        <v>720</v>
      </c>
      <c r="C2125" s="3063"/>
      <c r="D2125" s="3064"/>
      <c r="E2125" s="3064"/>
      <c r="F2125" s="3064"/>
      <c r="G2125" s="3301" t="s">
        <v>720</v>
      </c>
      <c r="H2125" s="3063"/>
      <c r="I2125" s="3030"/>
    </row>
    <row r="2126" spans="2:9">
      <c r="B2126" s="3299" t="s">
        <v>65</v>
      </c>
      <c r="C2126" s="3063"/>
      <c r="D2126" s="3064"/>
      <c r="E2126" s="3064"/>
      <c r="F2126" s="3064"/>
      <c r="G2126" s="3300" t="s">
        <v>65</v>
      </c>
      <c r="H2126" s="3063"/>
      <c r="I2126" s="3030"/>
    </row>
    <row r="2127" spans="2:9" ht="25.5">
      <c r="B2127" s="3192" t="s">
        <v>675</v>
      </c>
      <c r="C2127" s="3063"/>
      <c r="D2127" s="3064"/>
      <c r="E2127" s="3064"/>
      <c r="F2127" s="3064"/>
      <c r="G2127" s="3301" t="s">
        <v>675</v>
      </c>
      <c r="H2127" s="3063"/>
      <c r="I2127" s="3030"/>
    </row>
    <row r="2128" spans="2:9" ht="25.5">
      <c r="B2128" s="3192" t="s">
        <v>676</v>
      </c>
      <c r="C2128" s="3063"/>
      <c r="D2128" s="3064"/>
      <c r="E2128" s="3064"/>
      <c r="F2128" s="3064"/>
      <c r="G2128" s="3301" t="s">
        <v>676</v>
      </c>
      <c r="H2128" s="3063"/>
      <c r="I2128" s="3030"/>
    </row>
    <row r="2129" spans="2:9">
      <c r="B2129" s="3192" t="s">
        <v>677</v>
      </c>
      <c r="C2129" s="3063"/>
      <c r="D2129" s="3064"/>
      <c r="E2129" s="3064"/>
      <c r="F2129" s="3064"/>
      <c r="G2129" s="3301" t="s">
        <v>677</v>
      </c>
      <c r="H2129" s="3063"/>
      <c r="I2129" s="3030"/>
    </row>
    <row r="2130" spans="2:9">
      <c r="B2130" s="3192" t="s">
        <v>678</v>
      </c>
      <c r="C2130" s="3063"/>
      <c r="D2130" s="3064"/>
      <c r="E2130" s="3064"/>
      <c r="F2130" s="3064"/>
      <c r="G2130" s="3301" t="s">
        <v>678</v>
      </c>
      <c r="H2130" s="3063"/>
      <c r="I2130" s="3030"/>
    </row>
    <row r="2131" spans="2:9">
      <c r="B2131" s="3192" t="s">
        <v>679</v>
      </c>
      <c r="C2131" s="3063"/>
      <c r="D2131" s="3064"/>
      <c r="E2131" s="3064"/>
      <c r="F2131" s="3064"/>
      <c r="G2131" s="3301" t="s">
        <v>679</v>
      </c>
      <c r="H2131" s="3063"/>
      <c r="I2131" s="3030"/>
    </row>
    <row r="2132" spans="2:9" ht="25.5">
      <c r="B2132" s="3192" t="s">
        <v>720</v>
      </c>
      <c r="C2132" s="3063"/>
      <c r="D2132" s="3064"/>
      <c r="E2132" s="3064"/>
      <c r="F2132" s="3064"/>
      <c r="G2132" s="3301" t="s">
        <v>720</v>
      </c>
      <c r="H2132" s="3063"/>
      <c r="I2132" s="3030"/>
    </row>
    <row r="2133" spans="2:9">
      <c r="B2133" s="3299" t="s">
        <v>82</v>
      </c>
      <c r="C2133" s="3063"/>
      <c r="D2133" s="3064"/>
      <c r="E2133" s="3064"/>
      <c r="F2133" s="3064"/>
      <c r="G2133" s="3300" t="s">
        <v>82</v>
      </c>
      <c r="H2133" s="3063"/>
      <c r="I2133" s="3030"/>
    </row>
    <row r="2134" spans="2:9" ht="25.5">
      <c r="B2134" s="3192" t="s">
        <v>675</v>
      </c>
      <c r="C2134" s="3063"/>
      <c r="D2134" s="3064"/>
      <c r="E2134" s="3064"/>
      <c r="F2134" s="3064"/>
      <c r="G2134" s="3301" t="s">
        <v>675</v>
      </c>
      <c r="H2134" s="3063"/>
      <c r="I2134" s="3030"/>
    </row>
    <row r="2135" spans="2:9" ht="25.5">
      <c r="B2135" s="3192" t="s">
        <v>676</v>
      </c>
      <c r="C2135" s="3063"/>
      <c r="D2135" s="3064"/>
      <c r="E2135" s="3064"/>
      <c r="F2135" s="3064"/>
      <c r="G2135" s="3301" t="s">
        <v>676</v>
      </c>
      <c r="H2135" s="3063"/>
      <c r="I2135" s="3030"/>
    </row>
    <row r="2136" spans="2:9">
      <c r="B2136" s="3192" t="s">
        <v>677</v>
      </c>
      <c r="C2136" s="3063"/>
      <c r="D2136" s="3064"/>
      <c r="E2136" s="3064"/>
      <c r="F2136" s="3064"/>
      <c r="G2136" s="3301" t="s">
        <v>677</v>
      </c>
      <c r="H2136" s="3063"/>
      <c r="I2136" s="3030"/>
    </row>
    <row r="2137" spans="2:9">
      <c r="B2137" s="3192" t="s">
        <v>678</v>
      </c>
      <c r="C2137" s="3063"/>
      <c r="D2137" s="3064"/>
      <c r="E2137" s="3064"/>
      <c r="F2137" s="3064"/>
      <c r="G2137" s="3301" t="s">
        <v>678</v>
      </c>
      <c r="H2137" s="3063"/>
      <c r="I2137" s="3030"/>
    </row>
    <row r="2138" spans="2:9">
      <c r="B2138" s="3192" t="s">
        <v>679</v>
      </c>
      <c r="C2138" s="3063"/>
      <c r="D2138" s="3064"/>
      <c r="E2138" s="3064"/>
      <c r="F2138" s="3064"/>
      <c r="G2138" s="3301" t="s">
        <v>679</v>
      </c>
      <c r="H2138" s="3063"/>
      <c r="I2138" s="3030"/>
    </row>
    <row r="2139" spans="2:9" ht="25.5">
      <c r="B2139" s="3192" t="s">
        <v>720</v>
      </c>
      <c r="C2139" s="3063"/>
      <c r="D2139" s="3064"/>
      <c r="E2139" s="3064"/>
      <c r="F2139" s="3064"/>
      <c r="G2139" s="3301" t="s">
        <v>720</v>
      </c>
      <c r="H2139" s="3063"/>
      <c r="I2139" s="3030"/>
    </row>
    <row r="2140" spans="2:9" ht="38.25">
      <c r="B2140" s="3299" t="s">
        <v>680</v>
      </c>
      <c r="C2140" s="3063"/>
      <c r="D2140" s="3064"/>
      <c r="E2140" s="3064"/>
      <c r="F2140" s="3064"/>
      <c r="G2140" s="3300" t="s">
        <v>680</v>
      </c>
      <c r="H2140" s="3063"/>
      <c r="I2140" s="3030"/>
    </row>
    <row r="2141" spans="2:9" ht="25.5">
      <c r="B2141" s="3192" t="s">
        <v>675</v>
      </c>
      <c r="C2141" s="3063"/>
      <c r="D2141" s="3064"/>
      <c r="E2141" s="3064"/>
      <c r="F2141" s="3064"/>
      <c r="G2141" s="3301" t="s">
        <v>675</v>
      </c>
      <c r="H2141" s="3063"/>
      <c r="I2141" s="3030"/>
    </row>
    <row r="2142" spans="2:9" ht="25.5">
      <c r="B2142" s="3192" t="s">
        <v>676</v>
      </c>
      <c r="C2142" s="3063"/>
      <c r="D2142" s="3064"/>
      <c r="E2142" s="3064"/>
      <c r="F2142" s="3064"/>
      <c r="G2142" s="3301" t="s">
        <v>676</v>
      </c>
      <c r="H2142" s="3063"/>
      <c r="I2142" s="3030"/>
    </row>
    <row r="2143" spans="2:9">
      <c r="B2143" s="3192" t="s">
        <v>677</v>
      </c>
      <c r="C2143" s="3063"/>
      <c r="D2143" s="3064"/>
      <c r="E2143" s="3064"/>
      <c r="F2143" s="3064"/>
      <c r="G2143" s="3301" t="s">
        <v>677</v>
      </c>
      <c r="H2143" s="3063"/>
      <c r="I2143" s="3030"/>
    </row>
    <row r="2144" spans="2:9">
      <c r="B2144" s="3192" t="s">
        <v>678</v>
      </c>
      <c r="C2144" s="3063"/>
      <c r="D2144" s="3064"/>
      <c r="E2144" s="3064"/>
      <c r="F2144" s="3064"/>
      <c r="G2144" s="3301" t="s">
        <v>678</v>
      </c>
      <c r="H2144" s="3063"/>
      <c r="I2144" s="3030"/>
    </row>
    <row r="2145" spans="2:9">
      <c r="B2145" s="3192" t="s">
        <v>679</v>
      </c>
      <c r="C2145" s="3063"/>
      <c r="D2145" s="3064"/>
      <c r="E2145" s="3064"/>
      <c r="F2145" s="3064"/>
      <c r="G2145" s="3301" t="s">
        <v>679</v>
      </c>
      <c r="H2145" s="3063"/>
      <c r="I2145" s="3030"/>
    </row>
    <row r="2146" spans="2:9" ht="25.5">
      <c r="B2146" s="3192" t="s">
        <v>720</v>
      </c>
      <c r="C2146" s="3063"/>
      <c r="D2146" s="3064"/>
      <c r="E2146" s="3064"/>
      <c r="F2146" s="3064"/>
      <c r="G2146" s="3301" t="s">
        <v>720</v>
      </c>
      <c r="H2146" s="3063"/>
      <c r="I2146" s="3030"/>
    </row>
    <row r="2147" spans="2:9" ht="38.25">
      <c r="B2147" s="3299" t="s">
        <v>681</v>
      </c>
      <c r="C2147" s="3063"/>
      <c r="D2147" s="3064"/>
      <c r="E2147" s="3064"/>
      <c r="F2147" s="3064">
        <v>3</v>
      </c>
      <c r="G2147" s="3300" t="s">
        <v>681</v>
      </c>
      <c r="H2147" s="3063">
        <v>0.20395402099502399</v>
      </c>
      <c r="I2147" s="3030"/>
    </row>
    <row r="2148" spans="2:9" ht="25.5">
      <c r="B2148" s="3192" t="s">
        <v>675</v>
      </c>
      <c r="C2148" s="3063"/>
      <c r="D2148" s="3064"/>
      <c r="E2148" s="3064"/>
      <c r="F2148" s="3064"/>
      <c r="G2148" s="3301" t="s">
        <v>675</v>
      </c>
      <c r="H2148" s="3063"/>
      <c r="I2148" s="3030"/>
    </row>
    <row r="2149" spans="2:9" ht="25.5">
      <c r="B2149" s="3192" t="s">
        <v>676</v>
      </c>
      <c r="C2149" s="3063"/>
      <c r="D2149" s="3064"/>
      <c r="E2149" s="3064"/>
      <c r="F2149" s="3064"/>
      <c r="G2149" s="3301" t="s">
        <v>676</v>
      </c>
      <c r="H2149" s="3063"/>
      <c r="I2149" s="3030"/>
    </row>
    <row r="2150" spans="2:9">
      <c r="B2150" s="3192" t="s">
        <v>677</v>
      </c>
      <c r="C2150" s="3063"/>
      <c r="D2150" s="3064"/>
      <c r="E2150" s="3064"/>
      <c r="F2150" s="3064"/>
      <c r="G2150" s="3301" t="s">
        <v>677</v>
      </c>
      <c r="H2150" s="3063"/>
      <c r="I2150" s="3030"/>
    </row>
    <row r="2151" spans="2:9">
      <c r="B2151" s="3192" t="s">
        <v>678</v>
      </c>
      <c r="C2151" s="3063">
        <v>2</v>
      </c>
      <c r="D2151" s="3064"/>
      <c r="E2151" s="3064"/>
      <c r="F2151" s="3064"/>
      <c r="G2151" s="3301" t="s">
        <v>678</v>
      </c>
      <c r="H2151" s="3063"/>
      <c r="I2151" s="3030"/>
    </row>
    <row r="2152" spans="2:9">
      <c r="B2152" s="3192" t="s">
        <v>679</v>
      </c>
      <c r="C2152" s="3063"/>
      <c r="D2152" s="3064"/>
      <c r="E2152" s="3064"/>
      <c r="F2152" s="3064"/>
      <c r="G2152" s="3301" t="s">
        <v>679</v>
      </c>
      <c r="H2152" s="3063"/>
      <c r="I2152" s="3030"/>
    </row>
    <row r="2153" spans="2:9" ht="25.5">
      <c r="B2153" s="3192" t="s">
        <v>720</v>
      </c>
      <c r="C2153" s="3063"/>
      <c r="D2153" s="3064"/>
      <c r="E2153" s="3064"/>
      <c r="F2153" s="3064"/>
      <c r="G2153" s="3301" t="s">
        <v>720</v>
      </c>
      <c r="H2153" s="3063"/>
      <c r="I2153" s="3030"/>
    </row>
    <row r="2154" spans="2:9" ht="25.5">
      <c r="B2154" s="3299" t="s">
        <v>682</v>
      </c>
      <c r="C2154" s="3063"/>
      <c r="D2154" s="3064"/>
      <c r="E2154" s="3064"/>
      <c r="F2154" s="3064"/>
      <c r="G2154" s="3300" t="s">
        <v>682</v>
      </c>
      <c r="H2154" s="3063"/>
      <c r="I2154" s="3030"/>
    </row>
    <row r="2155" spans="2:9" ht="25.5">
      <c r="B2155" s="3192" t="s">
        <v>675</v>
      </c>
      <c r="C2155" s="3063"/>
      <c r="D2155" s="3064"/>
      <c r="E2155" s="3064"/>
      <c r="F2155" s="3064"/>
      <c r="G2155" s="3301" t="s">
        <v>675</v>
      </c>
      <c r="H2155" s="3063"/>
      <c r="I2155" s="3030"/>
    </row>
    <row r="2156" spans="2:9" ht="25.5">
      <c r="B2156" s="3192" t="s">
        <v>676</v>
      </c>
      <c r="C2156" s="3063"/>
      <c r="D2156" s="3064"/>
      <c r="E2156" s="3064"/>
      <c r="F2156" s="3064"/>
      <c r="G2156" s="3301" t="s">
        <v>676</v>
      </c>
      <c r="H2156" s="3063"/>
      <c r="I2156" s="3030"/>
    </row>
    <row r="2157" spans="2:9">
      <c r="B2157" s="3192" t="s">
        <v>677</v>
      </c>
      <c r="C2157" s="3063"/>
      <c r="D2157" s="3064"/>
      <c r="E2157" s="3064"/>
      <c r="F2157" s="3064"/>
      <c r="G2157" s="3301" t="s">
        <v>677</v>
      </c>
      <c r="H2157" s="3063"/>
      <c r="I2157" s="3030"/>
    </row>
    <row r="2158" spans="2:9">
      <c r="B2158" s="3192" t="s">
        <v>678</v>
      </c>
      <c r="C2158" s="3063"/>
      <c r="D2158" s="3064"/>
      <c r="E2158" s="3064"/>
      <c r="F2158" s="3064"/>
      <c r="G2158" s="3301" t="s">
        <v>678</v>
      </c>
      <c r="H2158" s="3063"/>
      <c r="I2158" s="3030"/>
    </row>
    <row r="2159" spans="2:9">
      <c r="B2159" s="3192" t="s">
        <v>679</v>
      </c>
      <c r="C2159" s="3063"/>
      <c r="D2159" s="3064"/>
      <c r="E2159" s="3064"/>
      <c r="F2159" s="3064"/>
      <c r="G2159" s="3301" t="s">
        <v>679</v>
      </c>
      <c r="H2159" s="3063"/>
      <c r="I2159" s="3030"/>
    </row>
    <row r="2160" spans="2:9" ht="25.5">
      <c r="B2160" s="3192" t="s">
        <v>720</v>
      </c>
      <c r="C2160" s="3063"/>
      <c r="D2160" s="3064"/>
      <c r="E2160" s="3064"/>
      <c r="F2160" s="3064"/>
      <c r="G2160" s="3301" t="s">
        <v>720</v>
      </c>
      <c r="H2160" s="3063"/>
      <c r="I2160" s="3030"/>
    </row>
    <row r="2161" spans="2:9" ht="25.5">
      <c r="B2161" s="3299" t="s">
        <v>66</v>
      </c>
      <c r="C2161" s="3063"/>
      <c r="D2161" s="3064"/>
      <c r="E2161" s="3064"/>
      <c r="F2161" s="3064"/>
      <c r="G2161" s="3300" t="s">
        <v>66</v>
      </c>
      <c r="H2161" s="3063">
        <v>9.4596194486443241E-2</v>
      </c>
      <c r="I2161" s="3030"/>
    </row>
    <row r="2162" spans="2:9" ht="25.5">
      <c r="B2162" s="3192" t="s">
        <v>675</v>
      </c>
      <c r="C2162" s="3063"/>
      <c r="D2162" s="3064">
        <v>1</v>
      </c>
      <c r="E2162" s="3064"/>
      <c r="F2162" s="3064"/>
      <c r="G2162" s="3301" t="s">
        <v>675</v>
      </c>
      <c r="H2162" s="3063"/>
      <c r="I2162" s="3030">
        <v>8.38855800687862E-2</v>
      </c>
    </row>
    <row r="2163" spans="2:9" ht="25.5">
      <c r="B2163" s="3192" t="s">
        <v>676</v>
      </c>
      <c r="C2163" s="3063"/>
      <c r="D2163" s="3064"/>
      <c r="E2163" s="3064"/>
      <c r="F2163" s="3064"/>
      <c r="G2163" s="3301" t="s">
        <v>676</v>
      </c>
      <c r="H2163" s="3063"/>
      <c r="I2163" s="3030"/>
    </row>
    <row r="2164" spans="2:9">
      <c r="B2164" s="3192" t="s">
        <v>677</v>
      </c>
      <c r="C2164" s="3063"/>
      <c r="D2164" s="3064"/>
      <c r="E2164" s="3064"/>
      <c r="F2164" s="3064"/>
      <c r="G2164" s="3301" t="s">
        <v>677</v>
      </c>
      <c r="H2164" s="3063"/>
      <c r="I2164" s="3030"/>
    </row>
    <row r="2165" spans="2:9">
      <c r="B2165" s="3192" t="s">
        <v>678</v>
      </c>
      <c r="C2165" s="3063"/>
      <c r="D2165" s="3064"/>
      <c r="E2165" s="3064"/>
      <c r="F2165" s="3064"/>
      <c r="G2165" s="3301" t="s">
        <v>678</v>
      </c>
      <c r="H2165" s="3063"/>
      <c r="I2165" s="3030"/>
    </row>
    <row r="2166" spans="2:9">
      <c r="B2166" s="3192" t="s">
        <v>679</v>
      </c>
      <c r="C2166" s="3063"/>
      <c r="D2166" s="3064"/>
      <c r="E2166" s="3064"/>
      <c r="F2166" s="3064"/>
      <c r="G2166" s="3301" t="s">
        <v>679</v>
      </c>
      <c r="H2166" s="3063"/>
      <c r="I2166" s="3030"/>
    </row>
    <row r="2167" spans="2:9" ht="25.5">
      <c r="B2167" s="3192" t="s">
        <v>720</v>
      </c>
      <c r="C2167" s="3063"/>
      <c r="D2167" s="3064"/>
      <c r="E2167" s="3064"/>
      <c r="F2167" s="3064"/>
      <c r="G2167" s="3301" t="s">
        <v>720</v>
      </c>
      <c r="H2167" s="3063"/>
      <c r="I2167" s="3030"/>
    </row>
    <row r="2168" spans="2:9">
      <c r="B2168" s="3299" t="s">
        <v>67</v>
      </c>
      <c r="C2168" s="3063"/>
      <c r="D2168" s="3064"/>
      <c r="E2168" s="3064"/>
      <c r="F2168" s="3064">
        <v>5</v>
      </c>
      <c r="G2168" s="3300" t="s">
        <v>67</v>
      </c>
      <c r="H2168" s="3063">
        <v>0.76137298139301279</v>
      </c>
      <c r="I2168" s="3030"/>
    </row>
    <row r="2169" spans="2:9" ht="25.5">
      <c r="B2169" s="3192" t="s">
        <v>675</v>
      </c>
      <c r="C2169" s="3063">
        <v>4</v>
      </c>
      <c r="D2169" s="3064"/>
      <c r="E2169" s="3064"/>
      <c r="F2169" s="3064"/>
      <c r="G2169" s="3301" t="s">
        <v>675</v>
      </c>
      <c r="H2169" s="3063"/>
      <c r="I2169" s="3030">
        <v>0.30993336432666962</v>
      </c>
    </row>
    <row r="2170" spans="2:9" ht="25.5">
      <c r="B2170" s="3192" t="s">
        <v>676</v>
      </c>
      <c r="C2170" s="3063"/>
      <c r="D2170" s="3064"/>
      <c r="E2170" s="3064"/>
      <c r="F2170" s="3064"/>
      <c r="G2170" s="3301" t="s">
        <v>676</v>
      </c>
      <c r="H2170" s="3063"/>
      <c r="I2170" s="3030"/>
    </row>
    <row r="2171" spans="2:9">
      <c r="B2171" s="3192" t="s">
        <v>677</v>
      </c>
      <c r="C2171" s="3063"/>
      <c r="D2171" s="3064"/>
      <c r="E2171" s="3064"/>
      <c r="F2171" s="3064"/>
      <c r="G2171" s="3301" t="s">
        <v>677</v>
      </c>
      <c r="H2171" s="3063"/>
      <c r="I2171" s="3030"/>
    </row>
    <row r="2172" spans="2:9">
      <c r="B2172" s="3192" t="s">
        <v>678</v>
      </c>
      <c r="C2172" s="3063"/>
      <c r="D2172" s="3064"/>
      <c r="E2172" s="3064"/>
      <c r="F2172" s="3064"/>
      <c r="G2172" s="3301" t="s">
        <v>678</v>
      </c>
      <c r="H2172" s="3063"/>
      <c r="I2172" s="3030"/>
    </row>
    <row r="2173" spans="2:9">
      <c r="B2173" s="3192" t="s">
        <v>679</v>
      </c>
      <c r="C2173" s="3063"/>
      <c r="D2173" s="3064"/>
      <c r="E2173" s="3064"/>
      <c r="F2173" s="3064"/>
      <c r="G2173" s="3301" t="s">
        <v>679</v>
      </c>
      <c r="H2173" s="3063"/>
      <c r="I2173" s="3030"/>
    </row>
    <row r="2174" spans="2:9" ht="25.5">
      <c r="B2174" s="3230" t="s">
        <v>81</v>
      </c>
      <c r="C2174" s="3063"/>
      <c r="D2174" s="3064"/>
      <c r="E2174" s="3064"/>
      <c r="F2174" s="3064"/>
      <c r="G2174" s="3302" t="s">
        <v>81</v>
      </c>
      <c r="H2174" s="3063"/>
      <c r="I2174" s="3030"/>
    </row>
    <row r="2175" spans="2:9" ht="26.25" thickBot="1">
      <c r="B2175" s="3303" t="s">
        <v>81</v>
      </c>
      <c r="C2175" s="3063"/>
      <c r="D2175" s="3064"/>
      <c r="E2175" s="3064"/>
      <c r="F2175" s="3064"/>
      <c r="G2175" s="3302" t="s">
        <v>81</v>
      </c>
      <c r="H2175" s="3063"/>
      <c r="I2175" s="3030"/>
    </row>
    <row r="2176" spans="2:9">
      <c r="B2176" s="3217" t="s">
        <v>697</v>
      </c>
      <c r="C2176" s="3218"/>
      <c r="D2176" s="3219"/>
      <c r="E2176" s="3219"/>
      <c r="F2176" s="3219"/>
      <c r="G2176" s="3217" t="s">
        <v>697</v>
      </c>
      <c r="H2176" s="3297"/>
      <c r="I2176" s="3298"/>
    </row>
    <row r="2177" spans="2:9">
      <c r="B2177" s="3299" t="s">
        <v>64</v>
      </c>
      <c r="C2177" s="3063"/>
      <c r="D2177" s="3064"/>
      <c r="E2177" s="3064"/>
      <c r="F2177" s="3064"/>
      <c r="G2177" s="3300" t="s">
        <v>64</v>
      </c>
      <c r="H2177" s="3063"/>
      <c r="I2177" s="3030"/>
    </row>
    <row r="2178" spans="2:9" ht="25.5">
      <c r="B2178" s="3192" t="s">
        <v>675</v>
      </c>
      <c r="C2178" s="3063"/>
      <c r="D2178" s="3064"/>
      <c r="E2178" s="3064"/>
      <c r="F2178" s="3064"/>
      <c r="G2178" s="3301" t="s">
        <v>675</v>
      </c>
      <c r="H2178" s="3063"/>
      <c r="I2178" s="3030"/>
    </row>
    <row r="2179" spans="2:9" ht="25.5">
      <c r="B2179" s="3192" t="s">
        <v>676</v>
      </c>
      <c r="C2179" s="3063"/>
      <c r="D2179" s="3064"/>
      <c r="E2179" s="3064"/>
      <c r="F2179" s="3064"/>
      <c r="G2179" s="3301" t="s">
        <v>676</v>
      </c>
      <c r="H2179" s="3063"/>
      <c r="I2179" s="3030"/>
    </row>
    <row r="2180" spans="2:9">
      <c r="B2180" s="3192" t="s">
        <v>677</v>
      </c>
      <c r="C2180" s="3063"/>
      <c r="D2180" s="3064"/>
      <c r="E2180" s="3064"/>
      <c r="F2180" s="3064"/>
      <c r="G2180" s="3301" t="s">
        <v>677</v>
      </c>
      <c r="H2180" s="3063"/>
      <c r="I2180" s="3030"/>
    </row>
    <row r="2181" spans="2:9">
      <c r="B2181" s="3192" t="s">
        <v>678</v>
      </c>
      <c r="C2181" s="3063"/>
      <c r="D2181" s="3064"/>
      <c r="E2181" s="3064"/>
      <c r="F2181" s="3064"/>
      <c r="G2181" s="3301" t="s">
        <v>678</v>
      </c>
      <c r="H2181" s="3063"/>
      <c r="I2181" s="3030"/>
    </row>
    <row r="2182" spans="2:9">
      <c r="B2182" s="3192" t="s">
        <v>679</v>
      </c>
      <c r="C2182" s="3063"/>
      <c r="D2182" s="3064"/>
      <c r="E2182" s="3064"/>
      <c r="F2182" s="3064"/>
      <c r="G2182" s="3301" t="s">
        <v>679</v>
      </c>
      <c r="H2182" s="3063"/>
      <c r="I2182" s="3030"/>
    </row>
    <row r="2183" spans="2:9" ht="25.5">
      <c r="B2183" s="3192" t="s">
        <v>720</v>
      </c>
      <c r="C2183" s="3063"/>
      <c r="D2183" s="3064"/>
      <c r="E2183" s="3064"/>
      <c r="F2183" s="3064"/>
      <c r="G2183" s="3301" t="s">
        <v>720</v>
      </c>
      <c r="H2183" s="3063"/>
      <c r="I2183" s="3030"/>
    </row>
    <row r="2184" spans="2:9">
      <c r="B2184" s="3299" t="s">
        <v>65</v>
      </c>
      <c r="C2184" s="3063"/>
      <c r="D2184" s="3064"/>
      <c r="E2184" s="3064"/>
      <c r="F2184" s="3064"/>
      <c r="G2184" s="3300" t="s">
        <v>65</v>
      </c>
      <c r="H2184" s="3063"/>
      <c r="I2184" s="3030"/>
    </row>
    <row r="2185" spans="2:9" ht="25.5">
      <c r="B2185" s="3192" t="s">
        <v>675</v>
      </c>
      <c r="C2185" s="3063"/>
      <c r="D2185" s="3064"/>
      <c r="E2185" s="3064"/>
      <c r="F2185" s="3064"/>
      <c r="G2185" s="3301" t="s">
        <v>675</v>
      </c>
      <c r="H2185" s="3063"/>
      <c r="I2185" s="3030"/>
    </row>
    <row r="2186" spans="2:9" ht="25.5">
      <c r="B2186" s="3192" t="s">
        <v>676</v>
      </c>
      <c r="C2186" s="3063"/>
      <c r="D2186" s="3064"/>
      <c r="E2186" s="3064"/>
      <c r="F2186" s="3064"/>
      <c r="G2186" s="3301" t="s">
        <v>676</v>
      </c>
      <c r="H2186" s="3063"/>
      <c r="I2186" s="3030"/>
    </row>
    <row r="2187" spans="2:9">
      <c r="B2187" s="3192" t="s">
        <v>677</v>
      </c>
      <c r="C2187" s="3063"/>
      <c r="D2187" s="3064"/>
      <c r="E2187" s="3064"/>
      <c r="F2187" s="3064"/>
      <c r="G2187" s="3301" t="s">
        <v>677</v>
      </c>
      <c r="H2187" s="3063"/>
      <c r="I2187" s="3030"/>
    </row>
    <row r="2188" spans="2:9">
      <c r="B2188" s="3192" t="s">
        <v>678</v>
      </c>
      <c r="C2188" s="3063"/>
      <c r="D2188" s="3064"/>
      <c r="E2188" s="3064"/>
      <c r="F2188" s="3064"/>
      <c r="G2188" s="3301" t="s">
        <v>678</v>
      </c>
      <c r="H2188" s="3063"/>
      <c r="I2188" s="3030"/>
    </row>
    <row r="2189" spans="2:9">
      <c r="B2189" s="3192" t="s">
        <v>679</v>
      </c>
      <c r="C2189" s="3063"/>
      <c r="D2189" s="3064"/>
      <c r="E2189" s="3064"/>
      <c r="F2189" s="3064"/>
      <c r="G2189" s="3301" t="s">
        <v>679</v>
      </c>
      <c r="H2189" s="3063"/>
      <c r="I2189" s="3030"/>
    </row>
    <row r="2190" spans="2:9" ht="25.5">
      <c r="B2190" s="3192" t="s">
        <v>720</v>
      </c>
      <c r="C2190" s="3063"/>
      <c r="D2190" s="3064"/>
      <c r="E2190" s="3064"/>
      <c r="F2190" s="3064"/>
      <c r="G2190" s="3301" t="s">
        <v>720</v>
      </c>
      <c r="H2190" s="3063"/>
      <c r="I2190" s="3030"/>
    </row>
    <row r="2191" spans="2:9">
      <c r="B2191" s="3299" t="s">
        <v>82</v>
      </c>
      <c r="C2191" s="3063"/>
      <c r="D2191" s="3064"/>
      <c r="E2191" s="3064"/>
      <c r="F2191" s="3064"/>
      <c r="G2191" s="3300" t="s">
        <v>82</v>
      </c>
      <c r="H2191" s="3063"/>
      <c r="I2191" s="3030"/>
    </row>
    <row r="2192" spans="2:9" ht="25.5">
      <c r="B2192" s="3192" t="s">
        <v>675</v>
      </c>
      <c r="C2192" s="3063"/>
      <c r="D2192" s="3064"/>
      <c r="E2192" s="3064"/>
      <c r="F2192" s="3064"/>
      <c r="G2192" s="3301" t="s">
        <v>675</v>
      </c>
      <c r="H2192" s="3063"/>
      <c r="I2192" s="3030"/>
    </row>
    <row r="2193" spans="2:9" ht="25.5">
      <c r="B2193" s="3192" t="s">
        <v>676</v>
      </c>
      <c r="C2193" s="3063"/>
      <c r="D2193" s="3064"/>
      <c r="E2193" s="3064"/>
      <c r="F2193" s="3064"/>
      <c r="G2193" s="3301" t="s">
        <v>676</v>
      </c>
      <c r="H2193" s="3063"/>
      <c r="I2193" s="3030"/>
    </row>
    <row r="2194" spans="2:9">
      <c r="B2194" s="3192" t="s">
        <v>677</v>
      </c>
      <c r="C2194" s="3063"/>
      <c r="D2194" s="3064"/>
      <c r="E2194" s="3064"/>
      <c r="F2194" s="3064"/>
      <c r="G2194" s="3301" t="s">
        <v>677</v>
      </c>
      <c r="H2194" s="3063"/>
      <c r="I2194" s="3030"/>
    </row>
    <row r="2195" spans="2:9">
      <c r="B2195" s="3192" t="s">
        <v>678</v>
      </c>
      <c r="C2195" s="3063"/>
      <c r="D2195" s="3064"/>
      <c r="E2195" s="3064"/>
      <c r="F2195" s="3064"/>
      <c r="G2195" s="3301" t="s">
        <v>678</v>
      </c>
      <c r="H2195" s="3063"/>
      <c r="I2195" s="3030"/>
    </row>
    <row r="2196" spans="2:9">
      <c r="B2196" s="3192" t="s">
        <v>679</v>
      </c>
      <c r="C2196" s="3063"/>
      <c r="D2196" s="3064"/>
      <c r="E2196" s="3064"/>
      <c r="F2196" s="3064"/>
      <c r="G2196" s="3301" t="s">
        <v>679</v>
      </c>
      <c r="H2196" s="3063"/>
      <c r="I2196" s="3030"/>
    </row>
    <row r="2197" spans="2:9" ht="25.5">
      <c r="B2197" s="3192" t="s">
        <v>720</v>
      </c>
      <c r="C2197" s="3063"/>
      <c r="D2197" s="3064"/>
      <c r="E2197" s="3064"/>
      <c r="F2197" s="3064"/>
      <c r="G2197" s="3301" t="s">
        <v>720</v>
      </c>
      <c r="H2197" s="3063"/>
      <c r="I2197" s="3030"/>
    </row>
    <row r="2198" spans="2:9" ht="38.25">
      <c r="B2198" s="3299" t="s">
        <v>680</v>
      </c>
      <c r="C2198" s="3063"/>
      <c r="D2198" s="3064"/>
      <c r="E2198" s="3064"/>
      <c r="F2198" s="3064"/>
      <c r="G2198" s="3300" t="s">
        <v>680</v>
      </c>
      <c r="H2198" s="3063"/>
      <c r="I2198" s="3030"/>
    </row>
    <row r="2199" spans="2:9" ht="25.5">
      <c r="B2199" s="3192" t="s">
        <v>675</v>
      </c>
      <c r="C2199" s="3063"/>
      <c r="D2199" s="3064"/>
      <c r="E2199" s="3064"/>
      <c r="F2199" s="3064"/>
      <c r="G2199" s="3301" t="s">
        <v>675</v>
      </c>
      <c r="H2199" s="3063"/>
      <c r="I2199" s="3030"/>
    </row>
    <row r="2200" spans="2:9" ht="25.5">
      <c r="B2200" s="3192" t="s">
        <v>676</v>
      </c>
      <c r="C2200" s="3063"/>
      <c r="D2200" s="3064"/>
      <c r="E2200" s="3064"/>
      <c r="F2200" s="3064"/>
      <c r="G2200" s="3301" t="s">
        <v>676</v>
      </c>
      <c r="H2200" s="3063"/>
      <c r="I2200" s="3030"/>
    </row>
    <row r="2201" spans="2:9">
      <c r="B2201" s="3192" t="s">
        <v>677</v>
      </c>
      <c r="C2201" s="3063"/>
      <c r="D2201" s="3064"/>
      <c r="E2201" s="3064"/>
      <c r="F2201" s="3064"/>
      <c r="G2201" s="3301" t="s">
        <v>677</v>
      </c>
      <c r="H2201" s="3063"/>
      <c r="I2201" s="3030"/>
    </row>
    <row r="2202" spans="2:9">
      <c r="B2202" s="3192" t="s">
        <v>678</v>
      </c>
      <c r="C2202" s="3063"/>
      <c r="D2202" s="3064"/>
      <c r="E2202" s="3064"/>
      <c r="F2202" s="3064"/>
      <c r="G2202" s="3301" t="s">
        <v>678</v>
      </c>
      <c r="H2202" s="3063"/>
      <c r="I2202" s="3030"/>
    </row>
    <row r="2203" spans="2:9">
      <c r="B2203" s="3192" t="s">
        <v>679</v>
      </c>
      <c r="C2203" s="3063"/>
      <c r="D2203" s="3064"/>
      <c r="E2203" s="3064"/>
      <c r="F2203" s="3064"/>
      <c r="G2203" s="3301" t="s">
        <v>679</v>
      </c>
      <c r="H2203" s="3063"/>
      <c r="I2203" s="3030"/>
    </row>
    <row r="2204" spans="2:9" ht="25.5">
      <c r="B2204" s="3192" t="s">
        <v>720</v>
      </c>
      <c r="C2204" s="3063"/>
      <c r="D2204" s="3064"/>
      <c r="E2204" s="3064"/>
      <c r="F2204" s="3064"/>
      <c r="G2204" s="3301" t="s">
        <v>720</v>
      </c>
      <c r="H2204" s="3063"/>
      <c r="I2204" s="3030"/>
    </row>
    <row r="2205" spans="2:9" ht="38.25">
      <c r="B2205" s="3299" t="s">
        <v>681</v>
      </c>
      <c r="C2205" s="3063"/>
      <c r="D2205" s="3064"/>
      <c r="E2205" s="3064"/>
      <c r="F2205" s="3064"/>
      <c r="G2205" s="3300" t="s">
        <v>681</v>
      </c>
      <c r="H2205" s="3063">
        <v>6.1409972979611864E-2</v>
      </c>
      <c r="I2205" s="3030"/>
    </row>
    <row r="2206" spans="2:9" ht="25.5">
      <c r="B2206" s="3192" t="s">
        <v>675</v>
      </c>
      <c r="C2206" s="3063"/>
      <c r="D2206" s="3064">
        <v>1</v>
      </c>
      <c r="E2206" s="3064"/>
      <c r="F2206" s="3064"/>
      <c r="G2206" s="3301" t="s">
        <v>675</v>
      </c>
      <c r="H2206" s="3063"/>
      <c r="I2206" s="3030"/>
    </row>
    <row r="2207" spans="2:9" ht="25.5">
      <c r="B2207" s="3192" t="s">
        <v>676</v>
      </c>
      <c r="C2207" s="3063"/>
      <c r="D2207" s="3064"/>
      <c r="E2207" s="3064"/>
      <c r="F2207" s="3064"/>
      <c r="G2207" s="3301" t="s">
        <v>676</v>
      </c>
      <c r="H2207" s="3063"/>
      <c r="I2207" s="3030"/>
    </row>
    <row r="2208" spans="2:9">
      <c r="B2208" s="3192" t="s">
        <v>677</v>
      </c>
      <c r="C2208" s="3063"/>
      <c r="D2208" s="3064"/>
      <c r="E2208" s="3064"/>
      <c r="F2208" s="3064"/>
      <c r="G2208" s="3301" t="s">
        <v>677</v>
      </c>
      <c r="H2208" s="3063"/>
      <c r="I2208" s="3030"/>
    </row>
    <row r="2209" spans="2:9">
      <c r="B2209" s="3192" t="s">
        <v>678</v>
      </c>
      <c r="C2209" s="3063"/>
      <c r="D2209" s="3064"/>
      <c r="E2209" s="3064"/>
      <c r="F2209" s="3064"/>
      <c r="G2209" s="3301" t="s">
        <v>678</v>
      </c>
      <c r="H2209" s="3063"/>
      <c r="I2209" s="3030"/>
    </row>
    <row r="2210" spans="2:9">
      <c r="B2210" s="3192" t="s">
        <v>679</v>
      </c>
      <c r="C2210" s="3063"/>
      <c r="D2210" s="3064"/>
      <c r="E2210" s="3064"/>
      <c r="F2210" s="3064"/>
      <c r="G2210" s="3301" t="s">
        <v>679</v>
      </c>
      <c r="H2210" s="3063"/>
      <c r="I2210" s="3030"/>
    </row>
    <row r="2211" spans="2:9" ht="25.5">
      <c r="B2211" s="3192" t="s">
        <v>720</v>
      </c>
      <c r="C2211" s="3063"/>
      <c r="D2211" s="3064"/>
      <c r="E2211" s="3064"/>
      <c r="F2211" s="3064"/>
      <c r="G2211" s="3301" t="s">
        <v>720</v>
      </c>
      <c r="H2211" s="3063"/>
      <c r="I2211" s="3030"/>
    </row>
    <row r="2212" spans="2:9" ht="25.5">
      <c r="B2212" s="3299" t="s">
        <v>682</v>
      </c>
      <c r="C2212" s="3063"/>
      <c r="D2212" s="3064"/>
      <c r="E2212" s="3064"/>
      <c r="F2212" s="3064"/>
      <c r="G2212" s="3300" t="s">
        <v>682</v>
      </c>
      <c r="H2212" s="3063"/>
      <c r="I2212" s="3030"/>
    </row>
    <row r="2213" spans="2:9" ht="25.5">
      <c r="B2213" s="3192" t="s">
        <v>675</v>
      </c>
      <c r="C2213" s="3063"/>
      <c r="D2213" s="3064"/>
      <c r="E2213" s="3064"/>
      <c r="F2213" s="3064"/>
      <c r="G2213" s="3301" t="s">
        <v>675</v>
      </c>
      <c r="H2213" s="3063"/>
      <c r="I2213" s="3030"/>
    </row>
    <row r="2214" spans="2:9" ht="25.5">
      <c r="B2214" s="3192" t="s">
        <v>676</v>
      </c>
      <c r="C2214" s="3063"/>
      <c r="D2214" s="3064"/>
      <c r="E2214" s="3064"/>
      <c r="F2214" s="3064"/>
      <c r="G2214" s="3301" t="s">
        <v>676</v>
      </c>
      <c r="H2214" s="3063"/>
      <c r="I2214" s="3030"/>
    </row>
    <row r="2215" spans="2:9">
      <c r="B2215" s="3192" t="s">
        <v>677</v>
      </c>
      <c r="C2215" s="3063"/>
      <c r="D2215" s="3064"/>
      <c r="E2215" s="3064"/>
      <c r="F2215" s="3064"/>
      <c r="G2215" s="3301" t="s">
        <v>677</v>
      </c>
      <c r="H2215" s="3063"/>
      <c r="I2215" s="3030"/>
    </row>
    <row r="2216" spans="2:9">
      <c r="B2216" s="3192" t="s">
        <v>678</v>
      </c>
      <c r="C2216" s="3063"/>
      <c r="D2216" s="3064"/>
      <c r="E2216" s="3064"/>
      <c r="F2216" s="3064"/>
      <c r="G2216" s="3301" t="s">
        <v>678</v>
      </c>
      <c r="H2216" s="3063"/>
      <c r="I2216" s="3030"/>
    </row>
    <row r="2217" spans="2:9">
      <c r="B2217" s="3192" t="s">
        <v>679</v>
      </c>
      <c r="C2217" s="3063"/>
      <c r="D2217" s="3064"/>
      <c r="E2217" s="3064"/>
      <c r="F2217" s="3064"/>
      <c r="G2217" s="3301" t="s">
        <v>679</v>
      </c>
      <c r="H2217" s="3063"/>
      <c r="I2217" s="3030"/>
    </row>
    <row r="2218" spans="2:9" ht="25.5">
      <c r="B2218" s="3192" t="s">
        <v>720</v>
      </c>
      <c r="C2218" s="3063"/>
      <c r="D2218" s="3064"/>
      <c r="E2218" s="3064"/>
      <c r="F2218" s="3064"/>
      <c r="G2218" s="3301" t="s">
        <v>720</v>
      </c>
      <c r="H2218" s="3063"/>
      <c r="I2218" s="3030"/>
    </row>
    <row r="2219" spans="2:9" ht="25.5">
      <c r="B2219" s="3299" t="s">
        <v>66</v>
      </c>
      <c r="C2219" s="3063"/>
      <c r="D2219" s="3064"/>
      <c r="E2219" s="3064"/>
      <c r="F2219" s="3064"/>
      <c r="G2219" s="3300" t="s">
        <v>66</v>
      </c>
      <c r="H2219" s="3063"/>
      <c r="I2219" s="3030"/>
    </row>
    <row r="2220" spans="2:9" ht="25.5">
      <c r="B2220" s="3192" t="s">
        <v>675</v>
      </c>
      <c r="C2220" s="3063"/>
      <c r="D2220" s="3064"/>
      <c r="E2220" s="3064"/>
      <c r="F2220" s="3064"/>
      <c r="G2220" s="3301" t="s">
        <v>675</v>
      </c>
      <c r="H2220" s="3063"/>
      <c r="I2220" s="3030"/>
    </row>
    <row r="2221" spans="2:9" ht="25.5">
      <c r="B2221" s="3192" t="s">
        <v>676</v>
      </c>
      <c r="C2221" s="3063"/>
      <c r="D2221" s="3064"/>
      <c r="E2221" s="3064"/>
      <c r="F2221" s="3064"/>
      <c r="G2221" s="3301" t="s">
        <v>676</v>
      </c>
      <c r="H2221" s="3063"/>
      <c r="I2221" s="3030"/>
    </row>
    <row r="2222" spans="2:9">
      <c r="B2222" s="3192" t="s">
        <v>677</v>
      </c>
      <c r="C2222" s="3063"/>
      <c r="D2222" s="3064"/>
      <c r="E2222" s="3064"/>
      <c r="F2222" s="3064"/>
      <c r="G2222" s="3301" t="s">
        <v>677</v>
      </c>
      <c r="H2222" s="3063"/>
      <c r="I2222" s="3030"/>
    </row>
    <row r="2223" spans="2:9">
      <c r="B2223" s="3192" t="s">
        <v>678</v>
      </c>
      <c r="C2223" s="3063"/>
      <c r="D2223" s="3064"/>
      <c r="E2223" s="3064"/>
      <c r="F2223" s="3064"/>
      <c r="G2223" s="3301" t="s">
        <v>678</v>
      </c>
      <c r="H2223" s="3063"/>
      <c r="I2223" s="3030"/>
    </row>
    <row r="2224" spans="2:9">
      <c r="B2224" s="3192" t="s">
        <v>679</v>
      </c>
      <c r="C2224" s="3063"/>
      <c r="D2224" s="3064"/>
      <c r="E2224" s="3064"/>
      <c r="F2224" s="3064"/>
      <c r="G2224" s="3301" t="s">
        <v>679</v>
      </c>
      <c r="H2224" s="3063"/>
      <c r="I2224" s="3030"/>
    </row>
    <row r="2225" spans="2:9" ht="25.5">
      <c r="B2225" s="3192" t="s">
        <v>720</v>
      </c>
      <c r="C2225" s="3063"/>
      <c r="D2225" s="3064"/>
      <c r="E2225" s="3064"/>
      <c r="F2225" s="3064"/>
      <c r="G2225" s="3301" t="s">
        <v>720</v>
      </c>
      <c r="H2225" s="3063"/>
      <c r="I2225" s="3030"/>
    </row>
    <row r="2226" spans="2:9">
      <c r="B2226" s="3299" t="s">
        <v>67</v>
      </c>
      <c r="C2226" s="3063"/>
      <c r="D2226" s="3064"/>
      <c r="E2226" s="3064"/>
      <c r="F2226" s="3064"/>
      <c r="G2226" s="3300" t="s">
        <v>67</v>
      </c>
      <c r="H2226" s="3063"/>
      <c r="I2226" s="3030"/>
    </row>
    <row r="2227" spans="2:9" ht="25.5">
      <c r="B2227" s="3192" t="s">
        <v>675</v>
      </c>
      <c r="C2227" s="3063"/>
      <c r="D2227" s="3064"/>
      <c r="E2227" s="3064"/>
      <c r="F2227" s="3064"/>
      <c r="G2227" s="3301" t="s">
        <v>675</v>
      </c>
      <c r="H2227" s="3063"/>
      <c r="I2227" s="3030"/>
    </row>
    <row r="2228" spans="2:9" ht="25.5">
      <c r="B2228" s="3192" t="s">
        <v>676</v>
      </c>
      <c r="C2228" s="3063"/>
      <c r="D2228" s="3064"/>
      <c r="E2228" s="3064"/>
      <c r="F2228" s="3064"/>
      <c r="G2228" s="3301" t="s">
        <v>676</v>
      </c>
      <c r="H2228" s="3063"/>
      <c r="I2228" s="3030"/>
    </row>
    <row r="2229" spans="2:9">
      <c r="B2229" s="3192" t="s">
        <v>677</v>
      </c>
      <c r="C2229" s="3063"/>
      <c r="D2229" s="3064"/>
      <c r="E2229" s="3064"/>
      <c r="F2229" s="3064"/>
      <c r="G2229" s="3301" t="s">
        <v>677</v>
      </c>
      <c r="H2229" s="3063"/>
      <c r="I2229" s="3030"/>
    </row>
    <row r="2230" spans="2:9">
      <c r="B2230" s="3192" t="s">
        <v>678</v>
      </c>
      <c r="C2230" s="3063"/>
      <c r="D2230" s="3064"/>
      <c r="E2230" s="3064"/>
      <c r="F2230" s="3064"/>
      <c r="G2230" s="3301" t="s">
        <v>678</v>
      </c>
      <c r="H2230" s="3063"/>
      <c r="I2230" s="3030"/>
    </row>
    <row r="2231" spans="2:9">
      <c r="B2231" s="3192" t="s">
        <v>679</v>
      </c>
      <c r="C2231" s="3063"/>
      <c r="D2231" s="3064"/>
      <c r="E2231" s="3064"/>
      <c r="F2231" s="3064"/>
      <c r="G2231" s="3301" t="s">
        <v>679</v>
      </c>
      <c r="H2231" s="3063"/>
      <c r="I2231" s="3030"/>
    </row>
    <row r="2232" spans="2:9" ht="25.5">
      <c r="B2232" s="3230" t="s">
        <v>81</v>
      </c>
      <c r="C2232" s="3063"/>
      <c r="D2232" s="3064"/>
      <c r="E2232" s="3064"/>
      <c r="F2232" s="3064"/>
      <c r="G2232" s="3302" t="s">
        <v>81</v>
      </c>
      <c r="H2232" s="3063"/>
      <c r="I2232" s="3030"/>
    </row>
    <row r="2233" spans="2:9" ht="26.25" thickBot="1">
      <c r="B2233" s="3303" t="s">
        <v>81</v>
      </c>
      <c r="C2233" s="3068"/>
      <c r="D2233" s="3069"/>
      <c r="E2233" s="3069"/>
      <c r="F2233" s="3069"/>
      <c r="G2233" s="3304" t="s">
        <v>81</v>
      </c>
      <c r="H2233" s="3068"/>
      <c r="I2233" s="3070"/>
    </row>
    <row r="2234" spans="2:9" ht="38.25">
      <c r="B2234" s="4723">
        <v>3012</v>
      </c>
      <c r="C2234" s="3289"/>
      <c r="D2234" s="3290"/>
      <c r="E2234" s="3290"/>
      <c r="F2234" s="3290"/>
      <c r="G2234" s="4723">
        <v>3012</v>
      </c>
      <c r="H2234" s="3291" t="s">
        <v>687</v>
      </c>
      <c r="I2234" s="3292" t="s">
        <v>688</v>
      </c>
    </row>
    <row r="2235" spans="2:9">
      <c r="B2235" s="4724"/>
      <c r="C2235" s="4678" t="s">
        <v>686</v>
      </c>
      <c r="D2235" s="4725"/>
      <c r="E2235" s="4725"/>
      <c r="F2235" s="4726"/>
      <c r="G2235" s="4724"/>
      <c r="H2235" s="3293"/>
      <c r="I2235" s="3294"/>
    </row>
    <row r="2236" spans="2:9" ht="13.5" thickBot="1">
      <c r="B2236" s="4724"/>
      <c r="C2236" s="3215">
        <v>2013</v>
      </c>
      <c r="D2236" s="3215">
        <v>2014</v>
      </c>
      <c r="E2236" s="3215">
        <v>2015</v>
      </c>
      <c r="F2236" s="3215">
        <v>2016</v>
      </c>
      <c r="G2236" s="4724"/>
      <c r="H2236" s="3295" t="s">
        <v>390</v>
      </c>
      <c r="I2236" s="3296" t="s">
        <v>390</v>
      </c>
    </row>
    <row r="2237" spans="2:9">
      <c r="B2237" s="3217" t="s">
        <v>695</v>
      </c>
      <c r="C2237" s="3218"/>
      <c r="D2237" s="3219"/>
      <c r="E2237" s="3219"/>
      <c r="F2237" s="3219"/>
      <c r="G2237" s="3217" t="s">
        <v>695</v>
      </c>
      <c r="H2237" s="3297"/>
      <c r="I2237" s="3298"/>
    </row>
    <row r="2238" spans="2:9">
      <c r="B2238" s="3299" t="s">
        <v>64</v>
      </c>
      <c r="C2238" s="3063"/>
      <c r="D2238" s="3064"/>
      <c r="E2238" s="3064"/>
      <c r="F2238" s="3064">
        <v>16</v>
      </c>
      <c r="G2238" s="3300" t="s">
        <v>64</v>
      </c>
      <c r="H2238" s="3064">
        <v>0.924015379614883</v>
      </c>
      <c r="I2238" s="3030"/>
    </row>
    <row r="2239" spans="2:9" ht="25.5">
      <c r="B2239" s="3192" t="s">
        <v>675</v>
      </c>
      <c r="C2239" s="3063">
        <v>17</v>
      </c>
      <c r="D2239" s="3064">
        <v>14</v>
      </c>
      <c r="E2239" s="3064"/>
      <c r="F2239" s="3064"/>
      <c r="G2239" s="3301" t="s">
        <v>675</v>
      </c>
      <c r="H2239" s="3063"/>
      <c r="I2239" s="3030">
        <v>1.3813385616255245</v>
      </c>
    </row>
    <row r="2240" spans="2:9" ht="25.5">
      <c r="B2240" s="3192" t="s">
        <v>676</v>
      </c>
      <c r="C2240" s="3063"/>
      <c r="D2240" s="3064"/>
      <c r="E2240" s="3064"/>
      <c r="F2240" s="3064"/>
      <c r="G2240" s="3301" t="s">
        <v>676</v>
      </c>
      <c r="H2240" s="3063"/>
      <c r="I2240" s="3030"/>
    </row>
    <row r="2241" spans="2:9">
      <c r="B2241" s="3192" t="s">
        <v>677</v>
      </c>
      <c r="C2241" s="3063"/>
      <c r="D2241" s="3064"/>
      <c r="E2241" s="3064"/>
      <c r="F2241" s="3064"/>
      <c r="G2241" s="3301" t="s">
        <v>677</v>
      </c>
      <c r="H2241" s="3063"/>
      <c r="I2241" s="3030"/>
    </row>
    <row r="2242" spans="2:9">
      <c r="B2242" s="3192" t="s">
        <v>678</v>
      </c>
      <c r="C2242" s="3063">
        <v>8</v>
      </c>
      <c r="D2242" s="3064">
        <v>8</v>
      </c>
      <c r="E2242" s="3064"/>
      <c r="F2242" s="3064"/>
      <c r="G2242" s="3301" t="s">
        <v>678</v>
      </c>
      <c r="H2242" s="3063"/>
      <c r="I2242" s="3030"/>
    </row>
    <row r="2243" spans="2:9">
      <c r="B2243" s="3192" t="s">
        <v>679</v>
      </c>
      <c r="C2243" s="3063"/>
      <c r="D2243" s="3064">
        <v>1</v>
      </c>
      <c r="E2243" s="3064"/>
      <c r="F2243" s="3064"/>
      <c r="G2243" s="3301" t="s">
        <v>679</v>
      </c>
      <c r="H2243" s="3063"/>
      <c r="I2243" s="3030"/>
    </row>
    <row r="2244" spans="2:9" ht="25.5">
      <c r="B2244" s="3192" t="s">
        <v>720</v>
      </c>
      <c r="C2244" s="3063"/>
      <c r="D2244" s="3064"/>
      <c r="E2244" s="3064"/>
      <c r="F2244" s="3064"/>
      <c r="G2244" s="3301" t="s">
        <v>720</v>
      </c>
      <c r="H2244" s="3063"/>
      <c r="I2244" s="3030"/>
    </row>
    <row r="2245" spans="2:9">
      <c r="B2245" s="3299" t="s">
        <v>65</v>
      </c>
      <c r="C2245" s="3063"/>
      <c r="D2245" s="3064"/>
      <c r="E2245" s="3064"/>
      <c r="F2245" s="3064">
        <v>5</v>
      </c>
      <c r="G2245" s="3300" t="s">
        <v>65</v>
      </c>
      <c r="H2245" s="3063">
        <v>0.5369086150734933</v>
      </c>
      <c r="I2245" s="3030"/>
    </row>
    <row r="2246" spans="2:9" ht="25.5">
      <c r="B2246" s="3192" t="s">
        <v>675</v>
      </c>
      <c r="C2246" s="3063">
        <v>2</v>
      </c>
      <c r="D2246" s="3064"/>
      <c r="E2246" s="3064"/>
      <c r="F2246" s="3064"/>
      <c r="G2246" s="3301" t="s">
        <v>675</v>
      </c>
      <c r="H2246" s="3063"/>
      <c r="I2246" s="3030"/>
    </row>
    <row r="2247" spans="2:9" ht="25.5">
      <c r="B2247" s="3192" t="s">
        <v>676</v>
      </c>
      <c r="C2247" s="3063"/>
      <c r="D2247" s="3064"/>
      <c r="E2247" s="3064"/>
      <c r="F2247" s="3064"/>
      <c r="G2247" s="3301" t="s">
        <v>676</v>
      </c>
      <c r="H2247" s="3063"/>
      <c r="I2247" s="3030"/>
    </row>
    <row r="2248" spans="2:9">
      <c r="B2248" s="3192" t="s">
        <v>677</v>
      </c>
      <c r="C2248" s="3063"/>
      <c r="D2248" s="3064"/>
      <c r="E2248" s="3064"/>
      <c r="F2248" s="3064"/>
      <c r="G2248" s="3301" t="s">
        <v>677</v>
      </c>
      <c r="H2248" s="3063"/>
      <c r="I2248" s="3030"/>
    </row>
    <row r="2249" spans="2:9">
      <c r="B2249" s="3192" t="s">
        <v>678</v>
      </c>
      <c r="C2249" s="3063">
        <v>2</v>
      </c>
      <c r="D2249" s="3064"/>
      <c r="E2249" s="3064"/>
      <c r="F2249" s="3064"/>
      <c r="G2249" s="3301" t="s">
        <v>678</v>
      </c>
      <c r="H2249" s="3063"/>
      <c r="I2249" s="3030"/>
    </row>
    <row r="2250" spans="2:9">
      <c r="B2250" s="3192" t="s">
        <v>679</v>
      </c>
      <c r="C2250" s="3063"/>
      <c r="D2250" s="3064">
        <v>1</v>
      </c>
      <c r="E2250" s="3064"/>
      <c r="F2250" s="3064"/>
      <c r="G2250" s="3301" t="s">
        <v>679</v>
      </c>
      <c r="H2250" s="3063"/>
      <c r="I2250" s="3030"/>
    </row>
    <row r="2251" spans="2:9" ht="25.5">
      <c r="B2251" s="3192" t="s">
        <v>720</v>
      </c>
      <c r="C2251" s="3063"/>
      <c r="D2251" s="3064"/>
      <c r="E2251" s="3064"/>
      <c r="F2251" s="3064"/>
      <c r="G2251" s="3301" t="s">
        <v>720</v>
      </c>
      <c r="H2251" s="3063"/>
      <c r="I2251" s="3030"/>
    </row>
    <row r="2252" spans="2:9">
      <c r="B2252" s="3299" t="s">
        <v>82</v>
      </c>
      <c r="C2252" s="3063"/>
      <c r="D2252" s="3064"/>
      <c r="E2252" s="3064"/>
      <c r="F2252" s="3064"/>
      <c r="G2252" s="3300" t="s">
        <v>82</v>
      </c>
      <c r="H2252" s="3063"/>
      <c r="I2252" s="3030"/>
    </row>
    <row r="2253" spans="2:9" ht="25.5">
      <c r="B2253" s="3192" t="s">
        <v>675</v>
      </c>
      <c r="C2253" s="3063"/>
      <c r="D2253" s="3064"/>
      <c r="E2253" s="3064"/>
      <c r="F2253" s="3064"/>
      <c r="G2253" s="3301" t="s">
        <v>675</v>
      </c>
      <c r="H2253" s="3063"/>
      <c r="I2253" s="3030"/>
    </row>
    <row r="2254" spans="2:9" ht="25.5">
      <c r="B2254" s="3192" t="s">
        <v>676</v>
      </c>
      <c r="C2254" s="3063"/>
      <c r="D2254" s="3064"/>
      <c r="E2254" s="3064"/>
      <c r="F2254" s="3064"/>
      <c r="G2254" s="3301" t="s">
        <v>676</v>
      </c>
      <c r="H2254" s="3063"/>
      <c r="I2254" s="3030"/>
    </row>
    <row r="2255" spans="2:9">
      <c r="B2255" s="3192" t="s">
        <v>677</v>
      </c>
      <c r="C2255" s="3063"/>
      <c r="D2255" s="3064"/>
      <c r="E2255" s="3064"/>
      <c r="F2255" s="3064"/>
      <c r="G2255" s="3301" t="s">
        <v>677</v>
      </c>
      <c r="H2255" s="3063"/>
      <c r="I2255" s="3030"/>
    </row>
    <row r="2256" spans="2:9">
      <c r="B2256" s="3192" t="s">
        <v>678</v>
      </c>
      <c r="C2256" s="3063"/>
      <c r="D2256" s="3064"/>
      <c r="E2256" s="3064"/>
      <c r="F2256" s="3064"/>
      <c r="G2256" s="3301" t="s">
        <v>678</v>
      </c>
      <c r="H2256" s="3063"/>
      <c r="I2256" s="3030"/>
    </row>
    <row r="2257" spans="2:9">
      <c r="B2257" s="3192" t="s">
        <v>679</v>
      </c>
      <c r="C2257" s="3063"/>
      <c r="D2257" s="3064"/>
      <c r="E2257" s="3064"/>
      <c r="F2257" s="3064"/>
      <c r="G2257" s="3301" t="s">
        <v>679</v>
      </c>
      <c r="H2257" s="3063"/>
      <c r="I2257" s="3030"/>
    </row>
    <row r="2258" spans="2:9" ht="25.5">
      <c r="B2258" s="3192" t="s">
        <v>720</v>
      </c>
      <c r="C2258" s="3063"/>
      <c r="D2258" s="3064"/>
      <c r="E2258" s="3064"/>
      <c r="F2258" s="3064"/>
      <c r="G2258" s="3301" t="s">
        <v>720</v>
      </c>
      <c r="H2258" s="3063"/>
      <c r="I2258" s="3030"/>
    </row>
    <row r="2259" spans="2:9" ht="38.25">
      <c r="B2259" s="3299" t="s">
        <v>680</v>
      </c>
      <c r="C2259" s="3063"/>
      <c r="D2259" s="3064"/>
      <c r="E2259" s="3064"/>
      <c r="F2259" s="3064"/>
      <c r="G2259" s="3300" t="s">
        <v>680</v>
      </c>
      <c r="H2259" s="3063"/>
      <c r="I2259" s="3030"/>
    </row>
    <row r="2260" spans="2:9" ht="25.5">
      <c r="B2260" s="3192" t="s">
        <v>675</v>
      </c>
      <c r="C2260" s="3063"/>
      <c r="D2260" s="3064"/>
      <c r="E2260" s="3064"/>
      <c r="F2260" s="3064"/>
      <c r="G2260" s="3301" t="s">
        <v>675</v>
      </c>
      <c r="H2260" s="3063"/>
      <c r="I2260" s="3030"/>
    </row>
    <row r="2261" spans="2:9" ht="25.5">
      <c r="B2261" s="3192" t="s">
        <v>676</v>
      </c>
      <c r="C2261" s="3063"/>
      <c r="D2261" s="3064"/>
      <c r="E2261" s="3064"/>
      <c r="F2261" s="3064"/>
      <c r="G2261" s="3301" t="s">
        <v>676</v>
      </c>
      <c r="H2261" s="3063"/>
      <c r="I2261" s="3030"/>
    </row>
    <row r="2262" spans="2:9">
      <c r="B2262" s="3192" t="s">
        <v>677</v>
      </c>
      <c r="C2262" s="3063"/>
      <c r="D2262" s="3064"/>
      <c r="E2262" s="3064"/>
      <c r="F2262" s="3064"/>
      <c r="G2262" s="3301" t="s">
        <v>677</v>
      </c>
      <c r="H2262" s="3063"/>
      <c r="I2262" s="3030"/>
    </row>
    <row r="2263" spans="2:9">
      <c r="B2263" s="3192" t="s">
        <v>678</v>
      </c>
      <c r="C2263" s="3063"/>
      <c r="D2263" s="3064"/>
      <c r="E2263" s="3064"/>
      <c r="F2263" s="3064"/>
      <c r="G2263" s="3301" t="s">
        <v>678</v>
      </c>
      <c r="H2263" s="3063"/>
      <c r="I2263" s="3030"/>
    </row>
    <row r="2264" spans="2:9">
      <c r="B2264" s="3192" t="s">
        <v>679</v>
      </c>
      <c r="C2264" s="3063"/>
      <c r="D2264" s="3064"/>
      <c r="E2264" s="3064"/>
      <c r="F2264" s="3064"/>
      <c r="G2264" s="3301" t="s">
        <v>679</v>
      </c>
      <c r="H2264" s="3063"/>
      <c r="I2264" s="3030"/>
    </row>
    <row r="2265" spans="2:9" ht="25.5">
      <c r="B2265" s="3192" t="s">
        <v>720</v>
      </c>
      <c r="C2265" s="3063"/>
      <c r="D2265" s="3064"/>
      <c r="E2265" s="3064"/>
      <c r="F2265" s="3064"/>
      <c r="G2265" s="3301" t="s">
        <v>720</v>
      </c>
      <c r="H2265" s="3063"/>
      <c r="I2265" s="3030"/>
    </row>
    <row r="2266" spans="2:9" ht="38.25">
      <c r="B2266" s="3299" t="s">
        <v>681</v>
      </c>
      <c r="C2266" s="3063"/>
      <c r="D2266" s="3064"/>
      <c r="E2266" s="3064"/>
      <c r="F2266" s="3064"/>
      <c r="G2266" s="3300" t="s">
        <v>681</v>
      </c>
      <c r="H2266" s="3063"/>
      <c r="I2266" s="3030"/>
    </row>
    <row r="2267" spans="2:9" ht="25.5">
      <c r="B2267" s="3192" t="s">
        <v>675</v>
      </c>
      <c r="C2267" s="3063"/>
      <c r="D2267" s="3064"/>
      <c r="E2267" s="3064"/>
      <c r="F2267" s="3064"/>
      <c r="G2267" s="3301" t="s">
        <v>675</v>
      </c>
      <c r="H2267" s="3063"/>
      <c r="I2267" s="3030"/>
    </row>
    <row r="2268" spans="2:9" ht="25.5">
      <c r="B2268" s="3192" t="s">
        <v>676</v>
      </c>
      <c r="C2268" s="3063"/>
      <c r="D2268" s="3064"/>
      <c r="E2268" s="3064"/>
      <c r="F2268" s="3064"/>
      <c r="G2268" s="3301" t="s">
        <v>676</v>
      </c>
      <c r="H2268" s="3063"/>
      <c r="I2268" s="3030"/>
    </row>
    <row r="2269" spans="2:9">
      <c r="B2269" s="3192" t="s">
        <v>677</v>
      </c>
      <c r="C2269" s="3063"/>
      <c r="D2269" s="3064"/>
      <c r="E2269" s="3064"/>
      <c r="F2269" s="3064"/>
      <c r="G2269" s="3301" t="s">
        <v>677</v>
      </c>
      <c r="H2269" s="3063"/>
      <c r="I2269" s="3030"/>
    </row>
    <row r="2270" spans="2:9">
      <c r="B2270" s="3192" t="s">
        <v>678</v>
      </c>
      <c r="C2270" s="3063"/>
      <c r="D2270" s="3064"/>
      <c r="E2270" s="3064"/>
      <c r="F2270" s="3064"/>
      <c r="G2270" s="3301" t="s">
        <v>678</v>
      </c>
      <c r="H2270" s="3063"/>
      <c r="I2270" s="3030"/>
    </row>
    <row r="2271" spans="2:9">
      <c r="B2271" s="3192" t="s">
        <v>679</v>
      </c>
      <c r="C2271" s="3063"/>
      <c r="D2271" s="3064"/>
      <c r="E2271" s="3064"/>
      <c r="F2271" s="3064"/>
      <c r="G2271" s="3301" t="s">
        <v>679</v>
      </c>
      <c r="H2271" s="3063"/>
      <c r="I2271" s="3030"/>
    </row>
    <row r="2272" spans="2:9" ht="25.5">
      <c r="B2272" s="3192" t="s">
        <v>720</v>
      </c>
      <c r="C2272" s="3063"/>
      <c r="D2272" s="3064"/>
      <c r="E2272" s="3064"/>
      <c r="F2272" s="3064"/>
      <c r="G2272" s="3301" t="s">
        <v>720</v>
      </c>
      <c r="H2272" s="3063"/>
      <c r="I2272" s="3030"/>
    </row>
    <row r="2273" spans="2:9" ht="25.5">
      <c r="B2273" s="3299" t="s">
        <v>682</v>
      </c>
      <c r="C2273" s="3063"/>
      <c r="D2273" s="3064"/>
      <c r="E2273" s="3064"/>
      <c r="F2273" s="3064"/>
      <c r="G2273" s="3300" t="s">
        <v>682</v>
      </c>
      <c r="H2273" s="3063"/>
      <c r="I2273" s="3030"/>
    </row>
    <row r="2274" spans="2:9" ht="25.5">
      <c r="B2274" s="3192" t="s">
        <v>675</v>
      </c>
      <c r="C2274" s="3063"/>
      <c r="D2274" s="3064"/>
      <c r="E2274" s="3064"/>
      <c r="F2274" s="3064"/>
      <c r="G2274" s="3301" t="s">
        <v>675</v>
      </c>
      <c r="H2274" s="3063"/>
      <c r="I2274" s="3030"/>
    </row>
    <row r="2275" spans="2:9" ht="25.5">
      <c r="B2275" s="3192" t="s">
        <v>676</v>
      </c>
      <c r="C2275" s="3063"/>
      <c r="D2275" s="3064"/>
      <c r="E2275" s="3064"/>
      <c r="F2275" s="3064"/>
      <c r="G2275" s="3301" t="s">
        <v>676</v>
      </c>
      <c r="H2275" s="3063"/>
      <c r="I2275" s="3030"/>
    </row>
    <row r="2276" spans="2:9">
      <c r="B2276" s="3192" t="s">
        <v>677</v>
      </c>
      <c r="C2276" s="3063"/>
      <c r="D2276" s="3064"/>
      <c r="E2276" s="3064"/>
      <c r="F2276" s="3064"/>
      <c r="G2276" s="3301" t="s">
        <v>677</v>
      </c>
      <c r="H2276" s="3063"/>
      <c r="I2276" s="3030"/>
    </row>
    <row r="2277" spans="2:9">
      <c r="B2277" s="3192" t="s">
        <v>678</v>
      </c>
      <c r="C2277" s="3063"/>
      <c r="D2277" s="3064"/>
      <c r="E2277" s="3064"/>
      <c r="F2277" s="3064"/>
      <c r="G2277" s="3301" t="s">
        <v>678</v>
      </c>
      <c r="H2277" s="3063"/>
      <c r="I2277" s="3030"/>
    </row>
    <row r="2278" spans="2:9">
      <c r="B2278" s="3192" t="s">
        <v>679</v>
      </c>
      <c r="C2278" s="3063"/>
      <c r="D2278" s="3064"/>
      <c r="E2278" s="3064"/>
      <c r="F2278" s="3064"/>
      <c r="G2278" s="3301" t="s">
        <v>679</v>
      </c>
      <c r="H2278" s="3063"/>
      <c r="I2278" s="3030"/>
    </row>
    <row r="2279" spans="2:9" ht="25.5">
      <c r="B2279" s="3192" t="s">
        <v>720</v>
      </c>
      <c r="C2279" s="3063"/>
      <c r="D2279" s="3064"/>
      <c r="E2279" s="3064"/>
      <c r="F2279" s="3064"/>
      <c r="G2279" s="3301" t="s">
        <v>720</v>
      </c>
      <c r="H2279" s="3063"/>
      <c r="I2279" s="3030"/>
    </row>
    <row r="2280" spans="2:9" ht="25.5">
      <c r="B2280" s="3299" t="s">
        <v>66</v>
      </c>
      <c r="C2280" s="3063"/>
      <c r="D2280" s="3064"/>
      <c r="E2280" s="3064"/>
      <c r="F2280" s="3064">
        <v>2</v>
      </c>
      <c r="G2280" s="3300" t="s">
        <v>66</v>
      </c>
      <c r="H2280" s="3063">
        <v>0.19377919047874742</v>
      </c>
      <c r="I2280" s="3030"/>
    </row>
    <row r="2281" spans="2:9" ht="25.5">
      <c r="B2281" s="3192" t="s">
        <v>675</v>
      </c>
      <c r="C2281" s="3063">
        <v>8</v>
      </c>
      <c r="D2281" s="3064">
        <v>1</v>
      </c>
      <c r="E2281" s="3064"/>
      <c r="F2281" s="3064"/>
      <c r="G2281" s="3301" t="s">
        <v>675</v>
      </c>
      <c r="H2281" s="3063"/>
      <c r="I2281" s="3030">
        <v>0.2906687857181211</v>
      </c>
    </row>
    <row r="2282" spans="2:9" ht="25.5">
      <c r="B2282" s="3192" t="s">
        <v>676</v>
      </c>
      <c r="C2282" s="3063"/>
      <c r="D2282" s="3064"/>
      <c r="E2282" s="3064"/>
      <c r="F2282" s="3064"/>
      <c r="G2282" s="3301" t="s">
        <v>676</v>
      </c>
      <c r="H2282" s="3063"/>
      <c r="I2282" s="3030"/>
    </row>
    <row r="2283" spans="2:9">
      <c r="B2283" s="3192" t="s">
        <v>677</v>
      </c>
      <c r="C2283" s="3063"/>
      <c r="D2283" s="3064"/>
      <c r="E2283" s="3064"/>
      <c r="F2283" s="3064"/>
      <c r="G2283" s="3301" t="s">
        <v>677</v>
      </c>
      <c r="H2283" s="3063"/>
      <c r="I2283" s="3030"/>
    </row>
    <row r="2284" spans="2:9">
      <c r="B2284" s="3192" t="s">
        <v>678</v>
      </c>
      <c r="C2284" s="3063"/>
      <c r="D2284" s="3064">
        <v>1</v>
      </c>
      <c r="E2284" s="3064"/>
      <c r="F2284" s="3064"/>
      <c r="G2284" s="3301" t="s">
        <v>678</v>
      </c>
      <c r="H2284" s="3063"/>
      <c r="I2284" s="3030"/>
    </row>
    <row r="2285" spans="2:9">
      <c r="B2285" s="3192" t="s">
        <v>679</v>
      </c>
      <c r="C2285" s="3063"/>
      <c r="D2285" s="3064"/>
      <c r="E2285" s="3064"/>
      <c r="F2285" s="3064"/>
      <c r="G2285" s="3301" t="s">
        <v>679</v>
      </c>
      <c r="H2285" s="3063"/>
      <c r="I2285" s="3030"/>
    </row>
    <row r="2286" spans="2:9" ht="25.5">
      <c r="B2286" s="3192" t="s">
        <v>720</v>
      </c>
      <c r="C2286" s="3063"/>
      <c r="D2286" s="3064"/>
      <c r="E2286" s="3064"/>
      <c r="F2286" s="3064"/>
      <c r="G2286" s="3301" t="s">
        <v>720</v>
      </c>
      <c r="H2286" s="3063"/>
      <c r="I2286" s="3030"/>
    </row>
    <row r="2287" spans="2:9">
      <c r="B2287" s="3299" t="s">
        <v>67</v>
      </c>
      <c r="C2287" s="3063"/>
      <c r="D2287" s="3064"/>
      <c r="E2287" s="3064"/>
      <c r="F2287" s="3064"/>
      <c r="G2287" s="3300" t="s">
        <v>67</v>
      </c>
      <c r="H2287" s="3063">
        <v>5.4453004685048455E-2</v>
      </c>
      <c r="I2287" s="3030"/>
    </row>
    <row r="2288" spans="2:9" ht="25.5">
      <c r="B2288" s="3192" t="s">
        <v>675</v>
      </c>
      <c r="C2288" s="3063">
        <v>2</v>
      </c>
      <c r="D2288" s="3064"/>
      <c r="E2288" s="3064"/>
      <c r="F2288" s="3064"/>
      <c r="G2288" s="3301" t="s">
        <v>675</v>
      </c>
      <c r="H2288" s="3063"/>
      <c r="I2288" s="3030">
        <v>6.9747166521360079E-2</v>
      </c>
    </row>
    <row r="2289" spans="2:9" ht="25.5">
      <c r="B2289" s="3192" t="s">
        <v>676</v>
      </c>
      <c r="C2289" s="3063"/>
      <c r="D2289" s="3064"/>
      <c r="E2289" s="3064"/>
      <c r="F2289" s="3064"/>
      <c r="G2289" s="3301" t="s">
        <v>676</v>
      </c>
      <c r="H2289" s="3063"/>
      <c r="I2289" s="3030"/>
    </row>
    <row r="2290" spans="2:9">
      <c r="B2290" s="3192" t="s">
        <v>677</v>
      </c>
      <c r="C2290" s="3063"/>
      <c r="D2290" s="3064"/>
      <c r="E2290" s="3064"/>
      <c r="F2290" s="3064"/>
      <c r="G2290" s="3301" t="s">
        <v>677</v>
      </c>
      <c r="H2290" s="3063"/>
      <c r="I2290" s="3030"/>
    </row>
    <row r="2291" spans="2:9">
      <c r="B2291" s="3192" t="s">
        <v>678</v>
      </c>
      <c r="C2291" s="3063"/>
      <c r="D2291" s="3064">
        <v>1</v>
      </c>
      <c r="E2291" s="3064"/>
      <c r="F2291" s="3064"/>
      <c r="G2291" s="3301" t="s">
        <v>678</v>
      </c>
      <c r="H2291" s="3063"/>
      <c r="I2291" s="3030"/>
    </row>
    <row r="2292" spans="2:9">
      <c r="B2292" s="3192" t="s">
        <v>679</v>
      </c>
      <c r="C2292" s="3063"/>
      <c r="D2292" s="3064"/>
      <c r="E2292" s="3064"/>
      <c r="F2292" s="3064"/>
      <c r="G2292" s="3301" t="s">
        <v>679</v>
      </c>
      <c r="H2292" s="3063"/>
      <c r="I2292" s="3030"/>
    </row>
    <row r="2293" spans="2:9" ht="25.5">
      <c r="B2293" s="3192" t="s">
        <v>720</v>
      </c>
      <c r="C2293" s="3063"/>
      <c r="D2293" s="3064"/>
      <c r="E2293" s="3064"/>
      <c r="F2293" s="3064"/>
      <c r="G2293" s="3301" t="s">
        <v>720</v>
      </c>
      <c r="H2293" s="3063"/>
      <c r="I2293" s="3030"/>
    </row>
    <row r="2294" spans="2:9" ht="25.5">
      <c r="B2294" s="3230" t="s">
        <v>81</v>
      </c>
      <c r="C2294" s="3063"/>
      <c r="D2294" s="3064"/>
      <c r="E2294" s="3064"/>
      <c r="F2294" s="3064"/>
      <c r="G2294" s="3302" t="s">
        <v>81</v>
      </c>
      <c r="H2294" s="3063"/>
      <c r="I2294" s="3030"/>
    </row>
    <row r="2295" spans="2:9" ht="26.25" thickBot="1">
      <c r="B2295" s="3303" t="s">
        <v>81</v>
      </c>
      <c r="C2295" s="3063"/>
      <c r="D2295" s="3064"/>
      <c r="E2295" s="3064"/>
      <c r="F2295" s="3064"/>
      <c r="G2295" s="3302" t="s">
        <v>81</v>
      </c>
      <c r="H2295" s="3063"/>
      <c r="I2295" s="3030"/>
    </row>
    <row r="2296" spans="2:9" ht="25.5">
      <c r="B2296" s="3217" t="s">
        <v>696</v>
      </c>
      <c r="C2296" s="3218"/>
      <c r="D2296" s="3219"/>
      <c r="E2296" s="3219"/>
      <c r="F2296" s="3219"/>
      <c r="G2296" s="3217" t="s">
        <v>696</v>
      </c>
      <c r="H2296" s="3297"/>
      <c r="I2296" s="3298"/>
    </row>
    <row r="2297" spans="2:9">
      <c r="B2297" s="3299" t="s">
        <v>64</v>
      </c>
      <c r="C2297" s="3063"/>
      <c r="D2297" s="3064"/>
      <c r="E2297" s="3064"/>
      <c r="F2297" s="3064"/>
      <c r="G2297" s="3300" t="s">
        <v>64</v>
      </c>
      <c r="H2297" s="3063"/>
      <c r="I2297" s="3030"/>
    </row>
    <row r="2298" spans="2:9" ht="25.5">
      <c r="B2298" s="3192" t="s">
        <v>675</v>
      </c>
      <c r="C2298" s="3063">
        <v>1</v>
      </c>
      <c r="D2298" s="3064"/>
      <c r="E2298" s="3064"/>
      <c r="F2298" s="3064"/>
      <c r="G2298" s="3301" t="s">
        <v>675</v>
      </c>
      <c r="H2298" s="3063">
        <v>0.17325288367779057</v>
      </c>
      <c r="I2298" s="3030"/>
    </row>
    <row r="2299" spans="2:9" ht="25.5">
      <c r="B2299" s="3192" t="s">
        <v>676</v>
      </c>
      <c r="C2299" s="3063"/>
      <c r="D2299" s="3064"/>
      <c r="E2299" s="3064"/>
      <c r="F2299" s="3064"/>
      <c r="G2299" s="3301" t="s">
        <v>676</v>
      </c>
      <c r="H2299" s="3063"/>
      <c r="I2299" s="3030"/>
    </row>
    <row r="2300" spans="2:9">
      <c r="B2300" s="3192" t="s">
        <v>677</v>
      </c>
      <c r="C2300" s="3063"/>
      <c r="D2300" s="3064"/>
      <c r="E2300" s="3064"/>
      <c r="F2300" s="3064"/>
      <c r="G2300" s="3301" t="s">
        <v>677</v>
      </c>
      <c r="H2300" s="3063"/>
      <c r="I2300" s="3030"/>
    </row>
    <row r="2301" spans="2:9">
      <c r="B2301" s="3192" t="s">
        <v>678</v>
      </c>
      <c r="C2301" s="3063">
        <v>3</v>
      </c>
      <c r="D2301" s="3064"/>
      <c r="E2301" s="3064"/>
      <c r="F2301" s="3064"/>
      <c r="G2301" s="3301" t="s">
        <v>678</v>
      </c>
      <c r="H2301" s="3063"/>
      <c r="I2301" s="3030"/>
    </row>
    <row r="2302" spans="2:9">
      <c r="B2302" s="3192" t="s">
        <v>679</v>
      </c>
      <c r="C2302" s="3063"/>
      <c r="D2302" s="3064"/>
      <c r="E2302" s="3064"/>
      <c r="F2302" s="3064"/>
      <c r="G2302" s="3301" t="s">
        <v>679</v>
      </c>
      <c r="H2302" s="3063"/>
      <c r="I2302" s="3030"/>
    </row>
    <row r="2303" spans="2:9" ht="25.5">
      <c r="B2303" s="3192" t="s">
        <v>720</v>
      </c>
      <c r="C2303" s="3063"/>
      <c r="D2303" s="3064"/>
      <c r="E2303" s="3064"/>
      <c r="F2303" s="3064"/>
      <c r="G2303" s="3301" t="s">
        <v>720</v>
      </c>
      <c r="H2303" s="3063"/>
      <c r="I2303" s="3030"/>
    </row>
    <row r="2304" spans="2:9">
      <c r="B2304" s="3299" t="s">
        <v>65</v>
      </c>
      <c r="C2304" s="3063"/>
      <c r="D2304" s="3064"/>
      <c r="E2304" s="3064"/>
      <c r="F2304" s="3064"/>
      <c r="G2304" s="3300" t="s">
        <v>65</v>
      </c>
      <c r="H2304" s="3063"/>
      <c r="I2304" s="3030"/>
    </row>
    <row r="2305" spans="2:9" ht="25.5">
      <c r="B2305" s="3192" t="s">
        <v>675</v>
      </c>
      <c r="C2305" s="3063"/>
      <c r="D2305" s="3064"/>
      <c r="E2305" s="3064"/>
      <c r="F2305" s="3064"/>
      <c r="G2305" s="3301" t="s">
        <v>675</v>
      </c>
      <c r="H2305" s="3063"/>
      <c r="I2305" s="3030"/>
    </row>
    <row r="2306" spans="2:9" ht="25.5">
      <c r="B2306" s="3192" t="s">
        <v>676</v>
      </c>
      <c r="C2306" s="3063"/>
      <c r="D2306" s="3064"/>
      <c r="E2306" s="3064"/>
      <c r="F2306" s="3064"/>
      <c r="G2306" s="3301" t="s">
        <v>676</v>
      </c>
      <c r="H2306" s="3063"/>
      <c r="I2306" s="3030"/>
    </row>
    <row r="2307" spans="2:9">
      <c r="B2307" s="3192" t="s">
        <v>677</v>
      </c>
      <c r="C2307" s="3063"/>
      <c r="D2307" s="3064"/>
      <c r="E2307" s="3064"/>
      <c r="F2307" s="3064"/>
      <c r="G2307" s="3301" t="s">
        <v>677</v>
      </c>
      <c r="H2307" s="3063"/>
      <c r="I2307" s="3030"/>
    </row>
    <row r="2308" spans="2:9">
      <c r="B2308" s="3192" t="s">
        <v>678</v>
      </c>
      <c r="C2308" s="3063"/>
      <c r="D2308" s="3064"/>
      <c r="E2308" s="3064"/>
      <c r="F2308" s="3064"/>
      <c r="G2308" s="3301" t="s">
        <v>678</v>
      </c>
      <c r="H2308" s="3063"/>
      <c r="I2308" s="3030"/>
    </row>
    <row r="2309" spans="2:9">
      <c r="B2309" s="3192" t="s">
        <v>679</v>
      </c>
      <c r="C2309" s="3063"/>
      <c r="D2309" s="3064"/>
      <c r="E2309" s="3064"/>
      <c r="F2309" s="3064"/>
      <c r="G2309" s="3301" t="s">
        <v>679</v>
      </c>
      <c r="H2309" s="3063"/>
      <c r="I2309" s="3030"/>
    </row>
    <row r="2310" spans="2:9" ht="25.5">
      <c r="B2310" s="3192" t="s">
        <v>720</v>
      </c>
      <c r="C2310" s="3063"/>
      <c r="D2310" s="3064"/>
      <c r="E2310" s="3064"/>
      <c r="F2310" s="3064"/>
      <c r="G2310" s="3301" t="s">
        <v>720</v>
      </c>
      <c r="H2310" s="3063"/>
      <c r="I2310" s="3030"/>
    </row>
    <row r="2311" spans="2:9">
      <c r="B2311" s="3299" t="s">
        <v>82</v>
      </c>
      <c r="C2311" s="3063"/>
      <c r="D2311" s="3064"/>
      <c r="E2311" s="3064"/>
      <c r="F2311" s="3064"/>
      <c r="G2311" s="3300" t="s">
        <v>82</v>
      </c>
      <c r="H2311" s="3063"/>
      <c r="I2311" s="3030"/>
    </row>
    <row r="2312" spans="2:9" ht="25.5">
      <c r="B2312" s="3192" t="s">
        <v>675</v>
      </c>
      <c r="C2312" s="3063"/>
      <c r="D2312" s="3064"/>
      <c r="E2312" s="3064"/>
      <c r="F2312" s="3064"/>
      <c r="G2312" s="3301" t="s">
        <v>675</v>
      </c>
      <c r="H2312" s="3063"/>
      <c r="I2312" s="3030"/>
    </row>
    <row r="2313" spans="2:9" ht="25.5">
      <c r="B2313" s="3192" t="s">
        <v>676</v>
      </c>
      <c r="C2313" s="3063"/>
      <c r="D2313" s="3064"/>
      <c r="E2313" s="3064"/>
      <c r="F2313" s="3064"/>
      <c r="G2313" s="3301" t="s">
        <v>676</v>
      </c>
      <c r="H2313" s="3063"/>
      <c r="I2313" s="3030"/>
    </row>
    <row r="2314" spans="2:9">
      <c r="B2314" s="3192" t="s">
        <v>677</v>
      </c>
      <c r="C2314" s="3063"/>
      <c r="D2314" s="3064"/>
      <c r="E2314" s="3064"/>
      <c r="F2314" s="3064"/>
      <c r="G2314" s="3301" t="s">
        <v>677</v>
      </c>
      <c r="H2314" s="3063"/>
      <c r="I2314" s="3030"/>
    </row>
    <row r="2315" spans="2:9">
      <c r="B2315" s="3192" t="s">
        <v>678</v>
      </c>
      <c r="C2315" s="3063"/>
      <c r="D2315" s="3064"/>
      <c r="E2315" s="3064"/>
      <c r="F2315" s="3064"/>
      <c r="G2315" s="3301" t="s">
        <v>678</v>
      </c>
      <c r="H2315" s="3063"/>
      <c r="I2315" s="3030"/>
    </row>
    <row r="2316" spans="2:9">
      <c r="B2316" s="3192" t="s">
        <v>679</v>
      </c>
      <c r="C2316" s="3063"/>
      <c r="D2316" s="3064"/>
      <c r="E2316" s="3064"/>
      <c r="F2316" s="3064"/>
      <c r="G2316" s="3301" t="s">
        <v>679</v>
      </c>
      <c r="H2316" s="3063"/>
      <c r="I2316" s="3030"/>
    </row>
    <row r="2317" spans="2:9" ht="25.5">
      <c r="B2317" s="3192" t="s">
        <v>720</v>
      </c>
      <c r="C2317" s="3063"/>
      <c r="D2317" s="3064"/>
      <c r="E2317" s="3064"/>
      <c r="F2317" s="3064"/>
      <c r="G2317" s="3301" t="s">
        <v>720</v>
      </c>
      <c r="H2317" s="3063"/>
      <c r="I2317" s="3030"/>
    </row>
    <row r="2318" spans="2:9" ht="38.25">
      <c r="B2318" s="3299" t="s">
        <v>680</v>
      </c>
      <c r="C2318" s="3063"/>
      <c r="D2318" s="3064"/>
      <c r="E2318" s="3064"/>
      <c r="F2318" s="3064"/>
      <c r="G2318" s="3300" t="s">
        <v>680</v>
      </c>
      <c r="H2318" s="3063"/>
      <c r="I2318" s="3030"/>
    </row>
    <row r="2319" spans="2:9" ht="25.5">
      <c r="B2319" s="3192" t="s">
        <v>675</v>
      </c>
      <c r="C2319" s="3063"/>
      <c r="D2319" s="3064"/>
      <c r="E2319" s="3064"/>
      <c r="F2319" s="3064"/>
      <c r="G2319" s="3301" t="s">
        <v>675</v>
      </c>
      <c r="H2319" s="3063"/>
      <c r="I2319" s="3030"/>
    </row>
    <row r="2320" spans="2:9" ht="25.5">
      <c r="B2320" s="3192" t="s">
        <v>676</v>
      </c>
      <c r="C2320" s="3063"/>
      <c r="D2320" s="3064"/>
      <c r="E2320" s="3064"/>
      <c r="F2320" s="3064"/>
      <c r="G2320" s="3301" t="s">
        <v>676</v>
      </c>
      <c r="H2320" s="3063"/>
      <c r="I2320" s="3030"/>
    </row>
    <row r="2321" spans="2:9">
      <c r="B2321" s="3192" t="s">
        <v>677</v>
      </c>
      <c r="C2321" s="3063"/>
      <c r="D2321" s="3064"/>
      <c r="E2321" s="3064"/>
      <c r="F2321" s="3064"/>
      <c r="G2321" s="3301" t="s">
        <v>677</v>
      </c>
      <c r="H2321" s="3063"/>
      <c r="I2321" s="3030"/>
    </row>
    <row r="2322" spans="2:9">
      <c r="B2322" s="3192" t="s">
        <v>678</v>
      </c>
      <c r="C2322" s="3063"/>
      <c r="D2322" s="3064"/>
      <c r="E2322" s="3064"/>
      <c r="F2322" s="3064"/>
      <c r="G2322" s="3301" t="s">
        <v>678</v>
      </c>
      <c r="H2322" s="3063"/>
      <c r="I2322" s="3030"/>
    </row>
    <row r="2323" spans="2:9">
      <c r="B2323" s="3192" t="s">
        <v>679</v>
      </c>
      <c r="C2323" s="3063"/>
      <c r="D2323" s="3064"/>
      <c r="E2323" s="3064"/>
      <c r="F2323" s="3064"/>
      <c r="G2323" s="3301" t="s">
        <v>679</v>
      </c>
      <c r="H2323" s="3063"/>
      <c r="I2323" s="3030"/>
    </row>
    <row r="2324" spans="2:9" ht="25.5">
      <c r="B2324" s="3192" t="s">
        <v>720</v>
      </c>
      <c r="C2324" s="3063"/>
      <c r="D2324" s="3064"/>
      <c r="E2324" s="3064"/>
      <c r="F2324" s="3064"/>
      <c r="G2324" s="3301" t="s">
        <v>720</v>
      </c>
      <c r="H2324" s="3063"/>
      <c r="I2324" s="3030"/>
    </row>
    <row r="2325" spans="2:9" ht="38.25">
      <c r="B2325" s="3299" t="s">
        <v>681</v>
      </c>
      <c r="C2325" s="3063"/>
      <c r="D2325" s="3064"/>
      <c r="E2325" s="3064"/>
      <c r="F2325" s="3064">
        <v>1</v>
      </c>
      <c r="G2325" s="3300" t="s">
        <v>681</v>
      </c>
      <c r="H2325" s="3063">
        <v>6.7933628844618801E-2</v>
      </c>
      <c r="I2325" s="3030"/>
    </row>
    <row r="2326" spans="2:9" ht="25.5">
      <c r="B2326" s="3192" t="s">
        <v>675</v>
      </c>
      <c r="C2326" s="3063">
        <v>1</v>
      </c>
      <c r="D2326" s="3064"/>
      <c r="E2326" s="3064"/>
      <c r="F2326" s="3064"/>
      <c r="G2326" s="3301" t="s">
        <v>675</v>
      </c>
      <c r="H2326" s="3063"/>
      <c r="I2326" s="3030">
        <v>6.7933628844618801E-2</v>
      </c>
    </row>
    <row r="2327" spans="2:9" ht="25.5">
      <c r="B2327" s="3192" t="s">
        <v>676</v>
      </c>
      <c r="C2327" s="3063"/>
      <c r="D2327" s="3064"/>
      <c r="E2327" s="3064"/>
      <c r="F2327" s="3064"/>
      <c r="G2327" s="3301" t="s">
        <v>676</v>
      </c>
      <c r="H2327" s="3063"/>
      <c r="I2327" s="3030"/>
    </row>
    <row r="2328" spans="2:9">
      <c r="B2328" s="3192" t="s">
        <v>677</v>
      </c>
      <c r="C2328" s="3063"/>
      <c r="D2328" s="3064"/>
      <c r="E2328" s="3064"/>
      <c r="F2328" s="3064"/>
      <c r="G2328" s="3301" t="s">
        <v>677</v>
      </c>
      <c r="H2328" s="3063"/>
      <c r="I2328" s="3030"/>
    </row>
    <row r="2329" spans="2:9">
      <c r="B2329" s="3192" t="s">
        <v>678</v>
      </c>
      <c r="C2329" s="3063"/>
      <c r="D2329" s="3064"/>
      <c r="E2329" s="3064"/>
      <c r="F2329" s="3064"/>
      <c r="G2329" s="3301" t="s">
        <v>678</v>
      </c>
      <c r="H2329" s="3063"/>
      <c r="I2329" s="3030"/>
    </row>
    <row r="2330" spans="2:9">
      <c r="B2330" s="3192" t="s">
        <v>679</v>
      </c>
      <c r="C2330" s="3063"/>
      <c r="D2330" s="3064">
        <v>1</v>
      </c>
      <c r="E2330" s="3064"/>
      <c r="F2330" s="3064"/>
      <c r="G2330" s="3301" t="s">
        <v>679</v>
      </c>
      <c r="H2330" s="3063"/>
      <c r="I2330" s="3030"/>
    </row>
    <row r="2331" spans="2:9" ht="25.5">
      <c r="B2331" s="3192" t="s">
        <v>720</v>
      </c>
      <c r="C2331" s="3063">
        <v>1</v>
      </c>
      <c r="D2331" s="3064"/>
      <c r="E2331" s="3064"/>
      <c r="F2331" s="3064"/>
      <c r="G2331" s="3301" t="s">
        <v>720</v>
      </c>
      <c r="H2331" s="3063"/>
      <c r="I2331" s="3030"/>
    </row>
    <row r="2332" spans="2:9" ht="25.5">
      <c r="B2332" s="3299" t="s">
        <v>682</v>
      </c>
      <c r="C2332" s="3063"/>
      <c r="D2332" s="3064"/>
      <c r="E2332" s="3064"/>
      <c r="F2332" s="3064"/>
      <c r="G2332" s="3300" t="s">
        <v>682</v>
      </c>
      <c r="H2332" s="3063"/>
      <c r="I2332" s="3030"/>
    </row>
    <row r="2333" spans="2:9" ht="25.5">
      <c r="B2333" s="3192" t="s">
        <v>675</v>
      </c>
      <c r="C2333" s="3063"/>
      <c r="D2333" s="3064"/>
      <c r="E2333" s="3064"/>
      <c r="F2333" s="3064"/>
      <c r="G2333" s="3301" t="s">
        <v>675</v>
      </c>
      <c r="H2333" s="3063"/>
      <c r="I2333" s="3030"/>
    </row>
    <row r="2334" spans="2:9" ht="25.5">
      <c r="B2334" s="3192" t="s">
        <v>676</v>
      </c>
      <c r="C2334" s="3063"/>
      <c r="D2334" s="3064"/>
      <c r="E2334" s="3064"/>
      <c r="F2334" s="3064"/>
      <c r="G2334" s="3301" t="s">
        <v>676</v>
      </c>
      <c r="H2334" s="3063"/>
      <c r="I2334" s="3030"/>
    </row>
    <row r="2335" spans="2:9">
      <c r="B2335" s="3192" t="s">
        <v>677</v>
      </c>
      <c r="C2335" s="3063"/>
      <c r="D2335" s="3064"/>
      <c r="E2335" s="3064"/>
      <c r="F2335" s="3064"/>
      <c r="G2335" s="3301" t="s">
        <v>677</v>
      </c>
      <c r="H2335" s="3063"/>
      <c r="I2335" s="3030"/>
    </row>
    <row r="2336" spans="2:9">
      <c r="B2336" s="3192" t="s">
        <v>678</v>
      </c>
      <c r="C2336" s="3063"/>
      <c r="D2336" s="3064"/>
      <c r="E2336" s="3064"/>
      <c r="F2336" s="3064"/>
      <c r="G2336" s="3301" t="s">
        <v>678</v>
      </c>
      <c r="H2336" s="3063"/>
      <c r="I2336" s="3030"/>
    </row>
    <row r="2337" spans="2:9">
      <c r="B2337" s="3192" t="s">
        <v>679</v>
      </c>
      <c r="C2337" s="3063"/>
      <c r="D2337" s="3064"/>
      <c r="E2337" s="3064"/>
      <c r="F2337" s="3064"/>
      <c r="G2337" s="3301" t="s">
        <v>679</v>
      </c>
      <c r="H2337" s="3063"/>
      <c r="I2337" s="3030"/>
    </row>
    <row r="2338" spans="2:9" ht="25.5">
      <c r="B2338" s="3192" t="s">
        <v>720</v>
      </c>
      <c r="C2338" s="3063"/>
      <c r="D2338" s="3064"/>
      <c r="E2338" s="3064"/>
      <c r="F2338" s="3064"/>
      <c r="G2338" s="3301" t="s">
        <v>720</v>
      </c>
      <c r="H2338" s="3063"/>
      <c r="I2338" s="3030"/>
    </row>
    <row r="2339" spans="2:9" ht="25.5">
      <c r="B2339" s="3299" t="s">
        <v>66</v>
      </c>
      <c r="C2339" s="3063"/>
      <c r="D2339" s="3064"/>
      <c r="E2339" s="3064"/>
      <c r="F2339" s="3064">
        <v>7</v>
      </c>
      <c r="G2339" s="3300" t="s">
        <v>66</v>
      </c>
      <c r="H2339" s="3063">
        <v>0.27129086667024638</v>
      </c>
      <c r="I2339" s="3030"/>
    </row>
    <row r="2340" spans="2:9" ht="25.5">
      <c r="B2340" s="3192" t="s">
        <v>675</v>
      </c>
      <c r="C2340" s="3063">
        <v>6</v>
      </c>
      <c r="D2340" s="3064">
        <v>6</v>
      </c>
      <c r="E2340" s="3064"/>
      <c r="F2340" s="3064"/>
      <c r="G2340" s="3301" t="s">
        <v>675</v>
      </c>
      <c r="H2340" s="3063"/>
      <c r="I2340" s="3030">
        <v>0.77511676191498968</v>
      </c>
    </row>
    <row r="2341" spans="2:9" ht="25.5">
      <c r="B2341" s="3192" t="s">
        <v>676</v>
      </c>
      <c r="C2341" s="3063"/>
      <c r="D2341" s="3064"/>
      <c r="E2341" s="3064"/>
      <c r="F2341" s="3064"/>
      <c r="G2341" s="3301" t="s">
        <v>676</v>
      </c>
      <c r="H2341" s="3063"/>
      <c r="I2341" s="3030"/>
    </row>
    <row r="2342" spans="2:9">
      <c r="B2342" s="3192" t="s">
        <v>677</v>
      </c>
      <c r="C2342" s="3063"/>
      <c r="D2342" s="3064"/>
      <c r="E2342" s="3064"/>
      <c r="F2342" s="3064"/>
      <c r="G2342" s="3301" t="s">
        <v>677</v>
      </c>
      <c r="H2342" s="3063"/>
      <c r="I2342" s="3030"/>
    </row>
    <row r="2343" spans="2:9">
      <c r="B2343" s="3192" t="s">
        <v>678</v>
      </c>
      <c r="C2343" s="3063">
        <v>1</v>
      </c>
      <c r="D2343" s="3064"/>
      <c r="E2343" s="3064"/>
      <c r="F2343" s="3064"/>
      <c r="G2343" s="3301" t="s">
        <v>678</v>
      </c>
      <c r="H2343" s="3063"/>
      <c r="I2343" s="3030"/>
    </row>
    <row r="2344" spans="2:9">
      <c r="B2344" s="3192" t="s">
        <v>679</v>
      </c>
      <c r="C2344" s="3063"/>
      <c r="D2344" s="3064">
        <v>1</v>
      </c>
      <c r="E2344" s="3064"/>
      <c r="F2344" s="3064"/>
      <c r="G2344" s="3301" t="s">
        <v>679</v>
      </c>
      <c r="H2344" s="3063"/>
      <c r="I2344" s="3030"/>
    </row>
    <row r="2345" spans="2:9" ht="25.5">
      <c r="B2345" s="3192" t="s">
        <v>720</v>
      </c>
      <c r="C2345" s="3063"/>
      <c r="D2345" s="3064"/>
      <c r="E2345" s="3064"/>
      <c r="F2345" s="3064"/>
      <c r="G2345" s="3301" t="s">
        <v>720</v>
      </c>
      <c r="H2345" s="3063"/>
      <c r="I2345" s="3030"/>
    </row>
    <row r="2346" spans="2:9">
      <c r="B2346" s="3299" t="s">
        <v>67</v>
      </c>
      <c r="C2346" s="3063"/>
      <c r="D2346" s="3064"/>
      <c r="E2346" s="3064"/>
      <c r="F2346" s="3064">
        <v>9</v>
      </c>
      <c r="G2346" s="3300" t="s">
        <v>67</v>
      </c>
      <c r="H2346" s="3063">
        <v>0.16940934790903964</v>
      </c>
      <c r="I2346" s="3030"/>
    </row>
    <row r="2347" spans="2:9" ht="25.5">
      <c r="B2347" s="3192" t="s">
        <v>675</v>
      </c>
      <c r="C2347" s="3063">
        <v>4</v>
      </c>
      <c r="D2347" s="3064">
        <v>1</v>
      </c>
      <c r="E2347" s="3064"/>
      <c r="F2347" s="3064"/>
      <c r="G2347" s="3301" t="s">
        <v>675</v>
      </c>
      <c r="H2347" s="3063"/>
      <c r="I2347" s="3030">
        <v>9.0755007808414084E-2</v>
      </c>
    </row>
    <row r="2348" spans="2:9" ht="25.5">
      <c r="B2348" s="3192" t="s">
        <v>676</v>
      </c>
      <c r="C2348" s="3063"/>
      <c r="D2348" s="3064"/>
      <c r="E2348" s="3064"/>
      <c r="F2348" s="3064"/>
      <c r="G2348" s="3301" t="s">
        <v>676</v>
      </c>
      <c r="H2348" s="3063"/>
      <c r="I2348" s="3030"/>
    </row>
    <row r="2349" spans="2:9">
      <c r="B2349" s="3192" t="s">
        <v>677</v>
      </c>
      <c r="C2349" s="3063"/>
      <c r="D2349" s="3064"/>
      <c r="E2349" s="3064"/>
      <c r="F2349" s="3064"/>
      <c r="G2349" s="3301" t="s">
        <v>677</v>
      </c>
      <c r="H2349" s="3063"/>
      <c r="I2349" s="3030"/>
    </row>
    <row r="2350" spans="2:9">
      <c r="B2350" s="3192" t="s">
        <v>678</v>
      </c>
      <c r="C2350" s="3063"/>
      <c r="D2350" s="3064"/>
      <c r="E2350" s="3064"/>
      <c r="F2350" s="3064"/>
      <c r="G2350" s="3301" t="s">
        <v>678</v>
      </c>
      <c r="H2350" s="3063"/>
      <c r="I2350" s="3030"/>
    </row>
    <row r="2351" spans="2:9">
      <c r="B2351" s="3192" t="s">
        <v>679</v>
      </c>
      <c r="C2351" s="3063"/>
      <c r="D2351" s="3064"/>
      <c r="E2351" s="3064"/>
      <c r="F2351" s="3064"/>
      <c r="G2351" s="3301" t="s">
        <v>679</v>
      </c>
      <c r="H2351" s="3063"/>
      <c r="I2351" s="3030"/>
    </row>
    <row r="2352" spans="2:9" ht="25.5">
      <c r="B2352" s="3230" t="s">
        <v>81</v>
      </c>
      <c r="C2352" s="3063"/>
      <c r="D2352" s="3064"/>
      <c r="E2352" s="3064"/>
      <c r="F2352" s="3064"/>
      <c r="G2352" s="3302" t="s">
        <v>81</v>
      </c>
      <c r="H2352" s="3063"/>
      <c r="I2352" s="3030"/>
    </row>
    <row r="2353" spans="2:9" ht="26.25" thickBot="1">
      <c r="B2353" s="3303" t="s">
        <v>81</v>
      </c>
      <c r="C2353" s="3063"/>
      <c r="D2353" s="3064"/>
      <c r="E2353" s="3064"/>
      <c r="F2353" s="3064"/>
      <c r="G2353" s="3302" t="s">
        <v>81</v>
      </c>
      <c r="H2353" s="3063"/>
      <c r="I2353" s="3030"/>
    </row>
    <row r="2354" spans="2:9">
      <c r="B2354" s="3217" t="s">
        <v>697</v>
      </c>
      <c r="C2354" s="3218"/>
      <c r="D2354" s="3219"/>
      <c r="E2354" s="3219"/>
      <c r="F2354" s="3219"/>
      <c r="G2354" s="3217" t="s">
        <v>697</v>
      </c>
      <c r="H2354" s="3297"/>
      <c r="I2354" s="3298"/>
    </row>
    <row r="2355" spans="2:9">
      <c r="B2355" s="3299" t="s">
        <v>64</v>
      </c>
      <c r="C2355" s="3063"/>
      <c r="D2355" s="3064"/>
      <c r="E2355" s="3064"/>
      <c r="F2355" s="3064"/>
      <c r="G2355" s="3300" t="s">
        <v>64</v>
      </c>
      <c r="H2355" s="3063"/>
      <c r="I2355" s="3030"/>
    </row>
    <row r="2356" spans="2:9" ht="25.5">
      <c r="B2356" s="3192" t="s">
        <v>675</v>
      </c>
      <c r="C2356" s="3063"/>
      <c r="D2356" s="3064"/>
      <c r="E2356" s="3064"/>
      <c r="F2356" s="3064"/>
      <c r="G2356" s="3301" t="s">
        <v>675</v>
      </c>
      <c r="H2356" s="3063"/>
      <c r="I2356" s="3030"/>
    </row>
    <row r="2357" spans="2:9" ht="25.5">
      <c r="B2357" s="3192" t="s">
        <v>676</v>
      </c>
      <c r="C2357" s="3063"/>
      <c r="D2357" s="3064"/>
      <c r="E2357" s="3064"/>
      <c r="F2357" s="3064"/>
      <c r="G2357" s="3301" t="s">
        <v>676</v>
      </c>
      <c r="H2357" s="3063"/>
      <c r="I2357" s="3030"/>
    </row>
    <row r="2358" spans="2:9">
      <c r="B2358" s="3192" t="s">
        <v>677</v>
      </c>
      <c r="C2358" s="3063"/>
      <c r="D2358" s="3064"/>
      <c r="E2358" s="3064"/>
      <c r="F2358" s="3064"/>
      <c r="G2358" s="3301" t="s">
        <v>677</v>
      </c>
      <c r="H2358" s="3063"/>
      <c r="I2358" s="3030"/>
    </row>
    <row r="2359" spans="2:9">
      <c r="B2359" s="3192" t="s">
        <v>678</v>
      </c>
      <c r="C2359" s="3063"/>
      <c r="D2359" s="3064"/>
      <c r="E2359" s="3064"/>
      <c r="F2359" s="3064"/>
      <c r="G2359" s="3301" t="s">
        <v>678</v>
      </c>
      <c r="H2359" s="3063"/>
      <c r="I2359" s="3030"/>
    </row>
    <row r="2360" spans="2:9">
      <c r="B2360" s="3192" t="s">
        <v>679</v>
      </c>
      <c r="C2360" s="3063"/>
      <c r="D2360" s="3064"/>
      <c r="E2360" s="3064"/>
      <c r="F2360" s="3064"/>
      <c r="G2360" s="3301" t="s">
        <v>679</v>
      </c>
      <c r="H2360" s="3063"/>
      <c r="I2360" s="3030"/>
    </row>
    <row r="2361" spans="2:9" ht="25.5">
      <c r="B2361" s="3192" t="s">
        <v>720</v>
      </c>
      <c r="C2361" s="3063"/>
      <c r="D2361" s="3064"/>
      <c r="E2361" s="3064"/>
      <c r="F2361" s="3064"/>
      <c r="G2361" s="3301" t="s">
        <v>720</v>
      </c>
      <c r="H2361" s="3063"/>
      <c r="I2361" s="3030"/>
    </row>
    <row r="2362" spans="2:9">
      <c r="B2362" s="3299" t="s">
        <v>65</v>
      </c>
      <c r="C2362" s="3063"/>
      <c r="D2362" s="3064"/>
      <c r="E2362" s="3064"/>
      <c r="F2362" s="3064"/>
      <c r="G2362" s="3300" t="s">
        <v>65</v>
      </c>
      <c r="H2362" s="3063"/>
      <c r="I2362" s="3030"/>
    </row>
    <row r="2363" spans="2:9" ht="25.5">
      <c r="B2363" s="3192" t="s">
        <v>675</v>
      </c>
      <c r="C2363" s="3063"/>
      <c r="D2363" s="3064"/>
      <c r="E2363" s="3064"/>
      <c r="F2363" s="3064"/>
      <c r="G2363" s="3301" t="s">
        <v>675</v>
      </c>
      <c r="H2363" s="3063"/>
      <c r="I2363" s="3030"/>
    </row>
    <row r="2364" spans="2:9" ht="25.5">
      <c r="B2364" s="3192" t="s">
        <v>676</v>
      </c>
      <c r="C2364" s="3063"/>
      <c r="D2364" s="3064"/>
      <c r="E2364" s="3064"/>
      <c r="F2364" s="3064"/>
      <c r="G2364" s="3301" t="s">
        <v>676</v>
      </c>
      <c r="H2364" s="3063"/>
      <c r="I2364" s="3030"/>
    </row>
    <row r="2365" spans="2:9">
      <c r="B2365" s="3192" t="s">
        <v>677</v>
      </c>
      <c r="C2365" s="3063"/>
      <c r="D2365" s="3064"/>
      <c r="E2365" s="3064"/>
      <c r="F2365" s="3064"/>
      <c r="G2365" s="3301" t="s">
        <v>677</v>
      </c>
      <c r="H2365" s="3063"/>
      <c r="I2365" s="3030"/>
    </row>
    <row r="2366" spans="2:9">
      <c r="B2366" s="3192" t="s">
        <v>678</v>
      </c>
      <c r="C2366" s="3063"/>
      <c r="D2366" s="3064"/>
      <c r="E2366" s="3064"/>
      <c r="F2366" s="3064"/>
      <c r="G2366" s="3301" t="s">
        <v>678</v>
      </c>
      <c r="H2366" s="3063"/>
      <c r="I2366" s="3030"/>
    </row>
    <row r="2367" spans="2:9">
      <c r="B2367" s="3192" t="s">
        <v>679</v>
      </c>
      <c r="C2367" s="3063"/>
      <c r="D2367" s="3064"/>
      <c r="E2367" s="3064"/>
      <c r="F2367" s="3064"/>
      <c r="G2367" s="3301" t="s">
        <v>679</v>
      </c>
      <c r="H2367" s="3063"/>
      <c r="I2367" s="3030"/>
    </row>
    <row r="2368" spans="2:9" ht="25.5">
      <c r="B2368" s="3192" t="s">
        <v>720</v>
      </c>
      <c r="C2368" s="3063"/>
      <c r="D2368" s="3064"/>
      <c r="E2368" s="3064"/>
      <c r="F2368" s="3064"/>
      <c r="G2368" s="3301" t="s">
        <v>720</v>
      </c>
      <c r="H2368" s="3063"/>
      <c r="I2368" s="3030"/>
    </row>
    <row r="2369" spans="2:9">
      <c r="B2369" s="3299" t="s">
        <v>82</v>
      </c>
      <c r="C2369" s="3063"/>
      <c r="D2369" s="3064"/>
      <c r="E2369" s="3064"/>
      <c r="F2369" s="3064"/>
      <c r="G2369" s="3300" t="s">
        <v>82</v>
      </c>
      <c r="H2369" s="3063"/>
      <c r="I2369" s="3030"/>
    </row>
    <row r="2370" spans="2:9" ht="25.5">
      <c r="B2370" s="3192" t="s">
        <v>675</v>
      </c>
      <c r="C2370" s="3063"/>
      <c r="D2370" s="3064"/>
      <c r="E2370" s="3064"/>
      <c r="F2370" s="3064"/>
      <c r="G2370" s="3301" t="s">
        <v>675</v>
      </c>
      <c r="H2370" s="3063"/>
      <c r="I2370" s="3030"/>
    </row>
    <row r="2371" spans="2:9" ht="25.5">
      <c r="B2371" s="3192" t="s">
        <v>676</v>
      </c>
      <c r="C2371" s="3063"/>
      <c r="D2371" s="3064"/>
      <c r="E2371" s="3064"/>
      <c r="F2371" s="3064"/>
      <c r="G2371" s="3301" t="s">
        <v>676</v>
      </c>
      <c r="H2371" s="3063"/>
      <c r="I2371" s="3030"/>
    </row>
    <row r="2372" spans="2:9">
      <c r="B2372" s="3192" t="s">
        <v>677</v>
      </c>
      <c r="C2372" s="3063"/>
      <c r="D2372" s="3064"/>
      <c r="E2372" s="3064"/>
      <c r="F2372" s="3064"/>
      <c r="G2372" s="3301" t="s">
        <v>677</v>
      </c>
      <c r="H2372" s="3063"/>
      <c r="I2372" s="3030"/>
    </row>
    <row r="2373" spans="2:9">
      <c r="B2373" s="3192" t="s">
        <v>678</v>
      </c>
      <c r="C2373" s="3063"/>
      <c r="D2373" s="3064"/>
      <c r="E2373" s="3064"/>
      <c r="F2373" s="3064"/>
      <c r="G2373" s="3301" t="s">
        <v>678</v>
      </c>
      <c r="H2373" s="3063"/>
      <c r="I2373" s="3030"/>
    </row>
    <row r="2374" spans="2:9">
      <c r="B2374" s="3192" t="s">
        <v>679</v>
      </c>
      <c r="C2374" s="3063"/>
      <c r="D2374" s="3064"/>
      <c r="E2374" s="3064"/>
      <c r="F2374" s="3064"/>
      <c r="G2374" s="3301" t="s">
        <v>679</v>
      </c>
      <c r="H2374" s="3063"/>
      <c r="I2374" s="3030"/>
    </row>
    <row r="2375" spans="2:9" ht="25.5">
      <c r="B2375" s="3192" t="s">
        <v>720</v>
      </c>
      <c r="C2375" s="3063"/>
      <c r="D2375" s="3064"/>
      <c r="E2375" s="3064"/>
      <c r="F2375" s="3064"/>
      <c r="G2375" s="3301" t="s">
        <v>720</v>
      </c>
      <c r="H2375" s="3063"/>
      <c r="I2375" s="3030"/>
    </row>
    <row r="2376" spans="2:9" ht="38.25">
      <c r="B2376" s="3299" t="s">
        <v>680</v>
      </c>
      <c r="C2376" s="3063"/>
      <c r="D2376" s="3064"/>
      <c r="E2376" s="3064"/>
      <c r="F2376" s="3064"/>
      <c r="G2376" s="3300" t="s">
        <v>680</v>
      </c>
      <c r="H2376" s="3063"/>
      <c r="I2376" s="3030"/>
    </row>
    <row r="2377" spans="2:9" ht="25.5">
      <c r="B2377" s="3192" t="s">
        <v>675</v>
      </c>
      <c r="C2377" s="3063"/>
      <c r="D2377" s="3064"/>
      <c r="E2377" s="3064"/>
      <c r="F2377" s="3064"/>
      <c r="G2377" s="3301" t="s">
        <v>675</v>
      </c>
      <c r="H2377" s="3063"/>
      <c r="I2377" s="3030"/>
    </row>
    <row r="2378" spans="2:9" ht="25.5">
      <c r="B2378" s="3192" t="s">
        <v>676</v>
      </c>
      <c r="C2378" s="3063"/>
      <c r="D2378" s="3064"/>
      <c r="E2378" s="3064"/>
      <c r="F2378" s="3064"/>
      <c r="G2378" s="3301" t="s">
        <v>676</v>
      </c>
      <c r="H2378" s="3063"/>
      <c r="I2378" s="3030"/>
    </row>
    <row r="2379" spans="2:9">
      <c r="B2379" s="3192" t="s">
        <v>677</v>
      </c>
      <c r="C2379" s="3063"/>
      <c r="D2379" s="3064"/>
      <c r="E2379" s="3064"/>
      <c r="F2379" s="3064"/>
      <c r="G2379" s="3301" t="s">
        <v>677</v>
      </c>
      <c r="H2379" s="3063"/>
      <c r="I2379" s="3030"/>
    </row>
    <row r="2380" spans="2:9">
      <c r="B2380" s="3192" t="s">
        <v>678</v>
      </c>
      <c r="C2380" s="3063"/>
      <c r="D2380" s="3064"/>
      <c r="E2380" s="3064"/>
      <c r="F2380" s="3064"/>
      <c r="G2380" s="3301" t="s">
        <v>678</v>
      </c>
      <c r="H2380" s="3063"/>
      <c r="I2380" s="3030"/>
    </row>
    <row r="2381" spans="2:9">
      <c r="B2381" s="3192" t="s">
        <v>679</v>
      </c>
      <c r="C2381" s="3063"/>
      <c r="D2381" s="3064"/>
      <c r="E2381" s="3064"/>
      <c r="F2381" s="3064"/>
      <c r="G2381" s="3301" t="s">
        <v>679</v>
      </c>
      <c r="H2381" s="3063"/>
      <c r="I2381" s="3030"/>
    </row>
    <row r="2382" spans="2:9" ht="25.5">
      <c r="B2382" s="3192" t="s">
        <v>720</v>
      </c>
      <c r="C2382" s="3063"/>
      <c r="D2382" s="3064"/>
      <c r="E2382" s="3064"/>
      <c r="F2382" s="3064"/>
      <c r="G2382" s="3301" t="s">
        <v>720</v>
      </c>
      <c r="H2382" s="3063"/>
      <c r="I2382" s="3030"/>
    </row>
    <row r="2383" spans="2:9" ht="38.25">
      <c r="B2383" s="3299" t="s">
        <v>681</v>
      </c>
      <c r="C2383" s="3063"/>
      <c r="D2383" s="3064"/>
      <c r="E2383" s="3064"/>
      <c r="F2383" s="3064"/>
      <c r="G2383" s="3300" t="s">
        <v>681</v>
      </c>
      <c r="H2383" s="3063">
        <v>6.7933628844618801E-2</v>
      </c>
      <c r="I2383" s="3030"/>
    </row>
    <row r="2384" spans="2:9" ht="25.5">
      <c r="B2384" s="3192" t="s">
        <v>675</v>
      </c>
      <c r="C2384" s="3063">
        <v>1</v>
      </c>
      <c r="D2384" s="3064">
        <v>1</v>
      </c>
      <c r="E2384" s="3064"/>
      <c r="F2384" s="3064">
        <v>1</v>
      </c>
      <c r="G2384" s="3301" t="s">
        <v>675</v>
      </c>
      <c r="H2384" s="3063"/>
      <c r="I2384" s="3030">
        <v>6.7933628844618801E-2</v>
      </c>
    </row>
    <row r="2385" spans="2:9" ht="25.5">
      <c r="B2385" s="3192" t="s">
        <v>676</v>
      </c>
      <c r="C2385" s="3063"/>
      <c r="D2385" s="3064"/>
      <c r="E2385" s="3064"/>
      <c r="F2385" s="3064"/>
      <c r="G2385" s="3301" t="s">
        <v>676</v>
      </c>
      <c r="H2385" s="3063"/>
      <c r="I2385" s="3030"/>
    </row>
    <row r="2386" spans="2:9">
      <c r="B2386" s="3192" t="s">
        <v>677</v>
      </c>
      <c r="C2386" s="3063"/>
      <c r="D2386" s="3064"/>
      <c r="E2386" s="3064"/>
      <c r="F2386" s="3064"/>
      <c r="G2386" s="3301" t="s">
        <v>677</v>
      </c>
      <c r="H2386" s="3063"/>
      <c r="I2386" s="3030"/>
    </row>
    <row r="2387" spans="2:9">
      <c r="B2387" s="3192" t="s">
        <v>678</v>
      </c>
      <c r="C2387" s="3063"/>
      <c r="D2387" s="3064"/>
      <c r="E2387" s="3064"/>
      <c r="F2387" s="3064"/>
      <c r="G2387" s="3301" t="s">
        <v>678</v>
      </c>
      <c r="H2387" s="3063"/>
      <c r="I2387" s="3030"/>
    </row>
    <row r="2388" spans="2:9">
      <c r="B2388" s="3192" t="s">
        <v>679</v>
      </c>
      <c r="C2388" s="3063"/>
      <c r="D2388" s="3064"/>
      <c r="E2388" s="3064"/>
      <c r="F2388" s="3064"/>
      <c r="G2388" s="3301" t="s">
        <v>679</v>
      </c>
      <c r="H2388" s="3063"/>
      <c r="I2388" s="3030"/>
    </row>
    <row r="2389" spans="2:9" ht="25.5">
      <c r="B2389" s="3192" t="s">
        <v>720</v>
      </c>
      <c r="C2389" s="3063"/>
      <c r="D2389" s="3064"/>
      <c r="E2389" s="3064"/>
      <c r="F2389" s="3064"/>
      <c r="G2389" s="3301" t="s">
        <v>720</v>
      </c>
      <c r="H2389" s="3063"/>
      <c r="I2389" s="3030"/>
    </row>
    <row r="2390" spans="2:9" ht="25.5">
      <c r="B2390" s="3299" t="s">
        <v>682</v>
      </c>
      <c r="C2390" s="3063"/>
      <c r="D2390" s="3064"/>
      <c r="E2390" s="3064"/>
      <c r="F2390" s="3064"/>
      <c r="G2390" s="3300" t="s">
        <v>682</v>
      </c>
      <c r="H2390" s="3063">
        <v>3.5285974019757753</v>
      </c>
      <c r="I2390" s="3030"/>
    </row>
    <row r="2391" spans="2:9" ht="25.5">
      <c r="B2391" s="3192" t="s">
        <v>675</v>
      </c>
      <c r="C2391" s="3063"/>
      <c r="D2391" s="3064">
        <v>1</v>
      </c>
      <c r="E2391" s="3064"/>
      <c r="F2391" s="3064"/>
      <c r="G2391" s="3301" t="s">
        <v>675</v>
      </c>
      <c r="H2391" s="3063"/>
      <c r="I2391" s="3030"/>
    </row>
    <row r="2392" spans="2:9" ht="25.5">
      <c r="B2392" s="3192" t="s">
        <v>676</v>
      </c>
      <c r="C2392" s="3063"/>
      <c r="D2392" s="3064"/>
      <c r="E2392" s="3064"/>
      <c r="F2392" s="3064"/>
      <c r="G2392" s="3301" t="s">
        <v>676</v>
      </c>
      <c r="H2392" s="3063"/>
      <c r="I2392" s="3030"/>
    </row>
    <row r="2393" spans="2:9">
      <c r="B2393" s="3192" t="s">
        <v>677</v>
      </c>
      <c r="C2393" s="3063"/>
      <c r="D2393" s="3064"/>
      <c r="E2393" s="3064"/>
      <c r="F2393" s="3064"/>
      <c r="G2393" s="3301" t="s">
        <v>677</v>
      </c>
      <c r="H2393" s="3063"/>
      <c r="I2393" s="3030"/>
    </row>
    <row r="2394" spans="2:9">
      <c r="B2394" s="3192" t="s">
        <v>678</v>
      </c>
      <c r="C2394" s="3063"/>
      <c r="D2394" s="3064"/>
      <c r="E2394" s="3064"/>
      <c r="F2394" s="3064"/>
      <c r="G2394" s="3301" t="s">
        <v>678</v>
      </c>
      <c r="H2394" s="3063"/>
      <c r="I2394" s="3030"/>
    </row>
    <row r="2395" spans="2:9">
      <c r="B2395" s="3192" t="s">
        <v>679</v>
      </c>
      <c r="C2395" s="3063"/>
      <c r="D2395" s="3064"/>
      <c r="E2395" s="3064"/>
      <c r="F2395" s="3064"/>
      <c r="G2395" s="3301" t="s">
        <v>679</v>
      </c>
      <c r="H2395" s="3063"/>
      <c r="I2395" s="3030"/>
    </row>
    <row r="2396" spans="2:9" ht="25.5">
      <c r="B2396" s="3192" t="s">
        <v>720</v>
      </c>
      <c r="C2396" s="3063"/>
      <c r="D2396" s="3064"/>
      <c r="E2396" s="3064"/>
      <c r="F2396" s="3064"/>
      <c r="G2396" s="3301" t="s">
        <v>720</v>
      </c>
      <c r="H2396" s="3063"/>
      <c r="I2396" s="3030"/>
    </row>
    <row r="2397" spans="2:9" ht="25.5">
      <c r="B2397" s="3299" t="s">
        <v>66</v>
      </c>
      <c r="C2397" s="3063"/>
      <c r="D2397" s="3064"/>
      <c r="E2397" s="3064"/>
      <c r="F2397" s="3064"/>
      <c r="G2397" s="3300" t="s">
        <v>66</v>
      </c>
      <c r="H2397" s="3063"/>
      <c r="I2397" s="3030"/>
    </row>
    <row r="2398" spans="2:9" ht="25.5">
      <c r="B2398" s="3192" t="s">
        <v>675</v>
      </c>
      <c r="C2398" s="3063"/>
      <c r="D2398" s="3064"/>
      <c r="E2398" s="3064"/>
      <c r="F2398" s="3064"/>
      <c r="G2398" s="3301" t="s">
        <v>675</v>
      </c>
      <c r="H2398" s="3063"/>
      <c r="I2398" s="3030"/>
    </row>
    <row r="2399" spans="2:9" ht="25.5">
      <c r="B2399" s="3192" t="s">
        <v>676</v>
      </c>
      <c r="C2399" s="3063"/>
      <c r="D2399" s="3064"/>
      <c r="E2399" s="3064"/>
      <c r="F2399" s="3064"/>
      <c r="G2399" s="3301" t="s">
        <v>676</v>
      </c>
      <c r="H2399" s="3063"/>
      <c r="I2399" s="3030"/>
    </row>
    <row r="2400" spans="2:9">
      <c r="B2400" s="3192" t="s">
        <v>677</v>
      </c>
      <c r="C2400" s="3063"/>
      <c r="D2400" s="3064"/>
      <c r="E2400" s="3064"/>
      <c r="F2400" s="3064"/>
      <c r="G2400" s="3301" t="s">
        <v>677</v>
      </c>
      <c r="H2400" s="3063"/>
      <c r="I2400" s="3030"/>
    </row>
    <row r="2401" spans="2:9">
      <c r="B2401" s="3192" t="s">
        <v>678</v>
      </c>
      <c r="C2401" s="3063"/>
      <c r="D2401" s="3064"/>
      <c r="E2401" s="3064"/>
      <c r="F2401" s="3064"/>
      <c r="G2401" s="3301" t="s">
        <v>678</v>
      </c>
      <c r="H2401" s="3063"/>
      <c r="I2401" s="3030"/>
    </row>
    <row r="2402" spans="2:9">
      <c r="B2402" s="3192" t="s">
        <v>679</v>
      </c>
      <c r="C2402" s="3063"/>
      <c r="D2402" s="3064"/>
      <c r="E2402" s="3064"/>
      <c r="F2402" s="3064"/>
      <c r="G2402" s="3301" t="s">
        <v>679</v>
      </c>
      <c r="H2402" s="3063"/>
      <c r="I2402" s="3030"/>
    </row>
    <row r="2403" spans="2:9" ht="25.5">
      <c r="B2403" s="3192" t="s">
        <v>720</v>
      </c>
      <c r="C2403" s="3063"/>
      <c r="D2403" s="3064"/>
      <c r="E2403" s="3064"/>
      <c r="F2403" s="3064"/>
      <c r="G2403" s="3301" t="s">
        <v>720</v>
      </c>
      <c r="H2403" s="3063"/>
      <c r="I2403" s="3030"/>
    </row>
    <row r="2404" spans="2:9">
      <c r="B2404" s="3299" t="s">
        <v>67</v>
      </c>
      <c r="C2404" s="3063"/>
      <c r="D2404" s="3064"/>
      <c r="E2404" s="3064"/>
      <c r="F2404" s="3064"/>
      <c r="G2404" s="3300" t="s">
        <v>67</v>
      </c>
      <c r="H2404" s="3063">
        <v>3.6302003123365637E-2</v>
      </c>
      <c r="I2404" s="3030"/>
    </row>
    <row r="2405" spans="2:9" ht="25.5">
      <c r="B2405" s="3192" t="s">
        <v>675</v>
      </c>
      <c r="C2405" s="3063"/>
      <c r="D2405" s="3064">
        <v>1</v>
      </c>
      <c r="E2405" s="3064"/>
      <c r="F2405" s="3064"/>
      <c r="G2405" s="3301" t="s">
        <v>675</v>
      </c>
      <c r="H2405" s="3063"/>
      <c r="I2405" s="3030">
        <v>3.6302003123365637E-2</v>
      </c>
    </row>
    <row r="2406" spans="2:9" ht="25.5">
      <c r="B2406" s="3192" t="s">
        <v>676</v>
      </c>
      <c r="C2406" s="3063"/>
      <c r="D2406" s="3064"/>
      <c r="E2406" s="3064"/>
      <c r="F2406" s="3064"/>
      <c r="G2406" s="3301" t="s">
        <v>676</v>
      </c>
      <c r="H2406" s="3063"/>
      <c r="I2406" s="3030"/>
    </row>
    <row r="2407" spans="2:9">
      <c r="B2407" s="3192" t="s">
        <v>677</v>
      </c>
      <c r="C2407" s="3063"/>
      <c r="D2407" s="3064"/>
      <c r="E2407" s="3064"/>
      <c r="F2407" s="3064"/>
      <c r="G2407" s="3301" t="s">
        <v>677</v>
      </c>
      <c r="H2407" s="3063"/>
      <c r="I2407" s="3030"/>
    </row>
    <row r="2408" spans="2:9">
      <c r="B2408" s="3192" t="s">
        <v>678</v>
      </c>
      <c r="C2408" s="3063"/>
      <c r="D2408" s="3064">
        <v>1</v>
      </c>
      <c r="E2408" s="3064"/>
      <c r="F2408" s="3064"/>
      <c r="G2408" s="3301" t="s">
        <v>678</v>
      </c>
      <c r="H2408" s="3063"/>
      <c r="I2408" s="3030"/>
    </row>
    <row r="2409" spans="2:9">
      <c r="B2409" s="3192" t="s">
        <v>679</v>
      </c>
      <c r="C2409" s="3063"/>
      <c r="D2409" s="3064"/>
      <c r="E2409" s="3064"/>
      <c r="F2409" s="3064"/>
      <c r="G2409" s="3301" t="s">
        <v>679</v>
      </c>
      <c r="H2409" s="3063"/>
      <c r="I2409" s="3030"/>
    </row>
    <row r="2410" spans="2:9" ht="25.5">
      <c r="B2410" s="3230" t="s">
        <v>81</v>
      </c>
      <c r="C2410" s="3063"/>
      <c r="D2410" s="3064"/>
      <c r="E2410" s="3064"/>
      <c r="F2410" s="3064"/>
      <c r="G2410" s="3302" t="s">
        <v>81</v>
      </c>
      <c r="H2410" s="3063"/>
      <c r="I2410" s="3030"/>
    </row>
    <row r="2411" spans="2:9" ht="26.25" thickBot="1">
      <c r="B2411" s="3303" t="s">
        <v>81</v>
      </c>
      <c r="C2411" s="3068"/>
      <c r="D2411" s="3069"/>
      <c r="E2411" s="3069"/>
      <c r="F2411" s="3069"/>
      <c r="G2411" s="3304" t="s">
        <v>81</v>
      </c>
      <c r="H2411" s="3068"/>
      <c r="I2411" s="3070"/>
    </row>
    <row r="2412" spans="2:9" ht="38.25">
      <c r="B2412" s="4723">
        <v>3013</v>
      </c>
      <c r="C2412" s="3289"/>
      <c r="D2412" s="3290"/>
      <c r="E2412" s="3290"/>
      <c r="F2412" s="3290"/>
      <c r="G2412" s="4723">
        <v>3013</v>
      </c>
      <c r="H2412" s="3291" t="s">
        <v>687</v>
      </c>
      <c r="I2412" s="3292" t="s">
        <v>688</v>
      </c>
    </row>
    <row r="2413" spans="2:9">
      <c r="B2413" s="4724"/>
      <c r="C2413" s="4678" t="s">
        <v>686</v>
      </c>
      <c r="D2413" s="4725"/>
      <c r="E2413" s="4725"/>
      <c r="F2413" s="4726"/>
      <c r="G2413" s="4724"/>
      <c r="H2413" s="3293"/>
      <c r="I2413" s="3294"/>
    </row>
    <row r="2414" spans="2:9" ht="13.5" thickBot="1">
      <c r="B2414" s="4724"/>
      <c r="C2414" s="3215">
        <v>2013</v>
      </c>
      <c r="D2414" s="3215">
        <v>2014</v>
      </c>
      <c r="E2414" s="3215">
        <v>2015</v>
      </c>
      <c r="F2414" s="3215">
        <v>2016</v>
      </c>
      <c r="G2414" s="4724"/>
      <c r="H2414" s="3295" t="s">
        <v>390</v>
      </c>
      <c r="I2414" s="3296" t="s">
        <v>390</v>
      </c>
    </row>
    <row r="2415" spans="2:9">
      <c r="B2415" s="3217" t="s">
        <v>695</v>
      </c>
      <c r="C2415" s="3218"/>
      <c r="D2415" s="3219"/>
      <c r="E2415" s="3219"/>
      <c r="F2415" s="3219"/>
      <c r="G2415" s="3217" t="s">
        <v>695</v>
      </c>
      <c r="H2415" s="3297"/>
      <c r="I2415" s="3298"/>
    </row>
    <row r="2416" spans="2:9">
      <c r="B2416" s="3299" t="s">
        <v>64</v>
      </c>
      <c r="C2416" s="3063"/>
      <c r="D2416" s="3064"/>
      <c r="E2416" s="3064"/>
      <c r="F2416" s="3064">
        <v>24</v>
      </c>
      <c r="G2416" s="3300" t="s">
        <v>64</v>
      </c>
      <c r="H2416" s="3063">
        <v>0.66745613634587275</v>
      </c>
      <c r="I2416" s="3030"/>
    </row>
    <row r="2417" spans="2:9" ht="25.5">
      <c r="B2417" s="3192" t="s">
        <v>675</v>
      </c>
      <c r="C2417" s="3063">
        <v>13</v>
      </c>
      <c r="D2417" s="3064">
        <v>7</v>
      </c>
      <c r="E2417" s="3064"/>
      <c r="F2417" s="3064"/>
      <c r="G2417" s="3301" t="s">
        <v>675</v>
      </c>
      <c r="H2417" s="3063"/>
      <c r="I2417" s="3030">
        <v>0.63567251080559306</v>
      </c>
    </row>
    <row r="2418" spans="2:9" ht="25.5">
      <c r="B2418" s="3192" t="s">
        <v>676</v>
      </c>
      <c r="C2418" s="3063"/>
      <c r="D2418" s="3064"/>
      <c r="E2418" s="3064"/>
      <c r="F2418" s="3064"/>
      <c r="G2418" s="3301" t="s">
        <v>676</v>
      </c>
      <c r="H2418" s="3063"/>
      <c r="I2418" s="3030"/>
    </row>
    <row r="2419" spans="2:9">
      <c r="B2419" s="3192" t="s">
        <v>677</v>
      </c>
      <c r="C2419" s="3063"/>
      <c r="D2419" s="3064"/>
      <c r="E2419" s="3064"/>
      <c r="F2419" s="3064"/>
      <c r="G2419" s="3301" t="s">
        <v>677</v>
      </c>
      <c r="H2419" s="3063"/>
      <c r="I2419" s="3030"/>
    </row>
    <row r="2420" spans="2:9">
      <c r="B2420" s="3192" t="s">
        <v>678</v>
      </c>
      <c r="C2420" s="3063">
        <v>9</v>
      </c>
      <c r="D2420" s="3064">
        <v>9</v>
      </c>
      <c r="E2420" s="3064"/>
      <c r="F2420" s="3064"/>
      <c r="G2420" s="3301" t="s">
        <v>678</v>
      </c>
      <c r="H2420" s="3063"/>
      <c r="I2420" s="3030"/>
    </row>
    <row r="2421" spans="2:9">
      <c r="B2421" s="3192" t="s">
        <v>679</v>
      </c>
      <c r="C2421" s="3063"/>
      <c r="D2421" s="3064">
        <v>1</v>
      </c>
      <c r="E2421" s="3064"/>
      <c r="F2421" s="3064"/>
      <c r="G2421" s="3301" t="s">
        <v>679</v>
      </c>
      <c r="H2421" s="3063"/>
      <c r="I2421" s="3030"/>
    </row>
    <row r="2422" spans="2:9" ht="25.5">
      <c r="B2422" s="3192" t="s">
        <v>720</v>
      </c>
      <c r="C2422" s="3063"/>
      <c r="D2422" s="3064"/>
      <c r="E2422" s="3064"/>
      <c r="F2422" s="3064"/>
      <c r="G2422" s="3301" t="s">
        <v>720</v>
      </c>
      <c r="H2422" s="3063"/>
      <c r="I2422" s="3030"/>
    </row>
    <row r="2423" spans="2:9">
      <c r="B2423" s="3299" t="s">
        <v>65</v>
      </c>
      <c r="C2423" s="3063"/>
      <c r="D2423" s="3064"/>
      <c r="E2423" s="3064"/>
      <c r="F2423" s="3064">
        <v>4</v>
      </c>
      <c r="G2423" s="3300" t="s">
        <v>65</v>
      </c>
      <c r="H2423" s="3063">
        <v>0.13179849679630945</v>
      </c>
      <c r="I2423" s="3030"/>
    </row>
    <row r="2424" spans="2:9" ht="25.5">
      <c r="B2424" s="3192" t="s">
        <v>675</v>
      </c>
      <c r="C2424" s="3063">
        <v>3</v>
      </c>
      <c r="D2424" s="3064">
        <v>3</v>
      </c>
      <c r="E2424" s="3064"/>
      <c r="F2424" s="3064"/>
      <c r="G2424" s="3301" t="s">
        <v>675</v>
      </c>
      <c r="H2424" s="3063"/>
      <c r="I2424" s="3063">
        <v>0.13752886622223595</v>
      </c>
    </row>
    <row r="2425" spans="2:9" ht="25.5">
      <c r="B2425" s="3192" t="s">
        <v>676</v>
      </c>
      <c r="C2425" s="3063"/>
      <c r="D2425" s="3064"/>
      <c r="E2425" s="3064"/>
      <c r="F2425" s="3064"/>
      <c r="G2425" s="3301" t="s">
        <v>676</v>
      </c>
      <c r="H2425" s="3063"/>
      <c r="I2425" s="3030"/>
    </row>
    <row r="2426" spans="2:9">
      <c r="B2426" s="3192" t="s">
        <v>677</v>
      </c>
      <c r="C2426" s="3063"/>
      <c r="D2426" s="3064"/>
      <c r="E2426" s="3064"/>
      <c r="F2426" s="3064"/>
      <c r="G2426" s="3301" t="s">
        <v>677</v>
      </c>
      <c r="H2426" s="3063"/>
      <c r="I2426" s="3030"/>
    </row>
    <row r="2427" spans="2:9">
      <c r="B2427" s="3192" t="s">
        <v>678</v>
      </c>
      <c r="C2427" s="3063">
        <v>6</v>
      </c>
      <c r="D2427" s="3064">
        <v>3</v>
      </c>
      <c r="E2427" s="3064"/>
      <c r="F2427" s="3064"/>
      <c r="G2427" s="3301" t="s">
        <v>678</v>
      </c>
      <c r="H2427" s="3063"/>
      <c r="I2427" s="3030"/>
    </row>
    <row r="2428" spans="2:9">
      <c r="B2428" s="3192" t="s">
        <v>679</v>
      </c>
      <c r="C2428" s="3063">
        <v>1</v>
      </c>
      <c r="D2428" s="3064">
        <v>2</v>
      </c>
      <c r="E2428" s="3064"/>
      <c r="F2428" s="3064"/>
      <c r="G2428" s="3301" t="s">
        <v>679</v>
      </c>
      <c r="H2428" s="3063"/>
      <c r="I2428" s="3030"/>
    </row>
    <row r="2429" spans="2:9" ht="25.5">
      <c r="B2429" s="3192" t="s">
        <v>720</v>
      </c>
      <c r="C2429" s="3063"/>
      <c r="D2429" s="3064">
        <v>1</v>
      </c>
      <c r="E2429" s="3064"/>
      <c r="F2429" s="3064"/>
      <c r="G2429" s="3301" t="s">
        <v>720</v>
      </c>
      <c r="H2429" s="3063"/>
      <c r="I2429" s="3030"/>
    </row>
    <row r="2430" spans="2:9">
      <c r="B2430" s="3299" t="s">
        <v>82</v>
      </c>
      <c r="C2430" s="3063"/>
      <c r="D2430" s="3064"/>
      <c r="E2430" s="3064"/>
      <c r="F2430" s="3064"/>
      <c r="G2430" s="3300" t="s">
        <v>82</v>
      </c>
      <c r="H2430" s="3063"/>
      <c r="I2430" s="3030"/>
    </row>
    <row r="2431" spans="2:9" ht="25.5">
      <c r="B2431" s="3192" t="s">
        <v>675</v>
      </c>
      <c r="C2431" s="3063"/>
      <c r="D2431" s="3064"/>
      <c r="E2431" s="3064"/>
      <c r="F2431" s="3064"/>
      <c r="G2431" s="3301" t="s">
        <v>675</v>
      </c>
      <c r="H2431" s="3063"/>
      <c r="I2431" s="3030"/>
    </row>
    <row r="2432" spans="2:9" ht="25.5">
      <c r="B2432" s="3192" t="s">
        <v>676</v>
      </c>
      <c r="C2432" s="3063"/>
      <c r="D2432" s="3064"/>
      <c r="E2432" s="3064"/>
      <c r="F2432" s="3064"/>
      <c r="G2432" s="3301" t="s">
        <v>676</v>
      </c>
      <c r="H2432" s="3063"/>
      <c r="I2432" s="3030"/>
    </row>
    <row r="2433" spans="2:9">
      <c r="B2433" s="3192" t="s">
        <v>677</v>
      </c>
      <c r="C2433" s="3063"/>
      <c r="D2433" s="3064"/>
      <c r="E2433" s="3064"/>
      <c r="F2433" s="3064"/>
      <c r="G2433" s="3301" t="s">
        <v>677</v>
      </c>
      <c r="H2433" s="3063"/>
      <c r="I2433" s="3030"/>
    </row>
    <row r="2434" spans="2:9">
      <c r="B2434" s="3192" t="s">
        <v>678</v>
      </c>
      <c r="C2434" s="3063"/>
      <c r="D2434" s="3064"/>
      <c r="E2434" s="3064"/>
      <c r="F2434" s="3064"/>
      <c r="G2434" s="3301" t="s">
        <v>678</v>
      </c>
      <c r="H2434" s="3063"/>
      <c r="I2434" s="3030"/>
    </row>
    <row r="2435" spans="2:9">
      <c r="B2435" s="3192" t="s">
        <v>679</v>
      </c>
      <c r="C2435" s="3063"/>
      <c r="D2435" s="3064"/>
      <c r="E2435" s="3064"/>
      <c r="F2435" s="3064"/>
      <c r="G2435" s="3301" t="s">
        <v>679</v>
      </c>
      <c r="H2435" s="3063"/>
      <c r="I2435" s="3030"/>
    </row>
    <row r="2436" spans="2:9" ht="25.5">
      <c r="B2436" s="3192" t="s">
        <v>720</v>
      </c>
      <c r="C2436" s="3063"/>
      <c r="D2436" s="3064"/>
      <c r="E2436" s="3064"/>
      <c r="F2436" s="3064"/>
      <c r="G2436" s="3301" t="s">
        <v>720</v>
      </c>
      <c r="H2436" s="3063"/>
      <c r="I2436" s="3030"/>
    </row>
    <row r="2437" spans="2:9" ht="38.25">
      <c r="B2437" s="3299" t="s">
        <v>680</v>
      </c>
      <c r="C2437" s="3063"/>
      <c r="D2437" s="3064"/>
      <c r="E2437" s="3064"/>
      <c r="F2437" s="3064"/>
      <c r="G2437" s="3300" t="s">
        <v>680</v>
      </c>
      <c r="H2437" s="3063"/>
      <c r="I2437" s="3030"/>
    </row>
    <row r="2438" spans="2:9" ht="25.5">
      <c r="B2438" s="3192" t="s">
        <v>675</v>
      </c>
      <c r="C2438" s="3063"/>
      <c r="D2438" s="3064"/>
      <c r="E2438" s="3064"/>
      <c r="F2438" s="3064"/>
      <c r="G2438" s="3301" t="s">
        <v>675</v>
      </c>
      <c r="H2438" s="3063"/>
      <c r="I2438" s="3030"/>
    </row>
    <row r="2439" spans="2:9" ht="25.5">
      <c r="B2439" s="3192" t="s">
        <v>676</v>
      </c>
      <c r="C2439" s="3063"/>
      <c r="D2439" s="3064"/>
      <c r="E2439" s="3064"/>
      <c r="F2439" s="3064"/>
      <c r="G2439" s="3301" t="s">
        <v>676</v>
      </c>
      <c r="H2439" s="3063"/>
      <c r="I2439" s="3030"/>
    </row>
    <row r="2440" spans="2:9">
      <c r="B2440" s="3192" t="s">
        <v>677</v>
      </c>
      <c r="C2440" s="3063"/>
      <c r="D2440" s="3064"/>
      <c r="E2440" s="3064"/>
      <c r="F2440" s="3064"/>
      <c r="G2440" s="3301" t="s">
        <v>677</v>
      </c>
      <c r="H2440" s="3063"/>
      <c r="I2440" s="3030"/>
    </row>
    <row r="2441" spans="2:9">
      <c r="B2441" s="3192" t="s">
        <v>678</v>
      </c>
      <c r="C2441" s="3063"/>
      <c r="D2441" s="3064"/>
      <c r="E2441" s="3064"/>
      <c r="F2441" s="3064"/>
      <c r="G2441" s="3301" t="s">
        <v>678</v>
      </c>
      <c r="H2441" s="3063"/>
      <c r="I2441" s="3030"/>
    </row>
    <row r="2442" spans="2:9">
      <c r="B2442" s="3192" t="s">
        <v>679</v>
      </c>
      <c r="C2442" s="3063"/>
      <c r="D2442" s="3064"/>
      <c r="E2442" s="3064"/>
      <c r="F2442" s="3064"/>
      <c r="G2442" s="3301" t="s">
        <v>679</v>
      </c>
      <c r="H2442" s="3063"/>
      <c r="I2442" s="3030"/>
    </row>
    <row r="2443" spans="2:9" ht="25.5">
      <c r="B2443" s="3192" t="s">
        <v>720</v>
      </c>
      <c r="C2443" s="3063"/>
      <c r="D2443" s="3064"/>
      <c r="E2443" s="3064"/>
      <c r="F2443" s="3064"/>
      <c r="G2443" s="3301" t="s">
        <v>720</v>
      </c>
      <c r="H2443" s="3063"/>
      <c r="I2443" s="3030"/>
    </row>
    <row r="2444" spans="2:9" ht="38.25">
      <c r="B2444" s="3299" t="s">
        <v>681</v>
      </c>
      <c r="C2444" s="3063"/>
      <c r="D2444" s="3064"/>
      <c r="E2444" s="3064"/>
      <c r="F2444" s="3064">
        <v>2</v>
      </c>
      <c r="G2444" s="3300" t="s">
        <v>681</v>
      </c>
      <c r="H2444" s="3063">
        <v>7.9095791608185667E-2</v>
      </c>
      <c r="I2444" s="3030"/>
    </row>
    <row r="2445" spans="2:9" ht="25.5">
      <c r="B2445" s="3192" t="s">
        <v>675</v>
      </c>
      <c r="C2445" s="3063"/>
      <c r="D2445" s="3064"/>
      <c r="E2445" s="3064"/>
      <c r="F2445" s="3064"/>
      <c r="G2445" s="3301" t="s">
        <v>675</v>
      </c>
      <c r="H2445" s="3063"/>
      <c r="I2445" s="3030"/>
    </row>
    <row r="2446" spans="2:9" ht="25.5">
      <c r="B2446" s="3192" t="s">
        <v>676</v>
      </c>
      <c r="C2446" s="3063"/>
      <c r="D2446" s="3064"/>
      <c r="E2446" s="3064"/>
      <c r="F2446" s="3064"/>
      <c r="G2446" s="3301" t="s">
        <v>676</v>
      </c>
      <c r="H2446" s="3063"/>
      <c r="I2446" s="3030"/>
    </row>
    <row r="2447" spans="2:9">
      <c r="B2447" s="3192" t="s">
        <v>677</v>
      </c>
      <c r="C2447" s="3063"/>
      <c r="D2447" s="3064"/>
      <c r="E2447" s="3064"/>
      <c r="F2447" s="3064"/>
      <c r="G2447" s="3301" t="s">
        <v>677</v>
      </c>
      <c r="H2447" s="3063"/>
      <c r="I2447" s="3030"/>
    </row>
    <row r="2448" spans="2:9">
      <c r="B2448" s="3192" t="s">
        <v>678</v>
      </c>
      <c r="C2448" s="3063"/>
      <c r="D2448" s="3064"/>
      <c r="E2448" s="3064"/>
      <c r="F2448" s="3064"/>
      <c r="G2448" s="3301" t="s">
        <v>678</v>
      </c>
      <c r="H2448" s="3063"/>
      <c r="I2448" s="3030"/>
    </row>
    <row r="2449" spans="2:9">
      <c r="B2449" s="3192" t="s">
        <v>679</v>
      </c>
      <c r="C2449" s="3063"/>
      <c r="D2449" s="3064"/>
      <c r="E2449" s="3064"/>
      <c r="F2449" s="3064"/>
      <c r="G2449" s="3301" t="s">
        <v>679</v>
      </c>
      <c r="H2449" s="3063"/>
      <c r="I2449" s="3030"/>
    </row>
    <row r="2450" spans="2:9" ht="25.5">
      <c r="B2450" s="3192" t="s">
        <v>720</v>
      </c>
      <c r="C2450" s="3063"/>
      <c r="D2450" s="3064"/>
      <c r="E2450" s="3064"/>
      <c r="F2450" s="3064"/>
      <c r="G2450" s="3301" t="s">
        <v>720</v>
      </c>
      <c r="H2450" s="3063"/>
      <c r="I2450" s="3030"/>
    </row>
    <row r="2451" spans="2:9" ht="25.5">
      <c r="B2451" s="3299" t="s">
        <v>682</v>
      </c>
      <c r="C2451" s="3063"/>
      <c r="D2451" s="3064"/>
      <c r="E2451" s="3064"/>
      <c r="F2451" s="3064"/>
      <c r="G2451" s="3300" t="s">
        <v>682</v>
      </c>
      <c r="H2451" s="3063"/>
      <c r="I2451" s="3030"/>
    </row>
    <row r="2452" spans="2:9" ht="25.5">
      <c r="B2452" s="3192" t="s">
        <v>675</v>
      </c>
      <c r="C2452" s="3063"/>
      <c r="D2452" s="3064"/>
      <c r="E2452" s="3064"/>
      <c r="F2452" s="3064"/>
      <c r="G2452" s="3301" t="s">
        <v>675</v>
      </c>
      <c r="H2452" s="3063"/>
      <c r="I2452" s="3030"/>
    </row>
    <row r="2453" spans="2:9" ht="25.5">
      <c r="B2453" s="3192" t="s">
        <v>676</v>
      </c>
      <c r="C2453" s="3063"/>
      <c r="D2453" s="3064"/>
      <c r="E2453" s="3064"/>
      <c r="F2453" s="3064"/>
      <c r="G2453" s="3301" t="s">
        <v>676</v>
      </c>
      <c r="H2453" s="3063"/>
      <c r="I2453" s="3030"/>
    </row>
    <row r="2454" spans="2:9">
      <c r="B2454" s="3192" t="s">
        <v>677</v>
      </c>
      <c r="C2454" s="3063"/>
      <c r="D2454" s="3064"/>
      <c r="E2454" s="3064"/>
      <c r="F2454" s="3064"/>
      <c r="G2454" s="3301" t="s">
        <v>677</v>
      </c>
      <c r="H2454" s="3063"/>
      <c r="I2454" s="3030"/>
    </row>
    <row r="2455" spans="2:9">
      <c r="B2455" s="3192" t="s">
        <v>678</v>
      </c>
      <c r="C2455" s="3063"/>
      <c r="D2455" s="3064"/>
      <c r="E2455" s="3064"/>
      <c r="F2455" s="3064"/>
      <c r="G2455" s="3301" t="s">
        <v>678</v>
      </c>
      <c r="H2455" s="3063"/>
      <c r="I2455" s="3030"/>
    </row>
    <row r="2456" spans="2:9">
      <c r="B2456" s="3192" t="s">
        <v>679</v>
      </c>
      <c r="C2456" s="3063"/>
      <c r="D2456" s="3064"/>
      <c r="E2456" s="3064"/>
      <c r="F2456" s="3064"/>
      <c r="G2456" s="3301" t="s">
        <v>679</v>
      </c>
      <c r="H2456" s="3063"/>
      <c r="I2456" s="3030"/>
    </row>
    <row r="2457" spans="2:9" ht="25.5">
      <c r="B2457" s="3192" t="s">
        <v>720</v>
      </c>
      <c r="C2457" s="3063"/>
      <c r="D2457" s="3064"/>
      <c r="E2457" s="3064"/>
      <c r="F2457" s="3064"/>
      <c r="G2457" s="3301" t="s">
        <v>720</v>
      </c>
      <c r="H2457" s="3063"/>
      <c r="I2457" s="3030"/>
    </row>
    <row r="2458" spans="2:9" ht="25.5">
      <c r="B2458" s="3299" t="s">
        <v>66</v>
      </c>
      <c r="C2458" s="3063"/>
      <c r="D2458" s="3064"/>
      <c r="E2458" s="3064"/>
      <c r="F2458" s="3064">
        <v>3</v>
      </c>
      <c r="G2458" s="3300" t="s">
        <v>66</v>
      </c>
      <c r="H2458" s="3063">
        <v>0.48765880063627071</v>
      </c>
      <c r="I2458" s="3030"/>
    </row>
    <row r="2459" spans="2:9" ht="25.5">
      <c r="B2459" s="3192" t="s">
        <v>675</v>
      </c>
      <c r="C2459" s="3063">
        <v>7</v>
      </c>
      <c r="D2459" s="3064">
        <v>3</v>
      </c>
      <c r="E2459" s="3064"/>
      <c r="F2459" s="3064"/>
      <c r="G2459" s="3301" t="s">
        <v>675</v>
      </c>
      <c r="H2459" s="3063"/>
      <c r="I2459" s="3030">
        <v>0.43540964342524169</v>
      </c>
    </row>
    <row r="2460" spans="2:9" ht="25.5">
      <c r="B2460" s="3192" t="s">
        <v>676</v>
      </c>
      <c r="C2460" s="3063"/>
      <c r="D2460" s="3064"/>
      <c r="E2460" s="3064"/>
      <c r="F2460" s="3064"/>
      <c r="G2460" s="3301" t="s">
        <v>676</v>
      </c>
      <c r="H2460" s="3063"/>
      <c r="I2460" s="3030"/>
    </row>
    <row r="2461" spans="2:9">
      <c r="B2461" s="3192" t="s">
        <v>677</v>
      </c>
      <c r="C2461" s="3063"/>
      <c r="D2461" s="3064"/>
      <c r="E2461" s="3064"/>
      <c r="F2461" s="3064"/>
      <c r="G2461" s="3301" t="s">
        <v>677</v>
      </c>
      <c r="H2461" s="3063"/>
      <c r="I2461" s="3030"/>
    </row>
    <row r="2462" spans="2:9">
      <c r="B2462" s="3192" t="s">
        <v>678</v>
      </c>
      <c r="C2462" s="3063">
        <v>1</v>
      </c>
      <c r="D2462" s="3064">
        <v>14</v>
      </c>
      <c r="E2462" s="3064"/>
      <c r="F2462" s="3064"/>
      <c r="G2462" s="3301" t="s">
        <v>678</v>
      </c>
      <c r="H2462" s="3063"/>
      <c r="I2462" s="3030"/>
    </row>
    <row r="2463" spans="2:9">
      <c r="B2463" s="3192" t="s">
        <v>679</v>
      </c>
      <c r="C2463" s="3063"/>
      <c r="D2463" s="3064"/>
      <c r="E2463" s="3064"/>
      <c r="F2463" s="3064"/>
      <c r="G2463" s="3301" t="s">
        <v>679</v>
      </c>
      <c r="H2463" s="3063"/>
      <c r="I2463" s="3030"/>
    </row>
    <row r="2464" spans="2:9" ht="25.5">
      <c r="B2464" s="3192" t="s">
        <v>720</v>
      </c>
      <c r="C2464" s="3063"/>
      <c r="D2464" s="3064"/>
      <c r="E2464" s="3064"/>
      <c r="F2464" s="3064"/>
      <c r="G2464" s="3301" t="s">
        <v>720</v>
      </c>
      <c r="H2464" s="3063"/>
      <c r="I2464" s="3030"/>
    </row>
    <row r="2465" spans="2:9">
      <c r="B2465" s="3299" t="s">
        <v>67</v>
      </c>
      <c r="C2465" s="3063"/>
      <c r="D2465" s="3064"/>
      <c r="E2465" s="3064"/>
      <c r="F2465" s="3064"/>
      <c r="G2465" s="3300" t="s">
        <v>67</v>
      </c>
      <c r="H2465" s="3063">
        <v>0.16154199676022921</v>
      </c>
      <c r="I2465" s="3030"/>
    </row>
    <row r="2466" spans="2:9" ht="25.5">
      <c r="B2466" s="3192" t="s">
        <v>675</v>
      </c>
      <c r="C2466" s="3063"/>
      <c r="D2466" s="3064">
        <v>1</v>
      </c>
      <c r="E2466" s="3064"/>
      <c r="F2466" s="3064"/>
      <c r="G2466" s="3301" t="s">
        <v>675</v>
      </c>
      <c r="H2466" s="3063"/>
      <c r="I2466" s="3030">
        <v>0.16321201240411298</v>
      </c>
    </row>
    <row r="2467" spans="2:9" ht="25.5">
      <c r="B2467" s="3192" t="s">
        <v>676</v>
      </c>
      <c r="C2467" s="3063"/>
      <c r="D2467" s="3064"/>
      <c r="E2467" s="3064"/>
      <c r="F2467" s="3064"/>
      <c r="G2467" s="3301" t="s">
        <v>676</v>
      </c>
      <c r="H2467" s="3063"/>
      <c r="I2467" s="3030"/>
    </row>
    <row r="2468" spans="2:9">
      <c r="B2468" s="3192" t="s">
        <v>677</v>
      </c>
      <c r="C2468" s="3063"/>
      <c r="D2468" s="3064"/>
      <c r="E2468" s="3064"/>
      <c r="F2468" s="3064"/>
      <c r="G2468" s="3301" t="s">
        <v>677</v>
      </c>
      <c r="H2468" s="3063"/>
      <c r="I2468" s="3030"/>
    </row>
    <row r="2469" spans="2:9">
      <c r="B2469" s="3192" t="s">
        <v>678</v>
      </c>
      <c r="C2469" s="3063">
        <v>1</v>
      </c>
      <c r="D2469" s="3064"/>
      <c r="E2469" s="3064"/>
      <c r="F2469" s="3064"/>
      <c r="G2469" s="3301" t="s">
        <v>678</v>
      </c>
      <c r="H2469" s="3063"/>
      <c r="I2469" s="3030"/>
    </row>
    <row r="2470" spans="2:9">
      <c r="B2470" s="3192" t="s">
        <v>679</v>
      </c>
      <c r="C2470" s="3063"/>
      <c r="D2470" s="3064"/>
      <c r="E2470" s="3064"/>
      <c r="F2470" s="3064"/>
      <c r="G2470" s="3301" t="s">
        <v>679</v>
      </c>
      <c r="H2470" s="3063"/>
      <c r="I2470" s="3030"/>
    </row>
    <row r="2471" spans="2:9" ht="25.5">
      <c r="B2471" s="3192" t="s">
        <v>720</v>
      </c>
      <c r="C2471" s="3063"/>
      <c r="D2471" s="3064"/>
      <c r="E2471" s="3064"/>
      <c r="F2471" s="3064"/>
      <c r="G2471" s="3301" t="s">
        <v>720</v>
      </c>
      <c r="H2471" s="3063"/>
      <c r="I2471" s="3030"/>
    </row>
    <row r="2472" spans="2:9" ht="25.5">
      <c r="B2472" s="3230" t="s">
        <v>81</v>
      </c>
      <c r="C2472" s="3063"/>
      <c r="D2472" s="3064"/>
      <c r="E2472" s="3064"/>
      <c r="F2472" s="3064"/>
      <c r="G2472" s="3302" t="s">
        <v>81</v>
      </c>
      <c r="H2472" s="3063"/>
      <c r="I2472" s="3030"/>
    </row>
    <row r="2473" spans="2:9" ht="26.25" thickBot="1">
      <c r="B2473" s="3303" t="s">
        <v>81</v>
      </c>
      <c r="C2473" s="3063"/>
      <c r="D2473" s="3064"/>
      <c r="E2473" s="3064"/>
      <c r="F2473" s="3064"/>
      <c r="G2473" s="3302" t="s">
        <v>81</v>
      </c>
      <c r="H2473" s="3063"/>
      <c r="I2473" s="3030"/>
    </row>
    <row r="2474" spans="2:9" ht="25.5">
      <c r="B2474" s="3217" t="s">
        <v>696</v>
      </c>
      <c r="C2474" s="3218"/>
      <c r="D2474" s="3219"/>
      <c r="E2474" s="3219"/>
      <c r="F2474" s="3219"/>
      <c r="G2474" s="3217" t="s">
        <v>696</v>
      </c>
      <c r="H2474" s="3297"/>
      <c r="I2474" s="3298"/>
    </row>
    <row r="2475" spans="2:9">
      <c r="B2475" s="3299" t="s">
        <v>64</v>
      </c>
      <c r="C2475" s="3063"/>
      <c r="D2475" s="3064"/>
      <c r="E2475" s="3064"/>
      <c r="F2475" s="3064"/>
      <c r="G2475" s="3300" t="s">
        <v>64</v>
      </c>
      <c r="H2475" s="3063"/>
      <c r="I2475" s="3030"/>
    </row>
    <row r="2476" spans="2:9" ht="25.5">
      <c r="B2476" s="3192" t="s">
        <v>675</v>
      </c>
      <c r="C2476" s="3063"/>
      <c r="D2476" s="3064"/>
      <c r="E2476" s="3064"/>
      <c r="F2476" s="3064"/>
      <c r="G2476" s="3301" t="s">
        <v>675</v>
      </c>
      <c r="H2476" s="3063"/>
      <c r="I2476" s="3030"/>
    </row>
    <row r="2477" spans="2:9" ht="25.5">
      <c r="B2477" s="3192" t="s">
        <v>676</v>
      </c>
      <c r="C2477" s="3063"/>
      <c r="D2477" s="3064"/>
      <c r="E2477" s="3064"/>
      <c r="F2477" s="3064"/>
      <c r="G2477" s="3301" t="s">
        <v>676</v>
      </c>
      <c r="H2477" s="3063"/>
      <c r="I2477" s="3030"/>
    </row>
    <row r="2478" spans="2:9">
      <c r="B2478" s="3192" t="s">
        <v>677</v>
      </c>
      <c r="C2478" s="3063"/>
      <c r="D2478" s="3064"/>
      <c r="E2478" s="3064"/>
      <c r="F2478" s="3064"/>
      <c r="G2478" s="3301" t="s">
        <v>677</v>
      </c>
      <c r="H2478" s="3063"/>
      <c r="I2478" s="3030"/>
    </row>
    <row r="2479" spans="2:9">
      <c r="B2479" s="3192" t="s">
        <v>678</v>
      </c>
      <c r="C2479" s="3063"/>
      <c r="D2479" s="3064"/>
      <c r="E2479" s="3064"/>
      <c r="F2479" s="3064"/>
      <c r="G2479" s="3301" t="s">
        <v>678</v>
      </c>
      <c r="H2479" s="3063"/>
      <c r="I2479" s="3030"/>
    </row>
    <row r="2480" spans="2:9">
      <c r="B2480" s="3192" t="s">
        <v>679</v>
      </c>
      <c r="C2480" s="3063"/>
      <c r="D2480" s="3064"/>
      <c r="E2480" s="3064"/>
      <c r="F2480" s="3064"/>
      <c r="G2480" s="3301" t="s">
        <v>679</v>
      </c>
      <c r="H2480" s="3063"/>
      <c r="I2480" s="3030"/>
    </row>
    <row r="2481" spans="2:9" ht="25.5">
      <c r="B2481" s="3192" t="s">
        <v>720</v>
      </c>
      <c r="C2481" s="3063"/>
      <c r="D2481" s="3064"/>
      <c r="E2481" s="3064"/>
      <c r="F2481" s="3064"/>
      <c r="G2481" s="3301" t="s">
        <v>720</v>
      </c>
      <c r="H2481" s="3063"/>
      <c r="I2481" s="3030"/>
    </row>
    <row r="2482" spans="2:9">
      <c r="B2482" s="3299" t="s">
        <v>65</v>
      </c>
      <c r="C2482" s="3063"/>
      <c r="D2482" s="3064"/>
      <c r="E2482" s="3064"/>
      <c r="F2482" s="3064"/>
      <c r="G2482" s="3300" t="s">
        <v>65</v>
      </c>
      <c r="H2482" s="3063"/>
      <c r="I2482" s="3030"/>
    </row>
    <row r="2483" spans="2:9" ht="25.5">
      <c r="B2483" s="3192" t="s">
        <v>675</v>
      </c>
      <c r="C2483" s="3063"/>
      <c r="D2483" s="3064"/>
      <c r="E2483" s="3064"/>
      <c r="F2483" s="3064"/>
      <c r="G2483" s="3301" t="s">
        <v>675</v>
      </c>
      <c r="H2483" s="3063"/>
      <c r="I2483" s="3030"/>
    </row>
    <row r="2484" spans="2:9" ht="25.5">
      <c r="B2484" s="3192" t="s">
        <v>676</v>
      </c>
      <c r="C2484" s="3063"/>
      <c r="D2484" s="3064"/>
      <c r="E2484" s="3064"/>
      <c r="F2484" s="3064"/>
      <c r="G2484" s="3301" t="s">
        <v>676</v>
      </c>
      <c r="H2484" s="3063"/>
      <c r="I2484" s="3030"/>
    </row>
    <row r="2485" spans="2:9">
      <c r="B2485" s="3192" t="s">
        <v>677</v>
      </c>
      <c r="C2485" s="3063"/>
      <c r="D2485" s="3064"/>
      <c r="E2485" s="3064"/>
      <c r="F2485" s="3064"/>
      <c r="G2485" s="3301" t="s">
        <v>677</v>
      </c>
      <c r="H2485" s="3063"/>
      <c r="I2485" s="3030"/>
    </row>
    <row r="2486" spans="2:9">
      <c r="B2486" s="3192" t="s">
        <v>678</v>
      </c>
      <c r="C2486" s="3063"/>
      <c r="D2486" s="3064"/>
      <c r="E2486" s="3064"/>
      <c r="F2486" s="3064"/>
      <c r="G2486" s="3301" t="s">
        <v>678</v>
      </c>
      <c r="H2486" s="3063"/>
      <c r="I2486" s="3030"/>
    </row>
    <row r="2487" spans="2:9">
      <c r="B2487" s="3192" t="s">
        <v>679</v>
      </c>
      <c r="C2487" s="3063"/>
      <c r="D2487" s="3064"/>
      <c r="E2487" s="3064"/>
      <c r="F2487" s="3064"/>
      <c r="G2487" s="3301" t="s">
        <v>679</v>
      </c>
      <c r="H2487" s="3063"/>
      <c r="I2487" s="3030"/>
    </row>
    <row r="2488" spans="2:9" ht="25.5">
      <c r="B2488" s="3192" t="s">
        <v>720</v>
      </c>
      <c r="C2488" s="3063"/>
      <c r="D2488" s="3064"/>
      <c r="E2488" s="3064"/>
      <c r="F2488" s="3064"/>
      <c r="G2488" s="3301" t="s">
        <v>720</v>
      </c>
      <c r="H2488" s="3063"/>
      <c r="I2488" s="3030"/>
    </row>
    <row r="2489" spans="2:9">
      <c r="B2489" s="3299" t="s">
        <v>82</v>
      </c>
      <c r="C2489" s="3063"/>
      <c r="D2489" s="3064"/>
      <c r="E2489" s="3064"/>
      <c r="F2489" s="3064"/>
      <c r="G2489" s="3300" t="s">
        <v>82</v>
      </c>
      <c r="H2489" s="3063"/>
      <c r="I2489" s="3030"/>
    </row>
    <row r="2490" spans="2:9" ht="25.5">
      <c r="B2490" s="3192" t="s">
        <v>675</v>
      </c>
      <c r="C2490" s="3063"/>
      <c r="D2490" s="3064"/>
      <c r="E2490" s="3064"/>
      <c r="F2490" s="3064"/>
      <c r="G2490" s="3301" t="s">
        <v>675</v>
      </c>
      <c r="H2490" s="3063"/>
      <c r="I2490" s="3030"/>
    </row>
    <row r="2491" spans="2:9" ht="25.5">
      <c r="B2491" s="3192" t="s">
        <v>676</v>
      </c>
      <c r="C2491" s="3063"/>
      <c r="D2491" s="3064"/>
      <c r="E2491" s="3064"/>
      <c r="F2491" s="3064"/>
      <c r="G2491" s="3301" t="s">
        <v>676</v>
      </c>
      <c r="H2491" s="3063"/>
      <c r="I2491" s="3030"/>
    </row>
    <row r="2492" spans="2:9">
      <c r="B2492" s="3192" t="s">
        <v>677</v>
      </c>
      <c r="C2492" s="3063"/>
      <c r="D2492" s="3064"/>
      <c r="E2492" s="3064"/>
      <c r="F2492" s="3064"/>
      <c r="G2492" s="3301" t="s">
        <v>677</v>
      </c>
      <c r="H2492" s="3063"/>
      <c r="I2492" s="3030"/>
    </row>
    <row r="2493" spans="2:9">
      <c r="B2493" s="3192" t="s">
        <v>678</v>
      </c>
      <c r="C2493" s="3063"/>
      <c r="D2493" s="3064"/>
      <c r="E2493" s="3064"/>
      <c r="F2493" s="3064"/>
      <c r="G2493" s="3301" t="s">
        <v>678</v>
      </c>
      <c r="H2493" s="3063"/>
      <c r="I2493" s="3030"/>
    </row>
    <row r="2494" spans="2:9">
      <c r="B2494" s="3192" t="s">
        <v>679</v>
      </c>
      <c r="C2494" s="3063"/>
      <c r="D2494" s="3064"/>
      <c r="E2494" s="3064"/>
      <c r="F2494" s="3064"/>
      <c r="G2494" s="3301" t="s">
        <v>679</v>
      </c>
      <c r="H2494" s="3063"/>
      <c r="I2494" s="3030"/>
    </row>
    <row r="2495" spans="2:9" ht="25.5">
      <c r="B2495" s="3192" t="s">
        <v>720</v>
      </c>
      <c r="C2495" s="3063"/>
      <c r="D2495" s="3064"/>
      <c r="E2495" s="3064"/>
      <c r="F2495" s="3064"/>
      <c r="G2495" s="3301" t="s">
        <v>720</v>
      </c>
      <c r="H2495" s="3063"/>
      <c r="I2495" s="3030"/>
    </row>
    <row r="2496" spans="2:9" ht="38.25">
      <c r="B2496" s="3299" t="s">
        <v>680</v>
      </c>
      <c r="C2496" s="3063"/>
      <c r="D2496" s="3064"/>
      <c r="E2496" s="3064"/>
      <c r="F2496" s="3064"/>
      <c r="G2496" s="3300" t="s">
        <v>680</v>
      </c>
      <c r="H2496" s="3063"/>
      <c r="I2496" s="3030"/>
    </row>
    <row r="2497" spans="2:9" ht="25.5">
      <c r="B2497" s="3192" t="s">
        <v>675</v>
      </c>
      <c r="C2497" s="3063"/>
      <c r="D2497" s="3064"/>
      <c r="E2497" s="3064"/>
      <c r="F2497" s="3064"/>
      <c r="G2497" s="3301" t="s">
        <v>675</v>
      </c>
      <c r="H2497" s="3063"/>
      <c r="I2497" s="3030"/>
    </row>
    <row r="2498" spans="2:9" ht="25.5">
      <c r="B2498" s="3192" t="s">
        <v>676</v>
      </c>
      <c r="C2498" s="3063"/>
      <c r="D2498" s="3064"/>
      <c r="E2498" s="3064"/>
      <c r="F2498" s="3064"/>
      <c r="G2498" s="3301" t="s">
        <v>676</v>
      </c>
      <c r="H2498" s="3063"/>
      <c r="I2498" s="3030"/>
    </row>
    <row r="2499" spans="2:9">
      <c r="B2499" s="3192" t="s">
        <v>677</v>
      </c>
      <c r="C2499" s="3063"/>
      <c r="D2499" s="3064"/>
      <c r="E2499" s="3064"/>
      <c r="F2499" s="3064"/>
      <c r="G2499" s="3301" t="s">
        <v>677</v>
      </c>
      <c r="H2499" s="3063"/>
      <c r="I2499" s="3030"/>
    </row>
    <row r="2500" spans="2:9">
      <c r="B2500" s="3192" t="s">
        <v>678</v>
      </c>
      <c r="C2500" s="3063"/>
      <c r="D2500" s="3064"/>
      <c r="E2500" s="3064"/>
      <c r="F2500" s="3064"/>
      <c r="G2500" s="3301" t="s">
        <v>678</v>
      </c>
      <c r="H2500" s="3063"/>
      <c r="I2500" s="3030"/>
    </row>
    <row r="2501" spans="2:9">
      <c r="B2501" s="3192" t="s">
        <v>679</v>
      </c>
      <c r="C2501" s="3063"/>
      <c r="D2501" s="3064"/>
      <c r="E2501" s="3064"/>
      <c r="F2501" s="3064"/>
      <c r="G2501" s="3301" t="s">
        <v>679</v>
      </c>
      <c r="H2501" s="3063"/>
      <c r="I2501" s="3030"/>
    </row>
    <row r="2502" spans="2:9" ht="25.5">
      <c r="B2502" s="3192" t="s">
        <v>720</v>
      </c>
      <c r="C2502" s="3063"/>
      <c r="D2502" s="3064"/>
      <c r="E2502" s="3064"/>
      <c r="F2502" s="3064"/>
      <c r="G2502" s="3301" t="s">
        <v>720</v>
      </c>
      <c r="H2502" s="3063"/>
      <c r="I2502" s="3030"/>
    </row>
    <row r="2503" spans="2:9" ht="38.25">
      <c r="B2503" s="3299" t="s">
        <v>681</v>
      </c>
      <c r="C2503" s="3063"/>
      <c r="D2503" s="3064"/>
      <c r="E2503" s="3064"/>
      <c r="F2503" s="3064"/>
      <c r="G2503" s="3300" t="s">
        <v>681</v>
      </c>
      <c r="H2503" s="3063"/>
      <c r="I2503" s="3030"/>
    </row>
    <row r="2504" spans="2:9" ht="25.5">
      <c r="B2504" s="3192" t="s">
        <v>675</v>
      </c>
      <c r="C2504" s="3063"/>
      <c r="D2504" s="3064"/>
      <c r="E2504" s="3064"/>
      <c r="F2504" s="3064"/>
      <c r="G2504" s="3301" t="s">
        <v>675</v>
      </c>
      <c r="H2504" s="3063"/>
      <c r="I2504" s="3030"/>
    </row>
    <row r="2505" spans="2:9" ht="25.5">
      <c r="B2505" s="3192" t="s">
        <v>676</v>
      </c>
      <c r="C2505" s="3063"/>
      <c r="D2505" s="3064"/>
      <c r="E2505" s="3064"/>
      <c r="F2505" s="3064"/>
      <c r="G2505" s="3301" t="s">
        <v>676</v>
      </c>
      <c r="H2505" s="3063"/>
      <c r="I2505" s="3030"/>
    </row>
    <row r="2506" spans="2:9">
      <c r="B2506" s="3192" t="s">
        <v>677</v>
      </c>
      <c r="C2506" s="3063"/>
      <c r="D2506" s="3064"/>
      <c r="E2506" s="3064"/>
      <c r="F2506" s="3064"/>
      <c r="G2506" s="3301" t="s">
        <v>677</v>
      </c>
      <c r="H2506" s="3063"/>
      <c r="I2506" s="3030"/>
    </row>
    <row r="2507" spans="2:9">
      <c r="B2507" s="3192" t="s">
        <v>678</v>
      </c>
      <c r="C2507" s="3063"/>
      <c r="D2507" s="3064"/>
      <c r="E2507" s="3064"/>
      <c r="F2507" s="3064"/>
      <c r="G2507" s="3301" t="s">
        <v>678</v>
      </c>
      <c r="H2507" s="3063"/>
      <c r="I2507" s="3030"/>
    </row>
    <row r="2508" spans="2:9">
      <c r="B2508" s="3192" t="s">
        <v>679</v>
      </c>
      <c r="C2508" s="3063"/>
      <c r="D2508" s="3064"/>
      <c r="E2508" s="3064"/>
      <c r="F2508" s="3064"/>
      <c r="G2508" s="3301" t="s">
        <v>679</v>
      </c>
      <c r="H2508" s="3063"/>
      <c r="I2508" s="3030"/>
    </row>
    <row r="2509" spans="2:9" ht="25.5">
      <c r="B2509" s="3192" t="s">
        <v>720</v>
      </c>
      <c r="C2509" s="3063"/>
      <c r="D2509" s="3064"/>
      <c r="E2509" s="3064"/>
      <c r="F2509" s="3064"/>
      <c r="G2509" s="3301" t="s">
        <v>720</v>
      </c>
      <c r="H2509" s="3063"/>
      <c r="I2509" s="3030"/>
    </row>
    <row r="2510" spans="2:9" ht="25.5">
      <c r="B2510" s="3299" t="s">
        <v>682</v>
      </c>
      <c r="C2510" s="3063"/>
      <c r="D2510" s="3064"/>
      <c r="E2510" s="3064"/>
      <c r="F2510" s="3064"/>
      <c r="G2510" s="3300" t="s">
        <v>682</v>
      </c>
      <c r="H2510" s="3063"/>
      <c r="I2510" s="3030"/>
    </row>
    <row r="2511" spans="2:9" ht="25.5">
      <c r="B2511" s="3192" t="s">
        <v>675</v>
      </c>
      <c r="C2511" s="3063"/>
      <c r="D2511" s="3064"/>
      <c r="E2511" s="3064"/>
      <c r="F2511" s="3064"/>
      <c r="G2511" s="3301" t="s">
        <v>675</v>
      </c>
      <c r="H2511" s="3063"/>
      <c r="I2511" s="3030"/>
    </row>
    <row r="2512" spans="2:9" ht="25.5">
      <c r="B2512" s="3192" t="s">
        <v>676</v>
      </c>
      <c r="C2512" s="3063"/>
      <c r="D2512" s="3064"/>
      <c r="E2512" s="3064"/>
      <c r="F2512" s="3064"/>
      <c r="G2512" s="3301" t="s">
        <v>676</v>
      </c>
      <c r="H2512" s="3063"/>
      <c r="I2512" s="3030"/>
    </row>
    <row r="2513" spans="2:9">
      <c r="B2513" s="3192" t="s">
        <v>677</v>
      </c>
      <c r="C2513" s="3063"/>
      <c r="D2513" s="3064"/>
      <c r="E2513" s="3064"/>
      <c r="F2513" s="3064"/>
      <c r="G2513" s="3301" t="s">
        <v>677</v>
      </c>
      <c r="H2513" s="3063"/>
      <c r="I2513" s="3030"/>
    </row>
    <row r="2514" spans="2:9">
      <c r="B2514" s="3192" t="s">
        <v>678</v>
      </c>
      <c r="C2514" s="3063"/>
      <c r="D2514" s="3064"/>
      <c r="E2514" s="3064"/>
      <c r="F2514" s="3064"/>
      <c r="G2514" s="3301" t="s">
        <v>678</v>
      </c>
      <c r="H2514" s="3063"/>
      <c r="I2514" s="3030"/>
    </row>
    <row r="2515" spans="2:9">
      <c r="B2515" s="3192" t="s">
        <v>679</v>
      </c>
      <c r="C2515" s="3063"/>
      <c r="D2515" s="3064"/>
      <c r="E2515" s="3064"/>
      <c r="F2515" s="3064"/>
      <c r="G2515" s="3301" t="s">
        <v>679</v>
      </c>
      <c r="H2515" s="3063"/>
      <c r="I2515" s="3030"/>
    </row>
    <row r="2516" spans="2:9" ht="25.5">
      <c r="B2516" s="3192" t="s">
        <v>720</v>
      </c>
      <c r="C2516" s="3063"/>
      <c r="D2516" s="3064"/>
      <c r="E2516" s="3064"/>
      <c r="F2516" s="3064"/>
      <c r="G2516" s="3301" t="s">
        <v>720</v>
      </c>
      <c r="H2516" s="3063"/>
      <c r="I2516" s="3030"/>
    </row>
    <row r="2517" spans="2:9" ht="25.5">
      <c r="B2517" s="3299" t="s">
        <v>66</v>
      </c>
      <c r="C2517" s="3063"/>
      <c r="D2517" s="3064"/>
      <c r="E2517" s="3064"/>
      <c r="F2517" s="3064">
        <v>1</v>
      </c>
      <c r="G2517" s="3300" t="s">
        <v>66</v>
      </c>
      <c r="H2517" s="3063">
        <v>8.708192868504834E-2</v>
      </c>
      <c r="I2517" s="3030"/>
    </row>
    <row r="2518" spans="2:9" ht="25.5">
      <c r="B2518" s="3192" t="s">
        <v>675</v>
      </c>
      <c r="C2518" s="3063"/>
      <c r="D2518" s="3064"/>
      <c r="E2518" s="3064"/>
      <c r="F2518" s="3064"/>
      <c r="G2518" s="3301" t="s">
        <v>675</v>
      </c>
      <c r="H2518" s="3063"/>
      <c r="I2518" s="3030"/>
    </row>
    <row r="2519" spans="2:9" ht="25.5">
      <c r="B2519" s="3192" t="s">
        <v>676</v>
      </c>
      <c r="C2519" s="3063"/>
      <c r="D2519" s="3064"/>
      <c r="E2519" s="3064"/>
      <c r="F2519" s="3064"/>
      <c r="G2519" s="3301" t="s">
        <v>676</v>
      </c>
      <c r="H2519" s="3063"/>
      <c r="I2519" s="3030"/>
    </row>
    <row r="2520" spans="2:9">
      <c r="B2520" s="3192" t="s">
        <v>677</v>
      </c>
      <c r="C2520" s="3063"/>
      <c r="D2520" s="3064"/>
      <c r="E2520" s="3064"/>
      <c r="F2520" s="3064"/>
      <c r="G2520" s="3301" t="s">
        <v>677</v>
      </c>
      <c r="H2520" s="3063"/>
      <c r="I2520" s="3030"/>
    </row>
    <row r="2521" spans="2:9">
      <c r="B2521" s="3192" t="s">
        <v>678</v>
      </c>
      <c r="C2521" s="3063"/>
      <c r="D2521" s="3064"/>
      <c r="E2521" s="3064"/>
      <c r="F2521" s="3064"/>
      <c r="G2521" s="3301" t="s">
        <v>678</v>
      </c>
      <c r="H2521" s="3063"/>
      <c r="I2521" s="3030"/>
    </row>
    <row r="2522" spans="2:9">
      <c r="B2522" s="3192" t="s">
        <v>679</v>
      </c>
      <c r="C2522" s="3063"/>
      <c r="D2522" s="3064"/>
      <c r="E2522" s="3064"/>
      <c r="F2522" s="3064"/>
      <c r="G2522" s="3301" t="s">
        <v>679</v>
      </c>
      <c r="H2522" s="3063"/>
      <c r="I2522" s="3030"/>
    </row>
    <row r="2523" spans="2:9" ht="25.5">
      <c r="B2523" s="3192" t="s">
        <v>720</v>
      </c>
      <c r="C2523" s="3063"/>
      <c r="D2523" s="3064"/>
      <c r="E2523" s="3064"/>
      <c r="F2523" s="3064"/>
      <c r="G2523" s="3301" t="s">
        <v>720</v>
      </c>
      <c r="H2523" s="3063"/>
      <c r="I2523" s="3030"/>
    </row>
    <row r="2524" spans="2:9">
      <c r="B2524" s="3299" t="s">
        <v>67</v>
      </c>
      <c r="C2524" s="3063"/>
      <c r="D2524" s="3064"/>
      <c r="E2524" s="3064"/>
      <c r="F2524" s="3064"/>
      <c r="G2524" s="3300" t="s">
        <v>67</v>
      </c>
      <c r="H2524" s="3063"/>
      <c r="I2524" s="3030"/>
    </row>
    <row r="2525" spans="2:9" ht="25.5">
      <c r="B2525" s="3192" t="s">
        <v>675</v>
      </c>
      <c r="C2525" s="3063"/>
      <c r="D2525" s="3064"/>
      <c r="E2525" s="3064"/>
      <c r="F2525" s="3064"/>
      <c r="G2525" s="3301" t="s">
        <v>675</v>
      </c>
      <c r="H2525" s="3063"/>
      <c r="I2525" s="3030"/>
    </row>
    <row r="2526" spans="2:9" ht="25.5">
      <c r="B2526" s="3192" t="s">
        <v>676</v>
      </c>
      <c r="C2526" s="3063"/>
      <c r="D2526" s="3064"/>
      <c r="E2526" s="3064"/>
      <c r="F2526" s="3064"/>
      <c r="G2526" s="3301" t="s">
        <v>676</v>
      </c>
      <c r="H2526" s="3063"/>
      <c r="I2526" s="3030"/>
    </row>
    <row r="2527" spans="2:9">
      <c r="B2527" s="3192" t="s">
        <v>677</v>
      </c>
      <c r="C2527" s="3063"/>
      <c r="D2527" s="3064"/>
      <c r="E2527" s="3064"/>
      <c r="F2527" s="3064"/>
      <c r="G2527" s="3301" t="s">
        <v>677</v>
      </c>
      <c r="H2527" s="3063"/>
      <c r="I2527" s="3030"/>
    </row>
    <row r="2528" spans="2:9">
      <c r="B2528" s="3192" t="s">
        <v>678</v>
      </c>
      <c r="C2528" s="3063"/>
      <c r="D2528" s="3064"/>
      <c r="E2528" s="3064"/>
      <c r="F2528" s="3064"/>
      <c r="G2528" s="3301" t="s">
        <v>678</v>
      </c>
      <c r="H2528" s="3063"/>
      <c r="I2528" s="3030"/>
    </row>
    <row r="2529" spans="2:9">
      <c r="B2529" s="3192" t="s">
        <v>679</v>
      </c>
      <c r="C2529" s="3063"/>
      <c r="D2529" s="3064"/>
      <c r="E2529" s="3064"/>
      <c r="F2529" s="3064"/>
      <c r="G2529" s="3301" t="s">
        <v>679</v>
      </c>
      <c r="H2529" s="3063"/>
      <c r="I2529" s="3030"/>
    </row>
    <row r="2530" spans="2:9" ht="25.5">
      <c r="B2530" s="3230" t="s">
        <v>81</v>
      </c>
      <c r="C2530" s="3063"/>
      <c r="D2530" s="3064"/>
      <c r="E2530" s="3064"/>
      <c r="F2530" s="3064"/>
      <c r="G2530" s="3302" t="s">
        <v>81</v>
      </c>
      <c r="H2530" s="3063"/>
      <c r="I2530" s="3030"/>
    </row>
    <row r="2531" spans="2:9" ht="26.25" thickBot="1">
      <c r="B2531" s="3303" t="s">
        <v>81</v>
      </c>
      <c r="C2531" s="3063"/>
      <c r="D2531" s="3064"/>
      <c r="E2531" s="3064"/>
      <c r="F2531" s="3064"/>
      <c r="G2531" s="3302" t="s">
        <v>81</v>
      </c>
      <c r="H2531" s="3063"/>
      <c r="I2531" s="3030"/>
    </row>
    <row r="2532" spans="2:9">
      <c r="B2532" s="3217" t="s">
        <v>697</v>
      </c>
      <c r="C2532" s="3218"/>
      <c r="D2532" s="3219"/>
      <c r="E2532" s="3219"/>
      <c r="F2532" s="3219"/>
      <c r="G2532" s="3217" t="s">
        <v>697</v>
      </c>
      <c r="H2532" s="3297"/>
      <c r="I2532" s="3298"/>
    </row>
    <row r="2533" spans="2:9">
      <c r="B2533" s="3299" t="s">
        <v>64</v>
      </c>
      <c r="C2533" s="3063"/>
      <c r="D2533" s="3064"/>
      <c r="E2533" s="3064"/>
      <c r="F2533" s="3064"/>
      <c r="G2533" s="3300" t="s">
        <v>64</v>
      </c>
      <c r="H2533" s="3063"/>
      <c r="I2533" s="3030"/>
    </row>
    <row r="2534" spans="2:9" ht="25.5">
      <c r="B2534" s="3192" t="s">
        <v>675</v>
      </c>
      <c r="C2534" s="3063"/>
      <c r="D2534" s="3064"/>
      <c r="E2534" s="3064"/>
      <c r="F2534" s="3064"/>
      <c r="G2534" s="3301" t="s">
        <v>675</v>
      </c>
      <c r="H2534" s="3063"/>
      <c r="I2534" s="3030"/>
    </row>
    <row r="2535" spans="2:9" ht="25.5">
      <c r="B2535" s="3192" t="s">
        <v>676</v>
      </c>
      <c r="C2535" s="3063"/>
      <c r="D2535" s="3064"/>
      <c r="E2535" s="3064"/>
      <c r="F2535" s="3064"/>
      <c r="G2535" s="3301" t="s">
        <v>676</v>
      </c>
      <c r="H2535" s="3063"/>
      <c r="I2535" s="3030"/>
    </row>
    <row r="2536" spans="2:9">
      <c r="B2536" s="3192" t="s">
        <v>677</v>
      </c>
      <c r="C2536" s="3063"/>
      <c r="D2536" s="3064"/>
      <c r="E2536" s="3064"/>
      <c r="F2536" s="3064"/>
      <c r="G2536" s="3301" t="s">
        <v>677</v>
      </c>
      <c r="H2536" s="3063"/>
      <c r="I2536" s="3030"/>
    </row>
    <row r="2537" spans="2:9">
      <c r="B2537" s="3192" t="s">
        <v>678</v>
      </c>
      <c r="C2537" s="3063"/>
      <c r="D2537" s="3064"/>
      <c r="E2537" s="3064"/>
      <c r="F2537" s="3064"/>
      <c r="G2537" s="3301" t="s">
        <v>678</v>
      </c>
      <c r="H2537" s="3063"/>
      <c r="I2537" s="3030"/>
    </row>
    <row r="2538" spans="2:9">
      <c r="B2538" s="3192" t="s">
        <v>679</v>
      </c>
      <c r="C2538" s="3063"/>
      <c r="D2538" s="3064"/>
      <c r="E2538" s="3064"/>
      <c r="F2538" s="3064"/>
      <c r="G2538" s="3301" t="s">
        <v>679</v>
      </c>
      <c r="H2538" s="3063"/>
      <c r="I2538" s="3030"/>
    </row>
    <row r="2539" spans="2:9" ht="25.5">
      <c r="B2539" s="3192" t="s">
        <v>720</v>
      </c>
      <c r="C2539" s="3063"/>
      <c r="D2539" s="3064"/>
      <c r="E2539" s="3064"/>
      <c r="F2539" s="3064"/>
      <c r="G2539" s="3301" t="s">
        <v>720</v>
      </c>
      <c r="H2539" s="3063"/>
      <c r="I2539" s="3030"/>
    </row>
    <row r="2540" spans="2:9">
      <c r="B2540" s="3299" t="s">
        <v>65</v>
      </c>
      <c r="C2540" s="3063"/>
      <c r="D2540" s="3064"/>
      <c r="E2540" s="3064"/>
      <c r="F2540" s="3064"/>
      <c r="G2540" s="3300" t="s">
        <v>65</v>
      </c>
      <c r="H2540" s="3063"/>
      <c r="I2540" s="3030"/>
    </row>
    <row r="2541" spans="2:9" ht="25.5">
      <c r="B2541" s="3192" t="s">
        <v>675</v>
      </c>
      <c r="C2541" s="3063"/>
      <c r="D2541" s="3064"/>
      <c r="E2541" s="3064"/>
      <c r="F2541" s="3064"/>
      <c r="G2541" s="3301" t="s">
        <v>675</v>
      </c>
      <c r="H2541" s="3063"/>
      <c r="I2541" s="3030"/>
    </row>
    <row r="2542" spans="2:9" ht="25.5">
      <c r="B2542" s="3192" t="s">
        <v>676</v>
      </c>
      <c r="C2542" s="3063"/>
      <c r="D2542" s="3064"/>
      <c r="E2542" s="3064"/>
      <c r="F2542" s="3064"/>
      <c r="G2542" s="3301" t="s">
        <v>676</v>
      </c>
      <c r="H2542" s="3063"/>
      <c r="I2542" s="3030"/>
    </row>
    <row r="2543" spans="2:9">
      <c r="B2543" s="3192" t="s">
        <v>677</v>
      </c>
      <c r="C2543" s="3063"/>
      <c r="D2543" s="3064"/>
      <c r="E2543" s="3064"/>
      <c r="F2543" s="3064"/>
      <c r="G2543" s="3301" t="s">
        <v>677</v>
      </c>
      <c r="H2543" s="3063"/>
      <c r="I2543" s="3030"/>
    </row>
    <row r="2544" spans="2:9">
      <c r="B2544" s="3192" t="s">
        <v>678</v>
      </c>
      <c r="C2544" s="3063"/>
      <c r="D2544" s="3064"/>
      <c r="E2544" s="3064"/>
      <c r="F2544" s="3064"/>
      <c r="G2544" s="3301" t="s">
        <v>678</v>
      </c>
      <c r="H2544" s="3063"/>
      <c r="I2544" s="3030"/>
    </row>
    <row r="2545" spans="2:9">
      <c r="B2545" s="3192" t="s">
        <v>679</v>
      </c>
      <c r="C2545" s="3063"/>
      <c r="D2545" s="3064"/>
      <c r="E2545" s="3064"/>
      <c r="F2545" s="3064"/>
      <c r="G2545" s="3301" t="s">
        <v>679</v>
      </c>
      <c r="H2545" s="3063"/>
      <c r="I2545" s="3030"/>
    </row>
    <row r="2546" spans="2:9" ht="25.5">
      <c r="B2546" s="3192" t="s">
        <v>720</v>
      </c>
      <c r="C2546" s="3063"/>
      <c r="D2546" s="3064"/>
      <c r="E2546" s="3064"/>
      <c r="F2546" s="3064"/>
      <c r="G2546" s="3301" t="s">
        <v>720</v>
      </c>
      <c r="H2546" s="3063"/>
      <c r="I2546" s="3030"/>
    </row>
    <row r="2547" spans="2:9">
      <c r="B2547" s="3299" t="s">
        <v>82</v>
      </c>
      <c r="C2547" s="3063"/>
      <c r="D2547" s="3064"/>
      <c r="E2547" s="3064"/>
      <c r="F2547" s="3064"/>
      <c r="G2547" s="3300" t="s">
        <v>82</v>
      </c>
      <c r="H2547" s="3063"/>
      <c r="I2547" s="3030"/>
    </row>
    <row r="2548" spans="2:9" ht="25.5">
      <c r="B2548" s="3192" t="s">
        <v>675</v>
      </c>
      <c r="C2548" s="3063"/>
      <c r="D2548" s="3064"/>
      <c r="E2548" s="3064"/>
      <c r="F2548" s="3064"/>
      <c r="G2548" s="3301" t="s">
        <v>675</v>
      </c>
      <c r="H2548" s="3063"/>
      <c r="I2548" s="3030"/>
    </row>
    <row r="2549" spans="2:9" ht="25.5">
      <c r="B2549" s="3192" t="s">
        <v>676</v>
      </c>
      <c r="C2549" s="3063"/>
      <c r="D2549" s="3064"/>
      <c r="E2549" s="3064"/>
      <c r="F2549" s="3064"/>
      <c r="G2549" s="3301" t="s">
        <v>676</v>
      </c>
      <c r="H2549" s="3063"/>
      <c r="I2549" s="3030"/>
    </row>
    <row r="2550" spans="2:9">
      <c r="B2550" s="3192" t="s">
        <v>677</v>
      </c>
      <c r="C2550" s="3063"/>
      <c r="D2550" s="3064"/>
      <c r="E2550" s="3064"/>
      <c r="F2550" s="3064"/>
      <c r="G2550" s="3301" t="s">
        <v>677</v>
      </c>
      <c r="H2550" s="3063"/>
      <c r="I2550" s="3030"/>
    </row>
    <row r="2551" spans="2:9">
      <c r="B2551" s="3192" t="s">
        <v>678</v>
      </c>
      <c r="C2551" s="3063"/>
      <c r="D2551" s="3064"/>
      <c r="E2551" s="3064"/>
      <c r="F2551" s="3064"/>
      <c r="G2551" s="3301" t="s">
        <v>678</v>
      </c>
      <c r="H2551" s="3063"/>
      <c r="I2551" s="3030"/>
    </row>
    <row r="2552" spans="2:9">
      <c r="B2552" s="3192" t="s">
        <v>679</v>
      </c>
      <c r="C2552" s="3063"/>
      <c r="D2552" s="3064"/>
      <c r="E2552" s="3064"/>
      <c r="F2552" s="3064"/>
      <c r="G2552" s="3301" t="s">
        <v>679</v>
      </c>
      <c r="H2552" s="3063"/>
      <c r="I2552" s="3030"/>
    </row>
    <row r="2553" spans="2:9" ht="25.5">
      <c r="B2553" s="3192" t="s">
        <v>720</v>
      </c>
      <c r="C2553" s="3063"/>
      <c r="D2553" s="3064"/>
      <c r="E2553" s="3064"/>
      <c r="F2553" s="3064"/>
      <c r="G2553" s="3301" t="s">
        <v>720</v>
      </c>
      <c r="H2553" s="3063"/>
      <c r="I2553" s="3030"/>
    </row>
    <row r="2554" spans="2:9" ht="38.25">
      <c r="B2554" s="3299" t="s">
        <v>680</v>
      </c>
      <c r="C2554" s="3063"/>
      <c r="D2554" s="3064"/>
      <c r="E2554" s="3064"/>
      <c r="F2554" s="3064"/>
      <c r="G2554" s="3300" t="s">
        <v>680</v>
      </c>
      <c r="H2554" s="3063"/>
      <c r="I2554" s="3030"/>
    </row>
    <row r="2555" spans="2:9" ht="25.5">
      <c r="B2555" s="3192" t="s">
        <v>675</v>
      </c>
      <c r="C2555" s="3063"/>
      <c r="D2555" s="3064"/>
      <c r="E2555" s="3064"/>
      <c r="F2555" s="3064"/>
      <c r="G2555" s="3301" t="s">
        <v>675</v>
      </c>
      <c r="H2555" s="3063"/>
      <c r="I2555" s="3030"/>
    </row>
    <row r="2556" spans="2:9" ht="25.5">
      <c r="B2556" s="3192" t="s">
        <v>676</v>
      </c>
      <c r="C2556" s="3063"/>
      <c r="D2556" s="3064"/>
      <c r="E2556" s="3064"/>
      <c r="F2556" s="3064"/>
      <c r="G2556" s="3301" t="s">
        <v>676</v>
      </c>
      <c r="H2556" s="3063"/>
      <c r="I2556" s="3030"/>
    </row>
    <row r="2557" spans="2:9">
      <c r="B2557" s="3192" t="s">
        <v>677</v>
      </c>
      <c r="C2557" s="3063"/>
      <c r="D2557" s="3064"/>
      <c r="E2557" s="3064"/>
      <c r="F2557" s="3064"/>
      <c r="G2557" s="3301" t="s">
        <v>677</v>
      </c>
      <c r="H2557" s="3063"/>
      <c r="I2557" s="3030"/>
    </row>
    <row r="2558" spans="2:9">
      <c r="B2558" s="3192" t="s">
        <v>678</v>
      </c>
      <c r="C2558" s="3063"/>
      <c r="D2558" s="3064"/>
      <c r="E2558" s="3064"/>
      <c r="F2558" s="3064"/>
      <c r="G2558" s="3301" t="s">
        <v>678</v>
      </c>
      <c r="H2558" s="3063"/>
      <c r="I2558" s="3030"/>
    </row>
    <row r="2559" spans="2:9">
      <c r="B2559" s="3192" t="s">
        <v>679</v>
      </c>
      <c r="C2559" s="3063"/>
      <c r="D2559" s="3064"/>
      <c r="E2559" s="3064"/>
      <c r="F2559" s="3064"/>
      <c r="G2559" s="3301" t="s">
        <v>679</v>
      </c>
      <c r="H2559" s="3063"/>
      <c r="I2559" s="3030"/>
    </row>
    <row r="2560" spans="2:9" ht="25.5">
      <c r="B2560" s="3192" t="s">
        <v>720</v>
      </c>
      <c r="C2560" s="3063"/>
      <c r="D2560" s="3064"/>
      <c r="E2560" s="3064"/>
      <c r="F2560" s="3064"/>
      <c r="G2560" s="3301" t="s">
        <v>720</v>
      </c>
      <c r="H2560" s="3063"/>
      <c r="I2560" s="3030"/>
    </row>
    <row r="2561" spans="2:9" ht="38.25">
      <c r="B2561" s="3299" t="s">
        <v>681</v>
      </c>
      <c r="C2561" s="3063"/>
      <c r="D2561" s="3064"/>
      <c r="E2561" s="3064"/>
      <c r="F2561" s="3064"/>
      <c r="G2561" s="3300" t="s">
        <v>681</v>
      </c>
      <c r="H2561" s="3063"/>
      <c r="I2561" s="3030"/>
    </row>
    <row r="2562" spans="2:9" ht="25.5">
      <c r="B2562" s="3192" t="s">
        <v>675</v>
      </c>
      <c r="C2562" s="3063"/>
      <c r="D2562" s="3064">
        <v>1</v>
      </c>
      <c r="E2562" s="3064"/>
      <c r="F2562" s="3064"/>
      <c r="G2562" s="3301" t="s">
        <v>675</v>
      </c>
      <c r="H2562" s="3063"/>
      <c r="I2562" s="3030">
        <v>7.0806485874106068E-2</v>
      </c>
    </row>
    <row r="2563" spans="2:9" ht="25.5">
      <c r="B2563" s="3192" t="s">
        <v>676</v>
      </c>
      <c r="C2563" s="3063"/>
      <c r="D2563" s="3064"/>
      <c r="E2563" s="3064"/>
      <c r="F2563" s="3064"/>
      <c r="G2563" s="3301" t="s">
        <v>676</v>
      </c>
      <c r="H2563" s="3063"/>
      <c r="I2563" s="3030"/>
    </row>
    <row r="2564" spans="2:9">
      <c r="B2564" s="3192" t="s">
        <v>677</v>
      </c>
      <c r="C2564" s="3063"/>
      <c r="D2564" s="3064"/>
      <c r="E2564" s="3064"/>
      <c r="F2564" s="3064"/>
      <c r="G2564" s="3301" t="s">
        <v>677</v>
      </c>
      <c r="H2564" s="3063"/>
      <c r="I2564" s="3030"/>
    </row>
    <row r="2565" spans="2:9">
      <c r="B2565" s="3192" t="s">
        <v>678</v>
      </c>
      <c r="C2565" s="3063"/>
      <c r="D2565" s="3064"/>
      <c r="E2565" s="3064"/>
      <c r="F2565" s="3064"/>
      <c r="G2565" s="3301" t="s">
        <v>678</v>
      </c>
      <c r="H2565" s="3063"/>
      <c r="I2565" s="3030"/>
    </row>
    <row r="2566" spans="2:9">
      <c r="B2566" s="3192" t="s">
        <v>679</v>
      </c>
      <c r="C2566" s="3063"/>
      <c r="D2566" s="3064"/>
      <c r="E2566" s="3064"/>
      <c r="F2566" s="3064"/>
      <c r="G2566" s="3301" t="s">
        <v>679</v>
      </c>
      <c r="H2566" s="3063"/>
      <c r="I2566" s="3030"/>
    </row>
    <row r="2567" spans="2:9" ht="25.5">
      <c r="B2567" s="3192" t="s">
        <v>720</v>
      </c>
      <c r="C2567" s="3063"/>
      <c r="D2567" s="3064"/>
      <c r="E2567" s="3064"/>
      <c r="F2567" s="3064"/>
      <c r="G2567" s="3301" t="s">
        <v>720</v>
      </c>
      <c r="H2567" s="3063"/>
      <c r="I2567" s="3030"/>
    </row>
    <row r="2568" spans="2:9" ht="25.5">
      <c r="B2568" s="3299" t="s">
        <v>682</v>
      </c>
      <c r="C2568" s="3063"/>
      <c r="D2568" s="3064"/>
      <c r="E2568" s="3064"/>
      <c r="F2568" s="3064"/>
      <c r="G2568" s="3300" t="s">
        <v>682</v>
      </c>
      <c r="H2568" s="3063"/>
      <c r="I2568" s="3030"/>
    </row>
    <row r="2569" spans="2:9" ht="25.5">
      <c r="B2569" s="3192" t="s">
        <v>675</v>
      </c>
      <c r="C2569" s="3063"/>
      <c r="D2569" s="3064"/>
      <c r="E2569" s="3064"/>
      <c r="F2569" s="3064"/>
      <c r="G2569" s="3301" t="s">
        <v>675</v>
      </c>
      <c r="H2569" s="3063"/>
      <c r="I2569" s="3030"/>
    </row>
    <row r="2570" spans="2:9" ht="25.5">
      <c r="B2570" s="3192" t="s">
        <v>676</v>
      </c>
      <c r="C2570" s="3063"/>
      <c r="D2570" s="3064"/>
      <c r="E2570" s="3064"/>
      <c r="F2570" s="3064"/>
      <c r="G2570" s="3301" t="s">
        <v>676</v>
      </c>
      <c r="H2570" s="3063"/>
      <c r="I2570" s="3030"/>
    </row>
    <row r="2571" spans="2:9">
      <c r="B2571" s="3192" t="s">
        <v>677</v>
      </c>
      <c r="C2571" s="3063"/>
      <c r="D2571" s="3064"/>
      <c r="E2571" s="3064"/>
      <c r="F2571" s="3064"/>
      <c r="G2571" s="3301" t="s">
        <v>677</v>
      </c>
      <c r="H2571" s="3063"/>
      <c r="I2571" s="3030"/>
    </row>
    <row r="2572" spans="2:9">
      <c r="B2572" s="3192" t="s">
        <v>678</v>
      </c>
      <c r="C2572" s="3063"/>
      <c r="D2572" s="3064"/>
      <c r="E2572" s="3064"/>
      <c r="F2572" s="3064"/>
      <c r="G2572" s="3301" t="s">
        <v>678</v>
      </c>
      <c r="H2572" s="3063"/>
      <c r="I2572" s="3030"/>
    </row>
    <row r="2573" spans="2:9">
      <c r="B2573" s="3192" t="s">
        <v>679</v>
      </c>
      <c r="C2573" s="3063"/>
      <c r="D2573" s="3064"/>
      <c r="E2573" s="3064"/>
      <c r="F2573" s="3064"/>
      <c r="G2573" s="3301" t="s">
        <v>679</v>
      </c>
      <c r="H2573" s="3063"/>
      <c r="I2573" s="3030"/>
    </row>
    <row r="2574" spans="2:9" ht="25.5">
      <c r="B2574" s="3192" t="s">
        <v>720</v>
      </c>
      <c r="C2574" s="3063"/>
      <c r="D2574" s="3064"/>
      <c r="E2574" s="3064"/>
      <c r="F2574" s="3064"/>
      <c r="G2574" s="3301" t="s">
        <v>720</v>
      </c>
      <c r="H2574" s="3063"/>
      <c r="I2574" s="3030"/>
    </row>
    <row r="2575" spans="2:9" ht="25.5">
      <c r="B2575" s="3299" t="s">
        <v>66</v>
      </c>
      <c r="C2575" s="3063"/>
      <c r="D2575" s="3064"/>
      <c r="E2575" s="3064"/>
      <c r="F2575" s="3064"/>
      <c r="G2575" s="3300" t="s">
        <v>66</v>
      </c>
      <c r="H2575" s="3063"/>
      <c r="I2575" s="3030"/>
    </row>
    <row r="2576" spans="2:9" ht="25.5">
      <c r="B2576" s="3192" t="s">
        <v>675</v>
      </c>
      <c r="C2576" s="3063"/>
      <c r="D2576" s="3064"/>
      <c r="E2576" s="3064"/>
      <c r="F2576" s="3064"/>
      <c r="G2576" s="3301" t="s">
        <v>675</v>
      </c>
      <c r="H2576" s="3063"/>
      <c r="I2576" s="3030"/>
    </row>
    <row r="2577" spans="2:9" ht="25.5">
      <c r="B2577" s="3192" t="s">
        <v>676</v>
      </c>
      <c r="C2577" s="3063"/>
      <c r="D2577" s="3064"/>
      <c r="E2577" s="3064"/>
      <c r="F2577" s="3064"/>
      <c r="G2577" s="3301" t="s">
        <v>676</v>
      </c>
      <c r="H2577" s="3063"/>
      <c r="I2577" s="3030"/>
    </row>
    <row r="2578" spans="2:9">
      <c r="B2578" s="3192" t="s">
        <v>677</v>
      </c>
      <c r="C2578" s="3063"/>
      <c r="D2578" s="3064"/>
      <c r="E2578" s="3064"/>
      <c r="F2578" s="3064"/>
      <c r="G2578" s="3301" t="s">
        <v>677</v>
      </c>
      <c r="H2578" s="3063"/>
      <c r="I2578" s="3030"/>
    </row>
    <row r="2579" spans="2:9">
      <c r="B2579" s="3192" t="s">
        <v>678</v>
      </c>
      <c r="C2579" s="3063"/>
      <c r="D2579" s="3064"/>
      <c r="E2579" s="3064"/>
      <c r="F2579" s="3064"/>
      <c r="G2579" s="3301" t="s">
        <v>678</v>
      </c>
      <c r="H2579" s="3063"/>
      <c r="I2579" s="3030"/>
    </row>
    <row r="2580" spans="2:9">
      <c r="B2580" s="3192" t="s">
        <v>679</v>
      </c>
      <c r="C2580" s="3063"/>
      <c r="D2580" s="3064"/>
      <c r="E2580" s="3064"/>
      <c r="F2580" s="3064"/>
      <c r="G2580" s="3301" t="s">
        <v>679</v>
      </c>
      <c r="H2580" s="3063"/>
      <c r="I2580" s="3030"/>
    </row>
    <row r="2581" spans="2:9" ht="25.5">
      <c r="B2581" s="3192" t="s">
        <v>720</v>
      </c>
      <c r="C2581" s="3063"/>
      <c r="D2581" s="3064"/>
      <c r="E2581" s="3064"/>
      <c r="F2581" s="3064"/>
      <c r="G2581" s="3301" t="s">
        <v>720</v>
      </c>
      <c r="H2581" s="3063"/>
      <c r="I2581" s="3030"/>
    </row>
    <row r="2582" spans="2:9">
      <c r="B2582" s="3299" t="s">
        <v>67</v>
      </c>
      <c r="C2582" s="3063"/>
      <c r="D2582" s="3064"/>
      <c r="E2582" s="3064"/>
      <c r="F2582" s="3064"/>
      <c r="G2582" s="3300" t="s">
        <v>67</v>
      </c>
      <c r="H2582" s="3063"/>
      <c r="I2582" s="3030"/>
    </row>
    <row r="2583" spans="2:9" ht="25.5">
      <c r="B2583" s="3192" t="s">
        <v>675</v>
      </c>
      <c r="C2583" s="3063"/>
      <c r="D2583" s="3064"/>
      <c r="E2583" s="3064"/>
      <c r="F2583" s="3064"/>
      <c r="G2583" s="3301" t="s">
        <v>675</v>
      </c>
      <c r="H2583" s="3063"/>
      <c r="I2583" s="3030"/>
    </row>
    <row r="2584" spans="2:9" ht="25.5">
      <c r="B2584" s="3192" t="s">
        <v>676</v>
      </c>
      <c r="C2584" s="3063"/>
      <c r="D2584" s="3064"/>
      <c r="E2584" s="3064"/>
      <c r="F2584" s="3064"/>
      <c r="G2584" s="3301" t="s">
        <v>676</v>
      </c>
      <c r="H2584" s="3063"/>
      <c r="I2584" s="3030"/>
    </row>
    <row r="2585" spans="2:9">
      <c r="B2585" s="3192" t="s">
        <v>677</v>
      </c>
      <c r="C2585" s="3063"/>
      <c r="D2585" s="3064"/>
      <c r="E2585" s="3064"/>
      <c r="F2585" s="3064"/>
      <c r="G2585" s="3301" t="s">
        <v>677</v>
      </c>
      <c r="H2585" s="3063"/>
      <c r="I2585" s="3030"/>
    </row>
    <row r="2586" spans="2:9">
      <c r="B2586" s="3192" t="s">
        <v>678</v>
      </c>
      <c r="C2586" s="3063"/>
      <c r="D2586" s="3064"/>
      <c r="E2586" s="3064"/>
      <c r="F2586" s="3064"/>
      <c r="G2586" s="3301" t="s">
        <v>678</v>
      </c>
      <c r="H2586" s="3063"/>
      <c r="I2586" s="3030"/>
    </row>
    <row r="2587" spans="2:9">
      <c r="B2587" s="3192" t="s">
        <v>679</v>
      </c>
      <c r="C2587" s="3063"/>
      <c r="D2587" s="3064"/>
      <c r="E2587" s="3064"/>
      <c r="F2587" s="3064"/>
      <c r="G2587" s="3301" t="s">
        <v>679</v>
      </c>
      <c r="H2587" s="3063"/>
      <c r="I2587" s="3030"/>
    </row>
    <row r="2588" spans="2:9" ht="25.5">
      <c r="B2588" s="3230" t="s">
        <v>81</v>
      </c>
      <c r="C2588" s="3063"/>
      <c r="D2588" s="3064"/>
      <c r="E2588" s="3064"/>
      <c r="F2588" s="3064"/>
      <c r="G2588" s="3302" t="s">
        <v>81</v>
      </c>
      <c r="H2588" s="3063"/>
      <c r="I2588" s="3030"/>
    </row>
    <row r="2589" spans="2:9" ht="26.25" thickBot="1">
      <c r="B2589" s="3303" t="s">
        <v>81</v>
      </c>
      <c r="C2589" s="3068"/>
      <c r="D2589" s="3069"/>
      <c r="E2589" s="3069"/>
      <c r="F2589" s="3069"/>
      <c r="G2589" s="3304" t="s">
        <v>81</v>
      </c>
      <c r="H2589" s="3068"/>
      <c r="I2589" s="3070"/>
    </row>
    <row r="2590" spans="2:9" ht="38.25">
      <c r="B2590" s="4723">
        <v>3015</v>
      </c>
      <c r="C2590" s="3289"/>
      <c r="D2590" s="3290"/>
      <c r="E2590" s="3290"/>
      <c r="F2590" s="3290"/>
      <c r="G2590" s="4723">
        <v>3015</v>
      </c>
      <c r="H2590" s="3291" t="s">
        <v>687</v>
      </c>
      <c r="I2590" s="3292" t="s">
        <v>688</v>
      </c>
    </row>
    <row r="2591" spans="2:9">
      <c r="B2591" s="4724"/>
      <c r="C2591" s="4678" t="s">
        <v>686</v>
      </c>
      <c r="D2591" s="4725"/>
      <c r="E2591" s="4725"/>
      <c r="F2591" s="4726"/>
      <c r="G2591" s="4724"/>
      <c r="H2591" s="3293"/>
      <c r="I2591" s="3294"/>
    </row>
    <row r="2592" spans="2:9" ht="13.5" thickBot="1">
      <c r="B2592" s="4724"/>
      <c r="C2592" s="3215">
        <v>2013</v>
      </c>
      <c r="D2592" s="3215">
        <v>2014</v>
      </c>
      <c r="E2592" s="3215">
        <v>2015</v>
      </c>
      <c r="F2592" s="3215">
        <v>2016</v>
      </c>
      <c r="G2592" s="4724"/>
      <c r="H2592" s="3295" t="s">
        <v>390</v>
      </c>
      <c r="I2592" s="3296" t="s">
        <v>390</v>
      </c>
    </row>
    <row r="2593" spans="2:9">
      <c r="B2593" s="3217" t="s">
        <v>695</v>
      </c>
      <c r="C2593" s="3218"/>
      <c r="D2593" s="3219"/>
      <c r="E2593" s="3219"/>
      <c r="F2593" s="3219"/>
      <c r="G2593" s="3217" t="s">
        <v>695</v>
      </c>
      <c r="H2593" s="3297"/>
      <c r="I2593" s="3298"/>
    </row>
    <row r="2594" spans="2:9">
      <c r="B2594" s="3299" t="s">
        <v>64</v>
      </c>
      <c r="C2594" s="3063"/>
      <c r="D2594" s="3064"/>
      <c r="E2594" s="3064"/>
      <c r="F2594" s="3064"/>
      <c r="G2594" s="3300" t="s">
        <v>64</v>
      </c>
      <c r="H2594" s="3063">
        <v>231.70731707317071</v>
      </c>
      <c r="I2594" s="3030"/>
    </row>
    <row r="2595" spans="2:9" ht="25.5">
      <c r="B2595" s="3192" t="s">
        <v>675</v>
      </c>
      <c r="C2595" s="3063">
        <v>9</v>
      </c>
      <c r="D2595" s="3064"/>
      <c r="E2595" s="3064"/>
      <c r="F2595" s="3064"/>
      <c r="G2595" s="3301" t="s">
        <v>675</v>
      </c>
      <c r="H2595" s="3063"/>
      <c r="I2595" s="3030">
        <v>169.81132075471697</v>
      </c>
    </row>
    <row r="2596" spans="2:9" ht="25.5">
      <c r="B2596" s="3192" t="s">
        <v>676</v>
      </c>
      <c r="C2596" s="3063"/>
      <c r="D2596" s="3064"/>
      <c r="E2596" s="3064"/>
      <c r="F2596" s="3064"/>
      <c r="G2596" s="3301" t="s">
        <v>676</v>
      </c>
      <c r="H2596" s="3063"/>
      <c r="I2596" s="3030"/>
    </row>
    <row r="2597" spans="2:9">
      <c r="B2597" s="3192" t="s">
        <v>677</v>
      </c>
      <c r="C2597" s="3063"/>
      <c r="D2597" s="3064"/>
      <c r="E2597" s="3064"/>
      <c r="F2597" s="3064"/>
      <c r="G2597" s="3301" t="s">
        <v>677</v>
      </c>
      <c r="H2597" s="3063"/>
      <c r="I2597" s="3030"/>
    </row>
    <row r="2598" spans="2:9">
      <c r="B2598" s="3192" t="s">
        <v>678</v>
      </c>
      <c r="C2598" s="3063">
        <v>10</v>
      </c>
      <c r="D2598" s="3064"/>
      <c r="E2598" s="3064"/>
      <c r="F2598" s="3064"/>
      <c r="G2598" s="3301" t="s">
        <v>678</v>
      </c>
      <c r="H2598" s="3063"/>
      <c r="I2598" s="3030"/>
    </row>
    <row r="2599" spans="2:9">
      <c r="B2599" s="3192" t="s">
        <v>679</v>
      </c>
      <c r="C2599" s="3063"/>
      <c r="D2599" s="3064"/>
      <c r="E2599" s="3064"/>
      <c r="F2599" s="3064"/>
      <c r="G2599" s="3301" t="s">
        <v>679</v>
      </c>
      <c r="H2599" s="3063"/>
      <c r="I2599" s="3030"/>
    </row>
    <row r="2600" spans="2:9" ht="25.5">
      <c r="B2600" s="3192" t="s">
        <v>720</v>
      </c>
      <c r="C2600" s="3063"/>
      <c r="D2600" s="3064"/>
      <c r="E2600" s="3064"/>
      <c r="F2600" s="3064"/>
      <c r="G2600" s="3301" t="s">
        <v>720</v>
      </c>
      <c r="H2600" s="3063"/>
      <c r="I2600" s="3030"/>
    </row>
    <row r="2601" spans="2:9">
      <c r="B2601" s="3299" t="s">
        <v>65</v>
      </c>
      <c r="C2601" s="3063"/>
      <c r="D2601" s="3064"/>
      <c r="E2601" s="3064"/>
      <c r="F2601" s="3064"/>
      <c r="G2601" s="3300" t="s">
        <v>65</v>
      </c>
      <c r="H2601" s="3063"/>
      <c r="I2601" s="3030"/>
    </row>
    <row r="2602" spans="2:9" ht="25.5">
      <c r="B2602" s="3192" t="s">
        <v>675</v>
      </c>
      <c r="C2602" s="3063"/>
      <c r="D2602" s="3064"/>
      <c r="E2602" s="3064"/>
      <c r="F2602" s="3064"/>
      <c r="G2602" s="3301" t="s">
        <v>675</v>
      </c>
      <c r="H2602" s="3063"/>
      <c r="I2602" s="3030"/>
    </row>
    <row r="2603" spans="2:9" ht="25.5">
      <c r="B2603" s="3192" t="s">
        <v>676</v>
      </c>
      <c r="C2603" s="3063"/>
      <c r="D2603" s="3064"/>
      <c r="E2603" s="3064"/>
      <c r="F2603" s="3064"/>
      <c r="G2603" s="3301" t="s">
        <v>676</v>
      </c>
      <c r="H2603" s="3063"/>
      <c r="I2603" s="3030"/>
    </row>
    <row r="2604" spans="2:9">
      <c r="B2604" s="3192" t="s">
        <v>677</v>
      </c>
      <c r="C2604" s="3063"/>
      <c r="D2604" s="3064"/>
      <c r="E2604" s="3064"/>
      <c r="F2604" s="3064"/>
      <c r="G2604" s="3301" t="s">
        <v>677</v>
      </c>
      <c r="H2604" s="3063"/>
      <c r="I2604" s="3030"/>
    </row>
    <row r="2605" spans="2:9">
      <c r="B2605" s="3192" t="s">
        <v>678</v>
      </c>
      <c r="C2605" s="3063"/>
      <c r="D2605" s="3064"/>
      <c r="E2605" s="3064"/>
      <c r="F2605" s="3064"/>
      <c r="G2605" s="3301" t="s">
        <v>678</v>
      </c>
      <c r="H2605" s="3063"/>
      <c r="I2605" s="3030"/>
    </row>
    <row r="2606" spans="2:9">
      <c r="B2606" s="3192" t="s">
        <v>679</v>
      </c>
      <c r="C2606" s="3063"/>
      <c r="D2606" s="3064"/>
      <c r="E2606" s="3064"/>
      <c r="F2606" s="3064"/>
      <c r="G2606" s="3301" t="s">
        <v>679</v>
      </c>
      <c r="H2606" s="3063"/>
      <c r="I2606" s="3030"/>
    </row>
    <row r="2607" spans="2:9" ht="25.5">
      <c r="B2607" s="3192" t="s">
        <v>720</v>
      </c>
      <c r="C2607" s="3063"/>
      <c r="D2607" s="3064"/>
      <c r="E2607" s="3064"/>
      <c r="F2607" s="3064"/>
      <c r="G2607" s="3301" t="s">
        <v>720</v>
      </c>
      <c r="H2607" s="3063"/>
      <c r="I2607" s="3030"/>
    </row>
    <row r="2608" spans="2:9">
      <c r="B2608" s="3299" t="s">
        <v>82</v>
      </c>
      <c r="C2608" s="3063"/>
      <c r="D2608" s="3064"/>
      <c r="E2608" s="3064"/>
      <c r="F2608" s="3064"/>
      <c r="G2608" s="3300" t="s">
        <v>82</v>
      </c>
      <c r="H2608" s="3063"/>
      <c r="I2608" s="3030"/>
    </row>
    <row r="2609" spans="2:9" ht="25.5">
      <c r="B2609" s="3192" t="s">
        <v>675</v>
      </c>
      <c r="C2609" s="3063"/>
      <c r="D2609" s="3064"/>
      <c r="E2609" s="3064"/>
      <c r="F2609" s="3064"/>
      <c r="G2609" s="3301" t="s">
        <v>675</v>
      </c>
      <c r="H2609" s="3063"/>
      <c r="I2609" s="3030"/>
    </row>
    <row r="2610" spans="2:9" ht="25.5">
      <c r="B2610" s="3192" t="s">
        <v>676</v>
      </c>
      <c r="C2610" s="3063"/>
      <c r="D2610" s="3064"/>
      <c r="E2610" s="3064"/>
      <c r="F2610" s="3064"/>
      <c r="G2610" s="3301" t="s">
        <v>676</v>
      </c>
      <c r="H2610" s="3063"/>
      <c r="I2610" s="3030"/>
    </row>
    <row r="2611" spans="2:9">
      <c r="B2611" s="3192" t="s">
        <v>677</v>
      </c>
      <c r="C2611" s="3063"/>
      <c r="D2611" s="3064"/>
      <c r="E2611" s="3064"/>
      <c r="F2611" s="3064"/>
      <c r="G2611" s="3301" t="s">
        <v>677</v>
      </c>
      <c r="H2611" s="3063"/>
      <c r="I2611" s="3030"/>
    </row>
    <row r="2612" spans="2:9">
      <c r="B2612" s="3192" t="s">
        <v>678</v>
      </c>
      <c r="C2612" s="3063"/>
      <c r="D2612" s="3064"/>
      <c r="E2612" s="3064"/>
      <c r="F2612" s="3064"/>
      <c r="G2612" s="3301" t="s">
        <v>678</v>
      </c>
      <c r="H2612" s="3063"/>
      <c r="I2612" s="3030"/>
    </row>
    <row r="2613" spans="2:9">
      <c r="B2613" s="3192" t="s">
        <v>679</v>
      </c>
      <c r="C2613" s="3063"/>
      <c r="D2613" s="3064"/>
      <c r="E2613" s="3064"/>
      <c r="F2613" s="3064"/>
      <c r="G2613" s="3301" t="s">
        <v>679</v>
      </c>
      <c r="H2613" s="3063"/>
      <c r="I2613" s="3030"/>
    </row>
    <row r="2614" spans="2:9" ht="25.5">
      <c r="B2614" s="3192" t="s">
        <v>720</v>
      </c>
      <c r="C2614" s="3063"/>
      <c r="D2614" s="3064"/>
      <c r="E2614" s="3064"/>
      <c r="F2614" s="3064"/>
      <c r="G2614" s="3301" t="s">
        <v>720</v>
      </c>
      <c r="H2614" s="3063"/>
      <c r="I2614" s="3030"/>
    </row>
    <row r="2615" spans="2:9" ht="38.25">
      <c r="B2615" s="3299" t="s">
        <v>680</v>
      </c>
      <c r="C2615" s="3063"/>
      <c r="D2615" s="3064"/>
      <c r="E2615" s="3064"/>
      <c r="F2615" s="3064"/>
      <c r="G2615" s="3300" t="s">
        <v>680</v>
      </c>
      <c r="H2615" s="3063"/>
      <c r="I2615" s="3030"/>
    </row>
    <row r="2616" spans="2:9" ht="25.5">
      <c r="B2616" s="3192" t="s">
        <v>675</v>
      </c>
      <c r="C2616" s="3063"/>
      <c r="D2616" s="3064"/>
      <c r="E2616" s="3064"/>
      <c r="F2616" s="3064"/>
      <c r="G2616" s="3301" t="s">
        <v>675</v>
      </c>
      <c r="H2616" s="3063"/>
      <c r="I2616" s="3030"/>
    </row>
    <row r="2617" spans="2:9" ht="25.5">
      <c r="B2617" s="3192" t="s">
        <v>676</v>
      </c>
      <c r="C2617" s="3063"/>
      <c r="D2617" s="3064"/>
      <c r="E2617" s="3064"/>
      <c r="F2617" s="3064"/>
      <c r="G2617" s="3301" t="s">
        <v>676</v>
      </c>
      <c r="H2617" s="3063"/>
      <c r="I2617" s="3030"/>
    </row>
    <row r="2618" spans="2:9">
      <c r="B2618" s="3192" t="s">
        <v>677</v>
      </c>
      <c r="C2618" s="3063"/>
      <c r="D2618" s="3064"/>
      <c r="E2618" s="3064"/>
      <c r="F2618" s="3064"/>
      <c r="G2618" s="3301" t="s">
        <v>677</v>
      </c>
      <c r="H2618" s="3063"/>
      <c r="I2618" s="3030"/>
    </row>
    <row r="2619" spans="2:9">
      <c r="B2619" s="3192" t="s">
        <v>678</v>
      </c>
      <c r="C2619" s="3063"/>
      <c r="D2619" s="3064"/>
      <c r="E2619" s="3064"/>
      <c r="F2619" s="3064"/>
      <c r="G2619" s="3301" t="s">
        <v>678</v>
      </c>
      <c r="H2619" s="3063"/>
      <c r="I2619" s="3030"/>
    </row>
    <row r="2620" spans="2:9">
      <c r="B2620" s="3192" t="s">
        <v>679</v>
      </c>
      <c r="C2620" s="3063"/>
      <c r="D2620" s="3064"/>
      <c r="E2620" s="3064"/>
      <c r="F2620" s="3064"/>
      <c r="G2620" s="3301" t="s">
        <v>679</v>
      </c>
      <c r="H2620" s="3063"/>
      <c r="I2620" s="3030"/>
    </row>
    <row r="2621" spans="2:9" ht="25.5">
      <c r="B2621" s="3192" t="s">
        <v>720</v>
      </c>
      <c r="C2621" s="3063"/>
      <c r="D2621" s="3064"/>
      <c r="E2621" s="3064"/>
      <c r="F2621" s="3064"/>
      <c r="G2621" s="3301" t="s">
        <v>720</v>
      </c>
      <c r="H2621" s="3063"/>
      <c r="I2621" s="3030"/>
    </row>
    <row r="2622" spans="2:9" ht="38.25">
      <c r="B2622" s="3299" t="s">
        <v>681</v>
      </c>
      <c r="C2622" s="3063"/>
      <c r="D2622" s="3064"/>
      <c r="E2622" s="3064"/>
      <c r="F2622" s="3064"/>
      <c r="G2622" s="3300" t="s">
        <v>681</v>
      </c>
      <c r="H2622" s="3063"/>
      <c r="I2622" s="3030"/>
    </row>
    <row r="2623" spans="2:9" ht="25.5">
      <c r="B2623" s="3192" t="s">
        <v>675</v>
      </c>
      <c r="C2623" s="3063"/>
      <c r="D2623" s="3064"/>
      <c r="E2623" s="3064"/>
      <c r="F2623" s="3064"/>
      <c r="G2623" s="3301" t="s">
        <v>675</v>
      </c>
      <c r="H2623" s="3063"/>
      <c r="I2623" s="3030"/>
    </row>
    <row r="2624" spans="2:9" ht="25.5">
      <c r="B2624" s="3192" t="s">
        <v>676</v>
      </c>
      <c r="C2624" s="3063"/>
      <c r="D2624" s="3064"/>
      <c r="E2624" s="3064"/>
      <c r="F2624" s="3064"/>
      <c r="G2624" s="3301" t="s">
        <v>676</v>
      </c>
      <c r="H2624" s="3063"/>
      <c r="I2624" s="3030"/>
    </row>
    <row r="2625" spans="2:9">
      <c r="B2625" s="3192" t="s">
        <v>677</v>
      </c>
      <c r="C2625" s="3063"/>
      <c r="D2625" s="3064"/>
      <c r="E2625" s="3064"/>
      <c r="F2625" s="3064"/>
      <c r="G2625" s="3301" t="s">
        <v>677</v>
      </c>
      <c r="H2625" s="3063"/>
      <c r="I2625" s="3030"/>
    </row>
    <row r="2626" spans="2:9">
      <c r="B2626" s="3192" t="s">
        <v>678</v>
      </c>
      <c r="C2626" s="3063"/>
      <c r="D2626" s="3064"/>
      <c r="E2626" s="3064"/>
      <c r="F2626" s="3064"/>
      <c r="G2626" s="3301" t="s">
        <v>678</v>
      </c>
      <c r="H2626" s="3063"/>
      <c r="I2626" s="3030"/>
    </row>
    <row r="2627" spans="2:9">
      <c r="B2627" s="3192" t="s">
        <v>679</v>
      </c>
      <c r="C2627" s="3063"/>
      <c r="D2627" s="3064"/>
      <c r="E2627" s="3064"/>
      <c r="F2627" s="3064"/>
      <c r="G2627" s="3301" t="s">
        <v>679</v>
      </c>
      <c r="H2627" s="3063"/>
      <c r="I2627" s="3030"/>
    </row>
    <row r="2628" spans="2:9" ht="25.5">
      <c r="B2628" s="3192" t="s">
        <v>720</v>
      </c>
      <c r="C2628" s="3063"/>
      <c r="D2628" s="3064"/>
      <c r="E2628" s="3064"/>
      <c r="F2628" s="3064"/>
      <c r="G2628" s="3301" t="s">
        <v>720</v>
      </c>
      <c r="H2628" s="3063"/>
      <c r="I2628" s="3030"/>
    </row>
    <row r="2629" spans="2:9" ht="25.5">
      <c r="B2629" s="3299" t="s">
        <v>682</v>
      </c>
      <c r="C2629" s="3063"/>
      <c r="D2629" s="3064"/>
      <c r="E2629" s="3064"/>
      <c r="F2629" s="3064"/>
      <c r="G2629" s="3300" t="s">
        <v>682</v>
      </c>
      <c r="H2629" s="3063"/>
      <c r="I2629" s="3030"/>
    </row>
    <row r="2630" spans="2:9" ht="25.5">
      <c r="B2630" s="3192" t="s">
        <v>675</v>
      </c>
      <c r="C2630" s="3063"/>
      <c r="D2630" s="3064"/>
      <c r="E2630" s="3064"/>
      <c r="F2630" s="3064"/>
      <c r="G2630" s="3301" t="s">
        <v>675</v>
      </c>
      <c r="H2630" s="3063"/>
      <c r="I2630" s="3030"/>
    </row>
    <row r="2631" spans="2:9" ht="25.5">
      <c r="B2631" s="3192" t="s">
        <v>676</v>
      </c>
      <c r="C2631" s="3063"/>
      <c r="D2631" s="3064"/>
      <c r="E2631" s="3064"/>
      <c r="F2631" s="3064"/>
      <c r="G2631" s="3301" t="s">
        <v>676</v>
      </c>
      <c r="H2631" s="3063"/>
      <c r="I2631" s="3030"/>
    </row>
    <row r="2632" spans="2:9">
      <c r="B2632" s="3192" t="s">
        <v>677</v>
      </c>
      <c r="C2632" s="3063"/>
      <c r="D2632" s="3064"/>
      <c r="E2632" s="3064"/>
      <c r="F2632" s="3064"/>
      <c r="G2632" s="3301" t="s">
        <v>677</v>
      </c>
      <c r="H2632" s="3063"/>
      <c r="I2632" s="3030"/>
    </row>
    <row r="2633" spans="2:9">
      <c r="B2633" s="3192" t="s">
        <v>678</v>
      </c>
      <c r="C2633" s="3063"/>
      <c r="D2633" s="3064"/>
      <c r="E2633" s="3064"/>
      <c r="F2633" s="3064"/>
      <c r="G2633" s="3301" t="s">
        <v>678</v>
      </c>
      <c r="H2633" s="3063"/>
      <c r="I2633" s="3030"/>
    </row>
    <row r="2634" spans="2:9">
      <c r="B2634" s="3192" t="s">
        <v>679</v>
      </c>
      <c r="C2634" s="3063"/>
      <c r="D2634" s="3064"/>
      <c r="E2634" s="3064"/>
      <c r="F2634" s="3064"/>
      <c r="G2634" s="3301" t="s">
        <v>679</v>
      </c>
      <c r="H2634" s="3063"/>
      <c r="I2634" s="3030"/>
    </row>
    <row r="2635" spans="2:9" ht="25.5">
      <c r="B2635" s="3192" t="s">
        <v>720</v>
      </c>
      <c r="C2635" s="3063"/>
      <c r="D2635" s="3064"/>
      <c r="E2635" s="3064"/>
      <c r="F2635" s="3064"/>
      <c r="G2635" s="3301" t="s">
        <v>720</v>
      </c>
      <c r="H2635" s="3063"/>
      <c r="I2635" s="3030"/>
    </row>
    <row r="2636" spans="2:9" ht="25.5">
      <c r="B2636" s="3299" t="s">
        <v>66</v>
      </c>
      <c r="C2636" s="3063"/>
      <c r="D2636" s="3064"/>
      <c r="E2636" s="3064"/>
      <c r="F2636" s="3064"/>
      <c r="G2636" s="3300" t="s">
        <v>66</v>
      </c>
      <c r="H2636" s="3063"/>
      <c r="I2636" s="3030"/>
    </row>
    <row r="2637" spans="2:9" ht="25.5">
      <c r="B2637" s="3192" t="s">
        <v>675</v>
      </c>
      <c r="C2637" s="3063"/>
      <c r="D2637" s="3064"/>
      <c r="E2637" s="3064"/>
      <c r="F2637" s="3064"/>
      <c r="G2637" s="3301" t="s">
        <v>675</v>
      </c>
      <c r="H2637" s="3063"/>
      <c r="I2637" s="3030"/>
    </row>
    <row r="2638" spans="2:9" ht="25.5">
      <c r="B2638" s="3192" t="s">
        <v>676</v>
      </c>
      <c r="C2638" s="3063"/>
      <c r="D2638" s="3064"/>
      <c r="E2638" s="3064"/>
      <c r="F2638" s="3064"/>
      <c r="G2638" s="3301" t="s">
        <v>676</v>
      </c>
      <c r="H2638" s="3063"/>
      <c r="I2638" s="3030"/>
    </row>
    <row r="2639" spans="2:9">
      <c r="B2639" s="3192" t="s">
        <v>677</v>
      </c>
      <c r="C2639" s="3063"/>
      <c r="D2639" s="3064"/>
      <c r="E2639" s="3064"/>
      <c r="F2639" s="3064"/>
      <c r="G2639" s="3301" t="s">
        <v>677</v>
      </c>
      <c r="H2639" s="3063"/>
      <c r="I2639" s="3030"/>
    </row>
    <row r="2640" spans="2:9">
      <c r="B2640" s="3192" t="s">
        <v>678</v>
      </c>
      <c r="C2640" s="3063"/>
      <c r="D2640" s="3064"/>
      <c r="E2640" s="3064"/>
      <c r="F2640" s="3064"/>
      <c r="G2640" s="3301" t="s">
        <v>678</v>
      </c>
      <c r="H2640" s="3063"/>
      <c r="I2640" s="3030"/>
    </row>
    <row r="2641" spans="2:9">
      <c r="B2641" s="3192" t="s">
        <v>679</v>
      </c>
      <c r="C2641" s="3063"/>
      <c r="D2641" s="3064"/>
      <c r="E2641" s="3064"/>
      <c r="F2641" s="3064"/>
      <c r="G2641" s="3301" t="s">
        <v>679</v>
      </c>
      <c r="H2641" s="3063"/>
      <c r="I2641" s="3030"/>
    </row>
    <row r="2642" spans="2:9" ht="25.5">
      <c r="B2642" s="3192" t="s">
        <v>720</v>
      </c>
      <c r="C2642" s="3063"/>
      <c r="D2642" s="3064"/>
      <c r="E2642" s="3064"/>
      <c r="F2642" s="3064"/>
      <c r="G2642" s="3301" t="s">
        <v>720</v>
      </c>
      <c r="H2642" s="3063"/>
      <c r="I2642" s="3030"/>
    </row>
    <row r="2643" spans="2:9">
      <c r="B2643" s="3299" t="s">
        <v>67</v>
      </c>
      <c r="C2643" s="3063"/>
      <c r="D2643" s="3064"/>
      <c r="E2643" s="3064"/>
      <c r="F2643" s="3064"/>
      <c r="G2643" s="3300" t="s">
        <v>67</v>
      </c>
      <c r="H2643" s="3063"/>
      <c r="I2643" s="3030"/>
    </row>
    <row r="2644" spans="2:9" ht="25.5">
      <c r="B2644" s="3192" t="s">
        <v>675</v>
      </c>
      <c r="C2644" s="3063"/>
      <c r="D2644" s="3064"/>
      <c r="E2644" s="3064"/>
      <c r="F2644" s="3064"/>
      <c r="G2644" s="3301" t="s">
        <v>675</v>
      </c>
      <c r="H2644" s="3063"/>
      <c r="I2644" s="3030"/>
    </row>
    <row r="2645" spans="2:9" ht="25.5">
      <c r="B2645" s="3192" t="s">
        <v>676</v>
      </c>
      <c r="C2645" s="3063"/>
      <c r="D2645" s="3064"/>
      <c r="E2645" s="3064"/>
      <c r="F2645" s="3064"/>
      <c r="G2645" s="3301" t="s">
        <v>676</v>
      </c>
      <c r="H2645" s="3063"/>
      <c r="I2645" s="3030"/>
    </row>
    <row r="2646" spans="2:9">
      <c r="B2646" s="3192" t="s">
        <v>677</v>
      </c>
      <c r="C2646" s="3063"/>
      <c r="D2646" s="3064"/>
      <c r="E2646" s="3064"/>
      <c r="F2646" s="3064"/>
      <c r="G2646" s="3301" t="s">
        <v>677</v>
      </c>
      <c r="H2646" s="3063"/>
      <c r="I2646" s="3030"/>
    </row>
    <row r="2647" spans="2:9">
      <c r="B2647" s="3192" t="s">
        <v>678</v>
      </c>
      <c r="C2647" s="3063"/>
      <c r="D2647" s="3064"/>
      <c r="E2647" s="3064"/>
      <c r="F2647" s="3064"/>
      <c r="G2647" s="3301" t="s">
        <v>678</v>
      </c>
      <c r="H2647" s="3063"/>
      <c r="I2647" s="3030"/>
    </row>
    <row r="2648" spans="2:9">
      <c r="B2648" s="3192" t="s">
        <v>679</v>
      </c>
      <c r="C2648" s="3063"/>
      <c r="D2648" s="3064"/>
      <c r="E2648" s="3064"/>
      <c r="F2648" s="3064"/>
      <c r="G2648" s="3301" t="s">
        <v>679</v>
      </c>
      <c r="H2648" s="3063"/>
      <c r="I2648" s="3030"/>
    </row>
    <row r="2649" spans="2:9" ht="25.5">
      <c r="B2649" s="3192" t="s">
        <v>720</v>
      </c>
      <c r="C2649" s="3063"/>
      <c r="D2649" s="3064"/>
      <c r="E2649" s="3064"/>
      <c r="F2649" s="3064"/>
      <c r="G2649" s="3301" t="s">
        <v>720</v>
      </c>
      <c r="H2649" s="3063"/>
      <c r="I2649" s="3030"/>
    </row>
    <row r="2650" spans="2:9" ht="25.5">
      <c r="B2650" s="3230" t="s">
        <v>81</v>
      </c>
      <c r="C2650" s="3063"/>
      <c r="D2650" s="3064"/>
      <c r="E2650" s="3064"/>
      <c r="F2650" s="3064"/>
      <c r="G2650" s="3302" t="s">
        <v>81</v>
      </c>
      <c r="H2650" s="3063"/>
      <c r="I2650" s="3030"/>
    </row>
    <row r="2651" spans="2:9" ht="26.25" thickBot="1">
      <c r="B2651" s="3303" t="s">
        <v>81</v>
      </c>
      <c r="C2651" s="3063"/>
      <c r="D2651" s="3064"/>
      <c r="E2651" s="3064"/>
      <c r="F2651" s="3064"/>
      <c r="G2651" s="3302" t="s">
        <v>81</v>
      </c>
      <c r="H2651" s="3063"/>
      <c r="I2651" s="3030"/>
    </row>
    <row r="2652" spans="2:9" ht="25.5">
      <c r="B2652" s="3217" t="s">
        <v>696</v>
      </c>
      <c r="C2652" s="3218"/>
      <c r="D2652" s="3219"/>
      <c r="E2652" s="3219"/>
      <c r="F2652" s="3219"/>
      <c r="G2652" s="3217" t="s">
        <v>696</v>
      </c>
      <c r="H2652" s="3297"/>
      <c r="I2652" s="3298"/>
    </row>
    <row r="2653" spans="2:9">
      <c r="B2653" s="3299" t="s">
        <v>64</v>
      </c>
      <c r="C2653" s="3063"/>
      <c r="D2653" s="3064"/>
      <c r="E2653" s="3064"/>
      <c r="F2653" s="3064"/>
      <c r="G2653" s="3300" t="s">
        <v>64</v>
      </c>
      <c r="H2653" s="3063"/>
      <c r="I2653" s="3030"/>
    </row>
    <row r="2654" spans="2:9" ht="25.5">
      <c r="B2654" s="3192" t="s">
        <v>675</v>
      </c>
      <c r="C2654" s="3063"/>
      <c r="D2654" s="3064"/>
      <c r="E2654" s="3064"/>
      <c r="F2654" s="3064"/>
      <c r="G2654" s="3301" t="s">
        <v>675</v>
      </c>
      <c r="H2654" s="3063"/>
      <c r="I2654" s="3030"/>
    </row>
    <row r="2655" spans="2:9" ht="25.5">
      <c r="B2655" s="3192" t="s">
        <v>676</v>
      </c>
      <c r="C2655" s="3063"/>
      <c r="D2655" s="3064"/>
      <c r="E2655" s="3064"/>
      <c r="F2655" s="3064"/>
      <c r="G2655" s="3301" t="s">
        <v>676</v>
      </c>
      <c r="H2655" s="3063"/>
      <c r="I2655" s="3030"/>
    </row>
    <row r="2656" spans="2:9">
      <c r="B2656" s="3192" t="s">
        <v>677</v>
      </c>
      <c r="C2656" s="3063"/>
      <c r="D2656" s="3064"/>
      <c r="E2656" s="3064"/>
      <c r="F2656" s="3064"/>
      <c r="G2656" s="3301" t="s">
        <v>677</v>
      </c>
      <c r="H2656" s="3063"/>
      <c r="I2656" s="3030"/>
    </row>
    <row r="2657" spans="2:9">
      <c r="B2657" s="3192" t="s">
        <v>678</v>
      </c>
      <c r="C2657" s="3063"/>
      <c r="D2657" s="3064"/>
      <c r="E2657" s="3064"/>
      <c r="F2657" s="3064"/>
      <c r="G2657" s="3301" t="s">
        <v>678</v>
      </c>
      <c r="H2657" s="3063"/>
      <c r="I2657" s="3030"/>
    </row>
    <row r="2658" spans="2:9">
      <c r="B2658" s="3192" t="s">
        <v>679</v>
      </c>
      <c r="C2658" s="3063"/>
      <c r="D2658" s="3064"/>
      <c r="E2658" s="3064"/>
      <c r="F2658" s="3064"/>
      <c r="G2658" s="3301" t="s">
        <v>679</v>
      </c>
      <c r="H2658" s="3063"/>
      <c r="I2658" s="3030"/>
    </row>
    <row r="2659" spans="2:9" ht="25.5">
      <c r="B2659" s="3192" t="s">
        <v>720</v>
      </c>
      <c r="C2659" s="3063"/>
      <c r="D2659" s="3064"/>
      <c r="E2659" s="3064"/>
      <c r="F2659" s="3064"/>
      <c r="G2659" s="3301" t="s">
        <v>720</v>
      </c>
      <c r="H2659" s="3063"/>
      <c r="I2659" s="3030"/>
    </row>
    <row r="2660" spans="2:9">
      <c r="B2660" s="3299" t="s">
        <v>65</v>
      </c>
      <c r="C2660" s="3063"/>
      <c r="D2660" s="3064"/>
      <c r="E2660" s="3064"/>
      <c r="F2660" s="3064"/>
      <c r="G2660" s="3300" t="s">
        <v>65</v>
      </c>
      <c r="H2660" s="3063"/>
      <c r="I2660" s="3030"/>
    </row>
    <row r="2661" spans="2:9" ht="25.5">
      <c r="B2661" s="3192" t="s">
        <v>675</v>
      </c>
      <c r="C2661" s="3063"/>
      <c r="D2661" s="3064"/>
      <c r="E2661" s="3064"/>
      <c r="F2661" s="3064"/>
      <c r="G2661" s="3301" t="s">
        <v>675</v>
      </c>
      <c r="H2661" s="3063"/>
      <c r="I2661" s="3030"/>
    </row>
    <row r="2662" spans="2:9" ht="25.5">
      <c r="B2662" s="3192" t="s">
        <v>676</v>
      </c>
      <c r="C2662" s="3063"/>
      <c r="D2662" s="3064"/>
      <c r="E2662" s="3064"/>
      <c r="F2662" s="3064"/>
      <c r="G2662" s="3301" t="s">
        <v>676</v>
      </c>
      <c r="H2662" s="3063"/>
      <c r="I2662" s="3030"/>
    </row>
    <row r="2663" spans="2:9">
      <c r="B2663" s="3192" t="s">
        <v>677</v>
      </c>
      <c r="C2663" s="3063"/>
      <c r="D2663" s="3064"/>
      <c r="E2663" s="3064"/>
      <c r="F2663" s="3064"/>
      <c r="G2663" s="3301" t="s">
        <v>677</v>
      </c>
      <c r="H2663" s="3063"/>
      <c r="I2663" s="3030"/>
    </row>
    <row r="2664" spans="2:9">
      <c r="B2664" s="3192" t="s">
        <v>678</v>
      </c>
      <c r="C2664" s="3063"/>
      <c r="D2664" s="3064"/>
      <c r="E2664" s="3064"/>
      <c r="F2664" s="3064"/>
      <c r="G2664" s="3301" t="s">
        <v>678</v>
      </c>
      <c r="H2664" s="3063"/>
      <c r="I2664" s="3030"/>
    </row>
    <row r="2665" spans="2:9">
      <c r="B2665" s="3192" t="s">
        <v>679</v>
      </c>
      <c r="C2665" s="3063"/>
      <c r="D2665" s="3064"/>
      <c r="E2665" s="3064"/>
      <c r="F2665" s="3064"/>
      <c r="G2665" s="3301" t="s">
        <v>679</v>
      </c>
      <c r="H2665" s="3063"/>
      <c r="I2665" s="3030"/>
    </row>
    <row r="2666" spans="2:9" ht="25.5">
      <c r="B2666" s="3192" t="s">
        <v>720</v>
      </c>
      <c r="C2666" s="3063"/>
      <c r="D2666" s="3064"/>
      <c r="E2666" s="3064"/>
      <c r="F2666" s="3064"/>
      <c r="G2666" s="3301" t="s">
        <v>720</v>
      </c>
      <c r="H2666" s="3063"/>
      <c r="I2666" s="3030"/>
    </row>
    <row r="2667" spans="2:9">
      <c r="B2667" s="3299" t="s">
        <v>82</v>
      </c>
      <c r="C2667" s="3063"/>
      <c r="D2667" s="3064"/>
      <c r="E2667" s="3064"/>
      <c r="F2667" s="3064"/>
      <c r="G2667" s="3300" t="s">
        <v>82</v>
      </c>
      <c r="H2667" s="3063"/>
      <c r="I2667" s="3030"/>
    </row>
    <row r="2668" spans="2:9" ht="25.5">
      <c r="B2668" s="3192" t="s">
        <v>675</v>
      </c>
      <c r="C2668" s="3063"/>
      <c r="D2668" s="3064"/>
      <c r="E2668" s="3064"/>
      <c r="F2668" s="3064"/>
      <c r="G2668" s="3301" t="s">
        <v>675</v>
      </c>
      <c r="H2668" s="3063"/>
      <c r="I2668" s="3030"/>
    </row>
    <row r="2669" spans="2:9" ht="25.5">
      <c r="B2669" s="3192" t="s">
        <v>676</v>
      </c>
      <c r="C2669" s="3063"/>
      <c r="D2669" s="3064"/>
      <c r="E2669" s="3064"/>
      <c r="F2669" s="3064"/>
      <c r="G2669" s="3301" t="s">
        <v>676</v>
      </c>
      <c r="H2669" s="3063"/>
      <c r="I2669" s="3030"/>
    </row>
    <row r="2670" spans="2:9">
      <c r="B2670" s="3192" t="s">
        <v>677</v>
      </c>
      <c r="C2670" s="3063"/>
      <c r="D2670" s="3064"/>
      <c r="E2670" s="3064"/>
      <c r="F2670" s="3064"/>
      <c r="G2670" s="3301" t="s">
        <v>677</v>
      </c>
      <c r="H2670" s="3063"/>
      <c r="I2670" s="3030"/>
    </row>
    <row r="2671" spans="2:9">
      <c r="B2671" s="3192" t="s">
        <v>678</v>
      </c>
      <c r="C2671" s="3063"/>
      <c r="D2671" s="3064"/>
      <c r="E2671" s="3064"/>
      <c r="F2671" s="3064"/>
      <c r="G2671" s="3301" t="s">
        <v>678</v>
      </c>
      <c r="H2671" s="3063"/>
      <c r="I2671" s="3030"/>
    </row>
    <row r="2672" spans="2:9">
      <c r="B2672" s="3192" t="s">
        <v>679</v>
      </c>
      <c r="C2672" s="3063"/>
      <c r="D2672" s="3064"/>
      <c r="E2672" s="3064"/>
      <c r="F2672" s="3064"/>
      <c r="G2672" s="3301" t="s">
        <v>679</v>
      </c>
      <c r="H2672" s="3063"/>
      <c r="I2672" s="3030"/>
    </row>
    <row r="2673" spans="2:9" ht="25.5">
      <c r="B2673" s="3192" t="s">
        <v>720</v>
      </c>
      <c r="C2673" s="3063"/>
      <c r="D2673" s="3064"/>
      <c r="E2673" s="3064"/>
      <c r="F2673" s="3064"/>
      <c r="G2673" s="3301" t="s">
        <v>720</v>
      </c>
      <c r="H2673" s="3063"/>
      <c r="I2673" s="3030"/>
    </row>
    <row r="2674" spans="2:9" ht="38.25">
      <c r="B2674" s="3299" t="s">
        <v>680</v>
      </c>
      <c r="C2674" s="3063"/>
      <c r="D2674" s="3064"/>
      <c r="E2674" s="3064"/>
      <c r="F2674" s="3064"/>
      <c r="G2674" s="3300" t="s">
        <v>680</v>
      </c>
      <c r="H2674" s="3063"/>
      <c r="I2674" s="3030"/>
    </row>
    <row r="2675" spans="2:9" ht="25.5">
      <c r="B2675" s="3192" t="s">
        <v>675</v>
      </c>
      <c r="C2675" s="3063"/>
      <c r="D2675" s="3064"/>
      <c r="E2675" s="3064"/>
      <c r="F2675" s="3064"/>
      <c r="G2675" s="3301" t="s">
        <v>675</v>
      </c>
      <c r="H2675" s="3063"/>
      <c r="I2675" s="3030"/>
    </row>
    <row r="2676" spans="2:9" ht="25.5">
      <c r="B2676" s="3192" t="s">
        <v>676</v>
      </c>
      <c r="C2676" s="3063"/>
      <c r="D2676" s="3064"/>
      <c r="E2676" s="3064"/>
      <c r="F2676" s="3064"/>
      <c r="G2676" s="3301" t="s">
        <v>676</v>
      </c>
      <c r="H2676" s="3063"/>
      <c r="I2676" s="3030"/>
    </row>
    <row r="2677" spans="2:9">
      <c r="B2677" s="3192" t="s">
        <v>677</v>
      </c>
      <c r="C2677" s="3063"/>
      <c r="D2677" s="3064"/>
      <c r="E2677" s="3064"/>
      <c r="F2677" s="3064"/>
      <c r="G2677" s="3301" t="s">
        <v>677</v>
      </c>
      <c r="H2677" s="3063"/>
      <c r="I2677" s="3030"/>
    </row>
    <row r="2678" spans="2:9">
      <c r="B2678" s="3192" t="s">
        <v>678</v>
      </c>
      <c r="C2678" s="3063"/>
      <c r="D2678" s="3064"/>
      <c r="E2678" s="3064"/>
      <c r="F2678" s="3064"/>
      <c r="G2678" s="3301" t="s">
        <v>678</v>
      </c>
      <c r="H2678" s="3063"/>
      <c r="I2678" s="3030"/>
    </row>
    <row r="2679" spans="2:9">
      <c r="B2679" s="3192" t="s">
        <v>679</v>
      </c>
      <c r="C2679" s="3063"/>
      <c r="D2679" s="3064"/>
      <c r="E2679" s="3064"/>
      <c r="F2679" s="3064"/>
      <c r="G2679" s="3301" t="s">
        <v>679</v>
      </c>
      <c r="H2679" s="3063"/>
      <c r="I2679" s="3030"/>
    </row>
    <row r="2680" spans="2:9" ht="25.5">
      <c r="B2680" s="3192" t="s">
        <v>720</v>
      </c>
      <c r="C2680" s="3063"/>
      <c r="D2680" s="3064"/>
      <c r="E2680" s="3064"/>
      <c r="F2680" s="3064"/>
      <c r="G2680" s="3301" t="s">
        <v>720</v>
      </c>
      <c r="H2680" s="3063"/>
      <c r="I2680" s="3030"/>
    </row>
    <row r="2681" spans="2:9" ht="38.25">
      <c r="B2681" s="3299" t="s">
        <v>681</v>
      </c>
      <c r="C2681" s="3063"/>
      <c r="D2681" s="3064"/>
      <c r="E2681" s="3064"/>
      <c r="F2681" s="3064"/>
      <c r="G2681" s="3300" t="s">
        <v>681</v>
      </c>
      <c r="H2681" s="3063"/>
      <c r="I2681" s="3030"/>
    </row>
    <row r="2682" spans="2:9" ht="25.5">
      <c r="B2682" s="3192" t="s">
        <v>675</v>
      </c>
      <c r="C2682" s="3063"/>
      <c r="D2682" s="3064"/>
      <c r="E2682" s="3064"/>
      <c r="F2682" s="3064"/>
      <c r="G2682" s="3301" t="s">
        <v>675</v>
      </c>
      <c r="H2682" s="3063"/>
      <c r="I2682" s="3030"/>
    </row>
    <row r="2683" spans="2:9" ht="25.5">
      <c r="B2683" s="3192" t="s">
        <v>676</v>
      </c>
      <c r="C2683" s="3063"/>
      <c r="D2683" s="3064"/>
      <c r="E2683" s="3064"/>
      <c r="F2683" s="3064"/>
      <c r="G2683" s="3301" t="s">
        <v>676</v>
      </c>
      <c r="H2683" s="3063"/>
      <c r="I2683" s="3030"/>
    </row>
    <row r="2684" spans="2:9">
      <c r="B2684" s="3192" t="s">
        <v>677</v>
      </c>
      <c r="C2684" s="3063"/>
      <c r="D2684" s="3064"/>
      <c r="E2684" s="3064"/>
      <c r="F2684" s="3064"/>
      <c r="G2684" s="3301" t="s">
        <v>677</v>
      </c>
      <c r="H2684" s="3063"/>
      <c r="I2684" s="3030"/>
    </row>
    <row r="2685" spans="2:9">
      <c r="B2685" s="3192" t="s">
        <v>678</v>
      </c>
      <c r="C2685" s="3063"/>
      <c r="D2685" s="3064"/>
      <c r="E2685" s="3064"/>
      <c r="F2685" s="3064"/>
      <c r="G2685" s="3301" t="s">
        <v>678</v>
      </c>
      <c r="H2685" s="3063"/>
      <c r="I2685" s="3030"/>
    </row>
    <row r="2686" spans="2:9">
      <c r="B2686" s="3192" t="s">
        <v>679</v>
      </c>
      <c r="C2686" s="3063"/>
      <c r="D2686" s="3064"/>
      <c r="E2686" s="3064"/>
      <c r="F2686" s="3064"/>
      <c r="G2686" s="3301" t="s">
        <v>679</v>
      </c>
      <c r="H2686" s="3063"/>
      <c r="I2686" s="3030"/>
    </row>
    <row r="2687" spans="2:9" ht="25.5">
      <c r="B2687" s="3192" t="s">
        <v>720</v>
      </c>
      <c r="C2687" s="3063"/>
      <c r="D2687" s="3064"/>
      <c r="E2687" s="3064"/>
      <c r="F2687" s="3064"/>
      <c r="G2687" s="3301" t="s">
        <v>720</v>
      </c>
      <c r="H2687" s="3063"/>
      <c r="I2687" s="3030"/>
    </row>
    <row r="2688" spans="2:9" ht="25.5">
      <c r="B2688" s="3299" t="s">
        <v>682</v>
      </c>
      <c r="C2688" s="3063"/>
      <c r="D2688" s="3064"/>
      <c r="E2688" s="3064"/>
      <c r="F2688" s="3064"/>
      <c r="G2688" s="3300" t="s">
        <v>682</v>
      </c>
      <c r="H2688" s="3063"/>
      <c r="I2688" s="3030"/>
    </row>
    <row r="2689" spans="2:9" ht="25.5">
      <c r="B2689" s="3192" t="s">
        <v>675</v>
      </c>
      <c r="C2689" s="3063"/>
      <c r="D2689" s="3064"/>
      <c r="E2689" s="3064"/>
      <c r="F2689" s="3064"/>
      <c r="G2689" s="3301" t="s">
        <v>675</v>
      </c>
      <c r="H2689" s="3063"/>
      <c r="I2689" s="3030"/>
    </row>
    <row r="2690" spans="2:9" ht="25.5">
      <c r="B2690" s="3192" t="s">
        <v>676</v>
      </c>
      <c r="C2690" s="3063"/>
      <c r="D2690" s="3064"/>
      <c r="E2690" s="3064"/>
      <c r="F2690" s="3064"/>
      <c r="G2690" s="3301" t="s">
        <v>676</v>
      </c>
      <c r="H2690" s="3063"/>
      <c r="I2690" s="3030"/>
    </row>
    <row r="2691" spans="2:9">
      <c r="B2691" s="3192" t="s">
        <v>677</v>
      </c>
      <c r="C2691" s="3063"/>
      <c r="D2691" s="3064"/>
      <c r="E2691" s="3064"/>
      <c r="F2691" s="3064"/>
      <c r="G2691" s="3301" t="s">
        <v>677</v>
      </c>
      <c r="H2691" s="3063"/>
      <c r="I2691" s="3030"/>
    </row>
    <row r="2692" spans="2:9">
      <c r="B2692" s="3192" t="s">
        <v>678</v>
      </c>
      <c r="C2692" s="3063"/>
      <c r="D2692" s="3064"/>
      <c r="E2692" s="3064"/>
      <c r="F2692" s="3064"/>
      <c r="G2692" s="3301" t="s">
        <v>678</v>
      </c>
      <c r="H2692" s="3063"/>
      <c r="I2692" s="3030"/>
    </row>
    <row r="2693" spans="2:9">
      <c r="B2693" s="3192" t="s">
        <v>679</v>
      </c>
      <c r="C2693" s="3063"/>
      <c r="D2693" s="3064"/>
      <c r="E2693" s="3064"/>
      <c r="F2693" s="3064"/>
      <c r="G2693" s="3301" t="s">
        <v>679</v>
      </c>
      <c r="H2693" s="3063"/>
      <c r="I2693" s="3030"/>
    </row>
    <row r="2694" spans="2:9" ht="25.5">
      <c r="B2694" s="3192" t="s">
        <v>720</v>
      </c>
      <c r="C2694" s="3063"/>
      <c r="D2694" s="3064"/>
      <c r="E2694" s="3064"/>
      <c r="F2694" s="3064"/>
      <c r="G2694" s="3301" t="s">
        <v>720</v>
      </c>
      <c r="H2694" s="3063"/>
      <c r="I2694" s="3030"/>
    </row>
    <row r="2695" spans="2:9" ht="25.5">
      <c r="B2695" s="3299" t="s">
        <v>66</v>
      </c>
      <c r="C2695" s="3063"/>
      <c r="D2695" s="3064"/>
      <c r="E2695" s="3064"/>
      <c r="F2695" s="3064">
        <v>1</v>
      </c>
      <c r="G2695" s="3300" t="s">
        <v>66</v>
      </c>
      <c r="H2695" s="3063"/>
      <c r="I2695" s="3030"/>
    </row>
    <row r="2696" spans="2:9" ht="25.5">
      <c r="B2696" s="3192" t="s">
        <v>675</v>
      </c>
      <c r="C2696" s="3063"/>
      <c r="D2696" s="3064"/>
      <c r="E2696" s="3064"/>
      <c r="F2696" s="3064"/>
      <c r="G2696" s="3301" t="s">
        <v>675</v>
      </c>
      <c r="H2696" s="3063"/>
      <c r="I2696" s="3030"/>
    </row>
    <row r="2697" spans="2:9" ht="25.5">
      <c r="B2697" s="3192" t="s">
        <v>676</v>
      </c>
      <c r="C2697" s="3063"/>
      <c r="D2697" s="3064"/>
      <c r="E2697" s="3064"/>
      <c r="F2697" s="3064"/>
      <c r="G2697" s="3301" t="s">
        <v>676</v>
      </c>
      <c r="H2697" s="3063"/>
      <c r="I2697" s="3030"/>
    </row>
    <row r="2698" spans="2:9">
      <c r="B2698" s="3192" t="s">
        <v>677</v>
      </c>
      <c r="C2698" s="3063"/>
      <c r="D2698" s="3064"/>
      <c r="E2698" s="3064"/>
      <c r="F2698" s="3064"/>
      <c r="G2698" s="3301" t="s">
        <v>677</v>
      </c>
      <c r="H2698" s="3063"/>
      <c r="I2698" s="3030"/>
    </row>
    <row r="2699" spans="2:9">
      <c r="B2699" s="3192" t="s">
        <v>678</v>
      </c>
      <c r="C2699" s="3063"/>
      <c r="D2699" s="3064"/>
      <c r="E2699" s="3064"/>
      <c r="F2699" s="3064"/>
      <c r="G2699" s="3301" t="s">
        <v>678</v>
      </c>
      <c r="H2699" s="3063"/>
      <c r="I2699" s="3030"/>
    </row>
    <row r="2700" spans="2:9">
      <c r="B2700" s="3192" t="s">
        <v>679</v>
      </c>
      <c r="C2700" s="3063"/>
      <c r="D2700" s="3064"/>
      <c r="E2700" s="3064"/>
      <c r="F2700" s="3064"/>
      <c r="G2700" s="3301" t="s">
        <v>679</v>
      </c>
      <c r="H2700" s="3063"/>
      <c r="I2700" s="3030"/>
    </row>
    <row r="2701" spans="2:9" ht="25.5">
      <c r="B2701" s="3192" t="s">
        <v>720</v>
      </c>
      <c r="C2701" s="3063"/>
      <c r="D2701" s="3064"/>
      <c r="E2701" s="3064"/>
      <c r="F2701" s="3064"/>
      <c r="G2701" s="3301" t="s">
        <v>720</v>
      </c>
      <c r="H2701" s="3063"/>
      <c r="I2701" s="3030"/>
    </row>
    <row r="2702" spans="2:9">
      <c r="B2702" s="3299" t="s">
        <v>67</v>
      </c>
      <c r="C2702" s="3063"/>
      <c r="D2702" s="3064"/>
      <c r="E2702" s="3064"/>
      <c r="F2702" s="3064"/>
      <c r="G2702" s="3300" t="s">
        <v>67</v>
      </c>
      <c r="H2702" s="3063"/>
      <c r="I2702" s="3030"/>
    </row>
    <row r="2703" spans="2:9" ht="25.5">
      <c r="B2703" s="3192" t="s">
        <v>675</v>
      </c>
      <c r="C2703" s="3063"/>
      <c r="D2703" s="3064"/>
      <c r="E2703" s="3064"/>
      <c r="F2703" s="3064"/>
      <c r="G2703" s="3301" t="s">
        <v>675</v>
      </c>
      <c r="H2703" s="3063"/>
      <c r="I2703" s="3030"/>
    </row>
    <row r="2704" spans="2:9" ht="25.5">
      <c r="B2704" s="3192" t="s">
        <v>676</v>
      </c>
      <c r="C2704" s="3063"/>
      <c r="D2704" s="3064"/>
      <c r="E2704" s="3064"/>
      <c r="F2704" s="3064"/>
      <c r="G2704" s="3301" t="s">
        <v>676</v>
      </c>
      <c r="H2704" s="3063"/>
      <c r="I2704" s="3030"/>
    </row>
    <row r="2705" spans="2:9">
      <c r="B2705" s="3192" t="s">
        <v>677</v>
      </c>
      <c r="C2705" s="3063"/>
      <c r="D2705" s="3064"/>
      <c r="E2705" s="3064"/>
      <c r="F2705" s="3064"/>
      <c r="G2705" s="3301" t="s">
        <v>677</v>
      </c>
      <c r="H2705" s="3063"/>
      <c r="I2705" s="3030"/>
    </row>
    <row r="2706" spans="2:9">
      <c r="B2706" s="3192" t="s">
        <v>678</v>
      </c>
      <c r="C2706" s="3063"/>
      <c r="D2706" s="3064"/>
      <c r="E2706" s="3064"/>
      <c r="F2706" s="3064"/>
      <c r="G2706" s="3301" t="s">
        <v>678</v>
      </c>
      <c r="H2706" s="3063"/>
      <c r="I2706" s="3030"/>
    </row>
    <row r="2707" spans="2:9">
      <c r="B2707" s="3192" t="s">
        <v>679</v>
      </c>
      <c r="C2707" s="3063"/>
      <c r="D2707" s="3064"/>
      <c r="E2707" s="3064"/>
      <c r="F2707" s="3064"/>
      <c r="G2707" s="3301" t="s">
        <v>679</v>
      </c>
      <c r="H2707" s="3063"/>
      <c r="I2707" s="3030"/>
    </row>
    <row r="2708" spans="2:9" ht="25.5">
      <c r="B2708" s="3230" t="s">
        <v>81</v>
      </c>
      <c r="C2708" s="3063"/>
      <c r="D2708" s="3064"/>
      <c r="E2708" s="3064"/>
      <c r="F2708" s="3064"/>
      <c r="G2708" s="3302" t="s">
        <v>81</v>
      </c>
      <c r="H2708" s="3063"/>
      <c r="I2708" s="3030"/>
    </row>
    <row r="2709" spans="2:9" ht="26.25" thickBot="1">
      <c r="B2709" s="3303" t="s">
        <v>81</v>
      </c>
      <c r="C2709" s="3063"/>
      <c r="D2709" s="3064"/>
      <c r="E2709" s="3064"/>
      <c r="F2709" s="3064"/>
      <c r="G2709" s="3302" t="s">
        <v>81</v>
      </c>
      <c r="H2709" s="3063"/>
      <c r="I2709" s="3030"/>
    </row>
    <row r="2710" spans="2:9">
      <c r="B2710" s="3217" t="s">
        <v>697</v>
      </c>
      <c r="C2710" s="3218"/>
      <c r="D2710" s="3219"/>
      <c r="E2710" s="3219"/>
      <c r="F2710" s="3219"/>
      <c r="G2710" s="3217" t="s">
        <v>697</v>
      </c>
      <c r="H2710" s="3297"/>
      <c r="I2710" s="3298"/>
    </row>
    <row r="2711" spans="2:9">
      <c r="B2711" s="3299" t="s">
        <v>64</v>
      </c>
      <c r="C2711" s="3063"/>
      <c r="D2711" s="3064"/>
      <c r="E2711" s="3064"/>
      <c r="F2711" s="3064"/>
      <c r="G2711" s="3300" t="s">
        <v>64</v>
      </c>
      <c r="H2711" s="3063"/>
      <c r="I2711" s="3030"/>
    </row>
    <row r="2712" spans="2:9" ht="25.5">
      <c r="B2712" s="3192" t="s">
        <v>675</v>
      </c>
      <c r="C2712" s="3063"/>
      <c r="D2712" s="3064"/>
      <c r="E2712" s="3064"/>
      <c r="F2712" s="3064"/>
      <c r="G2712" s="3301" t="s">
        <v>675</v>
      </c>
      <c r="H2712" s="3063"/>
      <c r="I2712" s="3030"/>
    </row>
    <row r="2713" spans="2:9" ht="25.5">
      <c r="B2713" s="3192" t="s">
        <v>676</v>
      </c>
      <c r="C2713" s="3063"/>
      <c r="D2713" s="3064"/>
      <c r="E2713" s="3064"/>
      <c r="F2713" s="3064"/>
      <c r="G2713" s="3301" t="s">
        <v>676</v>
      </c>
      <c r="H2713" s="3063"/>
      <c r="I2713" s="3030"/>
    </row>
    <row r="2714" spans="2:9">
      <c r="B2714" s="3192" t="s">
        <v>677</v>
      </c>
      <c r="C2714" s="3063"/>
      <c r="D2714" s="3064"/>
      <c r="E2714" s="3064"/>
      <c r="F2714" s="3064"/>
      <c r="G2714" s="3301" t="s">
        <v>677</v>
      </c>
      <c r="H2714" s="3063"/>
      <c r="I2714" s="3030"/>
    </row>
    <row r="2715" spans="2:9">
      <c r="B2715" s="3192" t="s">
        <v>678</v>
      </c>
      <c r="C2715" s="3063"/>
      <c r="D2715" s="3064"/>
      <c r="E2715" s="3064"/>
      <c r="F2715" s="3064"/>
      <c r="G2715" s="3301" t="s">
        <v>678</v>
      </c>
      <c r="H2715" s="3063"/>
      <c r="I2715" s="3030"/>
    </row>
    <row r="2716" spans="2:9">
      <c r="B2716" s="3192" t="s">
        <v>679</v>
      </c>
      <c r="C2716" s="3063"/>
      <c r="D2716" s="3064"/>
      <c r="E2716" s="3064"/>
      <c r="F2716" s="3064"/>
      <c r="G2716" s="3301" t="s">
        <v>679</v>
      </c>
      <c r="H2716" s="3063"/>
      <c r="I2716" s="3030"/>
    </row>
    <row r="2717" spans="2:9" ht="25.5">
      <c r="B2717" s="3192" t="s">
        <v>720</v>
      </c>
      <c r="C2717" s="3063"/>
      <c r="D2717" s="3064"/>
      <c r="E2717" s="3064"/>
      <c r="F2717" s="3064"/>
      <c r="G2717" s="3301" t="s">
        <v>720</v>
      </c>
      <c r="H2717" s="3063"/>
      <c r="I2717" s="3030"/>
    </row>
    <row r="2718" spans="2:9">
      <c r="B2718" s="3299" t="s">
        <v>65</v>
      </c>
      <c r="C2718" s="3063"/>
      <c r="D2718" s="3064"/>
      <c r="E2718" s="3064"/>
      <c r="F2718" s="3064"/>
      <c r="G2718" s="3300" t="s">
        <v>65</v>
      </c>
      <c r="H2718" s="3063"/>
      <c r="I2718" s="3030"/>
    </row>
    <row r="2719" spans="2:9" ht="25.5">
      <c r="B2719" s="3192" t="s">
        <v>675</v>
      </c>
      <c r="C2719" s="3063"/>
      <c r="D2719" s="3064"/>
      <c r="E2719" s="3064"/>
      <c r="F2719" s="3064"/>
      <c r="G2719" s="3301" t="s">
        <v>675</v>
      </c>
      <c r="H2719" s="3063"/>
      <c r="I2719" s="3030"/>
    </row>
    <row r="2720" spans="2:9" ht="25.5">
      <c r="B2720" s="3192" t="s">
        <v>676</v>
      </c>
      <c r="C2720" s="3063"/>
      <c r="D2720" s="3064"/>
      <c r="E2720" s="3064"/>
      <c r="F2720" s="3064"/>
      <c r="G2720" s="3301" t="s">
        <v>676</v>
      </c>
      <c r="H2720" s="3063"/>
      <c r="I2720" s="3030"/>
    </row>
    <row r="2721" spans="2:9">
      <c r="B2721" s="3192" t="s">
        <v>677</v>
      </c>
      <c r="C2721" s="3063"/>
      <c r="D2721" s="3064"/>
      <c r="E2721" s="3064"/>
      <c r="F2721" s="3064"/>
      <c r="G2721" s="3301" t="s">
        <v>677</v>
      </c>
      <c r="H2721" s="3063"/>
      <c r="I2721" s="3030"/>
    </row>
    <row r="2722" spans="2:9">
      <c r="B2722" s="3192" t="s">
        <v>678</v>
      </c>
      <c r="C2722" s="3063"/>
      <c r="D2722" s="3064"/>
      <c r="E2722" s="3064"/>
      <c r="F2722" s="3064"/>
      <c r="G2722" s="3301" t="s">
        <v>678</v>
      </c>
      <c r="H2722" s="3063"/>
      <c r="I2722" s="3030"/>
    </row>
    <row r="2723" spans="2:9">
      <c r="B2723" s="3192" t="s">
        <v>679</v>
      </c>
      <c r="C2723" s="3063"/>
      <c r="D2723" s="3064"/>
      <c r="E2723" s="3064"/>
      <c r="F2723" s="3064"/>
      <c r="G2723" s="3301" t="s">
        <v>679</v>
      </c>
      <c r="H2723" s="3063"/>
      <c r="I2723" s="3030"/>
    </row>
    <row r="2724" spans="2:9" ht="25.5">
      <c r="B2724" s="3192" t="s">
        <v>720</v>
      </c>
      <c r="C2724" s="3063"/>
      <c r="D2724" s="3064"/>
      <c r="E2724" s="3064"/>
      <c r="F2724" s="3064"/>
      <c r="G2724" s="3301" t="s">
        <v>720</v>
      </c>
      <c r="H2724" s="3063"/>
      <c r="I2724" s="3030"/>
    </row>
    <row r="2725" spans="2:9">
      <c r="B2725" s="3299" t="s">
        <v>82</v>
      </c>
      <c r="C2725" s="3063"/>
      <c r="D2725" s="3064"/>
      <c r="E2725" s="3064"/>
      <c r="F2725" s="3064"/>
      <c r="G2725" s="3300" t="s">
        <v>82</v>
      </c>
      <c r="H2725" s="3063"/>
      <c r="I2725" s="3030"/>
    </row>
    <row r="2726" spans="2:9" ht="25.5">
      <c r="B2726" s="3192" t="s">
        <v>675</v>
      </c>
      <c r="C2726" s="3063"/>
      <c r="D2726" s="3064"/>
      <c r="E2726" s="3064"/>
      <c r="F2726" s="3064"/>
      <c r="G2726" s="3301" t="s">
        <v>675</v>
      </c>
      <c r="H2726" s="3063"/>
      <c r="I2726" s="3030"/>
    </row>
    <row r="2727" spans="2:9" ht="25.5">
      <c r="B2727" s="3192" t="s">
        <v>676</v>
      </c>
      <c r="C2727" s="3063"/>
      <c r="D2727" s="3064"/>
      <c r="E2727" s="3064"/>
      <c r="F2727" s="3064"/>
      <c r="G2727" s="3301" t="s">
        <v>676</v>
      </c>
      <c r="H2727" s="3063"/>
      <c r="I2727" s="3030"/>
    </row>
    <row r="2728" spans="2:9">
      <c r="B2728" s="3192" t="s">
        <v>677</v>
      </c>
      <c r="C2728" s="3063"/>
      <c r="D2728" s="3064"/>
      <c r="E2728" s="3064"/>
      <c r="F2728" s="3064"/>
      <c r="G2728" s="3301" t="s">
        <v>677</v>
      </c>
      <c r="H2728" s="3063"/>
      <c r="I2728" s="3030"/>
    </row>
    <row r="2729" spans="2:9">
      <c r="B2729" s="3192" t="s">
        <v>678</v>
      </c>
      <c r="C2729" s="3063"/>
      <c r="D2729" s="3064"/>
      <c r="E2729" s="3064"/>
      <c r="F2729" s="3064"/>
      <c r="G2729" s="3301" t="s">
        <v>678</v>
      </c>
      <c r="H2729" s="3063"/>
      <c r="I2729" s="3030"/>
    </row>
    <row r="2730" spans="2:9">
      <c r="B2730" s="3192" t="s">
        <v>679</v>
      </c>
      <c r="C2730" s="3063"/>
      <c r="D2730" s="3064"/>
      <c r="E2730" s="3064"/>
      <c r="F2730" s="3064"/>
      <c r="G2730" s="3301" t="s">
        <v>679</v>
      </c>
      <c r="H2730" s="3063"/>
      <c r="I2730" s="3030"/>
    </row>
    <row r="2731" spans="2:9" ht="25.5">
      <c r="B2731" s="3192" t="s">
        <v>720</v>
      </c>
      <c r="C2731" s="3063"/>
      <c r="D2731" s="3064"/>
      <c r="E2731" s="3064"/>
      <c r="F2731" s="3064"/>
      <c r="G2731" s="3301" t="s">
        <v>720</v>
      </c>
      <c r="H2731" s="3063"/>
      <c r="I2731" s="3030"/>
    </row>
    <row r="2732" spans="2:9" ht="38.25">
      <c r="B2732" s="3299" t="s">
        <v>680</v>
      </c>
      <c r="C2732" s="3063"/>
      <c r="D2732" s="3064"/>
      <c r="E2732" s="3064"/>
      <c r="F2732" s="3064"/>
      <c r="G2732" s="3300" t="s">
        <v>680</v>
      </c>
      <c r="H2732" s="3063"/>
      <c r="I2732" s="3030"/>
    </row>
    <row r="2733" spans="2:9" ht="25.5">
      <c r="B2733" s="3192" t="s">
        <v>675</v>
      </c>
      <c r="C2733" s="3063"/>
      <c r="D2733" s="3064"/>
      <c r="E2733" s="3064"/>
      <c r="F2733" s="3064"/>
      <c r="G2733" s="3301" t="s">
        <v>675</v>
      </c>
      <c r="H2733" s="3063"/>
      <c r="I2733" s="3030"/>
    </row>
    <row r="2734" spans="2:9" ht="25.5">
      <c r="B2734" s="3192" t="s">
        <v>676</v>
      </c>
      <c r="C2734" s="3063"/>
      <c r="D2734" s="3064"/>
      <c r="E2734" s="3064"/>
      <c r="F2734" s="3064"/>
      <c r="G2734" s="3301" t="s">
        <v>676</v>
      </c>
      <c r="H2734" s="3063"/>
      <c r="I2734" s="3030"/>
    </row>
    <row r="2735" spans="2:9">
      <c r="B2735" s="3192" t="s">
        <v>677</v>
      </c>
      <c r="C2735" s="3063"/>
      <c r="D2735" s="3064"/>
      <c r="E2735" s="3064"/>
      <c r="F2735" s="3064"/>
      <c r="G2735" s="3301" t="s">
        <v>677</v>
      </c>
      <c r="H2735" s="3063"/>
      <c r="I2735" s="3030"/>
    </row>
    <row r="2736" spans="2:9">
      <c r="B2736" s="3192" t="s">
        <v>678</v>
      </c>
      <c r="C2736" s="3063"/>
      <c r="D2736" s="3064"/>
      <c r="E2736" s="3064"/>
      <c r="F2736" s="3064"/>
      <c r="G2736" s="3301" t="s">
        <v>678</v>
      </c>
      <c r="H2736" s="3063"/>
      <c r="I2736" s="3030"/>
    </row>
    <row r="2737" spans="2:9">
      <c r="B2737" s="3192" t="s">
        <v>679</v>
      </c>
      <c r="C2737" s="3063"/>
      <c r="D2737" s="3064"/>
      <c r="E2737" s="3064"/>
      <c r="F2737" s="3064"/>
      <c r="G2737" s="3301" t="s">
        <v>679</v>
      </c>
      <c r="H2737" s="3063"/>
      <c r="I2737" s="3030"/>
    </row>
    <row r="2738" spans="2:9" ht="25.5">
      <c r="B2738" s="3192" t="s">
        <v>720</v>
      </c>
      <c r="C2738" s="3063"/>
      <c r="D2738" s="3064"/>
      <c r="E2738" s="3064"/>
      <c r="F2738" s="3064"/>
      <c r="G2738" s="3301" t="s">
        <v>720</v>
      </c>
      <c r="H2738" s="3063"/>
      <c r="I2738" s="3030"/>
    </row>
    <row r="2739" spans="2:9" ht="38.25">
      <c r="B2739" s="3299" t="s">
        <v>681</v>
      </c>
      <c r="C2739" s="3063"/>
      <c r="D2739" s="3064"/>
      <c r="E2739" s="3064"/>
      <c r="F2739" s="3064">
        <v>3</v>
      </c>
      <c r="G2739" s="3300" t="s">
        <v>681</v>
      </c>
      <c r="H2739" s="3063">
        <v>4.4279135671271681E-2</v>
      </c>
      <c r="I2739" s="3030"/>
    </row>
    <row r="2740" spans="2:9" ht="25.5">
      <c r="B2740" s="3192" t="s">
        <v>675</v>
      </c>
      <c r="C2740" s="3063">
        <v>4</v>
      </c>
      <c r="D2740" s="3064">
        <v>4</v>
      </c>
      <c r="E2740" s="3064"/>
      <c r="F2740" s="3064"/>
      <c r="G2740" s="3301" t="s">
        <v>675</v>
      </c>
      <c r="H2740" s="3063"/>
      <c r="I2740" s="3030">
        <v>5.9038847561695577E-2</v>
      </c>
    </row>
    <row r="2741" spans="2:9" ht="25.5">
      <c r="B2741" s="3192" t="s">
        <v>676</v>
      </c>
      <c r="C2741" s="3063"/>
      <c r="D2741" s="3064"/>
      <c r="E2741" s="3064"/>
      <c r="F2741" s="3064"/>
      <c r="G2741" s="3301" t="s">
        <v>676</v>
      </c>
      <c r="H2741" s="3063"/>
      <c r="I2741" s="3030"/>
    </row>
    <row r="2742" spans="2:9">
      <c r="B2742" s="3192" t="s">
        <v>677</v>
      </c>
      <c r="C2742" s="3063"/>
      <c r="D2742" s="3064"/>
      <c r="E2742" s="3064"/>
      <c r="F2742" s="3064"/>
      <c r="G2742" s="3301" t="s">
        <v>677</v>
      </c>
      <c r="H2742" s="3063"/>
      <c r="I2742" s="3030"/>
    </row>
    <row r="2743" spans="2:9">
      <c r="B2743" s="3192" t="s">
        <v>678</v>
      </c>
      <c r="C2743" s="3063"/>
      <c r="D2743" s="3064"/>
      <c r="E2743" s="3064"/>
      <c r="F2743" s="3064"/>
      <c r="G2743" s="3301" t="s">
        <v>678</v>
      </c>
      <c r="H2743" s="3063"/>
      <c r="I2743" s="3030"/>
    </row>
    <row r="2744" spans="2:9">
      <c r="B2744" s="3192" t="s">
        <v>679</v>
      </c>
      <c r="C2744" s="3063"/>
      <c r="D2744" s="3064">
        <v>1</v>
      </c>
      <c r="E2744" s="3064"/>
      <c r="F2744" s="3064"/>
      <c r="G2744" s="3301" t="s">
        <v>679</v>
      </c>
      <c r="H2744" s="3063"/>
      <c r="I2744" s="3030"/>
    </row>
    <row r="2745" spans="2:9" ht="25.5">
      <c r="B2745" s="3192" t="s">
        <v>720</v>
      </c>
      <c r="C2745" s="3063"/>
      <c r="D2745" s="3064"/>
      <c r="E2745" s="3064"/>
      <c r="F2745" s="3064"/>
      <c r="G2745" s="3301" t="s">
        <v>720</v>
      </c>
      <c r="H2745" s="3063"/>
      <c r="I2745" s="3030"/>
    </row>
    <row r="2746" spans="2:9" ht="25.5">
      <c r="B2746" s="3299" t="s">
        <v>682</v>
      </c>
      <c r="C2746" s="3063"/>
      <c r="D2746" s="3064"/>
      <c r="E2746" s="3064"/>
      <c r="F2746" s="3064"/>
      <c r="G2746" s="3300" t="s">
        <v>682</v>
      </c>
      <c r="H2746" s="3063"/>
      <c r="I2746" s="3030"/>
    </row>
    <row r="2747" spans="2:9" ht="25.5">
      <c r="B2747" s="3192" t="s">
        <v>675</v>
      </c>
      <c r="C2747" s="3063"/>
      <c r="D2747" s="3064"/>
      <c r="E2747" s="3064"/>
      <c r="F2747" s="3064"/>
      <c r="G2747" s="3301" t="s">
        <v>675</v>
      </c>
      <c r="H2747" s="3063"/>
      <c r="I2747" s="3030"/>
    </row>
    <row r="2748" spans="2:9" ht="25.5">
      <c r="B2748" s="3192" t="s">
        <v>676</v>
      </c>
      <c r="C2748" s="3063"/>
      <c r="D2748" s="3064"/>
      <c r="E2748" s="3064"/>
      <c r="F2748" s="3064"/>
      <c r="G2748" s="3301" t="s">
        <v>676</v>
      </c>
      <c r="H2748" s="3063"/>
      <c r="I2748" s="3030"/>
    </row>
    <row r="2749" spans="2:9">
      <c r="B2749" s="3192" t="s">
        <v>677</v>
      </c>
      <c r="C2749" s="3063"/>
      <c r="D2749" s="3064"/>
      <c r="E2749" s="3064"/>
      <c r="F2749" s="3064"/>
      <c r="G2749" s="3301" t="s">
        <v>677</v>
      </c>
      <c r="H2749" s="3063"/>
      <c r="I2749" s="3030"/>
    </row>
    <row r="2750" spans="2:9">
      <c r="B2750" s="3192" t="s">
        <v>678</v>
      </c>
      <c r="C2750" s="3063"/>
      <c r="D2750" s="3064"/>
      <c r="E2750" s="3064"/>
      <c r="F2750" s="3064"/>
      <c r="G2750" s="3301" t="s">
        <v>678</v>
      </c>
      <c r="H2750" s="3063"/>
      <c r="I2750" s="3030"/>
    </row>
    <row r="2751" spans="2:9">
      <c r="B2751" s="3192" t="s">
        <v>679</v>
      </c>
      <c r="C2751" s="3063"/>
      <c r="D2751" s="3064"/>
      <c r="E2751" s="3064"/>
      <c r="F2751" s="3064"/>
      <c r="G2751" s="3301" t="s">
        <v>679</v>
      </c>
      <c r="H2751" s="3063"/>
      <c r="I2751" s="3030"/>
    </row>
    <row r="2752" spans="2:9" ht="25.5">
      <c r="B2752" s="3192" t="s">
        <v>720</v>
      </c>
      <c r="C2752" s="3063"/>
      <c r="D2752" s="3064"/>
      <c r="E2752" s="3064"/>
      <c r="F2752" s="3064"/>
      <c r="G2752" s="3301" t="s">
        <v>720</v>
      </c>
      <c r="H2752" s="3063"/>
      <c r="I2752" s="3030"/>
    </row>
    <row r="2753" spans="2:9" ht="25.5">
      <c r="B2753" s="3299" t="s">
        <v>66</v>
      </c>
      <c r="C2753" s="3063"/>
      <c r="D2753" s="3064"/>
      <c r="E2753" s="3064"/>
      <c r="F2753" s="3064"/>
      <c r="G2753" s="3300" t="s">
        <v>66</v>
      </c>
      <c r="H2753" s="3063"/>
      <c r="I2753" s="3030"/>
    </row>
    <row r="2754" spans="2:9" ht="25.5">
      <c r="B2754" s="3192" t="s">
        <v>675</v>
      </c>
      <c r="C2754" s="3063"/>
      <c r="D2754" s="3064"/>
      <c r="E2754" s="3064"/>
      <c r="F2754" s="3064"/>
      <c r="G2754" s="3301" t="s">
        <v>675</v>
      </c>
      <c r="H2754" s="3063"/>
      <c r="I2754" s="3030"/>
    </row>
    <row r="2755" spans="2:9" ht="25.5">
      <c r="B2755" s="3192" t="s">
        <v>676</v>
      </c>
      <c r="C2755" s="3063"/>
      <c r="D2755" s="3064"/>
      <c r="E2755" s="3064"/>
      <c r="F2755" s="3064"/>
      <c r="G2755" s="3301" t="s">
        <v>676</v>
      </c>
      <c r="H2755" s="3063"/>
      <c r="I2755" s="3030"/>
    </row>
    <row r="2756" spans="2:9">
      <c r="B2756" s="3192" t="s">
        <v>677</v>
      </c>
      <c r="C2756" s="3063"/>
      <c r="D2756" s="3064"/>
      <c r="E2756" s="3064"/>
      <c r="F2756" s="3064"/>
      <c r="G2756" s="3301" t="s">
        <v>677</v>
      </c>
      <c r="H2756" s="3063"/>
      <c r="I2756" s="3030"/>
    </row>
    <row r="2757" spans="2:9">
      <c r="B2757" s="3192" t="s">
        <v>678</v>
      </c>
      <c r="C2757" s="3063"/>
      <c r="D2757" s="3064"/>
      <c r="E2757" s="3064"/>
      <c r="F2757" s="3064"/>
      <c r="G2757" s="3301" t="s">
        <v>678</v>
      </c>
      <c r="H2757" s="3063"/>
      <c r="I2757" s="3030"/>
    </row>
    <row r="2758" spans="2:9">
      <c r="B2758" s="3192" t="s">
        <v>679</v>
      </c>
      <c r="C2758" s="3063"/>
      <c r="D2758" s="3064"/>
      <c r="E2758" s="3064"/>
      <c r="F2758" s="3064"/>
      <c r="G2758" s="3301" t="s">
        <v>679</v>
      </c>
      <c r="H2758" s="3063"/>
      <c r="I2758" s="3030"/>
    </row>
    <row r="2759" spans="2:9" ht="25.5">
      <c r="B2759" s="3192" t="s">
        <v>720</v>
      </c>
      <c r="C2759" s="3063"/>
      <c r="D2759" s="3064"/>
      <c r="E2759" s="3064"/>
      <c r="F2759" s="3064"/>
      <c r="G2759" s="3301" t="s">
        <v>720</v>
      </c>
      <c r="H2759" s="3063"/>
      <c r="I2759" s="3030"/>
    </row>
    <row r="2760" spans="2:9">
      <c r="B2760" s="3299" t="s">
        <v>67</v>
      </c>
      <c r="C2760" s="3063"/>
      <c r="D2760" s="3064"/>
      <c r="E2760" s="3064"/>
      <c r="F2760" s="3064"/>
      <c r="G2760" s="3300" t="s">
        <v>67</v>
      </c>
      <c r="H2760" s="3063">
        <v>7.485029940119764E-2</v>
      </c>
      <c r="I2760" s="3030"/>
    </row>
    <row r="2761" spans="2:9" ht="25.5">
      <c r="B2761" s="3192" t="s">
        <v>675</v>
      </c>
      <c r="C2761" s="3063"/>
      <c r="D2761" s="3064"/>
      <c r="E2761" s="3064"/>
      <c r="F2761" s="3064"/>
      <c r="G2761" s="3301" t="s">
        <v>675</v>
      </c>
      <c r="H2761" s="3063"/>
      <c r="I2761" s="3030"/>
    </row>
    <row r="2762" spans="2:9" ht="25.5">
      <c r="B2762" s="3192" t="s">
        <v>676</v>
      </c>
      <c r="C2762" s="3063"/>
      <c r="D2762" s="3064"/>
      <c r="E2762" s="3064"/>
      <c r="F2762" s="3064"/>
      <c r="G2762" s="3301" t="s">
        <v>676</v>
      </c>
      <c r="H2762" s="3063"/>
      <c r="I2762" s="3030"/>
    </row>
    <row r="2763" spans="2:9">
      <c r="B2763" s="3192" t="s">
        <v>677</v>
      </c>
      <c r="C2763" s="3063"/>
      <c r="D2763" s="3064"/>
      <c r="E2763" s="3064"/>
      <c r="F2763" s="3064"/>
      <c r="G2763" s="3301" t="s">
        <v>677</v>
      </c>
      <c r="H2763" s="3063"/>
      <c r="I2763" s="3030"/>
    </row>
    <row r="2764" spans="2:9">
      <c r="B2764" s="3192" t="s">
        <v>678</v>
      </c>
      <c r="C2764" s="3063">
        <v>1</v>
      </c>
      <c r="D2764" s="3064"/>
      <c r="E2764" s="3064"/>
      <c r="F2764" s="3064"/>
      <c r="G2764" s="3301" t="s">
        <v>678</v>
      </c>
      <c r="H2764" s="3063"/>
      <c r="I2764" s="3030"/>
    </row>
    <row r="2765" spans="2:9">
      <c r="B2765" s="3192" t="s">
        <v>679</v>
      </c>
      <c r="C2765" s="3063"/>
      <c r="D2765" s="3064"/>
      <c r="E2765" s="3064"/>
      <c r="F2765" s="3064"/>
      <c r="G2765" s="3301" t="s">
        <v>679</v>
      </c>
      <c r="H2765" s="3063"/>
      <c r="I2765" s="3030"/>
    </row>
    <row r="2766" spans="2:9" ht="25.5">
      <c r="B2766" s="3230" t="s">
        <v>81</v>
      </c>
      <c r="C2766" s="3063"/>
      <c r="D2766" s="3064"/>
      <c r="E2766" s="3064"/>
      <c r="F2766" s="3064"/>
      <c r="G2766" s="3302" t="s">
        <v>81</v>
      </c>
      <c r="H2766" s="3063"/>
      <c r="I2766" s="3030"/>
    </row>
    <row r="2767" spans="2:9" ht="26.25" thickBot="1">
      <c r="B2767" s="3303" t="s">
        <v>81</v>
      </c>
      <c r="C2767" s="3068"/>
      <c r="D2767" s="3069"/>
      <c r="E2767" s="3069"/>
      <c r="F2767" s="3069"/>
      <c r="G2767" s="3304" t="s">
        <v>81</v>
      </c>
      <c r="H2767" s="3068"/>
      <c r="I2767" s="3070"/>
    </row>
    <row r="2768" spans="2:9" ht="38.25">
      <c r="B2768" s="4723">
        <v>3016</v>
      </c>
      <c r="C2768" s="3289"/>
      <c r="D2768" s="3290"/>
      <c r="E2768" s="3290"/>
      <c r="F2768" s="3290"/>
      <c r="G2768" s="4723">
        <v>3016</v>
      </c>
      <c r="H2768" s="3291" t="s">
        <v>687</v>
      </c>
      <c r="I2768" s="3292" t="s">
        <v>688</v>
      </c>
    </row>
    <row r="2769" spans="2:9">
      <c r="B2769" s="4724"/>
      <c r="C2769" s="4678" t="s">
        <v>686</v>
      </c>
      <c r="D2769" s="4725"/>
      <c r="E2769" s="4725"/>
      <c r="F2769" s="4726"/>
      <c r="G2769" s="4724"/>
      <c r="H2769" s="3293"/>
      <c r="I2769" s="3294"/>
    </row>
    <row r="2770" spans="2:9" ht="13.5" thickBot="1">
      <c r="B2770" s="4724"/>
      <c r="C2770" s="3215">
        <v>2013</v>
      </c>
      <c r="D2770" s="3215">
        <v>2014</v>
      </c>
      <c r="E2770" s="3215">
        <v>2015</v>
      </c>
      <c r="F2770" s="3215">
        <v>2016</v>
      </c>
      <c r="G2770" s="4724"/>
      <c r="H2770" s="3295" t="s">
        <v>390</v>
      </c>
      <c r="I2770" s="3296" t="s">
        <v>390</v>
      </c>
    </row>
    <row r="2771" spans="2:9">
      <c r="B2771" s="3217" t="s">
        <v>695</v>
      </c>
      <c r="C2771" s="3218"/>
      <c r="D2771" s="3219"/>
      <c r="E2771" s="3219"/>
      <c r="F2771" s="3219"/>
      <c r="G2771" s="3217" t="s">
        <v>695</v>
      </c>
      <c r="H2771" s="3297"/>
      <c r="I2771" s="3298"/>
    </row>
    <row r="2772" spans="2:9">
      <c r="B2772" s="3299" t="s">
        <v>64</v>
      </c>
      <c r="C2772" s="3063"/>
      <c r="D2772" s="3064"/>
      <c r="E2772" s="3064"/>
      <c r="F2772" s="3064"/>
      <c r="G2772" s="3300" t="s">
        <v>64</v>
      </c>
      <c r="H2772" s="3063"/>
      <c r="I2772" s="3030"/>
    </row>
    <row r="2773" spans="2:9" ht="25.5">
      <c r="B2773" s="3192" t="s">
        <v>675</v>
      </c>
      <c r="C2773" s="3063"/>
      <c r="D2773" s="3064"/>
      <c r="E2773" s="3064"/>
      <c r="F2773" s="3064"/>
      <c r="G2773" s="3301" t="s">
        <v>675</v>
      </c>
      <c r="H2773" s="3063"/>
      <c r="I2773" s="3030"/>
    </row>
    <row r="2774" spans="2:9" ht="25.5">
      <c r="B2774" s="3192" t="s">
        <v>676</v>
      </c>
      <c r="C2774" s="3063"/>
      <c r="D2774" s="3064"/>
      <c r="E2774" s="3064"/>
      <c r="F2774" s="3064"/>
      <c r="G2774" s="3301" t="s">
        <v>676</v>
      </c>
      <c r="H2774" s="3063"/>
      <c r="I2774" s="3030"/>
    </row>
    <row r="2775" spans="2:9">
      <c r="B2775" s="3192" t="s">
        <v>677</v>
      </c>
      <c r="C2775" s="3063"/>
      <c r="D2775" s="3064"/>
      <c r="E2775" s="3064"/>
      <c r="F2775" s="3064"/>
      <c r="G2775" s="3301" t="s">
        <v>677</v>
      </c>
      <c r="H2775" s="3063"/>
      <c r="I2775" s="3030"/>
    </row>
    <row r="2776" spans="2:9">
      <c r="B2776" s="3192" t="s">
        <v>678</v>
      </c>
      <c r="C2776" s="3063"/>
      <c r="D2776" s="3064"/>
      <c r="E2776" s="3064"/>
      <c r="F2776" s="3064"/>
      <c r="G2776" s="3301" t="s">
        <v>678</v>
      </c>
      <c r="H2776" s="3063"/>
      <c r="I2776" s="3030"/>
    </row>
    <row r="2777" spans="2:9">
      <c r="B2777" s="3192" t="s">
        <v>679</v>
      </c>
      <c r="C2777" s="3063"/>
      <c r="D2777" s="3064"/>
      <c r="E2777" s="3064"/>
      <c r="F2777" s="3064"/>
      <c r="G2777" s="3301" t="s">
        <v>679</v>
      </c>
      <c r="H2777" s="3063"/>
      <c r="I2777" s="3030"/>
    </row>
    <row r="2778" spans="2:9" ht="25.5">
      <c r="B2778" s="3192" t="s">
        <v>720</v>
      </c>
      <c r="C2778" s="3063"/>
      <c r="D2778" s="3064"/>
      <c r="E2778" s="3064"/>
      <c r="F2778" s="3064"/>
      <c r="G2778" s="3301" t="s">
        <v>720</v>
      </c>
      <c r="H2778" s="3063"/>
      <c r="I2778" s="3030"/>
    </row>
    <row r="2779" spans="2:9">
      <c r="B2779" s="3299" t="s">
        <v>65</v>
      </c>
      <c r="C2779" s="3063"/>
      <c r="D2779" s="3064"/>
      <c r="E2779" s="3064"/>
      <c r="F2779" s="3064"/>
      <c r="G2779" s="3300" t="s">
        <v>65</v>
      </c>
      <c r="H2779" s="3063"/>
      <c r="I2779" s="3030"/>
    </row>
    <row r="2780" spans="2:9" ht="25.5">
      <c r="B2780" s="3192" t="s">
        <v>675</v>
      </c>
      <c r="C2780" s="3063"/>
      <c r="D2780" s="3064"/>
      <c r="E2780" s="3064"/>
      <c r="F2780" s="3064"/>
      <c r="G2780" s="3301" t="s">
        <v>675</v>
      </c>
      <c r="H2780" s="3063"/>
      <c r="I2780" s="3030"/>
    </row>
    <row r="2781" spans="2:9" ht="25.5">
      <c r="B2781" s="3192" t="s">
        <v>676</v>
      </c>
      <c r="C2781" s="3063"/>
      <c r="D2781" s="3064"/>
      <c r="E2781" s="3064"/>
      <c r="F2781" s="3064"/>
      <c r="G2781" s="3301" t="s">
        <v>676</v>
      </c>
      <c r="H2781" s="3063"/>
      <c r="I2781" s="3030"/>
    </row>
    <row r="2782" spans="2:9">
      <c r="B2782" s="3192" t="s">
        <v>677</v>
      </c>
      <c r="C2782" s="3063"/>
      <c r="D2782" s="3064"/>
      <c r="E2782" s="3064"/>
      <c r="F2782" s="3064"/>
      <c r="G2782" s="3301" t="s">
        <v>677</v>
      </c>
      <c r="H2782" s="3063"/>
      <c r="I2782" s="3030"/>
    </row>
    <row r="2783" spans="2:9">
      <c r="B2783" s="3192" t="s">
        <v>678</v>
      </c>
      <c r="C2783" s="3063"/>
      <c r="D2783" s="3064"/>
      <c r="E2783" s="3064"/>
      <c r="F2783" s="3064"/>
      <c r="G2783" s="3301" t="s">
        <v>678</v>
      </c>
      <c r="H2783" s="3063"/>
      <c r="I2783" s="3030"/>
    </row>
    <row r="2784" spans="2:9">
      <c r="B2784" s="3192" t="s">
        <v>679</v>
      </c>
      <c r="C2784" s="3063"/>
      <c r="D2784" s="3064"/>
      <c r="E2784" s="3064"/>
      <c r="F2784" s="3064"/>
      <c r="G2784" s="3301" t="s">
        <v>679</v>
      </c>
      <c r="H2784" s="3063"/>
      <c r="I2784" s="3030"/>
    </row>
    <row r="2785" spans="2:9" ht="25.5">
      <c r="B2785" s="3192" t="s">
        <v>720</v>
      </c>
      <c r="C2785" s="3063"/>
      <c r="D2785" s="3064"/>
      <c r="E2785" s="3064"/>
      <c r="F2785" s="3064"/>
      <c r="G2785" s="3301" t="s">
        <v>720</v>
      </c>
      <c r="H2785" s="3063"/>
      <c r="I2785" s="3030"/>
    </row>
    <row r="2786" spans="2:9">
      <c r="B2786" s="3299" t="s">
        <v>82</v>
      </c>
      <c r="C2786" s="3063"/>
      <c r="D2786" s="3064"/>
      <c r="E2786" s="3064"/>
      <c r="F2786" s="3064"/>
      <c r="G2786" s="3300" t="s">
        <v>82</v>
      </c>
      <c r="H2786" s="3063"/>
      <c r="I2786" s="3030"/>
    </row>
    <row r="2787" spans="2:9" ht="25.5">
      <c r="B2787" s="3192" t="s">
        <v>675</v>
      </c>
      <c r="C2787" s="3063"/>
      <c r="D2787" s="3064"/>
      <c r="E2787" s="3064"/>
      <c r="F2787" s="3064"/>
      <c r="G2787" s="3301" t="s">
        <v>675</v>
      </c>
      <c r="H2787" s="3063"/>
      <c r="I2787" s="3030"/>
    </row>
    <row r="2788" spans="2:9" ht="25.5">
      <c r="B2788" s="3192" t="s">
        <v>676</v>
      </c>
      <c r="C2788" s="3063"/>
      <c r="D2788" s="3064"/>
      <c r="E2788" s="3064"/>
      <c r="F2788" s="3064"/>
      <c r="G2788" s="3301" t="s">
        <v>676</v>
      </c>
      <c r="H2788" s="3063"/>
      <c r="I2788" s="3030"/>
    </row>
    <row r="2789" spans="2:9">
      <c r="B2789" s="3192" t="s">
        <v>677</v>
      </c>
      <c r="C2789" s="3063"/>
      <c r="D2789" s="3064"/>
      <c r="E2789" s="3064"/>
      <c r="F2789" s="3064"/>
      <c r="G2789" s="3301" t="s">
        <v>677</v>
      </c>
      <c r="H2789" s="3063"/>
      <c r="I2789" s="3030"/>
    </row>
    <row r="2790" spans="2:9">
      <c r="B2790" s="3192" t="s">
        <v>678</v>
      </c>
      <c r="C2790" s="3063"/>
      <c r="D2790" s="3064"/>
      <c r="E2790" s="3064"/>
      <c r="F2790" s="3064"/>
      <c r="G2790" s="3301" t="s">
        <v>678</v>
      </c>
      <c r="H2790" s="3063"/>
      <c r="I2790" s="3030"/>
    </row>
    <row r="2791" spans="2:9">
      <c r="B2791" s="3192" t="s">
        <v>679</v>
      </c>
      <c r="C2791" s="3063"/>
      <c r="D2791" s="3064"/>
      <c r="E2791" s="3064"/>
      <c r="F2791" s="3064"/>
      <c r="G2791" s="3301" t="s">
        <v>679</v>
      </c>
      <c r="H2791" s="3063"/>
      <c r="I2791" s="3030"/>
    </row>
    <row r="2792" spans="2:9" ht="25.5">
      <c r="B2792" s="3192" t="s">
        <v>720</v>
      </c>
      <c r="C2792" s="3063"/>
      <c r="D2792" s="3064"/>
      <c r="E2792" s="3064"/>
      <c r="F2792" s="3064"/>
      <c r="G2792" s="3301" t="s">
        <v>720</v>
      </c>
      <c r="H2792" s="3063"/>
      <c r="I2792" s="3030"/>
    </row>
    <row r="2793" spans="2:9" ht="38.25">
      <c r="B2793" s="3299" t="s">
        <v>680</v>
      </c>
      <c r="C2793" s="3063"/>
      <c r="D2793" s="3064"/>
      <c r="E2793" s="3064"/>
      <c r="F2793" s="3064"/>
      <c r="G2793" s="3300" t="s">
        <v>680</v>
      </c>
      <c r="H2793" s="3063"/>
      <c r="I2793" s="3030"/>
    </row>
    <row r="2794" spans="2:9" ht="25.5">
      <c r="B2794" s="3192" t="s">
        <v>675</v>
      </c>
      <c r="C2794" s="3063"/>
      <c r="D2794" s="3064"/>
      <c r="E2794" s="3064"/>
      <c r="F2794" s="3064"/>
      <c r="G2794" s="3301" t="s">
        <v>675</v>
      </c>
      <c r="H2794" s="3063"/>
      <c r="I2794" s="3030"/>
    </row>
    <row r="2795" spans="2:9" ht="25.5">
      <c r="B2795" s="3192" t="s">
        <v>676</v>
      </c>
      <c r="C2795" s="3063"/>
      <c r="D2795" s="3064"/>
      <c r="E2795" s="3064"/>
      <c r="F2795" s="3064"/>
      <c r="G2795" s="3301" t="s">
        <v>676</v>
      </c>
      <c r="H2795" s="3063"/>
      <c r="I2795" s="3030"/>
    </row>
    <row r="2796" spans="2:9">
      <c r="B2796" s="3192" t="s">
        <v>677</v>
      </c>
      <c r="C2796" s="3063"/>
      <c r="D2796" s="3064"/>
      <c r="E2796" s="3064"/>
      <c r="F2796" s="3064"/>
      <c r="G2796" s="3301" t="s">
        <v>677</v>
      </c>
      <c r="H2796" s="3063"/>
      <c r="I2796" s="3030"/>
    </row>
    <row r="2797" spans="2:9">
      <c r="B2797" s="3192" t="s">
        <v>678</v>
      </c>
      <c r="C2797" s="3063"/>
      <c r="D2797" s="3064"/>
      <c r="E2797" s="3064"/>
      <c r="F2797" s="3064"/>
      <c r="G2797" s="3301" t="s">
        <v>678</v>
      </c>
      <c r="H2797" s="3063"/>
      <c r="I2797" s="3030"/>
    </row>
    <row r="2798" spans="2:9">
      <c r="B2798" s="3192" t="s">
        <v>679</v>
      </c>
      <c r="C2798" s="3063"/>
      <c r="D2798" s="3064"/>
      <c r="E2798" s="3064"/>
      <c r="F2798" s="3064"/>
      <c r="G2798" s="3301" t="s">
        <v>679</v>
      </c>
      <c r="H2798" s="3063"/>
      <c r="I2798" s="3030"/>
    </row>
    <row r="2799" spans="2:9" ht="25.5">
      <c r="B2799" s="3192" t="s">
        <v>720</v>
      </c>
      <c r="C2799" s="3063"/>
      <c r="D2799" s="3064"/>
      <c r="E2799" s="3064"/>
      <c r="F2799" s="3064"/>
      <c r="G2799" s="3301" t="s">
        <v>720</v>
      </c>
      <c r="H2799" s="3063"/>
      <c r="I2799" s="3030"/>
    </row>
    <row r="2800" spans="2:9" ht="38.25">
      <c r="B2800" s="3299" t="s">
        <v>681</v>
      </c>
      <c r="C2800" s="3063"/>
      <c r="D2800" s="3064"/>
      <c r="E2800" s="3064"/>
      <c r="F2800" s="3064"/>
      <c r="G2800" s="3300" t="s">
        <v>681</v>
      </c>
      <c r="H2800" s="3063"/>
      <c r="I2800" s="3030"/>
    </row>
    <row r="2801" spans="2:9" ht="25.5">
      <c r="B2801" s="3192" t="s">
        <v>675</v>
      </c>
      <c r="C2801" s="3063"/>
      <c r="D2801" s="3064"/>
      <c r="E2801" s="3064"/>
      <c r="F2801" s="3064"/>
      <c r="G2801" s="3301" t="s">
        <v>675</v>
      </c>
      <c r="H2801" s="3063"/>
      <c r="I2801" s="3030"/>
    </row>
    <row r="2802" spans="2:9" ht="25.5">
      <c r="B2802" s="3192" t="s">
        <v>676</v>
      </c>
      <c r="C2802" s="3063"/>
      <c r="D2802" s="3064"/>
      <c r="E2802" s="3064"/>
      <c r="F2802" s="3064"/>
      <c r="G2802" s="3301" t="s">
        <v>676</v>
      </c>
      <c r="H2802" s="3063"/>
      <c r="I2802" s="3030"/>
    </row>
    <row r="2803" spans="2:9">
      <c r="B2803" s="3192" t="s">
        <v>677</v>
      </c>
      <c r="C2803" s="3063"/>
      <c r="D2803" s="3064"/>
      <c r="E2803" s="3064"/>
      <c r="F2803" s="3064"/>
      <c r="G2803" s="3301" t="s">
        <v>677</v>
      </c>
      <c r="H2803" s="3063"/>
      <c r="I2803" s="3030"/>
    </row>
    <row r="2804" spans="2:9">
      <c r="B2804" s="3192" t="s">
        <v>678</v>
      </c>
      <c r="C2804" s="3063"/>
      <c r="D2804" s="3064"/>
      <c r="E2804" s="3064"/>
      <c r="F2804" s="3064"/>
      <c r="G2804" s="3301" t="s">
        <v>678</v>
      </c>
      <c r="H2804" s="3063"/>
      <c r="I2804" s="3030"/>
    </row>
    <row r="2805" spans="2:9">
      <c r="B2805" s="3192" t="s">
        <v>679</v>
      </c>
      <c r="C2805" s="3063"/>
      <c r="D2805" s="3064"/>
      <c r="E2805" s="3064"/>
      <c r="F2805" s="3064"/>
      <c r="G2805" s="3301" t="s">
        <v>679</v>
      </c>
      <c r="H2805" s="3063"/>
      <c r="I2805" s="3030"/>
    </row>
    <row r="2806" spans="2:9" ht="25.5">
      <c r="B2806" s="3192" t="s">
        <v>720</v>
      </c>
      <c r="C2806" s="3063"/>
      <c r="D2806" s="3064"/>
      <c r="E2806" s="3064"/>
      <c r="F2806" s="3064"/>
      <c r="G2806" s="3301" t="s">
        <v>720</v>
      </c>
      <c r="H2806" s="3063"/>
      <c r="I2806" s="3030"/>
    </row>
    <row r="2807" spans="2:9" ht="25.5">
      <c r="B2807" s="3299" t="s">
        <v>682</v>
      </c>
      <c r="C2807" s="3063"/>
      <c r="D2807" s="3064"/>
      <c r="E2807" s="3064"/>
      <c r="F2807" s="3064"/>
      <c r="G2807" s="3300" t="s">
        <v>682</v>
      </c>
      <c r="H2807" s="3063"/>
      <c r="I2807" s="3030"/>
    </row>
    <row r="2808" spans="2:9" ht="25.5">
      <c r="B2808" s="3192" t="s">
        <v>675</v>
      </c>
      <c r="C2808" s="3063"/>
      <c r="D2808" s="3064"/>
      <c r="E2808" s="3064"/>
      <c r="F2808" s="3064"/>
      <c r="G2808" s="3301" t="s">
        <v>675</v>
      </c>
      <c r="H2808" s="3063"/>
      <c r="I2808" s="3030"/>
    </row>
    <row r="2809" spans="2:9" ht="25.5">
      <c r="B2809" s="3192" t="s">
        <v>676</v>
      </c>
      <c r="C2809" s="3063"/>
      <c r="D2809" s="3064"/>
      <c r="E2809" s="3064"/>
      <c r="F2809" s="3064"/>
      <c r="G2809" s="3301" t="s">
        <v>676</v>
      </c>
      <c r="H2809" s="3063"/>
      <c r="I2809" s="3030"/>
    </row>
    <row r="2810" spans="2:9">
      <c r="B2810" s="3192" t="s">
        <v>677</v>
      </c>
      <c r="C2810" s="3063"/>
      <c r="D2810" s="3064"/>
      <c r="E2810" s="3064"/>
      <c r="F2810" s="3064"/>
      <c r="G2810" s="3301" t="s">
        <v>677</v>
      </c>
      <c r="H2810" s="3063"/>
      <c r="I2810" s="3030"/>
    </row>
    <row r="2811" spans="2:9">
      <c r="B2811" s="3192" t="s">
        <v>678</v>
      </c>
      <c r="C2811" s="3063"/>
      <c r="D2811" s="3064"/>
      <c r="E2811" s="3064"/>
      <c r="F2811" s="3064"/>
      <c r="G2811" s="3301" t="s">
        <v>678</v>
      </c>
      <c r="H2811" s="3063"/>
      <c r="I2811" s="3030"/>
    </row>
    <row r="2812" spans="2:9">
      <c r="B2812" s="3192" t="s">
        <v>679</v>
      </c>
      <c r="C2812" s="3063"/>
      <c r="D2812" s="3064"/>
      <c r="E2812" s="3064"/>
      <c r="F2812" s="3064"/>
      <c r="G2812" s="3301" t="s">
        <v>679</v>
      </c>
      <c r="H2812" s="3063"/>
      <c r="I2812" s="3030"/>
    </row>
    <row r="2813" spans="2:9" ht="25.5">
      <c r="B2813" s="3192" t="s">
        <v>720</v>
      </c>
      <c r="C2813" s="3063"/>
      <c r="D2813" s="3064"/>
      <c r="E2813" s="3064"/>
      <c r="F2813" s="3064"/>
      <c r="G2813" s="3301" t="s">
        <v>720</v>
      </c>
      <c r="H2813" s="3063"/>
      <c r="I2813" s="3030"/>
    </row>
    <row r="2814" spans="2:9" ht="25.5">
      <c r="B2814" s="3299" t="s">
        <v>66</v>
      </c>
      <c r="C2814" s="3063"/>
      <c r="D2814" s="3064"/>
      <c r="E2814" s="3064"/>
      <c r="F2814" s="3064"/>
      <c r="G2814" s="3300" t="s">
        <v>66</v>
      </c>
      <c r="H2814" s="3063"/>
      <c r="I2814" s="3030"/>
    </row>
    <row r="2815" spans="2:9" ht="25.5">
      <c r="B2815" s="3192" t="s">
        <v>675</v>
      </c>
      <c r="C2815" s="3063"/>
      <c r="D2815" s="3064"/>
      <c r="E2815" s="3064"/>
      <c r="F2815" s="3064"/>
      <c r="G2815" s="3301" t="s">
        <v>675</v>
      </c>
      <c r="H2815" s="3063"/>
      <c r="I2815" s="3030"/>
    </row>
    <row r="2816" spans="2:9" ht="25.5">
      <c r="B2816" s="3192" t="s">
        <v>676</v>
      </c>
      <c r="C2816" s="3063"/>
      <c r="D2816" s="3064"/>
      <c r="E2816" s="3064"/>
      <c r="F2816" s="3064"/>
      <c r="G2816" s="3301" t="s">
        <v>676</v>
      </c>
      <c r="H2816" s="3063"/>
      <c r="I2816" s="3030"/>
    </row>
    <row r="2817" spans="2:9">
      <c r="B2817" s="3192" t="s">
        <v>677</v>
      </c>
      <c r="C2817" s="3063"/>
      <c r="D2817" s="3064"/>
      <c r="E2817" s="3064"/>
      <c r="F2817" s="3064"/>
      <c r="G2817" s="3301" t="s">
        <v>677</v>
      </c>
      <c r="H2817" s="3063"/>
      <c r="I2817" s="3030"/>
    </row>
    <row r="2818" spans="2:9">
      <c r="B2818" s="3192" t="s">
        <v>678</v>
      </c>
      <c r="C2818" s="3063"/>
      <c r="D2818" s="3064"/>
      <c r="E2818" s="3064"/>
      <c r="F2818" s="3064"/>
      <c r="G2818" s="3301" t="s">
        <v>678</v>
      </c>
      <c r="H2818" s="3063"/>
      <c r="I2818" s="3030"/>
    </row>
    <row r="2819" spans="2:9">
      <c r="B2819" s="3192" t="s">
        <v>679</v>
      </c>
      <c r="C2819" s="3063"/>
      <c r="D2819" s="3064"/>
      <c r="E2819" s="3064"/>
      <c r="F2819" s="3064"/>
      <c r="G2819" s="3301" t="s">
        <v>679</v>
      </c>
      <c r="H2819" s="3063"/>
      <c r="I2819" s="3030"/>
    </row>
    <row r="2820" spans="2:9" ht="25.5">
      <c r="B2820" s="3192" t="s">
        <v>720</v>
      </c>
      <c r="C2820" s="3063"/>
      <c r="D2820" s="3064"/>
      <c r="E2820" s="3064"/>
      <c r="F2820" s="3064"/>
      <c r="G2820" s="3301" t="s">
        <v>720</v>
      </c>
      <c r="H2820" s="3063"/>
      <c r="I2820" s="3030"/>
    </row>
    <row r="2821" spans="2:9">
      <c r="B2821" s="3299" t="s">
        <v>67</v>
      </c>
      <c r="C2821" s="3063"/>
      <c r="D2821" s="3064"/>
      <c r="E2821" s="3064"/>
      <c r="F2821" s="3064"/>
      <c r="G2821" s="3300" t="s">
        <v>67</v>
      </c>
      <c r="H2821" s="3063"/>
      <c r="I2821" s="3030"/>
    </row>
    <row r="2822" spans="2:9" ht="25.5">
      <c r="B2822" s="3192" t="s">
        <v>675</v>
      </c>
      <c r="C2822" s="3063"/>
      <c r="D2822" s="3064"/>
      <c r="E2822" s="3064"/>
      <c r="F2822" s="3064"/>
      <c r="G2822" s="3301" t="s">
        <v>675</v>
      </c>
      <c r="H2822" s="3063"/>
      <c r="I2822" s="3030"/>
    </row>
    <row r="2823" spans="2:9" ht="25.5">
      <c r="B2823" s="3192" t="s">
        <v>676</v>
      </c>
      <c r="C2823" s="3063"/>
      <c r="D2823" s="3064"/>
      <c r="E2823" s="3064"/>
      <c r="F2823" s="3064"/>
      <c r="G2823" s="3301" t="s">
        <v>676</v>
      </c>
      <c r="H2823" s="3063"/>
      <c r="I2823" s="3030"/>
    </row>
    <row r="2824" spans="2:9">
      <c r="B2824" s="3192" t="s">
        <v>677</v>
      </c>
      <c r="C2824" s="3063"/>
      <c r="D2824" s="3064"/>
      <c r="E2824" s="3064"/>
      <c r="F2824" s="3064"/>
      <c r="G2824" s="3301" t="s">
        <v>677</v>
      </c>
      <c r="H2824" s="3063"/>
      <c r="I2824" s="3030"/>
    </row>
    <row r="2825" spans="2:9">
      <c r="B2825" s="3192" t="s">
        <v>678</v>
      </c>
      <c r="C2825" s="3063"/>
      <c r="D2825" s="3064"/>
      <c r="E2825" s="3064"/>
      <c r="F2825" s="3064"/>
      <c r="G2825" s="3301" t="s">
        <v>678</v>
      </c>
      <c r="H2825" s="3063"/>
      <c r="I2825" s="3030"/>
    </row>
    <row r="2826" spans="2:9">
      <c r="B2826" s="3192" t="s">
        <v>679</v>
      </c>
      <c r="C2826" s="3063"/>
      <c r="D2826" s="3064"/>
      <c r="E2826" s="3064"/>
      <c r="F2826" s="3064"/>
      <c r="G2826" s="3301" t="s">
        <v>679</v>
      </c>
      <c r="H2826" s="3063"/>
      <c r="I2826" s="3030"/>
    </row>
    <row r="2827" spans="2:9" ht="25.5">
      <c r="B2827" s="3192" t="s">
        <v>720</v>
      </c>
      <c r="C2827" s="3063"/>
      <c r="D2827" s="3064"/>
      <c r="E2827" s="3064"/>
      <c r="F2827" s="3064"/>
      <c r="G2827" s="3301" t="s">
        <v>720</v>
      </c>
      <c r="H2827" s="3063"/>
      <c r="I2827" s="3030"/>
    </row>
    <row r="2828" spans="2:9" ht="25.5">
      <c r="B2828" s="3230" t="s">
        <v>81</v>
      </c>
      <c r="C2828" s="3063"/>
      <c r="D2828" s="3064"/>
      <c r="E2828" s="3064"/>
      <c r="F2828" s="3064"/>
      <c r="G2828" s="3302" t="s">
        <v>81</v>
      </c>
      <c r="H2828" s="3063"/>
      <c r="I2828" s="3030"/>
    </row>
    <row r="2829" spans="2:9" ht="26.25" thickBot="1">
      <c r="B2829" s="3303" t="s">
        <v>81</v>
      </c>
      <c r="C2829" s="3063"/>
      <c r="D2829" s="3064"/>
      <c r="E2829" s="3064"/>
      <c r="F2829" s="3064"/>
      <c r="G2829" s="3302" t="s">
        <v>81</v>
      </c>
      <c r="H2829" s="3063"/>
      <c r="I2829" s="3030"/>
    </row>
    <row r="2830" spans="2:9" ht="25.5">
      <c r="B2830" s="3217" t="s">
        <v>696</v>
      </c>
      <c r="C2830" s="3218"/>
      <c r="D2830" s="3219"/>
      <c r="E2830" s="3219"/>
      <c r="F2830" s="3219"/>
      <c r="G2830" s="3217" t="s">
        <v>696</v>
      </c>
      <c r="H2830" s="3297"/>
      <c r="I2830" s="3298"/>
    </row>
    <row r="2831" spans="2:9">
      <c r="B2831" s="3299" t="s">
        <v>64</v>
      </c>
      <c r="C2831" s="3063"/>
      <c r="D2831" s="3064"/>
      <c r="E2831" s="3064"/>
      <c r="F2831" s="3064"/>
      <c r="G2831" s="3300" t="s">
        <v>64</v>
      </c>
      <c r="H2831" s="3063"/>
      <c r="I2831" s="3030"/>
    </row>
    <row r="2832" spans="2:9" ht="25.5">
      <c r="B2832" s="3192" t="s">
        <v>675</v>
      </c>
      <c r="C2832" s="3063"/>
      <c r="D2832" s="3064"/>
      <c r="E2832" s="3064"/>
      <c r="F2832" s="3064"/>
      <c r="G2832" s="3301" t="s">
        <v>675</v>
      </c>
      <c r="H2832" s="3063"/>
      <c r="I2832" s="3030"/>
    </row>
    <row r="2833" spans="2:9" ht="25.5">
      <c r="B2833" s="3192" t="s">
        <v>676</v>
      </c>
      <c r="C2833" s="3063"/>
      <c r="D2833" s="3064"/>
      <c r="E2833" s="3064"/>
      <c r="F2833" s="3064"/>
      <c r="G2833" s="3301" t="s">
        <v>676</v>
      </c>
      <c r="H2833" s="3063"/>
      <c r="I2833" s="3030"/>
    </row>
    <row r="2834" spans="2:9">
      <c r="B2834" s="3192" t="s">
        <v>677</v>
      </c>
      <c r="C2834" s="3063"/>
      <c r="D2834" s="3064"/>
      <c r="E2834" s="3064"/>
      <c r="F2834" s="3064"/>
      <c r="G2834" s="3301" t="s">
        <v>677</v>
      </c>
      <c r="H2834" s="3063"/>
      <c r="I2834" s="3030"/>
    </row>
    <row r="2835" spans="2:9">
      <c r="B2835" s="3192" t="s">
        <v>678</v>
      </c>
      <c r="C2835" s="3063"/>
      <c r="D2835" s="3064"/>
      <c r="E2835" s="3064"/>
      <c r="F2835" s="3064"/>
      <c r="G2835" s="3301" t="s">
        <v>678</v>
      </c>
      <c r="H2835" s="3063"/>
      <c r="I2835" s="3030"/>
    </row>
    <row r="2836" spans="2:9">
      <c r="B2836" s="3192" t="s">
        <v>679</v>
      </c>
      <c r="C2836" s="3063"/>
      <c r="D2836" s="3064"/>
      <c r="E2836" s="3064"/>
      <c r="F2836" s="3064"/>
      <c r="G2836" s="3301" t="s">
        <v>679</v>
      </c>
      <c r="H2836" s="3063"/>
      <c r="I2836" s="3030"/>
    </row>
    <row r="2837" spans="2:9" ht="25.5">
      <c r="B2837" s="3192" t="s">
        <v>720</v>
      </c>
      <c r="C2837" s="3063"/>
      <c r="D2837" s="3064"/>
      <c r="E2837" s="3064"/>
      <c r="F2837" s="3064"/>
      <c r="G2837" s="3301" t="s">
        <v>720</v>
      </c>
      <c r="H2837" s="3063"/>
      <c r="I2837" s="3030"/>
    </row>
    <row r="2838" spans="2:9">
      <c r="B2838" s="3299" t="s">
        <v>65</v>
      </c>
      <c r="C2838" s="3063"/>
      <c r="D2838" s="3064"/>
      <c r="E2838" s="3064"/>
      <c r="F2838" s="3064"/>
      <c r="G2838" s="3300" t="s">
        <v>65</v>
      </c>
      <c r="H2838" s="3063"/>
      <c r="I2838" s="3030"/>
    </row>
    <row r="2839" spans="2:9" ht="25.5">
      <c r="B2839" s="3192" t="s">
        <v>675</v>
      </c>
      <c r="C2839" s="3063"/>
      <c r="D2839" s="3064"/>
      <c r="E2839" s="3064"/>
      <c r="F2839" s="3064"/>
      <c r="G2839" s="3301" t="s">
        <v>675</v>
      </c>
      <c r="H2839" s="3063"/>
      <c r="I2839" s="3030"/>
    </row>
    <row r="2840" spans="2:9" ht="25.5">
      <c r="B2840" s="3192" t="s">
        <v>676</v>
      </c>
      <c r="C2840" s="3063"/>
      <c r="D2840" s="3064"/>
      <c r="E2840" s="3064"/>
      <c r="F2840" s="3064"/>
      <c r="G2840" s="3301" t="s">
        <v>676</v>
      </c>
      <c r="H2840" s="3063"/>
      <c r="I2840" s="3030"/>
    </row>
    <row r="2841" spans="2:9">
      <c r="B2841" s="3192" t="s">
        <v>677</v>
      </c>
      <c r="C2841" s="3063"/>
      <c r="D2841" s="3064"/>
      <c r="E2841" s="3064"/>
      <c r="F2841" s="3064"/>
      <c r="G2841" s="3301" t="s">
        <v>677</v>
      </c>
      <c r="H2841" s="3063"/>
      <c r="I2841" s="3030"/>
    </row>
    <row r="2842" spans="2:9">
      <c r="B2842" s="3192" t="s">
        <v>678</v>
      </c>
      <c r="C2842" s="3063"/>
      <c r="D2842" s="3064"/>
      <c r="E2842" s="3064"/>
      <c r="F2842" s="3064"/>
      <c r="G2842" s="3301" t="s">
        <v>678</v>
      </c>
      <c r="H2842" s="3063"/>
      <c r="I2842" s="3030"/>
    </row>
    <row r="2843" spans="2:9">
      <c r="B2843" s="3192" t="s">
        <v>679</v>
      </c>
      <c r="C2843" s="3063"/>
      <c r="D2843" s="3064"/>
      <c r="E2843" s="3064"/>
      <c r="F2843" s="3064"/>
      <c r="G2843" s="3301" t="s">
        <v>679</v>
      </c>
      <c r="H2843" s="3063"/>
      <c r="I2843" s="3030"/>
    </row>
    <row r="2844" spans="2:9" ht="25.5">
      <c r="B2844" s="3192" t="s">
        <v>720</v>
      </c>
      <c r="C2844" s="3063"/>
      <c r="D2844" s="3064"/>
      <c r="E2844" s="3064"/>
      <c r="F2844" s="3064"/>
      <c r="G2844" s="3301" t="s">
        <v>720</v>
      </c>
      <c r="H2844" s="3063"/>
      <c r="I2844" s="3030"/>
    </row>
    <row r="2845" spans="2:9">
      <c r="B2845" s="3299" t="s">
        <v>82</v>
      </c>
      <c r="C2845" s="3063"/>
      <c r="D2845" s="3064"/>
      <c r="E2845" s="3064"/>
      <c r="F2845" s="3064"/>
      <c r="G2845" s="3300" t="s">
        <v>82</v>
      </c>
      <c r="H2845" s="3063"/>
      <c r="I2845" s="3030"/>
    </row>
    <row r="2846" spans="2:9" ht="25.5">
      <c r="B2846" s="3192" t="s">
        <v>675</v>
      </c>
      <c r="C2846" s="3063"/>
      <c r="D2846" s="3064"/>
      <c r="E2846" s="3064"/>
      <c r="F2846" s="3064"/>
      <c r="G2846" s="3301" t="s">
        <v>675</v>
      </c>
      <c r="H2846" s="3063"/>
      <c r="I2846" s="3030"/>
    </row>
    <row r="2847" spans="2:9" ht="25.5">
      <c r="B2847" s="3192" t="s">
        <v>676</v>
      </c>
      <c r="C2847" s="3063"/>
      <c r="D2847" s="3064"/>
      <c r="E2847" s="3064"/>
      <c r="F2847" s="3064"/>
      <c r="G2847" s="3301" t="s">
        <v>676</v>
      </c>
      <c r="H2847" s="3063"/>
      <c r="I2847" s="3030"/>
    </row>
    <row r="2848" spans="2:9">
      <c r="B2848" s="3192" t="s">
        <v>677</v>
      </c>
      <c r="C2848" s="3063"/>
      <c r="D2848" s="3064"/>
      <c r="E2848" s="3064"/>
      <c r="F2848" s="3064"/>
      <c r="G2848" s="3301" t="s">
        <v>677</v>
      </c>
      <c r="H2848" s="3063"/>
      <c r="I2848" s="3030"/>
    </row>
    <row r="2849" spans="2:9">
      <c r="B2849" s="3192" t="s">
        <v>678</v>
      </c>
      <c r="C2849" s="3063"/>
      <c r="D2849" s="3064"/>
      <c r="E2849" s="3064"/>
      <c r="F2849" s="3064"/>
      <c r="G2849" s="3301" t="s">
        <v>678</v>
      </c>
      <c r="H2849" s="3063"/>
      <c r="I2849" s="3030"/>
    </row>
    <row r="2850" spans="2:9">
      <c r="B2850" s="3192" t="s">
        <v>679</v>
      </c>
      <c r="C2850" s="3063"/>
      <c r="D2850" s="3064"/>
      <c r="E2850" s="3064"/>
      <c r="F2850" s="3064"/>
      <c r="G2850" s="3301" t="s">
        <v>679</v>
      </c>
      <c r="H2850" s="3063"/>
      <c r="I2850" s="3030"/>
    </row>
    <row r="2851" spans="2:9" ht="25.5">
      <c r="B2851" s="3192" t="s">
        <v>720</v>
      </c>
      <c r="C2851" s="3063"/>
      <c r="D2851" s="3064"/>
      <c r="E2851" s="3064"/>
      <c r="F2851" s="3064"/>
      <c r="G2851" s="3301" t="s">
        <v>720</v>
      </c>
      <c r="H2851" s="3063"/>
      <c r="I2851" s="3030"/>
    </row>
    <row r="2852" spans="2:9" ht="38.25">
      <c r="B2852" s="3299" t="s">
        <v>680</v>
      </c>
      <c r="C2852" s="3063"/>
      <c r="D2852" s="3064"/>
      <c r="E2852" s="3064"/>
      <c r="F2852" s="3064"/>
      <c r="G2852" s="3300" t="s">
        <v>680</v>
      </c>
      <c r="H2852" s="3063"/>
      <c r="I2852" s="3030"/>
    </row>
    <row r="2853" spans="2:9" ht="25.5">
      <c r="B2853" s="3192" t="s">
        <v>675</v>
      </c>
      <c r="C2853" s="3063"/>
      <c r="D2853" s="3064"/>
      <c r="E2853" s="3064"/>
      <c r="F2853" s="3064"/>
      <c r="G2853" s="3301" t="s">
        <v>675</v>
      </c>
      <c r="H2853" s="3063"/>
      <c r="I2853" s="3030"/>
    </row>
    <row r="2854" spans="2:9" ht="25.5">
      <c r="B2854" s="3192" t="s">
        <v>676</v>
      </c>
      <c r="C2854" s="3063"/>
      <c r="D2854" s="3064"/>
      <c r="E2854" s="3064"/>
      <c r="F2854" s="3064"/>
      <c r="G2854" s="3301" t="s">
        <v>676</v>
      </c>
      <c r="H2854" s="3063"/>
      <c r="I2854" s="3030"/>
    </row>
    <row r="2855" spans="2:9">
      <c r="B2855" s="3192" t="s">
        <v>677</v>
      </c>
      <c r="C2855" s="3063"/>
      <c r="D2855" s="3064"/>
      <c r="E2855" s="3064"/>
      <c r="F2855" s="3064"/>
      <c r="G2855" s="3301" t="s">
        <v>677</v>
      </c>
      <c r="H2855" s="3063"/>
      <c r="I2855" s="3030"/>
    </row>
    <row r="2856" spans="2:9">
      <c r="B2856" s="3192" t="s">
        <v>678</v>
      </c>
      <c r="C2856" s="3063"/>
      <c r="D2856" s="3064"/>
      <c r="E2856" s="3064"/>
      <c r="F2856" s="3064"/>
      <c r="G2856" s="3301" t="s">
        <v>678</v>
      </c>
      <c r="H2856" s="3063"/>
      <c r="I2856" s="3030"/>
    </row>
    <row r="2857" spans="2:9">
      <c r="B2857" s="3192" t="s">
        <v>679</v>
      </c>
      <c r="C2857" s="3063"/>
      <c r="D2857" s="3064"/>
      <c r="E2857" s="3064"/>
      <c r="F2857" s="3064"/>
      <c r="G2857" s="3301" t="s">
        <v>679</v>
      </c>
      <c r="H2857" s="3063"/>
      <c r="I2857" s="3030"/>
    </row>
    <row r="2858" spans="2:9" ht="25.5">
      <c r="B2858" s="3192" t="s">
        <v>720</v>
      </c>
      <c r="C2858" s="3063"/>
      <c r="D2858" s="3064"/>
      <c r="E2858" s="3064"/>
      <c r="F2858" s="3064"/>
      <c r="G2858" s="3301" t="s">
        <v>720</v>
      </c>
      <c r="H2858" s="3063"/>
      <c r="I2858" s="3030"/>
    </row>
    <row r="2859" spans="2:9" ht="38.25">
      <c r="B2859" s="3299" t="s">
        <v>681</v>
      </c>
      <c r="C2859" s="3063"/>
      <c r="D2859" s="3064"/>
      <c r="E2859" s="3064"/>
      <c r="F2859" s="3064"/>
      <c r="G2859" s="3300" t="s">
        <v>681</v>
      </c>
      <c r="H2859" s="3063"/>
      <c r="I2859" s="3030"/>
    </row>
    <row r="2860" spans="2:9" ht="25.5">
      <c r="B2860" s="3192" t="s">
        <v>675</v>
      </c>
      <c r="C2860" s="3063"/>
      <c r="D2860" s="3064"/>
      <c r="E2860" s="3064"/>
      <c r="F2860" s="3064"/>
      <c r="G2860" s="3301" t="s">
        <v>675</v>
      </c>
      <c r="H2860" s="3063"/>
      <c r="I2860" s="3030"/>
    </row>
    <row r="2861" spans="2:9" ht="25.5">
      <c r="B2861" s="3192" t="s">
        <v>676</v>
      </c>
      <c r="C2861" s="3063"/>
      <c r="D2861" s="3064"/>
      <c r="E2861" s="3064"/>
      <c r="F2861" s="3064"/>
      <c r="G2861" s="3301" t="s">
        <v>676</v>
      </c>
      <c r="H2861" s="3063"/>
      <c r="I2861" s="3030"/>
    </row>
    <row r="2862" spans="2:9">
      <c r="B2862" s="3192" t="s">
        <v>677</v>
      </c>
      <c r="C2862" s="3063"/>
      <c r="D2862" s="3064"/>
      <c r="E2862" s="3064"/>
      <c r="F2862" s="3064"/>
      <c r="G2862" s="3301" t="s">
        <v>677</v>
      </c>
      <c r="H2862" s="3063"/>
      <c r="I2862" s="3030"/>
    </row>
    <row r="2863" spans="2:9">
      <c r="B2863" s="3192" t="s">
        <v>678</v>
      </c>
      <c r="C2863" s="3063"/>
      <c r="D2863" s="3064"/>
      <c r="E2863" s="3064"/>
      <c r="F2863" s="3064"/>
      <c r="G2863" s="3301" t="s">
        <v>678</v>
      </c>
      <c r="H2863" s="3063"/>
      <c r="I2863" s="3030"/>
    </row>
    <row r="2864" spans="2:9">
      <c r="B2864" s="3192" t="s">
        <v>679</v>
      </c>
      <c r="C2864" s="3063"/>
      <c r="D2864" s="3064"/>
      <c r="E2864" s="3064"/>
      <c r="F2864" s="3064"/>
      <c r="G2864" s="3301" t="s">
        <v>679</v>
      </c>
      <c r="H2864" s="3063"/>
      <c r="I2864" s="3030"/>
    </row>
    <row r="2865" spans="2:9" ht="25.5">
      <c r="B2865" s="3192" t="s">
        <v>720</v>
      </c>
      <c r="C2865" s="3063"/>
      <c r="D2865" s="3064"/>
      <c r="E2865" s="3064"/>
      <c r="F2865" s="3064"/>
      <c r="G2865" s="3301" t="s">
        <v>720</v>
      </c>
      <c r="H2865" s="3063"/>
      <c r="I2865" s="3030"/>
    </row>
    <row r="2866" spans="2:9" ht="25.5">
      <c r="B2866" s="3299" t="s">
        <v>682</v>
      </c>
      <c r="C2866" s="3063"/>
      <c r="D2866" s="3064"/>
      <c r="E2866" s="3064"/>
      <c r="F2866" s="3064"/>
      <c r="G2866" s="3300" t="s">
        <v>682</v>
      </c>
      <c r="H2866" s="3063"/>
      <c r="I2866" s="3030"/>
    </row>
    <row r="2867" spans="2:9" ht="25.5">
      <c r="B2867" s="3192" t="s">
        <v>675</v>
      </c>
      <c r="C2867" s="3063"/>
      <c r="D2867" s="3064"/>
      <c r="E2867" s="3064"/>
      <c r="F2867" s="3064"/>
      <c r="G2867" s="3301" t="s">
        <v>675</v>
      </c>
      <c r="H2867" s="3063"/>
      <c r="I2867" s="3030"/>
    </row>
    <row r="2868" spans="2:9" ht="25.5">
      <c r="B2868" s="3192" t="s">
        <v>676</v>
      </c>
      <c r="C2868" s="3063"/>
      <c r="D2868" s="3064"/>
      <c r="E2868" s="3064"/>
      <c r="F2868" s="3064"/>
      <c r="G2868" s="3301" t="s">
        <v>676</v>
      </c>
      <c r="H2868" s="3063"/>
      <c r="I2868" s="3030"/>
    </row>
    <row r="2869" spans="2:9">
      <c r="B2869" s="3192" t="s">
        <v>677</v>
      </c>
      <c r="C2869" s="3063"/>
      <c r="D2869" s="3064"/>
      <c r="E2869" s="3064"/>
      <c r="F2869" s="3064"/>
      <c r="G2869" s="3301" t="s">
        <v>677</v>
      </c>
      <c r="H2869" s="3063"/>
      <c r="I2869" s="3030"/>
    </row>
    <row r="2870" spans="2:9">
      <c r="B2870" s="3192" t="s">
        <v>678</v>
      </c>
      <c r="C2870" s="3063"/>
      <c r="D2870" s="3064"/>
      <c r="E2870" s="3064"/>
      <c r="F2870" s="3064"/>
      <c r="G2870" s="3301" t="s">
        <v>678</v>
      </c>
      <c r="H2870" s="3063"/>
      <c r="I2870" s="3030"/>
    </row>
    <row r="2871" spans="2:9">
      <c r="B2871" s="3192" t="s">
        <v>679</v>
      </c>
      <c r="C2871" s="3063"/>
      <c r="D2871" s="3064"/>
      <c r="E2871" s="3064"/>
      <c r="F2871" s="3064"/>
      <c r="G2871" s="3301" t="s">
        <v>679</v>
      </c>
      <c r="H2871" s="3063"/>
      <c r="I2871" s="3030"/>
    </row>
    <row r="2872" spans="2:9" ht="25.5">
      <c r="B2872" s="3192" t="s">
        <v>720</v>
      </c>
      <c r="C2872" s="3063"/>
      <c r="D2872" s="3064"/>
      <c r="E2872" s="3064"/>
      <c r="F2872" s="3064"/>
      <c r="G2872" s="3301" t="s">
        <v>720</v>
      </c>
      <c r="H2872" s="3063"/>
      <c r="I2872" s="3030"/>
    </row>
    <row r="2873" spans="2:9" ht="25.5">
      <c r="B2873" s="3299" t="s">
        <v>66</v>
      </c>
      <c r="C2873" s="3063"/>
      <c r="D2873" s="3064"/>
      <c r="E2873" s="3064"/>
      <c r="F2873" s="3064"/>
      <c r="G2873" s="3300" t="s">
        <v>66</v>
      </c>
      <c r="H2873" s="3063"/>
      <c r="I2873" s="3030"/>
    </row>
    <row r="2874" spans="2:9" ht="25.5">
      <c r="B2874" s="3192" t="s">
        <v>675</v>
      </c>
      <c r="C2874" s="3063"/>
      <c r="D2874" s="3064"/>
      <c r="E2874" s="3064"/>
      <c r="F2874" s="3064"/>
      <c r="G2874" s="3301" t="s">
        <v>675</v>
      </c>
      <c r="H2874" s="3063"/>
      <c r="I2874" s="3030"/>
    </row>
    <row r="2875" spans="2:9" ht="25.5">
      <c r="B2875" s="3192" t="s">
        <v>676</v>
      </c>
      <c r="C2875" s="3063"/>
      <c r="D2875" s="3064"/>
      <c r="E2875" s="3064"/>
      <c r="F2875" s="3064"/>
      <c r="G2875" s="3301" t="s">
        <v>676</v>
      </c>
      <c r="H2875" s="3063"/>
      <c r="I2875" s="3030"/>
    </row>
    <row r="2876" spans="2:9">
      <c r="B2876" s="3192" t="s">
        <v>677</v>
      </c>
      <c r="C2876" s="3063"/>
      <c r="D2876" s="3064"/>
      <c r="E2876" s="3064"/>
      <c r="F2876" s="3064"/>
      <c r="G2876" s="3301" t="s">
        <v>677</v>
      </c>
      <c r="H2876" s="3063"/>
      <c r="I2876" s="3030"/>
    </row>
    <row r="2877" spans="2:9">
      <c r="B2877" s="3192" t="s">
        <v>678</v>
      </c>
      <c r="C2877" s="3063"/>
      <c r="D2877" s="3064"/>
      <c r="E2877" s="3064"/>
      <c r="F2877" s="3064"/>
      <c r="G2877" s="3301" t="s">
        <v>678</v>
      </c>
      <c r="H2877" s="3063"/>
      <c r="I2877" s="3030"/>
    </row>
    <row r="2878" spans="2:9">
      <c r="B2878" s="3192" t="s">
        <v>679</v>
      </c>
      <c r="C2878" s="3063"/>
      <c r="D2878" s="3064"/>
      <c r="E2878" s="3064"/>
      <c r="F2878" s="3064"/>
      <c r="G2878" s="3301" t="s">
        <v>679</v>
      </c>
      <c r="H2878" s="3063"/>
      <c r="I2878" s="3030"/>
    </row>
    <row r="2879" spans="2:9" ht="25.5">
      <c r="B2879" s="3192" t="s">
        <v>720</v>
      </c>
      <c r="C2879" s="3063"/>
      <c r="D2879" s="3064"/>
      <c r="E2879" s="3064"/>
      <c r="F2879" s="3064"/>
      <c r="G2879" s="3301" t="s">
        <v>720</v>
      </c>
      <c r="H2879" s="3063"/>
      <c r="I2879" s="3030"/>
    </row>
    <row r="2880" spans="2:9">
      <c r="B2880" s="3299" t="s">
        <v>67</v>
      </c>
      <c r="C2880" s="3063"/>
      <c r="D2880" s="3064"/>
      <c r="E2880" s="3064"/>
      <c r="F2880" s="3064"/>
      <c r="G2880" s="3300" t="s">
        <v>67</v>
      </c>
      <c r="H2880" s="3063"/>
      <c r="I2880" s="3030"/>
    </row>
    <row r="2881" spans="2:9" ht="25.5">
      <c r="B2881" s="3192" t="s">
        <v>675</v>
      </c>
      <c r="C2881" s="3063"/>
      <c r="D2881" s="3064"/>
      <c r="E2881" s="3064"/>
      <c r="F2881" s="3064"/>
      <c r="G2881" s="3301" t="s">
        <v>675</v>
      </c>
      <c r="H2881" s="3063"/>
      <c r="I2881" s="3030"/>
    </row>
    <row r="2882" spans="2:9" ht="25.5">
      <c r="B2882" s="3192" t="s">
        <v>676</v>
      </c>
      <c r="C2882" s="3063"/>
      <c r="D2882" s="3064"/>
      <c r="E2882" s="3064"/>
      <c r="F2882" s="3064"/>
      <c r="G2882" s="3301" t="s">
        <v>676</v>
      </c>
      <c r="H2882" s="3063"/>
      <c r="I2882" s="3030"/>
    </row>
    <row r="2883" spans="2:9">
      <c r="B2883" s="3192" t="s">
        <v>677</v>
      </c>
      <c r="C2883" s="3063"/>
      <c r="D2883" s="3064"/>
      <c r="E2883" s="3064"/>
      <c r="F2883" s="3064"/>
      <c r="G2883" s="3301" t="s">
        <v>677</v>
      </c>
      <c r="H2883" s="3063"/>
      <c r="I2883" s="3030"/>
    </row>
    <row r="2884" spans="2:9">
      <c r="B2884" s="3192" t="s">
        <v>678</v>
      </c>
      <c r="C2884" s="3063"/>
      <c r="D2884" s="3064"/>
      <c r="E2884" s="3064"/>
      <c r="F2884" s="3064"/>
      <c r="G2884" s="3301" t="s">
        <v>678</v>
      </c>
      <c r="H2884" s="3063"/>
      <c r="I2884" s="3030"/>
    </row>
    <row r="2885" spans="2:9">
      <c r="B2885" s="3192" t="s">
        <v>679</v>
      </c>
      <c r="C2885" s="3063"/>
      <c r="D2885" s="3064"/>
      <c r="E2885" s="3064"/>
      <c r="F2885" s="3064"/>
      <c r="G2885" s="3301" t="s">
        <v>679</v>
      </c>
      <c r="H2885" s="3063"/>
      <c r="I2885" s="3030"/>
    </row>
    <row r="2886" spans="2:9" ht="25.5">
      <c r="B2886" s="3230" t="s">
        <v>81</v>
      </c>
      <c r="C2886" s="3063"/>
      <c r="D2886" s="3064"/>
      <c r="E2886" s="3064"/>
      <c r="F2886" s="3064"/>
      <c r="G2886" s="3302" t="s">
        <v>81</v>
      </c>
      <c r="H2886" s="3063"/>
      <c r="I2886" s="3030"/>
    </row>
    <row r="2887" spans="2:9" ht="26.25" thickBot="1">
      <c r="B2887" s="3303" t="s">
        <v>81</v>
      </c>
      <c r="C2887" s="3063"/>
      <c r="D2887" s="3064"/>
      <c r="E2887" s="3064"/>
      <c r="F2887" s="3064"/>
      <c r="G2887" s="3302" t="s">
        <v>81</v>
      </c>
      <c r="H2887" s="3063"/>
      <c r="I2887" s="3030"/>
    </row>
    <row r="2888" spans="2:9">
      <c r="B2888" s="3217" t="s">
        <v>697</v>
      </c>
      <c r="C2888" s="3218"/>
      <c r="D2888" s="3219"/>
      <c r="E2888" s="3219"/>
      <c r="F2888" s="3219"/>
      <c r="G2888" s="3217" t="s">
        <v>697</v>
      </c>
      <c r="H2888" s="3297"/>
      <c r="I2888" s="3298"/>
    </row>
    <row r="2889" spans="2:9">
      <c r="B2889" s="3299" t="s">
        <v>64</v>
      </c>
      <c r="C2889" s="3063"/>
      <c r="D2889" s="3064"/>
      <c r="E2889" s="3064"/>
      <c r="F2889" s="3064"/>
      <c r="G2889" s="3300" t="s">
        <v>64</v>
      </c>
      <c r="H2889" s="3063"/>
      <c r="I2889" s="3030"/>
    </row>
    <row r="2890" spans="2:9" ht="25.5">
      <c r="B2890" s="3192" t="s">
        <v>675</v>
      </c>
      <c r="C2890" s="3063"/>
      <c r="D2890" s="3064"/>
      <c r="E2890" s="3064"/>
      <c r="F2890" s="3064"/>
      <c r="G2890" s="3301" t="s">
        <v>675</v>
      </c>
      <c r="H2890" s="3063"/>
      <c r="I2890" s="3030"/>
    </row>
    <row r="2891" spans="2:9" ht="25.5">
      <c r="B2891" s="3192" t="s">
        <v>676</v>
      </c>
      <c r="C2891" s="3063"/>
      <c r="D2891" s="3064"/>
      <c r="E2891" s="3064"/>
      <c r="F2891" s="3064"/>
      <c r="G2891" s="3301" t="s">
        <v>676</v>
      </c>
      <c r="H2891" s="3063"/>
      <c r="I2891" s="3030"/>
    </row>
    <row r="2892" spans="2:9">
      <c r="B2892" s="3192" t="s">
        <v>677</v>
      </c>
      <c r="C2892" s="3063"/>
      <c r="D2892" s="3064"/>
      <c r="E2892" s="3064"/>
      <c r="F2892" s="3064"/>
      <c r="G2892" s="3301" t="s">
        <v>677</v>
      </c>
      <c r="H2892" s="3063"/>
      <c r="I2892" s="3030"/>
    </row>
    <row r="2893" spans="2:9">
      <c r="B2893" s="3192" t="s">
        <v>678</v>
      </c>
      <c r="C2893" s="3063"/>
      <c r="D2893" s="3064"/>
      <c r="E2893" s="3064"/>
      <c r="F2893" s="3064"/>
      <c r="G2893" s="3301" t="s">
        <v>678</v>
      </c>
      <c r="H2893" s="3063"/>
      <c r="I2893" s="3030"/>
    </row>
    <row r="2894" spans="2:9">
      <c r="B2894" s="3192" t="s">
        <v>679</v>
      </c>
      <c r="C2894" s="3063"/>
      <c r="D2894" s="3064"/>
      <c r="E2894" s="3064"/>
      <c r="F2894" s="3064"/>
      <c r="G2894" s="3301" t="s">
        <v>679</v>
      </c>
      <c r="H2894" s="3063"/>
      <c r="I2894" s="3030"/>
    </row>
    <row r="2895" spans="2:9" ht="25.5">
      <c r="B2895" s="3192" t="s">
        <v>720</v>
      </c>
      <c r="C2895" s="3063"/>
      <c r="D2895" s="3064"/>
      <c r="E2895" s="3064"/>
      <c r="F2895" s="3064"/>
      <c r="G2895" s="3301" t="s">
        <v>720</v>
      </c>
      <c r="H2895" s="3063"/>
      <c r="I2895" s="3030"/>
    </row>
    <row r="2896" spans="2:9">
      <c r="B2896" s="3299" t="s">
        <v>65</v>
      </c>
      <c r="C2896" s="3063"/>
      <c r="D2896" s="3064"/>
      <c r="E2896" s="3064"/>
      <c r="F2896" s="3064"/>
      <c r="G2896" s="3300" t="s">
        <v>65</v>
      </c>
      <c r="H2896" s="3063"/>
      <c r="I2896" s="3030"/>
    </row>
    <row r="2897" spans="2:9" ht="25.5">
      <c r="B2897" s="3192" t="s">
        <v>675</v>
      </c>
      <c r="C2897" s="3063"/>
      <c r="D2897" s="3064"/>
      <c r="E2897" s="3064"/>
      <c r="F2897" s="3064"/>
      <c r="G2897" s="3301" t="s">
        <v>675</v>
      </c>
      <c r="H2897" s="3063"/>
      <c r="I2897" s="3030"/>
    </row>
    <row r="2898" spans="2:9" ht="25.5">
      <c r="B2898" s="3192" t="s">
        <v>676</v>
      </c>
      <c r="C2898" s="3063"/>
      <c r="D2898" s="3064"/>
      <c r="E2898" s="3064"/>
      <c r="F2898" s="3064"/>
      <c r="G2898" s="3301" t="s">
        <v>676</v>
      </c>
      <c r="H2898" s="3063"/>
      <c r="I2898" s="3030"/>
    </row>
    <row r="2899" spans="2:9">
      <c r="B2899" s="3192" t="s">
        <v>677</v>
      </c>
      <c r="C2899" s="3063"/>
      <c r="D2899" s="3064"/>
      <c r="E2899" s="3064"/>
      <c r="F2899" s="3064"/>
      <c r="G2899" s="3301" t="s">
        <v>677</v>
      </c>
      <c r="H2899" s="3063"/>
      <c r="I2899" s="3030"/>
    </row>
    <row r="2900" spans="2:9">
      <c r="B2900" s="3192" t="s">
        <v>678</v>
      </c>
      <c r="C2900" s="3063"/>
      <c r="D2900" s="3064"/>
      <c r="E2900" s="3064"/>
      <c r="F2900" s="3064"/>
      <c r="G2900" s="3301" t="s">
        <v>678</v>
      </c>
      <c r="H2900" s="3063"/>
      <c r="I2900" s="3030"/>
    </row>
    <row r="2901" spans="2:9">
      <c r="B2901" s="3192" t="s">
        <v>679</v>
      </c>
      <c r="C2901" s="3063"/>
      <c r="D2901" s="3064"/>
      <c r="E2901" s="3064"/>
      <c r="F2901" s="3064"/>
      <c r="G2901" s="3301" t="s">
        <v>679</v>
      </c>
      <c r="H2901" s="3063"/>
      <c r="I2901" s="3030"/>
    </row>
    <row r="2902" spans="2:9" ht="25.5">
      <c r="B2902" s="3192" t="s">
        <v>720</v>
      </c>
      <c r="C2902" s="3063"/>
      <c r="D2902" s="3064"/>
      <c r="E2902" s="3064"/>
      <c r="F2902" s="3064"/>
      <c r="G2902" s="3301" t="s">
        <v>720</v>
      </c>
      <c r="H2902" s="3063"/>
      <c r="I2902" s="3030"/>
    </row>
    <row r="2903" spans="2:9">
      <c r="B2903" s="3299" t="s">
        <v>82</v>
      </c>
      <c r="C2903" s="3063"/>
      <c r="D2903" s="3064"/>
      <c r="E2903" s="3064"/>
      <c r="F2903" s="3064"/>
      <c r="G2903" s="3300" t="s">
        <v>82</v>
      </c>
      <c r="H2903" s="3063"/>
      <c r="I2903" s="3030"/>
    </row>
    <row r="2904" spans="2:9" ht="25.5">
      <c r="B2904" s="3192" t="s">
        <v>675</v>
      </c>
      <c r="C2904" s="3063"/>
      <c r="D2904" s="3064"/>
      <c r="E2904" s="3064"/>
      <c r="F2904" s="3064"/>
      <c r="G2904" s="3301" t="s">
        <v>675</v>
      </c>
      <c r="H2904" s="3063"/>
      <c r="I2904" s="3030"/>
    </row>
    <row r="2905" spans="2:9" ht="25.5">
      <c r="B2905" s="3192" t="s">
        <v>676</v>
      </c>
      <c r="C2905" s="3063"/>
      <c r="D2905" s="3064"/>
      <c r="E2905" s="3064"/>
      <c r="F2905" s="3064"/>
      <c r="G2905" s="3301" t="s">
        <v>676</v>
      </c>
      <c r="H2905" s="3063"/>
      <c r="I2905" s="3030"/>
    </row>
    <row r="2906" spans="2:9">
      <c r="B2906" s="3192" t="s">
        <v>677</v>
      </c>
      <c r="C2906" s="3063"/>
      <c r="D2906" s="3064"/>
      <c r="E2906" s="3064"/>
      <c r="F2906" s="3064"/>
      <c r="G2906" s="3301" t="s">
        <v>677</v>
      </c>
      <c r="H2906" s="3063"/>
      <c r="I2906" s="3030"/>
    </row>
    <row r="2907" spans="2:9">
      <c r="B2907" s="3192" t="s">
        <v>678</v>
      </c>
      <c r="C2907" s="3063"/>
      <c r="D2907" s="3064"/>
      <c r="E2907" s="3064"/>
      <c r="F2907" s="3064"/>
      <c r="G2907" s="3301" t="s">
        <v>678</v>
      </c>
      <c r="H2907" s="3063"/>
      <c r="I2907" s="3030"/>
    </row>
    <row r="2908" spans="2:9">
      <c r="B2908" s="3192" t="s">
        <v>679</v>
      </c>
      <c r="C2908" s="3063"/>
      <c r="D2908" s="3064"/>
      <c r="E2908" s="3064"/>
      <c r="F2908" s="3064"/>
      <c r="G2908" s="3301" t="s">
        <v>679</v>
      </c>
      <c r="H2908" s="3063"/>
      <c r="I2908" s="3030"/>
    </row>
    <row r="2909" spans="2:9" ht="25.5">
      <c r="B2909" s="3192" t="s">
        <v>720</v>
      </c>
      <c r="C2909" s="3063"/>
      <c r="D2909" s="3064"/>
      <c r="E2909" s="3064"/>
      <c r="F2909" s="3064"/>
      <c r="G2909" s="3301" t="s">
        <v>720</v>
      </c>
      <c r="H2909" s="3063"/>
      <c r="I2909" s="3030"/>
    </row>
    <row r="2910" spans="2:9" ht="38.25">
      <c r="B2910" s="3299" t="s">
        <v>680</v>
      </c>
      <c r="C2910" s="3063"/>
      <c r="D2910" s="3064"/>
      <c r="E2910" s="3064"/>
      <c r="F2910" s="3064"/>
      <c r="G2910" s="3300" t="s">
        <v>680</v>
      </c>
      <c r="H2910" s="3063"/>
      <c r="I2910" s="3030"/>
    </row>
    <row r="2911" spans="2:9" ht="25.5">
      <c r="B2911" s="3192" t="s">
        <v>675</v>
      </c>
      <c r="C2911" s="3063"/>
      <c r="D2911" s="3064"/>
      <c r="E2911" s="3064"/>
      <c r="F2911" s="3064"/>
      <c r="G2911" s="3301" t="s">
        <v>675</v>
      </c>
      <c r="H2911" s="3063"/>
      <c r="I2911" s="3030"/>
    </row>
    <row r="2912" spans="2:9" ht="25.5">
      <c r="B2912" s="3192" t="s">
        <v>676</v>
      </c>
      <c r="C2912" s="3063"/>
      <c r="D2912" s="3064"/>
      <c r="E2912" s="3064"/>
      <c r="F2912" s="3064"/>
      <c r="G2912" s="3301" t="s">
        <v>676</v>
      </c>
      <c r="H2912" s="3063"/>
      <c r="I2912" s="3030"/>
    </row>
    <row r="2913" spans="2:9">
      <c r="B2913" s="3192" t="s">
        <v>677</v>
      </c>
      <c r="C2913" s="3063"/>
      <c r="D2913" s="3064"/>
      <c r="E2913" s="3064"/>
      <c r="F2913" s="3064"/>
      <c r="G2913" s="3301" t="s">
        <v>677</v>
      </c>
      <c r="H2913" s="3063"/>
      <c r="I2913" s="3030"/>
    </row>
    <row r="2914" spans="2:9">
      <c r="B2914" s="3192" t="s">
        <v>678</v>
      </c>
      <c r="C2914" s="3063"/>
      <c r="D2914" s="3064"/>
      <c r="E2914" s="3064"/>
      <c r="F2914" s="3064"/>
      <c r="G2914" s="3301" t="s">
        <v>678</v>
      </c>
      <c r="H2914" s="3063"/>
      <c r="I2914" s="3030"/>
    </row>
    <row r="2915" spans="2:9">
      <c r="B2915" s="3192" t="s">
        <v>679</v>
      </c>
      <c r="C2915" s="3063"/>
      <c r="D2915" s="3064"/>
      <c r="E2915" s="3064"/>
      <c r="F2915" s="3064"/>
      <c r="G2915" s="3301" t="s">
        <v>679</v>
      </c>
      <c r="H2915" s="3063"/>
      <c r="I2915" s="3030"/>
    </row>
    <row r="2916" spans="2:9" ht="25.5">
      <c r="B2916" s="3192" t="s">
        <v>720</v>
      </c>
      <c r="C2916" s="3063"/>
      <c r="D2916" s="3064"/>
      <c r="E2916" s="3064"/>
      <c r="F2916" s="3064"/>
      <c r="G2916" s="3301" t="s">
        <v>720</v>
      </c>
      <c r="H2916" s="3063"/>
      <c r="I2916" s="3030"/>
    </row>
    <row r="2917" spans="2:9" ht="38.25">
      <c r="B2917" s="3299" t="s">
        <v>681</v>
      </c>
      <c r="C2917" s="3063"/>
      <c r="D2917" s="3064"/>
      <c r="E2917" s="3064"/>
      <c r="F2917" s="3064">
        <v>1</v>
      </c>
      <c r="G2917" s="3300" t="s">
        <v>681</v>
      </c>
      <c r="H2917" s="3063">
        <v>3.2354606487098592E-2</v>
      </c>
      <c r="I2917" s="3030"/>
    </row>
    <row r="2918" spans="2:9" ht="25.5">
      <c r="B2918" s="3192" t="s">
        <v>675</v>
      </c>
      <c r="C2918" s="3063">
        <v>3</v>
      </c>
      <c r="D2918" s="3064">
        <v>2</v>
      </c>
      <c r="E2918" s="3064"/>
      <c r="F2918" s="3064"/>
      <c r="G2918" s="3301" t="s">
        <v>675</v>
      </c>
      <c r="H2918" s="3063"/>
      <c r="I2918" s="3030">
        <v>4.044325810887324E-2</v>
      </c>
    </row>
    <row r="2919" spans="2:9" ht="25.5">
      <c r="B2919" s="3192" t="s">
        <v>676</v>
      </c>
      <c r="C2919" s="3063"/>
      <c r="D2919" s="3064"/>
      <c r="E2919" s="3064"/>
      <c r="F2919" s="3064"/>
      <c r="G2919" s="3301" t="s">
        <v>676</v>
      </c>
      <c r="H2919" s="3063"/>
      <c r="I2919" s="3030"/>
    </row>
    <row r="2920" spans="2:9">
      <c r="B2920" s="3192" t="s">
        <v>677</v>
      </c>
      <c r="C2920" s="3063"/>
      <c r="D2920" s="3064"/>
      <c r="E2920" s="3064"/>
      <c r="F2920" s="3064"/>
      <c r="G2920" s="3301" t="s">
        <v>677</v>
      </c>
      <c r="H2920" s="3063"/>
      <c r="I2920" s="3030"/>
    </row>
    <row r="2921" spans="2:9">
      <c r="B2921" s="3192" t="s">
        <v>678</v>
      </c>
      <c r="C2921" s="3063"/>
      <c r="D2921" s="3064"/>
      <c r="E2921" s="3064"/>
      <c r="F2921" s="3064"/>
      <c r="G2921" s="3301" t="s">
        <v>678</v>
      </c>
      <c r="H2921" s="3063"/>
      <c r="I2921" s="3030"/>
    </row>
    <row r="2922" spans="2:9">
      <c r="B2922" s="3192" t="s">
        <v>679</v>
      </c>
      <c r="C2922" s="3063"/>
      <c r="D2922" s="3064"/>
      <c r="E2922" s="3064"/>
      <c r="F2922" s="3064"/>
      <c r="G2922" s="3301" t="s">
        <v>679</v>
      </c>
      <c r="H2922" s="3063"/>
      <c r="I2922" s="3030"/>
    </row>
    <row r="2923" spans="2:9" ht="25.5">
      <c r="B2923" s="3192" t="s">
        <v>720</v>
      </c>
      <c r="C2923" s="3063"/>
      <c r="D2923" s="3064"/>
      <c r="E2923" s="3064"/>
      <c r="F2923" s="3064"/>
      <c r="G2923" s="3301" t="s">
        <v>720</v>
      </c>
      <c r="H2923" s="3063"/>
      <c r="I2923" s="3030"/>
    </row>
    <row r="2924" spans="2:9" ht="25.5">
      <c r="B2924" s="3299" t="s">
        <v>682</v>
      </c>
      <c r="C2924" s="3063"/>
      <c r="D2924" s="3064"/>
      <c r="E2924" s="3064"/>
      <c r="F2924" s="3064"/>
      <c r="G2924" s="3300" t="s">
        <v>682</v>
      </c>
      <c r="H2924" s="3063"/>
      <c r="I2924" s="3030"/>
    </row>
    <row r="2925" spans="2:9" ht="25.5">
      <c r="B2925" s="3192" t="s">
        <v>675</v>
      </c>
      <c r="C2925" s="3063"/>
      <c r="D2925" s="3064"/>
      <c r="E2925" s="3064"/>
      <c r="F2925" s="3064"/>
      <c r="G2925" s="3301" t="s">
        <v>675</v>
      </c>
      <c r="H2925" s="3063"/>
      <c r="I2925" s="3030"/>
    </row>
    <row r="2926" spans="2:9" ht="25.5">
      <c r="B2926" s="3192" t="s">
        <v>676</v>
      </c>
      <c r="C2926" s="3063"/>
      <c r="D2926" s="3064"/>
      <c r="E2926" s="3064"/>
      <c r="F2926" s="3064"/>
      <c r="G2926" s="3301" t="s">
        <v>676</v>
      </c>
      <c r="H2926" s="3063"/>
      <c r="I2926" s="3030"/>
    </row>
    <row r="2927" spans="2:9">
      <c r="B2927" s="3192" t="s">
        <v>677</v>
      </c>
      <c r="C2927" s="3063"/>
      <c r="D2927" s="3064"/>
      <c r="E2927" s="3064"/>
      <c r="F2927" s="3064"/>
      <c r="G2927" s="3301" t="s">
        <v>677</v>
      </c>
      <c r="H2927" s="3063"/>
      <c r="I2927" s="3030"/>
    </row>
    <row r="2928" spans="2:9">
      <c r="B2928" s="3192" t="s">
        <v>678</v>
      </c>
      <c r="C2928" s="3063"/>
      <c r="D2928" s="3064"/>
      <c r="E2928" s="3064"/>
      <c r="F2928" s="3064"/>
      <c r="G2928" s="3301" t="s">
        <v>678</v>
      </c>
      <c r="H2928" s="3063"/>
      <c r="I2928" s="3030"/>
    </row>
    <row r="2929" spans="2:9">
      <c r="B2929" s="3192" t="s">
        <v>679</v>
      </c>
      <c r="C2929" s="3063"/>
      <c r="D2929" s="3064"/>
      <c r="E2929" s="3064"/>
      <c r="F2929" s="3064"/>
      <c r="G2929" s="3301" t="s">
        <v>679</v>
      </c>
      <c r="H2929" s="3063"/>
      <c r="I2929" s="3030"/>
    </row>
    <row r="2930" spans="2:9" ht="25.5">
      <c r="B2930" s="3192" t="s">
        <v>720</v>
      </c>
      <c r="C2930" s="3063"/>
      <c r="D2930" s="3064"/>
      <c r="E2930" s="3064"/>
      <c r="F2930" s="3064"/>
      <c r="G2930" s="3301" t="s">
        <v>720</v>
      </c>
      <c r="H2930" s="3063"/>
      <c r="I2930" s="3030"/>
    </row>
    <row r="2931" spans="2:9" ht="25.5">
      <c r="B2931" s="3299" t="s">
        <v>66</v>
      </c>
      <c r="C2931" s="3063"/>
      <c r="D2931" s="3064"/>
      <c r="E2931" s="3064"/>
      <c r="F2931" s="3064"/>
      <c r="G2931" s="3300" t="s">
        <v>66</v>
      </c>
      <c r="H2931" s="3063"/>
      <c r="I2931" s="3030"/>
    </row>
    <row r="2932" spans="2:9" ht="25.5">
      <c r="B2932" s="3192" t="s">
        <v>675</v>
      </c>
      <c r="C2932" s="3063"/>
      <c r="D2932" s="3064"/>
      <c r="E2932" s="3064"/>
      <c r="F2932" s="3064"/>
      <c r="G2932" s="3301" t="s">
        <v>675</v>
      </c>
      <c r="H2932" s="3063"/>
      <c r="I2932" s="3030"/>
    </row>
    <row r="2933" spans="2:9" ht="25.5">
      <c r="B2933" s="3192" t="s">
        <v>676</v>
      </c>
      <c r="C2933" s="3063"/>
      <c r="D2933" s="3064"/>
      <c r="E2933" s="3064"/>
      <c r="F2933" s="3064"/>
      <c r="G2933" s="3301" t="s">
        <v>676</v>
      </c>
      <c r="H2933" s="3063"/>
      <c r="I2933" s="3030"/>
    </row>
    <row r="2934" spans="2:9">
      <c r="B2934" s="3192" t="s">
        <v>677</v>
      </c>
      <c r="C2934" s="3063"/>
      <c r="D2934" s="3064"/>
      <c r="E2934" s="3064"/>
      <c r="F2934" s="3064"/>
      <c r="G2934" s="3301" t="s">
        <v>677</v>
      </c>
      <c r="H2934" s="3063"/>
      <c r="I2934" s="3030"/>
    </row>
    <row r="2935" spans="2:9">
      <c r="B2935" s="3192" t="s">
        <v>678</v>
      </c>
      <c r="C2935" s="3063"/>
      <c r="D2935" s="3064"/>
      <c r="E2935" s="3064"/>
      <c r="F2935" s="3064"/>
      <c r="G2935" s="3301" t="s">
        <v>678</v>
      </c>
      <c r="H2935" s="3063"/>
      <c r="I2935" s="3030"/>
    </row>
    <row r="2936" spans="2:9">
      <c r="B2936" s="3192" t="s">
        <v>679</v>
      </c>
      <c r="C2936" s="3063"/>
      <c r="D2936" s="3064"/>
      <c r="E2936" s="3064"/>
      <c r="F2936" s="3064"/>
      <c r="G2936" s="3301" t="s">
        <v>679</v>
      </c>
      <c r="H2936" s="3063"/>
      <c r="I2936" s="3030"/>
    </row>
    <row r="2937" spans="2:9" ht="25.5">
      <c r="B2937" s="3192" t="s">
        <v>720</v>
      </c>
      <c r="C2937" s="3063"/>
      <c r="D2937" s="3064"/>
      <c r="E2937" s="3064"/>
      <c r="F2937" s="3064"/>
      <c r="G2937" s="3301" t="s">
        <v>720</v>
      </c>
      <c r="H2937" s="3063"/>
      <c r="I2937" s="3030"/>
    </row>
    <row r="2938" spans="2:9">
      <c r="B2938" s="3299" t="s">
        <v>67</v>
      </c>
      <c r="C2938" s="3063"/>
      <c r="D2938" s="3064"/>
      <c r="E2938" s="3064"/>
      <c r="F2938" s="3064">
        <v>5</v>
      </c>
      <c r="G2938" s="3300" t="s">
        <v>67</v>
      </c>
      <c r="H2938" s="3063"/>
      <c r="I2938" s="3030"/>
    </row>
    <row r="2939" spans="2:9" ht="25.5">
      <c r="B2939" s="3192" t="s">
        <v>675</v>
      </c>
      <c r="C2939" s="3063"/>
      <c r="D2939" s="3064"/>
      <c r="E2939" s="3064"/>
      <c r="F2939" s="3064"/>
      <c r="G2939" s="3301" t="s">
        <v>675</v>
      </c>
      <c r="H2939" s="3063"/>
      <c r="I2939" s="3030"/>
    </row>
    <row r="2940" spans="2:9" ht="25.5">
      <c r="B2940" s="3192" t="s">
        <v>676</v>
      </c>
      <c r="C2940" s="3063"/>
      <c r="D2940" s="3064"/>
      <c r="E2940" s="3064"/>
      <c r="F2940" s="3064"/>
      <c r="G2940" s="3301" t="s">
        <v>676</v>
      </c>
      <c r="H2940" s="3063"/>
      <c r="I2940" s="3030"/>
    </row>
    <row r="2941" spans="2:9">
      <c r="B2941" s="3192" t="s">
        <v>677</v>
      </c>
      <c r="C2941" s="3063"/>
      <c r="D2941" s="3064"/>
      <c r="E2941" s="3064"/>
      <c r="F2941" s="3064"/>
      <c r="G2941" s="3301" t="s">
        <v>677</v>
      </c>
      <c r="H2941" s="3063"/>
      <c r="I2941" s="3030"/>
    </row>
    <row r="2942" spans="2:9">
      <c r="B2942" s="3192" t="s">
        <v>678</v>
      </c>
      <c r="C2942" s="3063"/>
      <c r="D2942" s="3064"/>
      <c r="E2942" s="3064"/>
      <c r="F2942" s="3064"/>
      <c r="G2942" s="3301" t="s">
        <v>678</v>
      </c>
      <c r="H2942" s="3063"/>
      <c r="I2942" s="3030"/>
    </row>
    <row r="2943" spans="2:9">
      <c r="B2943" s="3192" t="s">
        <v>679</v>
      </c>
      <c r="C2943" s="3063"/>
      <c r="D2943" s="3064"/>
      <c r="E2943" s="3064"/>
      <c r="F2943" s="3064"/>
      <c r="G2943" s="3301" t="s">
        <v>679</v>
      </c>
      <c r="H2943" s="3063"/>
      <c r="I2943" s="3030"/>
    </row>
    <row r="2944" spans="2:9" ht="25.5">
      <c r="B2944" s="3230" t="s">
        <v>81</v>
      </c>
      <c r="C2944" s="3063"/>
      <c r="D2944" s="3064"/>
      <c r="E2944" s="3064"/>
      <c r="F2944" s="3064"/>
      <c r="G2944" s="3302" t="s">
        <v>81</v>
      </c>
      <c r="H2944" s="3063"/>
      <c r="I2944" s="3030"/>
    </row>
    <row r="2945" spans="2:9" ht="26.25" thickBot="1">
      <c r="B2945" s="3303" t="s">
        <v>81</v>
      </c>
      <c r="C2945" s="3068"/>
      <c r="D2945" s="3069"/>
      <c r="E2945" s="3069"/>
      <c r="F2945" s="3069"/>
      <c r="G2945" s="3304" t="s">
        <v>81</v>
      </c>
      <c r="H2945" s="3068"/>
      <c r="I2945" s="3070"/>
    </row>
    <row r="2946" spans="2:9" ht="38.25">
      <c r="B2946" s="4723">
        <v>3018</v>
      </c>
      <c r="C2946" s="3289"/>
      <c r="D2946" s="3290"/>
      <c r="E2946" s="3290"/>
      <c r="F2946" s="3290"/>
      <c r="G2946" s="4723">
        <v>3018</v>
      </c>
      <c r="H2946" s="3291" t="s">
        <v>687</v>
      </c>
      <c r="I2946" s="3292" t="s">
        <v>688</v>
      </c>
    </row>
    <row r="2947" spans="2:9">
      <c r="B2947" s="4724"/>
      <c r="C2947" s="4678" t="s">
        <v>686</v>
      </c>
      <c r="D2947" s="4725"/>
      <c r="E2947" s="4725"/>
      <c r="F2947" s="4726"/>
      <c r="G2947" s="4724"/>
      <c r="H2947" s="3293"/>
      <c r="I2947" s="3294"/>
    </row>
    <row r="2948" spans="2:9" ht="13.5" thickBot="1">
      <c r="B2948" s="4724"/>
      <c r="C2948" s="3215">
        <v>2013</v>
      </c>
      <c r="D2948" s="3215">
        <v>2014</v>
      </c>
      <c r="E2948" s="3215">
        <v>2015</v>
      </c>
      <c r="F2948" s="3215">
        <v>2016</v>
      </c>
      <c r="G2948" s="4724"/>
      <c r="H2948" s="3295" t="s">
        <v>390</v>
      </c>
      <c r="I2948" s="3296" t="s">
        <v>390</v>
      </c>
    </row>
    <row r="2949" spans="2:9">
      <c r="B2949" s="3217" t="s">
        <v>695</v>
      </c>
      <c r="C2949" s="3218"/>
      <c r="D2949" s="3219"/>
      <c r="E2949" s="3219"/>
      <c r="F2949" s="3219"/>
      <c r="G2949" s="3217" t="s">
        <v>695</v>
      </c>
      <c r="H2949" s="3297"/>
      <c r="I2949" s="3298"/>
    </row>
    <row r="2950" spans="2:9">
      <c r="B2950" s="3299" t="s">
        <v>64</v>
      </c>
      <c r="C2950" s="3063"/>
      <c r="D2950" s="3064"/>
      <c r="E2950" s="3064"/>
      <c r="F2950" s="3064"/>
      <c r="G2950" s="3300" t="s">
        <v>64</v>
      </c>
      <c r="H2950" s="3063"/>
      <c r="I2950" s="3030"/>
    </row>
    <row r="2951" spans="2:9" ht="25.5">
      <c r="B2951" s="3192" t="s">
        <v>675</v>
      </c>
      <c r="C2951" s="3063"/>
      <c r="D2951" s="3064"/>
      <c r="E2951" s="3064"/>
      <c r="F2951" s="3064"/>
      <c r="G2951" s="3301" t="s">
        <v>675</v>
      </c>
      <c r="H2951" s="3063"/>
      <c r="I2951" s="3030"/>
    </row>
    <row r="2952" spans="2:9" ht="25.5">
      <c r="B2952" s="3192" t="s">
        <v>676</v>
      </c>
      <c r="C2952" s="3063"/>
      <c r="D2952" s="3064"/>
      <c r="E2952" s="3064"/>
      <c r="F2952" s="3064"/>
      <c r="G2952" s="3301" t="s">
        <v>676</v>
      </c>
      <c r="H2952" s="3063"/>
      <c r="I2952" s="3030"/>
    </row>
    <row r="2953" spans="2:9">
      <c r="B2953" s="3192" t="s">
        <v>677</v>
      </c>
      <c r="C2953" s="3063"/>
      <c r="D2953" s="3064"/>
      <c r="E2953" s="3064"/>
      <c r="F2953" s="3064"/>
      <c r="G2953" s="3301" t="s">
        <v>677</v>
      </c>
      <c r="H2953" s="3063"/>
      <c r="I2953" s="3030"/>
    </row>
    <row r="2954" spans="2:9">
      <c r="B2954" s="3192" t="s">
        <v>678</v>
      </c>
      <c r="C2954" s="3063"/>
      <c r="D2954" s="3064"/>
      <c r="E2954" s="3064"/>
      <c r="F2954" s="3064"/>
      <c r="G2954" s="3301" t="s">
        <v>678</v>
      </c>
      <c r="H2954" s="3063"/>
      <c r="I2954" s="3030"/>
    </row>
    <row r="2955" spans="2:9">
      <c r="B2955" s="3192" t="s">
        <v>679</v>
      </c>
      <c r="C2955" s="3063"/>
      <c r="D2955" s="3064"/>
      <c r="E2955" s="3064"/>
      <c r="F2955" s="3064"/>
      <c r="G2955" s="3301" t="s">
        <v>679</v>
      </c>
      <c r="H2955" s="3063"/>
      <c r="I2955" s="3030"/>
    </row>
    <row r="2956" spans="2:9" ht="25.5">
      <c r="B2956" s="3192" t="s">
        <v>720</v>
      </c>
      <c r="C2956" s="3063"/>
      <c r="D2956" s="3064"/>
      <c r="E2956" s="3064"/>
      <c r="F2956" s="3064"/>
      <c r="G2956" s="3301" t="s">
        <v>720</v>
      </c>
      <c r="H2956" s="3063"/>
      <c r="I2956" s="3030"/>
    </row>
    <row r="2957" spans="2:9">
      <c r="B2957" s="3299" t="s">
        <v>65</v>
      </c>
      <c r="C2957" s="3063"/>
      <c r="D2957" s="3064"/>
      <c r="E2957" s="3064"/>
      <c r="F2957" s="3064"/>
      <c r="G2957" s="3300" t="s">
        <v>65</v>
      </c>
      <c r="H2957" s="3063"/>
      <c r="I2957" s="3030"/>
    </row>
    <row r="2958" spans="2:9" ht="25.5">
      <c r="B2958" s="3192" t="s">
        <v>675</v>
      </c>
      <c r="C2958" s="3063"/>
      <c r="D2958" s="3064"/>
      <c r="E2958" s="3064"/>
      <c r="F2958" s="3064"/>
      <c r="G2958" s="3301" t="s">
        <v>675</v>
      </c>
      <c r="H2958" s="3063"/>
      <c r="I2958" s="3030"/>
    </row>
    <row r="2959" spans="2:9" ht="25.5">
      <c r="B2959" s="3192" t="s">
        <v>676</v>
      </c>
      <c r="C2959" s="3063"/>
      <c r="D2959" s="3064"/>
      <c r="E2959" s="3064"/>
      <c r="F2959" s="3064"/>
      <c r="G2959" s="3301" t="s">
        <v>676</v>
      </c>
      <c r="H2959" s="3063"/>
      <c r="I2959" s="3030"/>
    </row>
    <row r="2960" spans="2:9">
      <c r="B2960" s="3192" t="s">
        <v>677</v>
      </c>
      <c r="C2960" s="3063"/>
      <c r="D2960" s="3064"/>
      <c r="E2960" s="3064"/>
      <c r="F2960" s="3064"/>
      <c r="G2960" s="3301" t="s">
        <v>677</v>
      </c>
      <c r="H2960" s="3063"/>
      <c r="I2960" s="3030"/>
    </row>
    <row r="2961" spans="2:9">
      <c r="B2961" s="3192" t="s">
        <v>678</v>
      </c>
      <c r="C2961" s="3063"/>
      <c r="D2961" s="3064"/>
      <c r="E2961" s="3064"/>
      <c r="F2961" s="3064"/>
      <c r="G2961" s="3301" t="s">
        <v>678</v>
      </c>
      <c r="H2961" s="3063"/>
      <c r="I2961" s="3030"/>
    </row>
    <row r="2962" spans="2:9">
      <c r="B2962" s="3192" t="s">
        <v>679</v>
      </c>
      <c r="C2962" s="3063"/>
      <c r="D2962" s="3064"/>
      <c r="E2962" s="3064"/>
      <c r="F2962" s="3064"/>
      <c r="G2962" s="3301" t="s">
        <v>679</v>
      </c>
      <c r="H2962" s="3063"/>
      <c r="I2962" s="3030"/>
    </row>
    <row r="2963" spans="2:9" ht="25.5">
      <c r="B2963" s="3192" t="s">
        <v>720</v>
      </c>
      <c r="C2963" s="3063"/>
      <c r="D2963" s="3064"/>
      <c r="E2963" s="3064"/>
      <c r="F2963" s="3064"/>
      <c r="G2963" s="3301" t="s">
        <v>720</v>
      </c>
      <c r="H2963" s="3063"/>
      <c r="I2963" s="3030"/>
    </row>
    <row r="2964" spans="2:9">
      <c r="B2964" s="3299" t="s">
        <v>82</v>
      </c>
      <c r="C2964" s="3063"/>
      <c r="D2964" s="3064"/>
      <c r="E2964" s="3064"/>
      <c r="F2964" s="3064"/>
      <c r="G2964" s="3300" t="s">
        <v>82</v>
      </c>
      <c r="H2964" s="3063"/>
      <c r="I2964" s="3030"/>
    </row>
    <row r="2965" spans="2:9" ht="25.5">
      <c r="B2965" s="3192" t="s">
        <v>675</v>
      </c>
      <c r="C2965" s="3063"/>
      <c r="D2965" s="3064"/>
      <c r="E2965" s="3064"/>
      <c r="F2965" s="3064"/>
      <c r="G2965" s="3301" t="s">
        <v>675</v>
      </c>
      <c r="H2965" s="3063"/>
      <c r="I2965" s="3030"/>
    </row>
    <row r="2966" spans="2:9" ht="25.5">
      <c r="B2966" s="3192" t="s">
        <v>676</v>
      </c>
      <c r="C2966" s="3063"/>
      <c r="D2966" s="3064"/>
      <c r="E2966" s="3064"/>
      <c r="F2966" s="3064"/>
      <c r="G2966" s="3301" t="s">
        <v>676</v>
      </c>
      <c r="H2966" s="3063"/>
      <c r="I2966" s="3030"/>
    </row>
    <row r="2967" spans="2:9">
      <c r="B2967" s="3192" t="s">
        <v>677</v>
      </c>
      <c r="C2967" s="3063"/>
      <c r="D2967" s="3064"/>
      <c r="E2967" s="3064"/>
      <c r="F2967" s="3064"/>
      <c r="G2967" s="3301" t="s">
        <v>677</v>
      </c>
      <c r="H2967" s="3063"/>
      <c r="I2967" s="3030"/>
    </row>
    <row r="2968" spans="2:9">
      <c r="B2968" s="3192" t="s">
        <v>678</v>
      </c>
      <c r="C2968" s="3063"/>
      <c r="D2968" s="3064"/>
      <c r="E2968" s="3064"/>
      <c r="F2968" s="3064"/>
      <c r="G2968" s="3301" t="s">
        <v>678</v>
      </c>
      <c r="H2968" s="3063"/>
      <c r="I2968" s="3030"/>
    </row>
    <row r="2969" spans="2:9">
      <c r="B2969" s="3192" t="s">
        <v>679</v>
      </c>
      <c r="C2969" s="3063"/>
      <c r="D2969" s="3064"/>
      <c r="E2969" s="3064"/>
      <c r="F2969" s="3064"/>
      <c r="G2969" s="3301" t="s">
        <v>679</v>
      </c>
      <c r="H2969" s="3063"/>
      <c r="I2969" s="3030"/>
    </row>
    <row r="2970" spans="2:9" ht="25.5">
      <c r="B2970" s="3192" t="s">
        <v>720</v>
      </c>
      <c r="C2970" s="3063"/>
      <c r="D2970" s="3064"/>
      <c r="E2970" s="3064"/>
      <c r="F2970" s="3064"/>
      <c r="G2970" s="3301" t="s">
        <v>720</v>
      </c>
      <c r="H2970" s="3063"/>
      <c r="I2970" s="3030"/>
    </row>
    <row r="2971" spans="2:9" ht="38.25">
      <c r="B2971" s="3299" t="s">
        <v>680</v>
      </c>
      <c r="C2971" s="3063"/>
      <c r="D2971" s="3064"/>
      <c r="E2971" s="3064"/>
      <c r="F2971" s="3064"/>
      <c r="G2971" s="3300" t="s">
        <v>680</v>
      </c>
      <c r="H2971" s="3063"/>
      <c r="I2971" s="3030"/>
    </row>
    <row r="2972" spans="2:9" ht="25.5">
      <c r="B2972" s="3192" t="s">
        <v>675</v>
      </c>
      <c r="C2972" s="3063"/>
      <c r="D2972" s="3064"/>
      <c r="E2972" s="3064"/>
      <c r="F2972" s="3064"/>
      <c r="G2972" s="3301" t="s">
        <v>675</v>
      </c>
      <c r="H2972" s="3063"/>
      <c r="I2972" s="3030"/>
    </row>
    <row r="2973" spans="2:9" ht="25.5">
      <c r="B2973" s="3192" t="s">
        <v>676</v>
      </c>
      <c r="C2973" s="3063"/>
      <c r="D2973" s="3064"/>
      <c r="E2973" s="3064"/>
      <c r="F2973" s="3064"/>
      <c r="G2973" s="3301" t="s">
        <v>676</v>
      </c>
      <c r="H2973" s="3063"/>
      <c r="I2973" s="3030"/>
    </row>
    <row r="2974" spans="2:9">
      <c r="B2974" s="3192" t="s">
        <v>677</v>
      </c>
      <c r="C2974" s="3063"/>
      <c r="D2974" s="3064"/>
      <c r="E2974" s="3064"/>
      <c r="F2974" s="3064"/>
      <c r="G2974" s="3301" t="s">
        <v>677</v>
      </c>
      <c r="H2974" s="3063"/>
      <c r="I2974" s="3030"/>
    </row>
    <row r="2975" spans="2:9">
      <c r="B2975" s="3192" t="s">
        <v>678</v>
      </c>
      <c r="C2975" s="3063"/>
      <c r="D2975" s="3064"/>
      <c r="E2975" s="3064"/>
      <c r="F2975" s="3064"/>
      <c r="G2975" s="3301" t="s">
        <v>678</v>
      </c>
      <c r="H2975" s="3063"/>
      <c r="I2975" s="3030"/>
    </row>
    <row r="2976" spans="2:9">
      <c r="B2976" s="3192" t="s">
        <v>679</v>
      </c>
      <c r="C2976" s="3063"/>
      <c r="D2976" s="3064"/>
      <c r="E2976" s="3064"/>
      <c r="F2976" s="3064"/>
      <c r="G2976" s="3301" t="s">
        <v>679</v>
      </c>
      <c r="H2976" s="3063"/>
      <c r="I2976" s="3030"/>
    </row>
    <row r="2977" spans="2:9" ht="25.5">
      <c r="B2977" s="3192" t="s">
        <v>720</v>
      </c>
      <c r="C2977" s="3063"/>
      <c r="D2977" s="3064"/>
      <c r="E2977" s="3064"/>
      <c r="F2977" s="3064"/>
      <c r="G2977" s="3301" t="s">
        <v>720</v>
      </c>
      <c r="H2977" s="3063"/>
      <c r="I2977" s="3030"/>
    </row>
    <row r="2978" spans="2:9" ht="38.25">
      <c r="B2978" s="3299" t="s">
        <v>681</v>
      </c>
      <c r="C2978" s="3063"/>
      <c r="D2978" s="3064"/>
      <c r="E2978" s="3064"/>
      <c r="F2978" s="3064"/>
      <c r="G2978" s="3300" t="s">
        <v>681</v>
      </c>
      <c r="H2978" s="3063"/>
      <c r="I2978" s="3030"/>
    </row>
    <row r="2979" spans="2:9" ht="25.5">
      <c r="B2979" s="3192" t="s">
        <v>675</v>
      </c>
      <c r="C2979" s="3063"/>
      <c r="D2979" s="3064"/>
      <c r="E2979" s="3064"/>
      <c r="F2979" s="3064"/>
      <c r="G2979" s="3301" t="s">
        <v>675</v>
      </c>
      <c r="H2979" s="3063"/>
      <c r="I2979" s="3030"/>
    </row>
    <row r="2980" spans="2:9" ht="25.5">
      <c r="B2980" s="3192" t="s">
        <v>676</v>
      </c>
      <c r="C2980" s="3063"/>
      <c r="D2980" s="3064"/>
      <c r="E2980" s="3064"/>
      <c r="F2980" s="3064"/>
      <c r="G2980" s="3301" t="s">
        <v>676</v>
      </c>
      <c r="H2980" s="3063"/>
      <c r="I2980" s="3030"/>
    </row>
    <row r="2981" spans="2:9">
      <c r="B2981" s="3192" t="s">
        <v>677</v>
      </c>
      <c r="C2981" s="3063"/>
      <c r="D2981" s="3064"/>
      <c r="E2981" s="3064"/>
      <c r="F2981" s="3064"/>
      <c r="G2981" s="3301" t="s">
        <v>677</v>
      </c>
      <c r="H2981" s="3063"/>
      <c r="I2981" s="3030"/>
    </row>
    <row r="2982" spans="2:9">
      <c r="B2982" s="3192" t="s">
        <v>678</v>
      </c>
      <c r="C2982" s="3063"/>
      <c r="D2982" s="3064"/>
      <c r="E2982" s="3064"/>
      <c r="F2982" s="3064"/>
      <c r="G2982" s="3301" t="s">
        <v>678</v>
      </c>
      <c r="H2982" s="3063"/>
      <c r="I2982" s="3030"/>
    </row>
    <row r="2983" spans="2:9">
      <c r="B2983" s="3192" t="s">
        <v>679</v>
      </c>
      <c r="C2983" s="3063"/>
      <c r="D2983" s="3064"/>
      <c r="E2983" s="3064"/>
      <c r="F2983" s="3064"/>
      <c r="G2983" s="3301" t="s">
        <v>679</v>
      </c>
      <c r="H2983" s="3063"/>
      <c r="I2983" s="3030"/>
    </row>
    <row r="2984" spans="2:9" ht="25.5">
      <c r="B2984" s="3192" t="s">
        <v>720</v>
      </c>
      <c r="C2984" s="3063"/>
      <c r="D2984" s="3064"/>
      <c r="E2984" s="3064"/>
      <c r="F2984" s="3064"/>
      <c r="G2984" s="3301" t="s">
        <v>720</v>
      </c>
      <c r="H2984" s="3063"/>
      <c r="I2984" s="3030"/>
    </row>
    <row r="2985" spans="2:9" ht="25.5">
      <c r="B2985" s="3299" t="s">
        <v>682</v>
      </c>
      <c r="C2985" s="3063"/>
      <c r="D2985" s="3064"/>
      <c r="E2985" s="3064"/>
      <c r="F2985" s="3064"/>
      <c r="G2985" s="3300" t="s">
        <v>682</v>
      </c>
      <c r="H2985" s="3063"/>
      <c r="I2985" s="3030"/>
    </row>
    <row r="2986" spans="2:9" ht="25.5">
      <c r="B2986" s="3192" t="s">
        <v>675</v>
      </c>
      <c r="C2986" s="3063"/>
      <c r="D2986" s="3064"/>
      <c r="E2986" s="3064"/>
      <c r="F2986" s="3064"/>
      <c r="G2986" s="3301" t="s">
        <v>675</v>
      </c>
      <c r="H2986" s="3063"/>
      <c r="I2986" s="3030"/>
    </row>
    <row r="2987" spans="2:9" ht="25.5">
      <c r="B2987" s="3192" t="s">
        <v>676</v>
      </c>
      <c r="C2987" s="3063"/>
      <c r="D2987" s="3064"/>
      <c r="E2987" s="3064"/>
      <c r="F2987" s="3064"/>
      <c r="G2987" s="3301" t="s">
        <v>676</v>
      </c>
      <c r="H2987" s="3063"/>
      <c r="I2987" s="3030"/>
    </row>
    <row r="2988" spans="2:9">
      <c r="B2988" s="3192" t="s">
        <v>677</v>
      </c>
      <c r="C2988" s="3063"/>
      <c r="D2988" s="3064"/>
      <c r="E2988" s="3064"/>
      <c r="F2988" s="3064"/>
      <c r="G2988" s="3301" t="s">
        <v>677</v>
      </c>
      <c r="H2988" s="3063"/>
      <c r="I2988" s="3030"/>
    </row>
    <row r="2989" spans="2:9">
      <c r="B2989" s="3192" t="s">
        <v>678</v>
      </c>
      <c r="C2989" s="3063"/>
      <c r="D2989" s="3064"/>
      <c r="E2989" s="3064"/>
      <c r="F2989" s="3064"/>
      <c r="G2989" s="3301" t="s">
        <v>678</v>
      </c>
      <c r="H2989" s="3063"/>
      <c r="I2989" s="3030"/>
    </row>
    <row r="2990" spans="2:9">
      <c r="B2990" s="3192" t="s">
        <v>679</v>
      </c>
      <c r="C2990" s="3063"/>
      <c r="D2990" s="3064"/>
      <c r="E2990" s="3064"/>
      <c r="F2990" s="3064"/>
      <c r="G2990" s="3301" t="s">
        <v>679</v>
      </c>
      <c r="H2990" s="3063"/>
      <c r="I2990" s="3030"/>
    </row>
    <row r="2991" spans="2:9" ht="25.5">
      <c r="B2991" s="3192" t="s">
        <v>720</v>
      </c>
      <c r="C2991" s="3063"/>
      <c r="D2991" s="3064"/>
      <c r="E2991" s="3064"/>
      <c r="F2991" s="3064"/>
      <c r="G2991" s="3301" t="s">
        <v>720</v>
      </c>
      <c r="H2991" s="3063"/>
      <c r="I2991" s="3030"/>
    </row>
    <row r="2992" spans="2:9" ht="25.5">
      <c r="B2992" s="3299" t="s">
        <v>66</v>
      </c>
      <c r="C2992" s="3063"/>
      <c r="D2992" s="3064"/>
      <c r="E2992" s="3064"/>
      <c r="F2992" s="3064"/>
      <c r="G2992" s="3300" t="s">
        <v>66</v>
      </c>
      <c r="H2992" s="3063"/>
      <c r="I2992" s="3030"/>
    </row>
    <row r="2993" spans="2:9" ht="25.5">
      <c r="B2993" s="3192" t="s">
        <v>675</v>
      </c>
      <c r="C2993" s="3063"/>
      <c r="D2993" s="3064"/>
      <c r="E2993" s="3064"/>
      <c r="F2993" s="3064"/>
      <c r="G2993" s="3301" t="s">
        <v>675</v>
      </c>
      <c r="H2993" s="3063"/>
      <c r="I2993" s="3030"/>
    </row>
    <row r="2994" spans="2:9" ht="25.5">
      <c r="B2994" s="3192" t="s">
        <v>676</v>
      </c>
      <c r="C2994" s="3063"/>
      <c r="D2994" s="3064"/>
      <c r="E2994" s="3064"/>
      <c r="F2994" s="3064"/>
      <c r="G2994" s="3301" t="s">
        <v>676</v>
      </c>
      <c r="H2994" s="3063"/>
      <c r="I2994" s="3030"/>
    </row>
    <row r="2995" spans="2:9">
      <c r="B2995" s="3192" t="s">
        <v>677</v>
      </c>
      <c r="C2995" s="3063"/>
      <c r="D2995" s="3064"/>
      <c r="E2995" s="3064"/>
      <c r="F2995" s="3064"/>
      <c r="G2995" s="3301" t="s">
        <v>677</v>
      </c>
      <c r="H2995" s="3063"/>
      <c r="I2995" s="3030"/>
    </row>
    <row r="2996" spans="2:9">
      <c r="B2996" s="3192" t="s">
        <v>678</v>
      </c>
      <c r="C2996" s="3063"/>
      <c r="D2996" s="3064"/>
      <c r="E2996" s="3064"/>
      <c r="F2996" s="3064"/>
      <c r="G2996" s="3301" t="s">
        <v>678</v>
      </c>
      <c r="H2996" s="3063"/>
      <c r="I2996" s="3030"/>
    </row>
    <row r="2997" spans="2:9">
      <c r="B2997" s="3192" t="s">
        <v>679</v>
      </c>
      <c r="C2997" s="3063"/>
      <c r="D2997" s="3064"/>
      <c r="E2997" s="3064"/>
      <c r="F2997" s="3064"/>
      <c r="G2997" s="3301" t="s">
        <v>679</v>
      </c>
      <c r="H2997" s="3063"/>
      <c r="I2997" s="3030"/>
    </row>
    <row r="2998" spans="2:9" ht="25.5">
      <c r="B2998" s="3192" t="s">
        <v>720</v>
      </c>
      <c r="C2998" s="3063"/>
      <c r="D2998" s="3064"/>
      <c r="E2998" s="3064"/>
      <c r="F2998" s="3064"/>
      <c r="G2998" s="3301" t="s">
        <v>720</v>
      </c>
      <c r="H2998" s="3063"/>
      <c r="I2998" s="3030"/>
    </row>
    <row r="2999" spans="2:9">
      <c r="B2999" s="3299" t="s">
        <v>67</v>
      </c>
      <c r="C2999" s="3063"/>
      <c r="D2999" s="3064"/>
      <c r="E2999" s="3064"/>
      <c r="F2999" s="3064"/>
      <c r="G2999" s="3300" t="s">
        <v>67</v>
      </c>
      <c r="H2999" s="3063"/>
      <c r="I2999" s="3030"/>
    </row>
    <row r="3000" spans="2:9" ht="25.5">
      <c r="B3000" s="3192" t="s">
        <v>675</v>
      </c>
      <c r="C3000" s="3063"/>
      <c r="D3000" s="3064"/>
      <c r="E3000" s="3064"/>
      <c r="F3000" s="3064"/>
      <c r="G3000" s="3301" t="s">
        <v>675</v>
      </c>
      <c r="H3000" s="3063"/>
      <c r="I3000" s="3030"/>
    </row>
    <row r="3001" spans="2:9" ht="25.5">
      <c r="B3001" s="3192" t="s">
        <v>676</v>
      </c>
      <c r="C3001" s="3063"/>
      <c r="D3001" s="3064"/>
      <c r="E3001" s="3064"/>
      <c r="F3001" s="3064"/>
      <c r="G3001" s="3301" t="s">
        <v>676</v>
      </c>
      <c r="H3001" s="3063"/>
      <c r="I3001" s="3030"/>
    </row>
    <row r="3002" spans="2:9">
      <c r="B3002" s="3192" t="s">
        <v>677</v>
      </c>
      <c r="C3002" s="3063"/>
      <c r="D3002" s="3064"/>
      <c r="E3002" s="3064"/>
      <c r="F3002" s="3064"/>
      <c r="G3002" s="3301" t="s">
        <v>677</v>
      </c>
      <c r="H3002" s="3063"/>
      <c r="I3002" s="3030"/>
    </row>
    <row r="3003" spans="2:9">
      <c r="B3003" s="3192" t="s">
        <v>678</v>
      </c>
      <c r="C3003" s="3063"/>
      <c r="D3003" s="3064"/>
      <c r="E3003" s="3064"/>
      <c r="F3003" s="3064"/>
      <c r="G3003" s="3301" t="s">
        <v>678</v>
      </c>
      <c r="H3003" s="3063"/>
      <c r="I3003" s="3030"/>
    </row>
    <row r="3004" spans="2:9">
      <c r="B3004" s="3192" t="s">
        <v>679</v>
      </c>
      <c r="C3004" s="3063"/>
      <c r="D3004" s="3064"/>
      <c r="E3004" s="3064"/>
      <c r="F3004" s="3064"/>
      <c r="G3004" s="3301" t="s">
        <v>679</v>
      </c>
      <c r="H3004" s="3063"/>
      <c r="I3004" s="3030"/>
    </row>
    <row r="3005" spans="2:9" ht="25.5">
      <c r="B3005" s="3192" t="s">
        <v>720</v>
      </c>
      <c r="C3005" s="3063"/>
      <c r="D3005" s="3064"/>
      <c r="E3005" s="3064"/>
      <c r="F3005" s="3064"/>
      <c r="G3005" s="3301" t="s">
        <v>720</v>
      </c>
      <c r="H3005" s="3063"/>
      <c r="I3005" s="3030"/>
    </row>
    <row r="3006" spans="2:9" ht="25.5">
      <c r="B3006" s="3230" t="s">
        <v>81</v>
      </c>
      <c r="C3006" s="3063"/>
      <c r="D3006" s="3064"/>
      <c r="E3006" s="3064"/>
      <c r="F3006" s="3064"/>
      <c r="G3006" s="3302" t="s">
        <v>81</v>
      </c>
      <c r="H3006" s="3063"/>
      <c r="I3006" s="3030"/>
    </row>
    <row r="3007" spans="2:9" ht="26.25" thickBot="1">
      <c r="B3007" s="3303" t="s">
        <v>81</v>
      </c>
      <c r="C3007" s="3063"/>
      <c r="D3007" s="3064"/>
      <c r="E3007" s="3064"/>
      <c r="F3007" s="3064"/>
      <c r="G3007" s="3302" t="s">
        <v>81</v>
      </c>
      <c r="H3007" s="3063"/>
      <c r="I3007" s="3030"/>
    </row>
    <row r="3008" spans="2:9" ht="25.5">
      <c r="B3008" s="3217" t="s">
        <v>696</v>
      </c>
      <c r="C3008" s="3218"/>
      <c r="D3008" s="3219"/>
      <c r="E3008" s="3219"/>
      <c r="F3008" s="3219"/>
      <c r="G3008" s="3217" t="s">
        <v>696</v>
      </c>
      <c r="H3008" s="3297"/>
      <c r="I3008" s="3298"/>
    </row>
    <row r="3009" spans="2:9">
      <c r="B3009" s="3299" t="s">
        <v>64</v>
      </c>
      <c r="C3009" s="3063"/>
      <c r="D3009" s="3064"/>
      <c r="E3009" s="3064"/>
      <c r="F3009" s="3064"/>
      <c r="G3009" s="3300" t="s">
        <v>64</v>
      </c>
      <c r="H3009" s="3063"/>
      <c r="I3009" s="3030"/>
    </row>
    <row r="3010" spans="2:9" ht="25.5">
      <c r="B3010" s="3192" t="s">
        <v>675</v>
      </c>
      <c r="C3010" s="3063"/>
      <c r="D3010" s="3064"/>
      <c r="E3010" s="3064"/>
      <c r="F3010" s="3064"/>
      <c r="G3010" s="3301" t="s">
        <v>675</v>
      </c>
      <c r="H3010" s="3063"/>
      <c r="I3010" s="3030"/>
    </row>
    <row r="3011" spans="2:9" ht="25.5">
      <c r="B3011" s="3192" t="s">
        <v>676</v>
      </c>
      <c r="C3011" s="3063"/>
      <c r="D3011" s="3064"/>
      <c r="E3011" s="3064"/>
      <c r="F3011" s="3064"/>
      <c r="G3011" s="3301" t="s">
        <v>676</v>
      </c>
      <c r="H3011" s="3063"/>
      <c r="I3011" s="3030"/>
    </row>
    <row r="3012" spans="2:9">
      <c r="B3012" s="3192" t="s">
        <v>677</v>
      </c>
      <c r="C3012" s="3063"/>
      <c r="D3012" s="3064"/>
      <c r="E3012" s="3064"/>
      <c r="F3012" s="3064"/>
      <c r="G3012" s="3301" t="s">
        <v>677</v>
      </c>
      <c r="H3012" s="3063"/>
      <c r="I3012" s="3030"/>
    </row>
    <row r="3013" spans="2:9">
      <c r="B3013" s="3192" t="s">
        <v>678</v>
      </c>
      <c r="C3013" s="3063"/>
      <c r="D3013" s="3064"/>
      <c r="E3013" s="3064"/>
      <c r="F3013" s="3064"/>
      <c r="G3013" s="3301" t="s">
        <v>678</v>
      </c>
      <c r="H3013" s="3063"/>
      <c r="I3013" s="3030"/>
    </row>
    <row r="3014" spans="2:9">
      <c r="B3014" s="3192" t="s">
        <v>679</v>
      </c>
      <c r="C3014" s="3063"/>
      <c r="D3014" s="3064"/>
      <c r="E3014" s="3064"/>
      <c r="F3014" s="3064"/>
      <c r="G3014" s="3301" t="s">
        <v>679</v>
      </c>
      <c r="H3014" s="3063"/>
      <c r="I3014" s="3030"/>
    </row>
    <row r="3015" spans="2:9" ht="25.5">
      <c r="B3015" s="3192" t="s">
        <v>720</v>
      </c>
      <c r="C3015" s="3063"/>
      <c r="D3015" s="3064"/>
      <c r="E3015" s="3064"/>
      <c r="F3015" s="3064"/>
      <c r="G3015" s="3301" t="s">
        <v>720</v>
      </c>
      <c r="H3015" s="3063"/>
      <c r="I3015" s="3030"/>
    </row>
    <row r="3016" spans="2:9">
      <c r="B3016" s="3299" t="s">
        <v>65</v>
      </c>
      <c r="C3016" s="3063"/>
      <c r="D3016" s="3064"/>
      <c r="E3016" s="3064"/>
      <c r="F3016" s="3064"/>
      <c r="G3016" s="3300" t="s">
        <v>65</v>
      </c>
      <c r="H3016" s="3063"/>
      <c r="I3016" s="3030"/>
    </row>
    <row r="3017" spans="2:9" ht="25.5">
      <c r="B3017" s="3192" t="s">
        <v>675</v>
      </c>
      <c r="C3017" s="3063"/>
      <c r="D3017" s="3064"/>
      <c r="E3017" s="3064"/>
      <c r="F3017" s="3064"/>
      <c r="G3017" s="3301" t="s">
        <v>675</v>
      </c>
      <c r="H3017" s="3063"/>
      <c r="I3017" s="3030"/>
    </row>
    <row r="3018" spans="2:9" ht="25.5">
      <c r="B3018" s="3192" t="s">
        <v>676</v>
      </c>
      <c r="C3018" s="3063"/>
      <c r="D3018" s="3064"/>
      <c r="E3018" s="3064"/>
      <c r="F3018" s="3064"/>
      <c r="G3018" s="3301" t="s">
        <v>676</v>
      </c>
      <c r="H3018" s="3063"/>
      <c r="I3018" s="3030"/>
    </row>
    <row r="3019" spans="2:9">
      <c r="B3019" s="3192" t="s">
        <v>677</v>
      </c>
      <c r="C3019" s="3063"/>
      <c r="D3019" s="3064"/>
      <c r="E3019" s="3064"/>
      <c r="F3019" s="3064"/>
      <c r="G3019" s="3301" t="s">
        <v>677</v>
      </c>
      <c r="H3019" s="3063"/>
      <c r="I3019" s="3030"/>
    </row>
    <row r="3020" spans="2:9">
      <c r="B3020" s="3192" t="s">
        <v>678</v>
      </c>
      <c r="C3020" s="3063"/>
      <c r="D3020" s="3064"/>
      <c r="E3020" s="3064"/>
      <c r="F3020" s="3064"/>
      <c r="G3020" s="3301" t="s">
        <v>678</v>
      </c>
      <c r="H3020" s="3063"/>
      <c r="I3020" s="3030"/>
    </row>
    <row r="3021" spans="2:9">
      <c r="B3021" s="3192" t="s">
        <v>679</v>
      </c>
      <c r="C3021" s="3063"/>
      <c r="D3021" s="3064"/>
      <c r="E3021" s="3064"/>
      <c r="F3021" s="3064"/>
      <c r="G3021" s="3301" t="s">
        <v>679</v>
      </c>
      <c r="H3021" s="3063"/>
      <c r="I3021" s="3030"/>
    </row>
    <row r="3022" spans="2:9" ht="25.5">
      <c r="B3022" s="3192" t="s">
        <v>720</v>
      </c>
      <c r="C3022" s="3063"/>
      <c r="D3022" s="3064"/>
      <c r="E3022" s="3064"/>
      <c r="F3022" s="3064"/>
      <c r="G3022" s="3301" t="s">
        <v>720</v>
      </c>
      <c r="H3022" s="3063"/>
      <c r="I3022" s="3030"/>
    </row>
    <row r="3023" spans="2:9">
      <c r="B3023" s="3299" t="s">
        <v>82</v>
      </c>
      <c r="C3023" s="3063"/>
      <c r="D3023" s="3064"/>
      <c r="E3023" s="3064"/>
      <c r="F3023" s="3064"/>
      <c r="G3023" s="3300" t="s">
        <v>82</v>
      </c>
      <c r="H3023" s="3063"/>
      <c r="I3023" s="3030"/>
    </row>
    <row r="3024" spans="2:9" ht="25.5">
      <c r="B3024" s="3192" t="s">
        <v>675</v>
      </c>
      <c r="C3024" s="3063"/>
      <c r="D3024" s="3064"/>
      <c r="E3024" s="3064"/>
      <c r="F3024" s="3064"/>
      <c r="G3024" s="3301" t="s">
        <v>675</v>
      </c>
      <c r="H3024" s="3063"/>
      <c r="I3024" s="3030"/>
    </row>
    <row r="3025" spans="2:9" ht="25.5">
      <c r="B3025" s="3192" t="s">
        <v>676</v>
      </c>
      <c r="C3025" s="3063"/>
      <c r="D3025" s="3064"/>
      <c r="E3025" s="3064"/>
      <c r="F3025" s="3064"/>
      <c r="G3025" s="3301" t="s">
        <v>676</v>
      </c>
      <c r="H3025" s="3063"/>
      <c r="I3025" s="3030"/>
    </row>
    <row r="3026" spans="2:9">
      <c r="B3026" s="3192" t="s">
        <v>677</v>
      </c>
      <c r="C3026" s="3063"/>
      <c r="D3026" s="3064"/>
      <c r="E3026" s="3064"/>
      <c r="F3026" s="3064"/>
      <c r="G3026" s="3301" t="s">
        <v>677</v>
      </c>
      <c r="H3026" s="3063"/>
      <c r="I3026" s="3030"/>
    </row>
    <row r="3027" spans="2:9">
      <c r="B3027" s="3192" t="s">
        <v>678</v>
      </c>
      <c r="C3027" s="3063"/>
      <c r="D3027" s="3064"/>
      <c r="E3027" s="3064"/>
      <c r="F3027" s="3064"/>
      <c r="G3027" s="3301" t="s">
        <v>678</v>
      </c>
      <c r="H3027" s="3063"/>
      <c r="I3027" s="3030"/>
    </row>
    <row r="3028" spans="2:9">
      <c r="B3028" s="3192" t="s">
        <v>679</v>
      </c>
      <c r="C3028" s="3063"/>
      <c r="D3028" s="3064"/>
      <c r="E3028" s="3064"/>
      <c r="F3028" s="3064"/>
      <c r="G3028" s="3301" t="s">
        <v>679</v>
      </c>
      <c r="H3028" s="3063"/>
      <c r="I3028" s="3030"/>
    </row>
    <row r="3029" spans="2:9" ht="25.5">
      <c r="B3029" s="3192" t="s">
        <v>720</v>
      </c>
      <c r="C3029" s="3063"/>
      <c r="D3029" s="3064"/>
      <c r="E3029" s="3064"/>
      <c r="F3029" s="3064"/>
      <c r="G3029" s="3301" t="s">
        <v>720</v>
      </c>
      <c r="H3029" s="3063"/>
      <c r="I3029" s="3030"/>
    </row>
    <row r="3030" spans="2:9" ht="38.25">
      <c r="B3030" s="3299" t="s">
        <v>680</v>
      </c>
      <c r="C3030" s="3063"/>
      <c r="D3030" s="3064"/>
      <c r="E3030" s="3064"/>
      <c r="F3030" s="3064"/>
      <c r="G3030" s="3300" t="s">
        <v>680</v>
      </c>
      <c r="H3030" s="3063"/>
      <c r="I3030" s="3030"/>
    </row>
    <row r="3031" spans="2:9" ht="25.5">
      <c r="B3031" s="3192" t="s">
        <v>675</v>
      </c>
      <c r="C3031" s="3063"/>
      <c r="D3031" s="3064"/>
      <c r="E3031" s="3064"/>
      <c r="F3031" s="3064"/>
      <c r="G3031" s="3301" t="s">
        <v>675</v>
      </c>
      <c r="H3031" s="3063"/>
      <c r="I3031" s="3030"/>
    </row>
    <row r="3032" spans="2:9" ht="25.5">
      <c r="B3032" s="3192" t="s">
        <v>676</v>
      </c>
      <c r="C3032" s="3063"/>
      <c r="D3032" s="3064"/>
      <c r="E3032" s="3064"/>
      <c r="F3032" s="3064"/>
      <c r="G3032" s="3301" t="s">
        <v>676</v>
      </c>
      <c r="H3032" s="3063"/>
      <c r="I3032" s="3030"/>
    </row>
    <row r="3033" spans="2:9">
      <c r="B3033" s="3192" t="s">
        <v>677</v>
      </c>
      <c r="C3033" s="3063"/>
      <c r="D3033" s="3064"/>
      <c r="E3033" s="3064"/>
      <c r="F3033" s="3064"/>
      <c r="G3033" s="3301" t="s">
        <v>677</v>
      </c>
      <c r="H3033" s="3063"/>
      <c r="I3033" s="3030"/>
    </row>
    <row r="3034" spans="2:9">
      <c r="B3034" s="3192" t="s">
        <v>678</v>
      </c>
      <c r="C3034" s="3063"/>
      <c r="D3034" s="3064"/>
      <c r="E3034" s="3064"/>
      <c r="F3034" s="3064"/>
      <c r="G3034" s="3301" t="s">
        <v>678</v>
      </c>
      <c r="H3034" s="3063"/>
      <c r="I3034" s="3030"/>
    </row>
    <row r="3035" spans="2:9">
      <c r="B3035" s="3192" t="s">
        <v>679</v>
      </c>
      <c r="C3035" s="3063"/>
      <c r="D3035" s="3064"/>
      <c r="E3035" s="3064"/>
      <c r="F3035" s="3064"/>
      <c r="G3035" s="3301" t="s">
        <v>679</v>
      </c>
      <c r="H3035" s="3063"/>
      <c r="I3035" s="3030"/>
    </row>
    <row r="3036" spans="2:9" ht="25.5">
      <c r="B3036" s="3192" t="s">
        <v>720</v>
      </c>
      <c r="C3036" s="3063"/>
      <c r="D3036" s="3064"/>
      <c r="E3036" s="3064"/>
      <c r="F3036" s="3064"/>
      <c r="G3036" s="3301" t="s">
        <v>720</v>
      </c>
      <c r="H3036" s="3063"/>
      <c r="I3036" s="3030"/>
    </row>
    <row r="3037" spans="2:9" ht="38.25">
      <c r="B3037" s="3299" t="s">
        <v>681</v>
      </c>
      <c r="C3037" s="3063"/>
      <c r="D3037" s="3064"/>
      <c r="E3037" s="3064"/>
      <c r="F3037" s="3064"/>
      <c r="G3037" s="3300" t="s">
        <v>681</v>
      </c>
      <c r="H3037" s="3063"/>
      <c r="I3037" s="3030"/>
    </row>
    <row r="3038" spans="2:9" ht="25.5">
      <c r="B3038" s="3192" t="s">
        <v>675</v>
      </c>
      <c r="C3038" s="3063"/>
      <c r="D3038" s="3064"/>
      <c r="E3038" s="3064"/>
      <c r="F3038" s="3064"/>
      <c r="G3038" s="3301" t="s">
        <v>675</v>
      </c>
      <c r="H3038" s="3063"/>
      <c r="I3038" s="3030"/>
    </row>
    <row r="3039" spans="2:9" ht="25.5">
      <c r="B3039" s="3192" t="s">
        <v>676</v>
      </c>
      <c r="C3039" s="3063"/>
      <c r="D3039" s="3064"/>
      <c r="E3039" s="3064"/>
      <c r="F3039" s="3064"/>
      <c r="G3039" s="3301" t="s">
        <v>676</v>
      </c>
      <c r="H3039" s="3063"/>
      <c r="I3039" s="3030"/>
    </row>
    <row r="3040" spans="2:9">
      <c r="B3040" s="3192" t="s">
        <v>677</v>
      </c>
      <c r="C3040" s="3063"/>
      <c r="D3040" s="3064"/>
      <c r="E3040" s="3064"/>
      <c r="F3040" s="3064"/>
      <c r="G3040" s="3301" t="s">
        <v>677</v>
      </c>
      <c r="H3040" s="3063"/>
      <c r="I3040" s="3030"/>
    </row>
    <row r="3041" spans="2:9">
      <c r="B3041" s="3192" t="s">
        <v>678</v>
      </c>
      <c r="C3041" s="3063"/>
      <c r="D3041" s="3064"/>
      <c r="E3041" s="3064"/>
      <c r="F3041" s="3064"/>
      <c r="G3041" s="3301" t="s">
        <v>678</v>
      </c>
      <c r="H3041" s="3063"/>
      <c r="I3041" s="3030"/>
    </row>
    <row r="3042" spans="2:9">
      <c r="B3042" s="3192" t="s">
        <v>679</v>
      </c>
      <c r="C3042" s="3063"/>
      <c r="D3042" s="3064"/>
      <c r="E3042" s="3064"/>
      <c r="F3042" s="3064"/>
      <c r="G3042" s="3301" t="s">
        <v>679</v>
      </c>
      <c r="H3042" s="3063"/>
      <c r="I3042" s="3030"/>
    </row>
    <row r="3043" spans="2:9" ht="25.5">
      <c r="B3043" s="3192" t="s">
        <v>720</v>
      </c>
      <c r="C3043" s="3063"/>
      <c r="D3043" s="3064"/>
      <c r="E3043" s="3064"/>
      <c r="F3043" s="3064"/>
      <c r="G3043" s="3301" t="s">
        <v>720</v>
      </c>
      <c r="H3043" s="3063"/>
      <c r="I3043" s="3030"/>
    </row>
    <row r="3044" spans="2:9" ht="25.5">
      <c r="B3044" s="3299" t="s">
        <v>682</v>
      </c>
      <c r="C3044" s="3063"/>
      <c r="D3044" s="3064"/>
      <c r="E3044" s="3064"/>
      <c r="F3044" s="3064"/>
      <c r="G3044" s="3300" t="s">
        <v>682</v>
      </c>
      <c r="H3044" s="3063"/>
      <c r="I3044" s="3030"/>
    </row>
    <row r="3045" spans="2:9" ht="25.5">
      <c r="B3045" s="3192" t="s">
        <v>675</v>
      </c>
      <c r="C3045" s="3063"/>
      <c r="D3045" s="3064"/>
      <c r="E3045" s="3064"/>
      <c r="F3045" s="3064"/>
      <c r="G3045" s="3301" t="s">
        <v>675</v>
      </c>
      <c r="H3045" s="3063"/>
      <c r="I3045" s="3030"/>
    </row>
    <row r="3046" spans="2:9" ht="25.5">
      <c r="B3046" s="3192" t="s">
        <v>676</v>
      </c>
      <c r="C3046" s="3063"/>
      <c r="D3046" s="3064"/>
      <c r="E3046" s="3064"/>
      <c r="F3046" s="3064"/>
      <c r="G3046" s="3301" t="s">
        <v>676</v>
      </c>
      <c r="H3046" s="3063"/>
      <c r="I3046" s="3030"/>
    </row>
    <row r="3047" spans="2:9">
      <c r="B3047" s="3192" t="s">
        <v>677</v>
      </c>
      <c r="C3047" s="3063"/>
      <c r="D3047" s="3064"/>
      <c r="E3047" s="3064"/>
      <c r="F3047" s="3064"/>
      <c r="G3047" s="3301" t="s">
        <v>677</v>
      </c>
      <c r="H3047" s="3063"/>
      <c r="I3047" s="3030"/>
    </row>
    <row r="3048" spans="2:9">
      <c r="B3048" s="3192" t="s">
        <v>678</v>
      </c>
      <c r="C3048" s="3063"/>
      <c r="D3048" s="3064"/>
      <c r="E3048" s="3064"/>
      <c r="F3048" s="3064"/>
      <c r="G3048" s="3301" t="s">
        <v>678</v>
      </c>
      <c r="H3048" s="3063"/>
      <c r="I3048" s="3030"/>
    </row>
    <row r="3049" spans="2:9">
      <c r="B3049" s="3192" t="s">
        <v>679</v>
      </c>
      <c r="C3049" s="3063"/>
      <c r="D3049" s="3064"/>
      <c r="E3049" s="3064"/>
      <c r="F3049" s="3064"/>
      <c r="G3049" s="3301" t="s">
        <v>679</v>
      </c>
      <c r="H3049" s="3063"/>
      <c r="I3049" s="3030"/>
    </row>
    <row r="3050" spans="2:9" ht="25.5">
      <c r="B3050" s="3192" t="s">
        <v>720</v>
      </c>
      <c r="C3050" s="3063"/>
      <c r="D3050" s="3064"/>
      <c r="E3050" s="3064"/>
      <c r="F3050" s="3064"/>
      <c r="G3050" s="3301" t="s">
        <v>720</v>
      </c>
      <c r="H3050" s="3063"/>
      <c r="I3050" s="3030"/>
    </row>
    <row r="3051" spans="2:9" ht="25.5">
      <c r="B3051" s="3299" t="s">
        <v>66</v>
      </c>
      <c r="C3051" s="3063"/>
      <c r="D3051" s="3064"/>
      <c r="E3051" s="3064"/>
      <c r="F3051" s="3064"/>
      <c r="G3051" s="3300" t="s">
        <v>66</v>
      </c>
      <c r="H3051" s="3063"/>
      <c r="I3051" s="3030"/>
    </row>
    <row r="3052" spans="2:9" ht="25.5">
      <c r="B3052" s="3192" t="s">
        <v>675</v>
      </c>
      <c r="C3052" s="3063"/>
      <c r="D3052" s="3064"/>
      <c r="E3052" s="3064"/>
      <c r="F3052" s="3064"/>
      <c r="G3052" s="3301" t="s">
        <v>675</v>
      </c>
      <c r="H3052" s="3063"/>
      <c r="I3052" s="3030"/>
    </row>
    <row r="3053" spans="2:9" ht="25.5">
      <c r="B3053" s="3192" t="s">
        <v>676</v>
      </c>
      <c r="C3053" s="3063"/>
      <c r="D3053" s="3064"/>
      <c r="E3053" s="3064"/>
      <c r="F3053" s="3064"/>
      <c r="G3053" s="3301" t="s">
        <v>676</v>
      </c>
      <c r="H3053" s="3063"/>
      <c r="I3053" s="3030"/>
    </row>
    <row r="3054" spans="2:9">
      <c r="B3054" s="3192" t="s">
        <v>677</v>
      </c>
      <c r="C3054" s="3063"/>
      <c r="D3054" s="3064"/>
      <c r="E3054" s="3064"/>
      <c r="F3054" s="3064"/>
      <c r="G3054" s="3301" t="s">
        <v>677</v>
      </c>
      <c r="H3054" s="3063"/>
      <c r="I3054" s="3030"/>
    </row>
    <row r="3055" spans="2:9">
      <c r="B3055" s="3192" t="s">
        <v>678</v>
      </c>
      <c r="C3055" s="3063"/>
      <c r="D3055" s="3064"/>
      <c r="E3055" s="3064"/>
      <c r="F3055" s="3064"/>
      <c r="G3055" s="3301" t="s">
        <v>678</v>
      </c>
      <c r="H3055" s="3063"/>
      <c r="I3055" s="3030"/>
    </row>
    <row r="3056" spans="2:9">
      <c r="B3056" s="3192" t="s">
        <v>679</v>
      </c>
      <c r="C3056" s="3063"/>
      <c r="D3056" s="3064"/>
      <c r="E3056" s="3064"/>
      <c r="F3056" s="3064"/>
      <c r="G3056" s="3301" t="s">
        <v>679</v>
      </c>
      <c r="H3056" s="3063"/>
      <c r="I3056" s="3030"/>
    </row>
    <row r="3057" spans="2:9" ht="25.5">
      <c r="B3057" s="3192" t="s">
        <v>720</v>
      </c>
      <c r="C3057" s="3063"/>
      <c r="D3057" s="3064"/>
      <c r="E3057" s="3064"/>
      <c r="F3057" s="3064"/>
      <c r="G3057" s="3301" t="s">
        <v>720</v>
      </c>
      <c r="H3057" s="3063"/>
      <c r="I3057" s="3030"/>
    </row>
    <row r="3058" spans="2:9">
      <c r="B3058" s="3299" t="s">
        <v>67</v>
      </c>
      <c r="C3058" s="3063"/>
      <c r="D3058" s="3064"/>
      <c r="E3058" s="3064"/>
      <c r="F3058" s="3064"/>
      <c r="G3058" s="3300" t="s">
        <v>67</v>
      </c>
      <c r="H3058" s="3063"/>
      <c r="I3058" s="3030"/>
    </row>
    <row r="3059" spans="2:9" ht="25.5">
      <c r="B3059" s="3192" t="s">
        <v>675</v>
      </c>
      <c r="C3059" s="3063"/>
      <c r="D3059" s="3064"/>
      <c r="E3059" s="3064"/>
      <c r="F3059" s="3064"/>
      <c r="G3059" s="3301" t="s">
        <v>675</v>
      </c>
      <c r="H3059" s="3063"/>
      <c r="I3059" s="3030"/>
    </row>
    <row r="3060" spans="2:9" ht="25.5">
      <c r="B3060" s="3192" t="s">
        <v>676</v>
      </c>
      <c r="C3060" s="3063"/>
      <c r="D3060" s="3064"/>
      <c r="E3060" s="3064"/>
      <c r="F3060" s="3064"/>
      <c r="G3060" s="3301" t="s">
        <v>676</v>
      </c>
      <c r="H3060" s="3063"/>
      <c r="I3060" s="3030"/>
    </row>
    <row r="3061" spans="2:9">
      <c r="B3061" s="3192" t="s">
        <v>677</v>
      </c>
      <c r="C3061" s="3063"/>
      <c r="D3061" s="3064"/>
      <c r="E3061" s="3064"/>
      <c r="F3061" s="3064"/>
      <c r="G3061" s="3301" t="s">
        <v>677</v>
      </c>
      <c r="H3061" s="3063"/>
      <c r="I3061" s="3030"/>
    </row>
    <row r="3062" spans="2:9">
      <c r="B3062" s="3192" t="s">
        <v>678</v>
      </c>
      <c r="C3062" s="3063"/>
      <c r="D3062" s="3064"/>
      <c r="E3062" s="3064"/>
      <c r="F3062" s="3064"/>
      <c r="G3062" s="3301" t="s">
        <v>678</v>
      </c>
      <c r="H3062" s="3063"/>
      <c r="I3062" s="3030"/>
    </row>
    <row r="3063" spans="2:9">
      <c r="B3063" s="3192" t="s">
        <v>679</v>
      </c>
      <c r="C3063" s="3063"/>
      <c r="D3063" s="3064"/>
      <c r="E3063" s="3064"/>
      <c r="F3063" s="3064"/>
      <c r="G3063" s="3301" t="s">
        <v>679</v>
      </c>
      <c r="H3063" s="3063"/>
      <c r="I3063" s="3030"/>
    </row>
    <row r="3064" spans="2:9" ht="25.5">
      <c r="B3064" s="3230" t="s">
        <v>81</v>
      </c>
      <c r="C3064" s="3063"/>
      <c r="D3064" s="3064"/>
      <c r="E3064" s="3064"/>
      <c r="F3064" s="3064"/>
      <c r="G3064" s="3302" t="s">
        <v>81</v>
      </c>
      <c r="H3064" s="3063"/>
      <c r="I3064" s="3030"/>
    </row>
    <row r="3065" spans="2:9" ht="26.25" thickBot="1">
      <c r="B3065" s="3303" t="s">
        <v>81</v>
      </c>
      <c r="C3065" s="3063"/>
      <c r="D3065" s="3064"/>
      <c r="E3065" s="3064"/>
      <c r="F3065" s="3064"/>
      <c r="G3065" s="3302" t="s">
        <v>81</v>
      </c>
      <c r="H3065" s="3063"/>
      <c r="I3065" s="3030"/>
    </row>
    <row r="3066" spans="2:9">
      <c r="B3066" s="3217" t="s">
        <v>697</v>
      </c>
      <c r="C3066" s="3218"/>
      <c r="D3066" s="3219"/>
      <c r="E3066" s="3219"/>
      <c r="F3066" s="3219"/>
      <c r="G3066" s="3217" t="s">
        <v>697</v>
      </c>
      <c r="H3066" s="3297"/>
      <c r="I3066" s="3298"/>
    </row>
    <row r="3067" spans="2:9">
      <c r="B3067" s="3299" t="s">
        <v>64</v>
      </c>
      <c r="C3067" s="3063"/>
      <c r="D3067" s="3064"/>
      <c r="E3067" s="3064"/>
      <c r="F3067" s="3064"/>
      <c r="G3067" s="3300" t="s">
        <v>64</v>
      </c>
      <c r="H3067" s="3063"/>
      <c r="I3067" s="3030"/>
    </row>
    <row r="3068" spans="2:9" ht="25.5">
      <c r="B3068" s="3192" t="s">
        <v>675</v>
      </c>
      <c r="C3068" s="3063"/>
      <c r="D3068" s="3064"/>
      <c r="E3068" s="3064"/>
      <c r="F3068" s="3064"/>
      <c r="G3068" s="3301" t="s">
        <v>675</v>
      </c>
      <c r="H3068" s="3063"/>
      <c r="I3068" s="3030"/>
    </row>
    <row r="3069" spans="2:9" ht="25.5">
      <c r="B3069" s="3192" t="s">
        <v>676</v>
      </c>
      <c r="C3069" s="3063"/>
      <c r="D3069" s="3064"/>
      <c r="E3069" s="3064"/>
      <c r="F3069" s="3064"/>
      <c r="G3069" s="3301" t="s">
        <v>676</v>
      </c>
      <c r="H3069" s="3063"/>
      <c r="I3069" s="3030"/>
    </row>
    <row r="3070" spans="2:9">
      <c r="B3070" s="3192" t="s">
        <v>677</v>
      </c>
      <c r="C3070" s="3063"/>
      <c r="D3070" s="3064"/>
      <c r="E3070" s="3064"/>
      <c r="F3070" s="3064"/>
      <c r="G3070" s="3301" t="s">
        <v>677</v>
      </c>
      <c r="H3070" s="3063"/>
      <c r="I3070" s="3030"/>
    </row>
    <row r="3071" spans="2:9">
      <c r="B3071" s="3192" t="s">
        <v>678</v>
      </c>
      <c r="C3071" s="3063"/>
      <c r="D3071" s="3064"/>
      <c r="E3071" s="3064"/>
      <c r="F3071" s="3064"/>
      <c r="G3071" s="3301" t="s">
        <v>678</v>
      </c>
      <c r="H3071" s="3063"/>
      <c r="I3071" s="3030"/>
    </row>
    <row r="3072" spans="2:9">
      <c r="B3072" s="3192" t="s">
        <v>679</v>
      </c>
      <c r="C3072" s="3063"/>
      <c r="D3072" s="3064"/>
      <c r="E3072" s="3064"/>
      <c r="F3072" s="3064"/>
      <c r="G3072" s="3301" t="s">
        <v>679</v>
      </c>
      <c r="H3072" s="3063"/>
      <c r="I3072" s="3030"/>
    </row>
    <row r="3073" spans="2:9" ht="25.5">
      <c r="B3073" s="3192" t="s">
        <v>720</v>
      </c>
      <c r="C3073" s="3063"/>
      <c r="D3073" s="3064"/>
      <c r="E3073" s="3064"/>
      <c r="F3073" s="3064"/>
      <c r="G3073" s="3301" t="s">
        <v>720</v>
      </c>
      <c r="H3073" s="3063"/>
      <c r="I3073" s="3030"/>
    </row>
    <row r="3074" spans="2:9">
      <c r="B3074" s="3299" t="s">
        <v>65</v>
      </c>
      <c r="C3074" s="3063"/>
      <c r="D3074" s="3064"/>
      <c r="E3074" s="3064"/>
      <c r="F3074" s="3064"/>
      <c r="G3074" s="3300" t="s">
        <v>65</v>
      </c>
      <c r="H3074" s="3063"/>
      <c r="I3074" s="3030"/>
    </row>
    <row r="3075" spans="2:9" ht="25.5">
      <c r="B3075" s="3192" t="s">
        <v>675</v>
      </c>
      <c r="C3075" s="3063"/>
      <c r="D3075" s="3064"/>
      <c r="E3075" s="3064"/>
      <c r="F3075" s="3064"/>
      <c r="G3075" s="3301" t="s">
        <v>675</v>
      </c>
      <c r="H3075" s="3063"/>
      <c r="I3075" s="3030"/>
    </row>
    <row r="3076" spans="2:9" ht="25.5">
      <c r="B3076" s="3192" t="s">
        <v>676</v>
      </c>
      <c r="C3076" s="3063"/>
      <c r="D3076" s="3064"/>
      <c r="E3076" s="3064"/>
      <c r="F3076" s="3064"/>
      <c r="G3076" s="3301" t="s">
        <v>676</v>
      </c>
      <c r="H3076" s="3063"/>
      <c r="I3076" s="3030"/>
    </row>
    <row r="3077" spans="2:9">
      <c r="B3077" s="3192" t="s">
        <v>677</v>
      </c>
      <c r="C3077" s="3063"/>
      <c r="D3077" s="3064"/>
      <c r="E3077" s="3064"/>
      <c r="F3077" s="3064"/>
      <c r="G3077" s="3301" t="s">
        <v>677</v>
      </c>
      <c r="H3077" s="3063"/>
      <c r="I3077" s="3030"/>
    </row>
    <row r="3078" spans="2:9">
      <c r="B3078" s="3192" t="s">
        <v>678</v>
      </c>
      <c r="C3078" s="3063"/>
      <c r="D3078" s="3064"/>
      <c r="E3078" s="3064"/>
      <c r="F3078" s="3064"/>
      <c r="G3078" s="3301" t="s">
        <v>678</v>
      </c>
      <c r="H3078" s="3063"/>
      <c r="I3078" s="3030"/>
    </row>
    <row r="3079" spans="2:9">
      <c r="B3079" s="3192" t="s">
        <v>679</v>
      </c>
      <c r="C3079" s="3063"/>
      <c r="D3079" s="3064"/>
      <c r="E3079" s="3064"/>
      <c r="F3079" s="3064"/>
      <c r="G3079" s="3301" t="s">
        <v>679</v>
      </c>
      <c r="H3079" s="3063"/>
      <c r="I3079" s="3030"/>
    </row>
    <row r="3080" spans="2:9" ht="25.5">
      <c r="B3080" s="3192" t="s">
        <v>720</v>
      </c>
      <c r="C3080" s="3063"/>
      <c r="D3080" s="3064"/>
      <c r="E3080" s="3064"/>
      <c r="F3080" s="3064"/>
      <c r="G3080" s="3301" t="s">
        <v>720</v>
      </c>
      <c r="H3080" s="3063"/>
      <c r="I3080" s="3030"/>
    </row>
    <row r="3081" spans="2:9">
      <c r="B3081" s="3299" t="s">
        <v>82</v>
      </c>
      <c r="C3081" s="3063"/>
      <c r="D3081" s="3064"/>
      <c r="E3081" s="3064"/>
      <c r="F3081" s="3064"/>
      <c r="G3081" s="3300" t="s">
        <v>82</v>
      </c>
      <c r="H3081" s="3063"/>
      <c r="I3081" s="3030"/>
    </row>
    <row r="3082" spans="2:9" ht="25.5">
      <c r="B3082" s="3192" t="s">
        <v>675</v>
      </c>
      <c r="C3082" s="3063"/>
      <c r="D3082" s="3064"/>
      <c r="E3082" s="3064"/>
      <c r="F3082" s="3064"/>
      <c r="G3082" s="3301" t="s">
        <v>675</v>
      </c>
      <c r="H3082" s="3063"/>
      <c r="I3082" s="3030"/>
    </row>
    <row r="3083" spans="2:9" ht="25.5">
      <c r="B3083" s="3192" t="s">
        <v>676</v>
      </c>
      <c r="C3083" s="3063"/>
      <c r="D3083" s="3064"/>
      <c r="E3083" s="3064"/>
      <c r="F3083" s="3064"/>
      <c r="G3083" s="3301" t="s">
        <v>676</v>
      </c>
      <c r="H3083" s="3063"/>
      <c r="I3083" s="3030"/>
    </row>
    <row r="3084" spans="2:9">
      <c r="B3084" s="3192" t="s">
        <v>677</v>
      </c>
      <c r="C3084" s="3063"/>
      <c r="D3084" s="3064"/>
      <c r="E3084" s="3064"/>
      <c r="F3084" s="3064"/>
      <c r="G3084" s="3301" t="s">
        <v>677</v>
      </c>
      <c r="H3084" s="3063"/>
      <c r="I3084" s="3030"/>
    </row>
    <row r="3085" spans="2:9">
      <c r="B3085" s="3192" t="s">
        <v>678</v>
      </c>
      <c r="C3085" s="3063"/>
      <c r="D3085" s="3064"/>
      <c r="E3085" s="3064"/>
      <c r="F3085" s="3064"/>
      <c r="G3085" s="3301" t="s">
        <v>678</v>
      </c>
      <c r="H3085" s="3063"/>
      <c r="I3085" s="3030"/>
    </row>
    <row r="3086" spans="2:9">
      <c r="B3086" s="3192" t="s">
        <v>679</v>
      </c>
      <c r="C3086" s="3063"/>
      <c r="D3086" s="3064"/>
      <c r="E3086" s="3064"/>
      <c r="F3086" s="3064"/>
      <c r="G3086" s="3301" t="s">
        <v>679</v>
      </c>
      <c r="H3086" s="3063"/>
      <c r="I3086" s="3030"/>
    </row>
    <row r="3087" spans="2:9" ht="25.5">
      <c r="B3087" s="3192" t="s">
        <v>720</v>
      </c>
      <c r="C3087" s="3063"/>
      <c r="D3087" s="3064"/>
      <c r="E3087" s="3064"/>
      <c r="F3087" s="3064"/>
      <c r="G3087" s="3301" t="s">
        <v>720</v>
      </c>
      <c r="H3087" s="3063"/>
      <c r="I3087" s="3030"/>
    </row>
    <row r="3088" spans="2:9" ht="38.25">
      <c r="B3088" s="3299" t="s">
        <v>680</v>
      </c>
      <c r="C3088" s="3063"/>
      <c r="D3088" s="3064"/>
      <c r="E3088" s="3064"/>
      <c r="F3088" s="3064"/>
      <c r="G3088" s="3300" t="s">
        <v>680</v>
      </c>
      <c r="H3088" s="3063"/>
      <c r="I3088" s="3030"/>
    </row>
    <row r="3089" spans="2:9" ht="25.5">
      <c r="B3089" s="3192" t="s">
        <v>675</v>
      </c>
      <c r="C3089" s="3063"/>
      <c r="D3089" s="3064"/>
      <c r="E3089" s="3064"/>
      <c r="F3089" s="3064"/>
      <c r="G3089" s="3301" t="s">
        <v>675</v>
      </c>
      <c r="H3089" s="3063"/>
      <c r="I3089" s="3030"/>
    </row>
    <row r="3090" spans="2:9" ht="25.5">
      <c r="B3090" s="3192" t="s">
        <v>676</v>
      </c>
      <c r="C3090" s="3063"/>
      <c r="D3090" s="3064"/>
      <c r="E3090" s="3064"/>
      <c r="F3090" s="3064"/>
      <c r="G3090" s="3301" t="s">
        <v>676</v>
      </c>
      <c r="H3090" s="3063"/>
      <c r="I3090" s="3030"/>
    </row>
    <row r="3091" spans="2:9">
      <c r="B3091" s="3192" t="s">
        <v>677</v>
      </c>
      <c r="C3091" s="3063"/>
      <c r="D3091" s="3064"/>
      <c r="E3091" s="3064"/>
      <c r="F3091" s="3064"/>
      <c r="G3091" s="3301" t="s">
        <v>677</v>
      </c>
      <c r="H3091" s="3063"/>
      <c r="I3091" s="3030"/>
    </row>
    <row r="3092" spans="2:9">
      <c r="B3092" s="3192" t="s">
        <v>678</v>
      </c>
      <c r="C3092" s="3063"/>
      <c r="D3092" s="3064"/>
      <c r="E3092" s="3064"/>
      <c r="F3092" s="3064"/>
      <c r="G3092" s="3301" t="s">
        <v>678</v>
      </c>
      <c r="H3092" s="3063"/>
      <c r="I3092" s="3030"/>
    </row>
    <row r="3093" spans="2:9">
      <c r="B3093" s="3192" t="s">
        <v>679</v>
      </c>
      <c r="C3093" s="3063"/>
      <c r="D3093" s="3064"/>
      <c r="E3093" s="3064"/>
      <c r="F3093" s="3064"/>
      <c r="G3093" s="3301" t="s">
        <v>679</v>
      </c>
      <c r="H3093" s="3063"/>
      <c r="I3093" s="3030"/>
    </row>
    <row r="3094" spans="2:9" ht="25.5">
      <c r="B3094" s="3192" t="s">
        <v>720</v>
      </c>
      <c r="C3094" s="3063"/>
      <c r="D3094" s="3064"/>
      <c r="E3094" s="3064"/>
      <c r="F3094" s="3064"/>
      <c r="G3094" s="3301" t="s">
        <v>720</v>
      </c>
      <c r="H3094" s="3063"/>
      <c r="I3094" s="3030"/>
    </row>
    <row r="3095" spans="2:9" ht="38.25">
      <c r="B3095" s="3299" t="s">
        <v>681</v>
      </c>
      <c r="C3095" s="3063"/>
      <c r="D3095" s="3064"/>
      <c r="E3095" s="3064"/>
      <c r="F3095" s="3064">
        <v>1</v>
      </c>
      <c r="G3095" s="3300" t="s">
        <v>681</v>
      </c>
      <c r="H3095" s="3063">
        <v>0.10419560989163659</v>
      </c>
      <c r="I3095" s="3030"/>
    </row>
    <row r="3096" spans="2:9" ht="25.5">
      <c r="B3096" s="3192" t="s">
        <v>675</v>
      </c>
      <c r="C3096" s="3063"/>
      <c r="D3096" s="3064">
        <v>1</v>
      </c>
      <c r="E3096" s="3064"/>
      <c r="F3096" s="3064"/>
      <c r="G3096" s="3301" t="s">
        <v>675</v>
      </c>
      <c r="H3096" s="3063"/>
      <c r="I3096" s="3030">
        <v>0.10419560989163659</v>
      </c>
    </row>
    <row r="3097" spans="2:9" ht="25.5">
      <c r="B3097" s="3192" t="s">
        <v>676</v>
      </c>
      <c r="C3097" s="3063"/>
      <c r="D3097" s="3064"/>
      <c r="E3097" s="3064"/>
      <c r="F3097" s="3064"/>
      <c r="G3097" s="3301" t="s">
        <v>676</v>
      </c>
      <c r="H3097" s="3063"/>
      <c r="I3097" s="3030"/>
    </row>
    <row r="3098" spans="2:9">
      <c r="B3098" s="3192" t="s">
        <v>677</v>
      </c>
      <c r="C3098" s="3063"/>
      <c r="D3098" s="3064"/>
      <c r="E3098" s="3064"/>
      <c r="F3098" s="3064"/>
      <c r="G3098" s="3301" t="s">
        <v>677</v>
      </c>
      <c r="H3098" s="3063"/>
      <c r="I3098" s="3030"/>
    </row>
    <row r="3099" spans="2:9">
      <c r="B3099" s="3192" t="s">
        <v>678</v>
      </c>
      <c r="C3099" s="3063"/>
      <c r="D3099" s="3064"/>
      <c r="E3099" s="3064"/>
      <c r="F3099" s="3064"/>
      <c r="G3099" s="3301" t="s">
        <v>678</v>
      </c>
      <c r="H3099" s="3063"/>
      <c r="I3099" s="3030"/>
    </row>
    <row r="3100" spans="2:9">
      <c r="B3100" s="3192" t="s">
        <v>679</v>
      </c>
      <c r="C3100" s="3063"/>
      <c r="D3100" s="3064"/>
      <c r="E3100" s="3064"/>
      <c r="F3100" s="3064"/>
      <c r="G3100" s="3301" t="s">
        <v>679</v>
      </c>
      <c r="H3100" s="3063"/>
      <c r="I3100" s="3030"/>
    </row>
    <row r="3101" spans="2:9" ht="25.5">
      <c r="B3101" s="3192" t="s">
        <v>720</v>
      </c>
      <c r="C3101" s="3063"/>
      <c r="D3101" s="3064"/>
      <c r="E3101" s="3064"/>
      <c r="F3101" s="3064"/>
      <c r="G3101" s="3301" t="s">
        <v>720</v>
      </c>
      <c r="H3101" s="3063"/>
      <c r="I3101" s="3030"/>
    </row>
    <row r="3102" spans="2:9" ht="25.5">
      <c r="B3102" s="3299" t="s">
        <v>682</v>
      </c>
      <c r="C3102" s="3063"/>
      <c r="D3102" s="3064"/>
      <c r="E3102" s="3064"/>
      <c r="F3102" s="3064"/>
      <c r="G3102" s="3300" t="s">
        <v>682</v>
      </c>
      <c r="H3102" s="3063"/>
      <c r="I3102" s="3030"/>
    </row>
    <row r="3103" spans="2:9" ht="25.5">
      <c r="B3103" s="3192" t="s">
        <v>675</v>
      </c>
      <c r="C3103" s="3063"/>
      <c r="D3103" s="3064"/>
      <c r="E3103" s="3064"/>
      <c r="F3103" s="3064"/>
      <c r="G3103" s="3301" t="s">
        <v>675</v>
      </c>
      <c r="H3103" s="3063"/>
      <c r="I3103" s="3030"/>
    </row>
    <row r="3104" spans="2:9" ht="25.5">
      <c r="B3104" s="3192" t="s">
        <v>676</v>
      </c>
      <c r="C3104" s="3063"/>
      <c r="D3104" s="3064"/>
      <c r="E3104" s="3064"/>
      <c r="F3104" s="3064"/>
      <c r="G3104" s="3301" t="s">
        <v>676</v>
      </c>
      <c r="H3104" s="3063"/>
      <c r="I3104" s="3030"/>
    </row>
    <row r="3105" spans="2:9">
      <c r="B3105" s="3192" t="s">
        <v>677</v>
      </c>
      <c r="C3105" s="3063"/>
      <c r="D3105" s="3064"/>
      <c r="E3105" s="3064"/>
      <c r="F3105" s="3064"/>
      <c r="G3105" s="3301" t="s">
        <v>677</v>
      </c>
      <c r="H3105" s="3063"/>
      <c r="I3105" s="3030"/>
    </row>
    <row r="3106" spans="2:9">
      <c r="B3106" s="3192" t="s">
        <v>678</v>
      </c>
      <c r="C3106" s="3063"/>
      <c r="D3106" s="3064"/>
      <c r="E3106" s="3064"/>
      <c r="F3106" s="3064"/>
      <c r="G3106" s="3301" t="s">
        <v>678</v>
      </c>
      <c r="H3106" s="3063"/>
      <c r="I3106" s="3030"/>
    </row>
    <row r="3107" spans="2:9">
      <c r="B3107" s="3192" t="s">
        <v>679</v>
      </c>
      <c r="C3107" s="3063"/>
      <c r="D3107" s="3064"/>
      <c r="E3107" s="3064"/>
      <c r="F3107" s="3064"/>
      <c r="G3107" s="3301" t="s">
        <v>679</v>
      </c>
      <c r="H3107" s="3063"/>
      <c r="I3107" s="3030"/>
    </row>
    <row r="3108" spans="2:9" ht="25.5">
      <c r="B3108" s="3192" t="s">
        <v>720</v>
      </c>
      <c r="C3108" s="3063"/>
      <c r="D3108" s="3064"/>
      <c r="E3108" s="3064"/>
      <c r="F3108" s="3064"/>
      <c r="G3108" s="3301" t="s">
        <v>720</v>
      </c>
      <c r="H3108" s="3063"/>
      <c r="I3108" s="3030"/>
    </row>
    <row r="3109" spans="2:9" ht="25.5">
      <c r="B3109" s="3299" t="s">
        <v>66</v>
      </c>
      <c r="C3109" s="3063"/>
      <c r="D3109" s="3064"/>
      <c r="E3109" s="3064"/>
      <c r="F3109" s="3064"/>
      <c r="G3109" s="3300" t="s">
        <v>66</v>
      </c>
      <c r="H3109" s="3063"/>
      <c r="I3109" s="3030"/>
    </row>
    <row r="3110" spans="2:9" ht="25.5">
      <c r="B3110" s="3192" t="s">
        <v>675</v>
      </c>
      <c r="C3110" s="3063"/>
      <c r="D3110" s="3064"/>
      <c r="E3110" s="3064"/>
      <c r="F3110" s="3064"/>
      <c r="G3110" s="3301" t="s">
        <v>675</v>
      </c>
      <c r="H3110" s="3063"/>
      <c r="I3110" s="3030"/>
    </row>
    <row r="3111" spans="2:9" ht="25.5">
      <c r="B3111" s="3192" t="s">
        <v>676</v>
      </c>
      <c r="C3111" s="3063"/>
      <c r="D3111" s="3064"/>
      <c r="E3111" s="3064"/>
      <c r="F3111" s="3064"/>
      <c r="G3111" s="3301" t="s">
        <v>676</v>
      </c>
      <c r="H3111" s="3063"/>
      <c r="I3111" s="3030"/>
    </row>
    <row r="3112" spans="2:9">
      <c r="B3112" s="3192" t="s">
        <v>677</v>
      </c>
      <c r="C3112" s="3063"/>
      <c r="D3112" s="3064"/>
      <c r="E3112" s="3064"/>
      <c r="F3112" s="3064"/>
      <c r="G3112" s="3301" t="s">
        <v>677</v>
      </c>
      <c r="H3112" s="3063"/>
      <c r="I3112" s="3030"/>
    </row>
    <row r="3113" spans="2:9">
      <c r="B3113" s="3192" t="s">
        <v>678</v>
      </c>
      <c r="C3113" s="3063"/>
      <c r="D3113" s="3064"/>
      <c r="E3113" s="3064"/>
      <c r="F3113" s="3064"/>
      <c r="G3113" s="3301" t="s">
        <v>678</v>
      </c>
      <c r="H3113" s="3063"/>
      <c r="I3113" s="3030"/>
    </row>
    <row r="3114" spans="2:9">
      <c r="B3114" s="3192" t="s">
        <v>679</v>
      </c>
      <c r="C3114" s="3063"/>
      <c r="D3114" s="3064"/>
      <c r="E3114" s="3064"/>
      <c r="F3114" s="3064"/>
      <c r="G3114" s="3301" t="s">
        <v>679</v>
      </c>
      <c r="H3114" s="3063"/>
      <c r="I3114" s="3030"/>
    </row>
    <row r="3115" spans="2:9" ht="25.5">
      <c r="B3115" s="3192" t="s">
        <v>720</v>
      </c>
      <c r="C3115" s="3063"/>
      <c r="D3115" s="3064"/>
      <c r="E3115" s="3064"/>
      <c r="F3115" s="3064"/>
      <c r="G3115" s="3301" t="s">
        <v>720</v>
      </c>
      <c r="H3115" s="3063"/>
      <c r="I3115" s="3030"/>
    </row>
    <row r="3116" spans="2:9">
      <c r="B3116" s="3299" t="s">
        <v>67</v>
      </c>
      <c r="C3116" s="3063"/>
      <c r="D3116" s="3064"/>
      <c r="E3116" s="3064"/>
      <c r="F3116" s="3064">
        <v>4</v>
      </c>
      <c r="G3116" s="3300" t="s">
        <v>67</v>
      </c>
      <c r="H3116" s="3063">
        <v>3.2197477864233964E-2</v>
      </c>
      <c r="I3116" s="3030"/>
    </row>
    <row r="3117" spans="2:9" ht="25.5">
      <c r="B3117" s="3192" t="s">
        <v>675</v>
      </c>
      <c r="C3117" s="3063">
        <v>1</v>
      </c>
      <c r="D3117" s="3064"/>
      <c r="E3117" s="3064"/>
      <c r="F3117" s="3064"/>
      <c r="G3117" s="3301" t="s">
        <v>675</v>
      </c>
      <c r="H3117" s="3063"/>
      <c r="I3117" s="3030">
        <v>1.6098738932116982E-2</v>
      </c>
    </row>
    <row r="3118" spans="2:9" ht="25.5">
      <c r="B3118" s="3192" t="s">
        <v>676</v>
      </c>
      <c r="C3118" s="3063"/>
      <c r="D3118" s="3064"/>
      <c r="E3118" s="3064"/>
      <c r="F3118" s="3064"/>
      <c r="G3118" s="3301" t="s">
        <v>676</v>
      </c>
      <c r="H3118" s="3063"/>
      <c r="I3118" s="3030"/>
    </row>
    <row r="3119" spans="2:9">
      <c r="B3119" s="3192" t="s">
        <v>677</v>
      </c>
      <c r="C3119" s="3063"/>
      <c r="D3119" s="3064"/>
      <c r="E3119" s="3064"/>
      <c r="F3119" s="3064"/>
      <c r="G3119" s="3301" t="s">
        <v>677</v>
      </c>
      <c r="H3119" s="3063"/>
      <c r="I3119" s="3030"/>
    </row>
    <row r="3120" spans="2:9">
      <c r="B3120" s="3192" t="s">
        <v>678</v>
      </c>
      <c r="C3120" s="3063"/>
      <c r="D3120" s="3064">
        <v>1</v>
      </c>
      <c r="E3120" s="3064"/>
      <c r="F3120" s="3064"/>
      <c r="G3120" s="3301" t="s">
        <v>678</v>
      </c>
      <c r="H3120" s="3063"/>
      <c r="I3120" s="3030"/>
    </row>
    <row r="3121" spans="2:9">
      <c r="B3121" s="3192" t="s">
        <v>679</v>
      </c>
      <c r="C3121" s="3063"/>
      <c r="D3121" s="3064"/>
      <c r="E3121" s="3064"/>
      <c r="F3121" s="3064"/>
      <c r="G3121" s="3301" t="s">
        <v>679</v>
      </c>
      <c r="H3121" s="3063"/>
      <c r="I3121" s="3030"/>
    </row>
    <row r="3122" spans="2:9" ht="25.5">
      <c r="B3122" s="3230" t="s">
        <v>81</v>
      </c>
      <c r="C3122" s="3063"/>
      <c r="D3122" s="3064"/>
      <c r="E3122" s="3064"/>
      <c r="F3122" s="3064"/>
      <c r="G3122" s="3302" t="s">
        <v>81</v>
      </c>
      <c r="H3122" s="3063"/>
      <c r="I3122" s="3030"/>
    </row>
    <row r="3123" spans="2:9" ht="26.25" thickBot="1">
      <c r="B3123" s="3303" t="s">
        <v>81</v>
      </c>
      <c r="C3123" s="3068"/>
      <c r="D3123" s="3069"/>
      <c r="E3123" s="3069"/>
      <c r="F3123" s="3069"/>
      <c r="G3123" s="3304" t="s">
        <v>81</v>
      </c>
      <c r="H3123" s="3068"/>
      <c r="I3123" s="3070"/>
    </row>
    <row r="3124" spans="2:9" ht="38.25">
      <c r="B3124" s="4723">
        <v>3019</v>
      </c>
      <c r="C3124" s="3289"/>
      <c r="D3124" s="3290"/>
      <c r="E3124" s="3290"/>
      <c r="F3124" s="3290"/>
      <c r="G3124" s="4723">
        <v>3019</v>
      </c>
      <c r="H3124" s="3291" t="s">
        <v>687</v>
      </c>
      <c r="I3124" s="3292" t="s">
        <v>688</v>
      </c>
    </row>
    <row r="3125" spans="2:9">
      <c r="B3125" s="4724"/>
      <c r="C3125" s="4678" t="s">
        <v>686</v>
      </c>
      <c r="D3125" s="4725"/>
      <c r="E3125" s="4725"/>
      <c r="F3125" s="4726"/>
      <c r="G3125" s="4724"/>
      <c r="H3125" s="3293"/>
      <c r="I3125" s="3294"/>
    </row>
    <row r="3126" spans="2:9" ht="13.5" thickBot="1">
      <c r="B3126" s="4724"/>
      <c r="C3126" s="3215">
        <v>2013</v>
      </c>
      <c r="D3126" s="3215">
        <v>2014</v>
      </c>
      <c r="E3126" s="3215">
        <v>2015</v>
      </c>
      <c r="F3126" s="3215">
        <v>2016</v>
      </c>
      <c r="G3126" s="4724"/>
      <c r="H3126" s="3295" t="s">
        <v>390</v>
      </c>
      <c r="I3126" s="3296" t="s">
        <v>390</v>
      </c>
    </row>
    <row r="3127" spans="2:9">
      <c r="B3127" s="3217" t="s">
        <v>695</v>
      </c>
      <c r="C3127" s="3218"/>
      <c r="D3127" s="3219"/>
      <c r="E3127" s="3219"/>
      <c r="F3127" s="3219"/>
      <c r="G3127" s="3217" t="s">
        <v>695</v>
      </c>
      <c r="H3127" s="3297"/>
      <c r="I3127" s="3298"/>
    </row>
    <row r="3128" spans="2:9">
      <c r="B3128" s="3299" t="s">
        <v>64</v>
      </c>
      <c r="C3128" s="3063"/>
      <c r="D3128" s="3064"/>
      <c r="E3128" s="3064"/>
      <c r="F3128" s="3064"/>
      <c r="G3128" s="3300" t="s">
        <v>64</v>
      </c>
      <c r="H3128" s="3063"/>
      <c r="I3128" s="3030"/>
    </row>
    <row r="3129" spans="2:9" ht="25.5">
      <c r="B3129" s="3192" t="s">
        <v>675</v>
      </c>
      <c r="C3129" s="3063"/>
      <c r="D3129" s="3064"/>
      <c r="E3129" s="3064"/>
      <c r="F3129" s="3064"/>
      <c r="G3129" s="3301" t="s">
        <v>675</v>
      </c>
      <c r="H3129" s="3063"/>
      <c r="I3129" s="3030"/>
    </row>
    <row r="3130" spans="2:9" ht="25.5">
      <c r="B3130" s="3192" t="s">
        <v>676</v>
      </c>
      <c r="C3130" s="3063"/>
      <c r="D3130" s="3064"/>
      <c r="E3130" s="3064"/>
      <c r="F3130" s="3064"/>
      <c r="G3130" s="3301" t="s">
        <v>676</v>
      </c>
      <c r="H3130" s="3063"/>
      <c r="I3130" s="3030"/>
    </row>
    <row r="3131" spans="2:9">
      <c r="B3131" s="3192" t="s">
        <v>677</v>
      </c>
      <c r="C3131" s="3063"/>
      <c r="D3131" s="3064"/>
      <c r="E3131" s="3064"/>
      <c r="F3131" s="3064"/>
      <c r="G3131" s="3301" t="s">
        <v>677</v>
      </c>
      <c r="H3131" s="3063"/>
      <c r="I3131" s="3030"/>
    </row>
    <row r="3132" spans="2:9">
      <c r="B3132" s="3192" t="s">
        <v>678</v>
      </c>
      <c r="C3132" s="3063"/>
      <c r="D3132" s="3064"/>
      <c r="E3132" s="3064"/>
      <c r="F3132" s="3064"/>
      <c r="G3132" s="3301" t="s">
        <v>678</v>
      </c>
      <c r="H3132" s="3063"/>
      <c r="I3132" s="3030"/>
    </row>
    <row r="3133" spans="2:9">
      <c r="B3133" s="3192" t="s">
        <v>679</v>
      </c>
      <c r="C3133" s="3063"/>
      <c r="D3133" s="3064"/>
      <c r="E3133" s="3064"/>
      <c r="F3133" s="3064"/>
      <c r="G3133" s="3301" t="s">
        <v>679</v>
      </c>
      <c r="H3133" s="3063"/>
      <c r="I3133" s="3030"/>
    </row>
    <row r="3134" spans="2:9" ht="25.5">
      <c r="B3134" s="3192" t="s">
        <v>720</v>
      </c>
      <c r="C3134" s="3063"/>
      <c r="D3134" s="3064"/>
      <c r="E3134" s="3064"/>
      <c r="F3134" s="3064"/>
      <c r="G3134" s="3301" t="s">
        <v>720</v>
      </c>
      <c r="H3134" s="3063"/>
      <c r="I3134" s="3030"/>
    </row>
    <row r="3135" spans="2:9">
      <c r="B3135" s="3299" t="s">
        <v>65</v>
      </c>
      <c r="C3135" s="3063"/>
      <c r="D3135" s="3064"/>
      <c r="E3135" s="3064"/>
      <c r="F3135" s="3064"/>
      <c r="G3135" s="3300" t="s">
        <v>65</v>
      </c>
      <c r="H3135" s="3063"/>
      <c r="I3135" s="3030"/>
    </row>
    <row r="3136" spans="2:9" ht="25.5">
      <c r="B3136" s="3192" t="s">
        <v>675</v>
      </c>
      <c r="C3136" s="3063"/>
      <c r="D3136" s="3064"/>
      <c r="E3136" s="3064"/>
      <c r="F3136" s="3064"/>
      <c r="G3136" s="3301" t="s">
        <v>675</v>
      </c>
      <c r="H3136" s="3063"/>
      <c r="I3136" s="3030"/>
    </row>
    <row r="3137" spans="2:9" ht="25.5">
      <c r="B3137" s="3192" t="s">
        <v>676</v>
      </c>
      <c r="C3137" s="3063"/>
      <c r="D3137" s="3064"/>
      <c r="E3137" s="3064"/>
      <c r="F3137" s="3064"/>
      <c r="G3137" s="3301" t="s">
        <v>676</v>
      </c>
      <c r="H3137" s="3063"/>
      <c r="I3137" s="3030"/>
    </row>
    <row r="3138" spans="2:9">
      <c r="B3138" s="3192" t="s">
        <v>677</v>
      </c>
      <c r="C3138" s="3063"/>
      <c r="D3138" s="3064"/>
      <c r="E3138" s="3064"/>
      <c r="F3138" s="3064"/>
      <c r="G3138" s="3301" t="s">
        <v>677</v>
      </c>
      <c r="H3138" s="3063"/>
      <c r="I3138" s="3030"/>
    </row>
    <row r="3139" spans="2:9">
      <c r="B3139" s="3192" t="s">
        <v>678</v>
      </c>
      <c r="C3139" s="3063"/>
      <c r="D3139" s="3064"/>
      <c r="E3139" s="3064"/>
      <c r="F3139" s="3064"/>
      <c r="G3139" s="3301" t="s">
        <v>678</v>
      </c>
      <c r="H3139" s="3063"/>
      <c r="I3139" s="3030"/>
    </row>
    <row r="3140" spans="2:9">
      <c r="B3140" s="3192" t="s">
        <v>679</v>
      </c>
      <c r="C3140" s="3063"/>
      <c r="D3140" s="3064"/>
      <c r="E3140" s="3064"/>
      <c r="F3140" s="3064"/>
      <c r="G3140" s="3301" t="s">
        <v>679</v>
      </c>
      <c r="H3140" s="3063"/>
      <c r="I3140" s="3030"/>
    </row>
    <row r="3141" spans="2:9" ht="25.5">
      <c r="B3141" s="3192" t="s">
        <v>720</v>
      </c>
      <c r="C3141" s="3063"/>
      <c r="D3141" s="3064"/>
      <c r="E3141" s="3064"/>
      <c r="F3141" s="3064"/>
      <c r="G3141" s="3301" t="s">
        <v>720</v>
      </c>
      <c r="H3141" s="3063"/>
      <c r="I3141" s="3030"/>
    </row>
    <row r="3142" spans="2:9">
      <c r="B3142" s="3299" t="s">
        <v>82</v>
      </c>
      <c r="C3142" s="3063"/>
      <c r="D3142" s="3064"/>
      <c r="E3142" s="3064"/>
      <c r="F3142" s="3064"/>
      <c r="G3142" s="3300" t="s">
        <v>82</v>
      </c>
      <c r="H3142" s="3063"/>
      <c r="I3142" s="3030"/>
    </row>
    <row r="3143" spans="2:9" ht="25.5">
      <c r="B3143" s="3192" t="s">
        <v>675</v>
      </c>
      <c r="C3143" s="3063"/>
      <c r="D3143" s="3064"/>
      <c r="E3143" s="3064"/>
      <c r="F3143" s="3064"/>
      <c r="G3143" s="3301" t="s">
        <v>675</v>
      </c>
      <c r="H3143" s="3063"/>
      <c r="I3143" s="3030"/>
    </row>
    <row r="3144" spans="2:9" ht="25.5">
      <c r="B3144" s="3192" t="s">
        <v>676</v>
      </c>
      <c r="C3144" s="3063"/>
      <c r="D3144" s="3064"/>
      <c r="E3144" s="3064"/>
      <c r="F3144" s="3064"/>
      <c r="G3144" s="3301" t="s">
        <v>676</v>
      </c>
      <c r="H3144" s="3063"/>
      <c r="I3144" s="3030"/>
    </row>
    <row r="3145" spans="2:9">
      <c r="B3145" s="3192" t="s">
        <v>677</v>
      </c>
      <c r="C3145" s="3063"/>
      <c r="D3145" s="3064"/>
      <c r="E3145" s="3064"/>
      <c r="F3145" s="3064"/>
      <c r="G3145" s="3301" t="s">
        <v>677</v>
      </c>
      <c r="H3145" s="3063"/>
      <c r="I3145" s="3030"/>
    </row>
    <row r="3146" spans="2:9">
      <c r="B3146" s="3192" t="s">
        <v>678</v>
      </c>
      <c r="C3146" s="3063"/>
      <c r="D3146" s="3064"/>
      <c r="E3146" s="3064"/>
      <c r="F3146" s="3064"/>
      <c r="G3146" s="3301" t="s">
        <v>678</v>
      </c>
      <c r="H3146" s="3063"/>
      <c r="I3146" s="3030"/>
    </row>
    <row r="3147" spans="2:9">
      <c r="B3147" s="3192" t="s">
        <v>679</v>
      </c>
      <c r="C3147" s="3063"/>
      <c r="D3147" s="3064"/>
      <c r="E3147" s="3064"/>
      <c r="F3147" s="3064"/>
      <c r="G3147" s="3301" t="s">
        <v>679</v>
      </c>
      <c r="H3147" s="3063"/>
      <c r="I3147" s="3030"/>
    </row>
    <row r="3148" spans="2:9" ht="25.5">
      <c r="B3148" s="3192" t="s">
        <v>720</v>
      </c>
      <c r="C3148" s="3063"/>
      <c r="D3148" s="3064"/>
      <c r="E3148" s="3064"/>
      <c r="F3148" s="3064"/>
      <c r="G3148" s="3301" t="s">
        <v>720</v>
      </c>
      <c r="H3148" s="3063"/>
      <c r="I3148" s="3030"/>
    </row>
    <row r="3149" spans="2:9" ht="38.25">
      <c r="B3149" s="3299" t="s">
        <v>680</v>
      </c>
      <c r="C3149" s="3063"/>
      <c r="D3149" s="3064"/>
      <c r="E3149" s="3064"/>
      <c r="F3149" s="3064"/>
      <c r="G3149" s="3300" t="s">
        <v>680</v>
      </c>
      <c r="H3149" s="3063"/>
      <c r="I3149" s="3030"/>
    </row>
    <row r="3150" spans="2:9" ht="25.5">
      <c r="B3150" s="3192" t="s">
        <v>675</v>
      </c>
      <c r="C3150" s="3063"/>
      <c r="D3150" s="3064"/>
      <c r="E3150" s="3064"/>
      <c r="F3150" s="3064"/>
      <c r="G3150" s="3301" t="s">
        <v>675</v>
      </c>
      <c r="H3150" s="3063"/>
      <c r="I3150" s="3030"/>
    </row>
    <row r="3151" spans="2:9" ht="25.5">
      <c r="B3151" s="3192" t="s">
        <v>676</v>
      </c>
      <c r="C3151" s="3063"/>
      <c r="D3151" s="3064"/>
      <c r="E3151" s="3064"/>
      <c r="F3151" s="3064"/>
      <c r="G3151" s="3301" t="s">
        <v>676</v>
      </c>
      <c r="H3151" s="3063"/>
      <c r="I3151" s="3030"/>
    </row>
    <row r="3152" spans="2:9">
      <c r="B3152" s="3192" t="s">
        <v>677</v>
      </c>
      <c r="C3152" s="3063"/>
      <c r="D3152" s="3064"/>
      <c r="E3152" s="3064"/>
      <c r="F3152" s="3064"/>
      <c r="G3152" s="3301" t="s">
        <v>677</v>
      </c>
      <c r="H3152" s="3063"/>
      <c r="I3152" s="3030"/>
    </row>
    <row r="3153" spans="2:9">
      <c r="B3153" s="3192" t="s">
        <v>678</v>
      </c>
      <c r="C3153" s="3063"/>
      <c r="D3153" s="3064"/>
      <c r="E3153" s="3064"/>
      <c r="F3153" s="3064"/>
      <c r="G3153" s="3301" t="s">
        <v>678</v>
      </c>
      <c r="H3153" s="3063"/>
      <c r="I3153" s="3030"/>
    </row>
    <row r="3154" spans="2:9">
      <c r="B3154" s="3192" t="s">
        <v>679</v>
      </c>
      <c r="C3154" s="3063"/>
      <c r="D3154" s="3064"/>
      <c r="E3154" s="3064"/>
      <c r="F3154" s="3064"/>
      <c r="G3154" s="3301" t="s">
        <v>679</v>
      </c>
      <c r="H3154" s="3063"/>
      <c r="I3154" s="3030"/>
    </row>
    <row r="3155" spans="2:9" ht="25.5">
      <c r="B3155" s="3192" t="s">
        <v>720</v>
      </c>
      <c r="C3155" s="3063"/>
      <c r="D3155" s="3064"/>
      <c r="E3155" s="3064"/>
      <c r="F3155" s="3064"/>
      <c r="G3155" s="3301" t="s">
        <v>720</v>
      </c>
      <c r="H3155" s="3063"/>
      <c r="I3155" s="3030"/>
    </row>
    <row r="3156" spans="2:9" ht="38.25">
      <c r="B3156" s="3299" t="s">
        <v>681</v>
      </c>
      <c r="C3156" s="3063"/>
      <c r="D3156" s="3064"/>
      <c r="E3156" s="3064"/>
      <c r="F3156" s="3064"/>
      <c r="G3156" s="3300" t="s">
        <v>681</v>
      </c>
      <c r="H3156" s="3063"/>
      <c r="I3156" s="3030"/>
    </row>
    <row r="3157" spans="2:9" ht="25.5">
      <c r="B3157" s="3192" t="s">
        <v>675</v>
      </c>
      <c r="C3157" s="3063"/>
      <c r="D3157" s="3064"/>
      <c r="E3157" s="3064"/>
      <c r="F3157" s="3064"/>
      <c r="G3157" s="3301" t="s">
        <v>675</v>
      </c>
      <c r="H3157" s="3063"/>
      <c r="I3157" s="3030"/>
    </row>
    <row r="3158" spans="2:9" ht="25.5">
      <c r="B3158" s="3192" t="s">
        <v>676</v>
      </c>
      <c r="C3158" s="3063"/>
      <c r="D3158" s="3064"/>
      <c r="E3158" s="3064"/>
      <c r="F3158" s="3064"/>
      <c r="G3158" s="3301" t="s">
        <v>676</v>
      </c>
      <c r="H3158" s="3063"/>
      <c r="I3158" s="3030"/>
    </row>
    <row r="3159" spans="2:9">
      <c r="B3159" s="3192" t="s">
        <v>677</v>
      </c>
      <c r="C3159" s="3063"/>
      <c r="D3159" s="3064"/>
      <c r="E3159" s="3064"/>
      <c r="F3159" s="3064"/>
      <c r="G3159" s="3301" t="s">
        <v>677</v>
      </c>
      <c r="H3159" s="3063"/>
      <c r="I3159" s="3030"/>
    </row>
    <row r="3160" spans="2:9">
      <c r="B3160" s="3192" t="s">
        <v>678</v>
      </c>
      <c r="C3160" s="3063"/>
      <c r="D3160" s="3064"/>
      <c r="E3160" s="3064"/>
      <c r="F3160" s="3064"/>
      <c r="G3160" s="3301" t="s">
        <v>678</v>
      </c>
      <c r="H3160" s="3063"/>
      <c r="I3160" s="3030"/>
    </row>
    <row r="3161" spans="2:9">
      <c r="B3161" s="3192" t="s">
        <v>679</v>
      </c>
      <c r="C3161" s="3063"/>
      <c r="D3161" s="3064"/>
      <c r="E3161" s="3064"/>
      <c r="F3161" s="3064"/>
      <c r="G3161" s="3301" t="s">
        <v>679</v>
      </c>
      <c r="H3161" s="3063"/>
      <c r="I3161" s="3030"/>
    </row>
    <row r="3162" spans="2:9" ht="25.5">
      <c r="B3162" s="3192" t="s">
        <v>720</v>
      </c>
      <c r="C3162" s="3063"/>
      <c r="D3162" s="3064"/>
      <c r="E3162" s="3064"/>
      <c r="F3162" s="3064"/>
      <c r="G3162" s="3301" t="s">
        <v>720</v>
      </c>
      <c r="H3162" s="3063"/>
      <c r="I3162" s="3030"/>
    </row>
    <row r="3163" spans="2:9" ht="25.5">
      <c r="B3163" s="3299" t="s">
        <v>682</v>
      </c>
      <c r="C3163" s="3063"/>
      <c r="D3163" s="3064"/>
      <c r="E3163" s="3064"/>
      <c r="F3163" s="3064"/>
      <c r="G3163" s="3300" t="s">
        <v>682</v>
      </c>
      <c r="H3163" s="3063"/>
      <c r="I3163" s="3030"/>
    </row>
    <row r="3164" spans="2:9" ht="25.5">
      <c r="B3164" s="3192" t="s">
        <v>675</v>
      </c>
      <c r="C3164" s="3063"/>
      <c r="D3164" s="3064"/>
      <c r="E3164" s="3064"/>
      <c r="F3164" s="3064"/>
      <c r="G3164" s="3301" t="s">
        <v>675</v>
      </c>
      <c r="H3164" s="3063"/>
      <c r="I3164" s="3030"/>
    </row>
    <row r="3165" spans="2:9" ht="25.5">
      <c r="B3165" s="3192" t="s">
        <v>676</v>
      </c>
      <c r="C3165" s="3063"/>
      <c r="D3165" s="3064"/>
      <c r="E3165" s="3064"/>
      <c r="F3165" s="3064"/>
      <c r="G3165" s="3301" t="s">
        <v>676</v>
      </c>
      <c r="H3165" s="3063"/>
      <c r="I3165" s="3030"/>
    </row>
    <row r="3166" spans="2:9">
      <c r="B3166" s="3192" t="s">
        <v>677</v>
      </c>
      <c r="C3166" s="3063"/>
      <c r="D3166" s="3064"/>
      <c r="E3166" s="3064"/>
      <c r="F3166" s="3064"/>
      <c r="G3166" s="3301" t="s">
        <v>677</v>
      </c>
      <c r="H3166" s="3063"/>
      <c r="I3166" s="3030"/>
    </row>
    <row r="3167" spans="2:9">
      <c r="B3167" s="3192" t="s">
        <v>678</v>
      </c>
      <c r="C3167" s="3063"/>
      <c r="D3167" s="3064"/>
      <c r="E3167" s="3064"/>
      <c r="F3167" s="3064"/>
      <c r="G3167" s="3301" t="s">
        <v>678</v>
      </c>
      <c r="H3167" s="3063"/>
      <c r="I3167" s="3030"/>
    </row>
    <row r="3168" spans="2:9">
      <c r="B3168" s="3192" t="s">
        <v>679</v>
      </c>
      <c r="C3168" s="3063"/>
      <c r="D3168" s="3064"/>
      <c r="E3168" s="3064"/>
      <c r="F3168" s="3064"/>
      <c r="G3168" s="3301" t="s">
        <v>679</v>
      </c>
      <c r="H3168" s="3063"/>
      <c r="I3168" s="3030"/>
    </row>
    <row r="3169" spans="2:9" ht="25.5">
      <c r="B3169" s="3192" t="s">
        <v>720</v>
      </c>
      <c r="C3169" s="3063"/>
      <c r="D3169" s="3064"/>
      <c r="E3169" s="3064"/>
      <c r="F3169" s="3064"/>
      <c r="G3169" s="3301" t="s">
        <v>720</v>
      </c>
      <c r="H3169" s="3063"/>
      <c r="I3169" s="3030"/>
    </row>
    <row r="3170" spans="2:9" ht="25.5">
      <c r="B3170" s="3299" t="s">
        <v>66</v>
      </c>
      <c r="C3170" s="3063"/>
      <c r="D3170" s="3064"/>
      <c r="E3170" s="3064"/>
      <c r="F3170" s="3064"/>
      <c r="G3170" s="3300" t="s">
        <v>66</v>
      </c>
      <c r="H3170" s="3063"/>
      <c r="I3170" s="3030"/>
    </row>
    <row r="3171" spans="2:9" ht="25.5">
      <c r="B3171" s="3192" t="s">
        <v>675</v>
      </c>
      <c r="C3171" s="3063"/>
      <c r="D3171" s="3064"/>
      <c r="E3171" s="3064"/>
      <c r="F3171" s="3064"/>
      <c r="G3171" s="3301" t="s">
        <v>675</v>
      </c>
      <c r="H3171" s="3063"/>
      <c r="I3171" s="3030"/>
    </row>
    <row r="3172" spans="2:9" ht="25.5">
      <c r="B3172" s="3192" t="s">
        <v>676</v>
      </c>
      <c r="C3172" s="3063"/>
      <c r="D3172" s="3064"/>
      <c r="E3172" s="3064"/>
      <c r="F3172" s="3064"/>
      <c r="G3172" s="3301" t="s">
        <v>676</v>
      </c>
      <c r="H3172" s="3063"/>
      <c r="I3172" s="3030"/>
    </row>
    <row r="3173" spans="2:9">
      <c r="B3173" s="3192" t="s">
        <v>677</v>
      </c>
      <c r="C3173" s="3063"/>
      <c r="D3173" s="3064"/>
      <c r="E3173" s="3064"/>
      <c r="F3173" s="3064"/>
      <c r="G3173" s="3301" t="s">
        <v>677</v>
      </c>
      <c r="H3173" s="3063"/>
      <c r="I3173" s="3030"/>
    </row>
    <row r="3174" spans="2:9">
      <c r="B3174" s="3192" t="s">
        <v>678</v>
      </c>
      <c r="C3174" s="3063"/>
      <c r="D3174" s="3064"/>
      <c r="E3174" s="3064"/>
      <c r="F3174" s="3064"/>
      <c r="G3174" s="3301" t="s">
        <v>678</v>
      </c>
      <c r="H3174" s="3063"/>
      <c r="I3174" s="3030"/>
    </row>
    <row r="3175" spans="2:9">
      <c r="B3175" s="3192" t="s">
        <v>679</v>
      </c>
      <c r="C3175" s="3063"/>
      <c r="D3175" s="3064"/>
      <c r="E3175" s="3064"/>
      <c r="F3175" s="3064"/>
      <c r="G3175" s="3301" t="s">
        <v>679</v>
      </c>
      <c r="H3175" s="3063"/>
      <c r="I3175" s="3030"/>
    </row>
    <row r="3176" spans="2:9" ht="25.5">
      <c r="B3176" s="3192" t="s">
        <v>720</v>
      </c>
      <c r="C3176" s="3063"/>
      <c r="D3176" s="3064"/>
      <c r="E3176" s="3064"/>
      <c r="F3176" s="3064"/>
      <c r="G3176" s="3301" t="s">
        <v>720</v>
      </c>
      <c r="H3176" s="3063"/>
      <c r="I3176" s="3030"/>
    </row>
    <row r="3177" spans="2:9">
      <c r="B3177" s="3299" t="s">
        <v>67</v>
      </c>
      <c r="C3177" s="3063"/>
      <c r="D3177" s="3064"/>
      <c r="E3177" s="3064"/>
      <c r="F3177" s="3064"/>
      <c r="G3177" s="3300" t="s">
        <v>67</v>
      </c>
      <c r="H3177" s="3063"/>
      <c r="I3177" s="3030"/>
    </row>
    <row r="3178" spans="2:9" ht="25.5">
      <c r="B3178" s="3192" t="s">
        <v>675</v>
      </c>
      <c r="C3178" s="3063"/>
      <c r="D3178" s="3064"/>
      <c r="E3178" s="3064"/>
      <c r="F3178" s="3064"/>
      <c r="G3178" s="3301" t="s">
        <v>675</v>
      </c>
      <c r="H3178" s="3063"/>
      <c r="I3178" s="3030"/>
    </row>
    <row r="3179" spans="2:9" ht="25.5">
      <c r="B3179" s="3192" t="s">
        <v>676</v>
      </c>
      <c r="C3179" s="3063"/>
      <c r="D3179" s="3064"/>
      <c r="E3179" s="3064"/>
      <c r="F3179" s="3064"/>
      <c r="G3179" s="3301" t="s">
        <v>676</v>
      </c>
      <c r="H3179" s="3063"/>
      <c r="I3179" s="3030"/>
    </row>
    <row r="3180" spans="2:9">
      <c r="B3180" s="3192" t="s">
        <v>677</v>
      </c>
      <c r="C3180" s="3063"/>
      <c r="D3180" s="3064"/>
      <c r="E3180" s="3064"/>
      <c r="F3180" s="3064"/>
      <c r="G3180" s="3301" t="s">
        <v>677</v>
      </c>
      <c r="H3180" s="3063"/>
      <c r="I3180" s="3030"/>
    </row>
    <row r="3181" spans="2:9">
      <c r="B3181" s="3192" t="s">
        <v>678</v>
      </c>
      <c r="C3181" s="3063"/>
      <c r="D3181" s="3064"/>
      <c r="E3181" s="3064"/>
      <c r="F3181" s="3064"/>
      <c r="G3181" s="3301" t="s">
        <v>678</v>
      </c>
      <c r="H3181" s="3063"/>
      <c r="I3181" s="3030"/>
    </row>
    <row r="3182" spans="2:9">
      <c r="B3182" s="3192" t="s">
        <v>679</v>
      </c>
      <c r="C3182" s="3063"/>
      <c r="D3182" s="3064"/>
      <c r="E3182" s="3064"/>
      <c r="F3182" s="3064"/>
      <c r="G3182" s="3301" t="s">
        <v>679</v>
      </c>
      <c r="H3182" s="3063"/>
      <c r="I3182" s="3030"/>
    </row>
    <row r="3183" spans="2:9" ht="25.5">
      <c r="B3183" s="3192" t="s">
        <v>720</v>
      </c>
      <c r="C3183" s="3063"/>
      <c r="D3183" s="3064"/>
      <c r="E3183" s="3064"/>
      <c r="F3183" s="3064"/>
      <c r="G3183" s="3301" t="s">
        <v>720</v>
      </c>
      <c r="H3183" s="3063"/>
      <c r="I3183" s="3030"/>
    </row>
    <row r="3184" spans="2:9" ht="25.5">
      <c r="B3184" s="3230" t="s">
        <v>81</v>
      </c>
      <c r="C3184" s="3063"/>
      <c r="D3184" s="3064"/>
      <c r="E3184" s="3064"/>
      <c r="F3184" s="3064"/>
      <c r="G3184" s="3302" t="s">
        <v>81</v>
      </c>
      <c r="H3184" s="3063"/>
      <c r="I3184" s="3030"/>
    </row>
    <row r="3185" spans="2:9" ht="26.25" thickBot="1">
      <c r="B3185" s="3303" t="s">
        <v>81</v>
      </c>
      <c r="C3185" s="3063"/>
      <c r="D3185" s="3064"/>
      <c r="E3185" s="3064"/>
      <c r="F3185" s="3064"/>
      <c r="G3185" s="3302" t="s">
        <v>81</v>
      </c>
      <c r="H3185" s="3063"/>
      <c r="I3185" s="3030"/>
    </row>
    <row r="3186" spans="2:9" ht="25.5">
      <c r="B3186" s="3217" t="s">
        <v>696</v>
      </c>
      <c r="C3186" s="3218"/>
      <c r="D3186" s="3219"/>
      <c r="E3186" s="3219"/>
      <c r="F3186" s="3219"/>
      <c r="G3186" s="3217" t="s">
        <v>696</v>
      </c>
      <c r="H3186" s="3297"/>
      <c r="I3186" s="3298"/>
    </row>
    <row r="3187" spans="2:9">
      <c r="B3187" s="3299" t="s">
        <v>64</v>
      </c>
      <c r="C3187" s="3063"/>
      <c r="D3187" s="3064"/>
      <c r="E3187" s="3064"/>
      <c r="F3187" s="3064"/>
      <c r="G3187" s="3300" t="s">
        <v>64</v>
      </c>
      <c r="H3187" s="3063">
        <v>1.0714285714285714</v>
      </c>
      <c r="I3187" s="3030"/>
    </row>
    <row r="3188" spans="2:9" ht="25.5">
      <c r="B3188" s="3192" t="s">
        <v>675</v>
      </c>
      <c r="C3188" s="3063">
        <v>2</v>
      </c>
      <c r="D3188" s="3064">
        <v>1</v>
      </c>
      <c r="E3188" s="3064"/>
      <c r="F3188" s="3064"/>
      <c r="G3188" s="3301" t="s">
        <v>675</v>
      </c>
      <c r="H3188" s="3063"/>
      <c r="I3188" s="3030">
        <v>1.0714285714285714</v>
      </c>
    </row>
    <row r="3189" spans="2:9" ht="25.5">
      <c r="B3189" s="3192" t="s">
        <v>676</v>
      </c>
      <c r="C3189" s="3063"/>
      <c r="D3189" s="3064"/>
      <c r="E3189" s="3064"/>
      <c r="F3189" s="3064"/>
      <c r="G3189" s="3301" t="s">
        <v>676</v>
      </c>
      <c r="H3189" s="3063"/>
      <c r="I3189" s="3030"/>
    </row>
    <row r="3190" spans="2:9">
      <c r="B3190" s="3192" t="s">
        <v>677</v>
      </c>
      <c r="C3190" s="3063"/>
      <c r="D3190" s="3064"/>
      <c r="E3190" s="3064"/>
      <c r="F3190" s="3064"/>
      <c r="G3190" s="3301" t="s">
        <v>677</v>
      </c>
      <c r="H3190" s="3063"/>
      <c r="I3190" s="3030"/>
    </row>
    <row r="3191" spans="2:9">
      <c r="B3191" s="3192" t="s">
        <v>678</v>
      </c>
      <c r="C3191" s="3063"/>
      <c r="D3191" s="3064"/>
      <c r="E3191" s="3064"/>
      <c r="F3191" s="3064"/>
      <c r="G3191" s="3301" t="s">
        <v>678</v>
      </c>
      <c r="H3191" s="3063"/>
      <c r="I3191" s="3030"/>
    </row>
    <row r="3192" spans="2:9">
      <c r="B3192" s="3192" t="s">
        <v>679</v>
      </c>
      <c r="C3192" s="3063"/>
      <c r="D3192" s="3064"/>
      <c r="E3192" s="3064"/>
      <c r="F3192" s="3064"/>
      <c r="G3192" s="3301" t="s">
        <v>679</v>
      </c>
      <c r="H3192" s="3063"/>
      <c r="I3192" s="3030"/>
    </row>
    <row r="3193" spans="2:9" ht="25.5">
      <c r="B3193" s="3192" t="s">
        <v>720</v>
      </c>
      <c r="C3193" s="3063"/>
      <c r="D3193" s="3064"/>
      <c r="E3193" s="3064"/>
      <c r="F3193" s="3064"/>
      <c r="G3193" s="3301" t="s">
        <v>720</v>
      </c>
      <c r="H3193" s="3063"/>
      <c r="I3193" s="3030"/>
    </row>
    <row r="3194" spans="2:9">
      <c r="B3194" s="3299" t="s">
        <v>65</v>
      </c>
      <c r="C3194" s="3063"/>
      <c r="D3194" s="3064"/>
      <c r="E3194" s="3064"/>
      <c r="F3194" s="3064"/>
      <c r="G3194" s="3300" t="s">
        <v>65</v>
      </c>
      <c r="H3194" s="3063"/>
      <c r="I3194" s="3030"/>
    </row>
    <row r="3195" spans="2:9" ht="25.5">
      <c r="B3195" s="3192" t="s">
        <v>675</v>
      </c>
      <c r="C3195" s="3063"/>
      <c r="D3195" s="3064"/>
      <c r="E3195" s="3064"/>
      <c r="F3195" s="3064"/>
      <c r="G3195" s="3301" t="s">
        <v>675</v>
      </c>
      <c r="H3195" s="3063"/>
      <c r="I3195" s="3030"/>
    </row>
    <row r="3196" spans="2:9" ht="25.5">
      <c r="B3196" s="3192" t="s">
        <v>676</v>
      </c>
      <c r="C3196" s="3063"/>
      <c r="D3196" s="3064"/>
      <c r="E3196" s="3064"/>
      <c r="F3196" s="3064"/>
      <c r="G3196" s="3301" t="s">
        <v>676</v>
      </c>
      <c r="H3196" s="3063"/>
      <c r="I3196" s="3030"/>
    </row>
    <row r="3197" spans="2:9">
      <c r="B3197" s="3192" t="s">
        <v>677</v>
      </c>
      <c r="C3197" s="3063"/>
      <c r="D3197" s="3064"/>
      <c r="E3197" s="3064"/>
      <c r="F3197" s="3064"/>
      <c r="G3197" s="3301" t="s">
        <v>677</v>
      </c>
      <c r="H3197" s="3063"/>
      <c r="I3197" s="3030"/>
    </row>
    <row r="3198" spans="2:9">
      <c r="B3198" s="3192" t="s">
        <v>678</v>
      </c>
      <c r="C3198" s="3063"/>
      <c r="D3198" s="3064"/>
      <c r="E3198" s="3064"/>
      <c r="F3198" s="3064"/>
      <c r="G3198" s="3301" t="s">
        <v>678</v>
      </c>
      <c r="H3198" s="3063"/>
      <c r="I3198" s="3030"/>
    </row>
    <row r="3199" spans="2:9">
      <c r="B3199" s="3192" t="s">
        <v>679</v>
      </c>
      <c r="C3199" s="3063"/>
      <c r="D3199" s="3064"/>
      <c r="E3199" s="3064"/>
      <c r="F3199" s="3064"/>
      <c r="G3199" s="3301" t="s">
        <v>679</v>
      </c>
      <c r="H3199" s="3063"/>
      <c r="I3199" s="3030"/>
    </row>
    <row r="3200" spans="2:9" ht="25.5">
      <c r="B3200" s="3192" t="s">
        <v>720</v>
      </c>
      <c r="C3200" s="3063"/>
      <c r="D3200" s="3064"/>
      <c r="E3200" s="3064"/>
      <c r="F3200" s="3064"/>
      <c r="G3200" s="3301" t="s">
        <v>720</v>
      </c>
      <c r="H3200" s="3063"/>
      <c r="I3200" s="3030"/>
    </row>
    <row r="3201" spans="2:9">
      <c r="B3201" s="3299" t="s">
        <v>82</v>
      </c>
      <c r="C3201" s="3063"/>
      <c r="D3201" s="3064"/>
      <c r="E3201" s="3064"/>
      <c r="F3201" s="3064"/>
      <c r="G3201" s="3300" t="s">
        <v>82</v>
      </c>
      <c r="H3201" s="3063"/>
      <c r="I3201" s="3030"/>
    </row>
    <row r="3202" spans="2:9" ht="25.5">
      <c r="B3202" s="3192" t="s">
        <v>675</v>
      </c>
      <c r="C3202" s="3063"/>
      <c r="D3202" s="3064"/>
      <c r="E3202" s="3064"/>
      <c r="F3202" s="3064"/>
      <c r="G3202" s="3301" t="s">
        <v>675</v>
      </c>
      <c r="H3202" s="3063"/>
      <c r="I3202" s="3030"/>
    </row>
    <row r="3203" spans="2:9" ht="25.5">
      <c r="B3203" s="3192" t="s">
        <v>676</v>
      </c>
      <c r="C3203" s="3063"/>
      <c r="D3203" s="3064"/>
      <c r="E3203" s="3064"/>
      <c r="F3203" s="3064"/>
      <c r="G3203" s="3301" t="s">
        <v>676</v>
      </c>
      <c r="H3203" s="3063"/>
      <c r="I3203" s="3030"/>
    </row>
    <row r="3204" spans="2:9">
      <c r="B3204" s="3192" t="s">
        <v>677</v>
      </c>
      <c r="C3204" s="3063"/>
      <c r="D3204" s="3064"/>
      <c r="E3204" s="3064"/>
      <c r="F3204" s="3064"/>
      <c r="G3204" s="3301" t="s">
        <v>677</v>
      </c>
      <c r="H3204" s="3063"/>
      <c r="I3204" s="3030"/>
    </row>
    <row r="3205" spans="2:9">
      <c r="B3205" s="3192" t="s">
        <v>678</v>
      </c>
      <c r="C3205" s="3063"/>
      <c r="D3205" s="3064"/>
      <c r="E3205" s="3064"/>
      <c r="F3205" s="3064"/>
      <c r="G3205" s="3301" t="s">
        <v>678</v>
      </c>
      <c r="H3205" s="3063"/>
      <c r="I3205" s="3030"/>
    </row>
    <row r="3206" spans="2:9">
      <c r="B3206" s="3192" t="s">
        <v>679</v>
      </c>
      <c r="C3206" s="3063"/>
      <c r="D3206" s="3064"/>
      <c r="E3206" s="3064"/>
      <c r="F3206" s="3064"/>
      <c r="G3206" s="3301" t="s">
        <v>679</v>
      </c>
      <c r="H3206" s="3063"/>
      <c r="I3206" s="3030"/>
    </row>
    <row r="3207" spans="2:9" ht="25.5">
      <c r="B3207" s="3192" t="s">
        <v>720</v>
      </c>
      <c r="C3207" s="3063"/>
      <c r="D3207" s="3064"/>
      <c r="E3207" s="3064"/>
      <c r="F3207" s="3064"/>
      <c r="G3207" s="3301" t="s">
        <v>720</v>
      </c>
      <c r="H3207" s="3063"/>
      <c r="I3207" s="3030"/>
    </row>
    <row r="3208" spans="2:9" ht="38.25">
      <c r="B3208" s="3299" t="s">
        <v>680</v>
      </c>
      <c r="C3208" s="3063"/>
      <c r="D3208" s="3064"/>
      <c r="E3208" s="3064"/>
      <c r="F3208" s="3064"/>
      <c r="G3208" s="3300" t="s">
        <v>680</v>
      </c>
      <c r="H3208" s="3063"/>
      <c r="I3208" s="3030"/>
    </row>
    <row r="3209" spans="2:9" ht="25.5">
      <c r="B3209" s="3192" t="s">
        <v>675</v>
      </c>
      <c r="C3209" s="3063"/>
      <c r="D3209" s="3064"/>
      <c r="E3209" s="3064"/>
      <c r="F3209" s="3064"/>
      <c r="G3209" s="3301" t="s">
        <v>675</v>
      </c>
      <c r="H3209" s="3063"/>
      <c r="I3209" s="3030"/>
    </row>
    <row r="3210" spans="2:9" ht="25.5">
      <c r="B3210" s="3192" t="s">
        <v>676</v>
      </c>
      <c r="C3210" s="3063"/>
      <c r="D3210" s="3064"/>
      <c r="E3210" s="3064"/>
      <c r="F3210" s="3064"/>
      <c r="G3210" s="3301" t="s">
        <v>676</v>
      </c>
      <c r="H3210" s="3063"/>
      <c r="I3210" s="3030"/>
    </row>
    <row r="3211" spans="2:9">
      <c r="B3211" s="3192" t="s">
        <v>677</v>
      </c>
      <c r="C3211" s="3063"/>
      <c r="D3211" s="3064"/>
      <c r="E3211" s="3064"/>
      <c r="F3211" s="3064"/>
      <c r="G3211" s="3301" t="s">
        <v>677</v>
      </c>
      <c r="H3211" s="3063"/>
      <c r="I3211" s="3030"/>
    </row>
    <row r="3212" spans="2:9">
      <c r="B3212" s="3192" t="s">
        <v>678</v>
      </c>
      <c r="C3212" s="3063"/>
      <c r="D3212" s="3064"/>
      <c r="E3212" s="3064"/>
      <c r="F3212" s="3064"/>
      <c r="G3212" s="3301" t="s">
        <v>678</v>
      </c>
      <c r="H3212" s="3063"/>
      <c r="I3212" s="3030"/>
    </row>
    <row r="3213" spans="2:9">
      <c r="B3213" s="3192" t="s">
        <v>679</v>
      </c>
      <c r="C3213" s="3063"/>
      <c r="D3213" s="3064"/>
      <c r="E3213" s="3064"/>
      <c r="F3213" s="3064"/>
      <c r="G3213" s="3301" t="s">
        <v>679</v>
      </c>
      <c r="H3213" s="3063"/>
      <c r="I3213" s="3030"/>
    </row>
    <row r="3214" spans="2:9" ht="25.5">
      <c r="B3214" s="3192" t="s">
        <v>720</v>
      </c>
      <c r="C3214" s="3063"/>
      <c r="D3214" s="3064"/>
      <c r="E3214" s="3064"/>
      <c r="F3214" s="3064"/>
      <c r="G3214" s="3301" t="s">
        <v>720</v>
      </c>
      <c r="H3214" s="3063"/>
      <c r="I3214" s="3030"/>
    </row>
    <row r="3215" spans="2:9" ht="38.25">
      <c r="B3215" s="3299" t="s">
        <v>681</v>
      </c>
      <c r="C3215" s="3063"/>
      <c r="D3215" s="3064"/>
      <c r="E3215" s="3064"/>
      <c r="F3215" s="3064">
        <v>2</v>
      </c>
      <c r="G3215" s="3300" t="s">
        <v>681</v>
      </c>
      <c r="H3215" s="3063">
        <v>9.9622761808617968E-2</v>
      </c>
      <c r="I3215" s="3030"/>
    </row>
    <row r="3216" spans="2:9" ht="25.5">
      <c r="B3216" s="3192" t="s">
        <v>675</v>
      </c>
      <c r="C3216" s="3063">
        <v>3</v>
      </c>
      <c r="D3216" s="3064"/>
      <c r="E3216" s="3064"/>
      <c r="F3216" s="3064"/>
      <c r="G3216" s="3301" t="s">
        <v>675</v>
      </c>
      <c r="H3216" s="3063"/>
      <c r="I3216" s="3030">
        <v>0.12886597938144323</v>
      </c>
    </row>
    <row r="3217" spans="2:9" ht="25.5">
      <c r="B3217" s="3192" t="s">
        <v>676</v>
      </c>
      <c r="C3217" s="3063"/>
      <c r="D3217" s="3064"/>
      <c r="E3217" s="3064"/>
      <c r="F3217" s="3064"/>
      <c r="G3217" s="3301" t="s">
        <v>676</v>
      </c>
      <c r="H3217" s="3063"/>
      <c r="I3217" s="3030"/>
    </row>
    <row r="3218" spans="2:9">
      <c r="B3218" s="3192" t="s">
        <v>677</v>
      </c>
      <c r="C3218" s="3063"/>
      <c r="D3218" s="3064"/>
      <c r="E3218" s="3064"/>
      <c r="F3218" s="3064"/>
      <c r="G3218" s="3301" t="s">
        <v>677</v>
      </c>
      <c r="H3218" s="3063"/>
      <c r="I3218" s="3030"/>
    </row>
    <row r="3219" spans="2:9">
      <c r="B3219" s="3192" t="s">
        <v>678</v>
      </c>
      <c r="C3219" s="3063"/>
      <c r="D3219" s="3064"/>
      <c r="E3219" s="3064"/>
      <c r="F3219" s="3064"/>
      <c r="G3219" s="3301" t="s">
        <v>678</v>
      </c>
      <c r="H3219" s="3063"/>
      <c r="I3219" s="3030"/>
    </row>
    <row r="3220" spans="2:9">
      <c r="B3220" s="3192" t="s">
        <v>679</v>
      </c>
      <c r="C3220" s="3063"/>
      <c r="D3220" s="3064"/>
      <c r="E3220" s="3064"/>
      <c r="F3220" s="3064"/>
      <c r="G3220" s="3301" t="s">
        <v>679</v>
      </c>
      <c r="H3220" s="3063"/>
      <c r="I3220" s="3030"/>
    </row>
    <row r="3221" spans="2:9" ht="25.5">
      <c r="B3221" s="3192" t="s">
        <v>720</v>
      </c>
      <c r="C3221" s="3063"/>
      <c r="D3221" s="3064"/>
      <c r="E3221" s="3064"/>
      <c r="F3221" s="3064"/>
      <c r="G3221" s="3301" t="s">
        <v>720</v>
      </c>
      <c r="H3221" s="3063"/>
      <c r="I3221" s="3030"/>
    </row>
    <row r="3222" spans="2:9" ht="25.5">
      <c r="B3222" s="3299" t="s">
        <v>682</v>
      </c>
      <c r="C3222" s="3063"/>
      <c r="D3222" s="3064"/>
      <c r="E3222" s="3064"/>
      <c r="F3222" s="3064"/>
      <c r="G3222" s="3300" t="s">
        <v>682</v>
      </c>
      <c r="H3222" s="3063"/>
      <c r="I3222" s="3030"/>
    </row>
    <row r="3223" spans="2:9" ht="25.5">
      <c r="B3223" s="3192" t="s">
        <v>675</v>
      </c>
      <c r="C3223" s="3063"/>
      <c r="D3223" s="3064"/>
      <c r="E3223" s="3064"/>
      <c r="F3223" s="3064"/>
      <c r="G3223" s="3301" t="s">
        <v>675</v>
      </c>
      <c r="H3223" s="3063"/>
      <c r="I3223" s="3030"/>
    </row>
    <row r="3224" spans="2:9" ht="25.5">
      <c r="B3224" s="3192" t="s">
        <v>676</v>
      </c>
      <c r="C3224" s="3063"/>
      <c r="D3224" s="3064"/>
      <c r="E3224" s="3064"/>
      <c r="F3224" s="3064"/>
      <c r="G3224" s="3301" t="s">
        <v>676</v>
      </c>
      <c r="H3224" s="3063"/>
      <c r="I3224" s="3030"/>
    </row>
    <row r="3225" spans="2:9">
      <c r="B3225" s="3192" t="s">
        <v>677</v>
      </c>
      <c r="C3225" s="3063"/>
      <c r="D3225" s="3064"/>
      <c r="E3225" s="3064"/>
      <c r="F3225" s="3064"/>
      <c r="G3225" s="3301" t="s">
        <v>677</v>
      </c>
      <c r="H3225" s="3063"/>
      <c r="I3225" s="3030"/>
    </row>
    <row r="3226" spans="2:9">
      <c r="B3226" s="3192" t="s">
        <v>678</v>
      </c>
      <c r="C3226" s="3063"/>
      <c r="D3226" s="3064"/>
      <c r="E3226" s="3064"/>
      <c r="F3226" s="3064"/>
      <c r="G3226" s="3301" t="s">
        <v>678</v>
      </c>
      <c r="H3226" s="3063"/>
      <c r="I3226" s="3030"/>
    </row>
    <row r="3227" spans="2:9">
      <c r="B3227" s="3192" t="s">
        <v>679</v>
      </c>
      <c r="C3227" s="3063"/>
      <c r="D3227" s="3064"/>
      <c r="E3227" s="3064"/>
      <c r="F3227" s="3064"/>
      <c r="G3227" s="3301" t="s">
        <v>679</v>
      </c>
      <c r="H3227" s="3063"/>
      <c r="I3227" s="3030"/>
    </row>
    <row r="3228" spans="2:9" ht="25.5">
      <c r="B3228" s="3192" t="s">
        <v>720</v>
      </c>
      <c r="C3228" s="3063"/>
      <c r="D3228" s="3064"/>
      <c r="E3228" s="3064"/>
      <c r="F3228" s="3064"/>
      <c r="G3228" s="3301" t="s">
        <v>720</v>
      </c>
      <c r="H3228" s="3063"/>
      <c r="I3228" s="3030"/>
    </row>
    <row r="3229" spans="2:9" ht="25.5">
      <c r="B3229" s="3299" t="s">
        <v>66</v>
      </c>
      <c r="C3229" s="3063"/>
      <c r="D3229" s="3064"/>
      <c r="E3229" s="3064"/>
      <c r="F3229" s="3064">
        <v>9</v>
      </c>
      <c r="G3229" s="3300" t="s">
        <v>66</v>
      </c>
      <c r="H3229" s="3063">
        <v>1.0336054277536313</v>
      </c>
      <c r="I3229" s="3030"/>
    </row>
    <row r="3230" spans="2:9" ht="25.5">
      <c r="B3230" s="3192" t="s">
        <v>675</v>
      </c>
      <c r="C3230" s="3063">
        <v>11</v>
      </c>
      <c r="D3230" s="3064">
        <v>5</v>
      </c>
      <c r="E3230" s="3064"/>
      <c r="F3230" s="3064"/>
      <c r="G3230" s="3301" t="s">
        <v>675</v>
      </c>
      <c r="H3230" s="3063"/>
      <c r="I3230" s="3030">
        <v>1.2721297572352386</v>
      </c>
    </row>
    <row r="3231" spans="2:9" ht="25.5">
      <c r="B3231" s="3192" t="s">
        <v>676</v>
      </c>
      <c r="C3231" s="3063"/>
      <c r="D3231" s="3064"/>
      <c r="E3231" s="3064"/>
      <c r="F3231" s="3064"/>
      <c r="G3231" s="3301" t="s">
        <v>676</v>
      </c>
      <c r="H3231" s="3063"/>
      <c r="I3231" s="3030"/>
    </row>
    <row r="3232" spans="2:9">
      <c r="B3232" s="3192" t="s">
        <v>677</v>
      </c>
      <c r="C3232" s="3063"/>
      <c r="D3232" s="3064"/>
      <c r="E3232" s="3064"/>
      <c r="F3232" s="3064"/>
      <c r="G3232" s="3301" t="s">
        <v>677</v>
      </c>
      <c r="H3232" s="3063"/>
      <c r="I3232" s="3030"/>
    </row>
    <row r="3233" spans="2:9">
      <c r="B3233" s="3192" t="s">
        <v>678</v>
      </c>
      <c r="C3233" s="3063"/>
      <c r="D3233" s="3064"/>
      <c r="E3233" s="3064"/>
      <c r="F3233" s="3064"/>
      <c r="G3233" s="3301" t="s">
        <v>678</v>
      </c>
      <c r="H3233" s="3063"/>
      <c r="I3233" s="3030"/>
    </row>
    <row r="3234" spans="2:9">
      <c r="B3234" s="3192" t="s">
        <v>679</v>
      </c>
      <c r="C3234" s="3063"/>
      <c r="D3234" s="3064"/>
      <c r="E3234" s="3064"/>
      <c r="F3234" s="3064"/>
      <c r="G3234" s="3301" t="s">
        <v>679</v>
      </c>
      <c r="H3234" s="3063"/>
      <c r="I3234" s="3030"/>
    </row>
    <row r="3235" spans="2:9" ht="25.5">
      <c r="B3235" s="3192" t="s">
        <v>720</v>
      </c>
      <c r="C3235" s="3063"/>
      <c r="D3235" s="3064">
        <v>1</v>
      </c>
      <c r="E3235" s="3064"/>
      <c r="F3235" s="3064"/>
      <c r="G3235" s="3301" t="s">
        <v>720</v>
      </c>
      <c r="H3235" s="3063"/>
      <c r="I3235" s="3030"/>
    </row>
    <row r="3236" spans="2:9">
      <c r="B3236" s="3299" t="s">
        <v>67</v>
      </c>
      <c r="C3236" s="3063"/>
      <c r="D3236" s="3064"/>
      <c r="E3236" s="3064"/>
      <c r="F3236" s="3064">
        <v>5</v>
      </c>
      <c r="G3236" s="3300" t="s">
        <v>67</v>
      </c>
      <c r="H3236" s="3063">
        <v>0.3314835731473752</v>
      </c>
      <c r="I3236" s="3030"/>
    </row>
    <row r="3237" spans="2:9" ht="25.5">
      <c r="B3237" s="3192" t="s">
        <v>675</v>
      </c>
      <c r="C3237" s="3063">
        <v>4</v>
      </c>
      <c r="D3237" s="3064"/>
      <c r="E3237" s="3064"/>
      <c r="F3237" s="3064"/>
      <c r="G3237" s="3301" t="s">
        <v>675</v>
      </c>
      <c r="H3237" s="3063"/>
      <c r="I3237" s="3030">
        <f>C3237/I212</f>
        <v>0.29411764705882348</v>
      </c>
    </row>
    <row r="3238" spans="2:9" ht="25.5">
      <c r="B3238" s="3192" t="s">
        <v>676</v>
      </c>
      <c r="C3238" s="3063"/>
      <c r="D3238" s="3064"/>
      <c r="E3238" s="3064"/>
      <c r="F3238" s="3064"/>
      <c r="G3238" s="3301" t="s">
        <v>676</v>
      </c>
      <c r="H3238" s="3063"/>
      <c r="I3238" s="3030"/>
    </row>
    <row r="3239" spans="2:9">
      <c r="B3239" s="3192" t="s">
        <v>677</v>
      </c>
      <c r="C3239" s="3063"/>
      <c r="D3239" s="3064"/>
      <c r="E3239" s="3064"/>
      <c r="F3239" s="3064"/>
      <c r="G3239" s="3301" t="s">
        <v>677</v>
      </c>
      <c r="H3239" s="3063"/>
      <c r="I3239" s="3030"/>
    </row>
    <row r="3240" spans="2:9">
      <c r="B3240" s="3192" t="s">
        <v>678</v>
      </c>
      <c r="C3240" s="3063"/>
      <c r="D3240" s="3064"/>
      <c r="E3240" s="3064"/>
      <c r="F3240" s="3064"/>
      <c r="G3240" s="3301" t="s">
        <v>678</v>
      </c>
      <c r="H3240" s="3063"/>
      <c r="I3240" s="3030"/>
    </row>
    <row r="3241" spans="2:9">
      <c r="B3241" s="3192" t="s">
        <v>679</v>
      </c>
      <c r="C3241" s="3063"/>
      <c r="D3241" s="3064"/>
      <c r="E3241" s="3064"/>
      <c r="F3241" s="3064"/>
      <c r="G3241" s="3301" t="s">
        <v>679</v>
      </c>
      <c r="H3241" s="3063"/>
      <c r="I3241" s="3030"/>
    </row>
    <row r="3242" spans="2:9" ht="25.5">
      <c r="B3242" s="3230" t="s">
        <v>81</v>
      </c>
      <c r="C3242" s="3063"/>
      <c r="D3242" s="3064"/>
      <c r="E3242" s="3064"/>
      <c r="F3242" s="3064"/>
      <c r="G3242" s="3302" t="s">
        <v>81</v>
      </c>
      <c r="H3242" s="3063"/>
      <c r="I3242" s="3030"/>
    </row>
    <row r="3243" spans="2:9" ht="26.25" thickBot="1">
      <c r="B3243" s="3303" t="s">
        <v>81</v>
      </c>
      <c r="C3243" s="3063"/>
      <c r="D3243" s="3064"/>
      <c r="E3243" s="3064"/>
      <c r="F3243" s="3064"/>
      <c r="G3243" s="3302" t="s">
        <v>81</v>
      </c>
      <c r="H3243" s="3063"/>
      <c r="I3243" s="3030"/>
    </row>
    <row r="3244" spans="2:9">
      <c r="B3244" s="3217" t="s">
        <v>697</v>
      </c>
      <c r="C3244" s="3218"/>
      <c r="D3244" s="3219"/>
      <c r="E3244" s="3219"/>
      <c r="F3244" s="3219"/>
      <c r="G3244" s="3217" t="s">
        <v>697</v>
      </c>
      <c r="H3244" s="3297"/>
      <c r="I3244" s="3298"/>
    </row>
    <row r="3245" spans="2:9">
      <c r="B3245" s="3299" t="s">
        <v>64</v>
      </c>
      <c r="C3245" s="3063"/>
      <c r="D3245" s="3064"/>
      <c r="E3245" s="3064"/>
      <c r="F3245" s="3064"/>
      <c r="G3245" s="3300" t="s">
        <v>64</v>
      </c>
      <c r="H3245" s="3063"/>
      <c r="I3245" s="3030"/>
    </row>
    <row r="3246" spans="2:9" ht="25.5">
      <c r="B3246" s="3192" t="s">
        <v>675</v>
      </c>
      <c r="C3246" s="3063"/>
      <c r="D3246" s="3064"/>
      <c r="E3246" s="3064"/>
      <c r="F3246" s="3064"/>
      <c r="G3246" s="3301" t="s">
        <v>675</v>
      </c>
      <c r="H3246" s="3063"/>
      <c r="I3246" s="3030"/>
    </row>
    <row r="3247" spans="2:9" ht="25.5">
      <c r="B3247" s="3192" t="s">
        <v>676</v>
      </c>
      <c r="C3247" s="3063"/>
      <c r="D3247" s="3064"/>
      <c r="E3247" s="3064"/>
      <c r="F3247" s="3064"/>
      <c r="G3247" s="3301" t="s">
        <v>676</v>
      </c>
      <c r="H3247" s="3063"/>
      <c r="I3247" s="3030"/>
    </row>
    <row r="3248" spans="2:9">
      <c r="B3248" s="3192" t="s">
        <v>677</v>
      </c>
      <c r="C3248" s="3063"/>
      <c r="D3248" s="3064"/>
      <c r="E3248" s="3064"/>
      <c r="F3248" s="3064"/>
      <c r="G3248" s="3301" t="s">
        <v>677</v>
      </c>
      <c r="H3248" s="3063"/>
      <c r="I3248" s="3030"/>
    </row>
    <row r="3249" spans="2:9">
      <c r="B3249" s="3192" t="s">
        <v>678</v>
      </c>
      <c r="C3249" s="3063"/>
      <c r="D3249" s="3064"/>
      <c r="E3249" s="3064"/>
      <c r="F3249" s="3064"/>
      <c r="G3249" s="3301" t="s">
        <v>678</v>
      </c>
      <c r="H3249" s="3063"/>
      <c r="I3249" s="3030"/>
    </row>
    <row r="3250" spans="2:9">
      <c r="B3250" s="3192" t="s">
        <v>679</v>
      </c>
      <c r="C3250" s="3063"/>
      <c r="D3250" s="3064"/>
      <c r="E3250" s="3064"/>
      <c r="F3250" s="3064"/>
      <c r="G3250" s="3301" t="s">
        <v>679</v>
      </c>
      <c r="H3250" s="3063"/>
      <c r="I3250" s="3030"/>
    </row>
    <row r="3251" spans="2:9" ht="25.5">
      <c r="B3251" s="3192" t="s">
        <v>720</v>
      </c>
      <c r="C3251" s="3063"/>
      <c r="D3251" s="3064"/>
      <c r="E3251" s="3064"/>
      <c r="F3251" s="3064"/>
      <c r="G3251" s="3301" t="s">
        <v>720</v>
      </c>
      <c r="H3251" s="3063"/>
      <c r="I3251" s="3030"/>
    </row>
    <row r="3252" spans="2:9">
      <c r="B3252" s="3299" t="s">
        <v>65</v>
      </c>
      <c r="C3252" s="3063"/>
      <c r="D3252" s="3064"/>
      <c r="E3252" s="3064"/>
      <c r="F3252" s="3064"/>
      <c r="G3252" s="3300" t="s">
        <v>65</v>
      </c>
      <c r="H3252" s="3063"/>
      <c r="I3252" s="3030"/>
    </row>
    <row r="3253" spans="2:9" ht="25.5">
      <c r="B3253" s="3192" t="s">
        <v>675</v>
      </c>
      <c r="C3253" s="3063"/>
      <c r="D3253" s="3064"/>
      <c r="E3253" s="3064"/>
      <c r="F3253" s="3064"/>
      <c r="G3253" s="3301" t="s">
        <v>675</v>
      </c>
      <c r="H3253" s="3063"/>
      <c r="I3253" s="3030"/>
    </row>
    <row r="3254" spans="2:9" ht="25.5">
      <c r="B3254" s="3192" t="s">
        <v>676</v>
      </c>
      <c r="C3254" s="3063"/>
      <c r="D3254" s="3064"/>
      <c r="E3254" s="3064"/>
      <c r="F3254" s="3064"/>
      <c r="G3254" s="3301" t="s">
        <v>676</v>
      </c>
      <c r="H3254" s="3063"/>
      <c r="I3254" s="3030"/>
    </row>
    <row r="3255" spans="2:9">
      <c r="B3255" s="3192" t="s">
        <v>677</v>
      </c>
      <c r="C3255" s="3063"/>
      <c r="D3255" s="3064"/>
      <c r="E3255" s="3064"/>
      <c r="F3255" s="3064"/>
      <c r="G3255" s="3301" t="s">
        <v>677</v>
      </c>
      <c r="H3255" s="3063"/>
      <c r="I3255" s="3030"/>
    </row>
    <row r="3256" spans="2:9">
      <c r="B3256" s="3192" t="s">
        <v>678</v>
      </c>
      <c r="C3256" s="3063"/>
      <c r="D3256" s="3064"/>
      <c r="E3256" s="3064"/>
      <c r="F3256" s="3064"/>
      <c r="G3256" s="3301" t="s">
        <v>678</v>
      </c>
      <c r="H3256" s="3063"/>
      <c r="I3256" s="3030"/>
    </row>
    <row r="3257" spans="2:9">
      <c r="B3257" s="3192" t="s">
        <v>679</v>
      </c>
      <c r="C3257" s="3063"/>
      <c r="D3257" s="3064"/>
      <c r="E3257" s="3064"/>
      <c r="F3257" s="3064"/>
      <c r="G3257" s="3301" t="s">
        <v>679</v>
      </c>
      <c r="H3257" s="3063"/>
      <c r="I3257" s="3030"/>
    </row>
    <row r="3258" spans="2:9" ht="25.5">
      <c r="B3258" s="3192" t="s">
        <v>720</v>
      </c>
      <c r="C3258" s="3063"/>
      <c r="D3258" s="3064"/>
      <c r="E3258" s="3064"/>
      <c r="F3258" s="3064"/>
      <c r="G3258" s="3301" t="s">
        <v>720</v>
      </c>
      <c r="H3258" s="3063"/>
      <c r="I3258" s="3030"/>
    </row>
    <row r="3259" spans="2:9">
      <c r="B3259" s="3299" t="s">
        <v>82</v>
      </c>
      <c r="C3259" s="3063"/>
      <c r="D3259" s="3064"/>
      <c r="E3259" s="3064"/>
      <c r="F3259" s="3064"/>
      <c r="G3259" s="3300" t="s">
        <v>82</v>
      </c>
      <c r="H3259" s="3063"/>
      <c r="I3259" s="3030"/>
    </row>
    <row r="3260" spans="2:9" ht="25.5">
      <c r="B3260" s="3192" t="s">
        <v>675</v>
      </c>
      <c r="C3260" s="3063"/>
      <c r="D3260" s="3064"/>
      <c r="E3260" s="3064"/>
      <c r="F3260" s="3064"/>
      <c r="G3260" s="3301" t="s">
        <v>675</v>
      </c>
      <c r="H3260" s="3063"/>
      <c r="I3260" s="3030"/>
    </row>
    <row r="3261" spans="2:9" ht="25.5">
      <c r="B3261" s="3192" t="s">
        <v>676</v>
      </c>
      <c r="C3261" s="3063"/>
      <c r="D3261" s="3064"/>
      <c r="E3261" s="3064"/>
      <c r="F3261" s="3064"/>
      <c r="G3261" s="3301" t="s">
        <v>676</v>
      </c>
      <c r="H3261" s="3063"/>
      <c r="I3261" s="3030"/>
    </row>
    <row r="3262" spans="2:9">
      <c r="B3262" s="3192" t="s">
        <v>677</v>
      </c>
      <c r="C3262" s="3063"/>
      <c r="D3262" s="3064"/>
      <c r="E3262" s="3064"/>
      <c r="F3262" s="3064"/>
      <c r="G3262" s="3301" t="s">
        <v>677</v>
      </c>
      <c r="H3262" s="3063"/>
      <c r="I3262" s="3030"/>
    </row>
    <row r="3263" spans="2:9">
      <c r="B3263" s="3192" t="s">
        <v>678</v>
      </c>
      <c r="C3263" s="3063"/>
      <c r="D3263" s="3064"/>
      <c r="E3263" s="3064"/>
      <c r="F3263" s="3064"/>
      <c r="G3263" s="3301" t="s">
        <v>678</v>
      </c>
      <c r="H3263" s="3063"/>
      <c r="I3263" s="3030"/>
    </row>
    <row r="3264" spans="2:9">
      <c r="B3264" s="3192" t="s">
        <v>679</v>
      </c>
      <c r="C3264" s="3063"/>
      <c r="D3264" s="3064"/>
      <c r="E3264" s="3064"/>
      <c r="F3264" s="3064"/>
      <c r="G3264" s="3301" t="s">
        <v>679</v>
      </c>
      <c r="H3264" s="3063"/>
      <c r="I3264" s="3030"/>
    </row>
    <row r="3265" spans="2:9" ht="25.5">
      <c r="B3265" s="3192" t="s">
        <v>720</v>
      </c>
      <c r="C3265" s="3063"/>
      <c r="D3265" s="3064"/>
      <c r="E3265" s="3064"/>
      <c r="F3265" s="3064"/>
      <c r="G3265" s="3301" t="s">
        <v>720</v>
      </c>
      <c r="H3265" s="3063"/>
      <c r="I3265" s="3030"/>
    </row>
    <row r="3266" spans="2:9" ht="38.25">
      <c r="B3266" s="3299" t="s">
        <v>680</v>
      </c>
      <c r="C3266" s="3063"/>
      <c r="D3266" s="3064"/>
      <c r="E3266" s="3064"/>
      <c r="F3266" s="3064"/>
      <c r="G3266" s="3300" t="s">
        <v>680</v>
      </c>
      <c r="H3266" s="3063"/>
      <c r="I3266" s="3030"/>
    </row>
    <row r="3267" spans="2:9" ht="25.5">
      <c r="B3267" s="3192" t="s">
        <v>675</v>
      </c>
      <c r="C3267" s="3063"/>
      <c r="D3267" s="3064"/>
      <c r="E3267" s="3064"/>
      <c r="F3267" s="3064"/>
      <c r="G3267" s="3301" t="s">
        <v>675</v>
      </c>
      <c r="H3267" s="3063"/>
      <c r="I3267" s="3030"/>
    </row>
    <row r="3268" spans="2:9" ht="25.5">
      <c r="B3268" s="3192" t="s">
        <v>676</v>
      </c>
      <c r="C3268" s="3063"/>
      <c r="D3268" s="3064"/>
      <c r="E3268" s="3064"/>
      <c r="F3268" s="3064"/>
      <c r="G3268" s="3301" t="s">
        <v>676</v>
      </c>
      <c r="H3268" s="3063"/>
      <c r="I3268" s="3030"/>
    </row>
    <row r="3269" spans="2:9">
      <c r="B3269" s="3192" t="s">
        <v>677</v>
      </c>
      <c r="C3269" s="3063"/>
      <c r="D3269" s="3064"/>
      <c r="E3269" s="3064"/>
      <c r="F3269" s="3064"/>
      <c r="G3269" s="3301" t="s">
        <v>677</v>
      </c>
      <c r="H3269" s="3063"/>
      <c r="I3269" s="3030"/>
    </row>
    <row r="3270" spans="2:9">
      <c r="B3270" s="3192" t="s">
        <v>678</v>
      </c>
      <c r="C3270" s="3063"/>
      <c r="D3270" s="3064"/>
      <c r="E3270" s="3064"/>
      <c r="F3270" s="3064"/>
      <c r="G3270" s="3301" t="s">
        <v>678</v>
      </c>
      <c r="H3270" s="3063"/>
      <c r="I3270" s="3030"/>
    </row>
    <row r="3271" spans="2:9">
      <c r="B3271" s="3192" t="s">
        <v>679</v>
      </c>
      <c r="C3271" s="3063"/>
      <c r="D3271" s="3064"/>
      <c r="E3271" s="3064"/>
      <c r="F3271" s="3064"/>
      <c r="G3271" s="3301" t="s">
        <v>679</v>
      </c>
      <c r="H3271" s="3063"/>
      <c r="I3271" s="3030"/>
    </row>
    <row r="3272" spans="2:9" ht="25.5">
      <c r="B3272" s="3192" t="s">
        <v>720</v>
      </c>
      <c r="C3272" s="3063"/>
      <c r="D3272" s="3064"/>
      <c r="E3272" s="3064"/>
      <c r="F3272" s="3064"/>
      <c r="G3272" s="3301" t="s">
        <v>720</v>
      </c>
      <c r="H3272" s="3063"/>
      <c r="I3272" s="3030"/>
    </row>
    <row r="3273" spans="2:9" ht="38.25">
      <c r="B3273" s="3299" t="s">
        <v>681</v>
      </c>
      <c r="C3273" s="3063"/>
      <c r="D3273" s="3064"/>
      <c r="E3273" s="3064"/>
      <c r="F3273" s="3064"/>
      <c r="G3273" s="3300" t="s">
        <v>681</v>
      </c>
      <c r="H3273" s="3063">
        <v>3.9849104723447187E-2</v>
      </c>
      <c r="I3273" s="3030"/>
    </row>
    <row r="3274" spans="2:9" ht="25.5">
      <c r="B3274" s="3192" t="s">
        <v>675</v>
      </c>
      <c r="C3274" s="3063"/>
      <c r="D3274" s="3064">
        <v>1</v>
      </c>
      <c r="E3274" s="3064"/>
      <c r="F3274" s="3064"/>
      <c r="G3274" s="3301" t="s">
        <v>675</v>
      </c>
      <c r="H3274" s="3063"/>
      <c r="I3274" s="3030">
        <v>3.9849104723447187E-2</v>
      </c>
    </row>
    <row r="3275" spans="2:9" ht="25.5">
      <c r="B3275" s="3192" t="s">
        <v>676</v>
      </c>
      <c r="C3275" s="3063"/>
      <c r="D3275" s="3064"/>
      <c r="E3275" s="3064"/>
      <c r="F3275" s="3064"/>
      <c r="G3275" s="3301" t="s">
        <v>676</v>
      </c>
      <c r="H3275" s="3063"/>
      <c r="I3275" s="3030"/>
    </row>
    <row r="3276" spans="2:9">
      <c r="B3276" s="3192" t="s">
        <v>677</v>
      </c>
      <c r="C3276" s="3063"/>
      <c r="D3276" s="3064"/>
      <c r="E3276" s="3064"/>
      <c r="F3276" s="3064"/>
      <c r="G3276" s="3301" t="s">
        <v>677</v>
      </c>
      <c r="H3276" s="3063"/>
      <c r="I3276" s="3030"/>
    </row>
    <row r="3277" spans="2:9">
      <c r="B3277" s="3192" t="s">
        <v>678</v>
      </c>
      <c r="C3277" s="3063"/>
      <c r="D3277" s="3064"/>
      <c r="E3277" s="3064"/>
      <c r="F3277" s="3064"/>
      <c r="G3277" s="3301" t="s">
        <v>678</v>
      </c>
      <c r="H3277" s="3063"/>
      <c r="I3277" s="3030"/>
    </row>
    <row r="3278" spans="2:9">
      <c r="B3278" s="3192" t="s">
        <v>679</v>
      </c>
      <c r="C3278" s="3063"/>
      <c r="D3278" s="3064">
        <v>1</v>
      </c>
      <c r="E3278" s="3064"/>
      <c r="F3278" s="3064"/>
      <c r="G3278" s="3301" t="s">
        <v>679</v>
      </c>
      <c r="H3278" s="3063"/>
      <c r="I3278" s="3030"/>
    </row>
    <row r="3279" spans="2:9" ht="25.5">
      <c r="B3279" s="3192" t="s">
        <v>720</v>
      </c>
      <c r="C3279" s="3063"/>
      <c r="D3279" s="3064"/>
      <c r="E3279" s="3064"/>
      <c r="F3279" s="3064"/>
      <c r="G3279" s="3301" t="s">
        <v>720</v>
      </c>
      <c r="H3279" s="3063"/>
      <c r="I3279" s="3030"/>
    </row>
    <row r="3280" spans="2:9" ht="25.5">
      <c r="B3280" s="3299" t="s">
        <v>682</v>
      </c>
      <c r="C3280" s="3063"/>
      <c r="D3280" s="3064"/>
      <c r="E3280" s="3064"/>
      <c r="F3280" s="3064"/>
      <c r="G3280" s="3300" t="s">
        <v>682</v>
      </c>
      <c r="H3280" s="3063"/>
      <c r="I3280" s="3030"/>
    </row>
    <row r="3281" spans="2:9" ht="25.5">
      <c r="B3281" s="3192" t="s">
        <v>675</v>
      </c>
      <c r="C3281" s="3063"/>
      <c r="D3281" s="3064"/>
      <c r="E3281" s="3064"/>
      <c r="F3281" s="3064"/>
      <c r="G3281" s="3301" t="s">
        <v>675</v>
      </c>
      <c r="H3281" s="3063"/>
      <c r="I3281" s="3030"/>
    </row>
    <row r="3282" spans="2:9" ht="25.5">
      <c r="B3282" s="3192" t="s">
        <v>676</v>
      </c>
      <c r="C3282" s="3063"/>
      <c r="D3282" s="3064"/>
      <c r="E3282" s="3064"/>
      <c r="F3282" s="3064"/>
      <c r="G3282" s="3301" t="s">
        <v>676</v>
      </c>
      <c r="H3282" s="3063"/>
      <c r="I3282" s="3030"/>
    </row>
    <row r="3283" spans="2:9">
      <c r="B3283" s="3192" t="s">
        <v>677</v>
      </c>
      <c r="C3283" s="3063"/>
      <c r="D3283" s="3064"/>
      <c r="E3283" s="3064"/>
      <c r="F3283" s="3064"/>
      <c r="G3283" s="3301" t="s">
        <v>677</v>
      </c>
      <c r="H3283" s="3063"/>
      <c r="I3283" s="3030"/>
    </row>
    <row r="3284" spans="2:9">
      <c r="B3284" s="3192" t="s">
        <v>678</v>
      </c>
      <c r="C3284" s="3063"/>
      <c r="D3284" s="3064"/>
      <c r="E3284" s="3064"/>
      <c r="F3284" s="3064"/>
      <c r="G3284" s="3301" t="s">
        <v>678</v>
      </c>
      <c r="H3284" s="3063"/>
      <c r="I3284" s="3030"/>
    </row>
    <row r="3285" spans="2:9">
      <c r="B3285" s="3192" t="s">
        <v>679</v>
      </c>
      <c r="C3285" s="3063"/>
      <c r="D3285" s="3064"/>
      <c r="E3285" s="3064"/>
      <c r="F3285" s="3064"/>
      <c r="G3285" s="3301" t="s">
        <v>679</v>
      </c>
      <c r="H3285" s="3063"/>
      <c r="I3285" s="3030"/>
    </row>
    <row r="3286" spans="2:9" ht="25.5">
      <c r="B3286" s="3192" t="s">
        <v>720</v>
      </c>
      <c r="C3286" s="3063"/>
      <c r="D3286" s="3064"/>
      <c r="E3286" s="3064"/>
      <c r="F3286" s="3064"/>
      <c r="G3286" s="3301" t="s">
        <v>720</v>
      </c>
      <c r="H3286" s="3063"/>
      <c r="I3286" s="3030"/>
    </row>
    <row r="3287" spans="2:9" ht="25.5">
      <c r="B3287" s="3299" t="s">
        <v>66</v>
      </c>
      <c r="C3287" s="3063"/>
      <c r="D3287" s="3064"/>
      <c r="E3287" s="3064"/>
      <c r="F3287" s="3064"/>
      <c r="G3287" s="3300" t="s">
        <v>66</v>
      </c>
      <c r="H3287" s="3063"/>
      <c r="I3287" s="3030"/>
    </row>
    <row r="3288" spans="2:9" ht="25.5">
      <c r="B3288" s="3192" t="s">
        <v>675</v>
      </c>
      <c r="C3288" s="3063"/>
      <c r="D3288" s="3064"/>
      <c r="E3288" s="3064"/>
      <c r="F3288" s="3064"/>
      <c r="G3288" s="3301" t="s">
        <v>675</v>
      </c>
      <c r="H3288" s="3063"/>
      <c r="I3288" s="3030"/>
    </row>
    <row r="3289" spans="2:9" ht="25.5">
      <c r="B3289" s="3192" t="s">
        <v>676</v>
      </c>
      <c r="C3289" s="3063"/>
      <c r="D3289" s="3064"/>
      <c r="E3289" s="3064"/>
      <c r="F3289" s="3064"/>
      <c r="G3289" s="3301" t="s">
        <v>676</v>
      </c>
      <c r="H3289" s="3063"/>
      <c r="I3289" s="3030"/>
    </row>
    <row r="3290" spans="2:9">
      <c r="B3290" s="3192" t="s">
        <v>677</v>
      </c>
      <c r="C3290" s="3063"/>
      <c r="D3290" s="3064"/>
      <c r="E3290" s="3064"/>
      <c r="F3290" s="3064"/>
      <c r="G3290" s="3301" t="s">
        <v>677</v>
      </c>
      <c r="H3290" s="3063"/>
      <c r="I3290" s="3030"/>
    </row>
    <row r="3291" spans="2:9">
      <c r="B3291" s="3192" t="s">
        <v>678</v>
      </c>
      <c r="C3291" s="3063"/>
      <c r="D3291" s="3064"/>
      <c r="E3291" s="3064"/>
      <c r="F3291" s="3064"/>
      <c r="G3291" s="3301" t="s">
        <v>678</v>
      </c>
      <c r="H3291" s="3063"/>
      <c r="I3291" s="3030"/>
    </row>
    <row r="3292" spans="2:9">
      <c r="B3292" s="3192" t="s">
        <v>679</v>
      </c>
      <c r="C3292" s="3063"/>
      <c r="D3292" s="3064"/>
      <c r="E3292" s="3064"/>
      <c r="F3292" s="3064"/>
      <c r="G3292" s="3301" t="s">
        <v>679</v>
      </c>
      <c r="H3292" s="3063"/>
      <c r="I3292" s="3030"/>
    </row>
    <row r="3293" spans="2:9" ht="25.5">
      <c r="B3293" s="3192" t="s">
        <v>720</v>
      </c>
      <c r="C3293" s="3063"/>
      <c r="D3293" s="3064"/>
      <c r="E3293" s="3064"/>
      <c r="F3293" s="3064"/>
      <c r="G3293" s="3301" t="s">
        <v>720</v>
      </c>
      <c r="H3293" s="3063"/>
      <c r="I3293" s="3030"/>
    </row>
    <row r="3294" spans="2:9">
      <c r="B3294" s="3299" t="s">
        <v>67</v>
      </c>
      <c r="C3294" s="3063"/>
      <c r="D3294" s="3064"/>
      <c r="E3294" s="3064"/>
      <c r="F3294" s="3064"/>
      <c r="G3294" s="3300" t="s">
        <v>67</v>
      </c>
      <c r="H3294" s="3063"/>
      <c r="I3294" s="3030"/>
    </row>
    <row r="3295" spans="2:9" ht="25.5">
      <c r="B3295" s="3192" t="s">
        <v>675</v>
      </c>
      <c r="C3295" s="3063"/>
      <c r="D3295" s="3064"/>
      <c r="E3295" s="3064"/>
      <c r="F3295" s="3064"/>
      <c r="G3295" s="3301" t="s">
        <v>675</v>
      </c>
      <c r="H3295" s="3063"/>
      <c r="I3295" s="3030"/>
    </row>
    <row r="3296" spans="2:9" ht="25.5">
      <c r="B3296" s="3192" t="s">
        <v>676</v>
      </c>
      <c r="C3296" s="3063"/>
      <c r="D3296" s="3064"/>
      <c r="E3296" s="3064"/>
      <c r="F3296" s="3064"/>
      <c r="G3296" s="3301" t="s">
        <v>676</v>
      </c>
      <c r="H3296" s="3063"/>
      <c r="I3296" s="3030"/>
    </row>
    <row r="3297" spans="2:9">
      <c r="B3297" s="3192" t="s">
        <v>677</v>
      </c>
      <c r="C3297" s="3063"/>
      <c r="D3297" s="3064"/>
      <c r="E3297" s="3064"/>
      <c r="F3297" s="3064"/>
      <c r="G3297" s="3301" t="s">
        <v>677</v>
      </c>
      <c r="H3297" s="3063"/>
      <c r="I3297" s="3030"/>
    </row>
    <row r="3298" spans="2:9">
      <c r="B3298" s="3192" t="s">
        <v>678</v>
      </c>
      <c r="C3298" s="3063"/>
      <c r="D3298" s="3064"/>
      <c r="E3298" s="3064"/>
      <c r="F3298" s="3064"/>
      <c r="G3298" s="3301" t="s">
        <v>678</v>
      </c>
      <c r="H3298" s="3063"/>
      <c r="I3298" s="3030"/>
    </row>
    <row r="3299" spans="2:9">
      <c r="B3299" s="3192" t="s">
        <v>679</v>
      </c>
      <c r="C3299" s="3063"/>
      <c r="D3299" s="3064"/>
      <c r="E3299" s="3064"/>
      <c r="F3299" s="3064"/>
      <c r="G3299" s="3301" t="s">
        <v>679</v>
      </c>
      <c r="H3299" s="3063"/>
      <c r="I3299" s="3030"/>
    </row>
    <row r="3300" spans="2:9" ht="25.5">
      <c r="B3300" s="3230" t="s">
        <v>81</v>
      </c>
      <c r="C3300" s="3063"/>
      <c r="D3300" s="3064"/>
      <c r="E3300" s="3064"/>
      <c r="F3300" s="3064"/>
      <c r="G3300" s="3302" t="s">
        <v>81</v>
      </c>
      <c r="H3300" s="3063"/>
      <c r="I3300" s="3030"/>
    </row>
    <row r="3301" spans="2:9" ht="26.25" thickBot="1">
      <c r="B3301" s="3303" t="s">
        <v>81</v>
      </c>
      <c r="C3301" s="3068"/>
      <c r="D3301" s="3069"/>
      <c r="E3301" s="3069"/>
      <c r="F3301" s="3069"/>
      <c r="G3301" s="3304" t="s">
        <v>81</v>
      </c>
      <c r="H3301" s="3068"/>
      <c r="I3301" s="3070"/>
    </row>
    <row r="3302" spans="2:9" ht="38.25">
      <c r="B3302" s="4723">
        <v>3020</v>
      </c>
      <c r="C3302" s="3289"/>
      <c r="D3302" s="3290"/>
      <c r="E3302" s="3290"/>
      <c r="F3302" s="3290"/>
      <c r="G3302" s="4723">
        <v>3020</v>
      </c>
      <c r="H3302" s="3291" t="s">
        <v>687</v>
      </c>
      <c r="I3302" s="3292" t="s">
        <v>688</v>
      </c>
    </row>
    <row r="3303" spans="2:9">
      <c r="B3303" s="4724"/>
      <c r="C3303" s="4678" t="s">
        <v>686</v>
      </c>
      <c r="D3303" s="4725"/>
      <c r="E3303" s="4725"/>
      <c r="F3303" s="4726"/>
      <c r="G3303" s="4724"/>
      <c r="H3303" s="3293"/>
      <c r="I3303" s="3294"/>
    </row>
    <row r="3304" spans="2:9" ht="13.5" thickBot="1">
      <c r="B3304" s="4724"/>
      <c r="C3304" s="3215">
        <v>2013</v>
      </c>
      <c r="D3304" s="3215">
        <v>2014</v>
      </c>
      <c r="E3304" s="3215">
        <v>2015</v>
      </c>
      <c r="F3304" s="3215">
        <v>2016</v>
      </c>
      <c r="G3304" s="4724"/>
      <c r="H3304" s="3295" t="s">
        <v>390</v>
      </c>
      <c r="I3304" s="3296" t="s">
        <v>390</v>
      </c>
    </row>
    <row r="3305" spans="2:9">
      <c r="B3305" s="3217" t="s">
        <v>695</v>
      </c>
      <c r="C3305" s="3218"/>
      <c r="D3305" s="3219"/>
      <c r="E3305" s="3219"/>
      <c r="F3305" s="3219"/>
      <c r="G3305" s="3217" t="s">
        <v>695</v>
      </c>
      <c r="H3305" s="3297"/>
      <c r="I3305" s="3298"/>
    </row>
    <row r="3306" spans="2:9">
      <c r="B3306" s="3299" t="s">
        <v>64</v>
      </c>
      <c r="C3306" s="3063"/>
      <c r="D3306" s="3064"/>
      <c r="E3306" s="3064"/>
      <c r="F3306" s="3064"/>
      <c r="G3306" s="3300" t="s">
        <v>64</v>
      </c>
      <c r="H3306" s="3063"/>
      <c r="I3306" s="3030"/>
    </row>
    <row r="3307" spans="2:9" ht="25.5">
      <c r="B3307" s="3192" t="s">
        <v>675</v>
      </c>
      <c r="C3307" s="3063"/>
      <c r="D3307" s="3064"/>
      <c r="E3307" s="3064"/>
      <c r="F3307" s="3064"/>
      <c r="G3307" s="3301" t="s">
        <v>675</v>
      </c>
      <c r="H3307" s="3063"/>
      <c r="I3307" s="3030"/>
    </row>
    <row r="3308" spans="2:9" ht="25.5">
      <c r="B3308" s="3192" t="s">
        <v>676</v>
      </c>
      <c r="C3308" s="3063"/>
      <c r="D3308" s="3064"/>
      <c r="E3308" s="3064"/>
      <c r="F3308" s="3064"/>
      <c r="G3308" s="3301" t="s">
        <v>676</v>
      </c>
      <c r="H3308" s="3063"/>
      <c r="I3308" s="3030"/>
    </row>
    <row r="3309" spans="2:9">
      <c r="B3309" s="3192" t="s">
        <v>677</v>
      </c>
      <c r="C3309" s="3063"/>
      <c r="D3309" s="3064"/>
      <c r="E3309" s="3064"/>
      <c r="F3309" s="3064"/>
      <c r="G3309" s="3301" t="s">
        <v>677</v>
      </c>
      <c r="H3309" s="3063"/>
      <c r="I3309" s="3030"/>
    </row>
    <row r="3310" spans="2:9">
      <c r="B3310" s="3192" t="s">
        <v>678</v>
      </c>
      <c r="C3310" s="3063"/>
      <c r="D3310" s="3064"/>
      <c r="E3310" s="3064"/>
      <c r="F3310" s="3064"/>
      <c r="G3310" s="3301" t="s">
        <v>678</v>
      </c>
      <c r="H3310" s="3063"/>
      <c r="I3310" s="3030"/>
    </row>
    <row r="3311" spans="2:9">
      <c r="B3311" s="3192" t="s">
        <v>679</v>
      </c>
      <c r="C3311" s="3063"/>
      <c r="D3311" s="3064"/>
      <c r="E3311" s="3064"/>
      <c r="F3311" s="3064"/>
      <c r="G3311" s="3301" t="s">
        <v>679</v>
      </c>
      <c r="H3311" s="3063"/>
      <c r="I3311" s="3030"/>
    </row>
    <row r="3312" spans="2:9" ht="25.5">
      <c r="B3312" s="3192" t="s">
        <v>720</v>
      </c>
      <c r="C3312" s="3063"/>
      <c r="D3312" s="3064"/>
      <c r="E3312" s="3064"/>
      <c r="F3312" s="3064"/>
      <c r="G3312" s="3301" t="s">
        <v>720</v>
      </c>
      <c r="H3312" s="3063"/>
      <c r="I3312" s="3030"/>
    </row>
    <row r="3313" spans="2:9">
      <c r="B3313" s="3299" t="s">
        <v>65</v>
      </c>
      <c r="C3313" s="3063"/>
      <c r="D3313" s="3064"/>
      <c r="E3313" s="3064"/>
      <c r="F3313" s="3064"/>
      <c r="G3313" s="3300" t="s">
        <v>65</v>
      </c>
      <c r="H3313" s="3063"/>
      <c r="I3313" s="3030"/>
    </row>
    <row r="3314" spans="2:9" ht="25.5">
      <c r="B3314" s="3192" t="s">
        <v>675</v>
      </c>
      <c r="C3314" s="3063"/>
      <c r="D3314" s="3064"/>
      <c r="E3314" s="3064"/>
      <c r="F3314" s="3064"/>
      <c r="G3314" s="3301" t="s">
        <v>675</v>
      </c>
      <c r="H3314" s="3063"/>
      <c r="I3314" s="3030"/>
    </row>
    <row r="3315" spans="2:9" ht="25.5">
      <c r="B3315" s="3192" t="s">
        <v>676</v>
      </c>
      <c r="C3315" s="3063"/>
      <c r="D3315" s="3064"/>
      <c r="E3315" s="3064"/>
      <c r="F3315" s="3064"/>
      <c r="G3315" s="3301" t="s">
        <v>676</v>
      </c>
      <c r="H3315" s="3063"/>
      <c r="I3315" s="3030"/>
    </row>
    <row r="3316" spans="2:9">
      <c r="B3316" s="3192" t="s">
        <v>677</v>
      </c>
      <c r="C3316" s="3063"/>
      <c r="D3316" s="3064"/>
      <c r="E3316" s="3064"/>
      <c r="F3316" s="3064"/>
      <c r="G3316" s="3301" t="s">
        <v>677</v>
      </c>
      <c r="H3316" s="3063"/>
      <c r="I3316" s="3030"/>
    </row>
    <row r="3317" spans="2:9">
      <c r="B3317" s="3192" t="s">
        <v>678</v>
      </c>
      <c r="C3317" s="3063"/>
      <c r="D3317" s="3064"/>
      <c r="E3317" s="3064"/>
      <c r="F3317" s="3064"/>
      <c r="G3317" s="3301" t="s">
        <v>678</v>
      </c>
      <c r="H3317" s="3063"/>
      <c r="I3317" s="3030"/>
    </row>
    <row r="3318" spans="2:9">
      <c r="B3318" s="3192" t="s">
        <v>679</v>
      </c>
      <c r="C3318" s="3063"/>
      <c r="D3318" s="3064"/>
      <c r="E3318" s="3064"/>
      <c r="F3318" s="3064"/>
      <c r="G3318" s="3301" t="s">
        <v>679</v>
      </c>
      <c r="H3318" s="3063"/>
      <c r="I3318" s="3030"/>
    </row>
    <row r="3319" spans="2:9" ht="25.5">
      <c r="B3319" s="3192" t="s">
        <v>720</v>
      </c>
      <c r="C3319" s="3063"/>
      <c r="D3319" s="3064"/>
      <c r="E3319" s="3064"/>
      <c r="F3319" s="3064"/>
      <c r="G3319" s="3301" t="s">
        <v>720</v>
      </c>
      <c r="H3319" s="3063"/>
      <c r="I3319" s="3030"/>
    </row>
    <row r="3320" spans="2:9">
      <c r="B3320" s="3299" t="s">
        <v>82</v>
      </c>
      <c r="C3320" s="3063"/>
      <c r="D3320" s="3064"/>
      <c r="E3320" s="3064"/>
      <c r="F3320" s="3064"/>
      <c r="G3320" s="3300" t="s">
        <v>82</v>
      </c>
      <c r="H3320" s="3063"/>
      <c r="I3320" s="3030"/>
    </row>
    <row r="3321" spans="2:9" ht="25.5">
      <c r="B3321" s="3192" t="s">
        <v>675</v>
      </c>
      <c r="C3321" s="3063"/>
      <c r="D3321" s="3064"/>
      <c r="E3321" s="3064"/>
      <c r="F3321" s="3064"/>
      <c r="G3321" s="3301" t="s">
        <v>675</v>
      </c>
      <c r="H3321" s="3063"/>
      <c r="I3321" s="3030"/>
    </row>
    <row r="3322" spans="2:9" ht="25.5">
      <c r="B3322" s="3192" t="s">
        <v>676</v>
      </c>
      <c r="C3322" s="3063"/>
      <c r="D3322" s="3064"/>
      <c r="E3322" s="3064"/>
      <c r="F3322" s="3064"/>
      <c r="G3322" s="3301" t="s">
        <v>676</v>
      </c>
      <c r="H3322" s="3063"/>
      <c r="I3322" s="3030"/>
    </row>
    <row r="3323" spans="2:9">
      <c r="B3323" s="3192" t="s">
        <v>677</v>
      </c>
      <c r="C3323" s="3063"/>
      <c r="D3323" s="3064"/>
      <c r="E3323" s="3064"/>
      <c r="F3323" s="3064"/>
      <c r="G3323" s="3301" t="s">
        <v>677</v>
      </c>
      <c r="H3323" s="3063"/>
      <c r="I3323" s="3030"/>
    </row>
    <row r="3324" spans="2:9">
      <c r="B3324" s="3192" t="s">
        <v>678</v>
      </c>
      <c r="C3324" s="3063"/>
      <c r="D3324" s="3064"/>
      <c r="E3324" s="3064"/>
      <c r="F3324" s="3064"/>
      <c r="G3324" s="3301" t="s">
        <v>678</v>
      </c>
      <c r="H3324" s="3063"/>
      <c r="I3324" s="3030"/>
    </row>
    <row r="3325" spans="2:9">
      <c r="B3325" s="3192" t="s">
        <v>679</v>
      </c>
      <c r="C3325" s="3063"/>
      <c r="D3325" s="3064"/>
      <c r="E3325" s="3064"/>
      <c r="F3325" s="3064"/>
      <c r="G3325" s="3301" t="s">
        <v>679</v>
      </c>
      <c r="H3325" s="3063"/>
      <c r="I3325" s="3030"/>
    </row>
    <row r="3326" spans="2:9" ht="25.5">
      <c r="B3326" s="3192" t="s">
        <v>720</v>
      </c>
      <c r="C3326" s="3063"/>
      <c r="D3326" s="3064"/>
      <c r="E3326" s="3064"/>
      <c r="F3326" s="3064"/>
      <c r="G3326" s="3301" t="s">
        <v>720</v>
      </c>
      <c r="H3326" s="3063"/>
      <c r="I3326" s="3030"/>
    </row>
    <row r="3327" spans="2:9" ht="38.25">
      <c r="B3327" s="3299" t="s">
        <v>680</v>
      </c>
      <c r="C3327" s="3063"/>
      <c r="D3327" s="3064"/>
      <c r="E3327" s="3064"/>
      <c r="F3327" s="3064"/>
      <c r="G3327" s="3300" t="s">
        <v>680</v>
      </c>
      <c r="H3327" s="3063"/>
      <c r="I3327" s="3030"/>
    </row>
    <row r="3328" spans="2:9" ht="25.5">
      <c r="B3328" s="3192" t="s">
        <v>675</v>
      </c>
      <c r="C3328" s="3063"/>
      <c r="D3328" s="3064"/>
      <c r="E3328" s="3064"/>
      <c r="F3328" s="3064"/>
      <c r="G3328" s="3301" t="s">
        <v>675</v>
      </c>
      <c r="H3328" s="3063"/>
      <c r="I3328" s="3030"/>
    </row>
    <row r="3329" spans="2:9" ht="25.5">
      <c r="B3329" s="3192" t="s">
        <v>676</v>
      </c>
      <c r="C3329" s="3063"/>
      <c r="D3329" s="3064"/>
      <c r="E3329" s="3064"/>
      <c r="F3329" s="3064"/>
      <c r="G3329" s="3301" t="s">
        <v>676</v>
      </c>
      <c r="H3329" s="3063"/>
      <c r="I3329" s="3030"/>
    </row>
    <row r="3330" spans="2:9">
      <c r="B3330" s="3192" t="s">
        <v>677</v>
      </c>
      <c r="C3330" s="3063"/>
      <c r="D3330" s="3064"/>
      <c r="E3330" s="3064"/>
      <c r="F3330" s="3064"/>
      <c r="G3330" s="3301" t="s">
        <v>677</v>
      </c>
      <c r="H3330" s="3063"/>
      <c r="I3330" s="3030"/>
    </row>
    <row r="3331" spans="2:9">
      <c r="B3331" s="3192" t="s">
        <v>678</v>
      </c>
      <c r="C3331" s="3063"/>
      <c r="D3331" s="3064"/>
      <c r="E3331" s="3064"/>
      <c r="F3331" s="3064"/>
      <c r="G3331" s="3301" t="s">
        <v>678</v>
      </c>
      <c r="H3331" s="3063"/>
      <c r="I3331" s="3030"/>
    </row>
    <row r="3332" spans="2:9">
      <c r="B3332" s="3192" t="s">
        <v>679</v>
      </c>
      <c r="C3332" s="3063"/>
      <c r="D3332" s="3064"/>
      <c r="E3332" s="3064"/>
      <c r="F3332" s="3064"/>
      <c r="G3332" s="3301" t="s">
        <v>679</v>
      </c>
      <c r="H3332" s="3063"/>
      <c r="I3332" s="3030"/>
    </row>
    <row r="3333" spans="2:9" ht="25.5">
      <c r="B3333" s="3192" t="s">
        <v>720</v>
      </c>
      <c r="C3333" s="3063"/>
      <c r="D3333" s="3064"/>
      <c r="E3333" s="3064"/>
      <c r="F3333" s="3064"/>
      <c r="G3333" s="3301" t="s">
        <v>720</v>
      </c>
      <c r="H3333" s="3063"/>
      <c r="I3333" s="3030"/>
    </row>
    <row r="3334" spans="2:9" ht="38.25">
      <c r="B3334" s="3299" t="s">
        <v>681</v>
      </c>
      <c r="C3334" s="3063"/>
      <c r="D3334" s="3064"/>
      <c r="E3334" s="3064"/>
      <c r="F3334" s="3064"/>
      <c r="G3334" s="3300" t="s">
        <v>681</v>
      </c>
      <c r="H3334" s="3063"/>
      <c r="I3334" s="3030"/>
    </row>
    <row r="3335" spans="2:9" ht="25.5">
      <c r="B3335" s="3192" t="s">
        <v>675</v>
      </c>
      <c r="C3335" s="3063"/>
      <c r="D3335" s="3064"/>
      <c r="E3335" s="3064"/>
      <c r="F3335" s="3064"/>
      <c r="G3335" s="3301" t="s">
        <v>675</v>
      </c>
      <c r="H3335" s="3063"/>
      <c r="I3335" s="3030"/>
    </row>
    <row r="3336" spans="2:9" ht="25.5">
      <c r="B3336" s="3192" t="s">
        <v>676</v>
      </c>
      <c r="C3336" s="3063"/>
      <c r="D3336" s="3064"/>
      <c r="E3336" s="3064"/>
      <c r="F3336" s="3064"/>
      <c r="G3336" s="3301" t="s">
        <v>676</v>
      </c>
      <c r="H3336" s="3063"/>
      <c r="I3336" s="3030"/>
    </row>
    <row r="3337" spans="2:9">
      <c r="B3337" s="3192" t="s">
        <v>677</v>
      </c>
      <c r="C3337" s="3063"/>
      <c r="D3337" s="3064"/>
      <c r="E3337" s="3064"/>
      <c r="F3337" s="3064"/>
      <c r="G3337" s="3301" t="s">
        <v>677</v>
      </c>
      <c r="H3337" s="3063"/>
      <c r="I3337" s="3030"/>
    </row>
    <row r="3338" spans="2:9">
      <c r="B3338" s="3192" t="s">
        <v>678</v>
      </c>
      <c r="C3338" s="3063"/>
      <c r="D3338" s="3064"/>
      <c r="E3338" s="3064"/>
      <c r="F3338" s="3064"/>
      <c r="G3338" s="3301" t="s">
        <v>678</v>
      </c>
      <c r="H3338" s="3063"/>
      <c r="I3338" s="3030"/>
    </row>
    <row r="3339" spans="2:9">
      <c r="B3339" s="3192" t="s">
        <v>679</v>
      </c>
      <c r="C3339" s="3063"/>
      <c r="D3339" s="3064"/>
      <c r="E3339" s="3064"/>
      <c r="F3339" s="3064"/>
      <c r="G3339" s="3301" t="s">
        <v>679</v>
      </c>
      <c r="H3339" s="3063"/>
      <c r="I3339" s="3030"/>
    </row>
    <row r="3340" spans="2:9" ht="25.5">
      <c r="B3340" s="3192" t="s">
        <v>720</v>
      </c>
      <c r="C3340" s="3063"/>
      <c r="D3340" s="3064"/>
      <c r="E3340" s="3064"/>
      <c r="F3340" s="3064"/>
      <c r="G3340" s="3301" t="s">
        <v>720</v>
      </c>
      <c r="H3340" s="3063"/>
      <c r="I3340" s="3030"/>
    </row>
    <row r="3341" spans="2:9" ht="25.5">
      <c r="B3341" s="3299" t="s">
        <v>682</v>
      </c>
      <c r="C3341" s="3063"/>
      <c r="D3341" s="3064"/>
      <c r="E3341" s="3064"/>
      <c r="F3341" s="3064"/>
      <c r="G3341" s="3300" t="s">
        <v>682</v>
      </c>
      <c r="H3341" s="3063"/>
      <c r="I3341" s="3030"/>
    </row>
    <row r="3342" spans="2:9" ht="25.5">
      <c r="B3342" s="3192" t="s">
        <v>675</v>
      </c>
      <c r="C3342" s="3063"/>
      <c r="D3342" s="3064"/>
      <c r="E3342" s="3064"/>
      <c r="F3342" s="3064"/>
      <c r="G3342" s="3301" t="s">
        <v>675</v>
      </c>
      <c r="H3342" s="3063"/>
      <c r="I3342" s="3030"/>
    </row>
    <row r="3343" spans="2:9" ht="25.5">
      <c r="B3343" s="3192" t="s">
        <v>676</v>
      </c>
      <c r="C3343" s="3063"/>
      <c r="D3343" s="3064"/>
      <c r="E3343" s="3064"/>
      <c r="F3343" s="3064"/>
      <c r="G3343" s="3301" t="s">
        <v>676</v>
      </c>
      <c r="H3343" s="3063"/>
      <c r="I3343" s="3030"/>
    </row>
    <row r="3344" spans="2:9">
      <c r="B3344" s="3192" t="s">
        <v>677</v>
      </c>
      <c r="C3344" s="3063"/>
      <c r="D3344" s="3064"/>
      <c r="E3344" s="3064"/>
      <c r="F3344" s="3064"/>
      <c r="G3344" s="3301" t="s">
        <v>677</v>
      </c>
      <c r="H3344" s="3063"/>
      <c r="I3344" s="3030"/>
    </row>
    <row r="3345" spans="2:9">
      <c r="B3345" s="3192" t="s">
        <v>678</v>
      </c>
      <c r="C3345" s="3063"/>
      <c r="D3345" s="3064"/>
      <c r="E3345" s="3064"/>
      <c r="F3345" s="3064"/>
      <c r="G3345" s="3301" t="s">
        <v>678</v>
      </c>
      <c r="H3345" s="3063"/>
      <c r="I3345" s="3030"/>
    </row>
    <row r="3346" spans="2:9">
      <c r="B3346" s="3192" t="s">
        <v>679</v>
      </c>
      <c r="C3346" s="3063"/>
      <c r="D3346" s="3064"/>
      <c r="E3346" s="3064"/>
      <c r="F3346" s="3064"/>
      <c r="G3346" s="3301" t="s">
        <v>679</v>
      </c>
      <c r="H3346" s="3063"/>
      <c r="I3346" s="3030"/>
    </row>
    <row r="3347" spans="2:9" ht="25.5">
      <c r="B3347" s="3192" t="s">
        <v>720</v>
      </c>
      <c r="C3347" s="3063"/>
      <c r="D3347" s="3064"/>
      <c r="E3347" s="3064"/>
      <c r="F3347" s="3064"/>
      <c r="G3347" s="3301" t="s">
        <v>720</v>
      </c>
      <c r="H3347" s="3063"/>
      <c r="I3347" s="3030"/>
    </row>
    <row r="3348" spans="2:9" ht="25.5">
      <c r="B3348" s="3299" t="s">
        <v>66</v>
      </c>
      <c r="C3348" s="3063"/>
      <c r="D3348" s="3064"/>
      <c r="E3348" s="3064"/>
      <c r="F3348" s="3064"/>
      <c r="G3348" s="3300" t="s">
        <v>66</v>
      </c>
      <c r="H3348" s="3063"/>
      <c r="I3348" s="3030"/>
    </row>
    <row r="3349" spans="2:9" ht="25.5">
      <c r="B3349" s="3192" t="s">
        <v>675</v>
      </c>
      <c r="C3349" s="3063"/>
      <c r="D3349" s="3064"/>
      <c r="E3349" s="3064"/>
      <c r="F3349" s="3064"/>
      <c r="G3349" s="3301" t="s">
        <v>675</v>
      </c>
      <c r="H3349" s="3063"/>
      <c r="I3349" s="3030"/>
    </row>
    <row r="3350" spans="2:9" ht="25.5">
      <c r="B3350" s="3192" t="s">
        <v>676</v>
      </c>
      <c r="C3350" s="3063"/>
      <c r="D3350" s="3064"/>
      <c r="E3350" s="3064"/>
      <c r="F3350" s="3064"/>
      <c r="G3350" s="3301" t="s">
        <v>676</v>
      </c>
      <c r="H3350" s="3063"/>
      <c r="I3350" s="3030"/>
    </row>
    <row r="3351" spans="2:9">
      <c r="B3351" s="3192" t="s">
        <v>677</v>
      </c>
      <c r="C3351" s="3063"/>
      <c r="D3351" s="3064"/>
      <c r="E3351" s="3064"/>
      <c r="F3351" s="3064"/>
      <c r="G3351" s="3301" t="s">
        <v>677</v>
      </c>
      <c r="H3351" s="3063"/>
      <c r="I3351" s="3030"/>
    </row>
    <row r="3352" spans="2:9">
      <c r="B3352" s="3192" t="s">
        <v>678</v>
      </c>
      <c r="C3352" s="3063"/>
      <c r="D3352" s="3064"/>
      <c r="E3352" s="3064"/>
      <c r="F3352" s="3064"/>
      <c r="G3352" s="3301" t="s">
        <v>678</v>
      </c>
      <c r="H3352" s="3063"/>
      <c r="I3352" s="3030"/>
    </row>
    <row r="3353" spans="2:9">
      <c r="B3353" s="3192" t="s">
        <v>679</v>
      </c>
      <c r="C3353" s="3063"/>
      <c r="D3353" s="3064"/>
      <c r="E3353" s="3064"/>
      <c r="F3353" s="3064"/>
      <c r="G3353" s="3301" t="s">
        <v>679</v>
      </c>
      <c r="H3353" s="3063"/>
      <c r="I3353" s="3030"/>
    </row>
    <row r="3354" spans="2:9" ht="25.5">
      <c r="B3354" s="3192" t="s">
        <v>720</v>
      </c>
      <c r="C3354" s="3063"/>
      <c r="D3354" s="3064"/>
      <c r="E3354" s="3064"/>
      <c r="F3354" s="3064"/>
      <c r="G3354" s="3301" t="s">
        <v>720</v>
      </c>
      <c r="H3354" s="3063"/>
      <c r="I3354" s="3030"/>
    </row>
    <row r="3355" spans="2:9">
      <c r="B3355" s="3299" t="s">
        <v>67</v>
      </c>
      <c r="C3355" s="3063"/>
      <c r="D3355" s="3064"/>
      <c r="E3355" s="3064"/>
      <c r="F3355" s="3064"/>
      <c r="G3355" s="3300" t="s">
        <v>67</v>
      </c>
      <c r="H3355" s="3063"/>
      <c r="I3355" s="3030"/>
    </row>
    <row r="3356" spans="2:9" ht="25.5">
      <c r="B3356" s="3192" t="s">
        <v>675</v>
      </c>
      <c r="C3356" s="3063"/>
      <c r="D3356" s="3064"/>
      <c r="E3356" s="3064"/>
      <c r="F3356" s="3064"/>
      <c r="G3356" s="3301" t="s">
        <v>675</v>
      </c>
      <c r="H3356" s="3063"/>
      <c r="I3356" s="3030"/>
    </row>
    <row r="3357" spans="2:9" ht="25.5">
      <c r="B3357" s="3192" t="s">
        <v>676</v>
      </c>
      <c r="C3357" s="3063"/>
      <c r="D3357" s="3064"/>
      <c r="E3357" s="3064"/>
      <c r="F3357" s="3064"/>
      <c r="G3357" s="3301" t="s">
        <v>676</v>
      </c>
      <c r="H3357" s="3063"/>
      <c r="I3357" s="3030"/>
    </row>
    <row r="3358" spans="2:9">
      <c r="B3358" s="3192" t="s">
        <v>677</v>
      </c>
      <c r="C3358" s="3063"/>
      <c r="D3358" s="3064"/>
      <c r="E3358" s="3064"/>
      <c r="F3358" s="3064"/>
      <c r="G3358" s="3301" t="s">
        <v>677</v>
      </c>
      <c r="H3358" s="3063"/>
      <c r="I3358" s="3030"/>
    </row>
    <row r="3359" spans="2:9">
      <c r="B3359" s="3192" t="s">
        <v>678</v>
      </c>
      <c r="C3359" s="3063"/>
      <c r="D3359" s="3064"/>
      <c r="E3359" s="3064"/>
      <c r="F3359" s="3064"/>
      <c r="G3359" s="3301" t="s">
        <v>678</v>
      </c>
      <c r="H3359" s="3063"/>
      <c r="I3359" s="3030"/>
    </row>
    <row r="3360" spans="2:9">
      <c r="B3360" s="3192" t="s">
        <v>679</v>
      </c>
      <c r="C3360" s="3063"/>
      <c r="D3360" s="3064"/>
      <c r="E3360" s="3064"/>
      <c r="F3360" s="3064"/>
      <c r="G3360" s="3301" t="s">
        <v>679</v>
      </c>
      <c r="H3360" s="3063"/>
      <c r="I3360" s="3030"/>
    </row>
    <row r="3361" spans="2:9" ht="25.5">
      <c r="B3361" s="3192" t="s">
        <v>720</v>
      </c>
      <c r="C3361" s="3063"/>
      <c r="D3361" s="3064"/>
      <c r="E3361" s="3064"/>
      <c r="F3361" s="3064"/>
      <c r="G3361" s="3301" t="s">
        <v>720</v>
      </c>
      <c r="H3361" s="3063"/>
      <c r="I3361" s="3030"/>
    </row>
    <row r="3362" spans="2:9" ht="25.5">
      <c r="B3362" s="3230" t="s">
        <v>81</v>
      </c>
      <c r="C3362" s="3063"/>
      <c r="D3362" s="3064"/>
      <c r="E3362" s="3064"/>
      <c r="F3362" s="3064"/>
      <c r="G3362" s="3302" t="s">
        <v>81</v>
      </c>
      <c r="H3362" s="3063"/>
      <c r="I3362" s="3030"/>
    </row>
    <row r="3363" spans="2:9" ht="26.25" thickBot="1">
      <c r="B3363" s="3303" t="s">
        <v>81</v>
      </c>
      <c r="C3363" s="3063"/>
      <c r="D3363" s="3064"/>
      <c r="E3363" s="3064"/>
      <c r="F3363" s="3064"/>
      <c r="G3363" s="3302" t="s">
        <v>81</v>
      </c>
      <c r="H3363" s="3063"/>
      <c r="I3363" s="3030"/>
    </row>
    <row r="3364" spans="2:9" ht="25.5">
      <c r="B3364" s="3217" t="s">
        <v>696</v>
      </c>
      <c r="C3364" s="3218"/>
      <c r="D3364" s="3219"/>
      <c r="E3364" s="3219"/>
      <c r="F3364" s="3219"/>
      <c r="G3364" s="3217" t="s">
        <v>696</v>
      </c>
      <c r="H3364" s="3297"/>
      <c r="I3364" s="3298"/>
    </row>
    <row r="3365" spans="2:9">
      <c r="B3365" s="3299" t="s">
        <v>64</v>
      </c>
      <c r="C3365" s="3063"/>
      <c r="D3365" s="3064"/>
      <c r="E3365" s="3064"/>
      <c r="F3365" s="3064"/>
      <c r="G3365" s="3300" t="s">
        <v>64</v>
      </c>
      <c r="H3365" s="3063">
        <v>0.84456715933084314</v>
      </c>
      <c r="I3365" s="3030"/>
    </row>
    <row r="3366" spans="2:9" ht="25.5">
      <c r="B3366" s="3192" t="s">
        <v>675</v>
      </c>
      <c r="C3366" s="3063">
        <v>10</v>
      </c>
      <c r="D3366" s="3064">
        <v>9</v>
      </c>
      <c r="E3366" s="3064"/>
      <c r="F3366" s="3064">
        <v>2</v>
      </c>
      <c r="G3366" s="3301" t="s">
        <v>675</v>
      </c>
      <c r="H3366" s="3063"/>
      <c r="I3366" s="3030">
        <v>1.1369173298684425</v>
      </c>
    </row>
    <row r="3367" spans="2:9" ht="25.5">
      <c r="B3367" s="3192" t="s">
        <v>676</v>
      </c>
      <c r="C3367" s="3063"/>
      <c r="D3367" s="3064"/>
      <c r="E3367" s="3064"/>
      <c r="F3367" s="3064"/>
      <c r="G3367" s="3301" t="s">
        <v>676</v>
      </c>
      <c r="H3367" s="3063"/>
      <c r="I3367" s="3030"/>
    </row>
    <row r="3368" spans="2:9">
      <c r="B3368" s="3192" t="s">
        <v>677</v>
      </c>
      <c r="C3368" s="3063"/>
      <c r="D3368" s="3064"/>
      <c r="E3368" s="3064"/>
      <c r="F3368" s="3064"/>
      <c r="G3368" s="3301" t="s">
        <v>677</v>
      </c>
      <c r="H3368" s="3063"/>
      <c r="I3368" s="3030"/>
    </row>
    <row r="3369" spans="2:9">
      <c r="B3369" s="3192" t="s">
        <v>678</v>
      </c>
      <c r="C3369" s="3063">
        <v>2</v>
      </c>
      <c r="D3369" s="3064">
        <v>3</v>
      </c>
      <c r="E3369" s="3064"/>
      <c r="F3369" s="3064"/>
      <c r="G3369" s="3301" t="s">
        <v>678</v>
      </c>
      <c r="H3369" s="3063"/>
      <c r="I3369" s="3030"/>
    </row>
    <row r="3370" spans="2:9">
      <c r="B3370" s="3192" t="s">
        <v>679</v>
      </c>
      <c r="C3370" s="3063"/>
      <c r="D3370" s="3064"/>
      <c r="E3370" s="3064"/>
      <c r="F3370" s="3064"/>
      <c r="G3370" s="3301" t="s">
        <v>679</v>
      </c>
      <c r="H3370" s="3063"/>
      <c r="I3370" s="3030"/>
    </row>
    <row r="3371" spans="2:9" ht="25.5">
      <c r="B3371" s="3192" t="s">
        <v>720</v>
      </c>
      <c r="C3371" s="3063"/>
      <c r="D3371" s="3064"/>
      <c r="E3371" s="3064"/>
      <c r="F3371" s="3064"/>
      <c r="G3371" s="3301" t="s">
        <v>720</v>
      </c>
      <c r="H3371" s="3063"/>
      <c r="I3371" s="3030"/>
    </row>
    <row r="3372" spans="2:9">
      <c r="B3372" s="3299" t="s">
        <v>65</v>
      </c>
      <c r="C3372" s="3063"/>
      <c r="D3372" s="3064"/>
      <c r="E3372" s="3064"/>
      <c r="F3372" s="3064"/>
      <c r="G3372" s="3300" t="s">
        <v>65</v>
      </c>
      <c r="H3372" s="3063"/>
      <c r="I3372" s="3030"/>
    </row>
    <row r="3373" spans="2:9" ht="25.5">
      <c r="B3373" s="3192" t="s">
        <v>675</v>
      </c>
      <c r="C3373" s="3063"/>
      <c r="D3373" s="3064"/>
      <c r="E3373" s="3064"/>
      <c r="F3373" s="3064"/>
      <c r="G3373" s="3301" t="s">
        <v>675</v>
      </c>
      <c r="H3373" s="3063"/>
      <c r="I3373" s="3030"/>
    </row>
    <row r="3374" spans="2:9" ht="25.5">
      <c r="B3374" s="3192" t="s">
        <v>676</v>
      </c>
      <c r="C3374" s="3063"/>
      <c r="D3374" s="3064"/>
      <c r="E3374" s="3064"/>
      <c r="F3374" s="3064"/>
      <c r="G3374" s="3301" t="s">
        <v>676</v>
      </c>
      <c r="H3374" s="3063"/>
      <c r="I3374" s="3030"/>
    </row>
    <row r="3375" spans="2:9">
      <c r="B3375" s="3192" t="s">
        <v>677</v>
      </c>
      <c r="C3375" s="3063"/>
      <c r="D3375" s="3064"/>
      <c r="E3375" s="3064"/>
      <c r="F3375" s="3064"/>
      <c r="G3375" s="3301" t="s">
        <v>677</v>
      </c>
      <c r="H3375" s="3063"/>
      <c r="I3375" s="3030"/>
    </row>
    <row r="3376" spans="2:9">
      <c r="B3376" s="3192" t="s">
        <v>678</v>
      </c>
      <c r="C3376" s="3063"/>
      <c r="D3376" s="3064"/>
      <c r="E3376" s="3064"/>
      <c r="F3376" s="3064"/>
      <c r="G3376" s="3301" t="s">
        <v>678</v>
      </c>
      <c r="H3376" s="3063"/>
      <c r="I3376" s="3030"/>
    </row>
    <row r="3377" spans="2:9">
      <c r="B3377" s="3192" t="s">
        <v>679</v>
      </c>
      <c r="C3377" s="3063"/>
      <c r="D3377" s="3064"/>
      <c r="E3377" s="3064"/>
      <c r="F3377" s="3064"/>
      <c r="G3377" s="3301" t="s">
        <v>679</v>
      </c>
      <c r="H3377" s="3063"/>
      <c r="I3377" s="3030"/>
    </row>
    <row r="3378" spans="2:9" ht="25.5">
      <c r="B3378" s="3192" t="s">
        <v>720</v>
      </c>
      <c r="C3378" s="3063"/>
      <c r="D3378" s="3064"/>
      <c r="E3378" s="3064"/>
      <c r="F3378" s="3064"/>
      <c r="G3378" s="3301" t="s">
        <v>720</v>
      </c>
      <c r="H3378" s="3063"/>
      <c r="I3378" s="3030"/>
    </row>
    <row r="3379" spans="2:9">
      <c r="B3379" s="3299" t="s">
        <v>82</v>
      </c>
      <c r="C3379" s="3063"/>
      <c r="D3379" s="3064"/>
      <c r="E3379" s="3064"/>
      <c r="F3379" s="3064"/>
      <c r="G3379" s="3300" t="s">
        <v>82</v>
      </c>
      <c r="H3379" s="3063"/>
      <c r="I3379" s="3030"/>
    </row>
    <row r="3380" spans="2:9" ht="25.5">
      <c r="B3380" s="3192" t="s">
        <v>675</v>
      </c>
      <c r="C3380" s="3063"/>
      <c r="D3380" s="3064"/>
      <c r="E3380" s="3064"/>
      <c r="F3380" s="3064"/>
      <c r="G3380" s="3301" t="s">
        <v>675</v>
      </c>
      <c r="H3380" s="3063"/>
      <c r="I3380" s="3030"/>
    </row>
    <row r="3381" spans="2:9" ht="25.5">
      <c r="B3381" s="3192" t="s">
        <v>676</v>
      </c>
      <c r="C3381" s="3063"/>
      <c r="D3381" s="3064"/>
      <c r="E3381" s="3064"/>
      <c r="F3381" s="3064"/>
      <c r="G3381" s="3301" t="s">
        <v>676</v>
      </c>
      <c r="H3381" s="3063"/>
      <c r="I3381" s="3030"/>
    </row>
    <row r="3382" spans="2:9">
      <c r="B3382" s="3192" t="s">
        <v>677</v>
      </c>
      <c r="C3382" s="3063"/>
      <c r="D3382" s="3064"/>
      <c r="E3382" s="3064"/>
      <c r="F3382" s="3064"/>
      <c r="G3382" s="3301" t="s">
        <v>677</v>
      </c>
      <c r="H3382" s="3063"/>
      <c r="I3382" s="3030"/>
    </row>
    <row r="3383" spans="2:9">
      <c r="B3383" s="3192" t="s">
        <v>678</v>
      </c>
      <c r="C3383" s="3063"/>
      <c r="D3383" s="3064"/>
      <c r="E3383" s="3064"/>
      <c r="F3383" s="3064"/>
      <c r="G3383" s="3301" t="s">
        <v>678</v>
      </c>
      <c r="H3383" s="3063"/>
      <c r="I3383" s="3030"/>
    </row>
    <row r="3384" spans="2:9">
      <c r="B3384" s="3192" t="s">
        <v>679</v>
      </c>
      <c r="C3384" s="3063"/>
      <c r="D3384" s="3064"/>
      <c r="E3384" s="3064"/>
      <c r="F3384" s="3064"/>
      <c r="G3384" s="3301" t="s">
        <v>679</v>
      </c>
      <c r="H3384" s="3063"/>
      <c r="I3384" s="3030"/>
    </row>
    <row r="3385" spans="2:9" ht="25.5">
      <c r="B3385" s="3192" t="s">
        <v>720</v>
      </c>
      <c r="C3385" s="3063"/>
      <c r="D3385" s="3064"/>
      <c r="E3385" s="3064"/>
      <c r="F3385" s="3064"/>
      <c r="G3385" s="3301" t="s">
        <v>720</v>
      </c>
      <c r="H3385" s="3063"/>
      <c r="I3385" s="3030"/>
    </row>
    <row r="3386" spans="2:9" ht="38.25">
      <c r="B3386" s="3299" t="s">
        <v>680</v>
      </c>
      <c r="C3386" s="3063"/>
      <c r="D3386" s="3064"/>
      <c r="E3386" s="3064"/>
      <c r="F3386" s="3064"/>
      <c r="G3386" s="3300" t="s">
        <v>680</v>
      </c>
      <c r="H3386" s="3063"/>
      <c r="I3386" s="3030"/>
    </row>
    <row r="3387" spans="2:9" ht="25.5">
      <c r="B3387" s="3192" t="s">
        <v>675</v>
      </c>
      <c r="C3387" s="3063"/>
      <c r="D3387" s="3064"/>
      <c r="E3387" s="3064"/>
      <c r="F3387" s="3064"/>
      <c r="G3387" s="3301" t="s">
        <v>675</v>
      </c>
      <c r="H3387" s="3063"/>
      <c r="I3387" s="3030"/>
    </row>
    <row r="3388" spans="2:9" ht="25.5">
      <c r="B3388" s="3192" t="s">
        <v>676</v>
      </c>
      <c r="C3388" s="3063"/>
      <c r="D3388" s="3064"/>
      <c r="E3388" s="3064"/>
      <c r="F3388" s="3064"/>
      <c r="G3388" s="3301" t="s">
        <v>676</v>
      </c>
      <c r="H3388" s="3063"/>
      <c r="I3388" s="3030"/>
    </row>
    <row r="3389" spans="2:9">
      <c r="B3389" s="3192" t="s">
        <v>677</v>
      </c>
      <c r="C3389" s="3063"/>
      <c r="D3389" s="3064"/>
      <c r="E3389" s="3064"/>
      <c r="F3389" s="3064"/>
      <c r="G3389" s="3301" t="s">
        <v>677</v>
      </c>
      <c r="H3389" s="3063"/>
      <c r="I3389" s="3030"/>
    </row>
    <row r="3390" spans="2:9">
      <c r="B3390" s="3192" t="s">
        <v>678</v>
      </c>
      <c r="C3390" s="3063"/>
      <c r="D3390" s="3064"/>
      <c r="E3390" s="3064"/>
      <c r="F3390" s="3064"/>
      <c r="G3390" s="3301" t="s">
        <v>678</v>
      </c>
      <c r="H3390" s="3063"/>
      <c r="I3390" s="3030"/>
    </row>
    <row r="3391" spans="2:9">
      <c r="B3391" s="3192" t="s">
        <v>679</v>
      </c>
      <c r="C3391" s="3063"/>
      <c r="D3391" s="3064"/>
      <c r="E3391" s="3064"/>
      <c r="F3391" s="3064"/>
      <c r="G3391" s="3301" t="s">
        <v>679</v>
      </c>
      <c r="H3391" s="3063"/>
      <c r="I3391" s="3030"/>
    </row>
    <row r="3392" spans="2:9" ht="25.5">
      <c r="B3392" s="3192" t="s">
        <v>720</v>
      </c>
      <c r="C3392" s="3063"/>
      <c r="D3392" s="3064"/>
      <c r="E3392" s="3064"/>
      <c r="F3392" s="3064"/>
      <c r="G3392" s="3301" t="s">
        <v>720</v>
      </c>
      <c r="H3392" s="3063"/>
      <c r="I3392" s="3030"/>
    </row>
    <row r="3393" spans="2:9" ht="38.25">
      <c r="B3393" s="3299" t="s">
        <v>681</v>
      </c>
      <c r="C3393" s="3063"/>
      <c r="D3393" s="3064"/>
      <c r="E3393" s="3064"/>
      <c r="F3393" s="3064">
        <v>3</v>
      </c>
      <c r="G3393" s="3300" t="s">
        <v>681</v>
      </c>
      <c r="H3393" s="3063">
        <v>2.3690226597017323E-2</v>
      </c>
      <c r="I3393" s="3030"/>
    </row>
    <row r="3394" spans="2:9" ht="25.5">
      <c r="B3394" s="3192" t="s">
        <v>675</v>
      </c>
      <c r="C3394" s="3063">
        <v>2</v>
      </c>
      <c r="D3394" s="3064">
        <v>1</v>
      </c>
      <c r="E3394" s="3064"/>
      <c r="F3394" s="3064"/>
      <c r="G3394" s="3301" t="s">
        <v>675</v>
      </c>
      <c r="H3394" s="3063"/>
      <c r="I3394" s="3030">
        <v>1.7767669947762993E-2</v>
      </c>
    </row>
    <row r="3395" spans="2:9" ht="25.5">
      <c r="B3395" s="3192" t="s">
        <v>676</v>
      </c>
      <c r="C3395" s="3063"/>
      <c r="D3395" s="3064"/>
      <c r="E3395" s="3064"/>
      <c r="F3395" s="3064"/>
      <c r="G3395" s="3301" t="s">
        <v>676</v>
      </c>
      <c r="H3395" s="3063"/>
      <c r="I3395" s="3030"/>
    </row>
    <row r="3396" spans="2:9">
      <c r="B3396" s="3192" t="s">
        <v>677</v>
      </c>
      <c r="C3396" s="3063"/>
      <c r="D3396" s="3064"/>
      <c r="E3396" s="3064"/>
      <c r="F3396" s="3064"/>
      <c r="G3396" s="3301" t="s">
        <v>677</v>
      </c>
      <c r="H3396" s="3063"/>
      <c r="I3396" s="3030"/>
    </row>
    <row r="3397" spans="2:9">
      <c r="B3397" s="3192" t="s">
        <v>678</v>
      </c>
      <c r="C3397" s="3063"/>
      <c r="D3397" s="3064"/>
      <c r="E3397" s="3064"/>
      <c r="F3397" s="3064"/>
      <c r="G3397" s="3301" t="s">
        <v>678</v>
      </c>
      <c r="H3397" s="3063"/>
      <c r="I3397" s="3030"/>
    </row>
    <row r="3398" spans="2:9">
      <c r="B3398" s="3192" t="s">
        <v>679</v>
      </c>
      <c r="C3398" s="3063"/>
      <c r="D3398" s="3064"/>
      <c r="E3398" s="3064"/>
      <c r="F3398" s="3064"/>
      <c r="G3398" s="3301" t="s">
        <v>679</v>
      </c>
      <c r="H3398" s="3063"/>
      <c r="I3398" s="3030"/>
    </row>
    <row r="3399" spans="2:9" ht="25.5">
      <c r="B3399" s="3192" t="s">
        <v>720</v>
      </c>
      <c r="C3399" s="3063"/>
      <c r="D3399" s="3064"/>
      <c r="E3399" s="3064"/>
      <c r="F3399" s="3064"/>
      <c r="G3399" s="3301" t="s">
        <v>720</v>
      </c>
      <c r="H3399" s="3063"/>
      <c r="I3399" s="3030"/>
    </row>
    <row r="3400" spans="2:9" ht="25.5">
      <c r="B3400" s="3299" t="s">
        <v>682</v>
      </c>
      <c r="C3400" s="3063"/>
      <c r="D3400" s="3064"/>
      <c r="E3400" s="3064"/>
      <c r="F3400" s="3064"/>
      <c r="G3400" s="3300" t="s">
        <v>682</v>
      </c>
      <c r="H3400" s="3063"/>
      <c r="I3400" s="3030"/>
    </row>
    <row r="3401" spans="2:9" ht="25.5">
      <c r="B3401" s="3192" t="s">
        <v>675</v>
      </c>
      <c r="C3401" s="3063"/>
      <c r="D3401" s="3064"/>
      <c r="E3401" s="3064"/>
      <c r="F3401" s="3064"/>
      <c r="G3401" s="3301" t="s">
        <v>675</v>
      </c>
      <c r="H3401" s="3063"/>
      <c r="I3401" s="3030"/>
    </row>
    <row r="3402" spans="2:9" ht="25.5">
      <c r="B3402" s="3192" t="s">
        <v>676</v>
      </c>
      <c r="C3402" s="3063"/>
      <c r="D3402" s="3064"/>
      <c r="E3402" s="3064"/>
      <c r="F3402" s="3064"/>
      <c r="G3402" s="3301" t="s">
        <v>676</v>
      </c>
      <c r="H3402" s="3063"/>
      <c r="I3402" s="3030"/>
    </row>
    <row r="3403" spans="2:9">
      <c r="B3403" s="3192" t="s">
        <v>677</v>
      </c>
      <c r="C3403" s="3063"/>
      <c r="D3403" s="3064"/>
      <c r="E3403" s="3064"/>
      <c r="F3403" s="3064"/>
      <c r="G3403" s="3301" t="s">
        <v>677</v>
      </c>
      <c r="H3403" s="3063"/>
      <c r="I3403" s="3030"/>
    </row>
    <row r="3404" spans="2:9">
      <c r="B3404" s="3192" t="s">
        <v>678</v>
      </c>
      <c r="C3404" s="3063"/>
      <c r="D3404" s="3064"/>
      <c r="E3404" s="3064"/>
      <c r="F3404" s="3064"/>
      <c r="G3404" s="3301" t="s">
        <v>678</v>
      </c>
      <c r="H3404" s="3063"/>
      <c r="I3404" s="3030"/>
    </row>
    <row r="3405" spans="2:9">
      <c r="B3405" s="3192" t="s">
        <v>679</v>
      </c>
      <c r="C3405" s="3063"/>
      <c r="D3405" s="3064"/>
      <c r="E3405" s="3064"/>
      <c r="F3405" s="3064"/>
      <c r="G3405" s="3301" t="s">
        <v>679</v>
      </c>
      <c r="H3405" s="3063"/>
      <c r="I3405" s="3030"/>
    </row>
    <row r="3406" spans="2:9" ht="25.5">
      <c r="B3406" s="3192" t="s">
        <v>720</v>
      </c>
      <c r="C3406" s="3063"/>
      <c r="D3406" s="3064"/>
      <c r="E3406" s="3064"/>
      <c r="F3406" s="3064"/>
      <c r="G3406" s="3301" t="s">
        <v>720</v>
      </c>
      <c r="H3406" s="3063"/>
      <c r="I3406" s="3030"/>
    </row>
    <row r="3407" spans="2:9" ht="25.5">
      <c r="B3407" s="3299" t="s">
        <v>66</v>
      </c>
      <c r="C3407" s="3063"/>
      <c r="D3407" s="3064"/>
      <c r="E3407" s="3064"/>
      <c r="F3407" s="3064">
        <v>12</v>
      </c>
      <c r="G3407" s="3300" t="s">
        <v>66</v>
      </c>
      <c r="H3407" s="3063">
        <v>0.13463689465180781</v>
      </c>
      <c r="I3407" s="3030"/>
    </row>
    <row r="3408" spans="2:9" ht="25.5">
      <c r="B3408" s="3192" t="s">
        <v>675</v>
      </c>
      <c r="C3408" s="3063">
        <v>28</v>
      </c>
      <c r="D3408" s="3064">
        <v>21</v>
      </c>
      <c r="E3408" s="3064"/>
      <c r="F3408" s="3064"/>
      <c r="G3408" s="3301" t="s">
        <v>675</v>
      </c>
      <c r="H3408" s="3063"/>
      <c r="I3408" s="3030">
        <v>0.25373876299763781</v>
      </c>
    </row>
    <row r="3409" spans="2:9" ht="25.5">
      <c r="B3409" s="3192" t="s">
        <v>676</v>
      </c>
      <c r="C3409" s="3063"/>
      <c r="D3409" s="3064"/>
      <c r="E3409" s="3064"/>
      <c r="F3409" s="3064"/>
      <c r="G3409" s="3301" t="s">
        <v>676</v>
      </c>
      <c r="H3409" s="3063"/>
      <c r="I3409" s="3030"/>
    </row>
    <row r="3410" spans="2:9">
      <c r="B3410" s="3192" t="s">
        <v>677</v>
      </c>
      <c r="C3410" s="3063"/>
      <c r="D3410" s="3064"/>
      <c r="E3410" s="3064"/>
      <c r="F3410" s="3064"/>
      <c r="G3410" s="3301" t="s">
        <v>677</v>
      </c>
      <c r="H3410" s="3063"/>
      <c r="I3410" s="3030"/>
    </row>
    <row r="3411" spans="2:9">
      <c r="B3411" s="3192" t="s">
        <v>678</v>
      </c>
      <c r="C3411" s="3063">
        <v>2</v>
      </c>
      <c r="D3411" s="3064">
        <v>2</v>
      </c>
      <c r="E3411" s="3064"/>
      <c r="F3411" s="3064"/>
      <c r="G3411" s="3301" t="s">
        <v>678</v>
      </c>
      <c r="H3411" s="3063"/>
      <c r="I3411" s="3030"/>
    </row>
    <row r="3412" spans="2:9">
      <c r="B3412" s="3192" t="s">
        <v>679</v>
      </c>
      <c r="C3412" s="3063"/>
      <c r="D3412" s="3064"/>
      <c r="E3412" s="3064"/>
      <c r="F3412" s="3064"/>
      <c r="G3412" s="3301" t="s">
        <v>679</v>
      </c>
      <c r="H3412" s="3063"/>
      <c r="I3412" s="3030"/>
    </row>
    <row r="3413" spans="2:9" ht="25.5">
      <c r="B3413" s="3192" t="s">
        <v>720</v>
      </c>
      <c r="C3413" s="3063"/>
      <c r="D3413" s="3064"/>
      <c r="E3413" s="3064"/>
      <c r="F3413" s="3064"/>
      <c r="G3413" s="3301" t="s">
        <v>720</v>
      </c>
      <c r="H3413" s="3063"/>
      <c r="I3413" s="3030"/>
    </row>
    <row r="3414" spans="2:9">
      <c r="B3414" s="3299" t="s">
        <v>67</v>
      </c>
      <c r="C3414" s="3063"/>
      <c r="D3414" s="3064"/>
      <c r="E3414" s="3064"/>
      <c r="F3414" s="3064">
        <v>2</v>
      </c>
      <c r="G3414" s="3300" t="s">
        <v>67</v>
      </c>
      <c r="H3414" s="3063">
        <v>4.1552829228260028E-2</v>
      </c>
      <c r="I3414" s="3030"/>
    </row>
    <row r="3415" spans="2:9" ht="25.5">
      <c r="B3415" s="3192" t="s">
        <v>675</v>
      </c>
      <c r="C3415" s="3063">
        <v>5</v>
      </c>
      <c r="D3415" s="3064">
        <v>6</v>
      </c>
      <c r="E3415" s="3064"/>
      <c r="F3415" s="3064"/>
      <c r="G3415" s="3301" t="s">
        <v>675</v>
      </c>
      <c r="H3415" s="3063"/>
      <c r="I3415" s="3030">
        <v>8.5702710283286312E-2</v>
      </c>
    </row>
    <row r="3416" spans="2:9" ht="25.5">
      <c r="B3416" s="3192" t="s">
        <v>676</v>
      </c>
      <c r="C3416" s="3063"/>
      <c r="D3416" s="3064"/>
      <c r="E3416" s="3064"/>
      <c r="F3416" s="3064"/>
      <c r="G3416" s="3301" t="s">
        <v>676</v>
      </c>
      <c r="H3416" s="3063"/>
      <c r="I3416" s="3030"/>
    </row>
    <row r="3417" spans="2:9">
      <c r="B3417" s="3192" t="s">
        <v>677</v>
      </c>
      <c r="C3417" s="3063"/>
      <c r="D3417" s="3064"/>
      <c r="E3417" s="3064"/>
      <c r="F3417" s="3064"/>
      <c r="G3417" s="3301" t="s">
        <v>677</v>
      </c>
      <c r="H3417" s="3063"/>
      <c r="I3417" s="3030"/>
    </row>
    <row r="3418" spans="2:9">
      <c r="B3418" s="3192" t="s">
        <v>678</v>
      </c>
      <c r="C3418" s="3063">
        <v>1</v>
      </c>
      <c r="D3418" s="3064"/>
      <c r="E3418" s="3064"/>
      <c r="F3418" s="3064"/>
      <c r="G3418" s="3301" t="s">
        <v>678</v>
      </c>
      <c r="H3418" s="3063"/>
      <c r="I3418" s="3030"/>
    </row>
    <row r="3419" spans="2:9">
      <c r="B3419" s="3192" t="s">
        <v>679</v>
      </c>
      <c r="C3419" s="3063">
        <v>1</v>
      </c>
      <c r="D3419" s="3064">
        <v>1</v>
      </c>
      <c r="E3419" s="3064"/>
      <c r="F3419" s="3064"/>
      <c r="G3419" s="3301" t="s">
        <v>679</v>
      </c>
      <c r="H3419" s="3063"/>
      <c r="I3419" s="3030"/>
    </row>
    <row r="3420" spans="2:9" ht="25.5">
      <c r="B3420" s="3230" t="s">
        <v>81</v>
      </c>
      <c r="C3420" s="3063"/>
      <c r="D3420" s="3064"/>
      <c r="E3420" s="3064"/>
      <c r="F3420" s="3064"/>
      <c r="G3420" s="3302" t="s">
        <v>81</v>
      </c>
      <c r="H3420" s="3063"/>
      <c r="I3420" s="3030"/>
    </row>
    <row r="3421" spans="2:9" ht="26.25" thickBot="1">
      <c r="B3421" s="3303" t="s">
        <v>81</v>
      </c>
      <c r="C3421" s="3063"/>
      <c r="D3421" s="3064"/>
      <c r="E3421" s="3064"/>
      <c r="F3421" s="3064"/>
      <c r="G3421" s="3302" t="s">
        <v>81</v>
      </c>
      <c r="H3421" s="3063"/>
      <c r="I3421" s="3030"/>
    </row>
    <row r="3422" spans="2:9">
      <c r="B3422" s="3217" t="s">
        <v>697</v>
      </c>
      <c r="C3422" s="3218"/>
      <c r="D3422" s="3219"/>
      <c r="E3422" s="3219"/>
      <c r="F3422" s="3219"/>
      <c r="G3422" s="3217" t="s">
        <v>697</v>
      </c>
      <c r="H3422" s="3297"/>
      <c r="I3422" s="3298"/>
    </row>
    <row r="3423" spans="2:9">
      <c r="B3423" s="3299" t="s">
        <v>64</v>
      </c>
      <c r="C3423" s="3063"/>
      <c r="D3423" s="3064"/>
      <c r="E3423" s="3064"/>
      <c r="F3423" s="3064"/>
      <c r="G3423" s="3300" t="s">
        <v>64</v>
      </c>
      <c r="H3423" s="3063"/>
      <c r="I3423" s="3030"/>
    </row>
    <row r="3424" spans="2:9" ht="25.5">
      <c r="B3424" s="3192" t="s">
        <v>675</v>
      </c>
      <c r="C3424" s="3063"/>
      <c r="D3424" s="3064"/>
      <c r="E3424" s="3064"/>
      <c r="F3424" s="3064"/>
      <c r="G3424" s="3301" t="s">
        <v>675</v>
      </c>
      <c r="H3424" s="3063"/>
      <c r="I3424" s="3030"/>
    </row>
    <row r="3425" spans="2:9" ht="25.5">
      <c r="B3425" s="3192" t="s">
        <v>676</v>
      </c>
      <c r="C3425" s="3063"/>
      <c r="D3425" s="3064"/>
      <c r="E3425" s="3064"/>
      <c r="F3425" s="3064"/>
      <c r="G3425" s="3301" t="s">
        <v>676</v>
      </c>
      <c r="H3425" s="3063"/>
      <c r="I3425" s="3030"/>
    </row>
    <row r="3426" spans="2:9">
      <c r="B3426" s="3192" t="s">
        <v>677</v>
      </c>
      <c r="C3426" s="3063"/>
      <c r="D3426" s="3064"/>
      <c r="E3426" s="3064"/>
      <c r="F3426" s="3064"/>
      <c r="G3426" s="3301" t="s">
        <v>677</v>
      </c>
      <c r="H3426" s="3063"/>
      <c r="I3426" s="3030"/>
    </row>
    <row r="3427" spans="2:9">
      <c r="B3427" s="3192" t="s">
        <v>678</v>
      </c>
      <c r="C3427" s="3063"/>
      <c r="D3427" s="3064"/>
      <c r="E3427" s="3064"/>
      <c r="F3427" s="3064"/>
      <c r="G3427" s="3301" t="s">
        <v>678</v>
      </c>
      <c r="H3427" s="3063"/>
      <c r="I3427" s="3030"/>
    </row>
    <row r="3428" spans="2:9">
      <c r="B3428" s="3192" t="s">
        <v>679</v>
      </c>
      <c r="C3428" s="3063"/>
      <c r="D3428" s="3064"/>
      <c r="E3428" s="3064"/>
      <c r="F3428" s="3064"/>
      <c r="G3428" s="3301" t="s">
        <v>679</v>
      </c>
      <c r="H3428" s="3063"/>
      <c r="I3428" s="3030"/>
    </row>
    <row r="3429" spans="2:9" ht="25.5">
      <c r="B3429" s="3192" t="s">
        <v>720</v>
      </c>
      <c r="C3429" s="3063"/>
      <c r="D3429" s="3064"/>
      <c r="E3429" s="3064"/>
      <c r="F3429" s="3064"/>
      <c r="G3429" s="3301" t="s">
        <v>720</v>
      </c>
      <c r="H3429" s="3063"/>
      <c r="I3429" s="3030"/>
    </row>
    <row r="3430" spans="2:9">
      <c r="B3430" s="3299" t="s">
        <v>65</v>
      </c>
      <c r="C3430" s="3063"/>
      <c r="D3430" s="3064"/>
      <c r="E3430" s="3064"/>
      <c r="F3430" s="3064"/>
      <c r="G3430" s="3300" t="s">
        <v>65</v>
      </c>
      <c r="H3430" s="3063"/>
      <c r="I3430" s="3030"/>
    </row>
    <row r="3431" spans="2:9" ht="25.5">
      <c r="B3431" s="3192" t="s">
        <v>675</v>
      </c>
      <c r="C3431" s="3063"/>
      <c r="D3431" s="3064"/>
      <c r="E3431" s="3064"/>
      <c r="F3431" s="3064"/>
      <c r="G3431" s="3301" t="s">
        <v>675</v>
      </c>
      <c r="H3431" s="3063"/>
      <c r="I3431" s="3030"/>
    </row>
    <row r="3432" spans="2:9" ht="25.5">
      <c r="B3432" s="3192" t="s">
        <v>676</v>
      </c>
      <c r="C3432" s="3063"/>
      <c r="D3432" s="3064"/>
      <c r="E3432" s="3064"/>
      <c r="F3432" s="3064"/>
      <c r="G3432" s="3301" t="s">
        <v>676</v>
      </c>
      <c r="H3432" s="3063"/>
      <c r="I3432" s="3030"/>
    </row>
    <row r="3433" spans="2:9">
      <c r="B3433" s="3192" t="s">
        <v>677</v>
      </c>
      <c r="C3433" s="3063"/>
      <c r="D3433" s="3064"/>
      <c r="E3433" s="3064"/>
      <c r="F3433" s="3064"/>
      <c r="G3433" s="3301" t="s">
        <v>677</v>
      </c>
      <c r="H3433" s="3063"/>
      <c r="I3433" s="3030"/>
    </row>
    <row r="3434" spans="2:9">
      <c r="B3434" s="3192" t="s">
        <v>678</v>
      </c>
      <c r="C3434" s="3063"/>
      <c r="D3434" s="3064"/>
      <c r="E3434" s="3064"/>
      <c r="F3434" s="3064"/>
      <c r="G3434" s="3301" t="s">
        <v>678</v>
      </c>
      <c r="H3434" s="3063"/>
      <c r="I3434" s="3030"/>
    </row>
    <row r="3435" spans="2:9">
      <c r="B3435" s="3192" t="s">
        <v>679</v>
      </c>
      <c r="C3435" s="3063"/>
      <c r="D3435" s="3064"/>
      <c r="E3435" s="3064"/>
      <c r="F3435" s="3064"/>
      <c r="G3435" s="3301" t="s">
        <v>679</v>
      </c>
      <c r="H3435" s="3063"/>
      <c r="I3435" s="3030"/>
    </row>
    <row r="3436" spans="2:9" ht="25.5">
      <c r="B3436" s="3192" t="s">
        <v>720</v>
      </c>
      <c r="C3436" s="3063"/>
      <c r="D3436" s="3064"/>
      <c r="E3436" s="3064"/>
      <c r="F3436" s="3064"/>
      <c r="G3436" s="3301" t="s">
        <v>720</v>
      </c>
      <c r="H3436" s="3063"/>
      <c r="I3436" s="3030"/>
    </row>
    <row r="3437" spans="2:9">
      <c r="B3437" s="3299" t="s">
        <v>82</v>
      </c>
      <c r="C3437" s="3063"/>
      <c r="D3437" s="3064"/>
      <c r="E3437" s="3064"/>
      <c r="F3437" s="3064"/>
      <c r="G3437" s="3300" t="s">
        <v>82</v>
      </c>
      <c r="H3437" s="3063"/>
      <c r="I3437" s="3030"/>
    </row>
    <row r="3438" spans="2:9" ht="25.5">
      <c r="B3438" s="3192" t="s">
        <v>675</v>
      </c>
      <c r="C3438" s="3063"/>
      <c r="D3438" s="3064"/>
      <c r="E3438" s="3064"/>
      <c r="F3438" s="3064"/>
      <c r="G3438" s="3301" t="s">
        <v>675</v>
      </c>
      <c r="H3438" s="3063"/>
      <c r="I3438" s="3030"/>
    </row>
    <row r="3439" spans="2:9" ht="25.5">
      <c r="B3439" s="3192" t="s">
        <v>676</v>
      </c>
      <c r="C3439" s="3063"/>
      <c r="D3439" s="3064"/>
      <c r="E3439" s="3064"/>
      <c r="F3439" s="3064"/>
      <c r="G3439" s="3301" t="s">
        <v>676</v>
      </c>
      <c r="H3439" s="3063"/>
      <c r="I3439" s="3030"/>
    </row>
    <row r="3440" spans="2:9">
      <c r="B3440" s="3192" t="s">
        <v>677</v>
      </c>
      <c r="C3440" s="3063"/>
      <c r="D3440" s="3064"/>
      <c r="E3440" s="3064"/>
      <c r="F3440" s="3064"/>
      <c r="G3440" s="3301" t="s">
        <v>677</v>
      </c>
      <c r="H3440" s="3063"/>
      <c r="I3440" s="3030"/>
    </row>
    <row r="3441" spans="2:9">
      <c r="B3441" s="3192" t="s">
        <v>678</v>
      </c>
      <c r="C3441" s="3063"/>
      <c r="D3441" s="3064"/>
      <c r="E3441" s="3064"/>
      <c r="F3441" s="3064"/>
      <c r="G3441" s="3301" t="s">
        <v>678</v>
      </c>
      <c r="H3441" s="3063"/>
      <c r="I3441" s="3030"/>
    </row>
    <row r="3442" spans="2:9">
      <c r="B3442" s="3192" t="s">
        <v>679</v>
      </c>
      <c r="C3442" s="3063"/>
      <c r="D3442" s="3064"/>
      <c r="E3442" s="3064"/>
      <c r="F3442" s="3064"/>
      <c r="G3442" s="3301" t="s">
        <v>679</v>
      </c>
      <c r="H3442" s="3063"/>
      <c r="I3442" s="3030"/>
    </row>
    <row r="3443" spans="2:9" ht="25.5">
      <c r="B3443" s="3192" t="s">
        <v>720</v>
      </c>
      <c r="C3443" s="3063"/>
      <c r="D3443" s="3064"/>
      <c r="E3443" s="3064"/>
      <c r="F3443" s="3064"/>
      <c r="G3443" s="3301" t="s">
        <v>720</v>
      </c>
      <c r="H3443" s="3063"/>
      <c r="I3443" s="3030"/>
    </row>
    <row r="3444" spans="2:9" ht="38.25">
      <c r="B3444" s="3299" t="s">
        <v>680</v>
      </c>
      <c r="C3444" s="3063"/>
      <c r="D3444" s="3064"/>
      <c r="E3444" s="3064"/>
      <c r="F3444" s="3064"/>
      <c r="G3444" s="3300" t="s">
        <v>680</v>
      </c>
      <c r="H3444" s="3063"/>
      <c r="I3444" s="3030"/>
    </row>
    <row r="3445" spans="2:9" ht="25.5">
      <c r="B3445" s="3192" t="s">
        <v>675</v>
      </c>
      <c r="C3445" s="3063"/>
      <c r="D3445" s="3064"/>
      <c r="E3445" s="3064"/>
      <c r="F3445" s="3064"/>
      <c r="G3445" s="3301" t="s">
        <v>675</v>
      </c>
      <c r="H3445" s="3063"/>
      <c r="I3445" s="3030"/>
    </row>
    <row r="3446" spans="2:9" ht="25.5">
      <c r="B3446" s="3192" t="s">
        <v>676</v>
      </c>
      <c r="C3446" s="3063"/>
      <c r="D3446" s="3064"/>
      <c r="E3446" s="3064"/>
      <c r="F3446" s="3064"/>
      <c r="G3446" s="3301" t="s">
        <v>676</v>
      </c>
      <c r="H3446" s="3063"/>
      <c r="I3446" s="3030"/>
    </row>
    <row r="3447" spans="2:9">
      <c r="B3447" s="3192" t="s">
        <v>677</v>
      </c>
      <c r="C3447" s="3063"/>
      <c r="D3447" s="3064"/>
      <c r="E3447" s="3064"/>
      <c r="F3447" s="3064"/>
      <c r="G3447" s="3301" t="s">
        <v>677</v>
      </c>
      <c r="H3447" s="3063"/>
      <c r="I3447" s="3030"/>
    </row>
    <row r="3448" spans="2:9">
      <c r="B3448" s="3192" t="s">
        <v>678</v>
      </c>
      <c r="C3448" s="3063"/>
      <c r="D3448" s="3064"/>
      <c r="E3448" s="3064"/>
      <c r="F3448" s="3064"/>
      <c r="G3448" s="3301" t="s">
        <v>678</v>
      </c>
      <c r="H3448" s="3063"/>
      <c r="I3448" s="3030"/>
    </row>
    <row r="3449" spans="2:9">
      <c r="B3449" s="3192" t="s">
        <v>679</v>
      </c>
      <c r="C3449" s="3063"/>
      <c r="D3449" s="3064"/>
      <c r="E3449" s="3064"/>
      <c r="F3449" s="3064"/>
      <c r="G3449" s="3301" t="s">
        <v>679</v>
      </c>
      <c r="H3449" s="3063"/>
      <c r="I3449" s="3030"/>
    </row>
    <row r="3450" spans="2:9" ht="25.5">
      <c r="B3450" s="3192" t="s">
        <v>720</v>
      </c>
      <c r="C3450" s="3063"/>
      <c r="D3450" s="3064"/>
      <c r="E3450" s="3064"/>
      <c r="F3450" s="3064"/>
      <c r="G3450" s="3301" t="s">
        <v>720</v>
      </c>
      <c r="H3450" s="3063"/>
      <c r="I3450" s="3030"/>
    </row>
    <row r="3451" spans="2:9" ht="38.25">
      <c r="B3451" s="3299" t="s">
        <v>681</v>
      </c>
      <c r="C3451" s="3063"/>
      <c r="D3451" s="3064"/>
      <c r="E3451" s="3064"/>
      <c r="F3451" s="3064">
        <v>1</v>
      </c>
      <c r="G3451" s="3300" t="s">
        <v>681</v>
      </c>
      <c r="H3451" s="3063"/>
      <c r="I3451" s="3030"/>
    </row>
    <row r="3452" spans="2:9" ht="25.5">
      <c r="B3452" s="3192" t="s">
        <v>675</v>
      </c>
      <c r="C3452" s="3063"/>
      <c r="D3452" s="3064"/>
      <c r="E3452" s="3064"/>
      <c r="F3452" s="3064"/>
      <c r="G3452" s="3301" t="s">
        <v>675</v>
      </c>
      <c r="H3452" s="3063"/>
      <c r="I3452" s="3030"/>
    </row>
    <row r="3453" spans="2:9" ht="25.5">
      <c r="B3453" s="3192" t="s">
        <v>676</v>
      </c>
      <c r="C3453" s="3063"/>
      <c r="D3453" s="3064"/>
      <c r="E3453" s="3064"/>
      <c r="F3453" s="3064"/>
      <c r="G3453" s="3301" t="s">
        <v>676</v>
      </c>
      <c r="H3453" s="3063"/>
      <c r="I3453" s="3030"/>
    </row>
    <row r="3454" spans="2:9">
      <c r="B3454" s="3192" t="s">
        <v>677</v>
      </c>
      <c r="C3454" s="3063"/>
      <c r="D3454" s="3064"/>
      <c r="E3454" s="3064"/>
      <c r="F3454" s="3064"/>
      <c r="G3454" s="3301" t="s">
        <v>677</v>
      </c>
      <c r="H3454" s="3063"/>
      <c r="I3454" s="3030"/>
    </row>
    <row r="3455" spans="2:9">
      <c r="B3455" s="3192" t="s">
        <v>678</v>
      </c>
      <c r="C3455" s="3063"/>
      <c r="D3455" s="3064"/>
      <c r="E3455" s="3064"/>
      <c r="F3455" s="3064"/>
      <c r="G3455" s="3301" t="s">
        <v>678</v>
      </c>
      <c r="H3455" s="3063"/>
      <c r="I3455" s="3030"/>
    </row>
    <row r="3456" spans="2:9">
      <c r="B3456" s="3192" t="s">
        <v>679</v>
      </c>
      <c r="C3456" s="3063"/>
      <c r="D3456" s="3064"/>
      <c r="E3456" s="3064"/>
      <c r="F3456" s="3064"/>
      <c r="G3456" s="3301" t="s">
        <v>679</v>
      </c>
      <c r="H3456" s="3063"/>
      <c r="I3456" s="3030"/>
    </row>
    <row r="3457" spans="2:9" ht="25.5">
      <c r="B3457" s="3192" t="s">
        <v>720</v>
      </c>
      <c r="C3457" s="3063"/>
      <c r="D3457" s="3064"/>
      <c r="E3457" s="3064"/>
      <c r="F3457" s="3064"/>
      <c r="G3457" s="3301" t="s">
        <v>720</v>
      </c>
      <c r="H3457" s="3063"/>
      <c r="I3457" s="3030"/>
    </row>
    <row r="3458" spans="2:9" ht="25.5">
      <c r="B3458" s="3299" t="s">
        <v>682</v>
      </c>
      <c r="C3458" s="3063"/>
      <c r="D3458" s="3064"/>
      <c r="E3458" s="3064"/>
      <c r="F3458" s="3064"/>
      <c r="G3458" s="3300" t="s">
        <v>682</v>
      </c>
      <c r="H3458" s="3063"/>
      <c r="I3458" s="3030"/>
    </row>
    <row r="3459" spans="2:9" ht="25.5">
      <c r="B3459" s="3192" t="s">
        <v>675</v>
      </c>
      <c r="C3459" s="3063"/>
      <c r="D3459" s="3064"/>
      <c r="E3459" s="3064"/>
      <c r="F3459" s="3064"/>
      <c r="G3459" s="3301" t="s">
        <v>675</v>
      </c>
      <c r="H3459" s="3063"/>
      <c r="I3459" s="3030"/>
    </row>
    <row r="3460" spans="2:9" ht="25.5">
      <c r="B3460" s="3192" t="s">
        <v>676</v>
      </c>
      <c r="C3460" s="3063"/>
      <c r="D3460" s="3064"/>
      <c r="E3460" s="3064"/>
      <c r="F3460" s="3064"/>
      <c r="G3460" s="3301" t="s">
        <v>676</v>
      </c>
      <c r="H3460" s="3063"/>
      <c r="I3460" s="3030"/>
    </row>
    <row r="3461" spans="2:9">
      <c r="B3461" s="3192" t="s">
        <v>677</v>
      </c>
      <c r="C3461" s="3063"/>
      <c r="D3461" s="3064"/>
      <c r="E3461" s="3064"/>
      <c r="F3461" s="3064"/>
      <c r="G3461" s="3301" t="s">
        <v>677</v>
      </c>
      <c r="H3461" s="3063"/>
      <c r="I3461" s="3030"/>
    </row>
    <row r="3462" spans="2:9">
      <c r="B3462" s="3192" t="s">
        <v>678</v>
      </c>
      <c r="C3462" s="3063"/>
      <c r="D3462" s="3064"/>
      <c r="E3462" s="3064"/>
      <c r="F3462" s="3064"/>
      <c r="G3462" s="3301" t="s">
        <v>678</v>
      </c>
      <c r="H3462" s="3063"/>
      <c r="I3462" s="3030"/>
    </row>
    <row r="3463" spans="2:9">
      <c r="B3463" s="3192" t="s">
        <v>679</v>
      </c>
      <c r="C3463" s="3063"/>
      <c r="D3463" s="3064"/>
      <c r="E3463" s="3064"/>
      <c r="F3463" s="3064"/>
      <c r="G3463" s="3301" t="s">
        <v>679</v>
      </c>
      <c r="H3463" s="3063"/>
      <c r="I3463" s="3030"/>
    </row>
    <row r="3464" spans="2:9" ht="25.5">
      <c r="B3464" s="3192" t="s">
        <v>720</v>
      </c>
      <c r="C3464" s="3063"/>
      <c r="D3464" s="3064"/>
      <c r="E3464" s="3064"/>
      <c r="F3464" s="3064"/>
      <c r="G3464" s="3301" t="s">
        <v>720</v>
      </c>
      <c r="H3464" s="3063"/>
      <c r="I3464" s="3030"/>
    </row>
    <row r="3465" spans="2:9" ht="25.5">
      <c r="B3465" s="3299" t="s">
        <v>66</v>
      </c>
      <c r="C3465" s="3063"/>
      <c r="D3465" s="3064"/>
      <c r="E3465" s="3064"/>
      <c r="F3465" s="3064"/>
      <c r="G3465" s="3300" t="s">
        <v>66</v>
      </c>
      <c r="H3465" s="3063"/>
      <c r="I3465" s="3030"/>
    </row>
    <row r="3466" spans="2:9" ht="25.5">
      <c r="B3466" s="3192" t="s">
        <v>675</v>
      </c>
      <c r="C3466" s="3063"/>
      <c r="D3466" s="3064"/>
      <c r="E3466" s="3064"/>
      <c r="F3466" s="3064"/>
      <c r="G3466" s="3301" t="s">
        <v>675</v>
      </c>
      <c r="H3466" s="3063"/>
      <c r="I3466" s="3030"/>
    </row>
    <row r="3467" spans="2:9" ht="25.5">
      <c r="B3467" s="3192" t="s">
        <v>676</v>
      </c>
      <c r="C3467" s="3063"/>
      <c r="D3467" s="3064"/>
      <c r="E3467" s="3064"/>
      <c r="F3467" s="3064"/>
      <c r="G3467" s="3301" t="s">
        <v>676</v>
      </c>
      <c r="H3467" s="3063"/>
      <c r="I3467" s="3030"/>
    </row>
    <row r="3468" spans="2:9">
      <c r="B3468" s="3192" t="s">
        <v>677</v>
      </c>
      <c r="C3468" s="3063"/>
      <c r="D3468" s="3064"/>
      <c r="E3468" s="3064"/>
      <c r="F3468" s="3064"/>
      <c r="G3468" s="3301" t="s">
        <v>677</v>
      </c>
      <c r="H3468" s="3063"/>
      <c r="I3468" s="3030"/>
    </row>
    <row r="3469" spans="2:9">
      <c r="B3469" s="3192" t="s">
        <v>678</v>
      </c>
      <c r="C3469" s="3063"/>
      <c r="D3469" s="3064"/>
      <c r="E3469" s="3064"/>
      <c r="F3469" s="3064"/>
      <c r="G3469" s="3301" t="s">
        <v>678</v>
      </c>
      <c r="H3469" s="3063"/>
      <c r="I3469" s="3030"/>
    </row>
    <row r="3470" spans="2:9">
      <c r="B3470" s="3192" t="s">
        <v>679</v>
      </c>
      <c r="C3470" s="3063"/>
      <c r="D3470" s="3064"/>
      <c r="E3470" s="3064"/>
      <c r="F3470" s="3064"/>
      <c r="G3470" s="3301" t="s">
        <v>679</v>
      </c>
      <c r="H3470" s="3063"/>
      <c r="I3470" s="3030"/>
    </row>
    <row r="3471" spans="2:9" ht="25.5">
      <c r="B3471" s="3192" t="s">
        <v>720</v>
      </c>
      <c r="C3471" s="3063"/>
      <c r="D3471" s="3064"/>
      <c r="E3471" s="3064"/>
      <c r="F3471" s="3064"/>
      <c r="G3471" s="3301" t="s">
        <v>720</v>
      </c>
      <c r="H3471" s="3063"/>
      <c r="I3471" s="3030"/>
    </row>
    <row r="3472" spans="2:9">
      <c r="B3472" s="3299" t="s">
        <v>67</v>
      </c>
      <c r="C3472" s="3063"/>
      <c r="D3472" s="3064"/>
      <c r="E3472" s="3064"/>
      <c r="F3472" s="3064"/>
      <c r="G3472" s="3300" t="s">
        <v>67</v>
      </c>
      <c r="H3472" s="3063">
        <v>1.558231096059751E-2</v>
      </c>
      <c r="I3472" s="3030"/>
    </row>
    <row r="3473" spans="2:9" ht="25.5">
      <c r="B3473" s="3192" t="s">
        <v>675</v>
      </c>
      <c r="C3473" s="3063">
        <v>1</v>
      </c>
      <c r="D3473" s="3064"/>
      <c r="E3473" s="3064"/>
      <c r="F3473" s="3064"/>
      <c r="G3473" s="3301" t="s">
        <v>675</v>
      </c>
      <c r="H3473" s="3063"/>
      <c r="I3473" s="3030">
        <v>1.558231096059751E-2</v>
      </c>
    </row>
    <row r="3474" spans="2:9" ht="25.5">
      <c r="B3474" s="3192" t="s">
        <v>676</v>
      </c>
      <c r="C3474" s="3063"/>
      <c r="D3474" s="3064"/>
      <c r="E3474" s="3064"/>
      <c r="F3474" s="3064"/>
      <c r="G3474" s="3301" t="s">
        <v>676</v>
      </c>
      <c r="H3474" s="3063"/>
      <c r="I3474" s="3030"/>
    </row>
    <row r="3475" spans="2:9">
      <c r="B3475" s="3192" t="s">
        <v>677</v>
      </c>
      <c r="C3475" s="3063"/>
      <c r="D3475" s="3064"/>
      <c r="E3475" s="3064"/>
      <c r="F3475" s="3064"/>
      <c r="G3475" s="3301" t="s">
        <v>677</v>
      </c>
      <c r="H3475" s="3063"/>
      <c r="I3475" s="3030"/>
    </row>
    <row r="3476" spans="2:9">
      <c r="B3476" s="3192" t="s">
        <v>678</v>
      </c>
      <c r="C3476" s="3063"/>
      <c r="D3476" s="3064"/>
      <c r="E3476" s="3064"/>
      <c r="F3476" s="3064"/>
      <c r="G3476" s="3301" t="s">
        <v>678</v>
      </c>
      <c r="H3476" s="3063"/>
      <c r="I3476" s="3030"/>
    </row>
    <row r="3477" spans="2:9">
      <c r="B3477" s="3192" t="s">
        <v>679</v>
      </c>
      <c r="C3477" s="3063"/>
      <c r="D3477" s="3064"/>
      <c r="E3477" s="3064"/>
      <c r="F3477" s="3064"/>
      <c r="G3477" s="3301" t="s">
        <v>679</v>
      </c>
      <c r="H3477" s="3063"/>
      <c r="I3477" s="3030"/>
    </row>
    <row r="3478" spans="2:9" ht="25.5">
      <c r="B3478" s="3230" t="s">
        <v>81</v>
      </c>
      <c r="C3478" s="3063"/>
      <c r="D3478" s="3064"/>
      <c r="E3478" s="3064"/>
      <c r="F3478" s="3064"/>
      <c r="G3478" s="3302" t="s">
        <v>81</v>
      </c>
      <c r="H3478" s="3063"/>
      <c r="I3478" s="3030"/>
    </row>
    <row r="3479" spans="2:9" ht="26.25" thickBot="1">
      <c r="B3479" s="3303" t="s">
        <v>81</v>
      </c>
      <c r="C3479" s="3068"/>
      <c r="D3479" s="3069"/>
      <c r="E3479" s="3069"/>
      <c r="F3479" s="3069"/>
      <c r="G3479" s="3304" t="s">
        <v>81</v>
      </c>
      <c r="H3479" s="3068"/>
      <c r="I3479" s="3070"/>
    </row>
    <row r="3480" spans="2:9" ht="38.25">
      <c r="B3480" s="4723">
        <v>3021</v>
      </c>
      <c r="C3480" s="3289"/>
      <c r="D3480" s="3290"/>
      <c r="E3480" s="3290"/>
      <c r="F3480" s="3290"/>
      <c r="G3480" s="4723">
        <v>3021</v>
      </c>
      <c r="H3480" s="3291" t="s">
        <v>687</v>
      </c>
      <c r="I3480" s="3292" t="s">
        <v>688</v>
      </c>
    </row>
    <row r="3481" spans="2:9">
      <c r="B3481" s="4724"/>
      <c r="C3481" s="4678" t="s">
        <v>686</v>
      </c>
      <c r="D3481" s="4725"/>
      <c r="E3481" s="4725"/>
      <c r="F3481" s="4726"/>
      <c r="G3481" s="4724"/>
      <c r="H3481" s="3293"/>
      <c r="I3481" s="3294"/>
    </row>
    <row r="3482" spans="2:9" ht="13.5" thickBot="1">
      <c r="B3482" s="4724"/>
      <c r="C3482" s="3215">
        <v>2013</v>
      </c>
      <c r="D3482" s="3215">
        <v>2014</v>
      </c>
      <c r="E3482" s="3215">
        <v>2015</v>
      </c>
      <c r="F3482" s="3215">
        <v>2016</v>
      </c>
      <c r="G3482" s="4724"/>
      <c r="H3482" s="3295" t="s">
        <v>390</v>
      </c>
      <c r="I3482" s="3296" t="s">
        <v>390</v>
      </c>
    </row>
    <row r="3483" spans="2:9">
      <c r="B3483" s="3217" t="s">
        <v>695</v>
      </c>
      <c r="C3483" s="3218"/>
      <c r="D3483" s="3219"/>
      <c r="E3483" s="3219"/>
      <c r="F3483" s="3219"/>
      <c r="G3483" s="3217" t="s">
        <v>695</v>
      </c>
      <c r="H3483" s="3297"/>
      <c r="I3483" s="3298"/>
    </row>
    <row r="3484" spans="2:9">
      <c r="B3484" s="3299" t="s">
        <v>64</v>
      </c>
      <c r="C3484" s="3063"/>
      <c r="D3484" s="3064"/>
      <c r="E3484" s="3064"/>
      <c r="F3484" s="3064"/>
      <c r="G3484" s="3300" t="s">
        <v>64</v>
      </c>
      <c r="H3484" s="3063"/>
      <c r="I3484" s="3030"/>
    </row>
    <row r="3485" spans="2:9" ht="25.5">
      <c r="B3485" s="3192" t="s">
        <v>675</v>
      </c>
      <c r="C3485" s="3063"/>
      <c r="D3485" s="3064"/>
      <c r="E3485" s="3064"/>
      <c r="F3485" s="3064"/>
      <c r="G3485" s="3301" t="s">
        <v>675</v>
      </c>
      <c r="H3485" s="3063"/>
      <c r="I3485" s="3030"/>
    </row>
    <row r="3486" spans="2:9" ht="25.5">
      <c r="B3486" s="3192" t="s">
        <v>676</v>
      </c>
      <c r="C3486" s="3063"/>
      <c r="D3486" s="3064"/>
      <c r="E3486" s="3064"/>
      <c r="F3486" s="3064"/>
      <c r="G3486" s="3301" t="s">
        <v>676</v>
      </c>
      <c r="H3486" s="3063"/>
      <c r="I3486" s="3030"/>
    </row>
    <row r="3487" spans="2:9">
      <c r="B3487" s="3192" t="s">
        <v>677</v>
      </c>
      <c r="C3487" s="3063"/>
      <c r="D3487" s="3064"/>
      <c r="E3487" s="3064"/>
      <c r="F3487" s="3064"/>
      <c r="G3487" s="3301" t="s">
        <v>677</v>
      </c>
      <c r="H3487" s="3063"/>
      <c r="I3487" s="3030"/>
    </row>
    <row r="3488" spans="2:9">
      <c r="B3488" s="3192" t="s">
        <v>678</v>
      </c>
      <c r="C3488" s="3063"/>
      <c r="D3488" s="3064"/>
      <c r="E3488" s="3064"/>
      <c r="F3488" s="3064"/>
      <c r="G3488" s="3301" t="s">
        <v>678</v>
      </c>
      <c r="H3488" s="3063"/>
      <c r="I3488" s="3030"/>
    </row>
    <row r="3489" spans="2:9">
      <c r="B3489" s="3192" t="s">
        <v>679</v>
      </c>
      <c r="C3489" s="3063"/>
      <c r="D3489" s="3064"/>
      <c r="E3489" s="3064"/>
      <c r="F3489" s="3064"/>
      <c r="G3489" s="3301" t="s">
        <v>679</v>
      </c>
      <c r="H3489" s="3063"/>
      <c r="I3489" s="3030"/>
    </row>
    <row r="3490" spans="2:9" ht="25.5">
      <c r="B3490" s="3192" t="s">
        <v>720</v>
      </c>
      <c r="C3490" s="3063"/>
      <c r="D3490" s="3064"/>
      <c r="E3490" s="3064"/>
      <c r="F3490" s="3064"/>
      <c r="G3490" s="3301" t="s">
        <v>720</v>
      </c>
      <c r="H3490" s="3063"/>
      <c r="I3490" s="3030"/>
    </row>
    <row r="3491" spans="2:9">
      <c r="B3491" s="3299" t="s">
        <v>65</v>
      </c>
      <c r="C3491" s="3063"/>
      <c r="D3491" s="3064"/>
      <c r="E3491" s="3064"/>
      <c r="F3491" s="3064"/>
      <c r="G3491" s="3300" t="s">
        <v>65</v>
      </c>
      <c r="H3491" s="3063"/>
      <c r="I3491" s="3030"/>
    </row>
    <row r="3492" spans="2:9" ht="25.5">
      <c r="B3492" s="3192" t="s">
        <v>675</v>
      </c>
      <c r="C3492" s="3063"/>
      <c r="D3492" s="3064"/>
      <c r="E3492" s="3064"/>
      <c r="F3492" s="3064"/>
      <c r="G3492" s="3301" t="s">
        <v>675</v>
      </c>
      <c r="H3492" s="3063"/>
      <c r="I3492" s="3030"/>
    </row>
    <row r="3493" spans="2:9" ht="25.5">
      <c r="B3493" s="3192" t="s">
        <v>676</v>
      </c>
      <c r="C3493" s="3063"/>
      <c r="D3493" s="3064"/>
      <c r="E3493" s="3064"/>
      <c r="F3493" s="3064"/>
      <c r="G3493" s="3301" t="s">
        <v>676</v>
      </c>
      <c r="H3493" s="3063"/>
      <c r="I3493" s="3030"/>
    </row>
    <row r="3494" spans="2:9">
      <c r="B3494" s="3192" t="s">
        <v>677</v>
      </c>
      <c r="C3494" s="3063"/>
      <c r="D3494" s="3064"/>
      <c r="E3494" s="3064"/>
      <c r="F3494" s="3064"/>
      <c r="G3494" s="3301" t="s">
        <v>677</v>
      </c>
      <c r="H3494" s="3063"/>
      <c r="I3494" s="3030"/>
    </row>
    <row r="3495" spans="2:9">
      <c r="B3495" s="3192" t="s">
        <v>678</v>
      </c>
      <c r="C3495" s="3063"/>
      <c r="D3495" s="3064"/>
      <c r="E3495" s="3064"/>
      <c r="F3495" s="3064"/>
      <c r="G3495" s="3301" t="s">
        <v>678</v>
      </c>
      <c r="H3495" s="3063"/>
      <c r="I3495" s="3030"/>
    </row>
    <row r="3496" spans="2:9">
      <c r="B3496" s="3192" t="s">
        <v>679</v>
      </c>
      <c r="C3496" s="3063"/>
      <c r="D3496" s="3064"/>
      <c r="E3496" s="3064"/>
      <c r="F3496" s="3064"/>
      <c r="G3496" s="3301" t="s">
        <v>679</v>
      </c>
      <c r="H3496" s="3063"/>
      <c r="I3496" s="3030"/>
    </row>
    <row r="3497" spans="2:9" ht="25.5">
      <c r="B3497" s="3192" t="s">
        <v>720</v>
      </c>
      <c r="C3497" s="3063"/>
      <c r="D3497" s="3064"/>
      <c r="E3497" s="3064"/>
      <c r="F3497" s="3064"/>
      <c r="G3497" s="3301" t="s">
        <v>720</v>
      </c>
      <c r="H3497" s="3063"/>
      <c r="I3497" s="3030"/>
    </row>
    <row r="3498" spans="2:9">
      <c r="B3498" s="3299" t="s">
        <v>82</v>
      </c>
      <c r="C3498" s="3063"/>
      <c r="D3498" s="3064"/>
      <c r="E3498" s="3064"/>
      <c r="F3498" s="3064"/>
      <c r="G3498" s="3300" t="s">
        <v>82</v>
      </c>
      <c r="H3498" s="3063"/>
      <c r="I3498" s="3030"/>
    </row>
    <row r="3499" spans="2:9" ht="25.5">
      <c r="B3499" s="3192" t="s">
        <v>675</v>
      </c>
      <c r="C3499" s="3063"/>
      <c r="D3499" s="3064"/>
      <c r="E3499" s="3064"/>
      <c r="F3499" s="3064"/>
      <c r="G3499" s="3301" t="s">
        <v>675</v>
      </c>
      <c r="H3499" s="3063"/>
      <c r="I3499" s="3030"/>
    </row>
    <row r="3500" spans="2:9" ht="25.5">
      <c r="B3500" s="3192" t="s">
        <v>676</v>
      </c>
      <c r="C3500" s="3063"/>
      <c r="D3500" s="3064"/>
      <c r="E3500" s="3064"/>
      <c r="F3500" s="3064"/>
      <c r="G3500" s="3301" t="s">
        <v>676</v>
      </c>
      <c r="H3500" s="3063"/>
      <c r="I3500" s="3030"/>
    </row>
    <row r="3501" spans="2:9">
      <c r="B3501" s="3192" t="s">
        <v>677</v>
      </c>
      <c r="C3501" s="3063"/>
      <c r="D3501" s="3064"/>
      <c r="E3501" s="3064"/>
      <c r="F3501" s="3064"/>
      <c r="G3501" s="3301" t="s">
        <v>677</v>
      </c>
      <c r="H3501" s="3063"/>
      <c r="I3501" s="3030"/>
    </row>
    <row r="3502" spans="2:9">
      <c r="B3502" s="3192" t="s">
        <v>678</v>
      </c>
      <c r="C3502" s="3063"/>
      <c r="D3502" s="3064"/>
      <c r="E3502" s="3064"/>
      <c r="F3502" s="3064"/>
      <c r="G3502" s="3301" t="s">
        <v>678</v>
      </c>
      <c r="H3502" s="3063"/>
      <c r="I3502" s="3030"/>
    </row>
    <row r="3503" spans="2:9">
      <c r="B3503" s="3192" t="s">
        <v>679</v>
      </c>
      <c r="C3503" s="3063"/>
      <c r="D3503" s="3064"/>
      <c r="E3503" s="3064"/>
      <c r="F3503" s="3064"/>
      <c r="G3503" s="3301" t="s">
        <v>679</v>
      </c>
      <c r="H3503" s="3063"/>
      <c r="I3503" s="3030"/>
    </row>
    <row r="3504" spans="2:9" ht="25.5">
      <c r="B3504" s="3192" t="s">
        <v>720</v>
      </c>
      <c r="C3504" s="3063"/>
      <c r="D3504" s="3064"/>
      <c r="E3504" s="3064"/>
      <c r="F3504" s="3064"/>
      <c r="G3504" s="3301" t="s">
        <v>720</v>
      </c>
      <c r="H3504" s="3063"/>
      <c r="I3504" s="3030"/>
    </row>
    <row r="3505" spans="2:9" ht="38.25">
      <c r="B3505" s="3299" t="s">
        <v>680</v>
      </c>
      <c r="C3505" s="3063"/>
      <c r="D3505" s="3064"/>
      <c r="E3505" s="3064"/>
      <c r="F3505" s="3064"/>
      <c r="G3505" s="3300" t="s">
        <v>680</v>
      </c>
      <c r="H3505" s="3063"/>
      <c r="I3505" s="3030"/>
    </row>
    <row r="3506" spans="2:9" ht="25.5">
      <c r="B3506" s="3192" t="s">
        <v>675</v>
      </c>
      <c r="C3506" s="3063"/>
      <c r="D3506" s="3064"/>
      <c r="E3506" s="3064"/>
      <c r="F3506" s="3064"/>
      <c r="G3506" s="3301" t="s">
        <v>675</v>
      </c>
      <c r="H3506" s="3063"/>
      <c r="I3506" s="3030"/>
    </row>
    <row r="3507" spans="2:9" ht="25.5">
      <c r="B3507" s="3192" t="s">
        <v>676</v>
      </c>
      <c r="C3507" s="3063"/>
      <c r="D3507" s="3064"/>
      <c r="E3507" s="3064"/>
      <c r="F3507" s="3064"/>
      <c r="G3507" s="3301" t="s">
        <v>676</v>
      </c>
      <c r="H3507" s="3063"/>
      <c r="I3507" s="3030"/>
    </row>
    <row r="3508" spans="2:9">
      <c r="B3508" s="3192" t="s">
        <v>677</v>
      </c>
      <c r="C3508" s="3063"/>
      <c r="D3508" s="3064"/>
      <c r="E3508" s="3064"/>
      <c r="F3508" s="3064"/>
      <c r="G3508" s="3301" t="s">
        <v>677</v>
      </c>
      <c r="H3508" s="3063"/>
      <c r="I3508" s="3030"/>
    </row>
    <row r="3509" spans="2:9">
      <c r="B3509" s="3192" t="s">
        <v>678</v>
      </c>
      <c r="C3509" s="3063"/>
      <c r="D3509" s="3064"/>
      <c r="E3509" s="3064"/>
      <c r="F3509" s="3064"/>
      <c r="G3509" s="3301" t="s">
        <v>678</v>
      </c>
      <c r="H3509" s="3063"/>
      <c r="I3509" s="3030"/>
    </row>
    <row r="3510" spans="2:9">
      <c r="B3510" s="3192" t="s">
        <v>679</v>
      </c>
      <c r="C3510" s="3063"/>
      <c r="D3510" s="3064"/>
      <c r="E3510" s="3064"/>
      <c r="F3510" s="3064"/>
      <c r="G3510" s="3301" t="s">
        <v>679</v>
      </c>
      <c r="H3510" s="3063"/>
      <c r="I3510" s="3030"/>
    </row>
    <row r="3511" spans="2:9" ht="25.5">
      <c r="B3511" s="3192" t="s">
        <v>720</v>
      </c>
      <c r="C3511" s="3063"/>
      <c r="D3511" s="3064"/>
      <c r="E3511" s="3064"/>
      <c r="F3511" s="3064"/>
      <c r="G3511" s="3301" t="s">
        <v>720</v>
      </c>
      <c r="H3511" s="3063"/>
      <c r="I3511" s="3030"/>
    </row>
    <row r="3512" spans="2:9" ht="38.25">
      <c r="B3512" s="3299" t="s">
        <v>681</v>
      </c>
      <c r="C3512" s="3063"/>
      <c r="D3512" s="3064"/>
      <c r="E3512" s="3064"/>
      <c r="F3512" s="3064"/>
      <c r="G3512" s="3300" t="s">
        <v>681</v>
      </c>
      <c r="H3512" s="3063"/>
      <c r="I3512" s="3030"/>
    </row>
    <row r="3513" spans="2:9" ht="25.5">
      <c r="B3513" s="3192" t="s">
        <v>675</v>
      </c>
      <c r="C3513" s="3063"/>
      <c r="D3513" s="3064"/>
      <c r="E3513" s="3064"/>
      <c r="F3513" s="3064"/>
      <c r="G3513" s="3301" t="s">
        <v>675</v>
      </c>
      <c r="H3513" s="3063"/>
      <c r="I3513" s="3030"/>
    </row>
    <row r="3514" spans="2:9" ht="25.5">
      <c r="B3514" s="3192" t="s">
        <v>676</v>
      </c>
      <c r="C3514" s="3063"/>
      <c r="D3514" s="3064"/>
      <c r="E3514" s="3064"/>
      <c r="F3514" s="3064"/>
      <c r="G3514" s="3301" t="s">
        <v>676</v>
      </c>
      <c r="H3514" s="3063"/>
      <c r="I3514" s="3030"/>
    </row>
    <row r="3515" spans="2:9">
      <c r="B3515" s="3192" t="s">
        <v>677</v>
      </c>
      <c r="C3515" s="3063"/>
      <c r="D3515" s="3064"/>
      <c r="E3515" s="3064"/>
      <c r="F3515" s="3064"/>
      <c r="G3515" s="3301" t="s">
        <v>677</v>
      </c>
      <c r="H3515" s="3063"/>
      <c r="I3515" s="3030"/>
    </row>
    <row r="3516" spans="2:9">
      <c r="B3516" s="3192" t="s">
        <v>678</v>
      </c>
      <c r="C3516" s="3063"/>
      <c r="D3516" s="3064"/>
      <c r="E3516" s="3064"/>
      <c r="F3516" s="3064"/>
      <c r="G3516" s="3301" t="s">
        <v>678</v>
      </c>
      <c r="H3516" s="3063"/>
      <c r="I3516" s="3030"/>
    </row>
    <row r="3517" spans="2:9">
      <c r="B3517" s="3192" t="s">
        <v>679</v>
      </c>
      <c r="C3517" s="3063"/>
      <c r="D3517" s="3064"/>
      <c r="E3517" s="3064"/>
      <c r="F3517" s="3064"/>
      <c r="G3517" s="3301" t="s">
        <v>679</v>
      </c>
      <c r="H3517" s="3063"/>
      <c r="I3517" s="3030"/>
    </row>
    <row r="3518" spans="2:9" ht="25.5">
      <c r="B3518" s="3192" t="s">
        <v>720</v>
      </c>
      <c r="C3518" s="3063"/>
      <c r="D3518" s="3064"/>
      <c r="E3518" s="3064"/>
      <c r="F3518" s="3064"/>
      <c r="G3518" s="3301" t="s">
        <v>720</v>
      </c>
      <c r="H3518" s="3063"/>
      <c r="I3518" s="3030"/>
    </row>
    <row r="3519" spans="2:9" ht="25.5">
      <c r="B3519" s="3299" t="s">
        <v>682</v>
      </c>
      <c r="C3519" s="3063"/>
      <c r="D3519" s="3064"/>
      <c r="E3519" s="3064"/>
      <c r="F3519" s="3064"/>
      <c r="G3519" s="3300" t="s">
        <v>682</v>
      </c>
      <c r="H3519" s="3063"/>
      <c r="I3519" s="3030"/>
    </row>
    <row r="3520" spans="2:9" ht="25.5">
      <c r="B3520" s="3192" t="s">
        <v>675</v>
      </c>
      <c r="C3520" s="3063"/>
      <c r="D3520" s="3064"/>
      <c r="E3520" s="3064"/>
      <c r="F3520" s="3064"/>
      <c r="G3520" s="3301" t="s">
        <v>675</v>
      </c>
      <c r="H3520" s="3063"/>
      <c r="I3520" s="3030"/>
    </row>
    <row r="3521" spans="2:9" ht="25.5">
      <c r="B3521" s="3192" t="s">
        <v>676</v>
      </c>
      <c r="C3521" s="3063"/>
      <c r="D3521" s="3064"/>
      <c r="E3521" s="3064"/>
      <c r="F3521" s="3064"/>
      <c r="G3521" s="3301" t="s">
        <v>676</v>
      </c>
      <c r="H3521" s="3063"/>
      <c r="I3521" s="3030"/>
    </row>
    <row r="3522" spans="2:9">
      <c r="B3522" s="3192" t="s">
        <v>677</v>
      </c>
      <c r="C3522" s="3063"/>
      <c r="D3522" s="3064"/>
      <c r="E3522" s="3064"/>
      <c r="F3522" s="3064"/>
      <c r="G3522" s="3301" t="s">
        <v>677</v>
      </c>
      <c r="H3522" s="3063"/>
      <c r="I3522" s="3030"/>
    </row>
    <row r="3523" spans="2:9">
      <c r="B3523" s="3192" t="s">
        <v>678</v>
      </c>
      <c r="C3523" s="3063"/>
      <c r="D3523" s="3064"/>
      <c r="E3523" s="3064"/>
      <c r="F3523" s="3064"/>
      <c r="G3523" s="3301" t="s">
        <v>678</v>
      </c>
      <c r="H3523" s="3063"/>
      <c r="I3523" s="3030"/>
    </row>
    <row r="3524" spans="2:9">
      <c r="B3524" s="3192" t="s">
        <v>679</v>
      </c>
      <c r="C3524" s="3063"/>
      <c r="D3524" s="3064"/>
      <c r="E3524" s="3064"/>
      <c r="F3524" s="3064"/>
      <c r="G3524" s="3301" t="s">
        <v>679</v>
      </c>
      <c r="H3524" s="3063"/>
      <c r="I3524" s="3030"/>
    </row>
    <row r="3525" spans="2:9" ht="25.5">
      <c r="B3525" s="3192" t="s">
        <v>720</v>
      </c>
      <c r="C3525" s="3063"/>
      <c r="D3525" s="3064"/>
      <c r="E3525" s="3064"/>
      <c r="F3525" s="3064"/>
      <c r="G3525" s="3301" t="s">
        <v>720</v>
      </c>
      <c r="H3525" s="3063"/>
      <c r="I3525" s="3030"/>
    </row>
    <row r="3526" spans="2:9" ht="25.5">
      <c r="B3526" s="3299" t="s">
        <v>66</v>
      </c>
      <c r="C3526" s="3063"/>
      <c r="D3526" s="3064"/>
      <c r="E3526" s="3064"/>
      <c r="F3526" s="3064"/>
      <c r="G3526" s="3300" t="s">
        <v>66</v>
      </c>
      <c r="H3526" s="3063"/>
      <c r="I3526" s="3030"/>
    </row>
    <row r="3527" spans="2:9" ht="25.5">
      <c r="B3527" s="3192" t="s">
        <v>675</v>
      </c>
      <c r="C3527" s="3063"/>
      <c r="D3527" s="3064"/>
      <c r="E3527" s="3064"/>
      <c r="F3527" s="3064"/>
      <c r="G3527" s="3301" t="s">
        <v>675</v>
      </c>
      <c r="H3527" s="3063"/>
      <c r="I3527" s="3030"/>
    </row>
    <row r="3528" spans="2:9" ht="25.5">
      <c r="B3528" s="3192" t="s">
        <v>676</v>
      </c>
      <c r="C3528" s="3063"/>
      <c r="D3528" s="3064"/>
      <c r="E3528" s="3064"/>
      <c r="F3528" s="3064"/>
      <c r="G3528" s="3301" t="s">
        <v>676</v>
      </c>
      <c r="H3528" s="3063"/>
      <c r="I3528" s="3030"/>
    </row>
    <row r="3529" spans="2:9">
      <c r="B3529" s="3192" t="s">
        <v>677</v>
      </c>
      <c r="C3529" s="3063"/>
      <c r="D3529" s="3064"/>
      <c r="E3529" s="3064"/>
      <c r="F3529" s="3064"/>
      <c r="G3529" s="3301" t="s">
        <v>677</v>
      </c>
      <c r="H3529" s="3063"/>
      <c r="I3529" s="3030"/>
    </row>
    <row r="3530" spans="2:9">
      <c r="B3530" s="3192" t="s">
        <v>678</v>
      </c>
      <c r="C3530" s="3063"/>
      <c r="D3530" s="3064"/>
      <c r="E3530" s="3064"/>
      <c r="F3530" s="3064"/>
      <c r="G3530" s="3301" t="s">
        <v>678</v>
      </c>
      <c r="H3530" s="3063"/>
      <c r="I3530" s="3030"/>
    </row>
    <row r="3531" spans="2:9">
      <c r="B3531" s="3192" t="s">
        <v>679</v>
      </c>
      <c r="C3531" s="3063"/>
      <c r="D3531" s="3064"/>
      <c r="E3531" s="3064"/>
      <c r="F3531" s="3064"/>
      <c r="G3531" s="3301" t="s">
        <v>679</v>
      </c>
      <c r="H3531" s="3063"/>
      <c r="I3531" s="3030"/>
    </row>
    <row r="3532" spans="2:9" ht="25.5">
      <c r="B3532" s="3192" t="s">
        <v>720</v>
      </c>
      <c r="C3532" s="3063"/>
      <c r="D3532" s="3064"/>
      <c r="E3532" s="3064"/>
      <c r="F3532" s="3064"/>
      <c r="G3532" s="3301" t="s">
        <v>720</v>
      </c>
      <c r="H3532" s="3063"/>
      <c r="I3532" s="3030"/>
    </row>
    <row r="3533" spans="2:9">
      <c r="B3533" s="3299" t="s">
        <v>67</v>
      </c>
      <c r="C3533" s="3063"/>
      <c r="D3533" s="3064"/>
      <c r="E3533" s="3064"/>
      <c r="F3533" s="3064"/>
      <c r="G3533" s="3300" t="s">
        <v>67</v>
      </c>
      <c r="H3533" s="3063"/>
      <c r="I3533" s="3030"/>
    </row>
    <row r="3534" spans="2:9" ht="25.5">
      <c r="B3534" s="3192" t="s">
        <v>675</v>
      </c>
      <c r="C3534" s="3063"/>
      <c r="D3534" s="3064"/>
      <c r="E3534" s="3064"/>
      <c r="F3534" s="3064"/>
      <c r="G3534" s="3301" t="s">
        <v>675</v>
      </c>
      <c r="H3534" s="3063"/>
      <c r="I3534" s="3030"/>
    </row>
    <row r="3535" spans="2:9" ht="25.5">
      <c r="B3535" s="3192" t="s">
        <v>676</v>
      </c>
      <c r="C3535" s="3063"/>
      <c r="D3535" s="3064"/>
      <c r="E3535" s="3064"/>
      <c r="F3535" s="3064"/>
      <c r="G3535" s="3301" t="s">
        <v>676</v>
      </c>
      <c r="H3535" s="3063"/>
      <c r="I3535" s="3030"/>
    </row>
    <row r="3536" spans="2:9">
      <c r="B3536" s="3192" t="s">
        <v>677</v>
      </c>
      <c r="C3536" s="3063"/>
      <c r="D3536" s="3064"/>
      <c r="E3536" s="3064"/>
      <c r="F3536" s="3064"/>
      <c r="G3536" s="3301" t="s">
        <v>677</v>
      </c>
      <c r="H3536" s="3063"/>
      <c r="I3536" s="3030"/>
    </row>
    <row r="3537" spans="2:9">
      <c r="B3537" s="3192" t="s">
        <v>678</v>
      </c>
      <c r="C3537" s="3063"/>
      <c r="D3537" s="3064"/>
      <c r="E3537" s="3064"/>
      <c r="F3537" s="3064"/>
      <c r="G3537" s="3301" t="s">
        <v>678</v>
      </c>
      <c r="H3537" s="3063"/>
      <c r="I3537" s="3030"/>
    </row>
    <row r="3538" spans="2:9">
      <c r="B3538" s="3192" t="s">
        <v>679</v>
      </c>
      <c r="C3538" s="3063"/>
      <c r="D3538" s="3064"/>
      <c r="E3538" s="3064"/>
      <c r="F3538" s="3064"/>
      <c r="G3538" s="3301" t="s">
        <v>679</v>
      </c>
      <c r="H3538" s="3063"/>
      <c r="I3538" s="3030"/>
    </row>
    <row r="3539" spans="2:9" ht="25.5">
      <c r="B3539" s="3192" t="s">
        <v>720</v>
      </c>
      <c r="C3539" s="3063"/>
      <c r="D3539" s="3064"/>
      <c r="E3539" s="3064"/>
      <c r="F3539" s="3064"/>
      <c r="G3539" s="3301" t="s">
        <v>720</v>
      </c>
      <c r="H3539" s="3063"/>
      <c r="I3539" s="3030"/>
    </row>
    <row r="3540" spans="2:9" ht="25.5">
      <c r="B3540" s="3230" t="s">
        <v>81</v>
      </c>
      <c r="C3540" s="3063"/>
      <c r="D3540" s="3064"/>
      <c r="E3540" s="3064"/>
      <c r="F3540" s="3064"/>
      <c r="G3540" s="3302" t="s">
        <v>81</v>
      </c>
      <c r="H3540" s="3063"/>
      <c r="I3540" s="3030"/>
    </row>
    <row r="3541" spans="2:9" ht="26.25" thickBot="1">
      <c r="B3541" s="3303" t="s">
        <v>81</v>
      </c>
      <c r="C3541" s="3063"/>
      <c r="D3541" s="3064"/>
      <c r="E3541" s="3064"/>
      <c r="F3541" s="3064"/>
      <c r="G3541" s="3302" t="s">
        <v>81</v>
      </c>
      <c r="H3541" s="3063"/>
      <c r="I3541" s="3030"/>
    </row>
    <row r="3542" spans="2:9" ht="25.5">
      <c r="B3542" s="3217" t="s">
        <v>696</v>
      </c>
      <c r="C3542" s="3218"/>
      <c r="D3542" s="3219"/>
      <c r="E3542" s="3219"/>
      <c r="F3542" s="3219"/>
      <c r="G3542" s="3217" t="s">
        <v>696</v>
      </c>
      <c r="H3542" s="3297"/>
      <c r="I3542" s="3298"/>
    </row>
    <row r="3543" spans="2:9">
      <c r="B3543" s="3299" t="s">
        <v>64</v>
      </c>
      <c r="C3543" s="3063"/>
      <c r="D3543" s="3064"/>
      <c r="E3543" s="3064"/>
      <c r="F3543" s="3064"/>
      <c r="G3543" s="3300" t="s">
        <v>64</v>
      </c>
      <c r="H3543" s="3063">
        <v>1.5806111696522658</v>
      </c>
      <c r="I3543" s="3030"/>
    </row>
    <row r="3544" spans="2:9" ht="25.5">
      <c r="B3544" s="3192" t="s">
        <v>675</v>
      </c>
      <c r="C3544" s="3063">
        <v>1</v>
      </c>
      <c r="D3544" s="3064">
        <v>2</v>
      </c>
      <c r="E3544" s="3064"/>
      <c r="F3544" s="3064"/>
      <c r="G3544" s="3301" t="s">
        <v>675</v>
      </c>
      <c r="H3544" s="3063"/>
      <c r="I3544" s="3063">
        <v>1.5806111696522658</v>
      </c>
    </row>
    <row r="3545" spans="2:9" ht="25.5">
      <c r="B3545" s="3192" t="s">
        <v>676</v>
      </c>
      <c r="C3545" s="3063"/>
      <c r="D3545" s="3064"/>
      <c r="E3545" s="3064"/>
      <c r="F3545" s="3064"/>
      <c r="G3545" s="3301" t="s">
        <v>676</v>
      </c>
      <c r="H3545" s="3063"/>
      <c r="I3545" s="3030"/>
    </row>
    <row r="3546" spans="2:9">
      <c r="B3546" s="3192" t="s">
        <v>677</v>
      </c>
      <c r="C3546" s="3063"/>
      <c r="D3546" s="3064"/>
      <c r="E3546" s="3064"/>
      <c r="F3546" s="3064"/>
      <c r="G3546" s="3301" t="s">
        <v>677</v>
      </c>
      <c r="H3546" s="3063"/>
      <c r="I3546" s="3030"/>
    </row>
    <row r="3547" spans="2:9">
      <c r="B3547" s="3192" t="s">
        <v>678</v>
      </c>
      <c r="C3547" s="3063"/>
      <c r="D3547" s="3064"/>
      <c r="E3547" s="3064"/>
      <c r="F3547" s="3064"/>
      <c r="G3547" s="3301" t="s">
        <v>678</v>
      </c>
      <c r="H3547" s="3063"/>
      <c r="I3547" s="3030"/>
    </row>
    <row r="3548" spans="2:9">
      <c r="B3548" s="3192" t="s">
        <v>679</v>
      </c>
      <c r="C3548" s="3063"/>
      <c r="D3548" s="3064"/>
      <c r="E3548" s="3064"/>
      <c r="F3548" s="3064"/>
      <c r="G3548" s="3301" t="s">
        <v>679</v>
      </c>
      <c r="H3548" s="3063"/>
      <c r="I3548" s="3030"/>
    </row>
    <row r="3549" spans="2:9" ht="25.5">
      <c r="B3549" s="3192" t="s">
        <v>720</v>
      </c>
      <c r="C3549" s="3063"/>
      <c r="D3549" s="3064"/>
      <c r="E3549" s="3064"/>
      <c r="F3549" s="3064"/>
      <c r="G3549" s="3301" t="s">
        <v>720</v>
      </c>
      <c r="H3549" s="3063"/>
      <c r="I3549" s="3030"/>
    </row>
    <row r="3550" spans="2:9">
      <c r="B3550" s="3299" t="s">
        <v>65</v>
      </c>
      <c r="C3550" s="3063"/>
      <c r="D3550" s="3064"/>
      <c r="E3550" s="3064"/>
      <c r="F3550" s="3064"/>
      <c r="G3550" s="3300" t="s">
        <v>65</v>
      </c>
      <c r="H3550" s="3063"/>
      <c r="I3550" s="3030"/>
    </row>
    <row r="3551" spans="2:9" ht="25.5">
      <c r="B3551" s="3192" t="s">
        <v>675</v>
      </c>
      <c r="C3551" s="3063"/>
      <c r="D3551" s="3064"/>
      <c r="E3551" s="3064"/>
      <c r="F3551" s="3064"/>
      <c r="G3551" s="3301" t="s">
        <v>675</v>
      </c>
      <c r="H3551" s="3063"/>
      <c r="I3551" s="3030"/>
    </row>
    <row r="3552" spans="2:9" ht="25.5">
      <c r="B3552" s="3192" t="s">
        <v>676</v>
      </c>
      <c r="C3552" s="3063"/>
      <c r="D3552" s="3064"/>
      <c r="E3552" s="3064"/>
      <c r="F3552" s="3064"/>
      <c r="G3552" s="3301" t="s">
        <v>676</v>
      </c>
      <c r="H3552" s="3063"/>
      <c r="I3552" s="3030"/>
    </row>
    <row r="3553" spans="2:9">
      <c r="B3553" s="3192" t="s">
        <v>677</v>
      </c>
      <c r="C3553" s="3063"/>
      <c r="D3553" s="3064"/>
      <c r="E3553" s="3064"/>
      <c r="F3553" s="3064"/>
      <c r="G3553" s="3301" t="s">
        <v>677</v>
      </c>
      <c r="H3553" s="3063"/>
      <c r="I3553" s="3030"/>
    </row>
    <row r="3554" spans="2:9">
      <c r="B3554" s="3192" t="s">
        <v>678</v>
      </c>
      <c r="C3554" s="3063"/>
      <c r="D3554" s="3064"/>
      <c r="E3554" s="3064"/>
      <c r="F3554" s="3064"/>
      <c r="G3554" s="3301" t="s">
        <v>678</v>
      </c>
      <c r="H3554" s="3063"/>
      <c r="I3554" s="3030"/>
    </row>
    <row r="3555" spans="2:9">
      <c r="B3555" s="3192" t="s">
        <v>679</v>
      </c>
      <c r="C3555" s="3063"/>
      <c r="D3555" s="3064"/>
      <c r="E3555" s="3064"/>
      <c r="F3555" s="3064"/>
      <c r="G3555" s="3301" t="s">
        <v>679</v>
      </c>
      <c r="H3555" s="3063"/>
      <c r="I3555" s="3030"/>
    </row>
    <row r="3556" spans="2:9" ht="25.5">
      <c r="B3556" s="3192" t="s">
        <v>720</v>
      </c>
      <c r="C3556" s="3063"/>
      <c r="D3556" s="3064"/>
      <c r="E3556" s="3064"/>
      <c r="F3556" s="3064"/>
      <c r="G3556" s="3301" t="s">
        <v>720</v>
      </c>
      <c r="H3556" s="3063"/>
      <c r="I3556" s="3030"/>
    </row>
    <row r="3557" spans="2:9">
      <c r="B3557" s="3299" t="s">
        <v>82</v>
      </c>
      <c r="C3557" s="3063"/>
      <c r="D3557" s="3064"/>
      <c r="E3557" s="3064"/>
      <c r="F3557" s="3064"/>
      <c r="G3557" s="3300" t="s">
        <v>82</v>
      </c>
      <c r="H3557" s="3063"/>
      <c r="I3557" s="3030"/>
    </row>
    <row r="3558" spans="2:9" ht="25.5">
      <c r="B3558" s="3192" t="s">
        <v>675</v>
      </c>
      <c r="C3558" s="3063"/>
      <c r="D3558" s="3064"/>
      <c r="E3558" s="3064"/>
      <c r="F3558" s="3064"/>
      <c r="G3558" s="3301" t="s">
        <v>675</v>
      </c>
      <c r="H3558" s="3063"/>
      <c r="I3558" s="3030"/>
    </row>
    <row r="3559" spans="2:9" ht="25.5">
      <c r="B3559" s="3192" t="s">
        <v>676</v>
      </c>
      <c r="C3559" s="3063"/>
      <c r="D3559" s="3064"/>
      <c r="E3559" s="3064"/>
      <c r="F3559" s="3064"/>
      <c r="G3559" s="3301" t="s">
        <v>676</v>
      </c>
      <c r="H3559" s="3063"/>
      <c r="I3559" s="3030"/>
    </row>
    <row r="3560" spans="2:9">
      <c r="B3560" s="3192" t="s">
        <v>677</v>
      </c>
      <c r="C3560" s="3063"/>
      <c r="D3560" s="3064"/>
      <c r="E3560" s="3064"/>
      <c r="F3560" s="3064"/>
      <c r="G3560" s="3301" t="s">
        <v>677</v>
      </c>
      <c r="H3560" s="3063"/>
      <c r="I3560" s="3030"/>
    </row>
    <row r="3561" spans="2:9">
      <c r="B3561" s="3192" t="s">
        <v>678</v>
      </c>
      <c r="C3561" s="3063"/>
      <c r="D3561" s="3064"/>
      <c r="E3561" s="3064"/>
      <c r="F3561" s="3064"/>
      <c r="G3561" s="3301" t="s">
        <v>678</v>
      </c>
      <c r="H3561" s="3063"/>
      <c r="I3561" s="3030"/>
    </row>
    <row r="3562" spans="2:9">
      <c r="B3562" s="3192" t="s">
        <v>679</v>
      </c>
      <c r="C3562" s="3063"/>
      <c r="D3562" s="3064"/>
      <c r="E3562" s="3064"/>
      <c r="F3562" s="3064"/>
      <c r="G3562" s="3301" t="s">
        <v>679</v>
      </c>
      <c r="H3562" s="3063"/>
      <c r="I3562" s="3030"/>
    </row>
    <row r="3563" spans="2:9" ht="25.5">
      <c r="B3563" s="3192" t="s">
        <v>720</v>
      </c>
      <c r="C3563" s="3063"/>
      <c r="D3563" s="3064"/>
      <c r="E3563" s="3064"/>
      <c r="F3563" s="3064"/>
      <c r="G3563" s="3301" t="s">
        <v>720</v>
      </c>
      <c r="H3563" s="3063"/>
      <c r="I3563" s="3030"/>
    </row>
    <row r="3564" spans="2:9" ht="38.25">
      <c r="B3564" s="3299" t="s">
        <v>680</v>
      </c>
      <c r="C3564" s="3063"/>
      <c r="D3564" s="3064"/>
      <c r="E3564" s="3064"/>
      <c r="F3564" s="3064">
        <v>29</v>
      </c>
      <c r="G3564" s="3300" t="s">
        <v>680</v>
      </c>
      <c r="H3564" s="3063">
        <v>0.33510285335102785</v>
      </c>
      <c r="I3564" s="3030"/>
    </row>
    <row r="3565" spans="2:9" ht="25.5">
      <c r="B3565" s="3192" t="s">
        <v>675</v>
      </c>
      <c r="C3565" s="3063">
        <v>35</v>
      </c>
      <c r="D3565" s="3064">
        <v>31</v>
      </c>
      <c r="E3565" s="3064"/>
      <c r="F3565" s="3064"/>
      <c r="G3565" s="3301" t="s">
        <v>675</v>
      </c>
      <c r="H3565" s="3063"/>
      <c r="I3565" s="3030">
        <v>0.87591240875912235</v>
      </c>
    </row>
    <row r="3566" spans="2:9" ht="25.5">
      <c r="B3566" s="3192" t="s">
        <v>676</v>
      </c>
      <c r="C3566" s="3063"/>
      <c r="D3566" s="3064"/>
      <c r="E3566" s="3064"/>
      <c r="F3566" s="3064"/>
      <c r="G3566" s="3301" t="s">
        <v>676</v>
      </c>
      <c r="H3566" s="3063"/>
      <c r="I3566" s="3030"/>
    </row>
    <row r="3567" spans="2:9">
      <c r="B3567" s="3192" t="s">
        <v>677</v>
      </c>
      <c r="C3567" s="3063"/>
      <c r="D3567" s="3064"/>
      <c r="E3567" s="3064"/>
      <c r="F3567" s="3064"/>
      <c r="G3567" s="3301" t="s">
        <v>677</v>
      </c>
      <c r="H3567" s="3063"/>
      <c r="I3567" s="3030"/>
    </row>
    <row r="3568" spans="2:9">
      <c r="B3568" s="3192" t="s">
        <v>678</v>
      </c>
      <c r="C3568" s="3063">
        <v>2</v>
      </c>
      <c r="D3568" s="3064">
        <v>1</v>
      </c>
      <c r="E3568" s="3064"/>
      <c r="F3568" s="3064"/>
      <c r="G3568" s="3301" t="s">
        <v>678</v>
      </c>
      <c r="H3568" s="3063"/>
      <c r="I3568" s="3030"/>
    </row>
    <row r="3569" spans="2:9">
      <c r="B3569" s="3192" t="s">
        <v>679</v>
      </c>
      <c r="C3569" s="3063">
        <v>1</v>
      </c>
      <c r="D3569" s="3064">
        <v>1</v>
      </c>
      <c r="E3569" s="3064"/>
      <c r="F3569" s="3064"/>
      <c r="G3569" s="3301" t="s">
        <v>679</v>
      </c>
      <c r="H3569" s="3063"/>
      <c r="I3569" s="3030"/>
    </row>
    <row r="3570" spans="2:9" ht="25.5">
      <c r="B3570" s="3192" t="s">
        <v>720</v>
      </c>
      <c r="C3570" s="3063">
        <v>1</v>
      </c>
      <c r="D3570" s="3064"/>
      <c r="E3570" s="3064"/>
      <c r="F3570" s="3064"/>
      <c r="G3570" s="3301" t="s">
        <v>720</v>
      </c>
      <c r="H3570" s="3063"/>
      <c r="I3570" s="3030"/>
    </row>
    <row r="3571" spans="2:9" ht="38.25">
      <c r="B3571" s="3299" t="s">
        <v>681</v>
      </c>
      <c r="C3571" s="3063"/>
      <c r="D3571" s="3064"/>
      <c r="E3571" s="3064"/>
      <c r="F3571" s="3064">
        <v>1</v>
      </c>
      <c r="G3571" s="3300" t="s">
        <v>681</v>
      </c>
      <c r="H3571" s="3063">
        <v>2.6998860648080641E-2</v>
      </c>
      <c r="I3571" s="3030"/>
    </row>
    <row r="3572" spans="2:9" ht="25.5">
      <c r="B3572" s="3192" t="s">
        <v>675</v>
      </c>
      <c r="C3572" s="3063">
        <v>3</v>
      </c>
      <c r="D3572" s="3064"/>
      <c r="E3572" s="3064"/>
      <c r="F3572" s="3064"/>
      <c r="G3572" s="3301" t="s">
        <v>675</v>
      </c>
      <c r="H3572" s="3063"/>
      <c r="I3572" s="3030">
        <v>3.6448461874908862E-2</v>
      </c>
    </row>
    <row r="3573" spans="2:9" ht="25.5">
      <c r="B3573" s="3192" t="s">
        <v>676</v>
      </c>
      <c r="C3573" s="3063"/>
      <c r="D3573" s="3064"/>
      <c r="E3573" s="3064"/>
      <c r="F3573" s="3064"/>
      <c r="G3573" s="3301" t="s">
        <v>676</v>
      </c>
      <c r="H3573" s="3063"/>
      <c r="I3573" s="3030"/>
    </row>
    <row r="3574" spans="2:9">
      <c r="B3574" s="3192" t="s">
        <v>677</v>
      </c>
      <c r="C3574" s="3063"/>
      <c r="D3574" s="3064"/>
      <c r="E3574" s="3064"/>
      <c r="F3574" s="3064"/>
      <c r="G3574" s="3301" t="s">
        <v>677</v>
      </c>
      <c r="H3574" s="3063"/>
      <c r="I3574" s="3030"/>
    </row>
    <row r="3575" spans="2:9">
      <c r="B3575" s="3192" t="s">
        <v>678</v>
      </c>
      <c r="C3575" s="3063"/>
      <c r="D3575" s="3064"/>
      <c r="E3575" s="3064"/>
      <c r="F3575" s="3064"/>
      <c r="G3575" s="3301" t="s">
        <v>678</v>
      </c>
      <c r="H3575" s="3063"/>
      <c r="I3575" s="3030"/>
    </row>
    <row r="3576" spans="2:9">
      <c r="B3576" s="3192" t="s">
        <v>679</v>
      </c>
      <c r="C3576" s="3063"/>
      <c r="D3576" s="3064">
        <v>1</v>
      </c>
      <c r="E3576" s="3064"/>
      <c r="F3576" s="3064"/>
      <c r="G3576" s="3301" t="s">
        <v>679</v>
      </c>
      <c r="H3576" s="3063"/>
      <c r="I3576" s="3030"/>
    </row>
    <row r="3577" spans="2:9" ht="25.5">
      <c r="B3577" s="3192" t="s">
        <v>720</v>
      </c>
      <c r="C3577" s="3063"/>
      <c r="D3577" s="3064"/>
      <c r="E3577" s="3064"/>
      <c r="F3577" s="3064"/>
      <c r="G3577" s="3301" t="s">
        <v>720</v>
      </c>
      <c r="H3577" s="3063"/>
      <c r="I3577" s="3030"/>
    </row>
    <row r="3578" spans="2:9" ht="25.5">
      <c r="B3578" s="3299" t="s">
        <v>682</v>
      </c>
      <c r="C3578" s="3063"/>
      <c r="D3578" s="3064"/>
      <c r="E3578" s="3064"/>
      <c r="F3578" s="3064"/>
      <c r="G3578" s="3300" t="s">
        <v>682</v>
      </c>
      <c r="H3578" s="3063"/>
      <c r="I3578" s="3030"/>
    </row>
    <row r="3579" spans="2:9" ht="25.5">
      <c r="B3579" s="3192" t="s">
        <v>675</v>
      </c>
      <c r="C3579" s="3063"/>
      <c r="D3579" s="3064"/>
      <c r="E3579" s="3064"/>
      <c r="F3579" s="3064"/>
      <c r="G3579" s="3301" t="s">
        <v>675</v>
      </c>
      <c r="H3579" s="3063"/>
      <c r="I3579" s="3030"/>
    </row>
    <row r="3580" spans="2:9" ht="25.5">
      <c r="B3580" s="3192" t="s">
        <v>676</v>
      </c>
      <c r="C3580" s="3063"/>
      <c r="D3580" s="3064"/>
      <c r="E3580" s="3064"/>
      <c r="F3580" s="3064"/>
      <c r="G3580" s="3301" t="s">
        <v>676</v>
      </c>
      <c r="H3580" s="3063"/>
      <c r="I3580" s="3030"/>
    </row>
    <row r="3581" spans="2:9">
      <c r="B3581" s="3192" t="s">
        <v>677</v>
      </c>
      <c r="C3581" s="3063"/>
      <c r="D3581" s="3064"/>
      <c r="E3581" s="3064"/>
      <c r="F3581" s="3064"/>
      <c r="G3581" s="3301" t="s">
        <v>677</v>
      </c>
      <c r="H3581" s="3063"/>
      <c r="I3581" s="3030"/>
    </row>
    <row r="3582" spans="2:9">
      <c r="B3582" s="3192" t="s">
        <v>678</v>
      </c>
      <c r="C3582" s="3063"/>
      <c r="D3582" s="3064"/>
      <c r="E3582" s="3064"/>
      <c r="F3582" s="3064"/>
      <c r="G3582" s="3301" t="s">
        <v>678</v>
      </c>
      <c r="H3582" s="3063"/>
      <c r="I3582" s="3030"/>
    </row>
    <row r="3583" spans="2:9">
      <c r="B3583" s="3192" t="s">
        <v>679</v>
      </c>
      <c r="C3583" s="3063"/>
      <c r="D3583" s="3064"/>
      <c r="E3583" s="3064"/>
      <c r="F3583" s="3064"/>
      <c r="G3583" s="3301" t="s">
        <v>679</v>
      </c>
      <c r="H3583" s="3063"/>
      <c r="I3583" s="3030"/>
    </row>
    <row r="3584" spans="2:9" ht="25.5">
      <c r="B3584" s="3192" t="s">
        <v>720</v>
      </c>
      <c r="C3584" s="3063"/>
      <c r="D3584" s="3064"/>
      <c r="E3584" s="3064"/>
      <c r="F3584" s="3064"/>
      <c r="G3584" s="3301" t="s">
        <v>720</v>
      </c>
      <c r="H3584" s="3063"/>
      <c r="I3584" s="3030"/>
    </row>
    <row r="3585" spans="2:9" ht="25.5">
      <c r="B3585" s="3299" t="s">
        <v>66</v>
      </c>
      <c r="C3585" s="3063"/>
      <c r="D3585" s="3064"/>
      <c r="E3585" s="3064"/>
      <c r="F3585" s="3064">
        <v>4</v>
      </c>
      <c r="G3585" s="3300" t="s">
        <v>66</v>
      </c>
      <c r="H3585" s="3063">
        <v>3.9578619629676015E-2</v>
      </c>
      <c r="I3585" s="3030"/>
    </row>
    <row r="3586" spans="2:9" ht="25.5">
      <c r="B3586" s="3192" t="s">
        <v>675</v>
      </c>
      <c r="C3586" s="3063">
        <v>3</v>
      </c>
      <c r="D3586" s="3064">
        <v>1</v>
      </c>
      <c r="E3586" s="3064"/>
      <c r="F3586" s="3064"/>
      <c r="G3586" s="3301" t="s">
        <v>675</v>
      </c>
      <c r="H3586" s="3063"/>
      <c r="I3586" s="3030">
        <v>3.9578619629676015E-2</v>
      </c>
    </row>
    <row r="3587" spans="2:9" ht="25.5">
      <c r="B3587" s="3192" t="s">
        <v>676</v>
      </c>
      <c r="C3587" s="3063"/>
      <c r="D3587" s="3064"/>
      <c r="E3587" s="3064"/>
      <c r="F3587" s="3064"/>
      <c r="G3587" s="3301" t="s">
        <v>676</v>
      </c>
      <c r="H3587" s="3063"/>
      <c r="I3587" s="3030"/>
    </row>
    <row r="3588" spans="2:9">
      <c r="B3588" s="3192" t="s">
        <v>677</v>
      </c>
      <c r="C3588" s="3063"/>
      <c r="D3588" s="3064"/>
      <c r="E3588" s="3064"/>
      <c r="F3588" s="3064"/>
      <c r="G3588" s="3301" t="s">
        <v>677</v>
      </c>
      <c r="H3588" s="3063"/>
      <c r="I3588" s="3030"/>
    </row>
    <row r="3589" spans="2:9">
      <c r="B3589" s="3192" t="s">
        <v>678</v>
      </c>
      <c r="C3589" s="3063"/>
      <c r="D3589" s="3064">
        <v>1</v>
      </c>
      <c r="E3589" s="3064"/>
      <c r="F3589" s="3064"/>
      <c r="G3589" s="3301" t="s">
        <v>678</v>
      </c>
      <c r="H3589" s="3063"/>
      <c r="I3589" s="3030"/>
    </row>
    <row r="3590" spans="2:9">
      <c r="B3590" s="3192" t="s">
        <v>679</v>
      </c>
      <c r="C3590" s="3063">
        <v>1</v>
      </c>
      <c r="D3590" s="3064"/>
      <c r="E3590" s="3064"/>
      <c r="F3590" s="3064"/>
      <c r="G3590" s="3301" t="s">
        <v>679</v>
      </c>
      <c r="H3590" s="3063"/>
      <c r="I3590" s="3030"/>
    </row>
    <row r="3591" spans="2:9" ht="25.5">
      <c r="B3591" s="3192" t="s">
        <v>720</v>
      </c>
      <c r="C3591" s="3063"/>
      <c r="D3591" s="3064"/>
      <c r="E3591" s="3064"/>
      <c r="F3591" s="3064"/>
      <c r="G3591" s="3301" t="s">
        <v>720</v>
      </c>
      <c r="H3591" s="3063"/>
      <c r="I3591" s="3030"/>
    </row>
    <row r="3592" spans="2:9">
      <c r="B3592" s="3299" t="s">
        <v>67</v>
      </c>
      <c r="C3592" s="3063"/>
      <c r="D3592" s="3064"/>
      <c r="E3592" s="3064"/>
      <c r="F3592" s="3064">
        <v>5</v>
      </c>
      <c r="G3592" s="3300" t="s">
        <v>67</v>
      </c>
      <c r="H3592" s="3063">
        <v>2.5521141713795732E-2</v>
      </c>
      <c r="I3592" s="3030"/>
    </row>
    <row r="3593" spans="2:9" ht="25.5">
      <c r="B3593" s="3192" t="s">
        <v>675</v>
      </c>
      <c r="C3593" s="3063">
        <v>1</v>
      </c>
      <c r="D3593" s="3064">
        <v>2</v>
      </c>
      <c r="E3593" s="3064"/>
      <c r="F3593" s="3064"/>
      <c r="G3593" s="3301" t="s">
        <v>675</v>
      </c>
      <c r="H3593" s="3063"/>
      <c r="I3593" s="3030">
        <v>1.5312685028277439E-2</v>
      </c>
    </row>
    <row r="3594" spans="2:9" ht="25.5">
      <c r="B3594" s="3192" t="s">
        <v>676</v>
      </c>
      <c r="C3594" s="3063"/>
      <c r="D3594" s="3064"/>
      <c r="E3594" s="3064"/>
      <c r="F3594" s="3064"/>
      <c r="G3594" s="3301" t="s">
        <v>676</v>
      </c>
      <c r="H3594" s="3063"/>
      <c r="I3594" s="3030"/>
    </row>
    <row r="3595" spans="2:9">
      <c r="B3595" s="3192" t="s">
        <v>677</v>
      </c>
      <c r="C3595" s="3063"/>
      <c r="D3595" s="3064"/>
      <c r="E3595" s="3064"/>
      <c r="F3595" s="3064"/>
      <c r="G3595" s="3301" t="s">
        <v>677</v>
      </c>
      <c r="H3595" s="3063"/>
      <c r="I3595" s="3030"/>
    </row>
    <row r="3596" spans="2:9">
      <c r="B3596" s="3192" t="s">
        <v>678</v>
      </c>
      <c r="C3596" s="3063"/>
      <c r="D3596" s="3064"/>
      <c r="E3596" s="3064"/>
      <c r="F3596" s="3064"/>
      <c r="G3596" s="3301" t="s">
        <v>678</v>
      </c>
      <c r="H3596" s="3063"/>
      <c r="I3596" s="3030"/>
    </row>
    <row r="3597" spans="2:9">
      <c r="B3597" s="3192" t="s">
        <v>679</v>
      </c>
      <c r="C3597" s="3063">
        <v>2</v>
      </c>
      <c r="D3597" s="3064"/>
      <c r="E3597" s="3064"/>
      <c r="F3597" s="3064"/>
      <c r="G3597" s="3301" t="s">
        <v>679</v>
      </c>
      <c r="H3597" s="3063"/>
      <c r="I3597" s="3030"/>
    </row>
    <row r="3598" spans="2:9" ht="25.5">
      <c r="B3598" s="3230" t="s">
        <v>81</v>
      </c>
      <c r="C3598" s="3063"/>
      <c r="D3598" s="3064"/>
      <c r="E3598" s="3064"/>
      <c r="F3598" s="3064"/>
      <c r="G3598" s="3302" t="s">
        <v>81</v>
      </c>
      <c r="H3598" s="3063"/>
      <c r="I3598" s="3030"/>
    </row>
    <row r="3599" spans="2:9" ht="26.25" thickBot="1">
      <c r="B3599" s="3303" t="s">
        <v>81</v>
      </c>
      <c r="C3599" s="3063"/>
      <c r="D3599" s="3064"/>
      <c r="E3599" s="3064"/>
      <c r="F3599" s="3064"/>
      <c r="G3599" s="3302" t="s">
        <v>81</v>
      </c>
      <c r="H3599" s="3063"/>
      <c r="I3599" s="3030"/>
    </row>
    <row r="3600" spans="2:9">
      <c r="B3600" s="3217" t="s">
        <v>697</v>
      </c>
      <c r="C3600" s="3218"/>
      <c r="D3600" s="3219"/>
      <c r="E3600" s="3219"/>
      <c r="F3600" s="3219"/>
      <c r="G3600" s="3217" t="s">
        <v>697</v>
      </c>
      <c r="H3600" s="3297"/>
      <c r="I3600" s="3298"/>
    </row>
    <row r="3601" spans="2:9">
      <c r="B3601" s="3299" t="s">
        <v>64</v>
      </c>
      <c r="C3601" s="3063"/>
      <c r="D3601" s="3064"/>
      <c r="E3601" s="3064"/>
      <c r="F3601" s="3064"/>
      <c r="G3601" s="3300" t="s">
        <v>64</v>
      </c>
      <c r="H3601" s="3063"/>
      <c r="I3601" s="3030"/>
    </row>
    <row r="3602" spans="2:9" ht="25.5">
      <c r="B3602" s="3192" t="s">
        <v>675</v>
      </c>
      <c r="C3602" s="3063"/>
      <c r="D3602" s="3064"/>
      <c r="E3602" s="3064"/>
      <c r="F3602" s="3064"/>
      <c r="G3602" s="3301" t="s">
        <v>675</v>
      </c>
      <c r="H3602" s="3063"/>
      <c r="I3602" s="3030"/>
    </row>
    <row r="3603" spans="2:9" ht="25.5">
      <c r="B3603" s="3192" t="s">
        <v>676</v>
      </c>
      <c r="C3603" s="3063"/>
      <c r="D3603" s="3064"/>
      <c r="E3603" s="3064"/>
      <c r="F3603" s="3064"/>
      <c r="G3603" s="3301" t="s">
        <v>676</v>
      </c>
      <c r="H3603" s="3063"/>
      <c r="I3603" s="3030"/>
    </row>
    <row r="3604" spans="2:9">
      <c r="B3604" s="3192" t="s">
        <v>677</v>
      </c>
      <c r="C3604" s="3063"/>
      <c r="D3604" s="3064"/>
      <c r="E3604" s="3064"/>
      <c r="F3604" s="3064"/>
      <c r="G3604" s="3301" t="s">
        <v>677</v>
      </c>
      <c r="H3604" s="3063"/>
      <c r="I3604" s="3030"/>
    </row>
    <row r="3605" spans="2:9">
      <c r="B3605" s="3192" t="s">
        <v>678</v>
      </c>
      <c r="C3605" s="3063"/>
      <c r="D3605" s="3064"/>
      <c r="E3605" s="3064"/>
      <c r="F3605" s="3064"/>
      <c r="G3605" s="3301" t="s">
        <v>678</v>
      </c>
      <c r="H3605" s="3063"/>
      <c r="I3605" s="3030"/>
    </row>
    <row r="3606" spans="2:9">
      <c r="B3606" s="3192" t="s">
        <v>679</v>
      </c>
      <c r="C3606" s="3063"/>
      <c r="D3606" s="3064"/>
      <c r="E3606" s="3064"/>
      <c r="F3606" s="3064"/>
      <c r="G3606" s="3301" t="s">
        <v>679</v>
      </c>
      <c r="H3606" s="3063"/>
      <c r="I3606" s="3030"/>
    </row>
    <row r="3607" spans="2:9" ht="25.5">
      <c r="B3607" s="3192" t="s">
        <v>720</v>
      </c>
      <c r="C3607" s="3063"/>
      <c r="D3607" s="3064"/>
      <c r="E3607" s="3064"/>
      <c r="F3607" s="3064"/>
      <c r="G3607" s="3301" t="s">
        <v>720</v>
      </c>
      <c r="H3607" s="3063"/>
      <c r="I3607" s="3030"/>
    </row>
    <row r="3608" spans="2:9">
      <c r="B3608" s="3299" t="s">
        <v>65</v>
      </c>
      <c r="C3608" s="3063"/>
      <c r="D3608" s="3064"/>
      <c r="E3608" s="3064"/>
      <c r="F3608" s="3064"/>
      <c r="G3608" s="3300" t="s">
        <v>65</v>
      </c>
      <c r="H3608" s="3063"/>
      <c r="I3608" s="3030"/>
    </row>
    <row r="3609" spans="2:9" ht="25.5">
      <c r="B3609" s="3192" t="s">
        <v>675</v>
      </c>
      <c r="C3609" s="3063"/>
      <c r="D3609" s="3064"/>
      <c r="E3609" s="3064"/>
      <c r="F3609" s="3064"/>
      <c r="G3609" s="3301" t="s">
        <v>675</v>
      </c>
      <c r="H3609" s="3063"/>
      <c r="I3609" s="3030"/>
    </row>
    <row r="3610" spans="2:9" ht="25.5">
      <c r="B3610" s="3192" t="s">
        <v>676</v>
      </c>
      <c r="C3610" s="3063"/>
      <c r="D3610" s="3064"/>
      <c r="E3610" s="3064"/>
      <c r="F3610" s="3064"/>
      <c r="G3610" s="3301" t="s">
        <v>676</v>
      </c>
      <c r="H3610" s="3063"/>
      <c r="I3610" s="3030"/>
    </row>
    <row r="3611" spans="2:9">
      <c r="B3611" s="3192" t="s">
        <v>677</v>
      </c>
      <c r="C3611" s="3063"/>
      <c r="D3611" s="3064"/>
      <c r="E3611" s="3064"/>
      <c r="F3611" s="3064"/>
      <c r="G3611" s="3301" t="s">
        <v>677</v>
      </c>
      <c r="H3611" s="3063"/>
      <c r="I3611" s="3030"/>
    </row>
    <row r="3612" spans="2:9">
      <c r="B3612" s="3192" t="s">
        <v>678</v>
      </c>
      <c r="C3612" s="3063"/>
      <c r="D3612" s="3064"/>
      <c r="E3612" s="3064"/>
      <c r="F3612" s="3064"/>
      <c r="G3612" s="3301" t="s">
        <v>678</v>
      </c>
      <c r="H3612" s="3063"/>
      <c r="I3612" s="3030"/>
    </row>
    <row r="3613" spans="2:9">
      <c r="B3613" s="3192" t="s">
        <v>679</v>
      </c>
      <c r="C3613" s="3063"/>
      <c r="D3613" s="3064"/>
      <c r="E3613" s="3064"/>
      <c r="F3613" s="3064"/>
      <c r="G3613" s="3301" t="s">
        <v>679</v>
      </c>
      <c r="H3613" s="3063"/>
      <c r="I3613" s="3030"/>
    </row>
    <row r="3614" spans="2:9" ht="25.5">
      <c r="B3614" s="3192" t="s">
        <v>720</v>
      </c>
      <c r="C3614" s="3063"/>
      <c r="D3614" s="3064"/>
      <c r="E3614" s="3064"/>
      <c r="F3614" s="3064"/>
      <c r="G3614" s="3301" t="s">
        <v>720</v>
      </c>
      <c r="H3614" s="3063"/>
      <c r="I3614" s="3030"/>
    </row>
    <row r="3615" spans="2:9">
      <c r="B3615" s="3299" t="s">
        <v>82</v>
      </c>
      <c r="C3615" s="3063"/>
      <c r="D3615" s="3064"/>
      <c r="E3615" s="3064"/>
      <c r="F3615" s="3064"/>
      <c r="G3615" s="3300" t="s">
        <v>82</v>
      </c>
      <c r="H3615" s="3063"/>
      <c r="I3615" s="3030"/>
    </row>
    <row r="3616" spans="2:9" ht="25.5">
      <c r="B3616" s="3192" t="s">
        <v>675</v>
      </c>
      <c r="C3616" s="3063"/>
      <c r="D3616" s="3064"/>
      <c r="E3616" s="3064"/>
      <c r="F3616" s="3064"/>
      <c r="G3616" s="3301" t="s">
        <v>675</v>
      </c>
      <c r="H3616" s="3063"/>
      <c r="I3616" s="3030"/>
    </row>
    <row r="3617" spans="2:9" ht="25.5">
      <c r="B3617" s="3192" t="s">
        <v>676</v>
      </c>
      <c r="C3617" s="3063"/>
      <c r="D3617" s="3064"/>
      <c r="E3617" s="3064"/>
      <c r="F3617" s="3064"/>
      <c r="G3617" s="3301" t="s">
        <v>676</v>
      </c>
      <c r="H3617" s="3063"/>
      <c r="I3617" s="3030"/>
    </row>
    <row r="3618" spans="2:9">
      <c r="B3618" s="3192" t="s">
        <v>677</v>
      </c>
      <c r="C3618" s="3063"/>
      <c r="D3618" s="3064"/>
      <c r="E3618" s="3064"/>
      <c r="F3618" s="3064"/>
      <c r="G3618" s="3301" t="s">
        <v>677</v>
      </c>
      <c r="H3618" s="3063"/>
      <c r="I3618" s="3030"/>
    </row>
    <row r="3619" spans="2:9">
      <c r="B3619" s="3192" t="s">
        <v>678</v>
      </c>
      <c r="C3619" s="3063"/>
      <c r="D3619" s="3064"/>
      <c r="E3619" s="3064"/>
      <c r="F3619" s="3064"/>
      <c r="G3619" s="3301" t="s">
        <v>678</v>
      </c>
      <c r="H3619" s="3063"/>
      <c r="I3619" s="3030"/>
    </row>
    <row r="3620" spans="2:9">
      <c r="B3620" s="3192" t="s">
        <v>679</v>
      </c>
      <c r="C3620" s="3063"/>
      <c r="D3620" s="3064"/>
      <c r="E3620" s="3064"/>
      <c r="F3620" s="3064"/>
      <c r="G3620" s="3301" t="s">
        <v>679</v>
      </c>
      <c r="H3620" s="3063"/>
      <c r="I3620" s="3030"/>
    </row>
    <row r="3621" spans="2:9" ht="25.5">
      <c r="B3621" s="3192" t="s">
        <v>720</v>
      </c>
      <c r="C3621" s="3063"/>
      <c r="D3621" s="3064"/>
      <c r="E3621" s="3064"/>
      <c r="F3621" s="3064"/>
      <c r="G3621" s="3301" t="s">
        <v>720</v>
      </c>
      <c r="H3621" s="3063"/>
      <c r="I3621" s="3030"/>
    </row>
    <row r="3622" spans="2:9" ht="38.25">
      <c r="B3622" s="3299" t="s">
        <v>680</v>
      </c>
      <c r="C3622" s="3063"/>
      <c r="D3622" s="3064"/>
      <c r="E3622" s="3064"/>
      <c r="F3622" s="3064"/>
      <c r="G3622" s="3300" t="s">
        <v>680</v>
      </c>
      <c r="H3622" s="3063"/>
      <c r="I3622" s="3030"/>
    </row>
    <row r="3623" spans="2:9" ht="25.5">
      <c r="B3623" s="3192" t="s">
        <v>675</v>
      </c>
      <c r="C3623" s="3063"/>
      <c r="D3623" s="3064"/>
      <c r="E3623" s="3064"/>
      <c r="F3623" s="3064"/>
      <c r="G3623" s="3301" t="s">
        <v>675</v>
      </c>
      <c r="H3623" s="3063"/>
      <c r="I3623" s="3030"/>
    </row>
    <row r="3624" spans="2:9" ht="25.5">
      <c r="B3624" s="3192" t="s">
        <v>676</v>
      </c>
      <c r="C3624" s="3063"/>
      <c r="D3624" s="3064"/>
      <c r="E3624" s="3064"/>
      <c r="F3624" s="3064"/>
      <c r="G3624" s="3301" t="s">
        <v>676</v>
      </c>
      <c r="H3624" s="3063"/>
      <c r="I3624" s="3030"/>
    </row>
    <row r="3625" spans="2:9">
      <c r="B3625" s="3192" t="s">
        <v>677</v>
      </c>
      <c r="C3625" s="3063"/>
      <c r="D3625" s="3064"/>
      <c r="E3625" s="3064"/>
      <c r="F3625" s="3064"/>
      <c r="G3625" s="3301" t="s">
        <v>677</v>
      </c>
      <c r="H3625" s="3063"/>
      <c r="I3625" s="3030"/>
    </row>
    <row r="3626" spans="2:9">
      <c r="B3626" s="3192" t="s">
        <v>678</v>
      </c>
      <c r="C3626" s="3063"/>
      <c r="D3626" s="3064"/>
      <c r="E3626" s="3064"/>
      <c r="F3626" s="3064"/>
      <c r="G3626" s="3301" t="s">
        <v>678</v>
      </c>
      <c r="H3626" s="3063"/>
      <c r="I3626" s="3030"/>
    </row>
    <row r="3627" spans="2:9">
      <c r="B3627" s="3192" t="s">
        <v>679</v>
      </c>
      <c r="C3627" s="3063"/>
      <c r="D3627" s="3064"/>
      <c r="E3627" s="3064"/>
      <c r="F3627" s="3064"/>
      <c r="G3627" s="3301" t="s">
        <v>679</v>
      </c>
      <c r="H3627" s="3063"/>
      <c r="I3627" s="3030"/>
    </row>
    <row r="3628" spans="2:9" ht="25.5">
      <c r="B3628" s="3192" t="s">
        <v>720</v>
      </c>
      <c r="C3628" s="3063"/>
      <c r="D3628" s="3064"/>
      <c r="E3628" s="3064"/>
      <c r="F3628" s="3064"/>
      <c r="G3628" s="3301" t="s">
        <v>720</v>
      </c>
      <c r="H3628" s="3063"/>
      <c r="I3628" s="3030"/>
    </row>
    <row r="3629" spans="2:9" ht="38.25">
      <c r="B3629" s="3299" t="s">
        <v>681</v>
      </c>
      <c r="C3629" s="3063"/>
      <c r="D3629" s="3064"/>
      <c r="E3629" s="3064"/>
      <c r="F3629" s="3064">
        <v>6</v>
      </c>
      <c r="G3629" s="3300" t="s">
        <v>681</v>
      </c>
      <c r="H3629" s="3063">
        <v>4.2523205520727005E-2</v>
      </c>
      <c r="I3629" s="3030"/>
    </row>
    <row r="3630" spans="2:9" ht="25.5">
      <c r="B3630" s="3192" t="s">
        <v>675</v>
      </c>
      <c r="C3630" s="3063"/>
      <c r="D3630" s="3064">
        <v>1</v>
      </c>
      <c r="E3630" s="3064"/>
      <c r="F3630" s="3064"/>
      <c r="G3630" s="3301" t="s">
        <v>675</v>
      </c>
      <c r="H3630" s="3063"/>
      <c r="I3630" s="3030">
        <v>1.2149487291636289E-2</v>
      </c>
    </row>
    <row r="3631" spans="2:9" ht="25.5">
      <c r="B3631" s="3192" t="s">
        <v>676</v>
      </c>
      <c r="C3631" s="3063"/>
      <c r="D3631" s="3064"/>
      <c r="E3631" s="3064"/>
      <c r="F3631" s="3064"/>
      <c r="G3631" s="3301" t="s">
        <v>676</v>
      </c>
      <c r="H3631" s="3063"/>
      <c r="I3631" s="3030"/>
    </row>
    <row r="3632" spans="2:9">
      <c r="B3632" s="3192" t="s">
        <v>677</v>
      </c>
      <c r="C3632" s="3063"/>
      <c r="D3632" s="3064"/>
      <c r="E3632" s="3064"/>
      <c r="F3632" s="3064"/>
      <c r="G3632" s="3301" t="s">
        <v>677</v>
      </c>
      <c r="H3632" s="3063"/>
      <c r="I3632" s="3030"/>
    </row>
    <row r="3633" spans="2:9">
      <c r="B3633" s="3192" t="s">
        <v>678</v>
      </c>
      <c r="C3633" s="3063"/>
      <c r="D3633" s="3064"/>
      <c r="E3633" s="3064"/>
      <c r="F3633" s="3064"/>
      <c r="G3633" s="3301" t="s">
        <v>678</v>
      </c>
      <c r="H3633" s="3063"/>
      <c r="I3633" s="3030"/>
    </row>
    <row r="3634" spans="2:9">
      <c r="B3634" s="3192" t="s">
        <v>679</v>
      </c>
      <c r="C3634" s="3063"/>
      <c r="D3634" s="3064"/>
      <c r="E3634" s="3064"/>
      <c r="F3634" s="3064"/>
      <c r="G3634" s="3301" t="s">
        <v>679</v>
      </c>
      <c r="H3634" s="3063"/>
      <c r="I3634" s="3030"/>
    </row>
    <row r="3635" spans="2:9" ht="25.5">
      <c r="B3635" s="3192" t="s">
        <v>720</v>
      </c>
      <c r="C3635" s="3063"/>
      <c r="D3635" s="3064"/>
      <c r="E3635" s="3064"/>
      <c r="F3635" s="3064"/>
      <c r="G3635" s="3301" t="s">
        <v>720</v>
      </c>
      <c r="H3635" s="3063"/>
      <c r="I3635" s="3030"/>
    </row>
    <row r="3636" spans="2:9" ht="25.5">
      <c r="B3636" s="3299" t="s">
        <v>682</v>
      </c>
      <c r="C3636" s="3063"/>
      <c r="D3636" s="3064"/>
      <c r="E3636" s="3064"/>
      <c r="F3636" s="3064"/>
      <c r="G3636" s="3300" t="s">
        <v>682</v>
      </c>
      <c r="H3636" s="3063"/>
      <c r="I3636" s="3030"/>
    </row>
    <row r="3637" spans="2:9" ht="25.5">
      <c r="B3637" s="3192" t="s">
        <v>675</v>
      </c>
      <c r="C3637" s="3063"/>
      <c r="D3637" s="3064"/>
      <c r="E3637" s="3064"/>
      <c r="F3637" s="3064"/>
      <c r="G3637" s="3301" t="s">
        <v>675</v>
      </c>
      <c r="H3637" s="3063"/>
      <c r="I3637" s="3030"/>
    </row>
    <row r="3638" spans="2:9" ht="25.5">
      <c r="B3638" s="3192" t="s">
        <v>676</v>
      </c>
      <c r="C3638" s="3063"/>
      <c r="D3638" s="3064"/>
      <c r="E3638" s="3064"/>
      <c r="F3638" s="3064"/>
      <c r="G3638" s="3301" t="s">
        <v>676</v>
      </c>
      <c r="H3638" s="3063"/>
      <c r="I3638" s="3030"/>
    </row>
    <row r="3639" spans="2:9">
      <c r="B3639" s="3192" t="s">
        <v>677</v>
      </c>
      <c r="C3639" s="3063"/>
      <c r="D3639" s="3064"/>
      <c r="E3639" s="3064"/>
      <c r="F3639" s="3064"/>
      <c r="G3639" s="3301" t="s">
        <v>677</v>
      </c>
      <c r="H3639" s="3063"/>
      <c r="I3639" s="3030"/>
    </row>
    <row r="3640" spans="2:9">
      <c r="B3640" s="3192" t="s">
        <v>678</v>
      </c>
      <c r="C3640" s="3063"/>
      <c r="D3640" s="3064"/>
      <c r="E3640" s="3064"/>
      <c r="F3640" s="3064"/>
      <c r="G3640" s="3301" t="s">
        <v>678</v>
      </c>
      <c r="H3640" s="3063"/>
      <c r="I3640" s="3030"/>
    </row>
    <row r="3641" spans="2:9">
      <c r="B3641" s="3192" t="s">
        <v>679</v>
      </c>
      <c r="C3641" s="3063"/>
      <c r="D3641" s="3064"/>
      <c r="E3641" s="3064"/>
      <c r="F3641" s="3064"/>
      <c r="G3641" s="3301" t="s">
        <v>679</v>
      </c>
      <c r="H3641" s="3063"/>
      <c r="I3641" s="3030"/>
    </row>
    <row r="3642" spans="2:9" ht="25.5">
      <c r="B3642" s="3192" t="s">
        <v>720</v>
      </c>
      <c r="C3642" s="3063"/>
      <c r="D3642" s="3064"/>
      <c r="E3642" s="3064"/>
      <c r="F3642" s="3064"/>
      <c r="G3642" s="3301" t="s">
        <v>720</v>
      </c>
      <c r="H3642" s="3063"/>
      <c r="I3642" s="3030"/>
    </row>
    <row r="3643" spans="2:9" ht="25.5">
      <c r="B3643" s="3299" t="s">
        <v>66</v>
      </c>
      <c r="C3643" s="3063"/>
      <c r="D3643" s="3064"/>
      <c r="E3643" s="3064"/>
      <c r="F3643" s="3064"/>
      <c r="G3643" s="3300" t="s">
        <v>66</v>
      </c>
      <c r="H3643" s="3063"/>
      <c r="I3643" s="3030"/>
    </row>
    <row r="3644" spans="2:9" ht="25.5">
      <c r="B3644" s="3192" t="s">
        <v>675</v>
      </c>
      <c r="C3644" s="3063"/>
      <c r="D3644" s="3064"/>
      <c r="E3644" s="3064"/>
      <c r="F3644" s="3064"/>
      <c r="G3644" s="3301" t="s">
        <v>675</v>
      </c>
      <c r="H3644" s="3063"/>
      <c r="I3644" s="3030"/>
    </row>
    <row r="3645" spans="2:9" ht="25.5">
      <c r="B3645" s="3192" t="s">
        <v>676</v>
      </c>
      <c r="C3645" s="3063"/>
      <c r="D3645" s="3064"/>
      <c r="E3645" s="3064"/>
      <c r="F3645" s="3064"/>
      <c r="G3645" s="3301" t="s">
        <v>676</v>
      </c>
      <c r="H3645" s="3063"/>
      <c r="I3645" s="3030"/>
    </row>
    <row r="3646" spans="2:9">
      <c r="B3646" s="3192" t="s">
        <v>677</v>
      </c>
      <c r="C3646" s="3063"/>
      <c r="D3646" s="3064"/>
      <c r="E3646" s="3064"/>
      <c r="F3646" s="3064"/>
      <c r="G3646" s="3301" t="s">
        <v>677</v>
      </c>
      <c r="H3646" s="3063"/>
      <c r="I3646" s="3030"/>
    </row>
    <row r="3647" spans="2:9">
      <c r="B3647" s="3192" t="s">
        <v>678</v>
      </c>
      <c r="C3647" s="3063"/>
      <c r="D3647" s="3064"/>
      <c r="E3647" s="3064"/>
      <c r="F3647" s="3064"/>
      <c r="G3647" s="3301" t="s">
        <v>678</v>
      </c>
      <c r="H3647" s="3063"/>
      <c r="I3647" s="3030"/>
    </row>
    <row r="3648" spans="2:9">
      <c r="B3648" s="3192" t="s">
        <v>679</v>
      </c>
      <c r="C3648" s="3063"/>
      <c r="D3648" s="3064"/>
      <c r="E3648" s="3064"/>
      <c r="F3648" s="3064"/>
      <c r="G3648" s="3301" t="s">
        <v>679</v>
      </c>
      <c r="H3648" s="3063"/>
      <c r="I3648" s="3030"/>
    </row>
    <row r="3649" spans="2:9" ht="25.5">
      <c r="B3649" s="3192" t="s">
        <v>720</v>
      </c>
      <c r="C3649" s="3063"/>
      <c r="D3649" s="3064"/>
      <c r="E3649" s="3064"/>
      <c r="F3649" s="3064"/>
      <c r="G3649" s="3301" t="s">
        <v>720</v>
      </c>
      <c r="H3649" s="3063"/>
      <c r="I3649" s="3030"/>
    </row>
    <row r="3650" spans="2:9">
      <c r="B3650" s="3299" t="s">
        <v>67</v>
      </c>
      <c r="C3650" s="3063"/>
      <c r="D3650" s="3064"/>
      <c r="E3650" s="3064"/>
      <c r="F3650" s="3064"/>
      <c r="G3650" s="3300" t="s">
        <v>67</v>
      </c>
      <c r="H3650" s="3063"/>
      <c r="I3650" s="3030"/>
    </row>
    <row r="3651" spans="2:9" ht="25.5">
      <c r="B3651" s="3192" t="s">
        <v>675</v>
      </c>
      <c r="C3651" s="3063"/>
      <c r="D3651" s="3064"/>
      <c r="E3651" s="3064"/>
      <c r="F3651" s="3064"/>
      <c r="G3651" s="3301" t="s">
        <v>675</v>
      </c>
      <c r="H3651" s="3063"/>
      <c r="I3651" s="3030"/>
    </row>
    <row r="3652" spans="2:9" ht="25.5">
      <c r="B3652" s="3192" t="s">
        <v>676</v>
      </c>
      <c r="C3652" s="3063"/>
      <c r="D3652" s="3064"/>
      <c r="E3652" s="3064"/>
      <c r="F3652" s="3064"/>
      <c r="G3652" s="3301" t="s">
        <v>676</v>
      </c>
      <c r="H3652" s="3063"/>
      <c r="I3652" s="3030"/>
    </row>
    <row r="3653" spans="2:9">
      <c r="B3653" s="3192" t="s">
        <v>677</v>
      </c>
      <c r="C3653" s="3063"/>
      <c r="D3653" s="3064"/>
      <c r="E3653" s="3064"/>
      <c r="F3653" s="3064"/>
      <c r="G3653" s="3301" t="s">
        <v>677</v>
      </c>
      <c r="H3653" s="3063"/>
      <c r="I3653" s="3030"/>
    </row>
    <row r="3654" spans="2:9">
      <c r="B3654" s="3192" t="s">
        <v>678</v>
      </c>
      <c r="C3654" s="3063"/>
      <c r="D3654" s="3064"/>
      <c r="E3654" s="3064"/>
      <c r="F3654" s="3064"/>
      <c r="G3654" s="3301" t="s">
        <v>678</v>
      </c>
      <c r="H3654" s="3063"/>
      <c r="I3654" s="3030"/>
    </row>
    <row r="3655" spans="2:9">
      <c r="B3655" s="3192" t="s">
        <v>679</v>
      </c>
      <c r="C3655" s="3063"/>
      <c r="D3655" s="3064"/>
      <c r="E3655" s="3064"/>
      <c r="F3655" s="3064"/>
      <c r="G3655" s="3301" t="s">
        <v>679</v>
      </c>
      <c r="H3655" s="3063"/>
      <c r="I3655" s="3030"/>
    </row>
    <row r="3656" spans="2:9" ht="25.5">
      <c r="B3656" s="3230" t="s">
        <v>81</v>
      </c>
      <c r="C3656" s="3063"/>
      <c r="D3656" s="3064"/>
      <c r="E3656" s="3064"/>
      <c r="F3656" s="3064"/>
      <c r="G3656" s="3302" t="s">
        <v>81</v>
      </c>
      <c r="H3656" s="3063"/>
      <c r="I3656" s="3030"/>
    </row>
    <row r="3657" spans="2:9" ht="26.25" thickBot="1">
      <c r="B3657" s="3303" t="s">
        <v>81</v>
      </c>
      <c r="C3657" s="3068"/>
      <c r="D3657" s="3069"/>
      <c r="E3657" s="3069"/>
      <c r="F3657" s="3069"/>
      <c r="G3657" s="3304" t="s">
        <v>81</v>
      </c>
      <c r="H3657" s="3068"/>
      <c r="I3657" s="3070"/>
    </row>
    <row r="3658" spans="2:9" ht="38.25">
      <c r="B3658" s="4723">
        <v>3022</v>
      </c>
      <c r="C3658" s="3289"/>
      <c r="D3658" s="3290"/>
      <c r="E3658" s="3290"/>
      <c r="F3658" s="3290"/>
      <c r="G3658" s="4723">
        <v>3022</v>
      </c>
      <c r="H3658" s="3291" t="s">
        <v>687</v>
      </c>
      <c r="I3658" s="3292" t="s">
        <v>688</v>
      </c>
    </row>
    <row r="3659" spans="2:9">
      <c r="B3659" s="4724"/>
      <c r="C3659" s="4678" t="s">
        <v>686</v>
      </c>
      <c r="D3659" s="4725"/>
      <c r="E3659" s="4725"/>
      <c r="F3659" s="4726"/>
      <c r="G3659" s="4724"/>
      <c r="H3659" s="3293"/>
      <c r="I3659" s="3294"/>
    </row>
    <row r="3660" spans="2:9" ht="13.5" thickBot="1">
      <c r="B3660" s="4724"/>
      <c r="C3660" s="3215">
        <v>2013</v>
      </c>
      <c r="D3660" s="3215">
        <v>2014</v>
      </c>
      <c r="E3660" s="3215">
        <v>2015</v>
      </c>
      <c r="F3660" s="3215">
        <v>2016</v>
      </c>
      <c r="G3660" s="4724"/>
      <c r="H3660" s="3295" t="s">
        <v>390</v>
      </c>
      <c r="I3660" s="3296" t="s">
        <v>390</v>
      </c>
    </row>
    <row r="3661" spans="2:9">
      <c r="B3661" s="3217" t="s">
        <v>695</v>
      </c>
      <c r="C3661" s="3218"/>
      <c r="D3661" s="3219"/>
      <c r="E3661" s="3219"/>
      <c r="F3661" s="3219"/>
      <c r="G3661" s="3217" t="s">
        <v>695</v>
      </c>
      <c r="H3661" s="3297"/>
      <c r="I3661" s="3298"/>
    </row>
    <row r="3662" spans="2:9">
      <c r="B3662" s="3299" t="s">
        <v>64</v>
      </c>
      <c r="C3662" s="3063"/>
      <c r="D3662" s="3064"/>
      <c r="E3662" s="3064"/>
      <c r="F3662" s="3064"/>
      <c r="G3662" s="3300" t="s">
        <v>64</v>
      </c>
      <c r="H3662" s="3063"/>
      <c r="I3662" s="3030"/>
    </row>
    <row r="3663" spans="2:9" ht="25.5">
      <c r="B3663" s="3192" t="s">
        <v>675</v>
      </c>
      <c r="C3663" s="3063"/>
      <c r="D3663" s="3064"/>
      <c r="E3663" s="3064"/>
      <c r="F3663" s="3064"/>
      <c r="G3663" s="3301" t="s">
        <v>675</v>
      </c>
      <c r="H3663" s="3063"/>
      <c r="I3663" s="3030"/>
    </row>
    <row r="3664" spans="2:9" ht="25.5">
      <c r="B3664" s="3192" t="s">
        <v>676</v>
      </c>
      <c r="C3664" s="3063"/>
      <c r="D3664" s="3064"/>
      <c r="E3664" s="3064"/>
      <c r="F3664" s="3064"/>
      <c r="G3664" s="3301" t="s">
        <v>676</v>
      </c>
      <c r="H3664" s="3063"/>
      <c r="I3664" s="3030"/>
    </row>
    <row r="3665" spans="2:9">
      <c r="B3665" s="3192" t="s">
        <v>677</v>
      </c>
      <c r="C3665" s="3063"/>
      <c r="D3665" s="3064"/>
      <c r="E3665" s="3064"/>
      <c r="F3665" s="3064"/>
      <c r="G3665" s="3301" t="s">
        <v>677</v>
      </c>
      <c r="H3665" s="3063"/>
      <c r="I3665" s="3030"/>
    </row>
    <row r="3666" spans="2:9">
      <c r="B3666" s="3192" t="s">
        <v>678</v>
      </c>
      <c r="C3666" s="3063"/>
      <c r="D3666" s="3064"/>
      <c r="E3666" s="3064"/>
      <c r="F3666" s="3064"/>
      <c r="G3666" s="3301" t="s">
        <v>678</v>
      </c>
      <c r="H3666" s="3063"/>
      <c r="I3666" s="3030"/>
    </row>
    <row r="3667" spans="2:9">
      <c r="B3667" s="3192" t="s">
        <v>679</v>
      </c>
      <c r="C3667" s="3063"/>
      <c r="D3667" s="3064"/>
      <c r="E3667" s="3064"/>
      <c r="F3667" s="3064"/>
      <c r="G3667" s="3301" t="s">
        <v>679</v>
      </c>
      <c r="H3667" s="3063"/>
      <c r="I3667" s="3030"/>
    </row>
    <row r="3668" spans="2:9" ht="25.5">
      <c r="B3668" s="3192" t="s">
        <v>720</v>
      </c>
      <c r="C3668" s="3063"/>
      <c r="D3668" s="3064"/>
      <c r="E3668" s="3064"/>
      <c r="F3668" s="3064"/>
      <c r="G3668" s="3301" t="s">
        <v>720</v>
      </c>
      <c r="H3668" s="3063"/>
      <c r="I3668" s="3030"/>
    </row>
    <row r="3669" spans="2:9">
      <c r="B3669" s="3299" t="s">
        <v>65</v>
      </c>
      <c r="C3669" s="3063"/>
      <c r="D3669" s="3064"/>
      <c r="E3669" s="3064"/>
      <c r="F3669" s="3064"/>
      <c r="G3669" s="3300" t="s">
        <v>65</v>
      </c>
      <c r="H3669" s="3063"/>
      <c r="I3669" s="3030"/>
    </row>
    <row r="3670" spans="2:9" ht="25.5">
      <c r="B3670" s="3192" t="s">
        <v>675</v>
      </c>
      <c r="C3670" s="3063"/>
      <c r="D3670" s="3064"/>
      <c r="E3670" s="3064"/>
      <c r="F3670" s="3064"/>
      <c r="G3670" s="3301" t="s">
        <v>675</v>
      </c>
      <c r="H3670" s="3063"/>
      <c r="I3670" s="3030"/>
    </row>
    <row r="3671" spans="2:9" ht="25.5">
      <c r="B3671" s="3192" t="s">
        <v>676</v>
      </c>
      <c r="C3671" s="3063"/>
      <c r="D3671" s="3064"/>
      <c r="E3671" s="3064"/>
      <c r="F3671" s="3064"/>
      <c r="G3671" s="3301" t="s">
        <v>676</v>
      </c>
      <c r="H3671" s="3063"/>
      <c r="I3671" s="3030"/>
    </row>
    <row r="3672" spans="2:9">
      <c r="B3672" s="3192" t="s">
        <v>677</v>
      </c>
      <c r="C3672" s="3063"/>
      <c r="D3672" s="3064"/>
      <c r="E3672" s="3064"/>
      <c r="F3672" s="3064"/>
      <c r="G3672" s="3301" t="s">
        <v>677</v>
      </c>
      <c r="H3672" s="3063"/>
      <c r="I3672" s="3030"/>
    </row>
    <row r="3673" spans="2:9">
      <c r="B3673" s="3192" t="s">
        <v>678</v>
      </c>
      <c r="C3673" s="3063"/>
      <c r="D3673" s="3064"/>
      <c r="E3673" s="3064"/>
      <c r="F3673" s="3064"/>
      <c r="G3673" s="3301" t="s">
        <v>678</v>
      </c>
      <c r="H3673" s="3063"/>
      <c r="I3673" s="3030"/>
    </row>
    <row r="3674" spans="2:9">
      <c r="B3674" s="3192" t="s">
        <v>679</v>
      </c>
      <c r="C3674" s="3063"/>
      <c r="D3674" s="3064"/>
      <c r="E3674" s="3064"/>
      <c r="F3674" s="3064"/>
      <c r="G3674" s="3301" t="s">
        <v>679</v>
      </c>
      <c r="H3674" s="3063"/>
      <c r="I3674" s="3030"/>
    </row>
    <row r="3675" spans="2:9" ht="25.5">
      <c r="B3675" s="3192" t="s">
        <v>720</v>
      </c>
      <c r="C3675" s="3063"/>
      <c r="D3675" s="3064"/>
      <c r="E3675" s="3064"/>
      <c r="F3675" s="3064"/>
      <c r="G3675" s="3301" t="s">
        <v>720</v>
      </c>
      <c r="H3675" s="3063"/>
      <c r="I3675" s="3030"/>
    </row>
    <row r="3676" spans="2:9">
      <c r="B3676" s="3299" t="s">
        <v>82</v>
      </c>
      <c r="C3676" s="3063"/>
      <c r="D3676" s="3064"/>
      <c r="E3676" s="3064"/>
      <c r="F3676" s="3064"/>
      <c r="G3676" s="3300" t="s">
        <v>82</v>
      </c>
      <c r="H3676" s="3063"/>
      <c r="I3676" s="3030"/>
    </row>
    <row r="3677" spans="2:9" ht="25.5">
      <c r="B3677" s="3192" t="s">
        <v>675</v>
      </c>
      <c r="C3677" s="3063"/>
      <c r="D3677" s="3064"/>
      <c r="E3677" s="3064"/>
      <c r="F3677" s="3064"/>
      <c r="G3677" s="3301" t="s">
        <v>675</v>
      </c>
      <c r="H3677" s="3063"/>
      <c r="I3677" s="3030"/>
    </row>
    <row r="3678" spans="2:9" ht="25.5">
      <c r="B3678" s="3192" t="s">
        <v>676</v>
      </c>
      <c r="C3678" s="3063"/>
      <c r="D3678" s="3064"/>
      <c r="E3678" s="3064"/>
      <c r="F3678" s="3064"/>
      <c r="G3678" s="3301" t="s">
        <v>676</v>
      </c>
      <c r="H3678" s="3063"/>
      <c r="I3678" s="3030"/>
    </row>
    <row r="3679" spans="2:9">
      <c r="B3679" s="3192" t="s">
        <v>677</v>
      </c>
      <c r="C3679" s="3063"/>
      <c r="D3679" s="3064"/>
      <c r="E3679" s="3064"/>
      <c r="F3679" s="3064"/>
      <c r="G3679" s="3301" t="s">
        <v>677</v>
      </c>
      <c r="H3679" s="3063"/>
      <c r="I3679" s="3030"/>
    </row>
    <row r="3680" spans="2:9">
      <c r="B3680" s="3192" t="s">
        <v>678</v>
      </c>
      <c r="C3680" s="3063"/>
      <c r="D3680" s="3064"/>
      <c r="E3680" s="3064"/>
      <c r="F3680" s="3064"/>
      <c r="G3680" s="3301" t="s">
        <v>678</v>
      </c>
      <c r="H3680" s="3063"/>
      <c r="I3680" s="3030"/>
    </row>
    <row r="3681" spans="2:9">
      <c r="B3681" s="3192" t="s">
        <v>679</v>
      </c>
      <c r="C3681" s="3063"/>
      <c r="D3681" s="3064"/>
      <c r="E3681" s="3064"/>
      <c r="F3681" s="3064"/>
      <c r="G3681" s="3301" t="s">
        <v>679</v>
      </c>
      <c r="H3681" s="3063"/>
      <c r="I3681" s="3030"/>
    </row>
    <row r="3682" spans="2:9" ht="25.5">
      <c r="B3682" s="3192" t="s">
        <v>720</v>
      </c>
      <c r="C3682" s="3063"/>
      <c r="D3682" s="3064"/>
      <c r="E3682" s="3064"/>
      <c r="F3682" s="3064"/>
      <c r="G3682" s="3301" t="s">
        <v>720</v>
      </c>
      <c r="H3682" s="3063"/>
      <c r="I3682" s="3030"/>
    </row>
    <row r="3683" spans="2:9" ht="38.25">
      <c r="B3683" s="3299" t="s">
        <v>680</v>
      </c>
      <c r="C3683" s="3063"/>
      <c r="D3683" s="3064"/>
      <c r="E3683" s="3064"/>
      <c r="F3683" s="3064"/>
      <c r="G3683" s="3300" t="s">
        <v>680</v>
      </c>
      <c r="H3683" s="3063"/>
      <c r="I3683" s="3030"/>
    </row>
    <row r="3684" spans="2:9" ht="25.5">
      <c r="B3684" s="3192" t="s">
        <v>675</v>
      </c>
      <c r="C3684" s="3063"/>
      <c r="D3684" s="3064"/>
      <c r="E3684" s="3064"/>
      <c r="F3684" s="3064"/>
      <c r="G3684" s="3301" t="s">
        <v>675</v>
      </c>
      <c r="H3684" s="3063"/>
      <c r="I3684" s="3030"/>
    </row>
    <row r="3685" spans="2:9" ht="25.5">
      <c r="B3685" s="3192" t="s">
        <v>676</v>
      </c>
      <c r="C3685" s="3063"/>
      <c r="D3685" s="3064"/>
      <c r="E3685" s="3064"/>
      <c r="F3685" s="3064"/>
      <c r="G3685" s="3301" t="s">
        <v>676</v>
      </c>
      <c r="H3685" s="3063"/>
      <c r="I3685" s="3030"/>
    </row>
    <row r="3686" spans="2:9">
      <c r="B3686" s="3192" t="s">
        <v>677</v>
      </c>
      <c r="C3686" s="3063"/>
      <c r="D3686" s="3064"/>
      <c r="E3686" s="3064"/>
      <c r="F3686" s="3064"/>
      <c r="G3686" s="3301" t="s">
        <v>677</v>
      </c>
      <c r="H3686" s="3063"/>
      <c r="I3686" s="3030"/>
    </row>
    <row r="3687" spans="2:9">
      <c r="B3687" s="3192" t="s">
        <v>678</v>
      </c>
      <c r="C3687" s="3063"/>
      <c r="D3687" s="3064"/>
      <c r="E3687" s="3064"/>
      <c r="F3687" s="3064"/>
      <c r="G3687" s="3301" t="s">
        <v>678</v>
      </c>
      <c r="H3687" s="3063"/>
      <c r="I3687" s="3030"/>
    </row>
    <row r="3688" spans="2:9">
      <c r="B3688" s="3192" t="s">
        <v>679</v>
      </c>
      <c r="C3688" s="3063"/>
      <c r="D3688" s="3064"/>
      <c r="E3688" s="3064"/>
      <c r="F3688" s="3064"/>
      <c r="G3688" s="3301" t="s">
        <v>679</v>
      </c>
      <c r="H3688" s="3063"/>
      <c r="I3688" s="3030"/>
    </row>
    <row r="3689" spans="2:9" ht="25.5">
      <c r="B3689" s="3192" t="s">
        <v>720</v>
      </c>
      <c r="C3689" s="3063"/>
      <c r="D3689" s="3064"/>
      <c r="E3689" s="3064"/>
      <c r="F3689" s="3064"/>
      <c r="G3689" s="3301" t="s">
        <v>720</v>
      </c>
      <c r="H3689" s="3063"/>
      <c r="I3689" s="3030"/>
    </row>
    <row r="3690" spans="2:9" ht="38.25">
      <c r="B3690" s="3299" t="s">
        <v>681</v>
      </c>
      <c r="C3690" s="3063"/>
      <c r="D3690" s="3064"/>
      <c r="E3690" s="3064"/>
      <c r="F3690" s="3064"/>
      <c r="G3690" s="3300" t="s">
        <v>681</v>
      </c>
      <c r="H3690" s="3063"/>
      <c r="I3690" s="3030"/>
    </row>
    <row r="3691" spans="2:9" ht="25.5">
      <c r="B3691" s="3192" t="s">
        <v>675</v>
      </c>
      <c r="C3691" s="3063"/>
      <c r="D3691" s="3064"/>
      <c r="E3691" s="3064"/>
      <c r="F3691" s="3064"/>
      <c r="G3691" s="3301" t="s">
        <v>675</v>
      </c>
      <c r="H3691" s="3063"/>
      <c r="I3691" s="3030"/>
    </row>
    <row r="3692" spans="2:9" ht="25.5">
      <c r="B3692" s="3192" t="s">
        <v>676</v>
      </c>
      <c r="C3692" s="3063"/>
      <c r="D3692" s="3064"/>
      <c r="E3692" s="3064"/>
      <c r="F3692" s="3064"/>
      <c r="G3692" s="3301" t="s">
        <v>676</v>
      </c>
      <c r="H3692" s="3063"/>
      <c r="I3692" s="3030"/>
    </row>
    <row r="3693" spans="2:9">
      <c r="B3693" s="3192" t="s">
        <v>677</v>
      </c>
      <c r="C3693" s="3063"/>
      <c r="D3693" s="3064"/>
      <c r="E3693" s="3064"/>
      <c r="F3693" s="3064"/>
      <c r="G3693" s="3301" t="s">
        <v>677</v>
      </c>
      <c r="H3693" s="3063"/>
      <c r="I3693" s="3030"/>
    </row>
    <row r="3694" spans="2:9">
      <c r="B3694" s="3192" t="s">
        <v>678</v>
      </c>
      <c r="C3694" s="3063"/>
      <c r="D3694" s="3064"/>
      <c r="E3694" s="3064"/>
      <c r="F3694" s="3064"/>
      <c r="G3694" s="3301" t="s">
        <v>678</v>
      </c>
      <c r="H3694" s="3063"/>
      <c r="I3694" s="3030"/>
    </row>
    <row r="3695" spans="2:9">
      <c r="B3695" s="3192" t="s">
        <v>679</v>
      </c>
      <c r="C3695" s="3063"/>
      <c r="D3695" s="3064"/>
      <c r="E3695" s="3064"/>
      <c r="F3695" s="3064"/>
      <c r="G3695" s="3301" t="s">
        <v>679</v>
      </c>
      <c r="H3695" s="3063"/>
      <c r="I3695" s="3030"/>
    </row>
    <row r="3696" spans="2:9" ht="25.5">
      <c r="B3696" s="3192" t="s">
        <v>720</v>
      </c>
      <c r="C3696" s="3063"/>
      <c r="D3696" s="3064"/>
      <c r="E3696" s="3064"/>
      <c r="F3696" s="3064"/>
      <c r="G3696" s="3301" t="s">
        <v>720</v>
      </c>
      <c r="H3696" s="3063"/>
      <c r="I3696" s="3030"/>
    </row>
    <row r="3697" spans="2:9" ht="25.5">
      <c r="B3697" s="3299" t="s">
        <v>682</v>
      </c>
      <c r="C3697" s="3063"/>
      <c r="D3697" s="3064"/>
      <c r="E3697" s="3064"/>
      <c r="F3697" s="3064"/>
      <c r="G3697" s="3300" t="s">
        <v>682</v>
      </c>
      <c r="H3697" s="3063"/>
      <c r="I3697" s="3030"/>
    </row>
    <row r="3698" spans="2:9" ht="25.5">
      <c r="B3698" s="3192" t="s">
        <v>675</v>
      </c>
      <c r="C3698" s="3063"/>
      <c r="D3698" s="3064"/>
      <c r="E3698" s="3064"/>
      <c r="F3698" s="3064"/>
      <c r="G3698" s="3301" t="s">
        <v>675</v>
      </c>
      <c r="H3698" s="3063"/>
      <c r="I3698" s="3030"/>
    </row>
    <row r="3699" spans="2:9" ht="25.5">
      <c r="B3699" s="3192" t="s">
        <v>676</v>
      </c>
      <c r="C3699" s="3063"/>
      <c r="D3699" s="3064"/>
      <c r="E3699" s="3064"/>
      <c r="F3699" s="3064"/>
      <c r="G3699" s="3301" t="s">
        <v>676</v>
      </c>
      <c r="H3699" s="3063"/>
      <c r="I3699" s="3030"/>
    </row>
    <row r="3700" spans="2:9">
      <c r="B3700" s="3192" t="s">
        <v>677</v>
      </c>
      <c r="C3700" s="3063"/>
      <c r="D3700" s="3064"/>
      <c r="E3700" s="3064"/>
      <c r="F3700" s="3064"/>
      <c r="G3700" s="3301" t="s">
        <v>677</v>
      </c>
      <c r="H3700" s="3063"/>
      <c r="I3700" s="3030"/>
    </row>
    <row r="3701" spans="2:9">
      <c r="B3701" s="3192" t="s">
        <v>678</v>
      </c>
      <c r="C3701" s="3063"/>
      <c r="D3701" s="3064"/>
      <c r="E3701" s="3064"/>
      <c r="F3701" s="3064"/>
      <c r="G3701" s="3301" t="s">
        <v>678</v>
      </c>
      <c r="H3701" s="3063"/>
      <c r="I3701" s="3030"/>
    </row>
    <row r="3702" spans="2:9">
      <c r="B3702" s="3192" t="s">
        <v>679</v>
      </c>
      <c r="C3702" s="3063"/>
      <c r="D3702" s="3064"/>
      <c r="E3702" s="3064"/>
      <c r="F3702" s="3064"/>
      <c r="G3702" s="3301" t="s">
        <v>679</v>
      </c>
      <c r="H3702" s="3063"/>
      <c r="I3702" s="3030"/>
    </row>
    <row r="3703" spans="2:9" ht="25.5">
      <c r="B3703" s="3192" t="s">
        <v>720</v>
      </c>
      <c r="C3703" s="3063"/>
      <c r="D3703" s="3064"/>
      <c r="E3703" s="3064"/>
      <c r="F3703" s="3064"/>
      <c r="G3703" s="3301" t="s">
        <v>720</v>
      </c>
      <c r="H3703" s="3063"/>
      <c r="I3703" s="3030"/>
    </row>
    <row r="3704" spans="2:9" ht="25.5">
      <c r="B3704" s="3299" t="s">
        <v>66</v>
      </c>
      <c r="C3704" s="3063"/>
      <c r="D3704" s="3064"/>
      <c r="E3704" s="3064"/>
      <c r="F3704" s="3064"/>
      <c r="G3704" s="3300" t="s">
        <v>66</v>
      </c>
      <c r="H3704" s="3063"/>
      <c r="I3704" s="3030"/>
    </row>
    <row r="3705" spans="2:9" ht="25.5">
      <c r="B3705" s="3192" t="s">
        <v>675</v>
      </c>
      <c r="C3705" s="3063"/>
      <c r="D3705" s="3064"/>
      <c r="E3705" s="3064"/>
      <c r="F3705" s="3064"/>
      <c r="G3705" s="3301" t="s">
        <v>675</v>
      </c>
      <c r="H3705" s="3063"/>
      <c r="I3705" s="3030"/>
    </row>
    <row r="3706" spans="2:9" ht="25.5">
      <c r="B3706" s="3192" t="s">
        <v>676</v>
      </c>
      <c r="C3706" s="3063"/>
      <c r="D3706" s="3064"/>
      <c r="E3706" s="3064"/>
      <c r="F3706" s="3064"/>
      <c r="G3706" s="3301" t="s">
        <v>676</v>
      </c>
      <c r="H3706" s="3063"/>
      <c r="I3706" s="3030"/>
    </row>
    <row r="3707" spans="2:9">
      <c r="B3707" s="3192" t="s">
        <v>677</v>
      </c>
      <c r="C3707" s="3063"/>
      <c r="D3707" s="3064"/>
      <c r="E3707" s="3064"/>
      <c r="F3707" s="3064"/>
      <c r="G3707" s="3301" t="s">
        <v>677</v>
      </c>
      <c r="H3707" s="3063"/>
      <c r="I3707" s="3030"/>
    </row>
    <row r="3708" spans="2:9">
      <c r="B3708" s="3192" t="s">
        <v>678</v>
      </c>
      <c r="C3708" s="3063"/>
      <c r="D3708" s="3064"/>
      <c r="E3708" s="3064"/>
      <c r="F3708" s="3064"/>
      <c r="G3708" s="3301" t="s">
        <v>678</v>
      </c>
      <c r="H3708" s="3063"/>
      <c r="I3708" s="3030"/>
    </row>
    <row r="3709" spans="2:9">
      <c r="B3709" s="3192" t="s">
        <v>679</v>
      </c>
      <c r="C3709" s="3063"/>
      <c r="D3709" s="3064"/>
      <c r="E3709" s="3064"/>
      <c r="F3709" s="3064"/>
      <c r="G3709" s="3301" t="s">
        <v>679</v>
      </c>
      <c r="H3709" s="3063"/>
      <c r="I3709" s="3030"/>
    </row>
    <row r="3710" spans="2:9" ht="25.5">
      <c r="B3710" s="3192" t="s">
        <v>720</v>
      </c>
      <c r="C3710" s="3063"/>
      <c r="D3710" s="3064"/>
      <c r="E3710" s="3064"/>
      <c r="F3710" s="3064"/>
      <c r="G3710" s="3301" t="s">
        <v>720</v>
      </c>
      <c r="H3710" s="3063"/>
      <c r="I3710" s="3030"/>
    </row>
    <row r="3711" spans="2:9">
      <c r="B3711" s="3299" t="s">
        <v>67</v>
      </c>
      <c r="C3711" s="3063"/>
      <c r="D3711" s="3064"/>
      <c r="E3711" s="3064"/>
      <c r="F3711" s="3064"/>
      <c r="G3711" s="3300" t="s">
        <v>67</v>
      </c>
      <c r="H3711" s="3063"/>
      <c r="I3711" s="3030"/>
    </row>
    <row r="3712" spans="2:9" ht="25.5">
      <c r="B3712" s="3192" t="s">
        <v>675</v>
      </c>
      <c r="C3712" s="3063"/>
      <c r="D3712" s="3064"/>
      <c r="E3712" s="3064"/>
      <c r="F3712" s="3064"/>
      <c r="G3712" s="3301" t="s">
        <v>675</v>
      </c>
      <c r="H3712" s="3063"/>
      <c r="I3712" s="3030"/>
    </row>
    <row r="3713" spans="2:9" ht="25.5">
      <c r="B3713" s="3192" t="s">
        <v>676</v>
      </c>
      <c r="C3713" s="3063"/>
      <c r="D3713" s="3064"/>
      <c r="E3713" s="3064"/>
      <c r="F3713" s="3064"/>
      <c r="G3713" s="3301" t="s">
        <v>676</v>
      </c>
      <c r="H3713" s="3063"/>
      <c r="I3713" s="3030"/>
    </row>
    <row r="3714" spans="2:9">
      <c r="B3714" s="3192" t="s">
        <v>677</v>
      </c>
      <c r="C3714" s="3063"/>
      <c r="D3714" s="3064"/>
      <c r="E3714" s="3064"/>
      <c r="F3714" s="3064"/>
      <c r="G3714" s="3301" t="s">
        <v>677</v>
      </c>
      <c r="H3714" s="3063"/>
      <c r="I3714" s="3030"/>
    </row>
    <row r="3715" spans="2:9">
      <c r="B3715" s="3192" t="s">
        <v>678</v>
      </c>
      <c r="C3715" s="3063"/>
      <c r="D3715" s="3064"/>
      <c r="E3715" s="3064"/>
      <c r="F3715" s="3064"/>
      <c r="G3715" s="3301" t="s">
        <v>678</v>
      </c>
      <c r="H3715" s="3063"/>
      <c r="I3715" s="3030"/>
    </row>
    <row r="3716" spans="2:9">
      <c r="B3716" s="3192" t="s">
        <v>679</v>
      </c>
      <c r="C3716" s="3063"/>
      <c r="D3716" s="3064"/>
      <c r="E3716" s="3064"/>
      <c r="F3716" s="3064"/>
      <c r="G3716" s="3301" t="s">
        <v>679</v>
      </c>
      <c r="H3716" s="3063"/>
      <c r="I3716" s="3030"/>
    </row>
    <row r="3717" spans="2:9" ht="25.5">
      <c r="B3717" s="3192" t="s">
        <v>720</v>
      </c>
      <c r="C3717" s="3063"/>
      <c r="D3717" s="3064"/>
      <c r="E3717" s="3064"/>
      <c r="F3717" s="3064"/>
      <c r="G3717" s="3301" t="s">
        <v>720</v>
      </c>
      <c r="H3717" s="3063"/>
      <c r="I3717" s="3030"/>
    </row>
    <row r="3718" spans="2:9" ht="25.5">
      <c r="B3718" s="3230" t="s">
        <v>81</v>
      </c>
      <c r="C3718" s="3063"/>
      <c r="D3718" s="3064"/>
      <c r="E3718" s="3064"/>
      <c r="F3718" s="3064"/>
      <c r="G3718" s="3302" t="s">
        <v>81</v>
      </c>
      <c r="H3718" s="3063"/>
      <c r="I3718" s="3030"/>
    </row>
    <row r="3719" spans="2:9" ht="26.25" thickBot="1">
      <c r="B3719" s="3303" t="s">
        <v>81</v>
      </c>
      <c r="C3719" s="3063"/>
      <c r="D3719" s="3064"/>
      <c r="E3719" s="3064"/>
      <c r="F3719" s="3064"/>
      <c r="G3719" s="3302" t="s">
        <v>81</v>
      </c>
      <c r="H3719" s="3063"/>
      <c r="I3719" s="3030"/>
    </row>
    <row r="3720" spans="2:9" ht="25.5">
      <c r="B3720" s="3217" t="s">
        <v>696</v>
      </c>
      <c r="C3720" s="3218"/>
      <c r="D3720" s="3219"/>
      <c r="E3720" s="3219"/>
      <c r="F3720" s="3219"/>
      <c r="G3720" s="3217" t="s">
        <v>696</v>
      </c>
      <c r="H3720" s="3297"/>
      <c r="I3720" s="3298"/>
    </row>
    <row r="3721" spans="2:9">
      <c r="B3721" s="3299" t="s">
        <v>64</v>
      </c>
      <c r="C3721" s="3063"/>
      <c r="D3721" s="3064"/>
      <c r="E3721" s="3064"/>
      <c r="F3721" s="3064"/>
      <c r="G3721" s="3300" t="s">
        <v>64</v>
      </c>
      <c r="H3721" s="3063"/>
      <c r="I3721" s="3030"/>
    </row>
    <row r="3722" spans="2:9" ht="25.5">
      <c r="B3722" s="3192" t="s">
        <v>675</v>
      </c>
      <c r="C3722" s="3063">
        <v>1</v>
      </c>
      <c r="D3722" s="3064"/>
      <c r="E3722" s="3064"/>
      <c r="F3722" s="3064"/>
      <c r="G3722" s="3301" t="s">
        <v>675</v>
      </c>
      <c r="H3722" s="3063"/>
      <c r="I3722" s="3030"/>
    </row>
    <row r="3723" spans="2:9" ht="25.5">
      <c r="B3723" s="3192" t="s">
        <v>676</v>
      </c>
      <c r="C3723" s="3063"/>
      <c r="D3723" s="3064"/>
      <c r="E3723" s="3064"/>
      <c r="F3723" s="3064"/>
      <c r="G3723" s="3301" t="s">
        <v>676</v>
      </c>
      <c r="H3723" s="3063"/>
      <c r="I3723" s="3030"/>
    </row>
    <row r="3724" spans="2:9">
      <c r="B3724" s="3192" t="s">
        <v>677</v>
      </c>
      <c r="C3724" s="3063"/>
      <c r="D3724" s="3064"/>
      <c r="E3724" s="3064"/>
      <c r="F3724" s="3064"/>
      <c r="G3724" s="3301" t="s">
        <v>677</v>
      </c>
      <c r="H3724" s="3063"/>
      <c r="I3724" s="3030"/>
    </row>
    <row r="3725" spans="2:9">
      <c r="B3725" s="3192" t="s">
        <v>678</v>
      </c>
      <c r="C3725" s="3063"/>
      <c r="D3725" s="3064"/>
      <c r="E3725" s="3064"/>
      <c r="F3725" s="3064"/>
      <c r="G3725" s="3301" t="s">
        <v>678</v>
      </c>
      <c r="H3725" s="3063"/>
      <c r="I3725" s="3030"/>
    </row>
    <row r="3726" spans="2:9">
      <c r="B3726" s="3192" t="s">
        <v>679</v>
      </c>
      <c r="C3726" s="3063"/>
      <c r="D3726" s="3064"/>
      <c r="E3726" s="3064"/>
      <c r="F3726" s="3064"/>
      <c r="G3726" s="3301" t="s">
        <v>679</v>
      </c>
      <c r="H3726" s="3063"/>
      <c r="I3726" s="3030"/>
    </row>
    <row r="3727" spans="2:9" ht="25.5">
      <c r="B3727" s="3192" t="s">
        <v>720</v>
      </c>
      <c r="C3727" s="3063"/>
      <c r="D3727" s="3064"/>
      <c r="E3727" s="3064"/>
      <c r="F3727" s="3064"/>
      <c r="G3727" s="3301" t="s">
        <v>720</v>
      </c>
      <c r="H3727" s="3063"/>
      <c r="I3727" s="3030"/>
    </row>
    <row r="3728" spans="2:9">
      <c r="B3728" s="3299" t="s">
        <v>65</v>
      </c>
      <c r="C3728" s="3063"/>
      <c r="D3728" s="3064"/>
      <c r="E3728" s="3064"/>
      <c r="F3728" s="3064"/>
      <c r="G3728" s="3300" t="s">
        <v>65</v>
      </c>
      <c r="H3728" s="3063"/>
      <c r="I3728" s="3030"/>
    </row>
    <row r="3729" spans="2:9" ht="25.5">
      <c r="B3729" s="3192" t="s">
        <v>675</v>
      </c>
      <c r="C3729" s="3063"/>
      <c r="D3729" s="3064"/>
      <c r="E3729" s="3064"/>
      <c r="F3729" s="3064"/>
      <c r="G3729" s="3301" t="s">
        <v>675</v>
      </c>
      <c r="H3729" s="3063"/>
      <c r="I3729" s="3030"/>
    </row>
    <row r="3730" spans="2:9" ht="25.5">
      <c r="B3730" s="3192" t="s">
        <v>676</v>
      </c>
      <c r="C3730" s="3063"/>
      <c r="D3730" s="3064"/>
      <c r="E3730" s="3064"/>
      <c r="F3730" s="3064"/>
      <c r="G3730" s="3301" t="s">
        <v>676</v>
      </c>
      <c r="H3730" s="3063"/>
      <c r="I3730" s="3030"/>
    </row>
    <row r="3731" spans="2:9">
      <c r="B3731" s="3192" t="s">
        <v>677</v>
      </c>
      <c r="C3731" s="3063"/>
      <c r="D3731" s="3064"/>
      <c r="E3731" s="3064"/>
      <c r="F3731" s="3064"/>
      <c r="G3731" s="3301" t="s">
        <v>677</v>
      </c>
      <c r="H3731" s="3063"/>
      <c r="I3731" s="3030"/>
    </row>
    <row r="3732" spans="2:9">
      <c r="B3732" s="3192" t="s">
        <v>678</v>
      </c>
      <c r="C3732" s="3063"/>
      <c r="D3732" s="3064"/>
      <c r="E3732" s="3064"/>
      <c r="F3732" s="3064"/>
      <c r="G3732" s="3301" t="s">
        <v>678</v>
      </c>
      <c r="H3732" s="3063"/>
      <c r="I3732" s="3030"/>
    </row>
    <row r="3733" spans="2:9">
      <c r="B3733" s="3192" t="s">
        <v>679</v>
      </c>
      <c r="C3733" s="3063"/>
      <c r="D3733" s="3064"/>
      <c r="E3733" s="3064"/>
      <c r="F3733" s="3064"/>
      <c r="G3733" s="3301" t="s">
        <v>679</v>
      </c>
      <c r="H3733" s="3063"/>
      <c r="I3733" s="3030"/>
    </row>
    <row r="3734" spans="2:9" ht="25.5">
      <c r="B3734" s="3192" t="s">
        <v>720</v>
      </c>
      <c r="C3734" s="3063"/>
      <c r="D3734" s="3064"/>
      <c r="E3734" s="3064"/>
      <c r="F3734" s="3064"/>
      <c r="G3734" s="3301" t="s">
        <v>720</v>
      </c>
      <c r="H3734" s="3063"/>
      <c r="I3734" s="3030"/>
    </row>
    <row r="3735" spans="2:9">
      <c r="B3735" s="3299" t="s">
        <v>82</v>
      </c>
      <c r="C3735" s="3063"/>
      <c r="D3735" s="3064"/>
      <c r="E3735" s="3064"/>
      <c r="F3735" s="3064"/>
      <c r="G3735" s="3300" t="s">
        <v>82</v>
      </c>
      <c r="H3735" s="3063"/>
      <c r="I3735" s="3030"/>
    </row>
    <row r="3736" spans="2:9" ht="25.5">
      <c r="B3736" s="3192" t="s">
        <v>675</v>
      </c>
      <c r="C3736" s="3063"/>
      <c r="D3736" s="3064"/>
      <c r="E3736" s="3064"/>
      <c r="F3736" s="3064"/>
      <c r="G3736" s="3301" t="s">
        <v>675</v>
      </c>
      <c r="H3736" s="3063"/>
      <c r="I3736" s="3030"/>
    </row>
    <row r="3737" spans="2:9" ht="25.5">
      <c r="B3737" s="3192" t="s">
        <v>676</v>
      </c>
      <c r="C3737" s="3063"/>
      <c r="D3737" s="3064"/>
      <c r="E3737" s="3064"/>
      <c r="F3737" s="3064"/>
      <c r="G3737" s="3301" t="s">
        <v>676</v>
      </c>
      <c r="H3737" s="3063"/>
      <c r="I3737" s="3030"/>
    </row>
    <row r="3738" spans="2:9">
      <c r="B3738" s="3192" t="s">
        <v>677</v>
      </c>
      <c r="C3738" s="3063"/>
      <c r="D3738" s="3064"/>
      <c r="E3738" s="3064"/>
      <c r="F3738" s="3064"/>
      <c r="G3738" s="3301" t="s">
        <v>677</v>
      </c>
      <c r="H3738" s="3063"/>
      <c r="I3738" s="3030"/>
    </row>
    <row r="3739" spans="2:9">
      <c r="B3739" s="3192" t="s">
        <v>678</v>
      </c>
      <c r="C3739" s="3063"/>
      <c r="D3739" s="3064"/>
      <c r="E3739" s="3064"/>
      <c r="F3739" s="3064"/>
      <c r="G3739" s="3301" t="s">
        <v>678</v>
      </c>
      <c r="H3739" s="3063"/>
      <c r="I3739" s="3030"/>
    </row>
    <row r="3740" spans="2:9">
      <c r="B3740" s="3192" t="s">
        <v>679</v>
      </c>
      <c r="C3740" s="3063"/>
      <c r="D3740" s="3064"/>
      <c r="E3740" s="3064"/>
      <c r="F3740" s="3064"/>
      <c r="G3740" s="3301" t="s">
        <v>679</v>
      </c>
      <c r="H3740" s="3063"/>
      <c r="I3740" s="3030"/>
    </row>
    <row r="3741" spans="2:9" ht="25.5">
      <c r="B3741" s="3192" t="s">
        <v>720</v>
      </c>
      <c r="C3741" s="3063"/>
      <c r="D3741" s="3064"/>
      <c r="E3741" s="3064"/>
      <c r="F3741" s="3064"/>
      <c r="G3741" s="3301" t="s">
        <v>720</v>
      </c>
      <c r="H3741" s="3063"/>
      <c r="I3741" s="3030"/>
    </row>
    <row r="3742" spans="2:9" ht="38.25">
      <c r="B3742" s="3299" t="s">
        <v>680</v>
      </c>
      <c r="C3742" s="3063"/>
      <c r="D3742" s="3064"/>
      <c r="E3742" s="3064"/>
      <c r="F3742" s="3064"/>
      <c r="G3742" s="3300" t="s">
        <v>680</v>
      </c>
      <c r="H3742" s="3063"/>
      <c r="I3742" s="3030"/>
    </row>
    <row r="3743" spans="2:9" ht="25.5">
      <c r="B3743" s="3192" t="s">
        <v>675</v>
      </c>
      <c r="C3743" s="3063"/>
      <c r="D3743" s="3064"/>
      <c r="E3743" s="3064"/>
      <c r="F3743" s="3064"/>
      <c r="G3743" s="3301" t="s">
        <v>675</v>
      </c>
      <c r="H3743" s="3063"/>
      <c r="I3743" s="3030"/>
    </row>
    <row r="3744" spans="2:9" ht="25.5">
      <c r="B3744" s="3192" t="s">
        <v>676</v>
      </c>
      <c r="C3744" s="3063"/>
      <c r="D3744" s="3064"/>
      <c r="E3744" s="3064"/>
      <c r="F3744" s="3064"/>
      <c r="G3744" s="3301" t="s">
        <v>676</v>
      </c>
      <c r="H3744" s="3063"/>
      <c r="I3744" s="3030"/>
    </row>
    <row r="3745" spans="2:9">
      <c r="B3745" s="3192" t="s">
        <v>677</v>
      </c>
      <c r="C3745" s="3063"/>
      <c r="D3745" s="3064"/>
      <c r="E3745" s="3064"/>
      <c r="F3745" s="3064"/>
      <c r="G3745" s="3301" t="s">
        <v>677</v>
      </c>
      <c r="H3745" s="3063"/>
      <c r="I3745" s="3030"/>
    </row>
    <row r="3746" spans="2:9">
      <c r="B3746" s="3192" t="s">
        <v>678</v>
      </c>
      <c r="C3746" s="3063"/>
      <c r="D3746" s="3064"/>
      <c r="E3746" s="3064"/>
      <c r="F3746" s="3064"/>
      <c r="G3746" s="3301" t="s">
        <v>678</v>
      </c>
      <c r="H3746" s="3063"/>
      <c r="I3746" s="3030"/>
    </row>
    <row r="3747" spans="2:9">
      <c r="B3747" s="3192" t="s">
        <v>679</v>
      </c>
      <c r="C3747" s="3063"/>
      <c r="D3747" s="3064"/>
      <c r="E3747" s="3064"/>
      <c r="F3747" s="3064"/>
      <c r="G3747" s="3301" t="s">
        <v>679</v>
      </c>
      <c r="H3747" s="3063"/>
      <c r="I3747" s="3030"/>
    </row>
    <row r="3748" spans="2:9" ht="25.5">
      <c r="B3748" s="3192" t="s">
        <v>720</v>
      </c>
      <c r="C3748" s="3063"/>
      <c r="D3748" s="3064"/>
      <c r="E3748" s="3064"/>
      <c r="F3748" s="3064"/>
      <c r="G3748" s="3301" t="s">
        <v>720</v>
      </c>
      <c r="H3748" s="3063"/>
      <c r="I3748" s="3030"/>
    </row>
    <row r="3749" spans="2:9" ht="38.25">
      <c r="B3749" s="3299" t="s">
        <v>681</v>
      </c>
      <c r="C3749" s="3063"/>
      <c r="D3749" s="3064"/>
      <c r="E3749" s="3064"/>
      <c r="F3749" s="3064"/>
      <c r="G3749" s="3300" t="s">
        <v>681</v>
      </c>
      <c r="H3749" s="3063"/>
      <c r="I3749" s="3030"/>
    </row>
    <row r="3750" spans="2:9" ht="25.5">
      <c r="B3750" s="3192" t="s">
        <v>675</v>
      </c>
      <c r="C3750" s="3063"/>
      <c r="D3750" s="3064"/>
      <c r="E3750" s="3064"/>
      <c r="F3750" s="3064"/>
      <c r="G3750" s="3301" t="s">
        <v>675</v>
      </c>
      <c r="H3750" s="3063"/>
      <c r="I3750" s="3030"/>
    </row>
    <row r="3751" spans="2:9" ht="25.5">
      <c r="B3751" s="3192" t="s">
        <v>676</v>
      </c>
      <c r="C3751" s="3063"/>
      <c r="D3751" s="3064"/>
      <c r="E3751" s="3064"/>
      <c r="F3751" s="3064"/>
      <c r="G3751" s="3301" t="s">
        <v>676</v>
      </c>
      <c r="H3751" s="3063"/>
      <c r="I3751" s="3030"/>
    </row>
    <row r="3752" spans="2:9">
      <c r="B3752" s="3192" t="s">
        <v>677</v>
      </c>
      <c r="C3752" s="3063"/>
      <c r="D3752" s="3064"/>
      <c r="E3752" s="3064"/>
      <c r="F3752" s="3064"/>
      <c r="G3752" s="3301" t="s">
        <v>677</v>
      </c>
      <c r="H3752" s="3063"/>
      <c r="I3752" s="3030"/>
    </row>
    <row r="3753" spans="2:9">
      <c r="B3753" s="3192" t="s">
        <v>678</v>
      </c>
      <c r="C3753" s="3063"/>
      <c r="D3753" s="3064"/>
      <c r="E3753" s="3064"/>
      <c r="F3753" s="3064"/>
      <c r="G3753" s="3301" t="s">
        <v>678</v>
      </c>
      <c r="H3753" s="3063"/>
      <c r="I3753" s="3030"/>
    </row>
    <row r="3754" spans="2:9">
      <c r="B3754" s="3192" t="s">
        <v>679</v>
      </c>
      <c r="C3754" s="3063"/>
      <c r="D3754" s="3064"/>
      <c r="E3754" s="3064"/>
      <c r="F3754" s="3064"/>
      <c r="G3754" s="3301" t="s">
        <v>679</v>
      </c>
      <c r="H3754" s="3063"/>
      <c r="I3754" s="3030"/>
    </row>
    <row r="3755" spans="2:9" ht="25.5">
      <c r="B3755" s="3192" t="s">
        <v>720</v>
      </c>
      <c r="C3755" s="3063"/>
      <c r="D3755" s="3064"/>
      <c r="E3755" s="3064"/>
      <c r="F3755" s="3064"/>
      <c r="G3755" s="3301" t="s">
        <v>720</v>
      </c>
      <c r="H3755" s="3063"/>
      <c r="I3755" s="3030"/>
    </row>
    <row r="3756" spans="2:9" ht="25.5">
      <c r="B3756" s="3299" t="s">
        <v>682</v>
      </c>
      <c r="C3756" s="3063"/>
      <c r="D3756" s="3064"/>
      <c r="E3756" s="3064"/>
      <c r="F3756" s="3064"/>
      <c r="G3756" s="3300" t="s">
        <v>682</v>
      </c>
      <c r="H3756" s="3063"/>
      <c r="I3756" s="3030"/>
    </row>
    <row r="3757" spans="2:9" ht="25.5">
      <c r="B3757" s="3192" t="s">
        <v>675</v>
      </c>
      <c r="C3757" s="3063"/>
      <c r="D3757" s="3064"/>
      <c r="E3757" s="3064"/>
      <c r="F3757" s="3064"/>
      <c r="G3757" s="3301" t="s">
        <v>675</v>
      </c>
      <c r="H3757" s="3063"/>
      <c r="I3757" s="3030"/>
    </row>
    <row r="3758" spans="2:9" ht="25.5">
      <c r="B3758" s="3192" t="s">
        <v>676</v>
      </c>
      <c r="C3758" s="3063"/>
      <c r="D3758" s="3064"/>
      <c r="E3758" s="3064"/>
      <c r="F3758" s="3064"/>
      <c r="G3758" s="3301" t="s">
        <v>676</v>
      </c>
      <c r="H3758" s="3063"/>
      <c r="I3758" s="3030"/>
    </row>
    <row r="3759" spans="2:9">
      <c r="B3759" s="3192" t="s">
        <v>677</v>
      </c>
      <c r="C3759" s="3063"/>
      <c r="D3759" s="3064"/>
      <c r="E3759" s="3064"/>
      <c r="F3759" s="3064"/>
      <c r="G3759" s="3301" t="s">
        <v>677</v>
      </c>
      <c r="H3759" s="3063"/>
      <c r="I3759" s="3030"/>
    </row>
    <row r="3760" spans="2:9">
      <c r="B3760" s="3192" t="s">
        <v>678</v>
      </c>
      <c r="C3760" s="3063"/>
      <c r="D3760" s="3064"/>
      <c r="E3760" s="3064"/>
      <c r="F3760" s="3064"/>
      <c r="G3760" s="3301" t="s">
        <v>678</v>
      </c>
      <c r="H3760" s="3063"/>
      <c r="I3760" s="3030"/>
    </row>
    <row r="3761" spans="2:9">
      <c r="B3761" s="3192" t="s">
        <v>679</v>
      </c>
      <c r="C3761" s="3063"/>
      <c r="D3761" s="3064"/>
      <c r="E3761" s="3064"/>
      <c r="F3761" s="3064"/>
      <c r="G3761" s="3301" t="s">
        <v>679</v>
      </c>
      <c r="H3761" s="3063"/>
      <c r="I3761" s="3030"/>
    </row>
    <row r="3762" spans="2:9" ht="25.5">
      <c r="B3762" s="3192" t="s">
        <v>720</v>
      </c>
      <c r="C3762" s="3063"/>
      <c r="D3762" s="3064"/>
      <c r="E3762" s="3064"/>
      <c r="F3762" s="3064"/>
      <c r="G3762" s="3301" t="s">
        <v>720</v>
      </c>
      <c r="H3762" s="3063"/>
      <c r="I3762" s="3030"/>
    </row>
    <row r="3763" spans="2:9" ht="25.5">
      <c r="B3763" s="3299" t="s">
        <v>66</v>
      </c>
      <c r="C3763" s="3063"/>
      <c r="D3763" s="3064"/>
      <c r="E3763" s="3064"/>
      <c r="F3763" s="3064">
        <v>4</v>
      </c>
      <c r="G3763" s="3300" t="s">
        <v>66</v>
      </c>
      <c r="H3763" s="3063">
        <v>0.83979328165374667</v>
      </c>
      <c r="I3763" s="3030"/>
    </row>
    <row r="3764" spans="2:9" ht="25.5">
      <c r="B3764" s="3192" t="s">
        <v>675</v>
      </c>
      <c r="C3764" s="3063">
        <v>4</v>
      </c>
      <c r="D3764" s="3064">
        <v>4</v>
      </c>
      <c r="E3764" s="3064"/>
      <c r="F3764" s="3064"/>
      <c r="G3764" s="3301" t="s">
        <v>675</v>
      </c>
      <c r="H3764" s="3063"/>
      <c r="I3764" s="3030">
        <v>1.0335917312661498</v>
      </c>
    </row>
    <row r="3765" spans="2:9" ht="25.5">
      <c r="B3765" s="3192" t="s">
        <v>676</v>
      </c>
      <c r="C3765" s="3063"/>
      <c r="D3765" s="3064"/>
      <c r="E3765" s="3064"/>
      <c r="F3765" s="3064"/>
      <c r="G3765" s="3301" t="s">
        <v>676</v>
      </c>
      <c r="H3765" s="3063"/>
      <c r="I3765" s="3030"/>
    </row>
    <row r="3766" spans="2:9">
      <c r="B3766" s="3192" t="s">
        <v>677</v>
      </c>
      <c r="C3766" s="3063"/>
      <c r="D3766" s="3064"/>
      <c r="E3766" s="3064"/>
      <c r="F3766" s="3064"/>
      <c r="G3766" s="3301" t="s">
        <v>677</v>
      </c>
      <c r="H3766" s="3063"/>
      <c r="I3766" s="3030"/>
    </row>
    <row r="3767" spans="2:9">
      <c r="B3767" s="3192" t="s">
        <v>678</v>
      </c>
      <c r="C3767" s="3063"/>
      <c r="D3767" s="3064">
        <v>1</v>
      </c>
      <c r="E3767" s="3064"/>
      <c r="F3767" s="3064"/>
      <c r="G3767" s="3301" t="s">
        <v>678</v>
      </c>
      <c r="H3767" s="3063"/>
      <c r="I3767" s="3030"/>
    </row>
    <row r="3768" spans="2:9">
      <c r="B3768" s="3192" t="s">
        <v>679</v>
      </c>
      <c r="C3768" s="3063"/>
      <c r="D3768" s="3064"/>
      <c r="E3768" s="3064"/>
      <c r="F3768" s="3064"/>
      <c r="G3768" s="3301" t="s">
        <v>679</v>
      </c>
      <c r="H3768" s="3063"/>
      <c r="I3768" s="3030"/>
    </row>
    <row r="3769" spans="2:9" ht="25.5">
      <c r="B3769" s="3192" t="s">
        <v>720</v>
      </c>
      <c r="C3769" s="3063"/>
      <c r="D3769" s="3064"/>
      <c r="E3769" s="3064"/>
      <c r="F3769" s="3064"/>
      <c r="G3769" s="3301" t="s">
        <v>720</v>
      </c>
      <c r="H3769" s="3063"/>
      <c r="I3769" s="3030"/>
    </row>
    <row r="3770" spans="2:9">
      <c r="B3770" s="3299" t="s">
        <v>67</v>
      </c>
      <c r="C3770" s="3063"/>
      <c r="D3770" s="3064"/>
      <c r="E3770" s="3064"/>
      <c r="F3770" s="3064"/>
      <c r="G3770" s="3300" t="s">
        <v>67</v>
      </c>
      <c r="H3770" s="3063">
        <v>0.11117287381878821</v>
      </c>
      <c r="I3770" s="3030"/>
    </row>
    <row r="3771" spans="2:9" ht="25.5">
      <c r="B3771" s="3192" t="s">
        <v>675</v>
      </c>
      <c r="C3771" s="3063"/>
      <c r="D3771" s="3064"/>
      <c r="E3771" s="3064"/>
      <c r="F3771" s="3064"/>
      <c r="G3771" s="3301" t="s">
        <v>675</v>
      </c>
      <c r="H3771" s="3063"/>
      <c r="I3771" s="3030"/>
    </row>
    <row r="3772" spans="2:9" ht="25.5">
      <c r="B3772" s="3192" t="s">
        <v>676</v>
      </c>
      <c r="C3772" s="3063"/>
      <c r="D3772" s="3064"/>
      <c r="E3772" s="3064"/>
      <c r="F3772" s="3064"/>
      <c r="G3772" s="3301" t="s">
        <v>676</v>
      </c>
      <c r="H3772" s="3063"/>
      <c r="I3772" s="3030"/>
    </row>
    <row r="3773" spans="2:9">
      <c r="B3773" s="3192" t="s">
        <v>677</v>
      </c>
      <c r="C3773" s="3063"/>
      <c r="D3773" s="3064"/>
      <c r="E3773" s="3064"/>
      <c r="F3773" s="3064"/>
      <c r="G3773" s="3301" t="s">
        <v>677</v>
      </c>
      <c r="H3773" s="3063"/>
      <c r="I3773" s="3030"/>
    </row>
    <row r="3774" spans="2:9">
      <c r="B3774" s="3192" t="s">
        <v>678</v>
      </c>
      <c r="C3774" s="3063"/>
      <c r="D3774" s="3064">
        <v>1</v>
      </c>
      <c r="E3774" s="3064"/>
      <c r="F3774" s="3064"/>
      <c r="G3774" s="3301" t="s">
        <v>678</v>
      </c>
      <c r="H3774" s="3063"/>
      <c r="I3774" s="3030"/>
    </row>
    <row r="3775" spans="2:9">
      <c r="B3775" s="3192" t="s">
        <v>679</v>
      </c>
      <c r="C3775" s="3063"/>
      <c r="D3775" s="3064"/>
      <c r="E3775" s="3064"/>
      <c r="F3775" s="3064"/>
      <c r="G3775" s="3301" t="s">
        <v>679</v>
      </c>
      <c r="H3775" s="3063"/>
      <c r="I3775" s="3030"/>
    </row>
    <row r="3776" spans="2:9" ht="25.5">
      <c r="B3776" s="3230" t="s">
        <v>81</v>
      </c>
      <c r="C3776" s="3063"/>
      <c r="D3776" s="3064"/>
      <c r="E3776" s="3064"/>
      <c r="F3776" s="3064"/>
      <c r="G3776" s="3302" t="s">
        <v>81</v>
      </c>
      <c r="H3776" s="3063"/>
      <c r="I3776" s="3030"/>
    </row>
    <row r="3777" spans="2:9" ht="26.25" thickBot="1">
      <c r="B3777" s="3303" t="s">
        <v>81</v>
      </c>
      <c r="C3777" s="3063"/>
      <c r="D3777" s="3064"/>
      <c r="E3777" s="3064"/>
      <c r="F3777" s="3064"/>
      <c r="G3777" s="3302" t="s">
        <v>81</v>
      </c>
      <c r="H3777" s="3063"/>
      <c r="I3777" s="3030"/>
    </row>
    <row r="3778" spans="2:9">
      <c r="B3778" s="3217" t="s">
        <v>697</v>
      </c>
      <c r="C3778" s="3218"/>
      <c r="D3778" s="3219"/>
      <c r="E3778" s="3219"/>
      <c r="F3778" s="3219"/>
      <c r="G3778" s="3217" t="s">
        <v>697</v>
      </c>
      <c r="H3778" s="3297"/>
      <c r="I3778" s="3298"/>
    </row>
    <row r="3779" spans="2:9">
      <c r="B3779" s="3299" t="s">
        <v>64</v>
      </c>
      <c r="C3779" s="3063"/>
      <c r="D3779" s="3064"/>
      <c r="E3779" s="3064"/>
      <c r="F3779" s="3064"/>
      <c r="G3779" s="3300" t="s">
        <v>64</v>
      </c>
      <c r="H3779" s="3063"/>
      <c r="I3779" s="3030"/>
    </row>
    <row r="3780" spans="2:9" ht="25.5">
      <c r="B3780" s="3192" t="s">
        <v>675</v>
      </c>
      <c r="C3780" s="3063"/>
      <c r="D3780" s="3064"/>
      <c r="E3780" s="3064"/>
      <c r="F3780" s="3064"/>
      <c r="G3780" s="3301" t="s">
        <v>675</v>
      </c>
      <c r="H3780" s="3063"/>
      <c r="I3780" s="3030"/>
    </row>
    <row r="3781" spans="2:9" ht="25.5">
      <c r="B3781" s="3192" t="s">
        <v>676</v>
      </c>
      <c r="C3781" s="3063"/>
      <c r="D3781" s="3064"/>
      <c r="E3781" s="3064"/>
      <c r="F3781" s="3064"/>
      <c r="G3781" s="3301" t="s">
        <v>676</v>
      </c>
      <c r="H3781" s="3063"/>
      <c r="I3781" s="3030"/>
    </row>
    <row r="3782" spans="2:9">
      <c r="B3782" s="3192" t="s">
        <v>677</v>
      </c>
      <c r="C3782" s="3063"/>
      <c r="D3782" s="3064"/>
      <c r="E3782" s="3064"/>
      <c r="F3782" s="3064"/>
      <c r="G3782" s="3301" t="s">
        <v>677</v>
      </c>
      <c r="H3782" s="3063"/>
      <c r="I3782" s="3030"/>
    </row>
    <row r="3783" spans="2:9">
      <c r="B3783" s="3192" t="s">
        <v>678</v>
      </c>
      <c r="C3783" s="3063"/>
      <c r="D3783" s="3064"/>
      <c r="E3783" s="3064"/>
      <c r="F3783" s="3064"/>
      <c r="G3783" s="3301" t="s">
        <v>678</v>
      </c>
      <c r="H3783" s="3063"/>
      <c r="I3783" s="3030"/>
    </row>
    <row r="3784" spans="2:9">
      <c r="B3784" s="3192" t="s">
        <v>679</v>
      </c>
      <c r="C3784" s="3063"/>
      <c r="D3784" s="3064"/>
      <c r="E3784" s="3064"/>
      <c r="F3784" s="3064"/>
      <c r="G3784" s="3301" t="s">
        <v>679</v>
      </c>
      <c r="H3784" s="3063"/>
      <c r="I3784" s="3030"/>
    </row>
    <row r="3785" spans="2:9" ht="25.5">
      <c r="B3785" s="3192" t="s">
        <v>720</v>
      </c>
      <c r="C3785" s="3063"/>
      <c r="D3785" s="3064"/>
      <c r="E3785" s="3064"/>
      <c r="F3785" s="3064"/>
      <c r="G3785" s="3301" t="s">
        <v>720</v>
      </c>
      <c r="H3785" s="3063"/>
      <c r="I3785" s="3030"/>
    </row>
    <row r="3786" spans="2:9">
      <c r="B3786" s="3299" t="s">
        <v>65</v>
      </c>
      <c r="C3786" s="3063"/>
      <c r="D3786" s="3064"/>
      <c r="E3786" s="3064"/>
      <c r="F3786" s="3064"/>
      <c r="G3786" s="3300" t="s">
        <v>65</v>
      </c>
      <c r="H3786" s="3063"/>
      <c r="I3786" s="3030"/>
    </row>
    <row r="3787" spans="2:9" ht="25.5">
      <c r="B3787" s="3192" t="s">
        <v>675</v>
      </c>
      <c r="C3787" s="3063"/>
      <c r="D3787" s="3064"/>
      <c r="E3787" s="3064"/>
      <c r="F3787" s="3064"/>
      <c r="G3787" s="3301" t="s">
        <v>675</v>
      </c>
      <c r="H3787" s="3063"/>
      <c r="I3787" s="3030"/>
    </row>
    <row r="3788" spans="2:9" ht="25.5">
      <c r="B3788" s="3192" t="s">
        <v>676</v>
      </c>
      <c r="C3788" s="3063"/>
      <c r="D3788" s="3064"/>
      <c r="E3788" s="3064"/>
      <c r="F3788" s="3064"/>
      <c r="G3788" s="3301" t="s">
        <v>676</v>
      </c>
      <c r="H3788" s="3063"/>
      <c r="I3788" s="3030"/>
    </row>
    <row r="3789" spans="2:9">
      <c r="B3789" s="3192" t="s">
        <v>677</v>
      </c>
      <c r="C3789" s="3063"/>
      <c r="D3789" s="3064"/>
      <c r="E3789" s="3064"/>
      <c r="F3789" s="3064"/>
      <c r="G3789" s="3301" t="s">
        <v>677</v>
      </c>
      <c r="H3789" s="3063"/>
      <c r="I3789" s="3030"/>
    </row>
    <row r="3790" spans="2:9">
      <c r="B3790" s="3192" t="s">
        <v>678</v>
      </c>
      <c r="C3790" s="3063"/>
      <c r="D3790" s="3064"/>
      <c r="E3790" s="3064"/>
      <c r="F3790" s="3064"/>
      <c r="G3790" s="3301" t="s">
        <v>678</v>
      </c>
      <c r="H3790" s="3063"/>
      <c r="I3790" s="3030"/>
    </row>
    <row r="3791" spans="2:9">
      <c r="B3791" s="3192" t="s">
        <v>679</v>
      </c>
      <c r="C3791" s="3063"/>
      <c r="D3791" s="3064"/>
      <c r="E3791" s="3064"/>
      <c r="F3791" s="3064"/>
      <c r="G3791" s="3301" t="s">
        <v>679</v>
      </c>
      <c r="H3791" s="3063"/>
      <c r="I3791" s="3030"/>
    </row>
    <row r="3792" spans="2:9" ht="25.5">
      <c r="B3792" s="3192" t="s">
        <v>720</v>
      </c>
      <c r="C3792" s="3063"/>
      <c r="D3792" s="3064"/>
      <c r="E3792" s="3064"/>
      <c r="F3792" s="3064"/>
      <c r="G3792" s="3301" t="s">
        <v>720</v>
      </c>
      <c r="H3792" s="3063"/>
      <c r="I3792" s="3030"/>
    </row>
    <row r="3793" spans="2:9">
      <c r="B3793" s="3299" t="s">
        <v>82</v>
      </c>
      <c r="C3793" s="3063"/>
      <c r="D3793" s="3064"/>
      <c r="E3793" s="3064"/>
      <c r="F3793" s="3064"/>
      <c r="G3793" s="3300" t="s">
        <v>82</v>
      </c>
      <c r="H3793" s="3063"/>
      <c r="I3793" s="3030"/>
    </row>
    <row r="3794" spans="2:9" ht="25.5">
      <c r="B3794" s="3192" t="s">
        <v>675</v>
      </c>
      <c r="C3794" s="3063"/>
      <c r="D3794" s="3064"/>
      <c r="E3794" s="3064"/>
      <c r="F3794" s="3064"/>
      <c r="G3794" s="3301" t="s">
        <v>675</v>
      </c>
      <c r="H3794" s="3063"/>
      <c r="I3794" s="3030"/>
    </row>
    <row r="3795" spans="2:9" ht="25.5">
      <c r="B3795" s="3192" t="s">
        <v>676</v>
      </c>
      <c r="C3795" s="3063"/>
      <c r="D3795" s="3064"/>
      <c r="E3795" s="3064"/>
      <c r="F3795" s="3064"/>
      <c r="G3795" s="3301" t="s">
        <v>676</v>
      </c>
      <c r="H3795" s="3063"/>
      <c r="I3795" s="3030"/>
    </row>
    <row r="3796" spans="2:9">
      <c r="B3796" s="3192" t="s">
        <v>677</v>
      </c>
      <c r="C3796" s="3063"/>
      <c r="D3796" s="3064"/>
      <c r="E3796" s="3064"/>
      <c r="F3796" s="3064"/>
      <c r="G3796" s="3301" t="s">
        <v>677</v>
      </c>
      <c r="H3796" s="3063"/>
      <c r="I3796" s="3030"/>
    </row>
    <row r="3797" spans="2:9">
      <c r="B3797" s="3192" t="s">
        <v>678</v>
      </c>
      <c r="C3797" s="3063"/>
      <c r="D3797" s="3064"/>
      <c r="E3797" s="3064"/>
      <c r="F3797" s="3064"/>
      <c r="G3797" s="3301" t="s">
        <v>678</v>
      </c>
      <c r="H3797" s="3063"/>
      <c r="I3797" s="3030"/>
    </row>
    <row r="3798" spans="2:9">
      <c r="B3798" s="3192" t="s">
        <v>679</v>
      </c>
      <c r="C3798" s="3063"/>
      <c r="D3798" s="3064"/>
      <c r="E3798" s="3064"/>
      <c r="F3798" s="3064"/>
      <c r="G3798" s="3301" t="s">
        <v>679</v>
      </c>
      <c r="H3798" s="3063"/>
      <c r="I3798" s="3030"/>
    </row>
    <row r="3799" spans="2:9" ht="25.5">
      <c r="B3799" s="3192" t="s">
        <v>720</v>
      </c>
      <c r="C3799" s="3063"/>
      <c r="D3799" s="3064"/>
      <c r="E3799" s="3064"/>
      <c r="F3799" s="3064"/>
      <c r="G3799" s="3301" t="s">
        <v>720</v>
      </c>
      <c r="H3799" s="3063"/>
      <c r="I3799" s="3030"/>
    </row>
    <row r="3800" spans="2:9" ht="38.25">
      <c r="B3800" s="3299" t="s">
        <v>680</v>
      </c>
      <c r="C3800" s="3063"/>
      <c r="D3800" s="3064"/>
      <c r="E3800" s="3064"/>
      <c r="F3800" s="3064"/>
      <c r="G3800" s="3300" t="s">
        <v>680</v>
      </c>
      <c r="H3800" s="3063"/>
      <c r="I3800" s="3030"/>
    </row>
    <row r="3801" spans="2:9" ht="25.5">
      <c r="B3801" s="3192" t="s">
        <v>675</v>
      </c>
      <c r="C3801" s="3063"/>
      <c r="D3801" s="3064"/>
      <c r="E3801" s="3064"/>
      <c r="F3801" s="3064"/>
      <c r="G3801" s="3301" t="s">
        <v>675</v>
      </c>
      <c r="H3801" s="3063"/>
      <c r="I3801" s="3030"/>
    </row>
    <row r="3802" spans="2:9" ht="25.5">
      <c r="B3802" s="3192" t="s">
        <v>676</v>
      </c>
      <c r="C3802" s="3063"/>
      <c r="D3802" s="3064"/>
      <c r="E3802" s="3064"/>
      <c r="F3802" s="3064"/>
      <c r="G3802" s="3301" t="s">
        <v>676</v>
      </c>
      <c r="H3802" s="3063"/>
      <c r="I3802" s="3030"/>
    </row>
    <row r="3803" spans="2:9">
      <c r="B3803" s="3192" t="s">
        <v>677</v>
      </c>
      <c r="C3803" s="3063"/>
      <c r="D3803" s="3064"/>
      <c r="E3803" s="3064"/>
      <c r="F3803" s="3064"/>
      <c r="G3803" s="3301" t="s">
        <v>677</v>
      </c>
      <c r="H3803" s="3063"/>
      <c r="I3803" s="3030"/>
    </row>
    <row r="3804" spans="2:9">
      <c r="B3804" s="3192" t="s">
        <v>678</v>
      </c>
      <c r="C3804" s="3063"/>
      <c r="D3804" s="3064"/>
      <c r="E3804" s="3064"/>
      <c r="F3804" s="3064"/>
      <c r="G3804" s="3301" t="s">
        <v>678</v>
      </c>
      <c r="H3804" s="3063"/>
      <c r="I3804" s="3030"/>
    </row>
    <row r="3805" spans="2:9">
      <c r="B3805" s="3192" t="s">
        <v>679</v>
      </c>
      <c r="C3805" s="3063"/>
      <c r="D3805" s="3064"/>
      <c r="E3805" s="3064"/>
      <c r="F3805" s="3064"/>
      <c r="G3805" s="3301" t="s">
        <v>679</v>
      </c>
      <c r="H3805" s="3063"/>
      <c r="I3805" s="3030"/>
    </row>
    <row r="3806" spans="2:9" ht="25.5">
      <c r="B3806" s="3192" t="s">
        <v>720</v>
      </c>
      <c r="C3806" s="3063"/>
      <c r="D3806" s="3064"/>
      <c r="E3806" s="3064"/>
      <c r="F3806" s="3064"/>
      <c r="G3806" s="3301" t="s">
        <v>720</v>
      </c>
      <c r="H3806" s="3063"/>
      <c r="I3806" s="3030"/>
    </row>
    <row r="3807" spans="2:9" ht="38.25">
      <c r="B3807" s="3299" t="s">
        <v>681</v>
      </c>
      <c r="C3807" s="3063"/>
      <c r="D3807" s="3064"/>
      <c r="E3807" s="3064"/>
      <c r="F3807" s="3064"/>
      <c r="G3807" s="3300" t="s">
        <v>681</v>
      </c>
      <c r="H3807" s="3063"/>
      <c r="I3807" s="3030"/>
    </row>
    <row r="3808" spans="2:9" ht="25.5">
      <c r="B3808" s="3192" t="s">
        <v>675</v>
      </c>
      <c r="C3808" s="3063"/>
      <c r="D3808" s="3064"/>
      <c r="E3808" s="3064"/>
      <c r="F3808" s="3064"/>
      <c r="G3808" s="3301" t="s">
        <v>675</v>
      </c>
      <c r="H3808" s="3063"/>
      <c r="I3808" s="3030"/>
    </row>
    <row r="3809" spans="2:9" ht="25.5">
      <c r="B3809" s="3192" t="s">
        <v>676</v>
      </c>
      <c r="C3809" s="3063"/>
      <c r="D3809" s="3064"/>
      <c r="E3809" s="3064"/>
      <c r="F3809" s="3064"/>
      <c r="G3809" s="3301" t="s">
        <v>676</v>
      </c>
      <c r="H3809" s="3063"/>
      <c r="I3809" s="3030"/>
    </row>
    <row r="3810" spans="2:9">
      <c r="B3810" s="3192" t="s">
        <v>677</v>
      </c>
      <c r="C3810" s="3063"/>
      <c r="D3810" s="3064"/>
      <c r="E3810" s="3064"/>
      <c r="F3810" s="3064"/>
      <c r="G3810" s="3301" t="s">
        <v>677</v>
      </c>
      <c r="H3810" s="3063"/>
      <c r="I3810" s="3030"/>
    </row>
    <row r="3811" spans="2:9">
      <c r="B3811" s="3192" t="s">
        <v>678</v>
      </c>
      <c r="C3811" s="3063"/>
      <c r="D3811" s="3064"/>
      <c r="E3811" s="3064"/>
      <c r="F3811" s="3064"/>
      <c r="G3811" s="3301" t="s">
        <v>678</v>
      </c>
      <c r="H3811" s="3063"/>
      <c r="I3811" s="3030"/>
    </row>
    <row r="3812" spans="2:9">
      <c r="B3812" s="3192" t="s">
        <v>679</v>
      </c>
      <c r="C3812" s="3063"/>
      <c r="D3812" s="3064"/>
      <c r="E3812" s="3064"/>
      <c r="F3812" s="3064"/>
      <c r="G3812" s="3301" t="s">
        <v>679</v>
      </c>
      <c r="H3812" s="3063"/>
      <c r="I3812" s="3030"/>
    </row>
    <row r="3813" spans="2:9" ht="25.5">
      <c r="B3813" s="3192" t="s">
        <v>720</v>
      </c>
      <c r="C3813" s="3063"/>
      <c r="D3813" s="3064"/>
      <c r="E3813" s="3064"/>
      <c r="F3813" s="3064"/>
      <c r="G3813" s="3301" t="s">
        <v>720</v>
      </c>
      <c r="H3813" s="3063"/>
      <c r="I3813" s="3030"/>
    </row>
    <row r="3814" spans="2:9" ht="25.5">
      <c r="B3814" s="3299" t="s">
        <v>682</v>
      </c>
      <c r="C3814" s="3063"/>
      <c r="D3814" s="3064"/>
      <c r="E3814" s="3064"/>
      <c r="F3814" s="3064"/>
      <c r="G3814" s="3300" t="s">
        <v>682</v>
      </c>
      <c r="H3814" s="3063"/>
      <c r="I3814" s="3030"/>
    </row>
    <row r="3815" spans="2:9" ht="25.5">
      <c r="B3815" s="3192" t="s">
        <v>675</v>
      </c>
      <c r="C3815" s="3063"/>
      <c r="D3815" s="3064"/>
      <c r="E3815" s="3064"/>
      <c r="F3815" s="3064"/>
      <c r="G3815" s="3301" t="s">
        <v>675</v>
      </c>
      <c r="H3815" s="3063"/>
      <c r="I3815" s="3030"/>
    </row>
    <row r="3816" spans="2:9" ht="25.5">
      <c r="B3816" s="3192" t="s">
        <v>676</v>
      </c>
      <c r="C3816" s="3063"/>
      <c r="D3816" s="3064"/>
      <c r="E3816" s="3064"/>
      <c r="F3816" s="3064"/>
      <c r="G3816" s="3301" t="s">
        <v>676</v>
      </c>
      <c r="H3816" s="3063"/>
      <c r="I3816" s="3030"/>
    </row>
    <row r="3817" spans="2:9">
      <c r="B3817" s="3192" t="s">
        <v>677</v>
      </c>
      <c r="C3817" s="3063"/>
      <c r="D3817" s="3064"/>
      <c r="E3817" s="3064"/>
      <c r="F3817" s="3064"/>
      <c r="G3817" s="3301" t="s">
        <v>677</v>
      </c>
      <c r="H3817" s="3063"/>
      <c r="I3817" s="3030"/>
    </row>
    <row r="3818" spans="2:9">
      <c r="B3818" s="3192" t="s">
        <v>678</v>
      </c>
      <c r="C3818" s="3063"/>
      <c r="D3818" s="3064"/>
      <c r="E3818" s="3064"/>
      <c r="F3818" s="3064"/>
      <c r="G3818" s="3301" t="s">
        <v>678</v>
      </c>
      <c r="H3818" s="3063"/>
      <c r="I3818" s="3030"/>
    </row>
    <row r="3819" spans="2:9">
      <c r="B3819" s="3192" t="s">
        <v>679</v>
      </c>
      <c r="C3819" s="3063"/>
      <c r="D3819" s="3064"/>
      <c r="E3819" s="3064"/>
      <c r="F3819" s="3064"/>
      <c r="G3819" s="3301" t="s">
        <v>679</v>
      </c>
      <c r="H3819" s="3063"/>
      <c r="I3819" s="3030"/>
    </row>
    <row r="3820" spans="2:9" ht="25.5">
      <c r="B3820" s="3192" t="s">
        <v>720</v>
      </c>
      <c r="C3820" s="3063"/>
      <c r="D3820" s="3064"/>
      <c r="E3820" s="3064"/>
      <c r="F3820" s="3064"/>
      <c r="G3820" s="3301" t="s">
        <v>720</v>
      </c>
      <c r="H3820" s="3063"/>
      <c r="I3820" s="3030"/>
    </row>
    <row r="3821" spans="2:9" ht="25.5">
      <c r="B3821" s="3299" t="s">
        <v>66</v>
      </c>
      <c r="C3821" s="3063"/>
      <c r="D3821" s="3064"/>
      <c r="E3821" s="3064"/>
      <c r="F3821" s="3064"/>
      <c r="G3821" s="3300" t="s">
        <v>66</v>
      </c>
      <c r="H3821" s="3063"/>
      <c r="I3821" s="3030"/>
    </row>
    <row r="3822" spans="2:9" ht="25.5">
      <c r="B3822" s="3192" t="s">
        <v>675</v>
      </c>
      <c r="C3822" s="3063"/>
      <c r="D3822" s="3064"/>
      <c r="E3822" s="3064"/>
      <c r="F3822" s="3064"/>
      <c r="G3822" s="3301" t="s">
        <v>675</v>
      </c>
      <c r="H3822" s="3063"/>
      <c r="I3822" s="3030"/>
    </row>
    <row r="3823" spans="2:9" ht="25.5">
      <c r="B3823" s="3192" t="s">
        <v>676</v>
      </c>
      <c r="C3823" s="3063"/>
      <c r="D3823" s="3064"/>
      <c r="E3823" s="3064"/>
      <c r="F3823" s="3064"/>
      <c r="G3823" s="3301" t="s">
        <v>676</v>
      </c>
      <c r="H3823" s="3063"/>
      <c r="I3823" s="3030"/>
    </row>
    <row r="3824" spans="2:9">
      <c r="B3824" s="3192" t="s">
        <v>677</v>
      </c>
      <c r="C3824" s="3063"/>
      <c r="D3824" s="3064"/>
      <c r="E3824" s="3064"/>
      <c r="F3824" s="3064"/>
      <c r="G3824" s="3301" t="s">
        <v>677</v>
      </c>
      <c r="H3824" s="3063"/>
      <c r="I3824" s="3030"/>
    </row>
    <row r="3825" spans="2:9">
      <c r="B3825" s="3192" t="s">
        <v>678</v>
      </c>
      <c r="C3825" s="3063"/>
      <c r="D3825" s="3064"/>
      <c r="E3825" s="3064"/>
      <c r="F3825" s="3064"/>
      <c r="G3825" s="3301" t="s">
        <v>678</v>
      </c>
      <c r="H3825" s="3063"/>
      <c r="I3825" s="3030"/>
    </row>
    <row r="3826" spans="2:9">
      <c r="B3826" s="3192" t="s">
        <v>679</v>
      </c>
      <c r="C3826" s="3063"/>
      <c r="D3826" s="3064"/>
      <c r="E3826" s="3064"/>
      <c r="F3826" s="3064"/>
      <c r="G3826" s="3301" t="s">
        <v>679</v>
      </c>
      <c r="H3826" s="3063"/>
      <c r="I3826" s="3030"/>
    </row>
    <row r="3827" spans="2:9" ht="25.5">
      <c r="B3827" s="3192" t="s">
        <v>720</v>
      </c>
      <c r="C3827" s="3063"/>
      <c r="D3827" s="3064"/>
      <c r="E3827" s="3064"/>
      <c r="F3827" s="3064"/>
      <c r="G3827" s="3301" t="s">
        <v>720</v>
      </c>
      <c r="H3827" s="3063"/>
      <c r="I3827" s="3030"/>
    </row>
    <row r="3828" spans="2:9">
      <c r="B3828" s="3299" t="s">
        <v>67</v>
      </c>
      <c r="C3828" s="3063"/>
      <c r="D3828" s="3064"/>
      <c r="E3828" s="3064"/>
      <c r="F3828" s="3064"/>
      <c r="G3828" s="3300" t="s">
        <v>67</v>
      </c>
      <c r="H3828" s="3063"/>
      <c r="I3828" s="3030"/>
    </row>
    <row r="3829" spans="2:9" ht="25.5">
      <c r="B3829" s="3192" t="s">
        <v>675</v>
      </c>
      <c r="C3829" s="3063"/>
      <c r="D3829" s="3064"/>
      <c r="E3829" s="3064"/>
      <c r="F3829" s="3064"/>
      <c r="G3829" s="3301" t="s">
        <v>675</v>
      </c>
      <c r="H3829" s="3063"/>
      <c r="I3829" s="3030"/>
    </row>
    <row r="3830" spans="2:9" ht="25.5">
      <c r="B3830" s="3192" t="s">
        <v>676</v>
      </c>
      <c r="C3830" s="3063"/>
      <c r="D3830" s="3064"/>
      <c r="E3830" s="3064"/>
      <c r="F3830" s="3064"/>
      <c r="G3830" s="3301" t="s">
        <v>676</v>
      </c>
      <c r="H3830" s="3063"/>
      <c r="I3830" s="3030"/>
    </row>
    <row r="3831" spans="2:9">
      <c r="B3831" s="3192" t="s">
        <v>677</v>
      </c>
      <c r="C3831" s="3063"/>
      <c r="D3831" s="3064"/>
      <c r="E3831" s="3064"/>
      <c r="F3831" s="3064"/>
      <c r="G3831" s="3301" t="s">
        <v>677</v>
      </c>
      <c r="H3831" s="3063"/>
      <c r="I3831" s="3030"/>
    </row>
    <row r="3832" spans="2:9">
      <c r="B3832" s="3192" t="s">
        <v>678</v>
      </c>
      <c r="C3832" s="3063"/>
      <c r="D3832" s="3064"/>
      <c r="E3832" s="3064"/>
      <c r="F3832" s="3064"/>
      <c r="G3832" s="3301" t="s">
        <v>678</v>
      </c>
      <c r="H3832" s="3063"/>
      <c r="I3832" s="3030"/>
    </row>
    <row r="3833" spans="2:9">
      <c r="B3833" s="3192" t="s">
        <v>679</v>
      </c>
      <c r="C3833" s="3063"/>
      <c r="D3833" s="3064"/>
      <c r="E3833" s="3064"/>
      <c r="F3833" s="3064"/>
      <c r="G3833" s="3301" t="s">
        <v>679</v>
      </c>
      <c r="H3833" s="3063"/>
      <c r="I3833" s="3030"/>
    </row>
    <row r="3834" spans="2:9" ht="25.5">
      <c r="B3834" s="3230" t="s">
        <v>81</v>
      </c>
      <c r="C3834" s="3063"/>
      <c r="D3834" s="3064"/>
      <c r="E3834" s="3064"/>
      <c r="F3834" s="3064"/>
      <c r="G3834" s="3302" t="s">
        <v>81</v>
      </c>
      <c r="H3834" s="3063"/>
      <c r="I3834" s="3030"/>
    </row>
    <row r="3835" spans="2:9" ht="26.25" thickBot="1">
      <c r="B3835" s="3303" t="s">
        <v>81</v>
      </c>
      <c r="C3835" s="3068"/>
      <c r="D3835" s="3069"/>
      <c r="E3835" s="3069"/>
      <c r="F3835" s="3069"/>
      <c r="G3835" s="3304" t="s">
        <v>81</v>
      </c>
      <c r="H3835" s="3068"/>
      <c r="I3835" s="3070"/>
    </row>
    <row r="3836" spans="2:9" ht="38.25">
      <c r="B3836" s="4723">
        <v>3023</v>
      </c>
      <c r="C3836" s="3289"/>
      <c r="D3836" s="3290"/>
      <c r="E3836" s="3290"/>
      <c r="F3836" s="3290"/>
      <c r="G3836" s="4723">
        <v>3023</v>
      </c>
      <c r="H3836" s="3291" t="s">
        <v>687</v>
      </c>
      <c r="I3836" s="3292" t="s">
        <v>688</v>
      </c>
    </row>
    <row r="3837" spans="2:9">
      <c r="B3837" s="4724"/>
      <c r="C3837" s="4678" t="s">
        <v>686</v>
      </c>
      <c r="D3837" s="4725"/>
      <c r="E3837" s="4725"/>
      <c r="F3837" s="4726"/>
      <c r="G3837" s="4724"/>
      <c r="H3837" s="3293"/>
      <c r="I3837" s="3294"/>
    </row>
    <row r="3838" spans="2:9" ht="13.5" thickBot="1">
      <c r="B3838" s="4724"/>
      <c r="C3838" s="3215">
        <v>2013</v>
      </c>
      <c r="D3838" s="3215">
        <v>2014</v>
      </c>
      <c r="E3838" s="3215">
        <v>2015</v>
      </c>
      <c r="F3838" s="3215">
        <v>2016</v>
      </c>
      <c r="G3838" s="4724"/>
      <c r="H3838" s="3295" t="s">
        <v>390</v>
      </c>
      <c r="I3838" s="3296" t="s">
        <v>390</v>
      </c>
    </row>
    <row r="3839" spans="2:9">
      <c r="B3839" s="3217" t="s">
        <v>695</v>
      </c>
      <c r="C3839" s="3218"/>
      <c r="D3839" s="3219"/>
      <c r="E3839" s="3219"/>
      <c r="F3839" s="3219"/>
      <c r="G3839" s="3217" t="s">
        <v>695</v>
      </c>
      <c r="H3839" s="3297"/>
      <c r="I3839" s="3298"/>
    </row>
    <row r="3840" spans="2:9">
      <c r="B3840" s="3299" t="s">
        <v>64</v>
      </c>
      <c r="C3840" s="3063"/>
      <c r="D3840" s="3064"/>
      <c r="E3840" s="3064"/>
      <c r="F3840" s="3064"/>
      <c r="G3840" s="3300" t="s">
        <v>64</v>
      </c>
      <c r="H3840" s="3063"/>
      <c r="I3840" s="3030"/>
    </row>
    <row r="3841" spans="2:9" ht="25.5">
      <c r="B3841" s="3192" t="s">
        <v>675</v>
      </c>
      <c r="C3841" s="3063"/>
      <c r="D3841" s="3064"/>
      <c r="E3841" s="3064"/>
      <c r="F3841" s="3064"/>
      <c r="G3841" s="3301" t="s">
        <v>675</v>
      </c>
      <c r="H3841" s="3063"/>
      <c r="I3841" s="3030"/>
    </row>
    <row r="3842" spans="2:9" ht="25.5">
      <c r="B3842" s="3192" t="s">
        <v>676</v>
      </c>
      <c r="C3842" s="3063"/>
      <c r="D3842" s="3064"/>
      <c r="E3842" s="3064"/>
      <c r="F3842" s="3064"/>
      <c r="G3842" s="3301" t="s">
        <v>676</v>
      </c>
      <c r="H3842" s="3063"/>
      <c r="I3842" s="3030"/>
    </row>
    <row r="3843" spans="2:9">
      <c r="B3843" s="3192" t="s">
        <v>677</v>
      </c>
      <c r="C3843" s="3063"/>
      <c r="D3843" s="3064"/>
      <c r="E3843" s="3064"/>
      <c r="F3843" s="3064"/>
      <c r="G3843" s="3301" t="s">
        <v>677</v>
      </c>
      <c r="H3843" s="3063"/>
      <c r="I3843" s="3030"/>
    </row>
    <row r="3844" spans="2:9">
      <c r="B3844" s="3192" t="s">
        <v>678</v>
      </c>
      <c r="C3844" s="3063"/>
      <c r="D3844" s="3064"/>
      <c r="E3844" s="3064"/>
      <c r="F3844" s="3064"/>
      <c r="G3844" s="3301" t="s">
        <v>678</v>
      </c>
      <c r="H3844" s="3063"/>
      <c r="I3844" s="3030"/>
    </row>
    <row r="3845" spans="2:9">
      <c r="B3845" s="3192" t="s">
        <v>679</v>
      </c>
      <c r="C3845" s="3063"/>
      <c r="D3845" s="3064"/>
      <c r="E3845" s="3064"/>
      <c r="F3845" s="3064"/>
      <c r="G3845" s="3301" t="s">
        <v>679</v>
      </c>
      <c r="H3845" s="3063"/>
      <c r="I3845" s="3030"/>
    </row>
    <row r="3846" spans="2:9" ht="25.5">
      <c r="B3846" s="3192" t="s">
        <v>720</v>
      </c>
      <c r="C3846" s="3063"/>
      <c r="D3846" s="3064"/>
      <c r="E3846" s="3064"/>
      <c r="F3846" s="3064"/>
      <c r="G3846" s="3301" t="s">
        <v>720</v>
      </c>
      <c r="H3846" s="3063"/>
      <c r="I3846" s="3030"/>
    </row>
    <row r="3847" spans="2:9">
      <c r="B3847" s="3299" t="s">
        <v>65</v>
      </c>
      <c r="C3847" s="3063"/>
      <c r="D3847" s="3064"/>
      <c r="E3847" s="3064"/>
      <c r="F3847" s="3064"/>
      <c r="G3847" s="3300" t="s">
        <v>65</v>
      </c>
      <c r="H3847" s="3063"/>
      <c r="I3847" s="3030"/>
    </row>
    <row r="3848" spans="2:9" ht="25.5">
      <c r="B3848" s="3192" t="s">
        <v>675</v>
      </c>
      <c r="C3848" s="3063"/>
      <c r="D3848" s="3064"/>
      <c r="E3848" s="3064"/>
      <c r="F3848" s="3064"/>
      <c r="G3848" s="3301" t="s">
        <v>675</v>
      </c>
      <c r="H3848" s="3063"/>
      <c r="I3848" s="3030"/>
    </row>
    <row r="3849" spans="2:9" ht="25.5">
      <c r="B3849" s="3192" t="s">
        <v>676</v>
      </c>
      <c r="C3849" s="3063"/>
      <c r="D3849" s="3064"/>
      <c r="E3849" s="3064"/>
      <c r="F3849" s="3064"/>
      <c r="G3849" s="3301" t="s">
        <v>676</v>
      </c>
      <c r="H3849" s="3063"/>
      <c r="I3849" s="3030"/>
    </row>
    <row r="3850" spans="2:9">
      <c r="B3850" s="3192" t="s">
        <v>677</v>
      </c>
      <c r="C3850" s="3063"/>
      <c r="D3850" s="3064"/>
      <c r="E3850" s="3064"/>
      <c r="F3850" s="3064"/>
      <c r="G3850" s="3301" t="s">
        <v>677</v>
      </c>
      <c r="H3850" s="3063"/>
      <c r="I3850" s="3030"/>
    </row>
    <row r="3851" spans="2:9">
      <c r="B3851" s="3192" t="s">
        <v>678</v>
      </c>
      <c r="C3851" s="3063"/>
      <c r="D3851" s="3064"/>
      <c r="E3851" s="3064"/>
      <c r="F3851" s="3064"/>
      <c r="G3851" s="3301" t="s">
        <v>678</v>
      </c>
      <c r="H3851" s="3063"/>
      <c r="I3851" s="3030"/>
    </row>
    <row r="3852" spans="2:9">
      <c r="B3852" s="3192" t="s">
        <v>679</v>
      </c>
      <c r="C3852" s="3063"/>
      <c r="D3852" s="3064"/>
      <c r="E3852" s="3064"/>
      <c r="F3852" s="3064"/>
      <c r="G3852" s="3301" t="s">
        <v>679</v>
      </c>
      <c r="H3852" s="3063"/>
      <c r="I3852" s="3030"/>
    </row>
    <row r="3853" spans="2:9" ht="25.5">
      <c r="B3853" s="3192" t="s">
        <v>720</v>
      </c>
      <c r="C3853" s="3063"/>
      <c r="D3853" s="3064"/>
      <c r="E3853" s="3064"/>
      <c r="F3853" s="3064"/>
      <c r="G3853" s="3301" t="s">
        <v>720</v>
      </c>
      <c r="H3853" s="3063"/>
      <c r="I3853" s="3030"/>
    </row>
    <row r="3854" spans="2:9">
      <c r="B3854" s="3299" t="s">
        <v>82</v>
      </c>
      <c r="C3854" s="3063"/>
      <c r="D3854" s="3064"/>
      <c r="E3854" s="3064"/>
      <c r="F3854" s="3064"/>
      <c r="G3854" s="3300" t="s">
        <v>82</v>
      </c>
      <c r="H3854" s="3063"/>
      <c r="I3854" s="3030"/>
    </row>
    <row r="3855" spans="2:9" ht="25.5">
      <c r="B3855" s="3192" t="s">
        <v>675</v>
      </c>
      <c r="C3855" s="3063"/>
      <c r="D3855" s="3064"/>
      <c r="E3855" s="3064"/>
      <c r="F3855" s="3064"/>
      <c r="G3855" s="3301" t="s">
        <v>675</v>
      </c>
      <c r="H3855" s="3063"/>
      <c r="I3855" s="3030"/>
    </row>
    <row r="3856" spans="2:9" ht="25.5">
      <c r="B3856" s="3192" t="s">
        <v>676</v>
      </c>
      <c r="C3856" s="3063"/>
      <c r="D3856" s="3064"/>
      <c r="E3856" s="3064"/>
      <c r="F3856" s="3064"/>
      <c r="G3856" s="3301" t="s">
        <v>676</v>
      </c>
      <c r="H3856" s="3063"/>
      <c r="I3856" s="3030"/>
    </row>
    <row r="3857" spans="2:9">
      <c r="B3857" s="3192" t="s">
        <v>677</v>
      </c>
      <c r="C3857" s="3063"/>
      <c r="D3857" s="3064"/>
      <c r="E3857" s="3064"/>
      <c r="F3857" s="3064"/>
      <c r="G3857" s="3301" t="s">
        <v>677</v>
      </c>
      <c r="H3857" s="3063"/>
      <c r="I3857" s="3030"/>
    </row>
    <row r="3858" spans="2:9">
      <c r="B3858" s="3192" t="s">
        <v>678</v>
      </c>
      <c r="C3858" s="3063"/>
      <c r="D3858" s="3064"/>
      <c r="E3858" s="3064"/>
      <c r="F3858" s="3064"/>
      <c r="G3858" s="3301" t="s">
        <v>678</v>
      </c>
      <c r="H3858" s="3063"/>
      <c r="I3858" s="3030"/>
    </row>
    <row r="3859" spans="2:9">
      <c r="B3859" s="3192" t="s">
        <v>679</v>
      </c>
      <c r="C3859" s="3063"/>
      <c r="D3859" s="3064"/>
      <c r="E3859" s="3064"/>
      <c r="F3859" s="3064"/>
      <c r="G3859" s="3301" t="s">
        <v>679</v>
      </c>
      <c r="H3859" s="3063"/>
      <c r="I3859" s="3030"/>
    </row>
    <row r="3860" spans="2:9" ht="25.5">
      <c r="B3860" s="3192" t="s">
        <v>720</v>
      </c>
      <c r="C3860" s="3063"/>
      <c r="D3860" s="3064"/>
      <c r="E3860" s="3064"/>
      <c r="F3860" s="3064"/>
      <c r="G3860" s="3301" t="s">
        <v>720</v>
      </c>
      <c r="H3860" s="3063"/>
      <c r="I3860" s="3030"/>
    </row>
    <row r="3861" spans="2:9" ht="38.25">
      <c r="B3861" s="3299" t="s">
        <v>680</v>
      </c>
      <c r="C3861" s="3063"/>
      <c r="D3861" s="3064"/>
      <c r="E3861" s="3064"/>
      <c r="F3861" s="3064"/>
      <c r="G3861" s="3300" t="s">
        <v>680</v>
      </c>
      <c r="H3861" s="3063"/>
      <c r="I3861" s="3030"/>
    </row>
    <row r="3862" spans="2:9" ht="25.5">
      <c r="B3862" s="3192" t="s">
        <v>675</v>
      </c>
      <c r="C3862" s="3063"/>
      <c r="D3862" s="3064"/>
      <c r="E3862" s="3064"/>
      <c r="F3862" s="3064"/>
      <c r="G3862" s="3301" t="s">
        <v>675</v>
      </c>
      <c r="H3862" s="3063"/>
      <c r="I3862" s="3030"/>
    </row>
    <row r="3863" spans="2:9" ht="25.5">
      <c r="B3863" s="3192" t="s">
        <v>676</v>
      </c>
      <c r="C3863" s="3063"/>
      <c r="D3863" s="3064"/>
      <c r="E3863" s="3064"/>
      <c r="F3863" s="3064"/>
      <c r="G3863" s="3301" t="s">
        <v>676</v>
      </c>
      <c r="H3863" s="3063"/>
      <c r="I3863" s="3030"/>
    </row>
    <row r="3864" spans="2:9">
      <c r="B3864" s="3192" t="s">
        <v>677</v>
      </c>
      <c r="C3864" s="3063"/>
      <c r="D3864" s="3064"/>
      <c r="E3864" s="3064"/>
      <c r="F3864" s="3064"/>
      <c r="G3864" s="3301" t="s">
        <v>677</v>
      </c>
      <c r="H3864" s="3063"/>
      <c r="I3864" s="3030"/>
    </row>
    <row r="3865" spans="2:9">
      <c r="B3865" s="3192" t="s">
        <v>678</v>
      </c>
      <c r="C3865" s="3063"/>
      <c r="D3865" s="3064"/>
      <c r="E3865" s="3064"/>
      <c r="F3865" s="3064"/>
      <c r="G3865" s="3301" t="s">
        <v>678</v>
      </c>
      <c r="H3865" s="3063"/>
      <c r="I3865" s="3030"/>
    </row>
    <row r="3866" spans="2:9">
      <c r="B3866" s="3192" t="s">
        <v>679</v>
      </c>
      <c r="C3866" s="3063"/>
      <c r="D3866" s="3064"/>
      <c r="E3866" s="3064"/>
      <c r="F3866" s="3064"/>
      <c r="G3866" s="3301" t="s">
        <v>679</v>
      </c>
      <c r="H3866" s="3063"/>
      <c r="I3866" s="3030"/>
    </row>
    <row r="3867" spans="2:9" ht="25.5">
      <c r="B3867" s="3192" t="s">
        <v>720</v>
      </c>
      <c r="C3867" s="3063"/>
      <c r="D3867" s="3064"/>
      <c r="E3867" s="3064"/>
      <c r="F3867" s="3064"/>
      <c r="G3867" s="3301" t="s">
        <v>720</v>
      </c>
      <c r="H3867" s="3063"/>
      <c r="I3867" s="3030"/>
    </row>
    <row r="3868" spans="2:9" ht="38.25">
      <c r="B3868" s="3299" t="s">
        <v>681</v>
      </c>
      <c r="C3868" s="3063"/>
      <c r="D3868" s="3064"/>
      <c r="E3868" s="3064"/>
      <c r="F3868" s="3064"/>
      <c r="G3868" s="3300" t="s">
        <v>681</v>
      </c>
      <c r="H3868" s="3063"/>
      <c r="I3868" s="3030"/>
    </row>
    <row r="3869" spans="2:9" ht="25.5">
      <c r="B3869" s="3192" t="s">
        <v>675</v>
      </c>
      <c r="C3869" s="3063"/>
      <c r="D3869" s="3064"/>
      <c r="E3869" s="3064"/>
      <c r="F3869" s="3064"/>
      <c r="G3869" s="3301" t="s">
        <v>675</v>
      </c>
      <c r="H3869" s="3063"/>
      <c r="I3869" s="3030"/>
    </row>
    <row r="3870" spans="2:9" ht="25.5">
      <c r="B3870" s="3192" t="s">
        <v>676</v>
      </c>
      <c r="C3870" s="3063"/>
      <c r="D3870" s="3064"/>
      <c r="E3870" s="3064"/>
      <c r="F3870" s="3064"/>
      <c r="G3870" s="3301" t="s">
        <v>676</v>
      </c>
      <c r="H3870" s="3063"/>
      <c r="I3870" s="3030"/>
    </row>
    <row r="3871" spans="2:9">
      <c r="B3871" s="3192" t="s">
        <v>677</v>
      </c>
      <c r="C3871" s="3063"/>
      <c r="D3871" s="3064"/>
      <c r="E3871" s="3064"/>
      <c r="F3871" s="3064"/>
      <c r="G3871" s="3301" t="s">
        <v>677</v>
      </c>
      <c r="H3871" s="3063"/>
      <c r="I3871" s="3030"/>
    </row>
    <row r="3872" spans="2:9">
      <c r="B3872" s="3192" t="s">
        <v>678</v>
      </c>
      <c r="C3872" s="3063"/>
      <c r="D3872" s="3064"/>
      <c r="E3872" s="3064"/>
      <c r="F3872" s="3064"/>
      <c r="G3872" s="3301" t="s">
        <v>678</v>
      </c>
      <c r="H3872" s="3063"/>
      <c r="I3872" s="3030"/>
    </row>
    <row r="3873" spans="2:9">
      <c r="B3873" s="3192" t="s">
        <v>679</v>
      </c>
      <c r="C3873" s="3063"/>
      <c r="D3873" s="3064"/>
      <c r="E3873" s="3064"/>
      <c r="F3873" s="3064"/>
      <c r="G3873" s="3301" t="s">
        <v>679</v>
      </c>
      <c r="H3873" s="3063"/>
      <c r="I3873" s="3030"/>
    </row>
    <row r="3874" spans="2:9" ht="25.5">
      <c r="B3874" s="3192" t="s">
        <v>720</v>
      </c>
      <c r="C3874" s="3063"/>
      <c r="D3874" s="3064"/>
      <c r="E3874" s="3064"/>
      <c r="F3874" s="3064"/>
      <c r="G3874" s="3301" t="s">
        <v>720</v>
      </c>
      <c r="H3874" s="3063"/>
      <c r="I3874" s="3030"/>
    </row>
    <row r="3875" spans="2:9" ht="25.5">
      <c r="B3875" s="3299" t="s">
        <v>682</v>
      </c>
      <c r="C3875" s="3063"/>
      <c r="D3875" s="3064"/>
      <c r="E3875" s="3064"/>
      <c r="F3875" s="3064"/>
      <c r="G3875" s="3300" t="s">
        <v>682</v>
      </c>
      <c r="H3875" s="3063"/>
      <c r="I3875" s="3030"/>
    </row>
    <row r="3876" spans="2:9" ht="25.5">
      <c r="B3876" s="3192" t="s">
        <v>675</v>
      </c>
      <c r="C3876" s="3063"/>
      <c r="D3876" s="3064"/>
      <c r="E3876" s="3064"/>
      <c r="F3876" s="3064"/>
      <c r="G3876" s="3301" t="s">
        <v>675</v>
      </c>
      <c r="H3876" s="3063"/>
      <c r="I3876" s="3030"/>
    </row>
    <row r="3877" spans="2:9" ht="25.5">
      <c r="B3877" s="3192" t="s">
        <v>676</v>
      </c>
      <c r="C3877" s="3063"/>
      <c r="D3877" s="3064"/>
      <c r="E3877" s="3064"/>
      <c r="F3877" s="3064"/>
      <c r="G3877" s="3301" t="s">
        <v>676</v>
      </c>
      <c r="H3877" s="3063"/>
      <c r="I3877" s="3030"/>
    </row>
    <row r="3878" spans="2:9">
      <c r="B3878" s="3192" t="s">
        <v>677</v>
      </c>
      <c r="C3878" s="3063"/>
      <c r="D3878" s="3064"/>
      <c r="E3878" s="3064"/>
      <c r="F3878" s="3064"/>
      <c r="G3878" s="3301" t="s">
        <v>677</v>
      </c>
      <c r="H3878" s="3063"/>
      <c r="I3878" s="3030"/>
    </row>
    <row r="3879" spans="2:9">
      <c r="B3879" s="3192" t="s">
        <v>678</v>
      </c>
      <c r="C3879" s="3063"/>
      <c r="D3879" s="3064"/>
      <c r="E3879" s="3064"/>
      <c r="F3879" s="3064"/>
      <c r="G3879" s="3301" t="s">
        <v>678</v>
      </c>
      <c r="H3879" s="3063"/>
      <c r="I3879" s="3030"/>
    </row>
    <row r="3880" spans="2:9">
      <c r="B3880" s="3192" t="s">
        <v>679</v>
      </c>
      <c r="C3880" s="3063"/>
      <c r="D3880" s="3064"/>
      <c r="E3880" s="3064"/>
      <c r="F3880" s="3064"/>
      <c r="G3880" s="3301" t="s">
        <v>679</v>
      </c>
      <c r="H3880" s="3063"/>
      <c r="I3880" s="3030"/>
    </row>
    <row r="3881" spans="2:9" ht="25.5">
      <c r="B3881" s="3192" t="s">
        <v>720</v>
      </c>
      <c r="C3881" s="3063"/>
      <c r="D3881" s="3064"/>
      <c r="E3881" s="3064"/>
      <c r="F3881" s="3064"/>
      <c r="G3881" s="3301" t="s">
        <v>720</v>
      </c>
      <c r="H3881" s="3063"/>
      <c r="I3881" s="3030"/>
    </row>
    <row r="3882" spans="2:9" ht="25.5">
      <c r="B3882" s="3299" t="s">
        <v>66</v>
      </c>
      <c r="C3882" s="3063"/>
      <c r="D3882" s="3064"/>
      <c r="E3882" s="3064"/>
      <c r="F3882" s="3064"/>
      <c r="G3882" s="3300" t="s">
        <v>66</v>
      </c>
      <c r="H3882" s="3063"/>
      <c r="I3882" s="3030"/>
    </row>
    <row r="3883" spans="2:9" ht="25.5">
      <c r="B3883" s="3192" t="s">
        <v>675</v>
      </c>
      <c r="C3883" s="3063"/>
      <c r="D3883" s="3064"/>
      <c r="E3883" s="3064"/>
      <c r="F3883" s="3064"/>
      <c r="G3883" s="3301" t="s">
        <v>675</v>
      </c>
      <c r="H3883" s="3063"/>
      <c r="I3883" s="3030"/>
    </row>
    <row r="3884" spans="2:9" ht="25.5">
      <c r="B3884" s="3192" t="s">
        <v>676</v>
      </c>
      <c r="C3884" s="3063"/>
      <c r="D3884" s="3064"/>
      <c r="E3884" s="3064"/>
      <c r="F3884" s="3064"/>
      <c r="G3884" s="3301" t="s">
        <v>676</v>
      </c>
      <c r="H3884" s="3063"/>
      <c r="I3884" s="3030"/>
    </row>
    <row r="3885" spans="2:9">
      <c r="B3885" s="3192" t="s">
        <v>677</v>
      </c>
      <c r="C3885" s="3063"/>
      <c r="D3885" s="3064"/>
      <c r="E3885" s="3064"/>
      <c r="F3885" s="3064"/>
      <c r="G3885" s="3301" t="s">
        <v>677</v>
      </c>
      <c r="H3885" s="3063"/>
      <c r="I3885" s="3030"/>
    </row>
    <row r="3886" spans="2:9">
      <c r="B3886" s="3192" t="s">
        <v>678</v>
      </c>
      <c r="C3886" s="3063"/>
      <c r="D3886" s="3064"/>
      <c r="E3886" s="3064"/>
      <c r="F3886" s="3064"/>
      <c r="G3886" s="3301" t="s">
        <v>678</v>
      </c>
      <c r="H3886" s="3063"/>
      <c r="I3886" s="3030"/>
    </row>
    <row r="3887" spans="2:9">
      <c r="B3887" s="3192" t="s">
        <v>679</v>
      </c>
      <c r="C3887" s="3063"/>
      <c r="D3887" s="3064"/>
      <c r="E3887" s="3064"/>
      <c r="F3887" s="3064"/>
      <c r="G3887" s="3301" t="s">
        <v>679</v>
      </c>
      <c r="H3887" s="3063"/>
      <c r="I3887" s="3030"/>
    </row>
    <row r="3888" spans="2:9" ht="25.5">
      <c r="B3888" s="3192" t="s">
        <v>720</v>
      </c>
      <c r="C3888" s="3063"/>
      <c r="D3888" s="3064"/>
      <c r="E3888" s="3064"/>
      <c r="F3888" s="3064"/>
      <c r="G3888" s="3301" t="s">
        <v>720</v>
      </c>
      <c r="H3888" s="3063"/>
      <c r="I3888" s="3030"/>
    </row>
    <row r="3889" spans="2:9">
      <c r="B3889" s="3299" t="s">
        <v>67</v>
      </c>
      <c r="C3889" s="3063"/>
      <c r="D3889" s="3064"/>
      <c r="E3889" s="3064"/>
      <c r="F3889" s="3064"/>
      <c r="G3889" s="3300" t="s">
        <v>67</v>
      </c>
      <c r="H3889" s="3063"/>
      <c r="I3889" s="3030"/>
    </row>
    <row r="3890" spans="2:9" ht="25.5">
      <c r="B3890" s="3192" t="s">
        <v>675</v>
      </c>
      <c r="C3890" s="3063"/>
      <c r="D3890" s="3064"/>
      <c r="E3890" s="3064"/>
      <c r="F3890" s="3064"/>
      <c r="G3890" s="3301" t="s">
        <v>675</v>
      </c>
      <c r="H3890" s="3063"/>
      <c r="I3890" s="3030"/>
    </row>
    <row r="3891" spans="2:9" ht="25.5">
      <c r="B3891" s="3192" t="s">
        <v>676</v>
      </c>
      <c r="C3891" s="3063"/>
      <c r="D3891" s="3064"/>
      <c r="E3891" s="3064"/>
      <c r="F3891" s="3064"/>
      <c r="G3891" s="3301" t="s">
        <v>676</v>
      </c>
      <c r="H3891" s="3063"/>
      <c r="I3891" s="3030"/>
    </row>
    <row r="3892" spans="2:9">
      <c r="B3892" s="3192" t="s">
        <v>677</v>
      </c>
      <c r="C3892" s="3063"/>
      <c r="D3892" s="3064"/>
      <c r="E3892" s="3064"/>
      <c r="F3892" s="3064"/>
      <c r="G3892" s="3301" t="s">
        <v>677</v>
      </c>
      <c r="H3892" s="3063"/>
      <c r="I3892" s="3030"/>
    </row>
    <row r="3893" spans="2:9">
      <c r="B3893" s="3192" t="s">
        <v>678</v>
      </c>
      <c r="C3893" s="3063"/>
      <c r="D3893" s="3064"/>
      <c r="E3893" s="3064"/>
      <c r="F3893" s="3064"/>
      <c r="G3893" s="3301" t="s">
        <v>678</v>
      </c>
      <c r="H3893" s="3063"/>
      <c r="I3893" s="3030"/>
    </row>
    <row r="3894" spans="2:9">
      <c r="B3894" s="3192" t="s">
        <v>679</v>
      </c>
      <c r="C3894" s="3063"/>
      <c r="D3894" s="3064"/>
      <c r="E3894" s="3064"/>
      <c r="F3894" s="3064"/>
      <c r="G3894" s="3301" t="s">
        <v>679</v>
      </c>
      <c r="H3894" s="3063"/>
      <c r="I3894" s="3030"/>
    </row>
    <row r="3895" spans="2:9" ht="25.5">
      <c r="B3895" s="3192" t="s">
        <v>720</v>
      </c>
      <c r="C3895" s="3063"/>
      <c r="D3895" s="3064"/>
      <c r="E3895" s="3064"/>
      <c r="F3895" s="3064"/>
      <c r="G3895" s="3301" t="s">
        <v>720</v>
      </c>
      <c r="H3895" s="3063"/>
      <c r="I3895" s="3030"/>
    </row>
    <row r="3896" spans="2:9" ht="25.5">
      <c r="B3896" s="3230" t="s">
        <v>81</v>
      </c>
      <c r="C3896" s="3063"/>
      <c r="D3896" s="3064"/>
      <c r="E3896" s="3064"/>
      <c r="F3896" s="3064"/>
      <c r="G3896" s="3302" t="s">
        <v>81</v>
      </c>
      <c r="H3896" s="3063"/>
      <c r="I3896" s="3030"/>
    </row>
    <row r="3897" spans="2:9" ht="26.25" thickBot="1">
      <c r="B3897" s="3303" t="s">
        <v>81</v>
      </c>
      <c r="C3897" s="3063"/>
      <c r="D3897" s="3064"/>
      <c r="E3897" s="3064"/>
      <c r="F3897" s="3064"/>
      <c r="G3897" s="3302" t="s">
        <v>81</v>
      </c>
      <c r="H3897" s="3063"/>
      <c r="I3897" s="3030"/>
    </row>
    <row r="3898" spans="2:9" ht="25.5">
      <c r="B3898" s="3217" t="s">
        <v>696</v>
      </c>
      <c r="C3898" s="3218"/>
      <c r="D3898" s="3219"/>
      <c r="E3898" s="3219"/>
      <c r="F3898" s="3219"/>
      <c r="G3898" s="3217" t="s">
        <v>696</v>
      </c>
      <c r="H3898" s="3297"/>
      <c r="I3898" s="3298"/>
    </row>
    <row r="3899" spans="2:9">
      <c r="B3899" s="3299" t="s">
        <v>64</v>
      </c>
      <c r="C3899" s="3063"/>
      <c r="D3899" s="3064"/>
      <c r="E3899" s="3064"/>
      <c r="F3899" s="3064">
        <v>1</v>
      </c>
      <c r="G3899" s="3300" t="s">
        <v>64</v>
      </c>
      <c r="H3899" s="3063"/>
      <c r="I3899" s="3030"/>
    </row>
    <row r="3900" spans="2:9" ht="25.5">
      <c r="B3900" s="3192" t="s">
        <v>675</v>
      </c>
      <c r="C3900" s="3063">
        <v>1</v>
      </c>
      <c r="D3900" s="3064">
        <v>2</v>
      </c>
      <c r="E3900" s="3064"/>
      <c r="F3900" s="3064"/>
      <c r="G3900" s="3301" t="s">
        <v>675</v>
      </c>
      <c r="H3900" s="3063"/>
      <c r="I3900" s="3030"/>
    </row>
    <row r="3901" spans="2:9" ht="25.5">
      <c r="B3901" s="3192" t="s">
        <v>676</v>
      </c>
      <c r="C3901" s="3063"/>
      <c r="D3901" s="3064"/>
      <c r="E3901" s="3064"/>
      <c r="F3901" s="3064"/>
      <c r="G3901" s="3301" t="s">
        <v>676</v>
      </c>
      <c r="H3901" s="3063"/>
      <c r="I3901" s="3030"/>
    </row>
    <row r="3902" spans="2:9">
      <c r="B3902" s="3192" t="s">
        <v>677</v>
      </c>
      <c r="C3902" s="3063"/>
      <c r="D3902" s="3064"/>
      <c r="E3902" s="3064"/>
      <c r="F3902" s="3064"/>
      <c r="G3902" s="3301" t="s">
        <v>677</v>
      </c>
      <c r="H3902" s="3063"/>
      <c r="I3902" s="3030"/>
    </row>
    <row r="3903" spans="2:9">
      <c r="B3903" s="3192" t="s">
        <v>678</v>
      </c>
      <c r="C3903" s="3063"/>
      <c r="D3903" s="3064">
        <v>1</v>
      </c>
      <c r="E3903" s="3064"/>
      <c r="F3903" s="3064"/>
      <c r="G3903" s="3301" t="s">
        <v>678</v>
      </c>
      <c r="H3903" s="3063"/>
      <c r="I3903" s="3030"/>
    </row>
    <row r="3904" spans="2:9">
      <c r="B3904" s="3192" t="s">
        <v>679</v>
      </c>
      <c r="C3904" s="3063"/>
      <c r="D3904" s="3064"/>
      <c r="E3904" s="3064"/>
      <c r="F3904" s="3064"/>
      <c r="G3904" s="3301" t="s">
        <v>679</v>
      </c>
      <c r="H3904" s="3063"/>
      <c r="I3904" s="3030"/>
    </row>
    <row r="3905" spans="2:9" ht="25.5">
      <c r="B3905" s="3192" t="s">
        <v>720</v>
      </c>
      <c r="C3905" s="3063"/>
      <c r="D3905" s="3064"/>
      <c r="E3905" s="3064"/>
      <c r="F3905" s="3064"/>
      <c r="G3905" s="3301" t="s">
        <v>720</v>
      </c>
      <c r="H3905" s="3063"/>
      <c r="I3905" s="3030"/>
    </row>
    <row r="3906" spans="2:9">
      <c r="B3906" s="3299" t="s">
        <v>65</v>
      </c>
      <c r="C3906" s="3063"/>
      <c r="D3906" s="3064"/>
      <c r="E3906" s="3064"/>
      <c r="F3906" s="3064"/>
      <c r="G3906" s="3300" t="s">
        <v>65</v>
      </c>
      <c r="H3906" s="3063"/>
      <c r="I3906" s="3030"/>
    </row>
    <row r="3907" spans="2:9" ht="25.5">
      <c r="B3907" s="3192" t="s">
        <v>675</v>
      </c>
      <c r="C3907" s="3063"/>
      <c r="D3907" s="3064"/>
      <c r="E3907" s="3064"/>
      <c r="F3907" s="3064"/>
      <c r="G3907" s="3301" t="s">
        <v>675</v>
      </c>
      <c r="H3907" s="3063"/>
      <c r="I3907" s="3030"/>
    </row>
    <row r="3908" spans="2:9" ht="25.5">
      <c r="B3908" s="3192" t="s">
        <v>676</v>
      </c>
      <c r="C3908" s="3063"/>
      <c r="D3908" s="3064"/>
      <c r="E3908" s="3064"/>
      <c r="F3908" s="3064"/>
      <c r="G3908" s="3301" t="s">
        <v>676</v>
      </c>
      <c r="H3908" s="3063"/>
      <c r="I3908" s="3030"/>
    </row>
    <row r="3909" spans="2:9">
      <c r="B3909" s="3192" t="s">
        <v>677</v>
      </c>
      <c r="C3909" s="3063"/>
      <c r="D3909" s="3064"/>
      <c r="E3909" s="3064"/>
      <c r="F3909" s="3064"/>
      <c r="G3909" s="3301" t="s">
        <v>677</v>
      </c>
      <c r="H3909" s="3063"/>
      <c r="I3909" s="3030"/>
    </row>
    <row r="3910" spans="2:9">
      <c r="B3910" s="3192" t="s">
        <v>678</v>
      </c>
      <c r="C3910" s="3063"/>
      <c r="D3910" s="3064"/>
      <c r="E3910" s="3064"/>
      <c r="F3910" s="3064"/>
      <c r="G3910" s="3301" t="s">
        <v>678</v>
      </c>
      <c r="H3910" s="3063"/>
      <c r="I3910" s="3030"/>
    </row>
    <row r="3911" spans="2:9">
      <c r="B3911" s="3192" t="s">
        <v>679</v>
      </c>
      <c r="C3911" s="3063"/>
      <c r="D3911" s="3064"/>
      <c r="E3911" s="3064"/>
      <c r="F3911" s="3064"/>
      <c r="G3911" s="3301" t="s">
        <v>679</v>
      </c>
      <c r="H3911" s="3063"/>
      <c r="I3911" s="3030"/>
    </row>
    <row r="3912" spans="2:9" ht="25.5">
      <c r="B3912" s="3192" t="s">
        <v>720</v>
      </c>
      <c r="C3912" s="3063"/>
      <c r="D3912" s="3064"/>
      <c r="E3912" s="3064"/>
      <c r="F3912" s="3064"/>
      <c r="G3912" s="3301" t="s">
        <v>720</v>
      </c>
      <c r="H3912" s="3063"/>
      <c r="I3912" s="3030"/>
    </row>
    <row r="3913" spans="2:9">
      <c r="B3913" s="3299" t="s">
        <v>82</v>
      </c>
      <c r="C3913" s="3063"/>
      <c r="D3913" s="3064"/>
      <c r="E3913" s="3064"/>
      <c r="F3913" s="3064"/>
      <c r="G3913" s="3300" t="s">
        <v>82</v>
      </c>
      <c r="H3913" s="3063"/>
      <c r="I3913" s="3030"/>
    </row>
    <row r="3914" spans="2:9" ht="25.5">
      <c r="B3914" s="3192" t="s">
        <v>675</v>
      </c>
      <c r="C3914" s="3063"/>
      <c r="D3914" s="3064"/>
      <c r="E3914" s="3064"/>
      <c r="F3914" s="3064"/>
      <c r="G3914" s="3301" t="s">
        <v>675</v>
      </c>
      <c r="H3914" s="3063"/>
      <c r="I3914" s="3030"/>
    </row>
    <row r="3915" spans="2:9" ht="25.5">
      <c r="B3915" s="3192" t="s">
        <v>676</v>
      </c>
      <c r="C3915" s="3063"/>
      <c r="D3915" s="3064"/>
      <c r="E3915" s="3064"/>
      <c r="F3915" s="3064"/>
      <c r="G3915" s="3301" t="s">
        <v>676</v>
      </c>
      <c r="H3915" s="3063"/>
      <c r="I3915" s="3030"/>
    </row>
    <row r="3916" spans="2:9">
      <c r="B3916" s="3192" t="s">
        <v>677</v>
      </c>
      <c r="C3916" s="3063"/>
      <c r="D3916" s="3064"/>
      <c r="E3916" s="3064"/>
      <c r="F3916" s="3064"/>
      <c r="G3916" s="3301" t="s">
        <v>677</v>
      </c>
      <c r="H3916" s="3063"/>
      <c r="I3916" s="3030"/>
    </row>
    <row r="3917" spans="2:9">
      <c r="B3917" s="3192" t="s">
        <v>678</v>
      </c>
      <c r="C3917" s="3063"/>
      <c r="D3917" s="3064"/>
      <c r="E3917" s="3064"/>
      <c r="F3917" s="3064"/>
      <c r="G3917" s="3301" t="s">
        <v>678</v>
      </c>
      <c r="H3917" s="3063"/>
      <c r="I3917" s="3030"/>
    </row>
    <row r="3918" spans="2:9">
      <c r="B3918" s="3192" t="s">
        <v>679</v>
      </c>
      <c r="C3918" s="3063"/>
      <c r="D3918" s="3064"/>
      <c r="E3918" s="3064"/>
      <c r="F3918" s="3064"/>
      <c r="G3918" s="3301" t="s">
        <v>679</v>
      </c>
      <c r="H3918" s="3063"/>
      <c r="I3918" s="3030"/>
    </row>
    <row r="3919" spans="2:9" ht="25.5">
      <c r="B3919" s="3192" t="s">
        <v>720</v>
      </c>
      <c r="C3919" s="3063"/>
      <c r="D3919" s="3064"/>
      <c r="E3919" s="3064"/>
      <c r="F3919" s="3064"/>
      <c r="G3919" s="3301" t="s">
        <v>720</v>
      </c>
      <c r="H3919" s="3063"/>
      <c r="I3919" s="3030"/>
    </row>
    <row r="3920" spans="2:9" ht="38.25">
      <c r="B3920" s="3299" t="s">
        <v>680</v>
      </c>
      <c r="C3920" s="3063"/>
      <c r="D3920" s="3064"/>
      <c r="E3920" s="3064"/>
      <c r="F3920" s="3064"/>
      <c r="G3920" s="3300" t="s">
        <v>680</v>
      </c>
      <c r="H3920" s="3063"/>
      <c r="I3920" s="3030"/>
    </row>
    <row r="3921" spans="2:9" ht="25.5">
      <c r="B3921" s="3192" t="s">
        <v>675</v>
      </c>
      <c r="C3921" s="3063"/>
      <c r="D3921" s="3064"/>
      <c r="E3921" s="3064"/>
      <c r="F3921" s="3064"/>
      <c r="G3921" s="3301" t="s">
        <v>675</v>
      </c>
      <c r="H3921" s="3063"/>
      <c r="I3921" s="3030"/>
    </row>
    <row r="3922" spans="2:9" ht="25.5">
      <c r="B3922" s="3192" t="s">
        <v>676</v>
      </c>
      <c r="C3922" s="3063"/>
      <c r="D3922" s="3064"/>
      <c r="E3922" s="3064"/>
      <c r="F3922" s="3064"/>
      <c r="G3922" s="3301" t="s">
        <v>676</v>
      </c>
      <c r="H3922" s="3063"/>
      <c r="I3922" s="3030"/>
    </row>
    <row r="3923" spans="2:9">
      <c r="B3923" s="3192" t="s">
        <v>677</v>
      </c>
      <c r="C3923" s="3063"/>
      <c r="D3923" s="3064"/>
      <c r="E3923" s="3064"/>
      <c r="F3923" s="3064"/>
      <c r="G3923" s="3301" t="s">
        <v>677</v>
      </c>
      <c r="H3923" s="3063"/>
      <c r="I3923" s="3030"/>
    </row>
    <row r="3924" spans="2:9">
      <c r="B3924" s="3192" t="s">
        <v>678</v>
      </c>
      <c r="C3924" s="3063"/>
      <c r="D3924" s="3064"/>
      <c r="E3924" s="3064"/>
      <c r="F3924" s="3064"/>
      <c r="G3924" s="3301" t="s">
        <v>678</v>
      </c>
      <c r="H3924" s="3063"/>
      <c r="I3924" s="3030"/>
    </row>
    <row r="3925" spans="2:9">
      <c r="B3925" s="3192" t="s">
        <v>679</v>
      </c>
      <c r="C3925" s="3063"/>
      <c r="D3925" s="3064"/>
      <c r="E3925" s="3064"/>
      <c r="F3925" s="3064"/>
      <c r="G3925" s="3301" t="s">
        <v>679</v>
      </c>
      <c r="H3925" s="3063"/>
      <c r="I3925" s="3030"/>
    </row>
    <row r="3926" spans="2:9" ht="25.5">
      <c r="B3926" s="3192" t="s">
        <v>720</v>
      </c>
      <c r="C3926" s="3063"/>
      <c r="D3926" s="3064"/>
      <c r="E3926" s="3064"/>
      <c r="F3926" s="3064"/>
      <c r="G3926" s="3301" t="s">
        <v>720</v>
      </c>
      <c r="H3926" s="3063"/>
      <c r="I3926" s="3030"/>
    </row>
    <row r="3927" spans="2:9" ht="38.25">
      <c r="B3927" s="3299" t="s">
        <v>681</v>
      </c>
      <c r="C3927" s="3063"/>
      <c r="D3927" s="3064"/>
      <c r="E3927" s="3064"/>
      <c r="F3927" s="3064">
        <v>6</v>
      </c>
      <c r="G3927" s="3300" t="s">
        <v>681</v>
      </c>
      <c r="H3927" s="3063">
        <v>0.82281952825013727</v>
      </c>
      <c r="I3927" s="3030"/>
    </row>
    <row r="3928" spans="2:9" ht="25.5">
      <c r="B3928" s="3192" t="s">
        <v>675</v>
      </c>
      <c r="C3928" s="3063">
        <v>6</v>
      </c>
      <c r="D3928" s="3064">
        <v>6</v>
      </c>
      <c r="E3928" s="3064"/>
      <c r="F3928" s="3064"/>
      <c r="G3928" s="3301" t="s">
        <v>675</v>
      </c>
      <c r="H3928" s="3063"/>
      <c r="I3928" s="3030">
        <v>1.2342292923752058</v>
      </c>
    </row>
    <row r="3929" spans="2:9" ht="25.5">
      <c r="B3929" s="3192" t="s">
        <v>676</v>
      </c>
      <c r="C3929" s="3063"/>
      <c r="D3929" s="3064"/>
      <c r="E3929" s="3064"/>
      <c r="F3929" s="3064"/>
      <c r="G3929" s="3301" t="s">
        <v>676</v>
      </c>
      <c r="H3929" s="3063"/>
      <c r="I3929" s="3030"/>
    </row>
    <row r="3930" spans="2:9">
      <c r="B3930" s="3192" t="s">
        <v>677</v>
      </c>
      <c r="C3930" s="3063"/>
      <c r="D3930" s="3064"/>
      <c r="E3930" s="3064"/>
      <c r="F3930" s="3064"/>
      <c r="G3930" s="3301" t="s">
        <v>677</v>
      </c>
      <c r="H3930" s="3063"/>
      <c r="I3930" s="3030"/>
    </row>
    <row r="3931" spans="2:9">
      <c r="B3931" s="3192" t="s">
        <v>678</v>
      </c>
      <c r="C3931" s="3063"/>
      <c r="D3931" s="3064">
        <v>1</v>
      </c>
      <c r="E3931" s="3064"/>
      <c r="F3931" s="3064"/>
      <c r="G3931" s="3301" t="s">
        <v>678</v>
      </c>
      <c r="H3931" s="3063"/>
      <c r="I3931" s="3030"/>
    </row>
    <row r="3932" spans="2:9">
      <c r="B3932" s="3192" t="s">
        <v>679</v>
      </c>
      <c r="C3932" s="3063"/>
      <c r="D3932" s="3064">
        <v>1</v>
      </c>
      <c r="E3932" s="3064"/>
      <c r="F3932" s="3064"/>
      <c r="G3932" s="3301" t="s">
        <v>679</v>
      </c>
      <c r="H3932" s="3063"/>
      <c r="I3932" s="3030"/>
    </row>
    <row r="3933" spans="2:9" ht="25.5">
      <c r="B3933" s="3192" t="s">
        <v>720</v>
      </c>
      <c r="C3933" s="3063"/>
      <c r="D3933" s="3064"/>
      <c r="E3933" s="3064"/>
      <c r="F3933" s="3064"/>
      <c r="G3933" s="3301" t="s">
        <v>720</v>
      </c>
      <c r="H3933" s="3063"/>
      <c r="I3933" s="3030"/>
    </row>
    <row r="3934" spans="2:9" ht="25.5">
      <c r="B3934" s="3299" t="s">
        <v>682</v>
      </c>
      <c r="C3934" s="3063"/>
      <c r="D3934" s="3064"/>
      <c r="E3934" s="3064"/>
      <c r="F3934" s="3064"/>
      <c r="G3934" s="3300" t="s">
        <v>682</v>
      </c>
      <c r="H3934" s="3063"/>
      <c r="I3934" s="3030"/>
    </row>
    <row r="3935" spans="2:9" ht="25.5">
      <c r="B3935" s="3192" t="s">
        <v>675</v>
      </c>
      <c r="C3935" s="3063"/>
      <c r="D3935" s="3064"/>
      <c r="E3935" s="3064"/>
      <c r="F3935" s="3064"/>
      <c r="G3935" s="3301" t="s">
        <v>675</v>
      </c>
      <c r="H3935" s="3063"/>
      <c r="I3935" s="3030"/>
    </row>
    <row r="3936" spans="2:9" ht="25.5">
      <c r="B3936" s="3192" t="s">
        <v>676</v>
      </c>
      <c r="C3936" s="3063"/>
      <c r="D3936" s="3064"/>
      <c r="E3936" s="3064"/>
      <c r="F3936" s="3064"/>
      <c r="G3936" s="3301" t="s">
        <v>676</v>
      </c>
      <c r="H3936" s="3063"/>
      <c r="I3936" s="3030"/>
    </row>
    <row r="3937" spans="2:9">
      <c r="B3937" s="3192" t="s">
        <v>677</v>
      </c>
      <c r="C3937" s="3063"/>
      <c r="D3937" s="3064"/>
      <c r="E3937" s="3064"/>
      <c r="F3937" s="3064"/>
      <c r="G3937" s="3301" t="s">
        <v>677</v>
      </c>
      <c r="H3937" s="3063"/>
      <c r="I3937" s="3030"/>
    </row>
    <row r="3938" spans="2:9">
      <c r="B3938" s="3192" t="s">
        <v>678</v>
      </c>
      <c r="C3938" s="3063"/>
      <c r="D3938" s="3064"/>
      <c r="E3938" s="3064"/>
      <c r="F3938" s="3064"/>
      <c r="G3938" s="3301" t="s">
        <v>678</v>
      </c>
      <c r="H3938" s="3063"/>
      <c r="I3938" s="3030"/>
    </row>
    <row r="3939" spans="2:9">
      <c r="B3939" s="3192" t="s">
        <v>679</v>
      </c>
      <c r="C3939" s="3063"/>
      <c r="D3939" s="3064"/>
      <c r="E3939" s="3064"/>
      <c r="F3939" s="3064"/>
      <c r="G3939" s="3301" t="s">
        <v>679</v>
      </c>
      <c r="H3939" s="3063"/>
      <c r="I3939" s="3030"/>
    </row>
    <row r="3940" spans="2:9" ht="25.5">
      <c r="B3940" s="3192" t="s">
        <v>720</v>
      </c>
      <c r="C3940" s="3063"/>
      <c r="D3940" s="3064"/>
      <c r="E3940" s="3064"/>
      <c r="F3940" s="3064"/>
      <c r="G3940" s="3301" t="s">
        <v>720</v>
      </c>
      <c r="H3940" s="3063"/>
      <c r="I3940" s="3030"/>
    </row>
    <row r="3941" spans="2:9" ht="25.5">
      <c r="B3941" s="3299" t="s">
        <v>66</v>
      </c>
      <c r="C3941" s="3063"/>
      <c r="D3941" s="3064"/>
      <c r="E3941" s="3064"/>
      <c r="F3941" s="3064">
        <v>5</v>
      </c>
      <c r="G3941" s="3300" t="s">
        <v>66</v>
      </c>
      <c r="H3941" s="3063">
        <v>0.83979328165374667</v>
      </c>
      <c r="I3941" s="3030"/>
    </row>
    <row r="3942" spans="2:9" ht="25.5">
      <c r="B3942" s="3192" t="s">
        <v>675</v>
      </c>
      <c r="C3942" s="3063">
        <v>5</v>
      </c>
      <c r="D3942" s="3064">
        <v>2</v>
      </c>
      <c r="E3942" s="3064"/>
      <c r="F3942" s="3064"/>
      <c r="G3942" s="3301" t="s">
        <v>675</v>
      </c>
      <c r="H3942" s="3063"/>
      <c r="I3942" s="3030">
        <v>0.904392764857881</v>
      </c>
    </row>
    <row r="3943" spans="2:9" ht="25.5">
      <c r="B3943" s="3192" t="s">
        <v>676</v>
      </c>
      <c r="C3943" s="3063"/>
      <c r="D3943" s="3064"/>
      <c r="E3943" s="3064"/>
      <c r="F3943" s="3064"/>
      <c r="G3943" s="3301" t="s">
        <v>676</v>
      </c>
      <c r="H3943" s="3063"/>
      <c r="I3943" s="3030"/>
    </row>
    <row r="3944" spans="2:9">
      <c r="B3944" s="3192" t="s">
        <v>677</v>
      </c>
      <c r="C3944" s="3063"/>
      <c r="D3944" s="3064"/>
      <c r="E3944" s="3064"/>
      <c r="F3944" s="3064"/>
      <c r="G3944" s="3301" t="s">
        <v>677</v>
      </c>
      <c r="H3944" s="3063"/>
      <c r="I3944" s="3030"/>
    </row>
    <row r="3945" spans="2:9">
      <c r="B3945" s="3192" t="s">
        <v>678</v>
      </c>
      <c r="C3945" s="3063"/>
      <c r="D3945" s="3064">
        <v>1</v>
      </c>
      <c r="E3945" s="3064"/>
      <c r="F3945" s="3064"/>
      <c r="G3945" s="3301" t="s">
        <v>678</v>
      </c>
      <c r="H3945" s="3063"/>
      <c r="I3945" s="3030"/>
    </row>
    <row r="3946" spans="2:9">
      <c r="B3946" s="3192" t="s">
        <v>679</v>
      </c>
      <c r="C3946" s="3063"/>
      <c r="D3946" s="3064"/>
      <c r="E3946" s="3064"/>
      <c r="F3946" s="3064"/>
      <c r="G3946" s="3301" t="s">
        <v>679</v>
      </c>
      <c r="H3946" s="3063"/>
      <c r="I3946" s="3030"/>
    </row>
    <row r="3947" spans="2:9" ht="25.5">
      <c r="B3947" s="3192" t="s">
        <v>720</v>
      </c>
      <c r="C3947" s="3063"/>
      <c r="D3947" s="3064"/>
      <c r="E3947" s="3064"/>
      <c r="F3947" s="3064"/>
      <c r="G3947" s="3301" t="s">
        <v>720</v>
      </c>
      <c r="H3947" s="3063"/>
      <c r="I3947" s="3030"/>
    </row>
    <row r="3948" spans="2:9">
      <c r="B3948" s="3299" t="s">
        <v>67</v>
      </c>
      <c r="C3948" s="3063"/>
      <c r="D3948" s="3064"/>
      <c r="E3948" s="3064"/>
      <c r="F3948" s="3064"/>
      <c r="G3948" s="3300" t="s">
        <v>67</v>
      </c>
      <c r="H3948" s="3063">
        <v>0.22234574763757642</v>
      </c>
      <c r="I3948" s="3030"/>
    </row>
    <row r="3949" spans="2:9" ht="25.5">
      <c r="B3949" s="3192" t="s">
        <v>675</v>
      </c>
      <c r="C3949" s="3063">
        <v>2</v>
      </c>
      <c r="D3949" s="3064"/>
      <c r="E3949" s="3064"/>
      <c r="F3949" s="3064"/>
      <c r="G3949" s="3301" t="s">
        <v>675</v>
      </c>
      <c r="H3949" s="3063"/>
      <c r="I3949" s="3030">
        <v>0.22234574763757642</v>
      </c>
    </row>
    <row r="3950" spans="2:9" ht="25.5">
      <c r="B3950" s="3192" t="s">
        <v>676</v>
      </c>
      <c r="C3950" s="3063"/>
      <c r="D3950" s="3064"/>
      <c r="E3950" s="3064"/>
      <c r="F3950" s="3064"/>
      <c r="G3950" s="3301" t="s">
        <v>676</v>
      </c>
      <c r="H3950" s="3063"/>
      <c r="I3950" s="3030"/>
    </row>
    <row r="3951" spans="2:9">
      <c r="B3951" s="3192" t="s">
        <v>677</v>
      </c>
      <c r="C3951" s="3063"/>
      <c r="D3951" s="3064"/>
      <c r="E3951" s="3064"/>
      <c r="F3951" s="3064"/>
      <c r="G3951" s="3301" t="s">
        <v>677</v>
      </c>
      <c r="H3951" s="3063"/>
      <c r="I3951" s="3030"/>
    </row>
    <row r="3952" spans="2:9">
      <c r="B3952" s="3192" t="s">
        <v>678</v>
      </c>
      <c r="C3952" s="3063"/>
      <c r="D3952" s="3064"/>
      <c r="E3952" s="3064"/>
      <c r="F3952" s="3064"/>
      <c r="G3952" s="3301" t="s">
        <v>678</v>
      </c>
      <c r="H3952" s="3063"/>
      <c r="I3952" s="3030"/>
    </row>
    <row r="3953" spans="2:9">
      <c r="B3953" s="3192" t="s">
        <v>679</v>
      </c>
      <c r="C3953" s="3063"/>
      <c r="D3953" s="3064"/>
      <c r="E3953" s="3064"/>
      <c r="F3953" s="3064"/>
      <c r="G3953" s="3301" t="s">
        <v>679</v>
      </c>
      <c r="H3953" s="3063"/>
      <c r="I3953" s="3030"/>
    </row>
    <row r="3954" spans="2:9" ht="25.5">
      <c r="B3954" s="3230" t="s">
        <v>81</v>
      </c>
      <c r="C3954" s="3063"/>
      <c r="D3954" s="3064"/>
      <c r="E3954" s="3064"/>
      <c r="F3954" s="3064"/>
      <c r="G3954" s="3302" t="s">
        <v>81</v>
      </c>
      <c r="H3954" s="3063"/>
      <c r="I3954" s="3030"/>
    </row>
    <row r="3955" spans="2:9" ht="26.25" thickBot="1">
      <c r="B3955" s="3303" t="s">
        <v>81</v>
      </c>
      <c r="C3955" s="3063"/>
      <c r="D3955" s="3064"/>
      <c r="E3955" s="3064"/>
      <c r="F3955" s="3064"/>
      <c r="G3955" s="3302" t="s">
        <v>81</v>
      </c>
      <c r="H3955" s="3063"/>
      <c r="I3955" s="3030"/>
    </row>
    <row r="3956" spans="2:9">
      <c r="B3956" s="3217" t="s">
        <v>697</v>
      </c>
      <c r="C3956" s="3218"/>
      <c r="D3956" s="3219"/>
      <c r="E3956" s="3219"/>
      <c r="F3956" s="3219"/>
      <c r="G3956" s="3217" t="s">
        <v>697</v>
      </c>
      <c r="H3956" s="3297"/>
      <c r="I3956" s="3298"/>
    </row>
    <row r="3957" spans="2:9">
      <c r="B3957" s="3299" t="s">
        <v>64</v>
      </c>
      <c r="C3957" s="3063"/>
      <c r="D3957" s="3064"/>
      <c r="E3957" s="3064"/>
      <c r="F3957" s="3064"/>
      <c r="G3957" s="3300" t="s">
        <v>64</v>
      </c>
      <c r="H3957" s="3063"/>
      <c r="I3957" s="3030"/>
    </row>
    <row r="3958" spans="2:9" ht="25.5">
      <c r="B3958" s="3192" t="s">
        <v>675</v>
      </c>
      <c r="C3958" s="3063"/>
      <c r="D3958" s="3064"/>
      <c r="E3958" s="3064"/>
      <c r="F3958" s="3064"/>
      <c r="G3958" s="3301" t="s">
        <v>675</v>
      </c>
      <c r="H3958" s="3063"/>
      <c r="I3958" s="3030"/>
    </row>
    <row r="3959" spans="2:9" ht="25.5">
      <c r="B3959" s="3192" t="s">
        <v>676</v>
      </c>
      <c r="C3959" s="3063"/>
      <c r="D3959" s="3064"/>
      <c r="E3959" s="3064"/>
      <c r="F3959" s="3064"/>
      <c r="G3959" s="3301" t="s">
        <v>676</v>
      </c>
      <c r="H3959" s="3063"/>
      <c r="I3959" s="3030"/>
    </row>
    <row r="3960" spans="2:9">
      <c r="B3960" s="3192" t="s">
        <v>677</v>
      </c>
      <c r="C3960" s="3063"/>
      <c r="D3960" s="3064"/>
      <c r="E3960" s="3064"/>
      <c r="F3960" s="3064"/>
      <c r="G3960" s="3301" t="s">
        <v>677</v>
      </c>
      <c r="H3960" s="3063"/>
      <c r="I3960" s="3030"/>
    </row>
    <row r="3961" spans="2:9">
      <c r="B3961" s="3192" t="s">
        <v>678</v>
      </c>
      <c r="C3961" s="3063"/>
      <c r="D3961" s="3064"/>
      <c r="E3961" s="3064"/>
      <c r="F3961" s="3064"/>
      <c r="G3961" s="3301" t="s">
        <v>678</v>
      </c>
      <c r="H3961" s="3063"/>
      <c r="I3961" s="3030"/>
    </row>
    <row r="3962" spans="2:9">
      <c r="B3962" s="3192" t="s">
        <v>679</v>
      </c>
      <c r="C3962" s="3063"/>
      <c r="D3962" s="3064"/>
      <c r="E3962" s="3064"/>
      <c r="F3962" s="3064"/>
      <c r="G3962" s="3301" t="s">
        <v>679</v>
      </c>
      <c r="H3962" s="3063"/>
      <c r="I3962" s="3030"/>
    </row>
    <row r="3963" spans="2:9" ht="25.5">
      <c r="B3963" s="3192" t="s">
        <v>720</v>
      </c>
      <c r="C3963" s="3063"/>
      <c r="D3963" s="3064"/>
      <c r="E3963" s="3064"/>
      <c r="F3963" s="3064"/>
      <c r="G3963" s="3301" t="s">
        <v>720</v>
      </c>
      <c r="H3963" s="3063"/>
      <c r="I3963" s="3030"/>
    </row>
    <row r="3964" spans="2:9">
      <c r="B3964" s="3299" t="s">
        <v>65</v>
      </c>
      <c r="C3964" s="3063"/>
      <c r="D3964" s="3064"/>
      <c r="E3964" s="3064"/>
      <c r="F3964" s="3064"/>
      <c r="G3964" s="3300" t="s">
        <v>65</v>
      </c>
      <c r="H3964" s="3063"/>
      <c r="I3964" s="3030"/>
    </row>
    <row r="3965" spans="2:9" ht="25.5">
      <c r="B3965" s="3192" t="s">
        <v>675</v>
      </c>
      <c r="C3965" s="3063"/>
      <c r="D3965" s="3064"/>
      <c r="E3965" s="3064"/>
      <c r="F3965" s="3064"/>
      <c r="G3965" s="3301" t="s">
        <v>675</v>
      </c>
      <c r="H3965" s="3063"/>
      <c r="I3965" s="3030"/>
    </row>
    <row r="3966" spans="2:9" ht="25.5">
      <c r="B3966" s="3192" t="s">
        <v>676</v>
      </c>
      <c r="C3966" s="3063"/>
      <c r="D3966" s="3064"/>
      <c r="E3966" s="3064"/>
      <c r="F3966" s="3064"/>
      <c r="G3966" s="3301" t="s">
        <v>676</v>
      </c>
      <c r="H3966" s="3063"/>
      <c r="I3966" s="3030"/>
    </row>
    <row r="3967" spans="2:9">
      <c r="B3967" s="3192" t="s">
        <v>677</v>
      </c>
      <c r="C3967" s="3063"/>
      <c r="D3967" s="3064"/>
      <c r="E3967" s="3064"/>
      <c r="F3967" s="3064"/>
      <c r="G3967" s="3301" t="s">
        <v>677</v>
      </c>
      <c r="H3967" s="3063"/>
      <c r="I3967" s="3030"/>
    </row>
    <row r="3968" spans="2:9">
      <c r="B3968" s="3192" t="s">
        <v>678</v>
      </c>
      <c r="C3968" s="3063"/>
      <c r="D3968" s="3064"/>
      <c r="E3968" s="3064"/>
      <c r="F3968" s="3064"/>
      <c r="G3968" s="3301" t="s">
        <v>678</v>
      </c>
      <c r="H3968" s="3063"/>
      <c r="I3968" s="3030"/>
    </row>
    <row r="3969" spans="2:9">
      <c r="B3969" s="3192" t="s">
        <v>679</v>
      </c>
      <c r="C3969" s="3063"/>
      <c r="D3969" s="3064"/>
      <c r="E3969" s="3064"/>
      <c r="F3969" s="3064"/>
      <c r="G3969" s="3301" t="s">
        <v>679</v>
      </c>
      <c r="H3969" s="3063"/>
      <c r="I3969" s="3030"/>
    </row>
    <row r="3970" spans="2:9" ht="25.5">
      <c r="B3970" s="3192" t="s">
        <v>720</v>
      </c>
      <c r="C3970" s="3063"/>
      <c r="D3970" s="3064"/>
      <c r="E3970" s="3064"/>
      <c r="F3970" s="3064"/>
      <c r="G3970" s="3301" t="s">
        <v>720</v>
      </c>
      <c r="H3970" s="3063"/>
      <c r="I3970" s="3030"/>
    </row>
    <row r="3971" spans="2:9">
      <c r="B3971" s="3299" t="s">
        <v>82</v>
      </c>
      <c r="C3971" s="3063"/>
      <c r="D3971" s="3064"/>
      <c r="E3971" s="3064"/>
      <c r="F3971" s="3064"/>
      <c r="G3971" s="3300" t="s">
        <v>82</v>
      </c>
      <c r="H3971" s="3063"/>
      <c r="I3971" s="3030"/>
    </row>
    <row r="3972" spans="2:9" ht="25.5">
      <c r="B3972" s="3192" t="s">
        <v>675</v>
      </c>
      <c r="C3972" s="3063"/>
      <c r="D3972" s="3064"/>
      <c r="E3972" s="3064"/>
      <c r="F3972" s="3064"/>
      <c r="G3972" s="3301" t="s">
        <v>675</v>
      </c>
      <c r="H3972" s="3063"/>
      <c r="I3972" s="3030"/>
    </row>
    <row r="3973" spans="2:9" ht="25.5">
      <c r="B3973" s="3192" t="s">
        <v>676</v>
      </c>
      <c r="C3973" s="3063"/>
      <c r="D3973" s="3064"/>
      <c r="E3973" s="3064"/>
      <c r="F3973" s="3064"/>
      <c r="G3973" s="3301" t="s">
        <v>676</v>
      </c>
      <c r="H3973" s="3063"/>
      <c r="I3973" s="3030"/>
    </row>
    <row r="3974" spans="2:9">
      <c r="B3974" s="3192" t="s">
        <v>677</v>
      </c>
      <c r="C3974" s="3063"/>
      <c r="D3974" s="3064"/>
      <c r="E3974" s="3064"/>
      <c r="F3974" s="3064"/>
      <c r="G3974" s="3301" t="s">
        <v>677</v>
      </c>
      <c r="H3974" s="3063"/>
      <c r="I3974" s="3030"/>
    </row>
    <row r="3975" spans="2:9">
      <c r="B3975" s="3192" t="s">
        <v>678</v>
      </c>
      <c r="C3975" s="3063"/>
      <c r="D3975" s="3064"/>
      <c r="E3975" s="3064"/>
      <c r="F3975" s="3064"/>
      <c r="G3975" s="3301" t="s">
        <v>678</v>
      </c>
      <c r="H3975" s="3063"/>
      <c r="I3975" s="3030"/>
    </row>
    <row r="3976" spans="2:9">
      <c r="B3976" s="3192" t="s">
        <v>679</v>
      </c>
      <c r="C3976" s="3063"/>
      <c r="D3976" s="3064"/>
      <c r="E3976" s="3064"/>
      <c r="F3976" s="3064"/>
      <c r="G3976" s="3301" t="s">
        <v>679</v>
      </c>
      <c r="H3976" s="3063"/>
      <c r="I3976" s="3030"/>
    </row>
    <row r="3977" spans="2:9" ht="25.5">
      <c r="B3977" s="3192" t="s">
        <v>720</v>
      </c>
      <c r="C3977" s="3063"/>
      <c r="D3977" s="3064"/>
      <c r="E3977" s="3064"/>
      <c r="F3977" s="3064"/>
      <c r="G3977" s="3301" t="s">
        <v>720</v>
      </c>
      <c r="H3977" s="3063"/>
      <c r="I3977" s="3030"/>
    </row>
    <row r="3978" spans="2:9" ht="38.25">
      <c r="B3978" s="3299" t="s">
        <v>680</v>
      </c>
      <c r="C3978" s="3063"/>
      <c r="D3978" s="3064"/>
      <c r="E3978" s="3064"/>
      <c r="F3978" s="3064"/>
      <c r="G3978" s="3300" t="s">
        <v>680</v>
      </c>
      <c r="H3978" s="3063"/>
      <c r="I3978" s="3030"/>
    </row>
    <row r="3979" spans="2:9" ht="25.5">
      <c r="B3979" s="3192" t="s">
        <v>675</v>
      </c>
      <c r="C3979" s="3063"/>
      <c r="D3979" s="3064"/>
      <c r="E3979" s="3064"/>
      <c r="F3979" s="3064"/>
      <c r="G3979" s="3301" t="s">
        <v>675</v>
      </c>
      <c r="H3979" s="3063"/>
      <c r="I3979" s="3030"/>
    </row>
    <row r="3980" spans="2:9" ht="25.5">
      <c r="B3980" s="3192" t="s">
        <v>676</v>
      </c>
      <c r="C3980" s="3063"/>
      <c r="D3980" s="3064"/>
      <c r="E3980" s="3064"/>
      <c r="F3980" s="3064"/>
      <c r="G3980" s="3301" t="s">
        <v>676</v>
      </c>
      <c r="H3980" s="3063"/>
      <c r="I3980" s="3030"/>
    </row>
    <row r="3981" spans="2:9">
      <c r="B3981" s="3192" t="s">
        <v>677</v>
      </c>
      <c r="C3981" s="3063"/>
      <c r="D3981" s="3064"/>
      <c r="E3981" s="3064"/>
      <c r="F3981" s="3064"/>
      <c r="G3981" s="3301" t="s">
        <v>677</v>
      </c>
      <c r="H3981" s="3063"/>
      <c r="I3981" s="3030"/>
    </row>
    <row r="3982" spans="2:9">
      <c r="B3982" s="3192" t="s">
        <v>678</v>
      </c>
      <c r="C3982" s="3063"/>
      <c r="D3982" s="3064"/>
      <c r="E3982" s="3064"/>
      <c r="F3982" s="3064"/>
      <c r="G3982" s="3301" t="s">
        <v>678</v>
      </c>
      <c r="H3982" s="3063"/>
      <c r="I3982" s="3030"/>
    </row>
    <row r="3983" spans="2:9">
      <c r="B3983" s="3192" t="s">
        <v>679</v>
      </c>
      <c r="C3983" s="3063"/>
      <c r="D3983" s="3064"/>
      <c r="E3983" s="3064"/>
      <c r="F3983" s="3064"/>
      <c r="G3983" s="3301" t="s">
        <v>679</v>
      </c>
      <c r="H3983" s="3063"/>
      <c r="I3983" s="3030"/>
    </row>
    <row r="3984" spans="2:9" ht="25.5">
      <c r="B3984" s="3192" t="s">
        <v>720</v>
      </c>
      <c r="C3984" s="3063"/>
      <c r="D3984" s="3064"/>
      <c r="E3984" s="3064"/>
      <c r="F3984" s="3064"/>
      <c r="G3984" s="3301" t="s">
        <v>720</v>
      </c>
      <c r="H3984" s="3063"/>
      <c r="I3984" s="3030"/>
    </row>
    <row r="3985" spans="2:9" ht="38.25">
      <c r="B3985" s="3299" t="s">
        <v>681</v>
      </c>
      <c r="C3985" s="3063"/>
      <c r="D3985" s="3064"/>
      <c r="E3985" s="3064"/>
      <c r="F3985" s="3064">
        <v>1</v>
      </c>
      <c r="G3985" s="3300" t="s">
        <v>681</v>
      </c>
      <c r="H3985" s="3063">
        <v>0.47997805814591343</v>
      </c>
      <c r="I3985" s="3030"/>
    </row>
    <row r="3986" spans="2:9" ht="25.5">
      <c r="B3986" s="3192" t="s">
        <v>675</v>
      </c>
      <c r="C3986" s="3063">
        <v>1</v>
      </c>
      <c r="D3986" s="3064">
        <v>5</v>
      </c>
      <c r="E3986" s="3064"/>
      <c r="F3986" s="3064"/>
      <c r="G3986" s="3301" t="s">
        <v>675</v>
      </c>
      <c r="H3986" s="3063"/>
      <c r="I3986" s="3030">
        <v>1.2342292923752058</v>
      </c>
    </row>
    <row r="3987" spans="2:9" ht="25.5">
      <c r="B3987" s="3192" t="s">
        <v>676</v>
      </c>
      <c r="C3987" s="3063"/>
      <c r="D3987" s="3064"/>
      <c r="E3987" s="3064"/>
      <c r="F3987" s="3064"/>
      <c r="G3987" s="3301" t="s">
        <v>676</v>
      </c>
      <c r="H3987" s="3063"/>
      <c r="I3987" s="3030"/>
    </row>
    <row r="3988" spans="2:9">
      <c r="B3988" s="3192" t="s">
        <v>677</v>
      </c>
      <c r="C3988" s="3063"/>
      <c r="D3988" s="3064"/>
      <c r="E3988" s="3064"/>
      <c r="F3988" s="3064"/>
      <c r="G3988" s="3301" t="s">
        <v>677</v>
      </c>
      <c r="H3988" s="3063"/>
      <c r="I3988" s="3030"/>
    </row>
    <row r="3989" spans="2:9">
      <c r="B3989" s="3192" t="s">
        <v>678</v>
      </c>
      <c r="C3989" s="3063"/>
      <c r="D3989" s="3064"/>
      <c r="E3989" s="3064"/>
      <c r="F3989" s="3064"/>
      <c r="G3989" s="3301" t="s">
        <v>678</v>
      </c>
      <c r="H3989" s="3063"/>
      <c r="I3989" s="3030"/>
    </row>
    <row r="3990" spans="2:9">
      <c r="B3990" s="3192" t="s">
        <v>679</v>
      </c>
      <c r="C3990" s="3063"/>
      <c r="D3990" s="3064"/>
      <c r="E3990" s="3064"/>
      <c r="F3990" s="3064"/>
      <c r="G3990" s="3301" t="s">
        <v>679</v>
      </c>
      <c r="H3990" s="3063"/>
      <c r="I3990" s="3030"/>
    </row>
    <row r="3991" spans="2:9" ht="25.5">
      <c r="B3991" s="3192" t="s">
        <v>720</v>
      </c>
      <c r="C3991" s="3063"/>
      <c r="D3991" s="3064"/>
      <c r="E3991" s="3064"/>
      <c r="F3991" s="3064"/>
      <c r="G3991" s="3301" t="s">
        <v>720</v>
      </c>
      <c r="H3991" s="3063"/>
      <c r="I3991" s="3030"/>
    </row>
    <row r="3992" spans="2:9" ht="25.5">
      <c r="B3992" s="3299" t="s">
        <v>682</v>
      </c>
      <c r="C3992" s="3063"/>
      <c r="D3992" s="3064"/>
      <c r="E3992" s="3064"/>
      <c r="F3992" s="3064"/>
      <c r="G3992" s="3300" t="s">
        <v>682</v>
      </c>
      <c r="H3992" s="3063"/>
      <c r="I3992" s="3030"/>
    </row>
    <row r="3993" spans="2:9" ht="25.5">
      <c r="B3993" s="3192" t="s">
        <v>675</v>
      </c>
      <c r="C3993" s="3063"/>
      <c r="D3993" s="3064"/>
      <c r="E3993" s="3064"/>
      <c r="F3993" s="3064"/>
      <c r="G3993" s="3301" t="s">
        <v>675</v>
      </c>
      <c r="H3993" s="3063"/>
      <c r="I3993" s="3030"/>
    </row>
    <row r="3994" spans="2:9" ht="25.5">
      <c r="B3994" s="3192" t="s">
        <v>676</v>
      </c>
      <c r="C3994" s="3063"/>
      <c r="D3994" s="3064"/>
      <c r="E3994" s="3064"/>
      <c r="F3994" s="3064"/>
      <c r="G3994" s="3301" t="s">
        <v>676</v>
      </c>
      <c r="H3994" s="3063"/>
      <c r="I3994" s="3030"/>
    </row>
    <row r="3995" spans="2:9">
      <c r="B3995" s="3192" t="s">
        <v>677</v>
      </c>
      <c r="C3995" s="3063"/>
      <c r="D3995" s="3064"/>
      <c r="E3995" s="3064"/>
      <c r="F3995" s="3064"/>
      <c r="G3995" s="3301" t="s">
        <v>677</v>
      </c>
      <c r="H3995" s="3063"/>
      <c r="I3995" s="3030"/>
    </row>
    <row r="3996" spans="2:9">
      <c r="B3996" s="3192" t="s">
        <v>678</v>
      </c>
      <c r="C3996" s="3063"/>
      <c r="D3996" s="3064"/>
      <c r="E3996" s="3064"/>
      <c r="F3996" s="3064"/>
      <c r="G3996" s="3301" t="s">
        <v>678</v>
      </c>
      <c r="H3996" s="3063"/>
      <c r="I3996" s="3030"/>
    </row>
    <row r="3997" spans="2:9">
      <c r="B3997" s="3192" t="s">
        <v>679</v>
      </c>
      <c r="C3997" s="3063"/>
      <c r="D3997" s="3064"/>
      <c r="E3997" s="3064"/>
      <c r="F3997" s="3064"/>
      <c r="G3997" s="3301" t="s">
        <v>679</v>
      </c>
      <c r="H3997" s="3063"/>
      <c r="I3997" s="3030"/>
    </row>
    <row r="3998" spans="2:9" ht="25.5">
      <c r="B3998" s="3192" t="s">
        <v>720</v>
      </c>
      <c r="C3998" s="3063"/>
      <c r="D3998" s="3064"/>
      <c r="E3998" s="3064"/>
      <c r="F3998" s="3064"/>
      <c r="G3998" s="3301" t="s">
        <v>720</v>
      </c>
      <c r="H3998" s="3063"/>
      <c r="I3998" s="3030"/>
    </row>
    <row r="3999" spans="2:9" ht="25.5">
      <c r="B3999" s="3299" t="s">
        <v>66</v>
      </c>
      <c r="C3999" s="3063"/>
      <c r="D3999" s="3064"/>
      <c r="E3999" s="3064"/>
      <c r="F3999" s="3064"/>
      <c r="G3999" s="3300" t="s">
        <v>66</v>
      </c>
      <c r="H3999" s="3063"/>
      <c r="I3999" s="3030"/>
    </row>
    <row r="4000" spans="2:9" ht="25.5">
      <c r="B4000" s="3192" t="s">
        <v>675</v>
      </c>
      <c r="C4000" s="3063"/>
      <c r="D4000" s="3064"/>
      <c r="E4000" s="3064"/>
      <c r="F4000" s="3064"/>
      <c r="G4000" s="3301" t="s">
        <v>675</v>
      </c>
      <c r="H4000" s="3063"/>
      <c r="I4000" s="3030"/>
    </row>
    <row r="4001" spans="2:9" ht="25.5">
      <c r="B4001" s="3192" t="s">
        <v>676</v>
      </c>
      <c r="C4001" s="3063"/>
      <c r="D4001" s="3064"/>
      <c r="E4001" s="3064"/>
      <c r="F4001" s="3064"/>
      <c r="G4001" s="3301" t="s">
        <v>676</v>
      </c>
      <c r="H4001" s="3063"/>
      <c r="I4001" s="3030"/>
    </row>
    <row r="4002" spans="2:9">
      <c r="B4002" s="3192" t="s">
        <v>677</v>
      </c>
      <c r="C4002" s="3063"/>
      <c r="D4002" s="3064"/>
      <c r="E4002" s="3064"/>
      <c r="F4002" s="3064"/>
      <c r="G4002" s="3301" t="s">
        <v>677</v>
      </c>
      <c r="H4002" s="3063"/>
      <c r="I4002" s="3030"/>
    </row>
    <row r="4003" spans="2:9">
      <c r="B4003" s="3192" t="s">
        <v>678</v>
      </c>
      <c r="C4003" s="3063"/>
      <c r="D4003" s="3064"/>
      <c r="E4003" s="3064"/>
      <c r="F4003" s="3064"/>
      <c r="G4003" s="3301" t="s">
        <v>678</v>
      </c>
      <c r="H4003" s="3063"/>
      <c r="I4003" s="3030"/>
    </row>
    <row r="4004" spans="2:9">
      <c r="B4004" s="3192" t="s">
        <v>679</v>
      </c>
      <c r="C4004" s="3063"/>
      <c r="D4004" s="3064"/>
      <c r="E4004" s="3064"/>
      <c r="F4004" s="3064"/>
      <c r="G4004" s="3301" t="s">
        <v>679</v>
      </c>
      <c r="H4004" s="3063"/>
      <c r="I4004" s="3030"/>
    </row>
    <row r="4005" spans="2:9" ht="25.5">
      <c r="B4005" s="3192" t="s">
        <v>720</v>
      </c>
      <c r="C4005" s="3063"/>
      <c r="D4005" s="3064"/>
      <c r="E4005" s="3064"/>
      <c r="F4005" s="3064"/>
      <c r="G4005" s="3301" t="s">
        <v>720</v>
      </c>
      <c r="H4005" s="3063"/>
      <c r="I4005" s="3030"/>
    </row>
    <row r="4006" spans="2:9">
      <c r="B4006" s="3299" t="s">
        <v>67</v>
      </c>
      <c r="C4006" s="3063"/>
      <c r="D4006" s="3064"/>
      <c r="E4006" s="3064"/>
      <c r="F4006" s="3064">
        <v>2</v>
      </c>
      <c r="G4006" s="3300" t="s">
        <v>67</v>
      </c>
      <c r="H4006" s="3063">
        <v>0.22234574763757642</v>
      </c>
      <c r="I4006" s="3030"/>
    </row>
    <row r="4007" spans="2:9" ht="25.5">
      <c r="B4007" s="3192" t="s">
        <v>675</v>
      </c>
      <c r="C4007" s="3063"/>
      <c r="D4007" s="3064"/>
      <c r="E4007" s="3064"/>
      <c r="F4007" s="3064"/>
      <c r="G4007" s="3301" t="s">
        <v>675</v>
      </c>
      <c r="H4007" s="3063"/>
      <c r="I4007" s="3030"/>
    </row>
    <row r="4008" spans="2:9" ht="25.5">
      <c r="B4008" s="3192" t="s">
        <v>676</v>
      </c>
      <c r="C4008" s="3063"/>
      <c r="D4008" s="3064"/>
      <c r="E4008" s="3064"/>
      <c r="F4008" s="3064"/>
      <c r="G4008" s="3301" t="s">
        <v>676</v>
      </c>
      <c r="H4008" s="3063"/>
      <c r="I4008" s="3030"/>
    </row>
    <row r="4009" spans="2:9">
      <c r="B4009" s="3192" t="s">
        <v>677</v>
      </c>
      <c r="C4009" s="3063"/>
      <c r="D4009" s="3064"/>
      <c r="E4009" s="3064"/>
      <c r="F4009" s="3064"/>
      <c r="G4009" s="3301" t="s">
        <v>677</v>
      </c>
      <c r="H4009" s="3063"/>
      <c r="I4009" s="3030"/>
    </row>
    <row r="4010" spans="2:9">
      <c r="B4010" s="3192" t="s">
        <v>678</v>
      </c>
      <c r="C4010" s="3063"/>
      <c r="D4010" s="3064"/>
      <c r="E4010" s="3064"/>
      <c r="F4010" s="3064"/>
      <c r="G4010" s="3301" t="s">
        <v>678</v>
      </c>
      <c r="H4010" s="3063"/>
      <c r="I4010" s="3030"/>
    </row>
    <row r="4011" spans="2:9">
      <c r="B4011" s="3192" t="s">
        <v>679</v>
      </c>
      <c r="C4011" s="3063"/>
      <c r="D4011" s="3064"/>
      <c r="E4011" s="3064"/>
      <c r="F4011" s="3064"/>
      <c r="G4011" s="3301" t="s">
        <v>679</v>
      </c>
      <c r="H4011" s="3063"/>
      <c r="I4011" s="3030"/>
    </row>
    <row r="4012" spans="2:9" ht="25.5">
      <c r="B4012" s="3230" t="s">
        <v>81</v>
      </c>
      <c r="C4012" s="3063"/>
      <c r="D4012" s="3064"/>
      <c r="E4012" s="3064"/>
      <c r="F4012" s="3064"/>
      <c r="G4012" s="3302" t="s">
        <v>81</v>
      </c>
      <c r="H4012" s="3063"/>
      <c r="I4012" s="3030"/>
    </row>
    <row r="4013" spans="2:9" ht="26.25" thickBot="1">
      <c r="B4013" s="3303" t="s">
        <v>81</v>
      </c>
      <c r="C4013" s="3068"/>
      <c r="D4013" s="3069"/>
      <c r="E4013" s="3069"/>
      <c r="F4013" s="3069"/>
      <c r="G4013" s="3304" t="s">
        <v>81</v>
      </c>
      <c r="H4013" s="3068"/>
      <c r="I4013" s="3070"/>
    </row>
    <row r="4014" spans="2:9" ht="38.25">
      <c r="B4014" s="4723">
        <v>3024</v>
      </c>
      <c r="C4014" s="3289"/>
      <c r="D4014" s="3290"/>
      <c r="E4014" s="3290"/>
      <c r="F4014" s="3290"/>
      <c r="G4014" s="4723">
        <v>3024</v>
      </c>
      <c r="H4014" s="3291" t="s">
        <v>687</v>
      </c>
      <c r="I4014" s="3292" t="s">
        <v>688</v>
      </c>
    </row>
    <row r="4015" spans="2:9">
      <c r="B4015" s="4724"/>
      <c r="C4015" s="4678" t="s">
        <v>686</v>
      </c>
      <c r="D4015" s="4725"/>
      <c r="E4015" s="4725"/>
      <c r="F4015" s="4726"/>
      <c r="G4015" s="4724"/>
      <c r="H4015" s="3293"/>
      <c r="I4015" s="3294"/>
    </row>
    <row r="4016" spans="2:9" ht="13.5" thickBot="1">
      <c r="B4016" s="4724"/>
      <c r="C4016" s="3215">
        <v>2013</v>
      </c>
      <c r="D4016" s="3215">
        <v>2014</v>
      </c>
      <c r="E4016" s="3215">
        <v>2015</v>
      </c>
      <c r="F4016" s="3215">
        <v>2016</v>
      </c>
      <c r="G4016" s="4724"/>
      <c r="H4016" s="3295" t="s">
        <v>390</v>
      </c>
      <c r="I4016" s="3296" t="s">
        <v>390</v>
      </c>
    </row>
    <row r="4017" spans="2:9">
      <c r="B4017" s="3217" t="s">
        <v>695</v>
      </c>
      <c r="C4017" s="3218"/>
      <c r="D4017" s="3219"/>
      <c r="E4017" s="3219"/>
      <c r="F4017" s="3219"/>
      <c r="G4017" s="3217" t="s">
        <v>695</v>
      </c>
      <c r="H4017" s="3297"/>
      <c r="I4017" s="3298"/>
    </row>
    <row r="4018" spans="2:9">
      <c r="B4018" s="3299" t="s">
        <v>64</v>
      </c>
      <c r="C4018" s="3063"/>
      <c r="D4018" s="3064"/>
      <c r="E4018" s="3064"/>
      <c r="F4018" s="3064"/>
      <c r="G4018" s="3300" t="s">
        <v>64</v>
      </c>
      <c r="H4018" s="3063"/>
      <c r="I4018" s="3030"/>
    </row>
    <row r="4019" spans="2:9" ht="25.5">
      <c r="B4019" s="3192" t="s">
        <v>675</v>
      </c>
      <c r="C4019" s="3063"/>
      <c r="D4019" s="3064"/>
      <c r="E4019" s="3064"/>
      <c r="F4019" s="3064"/>
      <c r="G4019" s="3301" t="s">
        <v>675</v>
      </c>
      <c r="H4019" s="3063"/>
      <c r="I4019" s="3030"/>
    </row>
    <row r="4020" spans="2:9" ht="25.5">
      <c r="B4020" s="3192" t="s">
        <v>676</v>
      </c>
      <c r="C4020" s="3063"/>
      <c r="D4020" s="3064"/>
      <c r="E4020" s="3064"/>
      <c r="F4020" s="3064"/>
      <c r="G4020" s="3301" t="s">
        <v>676</v>
      </c>
      <c r="H4020" s="3063"/>
      <c r="I4020" s="3030"/>
    </row>
    <row r="4021" spans="2:9">
      <c r="B4021" s="3192" t="s">
        <v>677</v>
      </c>
      <c r="C4021" s="3063"/>
      <c r="D4021" s="3064"/>
      <c r="E4021" s="3064"/>
      <c r="F4021" s="3064"/>
      <c r="G4021" s="3301" t="s">
        <v>677</v>
      </c>
      <c r="H4021" s="3063"/>
      <c r="I4021" s="3030"/>
    </row>
    <row r="4022" spans="2:9">
      <c r="B4022" s="3192" t="s">
        <v>678</v>
      </c>
      <c r="C4022" s="3063"/>
      <c r="D4022" s="3064"/>
      <c r="E4022" s="3064"/>
      <c r="F4022" s="3064"/>
      <c r="G4022" s="3301" t="s">
        <v>678</v>
      </c>
      <c r="H4022" s="3063"/>
      <c r="I4022" s="3030"/>
    </row>
    <row r="4023" spans="2:9">
      <c r="B4023" s="3192" t="s">
        <v>679</v>
      </c>
      <c r="C4023" s="3063"/>
      <c r="D4023" s="3064"/>
      <c r="E4023" s="3064"/>
      <c r="F4023" s="3064"/>
      <c r="G4023" s="3301" t="s">
        <v>679</v>
      </c>
      <c r="H4023" s="3063"/>
      <c r="I4023" s="3030"/>
    </row>
    <row r="4024" spans="2:9" ht="25.5">
      <c r="B4024" s="3192" t="s">
        <v>720</v>
      </c>
      <c r="C4024" s="3063"/>
      <c r="D4024" s="3064"/>
      <c r="E4024" s="3064"/>
      <c r="F4024" s="3064"/>
      <c r="G4024" s="3301" t="s">
        <v>720</v>
      </c>
      <c r="H4024" s="3063"/>
      <c r="I4024" s="3030"/>
    </row>
    <row r="4025" spans="2:9">
      <c r="B4025" s="3299" t="s">
        <v>65</v>
      </c>
      <c r="C4025" s="3063"/>
      <c r="D4025" s="3064"/>
      <c r="E4025" s="3064"/>
      <c r="F4025" s="3064"/>
      <c r="G4025" s="3300" t="s">
        <v>65</v>
      </c>
      <c r="H4025" s="3063"/>
      <c r="I4025" s="3030"/>
    </row>
    <row r="4026" spans="2:9" ht="25.5">
      <c r="B4026" s="3192" t="s">
        <v>675</v>
      </c>
      <c r="C4026" s="3063"/>
      <c r="D4026" s="3064"/>
      <c r="E4026" s="3064"/>
      <c r="F4026" s="3064"/>
      <c r="G4026" s="3301" t="s">
        <v>675</v>
      </c>
      <c r="H4026" s="3063"/>
      <c r="I4026" s="3030"/>
    </row>
    <row r="4027" spans="2:9" ht="25.5">
      <c r="B4027" s="3192" t="s">
        <v>676</v>
      </c>
      <c r="C4027" s="3063"/>
      <c r="D4027" s="3064"/>
      <c r="E4027" s="3064"/>
      <c r="F4027" s="3064"/>
      <c r="G4027" s="3301" t="s">
        <v>676</v>
      </c>
      <c r="H4027" s="3063"/>
      <c r="I4027" s="3030"/>
    </row>
    <row r="4028" spans="2:9">
      <c r="B4028" s="3192" t="s">
        <v>677</v>
      </c>
      <c r="C4028" s="3063"/>
      <c r="D4028" s="3064"/>
      <c r="E4028" s="3064"/>
      <c r="F4028" s="3064"/>
      <c r="G4028" s="3301" t="s">
        <v>677</v>
      </c>
      <c r="H4028" s="3063"/>
      <c r="I4028" s="3030"/>
    </row>
    <row r="4029" spans="2:9">
      <c r="B4029" s="3192" t="s">
        <v>678</v>
      </c>
      <c r="C4029" s="3063"/>
      <c r="D4029" s="3064"/>
      <c r="E4029" s="3064"/>
      <c r="F4029" s="3064"/>
      <c r="G4029" s="3301" t="s">
        <v>678</v>
      </c>
      <c r="H4029" s="3063"/>
      <c r="I4029" s="3030"/>
    </row>
    <row r="4030" spans="2:9">
      <c r="B4030" s="3192" t="s">
        <v>679</v>
      </c>
      <c r="C4030" s="3063"/>
      <c r="D4030" s="3064"/>
      <c r="E4030" s="3064"/>
      <c r="F4030" s="3064"/>
      <c r="G4030" s="3301" t="s">
        <v>679</v>
      </c>
      <c r="H4030" s="3063"/>
      <c r="I4030" s="3030"/>
    </row>
    <row r="4031" spans="2:9" ht="25.5">
      <c r="B4031" s="3192" t="s">
        <v>720</v>
      </c>
      <c r="C4031" s="3063"/>
      <c r="D4031" s="3064"/>
      <c r="E4031" s="3064"/>
      <c r="F4031" s="3064"/>
      <c r="G4031" s="3301" t="s">
        <v>720</v>
      </c>
      <c r="H4031" s="3063"/>
      <c r="I4031" s="3030"/>
    </row>
    <row r="4032" spans="2:9">
      <c r="B4032" s="3299" t="s">
        <v>82</v>
      </c>
      <c r="C4032" s="3063"/>
      <c r="D4032" s="3064"/>
      <c r="E4032" s="3064"/>
      <c r="F4032" s="3064"/>
      <c r="G4032" s="3300" t="s">
        <v>82</v>
      </c>
      <c r="H4032" s="3063"/>
      <c r="I4032" s="3030"/>
    </row>
    <row r="4033" spans="2:9" ht="25.5">
      <c r="B4033" s="3192" t="s">
        <v>675</v>
      </c>
      <c r="C4033" s="3063"/>
      <c r="D4033" s="3064"/>
      <c r="E4033" s="3064"/>
      <c r="F4033" s="3064"/>
      <c r="G4033" s="3301" t="s">
        <v>675</v>
      </c>
      <c r="H4033" s="3063"/>
      <c r="I4033" s="3030"/>
    </row>
    <row r="4034" spans="2:9" ht="25.5">
      <c r="B4034" s="3192" t="s">
        <v>676</v>
      </c>
      <c r="C4034" s="3063"/>
      <c r="D4034" s="3064"/>
      <c r="E4034" s="3064"/>
      <c r="F4034" s="3064"/>
      <c r="G4034" s="3301" t="s">
        <v>676</v>
      </c>
      <c r="H4034" s="3063"/>
      <c r="I4034" s="3030"/>
    </row>
    <row r="4035" spans="2:9">
      <c r="B4035" s="3192" t="s">
        <v>677</v>
      </c>
      <c r="C4035" s="3063"/>
      <c r="D4035" s="3064"/>
      <c r="E4035" s="3064"/>
      <c r="F4035" s="3064"/>
      <c r="G4035" s="3301" t="s">
        <v>677</v>
      </c>
      <c r="H4035" s="3063"/>
      <c r="I4035" s="3030"/>
    </row>
    <row r="4036" spans="2:9">
      <c r="B4036" s="3192" t="s">
        <v>678</v>
      </c>
      <c r="C4036" s="3063"/>
      <c r="D4036" s="3064"/>
      <c r="E4036" s="3064"/>
      <c r="F4036" s="3064"/>
      <c r="G4036" s="3301" t="s">
        <v>678</v>
      </c>
      <c r="H4036" s="3063"/>
      <c r="I4036" s="3030"/>
    </row>
    <row r="4037" spans="2:9">
      <c r="B4037" s="3192" t="s">
        <v>679</v>
      </c>
      <c r="C4037" s="3063"/>
      <c r="D4037" s="3064"/>
      <c r="E4037" s="3064"/>
      <c r="F4037" s="3064"/>
      <c r="G4037" s="3301" t="s">
        <v>679</v>
      </c>
      <c r="H4037" s="3063"/>
      <c r="I4037" s="3030"/>
    </row>
    <row r="4038" spans="2:9" ht="25.5">
      <c r="B4038" s="3192" t="s">
        <v>720</v>
      </c>
      <c r="C4038" s="3063"/>
      <c r="D4038" s="3064"/>
      <c r="E4038" s="3064"/>
      <c r="F4038" s="3064"/>
      <c r="G4038" s="3301" t="s">
        <v>720</v>
      </c>
      <c r="H4038" s="3063"/>
      <c r="I4038" s="3030"/>
    </row>
    <row r="4039" spans="2:9" ht="38.25">
      <c r="B4039" s="3299" t="s">
        <v>680</v>
      </c>
      <c r="C4039" s="3063"/>
      <c r="D4039" s="3064"/>
      <c r="E4039" s="3064"/>
      <c r="F4039" s="3064"/>
      <c r="G4039" s="3300" t="s">
        <v>680</v>
      </c>
      <c r="H4039" s="3063"/>
      <c r="I4039" s="3030"/>
    </row>
    <row r="4040" spans="2:9" ht="25.5">
      <c r="B4040" s="3192" t="s">
        <v>675</v>
      </c>
      <c r="C4040" s="3063"/>
      <c r="D4040" s="3064"/>
      <c r="E4040" s="3064"/>
      <c r="F4040" s="3064"/>
      <c r="G4040" s="3301" t="s">
        <v>675</v>
      </c>
      <c r="H4040" s="3063"/>
      <c r="I4040" s="3030"/>
    </row>
    <row r="4041" spans="2:9" ht="25.5">
      <c r="B4041" s="3192" t="s">
        <v>676</v>
      </c>
      <c r="C4041" s="3063"/>
      <c r="D4041" s="3064"/>
      <c r="E4041" s="3064"/>
      <c r="F4041" s="3064"/>
      <c r="G4041" s="3301" t="s">
        <v>676</v>
      </c>
      <c r="H4041" s="3063"/>
      <c r="I4041" s="3030"/>
    </row>
    <row r="4042" spans="2:9">
      <c r="B4042" s="3192" t="s">
        <v>677</v>
      </c>
      <c r="C4042" s="3063"/>
      <c r="D4042" s="3064"/>
      <c r="E4042" s="3064"/>
      <c r="F4042" s="3064"/>
      <c r="G4042" s="3301" t="s">
        <v>677</v>
      </c>
      <c r="H4042" s="3063"/>
      <c r="I4042" s="3030"/>
    </row>
    <row r="4043" spans="2:9">
      <c r="B4043" s="3192" t="s">
        <v>678</v>
      </c>
      <c r="C4043" s="3063"/>
      <c r="D4043" s="3064"/>
      <c r="E4043" s="3064"/>
      <c r="F4043" s="3064"/>
      <c r="G4043" s="3301" t="s">
        <v>678</v>
      </c>
      <c r="H4043" s="3063"/>
      <c r="I4043" s="3030"/>
    </row>
    <row r="4044" spans="2:9">
      <c r="B4044" s="3192" t="s">
        <v>679</v>
      </c>
      <c r="C4044" s="3063"/>
      <c r="D4044" s="3064"/>
      <c r="E4044" s="3064"/>
      <c r="F4044" s="3064"/>
      <c r="G4044" s="3301" t="s">
        <v>679</v>
      </c>
      <c r="H4044" s="3063"/>
      <c r="I4044" s="3030"/>
    </row>
    <row r="4045" spans="2:9" ht="25.5">
      <c r="B4045" s="3192" t="s">
        <v>720</v>
      </c>
      <c r="C4045" s="3063"/>
      <c r="D4045" s="3064"/>
      <c r="E4045" s="3064"/>
      <c r="F4045" s="3064"/>
      <c r="G4045" s="3301" t="s">
        <v>720</v>
      </c>
      <c r="H4045" s="3063"/>
      <c r="I4045" s="3030"/>
    </row>
    <row r="4046" spans="2:9" ht="38.25">
      <c r="B4046" s="3299" t="s">
        <v>681</v>
      </c>
      <c r="C4046" s="3063"/>
      <c r="D4046" s="3064"/>
      <c r="E4046" s="3064"/>
      <c r="F4046" s="3064"/>
      <c r="G4046" s="3300" t="s">
        <v>681</v>
      </c>
      <c r="H4046" s="3063"/>
      <c r="I4046" s="3030"/>
    </row>
    <row r="4047" spans="2:9" ht="25.5">
      <c r="B4047" s="3192" t="s">
        <v>675</v>
      </c>
      <c r="C4047" s="3063"/>
      <c r="D4047" s="3064"/>
      <c r="E4047" s="3064"/>
      <c r="F4047" s="3064"/>
      <c r="G4047" s="3301" t="s">
        <v>675</v>
      </c>
      <c r="H4047" s="3063"/>
      <c r="I4047" s="3030"/>
    </row>
    <row r="4048" spans="2:9" ht="25.5">
      <c r="B4048" s="3192" t="s">
        <v>676</v>
      </c>
      <c r="C4048" s="3063"/>
      <c r="D4048" s="3064"/>
      <c r="E4048" s="3064"/>
      <c r="F4048" s="3064"/>
      <c r="G4048" s="3301" t="s">
        <v>676</v>
      </c>
      <c r="H4048" s="3063"/>
      <c r="I4048" s="3030"/>
    </row>
    <row r="4049" spans="2:9">
      <c r="B4049" s="3192" t="s">
        <v>677</v>
      </c>
      <c r="C4049" s="3063"/>
      <c r="D4049" s="3064"/>
      <c r="E4049" s="3064"/>
      <c r="F4049" s="3064"/>
      <c r="G4049" s="3301" t="s">
        <v>677</v>
      </c>
      <c r="H4049" s="3063"/>
      <c r="I4049" s="3030"/>
    </row>
    <row r="4050" spans="2:9">
      <c r="B4050" s="3192" t="s">
        <v>678</v>
      </c>
      <c r="C4050" s="3063"/>
      <c r="D4050" s="3064"/>
      <c r="E4050" s="3064"/>
      <c r="F4050" s="3064"/>
      <c r="G4050" s="3301" t="s">
        <v>678</v>
      </c>
      <c r="H4050" s="3063"/>
      <c r="I4050" s="3030"/>
    </row>
    <row r="4051" spans="2:9">
      <c r="B4051" s="3192" t="s">
        <v>679</v>
      </c>
      <c r="C4051" s="3063"/>
      <c r="D4051" s="3064"/>
      <c r="E4051" s="3064"/>
      <c r="F4051" s="3064"/>
      <c r="G4051" s="3301" t="s">
        <v>679</v>
      </c>
      <c r="H4051" s="3063"/>
      <c r="I4051" s="3030"/>
    </row>
    <row r="4052" spans="2:9" ht="25.5">
      <c r="B4052" s="3192" t="s">
        <v>720</v>
      </c>
      <c r="C4052" s="3063"/>
      <c r="D4052" s="3064"/>
      <c r="E4052" s="3064"/>
      <c r="F4052" s="3064"/>
      <c r="G4052" s="3301" t="s">
        <v>720</v>
      </c>
      <c r="H4052" s="3063"/>
      <c r="I4052" s="3030"/>
    </row>
    <row r="4053" spans="2:9" ht="25.5">
      <c r="B4053" s="3299" t="s">
        <v>682</v>
      </c>
      <c r="C4053" s="3063"/>
      <c r="D4053" s="3064"/>
      <c r="E4053" s="3064"/>
      <c r="F4053" s="3064"/>
      <c r="G4053" s="3300" t="s">
        <v>682</v>
      </c>
      <c r="H4053" s="3063"/>
      <c r="I4053" s="3030"/>
    </row>
    <row r="4054" spans="2:9" ht="25.5">
      <c r="B4054" s="3192" t="s">
        <v>675</v>
      </c>
      <c r="C4054" s="3063"/>
      <c r="D4054" s="3064"/>
      <c r="E4054" s="3064"/>
      <c r="F4054" s="3064"/>
      <c r="G4054" s="3301" t="s">
        <v>675</v>
      </c>
      <c r="H4054" s="3063"/>
      <c r="I4054" s="3030"/>
    </row>
    <row r="4055" spans="2:9" ht="25.5">
      <c r="B4055" s="3192" t="s">
        <v>676</v>
      </c>
      <c r="C4055" s="3063"/>
      <c r="D4055" s="3064"/>
      <c r="E4055" s="3064"/>
      <c r="F4055" s="3064"/>
      <c r="G4055" s="3301" t="s">
        <v>676</v>
      </c>
      <c r="H4055" s="3063"/>
      <c r="I4055" s="3030"/>
    </row>
    <row r="4056" spans="2:9">
      <c r="B4056" s="3192" t="s">
        <v>677</v>
      </c>
      <c r="C4056" s="3063"/>
      <c r="D4056" s="3064"/>
      <c r="E4056" s="3064"/>
      <c r="F4056" s="3064"/>
      <c r="G4056" s="3301" t="s">
        <v>677</v>
      </c>
      <c r="H4056" s="3063"/>
      <c r="I4056" s="3030"/>
    </row>
    <row r="4057" spans="2:9">
      <c r="B4057" s="3192" t="s">
        <v>678</v>
      </c>
      <c r="C4057" s="3063"/>
      <c r="D4057" s="3064"/>
      <c r="E4057" s="3064"/>
      <c r="F4057" s="3064"/>
      <c r="G4057" s="3301" t="s">
        <v>678</v>
      </c>
      <c r="H4057" s="3063"/>
      <c r="I4057" s="3030"/>
    </row>
    <row r="4058" spans="2:9">
      <c r="B4058" s="3192" t="s">
        <v>679</v>
      </c>
      <c r="C4058" s="3063"/>
      <c r="D4058" s="3064"/>
      <c r="E4058" s="3064"/>
      <c r="F4058" s="3064"/>
      <c r="G4058" s="3301" t="s">
        <v>679</v>
      </c>
      <c r="H4058" s="3063"/>
      <c r="I4058" s="3030"/>
    </row>
    <row r="4059" spans="2:9" ht="25.5">
      <c r="B4059" s="3192" t="s">
        <v>720</v>
      </c>
      <c r="C4059" s="3063"/>
      <c r="D4059" s="3064"/>
      <c r="E4059" s="3064"/>
      <c r="F4059" s="3064"/>
      <c r="G4059" s="3301" t="s">
        <v>720</v>
      </c>
      <c r="H4059" s="3063"/>
      <c r="I4059" s="3030"/>
    </row>
    <row r="4060" spans="2:9" ht="25.5">
      <c r="B4060" s="3299" t="s">
        <v>66</v>
      </c>
      <c r="C4060" s="3063"/>
      <c r="D4060" s="3064"/>
      <c r="E4060" s="3064"/>
      <c r="F4060" s="3064"/>
      <c r="G4060" s="3300" t="s">
        <v>66</v>
      </c>
      <c r="H4060" s="3063"/>
      <c r="I4060" s="3030"/>
    </row>
    <row r="4061" spans="2:9" ht="25.5">
      <c r="B4061" s="3192" t="s">
        <v>675</v>
      </c>
      <c r="C4061" s="3063"/>
      <c r="D4061" s="3064"/>
      <c r="E4061" s="3064"/>
      <c r="F4061" s="3064"/>
      <c r="G4061" s="3301" t="s">
        <v>675</v>
      </c>
      <c r="H4061" s="3063"/>
      <c r="I4061" s="3030"/>
    </row>
    <row r="4062" spans="2:9" ht="25.5">
      <c r="B4062" s="3192" t="s">
        <v>676</v>
      </c>
      <c r="C4062" s="3063"/>
      <c r="D4062" s="3064"/>
      <c r="E4062" s="3064"/>
      <c r="F4062" s="3064"/>
      <c r="G4062" s="3301" t="s">
        <v>676</v>
      </c>
      <c r="H4062" s="3063"/>
      <c r="I4062" s="3030"/>
    </row>
    <row r="4063" spans="2:9">
      <c r="B4063" s="3192" t="s">
        <v>677</v>
      </c>
      <c r="C4063" s="3063"/>
      <c r="D4063" s="3064"/>
      <c r="E4063" s="3064"/>
      <c r="F4063" s="3064"/>
      <c r="G4063" s="3301" t="s">
        <v>677</v>
      </c>
      <c r="H4063" s="3063"/>
      <c r="I4063" s="3030"/>
    </row>
    <row r="4064" spans="2:9">
      <c r="B4064" s="3192" t="s">
        <v>678</v>
      </c>
      <c r="C4064" s="3063"/>
      <c r="D4064" s="3064"/>
      <c r="E4064" s="3064"/>
      <c r="F4064" s="3064"/>
      <c r="G4064" s="3301" t="s">
        <v>678</v>
      </c>
      <c r="H4064" s="3063"/>
      <c r="I4064" s="3030"/>
    </row>
    <row r="4065" spans="2:9">
      <c r="B4065" s="3192" t="s">
        <v>679</v>
      </c>
      <c r="C4065" s="3063"/>
      <c r="D4065" s="3064"/>
      <c r="E4065" s="3064"/>
      <c r="F4065" s="3064"/>
      <c r="G4065" s="3301" t="s">
        <v>679</v>
      </c>
      <c r="H4065" s="3063"/>
      <c r="I4065" s="3030"/>
    </row>
    <row r="4066" spans="2:9" ht="25.5">
      <c r="B4066" s="3192" t="s">
        <v>720</v>
      </c>
      <c r="C4066" s="3063"/>
      <c r="D4066" s="3064"/>
      <c r="E4066" s="3064"/>
      <c r="F4066" s="3064"/>
      <c r="G4066" s="3301" t="s">
        <v>720</v>
      </c>
      <c r="H4066" s="3063"/>
      <c r="I4066" s="3030"/>
    </row>
    <row r="4067" spans="2:9">
      <c r="B4067" s="3299" t="s">
        <v>67</v>
      </c>
      <c r="C4067" s="3063"/>
      <c r="D4067" s="3064"/>
      <c r="E4067" s="3064"/>
      <c r="F4067" s="3064"/>
      <c r="G4067" s="3300" t="s">
        <v>67</v>
      </c>
      <c r="H4067" s="3063"/>
      <c r="I4067" s="3030"/>
    </row>
    <row r="4068" spans="2:9" ht="25.5">
      <c r="B4068" s="3192" t="s">
        <v>675</v>
      </c>
      <c r="C4068" s="3063"/>
      <c r="D4068" s="3064"/>
      <c r="E4068" s="3064"/>
      <c r="F4068" s="3064"/>
      <c r="G4068" s="3301" t="s">
        <v>675</v>
      </c>
      <c r="H4068" s="3063"/>
      <c r="I4068" s="3030"/>
    </row>
    <row r="4069" spans="2:9" ht="25.5">
      <c r="B4069" s="3192" t="s">
        <v>676</v>
      </c>
      <c r="C4069" s="3063"/>
      <c r="D4069" s="3064"/>
      <c r="E4069" s="3064"/>
      <c r="F4069" s="3064"/>
      <c r="G4069" s="3301" t="s">
        <v>676</v>
      </c>
      <c r="H4069" s="3063"/>
      <c r="I4069" s="3030"/>
    </row>
    <row r="4070" spans="2:9">
      <c r="B4070" s="3192" t="s">
        <v>677</v>
      </c>
      <c r="C4070" s="3063"/>
      <c r="D4070" s="3064"/>
      <c r="E4070" s="3064"/>
      <c r="F4070" s="3064"/>
      <c r="G4070" s="3301" t="s">
        <v>677</v>
      </c>
      <c r="H4070" s="3063"/>
      <c r="I4070" s="3030"/>
    </row>
    <row r="4071" spans="2:9">
      <c r="B4071" s="3192" t="s">
        <v>678</v>
      </c>
      <c r="C4071" s="3063"/>
      <c r="D4071" s="3064"/>
      <c r="E4071" s="3064"/>
      <c r="F4071" s="3064"/>
      <c r="G4071" s="3301" t="s">
        <v>678</v>
      </c>
      <c r="H4071" s="3063"/>
      <c r="I4071" s="3030"/>
    </row>
    <row r="4072" spans="2:9">
      <c r="B4072" s="3192" t="s">
        <v>679</v>
      </c>
      <c r="C4072" s="3063"/>
      <c r="D4072" s="3064"/>
      <c r="E4072" s="3064"/>
      <c r="F4072" s="3064"/>
      <c r="G4072" s="3301" t="s">
        <v>679</v>
      </c>
      <c r="H4072" s="3063"/>
      <c r="I4072" s="3030"/>
    </row>
    <row r="4073" spans="2:9" ht="25.5">
      <c r="B4073" s="3192" t="s">
        <v>720</v>
      </c>
      <c r="C4073" s="3063"/>
      <c r="D4073" s="3064"/>
      <c r="E4073" s="3064"/>
      <c r="F4073" s="3064"/>
      <c r="G4073" s="3301" t="s">
        <v>720</v>
      </c>
      <c r="H4073" s="3063"/>
      <c r="I4073" s="3030"/>
    </row>
    <row r="4074" spans="2:9" ht="25.5">
      <c r="B4074" s="3230" t="s">
        <v>81</v>
      </c>
      <c r="C4074" s="3063"/>
      <c r="D4074" s="3064"/>
      <c r="E4074" s="3064"/>
      <c r="F4074" s="3064"/>
      <c r="G4074" s="3302" t="s">
        <v>81</v>
      </c>
      <c r="H4074" s="3063"/>
      <c r="I4074" s="3030"/>
    </row>
    <row r="4075" spans="2:9" ht="26.25" thickBot="1">
      <c r="B4075" s="3303" t="s">
        <v>81</v>
      </c>
      <c r="C4075" s="3063"/>
      <c r="D4075" s="3064"/>
      <c r="E4075" s="3064"/>
      <c r="F4075" s="3064"/>
      <c r="G4075" s="3302" t="s">
        <v>81</v>
      </c>
      <c r="H4075" s="3063"/>
      <c r="I4075" s="3030"/>
    </row>
    <row r="4076" spans="2:9" ht="25.5">
      <c r="B4076" s="3217" t="s">
        <v>696</v>
      </c>
      <c r="C4076" s="3218"/>
      <c r="D4076" s="3219"/>
      <c r="E4076" s="3219"/>
      <c r="F4076" s="3219"/>
      <c r="G4076" s="3217" t="s">
        <v>696</v>
      </c>
      <c r="H4076" s="3297"/>
      <c r="I4076" s="3298"/>
    </row>
    <row r="4077" spans="2:9">
      <c r="B4077" s="3299" t="s">
        <v>64</v>
      </c>
      <c r="C4077" s="3063"/>
      <c r="D4077" s="3064"/>
      <c r="E4077" s="3064"/>
      <c r="F4077" s="3064"/>
      <c r="G4077" s="3300" t="s">
        <v>64</v>
      </c>
      <c r="H4077" s="3063"/>
      <c r="I4077" s="3030"/>
    </row>
    <row r="4078" spans="2:9" ht="25.5">
      <c r="B4078" s="3192" t="s">
        <v>675</v>
      </c>
      <c r="C4078" s="3063"/>
      <c r="D4078" s="3064"/>
      <c r="E4078" s="3064"/>
      <c r="F4078" s="3064"/>
      <c r="G4078" s="3301" t="s">
        <v>675</v>
      </c>
      <c r="H4078" s="3063"/>
      <c r="I4078" s="3030"/>
    </row>
    <row r="4079" spans="2:9" ht="25.5">
      <c r="B4079" s="3192" t="s">
        <v>676</v>
      </c>
      <c r="C4079" s="3063"/>
      <c r="D4079" s="3064"/>
      <c r="E4079" s="3064"/>
      <c r="F4079" s="3064"/>
      <c r="G4079" s="3301" t="s">
        <v>676</v>
      </c>
      <c r="H4079" s="3063"/>
      <c r="I4079" s="3030"/>
    </row>
    <row r="4080" spans="2:9">
      <c r="B4080" s="3192" t="s">
        <v>677</v>
      </c>
      <c r="C4080" s="3063"/>
      <c r="D4080" s="3064"/>
      <c r="E4080" s="3064"/>
      <c r="F4080" s="3064"/>
      <c r="G4080" s="3301" t="s">
        <v>677</v>
      </c>
      <c r="H4080" s="3063"/>
      <c r="I4080" s="3030"/>
    </row>
    <row r="4081" spans="2:9">
      <c r="B4081" s="3192" t="s">
        <v>678</v>
      </c>
      <c r="C4081" s="3063"/>
      <c r="D4081" s="3064"/>
      <c r="E4081" s="3064"/>
      <c r="F4081" s="3064"/>
      <c r="G4081" s="3301" t="s">
        <v>678</v>
      </c>
      <c r="H4081" s="3063"/>
      <c r="I4081" s="3030"/>
    </row>
    <row r="4082" spans="2:9">
      <c r="B4082" s="3192" t="s">
        <v>679</v>
      </c>
      <c r="C4082" s="3063"/>
      <c r="D4082" s="3064"/>
      <c r="E4082" s="3064"/>
      <c r="F4082" s="3064"/>
      <c r="G4082" s="3301" t="s">
        <v>679</v>
      </c>
      <c r="H4082" s="3063"/>
      <c r="I4082" s="3030"/>
    </row>
    <row r="4083" spans="2:9" ht="25.5">
      <c r="B4083" s="3192" t="s">
        <v>720</v>
      </c>
      <c r="C4083" s="3063"/>
      <c r="D4083" s="3064"/>
      <c r="E4083" s="3064"/>
      <c r="F4083" s="3064"/>
      <c r="G4083" s="3301" t="s">
        <v>720</v>
      </c>
      <c r="H4083" s="3063"/>
      <c r="I4083" s="3030"/>
    </row>
    <row r="4084" spans="2:9">
      <c r="B4084" s="3299" t="s">
        <v>65</v>
      </c>
      <c r="C4084" s="3063"/>
      <c r="D4084" s="3064"/>
      <c r="E4084" s="3064"/>
      <c r="F4084" s="3064"/>
      <c r="G4084" s="3300" t="s">
        <v>65</v>
      </c>
      <c r="H4084" s="3063"/>
      <c r="I4084" s="3030"/>
    </row>
    <row r="4085" spans="2:9" ht="25.5">
      <c r="B4085" s="3192" t="s">
        <v>675</v>
      </c>
      <c r="C4085" s="3063"/>
      <c r="D4085" s="3064"/>
      <c r="E4085" s="3064"/>
      <c r="F4085" s="3064"/>
      <c r="G4085" s="3301" t="s">
        <v>675</v>
      </c>
      <c r="H4085" s="3063"/>
      <c r="I4085" s="3030"/>
    </row>
    <row r="4086" spans="2:9" ht="25.5">
      <c r="B4086" s="3192" t="s">
        <v>676</v>
      </c>
      <c r="C4086" s="3063"/>
      <c r="D4086" s="3064"/>
      <c r="E4086" s="3064"/>
      <c r="F4086" s="3064"/>
      <c r="G4086" s="3301" t="s">
        <v>676</v>
      </c>
      <c r="H4086" s="3063"/>
      <c r="I4086" s="3030"/>
    </row>
    <row r="4087" spans="2:9">
      <c r="B4087" s="3192" t="s">
        <v>677</v>
      </c>
      <c r="C4087" s="3063"/>
      <c r="D4087" s="3064"/>
      <c r="E4087" s="3064"/>
      <c r="F4087" s="3064"/>
      <c r="G4087" s="3301" t="s">
        <v>677</v>
      </c>
      <c r="H4087" s="3063"/>
      <c r="I4087" s="3030"/>
    </row>
    <row r="4088" spans="2:9">
      <c r="B4088" s="3192" t="s">
        <v>678</v>
      </c>
      <c r="C4088" s="3063"/>
      <c r="D4088" s="3064"/>
      <c r="E4088" s="3064"/>
      <c r="F4088" s="3064"/>
      <c r="G4088" s="3301" t="s">
        <v>678</v>
      </c>
      <c r="H4088" s="3063"/>
      <c r="I4088" s="3030"/>
    </row>
    <row r="4089" spans="2:9">
      <c r="B4089" s="3192" t="s">
        <v>679</v>
      </c>
      <c r="C4089" s="3063"/>
      <c r="D4089" s="3064"/>
      <c r="E4089" s="3064"/>
      <c r="F4089" s="3064"/>
      <c r="G4089" s="3301" t="s">
        <v>679</v>
      </c>
      <c r="H4089" s="3063"/>
      <c r="I4089" s="3030"/>
    </row>
    <row r="4090" spans="2:9" ht="25.5">
      <c r="B4090" s="3192" t="s">
        <v>720</v>
      </c>
      <c r="C4090" s="3063"/>
      <c r="D4090" s="3064"/>
      <c r="E4090" s="3064"/>
      <c r="F4090" s="3064"/>
      <c r="G4090" s="3301" t="s">
        <v>720</v>
      </c>
      <c r="H4090" s="3063"/>
      <c r="I4090" s="3030"/>
    </row>
    <row r="4091" spans="2:9">
      <c r="B4091" s="3299" t="s">
        <v>82</v>
      </c>
      <c r="C4091" s="3063"/>
      <c r="D4091" s="3064"/>
      <c r="E4091" s="3064"/>
      <c r="F4091" s="3064"/>
      <c r="G4091" s="3300" t="s">
        <v>82</v>
      </c>
      <c r="H4091" s="3063"/>
      <c r="I4091" s="3030"/>
    </row>
    <row r="4092" spans="2:9" ht="25.5">
      <c r="B4092" s="3192" t="s">
        <v>675</v>
      </c>
      <c r="C4092" s="3063"/>
      <c r="D4092" s="3064"/>
      <c r="E4092" s="3064"/>
      <c r="F4092" s="3064"/>
      <c r="G4092" s="3301" t="s">
        <v>675</v>
      </c>
      <c r="H4092" s="3063"/>
      <c r="I4092" s="3030"/>
    </row>
    <row r="4093" spans="2:9" ht="25.5">
      <c r="B4093" s="3192" t="s">
        <v>676</v>
      </c>
      <c r="C4093" s="3063"/>
      <c r="D4093" s="3064"/>
      <c r="E4093" s="3064"/>
      <c r="F4093" s="3064"/>
      <c r="G4093" s="3301" t="s">
        <v>676</v>
      </c>
      <c r="H4093" s="3063"/>
      <c r="I4093" s="3030"/>
    </row>
    <row r="4094" spans="2:9">
      <c r="B4094" s="3192" t="s">
        <v>677</v>
      </c>
      <c r="C4094" s="3063"/>
      <c r="D4094" s="3064"/>
      <c r="E4094" s="3064"/>
      <c r="F4094" s="3064"/>
      <c r="G4094" s="3301" t="s">
        <v>677</v>
      </c>
      <c r="H4094" s="3063"/>
      <c r="I4094" s="3030"/>
    </row>
    <row r="4095" spans="2:9">
      <c r="B4095" s="3192" t="s">
        <v>678</v>
      </c>
      <c r="C4095" s="3063"/>
      <c r="D4095" s="3064"/>
      <c r="E4095" s="3064"/>
      <c r="F4095" s="3064"/>
      <c r="G4095" s="3301" t="s">
        <v>678</v>
      </c>
      <c r="H4095" s="3063"/>
      <c r="I4095" s="3030"/>
    </row>
    <row r="4096" spans="2:9">
      <c r="B4096" s="3192" t="s">
        <v>679</v>
      </c>
      <c r="C4096" s="3063"/>
      <c r="D4096" s="3064"/>
      <c r="E4096" s="3064"/>
      <c r="F4096" s="3064"/>
      <c r="G4096" s="3301" t="s">
        <v>679</v>
      </c>
      <c r="H4096" s="3063"/>
      <c r="I4096" s="3030"/>
    </row>
    <row r="4097" spans="2:9" ht="25.5">
      <c r="B4097" s="3192" t="s">
        <v>720</v>
      </c>
      <c r="C4097" s="3063"/>
      <c r="D4097" s="3064"/>
      <c r="E4097" s="3064"/>
      <c r="F4097" s="3064"/>
      <c r="G4097" s="3301" t="s">
        <v>720</v>
      </c>
      <c r="H4097" s="3063"/>
      <c r="I4097" s="3030"/>
    </row>
    <row r="4098" spans="2:9" ht="38.25">
      <c r="B4098" s="3299" t="s">
        <v>680</v>
      </c>
      <c r="C4098" s="3063"/>
      <c r="D4098" s="3064"/>
      <c r="E4098" s="3064"/>
      <c r="F4098" s="3064"/>
      <c r="G4098" s="3300" t="s">
        <v>680</v>
      </c>
      <c r="H4098" s="3063"/>
      <c r="I4098" s="3030"/>
    </row>
    <row r="4099" spans="2:9" ht="25.5">
      <c r="B4099" s="3192" t="s">
        <v>675</v>
      </c>
      <c r="C4099" s="3063"/>
      <c r="D4099" s="3064"/>
      <c r="E4099" s="3064"/>
      <c r="F4099" s="3064"/>
      <c r="G4099" s="3301" t="s">
        <v>675</v>
      </c>
      <c r="H4099" s="3063"/>
      <c r="I4099" s="3030"/>
    </row>
    <row r="4100" spans="2:9" ht="25.5">
      <c r="B4100" s="3192" t="s">
        <v>676</v>
      </c>
      <c r="C4100" s="3063"/>
      <c r="D4100" s="3064"/>
      <c r="E4100" s="3064"/>
      <c r="F4100" s="3064"/>
      <c r="G4100" s="3301" t="s">
        <v>676</v>
      </c>
      <c r="H4100" s="3063"/>
      <c r="I4100" s="3030"/>
    </row>
    <row r="4101" spans="2:9">
      <c r="B4101" s="3192" t="s">
        <v>677</v>
      </c>
      <c r="C4101" s="3063"/>
      <c r="D4101" s="3064"/>
      <c r="E4101" s="3064"/>
      <c r="F4101" s="3064"/>
      <c r="G4101" s="3301" t="s">
        <v>677</v>
      </c>
      <c r="H4101" s="3063"/>
      <c r="I4101" s="3030"/>
    </row>
    <row r="4102" spans="2:9">
      <c r="B4102" s="3192" t="s">
        <v>678</v>
      </c>
      <c r="C4102" s="3063"/>
      <c r="D4102" s="3064"/>
      <c r="E4102" s="3064"/>
      <c r="F4102" s="3064"/>
      <c r="G4102" s="3301" t="s">
        <v>678</v>
      </c>
      <c r="H4102" s="3063"/>
      <c r="I4102" s="3030"/>
    </row>
    <row r="4103" spans="2:9">
      <c r="B4103" s="3192" t="s">
        <v>679</v>
      </c>
      <c r="C4103" s="3063"/>
      <c r="D4103" s="3064"/>
      <c r="E4103" s="3064"/>
      <c r="F4103" s="3064"/>
      <c r="G4103" s="3301" t="s">
        <v>679</v>
      </c>
      <c r="H4103" s="3063"/>
      <c r="I4103" s="3030"/>
    </row>
    <row r="4104" spans="2:9" ht="25.5">
      <c r="B4104" s="3192" t="s">
        <v>720</v>
      </c>
      <c r="C4104" s="3063"/>
      <c r="D4104" s="3064"/>
      <c r="E4104" s="3064"/>
      <c r="F4104" s="3064"/>
      <c r="G4104" s="3301" t="s">
        <v>720</v>
      </c>
      <c r="H4104" s="3063"/>
      <c r="I4104" s="3030"/>
    </row>
    <row r="4105" spans="2:9" ht="38.25">
      <c r="B4105" s="3299" t="s">
        <v>681</v>
      </c>
      <c r="C4105" s="3063"/>
      <c r="D4105" s="3064"/>
      <c r="E4105" s="3064"/>
      <c r="F4105" s="3064"/>
      <c r="G4105" s="3300" t="s">
        <v>681</v>
      </c>
      <c r="H4105" s="3063"/>
      <c r="I4105" s="3030"/>
    </row>
    <row r="4106" spans="2:9" ht="25.5">
      <c r="B4106" s="3192" t="s">
        <v>675</v>
      </c>
      <c r="C4106" s="3063"/>
      <c r="D4106" s="3064"/>
      <c r="E4106" s="3064"/>
      <c r="F4106" s="3064"/>
      <c r="G4106" s="3301" t="s">
        <v>675</v>
      </c>
      <c r="H4106" s="3063"/>
      <c r="I4106" s="3030"/>
    </row>
    <row r="4107" spans="2:9" ht="25.5">
      <c r="B4107" s="3192" t="s">
        <v>676</v>
      </c>
      <c r="C4107" s="3063"/>
      <c r="D4107" s="3064"/>
      <c r="E4107" s="3064"/>
      <c r="F4107" s="3064"/>
      <c r="G4107" s="3301" t="s">
        <v>676</v>
      </c>
      <c r="H4107" s="3063"/>
      <c r="I4107" s="3030"/>
    </row>
    <row r="4108" spans="2:9">
      <c r="B4108" s="3192" t="s">
        <v>677</v>
      </c>
      <c r="C4108" s="3063"/>
      <c r="D4108" s="3064"/>
      <c r="E4108" s="3064"/>
      <c r="F4108" s="3064"/>
      <c r="G4108" s="3301" t="s">
        <v>677</v>
      </c>
      <c r="H4108" s="3063"/>
      <c r="I4108" s="3030"/>
    </row>
    <row r="4109" spans="2:9">
      <c r="B4109" s="3192" t="s">
        <v>678</v>
      </c>
      <c r="C4109" s="3063"/>
      <c r="D4109" s="3064"/>
      <c r="E4109" s="3064"/>
      <c r="F4109" s="3064"/>
      <c r="G4109" s="3301" t="s">
        <v>678</v>
      </c>
      <c r="H4109" s="3063"/>
      <c r="I4109" s="3030"/>
    </row>
    <row r="4110" spans="2:9">
      <c r="B4110" s="3192" t="s">
        <v>679</v>
      </c>
      <c r="C4110" s="3063"/>
      <c r="D4110" s="3064"/>
      <c r="E4110" s="3064"/>
      <c r="F4110" s="3064"/>
      <c r="G4110" s="3301" t="s">
        <v>679</v>
      </c>
      <c r="H4110" s="3063"/>
      <c r="I4110" s="3030"/>
    </row>
    <row r="4111" spans="2:9" ht="25.5">
      <c r="B4111" s="3192" t="s">
        <v>720</v>
      </c>
      <c r="C4111" s="3063"/>
      <c r="D4111" s="3064"/>
      <c r="E4111" s="3064"/>
      <c r="F4111" s="3064"/>
      <c r="G4111" s="3301" t="s">
        <v>720</v>
      </c>
      <c r="H4111" s="3063"/>
      <c r="I4111" s="3030"/>
    </row>
    <row r="4112" spans="2:9" ht="25.5">
      <c r="B4112" s="3299" t="s">
        <v>682</v>
      </c>
      <c r="C4112" s="3063"/>
      <c r="D4112" s="3064"/>
      <c r="E4112" s="3064"/>
      <c r="F4112" s="3064"/>
      <c r="G4112" s="3300" t="s">
        <v>682</v>
      </c>
      <c r="H4112" s="3063"/>
      <c r="I4112" s="3030"/>
    </row>
    <row r="4113" spans="2:9" ht="25.5">
      <c r="B4113" s="3192" t="s">
        <v>675</v>
      </c>
      <c r="C4113" s="3063"/>
      <c r="D4113" s="3064"/>
      <c r="E4113" s="3064"/>
      <c r="F4113" s="3064"/>
      <c r="G4113" s="3301" t="s">
        <v>675</v>
      </c>
      <c r="H4113" s="3063"/>
      <c r="I4113" s="3030"/>
    </row>
    <row r="4114" spans="2:9" ht="25.5">
      <c r="B4114" s="3192" t="s">
        <v>676</v>
      </c>
      <c r="C4114" s="3063"/>
      <c r="D4114" s="3064"/>
      <c r="E4114" s="3064"/>
      <c r="F4114" s="3064"/>
      <c r="G4114" s="3301" t="s">
        <v>676</v>
      </c>
      <c r="H4114" s="3063"/>
      <c r="I4114" s="3030"/>
    </row>
    <row r="4115" spans="2:9">
      <c r="B4115" s="3192" t="s">
        <v>677</v>
      </c>
      <c r="C4115" s="3063"/>
      <c r="D4115" s="3064"/>
      <c r="E4115" s="3064"/>
      <c r="F4115" s="3064"/>
      <c r="G4115" s="3301" t="s">
        <v>677</v>
      </c>
      <c r="H4115" s="3063"/>
      <c r="I4115" s="3030"/>
    </row>
    <row r="4116" spans="2:9">
      <c r="B4116" s="3192" t="s">
        <v>678</v>
      </c>
      <c r="C4116" s="3063"/>
      <c r="D4116" s="3064"/>
      <c r="E4116" s="3064"/>
      <c r="F4116" s="3064"/>
      <c r="G4116" s="3301" t="s">
        <v>678</v>
      </c>
      <c r="H4116" s="3063"/>
      <c r="I4116" s="3030"/>
    </row>
    <row r="4117" spans="2:9">
      <c r="B4117" s="3192" t="s">
        <v>679</v>
      </c>
      <c r="C4117" s="3063"/>
      <c r="D4117" s="3064"/>
      <c r="E4117" s="3064"/>
      <c r="F4117" s="3064"/>
      <c r="G4117" s="3301" t="s">
        <v>679</v>
      </c>
      <c r="H4117" s="3063"/>
      <c r="I4117" s="3030"/>
    </row>
    <row r="4118" spans="2:9" ht="25.5">
      <c r="B4118" s="3192" t="s">
        <v>720</v>
      </c>
      <c r="C4118" s="3063"/>
      <c r="D4118" s="3064"/>
      <c r="E4118" s="3064"/>
      <c r="F4118" s="3064"/>
      <c r="G4118" s="3301" t="s">
        <v>720</v>
      </c>
      <c r="H4118" s="3063"/>
      <c r="I4118" s="3030"/>
    </row>
    <row r="4119" spans="2:9" ht="25.5">
      <c r="B4119" s="3299" t="s">
        <v>66</v>
      </c>
      <c r="C4119" s="3063"/>
      <c r="D4119" s="3064"/>
      <c r="E4119" s="3064"/>
      <c r="F4119" s="3064"/>
      <c r="G4119" s="3300" t="s">
        <v>66</v>
      </c>
      <c r="H4119" s="3063"/>
      <c r="I4119" s="3030"/>
    </row>
    <row r="4120" spans="2:9" ht="25.5">
      <c r="B4120" s="3192" t="s">
        <v>675</v>
      </c>
      <c r="C4120" s="3063"/>
      <c r="D4120" s="3064"/>
      <c r="E4120" s="3064"/>
      <c r="F4120" s="3064"/>
      <c r="G4120" s="3301" t="s">
        <v>675</v>
      </c>
      <c r="H4120" s="3063"/>
      <c r="I4120" s="3030"/>
    </row>
    <row r="4121" spans="2:9" ht="25.5">
      <c r="B4121" s="3192" t="s">
        <v>676</v>
      </c>
      <c r="C4121" s="3063"/>
      <c r="D4121" s="3064"/>
      <c r="E4121" s="3064"/>
      <c r="F4121" s="3064"/>
      <c r="G4121" s="3301" t="s">
        <v>676</v>
      </c>
      <c r="H4121" s="3063"/>
      <c r="I4121" s="3030"/>
    </row>
    <row r="4122" spans="2:9">
      <c r="B4122" s="3192" t="s">
        <v>677</v>
      </c>
      <c r="C4122" s="3063"/>
      <c r="D4122" s="3064"/>
      <c r="E4122" s="3064"/>
      <c r="F4122" s="3064"/>
      <c r="G4122" s="3301" t="s">
        <v>677</v>
      </c>
      <c r="H4122" s="3063"/>
      <c r="I4122" s="3030"/>
    </row>
    <row r="4123" spans="2:9">
      <c r="B4123" s="3192" t="s">
        <v>678</v>
      </c>
      <c r="C4123" s="3063"/>
      <c r="D4123" s="3064"/>
      <c r="E4123" s="3064"/>
      <c r="F4123" s="3064"/>
      <c r="G4123" s="3301" t="s">
        <v>678</v>
      </c>
      <c r="H4123" s="3063"/>
      <c r="I4123" s="3030"/>
    </row>
    <row r="4124" spans="2:9">
      <c r="B4124" s="3192" t="s">
        <v>679</v>
      </c>
      <c r="C4124" s="3063"/>
      <c r="D4124" s="3064"/>
      <c r="E4124" s="3064"/>
      <c r="F4124" s="3064"/>
      <c r="G4124" s="3301" t="s">
        <v>679</v>
      </c>
      <c r="H4124" s="3063"/>
      <c r="I4124" s="3030"/>
    </row>
    <row r="4125" spans="2:9" ht="25.5">
      <c r="B4125" s="3192" t="s">
        <v>720</v>
      </c>
      <c r="C4125" s="3063"/>
      <c r="D4125" s="3064"/>
      <c r="E4125" s="3064"/>
      <c r="F4125" s="3064"/>
      <c r="G4125" s="3301" t="s">
        <v>720</v>
      </c>
      <c r="H4125" s="3063"/>
      <c r="I4125" s="3030"/>
    </row>
    <row r="4126" spans="2:9">
      <c r="B4126" s="3299" t="s">
        <v>67</v>
      </c>
      <c r="C4126" s="3063"/>
      <c r="D4126" s="3064"/>
      <c r="E4126" s="3064"/>
      <c r="F4126" s="3064"/>
      <c r="G4126" s="3300" t="s">
        <v>67</v>
      </c>
      <c r="H4126" s="3063"/>
      <c r="I4126" s="3030"/>
    </row>
    <row r="4127" spans="2:9" ht="25.5">
      <c r="B4127" s="3192" t="s">
        <v>675</v>
      </c>
      <c r="C4127" s="3063"/>
      <c r="D4127" s="3064"/>
      <c r="E4127" s="3064"/>
      <c r="F4127" s="3064"/>
      <c r="G4127" s="3301" t="s">
        <v>675</v>
      </c>
      <c r="H4127" s="3063"/>
      <c r="I4127" s="3030"/>
    </row>
    <row r="4128" spans="2:9" ht="25.5">
      <c r="B4128" s="3192" t="s">
        <v>676</v>
      </c>
      <c r="C4128" s="3063"/>
      <c r="D4128" s="3064"/>
      <c r="E4128" s="3064"/>
      <c r="F4128" s="3064"/>
      <c r="G4128" s="3301" t="s">
        <v>676</v>
      </c>
      <c r="H4128" s="3063"/>
      <c r="I4128" s="3030"/>
    </row>
    <row r="4129" spans="2:9">
      <c r="B4129" s="3192" t="s">
        <v>677</v>
      </c>
      <c r="C4129" s="3063"/>
      <c r="D4129" s="3064"/>
      <c r="E4129" s="3064"/>
      <c r="F4129" s="3064"/>
      <c r="G4129" s="3301" t="s">
        <v>677</v>
      </c>
      <c r="H4129" s="3063"/>
      <c r="I4129" s="3030"/>
    </row>
    <row r="4130" spans="2:9">
      <c r="B4130" s="3192" t="s">
        <v>678</v>
      </c>
      <c r="C4130" s="3063"/>
      <c r="D4130" s="3064"/>
      <c r="E4130" s="3064"/>
      <c r="F4130" s="3064"/>
      <c r="G4130" s="3301" t="s">
        <v>678</v>
      </c>
      <c r="H4130" s="3063"/>
      <c r="I4130" s="3030"/>
    </row>
    <row r="4131" spans="2:9">
      <c r="B4131" s="3192" t="s">
        <v>679</v>
      </c>
      <c r="C4131" s="3063"/>
      <c r="D4131" s="3064"/>
      <c r="E4131" s="3064"/>
      <c r="F4131" s="3064"/>
      <c r="G4131" s="3301" t="s">
        <v>679</v>
      </c>
      <c r="H4131" s="3063"/>
      <c r="I4131" s="3030"/>
    </row>
    <row r="4132" spans="2:9" ht="25.5">
      <c r="B4132" s="3230" t="s">
        <v>81</v>
      </c>
      <c r="C4132" s="3063"/>
      <c r="D4132" s="3064"/>
      <c r="E4132" s="3064"/>
      <c r="F4132" s="3064"/>
      <c r="G4132" s="3302" t="s">
        <v>81</v>
      </c>
      <c r="H4132" s="3063"/>
      <c r="I4132" s="3030"/>
    </row>
    <row r="4133" spans="2:9" ht="26.25" thickBot="1">
      <c r="B4133" s="3303" t="s">
        <v>81</v>
      </c>
      <c r="C4133" s="3063"/>
      <c r="D4133" s="3064"/>
      <c r="E4133" s="3064"/>
      <c r="F4133" s="3064"/>
      <c r="G4133" s="3302" t="s">
        <v>81</v>
      </c>
      <c r="H4133" s="3063"/>
      <c r="I4133" s="3030"/>
    </row>
    <row r="4134" spans="2:9">
      <c r="B4134" s="3217" t="s">
        <v>697</v>
      </c>
      <c r="C4134" s="3218"/>
      <c r="D4134" s="3219"/>
      <c r="E4134" s="3219"/>
      <c r="F4134" s="3219"/>
      <c r="G4134" s="3217" t="s">
        <v>697</v>
      </c>
      <c r="H4134" s="3297"/>
      <c r="I4134" s="3298"/>
    </row>
    <row r="4135" spans="2:9">
      <c r="B4135" s="3299" t="s">
        <v>64</v>
      </c>
      <c r="C4135" s="3063"/>
      <c r="D4135" s="3064"/>
      <c r="E4135" s="3064"/>
      <c r="F4135" s="3064"/>
      <c r="G4135" s="3300" t="s">
        <v>64</v>
      </c>
      <c r="H4135" s="3063"/>
      <c r="I4135" s="3030"/>
    </row>
    <row r="4136" spans="2:9" ht="25.5">
      <c r="B4136" s="3192" t="s">
        <v>675</v>
      </c>
      <c r="C4136" s="3063"/>
      <c r="D4136" s="3064"/>
      <c r="E4136" s="3064"/>
      <c r="F4136" s="3064"/>
      <c r="G4136" s="3301" t="s">
        <v>675</v>
      </c>
      <c r="H4136" s="3063"/>
      <c r="I4136" s="3030"/>
    </row>
    <row r="4137" spans="2:9" ht="25.5">
      <c r="B4137" s="3192" t="s">
        <v>676</v>
      </c>
      <c r="C4137" s="3063"/>
      <c r="D4137" s="3064"/>
      <c r="E4137" s="3064"/>
      <c r="F4137" s="3064"/>
      <c r="G4137" s="3301" t="s">
        <v>676</v>
      </c>
      <c r="H4137" s="3063"/>
      <c r="I4137" s="3030"/>
    </row>
    <row r="4138" spans="2:9">
      <c r="B4138" s="3192" t="s">
        <v>677</v>
      </c>
      <c r="C4138" s="3063"/>
      <c r="D4138" s="3064"/>
      <c r="E4138" s="3064"/>
      <c r="F4138" s="3064"/>
      <c r="G4138" s="3301" t="s">
        <v>677</v>
      </c>
      <c r="H4138" s="3063"/>
      <c r="I4138" s="3030"/>
    </row>
    <row r="4139" spans="2:9">
      <c r="B4139" s="3192" t="s">
        <v>678</v>
      </c>
      <c r="C4139" s="3063"/>
      <c r="D4139" s="3064"/>
      <c r="E4139" s="3064"/>
      <c r="F4139" s="3064"/>
      <c r="G4139" s="3301" t="s">
        <v>678</v>
      </c>
      <c r="H4139" s="3063"/>
      <c r="I4139" s="3030"/>
    </row>
    <row r="4140" spans="2:9">
      <c r="B4140" s="3192" t="s">
        <v>679</v>
      </c>
      <c r="C4140" s="3063"/>
      <c r="D4140" s="3064"/>
      <c r="E4140" s="3064"/>
      <c r="F4140" s="3064"/>
      <c r="G4140" s="3301" t="s">
        <v>679</v>
      </c>
      <c r="H4140" s="3063"/>
      <c r="I4140" s="3030"/>
    </row>
    <row r="4141" spans="2:9" ht="25.5">
      <c r="B4141" s="3192" t="s">
        <v>720</v>
      </c>
      <c r="C4141" s="3063"/>
      <c r="D4141" s="3064"/>
      <c r="E4141" s="3064"/>
      <c r="F4141" s="3064"/>
      <c r="G4141" s="3301" t="s">
        <v>720</v>
      </c>
      <c r="H4141" s="3063"/>
      <c r="I4141" s="3030"/>
    </row>
    <row r="4142" spans="2:9">
      <c r="B4142" s="3299" t="s">
        <v>65</v>
      </c>
      <c r="C4142" s="3063"/>
      <c r="D4142" s="3064"/>
      <c r="E4142" s="3064"/>
      <c r="F4142" s="3064"/>
      <c r="G4142" s="3300" t="s">
        <v>65</v>
      </c>
      <c r="H4142" s="3063"/>
      <c r="I4142" s="3030"/>
    </row>
    <row r="4143" spans="2:9" ht="25.5">
      <c r="B4143" s="3192" t="s">
        <v>675</v>
      </c>
      <c r="C4143" s="3063"/>
      <c r="D4143" s="3064"/>
      <c r="E4143" s="3064"/>
      <c r="F4143" s="3064"/>
      <c r="G4143" s="3301" t="s">
        <v>675</v>
      </c>
      <c r="H4143" s="3063"/>
      <c r="I4143" s="3030"/>
    </row>
    <row r="4144" spans="2:9" ht="25.5">
      <c r="B4144" s="3192" t="s">
        <v>676</v>
      </c>
      <c r="C4144" s="3063"/>
      <c r="D4144" s="3064"/>
      <c r="E4144" s="3064"/>
      <c r="F4144" s="3064"/>
      <c r="G4144" s="3301" t="s">
        <v>676</v>
      </c>
      <c r="H4144" s="3063"/>
      <c r="I4144" s="3030"/>
    </row>
    <row r="4145" spans="2:9">
      <c r="B4145" s="3192" t="s">
        <v>677</v>
      </c>
      <c r="C4145" s="3063"/>
      <c r="D4145" s="3064"/>
      <c r="E4145" s="3064"/>
      <c r="F4145" s="3064"/>
      <c r="G4145" s="3301" t="s">
        <v>677</v>
      </c>
      <c r="H4145" s="3063"/>
      <c r="I4145" s="3030"/>
    </row>
    <row r="4146" spans="2:9">
      <c r="B4146" s="3192" t="s">
        <v>678</v>
      </c>
      <c r="C4146" s="3063"/>
      <c r="D4146" s="3064"/>
      <c r="E4146" s="3064"/>
      <c r="F4146" s="3064"/>
      <c r="G4146" s="3301" t="s">
        <v>678</v>
      </c>
      <c r="H4146" s="3063"/>
      <c r="I4146" s="3030"/>
    </row>
    <row r="4147" spans="2:9">
      <c r="B4147" s="3192" t="s">
        <v>679</v>
      </c>
      <c r="C4147" s="3063"/>
      <c r="D4147" s="3064"/>
      <c r="E4147" s="3064"/>
      <c r="F4147" s="3064"/>
      <c r="G4147" s="3301" t="s">
        <v>679</v>
      </c>
      <c r="H4147" s="3063"/>
      <c r="I4147" s="3030"/>
    </row>
    <row r="4148" spans="2:9" ht="25.5">
      <c r="B4148" s="3192" t="s">
        <v>720</v>
      </c>
      <c r="C4148" s="3063"/>
      <c r="D4148" s="3064"/>
      <c r="E4148" s="3064"/>
      <c r="F4148" s="3064"/>
      <c r="G4148" s="3301" t="s">
        <v>720</v>
      </c>
      <c r="H4148" s="3063"/>
      <c r="I4148" s="3030"/>
    </row>
    <row r="4149" spans="2:9">
      <c r="B4149" s="3299" t="s">
        <v>82</v>
      </c>
      <c r="C4149" s="3063"/>
      <c r="D4149" s="3064"/>
      <c r="E4149" s="3064"/>
      <c r="F4149" s="3064"/>
      <c r="G4149" s="3300" t="s">
        <v>82</v>
      </c>
      <c r="H4149" s="3063"/>
      <c r="I4149" s="3030"/>
    </row>
    <row r="4150" spans="2:9" ht="25.5">
      <c r="B4150" s="3192" t="s">
        <v>675</v>
      </c>
      <c r="C4150" s="3063"/>
      <c r="D4150" s="3064"/>
      <c r="E4150" s="3064"/>
      <c r="F4150" s="3064"/>
      <c r="G4150" s="3301" t="s">
        <v>675</v>
      </c>
      <c r="H4150" s="3063"/>
      <c r="I4150" s="3030"/>
    </row>
    <row r="4151" spans="2:9" ht="25.5">
      <c r="B4151" s="3192" t="s">
        <v>676</v>
      </c>
      <c r="C4151" s="3063"/>
      <c r="D4151" s="3064"/>
      <c r="E4151" s="3064"/>
      <c r="F4151" s="3064"/>
      <c r="G4151" s="3301" t="s">
        <v>676</v>
      </c>
      <c r="H4151" s="3063"/>
      <c r="I4151" s="3030"/>
    </row>
    <row r="4152" spans="2:9">
      <c r="B4152" s="3192" t="s">
        <v>677</v>
      </c>
      <c r="C4152" s="3063"/>
      <c r="D4152" s="3064"/>
      <c r="E4152" s="3064"/>
      <c r="F4152" s="3064"/>
      <c r="G4152" s="3301" t="s">
        <v>677</v>
      </c>
      <c r="H4152" s="3063"/>
      <c r="I4152" s="3030"/>
    </row>
    <row r="4153" spans="2:9">
      <c r="B4153" s="3192" t="s">
        <v>678</v>
      </c>
      <c r="C4153" s="3063"/>
      <c r="D4153" s="3064"/>
      <c r="E4153" s="3064"/>
      <c r="F4153" s="3064"/>
      <c r="G4153" s="3301" t="s">
        <v>678</v>
      </c>
      <c r="H4153" s="3063"/>
      <c r="I4153" s="3030"/>
    </row>
    <row r="4154" spans="2:9">
      <c r="B4154" s="3192" t="s">
        <v>679</v>
      </c>
      <c r="C4154" s="3063"/>
      <c r="D4154" s="3064"/>
      <c r="E4154" s="3064"/>
      <c r="F4154" s="3064"/>
      <c r="G4154" s="3301" t="s">
        <v>679</v>
      </c>
      <c r="H4154" s="3063"/>
      <c r="I4154" s="3030"/>
    </row>
    <row r="4155" spans="2:9" ht="25.5">
      <c r="B4155" s="3192" t="s">
        <v>720</v>
      </c>
      <c r="C4155" s="3063"/>
      <c r="D4155" s="3064"/>
      <c r="E4155" s="3064"/>
      <c r="F4155" s="3064"/>
      <c r="G4155" s="3301" t="s">
        <v>720</v>
      </c>
      <c r="H4155" s="3063"/>
      <c r="I4155" s="3030"/>
    </row>
    <row r="4156" spans="2:9" ht="38.25">
      <c r="B4156" s="3299" t="s">
        <v>680</v>
      </c>
      <c r="C4156" s="3063"/>
      <c r="D4156" s="3064"/>
      <c r="E4156" s="3064"/>
      <c r="F4156" s="3064"/>
      <c r="G4156" s="3300" t="s">
        <v>680</v>
      </c>
      <c r="H4156" s="3063"/>
      <c r="I4156" s="3030"/>
    </row>
    <row r="4157" spans="2:9" ht="25.5">
      <c r="B4157" s="3192" t="s">
        <v>675</v>
      </c>
      <c r="C4157" s="3063"/>
      <c r="D4157" s="3064"/>
      <c r="E4157" s="3064"/>
      <c r="F4157" s="3064"/>
      <c r="G4157" s="3301" t="s">
        <v>675</v>
      </c>
      <c r="H4157" s="3063"/>
      <c r="I4157" s="3030"/>
    </row>
    <row r="4158" spans="2:9" ht="25.5">
      <c r="B4158" s="3192" t="s">
        <v>676</v>
      </c>
      <c r="C4158" s="3063"/>
      <c r="D4158" s="3064"/>
      <c r="E4158" s="3064"/>
      <c r="F4158" s="3064"/>
      <c r="G4158" s="3301" t="s">
        <v>676</v>
      </c>
      <c r="H4158" s="3063"/>
      <c r="I4158" s="3030"/>
    </row>
    <row r="4159" spans="2:9">
      <c r="B4159" s="3192" t="s">
        <v>677</v>
      </c>
      <c r="C4159" s="3063"/>
      <c r="D4159" s="3064"/>
      <c r="E4159" s="3064"/>
      <c r="F4159" s="3064"/>
      <c r="G4159" s="3301" t="s">
        <v>677</v>
      </c>
      <c r="H4159" s="3063"/>
      <c r="I4159" s="3030"/>
    </row>
    <row r="4160" spans="2:9">
      <c r="B4160" s="3192" t="s">
        <v>678</v>
      </c>
      <c r="C4160" s="3063"/>
      <c r="D4160" s="3064"/>
      <c r="E4160" s="3064"/>
      <c r="F4160" s="3064"/>
      <c r="G4160" s="3301" t="s">
        <v>678</v>
      </c>
      <c r="H4160" s="3063"/>
      <c r="I4160" s="3030"/>
    </row>
    <row r="4161" spans="2:9">
      <c r="B4161" s="3192" t="s">
        <v>679</v>
      </c>
      <c r="C4161" s="3063"/>
      <c r="D4161" s="3064"/>
      <c r="E4161" s="3064"/>
      <c r="F4161" s="3064"/>
      <c r="G4161" s="3301" t="s">
        <v>679</v>
      </c>
      <c r="H4161" s="3063"/>
      <c r="I4161" s="3030"/>
    </row>
    <row r="4162" spans="2:9" ht="25.5">
      <c r="B4162" s="3192" t="s">
        <v>720</v>
      </c>
      <c r="C4162" s="3063"/>
      <c r="D4162" s="3064"/>
      <c r="E4162" s="3064"/>
      <c r="F4162" s="3064"/>
      <c r="G4162" s="3301" t="s">
        <v>720</v>
      </c>
      <c r="H4162" s="3063"/>
      <c r="I4162" s="3030"/>
    </row>
    <row r="4163" spans="2:9" ht="38.25">
      <c r="B4163" s="3299" t="s">
        <v>681</v>
      </c>
      <c r="C4163" s="3063"/>
      <c r="D4163" s="3064"/>
      <c r="E4163" s="3064"/>
      <c r="F4163" s="3064">
        <v>1</v>
      </c>
      <c r="G4163" s="3300" t="s">
        <v>681</v>
      </c>
      <c r="H4163" s="3063">
        <v>9.5939525863025493E-3</v>
      </c>
      <c r="I4163" s="3030"/>
    </row>
    <row r="4164" spans="2:9" ht="25.5">
      <c r="B4164" s="3192" t="s">
        <v>675</v>
      </c>
      <c r="C4164" s="3063">
        <v>1</v>
      </c>
      <c r="D4164" s="3064"/>
      <c r="E4164" s="3064"/>
      <c r="F4164" s="3064"/>
      <c r="G4164" s="3301" t="s">
        <v>675</v>
      </c>
      <c r="H4164" s="3063"/>
      <c r="I4164" s="3030">
        <v>9.5939525863025493E-3</v>
      </c>
    </row>
    <row r="4165" spans="2:9" ht="25.5">
      <c r="B4165" s="3192" t="s">
        <v>676</v>
      </c>
      <c r="C4165" s="3063"/>
      <c r="D4165" s="3064"/>
      <c r="E4165" s="3064"/>
      <c r="F4165" s="3064"/>
      <c r="G4165" s="3301" t="s">
        <v>676</v>
      </c>
      <c r="H4165" s="3063"/>
      <c r="I4165" s="3030"/>
    </row>
    <row r="4166" spans="2:9">
      <c r="B4166" s="3192" t="s">
        <v>677</v>
      </c>
      <c r="C4166" s="3063"/>
      <c r="D4166" s="3064"/>
      <c r="E4166" s="3064"/>
      <c r="F4166" s="3064"/>
      <c r="G4166" s="3301" t="s">
        <v>677</v>
      </c>
      <c r="H4166" s="3063"/>
      <c r="I4166" s="3030"/>
    </row>
    <row r="4167" spans="2:9">
      <c r="B4167" s="3192" t="s">
        <v>678</v>
      </c>
      <c r="C4167" s="3063"/>
      <c r="D4167" s="3064"/>
      <c r="E4167" s="3064"/>
      <c r="F4167" s="3064"/>
      <c r="G4167" s="3301" t="s">
        <v>678</v>
      </c>
      <c r="H4167" s="3063"/>
      <c r="I4167" s="3030"/>
    </row>
    <row r="4168" spans="2:9">
      <c r="B4168" s="3192" t="s">
        <v>679</v>
      </c>
      <c r="C4168" s="3063"/>
      <c r="D4168" s="3064">
        <v>1</v>
      </c>
      <c r="E4168" s="3064"/>
      <c r="F4168" s="3064"/>
      <c r="G4168" s="3301" t="s">
        <v>679</v>
      </c>
      <c r="H4168" s="3063"/>
      <c r="I4168" s="3030"/>
    </row>
    <row r="4169" spans="2:9" ht="25.5">
      <c r="B4169" s="3192" t="s">
        <v>720</v>
      </c>
      <c r="C4169" s="3063"/>
      <c r="D4169" s="3064"/>
      <c r="E4169" s="3064"/>
      <c r="F4169" s="3064"/>
      <c r="G4169" s="3301" t="s">
        <v>720</v>
      </c>
      <c r="H4169" s="3063"/>
      <c r="I4169" s="3030"/>
    </row>
    <row r="4170" spans="2:9" ht="25.5">
      <c r="B4170" s="3299" t="s">
        <v>682</v>
      </c>
      <c r="C4170" s="3063"/>
      <c r="D4170" s="3064"/>
      <c r="E4170" s="3064"/>
      <c r="F4170" s="3064"/>
      <c r="G4170" s="3300" t="s">
        <v>682</v>
      </c>
      <c r="H4170" s="3063"/>
      <c r="I4170" s="3030"/>
    </row>
    <row r="4171" spans="2:9" ht="25.5">
      <c r="B4171" s="3192" t="s">
        <v>675</v>
      </c>
      <c r="C4171" s="3063"/>
      <c r="D4171" s="3064"/>
      <c r="E4171" s="3064"/>
      <c r="F4171" s="3064"/>
      <c r="G4171" s="3301" t="s">
        <v>675</v>
      </c>
      <c r="H4171" s="3063"/>
      <c r="I4171" s="3030"/>
    </row>
    <row r="4172" spans="2:9" ht="25.5">
      <c r="B4172" s="3192" t="s">
        <v>676</v>
      </c>
      <c r="C4172" s="3063"/>
      <c r="D4172" s="3064"/>
      <c r="E4172" s="3064"/>
      <c r="F4172" s="3064"/>
      <c r="G4172" s="3301" t="s">
        <v>676</v>
      </c>
      <c r="H4172" s="3063"/>
      <c r="I4172" s="3030"/>
    </row>
    <row r="4173" spans="2:9">
      <c r="B4173" s="3192" t="s">
        <v>677</v>
      </c>
      <c r="C4173" s="3063"/>
      <c r="D4173" s="3064"/>
      <c r="E4173" s="3064"/>
      <c r="F4173" s="3064"/>
      <c r="G4173" s="3301" t="s">
        <v>677</v>
      </c>
      <c r="H4173" s="3063"/>
      <c r="I4173" s="3030"/>
    </row>
    <row r="4174" spans="2:9">
      <c r="B4174" s="3192" t="s">
        <v>678</v>
      </c>
      <c r="C4174" s="3063"/>
      <c r="D4174" s="3064"/>
      <c r="E4174" s="3064"/>
      <c r="F4174" s="3064"/>
      <c r="G4174" s="3301" t="s">
        <v>678</v>
      </c>
      <c r="H4174" s="3063"/>
      <c r="I4174" s="3030"/>
    </row>
    <row r="4175" spans="2:9">
      <c r="B4175" s="3192" t="s">
        <v>679</v>
      </c>
      <c r="C4175" s="3063"/>
      <c r="D4175" s="3064"/>
      <c r="E4175" s="3064"/>
      <c r="F4175" s="3064"/>
      <c r="G4175" s="3301" t="s">
        <v>679</v>
      </c>
      <c r="H4175" s="3063"/>
      <c r="I4175" s="3030"/>
    </row>
    <row r="4176" spans="2:9" ht="25.5">
      <c r="B4176" s="3192" t="s">
        <v>720</v>
      </c>
      <c r="C4176" s="3063"/>
      <c r="D4176" s="3064"/>
      <c r="E4176" s="3064"/>
      <c r="F4176" s="3064"/>
      <c r="G4176" s="3301" t="s">
        <v>720</v>
      </c>
      <c r="H4176" s="3063"/>
      <c r="I4176" s="3030"/>
    </row>
    <row r="4177" spans="2:9" ht="25.5">
      <c r="B4177" s="3299" t="s">
        <v>66</v>
      </c>
      <c r="C4177" s="3063"/>
      <c r="D4177" s="3064"/>
      <c r="E4177" s="3064"/>
      <c r="F4177" s="3064"/>
      <c r="G4177" s="3300" t="s">
        <v>66</v>
      </c>
      <c r="H4177" s="3063"/>
      <c r="I4177" s="3030"/>
    </row>
    <row r="4178" spans="2:9" ht="25.5">
      <c r="B4178" s="3192" t="s">
        <v>675</v>
      </c>
      <c r="C4178" s="3063"/>
      <c r="D4178" s="3064"/>
      <c r="E4178" s="3064"/>
      <c r="F4178" s="3064"/>
      <c r="G4178" s="3301" t="s">
        <v>675</v>
      </c>
      <c r="H4178" s="3063"/>
      <c r="I4178" s="3030"/>
    </row>
    <row r="4179" spans="2:9" ht="25.5">
      <c r="B4179" s="3192" t="s">
        <v>676</v>
      </c>
      <c r="C4179" s="3063"/>
      <c r="D4179" s="3064"/>
      <c r="E4179" s="3064"/>
      <c r="F4179" s="3064"/>
      <c r="G4179" s="3301" t="s">
        <v>676</v>
      </c>
      <c r="H4179" s="3063"/>
      <c r="I4179" s="3030"/>
    </row>
    <row r="4180" spans="2:9">
      <c r="B4180" s="3192" t="s">
        <v>677</v>
      </c>
      <c r="C4180" s="3063"/>
      <c r="D4180" s="3064"/>
      <c r="E4180" s="3064"/>
      <c r="F4180" s="3064"/>
      <c r="G4180" s="3301" t="s">
        <v>677</v>
      </c>
      <c r="H4180" s="3063"/>
      <c r="I4180" s="3030"/>
    </row>
    <row r="4181" spans="2:9">
      <c r="B4181" s="3192" t="s">
        <v>678</v>
      </c>
      <c r="C4181" s="3063"/>
      <c r="D4181" s="3064"/>
      <c r="E4181" s="3064"/>
      <c r="F4181" s="3064"/>
      <c r="G4181" s="3301" t="s">
        <v>678</v>
      </c>
      <c r="H4181" s="3063"/>
      <c r="I4181" s="3030"/>
    </row>
    <row r="4182" spans="2:9">
      <c r="B4182" s="3192" t="s">
        <v>679</v>
      </c>
      <c r="C4182" s="3063"/>
      <c r="D4182" s="3064"/>
      <c r="E4182" s="3064"/>
      <c r="F4182" s="3064"/>
      <c r="G4182" s="3301" t="s">
        <v>679</v>
      </c>
      <c r="H4182" s="3063"/>
      <c r="I4182" s="3030"/>
    </row>
    <row r="4183" spans="2:9" ht="25.5">
      <c r="B4183" s="3192" t="s">
        <v>720</v>
      </c>
      <c r="C4183" s="3063"/>
      <c r="D4183" s="3064"/>
      <c r="E4183" s="3064"/>
      <c r="F4183" s="3064"/>
      <c r="G4183" s="3301" t="s">
        <v>720</v>
      </c>
      <c r="H4183" s="3063"/>
      <c r="I4183" s="3030"/>
    </row>
    <row r="4184" spans="2:9">
      <c r="B4184" s="3299" t="s">
        <v>67</v>
      </c>
      <c r="C4184" s="3063"/>
      <c r="D4184" s="3064"/>
      <c r="E4184" s="3064"/>
      <c r="F4184" s="3064"/>
      <c r="G4184" s="3300" t="s">
        <v>67</v>
      </c>
      <c r="H4184" s="3063"/>
      <c r="I4184" s="3030"/>
    </row>
    <row r="4185" spans="2:9" ht="25.5">
      <c r="B4185" s="3192" t="s">
        <v>675</v>
      </c>
      <c r="C4185" s="3063"/>
      <c r="D4185" s="3064"/>
      <c r="E4185" s="3064"/>
      <c r="F4185" s="3064"/>
      <c r="G4185" s="3301" t="s">
        <v>675</v>
      </c>
      <c r="H4185" s="3063"/>
      <c r="I4185" s="3030"/>
    </row>
    <row r="4186" spans="2:9" ht="25.5">
      <c r="B4186" s="3192" t="s">
        <v>676</v>
      </c>
      <c r="C4186" s="3063"/>
      <c r="D4186" s="3064"/>
      <c r="E4186" s="3064"/>
      <c r="F4186" s="3064"/>
      <c r="G4186" s="3301" t="s">
        <v>676</v>
      </c>
      <c r="H4186" s="3063"/>
      <c r="I4186" s="3030"/>
    </row>
    <row r="4187" spans="2:9">
      <c r="B4187" s="3192" t="s">
        <v>677</v>
      </c>
      <c r="C4187" s="3063"/>
      <c r="D4187" s="3064"/>
      <c r="E4187" s="3064"/>
      <c r="F4187" s="3064"/>
      <c r="G4187" s="3301" t="s">
        <v>677</v>
      </c>
      <c r="H4187" s="3063"/>
      <c r="I4187" s="3030"/>
    </row>
    <row r="4188" spans="2:9">
      <c r="B4188" s="3192" t="s">
        <v>678</v>
      </c>
      <c r="C4188" s="3063"/>
      <c r="D4188" s="3064"/>
      <c r="E4188" s="3064"/>
      <c r="F4188" s="3064"/>
      <c r="G4188" s="3301" t="s">
        <v>678</v>
      </c>
      <c r="H4188" s="3063"/>
      <c r="I4188" s="3030"/>
    </row>
    <row r="4189" spans="2:9">
      <c r="B4189" s="3192" t="s">
        <v>679</v>
      </c>
      <c r="C4189" s="3063"/>
      <c r="D4189" s="3064"/>
      <c r="E4189" s="3064"/>
      <c r="F4189" s="3064"/>
      <c r="G4189" s="3301" t="s">
        <v>679</v>
      </c>
      <c r="H4189" s="3063"/>
      <c r="I4189" s="3030"/>
    </row>
    <row r="4190" spans="2:9" ht="25.5">
      <c r="B4190" s="3230" t="s">
        <v>81</v>
      </c>
      <c r="C4190" s="3063"/>
      <c r="D4190" s="3064"/>
      <c r="E4190" s="3064"/>
      <c r="F4190" s="3064"/>
      <c r="G4190" s="3302" t="s">
        <v>81</v>
      </c>
      <c r="H4190" s="3063"/>
      <c r="I4190" s="3030"/>
    </row>
    <row r="4191" spans="2:9" ht="26.25" thickBot="1">
      <c r="B4191" s="3303" t="s">
        <v>81</v>
      </c>
      <c r="C4191" s="3068"/>
      <c r="D4191" s="3069"/>
      <c r="E4191" s="3069"/>
      <c r="F4191" s="3069"/>
      <c r="G4191" s="3304" t="s">
        <v>81</v>
      </c>
      <c r="H4191" s="3068"/>
      <c r="I4191" s="3070"/>
    </row>
    <row r="4192" spans="2:9" ht="38.25">
      <c r="B4192" s="4723">
        <v>3025</v>
      </c>
      <c r="C4192" s="3289"/>
      <c r="D4192" s="3290"/>
      <c r="E4192" s="3290"/>
      <c r="F4192" s="3290"/>
      <c r="G4192" s="4723">
        <v>3025</v>
      </c>
      <c r="H4192" s="3291" t="s">
        <v>687</v>
      </c>
      <c r="I4192" s="3292" t="s">
        <v>688</v>
      </c>
    </row>
    <row r="4193" spans="2:9">
      <c r="B4193" s="4724"/>
      <c r="C4193" s="4678" t="s">
        <v>686</v>
      </c>
      <c r="D4193" s="4725"/>
      <c r="E4193" s="4725"/>
      <c r="F4193" s="4726"/>
      <c r="G4193" s="4724"/>
      <c r="H4193" s="3293"/>
      <c r="I4193" s="3294"/>
    </row>
    <row r="4194" spans="2:9" ht="13.5" thickBot="1">
      <c r="B4194" s="4724"/>
      <c r="C4194" s="3215">
        <v>2013</v>
      </c>
      <c r="D4194" s="3215">
        <v>2014</v>
      </c>
      <c r="E4194" s="3215">
        <v>2015</v>
      </c>
      <c r="F4194" s="3215">
        <v>2016</v>
      </c>
      <c r="G4194" s="4724"/>
      <c r="H4194" s="3295" t="s">
        <v>390</v>
      </c>
      <c r="I4194" s="3296" t="s">
        <v>390</v>
      </c>
    </row>
    <row r="4195" spans="2:9">
      <c r="B4195" s="3217" t="s">
        <v>695</v>
      </c>
      <c r="C4195" s="3218"/>
      <c r="D4195" s="3219"/>
      <c r="E4195" s="3219"/>
      <c r="F4195" s="3219"/>
      <c r="G4195" s="3217" t="s">
        <v>695</v>
      </c>
      <c r="H4195" s="3297"/>
      <c r="I4195" s="3298"/>
    </row>
    <row r="4196" spans="2:9">
      <c r="B4196" s="3299" t="s">
        <v>64</v>
      </c>
      <c r="C4196" s="3063"/>
      <c r="D4196" s="3064"/>
      <c r="E4196" s="3064"/>
      <c r="F4196" s="3064"/>
      <c r="G4196" s="3300" t="s">
        <v>64</v>
      </c>
      <c r="H4196" s="3063">
        <v>1.9741171309497698</v>
      </c>
      <c r="I4196" s="3030"/>
    </row>
    <row r="4197" spans="2:9" ht="25.5">
      <c r="B4197" s="3192" t="s">
        <v>675</v>
      </c>
      <c r="C4197" s="3063">
        <v>3</v>
      </c>
      <c r="D4197" s="3064"/>
      <c r="E4197" s="3064"/>
      <c r="F4197" s="3064"/>
      <c r="G4197" s="3301" t="s">
        <v>675</v>
      </c>
      <c r="H4197" s="3063"/>
      <c r="I4197" s="3030">
        <v>1.9741171309497698</v>
      </c>
    </row>
    <row r="4198" spans="2:9" ht="25.5">
      <c r="B4198" s="3192" t="s">
        <v>676</v>
      </c>
      <c r="C4198" s="3063"/>
      <c r="D4198" s="3064"/>
      <c r="E4198" s="3064"/>
      <c r="F4198" s="3064"/>
      <c r="G4198" s="3301" t="s">
        <v>676</v>
      </c>
      <c r="H4198" s="3063"/>
      <c r="I4198" s="3030"/>
    </row>
    <row r="4199" spans="2:9">
      <c r="B4199" s="3192" t="s">
        <v>677</v>
      </c>
      <c r="C4199" s="3063"/>
      <c r="D4199" s="3064"/>
      <c r="E4199" s="3064"/>
      <c r="F4199" s="3064"/>
      <c r="G4199" s="3301" t="s">
        <v>677</v>
      </c>
      <c r="H4199" s="3063"/>
      <c r="I4199" s="3030"/>
    </row>
    <row r="4200" spans="2:9">
      <c r="B4200" s="3192" t="s">
        <v>678</v>
      </c>
      <c r="C4200" s="3063">
        <v>5</v>
      </c>
      <c r="D4200" s="3064">
        <v>1</v>
      </c>
      <c r="E4200" s="3064"/>
      <c r="F4200" s="3064"/>
      <c r="G4200" s="3301" t="s">
        <v>678</v>
      </c>
      <c r="H4200" s="3063"/>
      <c r="I4200" s="3030"/>
    </row>
    <row r="4201" spans="2:9">
      <c r="B4201" s="3192" t="s">
        <v>679</v>
      </c>
      <c r="C4201" s="3063"/>
      <c r="D4201" s="3064"/>
      <c r="E4201" s="3064"/>
      <c r="F4201" s="3064"/>
      <c r="G4201" s="3301" t="s">
        <v>679</v>
      </c>
      <c r="H4201" s="3063"/>
      <c r="I4201" s="3030"/>
    </row>
    <row r="4202" spans="2:9" ht="25.5">
      <c r="B4202" s="3192" t="s">
        <v>720</v>
      </c>
      <c r="C4202" s="3063"/>
      <c r="D4202" s="3064"/>
      <c r="E4202" s="3064"/>
      <c r="F4202" s="3064"/>
      <c r="G4202" s="3301" t="s">
        <v>720</v>
      </c>
      <c r="H4202" s="3063"/>
      <c r="I4202" s="3030"/>
    </row>
    <row r="4203" spans="2:9">
      <c r="B4203" s="3299" t="s">
        <v>65</v>
      </c>
      <c r="C4203" s="3063"/>
      <c r="D4203" s="3064"/>
      <c r="E4203" s="3064"/>
      <c r="F4203" s="3064"/>
      <c r="G4203" s="3300" t="s">
        <v>65</v>
      </c>
      <c r="H4203" s="3063"/>
      <c r="I4203" s="3030"/>
    </row>
    <row r="4204" spans="2:9" ht="25.5">
      <c r="B4204" s="3192" t="s">
        <v>675</v>
      </c>
      <c r="C4204" s="3063"/>
      <c r="D4204" s="3064"/>
      <c r="E4204" s="3064"/>
      <c r="F4204" s="3064"/>
      <c r="G4204" s="3301" t="s">
        <v>675</v>
      </c>
      <c r="H4204" s="3063"/>
      <c r="I4204" s="3030"/>
    </row>
    <row r="4205" spans="2:9" ht="25.5">
      <c r="B4205" s="3192" t="s">
        <v>676</v>
      </c>
      <c r="C4205" s="3063"/>
      <c r="D4205" s="3064"/>
      <c r="E4205" s="3064"/>
      <c r="F4205" s="3064"/>
      <c r="G4205" s="3301" t="s">
        <v>676</v>
      </c>
      <c r="H4205" s="3063"/>
      <c r="I4205" s="3030"/>
    </row>
    <row r="4206" spans="2:9">
      <c r="B4206" s="3192" t="s">
        <v>677</v>
      </c>
      <c r="C4206" s="3063"/>
      <c r="D4206" s="3064"/>
      <c r="E4206" s="3064"/>
      <c r="F4206" s="3064"/>
      <c r="G4206" s="3301" t="s">
        <v>677</v>
      </c>
      <c r="H4206" s="3063"/>
      <c r="I4206" s="3030"/>
    </row>
    <row r="4207" spans="2:9">
      <c r="B4207" s="3192" t="s">
        <v>678</v>
      </c>
      <c r="C4207" s="3063"/>
      <c r="D4207" s="3064"/>
      <c r="E4207" s="3064"/>
      <c r="F4207" s="3064"/>
      <c r="G4207" s="3301" t="s">
        <v>678</v>
      </c>
      <c r="H4207" s="3063"/>
      <c r="I4207" s="3030"/>
    </row>
    <row r="4208" spans="2:9">
      <c r="B4208" s="3192" t="s">
        <v>679</v>
      </c>
      <c r="C4208" s="3063"/>
      <c r="D4208" s="3064"/>
      <c r="E4208" s="3064"/>
      <c r="F4208" s="3064"/>
      <c r="G4208" s="3301" t="s">
        <v>679</v>
      </c>
      <c r="H4208" s="3063"/>
      <c r="I4208" s="3030"/>
    </row>
    <row r="4209" spans="2:9" ht="25.5">
      <c r="B4209" s="3192" t="s">
        <v>720</v>
      </c>
      <c r="C4209" s="3063"/>
      <c r="D4209" s="3064"/>
      <c r="E4209" s="3064"/>
      <c r="F4209" s="3064"/>
      <c r="G4209" s="3301" t="s">
        <v>720</v>
      </c>
      <c r="H4209" s="3063"/>
      <c r="I4209" s="3030"/>
    </row>
    <row r="4210" spans="2:9">
      <c r="B4210" s="3299" t="s">
        <v>82</v>
      </c>
      <c r="C4210" s="3063"/>
      <c r="D4210" s="3064"/>
      <c r="E4210" s="3064"/>
      <c r="F4210" s="3064"/>
      <c r="G4210" s="3300" t="s">
        <v>82</v>
      </c>
      <c r="H4210" s="3063"/>
      <c r="I4210" s="3030"/>
    </row>
    <row r="4211" spans="2:9" ht="25.5">
      <c r="B4211" s="3192" t="s">
        <v>675</v>
      </c>
      <c r="C4211" s="3063"/>
      <c r="D4211" s="3064"/>
      <c r="E4211" s="3064"/>
      <c r="F4211" s="3064"/>
      <c r="G4211" s="3301" t="s">
        <v>675</v>
      </c>
      <c r="H4211" s="3063"/>
      <c r="I4211" s="3030"/>
    </row>
    <row r="4212" spans="2:9" ht="25.5">
      <c r="B4212" s="3192" t="s">
        <v>676</v>
      </c>
      <c r="C4212" s="3063"/>
      <c r="D4212" s="3064"/>
      <c r="E4212" s="3064"/>
      <c r="F4212" s="3064"/>
      <c r="G4212" s="3301" t="s">
        <v>676</v>
      </c>
      <c r="H4212" s="3063"/>
      <c r="I4212" s="3030"/>
    </row>
    <row r="4213" spans="2:9">
      <c r="B4213" s="3192" t="s">
        <v>677</v>
      </c>
      <c r="C4213" s="3063"/>
      <c r="D4213" s="3064"/>
      <c r="E4213" s="3064"/>
      <c r="F4213" s="3064"/>
      <c r="G4213" s="3301" t="s">
        <v>677</v>
      </c>
      <c r="H4213" s="3063"/>
      <c r="I4213" s="3030"/>
    </row>
    <row r="4214" spans="2:9">
      <c r="B4214" s="3192" t="s">
        <v>678</v>
      </c>
      <c r="C4214" s="3063"/>
      <c r="D4214" s="3064"/>
      <c r="E4214" s="3064"/>
      <c r="F4214" s="3064"/>
      <c r="G4214" s="3301" t="s">
        <v>678</v>
      </c>
      <c r="H4214" s="3063"/>
      <c r="I4214" s="3030"/>
    </row>
    <row r="4215" spans="2:9">
      <c r="B4215" s="3192" t="s">
        <v>679</v>
      </c>
      <c r="C4215" s="3063"/>
      <c r="D4215" s="3064"/>
      <c r="E4215" s="3064"/>
      <c r="F4215" s="3064"/>
      <c r="G4215" s="3301" t="s">
        <v>679</v>
      </c>
      <c r="H4215" s="3063"/>
      <c r="I4215" s="3030"/>
    </row>
    <row r="4216" spans="2:9" ht="25.5">
      <c r="B4216" s="3192" t="s">
        <v>720</v>
      </c>
      <c r="C4216" s="3063"/>
      <c r="D4216" s="3064"/>
      <c r="E4216" s="3064"/>
      <c r="F4216" s="3064"/>
      <c r="G4216" s="3301" t="s">
        <v>720</v>
      </c>
      <c r="H4216" s="3063"/>
      <c r="I4216" s="3030"/>
    </row>
    <row r="4217" spans="2:9" ht="38.25">
      <c r="B4217" s="3299" t="s">
        <v>680</v>
      </c>
      <c r="C4217" s="3063"/>
      <c r="D4217" s="3064"/>
      <c r="E4217" s="3064"/>
      <c r="F4217" s="3064"/>
      <c r="G4217" s="3300" t="s">
        <v>680</v>
      </c>
      <c r="H4217" s="3063"/>
      <c r="I4217" s="3030"/>
    </row>
    <row r="4218" spans="2:9" ht="25.5">
      <c r="B4218" s="3192" t="s">
        <v>675</v>
      </c>
      <c r="C4218" s="3063"/>
      <c r="D4218" s="3064"/>
      <c r="E4218" s="3064"/>
      <c r="F4218" s="3064"/>
      <c r="G4218" s="3301" t="s">
        <v>675</v>
      </c>
      <c r="H4218" s="3063"/>
      <c r="I4218" s="3030"/>
    </row>
    <row r="4219" spans="2:9" ht="25.5">
      <c r="B4219" s="3192" t="s">
        <v>676</v>
      </c>
      <c r="C4219" s="3063"/>
      <c r="D4219" s="3064"/>
      <c r="E4219" s="3064"/>
      <c r="F4219" s="3064"/>
      <c r="G4219" s="3301" t="s">
        <v>676</v>
      </c>
      <c r="H4219" s="3063"/>
      <c r="I4219" s="3030"/>
    </row>
    <row r="4220" spans="2:9">
      <c r="B4220" s="3192" t="s">
        <v>677</v>
      </c>
      <c r="C4220" s="3063"/>
      <c r="D4220" s="3064"/>
      <c r="E4220" s="3064"/>
      <c r="F4220" s="3064"/>
      <c r="G4220" s="3301" t="s">
        <v>677</v>
      </c>
      <c r="H4220" s="3063"/>
      <c r="I4220" s="3030"/>
    </row>
    <row r="4221" spans="2:9">
      <c r="B4221" s="3192" t="s">
        <v>678</v>
      </c>
      <c r="C4221" s="3063"/>
      <c r="D4221" s="3064"/>
      <c r="E4221" s="3064"/>
      <c r="F4221" s="3064"/>
      <c r="G4221" s="3301" t="s">
        <v>678</v>
      </c>
      <c r="H4221" s="3063"/>
      <c r="I4221" s="3030"/>
    </row>
    <row r="4222" spans="2:9">
      <c r="B4222" s="3192" t="s">
        <v>679</v>
      </c>
      <c r="C4222" s="3063"/>
      <c r="D4222" s="3064"/>
      <c r="E4222" s="3064"/>
      <c r="F4222" s="3064"/>
      <c r="G4222" s="3301" t="s">
        <v>679</v>
      </c>
      <c r="H4222" s="3063"/>
      <c r="I4222" s="3030"/>
    </row>
    <row r="4223" spans="2:9" ht="25.5">
      <c r="B4223" s="3192" t="s">
        <v>720</v>
      </c>
      <c r="C4223" s="3063"/>
      <c r="D4223" s="3064"/>
      <c r="E4223" s="3064"/>
      <c r="F4223" s="3064"/>
      <c r="G4223" s="3301" t="s">
        <v>720</v>
      </c>
      <c r="H4223" s="3063"/>
      <c r="I4223" s="3030"/>
    </row>
    <row r="4224" spans="2:9" ht="38.25">
      <c r="B4224" s="3299" t="s">
        <v>681</v>
      </c>
      <c r="C4224" s="3063"/>
      <c r="D4224" s="3064"/>
      <c r="E4224" s="3064"/>
      <c r="F4224" s="3064"/>
      <c r="G4224" s="3300" t="s">
        <v>681</v>
      </c>
      <c r="H4224" s="3063"/>
      <c r="I4224" s="3030"/>
    </row>
    <row r="4225" spans="2:9" ht="25.5">
      <c r="B4225" s="3192" t="s">
        <v>675</v>
      </c>
      <c r="C4225" s="3063"/>
      <c r="D4225" s="3064"/>
      <c r="E4225" s="3064"/>
      <c r="F4225" s="3064"/>
      <c r="G4225" s="3301" t="s">
        <v>675</v>
      </c>
      <c r="H4225" s="3063"/>
      <c r="I4225" s="3030"/>
    </row>
    <row r="4226" spans="2:9" ht="25.5">
      <c r="B4226" s="3192" t="s">
        <v>676</v>
      </c>
      <c r="C4226" s="3063"/>
      <c r="D4226" s="3064"/>
      <c r="E4226" s="3064"/>
      <c r="F4226" s="3064"/>
      <c r="G4226" s="3301" t="s">
        <v>676</v>
      </c>
      <c r="H4226" s="3063"/>
      <c r="I4226" s="3030"/>
    </row>
    <row r="4227" spans="2:9">
      <c r="B4227" s="3192" t="s">
        <v>677</v>
      </c>
      <c r="C4227" s="3063"/>
      <c r="D4227" s="3064"/>
      <c r="E4227" s="3064"/>
      <c r="F4227" s="3064"/>
      <c r="G4227" s="3301" t="s">
        <v>677</v>
      </c>
      <c r="H4227" s="3063"/>
      <c r="I4227" s="3030"/>
    </row>
    <row r="4228" spans="2:9">
      <c r="B4228" s="3192" t="s">
        <v>678</v>
      </c>
      <c r="C4228" s="3063"/>
      <c r="D4228" s="3064"/>
      <c r="E4228" s="3064"/>
      <c r="F4228" s="3064"/>
      <c r="G4228" s="3301" t="s">
        <v>678</v>
      </c>
      <c r="H4228" s="3063"/>
      <c r="I4228" s="3030"/>
    </row>
    <row r="4229" spans="2:9">
      <c r="B4229" s="3192" t="s">
        <v>679</v>
      </c>
      <c r="C4229" s="3063"/>
      <c r="D4229" s="3064"/>
      <c r="E4229" s="3064"/>
      <c r="F4229" s="3064"/>
      <c r="G4229" s="3301" t="s">
        <v>679</v>
      </c>
      <c r="H4229" s="3063"/>
      <c r="I4229" s="3030"/>
    </row>
    <row r="4230" spans="2:9" ht="25.5">
      <c r="B4230" s="3192" t="s">
        <v>720</v>
      </c>
      <c r="C4230" s="3063"/>
      <c r="D4230" s="3064"/>
      <c r="E4230" s="3064"/>
      <c r="F4230" s="3064"/>
      <c r="G4230" s="3301" t="s">
        <v>720</v>
      </c>
      <c r="H4230" s="3063"/>
      <c r="I4230" s="3030"/>
    </row>
    <row r="4231" spans="2:9" ht="25.5">
      <c r="B4231" s="3299" t="s">
        <v>682</v>
      </c>
      <c r="C4231" s="3063"/>
      <c r="D4231" s="3064"/>
      <c r="E4231" s="3064"/>
      <c r="F4231" s="3064"/>
      <c r="G4231" s="3300" t="s">
        <v>682</v>
      </c>
      <c r="H4231" s="3063"/>
      <c r="I4231" s="3030"/>
    </row>
    <row r="4232" spans="2:9" ht="25.5">
      <c r="B4232" s="3192" t="s">
        <v>675</v>
      </c>
      <c r="C4232" s="3063"/>
      <c r="D4232" s="3064"/>
      <c r="E4232" s="3064"/>
      <c r="F4232" s="3064"/>
      <c r="G4232" s="3301" t="s">
        <v>675</v>
      </c>
      <c r="H4232" s="3063"/>
      <c r="I4232" s="3030"/>
    </row>
    <row r="4233" spans="2:9" ht="25.5">
      <c r="B4233" s="3192" t="s">
        <v>676</v>
      </c>
      <c r="C4233" s="3063"/>
      <c r="D4233" s="3064"/>
      <c r="E4233" s="3064"/>
      <c r="F4233" s="3064"/>
      <c r="G4233" s="3301" t="s">
        <v>676</v>
      </c>
      <c r="H4233" s="3063"/>
      <c r="I4233" s="3030"/>
    </row>
    <row r="4234" spans="2:9">
      <c r="B4234" s="3192" t="s">
        <v>677</v>
      </c>
      <c r="C4234" s="3063"/>
      <c r="D4234" s="3064"/>
      <c r="E4234" s="3064"/>
      <c r="F4234" s="3064"/>
      <c r="G4234" s="3301" t="s">
        <v>677</v>
      </c>
      <c r="H4234" s="3063"/>
      <c r="I4234" s="3030"/>
    </row>
    <row r="4235" spans="2:9">
      <c r="B4235" s="3192" t="s">
        <v>678</v>
      </c>
      <c r="C4235" s="3063"/>
      <c r="D4235" s="3064"/>
      <c r="E4235" s="3064"/>
      <c r="F4235" s="3064"/>
      <c r="G4235" s="3301" t="s">
        <v>678</v>
      </c>
      <c r="H4235" s="3063"/>
      <c r="I4235" s="3030"/>
    </row>
    <row r="4236" spans="2:9">
      <c r="B4236" s="3192" t="s">
        <v>679</v>
      </c>
      <c r="C4236" s="3063"/>
      <c r="D4236" s="3064"/>
      <c r="E4236" s="3064"/>
      <c r="F4236" s="3064"/>
      <c r="G4236" s="3301" t="s">
        <v>679</v>
      </c>
      <c r="H4236" s="3063"/>
      <c r="I4236" s="3030"/>
    </row>
    <row r="4237" spans="2:9" ht="25.5">
      <c r="B4237" s="3192" t="s">
        <v>720</v>
      </c>
      <c r="C4237" s="3063"/>
      <c r="D4237" s="3064"/>
      <c r="E4237" s="3064"/>
      <c r="F4237" s="3064"/>
      <c r="G4237" s="3301" t="s">
        <v>720</v>
      </c>
      <c r="H4237" s="3063"/>
      <c r="I4237" s="3030"/>
    </row>
    <row r="4238" spans="2:9" ht="25.5">
      <c r="B4238" s="3299" t="s">
        <v>66</v>
      </c>
      <c r="C4238" s="3063"/>
      <c r="D4238" s="3064"/>
      <c r="E4238" s="3064"/>
      <c r="F4238" s="3064"/>
      <c r="G4238" s="3300" t="s">
        <v>66</v>
      </c>
      <c r="H4238" s="3063">
        <v>5.0548876551218612E-2</v>
      </c>
      <c r="I4238" s="3030"/>
    </row>
    <row r="4239" spans="2:9" ht="25.5">
      <c r="B4239" s="3192" t="s">
        <v>675</v>
      </c>
      <c r="C4239" s="3063"/>
      <c r="D4239" s="3064"/>
      <c r="E4239" s="3064"/>
      <c r="F4239" s="3064"/>
      <c r="G4239" s="3301" t="s">
        <v>675</v>
      </c>
      <c r="H4239" s="3063"/>
      <c r="I4239" s="3030"/>
    </row>
    <row r="4240" spans="2:9" ht="25.5">
      <c r="B4240" s="3192" t="s">
        <v>676</v>
      </c>
      <c r="C4240" s="3063"/>
      <c r="D4240" s="3064"/>
      <c r="E4240" s="3064"/>
      <c r="F4240" s="3064"/>
      <c r="G4240" s="3301" t="s">
        <v>676</v>
      </c>
      <c r="H4240" s="3063"/>
      <c r="I4240" s="3030"/>
    </row>
    <row r="4241" spans="2:9">
      <c r="B4241" s="3192" t="s">
        <v>677</v>
      </c>
      <c r="C4241" s="3063"/>
      <c r="D4241" s="3064"/>
      <c r="E4241" s="3064"/>
      <c r="F4241" s="3064"/>
      <c r="G4241" s="3301" t="s">
        <v>677</v>
      </c>
      <c r="H4241" s="3063"/>
      <c r="I4241" s="3030"/>
    </row>
    <row r="4242" spans="2:9">
      <c r="B4242" s="3192" t="s">
        <v>678</v>
      </c>
      <c r="C4242" s="3063">
        <v>2</v>
      </c>
      <c r="D4242" s="3064"/>
      <c r="E4242" s="3064"/>
      <c r="F4242" s="3064"/>
      <c r="G4242" s="3301" t="s">
        <v>678</v>
      </c>
      <c r="H4242" s="3063"/>
      <c r="I4242" s="3030"/>
    </row>
    <row r="4243" spans="2:9">
      <c r="B4243" s="3192" t="s">
        <v>679</v>
      </c>
      <c r="C4243" s="3063"/>
      <c r="D4243" s="3064"/>
      <c r="E4243" s="3064"/>
      <c r="F4243" s="3064"/>
      <c r="G4243" s="3301" t="s">
        <v>679</v>
      </c>
      <c r="H4243" s="3063"/>
      <c r="I4243" s="3030"/>
    </row>
    <row r="4244" spans="2:9" ht="25.5">
      <c r="B4244" s="3192" t="s">
        <v>720</v>
      </c>
      <c r="C4244" s="3063"/>
      <c r="D4244" s="3064"/>
      <c r="E4244" s="3064"/>
      <c r="F4244" s="3064"/>
      <c r="G4244" s="3301" t="s">
        <v>720</v>
      </c>
      <c r="H4244" s="3063"/>
      <c r="I4244" s="3030"/>
    </row>
    <row r="4245" spans="2:9">
      <c r="B4245" s="3299" t="s">
        <v>67</v>
      </c>
      <c r="C4245" s="3063"/>
      <c r="D4245" s="3064"/>
      <c r="E4245" s="3064"/>
      <c r="F4245" s="3064"/>
      <c r="G4245" s="3300" t="s">
        <v>67</v>
      </c>
      <c r="H4245" s="3063"/>
      <c r="I4245" s="3030"/>
    </row>
    <row r="4246" spans="2:9" ht="25.5">
      <c r="B4246" s="3192" t="s">
        <v>675</v>
      </c>
      <c r="C4246" s="3063"/>
      <c r="D4246" s="3064"/>
      <c r="E4246" s="3064"/>
      <c r="F4246" s="3064"/>
      <c r="G4246" s="3301" t="s">
        <v>675</v>
      </c>
      <c r="H4246" s="3063"/>
      <c r="I4246" s="3030"/>
    </row>
    <row r="4247" spans="2:9" ht="25.5">
      <c r="B4247" s="3192" t="s">
        <v>676</v>
      </c>
      <c r="C4247" s="3063"/>
      <c r="D4247" s="3064"/>
      <c r="E4247" s="3064"/>
      <c r="F4247" s="3064"/>
      <c r="G4247" s="3301" t="s">
        <v>676</v>
      </c>
      <c r="H4247" s="3063"/>
      <c r="I4247" s="3030"/>
    </row>
    <row r="4248" spans="2:9">
      <c r="B4248" s="3192" t="s">
        <v>677</v>
      </c>
      <c r="C4248" s="3063"/>
      <c r="D4248" s="3064"/>
      <c r="E4248" s="3064"/>
      <c r="F4248" s="3064"/>
      <c r="G4248" s="3301" t="s">
        <v>677</v>
      </c>
      <c r="H4248" s="3063"/>
      <c r="I4248" s="3030"/>
    </row>
    <row r="4249" spans="2:9">
      <c r="B4249" s="3192" t="s">
        <v>678</v>
      </c>
      <c r="C4249" s="3063"/>
      <c r="D4249" s="3064"/>
      <c r="E4249" s="3064"/>
      <c r="F4249" s="3064"/>
      <c r="G4249" s="3301" t="s">
        <v>678</v>
      </c>
      <c r="H4249" s="3063"/>
      <c r="I4249" s="3030"/>
    </row>
    <row r="4250" spans="2:9">
      <c r="B4250" s="3192" t="s">
        <v>679</v>
      </c>
      <c r="C4250" s="3063"/>
      <c r="D4250" s="3064"/>
      <c r="E4250" s="3064"/>
      <c r="F4250" s="3064"/>
      <c r="G4250" s="3301" t="s">
        <v>679</v>
      </c>
      <c r="H4250" s="3063"/>
      <c r="I4250" s="3030"/>
    </row>
    <row r="4251" spans="2:9" ht="25.5">
      <c r="B4251" s="3192" t="s">
        <v>720</v>
      </c>
      <c r="C4251" s="3063"/>
      <c r="D4251" s="3064"/>
      <c r="E4251" s="3064"/>
      <c r="F4251" s="3064"/>
      <c r="G4251" s="3301" t="s">
        <v>720</v>
      </c>
      <c r="H4251" s="3063"/>
      <c r="I4251" s="3030"/>
    </row>
    <row r="4252" spans="2:9" ht="25.5">
      <c r="B4252" s="3230" t="s">
        <v>81</v>
      </c>
      <c r="C4252" s="3063"/>
      <c r="D4252" s="3064"/>
      <c r="E4252" s="3064"/>
      <c r="F4252" s="3064"/>
      <c r="G4252" s="3302" t="s">
        <v>81</v>
      </c>
      <c r="H4252" s="3063"/>
      <c r="I4252" s="3030"/>
    </row>
    <row r="4253" spans="2:9" ht="26.25" thickBot="1">
      <c r="B4253" s="3303" t="s">
        <v>81</v>
      </c>
      <c r="C4253" s="3063"/>
      <c r="D4253" s="3064"/>
      <c r="E4253" s="3064"/>
      <c r="F4253" s="3064"/>
      <c r="G4253" s="3302" t="s">
        <v>81</v>
      </c>
      <c r="H4253" s="3063"/>
      <c r="I4253" s="3030"/>
    </row>
    <row r="4254" spans="2:9" ht="25.5">
      <c r="B4254" s="3217" t="s">
        <v>696</v>
      </c>
      <c r="C4254" s="3218"/>
      <c r="D4254" s="3219"/>
      <c r="E4254" s="3219"/>
      <c r="F4254" s="3219"/>
      <c r="G4254" s="3217" t="s">
        <v>696</v>
      </c>
      <c r="H4254" s="3297"/>
      <c r="I4254" s="3298"/>
    </row>
    <row r="4255" spans="2:9">
      <c r="B4255" s="3299" t="s">
        <v>64</v>
      </c>
      <c r="C4255" s="3063"/>
      <c r="D4255" s="3064"/>
      <c r="E4255" s="3064"/>
      <c r="F4255" s="3064">
        <v>2</v>
      </c>
      <c r="G4255" s="3300" t="s">
        <v>64</v>
      </c>
      <c r="H4255" s="3063">
        <v>1.3160780872998465</v>
      </c>
      <c r="I4255" s="3030"/>
    </row>
    <row r="4256" spans="2:9" ht="25.5">
      <c r="B4256" s="3192" t="s">
        <v>675</v>
      </c>
      <c r="C4256" s="3063"/>
      <c r="D4256" s="3064"/>
      <c r="E4256" s="3064"/>
      <c r="F4256" s="3064"/>
      <c r="G4256" s="3301" t="s">
        <v>675</v>
      </c>
      <c r="H4256" s="3063"/>
      <c r="I4256" s="3030"/>
    </row>
    <row r="4257" spans="2:9" ht="25.5">
      <c r="B4257" s="3192" t="s">
        <v>676</v>
      </c>
      <c r="C4257" s="3063"/>
      <c r="D4257" s="3064"/>
      <c r="E4257" s="3064"/>
      <c r="F4257" s="3064"/>
      <c r="G4257" s="3301" t="s">
        <v>676</v>
      </c>
      <c r="H4257" s="3063"/>
      <c r="I4257" s="3030"/>
    </row>
    <row r="4258" spans="2:9">
      <c r="B4258" s="3192" t="s">
        <v>677</v>
      </c>
      <c r="C4258" s="3063"/>
      <c r="D4258" s="3064"/>
      <c r="E4258" s="3064"/>
      <c r="F4258" s="3064"/>
      <c r="G4258" s="3301" t="s">
        <v>677</v>
      </c>
      <c r="H4258" s="3063"/>
      <c r="I4258" s="3030"/>
    </row>
    <row r="4259" spans="2:9">
      <c r="B4259" s="3192" t="s">
        <v>678</v>
      </c>
      <c r="C4259" s="3063"/>
      <c r="D4259" s="3064"/>
      <c r="E4259" s="3064"/>
      <c r="F4259" s="3064"/>
      <c r="G4259" s="3301" t="s">
        <v>678</v>
      </c>
      <c r="H4259" s="3063"/>
      <c r="I4259" s="3030"/>
    </row>
    <row r="4260" spans="2:9">
      <c r="B4260" s="3192" t="s">
        <v>679</v>
      </c>
      <c r="C4260" s="3063"/>
      <c r="D4260" s="3064"/>
      <c r="E4260" s="3064"/>
      <c r="F4260" s="3064"/>
      <c r="G4260" s="3301" t="s">
        <v>679</v>
      </c>
      <c r="H4260" s="3063"/>
      <c r="I4260" s="3030"/>
    </row>
    <row r="4261" spans="2:9" ht="25.5">
      <c r="B4261" s="3192" t="s">
        <v>720</v>
      </c>
      <c r="C4261" s="3063"/>
      <c r="D4261" s="3064"/>
      <c r="E4261" s="3064"/>
      <c r="F4261" s="3064"/>
      <c r="G4261" s="3301" t="s">
        <v>720</v>
      </c>
      <c r="H4261" s="3063"/>
      <c r="I4261" s="3030"/>
    </row>
    <row r="4262" spans="2:9">
      <c r="B4262" s="3299" t="s">
        <v>65</v>
      </c>
      <c r="C4262" s="3063"/>
      <c r="D4262" s="3064"/>
      <c r="E4262" s="3064"/>
      <c r="F4262" s="3064"/>
      <c r="G4262" s="3300" t="s">
        <v>65</v>
      </c>
      <c r="H4262" s="3063"/>
      <c r="I4262" s="3030"/>
    </row>
    <row r="4263" spans="2:9" ht="25.5">
      <c r="B4263" s="3192" t="s">
        <v>675</v>
      </c>
      <c r="C4263" s="3063"/>
      <c r="D4263" s="3064"/>
      <c r="E4263" s="3064"/>
      <c r="F4263" s="3064"/>
      <c r="G4263" s="3301" t="s">
        <v>675</v>
      </c>
      <c r="H4263" s="3063"/>
      <c r="I4263" s="3030"/>
    </row>
    <row r="4264" spans="2:9" ht="25.5">
      <c r="B4264" s="3192" t="s">
        <v>676</v>
      </c>
      <c r="C4264" s="3063"/>
      <c r="D4264" s="3064"/>
      <c r="E4264" s="3064"/>
      <c r="F4264" s="3064"/>
      <c r="G4264" s="3301" t="s">
        <v>676</v>
      </c>
      <c r="H4264" s="3063"/>
      <c r="I4264" s="3030"/>
    </row>
    <row r="4265" spans="2:9">
      <c r="B4265" s="3192" t="s">
        <v>677</v>
      </c>
      <c r="C4265" s="3063"/>
      <c r="D4265" s="3064"/>
      <c r="E4265" s="3064"/>
      <c r="F4265" s="3064"/>
      <c r="G4265" s="3301" t="s">
        <v>677</v>
      </c>
      <c r="H4265" s="3063"/>
      <c r="I4265" s="3030"/>
    </row>
    <row r="4266" spans="2:9">
      <c r="B4266" s="3192" t="s">
        <v>678</v>
      </c>
      <c r="C4266" s="3063"/>
      <c r="D4266" s="3064"/>
      <c r="E4266" s="3064"/>
      <c r="F4266" s="3064"/>
      <c r="G4266" s="3301" t="s">
        <v>678</v>
      </c>
      <c r="H4266" s="3063"/>
      <c r="I4266" s="3030"/>
    </row>
    <row r="4267" spans="2:9">
      <c r="B4267" s="3192" t="s">
        <v>679</v>
      </c>
      <c r="C4267" s="3063"/>
      <c r="D4267" s="3064"/>
      <c r="E4267" s="3064"/>
      <c r="F4267" s="3064"/>
      <c r="G4267" s="3301" t="s">
        <v>679</v>
      </c>
      <c r="H4267" s="3063"/>
      <c r="I4267" s="3030"/>
    </row>
    <row r="4268" spans="2:9" ht="25.5">
      <c r="B4268" s="3192" t="s">
        <v>720</v>
      </c>
      <c r="C4268" s="3063"/>
      <c r="D4268" s="3064"/>
      <c r="E4268" s="3064"/>
      <c r="F4268" s="3064"/>
      <c r="G4268" s="3301" t="s">
        <v>720</v>
      </c>
      <c r="H4268" s="3063"/>
      <c r="I4268" s="3030"/>
    </row>
    <row r="4269" spans="2:9">
      <c r="B4269" s="3299" t="s">
        <v>82</v>
      </c>
      <c r="C4269" s="3063"/>
      <c r="D4269" s="3064"/>
      <c r="E4269" s="3064"/>
      <c r="F4269" s="3064"/>
      <c r="G4269" s="3300" t="s">
        <v>82</v>
      </c>
      <c r="H4269" s="3063"/>
      <c r="I4269" s="3030"/>
    </row>
    <row r="4270" spans="2:9" ht="25.5">
      <c r="B4270" s="3192" t="s">
        <v>675</v>
      </c>
      <c r="C4270" s="3063"/>
      <c r="D4270" s="3064"/>
      <c r="E4270" s="3064"/>
      <c r="F4270" s="3064"/>
      <c r="G4270" s="3301" t="s">
        <v>675</v>
      </c>
      <c r="H4270" s="3063"/>
      <c r="I4270" s="3030"/>
    </row>
    <row r="4271" spans="2:9" ht="25.5">
      <c r="B4271" s="3192" t="s">
        <v>676</v>
      </c>
      <c r="C4271" s="3063"/>
      <c r="D4271" s="3064"/>
      <c r="E4271" s="3064"/>
      <c r="F4271" s="3064"/>
      <c r="G4271" s="3301" t="s">
        <v>676</v>
      </c>
      <c r="H4271" s="3063"/>
      <c r="I4271" s="3030"/>
    </row>
    <row r="4272" spans="2:9">
      <c r="B4272" s="3192" t="s">
        <v>677</v>
      </c>
      <c r="C4272" s="3063"/>
      <c r="D4272" s="3064"/>
      <c r="E4272" s="3064"/>
      <c r="F4272" s="3064"/>
      <c r="G4272" s="3301" t="s">
        <v>677</v>
      </c>
      <c r="H4272" s="3063"/>
      <c r="I4272" s="3030"/>
    </row>
    <row r="4273" spans="2:9">
      <c r="B4273" s="3192" t="s">
        <v>678</v>
      </c>
      <c r="C4273" s="3063"/>
      <c r="D4273" s="3064"/>
      <c r="E4273" s="3064"/>
      <c r="F4273" s="3064"/>
      <c r="G4273" s="3301" t="s">
        <v>678</v>
      </c>
      <c r="H4273" s="3063"/>
      <c r="I4273" s="3030"/>
    </row>
    <row r="4274" spans="2:9">
      <c r="B4274" s="3192" t="s">
        <v>679</v>
      </c>
      <c r="C4274" s="3063"/>
      <c r="D4274" s="3064"/>
      <c r="E4274" s="3064"/>
      <c r="F4274" s="3064"/>
      <c r="G4274" s="3301" t="s">
        <v>679</v>
      </c>
      <c r="H4274" s="3063"/>
      <c r="I4274" s="3030"/>
    </row>
    <row r="4275" spans="2:9" ht="25.5">
      <c r="B4275" s="3192" t="s">
        <v>720</v>
      </c>
      <c r="C4275" s="3063"/>
      <c r="D4275" s="3064"/>
      <c r="E4275" s="3064"/>
      <c r="F4275" s="3064"/>
      <c r="G4275" s="3301" t="s">
        <v>720</v>
      </c>
      <c r="H4275" s="3063"/>
      <c r="I4275" s="3030"/>
    </row>
    <row r="4276" spans="2:9" ht="38.25">
      <c r="B4276" s="3299" t="s">
        <v>680</v>
      </c>
      <c r="C4276" s="3063"/>
      <c r="D4276" s="3064"/>
      <c r="E4276" s="3064"/>
      <c r="F4276" s="3064"/>
      <c r="G4276" s="3300" t="s">
        <v>680</v>
      </c>
      <c r="H4276" s="3063"/>
      <c r="I4276" s="3030"/>
    </row>
    <row r="4277" spans="2:9" ht="25.5">
      <c r="B4277" s="3192" t="s">
        <v>675</v>
      </c>
      <c r="C4277" s="3063"/>
      <c r="D4277" s="3064"/>
      <c r="E4277" s="3064"/>
      <c r="F4277" s="3064"/>
      <c r="G4277" s="3301" t="s">
        <v>675</v>
      </c>
      <c r="H4277" s="3063"/>
      <c r="I4277" s="3030"/>
    </row>
    <row r="4278" spans="2:9" ht="25.5">
      <c r="B4278" s="3192" t="s">
        <v>676</v>
      </c>
      <c r="C4278" s="3063"/>
      <c r="D4278" s="3064"/>
      <c r="E4278" s="3064"/>
      <c r="F4278" s="3064"/>
      <c r="G4278" s="3301" t="s">
        <v>676</v>
      </c>
      <c r="H4278" s="3063"/>
      <c r="I4278" s="3030"/>
    </row>
    <row r="4279" spans="2:9">
      <c r="B4279" s="3192" t="s">
        <v>677</v>
      </c>
      <c r="C4279" s="3063"/>
      <c r="D4279" s="3064"/>
      <c r="E4279" s="3064"/>
      <c r="F4279" s="3064"/>
      <c r="G4279" s="3301" t="s">
        <v>677</v>
      </c>
      <c r="H4279" s="3063"/>
      <c r="I4279" s="3030"/>
    </row>
    <row r="4280" spans="2:9">
      <c r="B4280" s="3192" t="s">
        <v>678</v>
      </c>
      <c r="C4280" s="3063"/>
      <c r="D4280" s="3064"/>
      <c r="E4280" s="3064"/>
      <c r="F4280" s="3064"/>
      <c r="G4280" s="3301" t="s">
        <v>678</v>
      </c>
      <c r="H4280" s="3063"/>
      <c r="I4280" s="3030"/>
    </row>
    <row r="4281" spans="2:9">
      <c r="B4281" s="3192" t="s">
        <v>679</v>
      </c>
      <c r="C4281" s="3063"/>
      <c r="D4281" s="3064"/>
      <c r="E4281" s="3064"/>
      <c r="F4281" s="3064"/>
      <c r="G4281" s="3301" t="s">
        <v>679</v>
      </c>
      <c r="H4281" s="3063"/>
      <c r="I4281" s="3030"/>
    </row>
    <row r="4282" spans="2:9" ht="25.5">
      <c r="B4282" s="3192" t="s">
        <v>720</v>
      </c>
      <c r="C4282" s="3063"/>
      <c r="D4282" s="3064"/>
      <c r="E4282" s="3064"/>
      <c r="F4282" s="3064"/>
      <c r="G4282" s="3301" t="s">
        <v>720</v>
      </c>
      <c r="H4282" s="3063"/>
      <c r="I4282" s="3030"/>
    </row>
    <row r="4283" spans="2:9" ht="38.25">
      <c r="B4283" s="3299" t="s">
        <v>681</v>
      </c>
      <c r="C4283" s="3063"/>
      <c r="D4283" s="3064"/>
      <c r="E4283" s="3064"/>
      <c r="F4283" s="3064"/>
      <c r="G4283" s="3300" t="s">
        <v>681</v>
      </c>
      <c r="H4283" s="3063">
        <v>4.4300687074122748E-2</v>
      </c>
      <c r="I4283" s="3030"/>
    </row>
    <row r="4284" spans="2:9" ht="25.5">
      <c r="B4284" s="3192" t="s">
        <v>675</v>
      </c>
      <c r="C4284" s="3063">
        <v>1</v>
      </c>
      <c r="D4284" s="3064"/>
      <c r="E4284" s="3064"/>
      <c r="F4284" s="3064"/>
      <c r="G4284" s="3301" t="s">
        <v>675</v>
      </c>
      <c r="H4284" s="3063"/>
      <c r="I4284" s="3030"/>
    </row>
    <row r="4285" spans="2:9" ht="25.5">
      <c r="B4285" s="3192" t="s">
        <v>676</v>
      </c>
      <c r="C4285" s="3063"/>
      <c r="D4285" s="3064"/>
      <c r="E4285" s="3064"/>
      <c r="F4285" s="3064"/>
      <c r="G4285" s="3301" t="s">
        <v>676</v>
      </c>
      <c r="H4285" s="3063"/>
      <c r="I4285" s="3030"/>
    </row>
    <row r="4286" spans="2:9">
      <c r="B4286" s="3192" t="s">
        <v>677</v>
      </c>
      <c r="C4286" s="3063"/>
      <c r="D4286" s="3064"/>
      <c r="E4286" s="3064"/>
      <c r="F4286" s="3064"/>
      <c r="G4286" s="3301" t="s">
        <v>677</v>
      </c>
      <c r="H4286" s="3063"/>
      <c r="I4286" s="3030"/>
    </row>
    <row r="4287" spans="2:9">
      <c r="B4287" s="3192" t="s">
        <v>678</v>
      </c>
      <c r="C4287" s="3063"/>
      <c r="D4287" s="3064"/>
      <c r="E4287" s="3064"/>
      <c r="F4287" s="3064"/>
      <c r="G4287" s="3301" t="s">
        <v>678</v>
      </c>
      <c r="H4287" s="3063"/>
      <c r="I4287" s="3030"/>
    </row>
    <row r="4288" spans="2:9">
      <c r="B4288" s="3192" t="s">
        <v>679</v>
      </c>
      <c r="C4288" s="3063"/>
      <c r="D4288" s="3064"/>
      <c r="E4288" s="3064"/>
      <c r="F4288" s="3064"/>
      <c r="G4288" s="3301" t="s">
        <v>679</v>
      </c>
      <c r="H4288" s="3063"/>
      <c r="I4288" s="3030"/>
    </row>
    <row r="4289" spans="2:9" ht="25.5">
      <c r="B4289" s="3192" t="s">
        <v>720</v>
      </c>
      <c r="C4289" s="3063"/>
      <c r="D4289" s="3064"/>
      <c r="E4289" s="3064"/>
      <c r="F4289" s="3064"/>
      <c r="G4289" s="3301" t="s">
        <v>720</v>
      </c>
      <c r="H4289" s="3063"/>
      <c r="I4289" s="3030"/>
    </row>
    <row r="4290" spans="2:9" ht="25.5">
      <c r="B4290" s="3299" t="s">
        <v>682</v>
      </c>
      <c r="C4290" s="3063"/>
      <c r="D4290" s="3064"/>
      <c r="E4290" s="3064"/>
      <c r="F4290" s="3064"/>
      <c r="G4290" s="3300" t="s">
        <v>682</v>
      </c>
      <c r="H4290" s="3063"/>
      <c r="I4290" s="3030"/>
    </row>
    <row r="4291" spans="2:9" ht="25.5">
      <c r="B4291" s="3192" t="s">
        <v>675</v>
      </c>
      <c r="C4291" s="3063"/>
      <c r="D4291" s="3064"/>
      <c r="E4291" s="3064"/>
      <c r="F4291" s="3064"/>
      <c r="G4291" s="3301" t="s">
        <v>675</v>
      </c>
      <c r="H4291" s="3063"/>
      <c r="I4291" s="3030"/>
    </row>
    <row r="4292" spans="2:9" ht="25.5">
      <c r="B4292" s="3192" t="s">
        <v>676</v>
      </c>
      <c r="C4292" s="3063"/>
      <c r="D4292" s="3064"/>
      <c r="E4292" s="3064"/>
      <c r="F4292" s="3064"/>
      <c r="G4292" s="3301" t="s">
        <v>676</v>
      </c>
      <c r="H4292" s="3063"/>
      <c r="I4292" s="3030"/>
    </row>
    <row r="4293" spans="2:9">
      <c r="B4293" s="3192" t="s">
        <v>677</v>
      </c>
      <c r="C4293" s="3063"/>
      <c r="D4293" s="3064"/>
      <c r="E4293" s="3064"/>
      <c r="F4293" s="3064"/>
      <c r="G4293" s="3301" t="s">
        <v>677</v>
      </c>
      <c r="H4293" s="3063"/>
      <c r="I4293" s="3030"/>
    </row>
    <row r="4294" spans="2:9">
      <c r="B4294" s="3192" t="s">
        <v>678</v>
      </c>
      <c r="C4294" s="3063"/>
      <c r="D4294" s="3064"/>
      <c r="E4294" s="3064"/>
      <c r="F4294" s="3064"/>
      <c r="G4294" s="3301" t="s">
        <v>678</v>
      </c>
      <c r="H4294" s="3063"/>
      <c r="I4294" s="3030"/>
    </row>
    <row r="4295" spans="2:9">
      <c r="B4295" s="3192" t="s">
        <v>679</v>
      </c>
      <c r="C4295" s="3063"/>
      <c r="D4295" s="3064"/>
      <c r="E4295" s="3064"/>
      <c r="F4295" s="3064"/>
      <c r="G4295" s="3301" t="s">
        <v>679</v>
      </c>
      <c r="H4295" s="3063"/>
      <c r="I4295" s="3030"/>
    </row>
    <row r="4296" spans="2:9" ht="25.5">
      <c r="B4296" s="3192" t="s">
        <v>720</v>
      </c>
      <c r="C4296" s="3063"/>
      <c r="D4296" s="3064"/>
      <c r="E4296" s="3064"/>
      <c r="F4296" s="3064"/>
      <c r="G4296" s="3301" t="s">
        <v>720</v>
      </c>
      <c r="H4296" s="3063"/>
      <c r="I4296" s="3030"/>
    </row>
    <row r="4297" spans="2:9" ht="25.5">
      <c r="B4297" s="3299" t="s">
        <v>66</v>
      </c>
      <c r="C4297" s="3063"/>
      <c r="D4297" s="3064"/>
      <c r="E4297" s="3064"/>
      <c r="F4297" s="3064">
        <v>2</v>
      </c>
      <c r="G4297" s="3300" t="s">
        <v>66</v>
      </c>
      <c r="H4297" s="3063">
        <v>0.27296393337658054</v>
      </c>
      <c r="I4297" s="3030"/>
    </row>
    <row r="4298" spans="2:9" ht="25.5">
      <c r="B4298" s="3192" t="s">
        <v>675</v>
      </c>
      <c r="C4298" s="3063">
        <v>31</v>
      </c>
      <c r="D4298" s="3064">
        <v>17</v>
      </c>
      <c r="E4298" s="3064"/>
      <c r="F4298" s="3064"/>
      <c r="G4298" s="3301" t="s">
        <v>675</v>
      </c>
      <c r="H4298" s="3063"/>
      <c r="I4298" s="3030">
        <v>0.60658651861462343</v>
      </c>
    </row>
    <row r="4299" spans="2:9" ht="25.5">
      <c r="B4299" s="3192" t="s">
        <v>676</v>
      </c>
      <c r="C4299" s="3063"/>
      <c r="D4299" s="3064"/>
      <c r="E4299" s="3064"/>
      <c r="F4299" s="3064"/>
      <c r="G4299" s="3301" t="s">
        <v>676</v>
      </c>
      <c r="H4299" s="3063"/>
      <c r="I4299" s="3030"/>
    </row>
    <row r="4300" spans="2:9">
      <c r="B4300" s="3192" t="s">
        <v>677</v>
      </c>
      <c r="C4300" s="3063"/>
      <c r="D4300" s="3064"/>
      <c r="E4300" s="3064"/>
      <c r="F4300" s="3064"/>
      <c r="G4300" s="3301" t="s">
        <v>677</v>
      </c>
      <c r="H4300" s="3063"/>
      <c r="I4300" s="3030"/>
    </row>
    <row r="4301" spans="2:9">
      <c r="B4301" s="3192" t="s">
        <v>678</v>
      </c>
      <c r="C4301" s="3063">
        <v>1</v>
      </c>
      <c r="D4301" s="3064">
        <v>3</v>
      </c>
      <c r="E4301" s="3064"/>
      <c r="F4301" s="3064"/>
      <c r="G4301" s="3301" t="s">
        <v>678</v>
      </c>
      <c r="H4301" s="3063"/>
      <c r="I4301" s="3030"/>
    </row>
    <row r="4302" spans="2:9">
      <c r="B4302" s="3192" t="s">
        <v>679</v>
      </c>
      <c r="C4302" s="3063"/>
      <c r="D4302" s="3064"/>
      <c r="E4302" s="3064"/>
      <c r="F4302" s="3064"/>
      <c r="G4302" s="3301" t="s">
        <v>679</v>
      </c>
      <c r="H4302" s="3063"/>
      <c r="I4302" s="3030"/>
    </row>
    <row r="4303" spans="2:9" ht="25.5">
      <c r="B4303" s="3192" t="s">
        <v>720</v>
      </c>
      <c r="C4303" s="3063"/>
      <c r="D4303" s="3064"/>
      <c r="E4303" s="3064"/>
      <c r="F4303" s="3064"/>
      <c r="G4303" s="3301" t="s">
        <v>720</v>
      </c>
      <c r="H4303" s="3063"/>
      <c r="I4303" s="3030"/>
    </row>
    <row r="4304" spans="2:9">
      <c r="B4304" s="3299" t="s">
        <v>67</v>
      </c>
      <c r="C4304" s="3063"/>
      <c r="D4304" s="3064"/>
      <c r="E4304" s="3064"/>
      <c r="F4304" s="3064"/>
      <c r="G4304" s="3300" t="s">
        <v>67</v>
      </c>
      <c r="H4304" s="3063">
        <v>8.6585084276148735E-2</v>
      </c>
      <c r="I4304" s="3030"/>
    </row>
    <row r="4305" spans="2:9" ht="25.5">
      <c r="B4305" s="3192" t="s">
        <v>675</v>
      </c>
      <c r="C4305" s="3063">
        <v>3</v>
      </c>
      <c r="D4305" s="3064">
        <v>5</v>
      </c>
      <c r="E4305" s="3064"/>
      <c r="F4305" s="3064"/>
      <c r="G4305" s="3301" t="s">
        <v>675</v>
      </c>
      <c r="H4305" s="3063"/>
      <c r="I4305" s="3030">
        <v>0.11544677903486499</v>
      </c>
    </row>
    <row r="4306" spans="2:9" ht="25.5">
      <c r="B4306" s="3192" t="s">
        <v>676</v>
      </c>
      <c r="C4306" s="3063"/>
      <c r="D4306" s="3064"/>
      <c r="E4306" s="3064"/>
      <c r="F4306" s="3064"/>
      <c r="G4306" s="3301" t="s">
        <v>676</v>
      </c>
      <c r="H4306" s="3063"/>
      <c r="I4306" s="3030"/>
    </row>
    <row r="4307" spans="2:9">
      <c r="B4307" s="3192" t="s">
        <v>677</v>
      </c>
      <c r="C4307" s="3063"/>
      <c r="D4307" s="3064"/>
      <c r="E4307" s="3064"/>
      <c r="F4307" s="3064"/>
      <c r="G4307" s="3301" t="s">
        <v>677</v>
      </c>
      <c r="H4307" s="3063"/>
      <c r="I4307" s="3030"/>
    </row>
    <row r="4308" spans="2:9">
      <c r="B4308" s="3192" t="s">
        <v>678</v>
      </c>
      <c r="C4308" s="3063">
        <v>1</v>
      </c>
      <c r="D4308" s="3064"/>
      <c r="E4308" s="3064"/>
      <c r="F4308" s="3064"/>
      <c r="G4308" s="3301" t="s">
        <v>678</v>
      </c>
      <c r="H4308" s="3063"/>
      <c r="I4308" s="3030"/>
    </row>
    <row r="4309" spans="2:9">
      <c r="B4309" s="3192" t="s">
        <v>679</v>
      </c>
      <c r="C4309" s="3063"/>
      <c r="D4309" s="3064"/>
      <c r="E4309" s="3064"/>
      <c r="F4309" s="3064"/>
      <c r="G4309" s="3301" t="s">
        <v>679</v>
      </c>
      <c r="H4309" s="3063"/>
      <c r="I4309" s="3030"/>
    </row>
    <row r="4310" spans="2:9" ht="25.5">
      <c r="B4310" s="3230" t="s">
        <v>81</v>
      </c>
      <c r="C4310" s="3063"/>
      <c r="D4310" s="3064"/>
      <c r="E4310" s="3064"/>
      <c r="F4310" s="3064"/>
      <c r="G4310" s="3302" t="s">
        <v>81</v>
      </c>
      <c r="H4310" s="3063"/>
      <c r="I4310" s="3030"/>
    </row>
    <row r="4311" spans="2:9" ht="26.25" thickBot="1">
      <c r="B4311" s="3303" t="s">
        <v>81</v>
      </c>
      <c r="C4311" s="3063"/>
      <c r="D4311" s="3064"/>
      <c r="E4311" s="3064"/>
      <c r="F4311" s="3064"/>
      <c r="G4311" s="3302" t="s">
        <v>81</v>
      </c>
      <c r="H4311" s="3063"/>
      <c r="I4311" s="3030"/>
    </row>
    <row r="4312" spans="2:9">
      <c r="B4312" s="3217" t="s">
        <v>697</v>
      </c>
      <c r="C4312" s="3218"/>
      <c r="D4312" s="3219"/>
      <c r="E4312" s="3219"/>
      <c r="F4312" s="3219"/>
      <c r="G4312" s="3217" t="s">
        <v>697</v>
      </c>
      <c r="H4312" s="3297"/>
      <c r="I4312" s="3298"/>
    </row>
    <row r="4313" spans="2:9">
      <c r="B4313" s="3299" t="s">
        <v>64</v>
      </c>
      <c r="C4313" s="3063"/>
      <c r="D4313" s="3064"/>
      <c r="E4313" s="3064"/>
      <c r="F4313" s="3064"/>
      <c r="G4313" s="3300" t="s">
        <v>64</v>
      </c>
      <c r="H4313" s="3063"/>
      <c r="I4313" s="3030"/>
    </row>
    <row r="4314" spans="2:9" ht="25.5">
      <c r="B4314" s="3192" t="s">
        <v>675</v>
      </c>
      <c r="C4314" s="3063"/>
      <c r="D4314" s="3064"/>
      <c r="E4314" s="3064"/>
      <c r="F4314" s="3064"/>
      <c r="G4314" s="3301" t="s">
        <v>675</v>
      </c>
      <c r="H4314" s="3063"/>
      <c r="I4314" s="3030"/>
    </row>
    <row r="4315" spans="2:9" ht="25.5">
      <c r="B4315" s="3192" t="s">
        <v>676</v>
      </c>
      <c r="C4315" s="3063"/>
      <c r="D4315" s="3064"/>
      <c r="E4315" s="3064"/>
      <c r="F4315" s="3064"/>
      <c r="G4315" s="3301" t="s">
        <v>676</v>
      </c>
      <c r="H4315" s="3063"/>
      <c r="I4315" s="3030"/>
    </row>
    <row r="4316" spans="2:9">
      <c r="B4316" s="3192" t="s">
        <v>677</v>
      </c>
      <c r="C4316" s="3063"/>
      <c r="D4316" s="3064"/>
      <c r="E4316" s="3064"/>
      <c r="F4316" s="3064"/>
      <c r="G4316" s="3301" t="s">
        <v>677</v>
      </c>
      <c r="H4316" s="3063"/>
      <c r="I4316" s="3030"/>
    </row>
    <row r="4317" spans="2:9">
      <c r="B4317" s="3192" t="s">
        <v>678</v>
      </c>
      <c r="C4317" s="3063"/>
      <c r="D4317" s="3064"/>
      <c r="E4317" s="3064"/>
      <c r="F4317" s="3064"/>
      <c r="G4317" s="3301" t="s">
        <v>678</v>
      </c>
      <c r="H4317" s="3063"/>
      <c r="I4317" s="3030"/>
    </row>
    <row r="4318" spans="2:9">
      <c r="B4318" s="3192" t="s">
        <v>679</v>
      </c>
      <c r="C4318" s="3063"/>
      <c r="D4318" s="3064"/>
      <c r="E4318" s="3064"/>
      <c r="F4318" s="3064"/>
      <c r="G4318" s="3301" t="s">
        <v>679</v>
      </c>
      <c r="H4318" s="3063"/>
      <c r="I4318" s="3030"/>
    </row>
    <row r="4319" spans="2:9" ht="25.5">
      <c r="B4319" s="3192" t="s">
        <v>720</v>
      </c>
      <c r="C4319" s="3063"/>
      <c r="D4319" s="3064"/>
      <c r="E4319" s="3064"/>
      <c r="F4319" s="3064"/>
      <c r="G4319" s="3301" t="s">
        <v>720</v>
      </c>
      <c r="H4319" s="3063"/>
      <c r="I4319" s="3030"/>
    </row>
    <row r="4320" spans="2:9">
      <c r="B4320" s="3299" t="s">
        <v>65</v>
      </c>
      <c r="C4320" s="3063"/>
      <c r="D4320" s="3064"/>
      <c r="E4320" s="3064"/>
      <c r="F4320" s="3064"/>
      <c r="G4320" s="3300" t="s">
        <v>65</v>
      </c>
      <c r="H4320" s="3063"/>
      <c r="I4320" s="3030"/>
    </row>
    <row r="4321" spans="2:9" ht="25.5">
      <c r="B4321" s="3192" t="s">
        <v>675</v>
      </c>
      <c r="C4321" s="3063"/>
      <c r="D4321" s="3064"/>
      <c r="E4321" s="3064"/>
      <c r="F4321" s="3064"/>
      <c r="G4321" s="3301" t="s">
        <v>675</v>
      </c>
      <c r="H4321" s="3063"/>
      <c r="I4321" s="3030"/>
    </row>
    <row r="4322" spans="2:9" ht="25.5">
      <c r="B4322" s="3192" t="s">
        <v>676</v>
      </c>
      <c r="C4322" s="3063"/>
      <c r="D4322" s="3064"/>
      <c r="E4322" s="3064"/>
      <c r="F4322" s="3064"/>
      <c r="G4322" s="3301" t="s">
        <v>676</v>
      </c>
      <c r="H4322" s="3063"/>
      <c r="I4322" s="3030"/>
    </row>
    <row r="4323" spans="2:9">
      <c r="B4323" s="3192" t="s">
        <v>677</v>
      </c>
      <c r="C4323" s="3063"/>
      <c r="D4323" s="3064"/>
      <c r="E4323" s="3064"/>
      <c r="F4323" s="3064"/>
      <c r="G4323" s="3301" t="s">
        <v>677</v>
      </c>
      <c r="H4323" s="3063"/>
      <c r="I4323" s="3030"/>
    </row>
    <row r="4324" spans="2:9">
      <c r="B4324" s="3192" t="s">
        <v>678</v>
      </c>
      <c r="C4324" s="3063"/>
      <c r="D4324" s="3064"/>
      <c r="E4324" s="3064"/>
      <c r="F4324" s="3064"/>
      <c r="G4324" s="3301" t="s">
        <v>678</v>
      </c>
      <c r="H4324" s="3063"/>
      <c r="I4324" s="3030"/>
    </row>
    <row r="4325" spans="2:9">
      <c r="B4325" s="3192" t="s">
        <v>679</v>
      </c>
      <c r="C4325" s="3063"/>
      <c r="D4325" s="3064"/>
      <c r="E4325" s="3064"/>
      <c r="F4325" s="3064"/>
      <c r="G4325" s="3301" t="s">
        <v>679</v>
      </c>
      <c r="H4325" s="3063"/>
      <c r="I4325" s="3030"/>
    </row>
    <row r="4326" spans="2:9" ht="25.5">
      <c r="B4326" s="3192" t="s">
        <v>720</v>
      </c>
      <c r="C4326" s="3063"/>
      <c r="D4326" s="3064"/>
      <c r="E4326" s="3064"/>
      <c r="F4326" s="3064"/>
      <c r="G4326" s="3301" t="s">
        <v>720</v>
      </c>
      <c r="H4326" s="3063"/>
      <c r="I4326" s="3030"/>
    </row>
    <row r="4327" spans="2:9">
      <c r="B4327" s="3299" t="s">
        <v>82</v>
      </c>
      <c r="C4327" s="3063"/>
      <c r="D4327" s="3064"/>
      <c r="E4327" s="3064"/>
      <c r="F4327" s="3064"/>
      <c r="G4327" s="3300" t="s">
        <v>82</v>
      </c>
      <c r="H4327" s="3063"/>
      <c r="I4327" s="3030"/>
    </row>
    <row r="4328" spans="2:9" ht="25.5">
      <c r="B4328" s="3192" t="s">
        <v>675</v>
      </c>
      <c r="C4328" s="3063"/>
      <c r="D4328" s="3064"/>
      <c r="E4328" s="3064"/>
      <c r="F4328" s="3064"/>
      <c r="G4328" s="3301" t="s">
        <v>675</v>
      </c>
      <c r="H4328" s="3063"/>
      <c r="I4328" s="3030"/>
    </row>
    <row r="4329" spans="2:9" ht="25.5">
      <c r="B4329" s="3192" t="s">
        <v>676</v>
      </c>
      <c r="C4329" s="3063"/>
      <c r="D4329" s="3064"/>
      <c r="E4329" s="3064"/>
      <c r="F4329" s="3064"/>
      <c r="G4329" s="3301" t="s">
        <v>676</v>
      </c>
      <c r="H4329" s="3063"/>
      <c r="I4329" s="3030"/>
    </row>
    <row r="4330" spans="2:9">
      <c r="B4330" s="3192" t="s">
        <v>677</v>
      </c>
      <c r="C4330" s="3063"/>
      <c r="D4330" s="3064"/>
      <c r="E4330" s="3064"/>
      <c r="F4330" s="3064"/>
      <c r="G4330" s="3301" t="s">
        <v>677</v>
      </c>
      <c r="H4330" s="3063"/>
      <c r="I4330" s="3030"/>
    </row>
    <row r="4331" spans="2:9">
      <c r="B4331" s="3192" t="s">
        <v>678</v>
      </c>
      <c r="C4331" s="3063"/>
      <c r="D4331" s="3064"/>
      <c r="E4331" s="3064"/>
      <c r="F4331" s="3064"/>
      <c r="G4331" s="3301" t="s">
        <v>678</v>
      </c>
      <c r="H4331" s="3063"/>
      <c r="I4331" s="3030"/>
    </row>
    <row r="4332" spans="2:9">
      <c r="B4332" s="3192" t="s">
        <v>679</v>
      </c>
      <c r="C4332" s="3063"/>
      <c r="D4332" s="3064"/>
      <c r="E4332" s="3064"/>
      <c r="F4332" s="3064"/>
      <c r="G4332" s="3301" t="s">
        <v>679</v>
      </c>
      <c r="H4332" s="3063"/>
      <c r="I4332" s="3030"/>
    </row>
    <row r="4333" spans="2:9" ht="25.5">
      <c r="B4333" s="3192" t="s">
        <v>720</v>
      </c>
      <c r="C4333" s="3063"/>
      <c r="D4333" s="3064"/>
      <c r="E4333" s="3064"/>
      <c r="F4333" s="3064"/>
      <c r="G4333" s="3301" t="s">
        <v>720</v>
      </c>
      <c r="H4333" s="3063"/>
      <c r="I4333" s="3030"/>
    </row>
    <row r="4334" spans="2:9" ht="38.25">
      <c r="B4334" s="3299" t="s">
        <v>680</v>
      </c>
      <c r="C4334" s="3063"/>
      <c r="D4334" s="3064"/>
      <c r="E4334" s="3064"/>
      <c r="F4334" s="3064"/>
      <c r="G4334" s="3300" t="s">
        <v>680</v>
      </c>
      <c r="H4334" s="3063"/>
      <c r="I4334" s="3030"/>
    </row>
    <row r="4335" spans="2:9" ht="25.5">
      <c r="B4335" s="3192" t="s">
        <v>675</v>
      </c>
      <c r="C4335" s="3063"/>
      <c r="D4335" s="3064"/>
      <c r="E4335" s="3064"/>
      <c r="F4335" s="3064"/>
      <c r="G4335" s="3301" t="s">
        <v>675</v>
      </c>
      <c r="H4335" s="3063"/>
      <c r="I4335" s="3030"/>
    </row>
    <row r="4336" spans="2:9" ht="25.5">
      <c r="B4336" s="3192" t="s">
        <v>676</v>
      </c>
      <c r="C4336" s="3063"/>
      <c r="D4336" s="3064"/>
      <c r="E4336" s="3064"/>
      <c r="F4336" s="3064"/>
      <c r="G4336" s="3301" t="s">
        <v>676</v>
      </c>
      <c r="H4336" s="3063"/>
      <c r="I4336" s="3030"/>
    </row>
    <row r="4337" spans="2:9">
      <c r="B4337" s="3192" t="s">
        <v>677</v>
      </c>
      <c r="C4337" s="3063"/>
      <c r="D4337" s="3064"/>
      <c r="E4337" s="3064"/>
      <c r="F4337" s="3064"/>
      <c r="G4337" s="3301" t="s">
        <v>677</v>
      </c>
      <c r="H4337" s="3063"/>
      <c r="I4337" s="3030"/>
    </row>
    <row r="4338" spans="2:9">
      <c r="B4338" s="3192" t="s">
        <v>678</v>
      </c>
      <c r="C4338" s="3063"/>
      <c r="D4338" s="3064"/>
      <c r="E4338" s="3064"/>
      <c r="F4338" s="3064"/>
      <c r="G4338" s="3301" t="s">
        <v>678</v>
      </c>
      <c r="H4338" s="3063"/>
      <c r="I4338" s="3030"/>
    </row>
    <row r="4339" spans="2:9">
      <c r="B4339" s="3192" t="s">
        <v>679</v>
      </c>
      <c r="C4339" s="3063"/>
      <c r="D4339" s="3064"/>
      <c r="E4339" s="3064"/>
      <c r="F4339" s="3064"/>
      <c r="G4339" s="3301" t="s">
        <v>679</v>
      </c>
      <c r="H4339" s="3063"/>
      <c r="I4339" s="3030"/>
    </row>
    <row r="4340" spans="2:9" ht="25.5">
      <c r="B4340" s="3192" t="s">
        <v>720</v>
      </c>
      <c r="C4340" s="3063"/>
      <c r="D4340" s="3064"/>
      <c r="E4340" s="3064"/>
      <c r="F4340" s="3064"/>
      <c r="G4340" s="3301" t="s">
        <v>720</v>
      </c>
      <c r="H4340" s="3063"/>
      <c r="I4340" s="3030"/>
    </row>
    <row r="4341" spans="2:9" ht="38.25">
      <c r="B4341" s="3299" t="s">
        <v>681</v>
      </c>
      <c r="C4341" s="3063"/>
      <c r="D4341" s="3064"/>
      <c r="E4341" s="3064"/>
      <c r="F4341" s="3064">
        <v>1</v>
      </c>
      <c r="G4341" s="3300" t="s">
        <v>681</v>
      </c>
      <c r="H4341" s="3063">
        <v>0.11813516553099399</v>
      </c>
      <c r="I4341" s="3030"/>
    </row>
    <row r="4342" spans="2:9" ht="25.5">
      <c r="B4342" s="3192" t="s">
        <v>675</v>
      </c>
      <c r="C4342" s="3063">
        <v>5</v>
      </c>
      <c r="D4342" s="3064">
        <v>2</v>
      </c>
      <c r="E4342" s="3064"/>
      <c r="F4342" s="3064"/>
      <c r="G4342" s="3301" t="s">
        <v>675</v>
      </c>
      <c r="H4342" s="3063"/>
      <c r="I4342" s="3030"/>
    </row>
    <row r="4343" spans="2:9" ht="25.5">
      <c r="B4343" s="3192" t="s">
        <v>676</v>
      </c>
      <c r="C4343" s="3063"/>
      <c r="D4343" s="3064"/>
      <c r="E4343" s="3064"/>
      <c r="F4343" s="3064"/>
      <c r="G4343" s="3301" t="s">
        <v>676</v>
      </c>
      <c r="H4343" s="3063"/>
      <c r="I4343" s="3030"/>
    </row>
    <row r="4344" spans="2:9">
      <c r="B4344" s="3192" t="s">
        <v>677</v>
      </c>
      <c r="C4344" s="3063"/>
      <c r="D4344" s="3064"/>
      <c r="E4344" s="3064"/>
      <c r="F4344" s="3064"/>
      <c r="G4344" s="3301" t="s">
        <v>677</v>
      </c>
      <c r="H4344" s="3063"/>
      <c r="I4344" s="3030"/>
    </row>
    <row r="4345" spans="2:9">
      <c r="B4345" s="3192" t="s">
        <v>678</v>
      </c>
      <c r="C4345" s="3063"/>
      <c r="D4345" s="3064"/>
      <c r="E4345" s="3064"/>
      <c r="F4345" s="3064"/>
      <c r="G4345" s="3301" t="s">
        <v>678</v>
      </c>
      <c r="H4345" s="3063"/>
      <c r="I4345" s="3030"/>
    </row>
    <row r="4346" spans="2:9">
      <c r="B4346" s="3192" t="s">
        <v>679</v>
      </c>
      <c r="C4346" s="3063"/>
      <c r="D4346" s="3064"/>
      <c r="E4346" s="3064"/>
      <c r="F4346" s="3064"/>
      <c r="G4346" s="3301" t="s">
        <v>679</v>
      </c>
      <c r="H4346" s="3063"/>
      <c r="I4346" s="3030"/>
    </row>
    <row r="4347" spans="2:9" ht="25.5">
      <c r="B4347" s="3192" t="s">
        <v>720</v>
      </c>
      <c r="C4347" s="3063"/>
      <c r="D4347" s="3064"/>
      <c r="E4347" s="3064"/>
      <c r="F4347" s="3064"/>
      <c r="G4347" s="3301" t="s">
        <v>720</v>
      </c>
      <c r="H4347" s="3063"/>
      <c r="I4347" s="3030"/>
    </row>
    <row r="4348" spans="2:9" ht="25.5">
      <c r="B4348" s="3299" t="s">
        <v>682</v>
      </c>
      <c r="C4348" s="3063"/>
      <c r="D4348" s="3064"/>
      <c r="E4348" s="3064"/>
      <c r="F4348" s="3064"/>
      <c r="G4348" s="3300" t="s">
        <v>682</v>
      </c>
      <c r="H4348" s="3063"/>
      <c r="I4348" s="3030"/>
    </row>
    <row r="4349" spans="2:9" ht="25.5">
      <c r="B4349" s="3192" t="s">
        <v>675</v>
      </c>
      <c r="C4349" s="3063"/>
      <c r="D4349" s="3064"/>
      <c r="E4349" s="3064"/>
      <c r="F4349" s="3064"/>
      <c r="G4349" s="3301" t="s">
        <v>675</v>
      </c>
      <c r="H4349" s="3063"/>
      <c r="I4349" s="3030"/>
    </row>
    <row r="4350" spans="2:9" ht="25.5">
      <c r="B4350" s="3192" t="s">
        <v>676</v>
      </c>
      <c r="C4350" s="3063"/>
      <c r="D4350" s="3064"/>
      <c r="E4350" s="3064"/>
      <c r="F4350" s="3064"/>
      <c r="G4350" s="3301" t="s">
        <v>676</v>
      </c>
      <c r="H4350" s="3063"/>
      <c r="I4350" s="3030"/>
    </row>
    <row r="4351" spans="2:9">
      <c r="B4351" s="3192" t="s">
        <v>677</v>
      </c>
      <c r="C4351" s="3063"/>
      <c r="D4351" s="3064"/>
      <c r="E4351" s="3064"/>
      <c r="F4351" s="3064"/>
      <c r="G4351" s="3301" t="s">
        <v>677</v>
      </c>
      <c r="H4351" s="3063"/>
      <c r="I4351" s="3030"/>
    </row>
    <row r="4352" spans="2:9">
      <c r="B4352" s="3192" t="s">
        <v>678</v>
      </c>
      <c r="C4352" s="3063"/>
      <c r="D4352" s="3064"/>
      <c r="E4352" s="3064"/>
      <c r="F4352" s="3064"/>
      <c r="G4352" s="3301" t="s">
        <v>678</v>
      </c>
      <c r="H4352" s="3063"/>
      <c r="I4352" s="3030"/>
    </row>
    <row r="4353" spans="2:9">
      <c r="B4353" s="3192" t="s">
        <v>679</v>
      </c>
      <c r="C4353" s="3063"/>
      <c r="D4353" s="3064"/>
      <c r="E4353" s="3064"/>
      <c r="F4353" s="3064"/>
      <c r="G4353" s="3301" t="s">
        <v>679</v>
      </c>
      <c r="H4353" s="3063"/>
      <c r="I4353" s="3030"/>
    </row>
    <row r="4354" spans="2:9" ht="25.5">
      <c r="B4354" s="3192" t="s">
        <v>720</v>
      </c>
      <c r="C4354" s="3063"/>
      <c r="D4354" s="3064"/>
      <c r="E4354" s="3064"/>
      <c r="F4354" s="3064"/>
      <c r="G4354" s="3301" t="s">
        <v>720</v>
      </c>
      <c r="H4354" s="3063"/>
      <c r="I4354" s="3030"/>
    </row>
    <row r="4355" spans="2:9" ht="25.5">
      <c r="B4355" s="3299" t="s">
        <v>66</v>
      </c>
      <c r="C4355" s="3063"/>
      <c r="D4355" s="3064"/>
      <c r="E4355" s="3064"/>
      <c r="F4355" s="3064"/>
      <c r="G4355" s="3300" t="s">
        <v>66</v>
      </c>
      <c r="H4355" s="3063"/>
      <c r="I4355" s="3030"/>
    </row>
    <row r="4356" spans="2:9" ht="25.5">
      <c r="B4356" s="3192" t="s">
        <v>675</v>
      </c>
      <c r="C4356" s="3063"/>
      <c r="D4356" s="3064"/>
      <c r="E4356" s="3064"/>
      <c r="F4356" s="3064"/>
      <c r="G4356" s="3301" t="s">
        <v>675</v>
      </c>
      <c r="H4356" s="3063"/>
      <c r="I4356" s="3030"/>
    </row>
    <row r="4357" spans="2:9" ht="25.5">
      <c r="B4357" s="3192" t="s">
        <v>676</v>
      </c>
      <c r="C4357" s="3063"/>
      <c r="D4357" s="3064"/>
      <c r="E4357" s="3064"/>
      <c r="F4357" s="3064"/>
      <c r="G4357" s="3301" t="s">
        <v>676</v>
      </c>
      <c r="H4357" s="3063"/>
      <c r="I4357" s="3030"/>
    </row>
    <row r="4358" spans="2:9">
      <c r="B4358" s="3192" t="s">
        <v>677</v>
      </c>
      <c r="C4358" s="3063"/>
      <c r="D4358" s="3064"/>
      <c r="E4358" s="3064"/>
      <c r="F4358" s="3064"/>
      <c r="G4358" s="3301" t="s">
        <v>677</v>
      </c>
      <c r="H4358" s="3063"/>
      <c r="I4358" s="3030"/>
    </row>
    <row r="4359" spans="2:9">
      <c r="B4359" s="3192" t="s">
        <v>678</v>
      </c>
      <c r="C4359" s="3063"/>
      <c r="D4359" s="3064"/>
      <c r="E4359" s="3064"/>
      <c r="F4359" s="3064"/>
      <c r="G4359" s="3301" t="s">
        <v>678</v>
      </c>
      <c r="H4359" s="3063"/>
      <c r="I4359" s="3030"/>
    </row>
    <row r="4360" spans="2:9">
      <c r="B4360" s="3192" t="s">
        <v>679</v>
      </c>
      <c r="C4360" s="3063"/>
      <c r="D4360" s="3064"/>
      <c r="E4360" s="3064"/>
      <c r="F4360" s="3064"/>
      <c r="G4360" s="3301" t="s">
        <v>679</v>
      </c>
      <c r="H4360" s="3063"/>
      <c r="I4360" s="3030"/>
    </row>
    <row r="4361" spans="2:9" ht="25.5">
      <c r="B4361" s="3192" t="s">
        <v>720</v>
      </c>
      <c r="C4361" s="3063"/>
      <c r="D4361" s="3064"/>
      <c r="E4361" s="3064"/>
      <c r="F4361" s="3064"/>
      <c r="G4361" s="3301" t="s">
        <v>720</v>
      </c>
      <c r="H4361" s="3063"/>
      <c r="I4361" s="3030"/>
    </row>
    <row r="4362" spans="2:9">
      <c r="B4362" s="3299" t="s">
        <v>67</v>
      </c>
      <c r="C4362" s="3063"/>
      <c r="D4362" s="3064"/>
      <c r="E4362" s="3064"/>
      <c r="F4362" s="3064">
        <v>1</v>
      </c>
      <c r="G4362" s="3300" t="s">
        <v>67</v>
      </c>
      <c r="H4362" s="3063"/>
      <c r="I4362" s="3030"/>
    </row>
    <row r="4363" spans="2:9" ht="25.5">
      <c r="B4363" s="3192" t="s">
        <v>675</v>
      </c>
      <c r="C4363" s="3063"/>
      <c r="D4363" s="3064"/>
      <c r="E4363" s="3064"/>
      <c r="F4363" s="3064"/>
      <c r="G4363" s="3301" t="s">
        <v>675</v>
      </c>
      <c r="H4363" s="3063"/>
      <c r="I4363" s="3030"/>
    </row>
    <row r="4364" spans="2:9" ht="25.5">
      <c r="B4364" s="3192" t="s">
        <v>676</v>
      </c>
      <c r="C4364" s="3063"/>
      <c r="D4364" s="3064"/>
      <c r="E4364" s="3064"/>
      <c r="F4364" s="3064"/>
      <c r="G4364" s="3301" t="s">
        <v>676</v>
      </c>
      <c r="H4364" s="3063"/>
      <c r="I4364" s="3030"/>
    </row>
    <row r="4365" spans="2:9">
      <c r="B4365" s="3192" t="s">
        <v>677</v>
      </c>
      <c r="C4365" s="3063"/>
      <c r="D4365" s="3064"/>
      <c r="E4365" s="3064"/>
      <c r="F4365" s="3064"/>
      <c r="G4365" s="3301" t="s">
        <v>677</v>
      </c>
      <c r="H4365" s="3063"/>
      <c r="I4365" s="3030"/>
    </row>
    <row r="4366" spans="2:9">
      <c r="B4366" s="3192" t="s">
        <v>678</v>
      </c>
      <c r="C4366" s="3063"/>
      <c r="D4366" s="3064"/>
      <c r="E4366" s="3064"/>
      <c r="F4366" s="3064"/>
      <c r="G4366" s="3301" t="s">
        <v>678</v>
      </c>
      <c r="H4366" s="3063"/>
      <c r="I4366" s="3030"/>
    </row>
    <row r="4367" spans="2:9">
      <c r="B4367" s="3192" t="s">
        <v>679</v>
      </c>
      <c r="C4367" s="3063"/>
      <c r="D4367" s="3064"/>
      <c r="E4367" s="3064"/>
      <c r="F4367" s="3064"/>
      <c r="G4367" s="3301" t="s">
        <v>679</v>
      </c>
      <c r="H4367" s="3063"/>
      <c r="I4367" s="3030"/>
    </row>
    <row r="4368" spans="2:9" ht="25.5">
      <c r="B4368" s="3230" t="s">
        <v>81</v>
      </c>
      <c r="C4368" s="3063"/>
      <c r="D4368" s="3064"/>
      <c r="E4368" s="3064"/>
      <c r="F4368" s="3064"/>
      <c r="G4368" s="3302" t="s">
        <v>81</v>
      </c>
      <c r="H4368" s="3063"/>
      <c r="I4368" s="3030"/>
    </row>
    <row r="4369" spans="2:9" ht="26.25" thickBot="1">
      <c r="B4369" s="3303" t="s">
        <v>81</v>
      </c>
      <c r="C4369" s="3068"/>
      <c r="D4369" s="3069"/>
      <c r="E4369" s="3069"/>
      <c r="F4369" s="3069"/>
      <c r="G4369" s="3304" t="s">
        <v>81</v>
      </c>
      <c r="H4369" s="3068"/>
      <c r="I4369" s="3070"/>
    </row>
    <row r="4370" spans="2:9" ht="38.25">
      <c r="B4370" s="4723">
        <v>3028</v>
      </c>
      <c r="C4370" s="3289"/>
      <c r="D4370" s="3290"/>
      <c r="E4370" s="3290"/>
      <c r="F4370" s="3290"/>
      <c r="G4370" s="4723">
        <v>3028</v>
      </c>
      <c r="H4370" s="3291" t="s">
        <v>687</v>
      </c>
      <c r="I4370" s="3292" t="s">
        <v>688</v>
      </c>
    </row>
    <row r="4371" spans="2:9">
      <c r="B4371" s="4724"/>
      <c r="C4371" s="4678" t="s">
        <v>686</v>
      </c>
      <c r="D4371" s="4725"/>
      <c r="E4371" s="4725"/>
      <c r="F4371" s="4726"/>
      <c r="G4371" s="4724"/>
      <c r="H4371" s="3293"/>
      <c r="I4371" s="3294"/>
    </row>
    <row r="4372" spans="2:9" ht="13.5" thickBot="1">
      <c r="B4372" s="4724"/>
      <c r="C4372" s="3215">
        <v>2013</v>
      </c>
      <c r="D4372" s="3215">
        <v>2014</v>
      </c>
      <c r="E4372" s="3215">
        <v>2015</v>
      </c>
      <c r="F4372" s="3215">
        <v>2016</v>
      </c>
      <c r="G4372" s="4724"/>
      <c r="H4372" s="3295" t="s">
        <v>390</v>
      </c>
      <c r="I4372" s="3296" t="s">
        <v>390</v>
      </c>
    </row>
    <row r="4373" spans="2:9">
      <c r="B4373" s="3217" t="s">
        <v>695</v>
      </c>
      <c r="C4373" s="3218"/>
      <c r="D4373" s="3219"/>
      <c r="E4373" s="3219"/>
      <c r="F4373" s="3219"/>
      <c r="G4373" s="3217" t="s">
        <v>695</v>
      </c>
      <c r="H4373" s="3297"/>
      <c r="I4373" s="3298"/>
    </row>
    <row r="4374" spans="2:9">
      <c r="B4374" s="3299" t="s">
        <v>64</v>
      </c>
      <c r="C4374" s="3063"/>
      <c r="D4374" s="3064"/>
      <c r="E4374" s="3064"/>
      <c r="F4374" s="3064"/>
      <c r="G4374" s="3300" t="s">
        <v>64</v>
      </c>
      <c r="H4374" s="3063"/>
      <c r="I4374" s="3030"/>
    </row>
    <row r="4375" spans="2:9" ht="25.5">
      <c r="B4375" s="3192" t="s">
        <v>675</v>
      </c>
      <c r="C4375" s="3063"/>
      <c r="D4375" s="3064"/>
      <c r="E4375" s="3064"/>
      <c r="F4375" s="3064"/>
      <c r="G4375" s="3301" t="s">
        <v>675</v>
      </c>
      <c r="H4375" s="3063"/>
      <c r="I4375" s="3030"/>
    </row>
    <row r="4376" spans="2:9" ht="25.5">
      <c r="B4376" s="3192" t="s">
        <v>676</v>
      </c>
      <c r="C4376" s="3063"/>
      <c r="D4376" s="3064"/>
      <c r="E4376" s="3064"/>
      <c r="F4376" s="3064"/>
      <c r="G4376" s="3301" t="s">
        <v>676</v>
      </c>
      <c r="H4376" s="3063"/>
      <c r="I4376" s="3030"/>
    </row>
    <row r="4377" spans="2:9">
      <c r="B4377" s="3192" t="s">
        <v>677</v>
      </c>
      <c r="C4377" s="3063"/>
      <c r="D4377" s="3064"/>
      <c r="E4377" s="3064"/>
      <c r="F4377" s="3064"/>
      <c r="G4377" s="3301" t="s">
        <v>677</v>
      </c>
      <c r="H4377" s="3063"/>
      <c r="I4377" s="3030"/>
    </row>
    <row r="4378" spans="2:9">
      <c r="B4378" s="3192" t="s">
        <v>678</v>
      </c>
      <c r="C4378" s="3063"/>
      <c r="D4378" s="3064"/>
      <c r="E4378" s="3064"/>
      <c r="F4378" s="3064"/>
      <c r="G4378" s="3301" t="s">
        <v>678</v>
      </c>
      <c r="H4378" s="3063"/>
      <c r="I4378" s="3030"/>
    </row>
    <row r="4379" spans="2:9">
      <c r="B4379" s="3192" t="s">
        <v>679</v>
      </c>
      <c r="C4379" s="3063"/>
      <c r="D4379" s="3064"/>
      <c r="E4379" s="3064"/>
      <c r="F4379" s="3064"/>
      <c r="G4379" s="3301" t="s">
        <v>679</v>
      </c>
      <c r="H4379" s="3063"/>
      <c r="I4379" s="3030"/>
    </row>
    <row r="4380" spans="2:9" ht="25.5">
      <c r="B4380" s="3192" t="s">
        <v>720</v>
      </c>
      <c r="C4380" s="3063"/>
      <c r="D4380" s="3064"/>
      <c r="E4380" s="3064"/>
      <c r="F4380" s="3064"/>
      <c r="G4380" s="3301" t="s">
        <v>720</v>
      </c>
      <c r="H4380" s="3063"/>
      <c r="I4380" s="3030"/>
    </row>
    <row r="4381" spans="2:9">
      <c r="B4381" s="3299" t="s">
        <v>65</v>
      </c>
      <c r="C4381" s="3063"/>
      <c r="D4381" s="3064"/>
      <c r="E4381" s="3064"/>
      <c r="F4381" s="3064"/>
      <c r="G4381" s="3300" t="s">
        <v>65</v>
      </c>
      <c r="H4381" s="3063"/>
      <c r="I4381" s="3030"/>
    </row>
    <row r="4382" spans="2:9" ht="25.5">
      <c r="B4382" s="3192" t="s">
        <v>675</v>
      </c>
      <c r="C4382" s="3063"/>
      <c r="D4382" s="3064"/>
      <c r="E4382" s="3064"/>
      <c r="F4382" s="3064"/>
      <c r="G4382" s="3301" t="s">
        <v>675</v>
      </c>
      <c r="H4382" s="3063"/>
      <c r="I4382" s="3030"/>
    </row>
    <row r="4383" spans="2:9" ht="25.5">
      <c r="B4383" s="3192" t="s">
        <v>676</v>
      </c>
      <c r="C4383" s="3063"/>
      <c r="D4383" s="3064"/>
      <c r="E4383" s="3064"/>
      <c r="F4383" s="3064"/>
      <c r="G4383" s="3301" t="s">
        <v>676</v>
      </c>
      <c r="H4383" s="3063"/>
      <c r="I4383" s="3030"/>
    </row>
    <row r="4384" spans="2:9">
      <c r="B4384" s="3192" t="s">
        <v>677</v>
      </c>
      <c r="C4384" s="3063"/>
      <c r="D4384" s="3064"/>
      <c r="E4384" s="3064"/>
      <c r="F4384" s="3064"/>
      <c r="G4384" s="3301" t="s">
        <v>677</v>
      </c>
      <c r="H4384" s="3063"/>
      <c r="I4384" s="3030"/>
    </row>
    <row r="4385" spans="2:9">
      <c r="B4385" s="3192" t="s">
        <v>678</v>
      </c>
      <c r="C4385" s="3063"/>
      <c r="D4385" s="3064"/>
      <c r="E4385" s="3064"/>
      <c r="F4385" s="3064"/>
      <c r="G4385" s="3301" t="s">
        <v>678</v>
      </c>
      <c r="H4385" s="3063"/>
      <c r="I4385" s="3030"/>
    </row>
    <row r="4386" spans="2:9">
      <c r="B4386" s="3192" t="s">
        <v>679</v>
      </c>
      <c r="C4386" s="3063"/>
      <c r="D4386" s="3064"/>
      <c r="E4386" s="3064"/>
      <c r="F4386" s="3064"/>
      <c r="G4386" s="3301" t="s">
        <v>679</v>
      </c>
      <c r="H4386" s="3063"/>
      <c r="I4386" s="3030"/>
    </row>
    <row r="4387" spans="2:9" ht="25.5">
      <c r="B4387" s="3192" t="s">
        <v>720</v>
      </c>
      <c r="C4387" s="3063"/>
      <c r="D4387" s="3064"/>
      <c r="E4387" s="3064"/>
      <c r="F4387" s="3064"/>
      <c r="G4387" s="3301" t="s">
        <v>720</v>
      </c>
      <c r="H4387" s="3063"/>
      <c r="I4387" s="3030"/>
    </row>
    <row r="4388" spans="2:9">
      <c r="B4388" s="3299" t="s">
        <v>82</v>
      </c>
      <c r="C4388" s="3063"/>
      <c r="D4388" s="3064"/>
      <c r="E4388" s="3064"/>
      <c r="F4388" s="3064"/>
      <c r="G4388" s="3300" t="s">
        <v>82</v>
      </c>
      <c r="H4388" s="3063"/>
      <c r="I4388" s="3030"/>
    </row>
    <row r="4389" spans="2:9" ht="25.5">
      <c r="B4389" s="3192" t="s">
        <v>675</v>
      </c>
      <c r="C4389" s="3063"/>
      <c r="D4389" s="3064"/>
      <c r="E4389" s="3064"/>
      <c r="F4389" s="3064"/>
      <c r="G4389" s="3301" t="s">
        <v>675</v>
      </c>
      <c r="H4389" s="3063"/>
      <c r="I4389" s="3030"/>
    </row>
    <row r="4390" spans="2:9" ht="25.5">
      <c r="B4390" s="3192" t="s">
        <v>676</v>
      </c>
      <c r="C4390" s="3063"/>
      <c r="D4390" s="3064"/>
      <c r="E4390" s="3064"/>
      <c r="F4390" s="3064"/>
      <c r="G4390" s="3301" t="s">
        <v>676</v>
      </c>
      <c r="H4390" s="3063"/>
      <c r="I4390" s="3030"/>
    </row>
    <row r="4391" spans="2:9">
      <c r="B4391" s="3192" t="s">
        <v>677</v>
      </c>
      <c r="C4391" s="3063"/>
      <c r="D4391" s="3064"/>
      <c r="E4391" s="3064"/>
      <c r="F4391" s="3064"/>
      <c r="G4391" s="3301" t="s">
        <v>677</v>
      </c>
      <c r="H4391" s="3063"/>
      <c r="I4391" s="3030"/>
    </row>
    <row r="4392" spans="2:9">
      <c r="B4392" s="3192" t="s">
        <v>678</v>
      </c>
      <c r="C4392" s="3063"/>
      <c r="D4392" s="3064"/>
      <c r="E4392" s="3064"/>
      <c r="F4392" s="3064"/>
      <c r="G4392" s="3301" t="s">
        <v>678</v>
      </c>
      <c r="H4392" s="3063"/>
      <c r="I4392" s="3030"/>
    </row>
    <row r="4393" spans="2:9">
      <c r="B4393" s="3192" t="s">
        <v>679</v>
      </c>
      <c r="C4393" s="3063"/>
      <c r="D4393" s="3064"/>
      <c r="E4393" s="3064"/>
      <c r="F4393" s="3064"/>
      <c r="G4393" s="3301" t="s">
        <v>679</v>
      </c>
      <c r="H4393" s="3063"/>
      <c r="I4393" s="3030"/>
    </row>
    <row r="4394" spans="2:9" ht="25.5">
      <c r="B4394" s="3192" t="s">
        <v>720</v>
      </c>
      <c r="C4394" s="3063"/>
      <c r="D4394" s="3064"/>
      <c r="E4394" s="3064"/>
      <c r="F4394" s="3064"/>
      <c r="G4394" s="3301" t="s">
        <v>720</v>
      </c>
      <c r="H4394" s="3063"/>
      <c r="I4394" s="3030"/>
    </row>
    <row r="4395" spans="2:9" ht="38.25">
      <c r="B4395" s="3299" t="s">
        <v>680</v>
      </c>
      <c r="C4395" s="3063"/>
      <c r="D4395" s="3064"/>
      <c r="E4395" s="3064"/>
      <c r="F4395" s="3064"/>
      <c r="G4395" s="3300" t="s">
        <v>680</v>
      </c>
      <c r="H4395" s="3063"/>
      <c r="I4395" s="3030"/>
    </row>
    <row r="4396" spans="2:9" ht="25.5">
      <c r="B4396" s="3192" t="s">
        <v>675</v>
      </c>
      <c r="C4396" s="3063"/>
      <c r="D4396" s="3064"/>
      <c r="E4396" s="3064"/>
      <c r="F4396" s="3064"/>
      <c r="G4396" s="3301" t="s">
        <v>675</v>
      </c>
      <c r="H4396" s="3063"/>
      <c r="I4396" s="3030"/>
    </row>
    <row r="4397" spans="2:9" ht="25.5">
      <c r="B4397" s="3192" t="s">
        <v>676</v>
      </c>
      <c r="C4397" s="3063"/>
      <c r="D4397" s="3064"/>
      <c r="E4397" s="3064"/>
      <c r="F4397" s="3064"/>
      <c r="G4397" s="3301" t="s">
        <v>676</v>
      </c>
      <c r="H4397" s="3063"/>
      <c r="I4397" s="3030"/>
    </row>
    <row r="4398" spans="2:9">
      <c r="B4398" s="3192" t="s">
        <v>677</v>
      </c>
      <c r="C4398" s="3063"/>
      <c r="D4398" s="3064"/>
      <c r="E4398" s="3064"/>
      <c r="F4398" s="3064"/>
      <c r="G4398" s="3301" t="s">
        <v>677</v>
      </c>
      <c r="H4398" s="3063"/>
      <c r="I4398" s="3030"/>
    </row>
    <row r="4399" spans="2:9">
      <c r="B4399" s="3192" t="s">
        <v>678</v>
      </c>
      <c r="C4399" s="3063"/>
      <c r="D4399" s="3064"/>
      <c r="E4399" s="3064"/>
      <c r="F4399" s="3064"/>
      <c r="G4399" s="3301" t="s">
        <v>678</v>
      </c>
      <c r="H4399" s="3063"/>
      <c r="I4399" s="3030"/>
    </row>
    <row r="4400" spans="2:9">
      <c r="B4400" s="3192" t="s">
        <v>679</v>
      </c>
      <c r="C4400" s="3063"/>
      <c r="D4400" s="3064"/>
      <c r="E4400" s="3064"/>
      <c r="F4400" s="3064"/>
      <c r="G4400" s="3301" t="s">
        <v>679</v>
      </c>
      <c r="H4400" s="3063"/>
      <c r="I4400" s="3030"/>
    </row>
    <row r="4401" spans="2:9" ht="25.5">
      <c r="B4401" s="3192" t="s">
        <v>720</v>
      </c>
      <c r="C4401" s="3063"/>
      <c r="D4401" s="3064"/>
      <c r="E4401" s="3064"/>
      <c r="F4401" s="3064"/>
      <c r="G4401" s="3301" t="s">
        <v>720</v>
      </c>
      <c r="H4401" s="3063"/>
      <c r="I4401" s="3030"/>
    </row>
    <row r="4402" spans="2:9" ht="38.25">
      <c r="B4402" s="3299" t="s">
        <v>681</v>
      </c>
      <c r="C4402" s="3063"/>
      <c r="D4402" s="3064"/>
      <c r="E4402" s="3064"/>
      <c r="F4402" s="3064"/>
      <c r="G4402" s="3300" t="s">
        <v>681</v>
      </c>
      <c r="H4402" s="3063"/>
      <c r="I4402" s="3030"/>
    </row>
    <row r="4403" spans="2:9" ht="25.5">
      <c r="B4403" s="3192" t="s">
        <v>675</v>
      </c>
      <c r="C4403" s="3063"/>
      <c r="D4403" s="3064"/>
      <c r="E4403" s="3064"/>
      <c r="F4403" s="3064"/>
      <c r="G4403" s="3301" t="s">
        <v>675</v>
      </c>
      <c r="H4403" s="3063"/>
      <c r="I4403" s="3030"/>
    </row>
    <row r="4404" spans="2:9" ht="25.5">
      <c r="B4404" s="3192" t="s">
        <v>676</v>
      </c>
      <c r="C4404" s="3063"/>
      <c r="D4404" s="3064"/>
      <c r="E4404" s="3064"/>
      <c r="F4404" s="3064"/>
      <c r="G4404" s="3301" t="s">
        <v>676</v>
      </c>
      <c r="H4404" s="3063"/>
      <c r="I4404" s="3030"/>
    </row>
    <row r="4405" spans="2:9">
      <c r="B4405" s="3192" t="s">
        <v>677</v>
      </c>
      <c r="C4405" s="3063"/>
      <c r="D4405" s="3064"/>
      <c r="E4405" s="3064"/>
      <c r="F4405" s="3064"/>
      <c r="G4405" s="3301" t="s">
        <v>677</v>
      </c>
      <c r="H4405" s="3063"/>
      <c r="I4405" s="3030"/>
    </row>
    <row r="4406" spans="2:9">
      <c r="B4406" s="3192" t="s">
        <v>678</v>
      </c>
      <c r="C4406" s="3063"/>
      <c r="D4406" s="3064"/>
      <c r="E4406" s="3064"/>
      <c r="F4406" s="3064"/>
      <c r="G4406" s="3301" t="s">
        <v>678</v>
      </c>
      <c r="H4406" s="3063"/>
      <c r="I4406" s="3030"/>
    </row>
    <row r="4407" spans="2:9">
      <c r="B4407" s="3192" t="s">
        <v>679</v>
      </c>
      <c r="C4407" s="3063"/>
      <c r="D4407" s="3064"/>
      <c r="E4407" s="3064"/>
      <c r="F4407" s="3064"/>
      <c r="G4407" s="3301" t="s">
        <v>679</v>
      </c>
      <c r="H4407" s="3063"/>
      <c r="I4407" s="3030"/>
    </row>
    <row r="4408" spans="2:9" ht="25.5">
      <c r="B4408" s="3192" t="s">
        <v>720</v>
      </c>
      <c r="C4408" s="3063"/>
      <c r="D4408" s="3064"/>
      <c r="E4408" s="3064"/>
      <c r="F4408" s="3064"/>
      <c r="G4408" s="3301" t="s">
        <v>720</v>
      </c>
      <c r="H4408" s="3063"/>
      <c r="I4408" s="3030"/>
    </row>
    <row r="4409" spans="2:9" ht="25.5">
      <c r="B4409" s="3299" t="s">
        <v>682</v>
      </c>
      <c r="C4409" s="3063"/>
      <c r="D4409" s="3064"/>
      <c r="E4409" s="3064"/>
      <c r="F4409" s="3064"/>
      <c r="G4409" s="3300" t="s">
        <v>682</v>
      </c>
      <c r="H4409" s="3063"/>
      <c r="I4409" s="3030"/>
    </row>
    <row r="4410" spans="2:9" ht="25.5">
      <c r="B4410" s="3192" t="s">
        <v>675</v>
      </c>
      <c r="C4410" s="3063"/>
      <c r="D4410" s="3064"/>
      <c r="E4410" s="3064"/>
      <c r="F4410" s="3064"/>
      <c r="G4410" s="3301" t="s">
        <v>675</v>
      </c>
      <c r="H4410" s="3063"/>
      <c r="I4410" s="3030"/>
    </row>
    <row r="4411" spans="2:9" ht="25.5">
      <c r="B4411" s="3192" t="s">
        <v>676</v>
      </c>
      <c r="C4411" s="3063"/>
      <c r="D4411" s="3064"/>
      <c r="E4411" s="3064"/>
      <c r="F4411" s="3064"/>
      <c r="G4411" s="3301" t="s">
        <v>676</v>
      </c>
      <c r="H4411" s="3063"/>
      <c r="I4411" s="3030"/>
    </row>
    <row r="4412" spans="2:9">
      <c r="B4412" s="3192" t="s">
        <v>677</v>
      </c>
      <c r="C4412" s="3063"/>
      <c r="D4412" s="3064"/>
      <c r="E4412" s="3064"/>
      <c r="F4412" s="3064"/>
      <c r="G4412" s="3301" t="s">
        <v>677</v>
      </c>
      <c r="H4412" s="3063"/>
      <c r="I4412" s="3030"/>
    </row>
    <row r="4413" spans="2:9">
      <c r="B4413" s="3192" t="s">
        <v>678</v>
      </c>
      <c r="C4413" s="3063"/>
      <c r="D4413" s="3064"/>
      <c r="E4413" s="3064"/>
      <c r="F4413" s="3064"/>
      <c r="G4413" s="3301" t="s">
        <v>678</v>
      </c>
      <c r="H4413" s="3063"/>
      <c r="I4413" s="3030"/>
    </row>
    <row r="4414" spans="2:9">
      <c r="B4414" s="3192" t="s">
        <v>679</v>
      </c>
      <c r="C4414" s="3063"/>
      <c r="D4414" s="3064"/>
      <c r="E4414" s="3064"/>
      <c r="F4414" s="3064"/>
      <c r="G4414" s="3301" t="s">
        <v>679</v>
      </c>
      <c r="H4414" s="3063"/>
      <c r="I4414" s="3030"/>
    </row>
    <row r="4415" spans="2:9" ht="25.5">
      <c r="B4415" s="3192" t="s">
        <v>720</v>
      </c>
      <c r="C4415" s="3063"/>
      <c r="D4415" s="3064"/>
      <c r="E4415" s="3064"/>
      <c r="F4415" s="3064"/>
      <c r="G4415" s="3301" t="s">
        <v>720</v>
      </c>
      <c r="H4415" s="3063"/>
      <c r="I4415" s="3030"/>
    </row>
    <row r="4416" spans="2:9" ht="25.5">
      <c r="B4416" s="3299" t="s">
        <v>66</v>
      </c>
      <c r="C4416" s="3063"/>
      <c r="D4416" s="3064"/>
      <c r="E4416" s="3064"/>
      <c r="F4416" s="3064"/>
      <c r="G4416" s="3300" t="s">
        <v>66</v>
      </c>
      <c r="H4416" s="3063"/>
      <c r="I4416" s="3030"/>
    </row>
    <row r="4417" spans="2:9" ht="25.5">
      <c r="B4417" s="3192" t="s">
        <v>675</v>
      </c>
      <c r="C4417" s="3063"/>
      <c r="D4417" s="3064"/>
      <c r="E4417" s="3064"/>
      <c r="F4417" s="3064"/>
      <c r="G4417" s="3301" t="s">
        <v>675</v>
      </c>
      <c r="H4417" s="3063"/>
      <c r="I4417" s="3030"/>
    </row>
    <row r="4418" spans="2:9" ht="25.5">
      <c r="B4418" s="3192" t="s">
        <v>676</v>
      </c>
      <c r="C4418" s="3063"/>
      <c r="D4418" s="3064"/>
      <c r="E4418" s="3064"/>
      <c r="F4418" s="3064"/>
      <c r="G4418" s="3301" t="s">
        <v>676</v>
      </c>
      <c r="H4418" s="3063"/>
      <c r="I4418" s="3030"/>
    </row>
    <row r="4419" spans="2:9">
      <c r="B4419" s="3192" t="s">
        <v>677</v>
      </c>
      <c r="C4419" s="3063"/>
      <c r="D4419" s="3064"/>
      <c r="E4419" s="3064"/>
      <c r="F4419" s="3064"/>
      <c r="G4419" s="3301" t="s">
        <v>677</v>
      </c>
      <c r="H4419" s="3063"/>
      <c r="I4419" s="3030"/>
    </row>
    <row r="4420" spans="2:9">
      <c r="B4420" s="3192" t="s">
        <v>678</v>
      </c>
      <c r="C4420" s="3063"/>
      <c r="D4420" s="3064"/>
      <c r="E4420" s="3064"/>
      <c r="F4420" s="3064"/>
      <c r="G4420" s="3301" t="s">
        <v>678</v>
      </c>
      <c r="H4420" s="3063"/>
      <c r="I4420" s="3030"/>
    </row>
    <row r="4421" spans="2:9">
      <c r="B4421" s="3192" t="s">
        <v>679</v>
      </c>
      <c r="C4421" s="3063"/>
      <c r="D4421" s="3064"/>
      <c r="E4421" s="3064"/>
      <c r="F4421" s="3064"/>
      <c r="G4421" s="3301" t="s">
        <v>679</v>
      </c>
      <c r="H4421" s="3063"/>
      <c r="I4421" s="3030"/>
    </row>
    <row r="4422" spans="2:9" ht="25.5">
      <c r="B4422" s="3192" t="s">
        <v>720</v>
      </c>
      <c r="C4422" s="3063"/>
      <c r="D4422" s="3064"/>
      <c r="E4422" s="3064"/>
      <c r="F4422" s="3064"/>
      <c r="G4422" s="3301" t="s">
        <v>720</v>
      </c>
      <c r="H4422" s="3063"/>
      <c r="I4422" s="3030"/>
    </row>
    <row r="4423" spans="2:9">
      <c r="B4423" s="3299" t="s">
        <v>67</v>
      </c>
      <c r="C4423" s="3063"/>
      <c r="D4423" s="3064"/>
      <c r="E4423" s="3064"/>
      <c r="F4423" s="3064"/>
      <c r="G4423" s="3300" t="s">
        <v>67</v>
      </c>
      <c r="H4423" s="3063"/>
      <c r="I4423" s="3030"/>
    </row>
    <row r="4424" spans="2:9" ht="25.5">
      <c r="B4424" s="3192" t="s">
        <v>675</v>
      </c>
      <c r="C4424" s="3063"/>
      <c r="D4424" s="3064"/>
      <c r="E4424" s="3064"/>
      <c r="F4424" s="3064"/>
      <c r="G4424" s="3301" t="s">
        <v>675</v>
      </c>
      <c r="H4424" s="3063"/>
      <c r="I4424" s="3030"/>
    </row>
    <row r="4425" spans="2:9" ht="25.5">
      <c r="B4425" s="3192" t="s">
        <v>676</v>
      </c>
      <c r="C4425" s="3063"/>
      <c r="D4425" s="3064"/>
      <c r="E4425" s="3064"/>
      <c r="F4425" s="3064"/>
      <c r="G4425" s="3301" t="s">
        <v>676</v>
      </c>
      <c r="H4425" s="3063"/>
      <c r="I4425" s="3030"/>
    </row>
    <row r="4426" spans="2:9">
      <c r="B4426" s="3192" t="s">
        <v>677</v>
      </c>
      <c r="C4426" s="3063"/>
      <c r="D4426" s="3064"/>
      <c r="E4426" s="3064"/>
      <c r="F4426" s="3064"/>
      <c r="G4426" s="3301" t="s">
        <v>677</v>
      </c>
      <c r="H4426" s="3063"/>
      <c r="I4426" s="3030"/>
    </row>
    <row r="4427" spans="2:9">
      <c r="B4427" s="3192" t="s">
        <v>678</v>
      </c>
      <c r="C4427" s="3063"/>
      <c r="D4427" s="3064"/>
      <c r="E4427" s="3064"/>
      <c r="F4427" s="3064"/>
      <c r="G4427" s="3301" t="s">
        <v>678</v>
      </c>
      <c r="H4427" s="3063"/>
      <c r="I4427" s="3030"/>
    </row>
    <row r="4428" spans="2:9">
      <c r="B4428" s="3192" t="s">
        <v>679</v>
      </c>
      <c r="C4428" s="3063"/>
      <c r="D4428" s="3064"/>
      <c r="E4428" s="3064"/>
      <c r="F4428" s="3064"/>
      <c r="G4428" s="3301" t="s">
        <v>679</v>
      </c>
      <c r="H4428" s="3063"/>
      <c r="I4428" s="3030"/>
    </row>
    <row r="4429" spans="2:9" ht="25.5">
      <c r="B4429" s="3192" t="s">
        <v>720</v>
      </c>
      <c r="C4429" s="3063"/>
      <c r="D4429" s="3064"/>
      <c r="E4429" s="3064"/>
      <c r="F4429" s="3064"/>
      <c r="G4429" s="3301" t="s">
        <v>720</v>
      </c>
      <c r="H4429" s="3063"/>
      <c r="I4429" s="3030"/>
    </row>
    <row r="4430" spans="2:9" ht="25.5">
      <c r="B4430" s="3230" t="s">
        <v>81</v>
      </c>
      <c r="C4430" s="3063"/>
      <c r="D4430" s="3064"/>
      <c r="E4430" s="3064"/>
      <c r="F4430" s="3064"/>
      <c r="G4430" s="3302" t="s">
        <v>81</v>
      </c>
      <c r="H4430" s="3063"/>
      <c r="I4430" s="3030"/>
    </row>
    <row r="4431" spans="2:9" ht="26.25" thickBot="1">
      <c r="B4431" s="3303" t="s">
        <v>81</v>
      </c>
      <c r="C4431" s="3063"/>
      <c r="D4431" s="3064"/>
      <c r="E4431" s="3064"/>
      <c r="F4431" s="3064"/>
      <c r="G4431" s="3302" t="s">
        <v>81</v>
      </c>
      <c r="H4431" s="3063"/>
      <c r="I4431" s="3030"/>
    </row>
    <row r="4432" spans="2:9" ht="25.5">
      <c r="B4432" s="3217" t="s">
        <v>696</v>
      </c>
      <c r="C4432" s="3218"/>
      <c r="D4432" s="3219"/>
      <c r="E4432" s="3219"/>
      <c r="F4432" s="3219"/>
      <c r="G4432" s="3217" t="s">
        <v>696</v>
      </c>
      <c r="H4432" s="3297"/>
      <c r="I4432" s="3298"/>
    </row>
    <row r="4433" spans="2:9">
      <c r="B4433" s="3299" t="s">
        <v>64</v>
      </c>
      <c r="C4433" s="3063"/>
      <c r="D4433" s="3064"/>
      <c r="E4433" s="3064"/>
      <c r="F4433" s="3064"/>
      <c r="G4433" s="3300" t="s">
        <v>64</v>
      </c>
      <c r="H4433" s="3063"/>
      <c r="I4433" s="3030"/>
    </row>
    <row r="4434" spans="2:9" ht="25.5">
      <c r="B4434" s="3192" t="s">
        <v>675</v>
      </c>
      <c r="C4434" s="3063"/>
      <c r="D4434" s="3064"/>
      <c r="E4434" s="3064"/>
      <c r="F4434" s="3064"/>
      <c r="G4434" s="3301" t="s">
        <v>675</v>
      </c>
      <c r="H4434" s="3063"/>
      <c r="I4434" s="3030"/>
    </row>
    <row r="4435" spans="2:9" ht="25.5">
      <c r="B4435" s="3192" t="s">
        <v>676</v>
      </c>
      <c r="C4435" s="3063"/>
      <c r="D4435" s="3064"/>
      <c r="E4435" s="3064"/>
      <c r="F4435" s="3064"/>
      <c r="G4435" s="3301" t="s">
        <v>676</v>
      </c>
      <c r="H4435" s="3063"/>
      <c r="I4435" s="3030"/>
    </row>
    <row r="4436" spans="2:9">
      <c r="B4436" s="3192" t="s">
        <v>677</v>
      </c>
      <c r="C4436" s="3063"/>
      <c r="D4436" s="3064"/>
      <c r="E4436" s="3064"/>
      <c r="F4436" s="3064"/>
      <c r="G4436" s="3301" t="s">
        <v>677</v>
      </c>
      <c r="H4436" s="3063"/>
      <c r="I4436" s="3030"/>
    </row>
    <row r="4437" spans="2:9">
      <c r="B4437" s="3192" t="s">
        <v>678</v>
      </c>
      <c r="C4437" s="3063"/>
      <c r="D4437" s="3064"/>
      <c r="E4437" s="3064"/>
      <c r="F4437" s="3064"/>
      <c r="G4437" s="3301" t="s">
        <v>678</v>
      </c>
      <c r="H4437" s="3063"/>
      <c r="I4437" s="3030"/>
    </row>
    <row r="4438" spans="2:9">
      <c r="B4438" s="3192" t="s">
        <v>679</v>
      </c>
      <c r="C4438" s="3063"/>
      <c r="D4438" s="3064"/>
      <c r="E4438" s="3064"/>
      <c r="F4438" s="3064"/>
      <c r="G4438" s="3301" t="s">
        <v>679</v>
      </c>
      <c r="H4438" s="3063"/>
      <c r="I4438" s="3030"/>
    </row>
    <row r="4439" spans="2:9" ht="25.5">
      <c r="B4439" s="3192" t="s">
        <v>720</v>
      </c>
      <c r="C4439" s="3063"/>
      <c r="D4439" s="3064"/>
      <c r="E4439" s="3064"/>
      <c r="F4439" s="3064"/>
      <c r="G4439" s="3301" t="s">
        <v>720</v>
      </c>
      <c r="H4439" s="3063"/>
      <c r="I4439" s="3030"/>
    </row>
    <row r="4440" spans="2:9">
      <c r="B4440" s="3299" t="s">
        <v>65</v>
      </c>
      <c r="C4440" s="3063"/>
      <c r="D4440" s="3064"/>
      <c r="E4440" s="3064"/>
      <c r="F4440" s="3064"/>
      <c r="G4440" s="3300" t="s">
        <v>65</v>
      </c>
      <c r="H4440" s="3063"/>
      <c r="I4440" s="3030"/>
    </row>
    <row r="4441" spans="2:9" ht="25.5">
      <c r="B4441" s="3192" t="s">
        <v>675</v>
      </c>
      <c r="C4441" s="3063"/>
      <c r="D4441" s="3064"/>
      <c r="E4441" s="3064"/>
      <c r="F4441" s="3064"/>
      <c r="G4441" s="3301" t="s">
        <v>675</v>
      </c>
      <c r="H4441" s="3063"/>
      <c r="I4441" s="3030"/>
    </row>
    <row r="4442" spans="2:9" ht="25.5">
      <c r="B4442" s="3192" t="s">
        <v>676</v>
      </c>
      <c r="C4442" s="3063"/>
      <c r="D4442" s="3064"/>
      <c r="E4442" s="3064"/>
      <c r="F4442" s="3064"/>
      <c r="G4442" s="3301" t="s">
        <v>676</v>
      </c>
      <c r="H4442" s="3063"/>
      <c r="I4442" s="3030"/>
    </row>
    <row r="4443" spans="2:9">
      <c r="B4443" s="3192" t="s">
        <v>677</v>
      </c>
      <c r="C4443" s="3063"/>
      <c r="D4443" s="3064"/>
      <c r="E4443" s="3064"/>
      <c r="F4443" s="3064"/>
      <c r="G4443" s="3301" t="s">
        <v>677</v>
      </c>
      <c r="H4443" s="3063"/>
      <c r="I4443" s="3030"/>
    </row>
    <row r="4444" spans="2:9">
      <c r="B4444" s="3192" t="s">
        <v>678</v>
      </c>
      <c r="C4444" s="3063"/>
      <c r="D4444" s="3064"/>
      <c r="E4444" s="3064"/>
      <c r="F4444" s="3064"/>
      <c r="G4444" s="3301" t="s">
        <v>678</v>
      </c>
      <c r="H4444" s="3063"/>
      <c r="I4444" s="3030"/>
    </row>
    <row r="4445" spans="2:9">
      <c r="B4445" s="3192" t="s">
        <v>679</v>
      </c>
      <c r="C4445" s="3063"/>
      <c r="D4445" s="3064"/>
      <c r="E4445" s="3064"/>
      <c r="F4445" s="3064"/>
      <c r="G4445" s="3301" t="s">
        <v>679</v>
      </c>
      <c r="H4445" s="3063"/>
      <c r="I4445" s="3030"/>
    </row>
    <row r="4446" spans="2:9" ht="25.5">
      <c r="B4446" s="3192" t="s">
        <v>720</v>
      </c>
      <c r="C4446" s="3063"/>
      <c r="D4446" s="3064"/>
      <c r="E4446" s="3064"/>
      <c r="F4446" s="3064"/>
      <c r="G4446" s="3301" t="s">
        <v>720</v>
      </c>
      <c r="H4446" s="3063"/>
      <c r="I4446" s="3030"/>
    </row>
    <row r="4447" spans="2:9">
      <c r="B4447" s="3299" t="s">
        <v>82</v>
      </c>
      <c r="C4447" s="3063"/>
      <c r="D4447" s="3064"/>
      <c r="E4447" s="3064"/>
      <c r="F4447" s="3064"/>
      <c r="G4447" s="3300" t="s">
        <v>82</v>
      </c>
      <c r="H4447" s="3063"/>
      <c r="I4447" s="3030"/>
    </row>
    <row r="4448" spans="2:9" ht="25.5">
      <c r="B4448" s="3192" t="s">
        <v>675</v>
      </c>
      <c r="C4448" s="3063"/>
      <c r="D4448" s="3064"/>
      <c r="E4448" s="3064"/>
      <c r="F4448" s="3064"/>
      <c r="G4448" s="3301" t="s">
        <v>675</v>
      </c>
      <c r="H4448" s="3063"/>
      <c r="I4448" s="3030"/>
    </row>
    <row r="4449" spans="2:9" ht="25.5">
      <c r="B4449" s="3192" t="s">
        <v>676</v>
      </c>
      <c r="C4449" s="3063"/>
      <c r="D4449" s="3064"/>
      <c r="E4449" s="3064"/>
      <c r="F4449" s="3064"/>
      <c r="G4449" s="3301" t="s">
        <v>676</v>
      </c>
      <c r="H4449" s="3063"/>
      <c r="I4449" s="3030"/>
    </row>
    <row r="4450" spans="2:9">
      <c r="B4450" s="3192" t="s">
        <v>677</v>
      </c>
      <c r="C4450" s="3063"/>
      <c r="D4450" s="3064"/>
      <c r="E4450" s="3064"/>
      <c r="F4450" s="3064"/>
      <c r="G4450" s="3301" t="s">
        <v>677</v>
      </c>
      <c r="H4450" s="3063"/>
      <c r="I4450" s="3030"/>
    </row>
    <row r="4451" spans="2:9">
      <c r="B4451" s="3192" t="s">
        <v>678</v>
      </c>
      <c r="C4451" s="3063"/>
      <c r="D4451" s="3064"/>
      <c r="E4451" s="3064"/>
      <c r="F4451" s="3064"/>
      <c r="G4451" s="3301" t="s">
        <v>678</v>
      </c>
      <c r="H4451" s="3063"/>
      <c r="I4451" s="3030"/>
    </row>
    <row r="4452" spans="2:9">
      <c r="B4452" s="3192" t="s">
        <v>679</v>
      </c>
      <c r="C4452" s="3063"/>
      <c r="D4452" s="3064"/>
      <c r="E4452" s="3064"/>
      <c r="F4452" s="3064"/>
      <c r="G4452" s="3301" t="s">
        <v>679</v>
      </c>
      <c r="H4452" s="3063"/>
      <c r="I4452" s="3030"/>
    </row>
    <row r="4453" spans="2:9" ht="25.5">
      <c r="B4453" s="3192" t="s">
        <v>720</v>
      </c>
      <c r="C4453" s="3063"/>
      <c r="D4453" s="3064"/>
      <c r="E4453" s="3064"/>
      <c r="F4453" s="3064"/>
      <c r="G4453" s="3301" t="s">
        <v>720</v>
      </c>
      <c r="H4453" s="3063"/>
      <c r="I4453" s="3030"/>
    </row>
    <row r="4454" spans="2:9" ht="38.25">
      <c r="B4454" s="3299" t="s">
        <v>680</v>
      </c>
      <c r="C4454" s="3063"/>
      <c r="D4454" s="3064"/>
      <c r="E4454" s="3064"/>
      <c r="F4454" s="3064"/>
      <c r="G4454" s="3300" t="s">
        <v>680</v>
      </c>
      <c r="H4454" s="3063"/>
      <c r="I4454" s="3030"/>
    </row>
    <row r="4455" spans="2:9" ht="25.5">
      <c r="B4455" s="3192" t="s">
        <v>675</v>
      </c>
      <c r="C4455" s="3063"/>
      <c r="D4455" s="3064"/>
      <c r="E4455" s="3064"/>
      <c r="F4455" s="3064"/>
      <c r="G4455" s="3301" t="s">
        <v>675</v>
      </c>
      <c r="H4455" s="3063"/>
      <c r="I4455" s="3030"/>
    </row>
    <row r="4456" spans="2:9" ht="25.5">
      <c r="B4456" s="3192" t="s">
        <v>676</v>
      </c>
      <c r="C4456" s="3063"/>
      <c r="D4456" s="3064"/>
      <c r="E4456" s="3064"/>
      <c r="F4456" s="3064"/>
      <c r="G4456" s="3301" t="s">
        <v>676</v>
      </c>
      <c r="H4456" s="3063"/>
      <c r="I4456" s="3030"/>
    </row>
    <row r="4457" spans="2:9">
      <c r="B4457" s="3192" t="s">
        <v>677</v>
      </c>
      <c r="C4457" s="3063"/>
      <c r="D4457" s="3064"/>
      <c r="E4457" s="3064"/>
      <c r="F4457" s="3064"/>
      <c r="G4457" s="3301" t="s">
        <v>677</v>
      </c>
      <c r="H4457" s="3063"/>
      <c r="I4457" s="3030"/>
    </row>
    <row r="4458" spans="2:9">
      <c r="B4458" s="3192" t="s">
        <v>678</v>
      </c>
      <c r="C4458" s="3063"/>
      <c r="D4458" s="3064"/>
      <c r="E4458" s="3064"/>
      <c r="F4458" s="3064"/>
      <c r="G4458" s="3301" t="s">
        <v>678</v>
      </c>
      <c r="H4458" s="3063"/>
      <c r="I4458" s="3030"/>
    </row>
    <row r="4459" spans="2:9">
      <c r="B4459" s="3192" t="s">
        <v>679</v>
      </c>
      <c r="C4459" s="3063"/>
      <c r="D4459" s="3064"/>
      <c r="E4459" s="3064"/>
      <c r="F4459" s="3064"/>
      <c r="G4459" s="3301" t="s">
        <v>679</v>
      </c>
      <c r="H4459" s="3063"/>
      <c r="I4459" s="3030"/>
    </row>
    <row r="4460" spans="2:9" ht="25.5">
      <c r="B4460" s="3192" t="s">
        <v>720</v>
      </c>
      <c r="C4460" s="3063"/>
      <c r="D4460" s="3064"/>
      <c r="E4460" s="3064"/>
      <c r="F4460" s="3064"/>
      <c r="G4460" s="3301" t="s">
        <v>720</v>
      </c>
      <c r="H4460" s="3063"/>
      <c r="I4460" s="3030"/>
    </row>
    <row r="4461" spans="2:9" ht="38.25">
      <c r="B4461" s="3299" t="s">
        <v>681</v>
      </c>
      <c r="C4461" s="3063"/>
      <c r="D4461" s="3064"/>
      <c r="E4461" s="3064"/>
      <c r="F4461" s="3064"/>
      <c r="G4461" s="3300" t="s">
        <v>681</v>
      </c>
      <c r="H4461" s="3063"/>
      <c r="I4461" s="3030"/>
    </row>
    <row r="4462" spans="2:9" ht="25.5">
      <c r="B4462" s="3192" t="s">
        <v>675</v>
      </c>
      <c r="C4462" s="3063"/>
      <c r="D4462" s="3064"/>
      <c r="E4462" s="3064"/>
      <c r="F4462" s="3064"/>
      <c r="G4462" s="3301" t="s">
        <v>675</v>
      </c>
      <c r="H4462" s="3063"/>
      <c r="I4462" s="3030"/>
    </row>
    <row r="4463" spans="2:9" ht="25.5">
      <c r="B4463" s="3192" t="s">
        <v>676</v>
      </c>
      <c r="C4463" s="3063"/>
      <c r="D4463" s="3064"/>
      <c r="E4463" s="3064"/>
      <c r="F4463" s="3064"/>
      <c r="G4463" s="3301" t="s">
        <v>676</v>
      </c>
      <c r="H4463" s="3063"/>
      <c r="I4463" s="3030"/>
    </row>
    <row r="4464" spans="2:9">
      <c r="B4464" s="3192" t="s">
        <v>677</v>
      </c>
      <c r="C4464" s="3063"/>
      <c r="D4464" s="3064"/>
      <c r="E4464" s="3064"/>
      <c r="F4464" s="3064"/>
      <c r="G4464" s="3301" t="s">
        <v>677</v>
      </c>
      <c r="H4464" s="3063"/>
      <c r="I4464" s="3030"/>
    </row>
    <row r="4465" spans="2:9">
      <c r="B4465" s="3192" t="s">
        <v>678</v>
      </c>
      <c r="C4465" s="3063"/>
      <c r="D4465" s="3064"/>
      <c r="E4465" s="3064"/>
      <c r="F4465" s="3064"/>
      <c r="G4465" s="3301" t="s">
        <v>678</v>
      </c>
      <c r="H4465" s="3063"/>
      <c r="I4465" s="3030"/>
    </row>
    <row r="4466" spans="2:9">
      <c r="B4466" s="3192" t="s">
        <v>679</v>
      </c>
      <c r="C4466" s="3063"/>
      <c r="D4466" s="3064"/>
      <c r="E4466" s="3064"/>
      <c r="F4466" s="3064"/>
      <c r="G4466" s="3301" t="s">
        <v>679</v>
      </c>
      <c r="H4466" s="3063"/>
      <c r="I4466" s="3030"/>
    </row>
    <row r="4467" spans="2:9" ht="25.5">
      <c r="B4467" s="3192" t="s">
        <v>720</v>
      </c>
      <c r="C4467" s="3063"/>
      <c r="D4467" s="3064"/>
      <c r="E4467" s="3064"/>
      <c r="F4467" s="3064"/>
      <c r="G4467" s="3301" t="s">
        <v>720</v>
      </c>
      <c r="H4467" s="3063"/>
      <c r="I4467" s="3030"/>
    </row>
    <row r="4468" spans="2:9" ht="25.5">
      <c r="B4468" s="3299" t="s">
        <v>682</v>
      </c>
      <c r="C4468" s="3063"/>
      <c r="D4468" s="3064"/>
      <c r="E4468" s="3064"/>
      <c r="F4468" s="3064"/>
      <c r="G4468" s="3300" t="s">
        <v>682</v>
      </c>
      <c r="H4468" s="3063"/>
      <c r="I4468" s="3030"/>
    </row>
    <row r="4469" spans="2:9" ht="25.5">
      <c r="B4469" s="3192" t="s">
        <v>675</v>
      </c>
      <c r="C4469" s="3063"/>
      <c r="D4469" s="3064"/>
      <c r="E4469" s="3064"/>
      <c r="F4469" s="3064"/>
      <c r="G4469" s="3301" t="s">
        <v>675</v>
      </c>
      <c r="H4469" s="3063"/>
      <c r="I4469" s="3030"/>
    </row>
    <row r="4470" spans="2:9" ht="25.5">
      <c r="B4470" s="3192" t="s">
        <v>676</v>
      </c>
      <c r="C4470" s="3063"/>
      <c r="D4470" s="3064"/>
      <c r="E4470" s="3064"/>
      <c r="F4470" s="3064"/>
      <c r="G4470" s="3301" t="s">
        <v>676</v>
      </c>
      <c r="H4470" s="3063"/>
      <c r="I4470" s="3030"/>
    </row>
    <row r="4471" spans="2:9">
      <c r="B4471" s="3192" t="s">
        <v>677</v>
      </c>
      <c r="C4471" s="3063"/>
      <c r="D4471" s="3064"/>
      <c r="E4471" s="3064"/>
      <c r="F4471" s="3064"/>
      <c r="G4471" s="3301" t="s">
        <v>677</v>
      </c>
      <c r="H4471" s="3063"/>
      <c r="I4471" s="3030"/>
    </row>
    <row r="4472" spans="2:9">
      <c r="B4472" s="3192" t="s">
        <v>678</v>
      </c>
      <c r="C4472" s="3063"/>
      <c r="D4472" s="3064"/>
      <c r="E4472" s="3064"/>
      <c r="F4472" s="3064"/>
      <c r="G4472" s="3301" t="s">
        <v>678</v>
      </c>
      <c r="H4472" s="3063"/>
      <c r="I4472" s="3030"/>
    </row>
    <row r="4473" spans="2:9">
      <c r="B4473" s="3192" t="s">
        <v>679</v>
      </c>
      <c r="C4473" s="3063"/>
      <c r="D4473" s="3064"/>
      <c r="E4473" s="3064"/>
      <c r="F4473" s="3064"/>
      <c r="G4473" s="3301" t="s">
        <v>679</v>
      </c>
      <c r="H4473" s="3063"/>
      <c r="I4473" s="3030"/>
    </row>
    <row r="4474" spans="2:9" ht="25.5">
      <c r="B4474" s="3192" t="s">
        <v>720</v>
      </c>
      <c r="C4474" s="3063"/>
      <c r="D4474" s="3064"/>
      <c r="E4474" s="3064"/>
      <c r="F4474" s="3064"/>
      <c r="G4474" s="3301" t="s">
        <v>720</v>
      </c>
      <c r="H4474" s="3063"/>
      <c r="I4474" s="3030"/>
    </row>
    <row r="4475" spans="2:9" ht="25.5">
      <c r="B4475" s="3299" t="s">
        <v>66</v>
      </c>
      <c r="C4475" s="3063"/>
      <c r="D4475" s="3064"/>
      <c r="E4475" s="3064"/>
      <c r="F4475" s="3064"/>
      <c r="G4475" s="3300" t="s">
        <v>66</v>
      </c>
      <c r="H4475" s="3063"/>
      <c r="I4475" s="3030"/>
    </row>
    <row r="4476" spans="2:9" ht="25.5">
      <c r="B4476" s="3192" t="s">
        <v>675</v>
      </c>
      <c r="C4476" s="3063"/>
      <c r="D4476" s="3064"/>
      <c r="E4476" s="3064"/>
      <c r="F4476" s="3064"/>
      <c r="G4476" s="3301" t="s">
        <v>675</v>
      </c>
      <c r="H4476" s="3063"/>
      <c r="I4476" s="3030"/>
    </row>
    <row r="4477" spans="2:9" ht="25.5">
      <c r="B4477" s="3192" t="s">
        <v>676</v>
      </c>
      <c r="C4477" s="3063"/>
      <c r="D4477" s="3064"/>
      <c r="E4477" s="3064"/>
      <c r="F4477" s="3064"/>
      <c r="G4477" s="3301" t="s">
        <v>676</v>
      </c>
      <c r="H4477" s="3063"/>
      <c r="I4477" s="3030"/>
    </row>
    <row r="4478" spans="2:9">
      <c r="B4478" s="3192" t="s">
        <v>677</v>
      </c>
      <c r="C4478" s="3063"/>
      <c r="D4478" s="3064"/>
      <c r="E4478" s="3064"/>
      <c r="F4478" s="3064"/>
      <c r="G4478" s="3301" t="s">
        <v>677</v>
      </c>
      <c r="H4478" s="3063"/>
      <c r="I4478" s="3030"/>
    </row>
    <row r="4479" spans="2:9">
      <c r="B4479" s="3192" t="s">
        <v>678</v>
      </c>
      <c r="C4479" s="3063"/>
      <c r="D4479" s="3064"/>
      <c r="E4479" s="3064"/>
      <c r="F4479" s="3064"/>
      <c r="G4479" s="3301" t="s">
        <v>678</v>
      </c>
      <c r="H4479" s="3063"/>
      <c r="I4479" s="3030"/>
    </row>
    <row r="4480" spans="2:9">
      <c r="B4480" s="3192" t="s">
        <v>679</v>
      </c>
      <c r="C4480" s="3063"/>
      <c r="D4480" s="3064"/>
      <c r="E4480" s="3064"/>
      <c r="F4480" s="3064"/>
      <c r="G4480" s="3301" t="s">
        <v>679</v>
      </c>
      <c r="H4480" s="3063"/>
      <c r="I4480" s="3030"/>
    </row>
    <row r="4481" spans="2:9" ht="25.5">
      <c r="B4481" s="3192" t="s">
        <v>720</v>
      </c>
      <c r="C4481" s="3063"/>
      <c r="D4481" s="3064"/>
      <c r="E4481" s="3064"/>
      <c r="F4481" s="3064"/>
      <c r="G4481" s="3301" t="s">
        <v>720</v>
      </c>
      <c r="H4481" s="3063"/>
      <c r="I4481" s="3030"/>
    </row>
    <row r="4482" spans="2:9">
      <c r="B4482" s="3299" t="s">
        <v>67</v>
      </c>
      <c r="C4482" s="3063"/>
      <c r="D4482" s="3064"/>
      <c r="E4482" s="3064"/>
      <c r="F4482" s="3064"/>
      <c r="G4482" s="3300" t="s">
        <v>67</v>
      </c>
      <c r="H4482" s="3063"/>
      <c r="I4482" s="3030"/>
    </row>
    <row r="4483" spans="2:9" ht="25.5">
      <c r="B4483" s="3192" t="s">
        <v>675</v>
      </c>
      <c r="C4483" s="3063"/>
      <c r="D4483" s="3064"/>
      <c r="E4483" s="3064"/>
      <c r="F4483" s="3064"/>
      <c r="G4483" s="3301" t="s">
        <v>675</v>
      </c>
      <c r="H4483" s="3063"/>
      <c r="I4483" s="3030"/>
    </row>
    <row r="4484" spans="2:9" ht="25.5">
      <c r="B4484" s="3192" t="s">
        <v>676</v>
      </c>
      <c r="C4484" s="3063"/>
      <c r="D4484" s="3064"/>
      <c r="E4484" s="3064"/>
      <c r="F4484" s="3064"/>
      <c r="G4484" s="3301" t="s">
        <v>676</v>
      </c>
      <c r="H4484" s="3063"/>
      <c r="I4484" s="3030"/>
    </row>
    <row r="4485" spans="2:9">
      <c r="B4485" s="3192" t="s">
        <v>677</v>
      </c>
      <c r="C4485" s="3063"/>
      <c r="D4485" s="3064"/>
      <c r="E4485" s="3064"/>
      <c r="F4485" s="3064"/>
      <c r="G4485" s="3301" t="s">
        <v>677</v>
      </c>
      <c r="H4485" s="3063"/>
      <c r="I4485" s="3030"/>
    </row>
    <row r="4486" spans="2:9">
      <c r="B4486" s="3192" t="s">
        <v>678</v>
      </c>
      <c r="C4486" s="3063"/>
      <c r="D4486" s="3064"/>
      <c r="E4486" s="3064"/>
      <c r="F4486" s="3064"/>
      <c r="G4486" s="3301" t="s">
        <v>678</v>
      </c>
      <c r="H4486" s="3063"/>
      <c r="I4486" s="3030"/>
    </row>
    <row r="4487" spans="2:9">
      <c r="B4487" s="3192" t="s">
        <v>679</v>
      </c>
      <c r="C4487" s="3063"/>
      <c r="D4487" s="3064"/>
      <c r="E4487" s="3064"/>
      <c r="F4487" s="3064"/>
      <c r="G4487" s="3301" t="s">
        <v>679</v>
      </c>
      <c r="H4487" s="3063"/>
      <c r="I4487" s="3030"/>
    </row>
    <row r="4488" spans="2:9" ht="25.5">
      <c r="B4488" s="3230" t="s">
        <v>81</v>
      </c>
      <c r="C4488" s="3063"/>
      <c r="D4488" s="3064"/>
      <c r="E4488" s="3064"/>
      <c r="F4488" s="3064"/>
      <c r="G4488" s="3302" t="s">
        <v>81</v>
      </c>
      <c r="H4488" s="3063"/>
      <c r="I4488" s="3030"/>
    </row>
    <row r="4489" spans="2:9" ht="26.25" thickBot="1">
      <c r="B4489" s="3303" t="s">
        <v>81</v>
      </c>
      <c r="C4489" s="3063"/>
      <c r="D4489" s="3064"/>
      <c r="E4489" s="3064"/>
      <c r="F4489" s="3064"/>
      <c r="G4489" s="3302" t="s">
        <v>81</v>
      </c>
      <c r="H4489" s="3063"/>
      <c r="I4489" s="3030"/>
    </row>
    <row r="4490" spans="2:9">
      <c r="B4490" s="3217" t="s">
        <v>697</v>
      </c>
      <c r="C4490" s="3218"/>
      <c r="D4490" s="3219"/>
      <c r="E4490" s="3219"/>
      <c r="F4490" s="3219"/>
      <c r="G4490" s="3217" t="s">
        <v>697</v>
      </c>
      <c r="H4490" s="3297"/>
      <c r="I4490" s="3298"/>
    </row>
    <row r="4491" spans="2:9">
      <c r="B4491" s="3299" t="s">
        <v>64</v>
      </c>
      <c r="C4491" s="3063"/>
      <c r="D4491" s="3064"/>
      <c r="E4491" s="3064"/>
      <c r="F4491" s="3064"/>
      <c r="G4491" s="3300" t="s">
        <v>64</v>
      </c>
      <c r="H4491" s="3063"/>
      <c r="I4491" s="3030"/>
    </row>
    <row r="4492" spans="2:9" ht="25.5">
      <c r="B4492" s="3192" t="s">
        <v>675</v>
      </c>
      <c r="C4492" s="3063"/>
      <c r="D4492" s="3064"/>
      <c r="E4492" s="3064"/>
      <c r="F4492" s="3064"/>
      <c r="G4492" s="3301" t="s">
        <v>675</v>
      </c>
      <c r="H4492" s="3063"/>
      <c r="I4492" s="3030"/>
    </row>
    <row r="4493" spans="2:9" ht="25.5">
      <c r="B4493" s="3192" t="s">
        <v>676</v>
      </c>
      <c r="C4493" s="3063"/>
      <c r="D4493" s="3064"/>
      <c r="E4493" s="3064"/>
      <c r="F4493" s="3064"/>
      <c r="G4493" s="3301" t="s">
        <v>676</v>
      </c>
      <c r="H4493" s="3063"/>
      <c r="I4493" s="3030"/>
    </row>
    <row r="4494" spans="2:9">
      <c r="B4494" s="3192" t="s">
        <v>677</v>
      </c>
      <c r="C4494" s="3063"/>
      <c r="D4494" s="3064"/>
      <c r="E4494" s="3064"/>
      <c r="F4494" s="3064"/>
      <c r="G4494" s="3301" t="s">
        <v>677</v>
      </c>
      <c r="H4494" s="3063"/>
      <c r="I4494" s="3030"/>
    </row>
    <row r="4495" spans="2:9">
      <c r="B4495" s="3192" t="s">
        <v>678</v>
      </c>
      <c r="C4495" s="3063"/>
      <c r="D4495" s="3064"/>
      <c r="E4495" s="3064"/>
      <c r="F4495" s="3064"/>
      <c r="G4495" s="3301" t="s">
        <v>678</v>
      </c>
      <c r="H4495" s="3063"/>
      <c r="I4495" s="3030"/>
    </row>
    <row r="4496" spans="2:9">
      <c r="B4496" s="3192" t="s">
        <v>679</v>
      </c>
      <c r="C4496" s="3063"/>
      <c r="D4496" s="3064"/>
      <c r="E4496" s="3064"/>
      <c r="F4496" s="3064"/>
      <c r="G4496" s="3301" t="s">
        <v>679</v>
      </c>
      <c r="H4496" s="3063"/>
      <c r="I4496" s="3030"/>
    </row>
    <row r="4497" spans="2:9" ht="25.5">
      <c r="B4497" s="3192" t="s">
        <v>720</v>
      </c>
      <c r="C4497" s="3063"/>
      <c r="D4497" s="3064"/>
      <c r="E4497" s="3064"/>
      <c r="F4497" s="3064"/>
      <c r="G4497" s="3301" t="s">
        <v>720</v>
      </c>
      <c r="H4497" s="3063"/>
      <c r="I4497" s="3030"/>
    </row>
    <row r="4498" spans="2:9">
      <c r="B4498" s="3299" t="s">
        <v>65</v>
      </c>
      <c r="C4498" s="3063"/>
      <c r="D4498" s="3064"/>
      <c r="E4498" s="3064"/>
      <c r="F4498" s="3064"/>
      <c r="G4498" s="3300" t="s">
        <v>65</v>
      </c>
      <c r="H4498" s="3063"/>
      <c r="I4498" s="3030"/>
    </row>
    <row r="4499" spans="2:9" ht="25.5">
      <c r="B4499" s="3192" t="s">
        <v>675</v>
      </c>
      <c r="C4499" s="3063"/>
      <c r="D4499" s="3064"/>
      <c r="E4499" s="3064"/>
      <c r="F4499" s="3064"/>
      <c r="G4499" s="3301" t="s">
        <v>675</v>
      </c>
      <c r="H4499" s="3063"/>
      <c r="I4499" s="3030"/>
    </row>
    <row r="4500" spans="2:9" ht="25.5">
      <c r="B4500" s="3192" t="s">
        <v>676</v>
      </c>
      <c r="C4500" s="3063"/>
      <c r="D4500" s="3064"/>
      <c r="E4500" s="3064"/>
      <c r="F4500" s="3064"/>
      <c r="G4500" s="3301" t="s">
        <v>676</v>
      </c>
      <c r="H4500" s="3063"/>
      <c r="I4500" s="3030"/>
    </row>
    <row r="4501" spans="2:9">
      <c r="B4501" s="3192" t="s">
        <v>677</v>
      </c>
      <c r="C4501" s="3063"/>
      <c r="D4501" s="3064"/>
      <c r="E4501" s="3064"/>
      <c r="F4501" s="3064"/>
      <c r="G4501" s="3301" t="s">
        <v>677</v>
      </c>
      <c r="H4501" s="3063"/>
      <c r="I4501" s="3030"/>
    </row>
    <row r="4502" spans="2:9">
      <c r="B4502" s="3192" t="s">
        <v>678</v>
      </c>
      <c r="C4502" s="3063"/>
      <c r="D4502" s="3064"/>
      <c r="E4502" s="3064"/>
      <c r="F4502" s="3064"/>
      <c r="G4502" s="3301" t="s">
        <v>678</v>
      </c>
      <c r="H4502" s="3063"/>
      <c r="I4502" s="3030"/>
    </row>
    <row r="4503" spans="2:9">
      <c r="B4503" s="3192" t="s">
        <v>679</v>
      </c>
      <c r="C4503" s="3063"/>
      <c r="D4503" s="3064"/>
      <c r="E4503" s="3064"/>
      <c r="F4503" s="3064"/>
      <c r="G4503" s="3301" t="s">
        <v>679</v>
      </c>
      <c r="H4503" s="3063"/>
      <c r="I4503" s="3030"/>
    </row>
    <row r="4504" spans="2:9" ht="25.5">
      <c r="B4504" s="3192" t="s">
        <v>720</v>
      </c>
      <c r="C4504" s="3063"/>
      <c r="D4504" s="3064"/>
      <c r="E4504" s="3064"/>
      <c r="F4504" s="3064"/>
      <c r="G4504" s="3301" t="s">
        <v>720</v>
      </c>
      <c r="H4504" s="3063"/>
      <c r="I4504" s="3030"/>
    </row>
    <row r="4505" spans="2:9">
      <c r="B4505" s="3299" t="s">
        <v>82</v>
      </c>
      <c r="C4505" s="3063"/>
      <c r="D4505" s="3064"/>
      <c r="E4505" s="3064"/>
      <c r="F4505" s="3064"/>
      <c r="G4505" s="3300" t="s">
        <v>82</v>
      </c>
      <c r="H4505" s="3063"/>
      <c r="I4505" s="3030"/>
    </row>
    <row r="4506" spans="2:9" ht="25.5">
      <c r="B4506" s="3192" t="s">
        <v>675</v>
      </c>
      <c r="C4506" s="3063"/>
      <c r="D4506" s="3064"/>
      <c r="E4506" s="3064"/>
      <c r="F4506" s="3064"/>
      <c r="G4506" s="3301" t="s">
        <v>675</v>
      </c>
      <c r="H4506" s="3063"/>
      <c r="I4506" s="3030"/>
    </row>
    <row r="4507" spans="2:9" ht="25.5">
      <c r="B4507" s="3192" t="s">
        <v>676</v>
      </c>
      <c r="C4507" s="3063"/>
      <c r="D4507" s="3064"/>
      <c r="E4507" s="3064"/>
      <c r="F4507" s="3064"/>
      <c r="G4507" s="3301" t="s">
        <v>676</v>
      </c>
      <c r="H4507" s="3063"/>
      <c r="I4507" s="3030"/>
    </row>
    <row r="4508" spans="2:9">
      <c r="B4508" s="3192" t="s">
        <v>677</v>
      </c>
      <c r="C4508" s="3063"/>
      <c r="D4508" s="3064"/>
      <c r="E4508" s="3064"/>
      <c r="F4508" s="3064"/>
      <c r="G4508" s="3301" t="s">
        <v>677</v>
      </c>
      <c r="H4508" s="3063"/>
      <c r="I4508" s="3030"/>
    </row>
    <row r="4509" spans="2:9">
      <c r="B4509" s="3192" t="s">
        <v>678</v>
      </c>
      <c r="C4509" s="3063"/>
      <c r="D4509" s="3064"/>
      <c r="E4509" s="3064"/>
      <c r="F4509" s="3064"/>
      <c r="G4509" s="3301" t="s">
        <v>678</v>
      </c>
      <c r="H4509" s="3063"/>
      <c r="I4509" s="3030"/>
    </row>
    <row r="4510" spans="2:9">
      <c r="B4510" s="3192" t="s">
        <v>679</v>
      </c>
      <c r="C4510" s="3063"/>
      <c r="D4510" s="3064"/>
      <c r="E4510" s="3064"/>
      <c r="F4510" s="3064"/>
      <c r="G4510" s="3301" t="s">
        <v>679</v>
      </c>
      <c r="H4510" s="3063"/>
      <c r="I4510" s="3030"/>
    </row>
    <row r="4511" spans="2:9" ht="25.5">
      <c r="B4511" s="3192" t="s">
        <v>720</v>
      </c>
      <c r="C4511" s="3063"/>
      <c r="D4511" s="3064"/>
      <c r="E4511" s="3064"/>
      <c r="F4511" s="3064"/>
      <c r="G4511" s="3301" t="s">
        <v>720</v>
      </c>
      <c r="H4511" s="3063"/>
      <c r="I4511" s="3030"/>
    </row>
    <row r="4512" spans="2:9" ht="38.25">
      <c r="B4512" s="3299" t="s">
        <v>680</v>
      </c>
      <c r="C4512" s="3063"/>
      <c r="D4512" s="3064"/>
      <c r="E4512" s="3064"/>
      <c r="F4512" s="3064"/>
      <c r="G4512" s="3300" t="s">
        <v>680</v>
      </c>
      <c r="H4512" s="3063"/>
      <c r="I4512" s="3030"/>
    </row>
    <row r="4513" spans="2:9" ht="25.5">
      <c r="B4513" s="3192" t="s">
        <v>675</v>
      </c>
      <c r="C4513" s="3063"/>
      <c r="D4513" s="3064"/>
      <c r="E4513" s="3064"/>
      <c r="F4513" s="3064"/>
      <c r="G4513" s="3301" t="s">
        <v>675</v>
      </c>
      <c r="H4513" s="3063"/>
      <c r="I4513" s="3030"/>
    </row>
    <row r="4514" spans="2:9" ht="25.5">
      <c r="B4514" s="3192" t="s">
        <v>676</v>
      </c>
      <c r="C4514" s="3063"/>
      <c r="D4514" s="3064"/>
      <c r="E4514" s="3064"/>
      <c r="F4514" s="3064"/>
      <c r="G4514" s="3301" t="s">
        <v>676</v>
      </c>
      <c r="H4514" s="3063"/>
      <c r="I4514" s="3030"/>
    </row>
    <row r="4515" spans="2:9">
      <c r="B4515" s="3192" t="s">
        <v>677</v>
      </c>
      <c r="C4515" s="3063"/>
      <c r="D4515" s="3064"/>
      <c r="E4515" s="3064"/>
      <c r="F4515" s="3064"/>
      <c r="G4515" s="3301" t="s">
        <v>677</v>
      </c>
      <c r="H4515" s="3063"/>
      <c r="I4515" s="3030"/>
    </row>
    <row r="4516" spans="2:9">
      <c r="B4516" s="3192" t="s">
        <v>678</v>
      </c>
      <c r="C4516" s="3063"/>
      <c r="D4516" s="3064"/>
      <c r="E4516" s="3064"/>
      <c r="F4516" s="3064"/>
      <c r="G4516" s="3301" t="s">
        <v>678</v>
      </c>
      <c r="H4516" s="3063"/>
      <c r="I4516" s="3030"/>
    </row>
    <row r="4517" spans="2:9">
      <c r="B4517" s="3192" t="s">
        <v>679</v>
      </c>
      <c r="C4517" s="3063"/>
      <c r="D4517" s="3064"/>
      <c r="E4517" s="3064"/>
      <c r="F4517" s="3064"/>
      <c r="G4517" s="3301" t="s">
        <v>679</v>
      </c>
      <c r="H4517" s="3063"/>
      <c r="I4517" s="3030"/>
    </row>
    <row r="4518" spans="2:9" ht="25.5">
      <c r="B4518" s="3192" t="s">
        <v>720</v>
      </c>
      <c r="C4518" s="3063"/>
      <c r="D4518" s="3064"/>
      <c r="E4518" s="3064"/>
      <c r="F4518" s="3064"/>
      <c r="G4518" s="3301" t="s">
        <v>720</v>
      </c>
      <c r="H4518" s="3063"/>
      <c r="I4518" s="3030"/>
    </row>
    <row r="4519" spans="2:9" ht="38.25">
      <c r="B4519" s="3299" t="s">
        <v>681</v>
      </c>
      <c r="C4519" s="3063"/>
      <c r="D4519" s="3064"/>
      <c r="E4519" s="3064"/>
      <c r="F4519" s="3064">
        <v>1</v>
      </c>
      <c r="G4519" s="3300" t="s">
        <v>681</v>
      </c>
      <c r="H4519" s="3063">
        <v>4.5115495668912355E-2</v>
      </c>
      <c r="I4519" s="3030"/>
    </row>
    <row r="4520" spans="2:9" ht="25.5">
      <c r="B4520" s="3192" t="s">
        <v>675</v>
      </c>
      <c r="C4520" s="3063"/>
      <c r="D4520" s="3064">
        <v>6</v>
      </c>
      <c r="E4520" s="3064"/>
      <c r="F4520" s="3064"/>
      <c r="G4520" s="3301" t="s">
        <v>675</v>
      </c>
      <c r="H4520" s="3063"/>
      <c r="I4520" s="3030">
        <v>7.7340849718135457E-2</v>
      </c>
    </row>
    <row r="4521" spans="2:9" ht="25.5">
      <c r="B4521" s="3192" t="s">
        <v>676</v>
      </c>
      <c r="C4521" s="3063"/>
      <c r="D4521" s="3064"/>
      <c r="E4521" s="3064"/>
      <c r="F4521" s="3064"/>
      <c r="G4521" s="3301" t="s">
        <v>676</v>
      </c>
      <c r="H4521" s="3063"/>
      <c r="I4521" s="3030"/>
    </row>
    <row r="4522" spans="2:9">
      <c r="B4522" s="3192" t="s">
        <v>677</v>
      </c>
      <c r="C4522" s="3063"/>
      <c r="D4522" s="3064"/>
      <c r="E4522" s="3064"/>
      <c r="F4522" s="3064"/>
      <c r="G4522" s="3301" t="s">
        <v>677</v>
      </c>
      <c r="H4522" s="3063"/>
      <c r="I4522" s="3030"/>
    </row>
    <row r="4523" spans="2:9">
      <c r="B4523" s="3192" t="s">
        <v>678</v>
      </c>
      <c r="C4523" s="3063"/>
      <c r="D4523" s="3064"/>
      <c r="E4523" s="3064"/>
      <c r="F4523" s="3064"/>
      <c r="G4523" s="3301" t="s">
        <v>678</v>
      </c>
      <c r="H4523" s="3063"/>
      <c r="I4523" s="3030"/>
    </row>
    <row r="4524" spans="2:9">
      <c r="B4524" s="3192" t="s">
        <v>679</v>
      </c>
      <c r="C4524" s="3063"/>
      <c r="D4524" s="3064"/>
      <c r="E4524" s="3064"/>
      <c r="F4524" s="3064"/>
      <c r="G4524" s="3301" t="s">
        <v>679</v>
      </c>
      <c r="H4524" s="3063"/>
      <c r="I4524" s="3030"/>
    </row>
    <row r="4525" spans="2:9" ht="25.5">
      <c r="B4525" s="3192" t="s">
        <v>720</v>
      </c>
      <c r="C4525" s="3063"/>
      <c r="D4525" s="3064"/>
      <c r="E4525" s="3064"/>
      <c r="F4525" s="3064"/>
      <c r="G4525" s="3301" t="s">
        <v>720</v>
      </c>
      <c r="H4525" s="3063"/>
      <c r="I4525" s="3030"/>
    </row>
    <row r="4526" spans="2:9" ht="25.5">
      <c r="B4526" s="3299" t="s">
        <v>682</v>
      </c>
      <c r="C4526" s="3063"/>
      <c r="D4526" s="3064"/>
      <c r="E4526" s="3064"/>
      <c r="F4526" s="3064"/>
      <c r="G4526" s="3300" t="s">
        <v>682</v>
      </c>
      <c r="H4526" s="3063"/>
      <c r="I4526" s="3030"/>
    </row>
    <row r="4527" spans="2:9" ht="25.5">
      <c r="B4527" s="3192" t="s">
        <v>675</v>
      </c>
      <c r="C4527" s="3063"/>
      <c r="D4527" s="3064"/>
      <c r="E4527" s="3064"/>
      <c r="F4527" s="3064"/>
      <c r="G4527" s="3301" t="s">
        <v>675</v>
      </c>
      <c r="H4527" s="3063"/>
      <c r="I4527" s="3030"/>
    </row>
    <row r="4528" spans="2:9" ht="25.5">
      <c r="B4528" s="3192" t="s">
        <v>676</v>
      </c>
      <c r="C4528" s="3063"/>
      <c r="D4528" s="3064"/>
      <c r="E4528" s="3064"/>
      <c r="F4528" s="3064"/>
      <c r="G4528" s="3301" t="s">
        <v>676</v>
      </c>
      <c r="H4528" s="3063"/>
      <c r="I4528" s="3030"/>
    </row>
    <row r="4529" spans="2:9">
      <c r="B4529" s="3192" t="s">
        <v>677</v>
      </c>
      <c r="C4529" s="3063"/>
      <c r="D4529" s="3064"/>
      <c r="E4529" s="3064"/>
      <c r="F4529" s="3064"/>
      <c r="G4529" s="3301" t="s">
        <v>677</v>
      </c>
      <c r="H4529" s="3063"/>
      <c r="I4529" s="3030"/>
    </row>
    <row r="4530" spans="2:9">
      <c r="B4530" s="3192" t="s">
        <v>678</v>
      </c>
      <c r="C4530" s="3063"/>
      <c r="D4530" s="3064"/>
      <c r="E4530" s="3064"/>
      <c r="F4530" s="3064"/>
      <c r="G4530" s="3301" t="s">
        <v>678</v>
      </c>
      <c r="H4530" s="3063"/>
      <c r="I4530" s="3030"/>
    </row>
    <row r="4531" spans="2:9">
      <c r="B4531" s="3192" t="s">
        <v>679</v>
      </c>
      <c r="C4531" s="3063"/>
      <c r="D4531" s="3064"/>
      <c r="E4531" s="3064"/>
      <c r="F4531" s="3064"/>
      <c r="G4531" s="3301" t="s">
        <v>679</v>
      </c>
      <c r="H4531" s="3063"/>
      <c r="I4531" s="3030"/>
    </row>
    <row r="4532" spans="2:9" ht="25.5">
      <c r="B4532" s="3192" t="s">
        <v>720</v>
      </c>
      <c r="C4532" s="3063"/>
      <c r="D4532" s="3064"/>
      <c r="E4532" s="3064"/>
      <c r="F4532" s="3064"/>
      <c r="G4532" s="3301" t="s">
        <v>720</v>
      </c>
      <c r="H4532" s="3063"/>
      <c r="I4532" s="3030"/>
    </row>
    <row r="4533" spans="2:9" ht="25.5">
      <c r="B4533" s="3299" t="s">
        <v>66</v>
      </c>
      <c r="C4533" s="3063"/>
      <c r="D4533" s="3064"/>
      <c r="E4533" s="3064"/>
      <c r="F4533" s="3064"/>
      <c r="G4533" s="3300" t="s">
        <v>66</v>
      </c>
      <c r="H4533" s="3063"/>
      <c r="I4533" s="3030"/>
    </row>
    <row r="4534" spans="2:9" ht="25.5">
      <c r="B4534" s="3192" t="s">
        <v>675</v>
      </c>
      <c r="C4534" s="3063"/>
      <c r="D4534" s="3064"/>
      <c r="E4534" s="3064"/>
      <c r="F4534" s="3064"/>
      <c r="G4534" s="3301" t="s">
        <v>675</v>
      </c>
      <c r="H4534" s="3063"/>
      <c r="I4534" s="3030"/>
    </row>
    <row r="4535" spans="2:9" ht="25.5">
      <c r="B4535" s="3192" t="s">
        <v>676</v>
      </c>
      <c r="C4535" s="3063"/>
      <c r="D4535" s="3064"/>
      <c r="E4535" s="3064"/>
      <c r="F4535" s="3064"/>
      <c r="G4535" s="3301" t="s">
        <v>676</v>
      </c>
      <c r="H4535" s="3063"/>
      <c r="I4535" s="3030"/>
    </row>
    <row r="4536" spans="2:9">
      <c r="B4536" s="3192" t="s">
        <v>677</v>
      </c>
      <c r="C4536" s="3063"/>
      <c r="D4536" s="3064"/>
      <c r="E4536" s="3064"/>
      <c r="F4536" s="3064"/>
      <c r="G4536" s="3301" t="s">
        <v>677</v>
      </c>
      <c r="H4536" s="3063"/>
      <c r="I4536" s="3030"/>
    </row>
    <row r="4537" spans="2:9">
      <c r="B4537" s="3192" t="s">
        <v>678</v>
      </c>
      <c r="C4537" s="3063"/>
      <c r="D4537" s="3064"/>
      <c r="E4537" s="3064"/>
      <c r="F4537" s="3064"/>
      <c r="G4537" s="3301" t="s">
        <v>678</v>
      </c>
      <c r="H4537" s="3063"/>
      <c r="I4537" s="3030"/>
    </row>
    <row r="4538" spans="2:9">
      <c r="B4538" s="3192" t="s">
        <v>679</v>
      </c>
      <c r="C4538" s="3063"/>
      <c r="D4538" s="3064"/>
      <c r="E4538" s="3064"/>
      <c r="F4538" s="3064"/>
      <c r="G4538" s="3301" t="s">
        <v>679</v>
      </c>
      <c r="H4538" s="3063"/>
      <c r="I4538" s="3030"/>
    </row>
    <row r="4539" spans="2:9" ht="25.5">
      <c r="B4539" s="3192" t="s">
        <v>720</v>
      </c>
      <c r="C4539" s="3063"/>
      <c r="D4539" s="3064"/>
      <c r="E4539" s="3064"/>
      <c r="F4539" s="3064"/>
      <c r="G4539" s="3301" t="s">
        <v>720</v>
      </c>
      <c r="H4539" s="3063"/>
      <c r="I4539" s="3030"/>
    </row>
    <row r="4540" spans="2:9">
      <c r="B4540" s="3299" t="s">
        <v>67</v>
      </c>
      <c r="C4540" s="3063"/>
      <c r="D4540" s="3064"/>
      <c r="E4540" s="3064"/>
      <c r="F4540" s="3064">
        <v>1</v>
      </c>
      <c r="G4540" s="3300" t="s">
        <v>67</v>
      </c>
      <c r="H4540" s="3063">
        <v>2.037406788639419E-2</v>
      </c>
      <c r="I4540" s="3030"/>
    </row>
    <row r="4541" spans="2:9" ht="25.5">
      <c r="B4541" s="3192" t="s">
        <v>675</v>
      </c>
      <c r="C4541" s="3063"/>
      <c r="D4541" s="3064">
        <v>1</v>
      </c>
      <c r="E4541" s="3064"/>
      <c r="F4541" s="3064"/>
      <c r="G4541" s="3301" t="s">
        <v>675</v>
      </c>
      <c r="H4541" s="3063"/>
      <c r="I4541" s="3030">
        <v>2.037406788639419E-2</v>
      </c>
    </row>
    <row r="4542" spans="2:9" ht="25.5">
      <c r="B4542" s="3192" t="s">
        <v>676</v>
      </c>
      <c r="C4542" s="3063"/>
      <c r="D4542" s="3064"/>
      <c r="E4542" s="3064"/>
      <c r="F4542" s="3064"/>
      <c r="G4542" s="3301" t="s">
        <v>676</v>
      </c>
      <c r="H4542" s="3063"/>
      <c r="I4542" s="3030"/>
    </row>
    <row r="4543" spans="2:9">
      <c r="B4543" s="3192" t="s">
        <v>677</v>
      </c>
      <c r="C4543" s="3063"/>
      <c r="D4543" s="3064"/>
      <c r="E4543" s="3064"/>
      <c r="F4543" s="3064"/>
      <c r="G4543" s="3301" t="s">
        <v>677</v>
      </c>
      <c r="H4543" s="3063"/>
      <c r="I4543" s="3030"/>
    </row>
    <row r="4544" spans="2:9">
      <c r="B4544" s="3192" t="s">
        <v>678</v>
      </c>
      <c r="C4544" s="3063"/>
      <c r="D4544" s="3064"/>
      <c r="E4544" s="3064"/>
      <c r="F4544" s="3064"/>
      <c r="G4544" s="3301" t="s">
        <v>678</v>
      </c>
      <c r="H4544" s="3063"/>
      <c r="I4544" s="3030"/>
    </row>
    <row r="4545" spans="2:9">
      <c r="B4545" s="3192" t="s">
        <v>679</v>
      </c>
      <c r="C4545" s="3063"/>
      <c r="D4545" s="3064"/>
      <c r="E4545" s="3064"/>
      <c r="F4545" s="3064"/>
      <c r="G4545" s="3301" t="s">
        <v>679</v>
      </c>
      <c r="H4545" s="3063"/>
      <c r="I4545" s="3030"/>
    </row>
    <row r="4546" spans="2:9" ht="25.5">
      <c r="B4546" s="3230" t="s">
        <v>81</v>
      </c>
      <c r="C4546" s="3063"/>
      <c r="D4546" s="3064"/>
      <c r="E4546" s="3064"/>
      <c r="F4546" s="3064"/>
      <c r="G4546" s="3302" t="s">
        <v>81</v>
      </c>
      <c r="H4546" s="3063"/>
      <c r="I4546" s="3030"/>
    </row>
    <row r="4547" spans="2:9" ht="26.25" thickBot="1">
      <c r="B4547" s="3303" t="s">
        <v>81</v>
      </c>
      <c r="C4547" s="3068"/>
      <c r="D4547" s="3069"/>
      <c r="E4547" s="3069"/>
      <c r="F4547" s="3069"/>
      <c r="G4547" s="3304" t="s">
        <v>81</v>
      </c>
      <c r="H4547" s="3068"/>
      <c r="I4547" s="3070"/>
    </row>
    <row r="4548" spans="2:9" ht="38.25">
      <c r="B4548" s="4723">
        <v>3029</v>
      </c>
      <c r="C4548" s="3289"/>
      <c r="D4548" s="3290"/>
      <c r="E4548" s="3290"/>
      <c r="F4548" s="3290"/>
      <c r="G4548" s="4723">
        <v>3029</v>
      </c>
      <c r="H4548" s="3291" t="s">
        <v>687</v>
      </c>
      <c r="I4548" s="3292" t="s">
        <v>688</v>
      </c>
    </row>
    <row r="4549" spans="2:9">
      <c r="B4549" s="4724"/>
      <c r="C4549" s="4678" t="s">
        <v>686</v>
      </c>
      <c r="D4549" s="4725"/>
      <c r="E4549" s="4725"/>
      <c r="F4549" s="4726"/>
      <c r="G4549" s="4724"/>
      <c r="H4549" s="3293"/>
      <c r="I4549" s="3294"/>
    </row>
    <row r="4550" spans="2:9" ht="13.5" thickBot="1">
      <c r="B4550" s="4724"/>
      <c r="C4550" s="3215">
        <v>2013</v>
      </c>
      <c r="D4550" s="3215">
        <v>2014</v>
      </c>
      <c r="E4550" s="3215">
        <v>2015</v>
      </c>
      <c r="F4550" s="3215">
        <v>2016</v>
      </c>
      <c r="G4550" s="4724"/>
      <c r="H4550" s="3295" t="s">
        <v>390</v>
      </c>
      <c r="I4550" s="3296" t="s">
        <v>390</v>
      </c>
    </row>
    <row r="4551" spans="2:9">
      <c r="B4551" s="3217" t="s">
        <v>695</v>
      </c>
      <c r="C4551" s="3218"/>
      <c r="D4551" s="3219"/>
      <c r="E4551" s="3219"/>
      <c r="F4551" s="3219"/>
      <c r="G4551" s="3217" t="s">
        <v>695</v>
      </c>
      <c r="H4551" s="3297"/>
      <c r="I4551" s="3298"/>
    </row>
    <row r="4552" spans="2:9">
      <c r="B4552" s="3299" t="s">
        <v>64</v>
      </c>
      <c r="C4552" s="3063"/>
      <c r="D4552" s="3064"/>
      <c r="E4552" s="3064"/>
      <c r="F4552" s="3064"/>
      <c r="G4552" s="3300" t="s">
        <v>64</v>
      </c>
      <c r="H4552" s="3063"/>
      <c r="I4552" s="3030"/>
    </row>
    <row r="4553" spans="2:9" ht="25.5">
      <c r="B4553" s="3192" t="s">
        <v>675</v>
      </c>
      <c r="C4553" s="3063"/>
      <c r="D4553" s="3064"/>
      <c r="E4553" s="3064"/>
      <c r="F4553" s="3064"/>
      <c r="G4553" s="3301" t="s">
        <v>675</v>
      </c>
      <c r="H4553" s="3063"/>
      <c r="I4553" s="3030"/>
    </row>
    <row r="4554" spans="2:9" ht="25.5">
      <c r="B4554" s="3192" t="s">
        <v>676</v>
      </c>
      <c r="C4554" s="3063"/>
      <c r="D4554" s="3064"/>
      <c r="E4554" s="3064"/>
      <c r="F4554" s="3064"/>
      <c r="G4554" s="3301" t="s">
        <v>676</v>
      </c>
      <c r="H4554" s="3063"/>
      <c r="I4554" s="3030"/>
    </row>
    <row r="4555" spans="2:9">
      <c r="B4555" s="3192" t="s">
        <v>677</v>
      </c>
      <c r="C4555" s="3063"/>
      <c r="D4555" s="3064"/>
      <c r="E4555" s="3064"/>
      <c r="F4555" s="3064"/>
      <c r="G4555" s="3301" t="s">
        <v>677</v>
      </c>
      <c r="H4555" s="3063"/>
      <c r="I4555" s="3030"/>
    </row>
    <row r="4556" spans="2:9">
      <c r="B4556" s="3192" t="s">
        <v>678</v>
      </c>
      <c r="C4556" s="3063"/>
      <c r="D4556" s="3064"/>
      <c r="E4556" s="3064"/>
      <c r="F4556" s="3064"/>
      <c r="G4556" s="3301" t="s">
        <v>678</v>
      </c>
      <c r="H4556" s="3063"/>
      <c r="I4556" s="3030"/>
    </row>
    <row r="4557" spans="2:9">
      <c r="B4557" s="3192" t="s">
        <v>679</v>
      </c>
      <c r="C4557" s="3063"/>
      <c r="D4557" s="3064"/>
      <c r="E4557" s="3064"/>
      <c r="F4557" s="3064"/>
      <c r="G4557" s="3301" t="s">
        <v>679</v>
      </c>
      <c r="H4557" s="3063"/>
      <c r="I4557" s="3030"/>
    </row>
    <row r="4558" spans="2:9" ht="25.5">
      <c r="B4558" s="3192" t="s">
        <v>720</v>
      </c>
      <c r="C4558" s="3063"/>
      <c r="D4558" s="3064"/>
      <c r="E4558" s="3064"/>
      <c r="F4558" s="3064"/>
      <c r="G4558" s="3301" t="s">
        <v>720</v>
      </c>
      <c r="H4558" s="3063"/>
      <c r="I4558" s="3030"/>
    </row>
    <row r="4559" spans="2:9">
      <c r="B4559" s="3299" t="s">
        <v>65</v>
      </c>
      <c r="C4559" s="3063"/>
      <c r="D4559" s="3064"/>
      <c r="E4559" s="3064"/>
      <c r="F4559" s="3064"/>
      <c r="G4559" s="3300" t="s">
        <v>65</v>
      </c>
      <c r="H4559" s="3063"/>
      <c r="I4559" s="3030"/>
    </row>
    <row r="4560" spans="2:9" ht="25.5">
      <c r="B4560" s="3192" t="s">
        <v>675</v>
      </c>
      <c r="C4560" s="3063"/>
      <c r="D4560" s="3064"/>
      <c r="E4560" s="3064"/>
      <c r="F4560" s="3064"/>
      <c r="G4560" s="3301" t="s">
        <v>675</v>
      </c>
      <c r="H4560" s="3063"/>
      <c r="I4560" s="3030"/>
    </row>
    <row r="4561" spans="2:9" ht="25.5">
      <c r="B4561" s="3192" t="s">
        <v>676</v>
      </c>
      <c r="C4561" s="3063"/>
      <c r="D4561" s="3064"/>
      <c r="E4561" s="3064"/>
      <c r="F4561" s="3064"/>
      <c r="G4561" s="3301" t="s">
        <v>676</v>
      </c>
      <c r="H4561" s="3063"/>
      <c r="I4561" s="3030"/>
    </row>
    <row r="4562" spans="2:9">
      <c r="B4562" s="3192" t="s">
        <v>677</v>
      </c>
      <c r="C4562" s="3063"/>
      <c r="D4562" s="3064"/>
      <c r="E4562" s="3064"/>
      <c r="F4562" s="3064"/>
      <c r="G4562" s="3301" t="s">
        <v>677</v>
      </c>
      <c r="H4562" s="3063"/>
      <c r="I4562" s="3030"/>
    </row>
    <row r="4563" spans="2:9">
      <c r="B4563" s="3192" t="s">
        <v>678</v>
      </c>
      <c r="C4563" s="3063"/>
      <c r="D4563" s="3064"/>
      <c r="E4563" s="3064"/>
      <c r="F4563" s="3064"/>
      <c r="G4563" s="3301" t="s">
        <v>678</v>
      </c>
      <c r="H4563" s="3063"/>
      <c r="I4563" s="3030"/>
    </row>
    <row r="4564" spans="2:9">
      <c r="B4564" s="3192" t="s">
        <v>679</v>
      </c>
      <c r="C4564" s="3063"/>
      <c r="D4564" s="3064"/>
      <c r="E4564" s="3064"/>
      <c r="F4564" s="3064"/>
      <c r="G4564" s="3301" t="s">
        <v>679</v>
      </c>
      <c r="H4564" s="3063"/>
      <c r="I4564" s="3030"/>
    </row>
    <row r="4565" spans="2:9" ht="25.5">
      <c r="B4565" s="3192" t="s">
        <v>720</v>
      </c>
      <c r="C4565" s="3063"/>
      <c r="D4565" s="3064"/>
      <c r="E4565" s="3064"/>
      <c r="F4565" s="3064"/>
      <c r="G4565" s="3301" t="s">
        <v>720</v>
      </c>
      <c r="H4565" s="3063"/>
      <c r="I4565" s="3030"/>
    </row>
    <row r="4566" spans="2:9">
      <c r="B4566" s="3299" t="s">
        <v>82</v>
      </c>
      <c r="C4566" s="3063"/>
      <c r="D4566" s="3064"/>
      <c r="E4566" s="3064"/>
      <c r="F4566" s="3064"/>
      <c r="G4566" s="3300" t="s">
        <v>82</v>
      </c>
      <c r="H4566" s="3063"/>
      <c r="I4566" s="3030"/>
    </row>
    <row r="4567" spans="2:9" ht="25.5">
      <c r="B4567" s="3192" t="s">
        <v>675</v>
      </c>
      <c r="C4567" s="3063"/>
      <c r="D4567" s="3064"/>
      <c r="E4567" s="3064"/>
      <c r="F4567" s="3064"/>
      <c r="G4567" s="3301" t="s">
        <v>675</v>
      </c>
      <c r="H4567" s="3063"/>
      <c r="I4567" s="3030"/>
    </row>
    <row r="4568" spans="2:9" ht="25.5">
      <c r="B4568" s="3192" t="s">
        <v>676</v>
      </c>
      <c r="C4568" s="3063"/>
      <c r="D4568" s="3064"/>
      <c r="E4568" s="3064"/>
      <c r="F4568" s="3064"/>
      <c r="G4568" s="3301" t="s">
        <v>676</v>
      </c>
      <c r="H4568" s="3063"/>
      <c r="I4568" s="3030"/>
    </row>
    <row r="4569" spans="2:9">
      <c r="B4569" s="3192" t="s">
        <v>677</v>
      </c>
      <c r="C4569" s="3063"/>
      <c r="D4569" s="3064"/>
      <c r="E4569" s="3064"/>
      <c r="F4569" s="3064"/>
      <c r="G4569" s="3301" t="s">
        <v>677</v>
      </c>
      <c r="H4569" s="3063"/>
      <c r="I4569" s="3030"/>
    </row>
    <row r="4570" spans="2:9">
      <c r="B4570" s="3192" t="s">
        <v>678</v>
      </c>
      <c r="C4570" s="3063"/>
      <c r="D4570" s="3064"/>
      <c r="E4570" s="3064"/>
      <c r="F4570" s="3064"/>
      <c r="G4570" s="3301" t="s">
        <v>678</v>
      </c>
      <c r="H4570" s="3063"/>
      <c r="I4570" s="3030"/>
    </row>
    <row r="4571" spans="2:9">
      <c r="B4571" s="3192" t="s">
        <v>679</v>
      </c>
      <c r="C4571" s="3063"/>
      <c r="D4571" s="3064"/>
      <c r="E4571" s="3064"/>
      <c r="F4571" s="3064"/>
      <c r="G4571" s="3301" t="s">
        <v>679</v>
      </c>
      <c r="H4571" s="3063"/>
      <c r="I4571" s="3030"/>
    </row>
    <row r="4572" spans="2:9" ht="25.5">
      <c r="B4572" s="3192" t="s">
        <v>720</v>
      </c>
      <c r="C4572" s="3063"/>
      <c r="D4572" s="3064"/>
      <c r="E4572" s="3064"/>
      <c r="F4572" s="3064"/>
      <c r="G4572" s="3301" t="s">
        <v>720</v>
      </c>
      <c r="H4572" s="3063"/>
      <c r="I4572" s="3030"/>
    </row>
    <row r="4573" spans="2:9" ht="38.25">
      <c r="B4573" s="3299" t="s">
        <v>680</v>
      </c>
      <c r="C4573" s="3063"/>
      <c r="D4573" s="3064"/>
      <c r="E4573" s="3064"/>
      <c r="F4573" s="3064"/>
      <c r="G4573" s="3300" t="s">
        <v>680</v>
      </c>
      <c r="H4573" s="3063"/>
      <c r="I4573" s="3030"/>
    </row>
    <row r="4574" spans="2:9" ht="25.5">
      <c r="B4574" s="3192" t="s">
        <v>675</v>
      </c>
      <c r="C4574" s="3063"/>
      <c r="D4574" s="3064"/>
      <c r="E4574" s="3064"/>
      <c r="F4574" s="3064"/>
      <c r="G4574" s="3301" t="s">
        <v>675</v>
      </c>
      <c r="H4574" s="3063"/>
      <c r="I4574" s="3030"/>
    </row>
    <row r="4575" spans="2:9" ht="25.5">
      <c r="B4575" s="3192" t="s">
        <v>676</v>
      </c>
      <c r="C4575" s="3063"/>
      <c r="D4575" s="3064"/>
      <c r="E4575" s="3064"/>
      <c r="F4575" s="3064"/>
      <c r="G4575" s="3301" t="s">
        <v>676</v>
      </c>
      <c r="H4575" s="3063"/>
      <c r="I4575" s="3030"/>
    </row>
    <row r="4576" spans="2:9">
      <c r="B4576" s="3192" t="s">
        <v>677</v>
      </c>
      <c r="C4576" s="3063"/>
      <c r="D4576" s="3064"/>
      <c r="E4576" s="3064"/>
      <c r="F4576" s="3064"/>
      <c r="G4576" s="3301" t="s">
        <v>677</v>
      </c>
      <c r="H4576" s="3063"/>
      <c r="I4576" s="3030"/>
    </row>
    <row r="4577" spans="2:9">
      <c r="B4577" s="3192" t="s">
        <v>678</v>
      </c>
      <c r="C4577" s="3063"/>
      <c r="D4577" s="3064"/>
      <c r="E4577" s="3064"/>
      <c r="F4577" s="3064"/>
      <c r="G4577" s="3301" t="s">
        <v>678</v>
      </c>
      <c r="H4577" s="3063"/>
      <c r="I4577" s="3030"/>
    </row>
    <row r="4578" spans="2:9">
      <c r="B4578" s="3192" t="s">
        <v>679</v>
      </c>
      <c r="C4578" s="3063"/>
      <c r="D4578" s="3064"/>
      <c r="E4578" s="3064"/>
      <c r="F4578" s="3064"/>
      <c r="G4578" s="3301" t="s">
        <v>679</v>
      </c>
      <c r="H4578" s="3063"/>
      <c r="I4578" s="3030"/>
    </row>
    <row r="4579" spans="2:9" ht="25.5">
      <c r="B4579" s="3192" t="s">
        <v>720</v>
      </c>
      <c r="C4579" s="3063"/>
      <c r="D4579" s="3064"/>
      <c r="E4579" s="3064"/>
      <c r="F4579" s="3064"/>
      <c r="G4579" s="3301" t="s">
        <v>720</v>
      </c>
      <c r="H4579" s="3063"/>
      <c r="I4579" s="3030"/>
    </row>
    <row r="4580" spans="2:9" ht="38.25">
      <c r="B4580" s="3299" t="s">
        <v>681</v>
      </c>
      <c r="C4580" s="3063"/>
      <c r="D4580" s="3064"/>
      <c r="E4580" s="3064"/>
      <c r="F4580" s="3064"/>
      <c r="G4580" s="3300" t="s">
        <v>681</v>
      </c>
      <c r="H4580" s="3063"/>
      <c r="I4580" s="3030"/>
    </row>
    <row r="4581" spans="2:9" ht="25.5">
      <c r="B4581" s="3192" t="s">
        <v>675</v>
      </c>
      <c r="C4581" s="3063"/>
      <c r="D4581" s="3064"/>
      <c r="E4581" s="3064"/>
      <c r="F4581" s="3064"/>
      <c r="G4581" s="3301" t="s">
        <v>675</v>
      </c>
      <c r="H4581" s="3063"/>
      <c r="I4581" s="3030"/>
    </row>
    <row r="4582" spans="2:9" ht="25.5">
      <c r="B4582" s="3192" t="s">
        <v>676</v>
      </c>
      <c r="C4582" s="3063"/>
      <c r="D4582" s="3064"/>
      <c r="E4582" s="3064"/>
      <c r="F4582" s="3064"/>
      <c r="G4582" s="3301" t="s">
        <v>676</v>
      </c>
      <c r="H4582" s="3063"/>
      <c r="I4582" s="3030"/>
    </row>
    <row r="4583" spans="2:9">
      <c r="B4583" s="3192" t="s">
        <v>677</v>
      </c>
      <c r="C4583" s="3063"/>
      <c r="D4583" s="3064"/>
      <c r="E4583" s="3064"/>
      <c r="F4583" s="3064"/>
      <c r="G4583" s="3301" t="s">
        <v>677</v>
      </c>
      <c r="H4583" s="3063"/>
      <c r="I4583" s="3030"/>
    </row>
    <row r="4584" spans="2:9">
      <c r="B4584" s="3192" t="s">
        <v>678</v>
      </c>
      <c r="C4584" s="3063"/>
      <c r="D4584" s="3064"/>
      <c r="E4584" s="3064"/>
      <c r="F4584" s="3064"/>
      <c r="G4584" s="3301" t="s">
        <v>678</v>
      </c>
      <c r="H4584" s="3063"/>
      <c r="I4584" s="3030"/>
    </row>
    <row r="4585" spans="2:9">
      <c r="B4585" s="3192" t="s">
        <v>679</v>
      </c>
      <c r="C4585" s="3063"/>
      <c r="D4585" s="3064"/>
      <c r="E4585" s="3064"/>
      <c r="F4585" s="3064"/>
      <c r="G4585" s="3301" t="s">
        <v>679</v>
      </c>
      <c r="H4585" s="3063"/>
      <c r="I4585" s="3030"/>
    </row>
    <row r="4586" spans="2:9" ht="25.5">
      <c r="B4586" s="3192" t="s">
        <v>720</v>
      </c>
      <c r="C4586" s="3063"/>
      <c r="D4586" s="3064"/>
      <c r="E4586" s="3064"/>
      <c r="F4586" s="3064"/>
      <c r="G4586" s="3301" t="s">
        <v>720</v>
      </c>
      <c r="H4586" s="3063"/>
      <c r="I4586" s="3030"/>
    </row>
    <row r="4587" spans="2:9" ht="25.5">
      <c r="B4587" s="3299" t="s">
        <v>682</v>
      </c>
      <c r="C4587" s="3063"/>
      <c r="D4587" s="3064"/>
      <c r="E4587" s="3064"/>
      <c r="F4587" s="3064"/>
      <c r="G4587" s="3300" t="s">
        <v>682</v>
      </c>
      <c r="H4587" s="3063"/>
      <c r="I4587" s="3030"/>
    </row>
    <row r="4588" spans="2:9" ht="25.5">
      <c r="B4588" s="3192" t="s">
        <v>675</v>
      </c>
      <c r="C4588" s="3063"/>
      <c r="D4588" s="3064"/>
      <c r="E4588" s="3064"/>
      <c r="F4588" s="3064"/>
      <c r="G4588" s="3301" t="s">
        <v>675</v>
      </c>
      <c r="H4588" s="3063"/>
      <c r="I4588" s="3030"/>
    </row>
    <row r="4589" spans="2:9" ht="25.5">
      <c r="B4589" s="3192" t="s">
        <v>676</v>
      </c>
      <c r="C4589" s="3063"/>
      <c r="D4589" s="3064"/>
      <c r="E4589" s="3064"/>
      <c r="F4589" s="3064"/>
      <c r="G4589" s="3301" t="s">
        <v>676</v>
      </c>
      <c r="H4589" s="3063"/>
      <c r="I4589" s="3030"/>
    </row>
    <row r="4590" spans="2:9">
      <c r="B4590" s="3192" t="s">
        <v>677</v>
      </c>
      <c r="C4590" s="3063"/>
      <c r="D4590" s="3064"/>
      <c r="E4590" s="3064"/>
      <c r="F4590" s="3064"/>
      <c r="G4590" s="3301" t="s">
        <v>677</v>
      </c>
      <c r="H4590" s="3063"/>
      <c r="I4590" s="3030"/>
    </row>
    <row r="4591" spans="2:9">
      <c r="B4591" s="3192" t="s">
        <v>678</v>
      </c>
      <c r="C4591" s="3063"/>
      <c r="D4591" s="3064"/>
      <c r="E4591" s="3064"/>
      <c r="F4591" s="3064"/>
      <c r="G4591" s="3301" t="s">
        <v>678</v>
      </c>
      <c r="H4591" s="3063"/>
      <c r="I4591" s="3030"/>
    </row>
    <row r="4592" spans="2:9">
      <c r="B4592" s="3192" t="s">
        <v>679</v>
      </c>
      <c r="C4592" s="3063"/>
      <c r="D4592" s="3064"/>
      <c r="E4592" s="3064"/>
      <c r="F4592" s="3064"/>
      <c r="G4592" s="3301" t="s">
        <v>679</v>
      </c>
      <c r="H4592" s="3063"/>
      <c r="I4592" s="3030"/>
    </row>
    <row r="4593" spans="2:9" ht="25.5">
      <c r="B4593" s="3192" t="s">
        <v>720</v>
      </c>
      <c r="C4593" s="3063"/>
      <c r="D4593" s="3064"/>
      <c r="E4593" s="3064"/>
      <c r="F4593" s="3064"/>
      <c r="G4593" s="3301" t="s">
        <v>720</v>
      </c>
      <c r="H4593" s="3063"/>
      <c r="I4593" s="3030"/>
    </row>
    <row r="4594" spans="2:9" ht="25.5">
      <c r="B4594" s="3299" t="s">
        <v>66</v>
      </c>
      <c r="C4594" s="3063"/>
      <c r="D4594" s="3064"/>
      <c r="E4594" s="3064"/>
      <c r="F4594" s="3064"/>
      <c r="G4594" s="3300" t="s">
        <v>66</v>
      </c>
      <c r="H4594" s="3063"/>
      <c r="I4594" s="3030"/>
    </row>
    <row r="4595" spans="2:9" ht="25.5">
      <c r="B4595" s="3192" t="s">
        <v>675</v>
      </c>
      <c r="C4595" s="3063"/>
      <c r="D4595" s="3064"/>
      <c r="E4595" s="3064"/>
      <c r="F4595" s="3064"/>
      <c r="G4595" s="3301" t="s">
        <v>675</v>
      </c>
      <c r="H4595" s="3063"/>
      <c r="I4595" s="3030"/>
    </row>
    <row r="4596" spans="2:9" ht="25.5">
      <c r="B4596" s="3192" t="s">
        <v>676</v>
      </c>
      <c r="C4596" s="3063"/>
      <c r="D4596" s="3064"/>
      <c r="E4596" s="3064"/>
      <c r="F4596" s="3064"/>
      <c r="G4596" s="3301" t="s">
        <v>676</v>
      </c>
      <c r="H4596" s="3063"/>
      <c r="I4596" s="3030"/>
    </row>
    <row r="4597" spans="2:9">
      <c r="B4597" s="3192" t="s">
        <v>677</v>
      </c>
      <c r="C4597" s="3063"/>
      <c r="D4597" s="3064"/>
      <c r="E4597" s="3064"/>
      <c r="F4597" s="3064"/>
      <c r="G4597" s="3301" t="s">
        <v>677</v>
      </c>
      <c r="H4597" s="3063"/>
      <c r="I4597" s="3030"/>
    </row>
    <row r="4598" spans="2:9">
      <c r="B4598" s="3192" t="s">
        <v>678</v>
      </c>
      <c r="C4598" s="3063"/>
      <c r="D4598" s="3064"/>
      <c r="E4598" s="3064"/>
      <c r="F4598" s="3064"/>
      <c r="G4598" s="3301" t="s">
        <v>678</v>
      </c>
      <c r="H4598" s="3063"/>
      <c r="I4598" s="3030"/>
    </row>
    <row r="4599" spans="2:9">
      <c r="B4599" s="3192" t="s">
        <v>679</v>
      </c>
      <c r="C4599" s="3063"/>
      <c r="D4599" s="3064"/>
      <c r="E4599" s="3064"/>
      <c r="F4599" s="3064"/>
      <c r="G4599" s="3301" t="s">
        <v>679</v>
      </c>
      <c r="H4599" s="3063"/>
      <c r="I4599" s="3030"/>
    </row>
    <row r="4600" spans="2:9" ht="25.5">
      <c r="B4600" s="3192" t="s">
        <v>720</v>
      </c>
      <c r="C4600" s="3063"/>
      <c r="D4600" s="3064"/>
      <c r="E4600" s="3064"/>
      <c r="F4600" s="3064"/>
      <c r="G4600" s="3301" t="s">
        <v>720</v>
      </c>
      <c r="H4600" s="3063"/>
      <c r="I4600" s="3030"/>
    </row>
    <row r="4601" spans="2:9">
      <c r="B4601" s="3299" t="s">
        <v>67</v>
      </c>
      <c r="C4601" s="3063"/>
      <c r="D4601" s="3064"/>
      <c r="E4601" s="3064"/>
      <c r="F4601" s="3064"/>
      <c r="G4601" s="3300" t="s">
        <v>67</v>
      </c>
      <c r="H4601" s="3063"/>
      <c r="I4601" s="3030"/>
    </row>
    <row r="4602" spans="2:9" ht="25.5">
      <c r="B4602" s="3192" t="s">
        <v>675</v>
      </c>
      <c r="C4602" s="3063"/>
      <c r="D4602" s="3064"/>
      <c r="E4602" s="3064"/>
      <c r="F4602" s="3064"/>
      <c r="G4602" s="3301" t="s">
        <v>675</v>
      </c>
      <c r="H4602" s="3063"/>
      <c r="I4602" s="3030"/>
    </row>
    <row r="4603" spans="2:9" ht="25.5">
      <c r="B4603" s="3192" t="s">
        <v>676</v>
      </c>
      <c r="C4603" s="3063"/>
      <c r="D4603" s="3064"/>
      <c r="E4603" s="3064"/>
      <c r="F4603" s="3064"/>
      <c r="G4603" s="3301" t="s">
        <v>676</v>
      </c>
      <c r="H4603" s="3063"/>
      <c r="I4603" s="3030"/>
    </row>
    <row r="4604" spans="2:9">
      <c r="B4604" s="3192" t="s">
        <v>677</v>
      </c>
      <c r="C4604" s="3063"/>
      <c r="D4604" s="3064"/>
      <c r="E4604" s="3064"/>
      <c r="F4604" s="3064"/>
      <c r="G4604" s="3301" t="s">
        <v>677</v>
      </c>
      <c r="H4604" s="3063"/>
      <c r="I4604" s="3030"/>
    </row>
    <row r="4605" spans="2:9">
      <c r="B4605" s="3192" t="s">
        <v>678</v>
      </c>
      <c r="C4605" s="3063"/>
      <c r="D4605" s="3064"/>
      <c r="E4605" s="3064"/>
      <c r="F4605" s="3064"/>
      <c r="G4605" s="3301" t="s">
        <v>678</v>
      </c>
      <c r="H4605" s="3063"/>
      <c r="I4605" s="3030"/>
    </row>
    <row r="4606" spans="2:9">
      <c r="B4606" s="3192" t="s">
        <v>679</v>
      </c>
      <c r="C4606" s="3063"/>
      <c r="D4606" s="3064"/>
      <c r="E4606" s="3064"/>
      <c r="F4606" s="3064"/>
      <c r="G4606" s="3301" t="s">
        <v>679</v>
      </c>
      <c r="H4606" s="3063"/>
      <c r="I4606" s="3030"/>
    </row>
    <row r="4607" spans="2:9" ht="25.5">
      <c r="B4607" s="3192" t="s">
        <v>720</v>
      </c>
      <c r="C4607" s="3063"/>
      <c r="D4607" s="3064"/>
      <c r="E4607" s="3064"/>
      <c r="F4607" s="3064"/>
      <c r="G4607" s="3301" t="s">
        <v>720</v>
      </c>
      <c r="H4607" s="3063"/>
      <c r="I4607" s="3030"/>
    </row>
    <row r="4608" spans="2:9" ht="25.5">
      <c r="B4608" s="3230" t="s">
        <v>81</v>
      </c>
      <c r="C4608" s="3063"/>
      <c r="D4608" s="3064"/>
      <c r="E4608" s="3064"/>
      <c r="F4608" s="3064"/>
      <c r="G4608" s="3302" t="s">
        <v>81</v>
      </c>
      <c r="H4608" s="3063"/>
      <c r="I4608" s="3030"/>
    </row>
    <row r="4609" spans="2:9" ht="26.25" thickBot="1">
      <c r="B4609" s="3303" t="s">
        <v>81</v>
      </c>
      <c r="C4609" s="3063"/>
      <c r="D4609" s="3064"/>
      <c r="E4609" s="3064"/>
      <c r="F4609" s="3064"/>
      <c r="G4609" s="3302" t="s">
        <v>81</v>
      </c>
      <c r="H4609" s="3063"/>
      <c r="I4609" s="3030"/>
    </row>
    <row r="4610" spans="2:9" ht="25.5">
      <c r="B4610" s="3217" t="s">
        <v>696</v>
      </c>
      <c r="C4610" s="3218"/>
      <c r="D4610" s="3219"/>
      <c r="E4610" s="3219"/>
      <c r="F4610" s="3219"/>
      <c r="G4610" s="3217" t="s">
        <v>696</v>
      </c>
      <c r="H4610" s="3297"/>
      <c r="I4610" s="3298"/>
    </row>
    <row r="4611" spans="2:9">
      <c r="B4611" s="3299" t="s">
        <v>64</v>
      </c>
      <c r="C4611" s="3063"/>
      <c r="D4611" s="3064"/>
      <c r="E4611" s="3064"/>
      <c r="F4611" s="3064"/>
      <c r="G4611" s="3300" t="s">
        <v>64</v>
      </c>
      <c r="H4611" s="3063"/>
      <c r="I4611" s="3030"/>
    </row>
    <row r="4612" spans="2:9" ht="25.5">
      <c r="B4612" s="3192" t="s">
        <v>675</v>
      </c>
      <c r="C4612" s="3063"/>
      <c r="D4612" s="3064"/>
      <c r="E4612" s="3064"/>
      <c r="F4612" s="3064"/>
      <c r="G4612" s="3301" t="s">
        <v>675</v>
      </c>
      <c r="H4612" s="3063"/>
      <c r="I4612" s="3030"/>
    </row>
    <row r="4613" spans="2:9" ht="25.5">
      <c r="B4613" s="3192" t="s">
        <v>676</v>
      </c>
      <c r="C4613" s="3063"/>
      <c r="D4613" s="3064"/>
      <c r="E4613" s="3064"/>
      <c r="F4613" s="3064"/>
      <c r="G4613" s="3301" t="s">
        <v>676</v>
      </c>
      <c r="H4613" s="3063"/>
      <c r="I4613" s="3030"/>
    </row>
    <row r="4614" spans="2:9">
      <c r="B4614" s="3192" t="s">
        <v>677</v>
      </c>
      <c r="C4614" s="3063"/>
      <c r="D4614" s="3064"/>
      <c r="E4614" s="3064"/>
      <c r="F4614" s="3064"/>
      <c r="G4614" s="3301" t="s">
        <v>677</v>
      </c>
      <c r="H4614" s="3063"/>
      <c r="I4614" s="3030"/>
    </row>
    <row r="4615" spans="2:9">
      <c r="B4615" s="3192" t="s">
        <v>678</v>
      </c>
      <c r="C4615" s="3063"/>
      <c r="D4615" s="3064"/>
      <c r="E4615" s="3064"/>
      <c r="F4615" s="3064"/>
      <c r="G4615" s="3301" t="s">
        <v>678</v>
      </c>
      <c r="H4615" s="3063"/>
      <c r="I4615" s="3030"/>
    </row>
    <row r="4616" spans="2:9">
      <c r="B4616" s="3192" t="s">
        <v>679</v>
      </c>
      <c r="C4616" s="3063"/>
      <c r="D4616" s="3064"/>
      <c r="E4616" s="3064"/>
      <c r="F4616" s="3064"/>
      <c r="G4616" s="3301" t="s">
        <v>679</v>
      </c>
      <c r="H4616" s="3063"/>
      <c r="I4616" s="3030"/>
    </row>
    <row r="4617" spans="2:9" ht="25.5">
      <c r="B4617" s="3192" t="s">
        <v>720</v>
      </c>
      <c r="C4617" s="3063"/>
      <c r="D4617" s="3064"/>
      <c r="E4617" s="3064"/>
      <c r="F4617" s="3064"/>
      <c r="G4617" s="3301" t="s">
        <v>720</v>
      </c>
      <c r="H4617" s="3063"/>
      <c r="I4617" s="3030"/>
    </row>
    <row r="4618" spans="2:9">
      <c r="B4618" s="3299" t="s">
        <v>65</v>
      </c>
      <c r="C4618" s="3063"/>
      <c r="D4618" s="3064"/>
      <c r="E4618" s="3064"/>
      <c r="F4618" s="3064"/>
      <c r="G4618" s="3300" t="s">
        <v>65</v>
      </c>
      <c r="H4618" s="3063"/>
      <c r="I4618" s="3030"/>
    </row>
    <row r="4619" spans="2:9" ht="25.5">
      <c r="B4619" s="3192" t="s">
        <v>675</v>
      </c>
      <c r="C4619" s="3063"/>
      <c r="D4619" s="3064"/>
      <c r="E4619" s="3064"/>
      <c r="F4619" s="3064"/>
      <c r="G4619" s="3301" t="s">
        <v>675</v>
      </c>
      <c r="H4619" s="3063"/>
      <c r="I4619" s="3030"/>
    </row>
    <row r="4620" spans="2:9" ht="25.5">
      <c r="B4620" s="3192" t="s">
        <v>676</v>
      </c>
      <c r="C4620" s="3063"/>
      <c r="D4620" s="3064"/>
      <c r="E4620" s="3064"/>
      <c r="F4620" s="3064"/>
      <c r="G4620" s="3301" t="s">
        <v>676</v>
      </c>
      <c r="H4620" s="3063"/>
      <c r="I4620" s="3030"/>
    </row>
    <row r="4621" spans="2:9">
      <c r="B4621" s="3192" t="s">
        <v>677</v>
      </c>
      <c r="C4621" s="3063"/>
      <c r="D4621" s="3064"/>
      <c r="E4621" s="3064"/>
      <c r="F4621" s="3064"/>
      <c r="G4621" s="3301" t="s">
        <v>677</v>
      </c>
      <c r="H4621" s="3063"/>
      <c r="I4621" s="3030"/>
    </row>
    <row r="4622" spans="2:9">
      <c r="B4622" s="3192" t="s">
        <v>678</v>
      </c>
      <c r="C4622" s="3063"/>
      <c r="D4622" s="3064"/>
      <c r="E4622" s="3064"/>
      <c r="F4622" s="3064"/>
      <c r="G4622" s="3301" t="s">
        <v>678</v>
      </c>
      <c r="H4622" s="3063"/>
      <c r="I4622" s="3030"/>
    </row>
    <row r="4623" spans="2:9">
      <c r="B4623" s="3192" t="s">
        <v>679</v>
      </c>
      <c r="C4623" s="3063"/>
      <c r="D4623" s="3064"/>
      <c r="E4623" s="3064"/>
      <c r="F4623" s="3064"/>
      <c r="G4623" s="3301" t="s">
        <v>679</v>
      </c>
      <c r="H4623" s="3063"/>
      <c r="I4623" s="3030"/>
    </row>
    <row r="4624" spans="2:9" ht="25.5">
      <c r="B4624" s="3192" t="s">
        <v>720</v>
      </c>
      <c r="C4624" s="3063"/>
      <c r="D4624" s="3064"/>
      <c r="E4624" s="3064"/>
      <c r="F4624" s="3064"/>
      <c r="G4624" s="3301" t="s">
        <v>720</v>
      </c>
      <c r="H4624" s="3063"/>
      <c r="I4624" s="3030"/>
    </row>
    <row r="4625" spans="2:9">
      <c r="B4625" s="3299" t="s">
        <v>82</v>
      </c>
      <c r="C4625" s="3063"/>
      <c r="D4625" s="3064"/>
      <c r="E4625" s="3064"/>
      <c r="F4625" s="3064"/>
      <c r="G4625" s="3300" t="s">
        <v>82</v>
      </c>
      <c r="H4625" s="3063"/>
      <c r="I4625" s="3030"/>
    </row>
    <row r="4626" spans="2:9" ht="25.5">
      <c r="B4626" s="3192" t="s">
        <v>675</v>
      </c>
      <c r="C4626" s="3063"/>
      <c r="D4626" s="3064"/>
      <c r="E4626" s="3064"/>
      <c r="F4626" s="3064"/>
      <c r="G4626" s="3301" t="s">
        <v>675</v>
      </c>
      <c r="H4626" s="3063"/>
      <c r="I4626" s="3030"/>
    </row>
    <row r="4627" spans="2:9" ht="25.5">
      <c r="B4627" s="3192" t="s">
        <v>676</v>
      </c>
      <c r="C4627" s="3063"/>
      <c r="D4627" s="3064"/>
      <c r="E4627" s="3064"/>
      <c r="F4627" s="3064"/>
      <c r="G4627" s="3301" t="s">
        <v>676</v>
      </c>
      <c r="H4627" s="3063"/>
      <c r="I4627" s="3030"/>
    </row>
    <row r="4628" spans="2:9">
      <c r="B4628" s="3192" t="s">
        <v>677</v>
      </c>
      <c r="C4628" s="3063"/>
      <c r="D4628" s="3064"/>
      <c r="E4628" s="3064"/>
      <c r="F4628" s="3064"/>
      <c r="G4628" s="3301" t="s">
        <v>677</v>
      </c>
      <c r="H4628" s="3063"/>
      <c r="I4628" s="3030"/>
    </row>
    <row r="4629" spans="2:9">
      <c r="B4629" s="3192" t="s">
        <v>678</v>
      </c>
      <c r="C4629" s="3063"/>
      <c r="D4629" s="3064"/>
      <c r="E4629" s="3064"/>
      <c r="F4629" s="3064"/>
      <c r="G4629" s="3301" t="s">
        <v>678</v>
      </c>
      <c r="H4629" s="3063"/>
      <c r="I4629" s="3030"/>
    </row>
    <row r="4630" spans="2:9">
      <c r="B4630" s="3192" t="s">
        <v>679</v>
      </c>
      <c r="C4630" s="3063"/>
      <c r="D4630" s="3064"/>
      <c r="E4630" s="3064"/>
      <c r="F4630" s="3064"/>
      <c r="G4630" s="3301" t="s">
        <v>679</v>
      </c>
      <c r="H4630" s="3063"/>
      <c r="I4630" s="3030"/>
    </row>
    <row r="4631" spans="2:9" ht="25.5">
      <c r="B4631" s="3192" t="s">
        <v>720</v>
      </c>
      <c r="C4631" s="3063"/>
      <c r="D4631" s="3064"/>
      <c r="E4631" s="3064"/>
      <c r="F4631" s="3064"/>
      <c r="G4631" s="3301" t="s">
        <v>720</v>
      </c>
      <c r="H4631" s="3063"/>
      <c r="I4631" s="3030"/>
    </row>
    <row r="4632" spans="2:9" ht="38.25">
      <c r="B4632" s="3299" t="s">
        <v>680</v>
      </c>
      <c r="C4632" s="3063"/>
      <c r="D4632" s="3064"/>
      <c r="E4632" s="3064"/>
      <c r="F4632" s="3064"/>
      <c r="G4632" s="3300" t="s">
        <v>680</v>
      </c>
      <c r="H4632" s="3063"/>
      <c r="I4632" s="3030"/>
    </row>
    <row r="4633" spans="2:9" ht="25.5">
      <c r="B4633" s="3192" t="s">
        <v>675</v>
      </c>
      <c r="C4633" s="3063"/>
      <c r="D4633" s="3064"/>
      <c r="E4633" s="3064"/>
      <c r="F4633" s="3064"/>
      <c r="G4633" s="3301" t="s">
        <v>675</v>
      </c>
      <c r="H4633" s="3063"/>
      <c r="I4633" s="3030"/>
    </row>
    <row r="4634" spans="2:9" ht="25.5">
      <c r="B4634" s="3192" t="s">
        <v>676</v>
      </c>
      <c r="C4634" s="3063"/>
      <c r="D4634" s="3064"/>
      <c r="E4634" s="3064"/>
      <c r="F4634" s="3064"/>
      <c r="G4634" s="3301" t="s">
        <v>676</v>
      </c>
      <c r="H4634" s="3063"/>
      <c r="I4634" s="3030"/>
    </row>
    <row r="4635" spans="2:9">
      <c r="B4635" s="3192" t="s">
        <v>677</v>
      </c>
      <c r="C4635" s="3063"/>
      <c r="D4635" s="3064"/>
      <c r="E4635" s="3064"/>
      <c r="F4635" s="3064"/>
      <c r="G4635" s="3301" t="s">
        <v>677</v>
      </c>
      <c r="H4635" s="3063"/>
      <c r="I4635" s="3030"/>
    </row>
    <row r="4636" spans="2:9">
      <c r="B4636" s="3192" t="s">
        <v>678</v>
      </c>
      <c r="C4636" s="3063"/>
      <c r="D4636" s="3064"/>
      <c r="E4636" s="3064"/>
      <c r="F4636" s="3064"/>
      <c r="G4636" s="3301" t="s">
        <v>678</v>
      </c>
      <c r="H4636" s="3063"/>
      <c r="I4636" s="3030"/>
    </row>
    <row r="4637" spans="2:9">
      <c r="B4637" s="3192" t="s">
        <v>679</v>
      </c>
      <c r="C4637" s="3063"/>
      <c r="D4637" s="3064"/>
      <c r="E4637" s="3064"/>
      <c r="F4637" s="3064"/>
      <c r="G4637" s="3301" t="s">
        <v>679</v>
      </c>
      <c r="H4637" s="3063"/>
      <c r="I4637" s="3030"/>
    </row>
    <row r="4638" spans="2:9" ht="25.5">
      <c r="B4638" s="3192" t="s">
        <v>720</v>
      </c>
      <c r="C4638" s="3063"/>
      <c r="D4638" s="3064"/>
      <c r="E4638" s="3064"/>
      <c r="F4638" s="3064"/>
      <c r="G4638" s="3301" t="s">
        <v>720</v>
      </c>
      <c r="H4638" s="3063"/>
      <c r="I4638" s="3030"/>
    </row>
    <row r="4639" spans="2:9" ht="38.25">
      <c r="B4639" s="3299" t="s">
        <v>681</v>
      </c>
      <c r="C4639" s="3063"/>
      <c r="D4639" s="3064"/>
      <c r="E4639" s="3064"/>
      <c r="F4639" s="3064"/>
      <c r="G4639" s="3300" t="s">
        <v>681</v>
      </c>
      <c r="H4639" s="3063"/>
      <c r="I4639" s="3030"/>
    </row>
    <row r="4640" spans="2:9" ht="25.5">
      <c r="B4640" s="3192" t="s">
        <v>675</v>
      </c>
      <c r="C4640" s="3063"/>
      <c r="D4640" s="3064"/>
      <c r="E4640" s="3064"/>
      <c r="F4640" s="3064"/>
      <c r="G4640" s="3301" t="s">
        <v>675</v>
      </c>
      <c r="H4640" s="3063"/>
      <c r="I4640" s="3030"/>
    </row>
    <row r="4641" spans="2:9" ht="25.5">
      <c r="B4641" s="3192" t="s">
        <v>676</v>
      </c>
      <c r="C4641" s="3063"/>
      <c r="D4641" s="3064"/>
      <c r="E4641" s="3064"/>
      <c r="F4641" s="3064"/>
      <c r="G4641" s="3301" t="s">
        <v>676</v>
      </c>
      <c r="H4641" s="3063"/>
      <c r="I4641" s="3030"/>
    </row>
    <row r="4642" spans="2:9">
      <c r="B4642" s="3192" t="s">
        <v>677</v>
      </c>
      <c r="C4642" s="3063"/>
      <c r="D4642" s="3064"/>
      <c r="E4642" s="3064"/>
      <c r="F4642" s="3064"/>
      <c r="G4642" s="3301" t="s">
        <v>677</v>
      </c>
      <c r="H4642" s="3063"/>
      <c r="I4642" s="3030"/>
    </row>
    <row r="4643" spans="2:9">
      <c r="B4643" s="3192" t="s">
        <v>678</v>
      </c>
      <c r="C4643" s="3063"/>
      <c r="D4643" s="3064"/>
      <c r="E4643" s="3064"/>
      <c r="F4643" s="3064"/>
      <c r="G4643" s="3301" t="s">
        <v>678</v>
      </c>
      <c r="H4643" s="3063"/>
      <c r="I4643" s="3030"/>
    </row>
    <row r="4644" spans="2:9">
      <c r="B4644" s="3192" t="s">
        <v>679</v>
      </c>
      <c r="C4644" s="3063"/>
      <c r="D4644" s="3064"/>
      <c r="E4644" s="3064"/>
      <c r="F4644" s="3064"/>
      <c r="G4644" s="3301" t="s">
        <v>679</v>
      </c>
      <c r="H4644" s="3063"/>
      <c r="I4644" s="3030"/>
    </row>
    <row r="4645" spans="2:9" ht="25.5">
      <c r="B4645" s="3192" t="s">
        <v>720</v>
      </c>
      <c r="C4645" s="3063"/>
      <c r="D4645" s="3064"/>
      <c r="E4645" s="3064"/>
      <c r="F4645" s="3064"/>
      <c r="G4645" s="3301" t="s">
        <v>720</v>
      </c>
      <c r="H4645" s="3063"/>
      <c r="I4645" s="3030"/>
    </row>
    <row r="4646" spans="2:9" ht="25.5">
      <c r="B4646" s="3299" t="s">
        <v>682</v>
      </c>
      <c r="C4646" s="3063"/>
      <c r="D4646" s="3064"/>
      <c r="E4646" s="3064"/>
      <c r="F4646" s="3064"/>
      <c r="G4646" s="3300" t="s">
        <v>682</v>
      </c>
      <c r="H4646" s="3063"/>
      <c r="I4646" s="3030"/>
    </row>
    <row r="4647" spans="2:9" ht="25.5">
      <c r="B4647" s="3192" t="s">
        <v>675</v>
      </c>
      <c r="C4647" s="3063"/>
      <c r="D4647" s="3064"/>
      <c r="E4647" s="3064"/>
      <c r="F4647" s="3064"/>
      <c r="G4647" s="3301" t="s">
        <v>675</v>
      </c>
      <c r="H4647" s="3063"/>
      <c r="I4647" s="3030"/>
    </row>
    <row r="4648" spans="2:9" ht="25.5">
      <c r="B4648" s="3192" t="s">
        <v>676</v>
      </c>
      <c r="C4648" s="3063"/>
      <c r="D4648" s="3064"/>
      <c r="E4648" s="3064"/>
      <c r="F4648" s="3064"/>
      <c r="G4648" s="3301" t="s">
        <v>676</v>
      </c>
      <c r="H4648" s="3063"/>
      <c r="I4648" s="3030"/>
    </row>
    <row r="4649" spans="2:9">
      <c r="B4649" s="3192" t="s">
        <v>677</v>
      </c>
      <c r="C4649" s="3063"/>
      <c r="D4649" s="3064"/>
      <c r="E4649" s="3064"/>
      <c r="F4649" s="3064"/>
      <c r="G4649" s="3301" t="s">
        <v>677</v>
      </c>
      <c r="H4649" s="3063"/>
      <c r="I4649" s="3030"/>
    </row>
    <row r="4650" spans="2:9">
      <c r="B4650" s="3192" t="s">
        <v>678</v>
      </c>
      <c r="C4650" s="3063"/>
      <c r="D4650" s="3064"/>
      <c r="E4650" s="3064"/>
      <c r="F4650" s="3064"/>
      <c r="G4650" s="3301" t="s">
        <v>678</v>
      </c>
      <c r="H4650" s="3063"/>
      <c r="I4650" s="3030"/>
    </row>
    <row r="4651" spans="2:9">
      <c r="B4651" s="3192" t="s">
        <v>679</v>
      </c>
      <c r="C4651" s="3063"/>
      <c r="D4651" s="3064"/>
      <c r="E4651" s="3064"/>
      <c r="F4651" s="3064"/>
      <c r="G4651" s="3301" t="s">
        <v>679</v>
      </c>
      <c r="H4651" s="3063"/>
      <c r="I4651" s="3030"/>
    </row>
    <row r="4652" spans="2:9" ht="25.5">
      <c r="B4652" s="3192" t="s">
        <v>720</v>
      </c>
      <c r="C4652" s="3063"/>
      <c r="D4652" s="3064"/>
      <c r="E4652" s="3064"/>
      <c r="F4652" s="3064"/>
      <c r="G4652" s="3301" t="s">
        <v>720</v>
      </c>
      <c r="H4652" s="3063"/>
      <c r="I4652" s="3030"/>
    </row>
    <row r="4653" spans="2:9" ht="25.5">
      <c r="B4653" s="3299" t="s">
        <v>66</v>
      </c>
      <c r="C4653" s="3063"/>
      <c r="D4653" s="3064"/>
      <c r="E4653" s="3064"/>
      <c r="F4653" s="3064"/>
      <c r="G4653" s="3300" t="s">
        <v>66</v>
      </c>
      <c r="H4653" s="3063"/>
      <c r="I4653" s="3030"/>
    </row>
    <row r="4654" spans="2:9" ht="25.5">
      <c r="B4654" s="3192" t="s">
        <v>675</v>
      </c>
      <c r="C4654" s="3063"/>
      <c r="D4654" s="3064"/>
      <c r="E4654" s="3064"/>
      <c r="F4654" s="3064"/>
      <c r="G4654" s="3301" t="s">
        <v>675</v>
      </c>
      <c r="H4654" s="3063"/>
      <c r="I4654" s="3030"/>
    </row>
    <row r="4655" spans="2:9" ht="25.5">
      <c r="B4655" s="3192" t="s">
        <v>676</v>
      </c>
      <c r="C4655" s="3063"/>
      <c r="D4655" s="3064"/>
      <c r="E4655" s="3064"/>
      <c r="F4655" s="3064"/>
      <c r="G4655" s="3301" t="s">
        <v>676</v>
      </c>
      <c r="H4655" s="3063"/>
      <c r="I4655" s="3030"/>
    </row>
    <row r="4656" spans="2:9">
      <c r="B4656" s="3192" t="s">
        <v>677</v>
      </c>
      <c r="C4656" s="3063"/>
      <c r="D4656" s="3064"/>
      <c r="E4656" s="3064"/>
      <c r="F4656" s="3064"/>
      <c r="G4656" s="3301" t="s">
        <v>677</v>
      </c>
      <c r="H4656" s="3063"/>
      <c r="I4656" s="3030"/>
    </row>
    <row r="4657" spans="2:9">
      <c r="B4657" s="3192" t="s">
        <v>678</v>
      </c>
      <c r="C4657" s="3063"/>
      <c r="D4657" s="3064"/>
      <c r="E4657" s="3064"/>
      <c r="F4657" s="3064"/>
      <c r="G4657" s="3301" t="s">
        <v>678</v>
      </c>
      <c r="H4657" s="3063"/>
      <c r="I4657" s="3030"/>
    </row>
    <row r="4658" spans="2:9">
      <c r="B4658" s="3192" t="s">
        <v>679</v>
      </c>
      <c r="C4658" s="3063"/>
      <c r="D4658" s="3064"/>
      <c r="E4658" s="3064"/>
      <c r="F4658" s="3064"/>
      <c r="G4658" s="3301" t="s">
        <v>679</v>
      </c>
      <c r="H4658" s="3063"/>
      <c r="I4658" s="3030"/>
    </row>
    <row r="4659" spans="2:9" ht="25.5">
      <c r="B4659" s="3192" t="s">
        <v>720</v>
      </c>
      <c r="C4659" s="3063"/>
      <c r="D4659" s="3064"/>
      <c r="E4659" s="3064"/>
      <c r="F4659" s="3064"/>
      <c r="G4659" s="3301" t="s">
        <v>720</v>
      </c>
      <c r="H4659" s="3063"/>
      <c r="I4659" s="3030"/>
    </row>
    <row r="4660" spans="2:9">
      <c r="B4660" s="3299" t="s">
        <v>67</v>
      </c>
      <c r="C4660" s="3063"/>
      <c r="D4660" s="3064"/>
      <c r="E4660" s="3064"/>
      <c r="F4660" s="3064"/>
      <c r="G4660" s="3300" t="s">
        <v>67</v>
      </c>
      <c r="H4660" s="3063"/>
      <c r="I4660" s="3030"/>
    </row>
    <row r="4661" spans="2:9" ht="25.5">
      <c r="B4661" s="3192" t="s">
        <v>675</v>
      </c>
      <c r="C4661" s="3063"/>
      <c r="D4661" s="3064"/>
      <c r="E4661" s="3064"/>
      <c r="F4661" s="3064"/>
      <c r="G4661" s="3301" t="s">
        <v>675</v>
      </c>
      <c r="H4661" s="3063"/>
      <c r="I4661" s="3030"/>
    </row>
    <row r="4662" spans="2:9" ht="25.5">
      <c r="B4662" s="3192" t="s">
        <v>676</v>
      </c>
      <c r="C4662" s="3063"/>
      <c r="D4662" s="3064"/>
      <c r="E4662" s="3064"/>
      <c r="F4662" s="3064"/>
      <c r="G4662" s="3301" t="s">
        <v>676</v>
      </c>
      <c r="H4662" s="3063"/>
      <c r="I4662" s="3030"/>
    </row>
    <row r="4663" spans="2:9">
      <c r="B4663" s="3192" t="s">
        <v>677</v>
      </c>
      <c r="C4663" s="3063"/>
      <c r="D4663" s="3064"/>
      <c r="E4663" s="3064"/>
      <c r="F4663" s="3064"/>
      <c r="G4663" s="3301" t="s">
        <v>677</v>
      </c>
      <c r="H4663" s="3063"/>
      <c r="I4663" s="3030"/>
    </row>
    <row r="4664" spans="2:9">
      <c r="B4664" s="3192" t="s">
        <v>678</v>
      </c>
      <c r="C4664" s="3063"/>
      <c r="D4664" s="3064"/>
      <c r="E4664" s="3064"/>
      <c r="F4664" s="3064"/>
      <c r="G4664" s="3301" t="s">
        <v>678</v>
      </c>
      <c r="H4664" s="3063"/>
      <c r="I4664" s="3030"/>
    </row>
    <row r="4665" spans="2:9">
      <c r="B4665" s="3192" t="s">
        <v>679</v>
      </c>
      <c r="C4665" s="3063"/>
      <c r="D4665" s="3064"/>
      <c r="E4665" s="3064"/>
      <c r="F4665" s="3064"/>
      <c r="G4665" s="3301" t="s">
        <v>679</v>
      </c>
      <c r="H4665" s="3063"/>
      <c r="I4665" s="3030"/>
    </row>
    <row r="4666" spans="2:9" ht="25.5">
      <c r="B4666" s="3230" t="s">
        <v>81</v>
      </c>
      <c r="C4666" s="3063"/>
      <c r="D4666" s="3064"/>
      <c r="E4666" s="3064"/>
      <c r="F4666" s="3064"/>
      <c r="G4666" s="3302" t="s">
        <v>81</v>
      </c>
      <c r="H4666" s="3063"/>
      <c r="I4666" s="3030"/>
    </row>
    <row r="4667" spans="2:9" ht="26.25" thickBot="1">
      <c r="B4667" s="3303" t="s">
        <v>81</v>
      </c>
      <c r="C4667" s="3063"/>
      <c r="D4667" s="3064"/>
      <c r="E4667" s="3064"/>
      <c r="F4667" s="3064"/>
      <c r="G4667" s="3302" t="s">
        <v>81</v>
      </c>
      <c r="H4667" s="3063"/>
      <c r="I4667" s="3030"/>
    </row>
    <row r="4668" spans="2:9">
      <c r="B4668" s="3217" t="s">
        <v>697</v>
      </c>
      <c r="C4668" s="3218"/>
      <c r="D4668" s="3219"/>
      <c r="E4668" s="3219"/>
      <c r="F4668" s="3219"/>
      <c r="G4668" s="3217" t="s">
        <v>697</v>
      </c>
      <c r="H4668" s="3297"/>
      <c r="I4668" s="3298"/>
    </row>
    <row r="4669" spans="2:9">
      <c r="B4669" s="3299" t="s">
        <v>64</v>
      </c>
      <c r="C4669" s="3063"/>
      <c r="D4669" s="3064"/>
      <c r="E4669" s="3064"/>
      <c r="F4669" s="3064"/>
      <c r="G4669" s="3300" t="s">
        <v>64</v>
      </c>
      <c r="H4669" s="3063"/>
      <c r="I4669" s="3030"/>
    </row>
    <row r="4670" spans="2:9" ht="25.5">
      <c r="B4670" s="3192" t="s">
        <v>675</v>
      </c>
      <c r="C4670" s="3063"/>
      <c r="D4670" s="3064"/>
      <c r="E4670" s="3064"/>
      <c r="F4670" s="3064"/>
      <c r="G4670" s="3301" t="s">
        <v>675</v>
      </c>
      <c r="H4670" s="3063"/>
      <c r="I4670" s="3030"/>
    </row>
    <row r="4671" spans="2:9" ht="25.5">
      <c r="B4671" s="3192" t="s">
        <v>676</v>
      </c>
      <c r="C4671" s="3063"/>
      <c r="D4671" s="3064"/>
      <c r="E4671" s="3064"/>
      <c r="F4671" s="3064"/>
      <c r="G4671" s="3301" t="s">
        <v>676</v>
      </c>
      <c r="H4671" s="3063"/>
      <c r="I4671" s="3030"/>
    </row>
    <row r="4672" spans="2:9">
      <c r="B4672" s="3192" t="s">
        <v>677</v>
      </c>
      <c r="C4672" s="3063"/>
      <c r="D4672" s="3064"/>
      <c r="E4672" s="3064"/>
      <c r="F4672" s="3064"/>
      <c r="G4672" s="3301" t="s">
        <v>677</v>
      </c>
      <c r="H4672" s="3063"/>
      <c r="I4672" s="3030"/>
    </row>
    <row r="4673" spans="2:9">
      <c r="B4673" s="3192" t="s">
        <v>678</v>
      </c>
      <c r="C4673" s="3063"/>
      <c r="D4673" s="3064"/>
      <c r="E4673" s="3064"/>
      <c r="F4673" s="3064"/>
      <c r="G4673" s="3301" t="s">
        <v>678</v>
      </c>
      <c r="H4673" s="3063"/>
      <c r="I4673" s="3030"/>
    </row>
    <row r="4674" spans="2:9">
      <c r="B4674" s="3192" t="s">
        <v>679</v>
      </c>
      <c r="C4674" s="3063"/>
      <c r="D4674" s="3064"/>
      <c r="E4674" s="3064"/>
      <c r="F4674" s="3064"/>
      <c r="G4674" s="3301" t="s">
        <v>679</v>
      </c>
      <c r="H4674" s="3063"/>
      <c r="I4674" s="3030"/>
    </row>
    <row r="4675" spans="2:9" ht="25.5">
      <c r="B4675" s="3192" t="s">
        <v>720</v>
      </c>
      <c r="C4675" s="3063"/>
      <c r="D4675" s="3064"/>
      <c r="E4675" s="3064"/>
      <c r="F4675" s="3064"/>
      <c r="G4675" s="3301" t="s">
        <v>720</v>
      </c>
      <c r="H4675" s="3063"/>
      <c r="I4675" s="3030"/>
    </row>
    <row r="4676" spans="2:9">
      <c r="B4676" s="3299" t="s">
        <v>65</v>
      </c>
      <c r="C4676" s="3063"/>
      <c r="D4676" s="3064"/>
      <c r="E4676" s="3064"/>
      <c r="F4676" s="3064"/>
      <c r="G4676" s="3300" t="s">
        <v>65</v>
      </c>
      <c r="H4676" s="3063"/>
      <c r="I4676" s="3030"/>
    </row>
    <row r="4677" spans="2:9" ht="25.5">
      <c r="B4677" s="3192" t="s">
        <v>675</v>
      </c>
      <c r="C4677" s="3063"/>
      <c r="D4677" s="3064"/>
      <c r="E4677" s="3064"/>
      <c r="F4677" s="3064"/>
      <c r="G4677" s="3301" t="s">
        <v>675</v>
      </c>
      <c r="H4677" s="3063"/>
      <c r="I4677" s="3030"/>
    </row>
    <row r="4678" spans="2:9" ht="25.5">
      <c r="B4678" s="3192" t="s">
        <v>676</v>
      </c>
      <c r="C4678" s="3063"/>
      <c r="D4678" s="3064"/>
      <c r="E4678" s="3064"/>
      <c r="F4678" s="3064"/>
      <c r="G4678" s="3301" t="s">
        <v>676</v>
      </c>
      <c r="H4678" s="3063"/>
      <c r="I4678" s="3030"/>
    </row>
    <row r="4679" spans="2:9">
      <c r="B4679" s="3192" t="s">
        <v>677</v>
      </c>
      <c r="C4679" s="3063"/>
      <c r="D4679" s="3064"/>
      <c r="E4679" s="3064"/>
      <c r="F4679" s="3064"/>
      <c r="G4679" s="3301" t="s">
        <v>677</v>
      </c>
      <c r="H4679" s="3063"/>
      <c r="I4679" s="3030"/>
    </row>
    <row r="4680" spans="2:9">
      <c r="B4680" s="3192" t="s">
        <v>678</v>
      </c>
      <c r="C4680" s="3063"/>
      <c r="D4680" s="3064"/>
      <c r="E4680" s="3064"/>
      <c r="F4680" s="3064"/>
      <c r="G4680" s="3301" t="s">
        <v>678</v>
      </c>
      <c r="H4680" s="3063"/>
      <c r="I4680" s="3030"/>
    </row>
    <row r="4681" spans="2:9">
      <c r="B4681" s="3192" t="s">
        <v>679</v>
      </c>
      <c r="C4681" s="3063"/>
      <c r="D4681" s="3064"/>
      <c r="E4681" s="3064"/>
      <c r="F4681" s="3064"/>
      <c r="G4681" s="3301" t="s">
        <v>679</v>
      </c>
      <c r="H4681" s="3063"/>
      <c r="I4681" s="3030"/>
    </row>
    <row r="4682" spans="2:9" ht="25.5">
      <c r="B4682" s="3192" t="s">
        <v>720</v>
      </c>
      <c r="C4682" s="3063"/>
      <c r="D4682" s="3064"/>
      <c r="E4682" s="3064"/>
      <c r="F4682" s="3064"/>
      <c r="G4682" s="3301" t="s">
        <v>720</v>
      </c>
      <c r="H4682" s="3063"/>
      <c r="I4682" s="3030"/>
    </row>
    <row r="4683" spans="2:9">
      <c r="B4683" s="3299" t="s">
        <v>82</v>
      </c>
      <c r="C4683" s="3063"/>
      <c r="D4683" s="3064"/>
      <c r="E4683" s="3064"/>
      <c r="F4683" s="3064"/>
      <c r="G4683" s="3300" t="s">
        <v>82</v>
      </c>
      <c r="H4683" s="3063"/>
      <c r="I4683" s="3030"/>
    </row>
    <row r="4684" spans="2:9" ht="25.5">
      <c r="B4684" s="3192" t="s">
        <v>675</v>
      </c>
      <c r="C4684" s="3063"/>
      <c r="D4684" s="3064"/>
      <c r="E4684" s="3064"/>
      <c r="F4684" s="3064"/>
      <c r="G4684" s="3301" t="s">
        <v>675</v>
      </c>
      <c r="H4684" s="3063"/>
      <c r="I4684" s="3030"/>
    </row>
    <row r="4685" spans="2:9" ht="25.5">
      <c r="B4685" s="3192" t="s">
        <v>676</v>
      </c>
      <c r="C4685" s="3063"/>
      <c r="D4685" s="3064"/>
      <c r="E4685" s="3064"/>
      <c r="F4685" s="3064"/>
      <c r="G4685" s="3301" t="s">
        <v>676</v>
      </c>
      <c r="H4685" s="3063"/>
      <c r="I4685" s="3030"/>
    </row>
    <row r="4686" spans="2:9">
      <c r="B4686" s="3192" t="s">
        <v>677</v>
      </c>
      <c r="C4686" s="3063"/>
      <c r="D4686" s="3064"/>
      <c r="E4686" s="3064"/>
      <c r="F4686" s="3064"/>
      <c r="G4686" s="3301" t="s">
        <v>677</v>
      </c>
      <c r="H4686" s="3063"/>
      <c r="I4686" s="3030"/>
    </row>
    <row r="4687" spans="2:9">
      <c r="B4687" s="3192" t="s">
        <v>678</v>
      </c>
      <c r="C4687" s="3063"/>
      <c r="D4687" s="3064"/>
      <c r="E4687" s="3064"/>
      <c r="F4687" s="3064"/>
      <c r="G4687" s="3301" t="s">
        <v>678</v>
      </c>
      <c r="H4687" s="3063"/>
      <c r="I4687" s="3030"/>
    </row>
    <row r="4688" spans="2:9">
      <c r="B4688" s="3192" t="s">
        <v>679</v>
      </c>
      <c r="C4688" s="3063"/>
      <c r="D4688" s="3064"/>
      <c r="E4688" s="3064"/>
      <c r="F4688" s="3064"/>
      <c r="G4688" s="3301" t="s">
        <v>679</v>
      </c>
      <c r="H4688" s="3063"/>
      <c r="I4688" s="3030"/>
    </row>
    <row r="4689" spans="2:9" ht="25.5">
      <c r="B4689" s="3192" t="s">
        <v>720</v>
      </c>
      <c r="C4689" s="3063"/>
      <c r="D4689" s="3064"/>
      <c r="E4689" s="3064"/>
      <c r="F4689" s="3064"/>
      <c r="G4689" s="3301" t="s">
        <v>720</v>
      </c>
      <c r="H4689" s="3063"/>
      <c r="I4689" s="3030"/>
    </row>
    <row r="4690" spans="2:9" ht="38.25">
      <c r="B4690" s="3299" t="s">
        <v>680</v>
      </c>
      <c r="C4690" s="3063"/>
      <c r="D4690" s="3064"/>
      <c r="E4690" s="3064"/>
      <c r="F4690" s="3064"/>
      <c r="G4690" s="3300" t="s">
        <v>680</v>
      </c>
      <c r="H4690" s="3063"/>
      <c r="I4690" s="3030"/>
    </row>
    <row r="4691" spans="2:9" ht="25.5">
      <c r="B4691" s="3192" t="s">
        <v>675</v>
      </c>
      <c r="C4691" s="3063"/>
      <c r="D4691" s="3064"/>
      <c r="E4691" s="3064"/>
      <c r="F4691" s="3064"/>
      <c r="G4691" s="3301" t="s">
        <v>675</v>
      </c>
      <c r="H4691" s="3063"/>
      <c r="I4691" s="3030"/>
    </row>
    <row r="4692" spans="2:9" ht="25.5">
      <c r="B4692" s="3192" t="s">
        <v>676</v>
      </c>
      <c r="C4692" s="3063"/>
      <c r="D4692" s="3064"/>
      <c r="E4692" s="3064"/>
      <c r="F4692" s="3064"/>
      <c r="G4692" s="3301" t="s">
        <v>676</v>
      </c>
      <c r="H4692" s="3063"/>
      <c r="I4692" s="3030"/>
    </row>
    <row r="4693" spans="2:9">
      <c r="B4693" s="3192" t="s">
        <v>677</v>
      </c>
      <c r="C4693" s="3063"/>
      <c r="D4693" s="3064"/>
      <c r="E4693" s="3064"/>
      <c r="F4693" s="3064"/>
      <c r="G4693" s="3301" t="s">
        <v>677</v>
      </c>
      <c r="H4693" s="3063"/>
      <c r="I4693" s="3030"/>
    </row>
    <row r="4694" spans="2:9">
      <c r="B4694" s="3192" t="s">
        <v>678</v>
      </c>
      <c r="C4694" s="3063"/>
      <c r="D4694" s="3064"/>
      <c r="E4694" s="3064"/>
      <c r="F4694" s="3064"/>
      <c r="G4694" s="3301" t="s">
        <v>678</v>
      </c>
      <c r="H4694" s="3063"/>
      <c r="I4694" s="3030"/>
    </row>
    <row r="4695" spans="2:9">
      <c r="B4695" s="3192" t="s">
        <v>679</v>
      </c>
      <c r="C4695" s="3063"/>
      <c r="D4695" s="3064"/>
      <c r="E4695" s="3064"/>
      <c r="F4695" s="3064"/>
      <c r="G4695" s="3301" t="s">
        <v>679</v>
      </c>
      <c r="H4695" s="3063"/>
      <c r="I4695" s="3030"/>
    </row>
    <row r="4696" spans="2:9" ht="25.5">
      <c r="B4696" s="3192" t="s">
        <v>720</v>
      </c>
      <c r="C4696" s="3063"/>
      <c r="D4696" s="3064"/>
      <c r="E4696" s="3064"/>
      <c r="F4696" s="3064"/>
      <c r="G4696" s="3301" t="s">
        <v>720</v>
      </c>
      <c r="H4696" s="3063"/>
      <c r="I4696" s="3030"/>
    </row>
    <row r="4697" spans="2:9" ht="38.25">
      <c r="B4697" s="3299" t="s">
        <v>681</v>
      </c>
      <c r="C4697" s="3063"/>
      <c r="D4697" s="3064"/>
      <c r="E4697" s="3064"/>
      <c r="F4697" s="3064">
        <v>12</v>
      </c>
      <c r="G4697" s="3300" t="s">
        <v>681</v>
      </c>
      <c r="H4697" s="3063">
        <v>2.0427210133348913E-2</v>
      </c>
      <c r="I4697" s="3030"/>
    </row>
    <row r="4698" spans="2:9" ht="25.5">
      <c r="B4698" s="3192" t="s">
        <v>675</v>
      </c>
      <c r="C4698" s="3063"/>
      <c r="D4698" s="3064">
        <v>3</v>
      </c>
      <c r="E4698" s="3064"/>
      <c r="F4698" s="3064"/>
      <c r="G4698" s="3301" t="s">
        <v>675</v>
      </c>
      <c r="H4698" s="3063"/>
      <c r="I4698" s="3030">
        <v>8.1708840533395652E-3</v>
      </c>
    </row>
    <row r="4699" spans="2:9" ht="25.5">
      <c r="B4699" s="3192" t="s">
        <v>676</v>
      </c>
      <c r="C4699" s="3063"/>
      <c r="D4699" s="3064"/>
      <c r="E4699" s="3064"/>
      <c r="F4699" s="3064"/>
      <c r="G4699" s="3301" t="s">
        <v>676</v>
      </c>
      <c r="H4699" s="3063"/>
      <c r="I4699" s="3030"/>
    </row>
    <row r="4700" spans="2:9">
      <c r="B4700" s="3192" t="s">
        <v>677</v>
      </c>
      <c r="C4700" s="3063"/>
      <c r="D4700" s="3064"/>
      <c r="E4700" s="3064"/>
      <c r="F4700" s="3064"/>
      <c r="G4700" s="3301" t="s">
        <v>677</v>
      </c>
      <c r="H4700" s="3063"/>
      <c r="I4700" s="3030"/>
    </row>
    <row r="4701" spans="2:9">
      <c r="B4701" s="3192" t="s">
        <v>678</v>
      </c>
      <c r="C4701" s="3063"/>
      <c r="D4701" s="3064"/>
      <c r="E4701" s="3064"/>
      <c r="F4701" s="3064"/>
      <c r="G4701" s="3301" t="s">
        <v>678</v>
      </c>
      <c r="H4701" s="3063"/>
      <c r="I4701" s="3030"/>
    </row>
    <row r="4702" spans="2:9">
      <c r="B4702" s="3192" t="s">
        <v>679</v>
      </c>
      <c r="C4702" s="3063"/>
      <c r="D4702" s="3064"/>
      <c r="E4702" s="3064"/>
      <c r="F4702" s="3064"/>
      <c r="G4702" s="3301" t="s">
        <v>679</v>
      </c>
      <c r="H4702" s="3063"/>
      <c r="I4702" s="3030"/>
    </row>
    <row r="4703" spans="2:9" ht="25.5">
      <c r="B4703" s="3192" t="s">
        <v>720</v>
      </c>
      <c r="C4703" s="3063"/>
      <c r="D4703" s="3064"/>
      <c r="E4703" s="3064"/>
      <c r="F4703" s="3064"/>
      <c r="G4703" s="3301" t="s">
        <v>720</v>
      </c>
      <c r="H4703" s="3063"/>
      <c r="I4703" s="3030"/>
    </row>
    <row r="4704" spans="2:9" ht="25.5">
      <c r="B4704" s="3299" t="s">
        <v>682</v>
      </c>
      <c r="C4704" s="3063"/>
      <c r="D4704" s="3064"/>
      <c r="E4704" s="3064"/>
      <c r="F4704" s="3064"/>
      <c r="G4704" s="3300" t="s">
        <v>682</v>
      </c>
      <c r="H4704" s="3063"/>
      <c r="I4704" s="3030"/>
    </row>
    <row r="4705" spans="2:9" ht="25.5">
      <c r="B4705" s="3192" t="s">
        <v>675</v>
      </c>
      <c r="C4705" s="3063"/>
      <c r="D4705" s="3064"/>
      <c r="E4705" s="3064"/>
      <c r="F4705" s="3064"/>
      <c r="G4705" s="3301" t="s">
        <v>675</v>
      </c>
      <c r="H4705" s="3063"/>
      <c r="I4705" s="3030"/>
    </row>
    <row r="4706" spans="2:9" ht="25.5">
      <c r="B4706" s="3192" t="s">
        <v>676</v>
      </c>
      <c r="C4706" s="3063"/>
      <c r="D4706" s="3064"/>
      <c r="E4706" s="3064"/>
      <c r="F4706" s="3064"/>
      <c r="G4706" s="3301" t="s">
        <v>676</v>
      </c>
      <c r="H4706" s="3063"/>
      <c r="I4706" s="3030"/>
    </row>
    <row r="4707" spans="2:9">
      <c r="B4707" s="3192" t="s">
        <v>677</v>
      </c>
      <c r="C4707" s="3063"/>
      <c r="D4707" s="3064"/>
      <c r="E4707" s="3064"/>
      <c r="F4707" s="3064"/>
      <c r="G4707" s="3301" t="s">
        <v>677</v>
      </c>
      <c r="H4707" s="3063"/>
      <c r="I4707" s="3030"/>
    </row>
    <row r="4708" spans="2:9">
      <c r="B4708" s="3192" t="s">
        <v>678</v>
      </c>
      <c r="C4708" s="3063"/>
      <c r="D4708" s="3064"/>
      <c r="E4708" s="3064"/>
      <c r="F4708" s="3064"/>
      <c r="G4708" s="3301" t="s">
        <v>678</v>
      </c>
      <c r="H4708" s="3063"/>
      <c r="I4708" s="3030"/>
    </row>
    <row r="4709" spans="2:9">
      <c r="B4709" s="3192" t="s">
        <v>679</v>
      </c>
      <c r="C4709" s="3063"/>
      <c r="D4709" s="3064"/>
      <c r="E4709" s="3064"/>
      <c r="F4709" s="3064"/>
      <c r="G4709" s="3301" t="s">
        <v>679</v>
      </c>
      <c r="H4709" s="3063"/>
      <c r="I4709" s="3030"/>
    </row>
    <row r="4710" spans="2:9" ht="25.5">
      <c r="B4710" s="3192" t="s">
        <v>720</v>
      </c>
      <c r="C4710" s="3063"/>
      <c r="D4710" s="3064"/>
      <c r="E4710" s="3064"/>
      <c r="F4710" s="3064"/>
      <c r="G4710" s="3301" t="s">
        <v>720</v>
      </c>
      <c r="H4710" s="3063"/>
      <c r="I4710" s="3030"/>
    </row>
    <row r="4711" spans="2:9" ht="25.5">
      <c r="B4711" s="3299" t="s">
        <v>66</v>
      </c>
      <c r="C4711" s="3063"/>
      <c r="D4711" s="3064"/>
      <c r="E4711" s="3064"/>
      <c r="F4711" s="3064"/>
      <c r="G4711" s="3300" t="s">
        <v>66</v>
      </c>
      <c r="H4711" s="3063"/>
      <c r="I4711" s="3030"/>
    </row>
    <row r="4712" spans="2:9" ht="25.5">
      <c r="B4712" s="3192" t="s">
        <v>675</v>
      </c>
      <c r="C4712" s="3063"/>
      <c r="D4712" s="3064"/>
      <c r="E4712" s="3064"/>
      <c r="F4712" s="3064"/>
      <c r="G4712" s="3301" t="s">
        <v>675</v>
      </c>
      <c r="H4712" s="3063"/>
      <c r="I4712" s="3030"/>
    </row>
    <row r="4713" spans="2:9" ht="25.5">
      <c r="B4713" s="3192" t="s">
        <v>676</v>
      </c>
      <c r="C4713" s="3063"/>
      <c r="D4713" s="3064"/>
      <c r="E4713" s="3064"/>
      <c r="F4713" s="3064"/>
      <c r="G4713" s="3301" t="s">
        <v>676</v>
      </c>
      <c r="H4713" s="3063"/>
      <c r="I4713" s="3030"/>
    </row>
    <row r="4714" spans="2:9">
      <c r="B4714" s="3192" t="s">
        <v>677</v>
      </c>
      <c r="C4714" s="3063"/>
      <c r="D4714" s="3064"/>
      <c r="E4714" s="3064"/>
      <c r="F4714" s="3064"/>
      <c r="G4714" s="3301" t="s">
        <v>677</v>
      </c>
      <c r="H4714" s="3063"/>
      <c r="I4714" s="3030"/>
    </row>
    <row r="4715" spans="2:9">
      <c r="B4715" s="3192" t="s">
        <v>678</v>
      </c>
      <c r="C4715" s="3063"/>
      <c r="D4715" s="3064"/>
      <c r="E4715" s="3064"/>
      <c r="F4715" s="3064"/>
      <c r="G4715" s="3301" t="s">
        <v>678</v>
      </c>
      <c r="H4715" s="3063"/>
      <c r="I4715" s="3030"/>
    </row>
    <row r="4716" spans="2:9">
      <c r="B4716" s="3192" t="s">
        <v>679</v>
      </c>
      <c r="C4716" s="3063"/>
      <c r="D4716" s="3064"/>
      <c r="E4716" s="3064"/>
      <c r="F4716" s="3064"/>
      <c r="G4716" s="3301" t="s">
        <v>679</v>
      </c>
      <c r="H4716" s="3063"/>
      <c r="I4716" s="3030"/>
    </row>
    <row r="4717" spans="2:9" ht="25.5">
      <c r="B4717" s="3192" t="s">
        <v>720</v>
      </c>
      <c r="C4717" s="3063"/>
      <c r="D4717" s="3064"/>
      <c r="E4717" s="3064"/>
      <c r="F4717" s="3064"/>
      <c r="G4717" s="3301" t="s">
        <v>720</v>
      </c>
      <c r="H4717" s="3063"/>
      <c r="I4717" s="3030"/>
    </row>
    <row r="4718" spans="2:9">
      <c r="B4718" s="3299" t="s">
        <v>67</v>
      </c>
      <c r="C4718" s="3063"/>
      <c r="D4718" s="3064"/>
      <c r="E4718" s="3064"/>
      <c r="F4718" s="3064">
        <v>1</v>
      </c>
      <c r="G4718" s="3300" t="s">
        <v>67</v>
      </c>
      <c r="H4718" s="3063">
        <v>1.3952320270861027E-2</v>
      </c>
      <c r="I4718" s="3030"/>
    </row>
    <row r="4719" spans="2:9" ht="25.5">
      <c r="B4719" s="3192" t="s">
        <v>675</v>
      </c>
      <c r="C4719" s="3063"/>
      <c r="D4719" s="3064"/>
      <c r="E4719" s="3064"/>
      <c r="F4719" s="3064"/>
      <c r="G4719" s="3301" t="s">
        <v>675</v>
      </c>
      <c r="H4719" s="3063"/>
      <c r="I4719" s="3030"/>
    </row>
    <row r="4720" spans="2:9" ht="25.5">
      <c r="B4720" s="3192" t="s">
        <v>676</v>
      </c>
      <c r="C4720" s="3063"/>
      <c r="D4720" s="3064"/>
      <c r="E4720" s="3064"/>
      <c r="F4720" s="3064"/>
      <c r="G4720" s="3301" t="s">
        <v>676</v>
      </c>
      <c r="H4720" s="3063"/>
      <c r="I4720" s="3030"/>
    </row>
    <row r="4721" spans="2:9">
      <c r="B4721" s="3192" t="s">
        <v>677</v>
      </c>
      <c r="C4721" s="3063"/>
      <c r="D4721" s="3064"/>
      <c r="E4721" s="3064"/>
      <c r="F4721" s="3064"/>
      <c r="G4721" s="3301" t="s">
        <v>677</v>
      </c>
      <c r="H4721" s="3063"/>
      <c r="I4721" s="3030"/>
    </row>
    <row r="4722" spans="2:9">
      <c r="B4722" s="3192" t="s">
        <v>678</v>
      </c>
      <c r="C4722" s="3063"/>
      <c r="D4722" s="3064"/>
      <c r="E4722" s="3064"/>
      <c r="F4722" s="3064"/>
      <c r="G4722" s="3301" t="s">
        <v>678</v>
      </c>
      <c r="H4722" s="3063"/>
      <c r="I4722" s="3030"/>
    </row>
    <row r="4723" spans="2:9">
      <c r="B4723" s="3192" t="s">
        <v>679</v>
      </c>
      <c r="C4723" s="3063"/>
      <c r="D4723" s="3064">
        <v>1</v>
      </c>
      <c r="E4723" s="3064"/>
      <c r="F4723" s="3064"/>
      <c r="G4723" s="3301" t="s">
        <v>679</v>
      </c>
      <c r="H4723" s="3063"/>
      <c r="I4723" s="3030"/>
    </row>
    <row r="4724" spans="2:9" ht="25.5">
      <c r="B4724" s="3230" t="s">
        <v>81</v>
      </c>
      <c r="C4724" s="3063"/>
      <c r="D4724" s="3064"/>
      <c r="E4724" s="3064"/>
      <c r="F4724" s="3064"/>
      <c r="G4724" s="3302" t="s">
        <v>81</v>
      </c>
      <c r="H4724" s="3063"/>
      <c r="I4724" s="3030"/>
    </row>
    <row r="4725" spans="2:9" ht="26.25" thickBot="1">
      <c r="B4725" s="3303" t="s">
        <v>81</v>
      </c>
      <c r="C4725" s="3068"/>
      <c r="D4725" s="3069"/>
      <c r="E4725" s="3069"/>
      <c r="F4725" s="3069"/>
      <c r="G4725" s="3304" t="s">
        <v>81</v>
      </c>
      <c r="H4725" s="3068"/>
      <c r="I4725" s="3070"/>
    </row>
    <row r="4726" spans="2:9" ht="38.25">
      <c r="B4726" s="4723">
        <v>3030</v>
      </c>
      <c r="C4726" s="3289"/>
      <c r="D4726" s="3290"/>
      <c r="E4726" s="3290"/>
      <c r="F4726" s="3290"/>
      <c r="G4726" s="4723">
        <v>3030</v>
      </c>
      <c r="H4726" s="3291" t="s">
        <v>687</v>
      </c>
      <c r="I4726" s="3292" t="s">
        <v>688</v>
      </c>
    </row>
    <row r="4727" spans="2:9">
      <c r="B4727" s="4724"/>
      <c r="C4727" s="4678" t="s">
        <v>686</v>
      </c>
      <c r="D4727" s="4725"/>
      <c r="E4727" s="4725"/>
      <c r="F4727" s="4726"/>
      <c r="G4727" s="4724"/>
      <c r="H4727" s="3293"/>
      <c r="I4727" s="3294"/>
    </row>
    <row r="4728" spans="2:9" ht="13.5" thickBot="1">
      <c r="B4728" s="4724"/>
      <c r="C4728" s="3215">
        <v>2013</v>
      </c>
      <c r="D4728" s="3215">
        <v>2014</v>
      </c>
      <c r="E4728" s="3215">
        <v>2015</v>
      </c>
      <c r="F4728" s="3215">
        <v>2016</v>
      </c>
      <c r="G4728" s="4724"/>
      <c r="H4728" s="3295" t="s">
        <v>390</v>
      </c>
      <c r="I4728" s="3296" t="s">
        <v>390</v>
      </c>
    </row>
    <row r="4729" spans="2:9">
      <c r="B4729" s="3217" t="s">
        <v>695</v>
      </c>
      <c r="C4729" s="3218"/>
      <c r="D4729" s="3219"/>
      <c r="E4729" s="3219"/>
      <c r="F4729" s="3219"/>
      <c r="G4729" s="3217" t="s">
        <v>695</v>
      </c>
      <c r="H4729" s="3297"/>
      <c r="I4729" s="3298"/>
    </row>
    <row r="4730" spans="2:9">
      <c r="B4730" s="3299" t="s">
        <v>64</v>
      </c>
      <c r="C4730" s="3063"/>
      <c r="D4730" s="3064"/>
      <c r="E4730" s="3064"/>
      <c r="F4730" s="3064"/>
      <c r="G4730" s="3300" t="s">
        <v>64</v>
      </c>
      <c r="H4730" s="3063"/>
      <c r="I4730" s="3030"/>
    </row>
    <row r="4731" spans="2:9" ht="25.5">
      <c r="B4731" s="3192" t="s">
        <v>675</v>
      </c>
      <c r="C4731" s="3063"/>
      <c r="D4731" s="3064"/>
      <c r="E4731" s="3064"/>
      <c r="F4731" s="3064"/>
      <c r="G4731" s="3301" t="s">
        <v>675</v>
      </c>
      <c r="H4731" s="3063"/>
      <c r="I4731" s="3030"/>
    </row>
    <row r="4732" spans="2:9" ht="25.5">
      <c r="B4732" s="3192" t="s">
        <v>676</v>
      </c>
      <c r="C4732" s="3063"/>
      <c r="D4732" s="3064"/>
      <c r="E4732" s="3064"/>
      <c r="F4732" s="3064"/>
      <c r="G4732" s="3301" t="s">
        <v>676</v>
      </c>
      <c r="H4732" s="3063"/>
      <c r="I4732" s="3030"/>
    </row>
    <row r="4733" spans="2:9">
      <c r="B4733" s="3192" t="s">
        <v>677</v>
      </c>
      <c r="C4733" s="3063"/>
      <c r="D4733" s="3064"/>
      <c r="E4733" s="3064"/>
      <c r="F4733" s="3064"/>
      <c r="G4733" s="3301" t="s">
        <v>677</v>
      </c>
      <c r="H4733" s="3063"/>
      <c r="I4733" s="3030"/>
    </row>
    <row r="4734" spans="2:9">
      <c r="B4734" s="3192" t="s">
        <v>678</v>
      </c>
      <c r="C4734" s="3063"/>
      <c r="D4734" s="3064"/>
      <c r="E4734" s="3064"/>
      <c r="F4734" s="3064"/>
      <c r="G4734" s="3301" t="s">
        <v>678</v>
      </c>
      <c r="H4734" s="3063"/>
      <c r="I4734" s="3030"/>
    </row>
    <row r="4735" spans="2:9">
      <c r="B4735" s="3192" t="s">
        <v>679</v>
      </c>
      <c r="C4735" s="3063"/>
      <c r="D4735" s="3064"/>
      <c r="E4735" s="3064"/>
      <c r="F4735" s="3064"/>
      <c r="G4735" s="3301" t="s">
        <v>679</v>
      </c>
      <c r="H4735" s="3063"/>
      <c r="I4735" s="3030"/>
    </row>
    <row r="4736" spans="2:9" ht="25.5">
      <c r="B4736" s="3192" t="s">
        <v>720</v>
      </c>
      <c r="C4736" s="3063"/>
      <c r="D4736" s="3064"/>
      <c r="E4736" s="3064"/>
      <c r="F4736" s="3064"/>
      <c r="G4736" s="3301" t="s">
        <v>720</v>
      </c>
      <c r="H4736" s="3063"/>
      <c r="I4736" s="3030"/>
    </row>
    <row r="4737" spans="2:9">
      <c r="B4737" s="3299" t="s">
        <v>65</v>
      </c>
      <c r="C4737" s="3063"/>
      <c r="D4737" s="3064"/>
      <c r="E4737" s="3064"/>
      <c r="F4737" s="3064"/>
      <c r="G4737" s="3300" t="s">
        <v>65</v>
      </c>
      <c r="H4737" s="3063"/>
      <c r="I4737" s="3030"/>
    </row>
    <row r="4738" spans="2:9" ht="25.5">
      <c r="B4738" s="3192" t="s">
        <v>675</v>
      </c>
      <c r="C4738" s="3063"/>
      <c r="D4738" s="3064"/>
      <c r="E4738" s="3064"/>
      <c r="F4738" s="3064"/>
      <c r="G4738" s="3301" t="s">
        <v>675</v>
      </c>
      <c r="H4738" s="3063"/>
      <c r="I4738" s="3030"/>
    </row>
    <row r="4739" spans="2:9" ht="25.5">
      <c r="B4739" s="3192" t="s">
        <v>676</v>
      </c>
      <c r="C4739" s="3063"/>
      <c r="D4739" s="3064"/>
      <c r="E4739" s="3064"/>
      <c r="F4739" s="3064"/>
      <c r="G4739" s="3301" t="s">
        <v>676</v>
      </c>
      <c r="H4739" s="3063"/>
      <c r="I4739" s="3030"/>
    </row>
    <row r="4740" spans="2:9">
      <c r="B4740" s="3192" t="s">
        <v>677</v>
      </c>
      <c r="C4740" s="3063"/>
      <c r="D4740" s="3064"/>
      <c r="E4740" s="3064"/>
      <c r="F4740" s="3064"/>
      <c r="G4740" s="3301" t="s">
        <v>677</v>
      </c>
      <c r="H4740" s="3063"/>
      <c r="I4740" s="3030"/>
    </row>
    <row r="4741" spans="2:9">
      <c r="B4741" s="3192" t="s">
        <v>678</v>
      </c>
      <c r="C4741" s="3063"/>
      <c r="D4741" s="3064"/>
      <c r="E4741" s="3064"/>
      <c r="F4741" s="3064"/>
      <c r="G4741" s="3301" t="s">
        <v>678</v>
      </c>
      <c r="H4741" s="3063"/>
      <c r="I4741" s="3030"/>
    </row>
    <row r="4742" spans="2:9">
      <c r="B4742" s="3192" t="s">
        <v>679</v>
      </c>
      <c r="C4742" s="3063"/>
      <c r="D4742" s="3064"/>
      <c r="E4742" s="3064"/>
      <c r="F4742" s="3064"/>
      <c r="G4742" s="3301" t="s">
        <v>679</v>
      </c>
      <c r="H4742" s="3063"/>
      <c r="I4742" s="3030"/>
    </row>
    <row r="4743" spans="2:9" ht="25.5">
      <c r="B4743" s="3192" t="s">
        <v>720</v>
      </c>
      <c r="C4743" s="3063"/>
      <c r="D4743" s="3064"/>
      <c r="E4743" s="3064"/>
      <c r="F4743" s="3064"/>
      <c r="G4743" s="3301" t="s">
        <v>720</v>
      </c>
      <c r="H4743" s="3063"/>
      <c r="I4743" s="3030"/>
    </row>
    <row r="4744" spans="2:9">
      <c r="B4744" s="3299" t="s">
        <v>82</v>
      </c>
      <c r="C4744" s="3063"/>
      <c r="D4744" s="3064"/>
      <c r="E4744" s="3064"/>
      <c r="F4744" s="3064"/>
      <c r="G4744" s="3300" t="s">
        <v>82</v>
      </c>
      <c r="H4744" s="3063"/>
      <c r="I4744" s="3030"/>
    </row>
    <row r="4745" spans="2:9" ht="25.5">
      <c r="B4745" s="3192" t="s">
        <v>675</v>
      </c>
      <c r="C4745" s="3063"/>
      <c r="D4745" s="3064"/>
      <c r="E4745" s="3064"/>
      <c r="F4745" s="3064"/>
      <c r="G4745" s="3301" t="s">
        <v>675</v>
      </c>
      <c r="H4745" s="3063"/>
      <c r="I4745" s="3030"/>
    </row>
    <row r="4746" spans="2:9" ht="25.5">
      <c r="B4746" s="3192" t="s">
        <v>676</v>
      </c>
      <c r="C4746" s="3063"/>
      <c r="D4746" s="3064"/>
      <c r="E4746" s="3064"/>
      <c r="F4746" s="3064"/>
      <c r="G4746" s="3301" t="s">
        <v>676</v>
      </c>
      <c r="H4746" s="3063"/>
      <c r="I4746" s="3030"/>
    </row>
    <row r="4747" spans="2:9">
      <c r="B4747" s="3192" t="s">
        <v>677</v>
      </c>
      <c r="C4747" s="3063"/>
      <c r="D4747" s="3064"/>
      <c r="E4747" s="3064"/>
      <c r="F4747" s="3064"/>
      <c r="G4747" s="3301" t="s">
        <v>677</v>
      </c>
      <c r="H4747" s="3063"/>
      <c r="I4747" s="3030"/>
    </row>
    <row r="4748" spans="2:9">
      <c r="B4748" s="3192" t="s">
        <v>678</v>
      </c>
      <c r="C4748" s="3063"/>
      <c r="D4748" s="3064"/>
      <c r="E4748" s="3064"/>
      <c r="F4748" s="3064"/>
      <c r="G4748" s="3301" t="s">
        <v>678</v>
      </c>
      <c r="H4748" s="3063"/>
      <c r="I4748" s="3030"/>
    </row>
    <row r="4749" spans="2:9">
      <c r="B4749" s="3192" t="s">
        <v>679</v>
      </c>
      <c r="C4749" s="3063"/>
      <c r="D4749" s="3064"/>
      <c r="E4749" s="3064"/>
      <c r="F4749" s="3064"/>
      <c r="G4749" s="3301" t="s">
        <v>679</v>
      </c>
      <c r="H4749" s="3063"/>
      <c r="I4749" s="3030"/>
    </row>
    <row r="4750" spans="2:9" ht="25.5">
      <c r="B4750" s="3192" t="s">
        <v>720</v>
      </c>
      <c r="C4750" s="3063"/>
      <c r="D4750" s="3064"/>
      <c r="E4750" s="3064"/>
      <c r="F4750" s="3064"/>
      <c r="G4750" s="3301" t="s">
        <v>720</v>
      </c>
      <c r="H4750" s="3063"/>
      <c r="I4750" s="3030"/>
    </row>
    <row r="4751" spans="2:9" ht="38.25">
      <c r="B4751" s="3299" t="s">
        <v>680</v>
      </c>
      <c r="C4751" s="3063"/>
      <c r="D4751" s="3064"/>
      <c r="E4751" s="3064"/>
      <c r="F4751" s="3064"/>
      <c r="G4751" s="3300" t="s">
        <v>680</v>
      </c>
      <c r="H4751" s="3063"/>
      <c r="I4751" s="3030"/>
    </row>
    <row r="4752" spans="2:9" ht="25.5">
      <c r="B4752" s="3192" t="s">
        <v>675</v>
      </c>
      <c r="C4752" s="3063"/>
      <c r="D4752" s="3064"/>
      <c r="E4752" s="3064"/>
      <c r="F4752" s="3064"/>
      <c r="G4752" s="3301" t="s">
        <v>675</v>
      </c>
      <c r="H4752" s="3063"/>
      <c r="I4752" s="3030"/>
    </row>
    <row r="4753" spans="2:9" ht="25.5">
      <c r="B4753" s="3192" t="s">
        <v>676</v>
      </c>
      <c r="C4753" s="3063"/>
      <c r="D4753" s="3064"/>
      <c r="E4753" s="3064"/>
      <c r="F4753" s="3064"/>
      <c r="G4753" s="3301" t="s">
        <v>676</v>
      </c>
      <c r="H4753" s="3063"/>
      <c r="I4753" s="3030"/>
    </row>
    <row r="4754" spans="2:9">
      <c r="B4754" s="3192" t="s">
        <v>677</v>
      </c>
      <c r="C4754" s="3063"/>
      <c r="D4754" s="3064"/>
      <c r="E4754" s="3064"/>
      <c r="F4754" s="3064"/>
      <c r="G4754" s="3301" t="s">
        <v>677</v>
      </c>
      <c r="H4754" s="3063"/>
      <c r="I4754" s="3030"/>
    </row>
    <row r="4755" spans="2:9">
      <c r="B4755" s="3192" t="s">
        <v>678</v>
      </c>
      <c r="C4755" s="3063"/>
      <c r="D4755" s="3064"/>
      <c r="E4755" s="3064"/>
      <c r="F4755" s="3064"/>
      <c r="G4755" s="3301" t="s">
        <v>678</v>
      </c>
      <c r="H4755" s="3063"/>
      <c r="I4755" s="3030"/>
    </row>
    <row r="4756" spans="2:9">
      <c r="B4756" s="3192" t="s">
        <v>679</v>
      </c>
      <c r="C4756" s="3063"/>
      <c r="D4756" s="3064"/>
      <c r="E4756" s="3064"/>
      <c r="F4756" s="3064"/>
      <c r="G4756" s="3301" t="s">
        <v>679</v>
      </c>
      <c r="H4756" s="3063"/>
      <c r="I4756" s="3030"/>
    </row>
    <row r="4757" spans="2:9" ht="25.5">
      <c r="B4757" s="3192" t="s">
        <v>720</v>
      </c>
      <c r="C4757" s="3063"/>
      <c r="D4757" s="3064"/>
      <c r="E4757" s="3064"/>
      <c r="F4757" s="3064"/>
      <c r="G4757" s="3301" t="s">
        <v>720</v>
      </c>
      <c r="H4757" s="3063"/>
      <c r="I4757" s="3030"/>
    </row>
    <row r="4758" spans="2:9" ht="38.25">
      <c r="B4758" s="3299" t="s">
        <v>681</v>
      </c>
      <c r="C4758" s="3063"/>
      <c r="D4758" s="3064"/>
      <c r="E4758" s="3064"/>
      <c r="F4758" s="3064"/>
      <c r="G4758" s="3300" t="s">
        <v>681</v>
      </c>
      <c r="H4758" s="3063"/>
      <c r="I4758" s="3030"/>
    </row>
    <row r="4759" spans="2:9" ht="25.5">
      <c r="B4759" s="3192" t="s">
        <v>675</v>
      </c>
      <c r="C4759" s="3063"/>
      <c r="D4759" s="3064"/>
      <c r="E4759" s="3064"/>
      <c r="F4759" s="3064"/>
      <c r="G4759" s="3301" t="s">
        <v>675</v>
      </c>
      <c r="H4759" s="3063"/>
      <c r="I4759" s="3030"/>
    </row>
    <row r="4760" spans="2:9" ht="25.5">
      <c r="B4760" s="3192" t="s">
        <v>676</v>
      </c>
      <c r="C4760" s="3063"/>
      <c r="D4760" s="3064"/>
      <c r="E4760" s="3064"/>
      <c r="F4760" s="3064"/>
      <c r="G4760" s="3301" t="s">
        <v>676</v>
      </c>
      <c r="H4760" s="3063"/>
      <c r="I4760" s="3030"/>
    </row>
    <row r="4761" spans="2:9">
      <c r="B4761" s="3192" t="s">
        <v>677</v>
      </c>
      <c r="C4761" s="3063"/>
      <c r="D4761" s="3064"/>
      <c r="E4761" s="3064"/>
      <c r="F4761" s="3064"/>
      <c r="G4761" s="3301" t="s">
        <v>677</v>
      </c>
      <c r="H4761" s="3063"/>
      <c r="I4761" s="3030"/>
    </row>
    <row r="4762" spans="2:9">
      <c r="B4762" s="3192" t="s">
        <v>678</v>
      </c>
      <c r="C4762" s="3063"/>
      <c r="D4762" s="3064"/>
      <c r="E4762" s="3064"/>
      <c r="F4762" s="3064"/>
      <c r="G4762" s="3301" t="s">
        <v>678</v>
      </c>
      <c r="H4762" s="3063"/>
      <c r="I4762" s="3030"/>
    </row>
    <row r="4763" spans="2:9">
      <c r="B4763" s="3192" t="s">
        <v>679</v>
      </c>
      <c r="C4763" s="3063"/>
      <c r="D4763" s="3064"/>
      <c r="E4763" s="3064"/>
      <c r="F4763" s="3064"/>
      <c r="G4763" s="3301" t="s">
        <v>679</v>
      </c>
      <c r="H4763" s="3063"/>
      <c r="I4763" s="3030"/>
    </row>
    <row r="4764" spans="2:9" ht="25.5">
      <c r="B4764" s="3192" t="s">
        <v>720</v>
      </c>
      <c r="C4764" s="3063"/>
      <c r="D4764" s="3064"/>
      <c r="E4764" s="3064"/>
      <c r="F4764" s="3064"/>
      <c r="G4764" s="3301" t="s">
        <v>720</v>
      </c>
      <c r="H4764" s="3063"/>
      <c r="I4764" s="3030"/>
    </row>
    <row r="4765" spans="2:9" ht="25.5">
      <c r="B4765" s="3299" t="s">
        <v>682</v>
      </c>
      <c r="C4765" s="3063"/>
      <c r="D4765" s="3064"/>
      <c r="E4765" s="3064"/>
      <c r="F4765" s="3064"/>
      <c r="G4765" s="3300" t="s">
        <v>682</v>
      </c>
      <c r="H4765" s="3063"/>
      <c r="I4765" s="3030"/>
    </row>
    <row r="4766" spans="2:9" ht="25.5">
      <c r="B4766" s="3192" t="s">
        <v>675</v>
      </c>
      <c r="C4766" s="3063"/>
      <c r="D4766" s="3064"/>
      <c r="E4766" s="3064"/>
      <c r="F4766" s="3064"/>
      <c r="G4766" s="3301" t="s">
        <v>675</v>
      </c>
      <c r="H4766" s="3063"/>
      <c r="I4766" s="3030"/>
    </row>
    <row r="4767" spans="2:9" ht="25.5">
      <c r="B4767" s="3192" t="s">
        <v>676</v>
      </c>
      <c r="C4767" s="3063"/>
      <c r="D4767" s="3064"/>
      <c r="E4767" s="3064"/>
      <c r="F4767" s="3064"/>
      <c r="G4767" s="3301" t="s">
        <v>676</v>
      </c>
      <c r="H4767" s="3063"/>
      <c r="I4767" s="3030"/>
    </row>
    <row r="4768" spans="2:9">
      <c r="B4768" s="3192" t="s">
        <v>677</v>
      </c>
      <c r="C4768" s="3063"/>
      <c r="D4768" s="3064"/>
      <c r="E4768" s="3064"/>
      <c r="F4768" s="3064"/>
      <c r="G4768" s="3301" t="s">
        <v>677</v>
      </c>
      <c r="H4768" s="3063"/>
      <c r="I4768" s="3030"/>
    </row>
    <row r="4769" spans="2:9">
      <c r="B4769" s="3192" t="s">
        <v>678</v>
      </c>
      <c r="C4769" s="3063"/>
      <c r="D4769" s="3064"/>
      <c r="E4769" s="3064"/>
      <c r="F4769" s="3064"/>
      <c r="G4769" s="3301" t="s">
        <v>678</v>
      </c>
      <c r="H4769" s="3063"/>
      <c r="I4769" s="3030"/>
    </row>
    <row r="4770" spans="2:9">
      <c r="B4770" s="3192" t="s">
        <v>679</v>
      </c>
      <c r="C4770" s="3063"/>
      <c r="D4770" s="3064"/>
      <c r="E4770" s="3064"/>
      <c r="F4770" s="3064"/>
      <c r="G4770" s="3301" t="s">
        <v>679</v>
      </c>
      <c r="H4770" s="3063"/>
      <c r="I4770" s="3030"/>
    </row>
    <row r="4771" spans="2:9" ht="25.5">
      <c r="B4771" s="3192" t="s">
        <v>720</v>
      </c>
      <c r="C4771" s="3063"/>
      <c r="D4771" s="3064"/>
      <c r="E4771" s="3064"/>
      <c r="F4771" s="3064"/>
      <c r="G4771" s="3301" t="s">
        <v>720</v>
      </c>
      <c r="H4771" s="3063"/>
      <c r="I4771" s="3030"/>
    </row>
    <row r="4772" spans="2:9" ht="25.5">
      <c r="B4772" s="3299" t="s">
        <v>66</v>
      </c>
      <c r="C4772" s="3063"/>
      <c r="D4772" s="3064"/>
      <c r="E4772" s="3064"/>
      <c r="F4772" s="3064"/>
      <c r="G4772" s="3300" t="s">
        <v>66</v>
      </c>
      <c r="H4772" s="3063"/>
      <c r="I4772" s="3030"/>
    </row>
    <row r="4773" spans="2:9" ht="25.5">
      <c r="B4773" s="3192" t="s">
        <v>675</v>
      </c>
      <c r="C4773" s="3063"/>
      <c r="D4773" s="3064"/>
      <c r="E4773" s="3064"/>
      <c r="F4773" s="3064"/>
      <c r="G4773" s="3301" t="s">
        <v>675</v>
      </c>
      <c r="H4773" s="3063"/>
      <c r="I4773" s="3030"/>
    </row>
    <row r="4774" spans="2:9" ht="25.5">
      <c r="B4774" s="3192" t="s">
        <v>676</v>
      </c>
      <c r="C4774" s="3063"/>
      <c r="D4774" s="3064"/>
      <c r="E4774" s="3064"/>
      <c r="F4774" s="3064"/>
      <c r="G4774" s="3301" t="s">
        <v>676</v>
      </c>
      <c r="H4774" s="3063"/>
      <c r="I4774" s="3030"/>
    </row>
    <row r="4775" spans="2:9">
      <c r="B4775" s="3192" t="s">
        <v>677</v>
      </c>
      <c r="C4775" s="3063"/>
      <c r="D4775" s="3064"/>
      <c r="E4775" s="3064"/>
      <c r="F4775" s="3064"/>
      <c r="G4775" s="3301" t="s">
        <v>677</v>
      </c>
      <c r="H4775" s="3063"/>
      <c r="I4775" s="3030"/>
    </row>
    <row r="4776" spans="2:9">
      <c r="B4776" s="3192" t="s">
        <v>678</v>
      </c>
      <c r="C4776" s="3063"/>
      <c r="D4776" s="3064"/>
      <c r="E4776" s="3064"/>
      <c r="F4776" s="3064"/>
      <c r="G4776" s="3301" t="s">
        <v>678</v>
      </c>
      <c r="H4776" s="3063"/>
      <c r="I4776" s="3030"/>
    </row>
    <row r="4777" spans="2:9">
      <c r="B4777" s="3192" t="s">
        <v>679</v>
      </c>
      <c r="C4777" s="3063"/>
      <c r="D4777" s="3064"/>
      <c r="E4777" s="3064"/>
      <c r="F4777" s="3064"/>
      <c r="G4777" s="3301" t="s">
        <v>679</v>
      </c>
      <c r="H4777" s="3063"/>
      <c r="I4777" s="3030"/>
    </row>
    <row r="4778" spans="2:9" ht="25.5">
      <c r="B4778" s="3192" t="s">
        <v>720</v>
      </c>
      <c r="C4778" s="3063"/>
      <c r="D4778" s="3064"/>
      <c r="E4778" s="3064"/>
      <c r="F4778" s="3064"/>
      <c r="G4778" s="3301" t="s">
        <v>720</v>
      </c>
      <c r="H4778" s="3063"/>
      <c r="I4778" s="3030"/>
    </row>
    <row r="4779" spans="2:9">
      <c r="B4779" s="3299" t="s">
        <v>67</v>
      </c>
      <c r="C4779" s="3063"/>
      <c r="D4779" s="3064"/>
      <c r="E4779" s="3064"/>
      <c r="F4779" s="3064"/>
      <c r="G4779" s="3300" t="s">
        <v>67</v>
      </c>
      <c r="H4779" s="3063"/>
      <c r="I4779" s="3030"/>
    </row>
    <row r="4780" spans="2:9" ht="25.5">
      <c r="B4780" s="3192" t="s">
        <v>675</v>
      </c>
      <c r="C4780" s="3063"/>
      <c r="D4780" s="3064"/>
      <c r="E4780" s="3064"/>
      <c r="F4780" s="3064"/>
      <c r="G4780" s="3301" t="s">
        <v>675</v>
      </c>
      <c r="H4780" s="3063"/>
      <c r="I4780" s="3030"/>
    </row>
    <row r="4781" spans="2:9" ht="25.5">
      <c r="B4781" s="3192" t="s">
        <v>676</v>
      </c>
      <c r="C4781" s="3063"/>
      <c r="D4781" s="3064"/>
      <c r="E4781" s="3064"/>
      <c r="F4781" s="3064"/>
      <c r="G4781" s="3301" t="s">
        <v>676</v>
      </c>
      <c r="H4781" s="3063"/>
      <c r="I4781" s="3030"/>
    </row>
    <row r="4782" spans="2:9">
      <c r="B4782" s="3192" t="s">
        <v>677</v>
      </c>
      <c r="C4782" s="3063"/>
      <c r="D4782" s="3064"/>
      <c r="E4782" s="3064"/>
      <c r="F4782" s="3064"/>
      <c r="G4782" s="3301" t="s">
        <v>677</v>
      </c>
      <c r="H4782" s="3063"/>
      <c r="I4782" s="3030"/>
    </row>
    <row r="4783" spans="2:9">
      <c r="B4783" s="3192" t="s">
        <v>678</v>
      </c>
      <c r="C4783" s="3063"/>
      <c r="D4783" s="3064"/>
      <c r="E4783" s="3064"/>
      <c r="F4783" s="3064"/>
      <c r="G4783" s="3301" t="s">
        <v>678</v>
      </c>
      <c r="H4783" s="3063"/>
      <c r="I4783" s="3030"/>
    </row>
    <row r="4784" spans="2:9">
      <c r="B4784" s="3192" t="s">
        <v>679</v>
      </c>
      <c r="C4784" s="3063"/>
      <c r="D4784" s="3064"/>
      <c r="E4784" s="3064"/>
      <c r="F4784" s="3064"/>
      <c r="G4784" s="3301" t="s">
        <v>679</v>
      </c>
      <c r="H4784" s="3063"/>
      <c r="I4784" s="3030"/>
    </row>
    <row r="4785" spans="2:9" ht="25.5">
      <c r="B4785" s="3192" t="s">
        <v>720</v>
      </c>
      <c r="C4785" s="3063"/>
      <c r="D4785" s="3064"/>
      <c r="E4785" s="3064"/>
      <c r="F4785" s="3064"/>
      <c r="G4785" s="3301" t="s">
        <v>720</v>
      </c>
      <c r="H4785" s="3063"/>
      <c r="I4785" s="3030"/>
    </row>
    <row r="4786" spans="2:9" ht="25.5">
      <c r="B4786" s="3230" t="s">
        <v>81</v>
      </c>
      <c r="C4786" s="3063"/>
      <c r="D4786" s="3064"/>
      <c r="E4786" s="3064"/>
      <c r="F4786" s="3064"/>
      <c r="G4786" s="3302" t="s">
        <v>81</v>
      </c>
      <c r="H4786" s="3063"/>
      <c r="I4786" s="3030"/>
    </row>
    <row r="4787" spans="2:9" ht="26.25" thickBot="1">
      <c r="B4787" s="3303" t="s">
        <v>81</v>
      </c>
      <c r="C4787" s="3063"/>
      <c r="D4787" s="3064"/>
      <c r="E4787" s="3064"/>
      <c r="F4787" s="3064"/>
      <c r="G4787" s="3302" t="s">
        <v>81</v>
      </c>
      <c r="H4787" s="3063"/>
      <c r="I4787" s="3030"/>
    </row>
    <row r="4788" spans="2:9" ht="25.5">
      <c r="B4788" s="3217" t="s">
        <v>696</v>
      </c>
      <c r="C4788" s="3218"/>
      <c r="D4788" s="3219"/>
      <c r="E4788" s="3219"/>
      <c r="F4788" s="3219"/>
      <c r="G4788" s="3217" t="s">
        <v>696</v>
      </c>
      <c r="H4788" s="3297"/>
      <c r="I4788" s="3298"/>
    </row>
    <row r="4789" spans="2:9">
      <c r="B4789" s="3299" t="s">
        <v>64</v>
      </c>
      <c r="C4789" s="3063"/>
      <c r="D4789" s="3064"/>
      <c r="E4789" s="3064"/>
      <c r="F4789" s="3064"/>
      <c r="G4789" s="3300" t="s">
        <v>64</v>
      </c>
      <c r="H4789" s="3063"/>
      <c r="I4789" s="3030"/>
    </row>
    <row r="4790" spans="2:9" ht="25.5">
      <c r="B4790" s="3192" t="s">
        <v>675</v>
      </c>
      <c r="C4790" s="3063"/>
      <c r="D4790" s="3064"/>
      <c r="E4790" s="3064"/>
      <c r="F4790" s="3064"/>
      <c r="G4790" s="3301" t="s">
        <v>675</v>
      </c>
      <c r="H4790" s="3063"/>
      <c r="I4790" s="3030"/>
    </row>
    <row r="4791" spans="2:9" ht="25.5">
      <c r="B4791" s="3192" t="s">
        <v>676</v>
      </c>
      <c r="C4791" s="3063"/>
      <c r="D4791" s="3064"/>
      <c r="E4791" s="3064"/>
      <c r="F4791" s="3064"/>
      <c r="G4791" s="3301" t="s">
        <v>676</v>
      </c>
      <c r="H4791" s="3063"/>
      <c r="I4791" s="3030"/>
    </row>
    <row r="4792" spans="2:9">
      <c r="B4792" s="3192" t="s">
        <v>677</v>
      </c>
      <c r="C4792" s="3063"/>
      <c r="D4792" s="3064"/>
      <c r="E4792" s="3064"/>
      <c r="F4792" s="3064"/>
      <c r="G4792" s="3301" t="s">
        <v>677</v>
      </c>
      <c r="H4792" s="3063"/>
      <c r="I4792" s="3030"/>
    </row>
    <row r="4793" spans="2:9">
      <c r="B4793" s="3192" t="s">
        <v>678</v>
      </c>
      <c r="C4793" s="3063"/>
      <c r="D4793" s="3064"/>
      <c r="E4793" s="3064"/>
      <c r="F4793" s="3064"/>
      <c r="G4793" s="3301" t="s">
        <v>678</v>
      </c>
      <c r="H4793" s="3063"/>
      <c r="I4793" s="3030"/>
    </row>
    <row r="4794" spans="2:9">
      <c r="B4794" s="3192" t="s">
        <v>679</v>
      </c>
      <c r="C4794" s="3063"/>
      <c r="D4794" s="3064"/>
      <c r="E4794" s="3064"/>
      <c r="F4794" s="3064"/>
      <c r="G4794" s="3301" t="s">
        <v>679</v>
      </c>
      <c r="H4794" s="3063"/>
      <c r="I4794" s="3030"/>
    </row>
    <row r="4795" spans="2:9" ht="25.5">
      <c r="B4795" s="3192" t="s">
        <v>720</v>
      </c>
      <c r="C4795" s="3063"/>
      <c r="D4795" s="3064"/>
      <c r="E4795" s="3064"/>
      <c r="F4795" s="3064"/>
      <c r="G4795" s="3301" t="s">
        <v>720</v>
      </c>
      <c r="H4795" s="3063"/>
      <c r="I4795" s="3030"/>
    </row>
    <row r="4796" spans="2:9">
      <c r="B4796" s="3299" t="s">
        <v>65</v>
      </c>
      <c r="C4796" s="3063"/>
      <c r="D4796" s="3064"/>
      <c r="E4796" s="3064"/>
      <c r="F4796" s="3064"/>
      <c r="G4796" s="3300" t="s">
        <v>65</v>
      </c>
      <c r="H4796" s="3063"/>
      <c r="I4796" s="3030"/>
    </row>
    <row r="4797" spans="2:9" ht="25.5">
      <c r="B4797" s="3192" t="s">
        <v>675</v>
      </c>
      <c r="C4797" s="3063"/>
      <c r="D4797" s="3064"/>
      <c r="E4797" s="3064"/>
      <c r="F4797" s="3064"/>
      <c r="G4797" s="3301" t="s">
        <v>675</v>
      </c>
      <c r="H4797" s="3063"/>
      <c r="I4797" s="3030"/>
    </row>
    <row r="4798" spans="2:9" ht="25.5">
      <c r="B4798" s="3192" t="s">
        <v>676</v>
      </c>
      <c r="C4798" s="3063"/>
      <c r="D4798" s="3064"/>
      <c r="E4798" s="3064"/>
      <c r="F4798" s="3064"/>
      <c r="G4798" s="3301" t="s">
        <v>676</v>
      </c>
      <c r="H4798" s="3063"/>
      <c r="I4798" s="3030"/>
    </row>
    <row r="4799" spans="2:9">
      <c r="B4799" s="3192" t="s">
        <v>677</v>
      </c>
      <c r="C4799" s="3063"/>
      <c r="D4799" s="3064"/>
      <c r="E4799" s="3064"/>
      <c r="F4799" s="3064"/>
      <c r="G4799" s="3301" t="s">
        <v>677</v>
      </c>
      <c r="H4799" s="3063"/>
      <c r="I4799" s="3030"/>
    </row>
    <row r="4800" spans="2:9">
      <c r="B4800" s="3192" t="s">
        <v>678</v>
      </c>
      <c r="C4800" s="3063"/>
      <c r="D4800" s="3064"/>
      <c r="E4800" s="3064"/>
      <c r="F4800" s="3064"/>
      <c r="G4800" s="3301" t="s">
        <v>678</v>
      </c>
      <c r="H4800" s="3063"/>
      <c r="I4800" s="3030"/>
    </row>
    <row r="4801" spans="2:9">
      <c r="B4801" s="3192" t="s">
        <v>679</v>
      </c>
      <c r="C4801" s="3063"/>
      <c r="D4801" s="3064"/>
      <c r="E4801" s="3064"/>
      <c r="F4801" s="3064"/>
      <c r="G4801" s="3301" t="s">
        <v>679</v>
      </c>
      <c r="H4801" s="3063"/>
      <c r="I4801" s="3030"/>
    </row>
    <row r="4802" spans="2:9" ht="25.5">
      <c r="B4802" s="3192" t="s">
        <v>720</v>
      </c>
      <c r="C4802" s="3063"/>
      <c r="D4802" s="3064"/>
      <c r="E4802" s="3064"/>
      <c r="F4802" s="3064"/>
      <c r="G4802" s="3301" t="s">
        <v>720</v>
      </c>
      <c r="H4802" s="3063"/>
      <c r="I4802" s="3030"/>
    </row>
    <row r="4803" spans="2:9">
      <c r="B4803" s="3299" t="s">
        <v>82</v>
      </c>
      <c r="C4803" s="3063"/>
      <c r="D4803" s="3064"/>
      <c r="E4803" s="3064"/>
      <c r="F4803" s="3064"/>
      <c r="G4803" s="3300" t="s">
        <v>82</v>
      </c>
      <c r="H4803" s="3063"/>
      <c r="I4803" s="3030"/>
    </row>
    <row r="4804" spans="2:9" ht="25.5">
      <c r="B4804" s="3192" t="s">
        <v>675</v>
      </c>
      <c r="C4804" s="3063"/>
      <c r="D4804" s="3064"/>
      <c r="E4804" s="3064"/>
      <c r="F4804" s="3064"/>
      <c r="G4804" s="3301" t="s">
        <v>675</v>
      </c>
      <c r="H4804" s="3063"/>
      <c r="I4804" s="3030"/>
    </row>
    <row r="4805" spans="2:9" ht="25.5">
      <c r="B4805" s="3192" t="s">
        <v>676</v>
      </c>
      <c r="C4805" s="3063"/>
      <c r="D4805" s="3064"/>
      <c r="E4805" s="3064"/>
      <c r="F4805" s="3064"/>
      <c r="G4805" s="3301" t="s">
        <v>676</v>
      </c>
      <c r="H4805" s="3063"/>
      <c r="I4805" s="3030"/>
    </row>
    <row r="4806" spans="2:9">
      <c r="B4806" s="3192" t="s">
        <v>677</v>
      </c>
      <c r="C4806" s="3063"/>
      <c r="D4806" s="3064"/>
      <c r="E4806" s="3064"/>
      <c r="F4806" s="3064"/>
      <c r="G4806" s="3301" t="s">
        <v>677</v>
      </c>
      <c r="H4806" s="3063"/>
      <c r="I4806" s="3030"/>
    </row>
    <row r="4807" spans="2:9">
      <c r="B4807" s="3192" t="s">
        <v>678</v>
      </c>
      <c r="C4807" s="3063"/>
      <c r="D4807" s="3064"/>
      <c r="E4807" s="3064"/>
      <c r="F4807" s="3064"/>
      <c r="G4807" s="3301" t="s">
        <v>678</v>
      </c>
      <c r="H4807" s="3063"/>
      <c r="I4807" s="3030"/>
    </row>
    <row r="4808" spans="2:9">
      <c r="B4808" s="3192" t="s">
        <v>679</v>
      </c>
      <c r="C4808" s="3063"/>
      <c r="D4808" s="3064"/>
      <c r="E4808" s="3064"/>
      <c r="F4808" s="3064"/>
      <c r="G4808" s="3301" t="s">
        <v>679</v>
      </c>
      <c r="H4808" s="3063"/>
      <c r="I4808" s="3030"/>
    </row>
    <row r="4809" spans="2:9" ht="25.5">
      <c r="B4809" s="3192" t="s">
        <v>720</v>
      </c>
      <c r="C4809" s="3063"/>
      <c r="D4809" s="3064"/>
      <c r="E4809" s="3064"/>
      <c r="F4809" s="3064"/>
      <c r="G4809" s="3301" t="s">
        <v>720</v>
      </c>
      <c r="H4809" s="3063"/>
      <c r="I4809" s="3030"/>
    </row>
    <row r="4810" spans="2:9" ht="38.25">
      <c r="B4810" s="3299" t="s">
        <v>680</v>
      </c>
      <c r="C4810" s="3063"/>
      <c r="D4810" s="3064"/>
      <c r="E4810" s="3064"/>
      <c r="F4810" s="3064"/>
      <c r="G4810" s="3300" t="s">
        <v>680</v>
      </c>
      <c r="H4810" s="3063"/>
      <c r="I4810" s="3030"/>
    </row>
    <row r="4811" spans="2:9" ht="25.5">
      <c r="B4811" s="3192" t="s">
        <v>675</v>
      </c>
      <c r="C4811" s="3063"/>
      <c r="D4811" s="3064"/>
      <c r="E4811" s="3064"/>
      <c r="F4811" s="3064"/>
      <c r="G4811" s="3301" t="s">
        <v>675</v>
      </c>
      <c r="H4811" s="3063"/>
      <c r="I4811" s="3030"/>
    </row>
    <row r="4812" spans="2:9" ht="25.5">
      <c r="B4812" s="3192" t="s">
        <v>676</v>
      </c>
      <c r="C4812" s="3063"/>
      <c r="D4812" s="3064"/>
      <c r="E4812" s="3064"/>
      <c r="F4812" s="3064"/>
      <c r="G4812" s="3301" t="s">
        <v>676</v>
      </c>
      <c r="H4812" s="3063"/>
      <c r="I4812" s="3030"/>
    </row>
    <row r="4813" spans="2:9">
      <c r="B4813" s="3192" t="s">
        <v>677</v>
      </c>
      <c r="C4813" s="3063"/>
      <c r="D4813" s="3064"/>
      <c r="E4813" s="3064"/>
      <c r="F4813" s="3064"/>
      <c r="G4813" s="3301" t="s">
        <v>677</v>
      </c>
      <c r="H4813" s="3063"/>
      <c r="I4813" s="3030"/>
    </row>
    <row r="4814" spans="2:9">
      <c r="B4814" s="3192" t="s">
        <v>678</v>
      </c>
      <c r="C4814" s="3063"/>
      <c r="D4814" s="3064"/>
      <c r="E4814" s="3064"/>
      <c r="F4814" s="3064"/>
      <c r="G4814" s="3301" t="s">
        <v>678</v>
      </c>
      <c r="H4814" s="3063"/>
      <c r="I4814" s="3030"/>
    </row>
    <row r="4815" spans="2:9">
      <c r="B4815" s="3192" t="s">
        <v>679</v>
      </c>
      <c r="C4815" s="3063"/>
      <c r="D4815" s="3064"/>
      <c r="E4815" s="3064"/>
      <c r="F4815" s="3064"/>
      <c r="G4815" s="3301" t="s">
        <v>679</v>
      </c>
      <c r="H4815" s="3063"/>
      <c r="I4815" s="3030"/>
    </row>
    <row r="4816" spans="2:9" ht="25.5">
      <c r="B4816" s="3192" t="s">
        <v>720</v>
      </c>
      <c r="C4816" s="3063"/>
      <c r="D4816" s="3064"/>
      <c r="E4816" s="3064"/>
      <c r="F4816" s="3064"/>
      <c r="G4816" s="3301" t="s">
        <v>720</v>
      </c>
      <c r="H4816" s="3063"/>
      <c r="I4816" s="3030"/>
    </row>
    <row r="4817" spans="2:9" ht="38.25">
      <c r="B4817" s="3299" t="s">
        <v>681</v>
      </c>
      <c r="C4817" s="3063"/>
      <c r="D4817" s="3064"/>
      <c r="E4817" s="3064"/>
      <c r="F4817" s="3064"/>
      <c r="G4817" s="3300" t="s">
        <v>681</v>
      </c>
      <c r="H4817" s="3063"/>
      <c r="I4817" s="3030"/>
    </row>
    <row r="4818" spans="2:9" ht="25.5">
      <c r="B4818" s="3192" t="s">
        <v>675</v>
      </c>
      <c r="C4818" s="3063"/>
      <c r="D4818" s="3064"/>
      <c r="E4818" s="3064"/>
      <c r="F4818" s="3064"/>
      <c r="G4818" s="3301" t="s">
        <v>675</v>
      </c>
      <c r="H4818" s="3063"/>
      <c r="I4818" s="3030"/>
    </row>
    <row r="4819" spans="2:9" ht="25.5">
      <c r="B4819" s="3192" t="s">
        <v>676</v>
      </c>
      <c r="C4819" s="3063"/>
      <c r="D4819" s="3064"/>
      <c r="E4819" s="3064"/>
      <c r="F4819" s="3064"/>
      <c r="G4819" s="3301" t="s">
        <v>676</v>
      </c>
      <c r="H4819" s="3063"/>
      <c r="I4819" s="3030"/>
    </row>
    <row r="4820" spans="2:9">
      <c r="B4820" s="3192" t="s">
        <v>677</v>
      </c>
      <c r="C4820" s="3063"/>
      <c r="D4820" s="3064"/>
      <c r="E4820" s="3064"/>
      <c r="F4820" s="3064"/>
      <c r="G4820" s="3301" t="s">
        <v>677</v>
      </c>
      <c r="H4820" s="3063"/>
      <c r="I4820" s="3030"/>
    </row>
    <row r="4821" spans="2:9">
      <c r="B4821" s="3192" t="s">
        <v>678</v>
      </c>
      <c r="C4821" s="3063"/>
      <c r="D4821" s="3064"/>
      <c r="E4821" s="3064"/>
      <c r="F4821" s="3064"/>
      <c r="G4821" s="3301" t="s">
        <v>678</v>
      </c>
      <c r="H4821" s="3063"/>
      <c r="I4821" s="3030"/>
    </row>
    <row r="4822" spans="2:9">
      <c r="B4822" s="3192" t="s">
        <v>679</v>
      </c>
      <c r="C4822" s="3063"/>
      <c r="D4822" s="3064"/>
      <c r="E4822" s="3064"/>
      <c r="F4822" s="3064"/>
      <c r="G4822" s="3301" t="s">
        <v>679</v>
      </c>
      <c r="H4822" s="3063"/>
      <c r="I4822" s="3030"/>
    </row>
    <row r="4823" spans="2:9" ht="25.5">
      <c r="B4823" s="3192" t="s">
        <v>720</v>
      </c>
      <c r="C4823" s="3063"/>
      <c r="D4823" s="3064"/>
      <c r="E4823" s="3064"/>
      <c r="F4823" s="3064"/>
      <c r="G4823" s="3301" t="s">
        <v>720</v>
      </c>
      <c r="H4823" s="3063"/>
      <c r="I4823" s="3030"/>
    </row>
    <row r="4824" spans="2:9" ht="25.5">
      <c r="B4824" s="3299" t="s">
        <v>682</v>
      </c>
      <c r="C4824" s="3063"/>
      <c r="D4824" s="3064"/>
      <c r="E4824" s="3064"/>
      <c r="F4824" s="3064"/>
      <c r="G4824" s="3300" t="s">
        <v>682</v>
      </c>
      <c r="H4824" s="3063"/>
      <c r="I4824" s="3030"/>
    </row>
    <row r="4825" spans="2:9" ht="25.5">
      <c r="B4825" s="3192" t="s">
        <v>675</v>
      </c>
      <c r="C4825" s="3063"/>
      <c r="D4825" s="3064"/>
      <c r="E4825" s="3064"/>
      <c r="F4825" s="3064"/>
      <c r="G4825" s="3301" t="s">
        <v>675</v>
      </c>
      <c r="H4825" s="3063"/>
      <c r="I4825" s="3030"/>
    </row>
    <row r="4826" spans="2:9" ht="25.5">
      <c r="B4826" s="3192" t="s">
        <v>676</v>
      </c>
      <c r="C4826" s="3063"/>
      <c r="D4826" s="3064"/>
      <c r="E4826" s="3064"/>
      <c r="F4826" s="3064"/>
      <c r="G4826" s="3301" t="s">
        <v>676</v>
      </c>
      <c r="H4826" s="3063"/>
      <c r="I4826" s="3030"/>
    </row>
    <row r="4827" spans="2:9">
      <c r="B4827" s="3192" t="s">
        <v>677</v>
      </c>
      <c r="C4827" s="3063"/>
      <c r="D4827" s="3064"/>
      <c r="E4827" s="3064"/>
      <c r="F4827" s="3064"/>
      <c r="G4827" s="3301" t="s">
        <v>677</v>
      </c>
      <c r="H4827" s="3063"/>
      <c r="I4827" s="3030"/>
    </row>
    <row r="4828" spans="2:9">
      <c r="B4828" s="3192" t="s">
        <v>678</v>
      </c>
      <c r="C4828" s="3063"/>
      <c r="D4828" s="3064"/>
      <c r="E4828" s="3064"/>
      <c r="F4828" s="3064"/>
      <c r="G4828" s="3301" t="s">
        <v>678</v>
      </c>
      <c r="H4828" s="3063"/>
      <c r="I4828" s="3030"/>
    </row>
    <row r="4829" spans="2:9">
      <c r="B4829" s="3192" t="s">
        <v>679</v>
      </c>
      <c r="C4829" s="3063"/>
      <c r="D4829" s="3064"/>
      <c r="E4829" s="3064"/>
      <c r="F4829" s="3064"/>
      <c r="G4829" s="3301" t="s">
        <v>679</v>
      </c>
      <c r="H4829" s="3063"/>
      <c r="I4829" s="3030"/>
    </row>
    <row r="4830" spans="2:9" ht="25.5">
      <c r="B4830" s="3192" t="s">
        <v>720</v>
      </c>
      <c r="C4830" s="3063"/>
      <c r="D4830" s="3064"/>
      <c r="E4830" s="3064"/>
      <c r="F4830" s="3064"/>
      <c r="G4830" s="3301" t="s">
        <v>720</v>
      </c>
      <c r="H4830" s="3063"/>
      <c r="I4830" s="3030"/>
    </row>
    <row r="4831" spans="2:9" ht="25.5">
      <c r="B4831" s="3299" t="s">
        <v>66</v>
      </c>
      <c r="C4831" s="3063"/>
      <c r="D4831" s="3064"/>
      <c r="E4831" s="3064"/>
      <c r="F4831" s="3064"/>
      <c r="G4831" s="3300" t="s">
        <v>66</v>
      </c>
      <c r="H4831" s="3063"/>
      <c r="I4831" s="3030"/>
    </row>
    <row r="4832" spans="2:9" ht="25.5">
      <c r="B4832" s="3192" t="s">
        <v>675</v>
      </c>
      <c r="C4832" s="3063"/>
      <c r="D4832" s="3064"/>
      <c r="E4832" s="3064"/>
      <c r="F4832" s="3064"/>
      <c r="G4832" s="3301" t="s">
        <v>675</v>
      </c>
      <c r="H4832" s="3063"/>
      <c r="I4832" s="3030"/>
    </row>
    <row r="4833" spans="2:9" ht="25.5">
      <c r="B4833" s="3192" t="s">
        <v>676</v>
      </c>
      <c r="C4833" s="3063"/>
      <c r="D4833" s="3064"/>
      <c r="E4833" s="3064"/>
      <c r="F4833" s="3064"/>
      <c r="G4833" s="3301" t="s">
        <v>676</v>
      </c>
      <c r="H4833" s="3063"/>
      <c r="I4833" s="3030"/>
    </row>
    <row r="4834" spans="2:9">
      <c r="B4834" s="3192" t="s">
        <v>677</v>
      </c>
      <c r="C4834" s="3063"/>
      <c r="D4834" s="3064"/>
      <c r="E4834" s="3064"/>
      <c r="F4834" s="3064"/>
      <c r="G4834" s="3301" t="s">
        <v>677</v>
      </c>
      <c r="H4834" s="3063"/>
      <c r="I4834" s="3030"/>
    </row>
    <row r="4835" spans="2:9">
      <c r="B4835" s="3192" t="s">
        <v>678</v>
      </c>
      <c r="C4835" s="3063"/>
      <c r="D4835" s="3064"/>
      <c r="E4835" s="3064"/>
      <c r="F4835" s="3064"/>
      <c r="G4835" s="3301" t="s">
        <v>678</v>
      </c>
      <c r="H4835" s="3063"/>
      <c r="I4835" s="3030"/>
    </row>
    <row r="4836" spans="2:9">
      <c r="B4836" s="3192" t="s">
        <v>679</v>
      </c>
      <c r="C4836" s="3063"/>
      <c r="D4836" s="3064"/>
      <c r="E4836" s="3064"/>
      <c r="F4836" s="3064"/>
      <c r="G4836" s="3301" t="s">
        <v>679</v>
      </c>
      <c r="H4836" s="3063"/>
      <c r="I4836" s="3030"/>
    </row>
    <row r="4837" spans="2:9" ht="25.5">
      <c r="B4837" s="3192" t="s">
        <v>720</v>
      </c>
      <c r="C4837" s="3063"/>
      <c r="D4837" s="3064"/>
      <c r="E4837" s="3064"/>
      <c r="F4837" s="3064"/>
      <c r="G4837" s="3301" t="s">
        <v>720</v>
      </c>
      <c r="H4837" s="3063"/>
      <c r="I4837" s="3030"/>
    </row>
    <row r="4838" spans="2:9">
      <c r="B4838" s="3299" t="s">
        <v>67</v>
      </c>
      <c r="C4838" s="3063"/>
      <c r="D4838" s="3064"/>
      <c r="E4838" s="3064"/>
      <c r="F4838" s="3064"/>
      <c r="G4838" s="3300" t="s">
        <v>67</v>
      </c>
      <c r="H4838" s="3063"/>
      <c r="I4838" s="3030"/>
    </row>
    <row r="4839" spans="2:9" ht="25.5">
      <c r="B4839" s="3192" t="s">
        <v>675</v>
      </c>
      <c r="C4839" s="3063"/>
      <c r="D4839" s="3064"/>
      <c r="E4839" s="3064"/>
      <c r="F4839" s="3064"/>
      <c r="G4839" s="3301" t="s">
        <v>675</v>
      </c>
      <c r="H4839" s="3063"/>
      <c r="I4839" s="3030"/>
    </row>
    <row r="4840" spans="2:9" ht="25.5">
      <c r="B4840" s="3192" t="s">
        <v>676</v>
      </c>
      <c r="C4840" s="3063"/>
      <c r="D4840" s="3064"/>
      <c r="E4840" s="3064"/>
      <c r="F4840" s="3064"/>
      <c r="G4840" s="3301" t="s">
        <v>676</v>
      </c>
      <c r="H4840" s="3063"/>
      <c r="I4840" s="3030"/>
    </row>
    <row r="4841" spans="2:9">
      <c r="B4841" s="3192" t="s">
        <v>677</v>
      </c>
      <c r="C4841" s="3063"/>
      <c r="D4841" s="3064"/>
      <c r="E4841" s="3064"/>
      <c r="F4841" s="3064"/>
      <c r="G4841" s="3301" t="s">
        <v>677</v>
      </c>
      <c r="H4841" s="3063"/>
      <c r="I4841" s="3030"/>
    </row>
    <row r="4842" spans="2:9">
      <c r="B4842" s="3192" t="s">
        <v>678</v>
      </c>
      <c r="C4842" s="3063"/>
      <c r="D4842" s="3064"/>
      <c r="E4842" s="3064"/>
      <c r="F4842" s="3064"/>
      <c r="G4842" s="3301" t="s">
        <v>678</v>
      </c>
      <c r="H4842" s="3063"/>
      <c r="I4842" s="3030"/>
    </row>
    <row r="4843" spans="2:9">
      <c r="B4843" s="3192" t="s">
        <v>679</v>
      </c>
      <c r="C4843" s="3063"/>
      <c r="D4843" s="3064"/>
      <c r="E4843" s="3064"/>
      <c r="F4843" s="3064"/>
      <c r="G4843" s="3301" t="s">
        <v>679</v>
      </c>
      <c r="H4843" s="3063"/>
      <c r="I4843" s="3030"/>
    </row>
    <row r="4844" spans="2:9" ht="25.5">
      <c r="B4844" s="3230" t="s">
        <v>81</v>
      </c>
      <c r="C4844" s="3063"/>
      <c r="D4844" s="3064"/>
      <c r="E4844" s="3064"/>
      <c r="F4844" s="3064"/>
      <c r="G4844" s="3302" t="s">
        <v>81</v>
      </c>
      <c r="H4844" s="3063"/>
      <c r="I4844" s="3030"/>
    </row>
    <row r="4845" spans="2:9" ht="26.25" thickBot="1">
      <c r="B4845" s="3303" t="s">
        <v>81</v>
      </c>
      <c r="C4845" s="3063"/>
      <c r="D4845" s="3064"/>
      <c r="E4845" s="3064"/>
      <c r="F4845" s="3064"/>
      <c r="G4845" s="3302" t="s">
        <v>81</v>
      </c>
      <c r="H4845" s="3063"/>
      <c r="I4845" s="3030"/>
    </row>
    <row r="4846" spans="2:9">
      <c r="B4846" s="3217" t="s">
        <v>697</v>
      </c>
      <c r="C4846" s="3218"/>
      <c r="D4846" s="3219"/>
      <c r="E4846" s="3219"/>
      <c r="F4846" s="3219"/>
      <c r="G4846" s="3217" t="s">
        <v>697</v>
      </c>
      <c r="H4846" s="3297"/>
      <c r="I4846" s="3298"/>
    </row>
    <row r="4847" spans="2:9">
      <c r="B4847" s="3299" t="s">
        <v>64</v>
      </c>
      <c r="C4847" s="3063"/>
      <c r="D4847" s="3064"/>
      <c r="E4847" s="3064"/>
      <c r="F4847" s="3064"/>
      <c r="G4847" s="3300" t="s">
        <v>64</v>
      </c>
      <c r="H4847" s="3063"/>
      <c r="I4847" s="3030"/>
    </row>
    <row r="4848" spans="2:9" ht="25.5">
      <c r="B4848" s="3192" t="s">
        <v>675</v>
      </c>
      <c r="C4848" s="3063"/>
      <c r="D4848" s="3064"/>
      <c r="E4848" s="3064"/>
      <c r="F4848" s="3064"/>
      <c r="G4848" s="3301" t="s">
        <v>675</v>
      </c>
      <c r="H4848" s="3063"/>
      <c r="I4848" s="3030"/>
    </row>
    <row r="4849" spans="2:9" ht="25.5">
      <c r="B4849" s="3192" t="s">
        <v>676</v>
      </c>
      <c r="C4849" s="3063"/>
      <c r="D4849" s="3064"/>
      <c r="E4849" s="3064"/>
      <c r="F4849" s="3064"/>
      <c r="G4849" s="3301" t="s">
        <v>676</v>
      </c>
      <c r="H4849" s="3063"/>
      <c r="I4849" s="3030"/>
    </row>
    <row r="4850" spans="2:9">
      <c r="B4850" s="3192" t="s">
        <v>677</v>
      </c>
      <c r="C4850" s="3063"/>
      <c r="D4850" s="3064"/>
      <c r="E4850" s="3064"/>
      <c r="F4850" s="3064"/>
      <c r="G4850" s="3301" t="s">
        <v>677</v>
      </c>
      <c r="H4850" s="3063"/>
      <c r="I4850" s="3030"/>
    </row>
    <row r="4851" spans="2:9">
      <c r="B4851" s="3192" t="s">
        <v>678</v>
      </c>
      <c r="C4851" s="3063"/>
      <c r="D4851" s="3064"/>
      <c r="E4851" s="3064"/>
      <c r="F4851" s="3064"/>
      <c r="G4851" s="3301" t="s">
        <v>678</v>
      </c>
      <c r="H4851" s="3063"/>
      <c r="I4851" s="3030"/>
    </row>
    <row r="4852" spans="2:9">
      <c r="B4852" s="3192" t="s">
        <v>679</v>
      </c>
      <c r="C4852" s="3063"/>
      <c r="D4852" s="3064"/>
      <c r="E4852" s="3064"/>
      <c r="F4852" s="3064"/>
      <c r="G4852" s="3301" t="s">
        <v>679</v>
      </c>
      <c r="H4852" s="3063"/>
      <c r="I4852" s="3030"/>
    </row>
    <row r="4853" spans="2:9" ht="25.5">
      <c r="B4853" s="3192" t="s">
        <v>720</v>
      </c>
      <c r="C4853" s="3063"/>
      <c r="D4853" s="3064"/>
      <c r="E4853" s="3064"/>
      <c r="F4853" s="3064"/>
      <c r="G4853" s="3301" t="s">
        <v>720</v>
      </c>
      <c r="H4853" s="3063"/>
      <c r="I4853" s="3030"/>
    </row>
    <row r="4854" spans="2:9">
      <c r="B4854" s="3299" t="s">
        <v>65</v>
      </c>
      <c r="C4854" s="3063"/>
      <c r="D4854" s="3064"/>
      <c r="E4854" s="3064"/>
      <c r="F4854" s="3064"/>
      <c r="G4854" s="3300" t="s">
        <v>65</v>
      </c>
      <c r="H4854" s="3063"/>
      <c r="I4854" s="3030"/>
    </row>
    <row r="4855" spans="2:9" ht="25.5">
      <c r="B4855" s="3192" t="s">
        <v>675</v>
      </c>
      <c r="C4855" s="3063"/>
      <c r="D4855" s="3064"/>
      <c r="E4855" s="3064"/>
      <c r="F4855" s="3064"/>
      <c r="G4855" s="3301" t="s">
        <v>675</v>
      </c>
      <c r="H4855" s="3063"/>
      <c r="I4855" s="3030"/>
    </row>
    <row r="4856" spans="2:9" ht="25.5">
      <c r="B4856" s="3192" t="s">
        <v>676</v>
      </c>
      <c r="C4856" s="3063"/>
      <c r="D4856" s="3064"/>
      <c r="E4856" s="3064"/>
      <c r="F4856" s="3064"/>
      <c r="G4856" s="3301" t="s">
        <v>676</v>
      </c>
      <c r="H4856" s="3063"/>
      <c r="I4856" s="3030"/>
    </row>
    <row r="4857" spans="2:9">
      <c r="B4857" s="3192" t="s">
        <v>677</v>
      </c>
      <c r="C4857" s="3063"/>
      <c r="D4857" s="3064"/>
      <c r="E4857" s="3064"/>
      <c r="F4857" s="3064"/>
      <c r="G4857" s="3301" t="s">
        <v>677</v>
      </c>
      <c r="H4857" s="3063"/>
      <c r="I4857" s="3030"/>
    </row>
    <row r="4858" spans="2:9">
      <c r="B4858" s="3192" t="s">
        <v>678</v>
      </c>
      <c r="C4858" s="3063"/>
      <c r="D4858" s="3064"/>
      <c r="E4858" s="3064"/>
      <c r="F4858" s="3064"/>
      <c r="G4858" s="3301" t="s">
        <v>678</v>
      </c>
      <c r="H4858" s="3063"/>
      <c r="I4858" s="3030"/>
    </row>
    <row r="4859" spans="2:9">
      <c r="B4859" s="3192" t="s">
        <v>679</v>
      </c>
      <c r="C4859" s="3063"/>
      <c r="D4859" s="3064"/>
      <c r="E4859" s="3064"/>
      <c r="F4859" s="3064"/>
      <c r="G4859" s="3301" t="s">
        <v>679</v>
      </c>
      <c r="H4859" s="3063"/>
      <c r="I4859" s="3030"/>
    </row>
    <row r="4860" spans="2:9" ht="25.5">
      <c r="B4860" s="3192" t="s">
        <v>720</v>
      </c>
      <c r="C4860" s="3063"/>
      <c r="D4860" s="3064"/>
      <c r="E4860" s="3064"/>
      <c r="F4860" s="3064"/>
      <c r="G4860" s="3301" t="s">
        <v>720</v>
      </c>
      <c r="H4860" s="3063"/>
      <c r="I4860" s="3030"/>
    </row>
    <row r="4861" spans="2:9">
      <c r="B4861" s="3299" t="s">
        <v>82</v>
      </c>
      <c r="C4861" s="3063"/>
      <c r="D4861" s="3064"/>
      <c r="E4861" s="3064"/>
      <c r="F4861" s="3064"/>
      <c r="G4861" s="3300" t="s">
        <v>82</v>
      </c>
      <c r="H4861" s="3063"/>
      <c r="I4861" s="3030"/>
    </row>
    <row r="4862" spans="2:9" ht="25.5">
      <c r="B4862" s="3192" t="s">
        <v>675</v>
      </c>
      <c r="C4862" s="3063"/>
      <c r="D4862" s="3064"/>
      <c r="E4862" s="3064"/>
      <c r="F4862" s="3064"/>
      <c r="G4862" s="3301" t="s">
        <v>675</v>
      </c>
      <c r="H4862" s="3063"/>
      <c r="I4862" s="3030"/>
    </row>
    <row r="4863" spans="2:9" ht="25.5">
      <c r="B4863" s="3192" t="s">
        <v>676</v>
      </c>
      <c r="C4863" s="3063"/>
      <c r="D4863" s="3064"/>
      <c r="E4863" s="3064"/>
      <c r="F4863" s="3064"/>
      <c r="G4863" s="3301" t="s">
        <v>676</v>
      </c>
      <c r="H4863" s="3063"/>
      <c r="I4863" s="3030"/>
    </row>
    <row r="4864" spans="2:9">
      <c r="B4864" s="3192" t="s">
        <v>677</v>
      </c>
      <c r="C4864" s="3063"/>
      <c r="D4864" s="3064"/>
      <c r="E4864" s="3064"/>
      <c r="F4864" s="3064"/>
      <c r="G4864" s="3301" t="s">
        <v>677</v>
      </c>
      <c r="H4864" s="3063"/>
      <c r="I4864" s="3030"/>
    </row>
    <row r="4865" spans="2:9">
      <c r="B4865" s="3192" t="s">
        <v>678</v>
      </c>
      <c r="C4865" s="3063"/>
      <c r="D4865" s="3064"/>
      <c r="E4865" s="3064"/>
      <c r="F4865" s="3064"/>
      <c r="G4865" s="3301" t="s">
        <v>678</v>
      </c>
      <c r="H4865" s="3063"/>
      <c r="I4865" s="3030"/>
    </row>
    <row r="4866" spans="2:9">
      <c r="B4866" s="3192" t="s">
        <v>679</v>
      </c>
      <c r="C4866" s="3063"/>
      <c r="D4866" s="3064"/>
      <c r="E4866" s="3064"/>
      <c r="F4866" s="3064"/>
      <c r="G4866" s="3301" t="s">
        <v>679</v>
      </c>
      <c r="H4866" s="3063"/>
      <c r="I4866" s="3030"/>
    </row>
    <row r="4867" spans="2:9" ht="25.5">
      <c r="B4867" s="3192" t="s">
        <v>720</v>
      </c>
      <c r="C4867" s="3063"/>
      <c r="D4867" s="3064"/>
      <c r="E4867" s="3064"/>
      <c r="F4867" s="3064"/>
      <c r="G4867" s="3301" t="s">
        <v>720</v>
      </c>
      <c r="H4867" s="3063"/>
      <c r="I4867" s="3030"/>
    </row>
    <row r="4868" spans="2:9" ht="38.25">
      <c r="B4868" s="3299" t="s">
        <v>680</v>
      </c>
      <c r="C4868" s="3063"/>
      <c r="D4868" s="3064"/>
      <c r="E4868" s="3064"/>
      <c r="F4868" s="3064"/>
      <c r="G4868" s="3300" t="s">
        <v>680</v>
      </c>
      <c r="H4868" s="3063"/>
      <c r="I4868" s="3030"/>
    </row>
    <row r="4869" spans="2:9" ht="25.5">
      <c r="B4869" s="3192" t="s">
        <v>675</v>
      </c>
      <c r="C4869" s="3063"/>
      <c r="D4869" s="3064"/>
      <c r="E4869" s="3064"/>
      <c r="F4869" s="3064"/>
      <c r="G4869" s="3301" t="s">
        <v>675</v>
      </c>
      <c r="H4869" s="3063"/>
      <c r="I4869" s="3030"/>
    </row>
    <row r="4870" spans="2:9" ht="25.5">
      <c r="B4870" s="3192" t="s">
        <v>676</v>
      </c>
      <c r="C4870" s="3063"/>
      <c r="D4870" s="3064"/>
      <c r="E4870" s="3064"/>
      <c r="F4870" s="3064"/>
      <c r="G4870" s="3301" t="s">
        <v>676</v>
      </c>
      <c r="H4870" s="3063"/>
      <c r="I4870" s="3030"/>
    </row>
    <row r="4871" spans="2:9">
      <c r="B4871" s="3192" t="s">
        <v>677</v>
      </c>
      <c r="C4871" s="3063"/>
      <c r="D4871" s="3064"/>
      <c r="E4871" s="3064"/>
      <c r="F4871" s="3064"/>
      <c r="G4871" s="3301" t="s">
        <v>677</v>
      </c>
      <c r="H4871" s="3063"/>
      <c r="I4871" s="3030"/>
    </row>
    <row r="4872" spans="2:9">
      <c r="B4872" s="3192" t="s">
        <v>678</v>
      </c>
      <c r="C4872" s="3063"/>
      <c r="D4872" s="3064"/>
      <c r="E4872" s="3064"/>
      <c r="F4872" s="3064"/>
      <c r="G4872" s="3301" t="s">
        <v>678</v>
      </c>
      <c r="H4872" s="3063"/>
      <c r="I4872" s="3030"/>
    </row>
    <row r="4873" spans="2:9">
      <c r="B4873" s="3192" t="s">
        <v>679</v>
      </c>
      <c r="C4873" s="3063"/>
      <c r="D4873" s="3064"/>
      <c r="E4873" s="3064"/>
      <c r="F4873" s="3064"/>
      <c r="G4873" s="3301" t="s">
        <v>679</v>
      </c>
      <c r="H4873" s="3063"/>
      <c r="I4873" s="3030"/>
    </row>
    <row r="4874" spans="2:9" ht="25.5">
      <c r="B4874" s="3192" t="s">
        <v>720</v>
      </c>
      <c r="C4874" s="3063"/>
      <c r="D4874" s="3064"/>
      <c r="E4874" s="3064"/>
      <c r="F4874" s="3064"/>
      <c r="G4874" s="3301" t="s">
        <v>720</v>
      </c>
      <c r="H4874" s="3063"/>
      <c r="I4874" s="3030"/>
    </row>
    <row r="4875" spans="2:9" ht="38.25">
      <c r="B4875" s="3299" t="s">
        <v>681</v>
      </c>
      <c r="C4875" s="3063"/>
      <c r="D4875" s="3064"/>
      <c r="E4875" s="3064"/>
      <c r="F4875" s="3064">
        <v>17</v>
      </c>
      <c r="G4875" s="3300" t="s">
        <v>681</v>
      </c>
      <c r="H4875" s="3063">
        <v>1.3085365553464838E-2</v>
      </c>
      <c r="I4875" s="3030"/>
    </row>
    <row r="4876" spans="2:9" ht="25.5">
      <c r="B4876" s="3192" t="s">
        <v>675</v>
      </c>
      <c r="C4876" s="3063">
        <v>2</v>
      </c>
      <c r="D4876" s="3064">
        <v>4</v>
      </c>
      <c r="E4876" s="3064"/>
      <c r="F4876" s="3064"/>
      <c r="G4876" s="3301" t="s">
        <v>675</v>
      </c>
      <c r="H4876" s="3063"/>
      <c r="I4876" s="3030">
        <v>6.927546469481384E-3</v>
      </c>
    </row>
    <row r="4877" spans="2:9" ht="25.5">
      <c r="B4877" s="3192" t="s">
        <v>676</v>
      </c>
      <c r="C4877" s="3063"/>
      <c r="D4877" s="3064"/>
      <c r="E4877" s="3064"/>
      <c r="F4877" s="3064"/>
      <c r="G4877" s="3301" t="s">
        <v>676</v>
      </c>
      <c r="H4877" s="3063"/>
      <c r="I4877" s="3030"/>
    </row>
    <row r="4878" spans="2:9">
      <c r="B4878" s="3192" t="s">
        <v>677</v>
      </c>
      <c r="C4878" s="3063"/>
      <c r="D4878" s="3064"/>
      <c r="E4878" s="3064"/>
      <c r="F4878" s="3064"/>
      <c r="G4878" s="3301" t="s">
        <v>677</v>
      </c>
      <c r="H4878" s="3063"/>
      <c r="I4878" s="3030"/>
    </row>
    <row r="4879" spans="2:9">
      <c r="B4879" s="3192" t="s">
        <v>678</v>
      </c>
      <c r="C4879" s="3063">
        <v>2</v>
      </c>
      <c r="D4879" s="3064"/>
      <c r="E4879" s="3064"/>
      <c r="F4879" s="3064"/>
      <c r="G4879" s="3301" t="s">
        <v>678</v>
      </c>
      <c r="H4879" s="3063"/>
      <c r="I4879" s="3030"/>
    </row>
    <row r="4880" spans="2:9">
      <c r="B4880" s="3192" t="s">
        <v>679</v>
      </c>
      <c r="C4880" s="3063">
        <v>1</v>
      </c>
      <c r="D4880" s="3064">
        <v>8</v>
      </c>
      <c r="E4880" s="3064"/>
      <c r="F4880" s="3064"/>
      <c r="G4880" s="3301" t="s">
        <v>679</v>
      </c>
      <c r="H4880" s="3063"/>
      <c r="I4880" s="3030"/>
    </row>
    <row r="4881" spans="2:9" ht="25.5">
      <c r="B4881" s="3192" t="s">
        <v>720</v>
      </c>
      <c r="C4881" s="3063"/>
      <c r="D4881" s="3064"/>
      <c r="E4881" s="3064"/>
      <c r="F4881" s="3064"/>
      <c r="G4881" s="3301" t="s">
        <v>720</v>
      </c>
      <c r="H4881" s="3063"/>
      <c r="I4881" s="3030"/>
    </row>
    <row r="4882" spans="2:9" ht="25.5">
      <c r="B4882" s="3299" t="s">
        <v>682</v>
      </c>
      <c r="C4882" s="3063"/>
      <c r="D4882" s="3064"/>
      <c r="E4882" s="3064"/>
      <c r="F4882" s="3064"/>
      <c r="G4882" s="3300" t="s">
        <v>682</v>
      </c>
      <c r="H4882" s="3063"/>
      <c r="I4882" s="3030"/>
    </row>
    <row r="4883" spans="2:9" ht="25.5">
      <c r="B4883" s="3192" t="s">
        <v>675</v>
      </c>
      <c r="C4883" s="3063"/>
      <c r="D4883" s="3064"/>
      <c r="E4883" s="3064"/>
      <c r="F4883" s="3064"/>
      <c r="G4883" s="3301" t="s">
        <v>675</v>
      </c>
      <c r="H4883" s="3063"/>
      <c r="I4883" s="3030"/>
    </row>
    <row r="4884" spans="2:9" ht="25.5">
      <c r="B4884" s="3192" t="s">
        <v>676</v>
      </c>
      <c r="C4884" s="3063"/>
      <c r="D4884" s="3064"/>
      <c r="E4884" s="3064"/>
      <c r="F4884" s="3064"/>
      <c r="G4884" s="3301" t="s">
        <v>676</v>
      </c>
      <c r="H4884" s="3063"/>
      <c r="I4884" s="3030"/>
    </row>
    <row r="4885" spans="2:9">
      <c r="B4885" s="3192" t="s">
        <v>677</v>
      </c>
      <c r="C4885" s="3063"/>
      <c r="D4885" s="3064"/>
      <c r="E4885" s="3064"/>
      <c r="F4885" s="3064"/>
      <c r="G4885" s="3301" t="s">
        <v>677</v>
      </c>
      <c r="H4885" s="3063"/>
      <c r="I4885" s="3030"/>
    </row>
    <row r="4886" spans="2:9">
      <c r="B4886" s="3192" t="s">
        <v>678</v>
      </c>
      <c r="C4886" s="3063"/>
      <c r="D4886" s="3064"/>
      <c r="E4886" s="3064"/>
      <c r="F4886" s="3064"/>
      <c r="G4886" s="3301" t="s">
        <v>678</v>
      </c>
      <c r="H4886" s="3063"/>
      <c r="I4886" s="3030"/>
    </row>
    <row r="4887" spans="2:9">
      <c r="B4887" s="3192" t="s">
        <v>679</v>
      </c>
      <c r="C4887" s="3063"/>
      <c r="D4887" s="3064"/>
      <c r="E4887" s="3064"/>
      <c r="F4887" s="3064"/>
      <c r="G4887" s="3301" t="s">
        <v>679</v>
      </c>
      <c r="H4887" s="3063"/>
      <c r="I4887" s="3030"/>
    </row>
    <row r="4888" spans="2:9" ht="25.5">
      <c r="B4888" s="3192" t="s">
        <v>720</v>
      </c>
      <c r="C4888" s="3063"/>
      <c r="D4888" s="3064"/>
      <c r="E4888" s="3064"/>
      <c r="F4888" s="3064"/>
      <c r="G4888" s="3301" t="s">
        <v>720</v>
      </c>
      <c r="H4888" s="3063"/>
      <c r="I4888" s="3030"/>
    </row>
    <row r="4889" spans="2:9" ht="25.5">
      <c r="B4889" s="3299" t="s">
        <v>66</v>
      </c>
      <c r="C4889" s="3063"/>
      <c r="D4889" s="3064"/>
      <c r="E4889" s="3064"/>
      <c r="F4889" s="3064"/>
      <c r="G4889" s="3300" t="s">
        <v>66</v>
      </c>
      <c r="H4889" s="3063"/>
      <c r="I4889" s="3030"/>
    </row>
    <row r="4890" spans="2:9" ht="25.5">
      <c r="B4890" s="3192" t="s">
        <v>675</v>
      </c>
      <c r="C4890" s="3063"/>
      <c r="D4890" s="3064"/>
      <c r="E4890" s="3064"/>
      <c r="F4890" s="3064"/>
      <c r="G4890" s="3301" t="s">
        <v>675</v>
      </c>
      <c r="H4890" s="3063"/>
      <c r="I4890" s="3030"/>
    </row>
    <row r="4891" spans="2:9" ht="25.5">
      <c r="B4891" s="3192" t="s">
        <v>676</v>
      </c>
      <c r="C4891" s="3063"/>
      <c r="D4891" s="3064"/>
      <c r="E4891" s="3064"/>
      <c r="F4891" s="3064"/>
      <c r="G4891" s="3301" t="s">
        <v>676</v>
      </c>
      <c r="H4891" s="3063"/>
      <c r="I4891" s="3030"/>
    </row>
    <row r="4892" spans="2:9">
      <c r="B4892" s="3192" t="s">
        <v>677</v>
      </c>
      <c r="C4892" s="3063"/>
      <c r="D4892" s="3064"/>
      <c r="E4892" s="3064"/>
      <c r="F4892" s="3064"/>
      <c r="G4892" s="3301" t="s">
        <v>677</v>
      </c>
      <c r="H4892" s="3063"/>
      <c r="I4892" s="3030"/>
    </row>
    <row r="4893" spans="2:9">
      <c r="B4893" s="3192" t="s">
        <v>678</v>
      </c>
      <c r="C4893" s="3063"/>
      <c r="D4893" s="3064"/>
      <c r="E4893" s="3064"/>
      <c r="F4893" s="3064"/>
      <c r="G4893" s="3301" t="s">
        <v>678</v>
      </c>
      <c r="H4893" s="3063"/>
      <c r="I4893" s="3030"/>
    </row>
    <row r="4894" spans="2:9">
      <c r="B4894" s="3192" t="s">
        <v>679</v>
      </c>
      <c r="C4894" s="3063"/>
      <c r="D4894" s="3064"/>
      <c r="E4894" s="3064"/>
      <c r="F4894" s="3064"/>
      <c r="G4894" s="3301" t="s">
        <v>679</v>
      </c>
      <c r="H4894" s="3063"/>
      <c r="I4894" s="3030"/>
    </row>
    <row r="4895" spans="2:9" ht="25.5">
      <c r="B4895" s="3192" t="s">
        <v>720</v>
      </c>
      <c r="C4895" s="3063"/>
      <c r="D4895" s="3064"/>
      <c r="E4895" s="3064"/>
      <c r="F4895" s="3064"/>
      <c r="G4895" s="3301" t="s">
        <v>720</v>
      </c>
      <c r="H4895" s="3063"/>
      <c r="I4895" s="3030"/>
    </row>
    <row r="4896" spans="2:9">
      <c r="B4896" s="3299" t="s">
        <v>67</v>
      </c>
      <c r="C4896" s="3063"/>
      <c r="D4896" s="3064"/>
      <c r="E4896" s="3064"/>
      <c r="F4896" s="3064">
        <v>2</v>
      </c>
      <c r="G4896" s="3300" t="s">
        <v>67</v>
      </c>
      <c r="H4896" s="3063">
        <v>1.2623967359469999E-2</v>
      </c>
      <c r="I4896" s="3030"/>
    </row>
    <row r="4897" spans="2:9" ht="25.5">
      <c r="B4897" s="3192" t="s">
        <v>675</v>
      </c>
      <c r="C4897" s="3063">
        <v>1</v>
      </c>
      <c r="D4897" s="3064"/>
      <c r="E4897" s="3064"/>
      <c r="F4897" s="3064"/>
      <c r="G4897" s="3301" t="s">
        <v>675</v>
      </c>
      <c r="H4897" s="3063"/>
      <c r="I4897" s="3030">
        <v>1.0099173887575998E-2</v>
      </c>
    </row>
    <row r="4898" spans="2:9" ht="25.5">
      <c r="B4898" s="3192" t="s">
        <v>676</v>
      </c>
      <c r="C4898" s="3063"/>
      <c r="D4898" s="3064"/>
      <c r="E4898" s="3064"/>
      <c r="F4898" s="3064"/>
      <c r="G4898" s="3301" t="s">
        <v>676</v>
      </c>
      <c r="H4898" s="3063"/>
      <c r="I4898" s="3030"/>
    </row>
    <row r="4899" spans="2:9">
      <c r="B4899" s="3192" t="s">
        <v>677</v>
      </c>
      <c r="C4899" s="3063"/>
      <c r="D4899" s="3064"/>
      <c r="E4899" s="3064"/>
      <c r="F4899" s="3064"/>
      <c r="G4899" s="3301" t="s">
        <v>677</v>
      </c>
      <c r="H4899" s="3063"/>
      <c r="I4899" s="3030"/>
    </row>
    <row r="4900" spans="2:9">
      <c r="B4900" s="3192" t="s">
        <v>678</v>
      </c>
      <c r="C4900" s="3063">
        <v>1</v>
      </c>
      <c r="D4900" s="3064"/>
      <c r="E4900" s="3064"/>
      <c r="F4900" s="3064"/>
      <c r="G4900" s="3301" t="s">
        <v>678</v>
      </c>
      <c r="H4900" s="3063"/>
      <c r="I4900" s="3030"/>
    </row>
    <row r="4901" spans="2:9">
      <c r="B4901" s="3192" t="s">
        <v>679</v>
      </c>
      <c r="C4901" s="3063"/>
      <c r="D4901" s="3064">
        <v>1</v>
      </c>
      <c r="E4901" s="3064"/>
      <c r="F4901" s="3064"/>
      <c r="G4901" s="3301" t="s">
        <v>679</v>
      </c>
      <c r="H4901" s="3063"/>
      <c r="I4901" s="3030"/>
    </row>
    <row r="4902" spans="2:9" ht="25.5">
      <c r="B4902" s="3230" t="s">
        <v>81</v>
      </c>
      <c r="C4902" s="3063"/>
      <c r="D4902" s="3064"/>
      <c r="E4902" s="3064"/>
      <c r="F4902" s="3064"/>
      <c r="G4902" s="3302" t="s">
        <v>81</v>
      </c>
      <c r="H4902" s="3063"/>
      <c r="I4902" s="3030"/>
    </row>
    <row r="4903" spans="2:9" ht="26.25" thickBot="1">
      <c r="B4903" s="3303" t="s">
        <v>81</v>
      </c>
      <c r="C4903" s="3068"/>
      <c r="D4903" s="3069"/>
      <c r="E4903" s="3069"/>
      <c r="F4903" s="3069"/>
      <c r="G4903" s="3304" t="s">
        <v>81</v>
      </c>
      <c r="H4903" s="3068"/>
      <c r="I4903" s="3070"/>
    </row>
    <row r="4904" spans="2:9" ht="38.25">
      <c r="B4904" s="4723">
        <v>3031</v>
      </c>
      <c r="C4904" s="3289"/>
      <c r="D4904" s="3290"/>
      <c r="E4904" s="3290"/>
      <c r="F4904" s="3290"/>
      <c r="G4904" s="4723">
        <v>3031</v>
      </c>
      <c r="H4904" s="3291" t="s">
        <v>687</v>
      </c>
      <c r="I4904" s="3292" t="s">
        <v>688</v>
      </c>
    </row>
    <row r="4905" spans="2:9">
      <c r="B4905" s="4724"/>
      <c r="C4905" s="4678" t="s">
        <v>686</v>
      </c>
      <c r="D4905" s="4725"/>
      <c r="E4905" s="4725"/>
      <c r="F4905" s="4726"/>
      <c r="G4905" s="4724"/>
      <c r="H4905" s="3293"/>
      <c r="I4905" s="3294"/>
    </row>
    <row r="4906" spans="2:9" ht="13.5" thickBot="1">
      <c r="B4906" s="4724"/>
      <c r="C4906" s="3215">
        <v>2013</v>
      </c>
      <c r="D4906" s="3215">
        <v>2014</v>
      </c>
      <c r="E4906" s="3215">
        <v>2015</v>
      </c>
      <c r="F4906" s="3215">
        <v>2016</v>
      </c>
      <c r="G4906" s="4724"/>
      <c r="H4906" s="3295" t="s">
        <v>390</v>
      </c>
      <c r="I4906" s="3296" t="s">
        <v>390</v>
      </c>
    </row>
    <row r="4907" spans="2:9">
      <c r="B4907" s="3217" t="s">
        <v>695</v>
      </c>
      <c r="C4907" s="3218"/>
      <c r="D4907" s="3219"/>
      <c r="E4907" s="3219"/>
      <c r="F4907" s="3219"/>
      <c r="G4907" s="3217" t="s">
        <v>695</v>
      </c>
      <c r="H4907" s="3297"/>
      <c r="I4907" s="3298"/>
    </row>
    <row r="4908" spans="2:9">
      <c r="B4908" s="3299" t="s">
        <v>64</v>
      </c>
      <c r="C4908" s="3063"/>
      <c r="D4908" s="3064"/>
      <c r="E4908" s="3064"/>
      <c r="F4908" s="3064">
        <v>11</v>
      </c>
      <c r="G4908" s="3300" t="s">
        <v>64</v>
      </c>
      <c r="H4908" s="3063">
        <v>0.98811417157899539</v>
      </c>
      <c r="I4908" s="3030"/>
    </row>
    <row r="4909" spans="2:9" ht="25.5">
      <c r="B4909" s="3192" t="s">
        <v>675</v>
      </c>
      <c r="C4909" s="3063">
        <v>3</v>
      </c>
      <c r="D4909" s="3064">
        <v>9</v>
      </c>
      <c r="E4909" s="3064"/>
      <c r="F4909" s="3064"/>
      <c r="G4909" s="3301" t="s">
        <v>675</v>
      </c>
      <c r="H4909" s="3063"/>
      <c r="I4909" s="3030">
        <v>0.67371420789476955</v>
      </c>
    </row>
    <row r="4910" spans="2:9" ht="25.5">
      <c r="B4910" s="3192" t="s">
        <v>676</v>
      </c>
      <c r="C4910" s="3063"/>
      <c r="D4910" s="3064"/>
      <c r="E4910" s="3064"/>
      <c r="F4910" s="3064"/>
      <c r="G4910" s="3301" t="s">
        <v>676</v>
      </c>
      <c r="H4910" s="3063"/>
      <c r="I4910" s="3030"/>
    </row>
    <row r="4911" spans="2:9">
      <c r="B4911" s="3192" t="s">
        <v>677</v>
      </c>
      <c r="C4911" s="3063"/>
      <c r="D4911" s="3064"/>
      <c r="E4911" s="3064"/>
      <c r="F4911" s="3064"/>
      <c r="G4911" s="3301" t="s">
        <v>677</v>
      </c>
      <c r="H4911" s="3063"/>
      <c r="I4911" s="3030"/>
    </row>
    <row r="4912" spans="2:9">
      <c r="B4912" s="3192" t="s">
        <v>678</v>
      </c>
      <c r="C4912" s="3063">
        <v>7</v>
      </c>
      <c r="D4912" s="3064">
        <v>14</v>
      </c>
      <c r="E4912" s="3064"/>
      <c r="F4912" s="3064"/>
      <c r="G4912" s="3301" t="s">
        <v>678</v>
      </c>
      <c r="H4912" s="3063"/>
      <c r="I4912" s="3030"/>
    </row>
    <row r="4913" spans="2:9">
      <c r="B4913" s="3192" t="s">
        <v>679</v>
      </c>
      <c r="C4913" s="3063"/>
      <c r="D4913" s="3064"/>
      <c r="E4913" s="3064"/>
      <c r="F4913" s="3064"/>
      <c r="G4913" s="3301" t="s">
        <v>679</v>
      </c>
      <c r="H4913" s="3063"/>
      <c r="I4913" s="3030"/>
    </row>
    <row r="4914" spans="2:9" ht="25.5">
      <c r="B4914" s="3192" t="s">
        <v>720</v>
      </c>
      <c r="C4914" s="3063"/>
      <c r="D4914" s="3064"/>
      <c r="E4914" s="3064"/>
      <c r="F4914" s="3064"/>
      <c r="G4914" s="3301" t="s">
        <v>720</v>
      </c>
      <c r="H4914" s="3063"/>
      <c r="I4914" s="3030"/>
    </row>
    <row r="4915" spans="2:9">
      <c r="B4915" s="3299" t="s">
        <v>65</v>
      </c>
      <c r="C4915" s="3063"/>
      <c r="D4915" s="3064"/>
      <c r="E4915" s="3064"/>
      <c r="F4915" s="3064">
        <v>8</v>
      </c>
      <c r="G4915" s="3300" t="s">
        <v>65</v>
      </c>
      <c r="H4915" s="3063">
        <v>0.109394997486645</v>
      </c>
      <c r="I4915" s="3030"/>
    </row>
    <row r="4916" spans="2:9" ht="25.5">
      <c r="B4916" s="3192" t="s">
        <v>675</v>
      </c>
      <c r="C4916" s="3063">
        <v>1</v>
      </c>
      <c r="D4916" s="3064">
        <v>1</v>
      </c>
      <c r="E4916" s="3064"/>
      <c r="F4916" s="3064"/>
      <c r="G4916" s="3301" t="s">
        <v>675</v>
      </c>
      <c r="H4916" s="3063"/>
      <c r="I4916" s="3030">
        <v>5.0489998839990002E-2</v>
      </c>
    </row>
    <row r="4917" spans="2:9" ht="25.5">
      <c r="B4917" s="3192" t="s">
        <v>676</v>
      </c>
      <c r="C4917" s="3063"/>
      <c r="D4917" s="3064"/>
      <c r="E4917" s="3064"/>
      <c r="F4917" s="3064"/>
      <c r="G4917" s="3301" t="s">
        <v>676</v>
      </c>
      <c r="H4917" s="3063"/>
      <c r="I4917" s="3030"/>
    </row>
    <row r="4918" spans="2:9">
      <c r="B4918" s="3192" t="s">
        <v>677</v>
      </c>
      <c r="C4918" s="3063"/>
      <c r="D4918" s="3064"/>
      <c r="E4918" s="3064"/>
      <c r="F4918" s="3064"/>
      <c r="G4918" s="3301" t="s">
        <v>677</v>
      </c>
      <c r="H4918" s="3063"/>
      <c r="I4918" s="3030"/>
    </row>
    <row r="4919" spans="2:9">
      <c r="B4919" s="3192" t="s">
        <v>678</v>
      </c>
      <c r="C4919" s="3063">
        <v>1</v>
      </c>
      <c r="D4919" s="3064">
        <v>1</v>
      </c>
      <c r="E4919" s="3064"/>
      <c r="F4919" s="3064"/>
      <c r="G4919" s="3301" t="s">
        <v>678</v>
      </c>
      <c r="H4919" s="3063"/>
      <c r="I4919" s="3030"/>
    </row>
    <row r="4920" spans="2:9">
      <c r="B4920" s="3192" t="s">
        <v>679</v>
      </c>
      <c r="C4920" s="3063"/>
      <c r="D4920" s="3064">
        <v>1</v>
      </c>
      <c r="E4920" s="3064"/>
      <c r="F4920" s="3064"/>
      <c r="G4920" s="3301" t="s">
        <v>679</v>
      </c>
      <c r="H4920" s="3063"/>
      <c r="I4920" s="3030"/>
    </row>
    <row r="4921" spans="2:9" ht="25.5">
      <c r="B4921" s="3192" t="s">
        <v>720</v>
      </c>
      <c r="C4921" s="3063"/>
      <c r="D4921" s="3064"/>
      <c r="E4921" s="3064"/>
      <c r="F4921" s="3064"/>
      <c r="G4921" s="3301" t="s">
        <v>720</v>
      </c>
      <c r="H4921" s="3063"/>
      <c r="I4921" s="3030"/>
    </row>
    <row r="4922" spans="2:9">
      <c r="B4922" s="3299" t="s">
        <v>82</v>
      </c>
      <c r="C4922" s="3063"/>
      <c r="D4922" s="3064"/>
      <c r="E4922" s="3064"/>
      <c r="F4922" s="3064"/>
      <c r="G4922" s="3300" t="s">
        <v>82</v>
      </c>
      <c r="H4922" s="3063"/>
      <c r="I4922" s="3030"/>
    </row>
    <row r="4923" spans="2:9" ht="25.5">
      <c r="B4923" s="3192" t="s">
        <v>675</v>
      </c>
      <c r="C4923" s="3063"/>
      <c r="D4923" s="3064"/>
      <c r="E4923" s="3064"/>
      <c r="F4923" s="3064"/>
      <c r="G4923" s="3301" t="s">
        <v>675</v>
      </c>
      <c r="H4923" s="3063"/>
      <c r="I4923" s="3030"/>
    </row>
    <row r="4924" spans="2:9" ht="25.5">
      <c r="B4924" s="3192" t="s">
        <v>676</v>
      </c>
      <c r="C4924" s="3063"/>
      <c r="D4924" s="3064"/>
      <c r="E4924" s="3064"/>
      <c r="F4924" s="3064"/>
      <c r="G4924" s="3301" t="s">
        <v>676</v>
      </c>
      <c r="H4924" s="3063"/>
      <c r="I4924" s="3030"/>
    </row>
    <row r="4925" spans="2:9">
      <c r="B4925" s="3192" t="s">
        <v>677</v>
      </c>
      <c r="C4925" s="3063"/>
      <c r="D4925" s="3064"/>
      <c r="E4925" s="3064"/>
      <c r="F4925" s="3064"/>
      <c r="G4925" s="3301" t="s">
        <v>677</v>
      </c>
      <c r="H4925" s="3063"/>
      <c r="I4925" s="3030"/>
    </row>
    <row r="4926" spans="2:9">
      <c r="B4926" s="3192" t="s">
        <v>678</v>
      </c>
      <c r="C4926" s="3063"/>
      <c r="D4926" s="3064"/>
      <c r="E4926" s="3064"/>
      <c r="F4926" s="3064"/>
      <c r="G4926" s="3301" t="s">
        <v>678</v>
      </c>
      <c r="H4926" s="3063"/>
      <c r="I4926" s="3030"/>
    </row>
    <row r="4927" spans="2:9">
      <c r="B4927" s="3192" t="s">
        <v>679</v>
      </c>
      <c r="C4927" s="3063"/>
      <c r="D4927" s="3064"/>
      <c r="E4927" s="3064"/>
      <c r="F4927" s="3064"/>
      <c r="G4927" s="3301" t="s">
        <v>679</v>
      </c>
      <c r="H4927" s="3063"/>
      <c r="I4927" s="3030"/>
    </row>
    <row r="4928" spans="2:9" ht="25.5">
      <c r="B4928" s="3192" t="s">
        <v>720</v>
      </c>
      <c r="C4928" s="3063"/>
      <c r="D4928" s="3064"/>
      <c r="E4928" s="3064"/>
      <c r="F4928" s="3064"/>
      <c r="G4928" s="3301" t="s">
        <v>720</v>
      </c>
      <c r="H4928" s="3063"/>
      <c r="I4928" s="3030"/>
    </row>
    <row r="4929" spans="2:9" ht="38.25">
      <c r="B4929" s="3299" t="s">
        <v>680</v>
      </c>
      <c r="C4929" s="3063"/>
      <c r="D4929" s="3064"/>
      <c r="E4929" s="3064"/>
      <c r="F4929" s="3064"/>
      <c r="G4929" s="3300" t="s">
        <v>680</v>
      </c>
      <c r="H4929" s="3063"/>
      <c r="I4929" s="3030"/>
    </row>
    <row r="4930" spans="2:9" ht="25.5">
      <c r="B4930" s="3192" t="s">
        <v>675</v>
      </c>
      <c r="C4930" s="3063"/>
      <c r="D4930" s="3064"/>
      <c r="E4930" s="3064"/>
      <c r="F4930" s="3064"/>
      <c r="G4930" s="3301" t="s">
        <v>675</v>
      </c>
      <c r="H4930" s="3063"/>
      <c r="I4930" s="3030"/>
    </row>
    <row r="4931" spans="2:9" ht="25.5">
      <c r="B4931" s="3192" t="s">
        <v>676</v>
      </c>
      <c r="C4931" s="3063"/>
      <c r="D4931" s="3064"/>
      <c r="E4931" s="3064"/>
      <c r="F4931" s="3064"/>
      <c r="G4931" s="3301" t="s">
        <v>676</v>
      </c>
      <c r="H4931" s="3063"/>
      <c r="I4931" s="3030"/>
    </row>
    <row r="4932" spans="2:9">
      <c r="B4932" s="3192" t="s">
        <v>677</v>
      </c>
      <c r="C4932" s="3063"/>
      <c r="D4932" s="3064"/>
      <c r="E4932" s="3064"/>
      <c r="F4932" s="3064"/>
      <c r="G4932" s="3301" t="s">
        <v>677</v>
      </c>
      <c r="H4932" s="3063"/>
      <c r="I4932" s="3030"/>
    </row>
    <row r="4933" spans="2:9">
      <c r="B4933" s="3192" t="s">
        <v>678</v>
      </c>
      <c r="C4933" s="3063"/>
      <c r="D4933" s="3064"/>
      <c r="E4933" s="3064"/>
      <c r="F4933" s="3064"/>
      <c r="G4933" s="3301" t="s">
        <v>678</v>
      </c>
      <c r="H4933" s="3063"/>
      <c r="I4933" s="3030"/>
    </row>
    <row r="4934" spans="2:9">
      <c r="B4934" s="3192" t="s">
        <v>679</v>
      </c>
      <c r="C4934" s="3063"/>
      <c r="D4934" s="3064"/>
      <c r="E4934" s="3064"/>
      <c r="F4934" s="3064"/>
      <c r="G4934" s="3301" t="s">
        <v>679</v>
      </c>
      <c r="H4934" s="3063"/>
      <c r="I4934" s="3030"/>
    </row>
    <row r="4935" spans="2:9" ht="25.5">
      <c r="B4935" s="3192" t="s">
        <v>720</v>
      </c>
      <c r="C4935" s="3063"/>
      <c r="D4935" s="3064"/>
      <c r="E4935" s="3064"/>
      <c r="F4935" s="3064"/>
      <c r="G4935" s="3301" t="s">
        <v>720</v>
      </c>
      <c r="H4935" s="3063"/>
      <c r="I4935" s="3030"/>
    </row>
    <row r="4936" spans="2:9" ht="38.25">
      <c r="B4936" s="3299" t="s">
        <v>681</v>
      </c>
      <c r="C4936" s="3063"/>
      <c r="D4936" s="3064"/>
      <c r="E4936" s="3064"/>
      <c r="F4936" s="3064"/>
      <c r="G4936" s="3300" t="s">
        <v>681</v>
      </c>
      <c r="H4936" s="3063"/>
      <c r="I4936" s="3030"/>
    </row>
    <row r="4937" spans="2:9" ht="25.5">
      <c r="B4937" s="3192" t="s">
        <v>675</v>
      </c>
      <c r="C4937" s="3063"/>
      <c r="D4937" s="3064"/>
      <c r="E4937" s="3064"/>
      <c r="F4937" s="3064"/>
      <c r="G4937" s="3301" t="s">
        <v>675</v>
      </c>
      <c r="H4937" s="3063"/>
      <c r="I4937" s="3030"/>
    </row>
    <row r="4938" spans="2:9" ht="25.5">
      <c r="B4938" s="3192" t="s">
        <v>676</v>
      </c>
      <c r="C4938" s="3063"/>
      <c r="D4938" s="3064"/>
      <c r="E4938" s="3064"/>
      <c r="F4938" s="3064"/>
      <c r="G4938" s="3301" t="s">
        <v>676</v>
      </c>
      <c r="H4938" s="3063"/>
      <c r="I4938" s="3030"/>
    </row>
    <row r="4939" spans="2:9">
      <c r="B4939" s="3192" t="s">
        <v>677</v>
      </c>
      <c r="C4939" s="3063"/>
      <c r="D4939" s="3064"/>
      <c r="E4939" s="3064"/>
      <c r="F4939" s="3064"/>
      <c r="G4939" s="3301" t="s">
        <v>677</v>
      </c>
      <c r="H4939" s="3063"/>
      <c r="I4939" s="3030"/>
    </row>
    <row r="4940" spans="2:9">
      <c r="B4940" s="3192" t="s">
        <v>678</v>
      </c>
      <c r="C4940" s="3063"/>
      <c r="D4940" s="3064"/>
      <c r="E4940" s="3064"/>
      <c r="F4940" s="3064"/>
      <c r="G4940" s="3301" t="s">
        <v>678</v>
      </c>
      <c r="H4940" s="3063"/>
      <c r="I4940" s="3030"/>
    </row>
    <row r="4941" spans="2:9">
      <c r="B4941" s="3192" t="s">
        <v>679</v>
      </c>
      <c r="C4941" s="3063"/>
      <c r="D4941" s="3064"/>
      <c r="E4941" s="3064"/>
      <c r="F4941" s="3064"/>
      <c r="G4941" s="3301" t="s">
        <v>679</v>
      </c>
      <c r="H4941" s="3063"/>
      <c r="I4941" s="3030"/>
    </row>
    <row r="4942" spans="2:9" ht="25.5">
      <c r="B4942" s="3192" t="s">
        <v>720</v>
      </c>
      <c r="C4942" s="3063"/>
      <c r="D4942" s="3064"/>
      <c r="E4942" s="3064"/>
      <c r="F4942" s="3064"/>
      <c r="G4942" s="3301" t="s">
        <v>720</v>
      </c>
      <c r="H4942" s="3063"/>
      <c r="I4942" s="3030"/>
    </row>
    <row r="4943" spans="2:9" ht="25.5">
      <c r="B4943" s="3299" t="s">
        <v>682</v>
      </c>
      <c r="C4943" s="3063"/>
      <c r="D4943" s="3064"/>
      <c r="E4943" s="3064"/>
      <c r="F4943" s="3064"/>
      <c r="G4943" s="3300" t="s">
        <v>682</v>
      </c>
      <c r="H4943" s="3063"/>
      <c r="I4943" s="3030"/>
    </row>
    <row r="4944" spans="2:9" ht="25.5">
      <c r="B4944" s="3192" t="s">
        <v>675</v>
      </c>
      <c r="C4944" s="3063"/>
      <c r="D4944" s="3064"/>
      <c r="E4944" s="3064"/>
      <c r="F4944" s="3064"/>
      <c r="G4944" s="3301" t="s">
        <v>675</v>
      </c>
      <c r="H4944" s="3063"/>
      <c r="I4944" s="3030"/>
    </row>
    <row r="4945" spans="2:9" ht="25.5">
      <c r="B4945" s="3192" t="s">
        <v>676</v>
      </c>
      <c r="C4945" s="3063"/>
      <c r="D4945" s="3064"/>
      <c r="E4945" s="3064"/>
      <c r="F4945" s="3064"/>
      <c r="G4945" s="3301" t="s">
        <v>676</v>
      </c>
      <c r="H4945" s="3063"/>
      <c r="I4945" s="3030"/>
    </row>
    <row r="4946" spans="2:9">
      <c r="B4946" s="3192" t="s">
        <v>677</v>
      </c>
      <c r="C4946" s="3063"/>
      <c r="D4946" s="3064"/>
      <c r="E4946" s="3064"/>
      <c r="F4946" s="3064"/>
      <c r="G4946" s="3301" t="s">
        <v>677</v>
      </c>
      <c r="H4946" s="3063"/>
      <c r="I4946" s="3030"/>
    </row>
    <row r="4947" spans="2:9">
      <c r="B4947" s="3192" t="s">
        <v>678</v>
      </c>
      <c r="C4947" s="3063"/>
      <c r="D4947" s="3064"/>
      <c r="E4947" s="3064"/>
      <c r="F4947" s="3064"/>
      <c r="G4947" s="3301" t="s">
        <v>678</v>
      </c>
      <c r="H4947" s="3063"/>
      <c r="I4947" s="3030"/>
    </row>
    <row r="4948" spans="2:9">
      <c r="B4948" s="3192" t="s">
        <v>679</v>
      </c>
      <c r="C4948" s="3063"/>
      <c r="D4948" s="3064"/>
      <c r="E4948" s="3064"/>
      <c r="F4948" s="3064"/>
      <c r="G4948" s="3301" t="s">
        <v>679</v>
      </c>
      <c r="H4948" s="3063"/>
      <c r="I4948" s="3030"/>
    </row>
    <row r="4949" spans="2:9" ht="25.5">
      <c r="B4949" s="3192" t="s">
        <v>720</v>
      </c>
      <c r="C4949" s="3063"/>
      <c r="D4949" s="3064"/>
      <c r="E4949" s="3064"/>
      <c r="F4949" s="3064"/>
      <c r="G4949" s="3301" t="s">
        <v>720</v>
      </c>
      <c r="H4949" s="3063"/>
      <c r="I4949" s="3030"/>
    </row>
    <row r="4950" spans="2:9" ht="25.5">
      <c r="B4950" s="3299" t="s">
        <v>66</v>
      </c>
      <c r="C4950" s="3063"/>
      <c r="D4950" s="3064"/>
      <c r="E4950" s="3064"/>
      <c r="F4950" s="3064"/>
      <c r="G4950" s="3300" t="s">
        <v>66</v>
      </c>
      <c r="H4950" s="3063">
        <v>5.9426554597539578</v>
      </c>
      <c r="I4950" s="3030"/>
    </row>
    <row r="4951" spans="2:9" ht="25.5">
      <c r="B4951" s="3192" t="s">
        <v>675</v>
      </c>
      <c r="C4951" s="3063"/>
      <c r="D4951" s="3064"/>
      <c r="E4951" s="3064"/>
      <c r="F4951" s="3064"/>
      <c r="G4951" s="3301" t="s">
        <v>675</v>
      </c>
      <c r="H4951" s="3063"/>
      <c r="I4951" s="3030"/>
    </row>
    <row r="4952" spans="2:9" ht="25.5">
      <c r="B4952" s="3192" t="s">
        <v>676</v>
      </c>
      <c r="C4952" s="3063"/>
      <c r="D4952" s="3064"/>
      <c r="E4952" s="3064"/>
      <c r="F4952" s="3064"/>
      <c r="G4952" s="3301" t="s">
        <v>676</v>
      </c>
      <c r="H4952" s="3063"/>
      <c r="I4952" s="3030"/>
    </row>
    <row r="4953" spans="2:9">
      <c r="B4953" s="3192" t="s">
        <v>677</v>
      </c>
      <c r="C4953" s="3063"/>
      <c r="D4953" s="3064"/>
      <c r="E4953" s="3064"/>
      <c r="F4953" s="3064"/>
      <c r="G4953" s="3301" t="s">
        <v>677</v>
      </c>
      <c r="H4953" s="3063"/>
      <c r="I4953" s="3030"/>
    </row>
    <row r="4954" spans="2:9">
      <c r="B4954" s="3192" t="s">
        <v>678</v>
      </c>
      <c r="C4954" s="3063">
        <v>1</v>
      </c>
      <c r="D4954" s="3064"/>
      <c r="E4954" s="3064"/>
      <c r="F4954" s="3064"/>
      <c r="G4954" s="3301" t="s">
        <v>678</v>
      </c>
      <c r="H4954" s="3063"/>
      <c r="I4954" s="3030"/>
    </row>
    <row r="4955" spans="2:9">
      <c r="B4955" s="3192" t="s">
        <v>679</v>
      </c>
      <c r="C4955" s="3063"/>
      <c r="D4955" s="3064"/>
      <c r="E4955" s="3064"/>
      <c r="F4955" s="3064"/>
      <c r="G4955" s="3301" t="s">
        <v>679</v>
      </c>
      <c r="H4955" s="3063"/>
      <c r="I4955" s="3030"/>
    </row>
    <row r="4956" spans="2:9" ht="25.5">
      <c r="B4956" s="3192" t="s">
        <v>720</v>
      </c>
      <c r="C4956" s="3063"/>
      <c r="D4956" s="3064"/>
      <c r="E4956" s="3064"/>
      <c r="F4956" s="3064"/>
      <c r="G4956" s="3301" t="s">
        <v>720</v>
      </c>
      <c r="H4956" s="3063"/>
      <c r="I4956" s="3030"/>
    </row>
    <row r="4957" spans="2:9">
      <c r="B4957" s="3299" t="s">
        <v>67</v>
      </c>
      <c r="C4957" s="3063"/>
      <c r="D4957" s="3064"/>
      <c r="E4957" s="3064"/>
      <c r="F4957" s="3064"/>
      <c r="G4957" s="3300" t="s">
        <v>67</v>
      </c>
      <c r="H4957" s="3063">
        <v>0.16008406250237772</v>
      </c>
      <c r="I4957" s="3030"/>
    </row>
    <row r="4958" spans="2:9" ht="25.5">
      <c r="B4958" s="3192" t="s">
        <v>675</v>
      </c>
      <c r="C4958" s="3063">
        <v>1</v>
      </c>
      <c r="D4958" s="3064">
        <v>1</v>
      </c>
      <c r="E4958" s="3064"/>
      <c r="F4958" s="3064"/>
      <c r="G4958" s="3301" t="s">
        <v>675</v>
      </c>
      <c r="H4958" s="3063"/>
      <c r="I4958" s="3030"/>
    </row>
    <row r="4959" spans="2:9" ht="25.5">
      <c r="B4959" s="3192" t="s">
        <v>676</v>
      </c>
      <c r="C4959" s="3063"/>
      <c r="D4959" s="3064"/>
      <c r="E4959" s="3064"/>
      <c r="F4959" s="3064"/>
      <c r="G4959" s="3301" t="s">
        <v>676</v>
      </c>
      <c r="H4959" s="3063"/>
      <c r="I4959" s="3030"/>
    </row>
    <row r="4960" spans="2:9">
      <c r="B4960" s="3192" t="s">
        <v>677</v>
      </c>
      <c r="C4960" s="3063"/>
      <c r="D4960" s="3064"/>
      <c r="E4960" s="3064"/>
      <c r="F4960" s="3064"/>
      <c r="G4960" s="3301" t="s">
        <v>677</v>
      </c>
      <c r="H4960" s="3063"/>
      <c r="I4960" s="3030"/>
    </row>
    <row r="4961" spans="2:9">
      <c r="B4961" s="3192" t="s">
        <v>678</v>
      </c>
      <c r="C4961" s="3063"/>
      <c r="D4961" s="3064"/>
      <c r="E4961" s="3064"/>
      <c r="F4961" s="3064"/>
      <c r="G4961" s="3301" t="s">
        <v>678</v>
      </c>
      <c r="H4961" s="3063"/>
      <c r="I4961" s="3030"/>
    </row>
    <row r="4962" spans="2:9">
      <c r="B4962" s="3192" t="s">
        <v>679</v>
      </c>
      <c r="C4962" s="3063"/>
      <c r="D4962" s="3064"/>
      <c r="E4962" s="3064"/>
      <c r="F4962" s="3064"/>
      <c r="G4962" s="3301" t="s">
        <v>679</v>
      </c>
      <c r="H4962" s="3063"/>
      <c r="I4962" s="3030"/>
    </row>
    <row r="4963" spans="2:9" ht="25.5">
      <c r="B4963" s="3192" t="s">
        <v>720</v>
      </c>
      <c r="C4963" s="3063"/>
      <c r="D4963" s="3064"/>
      <c r="E4963" s="3064"/>
      <c r="F4963" s="3064"/>
      <c r="G4963" s="3301" t="s">
        <v>720</v>
      </c>
      <c r="H4963" s="3063"/>
      <c r="I4963" s="3030"/>
    </row>
    <row r="4964" spans="2:9" ht="25.5">
      <c r="B4964" s="3230" t="s">
        <v>81</v>
      </c>
      <c r="C4964" s="3063"/>
      <c r="D4964" s="3064"/>
      <c r="E4964" s="3064"/>
      <c r="F4964" s="3064"/>
      <c r="G4964" s="3302" t="s">
        <v>81</v>
      </c>
      <c r="H4964" s="3063"/>
      <c r="I4964" s="3030"/>
    </row>
    <row r="4965" spans="2:9" ht="26.25" thickBot="1">
      <c r="B4965" s="3303" t="s">
        <v>81</v>
      </c>
      <c r="C4965" s="3063"/>
      <c r="D4965" s="3064"/>
      <c r="E4965" s="3064"/>
      <c r="F4965" s="3064"/>
      <c r="G4965" s="3302" t="s">
        <v>81</v>
      </c>
      <c r="H4965" s="3063"/>
      <c r="I4965" s="3030"/>
    </row>
    <row r="4966" spans="2:9" ht="25.5">
      <c r="B4966" s="3217" t="s">
        <v>696</v>
      </c>
      <c r="C4966" s="3218"/>
      <c r="D4966" s="3219"/>
      <c r="E4966" s="3219"/>
      <c r="F4966" s="3219"/>
      <c r="G4966" s="3217" t="s">
        <v>696</v>
      </c>
      <c r="H4966" s="3297"/>
      <c r="I4966" s="3298"/>
    </row>
    <row r="4967" spans="2:9">
      <c r="B4967" s="3299" t="s">
        <v>64</v>
      </c>
      <c r="C4967" s="3063"/>
      <c r="D4967" s="3064"/>
      <c r="E4967" s="3064"/>
      <c r="F4967" s="3064"/>
      <c r="G4967" s="3300" t="s">
        <v>64</v>
      </c>
      <c r="H4967" s="3063"/>
      <c r="I4967" s="3030"/>
    </row>
    <row r="4968" spans="2:9" ht="25.5">
      <c r="B4968" s="3192" t="s">
        <v>675</v>
      </c>
      <c r="C4968" s="3063"/>
      <c r="D4968" s="3064"/>
      <c r="E4968" s="3064"/>
      <c r="F4968" s="3064"/>
      <c r="G4968" s="3301" t="s">
        <v>675</v>
      </c>
      <c r="H4968" s="3063"/>
      <c r="I4968" s="3030"/>
    </row>
    <row r="4969" spans="2:9" ht="25.5">
      <c r="B4969" s="3192" t="s">
        <v>676</v>
      </c>
      <c r="C4969" s="3063"/>
      <c r="D4969" s="3064"/>
      <c r="E4969" s="3064"/>
      <c r="F4969" s="3064"/>
      <c r="G4969" s="3301" t="s">
        <v>676</v>
      </c>
      <c r="H4969" s="3063"/>
      <c r="I4969" s="3030"/>
    </row>
    <row r="4970" spans="2:9">
      <c r="B4970" s="3192" t="s">
        <v>677</v>
      </c>
      <c r="C4970" s="3063"/>
      <c r="D4970" s="3064"/>
      <c r="E4970" s="3064"/>
      <c r="F4970" s="3064"/>
      <c r="G4970" s="3301" t="s">
        <v>677</v>
      </c>
      <c r="H4970" s="3063"/>
      <c r="I4970" s="3030"/>
    </row>
    <row r="4971" spans="2:9">
      <c r="B4971" s="3192" t="s">
        <v>678</v>
      </c>
      <c r="C4971" s="3063"/>
      <c r="D4971" s="3064"/>
      <c r="E4971" s="3064"/>
      <c r="F4971" s="3064"/>
      <c r="G4971" s="3301" t="s">
        <v>678</v>
      </c>
      <c r="H4971" s="3063"/>
      <c r="I4971" s="3030"/>
    </row>
    <row r="4972" spans="2:9">
      <c r="B4972" s="3192" t="s">
        <v>679</v>
      </c>
      <c r="C4972" s="3063"/>
      <c r="D4972" s="3064"/>
      <c r="E4972" s="3064"/>
      <c r="F4972" s="3064"/>
      <c r="G4972" s="3301" t="s">
        <v>679</v>
      </c>
      <c r="H4972" s="3063"/>
      <c r="I4972" s="3030"/>
    </row>
    <row r="4973" spans="2:9" ht="25.5">
      <c r="B4973" s="3192" t="s">
        <v>720</v>
      </c>
      <c r="C4973" s="3063"/>
      <c r="D4973" s="3064"/>
      <c r="E4973" s="3064"/>
      <c r="F4973" s="3064"/>
      <c r="G4973" s="3301" t="s">
        <v>720</v>
      </c>
      <c r="H4973" s="3063"/>
      <c r="I4973" s="3030"/>
    </row>
    <row r="4974" spans="2:9">
      <c r="B4974" s="3299" t="s">
        <v>65</v>
      </c>
      <c r="C4974" s="3063"/>
      <c r="D4974" s="3064"/>
      <c r="E4974" s="3064"/>
      <c r="F4974" s="3064"/>
      <c r="G4974" s="3300" t="s">
        <v>65</v>
      </c>
      <c r="H4974" s="3063"/>
      <c r="I4974" s="3030"/>
    </row>
    <row r="4975" spans="2:9" ht="25.5">
      <c r="B4975" s="3192" t="s">
        <v>675</v>
      </c>
      <c r="C4975" s="3063"/>
      <c r="D4975" s="3064"/>
      <c r="E4975" s="3064"/>
      <c r="F4975" s="3064"/>
      <c r="G4975" s="3301" t="s">
        <v>675</v>
      </c>
      <c r="H4975" s="3063"/>
      <c r="I4975" s="3030"/>
    </row>
    <row r="4976" spans="2:9" ht="25.5">
      <c r="B4976" s="3192" t="s">
        <v>676</v>
      </c>
      <c r="C4976" s="3063"/>
      <c r="D4976" s="3064"/>
      <c r="E4976" s="3064"/>
      <c r="F4976" s="3064"/>
      <c r="G4976" s="3301" t="s">
        <v>676</v>
      </c>
      <c r="H4976" s="3063"/>
      <c r="I4976" s="3030"/>
    </row>
    <row r="4977" spans="2:9">
      <c r="B4977" s="3192" t="s">
        <v>677</v>
      </c>
      <c r="C4977" s="3063"/>
      <c r="D4977" s="3064"/>
      <c r="E4977" s="3064"/>
      <c r="F4977" s="3064"/>
      <c r="G4977" s="3301" t="s">
        <v>677</v>
      </c>
      <c r="H4977" s="3063"/>
      <c r="I4977" s="3030"/>
    </row>
    <row r="4978" spans="2:9">
      <c r="B4978" s="3192" t="s">
        <v>678</v>
      </c>
      <c r="C4978" s="3063"/>
      <c r="D4978" s="3064"/>
      <c r="E4978" s="3064"/>
      <c r="F4978" s="3064"/>
      <c r="G4978" s="3301" t="s">
        <v>678</v>
      </c>
      <c r="H4978" s="3063"/>
      <c r="I4978" s="3030"/>
    </row>
    <row r="4979" spans="2:9">
      <c r="B4979" s="3192" t="s">
        <v>679</v>
      </c>
      <c r="C4979" s="3063"/>
      <c r="D4979" s="3064"/>
      <c r="E4979" s="3064"/>
      <c r="F4979" s="3064"/>
      <c r="G4979" s="3301" t="s">
        <v>679</v>
      </c>
      <c r="H4979" s="3063"/>
      <c r="I4979" s="3030"/>
    </row>
    <row r="4980" spans="2:9" ht="25.5">
      <c r="B4980" s="3192" t="s">
        <v>720</v>
      </c>
      <c r="C4980" s="3063"/>
      <c r="D4980" s="3064"/>
      <c r="E4980" s="3064"/>
      <c r="F4980" s="3064"/>
      <c r="G4980" s="3301" t="s">
        <v>720</v>
      </c>
      <c r="H4980" s="3063"/>
      <c r="I4980" s="3030"/>
    </row>
    <row r="4981" spans="2:9">
      <c r="B4981" s="3299" t="s">
        <v>82</v>
      </c>
      <c r="C4981" s="3063"/>
      <c r="D4981" s="3064"/>
      <c r="E4981" s="3064"/>
      <c r="F4981" s="3064"/>
      <c r="G4981" s="3300" t="s">
        <v>82</v>
      </c>
      <c r="H4981" s="3063"/>
      <c r="I4981" s="3030"/>
    </row>
    <row r="4982" spans="2:9" ht="25.5">
      <c r="B4982" s="3192" t="s">
        <v>675</v>
      </c>
      <c r="C4982" s="3063"/>
      <c r="D4982" s="3064"/>
      <c r="E4982" s="3064"/>
      <c r="F4982" s="3064"/>
      <c r="G4982" s="3301" t="s">
        <v>675</v>
      </c>
      <c r="H4982" s="3063"/>
      <c r="I4982" s="3030"/>
    </row>
    <row r="4983" spans="2:9" ht="25.5">
      <c r="B4983" s="3192" t="s">
        <v>676</v>
      </c>
      <c r="C4983" s="3063"/>
      <c r="D4983" s="3064"/>
      <c r="E4983" s="3064"/>
      <c r="F4983" s="3064"/>
      <c r="G4983" s="3301" t="s">
        <v>676</v>
      </c>
      <c r="H4983" s="3063"/>
      <c r="I4983" s="3030"/>
    </row>
    <row r="4984" spans="2:9">
      <c r="B4984" s="3192" t="s">
        <v>677</v>
      </c>
      <c r="C4984" s="3063"/>
      <c r="D4984" s="3064"/>
      <c r="E4984" s="3064"/>
      <c r="F4984" s="3064"/>
      <c r="G4984" s="3301" t="s">
        <v>677</v>
      </c>
      <c r="H4984" s="3063"/>
      <c r="I4984" s="3030"/>
    </row>
    <row r="4985" spans="2:9">
      <c r="B4985" s="3192" t="s">
        <v>678</v>
      </c>
      <c r="C4985" s="3063"/>
      <c r="D4985" s="3064"/>
      <c r="E4985" s="3064"/>
      <c r="F4985" s="3064"/>
      <c r="G4985" s="3301" t="s">
        <v>678</v>
      </c>
      <c r="H4985" s="3063"/>
      <c r="I4985" s="3030"/>
    </row>
    <row r="4986" spans="2:9">
      <c r="B4986" s="3192" t="s">
        <v>679</v>
      </c>
      <c r="C4986" s="3063"/>
      <c r="D4986" s="3064"/>
      <c r="E4986" s="3064"/>
      <c r="F4986" s="3064"/>
      <c r="G4986" s="3301" t="s">
        <v>679</v>
      </c>
      <c r="H4986" s="3063"/>
      <c r="I4986" s="3030"/>
    </row>
    <row r="4987" spans="2:9" ht="25.5">
      <c r="B4987" s="3192" t="s">
        <v>720</v>
      </c>
      <c r="C4987" s="3063"/>
      <c r="D4987" s="3064"/>
      <c r="E4987" s="3064"/>
      <c r="F4987" s="3064"/>
      <c r="G4987" s="3301" t="s">
        <v>720</v>
      </c>
      <c r="H4987" s="3063"/>
      <c r="I4987" s="3030"/>
    </row>
    <row r="4988" spans="2:9" ht="38.25">
      <c r="B4988" s="3299" t="s">
        <v>680</v>
      </c>
      <c r="C4988" s="3063"/>
      <c r="D4988" s="3064"/>
      <c r="E4988" s="3064"/>
      <c r="F4988" s="3064"/>
      <c r="G4988" s="3300" t="s">
        <v>680</v>
      </c>
      <c r="H4988" s="3063"/>
      <c r="I4988" s="3030"/>
    </row>
    <row r="4989" spans="2:9" ht="25.5">
      <c r="B4989" s="3192" t="s">
        <v>675</v>
      </c>
      <c r="C4989" s="3063"/>
      <c r="D4989" s="3064"/>
      <c r="E4989" s="3064"/>
      <c r="F4989" s="3064"/>
      <c r="G4989" s="3301" t="s">
        <v>675</v>
      </c>
      <c r="H4989" s="3063"/>
      <c r="I4989" s="3030"/>
    </row>
    <row r="4990" spans="2:9" ht="25.5">
      <c r="B4990" s="3192" t="s">
        <v>676</v>
      </c>
      <c r="C4990" s="3063"/>
      <c r="D4990" s="3064"/>
      <c r="E4990" s="3064"/>
      <c r="F4990" s="3064"/>
      <c r="G4990" s="3301" t="s">
        <v>676</v>
      </c>
      <c r="H4990" s="3063"/>
      <c r="I4990" s="3030"/>
    </row>
    <row r="4991" spans="2:9">
      <c r="B4991" s="3192" t="s">
        <v>677</v>
      </c>
      <c r="C4991" s="3063"/>
      <c r="D4991" s="3064"/>
      <c r="E4991" s="3064"/>
      <c r="F4991" s="3064"/>
      <c r="G4991" s="3301" t="s">
        <v>677</v>
      </c>
      <c r="H4991" s="3063"/>
      <c r="I4991" s="3030"/>
    </row>
    <row r="4992" spans="2:9">
      <c r="B4992" s="3192" t="s">
        <v>678</v>
      </c>
      <c r="C4992" s="3063"/>
      <c r="D4992" s="3064"/>
      <c r="E4992" s="3064"/>
      <c r="F4992" s="3064"/>
      <c r="G4992" s="3301" t="s">
        <v>678</v>
      </c>
      <c r="H4992" s="3063"/>
      <c r="I4992" s="3030"/>
    </row>
    <row r="4993" spans="2:9">
      <c r="B4993" s="3192" t="s">
        <v>679</v>
      </c>
      <c r="C4993" s="3063"/>
      <c r="D4993" s="3064"/>
      <c r="E4993" s="3064"/>
      <c r="F4993" s="3064"/>
      <c r="G4993" s="3301" t="s">
        <v>679</v>
      </c>
      <c r="H4993" s="3063"/>
      <c r="I4993" s="3030"/>
    </row>
    <row r="4994" spans="2:9" ht="25.5">
      <c r="B4994" s="3192" t="s">
        <v>720</v>
      </c>
      <c r="C4994" s="3063"/>
      <c r="D4994" s="3064"/>
      <c r="E4994" s="3064"/>
      <c r="F4994" s="3064"/>
      <c r="G4994" s="3301" t="s">
        <v>720</v>
      </c>
      <c r="H4994" s="3063"/>
      <c r="I4994" s="3030"/>
    </row>
    <row r="4995" spans="2:9" ht="38.25">
      <c r="B4995" s="3299" t="s">
        <v>681</v>
      </c>
      <c r="C4995" s="3063"/>
      <c r="D4995" s="3064"/>
      <c r="E4995" s="3064"/>
      <c r="F4995" s="3064"/>
      <c r="G4995" s="3300" t="s">
        <v>681</v>
      </c>
      <c r="H4995" s="3063"/>
      <c r="I4995" s="3030"/>
    </row>
    <row r="4996" spans="2:9" ht="25.5">
      <c r="B4996" s="3192" t="s">
        <v>675</v>
      </c>
      <c r="C4996" s="3063"/>
      <c r="D4996" s="3064"/>
      <c r="E4996" s="3064"/>
      <c r="F4996" s="3064"/>
      <c r="G4996" s="3301" t="s">
        <v>675</v>
      </c>
      <c r="H4996" s="3063"/>
      <c r="I4996" s="3030"/>
    </row>
    <row r="4997" spans="2:9" ht="25.5">
      <c r="B4997" s="3192" t="s">
        <v>676</v>
      </c>
      <c r="C4997" s="3063"/>
      <c r="D4997" s="3064"/>
      <c r="E4997" s="3064"/>
      <c r="F4997" s="3064"/>
      <c r="G4997" s="3301" t="s">
        <v>676</v>
      </c>
      <c r="H4997" s="3063"/>
      <c r="I4997" s="3030"/>
    </row>
    <row r="4998" spans="2:9">
      <c r="B4998" s="3192" t="s">
        <v>677</v>
      </c>
      <c r="C4998" s="3063"/>
      <c r="D4998" s="3064"/>
      <c r="E4998" s="3064"/>
      <c r="F4998" s="3064"/>
      <c r="G4998" s="3301" t="s">
        <v>677</v>
      </c>
      <c r="H4998" s="3063"/>
      <c r="I4998" s="3030"/>
    </row>
    <row r="4999" spans="2:9">
      <c r="B4999" s="3192" t="s">
        <v>678</v>
      </c>
      <c r="C4999" s="3063"/>
      <c r="D4999" s="3064"/>
      <c r="E4999" s="3064"/>
      <c r="F4999" s="3064"/>
      <c r="G4999" s="3301" t="s">
        <v>678</v>
      </c>
      <c r="H4999" s="3063"/>
      <c r="I4999" s="3030"/>
    </row>
    <row r="5000" spans="2:9">
      <c r="B5000" s="3192" t="s">
        <v>679</v>
      </c>
      <c r="C5000" s="3063"/>
      <c r="D5000" s="3064"/>
      <c r="E5000" s="3064"/>
      <c r="F5000" s="3064"/>
      <c r="G5000" s="3301" t="s">
        <v>679</v>
      </c>
      <c r="H5000" s="3063"/>
      <c r="I5000" s="3030"/>
    </row>
    <row r="5001" spans="2:9" ht="25.5">
      <c r="B5001" s="3192" t="s">
        <v>720</v>
      </c>
      <c r="C5001" s="3063"/>
      <c r="D5001" s="3064"/>
      <c r="E5001" s="3064"/>
      <c r="F5001" s="3064"/>
      <c r="G5001" s="3301" t="s">
        <v>720</v>
      </c>
      <c r="H5001" s="3063"/>
      <c r="I5001" s="3030"/>
    </row>
    <row r="5002" spans="2:9" ht="25.5">
      <c r="B5002" s="3299" t="s">
        <v>682</v>
      </c>
      <c r="C5002" s="3063"/>
      <c r="D5002" s="3064"/>
      <c r="E5002" s="3064"/>
      <c r="F5002" s="3064"/>
      <c r="G5002" s="3300" t="s">
        <v>682</v>
      </c>
      <c r="H5002" s="3063"/>
      <c r="I5002" s="3030"/>
    </row>
    <row r="5003" spans="2:9" ht="25.5">
      <c r="B5003" s="3192" t="s">
        <v>675</v>
      </c>
      <c r="C5003" s="3063"/>
      <c r="D5003" s="3064"/>
      <c r="E5003" s="3064"/>
      <c r="F5003" s="3064"/>
      <c r="G5003" s="3301" t="s">
        <v>675</v>
      </c>
      <c r="H5003" s="3063"/>
      <c r="I5003" s="3030"/>
    </row>
    <row r="5004" spans="2:9" ht="25.5">
      <c r="B5004" s="3192" t="s">
        <v>676</v>
      </c>
      <c r="C5004" s="3063"/>
      <c r="D5004" s="3064"/>
      <c r="E5004" s="3064"/>
      <c r="F5004" s="3064"/>
      <c r="G5004" s="3301" t="s">
        <v>676</v>
      </c>
      <c r="H5004" s="3063"/>
      <c r="I5004" s="3030"/>
    </row>
    <row r="5005" spans="2:9">
      <c r="B5005" s="3192" t="s">
        <v>677</v>
      </c>
      <c r="C5005" s="3063"/>
      <c r="D5005" s="3064"/>
      <c r="E5005" s="3064"/>
      <c r="F5005" s="3064"/>
      <c r="G5005" s="3301" t="s">
        <v>677</v>
      </c>
      <c r="H5005" s="3063"/>
      <c r="I5005" s="3030"/>
    </row>
    <row r="5006" spans="2:9">
      <c r="B5006" s="3192" t="s">
        <v>678</v>
      </c>
      <c r="C5006" s="3063"/>
      <c r="D5006" s="3064"/>
      <c r="E5006" s="3064"/>
      <c r="F5006" s="3064"/>
      <c r="G5006" s="3301" t="s">
        <v>678</v>
      </c>
      <c r="H5006" s="3063"/>
      <c r="I5006" s="3030"/>
    </row>
    <row r="5007" spans="2:9">
      <c r="B5007" s="3192" t="s">
        <v>679</v>
      </c>
      <c r="C5007" s="3063"/>
      <c r="D5007" s="3064"/>
      <c r="E5007" s="3064"/>
      <c r="F5007" s="3064"/>
      <c r="G5007" s="3301" t="s">
        <v>679</v>
      </c>
      <c r="H5007" s="3063"/>
      <c r="I5007" s="3030"/>
    </row>
    <row r="5008" spans="2:9" ht="25.5">
      <c r="B5008" s="3192" t="s">
        <v>720</v>
      </c>
      <c r="C5008" s="3063"/>
      <c r="D5008" s="3064"/>
      <c r="E5008" s="3064"/>
      <c r="F5008" s="3064"/>
      <c r="G5008" s="3301" t="s">
        <v>720</v>
      </c>
      <c r="H5008" s="3063"/>
      <c r="I5008" s="3030"/>
    </row>
    <row r="5009" spans="2:9" ht="25.5">
      <c r="B5009" s="3299" t="s">
        <v>66</v>
      </c>
      <c r="C5009" s="3063"/>
      <c r="D5009" s="3064"/>
      <c r="E5009" s="3064"/>
      <c r="F5009" s="3064"/>
      <c r="G5009" s="3300" t="s">
        <v>66</v>
      </c>
      <c r="H5009" s="3063"/>
      <c r="I5009" s="3030"/>
    </row>
    <row r="5010" spans="2:9" ht="25.5">
      <c r="B5010" s="3192" t="s">
        <v>675</v>
      </c>
      <c r="C5010" s="3063"/>
      <c r="D5010" s="3064"/>
      <c r="E5010" s="3064"/>
      <c r="F5010" s="3064"/>
      <c r="G5010" s="3301" t="s">
        <v>675</v>
      </c>
      <c r="H5010" s="3063"/>
      <c r="I5010" s="3030"/>
    </row>
    <row r="5011" spans="2:9" ht="25.5">
      <c r="B5011" s="3192" t="s">
        <v>676</v>
      </c>
      <c r="C5011" s="3063"/>
      <c r="D5011" s="3064"/>
      <c r="E5011" s="3064"/>
      <c r="F5011" s="3064"/>
      <c r="G5011" s="3301" t="s">
        <v>676</v>
      </c>
      <c r="H5011" s="3063"/>
      <c r="I5011" s="3030"/>
    </row>
    <row r="5012" spans="2:9">
      <c r="B5012" s="3192" t="s">
        <v>677</v>
      </c>
      <c r="C5012" s="3063"/>
      <c r="D5012" s="3064"/>
      <c r="E5012" s="3064"/>
      <c r="F5012" s="3064"/>
      <c r="G5012" s="3301" t="s">
        <v>677</v>
      </c>
      <c r="H5012" s="3063"/>
      <c r="I5012" s="3030"/>
    </row>
    <row r="5013" spans="2:9">
      <c r="B5013" s="3192" t="s">
        <v>678</v>
      </c>
      <c r="C5013" s="3063"/>
      <c r="D5013" s="3064"/>
      <c r="E5013" s="3064"/>
      <c r="F5013" s="3064"/>
      <c r="G5013" s="3301" t="s">
        <v>678</v>
      </c>
      <c r="H5013" s="3063"/>
      <c r="I5013" s="3030"/>
    </row>
    <row r="5014" spans="2:9">
      <c r="B5014" s="3192" t="s">
        <v>679</v>
      </c>
      <c r="C5014" s="3063"/>
      <c r="D5014" s="3064"/>
      <c r="E5014" s="3064"/>
      <c r="F5014" s="3064"/>
      <c r="G5014" s="3301" t="s">
        <v>679</v>
      </c>
      <c r="H5014" s="3063"/>
      <c r="I5014" s="3030"/>
    </row>
    <row r="5015" spans="2:9" ht="25.5">
      <c r="B5015" s="3192" t="s">
        <v>720</v>
      </c>
      <c r="C5015" s="3063"/>
      <c r="D5015" s="3064"/>
      <c r="E5015" s="3064"/>
      <c r="F5015" s="3064"/>
      <c r="G5015" s="3301" t="s">
        <v>720</v>
      </c>
      <c r="H5015" s="3063"/>
      <c r="I5015" s="3030"/>
    </row>
    <row r="5016" spans="2:9">
      <c r="B5016" s="3299" t="s">
        <v>67</v>
      </c>
      <c r="C5016" s="3063"/>
      <c r="D5016" s="3064"/>
      <c r="E5016" s="3064"/>
      <c r="F5016" s="3064"/>
      <c r="G5016" s="3300" t="s">
        <v>67</v>
      </c>
      <c r="H5016" s="3063"/>
      <c r="I5016" s="3030"/>
    </row>
    <row r="5017" spans="2:9" ht="25.5">
      <c r="B5017" s="3192" t="s">
        <v>675</v>
      </c>
      <c r="C5017" s="3063"/>
      <c r="D5017" s="3064"/>
      <c r="E5017" s="3064"/>
      <c r="F5017" s="3064"/>
      <c r="G5017" s="3301" t="s">
        <v>675</v>
      </c>
      <c r="H5017" s="3063"/>
      <c r="I5017" s="3030"/>
    </row>
    <row r="5018" spans="2:9" ht="25.5">
      <c r="B5018" s="3192" t="s">
        <v>676</v>
      </c>
      <c r="C5018" s="3063"/>
      <c r="D5018" s="3064"/>
      <c r="E5018" s="3064"/>
      <c r="F5018" s="3064"/>
      <c r="G5018" s="3301" t="s">
        <v>676</v>
      </c>
      <c r="H5018" s="3063"/>
      <c r="I5018" s="3030"/>
    </row>
    <row r="5019" spans="2:9">
      <c r="B5019" s="3192" t="s">
        <v>677</v>
      </c>
      <c r="C5019" s="3063"/>
      <c r="D5019" s="3064"/>
      <c r="E5019" s="3064"/>
      <c r="F5019" s="3064"/>
      <c r="G5019" s="3301" t="s">
        <v>677</v>
      </c>
      <c r="H5019" s="3063"/>
      <c r="I5019" s="3030"/>
    </row>
    <row r="5020" spans="2:9">
      <c r="B5020" s="3192" t="s">
        <v>678</v>
      </c>
      <c r="C5020" s="3063"/>
      <c r="D5020" s="3064"/>
      <c r="E5020" s="3064"/>
      <c r="F5020" s="3064"/>
      <c r="G5020" s="3301" t="s">
        <v>678</v>
      </c>
      <c r="H5020" s="3063"/>
      <c r="I5020" s="3030"/>
    </row>
    <row r="5021" spans="2:9">
      <c r="B5021" s="3192" t="s">
        <v>679</v>
      </c>
      <c r="C5021" s="3063"/>
      <c r="D5021" s="3064"/>
      <c r="E5021" s="3064"/>
      <c r="F5021" s="3064"/>
      <c r="G5021" s="3301" t="s">
        <v>679</v>
      </c>
      <c r="H5021" s="3063"/>
      <c r="I5021" s="3030"/>
    </row>
    <row r="5022" spans="2:9" ht="25.5">
      <c r="B5022" s="3230" t="s">
        <v>81</v>
      </c>
      <c r="C5022" s="3063"/>
      <c r="D5022" s="3064"/>
      <c r="E5022" s="3064"/>
      <c r="F5022" s="3064"/>
      <c r="G5022" s="3302" t="s">
        <v>81</v>
      </c>
      <c r="H5022" s="3063"/>
      <c r="I5022" s="3030"/>
    </row>
    <row r="5023" spans="2:9" ht="26.25" thickBot="1">
      <c r="B5023" s="3303" t="s">
        <v>81</v>
      </c>
      <c r="C5023" s="3063"/>
      <c r="D5023" s="3064"/>
      <c r="E5023" s="3064"/>
      <c r="F5023" s="3064"/>
      <c r="G5023" s="3302" t="s">
        <v>81</v>
      </c>
      <c r="H5023" s="3063"/>
      <c r="I5023" s="3030"/>
    </row>
    <row r="5024" spans="2:9">
      <c r="B5024" s="3217" t="s">
        <v>697</v>
      </c>
      <c r="C5024" s="3218"/>
      <c r="D5024" s="3219"/>
      <c r="E5024" s="3219"/>
      <c r="F5024" s="3219"/>
      <c r="G5024" s="3217" t="s">
        <v>697</v>
      </c>
      <c r="H5024" s="3297"/>
      <c r="I5024" s="3298"/>
    </row>
    <row r="5025" spans="2:9">
      <c r="B5025" s="3299" t="s">
        <v>64</v>
      </c>
      <c r="C5025" s="3063"/>
      <c r="D5025" s="3064"/>
      <c r="E5025" s="3064"/>
      <c r="F5025" s="3064"/>
      <c r="G5025" s="3300" t="s">
        <v>64</v>
      </c>
      <c r="H5025" s="3063"/>
      <c r="I5025" s="3030"/>
    </row>
    <row r="5026" spans="2:9" ht="25.5">
      <c r="B5026" s="3192" t="s">
        <v>675</v>
      </c>
      <c r="C5026" s="3063"/>
      <c r="D5026" s="3064"/>
      <c r="E5026" s="3064"/>
      <c r="F5026" s="3064"/>
      <c r="G5026" s="3301" t="s">
        <v>675</v>
      </c>
      <c r="H5026" s="3063"/>
      <c r="I5026" s="3030"/>
    </row>
    <row r="5027" spans="2:9" ht="25.5">
      <c r="B5027" s="3192" t="s">
        <v>676</v>
      </c>
      <c r="C5027" s="3063"/>
      <c r="D5027" s="3064"/>
      <c r="E5027" s="3064"/>
      <c r="F5027" s="3064"/>
      <c r="G5027" s="3301" t="s">
        <v>676</v>
      </c>
      <c r="H5027" s="3063"/>
      <c r="I5027" s="3030"/>
    </row>
    <row r="5028" spans="2:9">
      <c r="B5028" s="3192" t="s">
        <v>677</v>
      </c>
      <c r="C5028" s="3063"/>
      <c r="D5028" s="3064"/>
      <c r="E5028" s="3064"/>
      <c r="F5028" s="3064"/>
      <c r="G5028" s="3301" t="s">
        <v>677</v>
      </c>
      <c r="H5028" s="3063"/>
      <c r="I5028" s="3030"/>
    </row>
    <row r="5029" spans="2:9">
      <c r="B5029" s="3192" t="s">
        <v>678</v>
      </c>
      <c r="C5029" s="3063"/>
      <c r="D5029" s="3064"/>
      <c r="E5029" s="3064"/>
      <c r="F5029" s="3064"/>
      <c r="G5029" s="3301" t="s">
        <v>678</v>
      </c>
      <c r="H5029" s="3063"/>
      <c r="I5029" s="3030"/>
    </row>
    <row r="5030" spans="2:9">
      <c r="B5030" s="3192" t="s">
        <v>679</v>
      </c>
      <c r="C5030" s="3063"/>
      <c r="D5030" s="3064"/>
      <c r="E5030" s="3064"/>
      <c r="F5030" s="3064"/>
      <c r="G5030" s="3301" t="s">
        <v>679</v>
      </c>
      <c r="H5030" s="3063"/>
      <c r="I5030" s="3030"/>
    </row>
    <row r="5031" spans="2:9" ht="25.5">
      <c r="B5031" s="3192" t="s">
        <v>720</v>
      </c>
      <c r="C5031" s="3063"/>
      <c r="D5031" s="3064"/>
      <c r="E5031" s="3064"/>
      <c r="F5031" s="3064"/>
      <c r="G5031" s="3301" t="s">
        <v>720</v>
      </c>
      <c r="H5031" s="3063"/>
      <c r="I5031" s="3030"/>
    </row>
    <row r="5032" spans="2:9">
      <c r="B5032" s="3299" t="s">
        <v>65</v>
      </c>
      <c r="C5032" s="3063"/>
      <c r="D5032" s="3064"/>
      <c r="E5032" s="3064"/>
      <c r="F5032" s="3064"/>
      <c r="G5032" s="3300" t="s">
        <v>65</v>
      </c>
      <c r="H5032" s="3063"/>
      <c r="I5032" s="3030"/>
    </row>
    <row r="5033" spans="2:9" ht="25.5">
      <c r="B5033" s="3192" t="s">
        <v>675</v>
      </c>
      <c r="C5033" s="3063"/>
      <c r="D5033" s="3064"/>
      <c r="E5033" s="3064"/>
      <c r="F5033" s="3064"/>
      <c r="G5033" s="3301" t="s">
        <v>675</v>
      </c>
      <c r="H5033" s="3063"/>
      <c r="I5033" s="3030"/>
    </row>
    <row r="5034" spans="2:9" ht="25.5">
      <c r="B5034" s="3192" t="s">
        <v>676</v>
      </c>
      <c r="C5034" s="3063"/>
      <c r="D5034" s="3064"/>
      <c r="E5034" s="3064"/>
      <c r="F5034" s="3064"/>
      <c r="G5034" s="3301" t="s">
        <v>676</v>
      </c>
      <c r="H5034" s="3063"/>
      <c r="I5034" s="3030"/>
    </row>
    <row r="5035" spans="2:9">
      <c r="B5035" s="3192" t="s">
        <v>677</v>
      </c>
      <c r="C5035" s="3063"/>
      <c r="D5035" s="3064"/>
      <c r="E5035" s="3064"/>
      <c r="F5035" s="3064"/>
      <c r="G5035" s="3301" t="s">
        <v>677</v>
      </c>
      <c r="H5035" s="3063"/>
      <c r="I5035" s="3030"/>
    </row>
    <row r="5036" spans="2:9">
      <c r="B5036" s="3192" t="s">
        <v>678</v>
      </c>
      <c r="C5036" s="3063"/>
      <c r="D5036" s="3064"/>
      <c r="E5036" s="3064"/>
      <c r="F5036" s="3064"/>
      <c r="G5036" s="3301" t="s">
        <v>678</v>
      </c>
      <c r="H5036" s="3063"/>
      <c r="I5036" s="3030"/>
    </row>
    <row r="5037" spans="2:9">
      <c r="B5037" s="3192" t="s">
        <v>679</v>
      </c>
      <c r="C5037" s="3063"/>
      <c r="D5037" s="3064"/>
      <c r="E5037" s="3064"/>
      <c r="F5037" s="3064"/>
      <c r="G5037" s="3301" t="s">
        <v>679</v>
      </c>
      <c r="H5037" s="3063"/>
      <c r="I5037" s="3030"/>
    </row>
    <row r="5038" spans="2:9" ht="25.5">
      <c r="B5038" s="3192" t="s">
        <v>720</v>
      </c>
      <c r="C5038" s="3063"/>
      <c r="D5038" s="3064"/>
      <c r="E5038" s="3064"/>
      <c r="F5038" s="3064"/>
      <c r="G5038" s="3301" t="s">
        <v>720</v>
      </c>
      <c r="H5038" s="3063"/>
      <c r="I5038" s="3030"/>
    </row>
    <row r="5039" spans="2:9">
      <c r="B5039" s="3299" t="s">
        <v>82</v>
      </c>
      <c r="C5039" s="3063"/>
      <c r="D5039" s="3064"/>
      <c r="E5039" s="3064"/>
      <c r="F5039" s="3064"/>
      <c r="G5039" s="3300" t="s">
        <v>82</v>
      </c>
      <c r="H5039" s="3063"/>
      <c r="I5039" s="3030"/>
    </row>
    <row r="5040" spans="2:9" ht="25.5">
      <c r="B5040" s="3192" t="s">
        <v>675</v>
      </c>
      <c r="C5040" s="3063"/>
      <c r="D5040" s="3064"/>
      <c r="E5040" s="3064"/>
      <c r="F5040" s="3064"/>
      <c r="G5040" s="3301" t="s">
        <v>675</v>
      </c>
      <c r="H5040" s="3063"/>
      <c r="I5040" s="3030"/>
    </row>
    <row r="5041" spans="2:9" ht="25.5">
      <c r="B5041" s="3192" t="s">
        <v>676</v>
      </c>
      <c r="C5041" s="3063"/>
      <c r="D5041" s="3064"/>
      <c r="E5041" s="3064"/>
      <c r="F5041" s="3064"/>
      <c r="G5041" s="3301" t="s">
        <v>676</v>
      </c>
      <c r="H5041" s="3063"/>
      <c r="I5041" s="3030"/>
    </row>
    <row r="5042" spans="2:9">
      <c r="B5042" s="3192" t="s">
        <v>677</v>
      </c>
      <c r="C5042" s="3063"/>
      <c r="D5042" s="3064"/>
      <c r="E5042" s="3064"/>
      <c r="F5042" s="3064"/>
      <c r="G5042" s="3301" t="s">
        <v>677</v>
      </c>
      <c r="H5042" s="3063"/>
      <c r="I5042" s="3030"/>
    </row>
    <row r="5043" spans="2:9">
      <c r="B5043" s="3192" t="s">
        <v>678</v>
      </c>
      <c r="C5043" s="3063"/>
      <c r="D5043" s="3064"/>
      <c r="E5043" s="3064"/>
      <c r="F5043" s="3064"/>
      <c r="G5043" s="3301" t="s">
        <v>678</v>
      </c>
      <c r="H5043" s="3063"/>
      <c r="I5043" s="3030"/>
    </row>
    <row r="5044" spans="2:9">
      <c r="B5044" s="3192" t="s">
        <v>679</v>
      </c>
      <c r="C5044" s="3063"/>
      <c r="D5044" s="3064"/>
      <c r="E5044" s="3064"/>
      <c r="F5044" s="3064"/>
      <c r="G5044" s="3301" t="s">
        <v>679</v>
      </c>
      <c r="H5044" s="3063"/>
      <c r="I5044" s="3030"/>
    </row>
    <row r="5045" spans="2:9" ht="25.5">
      <c r="B5045" s="3192" t="s">
        <v>720</v>
      </c>
      <c r="C5045" s="3063"/>
      <c r="D5045" s="3064"/>
      <c r="E5045" s="3064"/>
      <c r="F5045" s="3064"/>
      <c r="G5045" s="3301" t="s">
        <v>720</v>
      </c>
      <c r="H5045" s="3063"/>
      <c r="I5045" s="3030"/>
    </row>
    <row r="5046" spans="2:9" ht="38.25">
      <c r="B5046" s="3299" t="s">
        <v>680</v>
      </c>
      <c r="C5046" s="3063"/>
      <c r="D5046" s="3064"/>
      <c r="E5046" s="3064"/>
      <c r="F5046" s="3064"/>
      <c r="G5046" s="3300" t="s">
        <v>680</v>
      </c>
      <c r="H5046" s="3063"/>
      <c r="I5046" s="3030"/>
    </row>
    <row r="5047" spans="2:9" ht="25.5">
      <c r="B5047" s="3192" t="s">
        <v>675</v>
      </c>
      <c r="C5047" s="3063"/>
      <c r="D5047" s="3064"/>
      <c r="E5047" s="3064"/>
      <c r="F5047" s="3064"/>
      <c r="G5047" s="3301" t="s">
        <v>675</v>
      </c>
      <c r="H5047" s="3063"/>
      <c r="I5047" s="3030"/>
    </row>
    <row r="5048" spans="2:9" ht="25.5">
      <c r="B5048" s="3192" t="s">
        <v>676</v>
      </c>
      <c r="C5048" s="3063"/>
      <c r="D5048" s="3064"/>
      <c r="E5048" s="3064"/>
      <c r="F5048" s="3064"/>
      <c r="G5048" s="3301" t="s">
        <v>676</v>
      </c>
      <c r="H5048" s="3063"/>
      <c r="I5048" s="3030"/>
    </row>
    <row r="5049" spans="2:9">
      <c r="B5049" s="3192" t="s">
        <v>677</v>
      </c>
      <c r="C5049" s="3063"/>
      <c r="D5049" s="3064"/>
      <c r="E5049" s="3064"/>
      <c r="F5049" s="3064"/>
      <c r="G5049" s="3301" t="s">
        <v>677</v>
      </c>
      <c r="H5049" s="3063"/>
      <c r="I5049" s="3030"/>
    </row>
    <row r="5050" spans="2:9">
      <c r="B5050" s="3192" t="s">
        <v>678</v>
      </c>
      <c r="C5050" s="3063"/>
      <c r="D5050" s="3064"/>
      <c r="E5050" s="3064"/>
      <c r="F5050" s="3064"/>
      <c r="G5050" s="3301" t="s">
        <v>678</v>
      </c>
      <c r="H5050" s="3063"/>
      <c r="I5050" s="3030"/>
    </row>
    <row r="5051" spans="2:9">
      <c r="B5051" s="3192" t="s">
        <v>679</v>
      </c>
      <c r="C5051" s="3063"/>
      <c r="D5051" s="3064"/>
      <c r="E5051" s="3064"/>
      <c r="F5051" s="3064"/>
      <c r="G5051" s="3301" t="s">
        <v>679</v>
      </c>
      <c r="H5051" s="3063"/>
      <c r="I5051" s="3030"/>
    </row>
    <row r="5052" spans="2:9" ht="25.5">
      <c r="B5052" s="3192" t="s">
        <v>720</v>
      </c>
      <c r="C5052" s="3063"/>
      <c r="D5052" s="3064"/>
      <c r="E5052" s="3064"/>
      <c r="F5052" s="3064"/>
      <c r="G5052" s="3301" t="s">
        <v>720</v>
      </c>
      <c r="H5052" s="3063"/>
      <c r="I5052" s="3030"/>
    </row>
    <row r="5053" spans="2:9" ht="38.25">
      <c r="B5053" s="3299" t="s">
        <v>681</v>
      </c>
      <c r="C5053" s="3063"/>
      <c r="D5053" s="3064"/>
      <c r="E5053" s="3064"/>
      <c r="F5053" s="3064">
        <v>13</v>
      </c>
      <c r="G5053" s="3300" t="s">
        <v>681</v>
      </c>
      <c r="H5053" s="3063">
        <v>0.2203663547353579</v>
      </c>
      <c r="I5053" s="3030"/>
    </row>
    <row r="5054" spans="2:9" ht="25.5">
      <c r="B5054" s="3192" t="s">
        <v>675</v>
      </c>
      <c r="C5054" s="3063"/>
      <c r="D5054" s="3064">
        <v>1</v>
      </c>
      <c r="E5054" s="3064"/>
      <c r="F5054" s="3064"/>
      <c r="G5054" s="3301" t="s">
        <v>675</v>
      </c>
      <c r="H5054" s="3063"/>
      <c r="I5054" s="3030">
        <v>4.6392916786391139E-2</v>
      </c>
    </row>
    <row r="5055" spans="2:9" ht="25.5">
      <c r="B5055" s="3192" t="s">
        <v>676</v>
      </c>
      <c r="C5055" s="3063"/>
      <c r="D5055" s="3064"/>
      <c r="E5055" s="3064"/>
      <c r="F5055" s="3064"/>
      <c r="G5055" s="3301" t="s">
        <v>676</v>
      </c>
      <c r="H5055" s="3063"/>
      <c r="I5055" s="3030"/>
    </row>
    <row r="5056" spans="2:9">
      <c r="B5056" s="3192" t="s">
        <v>677</v>
      </c>
      <c r="C5056" s="3063"/>
      <c r="D5056" s="3064"/>
      <c r="E5056" s="3064"/>
      <c r="F5056" s="3064"/>
      <c r="G5056" s="3301" t="s">
        <v>677</v>
      </c>
      <c r="H5056" s="3063"/>
      <c r="I5056" s="3030"/>
    </row>
    <row r="5057" spans="2:9">
      <c r="B5057" s="3192" t="s">
        <v>678</v>
      </c>
      <c r="C5057" s="3063">
        <v>4</v>
      </c>
      <c r="D5057" s="3064">
        <v>1</v>
      </c>
      <c r="E5057" s="3064"/>
      <c r="F5057" s="3064"/>
      <c r="G5057" s="3301" t="s">
        <v>678</v>
      </c>
      <c r="H5057" s="3063"/>
      <c r="I5057" s="3030"/>
    </row>
    <row r="5058" spans="2:9">
      <c r="B5058" s="3192" t="s">
        <v>679</v>
      </c>
      <c r="C5058" s="3063"/>
      <c r="D5058" s="3064"/>
      <c r="E5058" s="3064"/>
      <c r="F5058" s="3064"/>
      <c r="G5058" s="3301" t="s">
        <v>679</v>
      </c>
      <c r="H5058" s="3063"/>
      <c r="I5058" s="3030"/>
    </row>
    <row r="5059" spans="2:9" ht="25.5">
      <c r="B5059" s="3192" t="s">
        <v>720</v>
      </c>
      <c r="C5059" s="3063"/>
      <c r="D5059" s="3064"/>
      <c r="E5059" s="3064"/>
      <c r="F5059" s="3064"/>
      <c r="G5059" s="3301" t="s">
        <v>720</v>
      </c>
      <c r="H5059" s="3063"/>
      <c r="I5059" s="3030"/>
    </row>
    <row r="5060" spans="2:9" ht="25.5">
      <c r="B5060" s="3299" t="s">
        <v>682</v>
      </c>
      <c r="C5060" s="3063"/>
      <c r="D5060" s="3064"/>
      <c r="E5060" s="3064"/>
      <c r="F5060" s="3064"/>
      <c r="G5060" s="3300" t="s">
        <v>682</v>
      </c>
      <c r="H5060" s="3063"/>
      <c r="I5060" s="3030"/>
    </row>
    <row r="5061" spans="2:9" ht="25.5">
      <c r="B5061" s="3192" t="s">
        <v>675</v>
      </c>
      <c r="C5061" s="3063"/>
      <c r="D5061" s="3064"/>
      <c r="E5061" s="3064"/>
      <c r="F5061" s="3064"/>
      <c r="G5061" s="3301" t="s">
        <v>675</v>
      </c>
      <c r="H5061" s="3063"/>
      <c r="I5061" s="3030"/>
    </row>
    <row r="5062" spans="2:9" ht="25.5">
      <c r="B5062" s="3192" t="s">
        <v>676</v>
      </c>
      <c r="C5062" s="3063"/>
      <c r="D5062" s="3064"/>
      <c r="E5062" s="3064"/>
      <c r="F5062" s="3064"/>
      <c r="G5062" s="3301" t="s">
        <v>676</v>
      </c>
      <c r="H5062" s="3063"/>
      <c r="I5062" s="3030"/>
    </row>
    <row r="5063" spans="2:9">
      <c r="B5063" s="3192" t="s">
        <v>677</v>
      </c>
      <c r="C5063" s="3063"/>
      <c r="D5063" s="3064"/>
      <c r="E5063" s="3064"/>
      <c r="F5063" s="3064"/>
      <c r="G5063" s="3301" t="s">
        <v>677</v>
      </c>
      <c r="H5063" s="3063"/>
      <c r="I5063" s="3030"/>
    </row>
    <row r="5064" spans="2:9">
      <c r="B5064" s="3192" t="s">
        <v>678</v>
      </c>
      <c r="C5064" s="3063"/>
      <c r="D5064" s="3064"/>
      <c r="E5064" s="3064"/>
      <c r="F5064" s="3064"/>
      <c r="G5064" s="3301" t="s">
        <v>678</v>
      </c>
      <c r="H5064" s="3063"/>
      <c r="I5064" s="3030"/>
    </row>
    <row r="5065" spans="2:9">
      <c r="B5065" s="3192" t="s">
        <v>679</v>
      </c>
      <c r="C5065" s="3063"/>
      <c r="D5065" s="3064"/>
      <c r="E5065" s="3064"/>
      <c r="F5065" s="3064"/>
      <c r="G5065" s="3301" t="s">
        <v>679</v>
      </c>
      <c r="H5065" s="3063"/>
      <c r="I5065" s="3030"/>
    </row>
    <row r="5066" spans="2:9" ht="25.5">
      <c r="B5066" s="3192" t="s">
        <v>720</v>
      </c>
      <c r="C5066" s="3063"/>
      <c r="D5066" s="3064"/>
      <c r="E5066" s="3064"/>
      <c r="F5066" s="3064"/>
      <c r="G5066" s="3301" t="s">
        <v>720</v>
      </c>
      <c r="H5066" s="3063"/>
      <c r="I5066" s="3030"/>
    </row>
    <row r="5067" spans="2:9" ht="25.5">
      <c r="B5067" s="3299" t="s">
        <v>66</v>
      </c>
      <c r="C5067" s="3063"/>
      <c r="D5067" s="3064"/>
      <c r="E5067" s="3064"/>
      <c r="F5067" s="3064"/>
      <c r="G5067" s="3300" t="s">
        <v>66</v>
      </c>
      <c r="H5067" s="3063"/>
      <c r="I5067" s="3030"/>
    </row>
    <row r="5068" spans="2:9" ht="25.5">
      <c r="B5068" s="3192" t="s">
        <v>675</v>
      </c>
      <c r="C5068" s="3063"/>
      <c r="D5068" s="3064"/>
      <c r="E5068" s="3064"/>
      <c r="F5068" s="3064"/>
      <c r="G5068" s="3301" t="s">
        <v>675</v>
      </c>
      <c r="H5068" s="3063"/>
      <c r="I5068" s="3030"/>
    </row>
    <row r="5069" spans="2:9" ht="25.5">
      <c r="B5069" s="3192" t="s">
        <v>676</v>
      </c>
      <c r="C5069" s="3063"/>
      <c r="D5069" s="3064"/>
      <c r="E5069" s="3064"/>
      <c r="F5069" s="3064"/>
      <c r="G5069" s="3301" t="s">
        <v>676</v>
      </c>
      <c r="H5069" s="3063"/>
      <c r="I5069" s="3030"/>
    </row>
    <row r="5070" spans="2:9">
      <c r="B5070" s="3192" t="s">
        <v>677</v>
      </c>
      <c r="C5070" s="3063"/>
      <c r="D5070" s="3064"/>
      <c r="E5070" s="3064"/>
      <c r="F5070" s="3064"/>
      <c r="G5070" s="3301" t="s">
        <v>677</v>
      </c>
      <c r="H5070" s="3063"/>
      <c r="I5070" s="3030"/>
    </row>
    <row r="5071" spans="2:9">
      <c r="B5071" s="3192" t="s">
        <v>678</v>
      </c>
      <c r="C5071" s="3063"/>
      <c r="D5071" s="3064"/>
      <c r="E5071" s="3064"/>
      <c r="F5071" s="3064"/>
      <c r="G5071" s="3301" t="s">
        <v>678</v>
      </c>
      <c r="H5071" s="3063"/>
      <c r="I5071" s="3030"/>
    </row>
    <row r="5072" spans="2:9">
      <c r="B5072" s="3192" t="s">
        <v>679</v>
      </c>
      <c r="C5072" s="3063"/>
      <c r="D5072" s="3064"/>
      <c r="E5072" s="3064"/>
      <c r="F5072" s="3064"/>
      <c r="G5072" s="3301" t="s">
        <v>679</v>
      </c>
      <c r="H5072" s="3063"/>
      <c r="I5072" s="3030"/>
    </row>
    <row r="5073" spans="2:9" ht="25.5">
      <c r="B5073" s="3192" t="s">
        <v>720</v>
      </c>
      <c r="C5073" s="3063"/>
      <c r="D5073" s="3064"/>
      <c r="E5073" s="3064"/>
      <c r="F5073" s="3064"/>
      <c r="G5073" s="3301" t="s">
        <v>720</v>
      </c>
      <c r="H5073" s="3063"/>
      <c r="I5073" s="3030"/>
    </row>
    <row r="5074" spans="2:9">
      <c r="B5074" s="3299" t="s">
        <v>67</v>
      </c>
      <c r="C5074" s="3063"/>
      <c r="D5074" s="3064"/>
      <c r="E5074" s="3064"/>
      <c r="F5074" s="3064">
        <v>10</v>
      </c>
      <c r="G5074" s="3300" t="s">
        <v>67</v>
      </c>
      <c r="H5074" s="3063">
        <v>0.69369760417697002</v>
      </c>
      <c r="I5074" s="3030"/>
    </row>
    <row r="5075" spans="2:9" ht="25.5">
      <c r="B5075" s="3192" t="s">
        <v>675</v>
      </c>
      <c r="C5075" s="3063">
        <v>2</v>
      </c>
      <c r="D5075" s="3064"/>
      <c r="E5075" s="3064"/>
      <c r="F5075" s="3064"/>
      <c r="G5075" s="3301" t="s">
        <v>675</v>
      </c>
      <c r="H5075" s="3063"/>
      <c r="I5075" s="3063">
        <v>0.32016812500475544</v>
      </c>
    </row>
    <row r="5076" spans="2:9" ht="25.5">
      <c r="B5076" s="3192" t="s">
        <v>676</v>
      </c>
      <c r="C5076" s="3063"/>
      <c r="D5076" s="3064"/>
      <c r="E5076" s="3064"/>
      <c r="F5076" s="3064"/>
      <c r="G5076" s="3301" t="s">
        <v>676</v>
      </c>
      <c r="H5076" s="3063"/>
      <c r="I5076" s="3030"/>
    </row>
    <row r="5077" spans="2:9">
      <c r="B5077" s="3192" t="s">
        <v>677</v>
      </c>
      <c r="C5077" s="3063"/>
      <c r="D5077" s="3064"/>
      <c r="E5077" s="3064"/>
      <c r="F5077" s="3064"/>
      <c r="G5077" s="3301" t="s">
        <v>677</v>
      </c>
      <c r="H5077" s="3063"/>
      <c r="I5077" s="3030"/>
    </row>
    <row r="5078" spans="2:9">
      <c r="B5078" s="3192" t="s">
        <v>678</v>
      </c>
      <c r="C5078" s="3063">
        <v>1</v>
      </c>
      <c r="D5078" s="3064"/>
      <c r="E5078" s="3064"/>
      <c r="F5078" s="3064"/>
      <c r="G5078" s="3301" t="s">
        <v>678</v>
      </c>
      <c r="H5078" s="3063"/>
      <c r="I5078" s="3030"/>
    </row>
    <row r="5079" spans="2:9">
      <c r="B5079" s="3192" t="s">
        <v>679</v>
      </c>
      <c r="C5079" s="3063"/>
      <c r="D5079" s="3064"/>
      <c r="E5079" s="3064"/>
      <c r="F5079" s="3064"/>
      <c r="G5079" s="3301" t="s">
        <v>679</v>
      </c>
      <c r="H5079" s="3063"/>
      <c r="I5079" s="3030"/>
    </row>
    <row r="5080" spans="2:9" ht="25.5">
      <c r="B5080" s="3230" t="s">
        <v>81</v>
      </c>
      <c r="C5080" s="3063"/>
      <c r="D5080" s="3064"/>
      <c r="E5080" s="3064"/>
      <c r="F5080" s="3064"/>
      <c r="G5080" s="3302" t="s">
        <v>81</v>
      </c>
      <c r="H5080" s="3063"/>
      <c r="I5080" s="3030"/>
    </row>
    <row r="5081" spans="2:9" ht="26.25" thickBot="1">
      <c r="B5081" s="3303" t="s">
        <v>81</v>
      </c>
      <c r="C5081" s="3068"/>
      <c r="D5081" s="3069"/>
      <c r="E5081" s="3069"/>
      <c r="F5081" s="3069"/>
      <c r="G5081" s="3304" t="s">
        <v>81</v>
      </c>
      <c r="H5081" s="3068"/>
      <c r="I5081" s="3070"/>
    </row>
    <row r="5082" spans="2:9" ht="38.25">
      <c r="B5082" s="4723">
        <v>3032</v>
      </c>
      <c r="C5082" s="3289"/>
      <c r="D5082" s="3290"/>
      <c r="E5082" s="3290"/>
      <c r="F5082" s="3290"/>
      <c r="G5082" s="4723">
        <v>3032</v>
      </c>
      <c r="H5082" s="3291" t="s">
        <v>687</v>
      </c>
      <c r="I5082" s="3292" t="s">
        <v>688</v>
      </c>
    </row>
    <row r="5083" spans="2:9">
      <c r="B5083" s="4724"/>
      <c r="C5083" s="4678" t="s">
        <v>686</v>
      </c>
      <c r="D5083" s="4725"/>
      <c r="E5083" s="4725"/>
      <c r="F5083" s="4726"/>
      <c r="G5083" s="4724"/>
      <c r="H5083" s="3293"/>
      <c r="I5083" s="3294"/>
    </row>
    <row r="5084" spans="2:9" ht="13.5" thickBot="1">
      <c r="B5084" s="4724"/>
      <c r="C5084" s="3215">
        <v>2013</v>
      </c>
      <c r="D5084" s="3215">
        <v>2014</v>
      </c>
      <c r="E5084" s="3215">
        <v>2015</v>
      </c>
      <c r="F5084" s="3215">
        <v>2016</v>
      </c>
      <c r="G5084" s="4724"/>
      <c r="H5084" s="3295" t="s">
        <v>390</v>
      </c>
      <c r="I5084" s="3296" t="s">
        <v>390</v>
      </c>
    </row>
    <row r="5085" spans="2:9">
      <c r="B5085" s="3217" t="s">
        <v>695</v>
      </c>
      <c r="C5085" s="3218"/>
      <c r="D5085" s="3219"/>
      <c r="E5085" s="3219"/>
      <c r="F5085" s="3219"/>
      <c r="G5085" s="3217" t="s">
        <v>695</v>
      </c>
      <c r="H5085" s="3297"/>
      <c r="I5085" s="3298"/>
    </row>
    <row r="5086" spans="2:9">
      <c r="B5086" s="3299" t="s">
        <v>64</v>
      </c>
      <c r="C5086" s="3063"/>
      <c r="D5086" s="3064"/>
      <c r="E5086" s="3064"/>
      <c r="F5086" s="3064">
        <v>15</v>
      </c>
      <c r="G5086" s="3300" t="s">
        <v>64</v>
      </c>
      <c r="H5086" s="3063">
        <v>0.99524212155537395</v>
      </c>
      <c r="I5086" s="3030"/>
    </row>
    <row r="5087" spans="2:9" ht="25.5">
      <c r="B5087" s="3192" t="s">
        <v>675</v>
      </c>
      <c r="C5087" s="3063">
        <v>5</v>
      </c>
      <c r="D5087" s="3064">
        <v>4</v>
      </c>
      <c r="E5087" s="3064"/>
      <c r="F5087" s="3064"/>
      <c r="G5087" s="3301" t="s">
        <v>675</v>
      </c>
      <c r="H5087" s="3063"/>
      <c r="I5087" s="3030">
        <v>0.46651974447908157</v>
      </c>
    </row>
    <row r="5088" spans="2:9" ht="25.5">
      <c r="B5088" s="3192" t="s">
        <v>676</v>
      </c>
      <c r="C5088" s="3063"/>
      <c r="D5088" s="3064"/>
      <c r="E5088" s="3064"/>
      <c r="F5088" s="3064"/>
      <c r="G5088" s="3301" t="s">
        <v>676</v>
      </c>
      <c r="H5088" s="3063"/>
      <c r="I5088" s="3030"/>
    </row>
    <row r="5089" spans="2:9">
      <c r="B5089" s="3192" t="s">
        <v>677</v>
      </c>
      <c r="C5089" s="3063"/>
      <c r="D5089" s="3064"/>
      <c r="E5089" s="3064"/>
      <c r="F5089" s="3064"/>
      <c r="G5089" s="3301" t="s">
        <v>677</v>
      </c>
      <c r="H5089" s="3063"/>
      <c r="I5089" s="3030"/>
    </row>
    <row r="5090" spans="2:9">
      <c r="B5090" s="3192" t="s">
        <v>678</v>
      </c>
      <c r="C5090" s="3063">
        <v>14</v>
      </c>
      <c r="D5090" s="3064">
        <v>10</v>
      </c>
      <c r="E5090" s="3064"/>
      <c r="F5090" s="3064"/>
      <c r="G5090" s="3301" t="s">
        <v>678</v>
      </c>
      <c r="H5090" s="3063"/>
      <c r="I5090" s="3030"/>
    </row>
    <row r="5091" spans="2:9">
      <c r="B5091" s="3192" t="s">
        <v>679</v>
      </c>
      <c r="C5091" s="3063"/>
      <c r="D5091" s="3064"/>
      <c r="E5091" s="3064"/>
      <c r="F5091" s="3064"/>
      <c r="G5091" s="3301" t="s">
        <v>679</v>
      </c>
      <c r="H5091" s="3063"/>
      <c r="I5091" s="3030"/>
    </row>
    <row r="5092" spans="2:9" ht="25.5">
      <c r="B5092" s="3192" t="s">
        <v>720</v>
      </c>
      <c r="C5092" s="3063"/>
      <c r="D5092" s="3064"/>
      <c r="E5092" s="3064"/>
      <c r="F5092" s="3064"/>
      <c r="G5092" s="3301" t="s">
        <v>720</v>
      </c>
      <c r="H5092" s="3063"/>
      <c r="I5092" s="3030"/>
    </row>
    <row r="5093" spans="2:9">
      <c r="B5093" s="3299" t="s">
        <v>65</v>
      </c>
      <c r="C5093" s="3063"/>
      <c r="D5093" s="3064"/>
      <c r="E5093" s="3064"/>
      <c r="F5093" s="3064">
        <v>2</v>
      </c>
      <c r="G5093" s="3300" t="s">
        <v>65</v>
      </c>
      <c r="H5093" s="3063">
        <v>0.14483472738560418</v>
      </c>
      <c r="I5093" s="3030"/>
    </row>
    <row r="5094" spans="2:9" ht="25.5">
      <c r="B5094" s="3192" t="s">
        <v>675</v>
      </c>
      <c r="C5094" s="3063">
        <v>1</v>
      </c>
      <c r="D5094" s="3064"/>
      <c r="E5094" s="3064"/>
      <c r="F5094" s="3064"/>
      <c r="G5094" s="3301" t="s">
        <v>675</v>
      </c>
      <c r="H5094" s="3063"/>
      <c r="I5094" s="3030">
        <v>0.10862604553920314</v>
      </c>
    </row>
    <row r="5095" spans="2:9" ht="25.5">
      <c r="B5095" s="3192" t="s">
        <v>676</v>
      </c>
      <c r="C5095" s="3063"/>
      <c r="D5095" s="3064"/>
      <c r="E5095" s="3064"/>
      <c r="F5095" s="3064"/>
      <c r="G5095" s="3301" t="s">
        <v>676</v>
      </c>
      <c r="H5095" s="3063"/>
      <c r="I5095" s="3030"/>
    </row>
    <row r="5096" spans="2:9">
      <c r="B5096" s="3192" t="s">
        <v>677</v>
      </c>
      <c r="C5096" s="3063"/>
      <c r="D5096" s="3064"/>
      <c r="E5096" s="3064"/>
      <c r="F5096" s="3064"/>
      <c r="G5096" s="3301" t="s">
        <v>677</v>
      </c>
      <c r="H5096" s="3063"/>
      <c r="I5096" s="3030"/>
    </row>
    <row r="5097" spans="2:9">
      <c r="B5097" s="3192" t="s">
        <v>678</v>
      </c>
      <c r="C5097" s="3063"/>
      <c r="D5097" s="3064">
        <v>1</v>
      </c>
      <c r="E5097" s="3064"/>
      <c r="F5097" s="3064"/>
      <c r="G5097" s="3301" t="s">
        <v>678</v>
      </c>
      <c r="H5097" s="3063"/>
      <c r="I5097" s="3030"/>
    </row>
    <row r="5098" spans="2:9">
      <c r="B5098" s="3192" t="s">
        <v>679</v>
      </c>
      <c r="C5098" s="3063"/>
      <c r="D5098" s="3064"/>
      <c r="E5098" s="3064"/>
      <c r="F5098" s="3064"/>
      <c r="G5098" s="3301" t="s">
        <v>679</v>
      </c>
      <c r="H5098" s="3063"/>
      <c r="I5098" s="3030"/>
    </row>
    <row r="5099" spans="2:9" ht="25.5">
      <c r="B5099" s="3192" t="s">
        <v>720</v>
      </c>
      <c r="C5099" s="3063"/>
      <c r="D5099" s="3064"/>
      <c r="E5099" s="3064"/>
      <c r="F5099" s="3064"/>
      <c r="G5099" s="3301" t="s">
        <v>720</v>
      </c>
      <c r="H5099" s="3063"/>
      <c r="I5099" s="3030"/>
    </row>
    <row r="5100" spans="2:9">
      <c r="B5100" s="3299" t="s">
        <v>82</v>
      </c>
      <c r="C5100" s="3063"/>
      <c r="D5100" s="3064"/>
      <c r="E5100" s="3064"/>
      <c r="F5100" s="3064"/>
      <c r="G5100" s="3300" t="s">
        <v>82</v>
      </c>
      <c r="H5100" s="3063"/>
      <c r="I5100" s="3030"/>
    </row>
    <row r="5101" spans="2:9" ht="25.5">
      <c r="B5101" s="3192" t="s">
        <v>675</v>
      </c>
      <c r="C5101" s="3063"/>
      <c r="D5101" s="3064"/>
      <c r="E5101" s="3064"/>
      <c r="F5101" s="3064"/>
      <c r="G5101" s="3301" t="s">
        <v>675</v>
      </c>
      <c r="H5101" s="3063"/>
      <c r="I5101" s="3030"/>
    </row>
    <row r="5102" spans="2:9" ht="25.5">
      <c r="B5102" s="3192" t="s">
        <v>676</v>
      </c>
      <c r="C5102" s="3063"/>
      <c r="D5102" s="3064"/>
      <c r="E5102" s="3064"/>
      <c r="F5102" s="3064"/>
      <c r="G5102" s="3301" t="s">
        <v>676</v>
      </c>
      <c r="H5102" s="3063"/>
      <c r="I5102" s="3030"/>
    </row>
    <row r="5103" spans="2:9">
      <c r="B5103" s="3192" t="s">
        <v>677</v>
      </c>
      <c r="C5103" s="3063"/>
      <c r="D5103" s="3064"/>
      <c r="E5103" s="3064"/>
      <c r="F5103" s="3064"/>
      <c r="G5103" s="3301" t="s">
        <v>677</v>
      </c>
      <c r="H5103" s="3063"/>
      <c r="I5103" s="3030"/>
    </row>
    <row r="5104" spans="2:9">
      <c r="B5104" s="3192" t="s">
        <v>678</v>
      </c>
      <c r="C5104" s="3063"/>
      <c r="D5104" s="3064"/>
      <c r="E5104" s="3064"/>
      <c r="F5104" s="3064"/>
      <c r="G5104" s="3301" t="s">
        <v>678</v>
      </c>
      <c r="H5104" s="3063"/>
      <c r="I5104" s="3030"/>
    </row>
    <row r="5105" spans="2:9">
      <c r="B5105" s="3192" t="s">
        <v>679</v>
      </c>
      <c r="C5105" s="3063"/>
      <c r="D5105" s="3064"/>
      <c r="E5105" s="3064"/>
      <c r="F5105" s="3064"/>
      <c r="G5105" s="3301" t="s">
        <v>679</v>
      </c>
      <c r="H5105" s="3063"/>
      <c r="I5105" s="3030"/>
    </row>
    <row r="5106" spans="2:9" ht="25.5">
      <c r="B5106" s="3192" t="s">
        <v>720</v>
      </c>
      <c r="C5106" s="3063"/>
      <c r="D5106" s="3064"/>
      <c r="E5106" s="3064"/>
      <c r="F5106" s="3064"/>
      <c r="G5106" s="3301" t="s">
        <v>720</v>
      </c>
      <c r="H5106" s="3063"/>
      <c r="I5106" s="3030"/>
    </row>
    <row r="5107" spans="2:9" ht="38.25">
      <c r="B5107" s="3299" t="s">
        <v>680</v>
      </c>
      <c r="C5107" s="3063"/>
      <c r="D5107" s="3064"/>
      <c r="E5107" s="3064"/>
      <c r="F5107" s="3064"/>
      <c r="G5107" s="3300" t="s">
        <v>680</v>
      </c>
      <c r="H5107" s="3063"/>
      <c r="I5107" s="3030"/>
    </row>
    <row r="5108" spans="2:9" ht="25.5">
      <c r="B5108" s="3192" t="s">
        <v>675</v>
      </c>
      <c r="C5108" s="3063"/>
      <c r="D5108" s="3064"/>
      <c r="E5108" s="3064"/>
      <c r="F5108" s="3064"/>
      <c r="G5108" s="3301" t="s">
        <v>675</v>
      </c>
      <c r="H5108" s="3063"/>
      <c r="I5108" s="3030"/>
    </row>
    <row r="5109" spans="2:9" ht="25.5">
      <c r="B5109" s="3192" t="s">
        <v>676</v>
      </c>
      <c r="C5109" s="3063"/>
      <c r="D5109" s="3064"/>
      <c r="E5109" s="3064"/>
      <c r="F5109" s="3064"/>
      <c r="G5109" s="3301" t="s">
        <v>676</v>
      </c>
      <c r="H5109" s="3063"/>
      <c r="I5109" s="3030"/>
    </row>
    <row r="5110" spans="2:9">
      <c r="B5110" s="3192" t="s">
        <v>677</v>
      </c>
      <c r="C5110" s="3063"/>
      <c r="D5110" s="3064"/>
      <c r="E5110" s="3064"/>
      <c r="F5110" s="3064"/>
      <c r="G5110" s="3301" t="s">
        <v>677</v>
      </c>
      <c r="H5110" s="3063"/>
      <c r="I5110" s="3030"/>
    </row>
    <row r="5111" spans="2:9">
      <c r="B5111" s="3192" t="s">
        <v>678</v>
      </c>
      <c r="C5111" s="3063"/>
      <c r="D5111" s="3064"/>
      <c r="E5111" s="3064"/>
      <c r="F5111" s="3064"/>
      <c r="G5111" s="3301" t="s">
        <v>678</v>
      </c>
      <c r="H5111" s="3063"/>
      <c r="I5111" s="3030"/>
    </row>
    <row r="5112" spans="2:9">
      <c r="B5112" s="3192" t="s">
        <v>679</v>
      </c>
      <c r="C5112" s="3063"/>
      <c r="D5112" s="3064"/>
      <c r="E5112" s="3064"/>
      <c r="F5112" s="3064"/>
      <c r="G5112" s="3301" t="s">
        <v>679</v>
      </c>
      <c r="H5112" s="3063"/>
      <c r="I5112" s="3030"/>
    </row>
    <row r="5113" spans="2:9" ht="25.5">
      <c r="B5113" s="3192" t="s">
        <v>720</v>
      </c>
      <c r="C5113" s="3063"/>
      <c r="D5113" s="3064"/>
      <c r="E5113" s="3064"/>
      <c r="F5113" s="3064"/>
      <c r="G5113" s="3301" t="s">
        <v>720</v>
      </c>
      <c r="H5113" s="3063"/>
      <c r="I5113" s="3030"/>
    </row>
    <row r="5114" spans="2:9" ht="38.25">
      <c r="B5114" s="3299" t="s">
        <v>681</v>
      </c>
      <c r="C5114" s="3063"/>
      <c r="D5114" s="3064"/>
      <c r="E5114" s="3064"/>
      <c r="F5114" s="3064"/>
      <c r="G5114" s="3300" t="s">
        <v>681</v>
      </c>
      <c r="H5114" s="3063"/>
      <c r="I5114" s="3030"/>
    </row>
    <row r="5115" spans="2:9" ht="25.5">
      <c r="B5115" s="3192" t="s">
        <v>675</v>
      </c>
      <c r="C5115" s="3063"/>
      <c r="D5115" s="3064"/>
      <c r="E5115" s="3064"/>
      <c r="F5115" s="3064"/>
      <c r="G5115" s="3301" t="s">
        <v>675</v>
      </c>
      <c r="H5115" s="3063"/>
      <c r="I5115" s="3030"/>
    </row>
    <row r="5116" spans="2:9" ht="25.5">
      <c r="B5116" s="3192" t="s">
        <v>676</v>
      </c>
      <c r="C5116" s="3063"/>
      <c r="D5116" s="3064"/>
      <c r="E5116" s="3064"/>
      <c r="F5116" s="3064"/>
      <c r="G5116" s="3301" t="s">
        <v>676</v>
      </c>
      <c r="H5116" s="3063"/>
      <c r="I5116" s="3030"/>
    </row>
    <row r="5117" spans="2:9">
      <c r="B5117" s="3192" t="s">
        <v>677</v>
      </c>
      <c r="C5117" s="3063"/>
      <c r="D5117" s="3064"/>
      <c r="E5117" s="3064"/>
      <c r="F5117" s="3064"/>
      <c r="G5117" s="3301" t="s">
        <v>677</v>
      </c>
      <c r="H5117" s="3063"/>
      <c r="I5117" s="3030"/>
    </row>
    <row r="5118" spans="2:9">
      <c r="B5118" s="3192" t="s">
        <v>678</v>
      </c>
      <c r="C5118" s="3063"/>
      <c r="D5118" s="3064"/>
      <c r="E5118" s="3064"/>
      <c r="F5118" s="3064"/>
      <c r="G5118" s="3301" t="s">
        <v>678</v>
      </c>
      <c r="H5118" s="3063"/>
      <c r="I5118" s="3030"/>
    </row>
    <row r="5119" spans="2:9">
      <c r="B5119" s="3192" t="s">
        <v>679</v>
      </c>
      <c r="C5119" s="3063"/>
      <c r="D5119" s="3064"/>
      <c r="E5119" s="3064"/>
      <c r="F5119" s="3064"/>
      <c r="G5119" s="3301" t="s">
        <v>679</v>
      </c>
      <c r="H5119" s="3063"/>
      <c r="I5119" s="3030"/>
    </row>
    <row r="5120" spans="2:9" ht="25.5">
      <c r="B5120" s="3192" t="s">
        <v>720</v>
      </c>
      <c r="C5120" s="3063"/>
      <c r="D5120" s="3064"/>
      <c r="E5120" s="3064"/>
      <c r="F5120" s="3064"/>
      <c r="G5120" s="3301" t="s">
        <v>720</v>
      </c>
      <c r="H5120" s="3063"/>
      <c r="I5120" s="3030"/>
    </row>
    <row r="5121" spans="2:9" ht="25.5">
      <c r="B5121" s="3299" t="s">
        <v>682</v>
      </c>
      <c r="C5121" s="3063"/>
      <c r="D5121" s="3064"/>
      <c r="E5121" s="3064"/>
      <c r="F5121" s="3064"/>
      <c r="G5121" s="3300" t="s">
        <v>682</v>
      </c>
      <c r="H5121" s="3063"/>
      <c r="I5121" s="3030"/>
    </row>
    <row r="5122" spans="2:9" ht="25.5">
      <c r="B5122" s="3192" t="s">
        <v>675</v>
      </c>
      <c r="C5122" s="3063"/>
      <c r="D5122" s="3064"/>
      <c r="E5122" s="3064"/>
      <c r="F5122" s="3064"/>
      <c r="G5122" s="3301" t="s">
        <v>675</v>
      </c>
      <c r="H5122" s="3063"/>
      <c r="I5122" s="3030"/>
    </row>
    <row r="5123" spans="2:9" ht="25.5">
      <c r="B5123" s="3192" t="s">
        <v>676</v>
      </c>
      <c r="C5123" s="3063"/>
      <c r="D5123" s="3064"/>
      <c r="E5123" s="3064"/>
      <c r="F5123" s="3064"/>
      <c r="G5123" s="3301" t="s">
        <v>676</v>
      </c>
      <c r="H5123" s="3063"/>
      <c r="I5123" s="3030"/>
    </row>
    <row r="5124" spans="2:9">
      <c r="B5124" s="3192" t="s">
        <v>677</v>
      </c>
      <c r="C5124" s="3063"/>
      <c r="D5124" s="3064"/>
      <c r="E5124" s="3064"/>
      <c r="F5124" s="3064"/>
      <c r="G5124" s="3301" t="s">
        <v>677</v>
      </c>
      <c r="H5124" s="3063"/>
      <c r="I5124" s="3030"/>
    </row>
    <row r="5125" spans="2:9">
      <c r="B5125" s="3192" t="s">
        <v>678</v>
      </c>
      <c r="C5125" s="3063"/>
      <c r="D5125" s="3064"/>
      <c r="E5125" s="3064"/>
      <c r="F5125" s="3064"/>
      <c r="G5125" s="3301" t="s">
        <v>678</v>
      </c>
      <c r="H5125" s="3063"/>
      <c r="I5125" s="3030"/>
    </row>
    <row r="5126" spans="2:9">
      <c r="B5126" s="3192" t="s">
        <v>679</v>
      </c>
      <c r="C5126" s="3063"/>
      <c r="D5126" s="3064"/>
      <c r="E5126" s="3064"/>
      <c r="F5126" s="3064"/>
      <c r="G5126" s="3301" t="s">
        <v>679</v>
      </c>
      <c r="H5126" s="3063"/>
      <c r="I5126" s="3030"/>
    </row>
    <row r="5127" spans="2:9" ht="25.5">
      <c r="B5127" s="3192" t="s">
        <v>720</v>
      </c>
      <c r="C5127" s="3063"/>
      <c r="D5127" s="3064"/>
      <c r="E5127" s="3064"/>
      <c r="F5127" s="3064"/>
      <c r="G5127" s="3301" t="s">
        <v>720</v>
      </c>
      <c r="H5127" s="3063"/>
      <c r="I5127" s="3030"/>
    </row>
    <row r="5128" spans="2:9" ht="25.5">
      <c r="B5128" s="3299" t="s">
        <v>66</v>
      </c>
      <c r="C5128" s="3063"/>
      <c r="D5128" s="3064"/>
      <c r="E5128" s="3064"/>
      <c r="F5128" s="3064">
        <v>3</v>
      </c>
      <c r="G5128" s="3300" t="s">
        <v>66</v>
      </c>
      <c r="H5128" s="3063">
        <v>2.0064860592518103</v>
      </c>
      <c r="I5128" s="3030"/>
    </row>
    <row r="5129" spans="2:9" ht="25.5">
      <c r="B5129" s="3192" t="s">
        <v>675</v>
      </c>
      <c r="C5129" s="3063"/>
      <c r="D5129" s="3064"/>
      <c r="E5129" s="3064"/>
      <c r="F5129" s="3064"/>
      <c r="G5129" s="3301" t="s">
        <v>675</v>
      </c>
      <c r="H5129" s="3063"/>
      <c r="I5129" s="3030"/>
    </row>
    <row r="5130" spans="2:9" ht="25.5">
      <c r="B5130" s="3192" t="s">
        <v>676</v>
      </c>
      <c r="C5130" s="3063"/>
      <c r="D5130" s="3064"/>
      <c r="E5130" s="3064"/>
      <c r="F5130" s="3064"/>
      <c r="G5130" s="3301" t="s">
        <v>676</v>
      </c>
      <c r="H5130" s="3063"/>
      <c r="I5130" s="3030"/>
    </row>
    <row r="5131" spans="2:9">
      <c r="B5131" s="3192" t="s">
        <v>677</v>
      </c>
      <c r="C5131" s="3063"/>
      <c r="D5131" s="3064"/>
      <c r="E5131" s="3064"/>
      <c r="F5131" s="3064"/>
      <c r="G5131" s="3301" t="s">
        <v>677</v>
      </c>
      <c r="H5131" s="3063"/>
      <c r="I5131" s="3030"/>
    </row>
    <row r="5132" spans="2:9">
      <c r="B5132" s="3192" t="s">
        <v>678</v>
      </c>
      <c r="C5132" s="3063"/>
      <c r="D5132" s="3064"/>
      <c r="E5132" s="3064"/>
      <c r="F5132" s="3064"/>
      <c r="G5132" s="3301" t="s">
        <v>678</v>
      </c>
      <c r="H5132" s="3063"/>
      <c r="I5132" s="3030"/>
    </row>
    <row r="5133" spans="2:9">
      <c r="B5133" s="3192" t="s">
        <v>679</v>
      </c>
      <c r="C5133" s="3063"/>
      <c r="D5133" s="3064"/>
      <c r="E5133" s="3064"/>
      <c r="F5133" s="3064"/>
      <c r="G5133" s="3301" t="s">
        <v>679</v>
      </c>
      <c r="H5133" s="3063"/>
      <c r="I5133" s="3030"/>
    </row>
    <row r="5134" spans="2:9" ht="25.5">
      <c r="B5134" s="3192" t="s">
        <v>720</v>
      </c>
      <c r="C5134" s="3063"/>
      <c r="D5134" s="3064"/>
      <c r="E5134" s="3064"/>
      <c r="F5134" s="3064"/>
      <c r="G5134" s="3301" t="s">
        <v>720</v>
      </c>
      <c r="H5134" s="3063"/>
      <c r="I5134" s="3030"/>
    </row>
    <row r="5135" spans="2:9">
      <c r="B5135" s="3299" t="s">
        <v>67</v>
      </c>
      <c r="C5135" s="3063"/>
      <c r="D5135" s="3064"/>
      <c r="E5135" s="3064"/>
      <c r="F5135" s="3064"/>
      <c r="G5135" s="3300" t="s">
        <v>67</v>
      </c>
      <c r="H5135" s="3063"/>
      <c r="I5135" s="3030"/>
    </row>
    <row r="5136" spans="2:9" ht="25.5">
      <c r="B5136" s="3192" t="s">
        <v>675</v>
      </c>
      <c r="C5136" s="3063"/>
      <c r="D5136" s="3064"/>
      <c r="E5136" s="3064"/>
      <c r="F5136" s="3064"/>
      <c r="G5136" s="3301" t="s">
        <v>675</v>
      </c>
      <c r="H5136" s="3063"/>
      <c r="I5136" s="3030"/>
    </row>
    <row r="5137" spans="2:9" ht="25.5">
      <c r="B5137" s="3192" t="s">
        <v>676</v>
      </c>
      <c r="C5137" s="3063"/>
      <c r="D5137" s="3064"/>
      <c r="E5137" s="3064"/>
      <c r="F5137" s="3064"/>
      <c r="G5137" s="3301" t="s">
        <v>676</v>
      </c>
      <c r="H5137" s="3063"/>
      <c r="I5137" s="3030"/>
    </row>
    <row r="5138" spans="2:9">
      <c r="B5138" s="3192" t="s">
        <v>677</v>
      </c>
      <c r="C5138" s="3063"/>
      <c r="D5138" s="3064"/>
      <c r="E5138" s="3064"/>
      <c r="F5138" s="3064"/>
      <c r="G5138" s="3301" t="s">
        <v>677</v>
      </c>
      <c r="H5138" s="3063"/>
      <c r="I5138" s="3030"/>
    </row>
    <row r="5139" spans="2:9">
      <c r="B5139" s="3192" t="s">
        <v>678</v>
      </c>
      <c r="C5139" s="3063"/>
      <c r="D5139" s="3064"/>
      <c r="E5139" s="3064"/>
      <c r="F5139" s="3064"/>
      <c r="G5139" s="3301" t="s">
        <v>678</v>
      </c>
      <c r="H5139" s="3063"/>
      <c r="I5139" s="3030"/>
    </row>
    <row r="5140" spans="2:9">
      <c r="B5140" s="3192" t="s">
        <v>679</v>
      </c>
      <c r="C5140" s="3063"/>
      <c r="D5140" s="3064"/>
      <c r="E5140" s="3064"/>
      <c r="F5140" s="3064"/>
      <c r="G5140" s="3301" t="s">
        <v>679</v>
      </c>
      <c r="H5140" s="3063"/>
      <c r="I5140" s="3030"/>
    </row>
    <row r="5141" spans="2:9" ht="25.5">
      <c r="B5141" s="3192" t="s">
        <v>720</v>
      </c>
      <c r="C5141" s="3063"/>
      <c r="D5141" s="3064"/>
      <c r="E5141" s="3064"/>
      <c r="F5141" s="3064"/>
      <c r="G5141" s="3301" t="s">
        <v>720</v>
      </c>
      <c r="H5141" s="3063"/>
      <c r="I5141" s="3030"/>
    </row>
    <row r="5142" spans="2:9" ht="25.5">
      <c r="B5142" s="3230" t="s">
        <v>81</v>
      </c>
      <c r="C5142" s="3063"/>
      <c r="D5142" s="3064"/>
      <c r="E5142" s="3064"/>
      <c r="F5142" s="3064"/>
      <c r="G5142" s="3302" t="s">
        <v>81</v>
      </c>
      <c r="H5142" s="3063"/>
      <c r="I5142" s="3030"/>
    </row>
    <row r="5143" spans="2:9" ht="26.25" thickBot="1">
      <c r="B5143" s="3303" t="s">
        <v>81</v>
      </c>
      <c r="C5143" s="3063"/>
      <c r="D5143" s="3064"/>
      <c r="E5143" s="3064"/>
      <c r="F5143" s="3064"/>
      <c r="G5143" s="3302" t="s">
        <v>81</v>
      </c>
      <c r="H5143" s="3063"/>
      <c r="I5143" s="3030"/>
    </row>
    <row r="5144" spans="2:9" ht="25.5">
      <c r="B5144" s="3217" t="s">
        <v>696</v>
      </c>
      <c r="C5144" s="3218"/>
      <c r="D5144" s="3219"/>
      <c r="E5144" s="3219"/>
      <c r="F5144" s="3219"/>
      <c r="G5144" s="3217" t="s">
        <v>696</v>
      </c>
      <c r="H5144" s="3297"/>
      <c r="I5144" s="3298"/>
    </row>
    <row r="5145" spans="2:9">
      <c r="B5145" s="3299" t="s">
        <v>64</v>
      </c>
      <c r="C5145" s="3063"/>
      <c r="D5145" s="3064"/>
      <c r="E5145" s="3064"/>
      <c r="F5145" s="3064"/>
      <c r="G5145" s="3300" t="s">
        <v>64</v>
      </c>
      <c r="H5145" s="3063"/>
      <c r="I5145" s="3030"/>
    </row>
    <row r="5146" spans="2:9" ht="25.5">
      <c r="B5146" s="3192" t="s">
        <v>675</v>
      </c>
      <c r="C5146" s="3063"/>
      <c r="D5146" s="3064"/>
      <c r="E5146" s="3064"/>
      <c r="F5146" s="3064"/>
      <c r="G5146" s="3301" t="s">
        <v>675</v>
      </c>
      <c r="H5146" s="3063"/>
      <c r="I5146" s="3030"/>
    </row>
    <row r="5147" spans="2:9" ht="25.5">
      <c r="B5147" s="3192" t="s">
        <v>676</v>
      </c>
      <c r="C5147" s="3063"/>
      <c r="D5147" s="3064"/>
      <c r="E5147" s="3064"/>
      <c r="F5147" s="3064"/>
      <c r="G5147" s="3301" t="s">
        <v>676</v>
      </c>
      <c r="H5147" s="3063"/>
      <c r="I5147" s="3030"/>
    </row>
    <row r="5148" spans="2:9">
      <c r="B5148" s="3192" t="s">
        <v>677</v>
      </c>
      <c r="C5148" s="3063"/>
      <c r="D5148" s="3064"/>
      <c r="E5148" s="3064"/>
      <c r="F5148" s="3064"/>
      <c r="G5148" s="3301" t="s">
        <v>677</v>
      </c>
      <c r="H5148" s="3063"/>
      <c r="I5148" s="3030"/>
    </row>
    <row r="5149" spans="2:9">
      <c r="B5149" s="3192" t="s">
        <v>678</v>
      </c>
      <c r="C5149" s="3063"/>
      <c r="D5149" s="3064"/>
      <c r="E5149" s="3064"/>
      <c r="F5149" s="3064"/>
      <c r="G5149" s="3301" t="s">
        <v>678</v>
      </c>
      <c r="H5149" s="3063"/>
      <c r="I5149" s="3030"/>
    </row>
    <row r="5150" spans="2:9">
      <c r="B5150" s="3192" t="s">
        <v>679</v>
      </c>
      <c r="C5150" s="3063"/>
      <c r="D5150" s="3064"/>
      <c r="E5150" s="3064"/>
      <c r="F5150" s="3064"/>
      <c r="G5150" s="3301" t="s">
        <v>679</v>
      </c>
      <c r="H5150" s="3063"/>
      <c r="I5150" s="3030"/>
    </row>
    <row r="5151" spans="2:9" ht="25.5">
      <c r="B5151" s="3192" t="s">
        <v>720</v>
      </c>
      <c r="C5151" s="3063"/>
      <c r="D5151" s="3064"/>
      <c r="E5151" s="3064"/>
      <c r="F5151" s="3064"/>
      <c r="G5151" s="3301" t="s">
        <v>720</v>
      </c>
      <c r="H5151" s="3063"/>
      <c r="I5151" s="3030"/>
    </row>
    <row r="5152" spans="2:9">
      <c r="B5152" s="3299" t="s">
        <v>65</v>
      </c>
      <c r="C5152" s="3063"/>
      <c r="D5152" s="3064"/>
      <c r="E5152" s="3064"/>
      <c r="F5152" s="3064"/>
      <c r="G5152" s="3300" t="s">
        <v>65</v>
      </c>
      <c r="H5152" s="3063"/>
      <c r="I5152" s="3030"/>
    </row>
    <row r="5153" spans="2:9" ht="25.5">
      <c r="B5153" s="3192" t="s">
        <v>675</v>
      </c>
      <c r="C5153" s="3063"/>
      <c r="D5153" s="3064"/>
      <c r="E5153" s="3064"/>
      <c r="F5153" s="3064"/>
      <c r="G5153" s="3301" t="s">
        <v>675</v>
      </c>
      <c r="H5153" s="3063"/>
      <c r="I5153" s="3030"/>
    </row>
    <row r="5154" spans="2:9" ht="25.5">
      <c r="B5154" s="3192" t="s">
        <v>676</v>
      </c>
      <c r="C5154" s="3063"/>
      <c r="D5154" s="3064"/>
      <c r="E5154" s="3064"/>
      <c r="F5154" s="3064"/>
      <c r="G5154" s="3301" t="s">
        <v>676</v>
      </c>
      <c r="H5154" s="3063"/>
      <c r="I5154" s="3030"/>
    </row>
    <row r="5155" spans="2:9">
      <c r="B5155" s="3192" t="s">
        <v>677</v>
      </c>
      <c r="C5155" s="3063"/>
      <c r="D5155" s="3064"/>
      <c r="E5155" s="3064"/>
      <c r="F5155" s="3064"/>
      <c r="G5155" s="3301" t="s">
        <v>677</v>
      </c>
      <c r="H5155" s="3063"/>
      <c r="I5155" s="3030"/>
    </row>
    <row r="5156" spans="2:9">
      <c r="B5156" s="3192" t="s">
        <v>678</v>
      </c>
      <c r="C5156" s="3063"/>
      <c r="D5156" s="3064"/>
      <c r="E5156" s="3064"/>
      <c r="F5156" s="3064"/>
      <c r="G5156" s="3301" t="s">
        <v>678</v>
      </c>
      <c r="H5156" s="3063"/>
      <c r="I5156" s="3030"/>
    </row>
    <row r="5157" spans="2:9">
      <c r="B5157" s="3192" t="s">
        <v>679</v>
      </c>
      <c r="C5157" s="3063"/>
      <c r="D5157" s="3064"/>
      <c r="E5157" s="3064"/>
      <c r="F5157" s="3064"/>
      <c r="G5157" s="3301" t="s">
        <v>679</v>
      </c>
      <c r="H5157" s="3063"/>
      <c r="I5157" s="3030"/>
    </row>
    <row r="5158" spans="2:9" ht="25.5">
      <c r="B5158" s="3192" t="s">
        <v>720</v>
      </c>
      <c r="C5158" s="3063"/>
      <c r="D5158" s="3064"/>
      <c r="E5158" s="3064"/>
      <c r="F5158" s="3064"/>
      <c r="G5158" s="3301" t="s">
        <v>720</v>
      </c>
      <c r="H5158" s="3063"/>
      <c r="I5158" s="3030"/>
    </row>
    <row r="5159" spans="2:9">
      <c r="B5159" s="3299" t="s">
        <v>82</v>
      </c>
      <c r="C5159" s="3063"/>
      <c r="D5159" s="3064"/>
      <c r="E5159" s="3064"/>
      <c r="F5159" s="3064"/>
      <c r="G5159" s="3300" t="s">
        <v>82</v>
      </c>
      <c r="H5159" s="3063"/>
      <c r="I5159" s="3030"/>
    </row>
    <row r="5160" spans="2:9" ht="25.5">
      <c r="B5160" s="3192" t="s">
        <v>675</v>
      </c>
      <c r="C5160" s="3063"/>
      <c r="D5160" s="3064"/>
      <c r="E5160" s="3064"/>
      <c r="F5160" s="3064"/>
      <c r="G5160" s="3301" t="s">
        <v>675</v>
      </c>
      <c r="H5160" s="3063"/>
      <c r="I5160" s="3030"/>
    </row>
    <row r="5161" spans="2:9" ht="25.5">
      <c r="B5161" s="3192" t="s">
        <v>676</v>
      </c>
      <c r="C5161" s="3063"/>
      <c r="D5161" s="3064"/>
      <c r="E5161" s="3064"/>
      <c r="F5161" s="3064"/>
      <c r="G5161" s="3301" t="s">
        <v>676</v>
      </c>
      <c r="H5161" s="3063"/>
      <c r="I5161" s="3030"/>
    </row>
    <row r="5162" spans="2:9">
      <c r="B5162" s="3192" t="s">
        <v>677</v>
      </c>
      <c r="C5162" s="3063"/>
      <c r="D5162" s="3064"/>
      <c r="E5162" s="3064"/>
      <c r="F5162" s="3064"/>
      <c r="G5162" s="3301" t="s">
        <v>677</v>
      </c>
      <c r="H5162" s="3063"/>
      <c r="I5162" s="3030"/>
    </row>
    <row r="5163" spans="2:9">
      <c r="B5163" s="3192" t="s">
        <v>678</v>
      </c>
      <c r="C5163" s="3063"/>
      <c r="D5163" s="3064"/>
      <c r="E5163" s="3064"/>
      <c r="F5163" s="3064"/>
      <c r="G5163" s="3301" t="s">
        <v>678</v>
      </c>
      <c r="H5163" s="3063"/>
      <c r="I5163" s="3030"/>
    </row>
    <row r="5164" spans="2:9">
      <c r="B5164" s="3192" t="s">
        <v>679</v>
      </c>
      <c r="C5164" s="3063"/>
      <c r="D5164" s="3064"/>
      <c r="E5164" s="3064"/>
      <c r="F5164" s="3064"/>
      <c r="G5164" s="3301" t="s">
        <v>679</v>
      </c>
      <c r="H5164" s="3063"/>
      <c r="I5164" s="3030"/>
    </row>
    <row r="5165" spans="2:9" ht="25.5">
      <c r="B5165" s="3192" t="s">
        <v>720</v>
      </c>
      <c r="C5165" s="3063"/>
      <c r="D5165" s="3064"/>
      <c r="E5165" s="3064"/>
      <c r="F5165" s="3064"/>
      <c r="G5165" s="3301" t="s">
        <v>720</v>
      </c>
      <c r="H5165" s="3063"/>
      <c r="I5165" s="3030"/>
    </row>
    <row r="5166" spans="2:9" ht="38.25">
      <c r="B5166" s="3299" t="s">
        <v>680</v>
      </c>
      <c r="C5166" s="3063"/>
      <c r="D5166" s="3064"/>
      <c r="E5166" s="3064"/>
      <c r="F5166" s="3064"/>
      <c r="G5166" s="3300" t="s">
        <v>680</v>
      </c>
      <c r="H5166" s="3063"/>
      <c r="I5166" s="3030"/>
    </row>
    <row r="5167" spans="2:9" ht="25.5">
      <c r="B5167" s="3192" t="s">
        <v>675</v>
      </c>
      <c r="C5167" s="3063"/>
      <c r="D5167" s="3064"/>
      <c r="E5167" s="3064"/>
      <c r="F5167" s="3064"/>
      <c r="G5167" s="3301" t="s">
        <v>675</v>
      </c>
      <c r="H5167" s="3063"/>
      <c r="I5167" s="3030"/>
    </row>
    <row r="5168" spans="2:9" ht="25.5">
      <c r="B5168" s="3192" t="s">
        <v>676</v>
      </c>
      <c r="C5168" s="3063"/>
      <c r="D5168" s="3064"/>
      <c r="E5168" s="3064"/>
      <c r="F5168" s="3064"/>
      <c r="G5168" s="3301" t="s">
        <v>676</v>
      </c>
      <c r="H5168" s="3063"/>
      <c r="I5168" s="3030"/>
    </row>
    <row r="5169" spans="2:9">
      <c r="B5169" s="3192" t="s">
        <v>677</v>
      </c>
      <c r="C5169" s="3063"/>
      <c r="D5169" s="3064"/>
      <c r="E5169" s="3064"/>
      <c r="F5169" s="3064"/>
      <c r="G5169" s="3301" t="s">
        <v>677</v>
      </c>
      <c r="H5169" s="3063"/>
      <c r="I5169" s="3030"/>
    </row>
    <row r="5170" spans="2:9">
      <c r="B5170" s="3192" t="s">
        <v>678</v>
      </c>
      <c r="C5170" s="3063"/>
      <c r="D5170" s="3064"/>
      <c r="E5170" s="3064"/>
      <c r="F5170" s="3064"/>
      <c r="G5170" s="3301" t="s">
        <v>678</v>
      </c>
      <c r="H5170" s="3063"/>
      <c r="I5170" s="3030"/>
    </row>
    <row r="5171" spans="2:9">
      <c r="B5171" s="3192" t="s">
        <v>679</v>
      </c>
      <c r="C5171" s="3063"/>
      <c r="D5171" s="3064"/>
      <c r="E5171" s="3064"/>
      <c r="F5171" s="3064"/>
      <c r="G5171" s="3301" t="s">
        <v>679</v>
      </c>
      <c r="H5171" s="3063"/>
      <c r="I5171" s="3030"/>
    </row>
    <row r="5172" spans="2:9" ht="25.5">
      <c r="B5172" s="3192" t="s">
        <v>720</v>
      </c>
      <c r="C5172" s="3063"/>
      <c r="D5172" s="3064"/>
      <c r="E5172" s="3064"/>
      <c r="F5172" s="3064"/>
      <c r="G5172" s="3301" t="s">
        <v>720</v>
      </c>
      <c r="H5172" s="3063"/>
      <c r="I5172" s="3030"/>
    </row>
    <row r="5173" spans="2:9" ht="38.25">
      <c r="B5173" s="3299" t="s">
        <v>681</v>
      </c>
      <c r="C5173" s="3063"/>
      <c r="D5173" s="3064"/>
      <c r="E5173" s="3064"/>
      <c r="F5173" s="3064"/>
      <c r="G5173" s="3300" t="s">
        <v>681</v>
      </c>
      <c r="H5173" s="3063"/>
      <c r="I5173" s="3030"/>
    </row>
    <row r="5174" spans="2:9" ht="25.5">
      <c r="B5174" s="3192" t="s">
        <v>675</v>
      </c>
      <c r="C5174" s="3063"/>
      <c r="D5174" s="3064"/>
      <c r="E5174" s="3064"/>
      <c r="F5174" s="3064"/>
      <c r="G5174" s="3301" t="s">
        <v>675</v>
      </c>
      <c r="H5174" s="3063"/>
      <c r="I5174" s="3030"/>
    </row>
    <row r="5175" spans="2:9" ht="25.5">
      <c r="B5175" s="3192" t="s">
        <v>676</v>
      </c>
      <c r="C5175" s="3063"/>
      <c r="D5175" s="3064"/>
      <c r="E5175" s="3064"/>
      <c r="F5175" s="3064"/>
      <c r="G5175" s="3301" t="s">
        <v>676</v>
      </c>
      <c r="H5175" s="3063"/>
      <c r="I5175" s="3030"/>
    </row>
    <row r="5176" spans="2:9">
      <c r="B5176" s="3192" t="s">
        <v>677</v>
      </c>
      <c r="C5176" s="3063"/>
      <c r="D5176" s="3064"/>
      <c r="E5176" s="3064"/>
      <c r="F5176" s="3064"/>
      <c r="G5176" s="3301" t="s">
        <v>677</v>
      </c>
      <c r="H5176" s="3063"/>
      <c r="I5176" s="3030"/>
    </row>
    <row r="5177" spans="2:9">
      <c r="B5177" s="3192" t="s">
        <v>678</v>
      </c>
      <c r="C5177" s="3063"/>
      <c r="D5177" s="3064"/>
      <c r="E5177" s="3064"/>
      <c r="F5177" s="3064"/>
      <c r="G5177" s="3301" t="s">
        <v>678</v>
      </c>
      <c r="H5177" s="3063"/>
      <c r="I5177" s="3030"/>
    </row>
    <row r="5178" spans="2:9">
      <c r="B5178" s="3192" t="s">
        <v>679</v>
      </c>
      <c r="C5178" s="3063"/>
      <c r="D5178" s="3064"/>
      <c r="E5178" s="3064"/>
      <c r="F5178" s="3064"/>
      <c r="G5178" s="3301" t="s">
        <v>679</v>
      </c>
      <c r="H5178" s="3063"/>
      <c r="I5178" s="3030"/>
    </row>
    <row r="5179" spans="2:9" ht="25.5">
      <c r="B5179" s="3192" t="s">
        <v>720</v>
      </c>
      <c r="C5179" s="3063"/>
      <c r="D5179" s="3064"/>
      <c r="E5179" s="3064"/>
      <c r="F5179" s="3064"/>
      <c r="G5179" s="3301" t="s">
        <v>720</v>
      </c>
      <c r="H5179" s="3063"/>
      <c r="I5179" s="3030"/>
    </row>
    <row r="5180" spans="2:9" ht="25.5">
      <c r="B5180" s="3299" t="s">
        <v>682</v>
      </c>
      <c r="C5180" s="3063"/>
      <c r="D5180" s="3064"/>
      <c r="E5180" s="3064"/>
      <c r="F5180" s="3064"/>
      <c r="G5180" s="3300" t="s">
        <v>682</v>
      </c>
      <c r="H5180" s="3063"/>
      <c r="I5180" s="3030"/>
    </row>
    <row r="5181" spans="2:9" ht="25.5">
      <c r="B5181" s="3192" t="s">
        <v>675</v>
      </c>
      <c r="C5181" s="3063"/>
      <c r="D5181" s="3064"/>
      <c r="E5181" s="3064"/>
      <c r="F5181" s="3064"/>
      <c r="G5181" s="3301" t="s">
        <v>675</v>
      </c>
      <c r="H5181" s="3063"/>
      <c r="I5181" s="3030"/>
    </row>
    <row r="5182" spans="2:9" ht="25.5">
      <c r="B5182" s="3192" t="s">
        <v>676</v>
      </c>
      <c r="C5182" s="3063"/>
      <c r="D5182" s="3064"/>
      <c r="E5182" s="3064"/>
      <c r="F5182" s="3064"/>
      <c r="G5182" s="3301" t="s">
        <v>676</v>
      </c>
      <c r="H5182" s="3063"/>
      <c r="I5182" s="3030"/>
    </row>
    <row r="5183" spans="2:9">
      <c r="B5183" s="3192" t="s">
        <v>677</v>
      </c>
      <c r="C5183" s="3063"/>
      <c r="D5183" s="3064"/>
      <c r="E5183" s="3064"/>
      <c r="F5183" s="3064"/>
      <c r="G5183" s="3301" t="s">
        <v>677</v>
      </c>
      <c r="H5183" s="3063"/>
      <c r="I5183" s="3030"/>
    </row>
    <row r="5184" spans="2:9">
      <c r="B5184" s="3192" t="s">
        <v>678</v>
      </c>
      <c r="C5184" s="3063"/>
      <c r="D5184" s="3064"/>
      <c r="E5184" s="3064"/>
      <c r="F5184" s="3064"/>
      <c r="G5184" s="3301" t="s">
        <v>678</v>
      </c>
      <c r="H5184" s="3063"/>
      <c r="I5184" s="3030"/>
    </row>
    <row r="5185" spans="2:9">
      <c r="B5185" s="3192" t="s">
        <v>679</v>
      </c>
      <c r="C5185" s="3063"/>
      <c r="D5185" s="3064"/>
      <c r="E5185" s="3064"/>
      <c r="F5185" s="3064"/>
      <c r="G5185" s="3301" t="s">
        <v>679</v>
      </c>
      <c r="H5185" s="3063"/>
      <c r="I5185" s="3030"/>
    </row>
    <row r="5186" spans="2:9" ht="25.5">
      <c r="B5186" s="3192" t="s">
        <v>720</v>
      </c>
      <c r="C5186" s="3063"/>
      <c r="D5186" s="3064"/>
      <c r="E5186" s="3064"/>
      <c r="F5186" s="3064"/>
      <c r="G5186" s="3301" t="s">
        <v>720</v>
      </c>
      <c r="H5186" s="3063"/>
      <c r="I5186" s="3030"/>
    </row>
    <row r="5187" spans="2:9" ht="25.5">
      <c r="B5187" s="3299" t="s">
        <v>66</v>
      </c>
      <c r="C5187" s="3063"/>
      <c r="D5187" s="3064"/>
      <c r="E5187" s="3064"/>
      <c r="F5187" s="3064"/>
      <c r="G5187" s="3300" t="s">
        <v>66</v>
      </c>
      <c r="H5187" s="3063"/>
      <c r="I5187" s="3030"/>
    </row>
    <row r="5188" spans="2:9" ht="25.5">
      <c r="B5188" s="3192" t="s">
        <v>675</v>
      </c>
      <c r="C5188" s="3063"/>
      <c r="D5188" s="3064"/>
      <c r="E5188" s="3064"/>
      <c r="F5188" s="3064"/>
      <c r="G5188" s="3301" t="s">
        <v>675</v>
      </c>
      <c r="H5188" s="3063"/>
      <c r="I5188" s="3030"/>
    </row>
    <row r="5189" spans="2:9" ht="25.5">
      <c r="B5189" s="3192" t="s">
        <v>676</v>
      </c>
      <c r="C5189" s="3063"/>
      <c r="D5189" s="3064"/>
      <c r="E5189" s="3064"/>
      <c r="F5189" s="3064"/>
      <c r="G5189" s="3301" t="s">
        <v>676</v>
      </c>
      <c r="H5189" s="3063"/>
      <c r="I5189" s="3030"/>
    </row>
    <row r="5190" spans="2:9">
      <c r="B5190" s="3192" t="s">
        <v>677</v>
      </c>
      <c r="C5190" s="3063"/>
      <c r="D5190" s="3064"/>
      <c r="E5190" s="3064"/>
      <c r="F5190" s="3064"/>
      <c r="G5190" s="3301" t="s">
        <v>677</v>
      </c>
      <c r="H5190" s="3063"/>
      <c r="I5190" s="3030"/>
    </row>
    <row r="5191" spans="2:9">
      <c r="B5191" s="3192" t="s">
        <v>678</v>
      </c>
      <c r="C5191" s="3063"/>
      <c r="D5191" s="3064"/>
      <c r="E5191" s="3064"/>
      <c r="F5191" s="3064"/>
      <c r="G5191" s="3301" t="s">
        <v>678</v>
      </c>
      <c r="H5191" s="3063"/>
      <c r="I5191" s="3030"/>
    </row>
    <row r="5192" spans="2:9">
      <c r="B5192" s="3192" t="s">
        <v>679</v>
      </c>
      <c r="C5192" s="3063"/>
      <c r="D5192" s="3064"/>
      <c r="E5192" s="3064"/>
      <c r="F5192" s="3064"/>
      <c r="G5192" s="3301" t="s">
        <v>679</v>
      </c>
      <c r="H5192" s="3063"/>
      <c r="I5192" s="3030"/>
    </row>
    <row r="5193" spans="2:9" ht="25.5">
      <c r="B5193" s="3192" t="s">
        <v>720</v>
      </c>
      <c r="C5193" s="3063"/>
      <c r="D5193" s="3064"/>
      <c r="E5193" s="3064"/>
      <c r="F5193" s="3064"/>
      <c r="G5193" s="3301" t="s">
        <v>720</v>
      </c>
      <c r="H5193" s="3063"/>
      <c r="I5193" s="3030"/>
    </row>
    <row r="5194" spans="2:9">
      <c r="B5194" s="3299" t="s">
        <v>67</v>
      </c>
      <c r="C5194" s="3063"/>
      <c r="D5194" s="3064"/>
      <c r="E5194" s="3064"/>
      <c r="F5194" s="3064"/>
      <c r="G5194" s="3300" t="s">
        <v>67</v>
      </c>
      <c r="H5194" s="3063"/>
      <c r="I5194" s="3030"/>
    </row>
    <row r="5195" spans="2:9" ht="25.5">
      <c r="B5195" s="3192" t="s">
        <v>675</v>
      </c>
      <c r="C5195" s="3063"/>
      <c r="D5195" s="3064"/>
      <c r="E5195" s="3064"/>
      <c r="F5195" s="3064"/>
      <c r="G5195" s="3301" t="s">
        <v>675</v>
      </c>
      <c r="H5195" s="3063"/>
      <c r="I5195" s="3030"/>
    </row>
    <row r="5196" spans="2:9" ht="25.5">
      <c r="B5196" s="3192" t="s">
        <v>676</v>
      </c>
      <c r="C5196" s="3063"/>
      <c r="D5196" s="3064"/>
      <c r="E5196" s="3064"/>
      <c r="F5196" s="3064"/>
      <c r="G5196" s="3301" t="s">
        <v>676</v>
      </c>
      <c r="H5196" s="3063"/>
      <c r="I5196" s="3030"/>
    </row>
    <row r="5197" spans="2:9">
      <c r="B5197" s="3192" t="s">
        <v>677</v>
      </c>
      <c r="C5197" s="3063"/>
      <c r="D5197" s="3064"/>
      <c r="E5197" s="3064"/>
      <c r="F5197" s="3064"/>
      <c r="G5197" s="3301" t="s">
        <v>677</v>
      </c>
      <c r="H5197" s="3063"/>
      <c r="I5197" s="3030"/>
    </row>
    <row r="5198" spans="2:9">
      <c r="B5198" s="3192" t="s">
        <v>678</v>
      </c>
      <c r="C5198" s="3063"/>
      <c r="D5198" s="3064"/>
      <c r="E5198" s="3064"/>
      <c r="F5198" s="3064"/>
      <c r="G5198" s="3301" t="s">
        <v>678</v>
      </c>
      <c r="H5198" s="3063"/>
      <c r="I5198" s="3030"/>
    </row>
    <row r="5199" spans="2:9">
      <c r="B5199" s="3192" t="s">
        <v>679</v>
      </c>
      <c r="C5199" s="3063"/>
      <c r="D5199" s="3064"/>
      <c r="E5199" s="3064"/>
      <c r="F5199" s="3064"/>
      <c r="G5199" s="3301" t="s">
        <v>679</v>
      </c>
      <c r="H5199" s="3063"/>
      <c r="I5199" s="3030"/>
    </row>
    <row r="5200" spans="2:9" ht="25.5">
      <c r="B5200" s="3230" t="s">
        <v>81</v>
      </c>
      <c r="C5200" s="3063"/>
      <c r="D5200" s="3064"/>
      <c r="E5200" s="3064"/>
      <c r="F5200" s="3064"/>
      <c r="G5200" s="3302" t="s">
        <v>81</v>
      </c>
      <c r="H5200" s="3063"/>
      <c r="I5200" s="3030"/>
    </row>
    <row r="5201" spans="2:9" ht="26.25" thickBot="1">
      <c r="B5201" s="3303" t="s">
        <v>81</v>
      </c>
      <c r="C5201" s="3063"/>
      <c r="D5201" s="3064"/>
      <c r="E5201" s="3064"/>
      <c r="F5201" s="3064"/>
      <c r="G5201" s="3302" t="s">
        <v>81</v>
      </c>
      <c r="H5201" s="3063"/>
      <c r="I5201" s="3030"/>
    </row>
    <row r="5202" spans="2:9">
      <c r="B5202" s="3217" t="s">
        <v>697</v>
      </c>
      <c r="C5202" s="3218"/>
      <c r="D5202" s="3219"/>
      <c r="E5202" s="3219"/>
      <c r="F5202" s="3219"/>
      <c r="G5202" s="3217" t="s">
        <v>697</v>
      </c>
      <c r="H5202" s="3297"/>
      <c r="I5202" s="3298"/>
    </row>
    <row r="5203" spans="2:9">
      <c r="B5203" s="3299" t="s">
        <v>64</v>
      </c>
      <c r="C5203" s="3063"/>
      <c r="D5203" s="3064"/>
      <c r="E5203" s="3064"/>
      <c r="F5203" s="3064"/>
      <c r="G5203" s="3300" t="s">
        <v>64</v>
      </c>
      <c r="H5203" s="3063"/>
      <c r="I5203" s="3030"/>
    </row>
    <row r="5204" spans="2:9" ht="25.5">
      <c r="B5204" s="3192" t="s">
        <v>675</v>
      </c>
      <c r="C5204" s="3063"/>
      <c r="D5204" s="3064"/>
      <c r="E5204" s="3064"/>
      <c r="F5204" s="3064"/>
      <c r="G5204" s="3301" t="s">
        <v>675</v>
      </c>
      <c r="H5204" s="3063"/>
      <c r="I5204" s="3030"/>
    </row>
    <row r="5205" spans="2:9" ht="25.5">
      <c r="B5205" s="3192" t="s">
        <v>676</v>
      </c>
      <c r="C5205" s="3063"/>
      <c r="D5205" s="3064"/>
      <c r="E5205" s="3064"/>
      <c r="F5205" s="3064"/>
      <c r="G5205" s="3301" t="s">
        <v>676</v>
      </c>
      <c r="H5205" s="3063"/>
      <c r="I5205" s="3030"/>
    </row>
    <row r="5206" spans="2:9">
      <c r="B5206" s="3192" t="s">
        <v>677</v>
      </c>
      <c r="C5206" s="3063"/>
      <c r="D5206" s="3064"/>
      <c r="E5206" s="3064"/>
      <c r="F5206" s="3064"/>
      <c r="G5206" s="3301" t="s">
        <v>677</v>
      </c>
      <c r="H5206" s="3063"/>
      <c r="I5206" s="3030"/>
    </row>
    <row r="5207" spans="2:9">
      <c r="B5207" s="3192" t="s">
        <v>678</v>
      </c>
      <c r="C5207" s="3063"/>
      <c r="D5207" s="3064"/>
      <c r="E5207" s="3064"/>
      <c r="F5207" s="3064"/>
      <c r="G5207" s="3301" t="s">
        <v>678</v>
      </c>
      <c r="H5207" s="3063"/>
      <c r="I5207" s="3030"/>
    </row>
    <row r="5208" spans="2:9">
      <c r="B5208" s="3192" t="s">
        <v>679</v>
      </c>
      <c r="C5208" s="3063"/>
      <c r="D5208" s="3064"/>
      <c r="E5208" s="3064"/>
      <c r="F5208" s="3064"/>
      <c r="G5208" s="3301" t="s">
        <v>679</v>
      </c>
      <c r="H5208" s="3063"/>
      <c r="I5208" s="3030"/>
    </row>
    <row r="5209" spans="2:9" ht="25.5">
      <c r="B5209" s="3192" t="s">
        <v>720</v>
      </c>
      <c r="C5209" s="3063"/>
      <c r="D5209" s="3064"/>
      <c r="E5209" s="3064"/>
      <c r="F5209" s="3064"/>
      <c r="G5209" s="3301" t="s">
        <v>720</v>
      </c>
      <c r="H5209" s="3063"/>
      <c r="I5209" s="3030"/>
    </row>
    <row r="5210" spans="2:9">
      <c r="B5210" s="3299" t="s">
        <v>65</v>
      </c>
      <c r="C5210" s="3063"/>
      <c r="D5210" s="3064"/>
      <c r="E5210" s="3064"/>
      <c r="F5210" s="3064"/>
      <c r="G5210" s="3300" t="s">
        <v>65</v>
      </c>
      <c r="H5210" s="3063"/>
      <c r="I5210" s="3030"/>
    </row>
    <row r="5211" spans="2:9" ht="25.5">
      <c r="B5211" s="3192" t="s">
        <v>675</v>
      </c>
      <c r="C5211" s="3063"/>
      <c r="D5211" s="3064"/>
      <c r="E5211" s="3064"/>
      <c r="F5211" s="3064"/>
      <c r="G5211" s="3301" t="s">
        <v>675</v>
      </c>
      <c r="H5211" s="3063"/>
      <c r="I5211" s="3030"/>
    </row>
    <row r="5212" spans="2:9" ht="25.5">
      <c r="B5212" s="3192" t="s">
        <v>676</v>
      </c>
      <c r="C5212" s="3063"/>
      <c r="D5212" s="3064"/>
      <c r="E5212" s="3064"/>
      <c r="F5212" s="3064"/>
      <c r="G5212" s="3301" t="s">
        <v>676</v>
      </c>
      <c r="H5212" s="3063"/>
      <c r="I5212" s="3030"/>
    </row>
    <row r="5213" spans="2:9">
      <c r="B5213" s="3192" t="s">
        <v>677</v>
      </c>
      <c r="C5213" s="3063"/>
      <c r="D5213" s="3064"/>
      <c r="E5213" s="3064"/>
      <c r="F5213" s="3064"/>
      <c r="G5213" s="3301" t="s">
        <v>677</v>
      </c>
      <c r="H5213" s="3063"/>
      <c r="I5213" s="3030"/>
    </row>
    <row r="5214" spans="2:9">
      <c r="B5214" s="3192" t="s">
        <v>678</v>
      </c>
      <c r="C5214" s="3063"/>
      <c r="D5214" s="3064"/>
      <c r="E5214" s="3064"/>
      <c r="F5214" s="3064"/>
      <c r="G5214" s="3301" t="s">
        <v>678</v>
      </c>
      <c r="H5214" s="3063"/>
      <c r="I5214" s="3030"/>
    </row>
    <row r="5215" spans="2:9">
      <c r="B5215" s="3192" t="s">
        <v>679</v>
      </c>
      <c r="C5215" s="3063"/>
      <c r="D5215" s="3064"/>
      <c r="E5215" s="3064"/>
      <c r="F5215" s="3064"/>
      <c r="G5215" s="3301" t="s">
        <v>679</v>
      </c>
      <c r="H5215" s="3063"/>
      <c r="I5215" s="3030"/>
    </row>
    <row r="5216" spans="2:9" ht="25.5">
      <c r="B5216" s="3192" t="s">
        <v>720</v>
      </c>
      <c r="C5216" s="3063"/>
      <c r="D5216" s="3064"/>
      <c r="E5216" s="3064"/>
      <c r="F5216" s="3064"/>
      <c r="G5216" s="3301" t="s">
        <v>720</v>
      </c>
      <c r="H5216" s="3063"/>
      <c r="I5216" s="3030"/>
    </row>
    <row r="5217" spans="2:9">
      <c r="B5217" s="3299" t="s">
        <v>82</v>
      </c>
      <c r="C5217" s="3063"/>
      <c r="D5217" s="3064"/>
      <c r="E5217" s="3064"/>
      <c r="F5217" s="3064"/>
      <c r="G5217" s="3300" t="s">
        <v>82</v>
      </c>
      <c r="H5217" s="3063"/>
      <c r="I5217" s="3030"/>
    </row>
    <row r="5218" spans="2:9" ht="25.5">
      <c r="B5218" s="3192" t="s">
        <v>675</v>
      </c>
      <c r="C5218" s="3063"/>
      <c r="D5218" s="3064"/>
      <c r="E5218" s="3064"/>
      <c r="F5218" s="3064"/>
      <c r="G5218" s="3301" t="s">
        <v>675</v>
      </c>
      <c r="H5218" s="3063"/>
      <c r="I5218" s="3030"/>
    </row>
    <row r="5219" spans="2:9" ht="25.5">
      <c r="B5219" s="3192" t="s">
        <v>676</v>
      </c>
      <c r="C5219" s="3063"/>
      <c r="D5219" s="3064"/>
      <c r="E5219" s="3064"/>
      <c r="F5219" s="3064"/>
      <c r="G5219" s="3301" t="s">
        <v>676</v>
      </c>
      <c r="H5219" s="3063"/>
      <c r="I5219" s="3030"/>
    </row>
    <row r="5220" spans="2:9">
      <c r="B5220" s="3192" t="s">
        <v>677</v>
      </c>
      <c r="C5220" s="3063"/>
      <c r="D5220" s="3064"/>
      <c r="E5220" s="3064"/>
      <c r="F5220" s="3064"/>
      <c r="G5220" s="3301" t="s">
        <v>677</v>
      </c>
      <c r="H5220" s="3063"/>
      <c r="I5220" s="3030"/>
    </row>
    <row r="5221" spans="2:9">
      <c r="B5221" s="3192" t="s">
        <v>678</v>
      </c>
      <c r="C5221" s="3063"/>
      <c r="D5221" s="3064"/>
      <c r="E5221" s="3064"/>
      <c r="F5221" s="3064"/>
      <c r="G5221" s="3301" t="s">
        <v>678</v>
      </c>
      <c r="H5221" s="3063"/>
      <c r="I5221" s="3030"/>
    </row>
    <row r="5222" spans="2:9">
      <c r="B5222" s="3192" t="s">
        <v>679</v>
      </c>
      <c r="C5222" s="3063"/>
      <c r="D5222" s="3064"/>
      <c r="E5222" s="3064"/>
      <c r="F5222" s="3064"/>
      <c r="G5222" s="3301" t="s">
        <v>679</v>
      </c>
      <c r="H5222" s="3063"/>
      <c r="I5222" s="3030"/>
    </row>
    <row r="5223" spans="2:9" ht="25.5">
      <c r="B5223" s="3192" t="s">
        <v>720</v>
      </c>
      <c r="C5223" s="3063"/>
      <c r="D5223" s="3064"/>
      <c r="E5223" s="3064"/>
      <c r="F5223" s="3064"/>
      <c r="G5223" s="3301" t="s">
        <v>720</v>
      </c>
      <c r="H5223" s="3063"/>
      <c r="I5223" s="3030"/>
    </row>
    <row r="5224" spans="2:9" ht="38.25">
      <c r="B5224" s="3299" t="s">
        <v>680</v>
      </c>
      <c r="C5224" s="3063"/>
      <c r="D5224" s="3064"/>
      <c r="E5224" s="3064"/>
      <c r="F5224" s="3064"/>
      <c r="G5224" s="3300" t="s">
        <v>680</v>
      </c>
      <c r="H5224" s="3063"/>
      <c r="I5224" s="3030"/>
    </row>
    <row r="5225" spans="2:9" ht="25.5">
      <c r="B5225" s="3192" t="s">
        <v>675</v>
      </c>
      <c r="C5225" s="3063"/>
      <c r="D5225" s="3064"/>
      <c r="E5225" s="3064"/>
      <c r="F5225" s="3064"/>
      <c r="G5225" s="3301" t="s">
        <v>675</v>
      </c>
      <c r="H5225" s="3063"/>
      <c r="I5225" s="3030"/>
    </row>
    <row r="5226" spans="2:9" ht="25.5">
      <c r="B5226" s="3192" t="s">
        <v>676</v>
      </c>
      <c r="C5226" s="3063"/>
      <c r="D5226" s="3064"/>
      <c r="E5226" s="3064"/>
      <c r="F5226" s="3064"/>
      <c r="G5226" s="3301" t="s">
        <v>676</v>
      </c>
      <c r="H5226" s="3063"/>
      <c r="I5226" s="3030"/>
    </row>
    <row r="5227" spans="2:9">
      <c r="B5227" s="3192" t="s">
        <v>677</v>
      </c>
      <c r="C5227" s="3063"/>
      <c r="D5227" s="3064"/>
      <c r="E5227" s="3064"/>
      <c r="F5227" s="3064"/>
      <c r="G5227" s="3301" t="s">
        <v>677</v>
      </c>
      <c r="H5227" s="3063"/>
      <c r="I5227" s="3030"/>
    </row>
    <row r="5228" spans="2:9">
      <c r="B5228" s="3192" t="s">
        <v>678</v>
      </c>
      <c r="C5228" s="3063"/>
      <c r="D5228" s="3064"/>
      <c r="E5228" s="3064"/>
      <c r="F5228" s="3064"/>
      <c r="G5228" s="3301" t="s">
        <v>678</v>
      </c>
      <c r="H5228" s="3063"/>
      <c r="I5228" s="3030"/>
    </row>
    <row r="5229" spans="2:9">
      <c r="B5229" s="3192" t="s">
        <v>679</v>
      </c>
      <c r="C5229" s="3063"/>
      <c r="D5229" s="3064"/>
      <c r="E5229" s="3064"/>
      <c r="F5229" s="3064"/>
      <c r="G5229" s="3301" t="s">
        <v>679</v>
      </c>
      <c r="H5229" s="3063"/>
      <c r="I5229" s="3030"/>
    </row>
    <row r="5230" spans="2:9" ht="25.5">
      <c r="B5230" s="3192" t="s">
        <v>720</v>
      </c>
      <c r="C5230" s="3063"/>
      <c r="D5230" s="3064"/>
      <c r="E5230" s="3064"/>
      <c r="F5230" s="3064"/>
      <c r="G5230" s="3301" t="s">
        <v>720</v>
      </c>
      <c r="H5230" s="3063"/>
      <c r="I5230" s="3030"/>
    </row>
    <row r="5231" spans="2:9" ht="38.25">
      <c r="B5231" s="3299" t="s">
        <v>681</v>
      </c>
      <c r="C5231" s="3063"/>
      <c r="D5231" s="3064"/>
      <c r="E5231" s="3064"/>
      <c r="F5231" s="3064">
        <v>3</v>
      </c>
      <c r="G5231" s="3300" t="s">
        <v>681</v>
      </c>
      <c r="H5231" s="3063">
        <v>4.2771598530624004E-2</v>
      </c>
      <c r="I5231" s="3030"/>
    </row>
    <row r="5232" spans="2:9" ht="25.5">
      <c r="B5232" s="3192" t="s">
        <v>675</v>
      </c>
      <c r="C5232" s="3063"/>
      <c r="D5232" s="3064"/>
      <c r="E5232" s="3064"/>
      <c r="F5232" s="3064"/>
      <c r="G5232" s="3301" t="s">
        <v>675</v>
      </c>
      <c r="H5232" s="3063"/>
      <c r="I5232" s="3030"/>
    </row>
    <row r="5233" spans="2:9" ht="25.5">
      <c r="B5233" s="3192" t="s">
        <v>676</v>
      </c>
      <c r="C5233" s="3063"/>
      <c r="D5233" s="3064"/>
      <c r="E5233" s="3064"/>
      <c r="F5233" s="3064"/>
      <c r="G5233" s="3301" t="s">
        <v>676</v>
      </c>
      <c r="H5233" s="3063"/>
      <c r="I5233" s="3030"/>
    </row>
    <row r="5234" spans="2:9">
      <c r="B5234" s="3192" t="s">
        <v>677</v>
      </c>
      <c r="C5234" s="3063"/>
      <c r="D5234" s="3064"/>
      <c r="E5234" s="3064"/>
      <c r="F5234" s="3064"/>
      <c r="G5234" s="3301" t="s">
        <v>677</v>
      </c>
      <c r="H5234" s="3063"/>
      <c r="I5234" s="3030"/>
    </row>
    <row r="5235" spans="2:9">
      <c r="B5235" s="3192" t="s">
        <v>678</v>
      </c>
      <c r="C5235" s="3063"/>
      <c r="D5235" s="3064"/>
      <c r="E5235" s="3064"/>
      <c r="F5235" s="3064"/>
      <c r="G5235" s="3301" t="s">
        <v>678</v>
      </c>
      <c r="H5235" s="3063"/>
      <c r="I5235" s="3030"/>
    </row>
    <row r="5236" spans="2:9">
      <c r="B5236" s="3192" t="s">
        <v>679</v>
      </c>
      <c r="C5236" s="3063"/>
      <c r="D5236" s="3064"/>
      <c r="E5236" s="3064"/>
      <c r="F5236" s="3064"/>
      <c r="G5236" s="3301" t="s">
        <v>679</v>
      </c>
      <c r="H5236" s="3063"/>
      <c r="I5236" s="3030"/>
    </row>
    <row r="5237" spans="2:9" ht="25.5">
      <c r="B5237" s="3192" t="s">
        <v>720</v>
      </c>
      <c r="C5237" s="3063"/>
      <c r="D5237" s="3064"/>
      <c r="E5237" s="3064"/>
      <c r="F5237" s="3064"/>
      <c r="G5237" s="3301" t="s">
        <v>720</v>
      </c>
      <c r="H5237" s="3063"/>
      <c r="I5237" s="3030"/>
    </row>
    <row r="5238" spans="2:9" ht="25.5">
      <c r="B5238" s="3299" t="s">
        <v>682</v>
      </c>
      <c r="C5238" s="3063"/>
      <c r="D5238" s="3064"/>
      <c r="E5238" s="3064"/>
      <c r="F5238" s="3064"/>
      <c r="G5238" s="3300" t="s">
        <v>682</v>
      </c>
      <c r="H5238" s="3063"/>
      <c r="I5238" s="3030"/>
    </row>
    <row r="5239" spans="2:9" ht="25.5">
      <c r="B5239" s="3192" t="s">
        <v>675</v>
      </c>
      <c r="C5239" s="3063"/>
      <c r="D5239" s="3064"/>
      <c r="E5239" s="3064"/>
      <c r="F5239" s="3064"/>
      <c r="G5239" s="3301" t="s">
        <v>675</v>
      </c>
      <c r="H5239" s="3063"/>
      <c r="I5239" s="3030"/>
    </row>
    <row r="5240" spans="2:9" ht="25.5">
      <c r="B5240" s="3192" t="s">
        <v>676</v>
      </c>
      <c r="C5240" s="3063"/>
      <c r="D5240" s="3064"/>
      <c r="E5240" s="3064"/>
      <c r="F5240" s="3064"/>
      <c r="G5240" s="3301" t="s">
        <v>676</v>
      </c>
      <c r="H5240" s="3063"/>
      <c r="I5240" s="3030"/>
    </row>
    <row r="5241" spans="2:9">
      <c r="B5241" s="3192" t="s">
        <v>677</v>
      </c>
      <c r="C5241" s="3063"/>
      <c r="D5241" s="3064"/>
      <c r="E5241" s="3064"/>
      <c r="F5241" s="3064"/>
      <c r="G5241" s="3301" t="s">
        <v>677</v>
      </c>
      <c r="H5241" s="3063"/>
      <c r="I5241" s="3030"/>
    </row>
    <row r="5242" spans="2:9">
      <c r="B5242" s="3192" t="s">
        <v>678</v>
      </c>
      <c r="C5242" s="3063"/>
      <c r="D5242" s="3064"/>
      <c r="E5242" s="3064"/>
      <c r="F5242" s="3064"/>
      <c r="G5242" s="3301" t="s">
        <v>678</v>
      </c>
      <c r="H5242" s="3063"/>
      <c r="I5242" s="3030"/>
    </row>
    <row r="5243" spans="2:9">
      <c r="B5243" s="3192" t="s">
        <v>679</v>
      </c>
      <c r="C5243" s="3063"/>
      <c r="D5243" s="3064"/>
      <c r="E5243" s="3064"/>
      <c r="F5243" s="3064"/>
      <c r="G5243" s="3301" t="s">
        <v>679</v>
      </c>
      <c r="H5243" s="3063"/>
      <c r="I5243" s="3030"/>
    </row>
    <row r="5244" spans="2:9" ht="25.5">
      <c r="B5244" s="3192" t="s">
        <v>720</v>
      </c>
      <c r="C5244" s="3063"/>
      <c r="D5244" s="3064"/>
      <c r="E5244" s="3064"/>
      <c r="F5244" s="3064"/>
      <c r="G5244" s="3301" t="s">
        <v>720</v>
      </c>
      <c r="H5244" s="3063"/>
      <c r="I5244" s="3030"/>
    </row>
    <row r="5245" spans="2:9" ht="25.5">
      <c r="B5245" s="3299" t="s">
        <v>66</v>
      </c>
      <c r="C5245" s="3063"/>
      <c r="D5245" s="3064"/>
      <c r="E5245" s="3064"/>
      <c r="F5245" s="3064"/>
      <c r="G5245" s="3300" t="s">
        <v>66</v>
      </c>
      <c r="H5245" s="3063"/>
      <c r="I5245" s="3030"/>
    </row>
    <row r="5246" spans="2:9" ht="25.5">
      <c r="B5246" s="3192" t="s">
        <v>675</v>
      </c>
      <c r="C5246" s="3063"/>
      <c r="D5246" s="3064"/>
      <c r="E5246" s="3064"/>
      <c r="F5246" s="3064"/>
      <c r="G5246" s="3301" t="s">
        <v>675</v>
      </c>
      <c r="H5246" s="3063"/>
      <c r="I5246" s="3030"/>
    </row>
    <row r="5247" spans="2:9" ht="25.5">
      <c r="B5247" s="3192" t="s">
        <v>676</v>
      </c>
      <c r="C5247" s="3063"/>
      <c r="D5247" s="3064"/>
      <c r="E5247" s="3064"/>
      <c r="F5247" s="3064"/>
      <c r="G5247" s="3301" t="s">
        <v>676</v>
      </c>
      <c r="H5247" s="3063"/>
      <c r="I5247" s="3030"/>
    </row>
    <row r="5248" spans="2:9">
      <c r="B5248" s="3192" t="s">
        <v>677</v>
      </c>
      <c r="C5248" s="3063"/>
      <c r="D5248" s="3064"/>
      <c r="E5248" s="3064"/>
      <c r="F5248" s="3064"/>
      <c r="G5248" s="3301" t="s">
        <v>677</v>
      </c>
      <c r="H5248" s="3063"/>
      <c r="I5248" s="3030"/>
    </row>
    <row r="5249" spans="2:9">
      <c r="B5249" s="3192" t="s">
        <v>678</v>
      </c>
      <c r="C5249" s="3063"/>
      <c r="D5249" s="3064"/>
      <c r="E5249" s="3064"/>
      <c r="F5249" s="3064"/>
      <c r="G5249" s="3301" t="s">
        <v>678</v>
      </c>
      <c r="H5249" s="3063"/>
      <c r="I5249" s="3030"/>
    </row>
    <row r="5250" spans="2:9">
      <c r="B5250" s="3192" t="s">
        <v>679</v>
      </c>
      <c r="C5250" s="3063"/>
      <c r="D5250" s="3064"/>
      <c r="E5250" s="3064"/>
      <c r="F5250" s="3064"/>
      <c r="G5250" s="3301" t="s">
        <v>679</v>
      </c>
      <c r="H5250" s="3063"/>
      <c r="I5250" s="3030"/>
    </row>
    <row r="5251" spans="2:9" ht="25.5">
      <c r="B5251" s="3192" t="s">
        <v>720</v>
      </c>
      <c r="C5251" s="3063"/>
      <c r="D5251" s="3064"/>
      <c r="E5251" s="3064"/>
      <c r="F5251" s="3064"/>
      <c r="G5251" s="3301" t="s">
        <v>720</v>
      </c>
      <c r="H5251" s="3063"/>
      <c r="I5251" s="3030"/>
    </row>
    <row r="5252" spans="2:9">
      <c r="B5252" s="3299" t="s">
        <v>67</v>
      </c>
      <c r="C5252" s="3063"/>
      <c r="D5252" s="3064"/>
      <c r="E5252" s="3064"/>
      <c r="F5252" s="3064"/>
      <c r="G5252" s="3300" t="s">
        <v>67</v>
      </c>
      <c r="H5252" s="3063"/>
      <c r="I5252" s="3030"/>
    </row>
    <row r="5253" spans="2:9" ht="25.5">
      <c r="B5253" s="3192" t="s">
        <v>675</v>
      </c>
      <c r="C5253" s="3063"/>
      <c r="D5253" s="3064"/>
      <c r="E5253" s="3064"/>
      <c r="F5253" s="3064"/>
      <c r="G5253" s="3301" t="s">
        <v>675</v>
      </c>
      <c r="H5253" s="3063"/>
      <c r="I5253" s="3030"/>
    </row>
    <row r="5254" spans="2:9" ht="25.5">
      <c r="B5254" s="3192" t="s">
        <v>676</v>
      </c>
      <c r="C5254" s="3063"/>
      <c r="D5254" s="3064"/>
      <c r="E5254" s="3064"/>
      <c r="F5254" s="3064"/>
      <c r="G5254" s="3301" t="s">
        <v>676</v>
      </c>
      <c r="H5254" s="3063"/>
      <c r="I5254" s="3030"/>
    </row>
    <row r="5255" spans="2:9">
      <c r="B5255" s="3192" t="s">
        <v>677</v>
      </c>
      <c r="C5255" s="3063"/>
      <c r="D5255" s="3064"/>
      <c r="E5255" s="3064"/>
      <c r="F5255" s="3064"/>
      <c r="G5255" s="3301" t="s">
        <v>677</v>
      </c>
      <c r="H5255" s="3063"/>
      <c r="I5255" s="3030"/>
    </row>
    <row r="5256" spans="2:9">
      <c r="B5256" s="3192" t="s">
        <v>678</v>
      </c>
      <c r="C5256" s="3063"/>
      <c r="D5256" s="3064"/>
      <c r="E5256" s="3064"/>
      <c r="F5256" s="3064"/>
      <c r="G5256" s="3301" t="s">
        <v>678</v>
      </c>
      <c r="H5256" s="3063"/>
      <c r="I5256" s="3030"/>
    </row>
    <row r="5257" spans="2:9">
      <c r="B5257" s="3192" t="s">
        <v>679</v>
      </c>
      <c r="C5257" s="3063"/>
      <c r="D5257" s="3064"/>
      <c r="E5257" s="3064"/>
      <c r="F5257" s="3064"/>
      <c r="G5257" s="3301" t="s">
        <v>679</v>
      </c>
      <c r="H5257" s="3063"/>
      <c r="I5257" s="3030"/>
    </row>
    <row r="5258" spans="2:9" ht="25.5">
      <c r="B5258" s="3230" t="s">
        <v>81</v>
      </c>
      <c r="C5258" s="3063"/>
      <c r="D5258" s="3064"/>
      <c r="E5258" s="3064"/>
      <c r="F5258" s="3064"/>
      <c r="G5258" s="3302" t="s">
        <v>81</v>
      </c>
      <c r="H5258" s="3063"/>
      <c r="I5258" s="3030"/>
    </row>
    <row r="5259" spans="2:9" ht="26.25" thickBot="1">
      <c r="B5259" s="3303" t="s">
        <v>81</v>
      </c>
      <c r="C5259" s="3068"/>
      <c r="D5259" s="3069"/>
      <c r="E5259" s="3069"/>
      <c r="F5259" s="3069"/>
      <c r="G5259" s="3304" t="s">
        <v>81</v>
      </c>
      <c r="H5259" s="3068"/>
      <c r="I5259" s="3070"/>
    </row>
    <row r="5260" spans="2:9" ht="38.25">
      <c r="B5260" s="4723">
        <v>3033</v>
      </c>
      <c r="C5260" s="3289"/>
      <c r="D5260" s="3290"/>
      <c r="E5260" s="3290"/>
      <c r="F5260" s="3290"/>
      <c r="G5260" s="4723">
        <v>3033</v>
      </c>
      <c r="H5260" s="3291" t="s">
        <v>687</v>
      </c>
      <c r="I5260" s="3292" t="s">
        <v>688</v>
      </c>
    </row>
    <row r="5261" spans="2:9">
      <c r="B5261" s="4724"/>
      <c r="C5261" s="4678" t="s">
        <v>686</v>
      </c>
      <c r="D5261" s="4725"/>
      <c r="E5261" s="4725"/>
      <c r="F5261" s="4726"/>
      <c r="G5261" s="4724"/>
      <c r="H5261" s="3293"/>
      <c r="I5261" s="3294"/>
    </row>
    <row r="5262" spans="2:9" ht="13.5" thickBot="1">
      <c r="B5262" s="4724"/>
      <c r="C5262" s="3215">
        <v>2013</v>
      </c>
      <c r="D5262" s="3215">
        <v>2014</v>
      </c>
      <c r="E5262" s="3215">
        <v>2015</v>
      </c>
      <c r="F5262" s="3215">
        <v>2016</v>
      </c>
      <c r="G5262" s="4724"/>
      <c r="H5262" s="3295" t="s">
        <v>390</v>
      </c>
      <c r="I5262" s="3296" t="s">
        <v>390</v>
      </c>
    </row>
    <row r="5263" spans="2:9">
      <c r="B5263" s="3217" t="s">
        <v>695</v>
      </c>
      <c r="C5263" s="3218"/>
      <c r="D5263" s="3219"/>
      <c r="E5263" s="3219"/>
      <c r="F5263" s="3219"/>
      <c r="G5263" s="3217" t="s">
        <v>695</v>
      </c>
      <c r="H5263" s="3297"/>
      <c r="I5263" s="3298"/>
    </row>
    <row r="5264" spans="2:9">
      <c r="B5264" s="3299" t="s">
        <v>64</v>
      </c>
      <c r="C5264" s="3063"/>
      <c r="D5264" s="3064"/>
      <c r="E5264" s="3064"/>
      <c r="F5264" s="3064"/>
      <c r="G5264" s="3300" t="s">
        <v>64</v>
      </c>
      <c r="H5264" s="3063"/>
      <c r="I5264" s="3030"/>
    </row>
    <row r="5265" spans="2:9" ht="25.5">
      <c r="B5265" s="3192" t="s">
        <v>675</v>
      </c>
      <c r="C5265" s="3063"/>
      <c r="D5265" s="3064"/>
      <c r="E5265" s="3064"/>
      <c r="F5265" s="3064"/>
      <c r="G5265" s="3301" t="s">
        <v>675</v>
      </c>
      <c r="H5265" s="3063"/>
      <c r="I5265" s="3030"/>
    </row>
    <row r="5266" spans="2:9" ht="25.5">
      <c r="B5266" s="3192" t="s">
        <v>676</v>
      </c>
      <c r="C5266" s="3063"/>
      <c r="D5266" s="3064"/>
      <c r="E5266" s="3064"/>
      <c r="F5266" s="3064"/>
      <c r="G5266" s="3301" t="s">
        <v>676</v>
      </c>
      <c r="H5266" s="3063"/>
      <c r="I5266" s="3030"/>
    </row>
    <row r="5267" spans="2:9">
      <c r="B5267" s="3192" t="s">
        <v>677</v>
      </c>
      <c r="C5267" s="3063"/>
      <c r="D5267" s="3064"/>
      <c r="E5267" s="3064"/>
      <c r="F5267" s="3064"/>
      <c r="G5267" s="3301" t="s">
        <v>677</v>
      </c>
      <c r="H5267" s="3063"/>
      <c r="I5267" s="3030"/>
    </row>
    <row r="5268" spans="2:9">
      <c r="B5268" s="3192" t="s">
        <v>678</v>
      </c>
      <c r="C5268" s="3063"/>
      <c r="D5268" s="3064"/>
      <c r="E5268" s="3064"/>
      <c r="F5268" s="3064"/>
      <c r="G5268" s="3301" t="s">
        <v>678</v>
      </c>
      <c r="H5268" s="3063"/>
      <c r="I5268" s="3030"/>
    </row>
    <row r="5269" spans="2:9">
      <c r="B5269" s="3192" t="s">
        <v>679</v>
      </c>
      <c r="C5269" s="3063"/>
      <c r="D5269" s="3064"/>
      <c r="E5269" s="3064"/>
      <c r="F5269" s="3064"/>
      <c r="G5269" s="3301" t="s">
        <v>679</v>
      </c>
      <c r="H5269" s="3063"/>
      <c r="I5269" s="3030"/>
    </row>
    <row r="5270" spans="2:9" ht="25.5">
      <c r="B5270" s="3192" t="s">
        <v>720</v>
      </c>
      <c r="C5270" s="3063"/>
      <c r="D5270" s="3064"/>
      <c r="E5270" s="3064"/>
      <c r="F5270" s="3064"/>
      <c r="G5270" s="3301" t="s">
        <v>720</v>
      </c>
      <c r="H5270" s="3063"/>
      <c r="I5270" s="3030"/>
    </row>
    <row r="5271" spans="2:9">
      <c r="B5271" s="3299" t="s">
        <v>65</v>
      </c>
      <c r="C5271" s="3063"/>
      <c r="D5271" s="3064"/>
      <c r="E5271" s="3064"/>
      <c r="F5271" s="3064"/>
      <c r="G5271" s="3300" t="s">
        <v>65</v>
      </c>
      <c r="H5271" s="3063"/>
      <c r="I5271" s="3030"/>
    </row>
    <row r="5272" spans="2:9" ht="25.5">
      <c r="B5272" s="3192" t="s">
        <v>675</v>
      </c>
      <c r="C5272" s="3063"/>
      <c r="D5272" s="3064"/>
      <c r="E5272" s="3064"/>
      <c r="F5272" s="3064"/>
      <c r="G5272" s="3301" t="s">
        <v>675</v>
      </c>
      <c r="H5272" s="3063"/>
      <c r="I5272" s="3030"/>
    </row>
    <row r="5273" spans="2:9" ht="25.5">
      <c r="B5273" s="3192" t="s">
        <v>676</v>
      </c>
      <c r="C5273" s="3063"/>
      <c r="D5273" s="3064"/>
      <c r="E5273" s="3064"/>
      <c r="F5273" s="3064"/>
      <c r="G5273" s="3301" t="s">
        <v>676</v>
      </c>
      <c r="H5273" s="3063"/>
      <c r="I5273" s="3030"/>
    </row>
    <row r="5274" spans="2:9">
      <c r="B5274" s="3192" t="s">
        <v>677</v>
      </c>
      <c r="C5274" s="3063"/>
      <c r="D5274" s="3064"/>
      <c r="E5274" s="3064"/>
      <c r="F5274" s="3064"/>
      <c r="G5274" s="3301" t="s">
        <v>677</v>
      </c>
      <c r="H5274" s="3063"/>
      <c r="I5274" s="3030"/>
    </row>
    <row r="5275" spans="2:9">
      <c r="B5275" s="3192" t="s">
        <v>678</v>
      </c>
      <c r="C5275" s="3063"/>
      <c r="D5275" s="3064"/>
      <c r="E5275" s="3064"/>
      <c r="F5275" s="3064"/>
      <c r="G5275" s="3301" t="s">
        <v>678</v>
      </c>
      <c r="H5275" s="3063"/>
      <c r="I5275" s="3030"/>
    </row>
    <row r="5276" spans="2:9">
      <c r="B5276" s="3192" t="s">
        <v>679</v>
      </c>
      <c r="C5276" s="3063"/>
      <c r="D5276" s="3064"/>
      <c r="E5276" s="3064"/>
      <c r="F5276" s="3064"/>
      <c r="G5276" s="3301" t="s">
        <v>679</v>
      </c>
      <c r="H5276" s="3063"/>
      <c r="I5276" s="3030"/>
    </row>
    <row r="5277" spans="2:9" ht="25.5">
      <c r="B5277" s="3192" t="s">
        <v>720</v>
      </c>
      <c r="C5277" s="3063"/>
      <c r="D5277" s="3064"/>
      <c r="E5277" s="3064"/>
      <c r="F5277" s="3064"/>
      <c r="G5277" s="3301" t="s">
        <v>720</v>
      </c>
      <c r="H5277" s="3063"/>
      <c r="I5277" s="3030"/>
    </row>
    <row r="5278" spans="2:9">
      <c r="B5278" s="3299" t="s">
        <v>82</v>
      </c>
      <c r="C5278" s="3063"/>
      <c r="D5278" s="3064"/>
      <c r="E5278" s="3064"/>
      <c r="F5278" s="3064"/>
      <c r="G5278" s="3300" t="s">
        <v>82</v>
      </c>
      <c r="H5278" s="3063"/>
      <c r="I5278" s="3030"/>
    </row>
    <row r="5279" spans="2:9" ht="25.5">
      <c r="B5279" s="3192" t="s">
        <v>675</v>
      </c>
      <c r="C5279" s="3063"/>
      <c r="D5279" s="3064"/>
      <c r="E5279" s="3064"/>
      <c r="F5279" s="3064"/>
      <c r="G5279" s="3301" t="s">
        <v>675</v>
      </c>
      <c r="H5279" s="3063"/>
      <c r="I5279" s="3030"/>
    </row>
    <row r="5280" spans="2:9" ht="25.5">
      <c r="B5280" s="3192" t="s">
        <v>676</v>
      </c>
      <c r="C5280" s="3063"/>
      <c r="D5280" s="3064"/>
      <c r="E5280" s="3064"/>
      <c r="F5280" s="3064"/>
      <c r="G5280" s="3301" t="s">
        <v>676</v>
      </c>
      <c r="H5280" s="3063"/>
      <c r="I5280" s="3030"/>
    </row>
    <row r="5281" spans="2:9">
      <c r="B5281" s="3192" t="s">
        <v>677</v>
      </c>
      <c r="C5281" s="3063"/>
      <c r="D5281" s="3064"/>
      <c r="E5281" s="3064"/>
      <c r="F5281" s="3064"/>
      <c r="G5281" s="3301" t="s">
        <v>677</v>
      </c>
      <c r="H5281" s="3063"/>
      <c r="I5281" s="3030"/>
    </row>
    <row r="5282" spans="2:9">
      <c r="B5282" s="3192" t="s">
        <v>678</v>
      </c>
      <c r="C5282" s="3063"/>
      <c r="D5282" s="3064"/>
      <c r="E5282" s="3064"/>
      <c r="F5282" s="3064"/>
      <c r="G5282" s="3301" t="s">
        <v>678</v>
      </c>
      <c r="H5282" s="3063"/>
      <c r="I5282" s="3030"/>
    </row>
    <row r="5283" spans="2:9">
      <c r="B5283" s="3192" t="s">
        <v>679</v>
      </c>
      <c r="C5283" s="3063"/>
      <c r="D5283" s="3064"/>
      <c r="E5283" s="3064"/>
      <c r="F5283" s="3064"/>
      <c r="G5283" s="3301" t="s">
        <v>679</v>
      </c>
      <c r="H5283" s="3063"/>
      <c r="I5283" s="3030"/>
    </row>
    <row r="5284" spans="2:9" ht="25.5">
      <c r="B5284" s="3192" t="s">
        <v>720</v>
      </c>
      <c r="C5284" s="3063"/>
      <c r="D5284" s="3064"/>
      <c r="E5284" s="3064"/>
      <c r="F5284" s="3064"/>
      <c r="G5284" s="3301" t="s">
        <v>720</v>
      </c>
      <c r="H5284" s="3063"/>
      <c r="I5284" s="3030"/>
    </row>
    <row r="5285" spans="2:9" ht="38.25">
      <c r="B5285" s="3299" t="s">
        <v>680</v>
      </c>
      <c r="C5285" s="3063"/>
      <c r="D5285" s="3064"/>
      <c r="E5285" s="3064"/>
      <c r="F5285" s="3064"/>
      <c r="G5285" s="3300" t="s">
        <v>680</v>
      </c>
      <c r="H5285" s="3063"/>
      <c r="I5285" s="3030"/>
    </row>
    <row r="5286" spans="2:9" ht="25.5">
      <c r="B5286" s="3192" t="s">
        <v>675</v>
      </c>
      <c r="C5286" s="3063"/>
      <c r="D5286" s="3064"/>
      <c r="E5286" s="3064"/>
      <c r="F5286" s="3064"/>
      <c r="G5286" s="3301" t="s">
        <v>675</v>
      </c>
      <c r="H5286" s="3063"/>
      <c r="I5286" s="3030"/>
    </row>
    <row r="5287" spans="2:9" ht="25.5">
      <c r="B5287" s="3192" t="s">
        <v>676</v>
      </c>
      <c r="C5287" s="3063"/>
      <c r="D5287" s="3064"/>
      <c r="E5287" s="3064"/>
      <c r="F5287" s="3064"/>
      <c r="G5287" s="3301" t="s">
        <v>676</v>
      </c>
      <c r="H5287" s="3063"/>
      <c r="I5287" s="3030"/>
    </row>
    <row r="5288" spans="2:9">
      <c r="B5288" s="3192" t="s">
        <v>677</v>
      </c>
      <c r="C5288" s="3063"/>
      <c r="D5288" s="3064"/>
      <c r="E5288" s="3064"/>
      <c r="F5288" s="3064"/>
      <c r="G5288" s="3301" t="s">
        <v>677</v>
      </c>
      <c r="H5288" s="3063"/>
      <c r="I5288" s="3030"/>
    </row>
    <row r="5289" spans="2:9">
      <c r="B5289" s="3192" t="s">
        <v>678</v>
      </c>
      <c r="C5289" s="3063"/>
      <c r="D5289" s="3064"/>
      <c r="E5289" s="3064"/>
      <c r="F5289" s="3064"/>
      <c r="G5289" s="3301" t="s">
        <v>678</v>
      </c>
      <c r="H5289" s="3063"/>
      <c r="I5289" s="3030"/>
    </row>
    <row r="5290" spans="2:9">
      <c r="B5290" s="3192" t="s">
        <v>679</v>
      </c>
      <c r="C5290" s="3063"/>
      <c r="D5290" s="3064"/>
      <c r="E5290" s="3064"/>
      <c r="F5290" s="3064"/>
      <c r="G5290" s="3301" t="s">
        <v>679</v>
      </c>
      <c r="H5290" s="3063"/>
      <c r="I5290" s="3030"/>
    </row>
    <row r="5291" spans="2:9" ht="25.5">
      <c r="B5291" s="3192" t="s">
        <v>720</v>
      </c>
      <c r="C5291" s="3063"/>
      <c r="D5291" s="3064"/>
      <c r="E5291" s="3064"/>
      <c r="F5291" s="3064"/>
      <c r="G5291" s="3301" t="s">
        <v>720</v>
      </c>
      <c r="H5291" s="3063"/>
      <c r="I5291" s="3030"/>
    </row>
    <row r="5292" spans="2:9" ht="38.25">
      <c r="B5292" s="3299" t="s">
        <v>681</v>
      </c>
      <c r="C5292" s="3063"/>
      <c r="D5292" s="3064"/>
      <c r="E5292" s="3064"/>
      <c r="F5292" s="3064"/>
      <c r="G5292" s="3300" t="s">
        <v>681</v>
      </c>
      <c r="H5292" s="3063"/>
      <c r="I5292" s="3030"/>
    </row>
    <row r="5293" spans="2:9" ht="25.5">
      <c r="B5293" s="3192" t="s">
        <v>675</v>
      </c>
      <c r="C5293" s="3063"/>
      <c r="D5293" s="3064"/>
      <c r="E5293" s="3064"/>
      <c r="F5293" s="3064"/>
      <c r="G5293" s="3301" t="s">
        <v>675</v>
      </c>
      <c r="H5293" s="3063"/>
      <c r="I5293" s="3030"/>
    </row>
    <row r="5294" spans="2:9" ht="25.5">
      <c r="B5294" s="3192" t="s">
        <v>676</v>
      </c>
      <c r="C5294" s="3063"/>
      <c r="D5294" s="3064"/>
      <c r="E5294" s="3064"/>
      <c r="F5294" s="3064"/>
      <c r="G5294" s="3301" t="s">
        <v>676</v>
      </c>
      <c r="H5294" s="3063"/>
      <c r="I5294" s="3030"/>
    </row>
    <row r="5295" spans="2:9">
      <c r="B5295" s="3192" t="s">
        <v>677</v>
      </c>
      <c r="C5295" s="3063"/>
      <c r="D5295" s="3064"/>
      <c r="E5295" s="3064"/>
      <c r="F5295" s="3064"/>
      <c r="G5295" s="3301" t="s">
        <v>677</v>
      </c>
      <c r="H5295" s="3063"/>
      <c r="I5295" s="3030"/>
    </row>
    <row r="5296" spans="2:9">
      <c r="B5296" s="3192" t="s">
        <v>678</v>
      </c>
      <c r="C5296" s="3063"/>
      <c r="D5296" s="3064"/>
      <c r="E5296" s="3064"/>
      <c r="F5296" s="3064"/>
      <c r="G5296" s="3301" t="s">
        <v>678</v>
      </c>
      <c r="H5296" s="3063"/>
      <c r="I5296" s="3030"/>
    </row>
    <row r="5297" spans="2:9">
      <c r="B5297" s="3192" t="s">
        <v>679</v>
      </c>
      <c r="C5297" s="3063"/>
      <c r="D5297" s="3064"/>
      <c r="E5297" s="3064"/>
      <c r="F5297" s="3064"/>
      <c r="G5297" s="3301" t="s">
        <v>679</v>
      </c>
      <c r="H5297" s="3063"/>
      <c r="I5297" s="3030"/>
    </row>
    <row r="5298" spans="2:9" ht="25.5">
      <c r="B5298" s="3192" t="s">
        <v>720</v>
      </c>
      <c r="C5298" s="3063"/>
      <c r="D5298" s="3064"/>
      <c r="E5298" s="3064"/>
      <c r="F5298" s="3064"/>
      <c r="G5298" s="3301" t="s">
        <v>720</v>
      </c>
      <c r="H5298" s="3063"/>
      <c r="I5298" s="3030"/>
    </row>
    <row r="5299" spans="2:9" ht="25.5">
      <c r="B5299" s="3299" t="s">
        <v>682</v>
      </c>
      <c r="C5299" s="3063"/>
      <c r="D5299" s="3064"/>
      <c r="E5299" s="3064"/>
      <c r="F5299" s="3064"/>
      <c r="G5299" s="3300" t="s">
        <v>682</v>
      </c>
      <c r="H5299" s="3063"/>
      <c r="I5299" s="3030"/>
    </row>
    <row r="5300" spans="2:9" ht="25.5">
      <c r="B5300" s="3192" t="s">
        <v>675</v>
      </c>
      <c r="C5300" s="3063"/>
      <c r="D5300" s="3064"/>
      <c r="E5300" s="3064"/>
      <c r="F5300" s="3064"/>
      <c r="G5300" s="3301" t="s">
        <v>675</v>
      </c>
      <c r="H5300" s="3063"/>
      <c r="I5300" s="3030"/>
    </row>
    <row r="5301" spans="2:9" ht="25.5">
      <c r="B5301" s="3192" t="s">
        <v>676</v>
      </c>
      <c r="C5301" s="3063"/>
      <c r="D5301" s="3064"/>
      <c r="E5301" s="3064"/>
      <c r="F5301" s="3064"/>
      <c r="G5301" s="3301" t="s">
        <v>676</v>
      </c>
      <c r="H5301" s="3063"/>
      <c r="I5301" s="3030"/>
    </row>
    <row r="5302" spans="2:9">
      <c r="B5302" s="3192" t="s">
        <v>677</v>
      </c>
      <c r="C5302" s="3063"/>
      <c r="D5302" s="3064"/>
      <c r="E5302" s="3064"/>
      <c r="F5302" s="3064"/>
      <c r="G5302" s="3301" t="s">
        <v>677</v>
      </c>
      <c r="H5302" s="3063"/>
      <c r="I5302" s="3030"/>
    </row>
    <row r="5303" spans="2:9">
      <c r="B5303" s="3192" t="s">
        <v>678</v>
      </c>
      <c r="C5303" s="3063"/>
      <c r="D5303" s="3064"/>
      <c r="E5303" s="3064"/>
      <c r="F5303" s="3064"/>
      <c r="G5303" s="3301" t="s">
        <v>678</v>
      </c>
      <c r="H5303" s="3063"/>
      <c r="I5303" s="3030"/>
    </row>
    <row r="5304" spans="2:9">
      <c r="B5304" s="3192" t="s">
        <v>679</v>
      </c>
      <c r="C5304" s="3063"/>
      <c r="D5304" s="3064"/>
      <c r="E5304" s="3064"/>
      <c r="F5304" s="3064"/>
      <c r="G5304" s="3301" t="s">
        <v>679</v>
      </c>
      <c r="H5304" s="3063"/>
      <c r="I5304" s="3030"/>
    </row>
    <row r="5305" spans="2:9" ht="25.5">
      <c r="B5305" s="3192" t="s">
        <v>720</v>
      </c>
      <c r="C5305" s="3063"/>
      <c r="D5305" s="3064"/>
      <c r="E5305" s="3064"/>
      <c r="F5305" s="3064"/>
      <c r="G5305" s="3301" t="s">
        <v>720</v>
      </c>
      <c r="H5305" s="3063"/>
      <c r="I5305" s="3030"/>
    </row>
    <row r="5306" spans="2:9" ht="25.5">
      <c r="B5306" s="3299" t="s">
        <v>66</v>
      </c>
      <c r="C5306" s="3063"/>
      <c r="D5306" s="3064"/>
      <c r="E5306" s="3064"/>
      <c r="F5306" s="3064"/>
      <c r="G5306" s="3300" t="s">
        <v>66</v>
      </c>
      <c r="H5306" s="3063"/>
      <c r="I5306" s="3030"/>
    </row>
    <row r="5307" spans="2:9" ht="25.5">
      <c r="B5307" s="3192" t="s">
        <v>675</v>
      </c>
      <c r="C5307" s="3063"/>
      <c r="D5307" s="3064"/>
      <c r="E5307" s="3064"/>
      <c r="F5307" s="3064"/>
      <c r="G5307" s="3301" t="s">
        <v>675</v>
      </c>
      <c r="H5307" s="3063"/>
      <c r="I5307" s="3030"/>
    </row>
    <row r="5308" spans="2:9" ht="25.5">
      <c r="B5308" s="3192" t="s">
        <v>676</v>
      </c>
      <c r="C5308" s="3063"/>
      <c r="D5308" s="3064"/>
      <c r="E5308" s="3064"/>
      <c r="F5308" s="3064"/>
      <c r="G5308" s="3301" t="s">
        <v>676</v>
      </c>
      <c r="H5308" s="3063"/>
      <c r="I5308" s="3030"/>
    </row>
    <row r="5309" spans="2:9">
      <c r="B5309" s="3192" t="s">
        <v>677</v>
      </c>
      <c r="C5309" s="3063"/>
      <c r="D5309" s="3064"/>
      <c r="E5309" s="3064"/>
      <c r="F5309" s="3064"/>
      <c r="G5309" s="3301" t="s">
        <v>677</v>
      </c>
      <c r="H5309" s="3063"/>
      <c r="I5309" s="3030"/>
    </row>
    <row r="5310" spans="2:9">
      <c r="B5310" s="3192" t="s">
        <v>678</v>
      </c>
      <c r="C5310" s="3063"/>
      <c r="D5310" s="3064"/>
      <c r="E5310" s="3064"/>
      <c r="F5310" s="3064"/>
      <c r="G5310" s="3301" t="s">
        <v>678</v>
      </c>
      <c r="H5310" s="3063"/>
      <c r="I5310" s="3030"/>
    </row>
    <row r="5311" spans="2:9">
      <c r="B5311" s="3192" t="s">
        <v>679</v>
      </c>
      <c r="C5311" s="3063"/>
      <c r="D5311" s="3064"/>
      <c r="E5311" s="3064"/>
      <c r="F5311" s="3064"/>
      <c r="G5311" s="3301" t="s">
        <v>679</v>
      </c>
      <c r="H5311" s="3063"/>
      <c r="I5311" s="3030"/>
    </row>
    <row r="5312" spans="2:9" ht="25.5">
      <c r="B5312" s="3192" t="s">
        <v>720</v>
      </c>
      <c r="C5312" s="3063"/>
      <c r="D5312" s="3064"/>
      <c r="E5312" s="3064"/>
      <c r="F5312" s="3064"/>
      <c r="G5312" s="3301" t="s">
        <v>720</v>
      </c>
      <c r="H5312" s="3063"/>
      <c r="I5312" s="3030"/>
    </row>
    <row r="5313" spans="2:9">
      <c r="B5313" s="3299" t="s">
        <v>67</v>
      </c>
      <c r="C5313" s="3063"/>
      <c r="D5313" s="3064"/>
      <c r="E5313" s="3064"/>
      <c r="F5313" s="3064"/>
      <c r="G5313" s="3300" t="s">
        <v>67</v>
      </c>
      <c r="H5313" s="3063"/>
      <c r="I5313" s="3030"/>
    </row>
    <row r="5314" spans="2:9" ht="25.5">
      <c r="B5314" s="3192" t="s">
        <v>675</v>
      </c>
      <c r="C5314" s="3063"/>
      <c r="D5314" s="3064"/>
      <c r="E5314" s="3064"/>
      <c r="F5314" s="3064"/>
      <c r="G5314" s="3301" t="s">
        <v>675</v>
      </c>
      <c r="H5314" s="3063"/>
      <c r="I5314" s="3030"/>
    </row>
    <row r="5315" spans="2:9" ht="25.5">
      <c r="B5315" s="3192" t="s">
        <v>676</v>
      </c>
      <c r="C5315" s="3063"/>
      <c r="D5315" s="3064"/>
      <c r="E5315" s="3064"/>
      <c r="F5315" s="3064"/>
      <c r="G5315" s="3301" t="s">
        <v>676</v>
      </c>
      <c r="H5315" s="3063"/>
      <c r="I5315" s="3030"/>
    </row>
    <row r="5316" spans="2:9">
      <c r="B5316" s="3192" t="s">
        <v>677</v>
      </c>
      <c r="C5316" s="3063"/>
      <c r="D5316" s="3064"/>
      <c r="E5316" s="3064"/>
      <c r="F5316" s="3064"/>
      <c r="G5316" s="3301" t="s">
        <v>677</v>
      </c>
      <c r="H5316" s="3063"/>
      <c r="I5316" s="3030"/>
    </row>
    <row r="5317" spans="2:9">
      <c r="B5317" s="3192" t="s">
        <v>678</v>
      </c>
      <c r="C5317" s="3063"/>
      <c r="D5317" s="3064"/>
      <c r="E5317" s="3064"/>
      <c r="F5317" s="3064"/>
      <c r="G5317" s="3301" t="s">
        <v>678</v>
      </c>
      <c r="H5317" s="3063"/>
      <c r="I5317" s="3030"/>
    </row>
    <row r="5318" spans="2:9">
      <c r="B5318" s="3192" t="s">
        <v>679</v>
      </c>
      <c r="C5318" s="3063"/>
      <c r="D5318" s="3064"/>
      <c r="E5318" s="3064"/>
      <c r="F5318" s="3064"/>
      <c r="G5318" s="3301" t="s">
        <v>679</v>
      </c>
      <c r="H5318" s="3063"/>
      <c r="I5318" s="3030"/>
    </row>
    <row r="5319" spans="2:9" ht="25.5">
      <c r="B5319" s="3192" t="s">
        <v>720</v>
      </c>
      <c r="C5319" s="3063"/>
      <c r="D5319" s="3064"/>
      <c r="E5319" s="3064"/>
      <c r="F5319" s="3064"/>
      <c r="G5319" s="3301" t="s">
        <v>720</v>
      </c>
      <c r="H5319" s="3063"/>
      <c r="I5319" s="3030"/>
    </row>
    <row r="5320" spans="2:9" ht="25.5">
      <c r="B5320" s="3230" t="s">
        <v>81</v>
      </c>
      <c r="C5320" s="3063"/>
      <c r="D5320" s="3064"/>
      <c r="E5320" s="3064"/>
      <c r="F5320" s="3064"/>
      <c r="G5320" s="3302" t="s">
        <v>81</v>
      </c>
      <c r="H5320" s="3063"/>
      <c r="I5320" s="3030"/>
    </row>
    <row r="5321" spans="2:9" ht="26.25" thickBot="1">
      <c r="B5321" s="3303" t="s">
        <v>81</v>
      </c>
      <c r="C5321" s="3063"/>
      <c r="D5321" s="3064"/>
      <c r="E5321" s="3064"/>
      <c r="F5321" s="3064"/>
      <c r="G5321" s="3302" t="s">
        <v>81</v>
      </c>
      <c r="H5321" s="3063"/>
      <c r="I5321" s="3030"/>
    </row>
    <row r="5322" spans="2:9" ht="25.5">
      <c r="B5322" s="3217" t="s">
        <v>696</v>
      </c>
      <c r="C5322" s="3218"/>
      <c r="D5322" s="3219"/>
      <c r="E5322" s="3219"/>
      <c r="F5322" s="3219"/>
      <c r="G5322" s="3217" t="s">
        <v>696</v>
      </c>
      <c r="H5322" s="3297"/>
      <c r="I5322" s="3298"/>
    </row>
    <row r="5323" spans="2:9">
      <c r="B5323" s="3299" t="s">
        <v>64</v>
      </c>
      <c r="C5323" s="3063"/>
      <c r="D5323" s="3064"/>
      <c r="E5323" s="3064"/>
      <c r="F5323" s="3064"/>
      <c r="G5323" s="3300" t="s">
        <v>64</v>
      </c>
      <c r="H5323" s="3063"/>
      <c r="I5323" s="3030"/>
    </row>
    <row r="5324" spans="2:9" ht="25.5">
      <c r="B5324" s="3192" t="s">
        <v>675</v>
      </c>
      <c r="C5324" s="3063"/>
      <c r="D5324" s="3064"/>
      <c r="E5324" s="3064"/>
      <c r="F5324" s="3064"/>
      <c r="G5324" s="3301" t="s">
        <v>675</v>
      </c>
      <c r="H5324" s="3063"/>
      <c r="I5324" s="3030"/>
    </row>
    <row r="5325" spans="2:9" ht="25.5">
      <c r="B5325" s="3192" t="s">
        <v>676</v>
      </c>
      <c r="C5325" s="3063"/>
      <c r="D5325" s="3064"/>
      <c r="E5325" s="3064"/>
      <c r="F5325" s="3064"/>
      <c r="G5325" s="3301" t="s">
        <v>676</v>
      </c>
      <c r="H5325" s="3063"/>
      <c r="I5325" s="3030"/>
    </row>
    <row r="5326" spans="2:9">
      <c r="B5326" s="3192" t="s">
        <v>677</v>
      </c>
      <c r="C5326" s="3063"/>
      <c r="D5326" s="3064"/>
      <c r="E5326" s="3064"/>
      <c r="F5326" s="3064"/>
      <c r="G5326" s="3301" t="s">
        <v>677</v>
      </c>
      <c r="H5326" s="3063"/>
      <c r="I5326" s="3030"/>
    </row>
    <row r="5327" spans="2:9">
      <c r="B5327" s="3192" t="s">
        <v>678</v>
      </c>
      <c r="C5327" s="3063"/>
      <c r="D5327" s="3064"/>
      <c r="E5327" s="3064"/>
      <c r="F5327" s="3064"/>
      <c r="G5327" s="3301" t="s">
        <v>678</v>
      </c>
      <c r="H5327" s="3063"/>
      <c r="I5327" s="3030"/>
    </row>
    <row r="5328" spans="2:9">
      <c r="B5328" s="3192" t="s">
        <v>679</v>
      </c>
      <c r="C5328" s="3063"/>
      <c r="D5328" s="3064"/>
      <c r="E5328" s="3064"/>
      <c r="F5328" s="3064"/>
      <c r="G5328" s="3301" t="s">
        <v>679</v>
      </c>
      <c r="H5328" s="3063"/>
      <c r="I5328" s="3030"/>
    </row>
    <row r="5329" spans="2:9" ht="25.5">
      <c r="B5329" s="3192" t="s">
        <v>720</v>
      </c>
      <c r="C5329" s="3063"/>
      <c r="D5329" s="3064"/>
      <c r="E5329" s="3064"/>
      <c r="F5329" s="3064"/>
      <c r="G5329" s="3301" t="s">
        <v>720</v>
      </c>
      <c r="H5329" s="3063"/>
      <c r="I5329" s="3030"/>
    </row>
    <row r="5330" spans="2:9">
      <c r="B5330" s="3299" t="s">
        <v>65</v>
      </c>
      <c r="C5330" s="3063"/>
      <c r="D5330" s="3064"/>
      <c r="E5330" s="3064"/>
      <c r="F5330" s="3064"/>
      <c r="G5330" s="3300" t="s">
        <v>65</v>
      </c>
      <c r="H5330" s="3063"/>
      <c r="I5330" s="3030"/>
    </row>
    <row r="5331" spans="2:9" ht="25.5">
      <c r="B5331" s="3192" t="s">
        <v>675</v>
      </c>
      <c r="C5331" s="3063"/>
      <c r="D5331" s="3064"/>
      <c r="E5331" s="3064"/>
      <c r="F5331" s="3064"/>
      <c r="G5331" s="3301" t="s">
        <v>675</v>
      </c>
      <c r="H5331" s="3063"/>
      <c r="I5331" s="3030"/>
    </row>
    <row r="5332" spans="2:9" ht="25.5">
      <c r="B5332" s="3192" t="s">
        <v>676</v>
      </c>
      <c r="C5332" s="3063"/>
      <c r="D5332" s="3064"/>
      <c r="E5332" s="3064"/>
      <c r="F5332" s="3064"/>
      <c r="G5332" s="3301" t="s">
        <v>676</v>
      </c>
      <c r="H5332" s="3063"/>
      <c r="I5332" s="3030"/>
    </row>
    <row r="5333" spans="2:9">
      <c r="B5333" s="3192" t="s">
        <v>677</v>
      </c>
      <c r="C5333" s="3063"/>
      <c r="D5333" s="3064"/>
      <c r="E5333" s="3064"/>
      <c r="F5333" s="3064"/>
      <c r="G5333" s="3301" t="s">
        <v>677</v>
      </c>
      <c r="H5333" s="3063"/>
      <c r="I5333" s="3030"/>
    </row>
    <row r="5334" spans="2:9">
      <c r="B5334" s="3192" t="s">
        <v>678</v>
      </c>
      <c r="C5334" s="3063"/>
      <c r="D5334" s="3064"/>
      <c r="E5334" s="3064"/>
      <c r="F5334" s="3064"/>
      <c r="G5334" s="3301" t="s">
        <v>678</v>
      </c>
      <c r="H5334" s="3063"/>
      <c r="I5334" s="3030"/>
    </row>
    <row r="5335" spans="2:9">
      <c r="B5335" s="3192" t="s">
        <v>679</v>
      </c>
      <c r="C5335" s="3063"/>
      <c r="D5335" s="3064"/>
      <c r="E5335" s="3064"/>
      <c r="F5335" s="3064"/>
      <c r="G5335" s="3301" t="s">
        <v>679</v>
      </c>
      <c r="H5335" s="3063"/>
      <c r="I5335" s="3030"/>
    </row>
    <row r="5336" spans="2:9" ht="25.5">
      <c r="B5336" s="3192" t="s">
        <v>720</v>
      </c>
      <c r="C5336" s="3063"/>
      <c r="D5336" s="3064"/>
      <c r="E5336" s="3064"/>
      <c r="F5336" s="3064"/>
      <c r="G5336" s="3301" t="s">
        <v>720</v>
      </c>
      <c r="H5336" s="3063"/>
      <c r="I5336" s="3030"/>
    </row>
    <row r="5337" spans="2:9">
      <c r="B5337" s="3299" t="s">
        <v>82</v>
      </c>
      <c r="C5337" s="3063"/>
      <c r="D5337" s="3064"/>
      <c r="E5337" s="3064"/>
      <c r="F5337" s="3064"/>
      <c r="G5337" s="3300" t="s">
        <v>82</v>
      </c>
      <c r="H5337" s="3063"/>
      <c r="I5337" s="3030"/>
    </row>
    <row r="5338" spans="2:9" ht="25.5">
      <c r="B5338" s="3192" t="s">
        <v>675</v>
      </c>
      <c r="C5338" s="3063"/>
      <c r="D5338" s="3064"/>
      <c r="E5338" s="3064"/>
      <c r="F5338" s="3064"/>
      <c r="G5338" s="3301" t="s">
        <v>675</v>
      </c>
      <c r="H5338" s="3063"/>
      <c r="I5338" s="3030"/>
    </row>
    <row r="5339" spans="2:9" ht="25.5">
      <c r="B5339" s="3192" t="s">
        <v>676</v>
      </c>
      <c r="C5339" s="3063"/>
      <c r="D5339" s="3064"/>
      <c r="E5339" s="3064"/>
      <c r="F5339" s="3064"/>
      <c r="G5339" s="3301" t="s">
        <v>676</v>
      </c>
      <c r="H5339" s="3063"/>
      <c r="I5339" s="3030"/>
    </row>
    <row r="5340" spans="2:9">
      <c r="B5340" s="3192" t="s">
        <v>677</v>
      </c>
      <c r="C5340" s="3063"/>
      <c r="D5340" s="3064"/>
      <c r="E5340" s="3064"/>
      <c r="F5340" s="3064"/>
      <c r="G5340" s="3301" t="s">
        <v>677</v>
      </c>
      <c r="H5340" s="3063"/>
      <c r="I5340" s="3030"/>
    </row>
    <row r="5341" spans="2:9">
      <c r="B5341" s="3192" t="s">
        <v>678</v>
      </c>
      <c r="C5341" s="3063"/>
      <c r="D5341" s="3064"/>
      <c r="E5341" s="3064"/>
      <c r="F5341" s="3064"/>
      <c r="G5341" s="3301" t="s">
        <v>678</v>
      </c>
      <c r="H5341" s="3063"/>
      <c r="I5341" s="3030"/>
    </row>
    <row r="5342" spans="2:9">
      <c r="B5342" s="3192" t="s">
        <v>679</v>
      </c>
      <c r="C5342" s="3063"/>
      <c r="D5342" s="3064"/>
      <c r="E5342" s="3064"/>
      <c r="F5342" s="3064"/>
      <c r="G5342" s="3301" t="s">
        <v>679</v>
      </c>
      <c r="H5342" s="3063"/>
      <c r="I5342" s="3030"/>
    </row>
    <row r="5343" spans="2:9" ht="25.5">
      <c r="B5343" s="3192" t="s">
        <v>720</v>
      </c>
      <c r="C5343" s="3063"/>
      <c r="D5343" s="3064"/>
      <c r="E5343" s="3064"/>
      <c r="F5343" s="3064"/>
      <c r="G5343" s="3301" t="s">
        <v>720</v>
      </c>
      <c r="H5343" s="3063"/>
      <c r="I5343" s="3030"/>
    </row>
    <row r="5344" spans="2:9" ht="38.25">
      <c r="B5344" s="3299" t="s">
        <v>680</v>
      </c>
      <c r="C5344" s="3063"/>
      <c r="D5344" s="3064"/>
      <c r="E5344" s="3064"/>
      <c r="F5344" s="3064"/>
      <c r="G5344" s="3300" t="s">
        <v>680</v>
      </c>
      <c r="H5344" s="3063"/>
      <c r="I5344" s="3030"/>
    </row>
    <row r="5345" spans="2:9" ht="25.5">
      <c r="B5345" s="3192" t="s">
        <v>675</v>
      </c>
      <c r="C5345" s="3063"/>
      <c r="D5345" s="3064"/>
      <c r="E5345" s="3064"/>
      <c r="F5345" s="3064"/>
      <c r="G5345" s="3301" t="s">
        <v>675</v>
      </c>
      <c r="H5345" s="3063"/>
      <c r="I5345" s="3030"/>
    </row>
    <row r="5346" spans="2:9" ht="25.5">
      <c r="B5346" s="3192" t="s">
        <v>676</v>
      </c>
      <c r="C5346" s="3063"/>
      <c r="D5346" s="3064"/>
      <c r="E5346" s="3064"/>
      <c r="F5346" s="3064"/>
      <c r="G5346" s="3301" t="s">
        <v>676</v>
      </c>
      <c r="H5346" s="3063"/>
      <c r="I5346" s="3030"/>
    </row>
    <row r="5347" spans="2:9">
      <c r="B5347" s="3192" t="s">
        <v>677</v>
      </c>
      <c r="C5347" s="3063"/>
      <c r="D5347" s="3064"/>
      <c r="E5347" s="3064"/>
      <c r="F5347" s="3064"/>
      <c r="G5347" s="3301" t="s">
        <v>677</v>
      </c>
      <c r="H5347" s="3063"/>
      <c r="I5347" s="3030"/>
    </row>
    <row r="5348" spans="2:9">
      <c r="B5348" s="3192" t="s">
        <v>678</v>
      </c>
      <c r="C5348" s="3063"/>
      <c r="D5348" s="3064"/>
      <c r="E5348" s="3064"/>
      <c r="F5348" s="3064"/>
      <c r="G5348" s="3301" t="s">
        <v>678</v>
      </c>
      <c r="H5348" s="3063"/>
      <c r="I5348" s="3030"/>
    </row>
    <row r="5349" spans="2:9">
      <c r="B5349" s="3192" t="s">
        <v>679</v>
      </c>
      <c r="C5349" s="3063"/>
      <c r="D5349" s="3064"/>
      <c r="E5349" s="3064"/>
      <c r="F5349" s="3064"/>
      <c r="G5349" s="3301" t="s">
        <v>679</v>
      </c>
      <c r="H5349" s="3063"/>
      <c r="I5349" s="3030"/>
    </row>
    <row r="5350" spans="2:9" ht="25.5">
      <c r="B5350" s="3192" t="s">
        <v>720</v>
      </c>
      <c r="C5350" s="3063"/>
      <c r="D5350" s="3064"/>
      <c r="E5350" s="3064"/>
      <c r="F5350" s="3064"/>
      <c r="G5350" s="3301" t="s">
        <v>720</v>
      </c>
      <c r="H5350" s="3063"/>
      <c r="I5350" s="3030"/>
    </row>
    <row r="5351" spans="2:9" ht="38.25">
      <c r="B5351" s="3299" t="s">
        <v>681</v>
      </c>
      <c r="C5351" s="3063"/>
      <c r="D5351" s="3064"/>
      <c r="E5351" s="3064"/>
      <c r="F5351" s="3064"/>
      <c r="G5351" s="3300" t="s">
        <v>681</v>
      </c>
      <c r="H5351" s="3063"/>
      <c r="I5351" s="3030"/>
    </row>
    <row r="5352" spans="2:9" ht="25.5">
      <c r="B5352" s="3192" t="s">
        <v>675</v>
      </c>
      <c r="C5352" s="3063"/>
      <c r="D5352" s="3064"/>
      <c r="E5352" s="3064"/>
      <c r="F5352" s="3064"/>
      <c r="G5352" s="3301" t="s">
        <v>675</v>
      </c>
      <c r="H5352" s="3063"/>
      <c r="I5352" s="3030"/>
    </row>
    <row r="5353" spans="2:9" ht="25.5">
      <c r="B5353" s="3192" t="s">
        <v>676</v>
      </c>
      <c r="C5353" s="3063"/>
      <c r="D5353" s="3064"/>
      <c r="E5353" s="3064"/>
      <c r="F5353" s="3064"/>
      <c r="G5353" s="3301" t="s">
        <v>676</v>
      </c>
      <c r="H5353" s="3063"/>
      <c r="I5353" s="3030"/>
    </row>
    <row r="5354" spans="2:9">
      <c r="B5354" s="3192" t="s">
        <v>677</v>
      </c>
      <c r="C5354" s="3063"/>
      <c r="D5354" s="3064"/>
      <c r="E5354" s="3064"/>
      <c r="F5354" s="3064"/>
      <c r="G5354" s="3301" t="s">
        <v>677</v>
      </c>
      <c r="H5354" s="3063"/>
      <c r="I5354" s="3030"/>
    </row>
    <row r="5355" spans="2:9">
      <c r="B5355" s="3192" t="s">
        <v>678</v>
      </c>
      <c r="C5355" s="3063"/>
      <c r="D5355" s="3064"/>
      <c r="E5355" s="3064"/>
      <c r="F5355" s="3064"/>
      <c r="G5355" s="3301" t="s">
        <v>678</v>
      </c>
      <c r="H5355" s="3063"/>
      <c r="I5355" s="3030"/>
    </row>
    <row r="5356" spans="2:9">
      <c r="B5356" s="3192" t="s">
        <v>679</v>
      </c>
      <c r="C5356" s="3063"/>
      <c r="D5356" s="3064"/>
      <c r="E5356" s="3064"/>
      <c r="F5356" s="3064"/>
      <c r="G5356" s="3301" t="s">
        <v>679</v>
      </c>
      <c r="H5356" s="3063"/>
      <c r="I5356" s="3030"/>
    </row>
    <row r="5357" spans="2:9" ht="25.5">
      <c r="B5357" s="3192" t="s">
        <v>720</v>
      </c>
      <c r="C5357" s="3063"/>
      <c r="D5357" s="3064"/>
      <c r="E5357" s="3064"/>
      <c r="F5357" s="3064"/>
      <c r="G5357" s="3301" t="s">
        <v>720</v>
      </c>
      <c r="H5357" s="3063"/>
      <c r="I5357" s="3030"/>
    </row>
    <row r="5358" spans="2:9" ht="25.5">
      <c r="B5358" s="3299" t="s">
        <v>682</v>
      </c>
      <c r="C5358" s="3063"/>
      <c r="D5358" s="3064"/>
      <c r="E5358" s="3064"/>
      <c r="F5358" s="3064"/>
      <c r="G5358" s="3300" t="s">
        <v>682</v>
      </c>
      <c r="H5358" s="3063"/>
      <c r="I5358" s="3030"/>
    </row>
    <row r="5359" spans="2:9" ht="25.5">
      <c r="B5359" s="3192" t="s">
        <v>675</v>
      </c>
      <c r="C5359" s="3063"/>
      <c r="D5359" s="3064"/>
      <c r="E5359" s="3064"/>
      <c r="F5359" s="3064"/>
      <c r="G5359" s="3301" t="s">
        <v>675</v>
      </c>
      <c r="H5359" s="3063"/>
      <c r="I5359" s="3030"/>
    </row>
    <row r="5360" spans="2:9" ht="25.5">
      <c r="B5360" s="3192" t="s">
        <v>676</v>
      </c>
      <c r="C5360" s="3063"/>
      <c r="D5360" s="3064"/>
      <c r="E5360" s="3064"/>
      <c r="F5360" s="3064"/>
      <c r="G5360" s="3301" t="s">
        <v>676</v>
      </c>
      <c r="H5360" s="3063"/>
      <c r="I5360" s="3030"/>
    </row>
    <row r="5361" spans="2:9">
      <c r="B5361" s="3192" t="s">
        <v>677</v>
      </c>
      <c r="C5361" s="3063"/>
      <c r="D5361" s="3064"/>
      <c r="E5361" s="3064"/>
      <c r="F5361" s="3064"/>
      <c r="G5361" s="3301" t="s">
        <v>677</v>
      </c>
      <c r="H5361" s="3063"/>
      <c r="I5361" s="3030"/>
    </row>
    <row r="5362" spans="2:9">
      <c r="B5362" s="3192" t="s">
        <v>678</v>
      </c>
      <c r="C5362" s="3063"/>
      <c r="D5362" s="3064"/>
      <c r="E5362" s="3064"/>
      <c r="F5362" s="3064"/>
      <c r="G5362" s="3301" t="s">
        <v>678</v>
      </c>
      <c r="H5362" s="3063"/>
      <c r="I5362" s="3030"/>
    </row>
    <row r="5363" spans="2:9">
      <c r="B5363" s="3192" t="s">
        <v>679</v>
      </c>
      <c r="C5363" s="3063"/>
      <c r="D5363" s="3064"/>
      <c r="E5363" s="3064"/>
      <c r="F5363" s="3064"/>
      <c r="G5363" s="3301" t="s">
        <v>679</v>
      </c>
      <c r="H5363" s="3063"/>
      <c r="I5363" s="3030"/>
    </row>
    <row r="5364" spans="2:9" ht="25.5">
      <c r="B5364" s="3192" t="s">
        <v>720</v>
      </c>
      <c r="C5364" s="3063"/>
      <c r="D5364" s="3064"/>
      <c r="E5364" s="3064"/>
      <c r="F5364" s="3064"/>
      <c r="G5364" s="3301" t="s">
        <v>720</v>
      </c>
      <c r="H5364" s="3063"/>
      <c r="I5364" s="3030"/>
    </row>
    <row r="5365" spans="2:9" ht="25.5">
      <c r="B5365" s="3299" t="s">
        <v>66</v>
      </c>
      <c r="C5365" s="3063"/>
      <c r="D5365" s="3064"/>
      <c r="E5365" s="3064"/>
      <c r="F5365" s="3064"/>
      <c r="G5365" s="3300" t="s">
        <v>66</v>
      </c>
      <c r="H5365" s="3063"/>
      <c r="I5365" s="3030"/>
    </row>
    <row r="5366" spans="2:9" ht="25.5">
      <c r="B5366" s="3192" t="s">
        <v>675</v>
      </c>
      <c r="C5366" s="3063"/>
      <c r="D5366" s="3064"/>
      <c r="E5366" s="3064"/>
      <c r="F5366" s="3064"/>
      <c r="G5366" s="3301" t="s">
        <v>675</v>
      </c>
      <c r="H5366" s="3063"/>
      <c r="I5366" s="3030"/>
    </row>
    <row r="5367" spans="2:9" ht="25.5">
      <c r="B5367" s="3192" t="s">
        <v>676</v>
      </c>
      <c r="C5367" s="3063"/>
      <c r="D5367" s="3064"/>
      <c r="E5367" s="3064"/>
      <c r="F5367" s="3064"/>
      <c r="G5367" s="3301" t="s">
        <v>676</v>
      </c>
      <c r="H5367" s="3063"/>
      <c r="I5367" s="3030"/>
    </row>
    <row r="5368" spans="2:9">
      <c r="B5368" s="3192" t="s">
        <v>677</v>
      </c>
      <c r="C5368" s="3063"/>
      <c r="D5368" s="3064"/>
      <c r="E5368" s="3064"/>
      <c r="F5368" s="3064"/>
      <c r="G5368" s="3301" t="s">
        <v>677</v>
      </c>
      <c r="H5368" s="3063"/>
      <c r="I5368" s="3030"/>
    </row>
    <row r="5369" spans="2:9">
      <c r="B5369" s="3192" t="s">
        <v>678</v>
      </c>
      <c r="C5369" s="3063"/>
      <c r="D5369" s="3064"/>
      <c r="E5369" s="3064"/>
      <c r="F5369" s="3064"/>
      <c r="G5369" s="3301" t="s">
        <v>678</v>
      </c>
      <c r="H5369" s="3063"/>
      <c r="I5369" s="3030"/>
    </row>
    <row r="5370" spans="2:9">
      <c r="B5370" s="3192" t="s">
        <v>679</v>
      </c>
      <c r="C5370" s="3063"/>
      <c r="D5370" s="3064"/>
      <c r="E5370" s="3064"/>
      <c r="F5370" s="3064"/>
      <c r="G5370" s="3301" t="s">
        <v>679</v>
      </c>
      <c r="H5370" s="3063"/>
      <c r="I5370" s="3030"/>
    </row>
    <row r="5371" spans="2:9" ht="25.5">
      <c r="B5371" s="3192" t="s">
        <v>720</v>
      </c>
      <c r="C5371" s="3063"/>
      <c r="D5371" s="3064"/>
      <c r="E5371" s="3064"/>
      <c r="F5371" s="3064"/>
      <c r="G5371" s="3301" t="s">
        <v>720</v>
      </c>
      <c r="H5371" s="3063"/>
      <c r="I5371" s="3030"/>
    </row>
    <row r="5372" spans="2:9">
      <c r="B5372" s="3299" t="s">
        <v>67</v>
      </c>
      <c r="C5372" s="3063"/>
      <c r="D5372" s="3064"/>
      <c r="E5372" s="3064"/>
      <c r="F5372" s="3064"/>
      <c r="G5372" s="3300" t="s">
        <v>67</v>
      </c>
      <c r="H5372" s="3063"/>
      <c r="I5372" s="3030"/>
    </row>
    <row r="5373" spans="2:9" ht="25.5">
      <c r="B5373" s="3192" t="s">
        <v>675</v>
      </c>
      <c r="C5373" s="3063"/>
      <c r="D5373" s="3064"/>
      <c r="E5373" s="3064"/>
      <c r="F5373" s="3064"/>
      <c r="G5373" s="3301" t="s">
        <v>675</v>
      </c>
      <c r="H5373" s="3063"/>
      <c r="I5373" s="3030"/>
    </row>
    <row r="5374" spans="2:9" ht="25.5">
      <c r="B5374" s="3192" t="s">
        <v>676</v>
      </c>
      <c r="C5374" s="3063"/>
      <c r="D5374" s="3064"/>
      <c r="E5374" s="3064"/>
      <c r="F5374" s="3064"/>
      <c r="G5374" s="3301" t="s">
        <v>676</v>
      </c>
      <c r="H5374" s="3063"/>
      <c r="I5374" s="3030"/>
    </row>
    <row r="5375" spans="2:9">
      <c r="B5375" s="3192" t="s">
        <v>677</v>
      </c>
      <c r="C5375" s="3063"/>
      <c r="D5375" s="3064"/>
      <c r="E5375" s="3064"/>
      <c r="F5375" s="3064"/>
      <c r="G5375" s="3301" t="s">
        <v>677</v>
      </c>
      <c r="H5375" s="3063"/>
      <c r="I5375" s="3030"/>
    </row>
    <row r="5376" spans="2:9">
      <c r="B5376" s="3192" t="s">
        <v>678</v>
      </c>
      <c r="C5376" s="3063"/>
      <c r="D5376" s="3064"/>
      <c r="E5376" s="3064"/>
      <c r="F5376" s="3064"/>
      <c r="G5376" s="3301" t="s">
        <v>678</v>
      </c>
      <c r="H5376" s="3063"/>
      <c r="I5376" s="3030"/>
    </row>
    <row r="5377" spans="2:9">
      <c r="B5377" s="3192" t="s">
        <v>679</v>
      </c>
      <c r="C5377" s="3063"/>
      <c r="D5377" s="3064"/>
      <c r="E5377" s="3064"/>
      <c r="F5377" s="3064"/>
      <c r="G5377" s="3301" t="s">
        <v>679</v>
      </c>
      <c r="H5377" s="3063"/>
      <c r="I5377" s="3030"/>
    </row>
    <row r="5378" spans="2:9" ht="25.5">
      <c r="B5378" s="3230" t="s">
        <v>81</v>
      </c>
      <c r="C5378" s="3063"/>
      <c r="D5378" s="3064"/>
      <c r="E5378" s="3064"/>
      <c r="F5378" s="3064"/>
      <c r="G5378" s="3302" t="s">
        <v>81</v>
      </c>
      <c r="H5378" s="3063"/>
      <c r="I5378" s="3030"/>
    </row>
    <row r="5379" spans="2:9" ht="26.25" thickBot="1">
      <c r="B5379" s="3303" t="s">
        <v>81</v>
      </c>
      <c r="C5379" s="3063"/>
      <c r="D5379" s="3064"/>
      <c r="E5379" s="3064"/>
      <c r="F5379" s="3064"/>
      <c r="G5379" s="3302" t="s">
        <v>81</v>
      </c>
      <c r="H5379" s="3063"/>
      <c r="I5379" s="3030"/>
    </row>
    <row r="5380" spans="2:9">
      <c r="B5380" s="3217" t="s">
        <v>697</v>
      </c>
      <c r="C5380" s="3218"/>
      <c r="D5380" s="3219"/>
      <c r="E5380" s="3219"/>
      <c r="F5380" s="3219"/>
      <c r="G5380" s="3217" t="s">
        <v>697</v>
      </c>
      <c r="H5380" s="3297"/>
      <c r="I5380" s="3298"/>
    </row>
    <row r="5381" spans="2:9">
      <c r="B5381" s="3299" t="s">
        <v>64</v>
      </c>
      <c r="C5381" s="3063"/>
      <c r="D5381" s="3064"/>
      <c r="E5381" s="3064"/>
      <c r="F5381" s="3064"/>
      <c r="G5381" s="3300" t="s">
        <v>64</v>
      </c>
      <c r="H5381" s="3063"/>
      <c r="I5381" s="3030"/>
    </row>
    <row r="5382" spans="2:9" ht="25.5">
      <c r="B5382" s="3192" t="s">
        <v>675</v>
      </c>
      <c r="C5382" s="3063"/>
      <c r="D5382" s="3064"/>
      <c r="E5382" s="3064"/>
      <c r="F5382" s="3064"/>
      <c r="G5382" s="3301" t="s">
        <v>675</v>
      </c>
      <c r="H5382" s="3063"/>
      <c r="I5382" s="3030"/>
    </row>
    <row r="5383" spans="2:9" ht="25.5">
      <c r="B5383" s="3192" t="s">
        <v>676</v>
      </c>
      <c r="C5383" s="3063"/>
      <c r="D5383" s="3064"/>
      <c r="E5383" s="3064"/>
      <c r="F5383" s="3064"/>
      <c r="G5383" s="3301" t="s">
        <v>676</v>
      </c>
      <c r="H5383" s="3063"/>
      <c r="I5383" s="3030"/>
    </row>
    <row r="5384" spans="2:9">
      <c r="B5384" s="3192" t="s">
        <v>677</v>
      </c>
      <c r="C5384" s="3063"/>
      <c r="D5384" s="3064"/>
      <c r="E5384" s="3064"/>
      <c r="F5384" s="3064"/>
      <c r="G5384" s="3301" t="s">
        <v>677</v>
      </c>
      <c r="H5384" s="3063"/>
      <c r="I5384" s="3030"/>
    </row>
    <row r="5385" spans="2:9">
      <c r="B5385" s="3192" t="s">
        <v>678</v>
      </c>
      <c r="C5385" s="3063"/>
      <c r="D5385" s="3064"/>
      <c r="E5385" s="3064"/>
      <c r="F5385" s="3064"/>
      <c r="G5385" s="3301" t="s">
        <v>678</v>
      </c>
      <c r="H5385" s="3063"/>
      <c r="I5385" s="3030"/>
    </row>
    <row r="5386" spans="2:9">
      <c r="B5386" s="3192" t="s">
        <v>679</v>
      </c>
      <c r="C5386" s="3063"/>
      <c r="D5386" s="3064"/>
      <c r="E5386" s="3064"/>
      <c r="F5386" s="3064"/>
      <c r="G5386" s="3301" t="s">
        <v>679</v>
      </c>
      <c r="H5386" s="3063"/>
      <c r="I5386" s="3030"/>
    </row>
    <row r="5387" spans="2:9" ht="25.5">
      <c r="B5387" s="3192" t="s">
        <v>720</v>
      </c>
      <c r="C5387" s="3063"/>
      <c r="D5387" s="3064"/>
      <c r="E5387" s="3064"/>
      <c r="F5387" s="3064"/>
      <c r="G5387" s="3301" t="s">
        <v>720</v>
      </c>
      <c r="H5387" s="3063"/>
      <c r="I5387" s="3030"/>
    </row>
    <row r="5388" spans="2:9">
      <c r="B5388" s="3299" t="s">
        <v>65</v>
      </c>
      <c r="C5388" s="3063"/>
      <c r="D5388" s="3064"/>
      <c r="E5388" s="3064"/>
      <c r="F5388" s="3064"/>
      <c r="G5388" s="3300" t="s">
        <v>65</v>
      </c>
      <c r="H5388" s="3063"/>
      <c r="I5388" s="3030"/>
    </row>
    <row r="5389" spans="2:9" ht="25.5">
      <c r="B5389" s="3192" t="s">
        <v>675</v>
      </c>
      <c r="C5389" s="3063"/>
      <c r="D5389" s="3064"/>
      <c r="E5389" s="3064"/>
      <c r="F5389" s="3064"/>
      <c r="G5389" s="3301" t="s">
        <v>675</v>
      </c>
      <c r="H5389" s="3063"/>
      <c r="I5389" s="3030"/>
    </row>
    <row r="5390" spans="2:9" ht="25.5">
      <c r="B5390" s="3192" t="s">
        <v>676</v>
      </c>
      <c r="C5390" s="3063"/>
      <c r="D5390" s="3064"/>
      <c r="E5390" s="3064"/>
      <c r="F5390" s="3064"/>
      <c r="G5390" s="3301" t="s">
        <v>676</v>
      </c>
      <c r="H5390" s="3063"/>
      <c r="I5390" s="3030"/>
    </row>
    <row r="5391" spans="2:9">
      <c r="B5391" s="3192" t="s">
        <v>677</v>
      </c>
      <c r="C5391" s="3063"/>
      <c r="D5391" s="3064"/>
      <c r="E5391" s="3064"/>
      <c r="F5391" s="3064"/>
      <c r="G5391" s="3301" t="s">
        <v>677</v>
      </c>
      <c r="H5391" s="3063"/>
      <c r="I5391" s="3030"/>
    </row>
    <row r="5392" spans="2:9">
      <c r="B5392" s="3192" t="s">
        <v>678</v>
      </c>
      <c r="C5392" s="3063"/>
      <c r="D5392" s="3064"/>
      <c r="E5392" s="3064"/>
      <c r="F5392" s="3064"/>
      <c r="G5392" s="3301" t="s">
        <v>678</v>
      </c>
      <c r="H5392" s="3063"/>
      <c r="I5392" s="3030"/>
    </row>
    <row r="5393" spans="2:9">
      <c r="B5393" s="3192" t="s">
        <v>679</v>
      </c>
      <c r="C5393" s="3063"/>
      <c r="D5393" s="3064"/>
      <c r="E5393" s="3064"/>
      <c r="F5393" s="3064"/>
      <c r="G5393" s="3301" t="s">
        <v>679</v>
      </c>
      <c r="H5393" s="3063"/>
      <c r="I5393" s="3030"/>
    </row>
    <row r="5394" spans="2:9" ht="25.5">
      <c r="B5394" s="3192" t="s">
        <v>720</v>
      </c>
      <c r="C5394" s="3063"/>
      <c r="D5394" s="3064"/>
      <c r="E5394" s="3064"/>
      <c r="F5394" s="3064"/>
      <c r="G5394" s="3301" t="s">
        <v>720</v>
      </c>
      <c r="H5394" s="3063"/>
      <c r="I5394" s="3030"/>
    </row>
    <row r="5395" spans="2:9">
      <c r="B5395" s="3299" t="s">
        <v>82</v>
      </c>
      <c r="C5395" s="3063"/>
      <c r="D5395" s="3064"/>
      <c r="E5395" s="3064"/>
      <c r="F5395" s="3064"/>
      <c r="G5395" s="3300" t="s">
        <v>82</v>
      </c>
      <c r="H5395" s="3063"/>
      <c r="I5395" s="3030"/>
    </row>
    <row r="5396" spans="2:9" ht="25.5">
      <c r="B5396" s="3192" t="s">
        <v>675</v>
      </c>
      <c r="C5396" s="3063"/>
      <c r="D5396" s="3064"/>
      <c r="E5396" s="3064"/>
      <c r="F5396" s="3064"/>
      <c r="G5396" s="3301" t="s">
        <v>675</v>
      </c>
      <c r="H5396" s="3063"/>
      <c r="I5396" s="3030"/>
    </row>
    <row r="5397" spans="2:9" ht="25.5">
      <c r="B5397" s="3192" t="s">
        <v>676</v>
      </c>
      <c r="C5397" s="3063"/>
      <c r="D5397" s="3064"/>
      <c r="E5397" s="3064"/>
      <c r="F5397" s="3064"/>
      <c r="G5397" s="3301" t="s">
        <v>676</v>
      </c>
      <c r="H5397" s="3063"/>
      <c r="I5397" s="3030"/>
    </row>
    <row r="5398" spans="2:9">
      <c r="B5398" s="3192" t="s">
        <v>677</v>
      </c>
      <c r="C5398" s="3063"/>
      <c r="D5398" s="3064"/>
      <c r="E5398" s="3064"/>
      <c r="F5398" s="3064"/>
      <c r="G5398" s="3301" t="s">
        <v>677</v>
      </c>
      <c r="H5398" s="3063"/>
      <c r="I5398" s="3030"/>
    </row>
    <row r="5399" spans="2:9">
      <c r="B5399" s="3192" t="s">
        <v>678</v>
      </c>
      <c r="C5399" s="3063"/>
      <c r="D5399" s="3064"/>
      <c r="E5399" s="3064"/>
      <c r="F5399" s="3064"/>
      <c r="G5399" s="3301" t="s">
        <v>678</v>
      </c>
      <c r="H5399" s="3063"/>
      <c r="I5399" s="3030"/>
    </row>
    <row r="5400" spans="2:9">
      <c r="B5400" s="3192" t="s">
        <v>679</v>
      </c>
      <c r="C5400" s="3063"/>
      <c r="D5400" s="3064"/>
      <c r="E5400" s="3064"/>
      <c r="F5400" s="3064"/>
      <c r="G5400" s="3301" t="s">
        <v>679</v>
      </c>
      <c r="H5400" s="3063"/>
      <c r="I5400" s="3030"/>
    </row>
    <row r="5401" spans="2:9" ht="25.5">
      <c r="B5401" s="3192" t="s">
        <v>720</v>
      </c>
      <c r="C5401" s="3063"/>
      <c r="D5401" s="3064"/>
      <c r="E5401" s="3064"/>
      <c r="F5401" s="3064"/>
      <c r="G5401" s="3301" t="s">
        <v>720</v>
      </c>
      <c r="H5401" s="3063"/>
      <c r="I5401" s="3030"/>
    </row>
    <row r="5402" spans="2:9" ht="38.25">
      <c r="B5402" s="3299" t="s">
        <v>680</v>
      </c>
      <c r="C5402" s="3063"/>
      <c r="D5402" s="3064"/>
      <c r="E5402" s="3064"/>
      <c r="F5402" s="3064"/>
      <c r="G5402" s="3300" t="s">
        <v>680</v>
      </c>
      <c r="H5402" s="3063"/>
      <c r="I5402" s="3030"/>
    </row>
    <row r="5403" spans="2:9" ht="25.5">
      <c r="B5403" s="3192" t="s">
        <v>675</v>
      </c>
      <c r="C5403" s="3063"/>
      <c r="D5403" s="3064"/>
      <c r="E5403" s="3064"/>
      <c r="F5403" s="3064"/>
      <c r="G5403" s="3301" t="s">
        <v>675</v>
      </c>
      <c r="H5403" s="3063"/>
      <c r="I5403" s="3030"/>
    </row>
    <row r="5404" spans="2:9" ht="25.5">
      <c r="B5404" s="3192" t="s">
        <v>676</v>
      </c>
      <c r="C5404" s="3063"/>
      <c r="D5404" s="3064"/>
      <c r="E5404" s="3064"/>
      <c r="F5404" s="3064"/>
      <c r="G5404" s="3301" t="s">
        <v>676</v>
      </c>
      <c r="H5404" s="3063"/>
      <c r="I5404" s="3030"/>
    </row>
    <row r="5405" spans="2:9">
      <c r="B5405" s="3192" t="s">
        <v>677</v>
      </c>
      <c r="C5405" s="3063"/>
      <c r="D5405" s="3064"/>
      <c r="E5405" s="3064"/>
      <c r="F5405" s="3064"/>
      <c r="G5405" s="3301" t="s">
        <v>677</v>
      </c>
      <c r="H5405" s="3063"/>
      <c r="I5405" s="3030"/>
    </row>
    <row r="5406" spans="2:9">
      <c r="B5406" s="3192" t="s">
        <v>678</v>
      </c>
      <c r="C5406" s="3063"/>
      <c r="D5406" s="3064"/>
      <c r="E5406" s="3064"/>
      <c r="F5406" s="3064"/>
      <c r="G5406" s="3301" t="s">
        <v>678</v>
      </c>
      <c r="H5406" s="3063"/>
      <c r="I5406" s="3030"/>
    </row>
    <row r="5407" spans="2:9">
      <c r="B5407" s="3192" t="s">
        <v>679</v>
      </c>
      <c r="C5407" s="3063"/>
      <c r="D5407" s="3064"/>
      <c r="E5407" s="3064"/>
      <c r="F5407" s="3064"/>
      <c r="G5407" s="3301" t="s">
        <v>679</v>
      </c>
      <c r="H5407" s="3063"/>
      <c r="I5407" s="3030"/>
    </row>
    <row r="5408" spans="2:9" ht="25.5">
      <c r="B5408" s="3192" t="s">
        <v>720</v>
      </c>
      <c r="C5408" s="3063"/>
      <c r="D5408" s="3064"/>
      <c r="E5408" s="3064"/>
      <c r="F5408" s="3064"/>
      <c r="G5408" s="3301" t="s">
        <v>720</v>
      </c>
      <c r="H5408" s="3063"/>
      <c r="I5408" s="3030"/>
    </row>
    <row r="5409" spans="2:9" ht="38.25">
      <c r="B5409" s="3299" t="s">
        <v>681</v>
      </c>
      <c r="C5409" s="3063"/>
      <c r="D5409" s="3064"/>
      <c r="E5409" s="3064"/>
      <c r="F5409" s="3064">
        <v>1</v>
      </c>
      <c r="G5409" s="3300" t="s">
        <v>681</v>
      </c>
      <c r="H5409" s="3063">
        <v>1.4355303327559292E-2</v>
      </c>
      <c r="I5409" s="3030"/>
    </row>
    <row r="5410" spans="2:9" ht="25.5">
      <c r="B5410" s="3192" t="s">
        <v>675</v>
      </c>
      <c r="C5410" s="3063">
        <v>1</v>
      </c>
      <c r="D5410" s="3064">
        <v>1</v>
      </c>
      <c r="E5410" s="3064"/>
      <c r="F5410" s="3064"/>
      <c r="G5410" s="3301" t="s">
        <v>675</v>
      </c>
      <c r="H5410" s="3063"/>
      <c r="I5410" s="3030"/>
    </row>
    <row r="5411" spans="2:9" ht="25.5">
      <c r="B5411" s="3192" t="s">
        <v>676</v>
      </c>
      <c r="C5411" s="3063"/>
      <c r="D5411" s="3064"/>
      <c r="E5411" s="3064"/>
      <c r="F5411" s="3064"/>
      <c r="G5411" s="3301" t="s">
        <v>676</v>
      </c>
      <c r="H5411" s="3063"/>
      <c r="I5411" s="3030"/>
    </row>
    <row r="5412" spans="2:9">
      <c r="B5412" s="3192" t="s">
        <v>677</v>
      </c>
      <c r="C5412" s="3063"/>
      <c r="D5412" s="3064"/>
      <c r="E5412" s="3064"/>
      <c r="F5412" s="3064"/>
      <c r="G5412" s="3301" t="s">
        <v>677</v>
      </c>
      <c r="H5412" s="3063"/>
      <c r="I5412" s="3030"/>
    </row>
    <row r="5413" spans="2:9">
      <c r="B5413" s="3192" t="s">
        <v>678</v>
      </c>
      <c r="C5413" s="3063"/>
      <c r="D5413" s="3064"/>
      <c r="E5413" s="3064"/>
      <c r="F5413" s="3064"/>
      <c r="G5413" s="3301" t="s">
        <v>678</v>
      </c>
      <c r="H5413" s="3063"/>
      <c r="I5413" s="3030"/>
    </row>
    <row r="5414" spans="2:9">
      <c r="B5414" s="3192" t="s">
        <v>679</v>
      </c>
      <c r="C5414" s="3063"/>
      <c r="D5414" s="3064">
        <v>1</v>
      </c>
      <c r="E5414" s="3064"/>
      <c r="F5414" s="3064"/>
      <c r="G5414" s="3301" t="s">
        <v>679</v>
      </c>
      <c r="H5414" s="3063"/>
      <c r="I5414" s="3030"/>
    </row>
    <row r="5415" spans="2:9" ht="25.5">
      <c r="B5415" s="3192" t="s">
        <v>720</v>
      </c>
      <c r="C5415" s="3063"/>
      <c r="D5415" s="3064"/>
      <c r="E5415" s="3064"/>
      <c r="F5415" s="3064"/>
      <c r="G5415" s="3301" t="s">
        <v>720</v>
      </c>
      <c r="H5415" s="3063"/>
      <c r="I5415" s="3030"/>
    </row>
    <row r="5416" spans="2:9" ht="25.5">
      <c r="B5416" s="3299" t="s">
        <v>682</v>
      </c>
      <c r="C5416" s="3063"/>
      <c r="D5416" s="3064"/>
      <c r="E5416" s="3064"/>
      <c r="F5416" s="3064"/>
      <c r="G5416" s="3300" t="s">
        <v>682</v>
      </c>
      <c r="H5416" s="3063"/>
      <c r="I5416" s="3030"/>
    </row>
    <row r="5417" spans="2:9" ht="25.5">
      <c r="B5417" s="3192" t="s">
        <v>675</v>
      </c>
      <c r="C5417" s="3063"/>
      <c r="D5417" s="3064"/>
      <c r="E5417" s="3064"/>
      <c r="F5417" s="3064"/>
      <c r="G5417" s="3301" t="s">
        <v>675</v>
      </c>
      <c r="H5417" s="3063"/>
      <c r="I5417" s="3030"/>
    </row>
    <row r="5418" spans="2:9" ht="25.5">
      <c r="B5418" s="3192" t="s">
        <v>676</v>
      </c>
      <c r="C5418" s="3063"/>
      <c r="D5418" s="3064"/>
      <c r="E5418" s="3064"/>
      <c r="F5418" s="3064"/>
      <c r="G5418" s="3301" t="s">
        <v>676</v>
      </c>
      <c r="H5418" s="3063"/>
      <c r="I5418" s="3030"/>
    </row>
    <row r="5419" spans="2:9">
      <c r="B5419" s="3192" t="s">
        <v>677</v>
      </c>
      <c r="C5419" s="3063"/>
      <c r="D5419" s="3064"/>
      <c r="E5419" s="3064"/>
      <c r="F5419" s="3064"/>
      <c r="G5419" s="3301" t="s">
        <v>677</v>
      </c>
      <c r="H5419" s="3063"/>
      <c r="I5419" s="3030"/>
    </row>
    <row r="5420" spans="2:9">
      <c r="B5420" s="3192" t="s">
        <v>678</v>
      </c>
      <c r="C5420" s="3063"/>
      <c r="D5420" s="3064"/>
      <c r="E5420" s="3064"/>
      <c r="F5420" s="3064"/>
      <c r="G5420" s="3301" t="s">
        <v>678</v>
      </c>
      <c r="H5420" s="3063"/>
      <c r="I5420" s="3030"/>
    </row>
    <row r="5421" spans="2:9">
      <c r="B5421" s="3192" t="s">
        <v>679</v>
      </c>
      <c r="C5421" s="3063"/>
      <c r="D5421" s="3064"/>
      <c r="E5421" s="3064"/>
      <c r="F5421" s="3064"/>
      <c r="G5421" s="3301" t="s">
        <v>679</v>
      </c>
      <c r="H5421" s="3063"/>
      <c r="I5421" s="3030"/>
    </row>
    <row r="5422" spans="2:9" ht="25.5">
      <c r="B5422" s="3192" t="s">
        <v>720</v>
      </c>
      <c r="C5422" s="3063"/>
      <c r="D5422" s="3064"/>
      <c r="E5422" s="3064"/>
      <c r="F5422" s="3064"/>
      <c r="G5422" s="3301" t="s">
        <v>720</v>
      </c>
      <c r="H5422" s="3063"/>
      <c r="I5422" s="3030"/>
    </row>
    <row r="5423" spans="2:9" ht="25.5">
      <c r="B5423" s="3299" t="s">
        <v>66</v>
      </c>
      <c r="C5423" s="3063"/>
      <c r="D5423" s="3064"/>
      <c r="E5423" s="3064"/>
      <c r="F5423" s="3064"/>
      <c r="G5423" s="3300" t="s">
        <v>66</v>
      </c>
      <c r="H5423" s="3063"/>
      <c r="I5423" s="3030"/>
    </row>
    <row r="5424" spans="2:9" ht="25.5">
      <c r="B5424" s="3192" t="s">
        <v>675</v>
      </c>
      <c r="C5424" s="3063"/>
      <c r="D5424" s="3064"/>
      <c r="E5424" s="3064"/>
      <c r="F5424" s="3064"/>
      <c r="G5424" s="3301" t="s">
        <v>675</v>
      </c>
      <c r="H5424" s="3063"/>
      <c r="I5424" s="3030"/>
    </row>
    <row r="5425" spans="2:9" ht="25.5">
      <c r="B5425" s="3192" t="s">
        <v>676</v>
      </c>
      <c r="C5425" s="3063"/>
      <c r="D5425" s="3064"/>
      <c r="E5425" s="3064"/>
      <c r="F5425" s="3064"/>
      <c r="G5425" s="3301" t="s">
        <v>676</v>
      </c>
      <c r="H5425" s="3063"/>
      <c r="I5425" s="3030"/>
    </row>
    <row r="5426" spans="2:9">
      <c r="B5426" s="3192" t="s">
        <v>677</v>
      </c>
      <c r="C5426" s="3063"/>
      <c r="D5426" s="3064"/>
      <c r="E5426" s="3064"/>
      <c r="F5426" s="3064"/>
      <c r="G5426" s="3301" t="s">
        <v>677</v>
      </c>
      <c r="H5426" s="3063"/>
      <c r="I5426" s="3030"/>
    </row>
    <row r="5427" spans="2:9">
      <c r="B5427" s="3192" t="s">
        <v>678</v>
      </c>
      <c r="C5427" s="3063"/>
      <c r="D5427" s="3064"/>
      <c r="E5427" s="3064"/>
      <c r="F5427" s="3064"/>
      <c r="G5427" s="3301" t="s">
        <v>678</v>
      </c>
      <c r="H5427" s="3063"/>
      <c r="I5427" s="3030"/>
    </row>
    <row r="5428" spans="2:9">
      <c r="B5428" s="3192" t="s">
        <v>679</v>
      </c>
      <c r="C5428" s="3063"/>
      <c r="D5428" s="3064"/>
      <c r="E5428" s="3064"/>
      <c r="F5428" s="3064"/>
      <c r="G5428" s="3301" t="s">
        <v>679</v>
      </c>
      <c r="H5428" s="3063"/>
      <c r="I5428" s="3030"/>
    </row>
    <row r="5429" spans="2:9" ht="25.5">
      <c r="B5429" s="3192" t="s">
        <v>720</v>
      </c>
      <c r="C5429" s="3063"/>
      <c r="D5429" s="3064"/>
      <c r="E5429" s="3064"/>
      <c r="F5429" s="3064"/>
      <c r="G5429" s="3301" t="s">
        <v>720</v>
      </c>
      <c r="H5429" s="3063"/>
      <c r="I5429" s="3030"/>
    </row>
    <row r="5430" spans="2:9">
      <c r="B5430" s="3299" t="s">
        <v>67</v>
      </c>
      <c r="C5430" s="3063"/>
      <c r="D5430" s="3064"/>
      <c r="E5430" s="3064"/>
      <c r="F5430" s="3064"/>
      <c r="G5430" s="3300" t="s">
        <v>67</v>
      </c>
      <c r="H5430" s="3063"/>
      <c r="I5430" s="3030"/>
    </row>
    <row r="5431" spans="2:9" ht="25.5">
      <c r="B5431" s="3192" t="s">
        <v>675</v>
      </c>
      <c r="C5431" s="3063"/>
      <c r="D5431" s="3064"/>
      <c r="E5431" s="3064"/>
      <c r="F5431" s="3064"/>
      <c r="G5431" s="3301" t="s">
        <v>675</v>
      </c>
      <c r="H5431" s="3063"/>
      <c r="I5431" s="3030"/>
    </row>
    <row r="5432" spans="2:9" ht="25.5">
      <c r="B5432" s="3192" t="s">
        <v>676</v>
      </c>
      <c r="C5432" s="3063"/>
      <c r="D5432" s="3064"/>
      <c r="E5432" s="3064"/>
      <c r="F5432" s="3064"/>
      <c r="G5432" s="3301" t="s">
        <v>676</v>
      </c>
      <c r="H5432" s="3063"/>
      <c r="I5432" s="3030"/>
    </row>
    <row r="5433" spans="2:9">
      <c r="B5433" s="3192" t="s">
        <v>677</v>
      </c>
      <c r="C5433" s="3063"/>
      <c r="D5433" s="3064"/>
      <c r="E5433" s="3064"/>
      <c r="F5433" s="3064"/>
      <c r="G5433" s="3301" t="s">
        <v>677</v>
      </c>
      <c r="H5433" s="3063"/>
      <c r="I5433" s="3030"/>
    </row>
    <row r="5434" spans="2:9">
      <c r="B5434" s="3192" t="s">
        <v>678</v>
      </c>
      <c r="C5434" s="3063">
        <v>1</v>
      </c>
      <c r="D5434" s="3064"/>
      <c r="E5434" s="3064"/>
      <c r="F5434" s="3064"/>
      <c r="G5434" s="3301" t="s">
        <v>678</v>
      </c>
      <c r="H5434" s="3063"/>
      <c r="I5434" s="3030"/>
    </row>
    <row r="5435" spans="2:9">
      <c r="B5435" s="3192" t="s">
        <v>679</v>
      </c>
      <c r="C5435" s="3063"/>
      <c r="D5435" s="3064"/>
      <c r="E5435" s="3064"/>
      <c r="F5435" s="3064"/>
      <c r="G5435" s="3301" t="s">
        <v>679</v>
      </c>
      <c r="H5435" s="3063"/>
      <c r="I5435" s="3030"/>
    </row>
    <row r="5436" spans="2:9" ht="25.5">
      <c r="B5436" s="3230" t="s">
        <v>81</v>
      </c>
      <c r="C5436" s="3063"/>
      <c r="D5436" s="3064"/>
      <c r="E5436" s="3064"/>
      <c r="F5436" s="3064"/>
      <c r="G5436" s="3302" t="s">
        <v>81</v>
      </c>
      <c r="H5436" s="3063"/>
      <c r="I5436" s="3030"/>
    </row>
    <row r="5437" spans="2:9" ht="26.25" thickBot="1">
      <c r="B5437" s="3303" t="s">
        <v>81</v>
      </c>
      <c r="C5437" s="3068"/>
      <c r="D5437" s="3069"/>
      <c r="E5437" s="3069"/>
      <c r="F5437" s="3069"/>
      <c r="G5437" s="3304" t="s">
        <v>81</v>
      </c>
      <c r="H5437" s="3068"/>
      <c r="I5437" s="3070"/>
    </row>
    <row r="5438" spans="2:9" ht="38.25">
      <c r="B5438" s="4723">
        <v>3034</v>
      </c>
      <c r="C5438" s="3289"/>
      <c r="D5438" s="3290"/>
      <c r="E5438" s="3290"/>
      <c r="F5438" s="3290"/>
      <c r="G5438" s="4723">
        <v>3034</v>
      </c>
      <c r="H5438" s="3291" t="s">
        <v>687</v>
      </c>
      <c r="I5438" s="3292" t="s">
        <v>688</v>
      </c>
    </row>
    <row r="5439" spans="2:9">
      <c r="B5439" s="4724"/>
      <c r="C5439" s="4678" t="s">
        <v>686</v>
      </c>
      <c r="D5439" s="4725"/>
      <c r="E5439" s="4725"/>
      <c r="F5439" s="4726"/>
      <c r="G5439" s="4724"/>
      <c r="H5439" s="3293"/>
      <c r="I5439" s="3294"/>
    </row>
    <row r="5440" spans="2:9" ht="13.5" thickBot="1">
      <c r="B5440" s="4724"/>
      <c r="C5440" s="3215">
        <v>2013</v>
      </c>
      <c r="D5440" s="3215">
        <v>2014</v>
      </c>
      <c r="E5440" s="3215">
        <v>2015</v>
      </c>
      <c r="F5440" s="3215">
        <v>2016</v>
      </c>
      <c r="G5440" s="4724"/>
      <c r="H5440" s="3295" t="s">
        <v>390</v>
      </c>
      <c r="I5440" s="3296" t="s">
        <v>390</v>
      </c>
    </row>
    <row r="5441" spans="2:9">
      <c r="B5441" s="3217" t="s">
        <v>695</v>
      </c>
      <c r="C5441" s="3218"/>
      <c r="D5441" s="3219"/>
      <c r="E5441" s="3219"/>
      <c r="F5441" s="3219"/>
      <c r="G5441" s="3217" t="s">
        <v>695</v>
      </c>
      <c r="H5441" s="3297"/>
      <c r="I5441" s="3298"/>
    </row>
    <row r="5442" spans="2:9">
      <c r="B5442" s="3299" t="s">
        <v>64</v>
      </c>
      <c r="C5442" s="3063"/>
      <c r="D5442" s="3064"/>
      <c r="E5442" s="3064"/>
      <c r="F5442" s="3064"/>
      <c r="G5442" s="3300" t="s">
        <v>64</v>
      </c>
      <c r="H5442" s="3063"/>
      <c r="I5442" s="3030"/>
    </row>
    <row r="5443" spans="2:9" ht="25.5">
      <c r="B5443" s="3192" t="s">
        <v>675</v>
      </c>
      <c r="C5443" s="3063"/>
      <c r="D5443" s="3064"/>
      <c r="E5443" s="3064"/>
      <c r="F5443" s="3064"/>
      <c r="G5443" s="3301" t="s">
        <v>675</v>
      </c>
      <c r="H5443" s="3063"/>
      <c r="I5443" s="3030"/>
    </row>
    <row r="5444" spans="2:9" ht="25.5">
      <c r="B5444" s="3192" t="s">
        <v>676</v>
      </c>
      <c r="C5444" s="3063"/>
      <c r="D5444" s="3064"/>
      <c r="E5444" s="3064"/>
      <c r="F5444" s="3064"/>
      <c r="G5444" s="3301" t="s">
        <v>676</v>
      </c>
      <c r="H5444" s="3063"/>
      <c r="I5444" s="3030"/>
    </row>
    <row r="5445" spans="2:9">
      <c r="B5445" s="3192" t="s">
        <v>677</v>
      </c>
      <c r="C5445" s="3063"/>
      <c r="D5445" s="3064"/>
      <c r="E5445" s="3064"/>
      <c r="F5445" s="3064"/>
      <c r="G5445" s="3301" t="s">
        <v>677</v>
      </c>
      <c r="H5445" s="3063"/>
      <c r="I5445" s="3030"/>
    </row>
    <row r="5446" spans="2:9">
      <c r="B5446" s="3192" t="s">
        <v>678</v>
      </c>
      <c r="C5446" s="3063"/>
      <c r="D5446" s="3064"/>
      <c r="E5446" s="3064"/>
      <c r="F5446" s="3064"/>
      <c r="G5446" s="3301" t="s">
        <v>678</v>
      </c>
      <c r="H5446" s="3063"/>
      <c r="I5446" s="3030"/>
    </row>
    <row r="5447" spans="2:9">
      <c r="B5447" s="3192" t="s">
        <v>679</v>
      </c>
      <c r="C5447" s="3063"/>
      <c r="D5447" s="3064"/>
      <c r="E5447" s="3064"/>
      <c r="F5447" s="3064"/>
      <c r="G5447" s="3301" t="s">
        <v>679</v>
      </c>
      <c r="H5447" s="3063"/>
      <c r="I5447" s="3030"/>
    </row>
    <row r="5448" spans="2:9" ht="25.5">
      <c r="B5448" s="3192" t="s">
        <v>720</v>
      </c>
      <c r="C5448" s="3063"/>
      <c r="D5448" s="3064"/>
      <c r="E5448" s="3064"/>
      <c r="F5448" s="3064"/>
      <c r="G5448" s="3301" t="s">
        <v>720</v>
      </c>
      <c r="H5448" s="3063"/>
      <c r="I5448" s="3030"/>
    </row>
    <row r="5449" spans="2:9">
      <c r="B5449" s="3299" t="s">
        <v>65</v>
      </c>
      <c r="C5449" s="3063"/>
      <c r="D5449" s="3064"/>
      <c r="E5449" s="3064"/>
      <c r="F5449" s="3064"/>
      <c r="G5449" s="3300" t="s">
        <v>65</v>
      </c>
      <c r="H5449" s="3063"/>
      <c r="I5449" s="3030"/>
    </row>
    <row r="5450" spans="2:9" ht="25.5">
      <c r="B5450" s="3192" t="s">
        <v>675</v>
      </c>
      <c r="C5450" s="3063"/>
      <c r="D5450" s="3064"/>
      <c r="E5450" s="3064"/>
      <c r="F5450" s="3064"/>
      <c r="G5450" s="3301" t="s">
        <v>675</v>
      </c>
      <c r="H5450" s="3063"/>
      <c r="I5450" s="3030"/>
    </row>
    <row r="5451" spans="2:9" ht="25.5">
      <c r="B5451" s="3192" t="s">
        <v>676</v>
      </c>
      <c r="C5451" s="3063"/>
      <c r="D5451" s="3064"/>
      <c r="E5451" s="3064"/>
      <c r="F5451" s="3064"/>
      <c r="G5451" s="3301" t="s">
        <v>676</v>
      </c>
      <c r="H5451" s="3063"/>
      <c r="I5451" s="3030"/>
    </row>
    <row r="5452" spans="2:9">
      <c r="B5452" s="3192" t="s">
        <v>677</v>
      </c>
      <c r="C5452" s="3063"/>
      <c r="D5452" s="3064"/>
      <c r="E5452" s="3064"/>
      <c r="F5452" s="3064"/>
      <c r="G5452" s="3301" t="s">
        <v>677</v>
      </c>
      <c r="H5452" s="3063"/>
      <c r="I5452" s="3030"/>
    </row>
    <row r="5453" spans="2:9">
      <c r="B5453" s="3192" t="s">
        <v>678</v>
      </c>
      <c r="C5453" s="3063"/>
      <c r="D5453" s="3064"/>
      <c r="E5453" s="3064"/>
      <c r="F5453" s="3064"/>
      <c r="G5453" s="3301" t="s">
        <v>678</v>
      </c>
      <c r="H5453" s="3063"/>
      <c r="I5453" s="3030"/>
    </row>
    <row r="5454" spans="2:9">
      <c r="B5454" s="3192" t="s">
        <v>679</v>
      </c>
      <c r="C5454" s="3063"/>
      <c r="D5454" s="3064"/>
      <c r="E5454" s="3064"/>
      <c r="F5454" s="3064"/>
      <c r="G5454" s="3301" t="s">
        <v>679</v>
      </c>
      <c r="H5454" s="3063"/>
      <c r="I5454" s="3030"/>
    </row>
    <row r="5455" spans="2:9" ht="25.5">
      <c r="B5455" s="3192" t="s">
        <v>720</v>
      </c>
      <c r="C5455" s="3063"/>
      <c r="D5455" s="3064"/>
      <c r="E5455" s="3064"/>
      <c r="F5455" s="3064"/>
      <c r="G5455" s="3301" t="s">
        <v>720</v>
      </c>
      <c r="H5455" s="3063"/>
      <c r="I5455" s="3030"/>
    </row>
    <row r="5456" spans="2:9">
      <c r="B5456" s="3299" t="s">
        <v>82</v>
      </c>
      <c r="C5456" s="3063"/>
      <c r="D5456" s="3064"/>
      <c r="E5456" s="3064"/>
      <c r="F5456" s="3064"/>
      <c r="G5456" s="3300" t="s">
        <v>82</v>
      </c>
      <c r="H5456" s="3063"/>
      <c r="I5456" s="3030"/>
    </row>
    <row r="5457" spans="2:9" ht="25.5">
      <c r="B5457" s="3192" t="s">
        <v>675</v>
      </c>
      <c r="C5457" s="3063"/>
      <c r="D5457" s="3064"/>
      <c r="E5457" s="3064"/>
      <c r="F5457" s="3064"/>
      <c r="G5457" s="3301" t="s">
        <v>675</v>
      </c>
      <c r="H5457" s="3063"/>
      <c r="I5457" s="3030"/>
    </row>
    <row r="5458" spans="2:9" ht="25.5">
      <c r="B5458" s="3192" t="s">
        <v>676</v>
      </c>
      <c r="C5458" s="3063"/>
      <c r="D5458" s="3064"/>
      <c r="E5458" s="3064"/>
      <c r="F5458" s="3064"/>
      <c r="G5458" s="3301" t="s">
        <v>676</v>
      </c>
      <c r="H5458" s="3063"/>
      <c r="I5458" s="3030"/>
    </row>
    <row r="5459" spans="2:9">
      <c r="B5459" s="3192" t="s">
        <v>677</v>
      </c>
      <c r="C5459" s="3063"/>
      <c r="D5459" s="3064"/>
      <c r="E5459" s="3064"/>
      <c r="F5459" s="3064"/>
      <c r="G5459" s="3301" t="s">
        <v>677</v>
      </c>
      <c r="H5459" s="3063"/>
      <c r="I5459" s="3030"/>
    </row>
    <row r="5460" spans="2:9">
      <c r="B5460" s="3192" t="s">
        <v>678</v>
      </c>
      <c r="C5460" s="3063"/>
      <c r="D5460" s="3064"/>
      <c r="E5460" s="3064"/>
      <c r="F5460" s="3064"/>
      <c r="G5460" s="3301" t="s">
        <v>678</v>
      </c>
      <c r="H5460" s="3063"/>
      <c r="I5460" s="3030"/>
    </row>
    <row r="5461" spans="2:9">
      <c r="B5461" s="3192" t="s">
        <v>679</v>
      </c>
      <c r="C5461" s="3063"/>
      <c r="D5461" s="3064"/>
      <c r="E5461" s="3064"/>
      <c r="F5461" s="3064"/>
      <c r="G5461" s="3301" t="s">
        <v>679</v>
      </c>
      <c r="H5461" s="3063"/>
      <c r="I5461" s="3030"/>
    </row>
    <row r="5462" spans="2:9" ht="25.5">
      <c r="B5462" s="3192" t="s">
        <v>720</v>
      </c>
      <c r="C5462" s="3063"/>
      <c r="D5462" s="3064"/>
      <c r="E5462" s="3064"/>
      <c r="F5462" s="3064"/>
      <c r="G5462" s="3301" t="s">
        <v>720</v>
      </c>
      <c r="H5462" s="3063"/>
      <c r="I5462" s="3030"/>
    </row>
    <row r="5463" spans="2:9" ht="38.25">
      <c r="B5463" s="3299" t="s">
        <v>680</v>
      </c>
      <c r="C5463" s="3063"/>
      <c r="D5463" s="3064"/>
      <c r="E5463" s="3064"/>
      <c r="F5463" s="3064"/>
      <c r="G5463" s="3300" t="s">
        <v>680</v>
      </c>
      <c r="H5463" s="3063"/>
      <c r="I5463" s="3030"/>
    </row>
    <row r="5464" spans="2:9" ht="25.5">
      <c r="B5464" s="3192" t="s">
        <v>675</v>
      </c>
      <c r="C5464" s="3063"/>
      <c r="D5464" s="3064"/>
      <c r="E5464" s="3064"/>
      <c r="F5464" s="3064"/>
      <c r="G5464" s="3301" t="s">
        <v>675</v>
      </c>
      <c r="H5464" s="3063"/>
      <c r="I5464" s="3030"/>
    </row>
    <row r="5465" spans="2:9" ht="25.5">
      <c r="B5465" s="3192" t="s">
        <v>676</v>
      </c>
      <c r="C5465" s="3063"/>
      <c r="D5465" s="3064"/>
      <c r="E5465" s="3064"/>
      <c r="F5465" s="3064"/>
      <c r="G5465" s="3301" t="s">
        <v>676</v>
      </c>
      <c r="H5465" s="3063"/>
      <c r="I5465" s="3030"/>
    </row>
    <row r="5466" spans="2:9">
      <c r="B5466" s="3192" t="s">
        <v>677</v>
      </c>
      <c r="C5466" s="3063"/>
      <c r="D5466" s="3064"/>
      <c r="E5466" s="3064"/>
      <c r="F5466" s="3064"/>
      <c r="G5466" s="3301" t="s">
        <v>677</v>
      </c>
      <c r="H5466" s="3063"/>
      <c r="I5466" s="3030"/>
    </row>
    <row r="5467" spans="2:9">
      <c r="B5467" s="3192" t="s">
        <v>678</v>
      </c>
      <c r="C5467" s="3063"/>
      <c r="D5467" s="3064"/>
      <c r="E5467" s="3064"/>
      <c r="F5467" s="3064"/>
      <c r="G5467" s="3301" t="s">
        <v>678</v>
      </c>
      <c r="H5467" s="3063"/>
      <c r="I5467" s="3030"/>
    </row>
    <row r="5468" spans="2:9">
      <c r="B5468" s="3192" t="s">
        <v>679</v>
      </c>
      <c r="C5468" s="3063"/>
      <c r="D5468" s="3064"/>
      <c r="E5468" s="3064"/>
      <c r="F5468" s="3064"/>
      <c r="G5468" s="3301" t="s">
        <v>679</v>
      </c>
      <c r="H5468" s="3063"/>
      <c r="I5468" s="3030"/>
    </row>
    <row r="5469" spans="2:9" ht="25.5">
      <c r="B5469" s="3192" t="s">
        <v>720</v>
      </c>
      <c r="C5469" s="3063"/>
      <c r="D5469" s="3064"/>
      <c r="E5469" s="3064"/>
      <c r="F5469" s="3064"/>
      <c r="G5469" s="3301" t="s">
        <v>720</v>
      </c>
      <c r="H5469" s="3063"/>
      <c r="I5469" s="3030"/>
    </row>
    <row r="5470" spans="2:9" ht="38.25">
      <c r="B5470" s="3299" t="s">
        <v>681</v>
      </c>
      <c r="C5470" s="3063"/>
      <c r="D5470" s="3064"/>
      <c r="E5470" s="3064"/>
      <c r="F5470" s="3064"/>
      <c r="G5470" s="3300" t="s">
        <v>681</v>
      </c>
      <c r="H5470" s="3063"/>
      <c r="I5470" s="3030"/>
    </row>
    <row r="5471" spans="2:9" ht="25.5">
      <c r="B5471" s="3192" t="s">
        <v>675</v>
      </c>
      <c r="C5471" s="3063"/>
      <c r="D5471" s="3064"/>
      <c r="E5471" s="3064"/>
      <c r="F5471" s="3064"/>
      <c r="G5471" s="3301" t="s">
        <v>675</v>
      </c>
      <c r="H5471" s="3063"/>
      <c r="I5471" s="3030"/>
    </row>
    <row r="5472" spans="2:9" ht="25.5">
      <c r="B5472" s="3192" t="s">
        <v>676</v>
      </c>
      <c r="C5472" s="3063"/>
      <c r="D5472" s="3064"/>
      <c r="E5472" s="3064"/>
      <c r="F5472" s="3064"/>
      <c r="G5472" s="3301" t="s">
        <v>676</v>
      </c>
      <c r="H5472" s="3063"/>
      <c r="I5472" s="3030"/>
    </row>
    <row r="5473" spans="2:9">
      <c r="B5473" s="3192" t="s">
        <v>677</v>
      </c>
      <c r="C5473" s="3063"/>
      <c r="D5473" s="3064"/>
      <c r="E5473" s="3064"/>
      <c r="F5473" s="3064"/>
      <c r="G5473" s="3301" t="s">
        <v>677</v>
      </c>
      <c r="H5473" s="3063"/>
      <c r="I5473" s="3030"/>
    </row>
    <row r="5474" spans="2:9">
      <c r="B5474" s="3192" t="s">
        <v>678</v>
      </c>
      <c r="C5474" s="3063"/>
      <c r="D5474" s="3064"/>
      <c r="E5474" s="3064"/>
      <c r="F5474" s="3064"/>
      <c r="G5474" s="3301" t="s">
        <v>678</v>
      </c>
      <c r="H5474" s="3063"/>
      <c r="I5474" s="3030"/>
    </row>
    <row r="5475" spans="2:9">
      <c r="B5475" s="3192" t="s">
        <v>679</v>
      </c>
      <c r="C5475" s="3063"/>
      <c r="D5475" s="3064"/>
      <c r="E5475" s="3064"/>
      <c r="F5475" s="3064"/>
      <c r="G5475" s="3301" t="s">
        <v>679</v>
      </c>
      <c r="H5475" s="3063"/>
      <c r="I5475" s="3030"/>
    </row>
    <row r="5476" spans="2:9" ht="25.5">
      <c r="B5476" s="3192" t="s">
        <v>720</v>
      </c>
      <c r="C5476" s="3063"/>
      <c r="D5476" s="3064"/>
      <c r="E5476" s="3064"/>
      <c r="F5476" s="3064"/>
      <c r="G5476" s="3301" t="s">
        <v>720</v>
      </c>
      <c r="H5476" s="3063"/>
      <c r="I5476" s="3030"/>
    </row>
    <row r="5477" spans="2:9" ht="25.5">
      <c r="B5477" s="3299" t="s">
        <v>682</v>
      </c>
      <c r="C5477" s="3063"/>
      <c r="D5477" s="3064"/>
      <c r="E5477" s="3064"/>
      <c r="F5477" s="3064"/>
      <c r="G5477" s="3300" t="s">
        <v>682</v>
      </c>
      <c r="H5477" s="3063"/>
      <c r="I5477" s="3030"/>
    </row>
    <row r="5478" spans="2:9" ht="25.5">
      <c r="B5478" s="3192" t="s">
        <v>675</v>
      </c>
      <c r="C5478" s="3063"/>
      <c r="D5478" s="3064"/>
      <c r="E5478" s="3064"/>
      <c r="F5478" s="3064"/>
      <c r="G5478" s="3301" t="s">
        <v>675</v>
      </c>
      <c r="H5478" s="3063"/>
      <c r="I5478" s="3030"/>
    </row>
    <row r="5479" spans="2:9" ht="25.5">
      <c r="B5479" s="3192" t="s">
        <v>676</v>
      </c>
      <c r="C5479" s="3063"/>
      <c r="D5479" s="3064"/>
      <c r="E5479" s="3064"/>
      <c r="F5479" s="3064"/>
      <c r="G5479" s="3301" t="s">
        <v>676</v>
      </c>
      <c r="H5479" s="3063"/>
      <c r="I5479" s="3030"/>
    </row>
    <row r="5480" spans="2:9">
      <c r="B5480" s="3192" t="s">
        <v>677</v>
      </c>
      <c r="C5480" s="3063"/>
      <c r="D5480" s="3064"/>
      <c r="E5480" s="3064"/>
      <c r="F5480" s="3064"/>
      <c r="G5480" s="3301" t="s">
        <v>677</v>
      </c>
      <c r="H5480" s="3063"/>
      <c r="I5480" s="3030"/>
    </row>
    <row r="5481" spans="2:9">
      <c r="B5481" s="3192" t="s">
        <v>678</v>
      </c>
      <c r="C5481" s="3063"/>
      <c r="D5481" s="3064"/>
      <c r="E5481" s="3064"/>
      <c r="F5481" s="3064"/>
      <c r="G5481" s="3301" t="s">
        <v>678</v>
      </c>
      <c r="H5481" s="3063"/>
      <c r="I5481" s="3030"/>
    </row>
    <row r="5482" spans="2:9">
      <c r="B5482" s="3192" t="s">
        <v>679</v>
      </c>
      <c r="C5482" s="3063"/>
      <c r="D5482" s="3064"/>
      <c r="E5482" s="3064"/>
      <c r="F5482" s="3064"/>
      <c r="G5482" s="3301" t="s">
        <v>679</v>
      </c>
      <c r="H5482" s="3063"/>
      <c r="I5482" s="3030"/>
    </row>
    <row r="5483" spans="2:9" ht="25.5">
      <c r="B5483" s="3192" t="s">
        <v>720</v>
      </c>
      <c r="C5483" s="3063"/>
      <c r="D5483" s="3064"/>
      <c r="E5483" s="3064"/>
      <c r="F5483" s="3064"/>
      <c r="G5483" s="3301" t="s">
        <v>720</v>
      </c>
      <c r="H5483" s="3063"/>
      <c r="I5483" s="3030"/>
    </row>
    <row r="5484" spans="2:9" ht="25.5">
      <c r="B5484" s="3299" t="s">
        <v>66</v>
      </c>
      <c r="C5484" s="3063"/>
      <c r="D5484" s="3064"/>
      <c r="E5484" s="3064"/>
      <c r="F5484" s="3064"/>
      <c r="G5484" s="3300" t="s">
        <v>66</v>
      </c>
      <c r="H5484" s="3063"/>
      <c r="I5484" s="3030"/>
    </row>
    <row r="5485" spans="2:9" ht="25.5">
      <c r="B5485" s="3192" t="s">
        <v>675</v>
      </c>
      <c r="C5485" s="3063"/>
      <c r="D5485" s="3064"/>
      <c r="E5485" s="3064"/>
      <c r="F5485" s="3064"/>
      <c r="G5485" s="3301" t="s">
        <v>675</v>
      </c>
      <c r="H5485" s="3063"/>
      <c r="I5485" s="3030"/>
    </row>
    <row r="5486" spans="2:9" ht="25.5">
      <c r="B5486" s="3192" t="s">
        <v>676</v>
      </c>
      <c r="C5486" s="3063"/>
      <c r="D5486" s="3064"/>
      <c r="E5486" s="3064"/>
      <c r="F5486" s="3064"/>
      <c r="G5486" s="3301" t="s">
        <v>676</v>
      </c>
      <c r="H5486" s="3063"/>
      <c r="I5486" s="3030"/>
    </row>
    <row r="5487" spans="2:9">
      <c r="B5487" s="3192" t="s">
        <v>677</v>
      </c>
      <c r="C5487" s="3063"/>
      <c r="D5487" s="3064"/>
      <c r="E5487" s="3064"/>
      <c r="F5487" s="3064"/>
      <c r="G5487" s="3301" t="s">
        <v>677</v>
      </c>
      <c r="H5487" s="3063"/>
      <c r="I5487" s="3030"/>
    </row>
    <row r="5488" spans="2:9">
      <c r="B5488" s="3192" t="s">
        <v>678</v>
      </c>
      <c r="C5488" s="3063"/>
      <c r="D5488" s="3064"/>
      <c r="E5488" s="3064"/>
      <c r="F5488" s="3064"/>
      <c r="G5488" s="3301" t="s">
        <v>678</v>
      </c>
      <c r="H5488" s="3063"/>
      <c r="I5488" s="3030"/>
    </row>
    <row r="5489" spans="2:9">
      <c r="B5489" s="3192" t="s">
        <v>679</v>
      </c>
      <c r="C5489" s="3063"/>
      <c r="D5489" s="3064"/>
      <c r="E5489" s="3064"/>
      <c r="F5489" s="3064"/>
      <c r="G5489" s="3301" t="s">
        <v>679</v>
      </c>
      <c r="H5489" s="3063"/>
      <c r="I5489" s="3030"/>
    </row>
    <row r="5490" spans="2:9" ht="25.5">
      <c r="B5490" s="3192" t="s">
        <v>720</v>
      </c>
      <c r="C5490" s="3063"/>
      <c r="D5490" s="3064"/>
      <c r="E5490" s="3064"/>
      <c r="F5490" s="3064"/>
      <c r="G5490" s="3301" t="s">
        <v>720</v>
      </c>
      <c r="H5490" s="3063"/>
      <c r="I5490" s="3030"/>
    </row>
    <row r="5491" spans="2:9">
      <c r="B5491" s="3299" t="s">
        <v>67</v>
      </c>
      <c r="C5491" s="3063"/>
      <c r="D5491" s="3064"/>
      <c r="E5491" s="3064"/>
      <c r="F5491" s="3064"/>
      <c r="G5491" s="3300" t="s">
        <v>67</v>
      </c>
      <c r="H5491" s="3063"/>
      <c r="I5491" s="3030"/>
    </row>
    <row r="5492" spans="2:9" ht="25.5">
      <c r="B5492" s="3192" t="s">
        <v>675</v>
      </c>
      <c r="C5492" s="3063"/>
      <c r="D5492" s="3064"/>
      <c r="E5492" s="3064"/>
      <c r="F5492" s="3064"/>
      <c r="G5492" s="3301" t="s">
        <v>675</v>
      </c>
      <c r="H5492" s="3063"/>
      <c r="I5492" s="3030"/>
    </row>
    <row r="5493" spans="2:9" ht="25.5">
      <c r="B5493" s="3192" t="s">
        <v>676</v>
      </c>
      <c r="C5493" s="3063"/>
      <c r="D5493" s="3064"/>
      <c r="E5493" s="3064"/>
      <c r="F5493" s="3064"/>
      <c r="G5493" s="3301" t="s">
        <v>676</v>
      </c>
      <c r="H5493" s="3063"/>
      <c r="I5493" s="3030"/>
    </row>
    <row r="5494" spans="2:9">
      <c r="B5494" s="3192" t="s">
        <v>677</v>
      </c>
      <c r="C5494" s="3063"/>
      <c r="D5494" s="3064"/>
      <c r="E5494" s="3064"/>
      <c r="F5494" s="3064"/>
      <c r="G5494" s="3301" t="s">
        <v>677</v>
      </c>
      <c r="H5494" s="3063"/>
      <c r="I5494" s="3030"/>
    </row>
    <row r="5495" spans="2:9">
      <c r="B5495" s="3192" t="s">
        <v>678</v>
      </c>
      <c r="C5495" s="3063"/>
      <c r="D5495" s="3064"/>
      <c r="E5495" s="3064"/>
      <c r="F5495" s="3064"/>
      <c r="G5495" s="3301" t="s">
        <v>678</v>
      </c>
      <c r="H5495" s="3063"/>
      <c r="I5495" s="3030"/>
    </row>
    <row r="5496" spans="2:9">
      <c r="B5496" s="3192" t="s">
        <v>679</v>
      </c>
      <c r="C5496" s="3063"/>
      <c r="D5496" s="3064"/>
      <c r="E5496" s="3064"/>
      <c r="F5496" s="3064"/>
      <c r="G5496" s="3301" t="s">
        <v>679</v>
      </c>
      <c r="H5496" s="3063"/>
      <c r="I5496" s="3030"/>
    </row>
    <row r="5497" spans="2:9" ht="25.5">
      <c r="B5497" s="3192" t="s">
        <v>720</v>
      </c>
      <c r="C5497" s="3063"/>
      <c r="D5497" s="3064"/>
      <c r="E5497" s="3064"/>
      <c r="F5497" s="3064"/>
      <c r="G5497" s="3301" t="s">
        <v>720</v>
      </c>
      <c r="H5497" s="3063"/>
      <c r="I5497" s="3030"/>
    </row>
    <row r="5498" spans="2:9" ht="25.5">
      <c r="B5498" s="3230" t="s">
        <v>81</v>
      </c>
      <c r="C5498" s="3063"/>
      <c r="D5498" s="3064"/>
      <c r="E5498" s="3064"/>
      <c r="F5498" s="3064"/>
      <c r="G5498" s="3302" t="s">
        <v>81</v>
      </c>
      <c r="H5498" s="3063"/>
      <c r="I5498" s="3030"/>
    </row>
    <row r="5499" spans="2:9" ht="26.25" thickBot="1">
      <c r="B5499" s="3303" t="s">
        <v>81</v>
      </c>
      <c r="C5499" s="3063"/>
      <c r="D5499" s="3064"/>
      <c r="E5499" s="3064"/>
      <c r="F5499" s="3064"/>
      <c r="G5499" s="3302" t="s">
        <v>81</v>
      </c>
      <c r="H5499" s="3063"/>
      <c r="I5499" s="3030"/>
    </row>
    <row r="5500" spans="2:9" ht="25.5">
      <c r="B5500" s="3217" t="s">
        <v>696</v>
      </c>
      <c r="C5500" s="3218"/>
      <c r="D5500" s="3219"/>
      <c r="E5500" s="3219"/>
      <c r="F5500" s="3219"/>
      <c r="G5500" s="3217" t="s">
        <v>696</v>
      </c>
      <c r="H5500" s="3297"/>
      <c r="I5500" s="3298"/>
    </row>
    <row r="5501" spans="2:9">
      <c r="B5501" s="3299" t="s">
        <v>64</v>
      </c>
      <c r="C5501" s="3063"/>
      <c r="D5501" s="3064"/>
      <c r="E5501" s="3064"/>
      <c r="F5501" s="3064"/>
      <c r="G5501" s="3300" t="s">
        <v>64</v>
      </c>
      <c r="H5501" s="3063"/>
      <c r="I5501" s="3030"/>
    </row>
    <row r="5502" spans="2:9" ht="25.5">
      <c r="B5502" s="3192" t="s">
        <v>675</v>
      </c>
      <c r="C5502" s="3063"/>
      <c r="D5502" s="3064"/>
      <c r="E5502" s="3064"/>
      <c r="F5502" s="3064"/>
      <c r="G5502" s="3301" t="s">
        <v>675</v>
      </c>
      <c r="H5502" s="3063"/>
      <c r="I5502" s="3030"/>
    </row>
    <row r="5503" spans="2:9" ht="25.5">
      <c r="B5503" s="3192" t="s">
        <v>676</v>
      </c>
      <c r="C5503" s="3063"/>
      <c r="D5503" s="3064"/>
      <c r="E5503" s="3064"/>
      <c r="F5503" s="3064"/>
      <c r="G5503" s="3301" t="s">
        <v>676</v>
      </c>
      <c r="H5503" s="3063"/>
      <c r="I5503" s="3030"/>
    </row>
    <row r="5504" spans="2:9">
      <c r="B5504" s="3192" t="s">
        <v>677</v>
      </c>
      <c r="C5504" s="3063"/>
      <c r="D5504" s="3064"/>
      <c r="E5504" s="3064"/>
      <c r="F5504" s="3064"/>
      <c r="G5504" s="3301" t="s">
        <v>677</v>
      </c>
      <c r="H5504" s="3063"/>
      <c r="I5504" s="3030"/>
    </row>
    <row r="5505" spans="2:9">
      <c r="B5505" s="3192" t="s">
        <v>678</v>
      </c>
      <c r="C5505" s="3063"/>
      <c r="D5505" s="3064"/>
      <c r="E5505" s="3064"/>
      <c r="F5505" s="3064"/>
      <c r="G5505" s="3301" t="s">
        <v>678</v>
      </c>
      <c r="H5505" s="3063"/>
      <c r="I5505" s="3030"/>
    </row>
    <row r="5506" spans="2:9">
      <c r="B5506" s="3192" t="s">
        <v>679</v>
      </c>
      <c r="C5506" s="3063"/>
      <c r="D5506" s="3064"/>
      <c r="E5506" s="3064"/>
      <c r="F5506" s="3064"/>
      <c r="G5506" s="3301" t="s">
        <v>679</v>
      </c>
      <c r="H5506" s="3063"/>
      <c r="I5506" s="3030"/>
    </row>
    <row r="5507" spans="2:9" ht="25.5">
      <c r="B5507" s="3192" t="s">
        <v>720</v>
      </c>
      <c r="C5507" s="3063"/>
      <c r="D5507" s="3064"/>
      <c r="E5507" s="3064"/>
      <c r="F5507" s="3064"/>
      <c r="G5507" s="3301" t="s">
        <v>720</v>
      </c>
      <c r="H5507" s="3063"/>
      <c r="I5507" s="3030"/>
    </row>
    <row r="5508" spans="2:9">
      <c r="B5508" s="3299" t="s">
        <v>65</v>
      </c>
      <c r="C5508" s="3063"/>
      <c r="D5508" s="3064"/>
      <c r="E5508" s="3064"/>
      <c r="F5508" s="3064"/>
      <c r="G5508" s="3300" t="s">
        <v>65</v>
      </c>
      <c r="H5508" s="3063"/>
      <c r="I5508" s="3030"/>
    </row>
    <row r="5509" spans="2:9" ht="25.5">
      <c r="B5509" s="3192" t="s">
        <v>675</v>
      </c>
      <c r="C5509" s="3063"/>
      <c r="D5509" s="3064"/>
      <c r="E5509" s="3064"/>
      <c r="F5509" s="3064"/>
      <c r="G5509" s="3301" t="s">
        <v>675</v>
      </c>
      <c r="H5509" s="3063"/>
      <c r="I5509" s="3030"/>
    </row>
    <row r="5510" spans="2:9" ht="25.5">
      <c r="B5510" s="3192" t="s">
        <v>676</v>
      </c>
      <c r="C5510" s="3063"/>
      <c r="D5510" s="3064"/>
      <c r="E5510" s="3064"/>
      <c r="F5510" s="3064"/>
      <c r="G5510" s="3301" t="s">
        <v>676</v>
      </c>
      <c r="H5510" s="3063"/>
      <c r="I5510" s="3030"/>
    </row>
    <row r="5511" spans="2:9">
      <c r="B5511" s="3192" t="s">
        <v>677</v>
      </c>
      <c r="C5511" s="3063"/>
      <c r="D5511" s="3064"/>
      <c r="E5511" s="3064"/>
      <c r="F5511" s="3064"/>
      <c r="G5511" s="3301" t="s">
        <v>677</v>
      </c>
      <c r="H5511" s="3063"/>
      <c r="I5511" s="3030"/>
    </row>
    <row r="5512" spans="2:9">
      <c r="B5512" s="3192" t="s">
        <v>678</v>
      </c>
      <c r="C5512" s="3063"/>
      <c r="D5512" s="3064"/>
      <c r="E5512" s="3064"/>
      <c r="F5512" s="3064"/>
      <c r="G5512" s="3301" t="s">
        <v>678</v>
      </c>
      <c r="H5512" s="3063"/>
      <c r="I5512" s="3030"/>
    </row>
    <row r="5513" spans="2:9">
      <c r="B5513" s="3192" t="s">
        <v>679</v>
      </c>
      <c r="C5513" s="3063"/>
      <c r="D5513" s="3064"/>
      <c r="E5513" s="3064"/>
      <c r="F5513" s="3064"/>
      <c r="G5513" s="3301" t="s">
        <v>679</v>
      </c>
      <c r="H5513" s="3063"/>
      <c r="I5513" s="3030"/>
    </row>
    <row r="5514" spans="2:9" ht="25.5">
      <c r="B5514" s="3192" t="s">
        <v>720</v>
      </c>
      <c r="C5514" s="3063"/>
      <c r="D5514" s="3064"/>
      <c r="E5514" s="3064"/>
      <c r="F5514" s="3064"/>
      <c r="G5514" s="3301" t="s">
        <v>720</v>
      </c>
      <c r="H5514" s="3063"/>
      <c r="I5514" s="3030"/>
    </row>
    <row r="5515" spans="2:9">
      <c r="B5515" s="3299" t="s">
        <v>82</v>
      </c>
      <c r="C5515" s="3063"/>
      <c r="D5515" s="3064"/>
      <c r="E5515" s="3064"/>
      <c r="F5515" s="3064"/>
      <c r="G5515" s="3300" t="s">
        <v>82</v>
      </c>
      <c r="H5515" s="3063"/>
      <c r="I5515" s="3030"/>
    </row>
    <row r="5516" spans="2:9" ht="25.5">
      <c r="B5516" s="3192" t="s">
        <v>675</v>
      </c>
      <c r="C5516" s="3063"/>
      <c r="D5516" s="3064"/>
      <c r="E5516" s="3064"/>
      <c r="F5516" s="3064"/>
      <c r="G5516" s="3301" t="s">
        <v>675</v>
      </c>
      <c r="H5516" s="3063"/>
      <c r="I5516" s="3030"/>
    </row>
    <row r="5517" spans="2:9" ht="25.5">
      <c r="B5517" s="3192" t="s">
        <v>676</v>
      </c>
      <c r="C5517" s="3063"/>
      <c r="D5517" s="3064"/>
      <c r="E5517" s="3064"/>
      <c r="F5517" s="3064"/>
      <c r="G5517" s="3301" t="s">
        <v>676</v>
      </c>
      <c r="H5517" s="3063"/>
      <c r="I5517" s="3030"/>
    </row>
    <row r="5518" spans="2:9">
      <c r="B5518" s="3192" t="s">
        <v>677</v>
      </c>
      <c r="C5518" s="3063"/>
      <c r="D5518" s="3064"/>
      <c r="E5518" s="3064"/>
      <c r="F5518" s="3064"/>
      <c r="G5518" s="3301" t="s">
        <v>677</v>
      </c>
      <c r="H5518" s="3063"/>
      <c r="I5518" s="3030"/>
    </row>
    <row r="5519" spans="2:9">
      <c r="B5519" s="3192" t="s">
        <v>678</v>
      </c>
      <c r="C5519" s="3063"/>
      <c r="D5519" s="3064"/>
      <c r="E5519" s="3064"/>
      <c r="F5519" s="3064"/>
      <c r="G5519" s="3301" t="s">
        <v>678</v>
      </c>
      <c r="H5519" s="3063"/>
      <c r="I5519" s="3030"/>
    </row>
    <row r="5520" spans="2:9">
      <c r="B5520" s="3192" t="s">
        <v>679</v>
      </c>
      <c r="C5520" s="3063"/>
      <c r="D5520" s="3064"/>
      <c r="E5520" s="3064"/>
      <c r="F5520" s="3064"/>
      <c r="G5520" s="3301" t="s">
        <v>679</v>
      </c>
      <c r="H5520" s="3063"/>
      <c r="I5520" s="3030"/>
    </row>
    <row r="5521" spans="2:9" ht="25.5">
      <c r="B5521" s="3192" t="s">
        <v>720</v>
      </c>
      <c r="C5521" s="3063"/>
      <c r="D5521" s="3064"/>
      <c r="E5521" s="3064"/>
      <c r="F5521" s="3064"/>
      <c r="G5521" s="3301" t="s">
        <v>720</v>
      </c>
      <c r="H5521" s="3063"/>
      <c r="I5521" s="3030"/>
    </row>
    <row r="5522" spans="2:9" ht="38.25">
      <c r="B5522" s="3299" t="s">
        <v>680</v>
      </c>
      <c r="C5522" s="3063"/>
      <c r="D5522" s="3064"/>
      <c r="E5522" s="3064"/>
      <c r="F5522" s="3064"/>
      <c r="G5522" s="3300" t="s">
        <v>680</v>
      </c>
      <c r="H5522" s="3063"/>
      <c r="I5522" s="3030"/>
    </row>
    <row r="5523" spans="2:9" ht="25.5">
      <c r="B5523" s="3192" t="s">
        <v>675</v>
      </c>
      <c r="C5523" s="3063"/>
      <c r="D5523" s="3064"/>
      <c r="E5523" s="3064"/>
      <c r="F5523" s="3064"/>
      <c r="G5523" s="3301" t="s">
        <v>675</v>
      </c>
      <c r="H5523" s="3063"/>
      <c r="I5523" s="3030"/>
    </row>
    <row r="5524" spans="2:9" ht="25.5">
      <c r="B5524" s="3192" t="s">
        <v>676</v>
      </c>
      <c r="C5524" s="3063"/>
      <c r="D5524" s="3064"/>
      <c r="E5524" s="3064"/>
      <c r="F5524" s="3064"/>
      <c r="G5524" s="3301" t="s">
        <v>676</v>
      </c>
      <c r="H5524" s="3063"/>
      <c r="I5524" s="3030"/>
    </row>
    <row r="5525" spans="2:9">
      <c r="B5525" s="3192" t="s">
        <v>677</v>
      </c>
      <c r="C5525" s="3063"/>
      <c r="D5525" s="3064"/>
      <c r="E5525" s="3064"/>
      <c r="F5525" s="3064"/>
      <c r="G5525" s="3301" t="s">
        <v>677</v>
      </c>
      <c r="H5525" s="3063"/>
      <c r="I5525" s="3030"/>
    </row>
    <row r="5526" spans="2:9">
      <c r="B5526" s="3192" t="s">
        <v>678</v>
      </c>
      <c r="C5526" s="3063"/>
      <c r="D5526" s="3064"/>
      <c r="E5526" s="3064"/>
      <c r="F5526" s="3064"/>
      <c r="G5526" s="3301" t="s">
        <v>678</v>
      </c>
      <c r="H5526" s="3063"/>
      <c r="I5526" s="3030"/>
    </row>
    <row r="5527" spans="2:9">
      <c r="B5527" s="3192" t="s">
        <v>679</v>
      </c>
      <c r="C5527" s="3063"/>
      <c r="D5527" s="3064"/>
      <c r="E5527" s="3064"/>
      <c r="F5527" s="3064"/>
      <c r="G5527" s="3301" t="s">
        <v>679</v>
      </c>
      <c r="H5527" s="3063"/>
      <c r="I5527" s="3030"/>
    </row>
    <row r="5528" spans="2:9" ht="25.5">
      <c r="B5528" s="3192" t="s">
        <v>720</v>
      </c>
      <c r="C5528" s="3063"/>
      <c r="D5528" s="3064"/>
      <c r="E5528" s="3064"/>
      <c r="F5528" s="3064"/>
      <c r="G5528" s="3301" t="s">
        <v>720</v>
      </c>
      <c r="H5528" s="3063"/>
      <c r="I5528" s="3030"/>
    </row>
    <row r="5529" spans="2:9" ht="38.25">
      <c r="B5529" s="3299" t="s">
        <v>681</v>
      </c>
      <c r="C5529" s="3063"/>
      <c r="D5529" s="3064"/>
      <c r="E5529" s="3064"/>
      <c r="F5529" s="3064"/>
      <c r="G5529" s="3300" t="s">
        <v>681</v>
      </c>
      <c r="H5529" s="3063"/>
      <c r="I5529" s="3030"/>
    </row>
    <row r="5530" spans="2:9" ht="25.5">
      <c r="B5530" s="3192" t="s">
        <v>675</v>
      </c>
      <c r="C5530" s="3063"/>
      <c r="D5530" s="3064"/>
      <c r="E5530" s="3064"/>
      <c r="F5530" s="3064"/>
      <c r="G5530" s="3301" t="s">
        <v>675</v>
      </c>
      <c r="H5530" s="3063"/>
      <c r="I5530" s="3030"/>
    </row>
    <row r="5531" spans="2:9" ht="25.5">
      <c r="B5531" s="3192" t="s">
        <v>676</v>
      </c>
      <c r="C5531" s="3063"/>
      <c r="D5531" s="3064"/>
      <c r="E5531" s="3064"/>
      <c r="F5531" s="3064"/>
      <c r="G5531" s="3301" t="s">
        <v>676</v>
      </c>
      <c r="H5531" s="3063"/>
      <c r="I5531" s="3030"/>
    </row>
    <row r="5532" spans="2:9">
      <c r="B5532" s="3192" t="s">
        <v>677</v>
      </c>
      <c r="C5532" s="3063"/>
      <c r="D5532" s="3064"/>
      <c r="E5532" s="3064"/>
      <c r="F5532" s="3064"/>
      <c r="G5532" s="3301" t="s">
        <v>677</v>
      </c>
      <c r="H5532" s="3063"/>
      <c r="I5532" s="3030"/>
    </row>
    <row r="5533" spans="2:9">
      <c r="B5533" s="3192" t="s">
        <v>678</v>
      </c>
      <c r="C5533" s="3063"/>
      <c r="D5533" s="3064"/>
      <c r="E5533" s="3064"/>
      <c r="F5533" s="3064"/>
      <c r="G5533" s="3301" t="s">
        <v>678</v>
      </c>
      <c r="H5533" s="3063"/>
      <c r="I5533" s="3030"/>
    </row>
    <row r="5534" spans="2:9">
      <c r="B5534" s="3192" t="s">
        <v>679</v>
      </c>
      <c r="C5534" s="3063"/>
      <c r="D5534" s="3064"/>
      <c r="E5534" s="3064"/>
      <c r="F5534" s="3064"/>
      <c r="G5534" s="3301" t="s">
        <v>679</v>
      </c>
      <c r="H5534" s="3063"/>
      <c r="I5534" s="3030"/>
    </row>
    <row r="5535" spans="2:9" ht="25.5">
      <c r="B5535" s="3192" t="s">
        <v>720</v>
      </c>
      <c r="C5535" s="3063"/>
      <c r="D5535" s="3064"/>
      <c r="E5535" s="3064"/>
      <c r="F5535" s="3064"/>
      <c r="G5535" s="3301" t="s">
        <v>720</v>
      </c>
      <c r="H5535" s="3063"/>
      <c r="I5535" s="3030"/>
    </row>
    <row r="5536" spans="2:9" ht="25.5">
      <c r="B5536" s="3299" t="s">
        <v>682</v>
      </c>
      <c r="C5536" s="3063"/>
      <c r="D5536" s="3064"/>
      <c r="E5536" s="3064"/>
      <c r="F5536" s="3064"/>
      <c r="G5536" s="3300" t="s">
        <v>682</v>
      </c>
      <c r="H5536" s="3063"/>
      <c r="I5536" s="3030"/>
    </row>
    <row r="5537" spans="2:9" ht="25.5">
      <c r="B5537" s="3192" t="s">
        <v>675</v>
      </c>
      <c r="C5537" s="3063"/>
      <c r="D5537" s="3064"/>
      <c r="E5537" s="3064"/>
      <c r="F5537" s="3064"/>
      <c r="G5537" s="3301" t="s">
        <v>675</v>
      </c>
      <c r="H5537" s="3063"/>
      <c r="I5537" s="3030"/>
    </row>
    <row r="5538" spans="2:9" ht="25.5">
      <c r="B5538" s="3192" t="s">
        <v>676</v>
      </c>
      <c r="C5538" s="3063"/>
      <c r="D5538" s="3064"/>
      <c r="E5538" s="3064"/>
      <c r="F5538" s="3064"/>
      <c r="G5538" s="3301" t="s">
        <v>676</v>
      </c>
      <c r="H5538" s="3063"/>
      <c r="I5538" s="3030"/>
    </row>
    <row r="5539" spans="2:9">
      <c r="B5539" s="3192" t="s">
        <v>677</v>
      </c>
      <c r="C5539" s="3063"/>
      <c r="D5539" s="3064"/>
      <c r="E5539" s="3064"/>
      <c r="F5539" s="3064"/>
      <c r="G5539" s="3301" t="s">
        <v>677</v>
      </c>
      <c r="H5539" s="3063"/>
      <c r="I5539" s="3030"/>
    </row>
    <row r="5540" spans="2:9">
      <c r="B5540" s="3192" t="s">
        <v>678</v>
      </c>
      <c r="C5540" s="3063"/>
      <c r="D5540" s="3064"/>
      <c r="E5540" s="3064"/>
      <c r="F5540" s="3064"/>
      <c r="G5540" s="3301" t="s">
        <v>678</v>
      </c>
      <c r="H5540" s="3063"/>
      <c r="I5540" s="3030"/>
    </row>
    <row r="5541" spans="2:9">
      <c r="B5541" s="3192" t="s">
        <v>679</v>
      </c>
      <c r="C5541" s="3063"/>
      <c r="D5541" s="3064"/>
      <c r="E5541" s="3064"/>
      <c r="F5541" s="3064"/>
      <c r="G5541" s="3301" t="s">
        <v>679</v>
      </c>
      <c r="H5541" s="3063"/>
      <c r="I5541" s="3030"/>
    </row>
    <row r="5542" spans="2:9" ht="25.5">
      <c r="B5542" s="3192" t="s">
        <v>720</v>
      </c>
      <c r="C5542" s="3063"/>
      <c r="D5542" s="3064"/>
      <c r="E5542" s="3064"/>
      <c r="F5542" s="3064"/>
      <c r="G5542" s="3301" t="s">
        <v>720</v>
      </c>
      <c r="H5542" s="3063"/>
      <c r="I5542" s="3030"/>
    </row>
    <row r="5543" spans="2:9" ht="25.5">
      <c r="B5543" s="3299" t="s">
        <v>66</v>
      </c>
      <c r="C5543" s="3063"/>
      <c r="D5543" s="3064"/>
      <c r="E5543" s="3064"/>
      <c r="F5543" s="3064"/>
      <c r="G5543" s="3300" t="s">
        <v>66</v>
      </c>
      <c r="H5543" s="3063"/>
      <c r="I5543" s="3030"/>
    </row>
    <row r="5544" spans="2:9" ht="25.5">
      <c r="B5544" s="3192" t="s">
        <v>675</v>
      </c>
      <c r="C5544" s="3063"/>
      <c r="D5544" s="3064"/>
      <c r="E5544" s="3064"/>
      <c r="F5544" s="3064"/>
      <c r="G5544" s="3301" t="s">
        <v>675</v>
      </c>
      <c r="H5544" s="3063"/>
      <c r="I5544" s="3030"/>
    </row>
    <row r="5545" spans="2:9" ht="25.5">
      <c r="B5545" s="3192" t="s">
        <v>676</v>
      </c>
      <c r="C5545" s="3063"/>
      <c r="D5545" s="3064"/>
      <c r="E5545" s="3064"/>
      <c r="F5545" s="3064"/>
      <c r="G5545" s="3301" t="s">
        <v>676</v>
      </c>
      <c r="H5545" s="3063"/>
      <c r="I5545" s="3030"/>
    </row>
    <row r="5546" spans="2:9">
      <c r="B5546" s="3192" t="s">
        <v>677</v>
      </c>
      <c r="C5546" s="3063"/>
      <c r="D5546" s="3064"/>
      <c r="E5546" s="3064"/>
      <c r="F5546" s="3064"/>
      <c r="G5546" s="3301" t="s">
        <v>677</v>
      </c>
      <c r="H5546" s="3063"/>
      <c r="I5546" s="3030"/>
    </row>
    <row r="5547" spans="2:9">
      <c r="B5547" s="3192" t="s">
        <v>678</v>
      </c>
      <c r="C5547" s="3063"/>
      <c r="D5547" s="3064"/>
      <c r="E5547" s="3064"/>
      <c r="F5547" s="3064"/>
      <c r="G5547" s="3301" t="s">
        <v>678</v>
      </c>
      <c r="H5547" s="3063"/>
      <c r="I5547" s="3030"/>
    </row>
    <row r="5548" spans="2:9">
      <c r="B5548" s="3192" t="s">
        <v>679</v>
      </c>
      <c r="C5548" s="3063"/>
      <c r="D5548" s="3064"/>
      <c r="E5548" s="3064"/>
      <c r="F5548" s="3064"/>
      <c r="G5548" s="3301" t="s">
        <v>679</v>
      </c>
      <c r="H5548" s="3063"/>
      <c r="I5548" s="3030"/>
    </row>
    <row r="5549" spans="2:9" ht="25.5">
      <c r="B5549" s="3192" t="s">
        <v>720</v>
      </c>
      <c r="C5549" s="3063"/>
      <c r="D5549" s="3064"/>
      <c r="E5549" s="3064"/>
      <c r="F5549" s="3064"/>
      <c r="G5549" s="3301" t="s">
        <v>720</v>
      </c>
      <c r="H5549" s="3063"/>
      <c r="I5549" s="3030"/>
    </row>
    <row r="5550" spans="2:9">
      <c r="B5550" s="3299" t="s">
        <v>67</v>
      </c>
      <c r="C5550" s="3063"/>
      <c r="D5550" s="3064"/>
      <c r="E5550" s="3064"/>
      <c r="F5550" s="3064"/>
      <c r="G5550" s="3300" t="s">
        <v>67</v>
      </c>
      <c r="H5550" s="3063"/>
      <c r="I5550" s="3030"/>
    </row>
    <row r="5551" spans="2:9" ht="25.5">
      <c r="B5551" s="3192" t="s">
        <v>675</v>
      </c>
      <c r="C5551" s="3063"/>
      <c r="D5551" s="3064"/>
      <c r="E5551" s="3064"/>
      <c r="F5551" s="3064"/>
      <c r="G5551" s="3301" t="s">
        <v>675</v>
      </c>
      <c r="H5551" s="3063"/>
      <c r="I5551" s="3030"/>
    </row>
    <row r="5552" spans="2:9" ht="25.5">
      <c r="B5552" s="3192" t="s">
        <v>676</v>
      </c>
      <c r="C5552" s="3063"/>
      <c r="D5552" s="3064"/>
      <c r="E5552" s="3064"/>
      <c r="F5552" s="3064"/>
      <c r="G5552" s="3301" t="s">
        <v>676</v>
      </c>
      <c r="H5552" s="3063"/>
      <c r="I5552" s="3030"/>
    </row>
    <row r="5553" spans="2:9">
      <c r="B5553" s="3192" t="s">
        <v>677</v>
      </c>
      <c r="C5553" s="3063"/>
      <c r="D5553" s="3064"/>
      <c r="E5553" s="3064"/>
      <c r="F5553" s="3064"/>
      <c r="G5553" s="3301" t="s">
        <v>677</v>
      </c>
      <c r="H5553" s="3063"/>
      <c r="I5553" s="3030"/>
    </row>
    <row r="5554" spans="2:9">
      <c r="B5554" s="3192" t="s">
        <v>678</v>
      </c>
      <c r="C5554" s="3063"/>
      <c r="D5554" s="3064"/>
      <c r="E5554" s="3064"/>
      <c r="F5554" s="3064"/>
      <c r="G5554" s="3301" t="s">
        <v>678</v>
      </c>
      <c r="H5554" s="3063"/>
      <c r="I5554" s="3030"/>
    </row>
    <row r="5555" spans="2:9">
      <c r="B5555" s="3192" t="s">
        <v>679</v>
      </c>
      <c r="C5555" s="3063"/>
      <c r="D5555" s="3064"/>
      <c r="E5555" s="3064"/>
      <c r="F5555" s="3064"/>
      <c r="G5555" s="3301" t="s">
        <v>679</v>
      </c>
      <c r="H5555" s="3063"/>
      <c r="I5555" s="3030"/>
    </row>
    <row r="5556" spans="2:9" ht="25.5">
      <c r="B5556" s="3230" t="s">
        <v>81</v>
      </c>
      <c r="C5556" s="3063"/>
      <c r="D5556" s="3064"/>
      <c r="E5556" s="3064"/>
      <c r="F5556" s="3064"/>
      <c r="G5556" s="3302" t="s">
        <v>81</v>
      </c>
      <c r="H5556" s="3063"/>
      <c r="I5556" s="3030"/>
    </row>
    <row r="5557" spans="2:9" ht="26.25" thickBot="1">
      <c r="B5557" s="3303" t="s">
        <v>81</v>
      </c>
      <c r="C5557" s="3063"/>
      <c r="D5557" s="3064"/>
      <c r="E5557" s="3064"/>
      <c r="F5557" s="3064"/>
      <c r="G5557" s="3302" t="s">
        <v>81</v>
      </c>
      <c r="H5557" s="3063"/>
      <c r="I5557" s="3030"/>
    </row>
    <row r="5558" spans="2:9">
      <c r="B5558" s="3217" t="s">
        <v>697</v>
      </c>
      <c r="C5558" s="3218"/>
      <c r="D5558" s="3219"/>
      <c r="E5558" s="3219"/>
      <c r="F5558" s="3219"/>
      <c r="G5558" s="3217" t="s">
        <v>697</v>
      </c>
      <c r="H5558" s="3297"/>
      <c r="I5558" s="3298"/>
    </row>
    <row r="5559" spans="2:9">
      <c r="B5559" s="3299" t="s">
        <v>64</v>
      </c>
      <c r="C5559" s="3063"/>
      <c r="D5559" s="3064"/>
      <c r="E5559" s="3064"/>
      <c r="F5559" s="3064"/>
      <c r="G5559" s="3300" t="s">
        <v>64</v>
      </c>
      <c r="H5559" s="3063"/>
      <c r="I5559" s="3030"/>
    </row>
    <row r="5560" spans="2:9" ht="25.5">
      <c r="B5560" s="3192" t="s">
        <v>675</v>
      </c>
      <c r="C5560" s="3063"/>
      <c r="D5560" s="3064"/>
      <c r="E5560" s="3064"/>
      <c r="F5560" s="3064"/>
      <c r="G5560" s="3301" t="s">
        <v>675</v>
      </c>
      <c r="H5560" s="3063"/>
      <c r="I5560" s="3030"/>
    </row>
    <row r="5561" spans="2:9" ht="25.5">
      <c r="B5561" s="3192" t="s">
        <v>676</v>
      </c>
      <c r="C5561" s="3063"/>
      <c r="D5561" s="3064"/>
      <c r="E5561" s="3064"/>
      <c r="F5561" s="3064"/>
      <c r="G5561" s="3301" t="s">
        <v>676</v>
      </c>
      <c r="H5561" s="3063"/>
      <c r="I5561" s="3030"/>
    </row>
    <row r="5562" spans="2:9">
      <c r="B5562" s="3192" t="s">
        <v>677</v>
      </c>
      <c r="C5562" s="3063"/>
      <c r="D5562" s="3064"/>
      <c r="E5562" s="3064"/>
      <c r="F5562" s="3064"/>
      <c r="G5562" s="3301" t="s">
        <v>677</v>
      </c>
      <c r="H5562" s="3063"/>
      <c r="I5562" s="3030"/>
    </row>
    <row r="5563" spans="2:9">
      <c r="B5563" s="3192" t="s">
        <v>678</v>
      </c>
      <c r="C5563" s="3063"/>
      <c r="D5563" s="3064"/>
      <c r="E5563" s="3064"/>
      <c r="F5563" s="3064"/>
      <c r="G5563" s="3301" t="s">
        <v>678</v>
      </c>
      <c r="H5563" s="3063"/>
      <c r="I5563" s="3030"/>
    </row>
    <row r="5564" spans="2:9">
      <c r="B5564" s="3192" t="s">
        <v>679</v>
      </c>
      <c r="C5564" s="3063"/>
      <c r="D5564" s="3064"/>
      <c r="E5564" s="3064"/>
      <c r="F5564" s="3064"/>
      <c r="G5564" s="3301" t="s">
        <v>679</v>
      </c>
      <c r="H5564" s="3063"/>
      <c r="I5564" s="3030"/>
    </row>
    <row r="5565" spans="2:9" ht="25.5">
      <c r="B5565" s="3192" t="s">
        <v>720</v>
      </c>
      <c r="C5565" s="3063"/>
      <c r="D5565" s="3064"/>
      <c r="E5565" s="3064"/>
      <c r="F5565" s="3064"/>
      <c r="G5565" s="3301" t="s">
        <v>720</v>
      </c>
      <c r="H5565" s="3063"/>
      <c r="I5565" s="3030"/>
    </row>
    <row r="5566" spans="2:9">
      <c r="B5566" s="3299" t="s">
        <v>65</v>
      </c>
      <c r="C5566" s="3063"/>
      <c r="D5566" s="3064"/>
      <c r="E5566" s="3064"/>
      <c r="F5566" s="3064"/>
      <c r="G5566" s="3300" t="s">
        <v>65</v>
      </c>
      <c r="H5566" s="3063"/>
      <c r="I5566" s="3030"/>
    </row>
    <row r="5567" spans="2:9" ht="25.5">
      <c r="B5567" s="3192" t="s">
        <v>675</v>
      </c>
      <c r="C5567" s="3063"/>
      <c r="D5567" s="3064"/>
      <c r="E5567" s="3064"/>
      <c r="F5567" s="3064"/>
      <c r="G5567" s="3301" t="s">
        <v>675</v>
      </c>
      <c r="H5567" s="3063"/>
      <c r="I5567" s="3030"/>
    </row>
    <row r="5568" spans="2:9" ht="25.5">
      <c r="B5568" s="3192" t="s">
        <v>676</v>
      </c>
      <c r="C5568" s="3063"/>
      <c r="D5568" s="3064"/>
      <c r="E5568" s="3064"/>
      <c r="F5568" s="3064"/>
      <c r="G5568" s="3301" t="s">
        <v>676</v>
      </c>
      <c r="H5568" s="3063"/>
      <c r="I5568" s="3030"/>
    </row>
    <row r="5569" spans="2:9">
      <c r="B5569" s="3192" t="s">
        <v>677</v>
      </c>
      <c r="C5569" s="3063"/>
      <c r="D5569" s="3064"/>
      <c r="E5569" s="3064"/>
      <c r="F5569" s="3064"/>
      <c r="G5569" s="3301" t="s">
        <v>677</v>
      </c>
      <c r="H5569" s="3063"/>
      <c r="I5569" s="3030"/>
    </row>
    <row r="5570" spans="2:9">
      <c r="B5570" s="3192" t="s">
        <v>678</v>
      </c>
      <c r="C5570" s="3063"/>
      <c r="D5570" s="3064"/>
      <c r="E5570" s="3064"/>
      <c r="F5570" s="3064"/>
      <c r="G5570" s="3301" t="s">
        <v>678</v>
      </c>
      <c r="H5570" s="3063"/>
      <c r="I5570" s="3030"/>
    </row>
    <row r="5571" spans="2:9">
      <c r="B5571" s="3192" t="s">
        <v>679</v>
      </c>
      <c r="C5571" s="3063"/>
      <c r="D5571" s="3064"/>
      <c r="E5571" s="3064"/>
      <c r="F5571" s="3064"/>
      <c r="G5571" s="3301" t="s">
        <v>679</v>
      </c>
      <c r="H5571" s="3063"/>
      <c r="I5571" s="3030"/>
    </row>
    <row r="5572" spans="2:9" ht="25.5">
      <c r="B5572" s="3192" t="s">
        <v>720</v>
      </c>
      <c r="C5572" s="3063"/>
      <c r="D5572" s="3064"/>
      <c r="E5572" s="3064"/>
      <c r="F5572" s="3064"/>
      <c r="G5572" s="3301" t="s">
        <v>720</v>
      </c>
      <c r="H5572" s="3063"/>
      <c r="I5572" s="3030"/>
    </row>
    <row r="5573" spans="2:9">
      <c r="B5573" s="3299" t="s">
        <v>82</v>
      </c>
      <c r="C5573" s="3063"/>
      <c r="D5573" s="3064"/>
      <c r="E5573" s="3064"/>
      <c r="F5573" s="3064"/>
      <c r="G5573" s="3300" t="s">
        <v>82</v>
      </c>
      <c r="H5573" s="3063"/>
      <c r="I5573" s="3030"/>
    </row>
    <row r="5574" spans="2:9" ht="25.5">
      <c r="B5574" s="3192" t="s">
        <v>675</v>
      </c>
      <c r="C5574" s="3063"/>
      <c r="D5574" s="3064"/>
      <c r="E5574" s="3064"/>
      <c r="F5574" s="3064"/>
      <c r="G5574" s="3301" t="s">
        <v>675</v>
      </c>
      <c r="H5574" s="3063"/>
      <c r="I5574" s="3030"/>
    </row>
    <row r="5575" spans="2:9" ht="25.5">
      <c r="B5575" s="3192" t="s">
        <v>676</v>
      </c>
      <c r="C5575" s="3063"/>
      <c r="D5575" s="3064"/>
      <c r="E5575" s="3064"/>
      <c r="F5575" s="3064"/>
      <c r="G5575" s="3301" t="s">
        <v>676</v>
      </c>
      <c r="H5575" s="3063"/>
      <c r="I5575" s="3030"/>
    </row>
    <row r="5576" spans="2:9">
      <c r="B5576" s="3192" t="s">
        <v>677</v>
      </c>
      <c r="C5576" s="3063"/>
      <c r="D5576" s="3064"/>
      <c r="E5576" s="3064"/>
      <c r="F5576" s="3064"/>
      <c r="G5576" s="3301" t="s">
        <v>677</v>
      </c>
      <c r="H5576" s="3063"/>
      <c r="I5576" s="3030"/>
    </row>
    <row r="5577" spans="2:9">
      <c r="B5577" s="3192" t="s">
        <v>678</v>
      </c>
      <c r="C5577" s="3063"/>
      <c r="D5577" s="3064"/>
      <c r="E5577" s="3064"/>
      <c r="F5577" s="3064"/>
      <c r="G5577" s="3301" t="s">
        <v>678</v>
      </c>
      <c r="H5577" s="3063"/>
      <c r="I5577" s="3030"/>
    </row>
    <row r="5578" spans="2:9">
      <c r="B5578" s="3192" t="s">
        <v>679</v>
      </c>
      <c r="C5578" s="3063"/>
      <c r="D5578" s="3064"/>
      <c r="E5578" s="3064"/>
      <c r="F5578" s="3064"/>
      <c r="G5578" s="3301" t="s">
        <v>679</v>
      </c>
      <c r="H5578" s="3063"/>
      <c r="I5578" s="3030"/>
    </row>
    <row r="5579" spans="2:9" ht="25.5">
      <c r="B5579" s="3192" t="s">
        <v>720</v>
      </c>
      <c r="C5579" s="3063"/>
      <c r="D5579" s="3064"/>
      <c r="E5579" s="3064"/>
      <c r="F5579" s="3064"/>
      <c r="G5579" s="3301" t="s">
        <v>720</v>
      </c>
      <c r="H5579" s="3063"/>
      <c r="I5579" s="3030"/>
    </row>
    <row r="5580" spans="2:9" ht="38.25">
      <c r="B5580" s="3299" t="s">
        <v>680</v>
      </c>
      <c r="C5580" s="3063"/>
      <c r="D5580" s="3064"/>
      <c r="E5580" s="3064"/>
      <c r="F5580" s="3064"/>
      <c r="G5580" s="3300" t="s">
        <v>680</v>
      </c>
      <c r="H5580" s="3063"/>
      <c r="I5580" s="3030"/>
    </row>
    <row r="5581" spans="2:9" ht="25.5">
      <c r="B5581" s="3192" t="s">
        <v>675</v>
      </c>
      <c r="C5581" s="3063"/>
      <c r="D5581" s="3064"/>
      <c r="E5581" s="3064"/>
      <c r="F5581" s="3064"/>
      <c r="G5581" s="3301" t="s">
        <v>675</v>
      </c>
      <c r="H5581" s="3063"/>
      <c r="I5581" s="3030"/>
    </row>
    <row r="5582" spans="2:9" ht="25.5">
      <c r="B5582" s="3192" t="s">
        <v>676</v>
      </c>
      <c r="C5582" s="3063"/>
      <c r="D5582" s="3064"/>
      <c r="E5582" s="3064"/>
      <c r="F5582" s="3064"/>
      <c r="G5582" s="3301" t="s">
        <v>676</v>
      </c>
      <c r="H5582" s="3063"/>
      <c r="I5582" s="3030"/>
    </row>
    <row r="5583" spans="2:9">
      <c r="B5583" s="3192" t="s">
        <v>677</v>
      </c>
      <c r="C5583" s="3063"/>
      <c r="D5583" s="3064"/>
      <c r="E5583" s="3064"/>
      <c r="F5583" s="3064"/>
      <c r="G5583" s="3301" t="s">
        <v>677</v>
      </c>
      <c r="H5583" s="3063"/>
      <c r="I5583" s="3030"/>
    </row>
    <row r="5584" spans="2:9">
      <c r="B5584" s="3192" t="s">
        <v>678</v>
      </c>
      <c r="C5584" s="3063"/>
      <c r="D5584" s="3064"/>
      <c r="E5584" s="3064"/>
      <c r="F5584" s="3064"/>
      <c r="G5584" s="3301" t="s">
        <v>678</v>
      </c>
      <c r="H5584" s="3063"/>
      <c r="I5584" s="3030"/>
    </row>
    <row r="5585" spans="2:9">
      <c r="B5585" s="3192" t="s">
        <v>679</v>
      </c>
      <c r="C5585" s="3063"/>
      <c r="D5585" s="3064"/>
      <c r="E5585" s="3064"/>
      <c r="F5585" s="3064"/>
      <c r="G5585" s="3301" t="s">
        <v>679</v>
      </c>
      <c r="H5585" s="3063"/>
      <c r="I5585" s="3030"/>
    </row>
    <row r="5586" spans="2:9" ht="25.5">
      <c r="B5586" s="3192" t="s">
        <v>720</v>
      </c>
      <c r="C5586" s="3063"/>
      <c r="D5586" s="3064"/>
      <c r="E5586" s="3064"/>
      <c r="F5586" s="3064"/>
      <c r="G5586" s="3301" t="s">
        <v>720</v>
      </c>
      <c r="H5586" s="3063"/>
      <c r="I5586" s="3030"/>
    </row>
    <row r="5587" spans="2:9" ht="38.25">
      <c r="B5587" s="3299" t="s">
        <v>681</v>
      </c>
      <c r="C5587" s="3063"/>
      <c r="D5587" s="3064"/>
      <c r="E5587" s="3064"/>
      <c r="F5587" s="3064"/>
      <c r="G5587" s="3300" t="s">
        <v>681</v>
      </c>
      <c r="H5587" s="3063">
        <v>1.8086126132643644E-2</v>
      </c>
      <c r="I5587" s="3030"/>
    </row>
    <row r="5588" spans="2:9" ht="25.5">
      <c r="B5588" s="3192" t="s">
        <v>675</v>
      </c>
      <c r="C5588" s="3063">
        <v>1</v>
      </c>
      <c r="D5588" s="3064"/>
      <c r="E5588" s="3064"/>
      <c r="F5588" s="3064"/>
      <c r="G5588" s="3301" t="s">
        <v>675</v>
      </c>
      <c r="H5588" s="3063"/>
      <c r="I5588" s="3030">
        <v>1.8086126132643644E-2</v>
      </c>
    </row>
    <row r="5589" spans="2:9" ht="25.5">
      <c r="B5589" s="3192" t="s">
        <v>676</v>
      </c>
      <c r="C5589" s="3063"/>
      <c r="D5589" s="3064"/>
      <c r="E5589" s="3064"/>
      <c r="F5589" s="3064"/>
      <c r="G5589" s="3301" t="s">
        <v>676</v>
      </c>
      <c r="H5589" s="3063"/>
      <c r="I5589" s="3030"/>
    </row>
    <row r="5590" spans="2:9">
      <c r="B5590" s="3192" t="s">
        <v>677</v>
      </c>
      <c r="C5590" s="3063"/>
      <c r="D5590" s="3064"/>
      <c r="E5590" s="3064"/>
      <c r="F5590" s="3064"/>
      <c r="G5590" s="3301" t="s">
        <v>677</v>
      </c>
      <c r="H5590" s="3063"/>
      <c r="I5590" s="3030"/>
    </row>
    <row r="5591" spans="2:9">
      <c r="B5591" s="3192" t="s">
        <v>678</v>
      </c>
      <c r="C5591" s="3063"/>
      <c r="D5591" s="3064"/>
      <c r="E5591" s="3064"/>
      <c r="F5591" s="3064"/>
      <c r="G5591" s="3301" t="s">
        <v>678</v>
      </c>
      <c r="H5591" s="3063"/>
      <c r="I5591" s="3030"/>
    </row>
    <row r="5592" spans="2:9">
      <c r="B5592" s="3192" t="s">
        <v>679</v>
      </c>
      <c r="C5592" s="3063">
        <v>1</v>
      </c>
      <c r="D5592" s="3064"/>
      <c r="E5592" s="3064"/>
      <c r="F5592" s="3064"/>
      <c r="G5592" s="3301" t="s">
        <v>679</v>
      </c>
      <c r="H5592" s="3063"/>
      <c r="I5592" s="3030"/>
    </row>
    <row r="5593" spans="2:9" ht="25.5">
      <c r="B5593" s="3192" t="s">
        <v>720</v>
      </c>
      <c r="C5593" s="3063"/>
      <c r="D5593" s="3064"/>
      <c r="E5593" s="3064"/>
      <c r="F5593" s="3064"/>
      <c r="G5593" s="3301" t="s">
        <v>720</v>
      </c>
      <c r="H5593" s="3063"/>
      <c r="I5593" s="3030"/>
    </row>
    <row r="5594" spans="2:9" ht="25.5">
      <c r="B5594" s="3299" t="s">
        <v>682</v>
      </c>
      <c r="C5594" s="3063"/>
      <c r="D5594" s="3064"/>
      <c r="E5594" s="3064"/>
      <c r="F5594" s="3064"/>
      <c r="G5594" s="3300" t="s">
        <v>682</v>
      </c>
      <c r="H5594" s="3063"/>
      <c r="I5594" s="3030"/>
    </row>
    <row r="5595" spans="2:9" ht="25.5">
      <c r="B5595" s="3192" t="s">
        <v>675</v>
      </c>
      <c r="C5595" s="3063"/>
      <c r="D5595" s="3064"/>
      <c r="E5595" s="3064"/>
      <c r="F5595" s="3064"/>
      <c r="G5595" s="3301" t="s">
        <v>675</v>
      </c>
      <c r="H5595" s="3063"/>
      <c r="I5595" s="3030"/>
    </row>
    <row r="5596" spans="2:9" ht="25.5">
      <c r="B5596" s="3192" t="s">
        <v>676</v>
      </c>
      <c r="C5596" s="3063"/>
      <c r="D5596" s="3064"/>
      <c r="E5596" s="3064"/>
      <c r="F5596" s="3064"/>
      <c r="G5596" s="3301" t="s">
        <v>676</v>
      </c>
      <c r="H5596" s="3063"/>
      <c r="I5596" s="3030"/>
    </row>
    <row r="5597" spans="2:9">
      <c r="B5597" s="3192" t="s">
        <v>677</v>
      </c>
      <c r="C5597" s="3063"/>
      <c r="D5597" s="3064"/>
      <c r="E5597" s="3064"/>
      <c r="F5597" s="3064"/>
      <c r="G5597" s="3301" t="s">
        <v>677</v>
      </c>
      <c r="H5597" s="3063"/>
      <c r="I5597" s="3030"/>
    </row>
    <row r="5598" spans="2:9">
      <c r="B5598" s="3192" t="s">
        <v>678</v>
      </c>
      <c r="C5598" s="3063"/>
      <c r="D5598" s="3064"/>
      <c r="E5598" s="3064"/>
      <c r="F5598" s="3064"/>
      <c r="G5598" s="3301" t="s">
        <v>678</v>
      </c>
      <c r="H5598" s="3063"/>
      <c r="I5598" s="3030"/>
    </row>
    <row r="5599" spans="2:9">
      <c r="B5599" s="3192" t="s">
        <v>679</v>
      </c>
      <c r="C5599" s="3063"/>
      <c r="D5599" s="3064"/>
      <c r="E5599" s="3064"/>
      <c r="F5599" s="3064"/>
      <c r="G5599" s="3301" t="s">
        <v>679</v>
      </c>
      <c r="H5599" s="3063"/>
      <c r="I5599" s="3030"/>
    </row>
    <row r="5600" spans="2:9" ht="25.5">
      <c r="B5600" s="3192" t="s">
        <v>720</v>
      </c>
      <c r="C5600" s="3063"/>
      <c r="D5600" s="3064"/>
      <c r="E5600" s="3064"/>
      <c r="F5600" s="3064"/>
      <c r="G5600" s="3301" t="s">
        <v>720</v>
      </c>
      <c r="H5600" s="3063"/>
      <c r="I5600" s="3030"/>
    </row>
    <row r="5601" spans="2:9" ht="25.5">
      <c r="B5601" s="3299" t="s">
        <v>66</v>
      </c>
      <c r="C5601" s="3063"/>
      <c r="D5601" s="3064"/>
      <c r="E5601" s="3064"/>
      <c r="F5601" s="3064"/>
      <c r="G5601" s="3300" t="s">
        <v>66</v>
      </c>
      <c r="H5601" s="3063"/>
      <c r="I5601" s="3030"/>
    </row>
    <row r="5602" spans="2:9" ht="25.5">
      <c r="B5602" s="3192" t="s">
        <v>675</v>
      </c>
      <c r="C5602" s="3063"/>
      <c r="D5602" s="3064"/>
      <c r="E5602" s="3064"/>
      <c r="F5602" s="3064"/>
      <c r="G5602" s="3301" t="s">
        <v>675</v>
      </c>
      <c r="H5602" s="3063"/>
      <c r="I5602" s="3030"/>
    </row>
    <row r="5603" spans="2:9" ht="25.5">
      <c r="B5603" s="3192" t="s">
        <v>676</v>
      </c>
      <c r="C5603" s="3063"/>
      <c r="D5603" s="3064"/>
      <c r="E5603" s="3064"/>
      <c r="F5603" s="3064"/>
      <c r="G5603" s="3301" t="s">
        <v>676</v>
      </c>
      <c r="H5603" s="3063"/>
      <c r="I5603" s="3030"/>
    </row>
    <row r="5604" spans="2:9">
      <c r="B5604" s="3192" t="s">
        <v>677</v>
      </c>
      <c r="C5604" s="3063"/>
      <c r="D5604" s="3064"/>
      <c r="E5604" s="3064"/>
      <c r="F5604" s="3064"/>
      <c r="G5604" s="3301" t="s">
        <v>677</v>
      </c>
      <c r="H5604" s="3063"/>
      <c r="I5604" s="3030"/>
    </row>
    <row r="5605" spans="2:9">
      <c r="B5605" s="3192" t="s">
        <v>678</v>
      </c>
      <c r="C5605" s="3063"/>
      <c r="D5605" s="3064"/>
      <c r="E5605" s="3064"/>
      <c r="F5605" s="3064"/>
      <c r="G5605" s="3301" t="s">
        <v>678</v>
      </c>
      <c r="H5605" s="3063"/>
      <c r="I5605" s="3030"/>
    </row>
    <row r="5606" spans="2:9">
      <c r="B5606" s="3192" t="s">
        <v>679</v>
      </c>
      <c r="C5606" s="3063"/>
      <c r="D5606" s="3064"/>
      <c r="E5606" s="3064"/>
      <c r="F5606" s="3064"/>
      <c r="G5606" s="3301" t="s">
        <v>679</v>
      </c>
      <c r="H5606" s="3063"/>
      <c r="I5606" s="3030"/>
    </row>
    <row r="5607" spans="2:9" ht="25.5">
      <c r="B5607" s="3192" t="s">
        <v>720</v>
      </c>
      <c r="C5607" s="3063"/>
      <c r="D5607" s="3064"/>
      <c r="E5607" s="3064"/>
      <c r="F5607" s="3064"/>
      <c r="G5607" s="3301" t="s">
        <v>720</v>
      </c>
      <c r="H5607" s="3063"/>
      <c r="I5607" s="3030"/>
    </row>
    <row r="5608" spans="2:9">
      <c r="B5608" s="3299" t="s">
        <v>67</v>
      </c>
      <c r="C5608" s="3063"/>
      <c r="D5608" s="3064"/>
      <c r="E5608" s="3064"/>
      <c r="F5608" s="3064"/>
      <c r="G5608" s="3300" t="s">
        <v>67</v>
      </c>
      <c r="H5608" s="3063"/>
      <c r="I5608" s="3030"/>
    </row>
    <row r="5609" spans="2:9" ht="25.5">
      <c r="B5609" s="3192" t="s">
        <v>675</v>
      </c>
      <c r="C5609" s="3063"/>
      <c r="D5609" s="3064"/>
      <c r="E5609" s="3064"/>
      <c r="F5609" s="3064"/>
      <c r="G5609" s="3301" t="s">
        <v>675</v>
      </c>
      <c r="H5609" s="3063"/>
      <c r="I5609" s="3030"/>
    </row>
    <row r="5610" spans="2:9" ht="25.5">
      <c r="B5610" s="3192" t="s">
        <v>676</v>
      </c>
      <c r="C5610" s="3063"/>
      <c r="D5610" s="3064"/>
      <c r="E5610" s="3064"/>
      <c r="F5610" s="3064"/>
      <c r="G5610" s="3301" t="s">
        <v>676</v>
      </c>
      <c r="H5610" s="3063"/>
      <c r="I5610" s="3030"/>
    </row>
    <row r="5611" spans="2:9">
      <c r="B5611" s="3192" t="s">
        <v>677</v>
      </c>
      <c r="C5611" s="3063"/>
      <c r="D5611" s="3064"/>
      <c r="E5611" s="3064"/>
      <c r="F5611" s="3064"/>
      <c r="G5611" s="3301" t="s">
        <v>677</v>
      </c>
      <c r="H5611" s="3063"/>
      <c r="I5611" s="3030"/>
    </row>
    <row r="5612" spans="2:9">
      <c r="B5612" s="3192" t="s">
        <v>678</v>
      </c>
      <c r="C5612" s="3063"/>
      <c r="D5612" s="3064"/>
      <c r="E5612" s="3064"/>
      <c r="F5612" s="3064"/>
      <c r="G5612" s="3301" t="s">
        <v>678</v>
      </c>
      <c r="H5612" s="3063"/>
      <c r="I5612" s="3030"/>
    </row>
    <row r="5613" spans="2:9">
      <c r="B5613" s="3192" t="s">
        <v>679</v>
      </c>
      <c r="C5613" s="3063"/>
      <c r="D5613" s="3064"/>
      <c r="E5613" s="3064"/>
      <c r="F5613" s="3064"/>
      <c r="G5613" s="3301" t="s">
        <v>679</v>
      </c>
      <c r="H5613" s="3063"/>
      <c r="I5613" s="3030"/>
    </row>
    <row r="5614" spans="2:9" ht="25.5">
      <c r="B5614" s="3230" t="s">
        <v>81</v>
      </c>
      <c r="C5614" s="3063"/>
      <c r="D5614" s="3064"/>
      <c r="E5614" s="3064"/>
      <c r="F5614" s="3064"/>
      <c r="G5614" s="3302" t="s">
        <v>81</v>
      </c>
      <c r="H5614" s="3063"/>
      <c r="I5614" s="3030"/>
    </row>
    <row r="5615" spans="2:9" ht="26.25" thickBot="1">
      <c r="B5615" s="3303" t="s">
        <v>81</v>
      </c>
      <c r="C5615" s="3068"/>
      <c r="D5615" s="3069"/>
      <c r="E5615" s="3069"/>
      <c r="F5615" s="3069"/>
      <c r="G5615" s="3304" t="s">
        <v>81</v>
      </c>
      <c r="H5615" s="3068"/>
      <c r="I5615" s="3070"/>
    </row>
    <row r="5616" spans="2:9" ht="38.25">
      <c r="B5616" s="4723">
        <v>3036</v>
      </c>
      <c r="C5616" s="3289"/>
      <c r="D5616" s="3290"/>
      <c r="E5616" s="3290"/>
      <c r="F5616" s="3290"/>
      <c r="G5616" s="4723">
        <v>3036</v>
      </c>
      <c r="H5616" s="3291" t="s">
        <v>687</v>
      </c>
      <c r="I5616" s="3292" t="s">
        <v>688</v>
      </c>
    </row>
    <row r="5617" spans="2:9">
      <c r="B5617" s="4724"/>
      <c r="C5617" s="4678" t="s">
        <v>686</v>
      </c>
      <c r="D5617" s="4725"/>
      <c r="E5617" s="4725"/>
      <c r="F5617" s="4726"/>
      <c r="G5617" s="4724"/>
      <c r="H5617" s="3293"/>
      <c r="I5617" s="3294"/>
    </row>
    <row r="5618" spans="2:9" ht="13.5" thickBot="1">
      <c r="B5618" s="4724"/>
      <c r="C5618" s="3215">
        <v>2013</v>
      </c>
      <c r="D5618" s="3215">
        <v>2014</v>
      </c>
      <c r="E5618" s="3215">
        <v>2015</v>
      </c>
      <c r="F5618" s="3215">
        <v>2016</v>
      </c>
      <c r="G5618" s="4724"/>
      <c r="H5618" s="3295" t="s">
        <v>390</v>
      </c>
      <c r="I5618" s="3296" t="s">
        <v>390</v>
      </c>
    </row>
    <row r="5619" spans="2:9">
      <c r="B5619" s="3217" t="s">
        <v>695</v>
      </c>
      <c r="C5619" s="3218"/>
      <c r="D5619" s="3219"/>
      <c r="E5619" s="3219"/>
      <c r="F5619" s="3219"/>
      <c r="G5619" s="3217" t="s">
        <v>695</v>
      </c>
      <c r="H5619" s="3297"/>
      <c r="I5619" s="3298"/>
    </row>
    <row r="5620" spans="2:9">
      <c r="B5620" s="3299" t="s">
        <v>64</v>
      </c>
      <c r="C5620" s="3063"/>
      <c r="D5620" s="3064"/>
      <c r="E5620" s="3064"/>
      <c r="F5620" s="3064"/>
      <c r="G5620" s="3300" t="s">
        <v>64</v>
      </c>
      <c r="H5620" s="3063"/>
      <c r="I5620" s="3030"/>
    </row>
    <row r="5621" spans="2:9" ht="25.5">
      <c r="B5621" s="3192" t="s">
        <v>675</v>
      </c>
      <c r="C5621" s="3063"/>
      <c r="D5621" s="3064"/>
      <c r="E5621" s="3064"/>
      <c r="F5621" s="3064"/>
      <c r="G5621" s="3301" t="s">
        <v>675</v>
      </c>
      <c r="H5621" s="3063"/>
      <c r="I5621" s="3030"/>
    </row>
    <row r="5622" spans="2:9" ht="25.5">
      <c r="B5622" s="3192" t="s">
        <v>676</v>
      </c>
      <c r="C5622" s="3063"/>
      <c r="D5622" s="3064"/>
      <c r="E5622" s="3064"/>
      <c r="F5622" s="3064"/>
      <c r="G5622" s="3301" t="s">
        <v>676</v>
      </c>
      <c r="H5622" s="3063"/>
      <c r="I5622" s="3030"/>
    </row>
    <row r="5623" spans="2:9">
      <c r="B5623" s="3192" t="s">
        <v>677</v>
      </c>
      <c r="C5623" s="3063"/>
      <c r="D5623" s="3064"/>
      <c r="E5623" s="3064"/>
      <c r="F5623" s="3064"/>
      <c r="G5623" s="3301" t="s">
        <v>677</v>
      </c>
      <c r="H5623" s="3063"/>
      <c r="I5623" s="3030"/>
    </row>
    <row r="5624" spans="2:9">
      <c r="B5624" s="3192" t="s">
        <v>678</v>
      </c>
      <c r="C5624" s="3063"/>
      <c r="D5624" s="3064"/>
      <c r="E5624" s="3064"/>
      <c r="F5624" s="3064"/>
      <c r="G5624" s="3301" t="s">
        <v>678</v>
      </c>
      <c r="H5624" s="3063"/>
      <c r="I5624" s="3030"/>
    </row>
    <row r="5625" spans="2:9">
      <c r="B5625" s="3192" t="s">
        <v>679</v>
      </c>
      <c r="C5625" s="3063"/>
      <c r="D5625" s="3064"/>
      <c r="E5625" s="3064"/>
      <c r="F5625" s="3064"/>
      <c r="G5625" s="3301" t="s">
        <v>679</v>
      </c>
      <c r="H5625" s="3063"/>
      <c r="I5625" s="3030"/>
    </row>
    <row r="5626" spans="2:9" ht="25.5">
      <c r="B5626" s="3192" t="s">
        <v>720</v>
      </c>
      <c r="C5626" s="3063"/>
      <c r="D5626" s="3064"/>
      <c r="E5626" s="3064"/>
      <c r="F5626" s="3064"/>
      <c r="G5626" s="3301" t="s">
        <v>720</v>
      </c>
      <c r="H5626" s="3063"/>
      <c r="I5626" s="3030"/>
    </row>
    <row r="5627" spans="2:9">
      <c r="B5627" s="3299" t="s">
        <v>65</v>
      </c>
      <c r="C5627" s="3063"/>
      <c r="D5627" s="3064"/>
      <c r="E5627" s="3064"/>
      <c r="F5627" s="3064"/>
      <c r="G5627" s="3300" t="s">
        <v>65</v>
      </c>
      <c r="H5627" s="3063"/>
      <c r="I5627" s="3030"/>
    </row>
    <row r="5628" spans="2:9" ht="25.5">
      <c r="B5628" s="3192" t="s">
        <v>675</v>
      </c>
      <c r="C5628" s="3063"/>
      <c r="D5628" s="3064"/>
      <c r="E5628" s="3064"/>
      <c r="F5628" s="3064"/>
      <c r="G5628" s="3301" t="s">
        <v>675</v>
      </c>
      <c r="H5628" s="3063"/>
      <c r="I5628" s="3030"/>
    </row>
    <row r="5629" spans="2:9" ht="25.5">
      <c r="B5629" s="3192" t="s">
        <v>676</v>
      </c>
      <c r="C5629" s="3063"/>
      <c r="D5629" s="3064"/>
      <c r="E5629" s="3064"/>
      <c r="F5629" s="3064"/>
      <c r="G5629" s="3301" t="s">
        <v>676</v>
      </c>
      <c r="H5629" s="3063"/>
      <c r="I5629" s="3030"/>
    </row>
    <row r="5630" spans="2:9">
      <c r="B5630" s="3192" t="s">
        <v>677</v>
      </c>
      <c r="C5630" s="3063"/>
      <c r="D5630" s="3064"/>
      <c r="E5630" s="3064"/>
      <c r="F5630" s="3064"/>
      <c r="G5630" s="3301" t="s">
        <v>677</v>
      </c>
      <c r="H5630" s="3063"/>
      <c r="I5630" s="3030"/>
    </row>
    <row r="5631" spans="2:9">
      <c r="B5631" s="3192" t="s">
        <v>678</v>
      </c>
      <c r="C5631" s="3063"/>
      <c r="D5631" s="3064"/>
      <c r="E5631" s="3064"/>
      <c r="F5631" s="3064"/>
      <c r="G5631" s="3301" t="s">
        <v>678</v>
      </c>
      <c r="H5631" s="3063"/>
      <c r="I5631" s="3030"/>
    </row>
    <row r="5632" spans="2:9">
      <c r="B5632" s="3192" t="s">
        <v>679</v>
      </c>
      <c r="C5632" s="3063"/>
      <c r="D5632" s="3064"/>
      <c r="E5632" s="3064"/>
      <c r="F5632" s="3064"/>
      <c r="G5632" s="3301" t="s">
        <v>679</v>
      </c>
      <c r="H5632" s="3063"/>
      <c r="I5632" s="3030"/>
    </row>
    <row r="5633" spans="2:9" ht="25.5">
      <c r="B5633" s="3192" t="s">
        <v>720</v>
      </c>
      <c r="C5633" s="3063"/>
      <c r="D5633" s="3064"/>
      <c r="E5633" s="3064"/>
      <c r="F5633" s="3064"/>
      <c r="G5633" s="3301" t="s">
        <v>720</v>
      </c>
      <c r="H5633" s="3063"/>
      <c r="I5633" s="3030"/>
    </row>
    <row r="5634" spans="2:9">
      <c r="B5634" s="3299" t="s">
        <v>82</v>
      </c>
      <c r="C5634" s="3063"/>
      <c r="D5634" s="3064"/>
      <c r="E5634" s="3064"/>
      <c r="F5634" s="3064"/>
      <c r="G5634" s="3300" t="s">
        <v>82</v>
      </c>
      <c r="H5634" s="3063"/>
      <c r="I5634" s="3030"/>
    </row>
    <row r="5635" spans="2:9" ht="25.5">
      <c r="B5635" s="3192" t="s">
        <v>675</v>
      </c>
      <c r="C5635" s="3063"/>
      <c r="D5635" s="3064"/>
      <c r="E5635" s="3064"/>
      <c r="F5635" s="3064"/>
      <c r="G5635" s="3301" t="s">
        <v>675</v>
      </c>
      <c r="H5635" s="3063"/>
      <c r="I5635" s="3030"/>
    </row>
    <row r="5636" spans="2:9" ht="25.5">
      <c r="B5636" s="3192" t="s">
        <v>676</v>
      </c>
      <c r="C5636" s="3063"/>
      <c r="D5636" s="3064"/>
      <c r="E5636" s="3064"/>
      <c r="F5636" s="3064"/>
      <c r="G5636" s="3301" t="s">
        <v>676</v>
      </c>
      <c r="H5636" s="3063"/>
      <c r="I5636" s="3030"/>
    </row>
    <row r="5637" spans="2:9">
      <c r="B5637" s="3192" t="s">
        <v>677</v>
      </c>
      <c r="C5637" s="3063"/>
      <c r="D5637" s="3064"/>
      <c r="E5637" s="3064"/>
      <c r="F5637" s="3064"/>
      <c r="G5637" s="3301" t="s">
        <v>677</v>
      </c>
      <c r="H5637" s="3063"/>
      <c r="I5637" s="3030"/>
    </row>
    <row r="5638" spans="2:9">
      <c r="B5638" s="3192" t="s">
        <v>678</v>
      </c>
      <c r="C5638" s="3063"/>
      <c r="D5638" s="3064"/>
      <c r="E5638" s="3064"/>
      <c r="F5638" s="3064"/>
      <c r="G5638" s="3301" t="s">
        <v>678</v>
      </c>
      <c r="H5638" s="3063"/>
      <c r="I5638" s="3030"/>
    </row>
    <row r="5639" spans="2:9">
      <c r="B5639" s="3192" t="s">
        <v>679</v>
      </c>
      <c r="C5639" s="3063"/>
      <c r="D5639" s="3064"/>
      <c r="E5639" s="3064"/>
      <c r="F5639" s="3064"/>
      <c r="G5639" s="3301" t="s">
        <v>679</v>
      </c>
      <c r="H5639" s="3063"/>
      <c r="I5639" s="3030"/>
    </row>
    <row r="5640" spans="2:9" ht="25.5">
      <c r="B5640" s="3192" t="s">
        <v>720</v>
      </c>
      <c r="C5640" s="3063"/>
      <c r="D5640" s="3064"/>
      <c r="E5640" s="3064"/>
      <c r="F5640" s="3064"/>
      <c r="G5640" s="3301" t="s">
        <v>720</v>
      </c>
      <c r="H5640" s="3063"/>
      <c r="I5640" s="3030"/>
    </row>
    <row r="5641" spans="2:9" ht="38.25">
      <c r="B5641" s="3299" t="s">
        <v>680</v>
      </c>
      <c r="C5641" s="3063"/>
      <c r="D5641" s="3064"/>
      <c r="E5641" s="3064"/>
      <c r="F5641" s="3064"/>
      <c r="G5641" s="3300" t="s">
        <v>680</v>
      </c>
      <c r="H5641" s="3063"/>
      <c r="I5641" s="3030"/>
    </row>
    <row r="5642" spans="2:9" ht="25.5">
      <c r="B5642" s="3192" t="s">
        <v>675</v>
      </c>
      <c r="C5642" s="3063"/>
      <c r="D5642" s="3064"/>
      <c r="E5642" s="3064"/>
      <c r="F5642" s="3064"/>
      <c r="G5642" s="3301" t="s">
        <v>675</v>
      </c>
      <c r="H5642" s="3063"/>
      <c r="I5642" s="3030"/>
    </row>
    <row r="5643" spans="2:9" ht="25.5">
      <c r="B5643" s="3192" t="s">
        <v>676</v>
      </c>
      <c r="C5643" s="3063"/>
      <c r="D5643" s="3064"/>
      <c r="E5643" s="3064"/>
      <c r="F5643" s="3064"/>
      <c r="G5643" s="3301" t="s">
        <v>676</v>
      </c>
      <c r="H5643" s="3063"/>
      <c r="I5643" s="3030"/>
    </row>
    <row r="5644" spans="2:9">
      <c r="B5644" s="3192" t="s">
        <v>677</v>
      </c>
      <c r="C5644" s="3063"/>
      <c r="D5644" s="3064"/>
      <c r="E5644" s="3064"/>
      <c r="F5644" s="3064"/>
      <c r="G5644" s="3301" t="s">
        <v>677</v>
      </c>
      <c r="H5644" s="3063"/>
      <c r="I5644" s="3030"/>
    </row>
    <row r="5645" spans="2:9">
      <c r="B5645" s="3192" t="s">
        <v>678</v>
      </c>
      <c r="C5645" s="3063"/>
      <c r="D5645" s="3064"/>
      <c r="E5645" s="3064"/>
      <c r="F5645" s="3064"/>
      <c r="G5645" s="3301" t="s">
        <v>678</v>
      </c>
      <c r="H5645" s="3063"/>
      <c r="I5645" s="3030"/>
    </row>
    <row r="5646" spans="2:9">
      <c r="B5646" s="3192" t="s">
        <v>679</v>
      </c>
      <c r="C5646" s="3063"/>
      <c r="D5646" s="3064"/>
      <c r="E5646" s="3064"/>
      <c r="F5646" s="3064"/>
      <c r="G5646" s="3301" t="s">
        <v>679</v>
      </c>
      <c r="H5646" s="3063"/>
      <c r="I5646" s="3030"/>
    </row>
    <row r="5647" spans="2:9" ht="25.5">
      <c r="B5647" s="3192" t="s">
        <v>720</v>
      </c>
      <c r="C5647" s="3063"/>
      <c r="D5647" s="3064"/>
      <c r="E5647" s="3064"/>
      <c r="F5647" s="3064"/>
      <c r="G5647" s="3301" t="s">
        <v>720</v>
      </c>
      <c r="H5647" s="3063"/>
      <c r="I5647" s="3030"/>
    </row>
    <row r="5648" spans="2:9" ht="38.25">
      <c r="B5648" s="3299" t="s">
        <v>681</v>
      </c>
      <c r="C5648" s="3063"/>
      <c r="D5648" s="3064"/>
      <c r="E5648" s="3064"/>
      <c r="F5648" s="3064"/>
      <c r="G5648" s="3300" t="s">
        <v>681</v>
      </c>
      <c r="H5648" s="3063"/>
      <c r="I5648" s="3030"/>
    </row>
    <row r="5649" spans="2:9" ht="25.5">
      <c r="B5649" s="3192" t="s">
        <v>675</v>
      </c>
      <c r="C5649" s="3063"/>
      <c r="D5649" s="3064"/>
      <c r="E5649" s="3064"/>
      <c r="F5649" s="3064"/>
      <c r="G5649" s="3301" t="s">
        <v>675</v>
      </c>
      <c r="H5649" s="3063"/>
      <c r="I5649" s="3030"/>
    </row>
    <row r="5650" spans="2:9" ht="25.5">
      <c r="B5650" s="3192" t="s">
        <v>676</v>
      </c>
      <c r="C5650" s="3063"/>
      <c r="D5650" s="3064"/>
      <c r="E5650" s="3064"/>
      <c r="F5650" s="3064"/>
      <c r="G5650" s="3301" t="s">
        <v>676</v>
      </c>
      <c r="H5650" s="3063"/>
      <c r="I5650" s="3030"/>
    </row>
    <row r="5651" spans="2:9">
      <c r="B5651" s="3192" t="s">
        <v>677</v>
      </c>
      <c r="C5651" s="3063"/>
      <c r="D5651" s="3064"/>
      <c r="E5651" s="3064"/>
      <c r="F5651" s="3064"/>
      <c r="G5651" s="3301" t="s">
        <v>677</v>
      </c>
      <c r="H5651" s="3063"/>
      <c r="I5651" s="3030"/>
    </row>
    <row r="5652" spans="2:9">
      <c r="B5652" s="3192" t="s">
        <v>678</v>
      </c>
      <c r="C5652" s="3063"/>
      <c r="D5652" s="3064"/>
      <c r="E5652" s="3064"/>
      <c r="F5652" s="3064"/>
      <c r="G5652" s="3301" t="s">
        <v>678</v>
      </c>
      <c r="H5652" s="3063"/>
      <c r="I5652" s="3030"/>
    </row>
    <row r="5653" spans="2:9">
      <c r="B5653" s="3192" t="s">
        <v>679</v>
      </c>
      <c r="C5653" s="3063"/>
      <c r="D5653" s="3064"/>
      <c r="E5653" s="3064"/>
      <c r="F5653" s="3064"/>
      <c r="G5653" s="3301" t="s">
        <v>679</v>
      </c>
      <c r="H5653" s="3063"/>
      <c r="I5653" s="3030"/>
    </row>
    <row r="5654" spans="2:9" ht="25.5">
      <c r="B5654" s="3192" t="s">
        <v>720</v>
      </c>
      <c r="C5654" s="3063"/>
      <c r="D5654" s="3064"/>
      <c r="E5654" s="3064"/>
      <c r="F5654" s="3064"/>
      <c r="G5654" s="3301" t="s">
        <v>720</v>
      </c>
      <c r="H5654" s="3063"/>
      <c r="I5654" s="3030"/>
    </row>
    <row r="5655" spans="2:9" ht="25.5">
      <c r="B5655" s="3299" t="s">
        <v>682</v>
      </c>
      <c r="C5655" s="3063"/>
      <c r="D5655" s="3064"/>
      <c r="E5655" s="3064"/>
      <c r="F5655" s="3064"/>
      <c r="G5655" s="3300" t="s">
        <v>682</v>
      </c>
      <c r="H5655" s="3063"/>
      <c r="I5655" s="3030"/>
    </row>
    <row r="5656" spans="2:9" ht="25.5">
      <c r="B5656" s="3192" t="s">
        <v>675</v>
      </c>
      <c r="C5656" s="3063"/>
      <c r="D5656" s="3064"/>
      <c r="E5656" s="3064"/>
      <c r="F5656" s="3064"/>
      <c r="G5656" s="3301" t="s">
        <v>675</v>
      </c>
      <c r="H5656" s="3063"/>
      <c r="I5656" s="3030"/>
    </row>
    <row r="5657" spans="2:9" ht="25.5">
      <c r="B5657" s="3192" t="s">
        <v>676</v>
      </c>
      <c r="C5657" s="3063"/>
      <c r="D5657" s="3064"/>
      <c r="E5657" s="3064"/>
      <c r="F5657" s="3064"/>
      <c r="G5657" s="3301" t="s">
        <v>676</v>
      </c>
      <c r="H5657" s="3063"/>
      <c r="I5657" s="3030"/>
    </row>
    <row r="5658" spans="2:9">
      <c r="B5658" s="3192" t="s">
        <v>677</v>
      </c>
      <c r="C5658" s="3063"/>
      <c r="D5658" s="3064"/>
      <c r="E5658" s="3064"/>
      <c r="F5658" s="3064"/>
      <c r="G5658" s="3301" t="s">
        <v>677</v>
      </c>
      <c r="H5658" s="3063"/>
      <c r="I5658" s="3030"/>
    </row>
    <row r="5659" spans="2:9">
      <c r="B5659" s="3192" t="s">
        <v>678</v>
      </c>
      <c r="C5659" s="3063"/>
      <c r="D5659" s="3064"/>
      <c r="E5659" s="3064"/>
      <c r="F5659" s="3064"/>
      <c r="G5659" s="3301" t="s">
        <v>678</v>
      </c>
      <c r="H5659" s="3063"/>
      <c r="I5659" s="3030"/>
    </row>
    <row r="5660" spans="2:9">
      <c r="B5660" s="3192" t="s">
        <v>679</v>
      </c>
      <c r="C5660" s="3063"/>
      <c r="D5660" s="3064"/>
      <c r="E5660" s="3064"/>
      <c r="F5660" s="3064"/>
      <c r="G5660" s="3301" t="s">
        <v>679</v>
      </c>
      <c r="H5660" s="3063"/>
      <c r="I5660" s="3030"/>
    </row>
    <row r="5661" spans="2:9" ht="25.5">
      <c r="B5661" s="3192" t="s">
        <v>720</v>
      </c>
      <c r="C5661" s="3063"/>
      <c r="D5661" s="3064"/>
      <c r="E5661" s="3064"/>
      <c r="F5661" s="3064"/>
      <c r="G5661" s="3301" t="s">
        <v>720</v>
      </c>
      <c r="H5661" s="3063"/>
      <c r="I5661" s="3030"/>
    </row>
    <row r="5662" spans="2:9" ht="25.5">
      <c r="B5662" s="3299" t="s">
        <v>66</v>
      </c>
      <c r="C5662" s="3063"/>
      <c r="D5662" s="3064"/>
      <c r="E5662" s="3064"/>
      <c r="F5662" s="3064"/>
      <c r="G5662" s="3300" t="s">
        <v>66</v>
      </c>
      <c r="H5662" s="3063"/>
      <c r="I5662" s="3030"/>
    </row>
    <row r="5663" spans="2:9" ht="25.5">
      <c r="B5663" s="3192" t="s">
        <v>675</v>
      </c>
      <c r="C5663" s="3063"/>
      <c r="D5663" s="3064"/>
      <c r="E5663" s="3064"/>
      <c r="F5663" s="3064"/>
      <c r="G5663" s="3301" t="s">
        <v>675</v>
      </c>
      <c r="H5663" s="3063"/>
      <c r="I5663" s="3030"/>
    </row>
    <row r="5664" spans="2:9" ht="25.5">
      <c r="B5664" s="3192" t="s">
        <v>676</v>
      </c>
      <c r="C5664" s="3063"/>
      <c r="D5664" s="3064"/>
      <c r="E5664" s="3064"/>
      <c r="F5664" s="3064"/>
      <c r="G5664" s="3301" t="s">
        <v>676</v>
      </c>
      <c r="H5664" s="3063"/>
      <c r="I5664" s="3030"/>
    </row>
    <row r="5665" spans="2:9">
      <c r="B5665" s="3192" t="s">
        <v>677</v>
      </c>
      <c r="C5665" s="3063"/>
      <c r="D5665" s="3064"/>
      <c r="E5665" s="3064"/>
      <c r="F5665" s="3064"/>
      <c r="G5665" s="3301" t="s">
        <v>677</v>
      </c>
      <c r="H5665" s="3063"/>
      <c r="I5665" s="3030"/>
    </row>
    <row r="5666" spans="2:9">
      <c r="B5666" s="3192" t="s">
        <v>678</v>
      </c>
      <c r="C5666" s="3063"/>
      <c r="D5666" s="3064"/>
      <c r="E5666" s="3064"/>
      <c r="F5666" s="3064"/>
      <c r="G5666" s="3301" t="s">
        <v>678</v>
      </c>
      <c r="H5666" s="3063"/>
      <c r="I5666" s="3030"/>
    </row>
    <row r="5667" spans="2:9">
      <c r="B5667" s="3192" t="s">
        <v>679</v>
      </c>
      <c r="C5667" s="3063"/>
      <c r="D5667" s="3064"/>
      <c r="E5667" s="3064"/>
      <c r="F5667" s="3064"/>
      <c r="G5667" s="3301" t="s">
        <v>679</v>
      </c>
      <c r="H5667" s="3063"/>
      <c r="I5667" s="3030"/>
    </row>
    <row r="5668" spans="2:9" ht="25.5">
      <c r="B5668" s="3192" t="s">
        <v>720</v>
      </c>
      <c r="C5668" s="3063"/>
      <c r="D5668" s="3064"/>
      <c r="E5668" s="3064"/>
      <c r="F5668" s="3064"/>
      <c r="G5668" s="3301" t="s">
        <v>720</v>
      </c>
      <c r="H5668" s="3063"/>
      <c r="I5668" s="3030"/>
    </row>
    <row r="5669" spans="2:9">
      <c r="B5669" s="3299" t="s">
        <v>67</v>
      </c>
      <c r="C5669" s="3063"/>
      <c r="D5669" s="3064"/>
      <c r="E5669" s="3064"/>
      <c r="F5669" s="3064"/>
      <c r="G5669" s="3300" t="s">
        <v>67</v>
      </c>
      <c r="H5669" s="3063"/>
      <c r="I5669" s="3030"/>
    </row>
    <row r="5670" spans="2:9" ht="25.5">
      <c r="B5670" s="3192" t="s">
        <v>675</v>
      </c>
      <c r="C5670" s="3063"/>
      <c r="D5670" s="3064"/>
      <c r="E5670" s="3064"/>
      <c r="F5670" s="3064"/>
      <c r="G5670" s="3301" t="s">
        <v>675</v>
      </c>
      <c r="H5670" s="3063"/>
      <c r="I5670" s="3030"/>
    </row>
    <row r="5671" spans="2:9" ht="25.5">
      <c r="B5671" s="3192" t="s">
        <v>676</v>
      </c>
      <c r="C5671" s="3063"/>
      <c r="D5671" s="3064"/>
      <c r="E5671" s="3064"/>
      <c r="F5671" s="3064"/>
      <c r="G5671" s="3301" t="s">
        <v>676</v>
      </c>
      <c r="H5671" s="3063"/>
      <c r="I5671" s="3030"/>
    </row>
    <row r="5672" spans="2:9">
      <c r="B5672" s="3192" t="s">
        <v>677</v>
      </c>
      <c r="C5672" s="3063"/>
      <c r="D5672" s="3064"/>
      <c r="E5672" s="3064"/>
      <c r="F5672" s="3064"/>
      <c r="G5672" s="3301" t="s">
        <v>677</v>
      </c>
      <c r="H5672" s="3063"/>
      <c r="I5672" s="3030"/>
    </row>
    <row r="5673" spans="2:9">
      <c r="B5673" s="3192" t="s">
        <v>678</v>
      </c>
      <c r="C5673" s="3063"/>
      <c r="D5673" s="3064"/>
      <c r="E5673" s="3064"/>
      <c r="F5673" s="3064"/>
      <c r="G5673" s="3301" t="s">
        <v>678</v>
      </c>
      <c r="H5673" s="3063"/>
      <c r="I5673" s="3030"/>
    </row>
    <row r="5674" spans="2:9">
      <c r="B5674" s="3192" t="s">
        <v>679</v>
      </c>
      <c r="C5674" s="3063"/>
      <c r="D5674" s="3064"/>
      <c r="E5674" s="3064"/>
      <c r="F5674" s="3064"/>
      <c r="G5674" s="3301" t="s">
        <v>679</v>
      </c>
      <c r="H5674" s="3063"/>
      <c r="I5674" s="3030"/>
    </row>
    <row r="5675" spans="2:9" ht="25.5">
      <c r="B5675" s="3192" t="s">
        <v>720</v>
      </c>
      <c r="C5675" s="3063"/>
      <c r="D5675" s="3064"/>
      <c r="E5675" s="3064"/>
      <c r="F5675" s="3064"/>
      <c r="G5675" s="3301" t="s">
        <v>720</v>
      </c>
      <c r="H5675" s="3063"/>
      <c r="I5675" s="3030"/>
    </row>
    <row r="5676" spans="2:9" ht="25.5">
      <c r="B5676" s="3230" t="s">
        <v>81</v>
      </c>
      <c r="C5676" s="3063"/>
      <c r="D5676" s="3064"/>
      <c r="E5676" s="3064"/>
      <c r="F5676" s="3064"/>
      <c r="G5676" s="3302" t="s">
        <v>81</v>
      </c>
      <c r="H5676" s="3063"/>
      <c r="I5676" s="3030"/>
    </row>
    <row r="5677" spans="2:9" ht="26.25" thickBot="1">
      <c r="B5677" s="3303" t="s">
        <v>81</v>
      </c>
      <c r="C5677" s="3063"/>
      <c r="D5677" s="3064"/>
      <c r="E5677" s="3064"/>
      <c r="F5677" s="3064"/>
      <c r="G5677" s="3302" t="s">
        <v>81</v>
      </c>
      <c r="H5677" s="3063"/>
      <c r="I5677" s="3030"/>
    </row>
    <row r="5678" spans="2:9" ht="25.5">
      <c r="B5678" s="3217" t="s">
        <v>696</v>
      </c>
      <c r="C5678" s="3218"/>
      <c r="D5678" s="3219"/>
      <c r="E5678" s="3219"/>
      <c r="F5678" s="3219"/>
      <c r="G5678" s="3217" t="s">
        <v>696</v>
      </c>
      <c r="H5678" s="3297"/>
      <c r="I5678" s="3298"/>
    </row>
    <row r="5679" spans="2:9">
      <c r="B5679" s="3299" t="s">
        <v>64</v>
      </c>
      <c r="C5679" s="3063"/>
      <c r="D5679" s="3064"/>
      <c r="E5679" s="3064"/>
      <c r="F5679" s="3064"/>
      <c r="G5679" s="3300" t="s">
        <v>64</v>
      </c>
      <c r="H5679" s="3063"/>
      <c r="I5679" s="3030"/>
    </row>
    <row r="5680" spans="2:9" ht="25.5">
      <c r="B5680" s="3192" t="s">
        <v>675</v>
      </c>
      <c r="C5680" s="3063"/>
      <c r="D5680" s="3064"/>
      <c r="E5680" s="3064"/>
      <c r="F5680" s="3064"/>
      <c r="G5680" s="3301" t="s">
        <v>675</v>
      </c>
      <c r="H5680" s="3063"/>
      <c r="I5680" s="3030"/>
    </row>
    <row r="5681" spans="2:9" ht="25.5">
      <c r="B5681" s="3192" t="s">
        <v>676</v>
      </c>
      <c r="C5681" s="3063"/>
      <c r="D5681" s="3064"/>
      <c r="E5681" s="3064"/>
      <c r="F5681" s="3064"/>
      <c r="G5681" s="3301" t="s">
        <v>676</v>
      </c>
      <c r="H5681" s="3063"/>
      <c r="I5681" s="3030"/>
    </row>
    <row r="5682" spans="2:9">
      <c r="B5682" s="3192" t="s">
        <v>677</v>
      </c>
      <c r="C5682" s="3063"/>
      <c r="D5682" s="3064"/>
      <c r="E5682" s="3064"/>
      <c r="F5682" s="3064"/>
      <c r="G5682" s="3301" t="s">
        <v>677</v>
      </c>
      <c r="H5682" s="3063"/>
      <c r="I5682" s="3030"/>
    </row>
    <row r="5683" spans="2:9">
      <c r="B5683" s="3192" t="s">
        <v>678</v>
      </c>
      <c r="C5683" s="3063"/>
      <c r="D5683" s="3064"/>
      <c r="E5683" s="3064"/>
      <c r="F5683" s="3064"/>
      <c r="G5683" s="3301" t="s">
        <v>678</v>
      </c>
      <c r="H5683" s="3063"/>
      <c r="I5683" s="3030"/>
    </row>
    <row r="5684" spans="2:9">
      <c r="B5684" s="3192" t="s">
        <v>679</v>
      </c>
      <c r="C5684" s="3063"/>
      <c r="D5684" s="3064"/>
      <c r="E5684" s="3064"/>
      <c r="F5684" s="3064"/>
      <c r="G5684" s="3301" t="s">
        <v>679</v>
      </c>
      <c r="H5684" s="3063"/>
      <c r="I5684" s="3030"/>
    </row>
    <row r="5685" spans="2:9" ht="25.5">
      <c r="B5685" s="3192" t="s">
        <v>720</v>
      </c>
      <c r="C5685" s="3063"/>
      <c r="D5685" s="3064"/>
      <c r="E5685" s="3064"/>
      <c r="F5685" s="3064"/>
      <c r="G5685" s="3301" t="s">
        <v>720</v>
      </c>
      <c r="H5685" s="3063"/>
      <c r="I5685" s="3030"/>
    </row>
    <row r="5686" spans="2:9">
      <c r="B5686" s="3299" t="s">
        <v>65</v>
      </c>
      <c r="C5686" s="3063"/>
      <c r="D5686" s="3064"/>
      <c r="E5686" s="3064"/>
      <c r="F5686" s="3064"/>
      <c r="G5686" s="3300" t="s">
        <v>65</v>
      </c>
      <c r="H5686" s="3063"/>
      <c r="I5686" s="3030"/>
    </row>
    <row r="5687" spans="2:9" ht="25.5">
      <c r="B5687" s="3192" t="s">
        <v>675</v>
      </c>
      <c r="C5687" s="3063"/>
      <c r="D5687" s="3064"/>
      <c r="E5687" s="3064"/>
      <c r="F5687" s="3064"/>
      <c r="G5687" s="3301" t="s">
        <v>675</v>
      </c>
      <c r="H5687" s="3063"/>
      <c r="I5687" s="3030"/>
    </row>
    <row r="5688" spans="2:9" ht="25.5">
      <c r="B5688" s="3192" t="s">
        <v>676</v>
      </c>
      <c r="C5688" s="3063"/>
      <c r="D5688" s="3064"/>
      <c r="E5688" s="3064"/>
      <c r="F5688" s="3064"/>
      <c r="G5688" s="3301" t="s">
        <v>676</v>
      </c>
      <c r="H5688" s="3063"/>
      <c r="I5688" s="3030"/>
    </row>
    <row r="5689" spans="2:9">
      <c r="B5689" s="3192" t="s">
        <v>677</v>
      </c>
      <c r="C5689" s="3063"/>
      <c r="D5689" s="3064"/>
      <c r="E5689" s="3064"/>
      <c r="F5689" s="3064"/>
      <c r="G5689" s="3301" t="s">
        <v>677</v>
      </c>
      <c r="H5689" s="3063"/>
      <c r="I5689" s="3030"/>
    </row>
    <row r="5690" spans="2:9">
      <c r="B5690" s="3192" t="s">
        <v>678</v>
      </c>
      <c r="C5690" s="3063"/>
      <c r="D5690" s="3064"/>
      <c r="E5690" s="3064"/>
      <c r="F5690" s="3064"/>
      <c r="G5690" s="3301" t="s">
        <v>678</v>
      </c>
      <c r="H5690" s="3063"/>
      <c r="I5690" s="3030"/>
    </row>
    <row r="5691" spans="2:9">
      <c r="B5691" s="3192" t="s">
        <v>679</v>
      </c>
      <c r="C5691" s="3063"/>
      <c r="D5691" s="3064"/>
      <c r="E5691" s="3064"/>
      <c r="F5691" s="3064"/>
      <c r="G5691" s="3301" t="s">
        <v>679</v>
      </c>
      <c r="H5691" s="3063"/>
      <c r="I5691" s="3030"/>
    </row>
    <row r="5692" spans="2:9" ht="25.5">
      <c r="B5692" s="3192" t="s">
        <v>720</v>
      </c>
      <c r="C5692" s="3063"/>
      <c r="D5692" s="3064"/>
      <c r="E5692" s="3064"/>
      <c r="F5692" s="3064"/>
      <c r="G5692" s="3301" t="s">
        <v>720</v>
      </c>
      <c r="H5692" s="3063"/>
      <c r="I5692" s="3030"/>
    </row>
    <row r="5693" spans="2:9">
      <c r="B5693" s="3299" t="s">
        <v>82</v>
      </c>
      <c r="C5693" s="3063"/>
      <c r="D5693" s="3064"/>
      <c r="E5693" s="3064"/>
      <c r="F5693" s="3064"/>
      <c r="G5693" s="3300" t="s">
        <v>82</v>
      </c>
      <c r="H5693" s="3063"/>
      <c r="I5693" s="3030"/>
    </row>
    <row r="5694" spans="2:9" ht="25.5">
      <c r="B5694" s="3192" t="s">
        <v>675</v>
      </c>
      <c r="C5694" s="3063"/>
      <c r="D5694" s="3064"/>
      <c r="E5694" s="3064"/>
      <c r="F5694" s="3064"/>
      <c r="G5694" s="3301" t="s">
        <v>675</v>
      </c>
      <c r="H5694" s="3063"/>
      <c r="I5694" s="3030"/>
    </row>
    <row r="5695" spans="2:9" ht="25.5">
      <c r="B5695" s="3192" t="s">
        <v>676</v>
      </c>
      <c r="C5695" s="3063"/>
      <c r="D5695" s="3064"/>
      <c r="E5695" s="3064"/>
      <c r="F5695" s="3064"/>
      <c r="G5695" s="3301" t="s">
        <v>676</v>
      </c>
      <c r="H5695" s="3063"/>
      <c r="I5695" s="3030"/>
    </row>
    <row r="5696" spans="2:9">
      <c r="B5696" s="3192" t="s">
        <v>677</v>
      </c>
      <c r="C5696" s="3063"/>
      <c r="D5696" s="3064"/>
      <c r="E5696" s="3064"/>
      <c r="F5696" s="3064"/>
      <c r="G5696" s="3301" t="s">
        <v>677</v>
      </c>
      <c r="H5696" s="3063"/>
      <c r="I5696" s="3030"/>
    </row>
    <row r="5697" spans="2:9">
      <c r="B5697" s="3192" t="s">
        <v>678</v>
      </c>
      <c r="C5697" s="3063"/>
      <c r="D5697" s="3064"/>
      <c r="E5697" s="3064"/>
      <c r="F5697" s="3064"/>
      <c r="G5697" s="3301" t="s">
        <v>678</v>
      </c>
      <c r="H5697" s="3063"/>
      <c r="I5697" s="3030"/>
    </row>
    <row r="5698" spans="2:9">
      <c r="B5698" s="3192" t="s">
        <v>679</v>
      </c>
      <c r="C5698" s="3063"/>
      <c r="D5698" s="3064"/>
      <c r="E5698" s="3064"/>
      <c r="F5698" s="3064"/>
      <c r="G5698" s="3301" t="s">
        <v>679</v>
      </c>
      <c r="H5698" s="3063"/>
      <c r="I5698" s="3030"/>
    </row>
    <row r="5699" spans="2:9" ht="25.5">
      <c r="B5699" s="3192" t="s">
        <v>720</v>
      </c>
      <c r="C5699" s="3063"/>
      <c r="D5699" s="3064"/>
      <c r="E5699" s="3064"/>
      <c r="F5699" s="3064"/>
      <c r="G5699" s="3301" t="s">
        <v>720</v>
      </c>
      <c r="H5699" s="3063"/>
      <c r="I5699" s="3030"/>
    </row>
    <row r="5700" spans="2:9" ht="38.25">
      <c r="B5700" s="3299" t="s">
        <v>680</v>
      </c>
      <c r="C5700" s="3063"/>
      <c r="D5700" s="3064"/>
      <c r="E5700" s="3064"/>
      <c r="F5700" s="3064"/>
      <c r="G5700" s="3300" t="s">
        <v>680</v>
      </c>
      <c r="H5700" s="3063"/>
      <c r="I5700" s="3030"/>
    </row>
    <row r="5701" spans="2:9" ht="25.5">
      <c r="B5701" s="3192" t="s">
        <v>675</v>
      </c>
      <c r="C5701" s="3063"/>
      <c r="D5701" s="3064"/>
      <c r="E5701" s="3064"/>
      <c r="F5701" s="3064"/>
      <c r="G5701" s="3301" t="s">
        <v>675</v>
      </c>
      <c r="H5701" s="3063"/>
      <c r="I5701" s="3030"/>
    </row>
    <row r="5702" spans="2:9" ht="25.5">
      <c r="B5702" s="3192" t="s">
        <v>676</v>
      </c>
      <c r="C5702" s="3063"/>
      <c r="D5702" s="3064"/>
      <c r="E5702" s="3064"/>
      <c r="F5702" s="3064"/>
      <c r="G5702" s="3301" t="s">
        <v>676</v>
      </c>
      <c r="H5702" s="3063"/>
      <c r="I5702" s="3030"/>
    </row>
    <row r="5703" spans="2:9">
      <c r="B5703" s="3192" t="s">
        <v>677</v>
      </c>
      <c r="C5703" s="3063"/>
      <c r="D5703" s="3064"/>
      <c r="E5703" s="3064"/>
      <c r="F5703" s="3064"/>
      <c r="G5703" s="3301" t="s">
        <v>677</v>
      </c>
      <c r="H5703" s="3063"/>
      <c r="I5703" s="3030"/>
    </row>
    <row r="5704" spans="2:9">
      <c r="B5704" s="3192" t="s">
        <v>678</v>
      </c>
      <c r="C5704" s="3063"/>
      <c r="D5704" s="3064"/>
      <c r="E5704" s="3064"/>
      <c r="F5704" s="3064"/>
      <c r="G5704" s="3301" t="s">
        <v>678</v>
      </c>
      <c r="H5704" s="3063"/>
      <c r="I5704" s="3030"/>
    </row>
    <row r="5705" spans="2:9">
      <c r="B5705" s="3192" t="s">
        <v>679</v>
      </c>
      <c r="C5705" s="3063"/>
      <c r="D5705" s="3064"/>
      <c r="E5705" s="3064"/>
      <c r="F5705" s="3064"/>
      <c r="G5705" s="3301" t="s">
        <v>679</v>
      </c>
      <c r="H5705" s="3063"/>
      <c r="I5705" s="3030"/>
    </row>
    <row r="5706" spans="2:9" ht="25.5">
      <c r="B5706" s="3192" t="s">
        <v>720</v>
      </c>
      <c r="C5706" s="3063"/>
      <c r="D5706" s="3064"/>
      <c r="E5706" s="3064"/>
      <c r="F5706" s="3064"/>
      <c r="G5706" s="3301" t="s">
        <v>720</v>
      </c>
      <c r="H5706" s="3063"/>
      <c r="I5706" s="3030"/>
    </row>
    <row r="5707" spans="2:9" ht="38.25">
      <c r="B5707" s="3299" t="s">
        <v>681</v>
      </c>
      <c r="C5707" s="3063"/>
      <c r="D5707" s="3064"/>
      <c r="E5707" s="3064"/>
      <c r="F5707" s="3064"/>
      <c r="G5707" s="3300" t="s">
        <v>681</v>
      </c>
      <c r="H5707" s="3063"/>
      <c r="I5707" s="3030"/>
    </row>
    <row r="5708" spans="2:9" ht="25.5">
      <c r="B5708" s="3192" t="s">
        <v>675</v>
      </c>
      <c r="C5708" s="3063"/>
      <c r="D5708" s="3064"/>
      <c r="E5708" s="3064"/>
      <c r="F5708" s="3064"/>
      <c r="G5708" s="3301" t="s">
        <v>675</v>
      </c>
      <c r="H5708" s="3063"/>
      <c r="I5708" s="3030"/>
    </row>
    <row r="5709" spans="2:9" ht="25.5">
      <c r="B5709" s="3192" t="s">
        <v>676</v>
      </c>
      <c r="C5709" s="3063"/>
      <c r="D5709" s="3064"/>
      <c r="E5709" s="3064"/>
      <c r="F5709" s="3064"/>
      <c r="G5709" s="3301" t="s">
        <v>676</v>
      </c>
      <c r="H5709" s="3063"/>
      <c r="I5709" s="3030"/>
    </row>
    <row r="5710" spans="2:9">
      <c r="B5710" s="3192" t="s">
        <v>677</v>
      </c>
      <c r="C5710" s="3063"/>
      <c r="D5710" s="3064"/>
      <c r="E5710" s="3064"/>
      <c r="F5710" s="3064"/>
      <c r="G5710" s="3301" t="s">
        <v>677</v>
      </c>
      <c r="H5710" s="3063"/>
      <c r="I5710" s="3030"/>
    </row>
    <row r="5711" spans="2:9">
      <c r="B5711" s="3192" t="s">
        <v>678</v>
      </c>
      <c r="C5711" s="3063"/>
      <c r="D5711" s="3064"/>
      <c r="E5711" s="3064"/>
      <c r="F5711" s="3064"/>
      <c r="G5711" s="3301" t="s">
        <v>678</v>
      </c>
      <c r="H5711" s="3063"/>
      <c r="I5711" s="3030"/>
    </row>
    <row r="5712" spans="2:9">
      <c r="B5712" s="3192" t="s">
        <v>679</v>
      </c>
      <c r="C5712" s="3063"/>
      <c r="D5712" s="3064"/>
      <c r="E5712" s="3064"/>
      <c r="F5712" s="3064"/>
      <c r="G5712" s="3301" t="s">
        <v>679</v>
      </c>
      <c r="H5712" s="3063"/>
      <c r="I5712" s="3030"/>
    </row>
    <row r="5713" spans="2:9" ht="25.5">
      <c r="B5713" s="3192" t="s">
        <v>720</v>
      </c>
      <c r="C5713" s="3063"/>
      <c r="D5713" s="3064"/>
      <c r="E5713" s="3064"/>
      <c r="F5713" s="3064"/>
      <c r="G5713" s="3301" t="s">
        <v>720</v>
      </c>
      <c r="H5713" s="3063"/>
      <c r="I5713" s="3030"/>
    </row>
    <row r="5714" spans="2:9" ht="25.5">
      <c r="B5714" s="3299" t="s">
        <v>682</v>
      </c>
      <c r="C5714" s="3063"/>
      <c r="D5714" s="3064"/>
      <c r="E5714" s="3064"/>
      <c r="F5714" s="3064"/>
      <c r="G5714" s="3300" t="s">
        <v>682</v>
      </c>
      <c r="H5714" s="3063"/>
      <c r="I5714" s="3030"/>
    </row>
    <row r="5715" spans="2:9" ht="25.5">
      <c r="B5715" s="3192" t="s">
        <v>675</v>
      </c>
      <c r="C5715" s="3063"/>
      <c r="D5715" s="3064"/>
      <c r="E5715" s="3064"/>
      <c r="F5715" s="3064"/>
      <c r="G5715" s="3301" t="s">
        <v>675</v>
      </c>
      <c r="H5715" s="3063"/>
      <c r="I5715" s="3030"/>
    </row>
    <row r="5716" spans="2:9" ht="25.5">
      <c r="B5716" s="3192" t="s">
        <v>676</v>
      </c>
      <c r="C5716" s="3063"/>
      <c r="D5716" s="3064"/>
      <c r="E5716" s="3064"/>
      <c r="F5716" s="3064"/>
      <c r="G5716" s="3301" t="s">
        <v>676</v>
      </c>
      <c r="H5716" s="3063"/>
      <c r="I5716" s="3030"/>
    </row>
    <row r="5717" spans="2:9">
      <c r="B5717" s="3192" t="s">
        <v>677</v>
      </c>
      <c r="C5717" s="3063"/>
      <c r="D5717" s="3064"/>
      <c r="E5717" s="3064"/>
      <c r="F5717" s="3064"/>
      <c r="G5717" s="3301" t="s">
        <v>677</v>
      </c>
      <c r="H5717" s="3063"/>
      <c r="I5717" s="3030"/>
    </row>
    <row r="5718" spans="2:9">
      <c r="B5718" s="3192" t="s">
        <v>678</v>
      </c>
      <c r="C5718" s="3063"/>
      <c r="D5718" s="3064"/>
      <c r="E5718" s="3064"/>
      <c r="F5718" s="3064"/>
      <c r="G5718" s="3301" t="s">
        <v>678</v>
      </c>
      <c r="H5718" s="3063"/>
      <c r="I5718" s="3030"/>
    </row>
    <row r="5719" spans="2:9">
      <c r="B5719" s="3192" t="s">
        <v>679</v>
      </c>
      <c r="C5719" s="3063"/>
      <c r="D5719" s="3064"/>
      <c r="E5719" s="3064"/>
      <c r="F5719" s="3064"/>
      <c r="G5719" s="3301" t="s">
        <v>679</v>
      </c>
      <c r="H5719" s="3063"/>
      <c r="I5719" s="3030"/>
    </row>
    <row r="5720" spans="2:9" ht="25.5">
      <c r="B5720" s="3192" t="s">
        <v>720</v>
      </c>
      <c r="C5720" s="3063"/>
      <c r="D5720" s="3064"/>
      <c r="E5720" s="3064"/>
      <c r="F5720" s="3064"/>
      <c r="G5720" s="3301" t="s">
        <v>720</v>
      </c>
      <c r="H5720" s="3063"/>
      <c r="I5720" s="3030"/>
    </row>
    <row r="5721" spans="2:9" ht="25.5">
      <c r="B5721" s="3299" t="s">
        <v>66</v>
      </c>
      <c r="C5721" s="3063"/>
      <c r="D5721" s="3064"/>
      <c r="E5721" s="3064"/>
      <c r="F5721" s="3064"/>
      <c r="G5721" s="3300" t="s">
        <v>66</v>
      </c>
      <c r="H5721" s="3063"/>
      <c r="I5721" s="3030"/>
    </row>
    <row r="5722" spans="2:9" ht="25.5">
      <c r="B5722" s="3192" t="s">
        <v>675</v>
      </c>
      <c r="C5722" s="3063"/>
      <c r="D5722" s="3064"/>
      <c r="E5722" s="3064"/>
      <c r="F5722" s="3064"/>
      <c r="G5722" s="3301" t="s">
        <v>675</v>
      </c>
      <c r="H5722" s="3063"/>
      <c r="I5722" s="3030"/>
    </row>
    <row r="5723" spans="2:9" ht="25.5">
      <c r="B5723" s="3192" t="s">
        <v>676</v>
      </c>
      <c r="C5723" s="3063"/>
      <c r="D5723" s="3064"/>
      <c r="E5723" s="3064"/>
      <c r="F5723" s="3064"/>
      <c r="G5723" s="3301" t="s">
        <v>676</v>
      </c>
      <c r="H5723" s="3063"/>
      <c r="I5723" s="3030"/>
    </row>
    <row r="5724" spans="2:9">
      <c r="B5724" s="3192" t="s">
        <v>677</v>
      </c>
      <c r="C5724" s="3063"/>
      <c r="D5724" s="3064"/>
      <c r="E5724" s="3064"/>
      <c r="F5724" s="3064"/>
      <c r="G5724" s="3301" t="s">
        <v>677</v>
      </c>
      <c r="H5724" s="3063"/>
      <c r="I5724" s="3030"/>
    </row>
    <row r="5725" spans="2:9">
      <c r="B5725" s="3192" t="s">
        <v>678</v>
      </c>
      <c r="C5725" s="3063"/>
      <c r="D5725" s="3064"/>
      <c r="E5725" s="3064"/>
      <c r="F5725" s="3064"/>
      <c r="G5725" s="3301" t="s">
        <v>678</v>
      </c>
      <c r="H5725" s="3063"/>
      <c r="I5725" s="3030"/>
    </row>
    <row r="5726" spans="2:9">
      <c r="B5726" s="3192" t="s">
        <v>679</v>
      </c>
      <c r="C5726" s="3063"/>
      <c r="D5726" s="3064"/>
      <c r="E5726" s="3064"/>
      <c r="F5726" s="3064"/>
      <c r="G5726" s="3301" t="s">
        <v>679</v>
      </c>
      <c r="H5726" s="3063"/>
      <c r="I5726" s="3030"/>
    </row>
    <row r="5727" spans="2:9" ht="25.5">
      <c r="B5727" s="3192" t="s">
        <v>720</v>
      </c>
      <c r="C5727" s="3063"/>
      <c r="D5727" s="3064"/>
      <c r="E5727" s="3064"/>
      <c r="F5727" s="3064"/>
      <c r="G5727" s="3301" t="s">
        <v>720</v>
      </c>
      <c r="H5727" s="3063"/>
      <c r="I5727" s="3030"/>
    </row>
    <row r="5728" spans="2:9">
      <c r="B5728" s="3299" t="s">
        <v>67</v>
      </c>
      <c r="C5728" s="3063"/>
      <c r="D5728" s="3064"/>
      <c r="E5728" s="3064"/>
      <c r="F5728" s="3064"/>
      <c r="G5728" s="3300" t="s">
        <v>67</v>
      </c>
      <c r="H5728" s="3063"/>
      <c r="I5728" s="3030"/>
    </row>
    <row r="5729" spans="2:9" ht="25.5">
      <c r="B5729" s="3192" t="s">
        <v>675</v>
      </c>
      <c r="C5729" s="3063"/>
      <c r="D5729" s="3064"/>
      <c r="E5729" s="3064"/>
      <c r="F5729" s="3064"/>
      <c r="G5729" s="3301" t="s">
        <v>675</v>
      </c>
      <c r="H5729" s="3063"/>
      <c r="I5729" s="3030"/>
    </row>
    <row r="5730" spans="2:9" ht="25.5">
      <c r="B5730" s="3192" t="s">
        <v>676</v>
      </c>
      <c r="C5730" s="3063"/>
      <c r="D5730" s="3064"/>
      <c r="E5730" s="3064"/>
      <c r="F5730" s="3064"/>
      <c r="G5730" s="3301" t="s">
        <v>676</v>
      </c>
      <c r="H5730" s="3063"/>
      <c r="I5730" s="3030"/>
    </row>
    <row r="5731" spans="2:9">
      <c r="B5731" s="3192" t="s">
        <v>677</v>
      </c>
      <c r="C5731" s="3063"/>
      <c r="D5731" s="3064"/>
      <c r="E5731" s="3064"/>
      <c r="F5731" s="3064"/>
      <c r="G5731" s="3301" t="s">
        <v>677</v>
      </c>
      <c r="H5731" s="3063"/>
      <c r="I5731" s="3030"/>
    </row>
    <row r="5732" spans="2:9">
      <c r="B5732" s="3192" t="s">
        <v>678</v>
      </c>
      <c r="C5732" s="3063"/>
      <c r="D5732" s="3064"/>
      <c r="E5732" s="3064"/>
      <c r="F5732" s="3064"/>
      <c r="G5732" s="3301" t="s">
        <v>678</v>
      </c>
      <c r="H5732" s="3063"/>
      <c r="I5732" s="3030"/>
    </row>
    <row r="5733" spans="2:9">
      <c r="B5733" s="3192" t="s">
        <v>679</v>
      </c>
      <c r="C5733" s="3063"/>
      <c r="D5733" s="3064"/>
      <c r="E5733" s="3064"/>
      <c r="F5733" s="3064"/>
      <c r="G5733" s="3301" t="s">
        <v>679</v>
      </c>
      <c r="H5733" s="3063"/>
      <c r="I5733" s="3030"/>
    </row>
    <row r="5734" spans="2:9" ht="25.5">
      <c r="B5734" s="3230" t="s">
        <v>81</v>
      </c>
      <c r="C5734" s="3063"/>
      <c r="D5734" s="3064"/>
      <c r="E5734" s="3064"/>
      <c r="F5734" s="3064"/>
      <c r="G5734" s="3302" t="s">
        <v>81</v>
      </c>
      <c r="H5734" s="3063"/>
      <c r="I5734" s="3030"/>
    </row>
    <row r="5735" spans="2:9" ht="26.25" thickBot="1">
      <c r="B5735" s="3303" t="s">
        <v>81</v>
      </c>
      <c r="C5735" s="3063"/>
      <c r="D5735" s="3064"/>
      <c r="E5735" s="3064"/>
      <c r="F5735" s="3064"/>
      <c r="G5735" s="3302" t="s">
        <v>81</v>
      </c>
      <c r="H5735" s="3063"/>
      <c r="I5735" s="3030"/>
    </row>
    <row r="5736" spans="2:9">
      <c r="B5736" s="3217" t="s">
        <v>697</v>
      </c>
      <c r="C5736" s="3218"/>
      <c r="D5736" s="3219"/>
      <c r="E5736" s="3219"/>
      <c r="F5736" s="3219"/>
      <c r="G5736" s="3217" t="s">
        <v>697</v>
      </c>
      <c r="H5736" s="3297"/>
      <c r="I5736" s="3298"/>
    </row>
    <row r="5737" spans="2:9">
      <c r="B5737" s="3299" t="s">
        <v>64</v>
      </c>
      <c r="C5737" s="3063"/>
      <c r="D5737" s="3064"/>
      <c r="E5737" s="3064"/>
      <c r="F5737" s="3064"/>
      <c r="G5737" s="3300" t="s">
        <v>64</v>
      </c>
      <c r="H5737" s="3063"/>
      <c r="I5737" s="3030"/>
    </row>
    <row r="5738" spans="2:9" ht="25.5">
      <c r="B5738" s="3192" t="s">
        <v>675</v>
      </c>
      <c r="C5738" s="3063"/>
      <c r="D5738" s="3064"/>
      <c r="E5738" s="3064"/>
      <c r="F5738" s="3064"/>
      <c r="G5738" s="3301" t="s">
        <v>675</v>
      </c>
      <c r="H5738" s="3063"/>
      <c r="I5738" s="3030"/>
    </row>
    <row r="5739" spans="2:9" ht="25.5">
      <c r="B5739" s="3192" t="s">
        <v>676</v>
      </c>
      <c r="C5739" s="3063"/>
      <c r="D5739" s="3064"/>
      <c r="E5739" s="3064"/>
      <c r="F5739" s="3064"/>
      <c r="G5739" s="3301" t="s">
        <v>676</v>
      </c>
      <c r="H5739" s="3063"/>
      <c r="I5739" s="3030"/>
    </row>
    <row r="5740" spans="2:9">
      <c r="B5740" s="3192" t="s">
        <v>677</v>
      </c>
      <c r="C5740" s="3063"/>
      <c r="D5740" s="3064"/>
      <c r="E5740" s="3064"/>
      <c r="F5740" s="3064"/>
      <c r="G5740" s="3301" t="s">
        <v>677</v>
      </c>
      <c r="H5740" s="3063"/>
      <c r="I5740" s="3030"/>
    </row>
    <row r="5741" spans="2:9">
      <c r="B5741" s="3192" t="s">
        <v>678</v>
      </c>
      <c r="C5741" s="3063"/>
      <c r="D5741" s="3064"/>
      <c r="E5741" s="3064"/>
      <c r="F5741" s="3064"/>
      <c r="G5741" s="3301" t="s">
        <v>678</v>
      </c>
      <c r="H5741" s="3063"/>
      <c r="I5741" s="3030"/>
    </row>
    <row r="5742" spans="2:9">
      <c r="B5742" s="3192" t="s">
        <v>679</v>
      </c>
      <c r="C5742" s="3063"/>
      <c r="D5742" s="3064"/>
      <c r="E5742" s="3064"/>
      <c r="F5742" s="3064"/>
      <c r="G5742" s="3301" t="s">
        <v>679</v>
      </c>
      <c r="H5742" s="3063"/>
      <c r="I5742" s="3030"/>
    </row>
    <row r="5743" spans="2:9" ht="25.5">
      <c r="B5743" s="3192" t="s">
        <v>720</v>
      </c>
      <c r="C5743" s="3063"/>
      <c r="D5743" s="3064"/>
      <c r="E5743" s="3064"/>
      <c r="F5743" s="3064"/>
      <c r="G5743" s="3301" t="s">
        <v>720</v>
      </c>
      <c r="H5743" s="3063"/>
      <c r="I5743" s="3030"/>
    </row>
    <row r="5744" spans="2:9">
      <c r="B5744" s="3299" t="s">
        <v>65</v>
      </c>
      <c r="C5744" s="3063"/>
      <c r="D5744" s="3064"/>
      <c r="E5744" s="3064"/>
      <c r="F5744" s="3064"/>
      <c r="G5744" s="3300" t="s">
        <v>65</v>
      </c>
      <c r="H5744" s="3063"/>
      <c r="I5744" s="3030"/>
    </row>
    <row r="5745" spans="2:9" ht="25.5">
      <c r="B5745" s="3192" t="s">
        <v>675</v>
      </c>
      <c r="C5745" s="3063"/>
      <c r="D5745" s="3064"/>
      <c r="E5745" s="3064"/>
      <c r="F5745" s="3064"/>
      <c r="G5745" s="3301" t="s">
        <v>675</v>
      </c>
      <c r="H5745" s="3063"/>
      <c r="I5745" s="3030"/>
    </row>
    <row r="5746" spans="2:9" ht="25.5">
      <c r="B5746" s="3192" t="s">
        <v>676</v>
      </c>
      <c r="C5746" s="3063"/>
      <c r="D5746" s="3064"/>
      <c r="E5746" s="3064"/>
      <c r="F5746" s="3064"/>
      <c r="G5746" s="3301" t="s">
        <v>676</v>
      </c>
      <c r="H5746" s="3063"/>
      <c r="I5746" s="3030"/>
    </row>
    <row r="5747" spans="2:9">
      <c r="B5747" s="3192" t="s">
        <v>677</v>
      </c>
      <c r="C5747" s="3063"/>
      <c r="D5747" s="3064"/>
      <c r="E5747" s="3064"/>
      <c r="F5747" s="3064"/>
      <c r="G5747" s="3301" t="s">
        <v>677</v>
      </c>
      <c r="H5747" s="3063"/>
      <c r="I5747" s="3030"/>
    </row>
    <row r="5748" spans="2:9">
      <c r="B5748" s="3192" t="s">
        <v>678</v>
      </c>
      <c r="C5748" s="3063"/>
      <c r="D5748" s="3064"/>
      <c r="E5748" s="3064"/>
      <c r="F5748" s="3064"/>
      <c r="G5748" s="3301" t="s">
        <v>678</v>
      </c>
      <c r="H5748" s="3063"/>
      <c r="I5748" s="3030"/>
    </row>
    <row r="5749" spans="2:9">
      <c r="B5749" s="3192" t="s">
        <v>679</v>
      </c>
      <c r="C5749" s="3063"/>
      <c r="D5749" s="3064"/>
      <c r="E5749" s="3064"/>
      <c r="F5749" s="3064"/>
      <c r="G5749" s="3301" t="s">
        <v>679</v>
      </c>
      <c r="H5749" s="3063"/>
      <c r="I5749" s="3030"/>
    </row>
    <row r="5750" spans="2:9" ht="25.5">
      <c r="B5750" s="3192" t="s">
        <v>720</v>
      </c>
      <c r="C5750" s="3063"/>
      <c r="D5750" s="3064"/>
      <c r="E5750" s="3064"/>
      <c r="F5750" s="3064"/>
      <c r="G5750" s="3301" t="s">
        <v>720</v>
      </c>
      <c r="H5750" s="3063"/>
      <c r="I5750" s="3030"/>
    </row>
    <row r="5751" spans="2:9">
      <c r="B5751" s="3299" t="s">
        <v>82</v>
      </c>
      <c r="C5751" s="3063"/>
      <c r="D5751" s="3064"/>
      <c r="E5751" s="3064"/>
      <c r="F5751" s="3064"/>
      <c r="G5751" s="3300" t="s">
        <v>82</v>
      </c>
      <c r="H5751" s="3063"/>
      <c r="I5751" s="3030"/>
    </row>
    <row r="5752" spans="2:9" ht="25.5">
      <c r="B5752" s="3192" t="s">
        <v>675</v>
      </c>
      <c r="C5752" s="3063"/>
      <c r="D5752" s="3064"/>
      <c r="E5752" s="3064"/>
      <c r="F5752" s="3064"/>
      <c r="G5752" s="3301" t="s">
        <v>675</v>
      </c>
      <c r="H5752" s="3063"/>
      <c r="I5752" s="3030"/>
    </row>
    <row r="5753" spans="2:9" ht="25.5">
      <c r="B5753" s="3192" t="s">
        <v>676</v>
      </c>
      <c r="C5753" s="3063"/>
      <c r="D5753" s="3064"/>
      <c r="E5753" s="3064"/>
      <c r="F5753" s="3064"/>
      <c r="G5753" s="3301" t="s">
        <v>676</v>
      </c>
      <c r="H5753" s="3063"/>
      <c r="I5753" s="3030"/>
    </row>
    <row r="5754" spans="2:9">
      <c r="B5754" s="3192" t="s">
        <v>677</v>
      </c>
      <c r="C5754" s="3063"/>
      <c r="D5754" s="3064"/>
      <c r="E5754" s="3064"/>
      <c r="F5754" s="3064"/>
      <c r="G5754" s="3301" t="s">
        <v>677</v>
      </c>
      <c r="H5754" s="3063"/>
      <c r="I5754" s="3030"/>
    </row>
    <row r="5755" spans="2:9">
      <c r="B5755" s="3192" t="s">
        <v>678</v>
      </c>
      <c r="C5755" s="3063"/>
      <c r="D5755" s="3064"/>
      <c r="E5755" s="3064"/>
      <c r="F5755" s="3064"/>
      <c r="G5755" s="3301" t="s">
        <v>678</v>
      </c>
      <c r="H5755" s="3063"/>
      <c r="I5755" s="3030"/>
    </row>
    <row r="5756" spans="2:9">
      <c r="B5756" s="3192" t="s">
        <v>679</v>
      </c>
      <c r="C5756" s="3063"/>
      <c r="D5756" s="3064"/>
      <c r="E5756" s="3064"/>
      <c r="F5756" s="3064"/>
      <c r="G5756" s="3301" t="s">
        <v>679</v>
      </c>
      <c r="H5756" s="3063"/>
      <c r="I5756" s="3030"/>
    </row>
    <row r="5757" spans="2:9" ht="25.5">
      <c r="B5757" s="3192" t="s">
        <v>720</v>
      </c>
      <c r="C5757" s="3063"/>
      <c r="D5757" s="3064"/>
      <c r="E5757" s="3064"/>
      <c r="F5757" s="3064"/>
      <c r="G5757" s="3301" t="s">
        <v>720</v>
      </c>
      <c r="H5757" s="3063"/>
      <c r="I5757" s="3030"/>
    </row>
    <row r="5758" spans="2:9" ht="38.25">
      <c r="B5758" s="3299" t="s">
        <v>680</v>
      </c>
      <c r="C5758" s="3063"/>
      <c r="D5758" s="3064"/>
      <c r="E5758" s="3064"/>
      <c r="F5758" s="3064"/>
      <c r="G5758" s="3300" t="s">
        <v>680</v>
      </c>
      <c r="H5758" s="3063"/>
      <c r="I5758" s="3030"/>
    </row>
    <row r="5759" spans="2:9" ht="25.5">
      <c r="B5759" s="3192" t="s">
        <v>675</v>
      </c>
      <c r="C5759" s="3063"/>
      <c r="D5759" s="3064"/>
      <c r="E5759" s="3064"/>
      <c r="F5759" s="3064"/>
      <c r="G5759" s="3301" t="s">
        <v>675</v>
      </c>
      <c r="H5759" s="3063"/>
      <c r="I5759" s="3030"/>
    </row>
    <row r="5760" spans="2:9" ht="25.5">
      <c r="B5760" s="3192" t="s">
        <v>676</v>
      </c>
      <c r="C5760" s="3063"/>
      <c r="D5760" s="3064"/>
      <c r="E5760" s="3064"/>
      <c r="F5760" s="3064"/>
      <c r="G5760" s="3301" t="s">
        <v>676</v>
      </c>
      <c r="H5760" s="3063"/>
      <c r="I5760" s="3030"/>
    </row>
    <row r="5761" spans="2:9">
      <c r="B5761" s="3192" t="s">
        <v>677</v>
      </c>
      <c r="C5761" s="3063"/>
      <c r="D5761" s="3064"/>
      <c r="E5761" s="3064"/>
      <c r="F5761" s="3064"/>
      <c r="G5761" s="3301" t="s">
        <v>677</v>
      </c>
      <c r="H5761" s="3063"/>
      <c r="I5761" s="3030"/>
    </row>
    <row r="5762" spans="2:9">
      <c r="B5762" s="3192" t="s">
        <v>678</v>
      </c>
      <c r="C5762" s="3063"/>
      <c r="D5762" s="3064"/>
      <c r="E5762" s="3064"/>
      <c r="F5762" s="3064"/>
      <c r="G5762" s="3301" t="s">
        <v>678</v>
      </c>
      <c r="H5762" s="3063"/>
      <c r="I5762" s="3030"/>
    </row>
    <row r="5763" spans="2:9">
      <c r="B5763" s="3192" t="s">
        <v>679</v>
      </c>
      <c r="C5763" s="3063"/>
      <c r="D5763" s="3064"/>
      <c r="E5763" s="3064"/>
      <c r="F5763" s="3064"/>
      <c r="G5763" s="3301" t="s">
        <v>679</v>
      </c>
      <c r="H5763" s="3063"/>
      <c r="I5763" s="3030"/>
    </row>
    <row r="5764" spans="2:9" ht="25.5">
      <c r="B5764" s="3192" t="s">
        <v>720</v>
      </c>
      <c r="C5764" s="3063"/>
      <c r="D5764" s="3064"/>
      <c r="E5764" s="3064"/>
      <c r="F5764" s="3064"/>
      <c r="G5764" s="3301" t="s">
        <v>720</v>
      </c>
      <c r="H5764" s="3063"/>
      <c r="I5764" s="3030"/>
    </row>
    <row r="5765" spans="2:9" ht="38.25">
      <c r="B5765" s="3299" t="s">
        <v>681</v>
      </c>
      <c r="C5765" s="3063"/>
      <c r="D5765" s="3064"/>
      <c r="E5765" s="3064"/>
      <c r="F5765" s="3064">
        <v>1</v>
      </c>
      <c r="G5765" s="3300" t="s">
        <v>681</v>
      </c>
      <c r="H5765" s="3063">
        <v>0.14398848092152625</v>
      </c>
      <c r="I5765" s="3030"/>
    </row>
    <row r="5766" spans="2:9" ht="25.5">
      <c r="B5766" s="3192" t="s">
        <v>675</v>
      </c>
      <c r="C5766" s="3063">
        <v>2</v>
      </c>
      <c r="D5766" s="3064">
        <v>2</v>
      </c>
      <c r="E5766" s="3064"/>
      <c r="F5766" s="3064"/>
      <c r="G5766" s="3301" t="s">
        <v>675</v>
      </c>
      <c r="H5766" s="3063"/>
      <c r="I5766" s="3030"/>
    </row>
    <row r="5767" spans="2:9" ht="25.5">
      <c r="B5767" s="3192" t="s">
        <v>676</v>
      </c>
      <c r="C5767" s="3063"/>
      <c r="D5767" s="3064"/>
      <c r="E5767" s="3064"/>
      <c r="F5767" s="3064"/>
      <c r="G5767" s="3301" t="s">
        <v>676</v>
      </c>
      <c r="H5767" s="3063"/>
      <c r="I5767" s="3030"/>
    </row>
    <row r="5768" spans="2:9">
      <c r="B5768" s="3192" t="s">
        <v>677</v>
      </c>
      <c r="C5768" s="3063"/>
      <c r="D5768" s="3064"/>
      <c r="E5768" s="3064"/>
      <c r="F5768" s="3064"/>
      <c r="G5768" s="3301" t="s">
        <v>677</v>
      </c>
      <c r="H5768" s="3063"/>
      <c r="I5768" s="3030"/>
    </row>
    <row r="5769" spans="2:9">
      <c r="B5769" s="3192" t="s">
        <v>678</v>
      </c>
      <c r="C5769" s="3063"/>
      <c r="D5769" s="3064"/>
      <c r="E5769" s="3064"/>
      <c r="F5769" s="3064"/>
      <c r="G5769" s="3301" t="s">
        <v>678</v>
      </c>
      <c r="H5769" s="3063"/>
      <c r="I5769" s="3030"/>
    </row>
    <row r="5770" spans="2:9">
      <c r="B5770" s="3192" t="s">
        <v>679</v>
      </c>
      <c r="C5770" s="3063"/>
      <c r="D5770" s="3064"/>
      <c r="E5770" s="3064"/>
      <c r="F5770" s="3064"/>
      <c r="G5770" s="3301" t="s">
        <v>679</v>
      </c>
      <c r="H5770" s="3063"/>
      <c r="I5770" s="3030"/>
    </row>
    <row r="5771" spans="2:9" ht="25.5">
      <c r="B5771" s="3192" t="s">
        <v>720</v>
      </c>
      <c r="C5771" s="3063"/>
      <c r="D5771" s="3064"/>
      <c r="E5771" s="3064"/>
      <c r="F5771" s="3064"/>
      <c r="G5771" s="3301" t="s">
        <v>720</v>
      </c>
      <c r="H5771" s="3063"/>
      <c r="I5771" s="3030"/>
    </row>
    <row r="5772" spans="2:9" ht="25.5">
      <c r="B5772" s="3299" t="s">
        <v>682</v>
      </c>
      <c r="C5772" s="3063"/>
      <c r="D5772" s="3064"/>
      <c r="E5772" s="3064"/>
      <c r="F5772" s="3064"/>
      <c r="G5772" s="3300" t="s">
        <v>682</v>
      </c>
      <c r="H5772" s="3063"/>
      <c r="I5772" s="3030"/>
    </row>
    <row r="5773" spans="2:9" ht="25.5">
      <c r="B5773" s="3192" t="s">
        <v>675</v>
      </c>
      <c r="C5773" s="3063"/>
      <c r="D5773" s="3064"/>
      <c r="E5773" s="3064"/>
      <c r="F5773" s="3064"/>
      <c r="G5773" s="3301" t="s">
        <v>675</v>
      </c>
      <c r="H5773" s="3063"/>
      <c r="I5773" s="3030"/>
    </row>
    <row r="5774" spans="2:9" ht="25.5">
      <c r="B5774" s="3192" t="s">
        <v>676</v>
      </c>
      <c r="C5774" s="3063"/>
      <c r="D5774" s="3064"/>
      <c r="E5774" s="3064"/>
      <c r="F5774" s="3064"/>
      <c r="G5774" s="3301" t="s">
        <v>676</v>
      </c>
      <c r="H5774" s="3063"/>
      <c r="I5774" s="3030"/>
    </row>
    <row r="5775" spans="2:9">
      <c r="B5775" s="3192" t="s">
        <v>677</v>
      </c>
      <c r="C5775" s="3063"/>
      <c r="D5775" s="3064"/>
      <c r="E5775" s="3064"/>
      <c r="F5775" s="3064"/>
      <c r="G5775" s="3301" t="s">
        <v>677</v>
      </c>
      <c r="H5775" s="3063"/>
      <c r="I5775" s="3030"/>
    </row>
    <row r="5776" spans="2:9">
      <c r="B5776" s="3192" t="s">
        <v>678</v>
      </c>
      <c r="C5776" s="3063"/>
      <c r="D5776" s="3064"/>
      <c r="E5776" s="3064"/>
      <c r="F5776" s="3064"/>
      <c r="G5776" s="3301" t="s">
        <v>678</v>
      </c>
      <c r="H5776" s="3063"/>
      <c r="I5776" s="3030"/>
    </row>
    <row r="5777" spans="2:9">
      <c r="B5777" s="3192" t="s">
        <v>679</v>
      </c>
      <c r="C5777" s="3063"/>
      <c r="D5777" s="3064"/>
      <c r="E5777" s="3064"/>
      <c r="F5777" s="3064"/>
      <c r="G5777" s="3301" t="s">
        <v>679</v>
      </c>
      <c r="H5777" s="3063"/>
      <c r="I5777" s="3030"/>
    </row>
    <row r="5778" spans="2:9" ht="25.5">
      <c r="B5778" s="3192" t="s">
        <v>720</v>
      </c>
      <c r="C5778" s="3063"/>
      <c r="D5778" s="3064"/>
      <c r="E5778" s="3064"/>
      <c r="F5778" s="3064"/>
      <c r="G5778" s="3301" t="s">
        <v>720</v>
      </c>
      <c r="H5778" s="3063"/>
      <c r="I5778" s="3030"/>
    </row>
    <row r="5779" spans="2:9" ht="25.5">
      <c r="B5779" s="3299" t="s">
        <v>66</v>
      </c>
      <c r="C5779" s="3063"/>
      <c r="D5779" s="3064"/>
      <c r="E5779" s="3064"/>
      <c r="F5779" s="3064"/>
      <c r="G5779" s="3300" t="s">
        <v>66</v>
      </c>
      <c r="H5779" s="3063"/>
      <c r="I5779" s="3030"/>
    </row>
    <row r="5780" spans="2:9" ht="25.5">
      <c r="B5780" s="3192" t="s">
        <v>675</v>
      </c>
      <c r="C5780" s="3063"/>
      <c r="D5780" s="3064"/>
      <c r="E5780" s="3064"/>
      <c r="F5780" s="3064"/>
      <c r="G5780" s="3301" t="s">
        <v>675</v>
      </c>
      <c r="H5780" s="3063"/>
      <c r="I5780" s="3030"/>
    </row>
    <row r="5781" spans="2:9" ht="25.5">
      <c r="B5781" s="3192" t="s">
        <v>676</v>
      </c>
      <c r="C5781" s="3063"/>
      <c r="D5781" s="3064"/>
      <c r="E5781" s="3064"/>
      <c r="F5781" s="3064"/>
      <c r="G5781" s="3301" t="s">
        <v>676</v>
      </c>
      <c r="H5781" s="3063"/>
      <c r="I5781" s="3030"/>
    </row>
    <row r="5782" spans="2:9">
      <c r="B5782" s="3192" t="s">
        <v>677</v>
      </c>
      <c r="C5782" s="3063"/>
      <c r="D5782" s="3064"/>
      <c r="E5782" s="3064"/>
      <c r="F5782" s="3064"/>
      <c r="G5782" s="3301" t="s">
        <v>677</v>
      </c>
      <c r="H5782" s="3063"/>
      <c r="I5782" s="3030"/>
    </row>
    <row r="5783" spans="2:9">
      <c r="B5783" s="3192" t="s">
        <v>678</v>
      </c>
      <c r="C5783" s="3063"/>
      <c r="D5783" s="3064"/>
      <c r="E5783" s="3064"/>
      <c r="F5783" s="3064"/>
      <c r="G5783" s="3301" t="s">
        <v>678</v>
      </c>
      <c r="H5783" s="3063"/>
      <c r="I5783" s="3030"/>
    </row>
    <row r="5784" spans="2:9">
      <c r="B5784" s="3192" t="s">
        <v>679</v>
      </c>
      <c r="C5784" s="3063"/>
      <c r="D5784" s="3064"/>
      <c r="E5784" s="3064"/>
      <c r="F5784" s="3064"/>
      <c r="G5784" s="3301" t="s">
        <v>679</v>
      </c>
      <c r="H5784" s="3063"/>
      <c r="I5784" s="3030"/>
    </row>
    <row r="5785" spans="2:9" ht="25.5">
      <c r="B5785" s="3192" t="s">
        <v>720</v>
      </c>
      <c r="C5785" s="3063"/>
      <c r="D5785" s="3064"/>
      <c r="E5785" s="3064"/>
      <c r="F5785" s="3064"/>
      <c r="G5785" s="3301" t="s">
        <v>720</v>
      </c>
      <c r="H5785" s="3063"/>
      <c r="I5785" s="3030"/>
    </row>
    <row r="5786" spans="2:9">
      <c r="B5786" s="3299" t="s">
        <v>67</v>
      </c>
      <c r="C5786" s="3063"/>
      <c r="D5786" s="3064"/>
      <c r="E5786" s="3064"/>
      <c r="F5786" s="3064"/>
      <c r="G5786" s="3300" t="s">
        <v>67</v>
      </c>
      <c r="H5786" s="3063">
        <v>4.4361636057137763E-2</v>
      </c>
      <c r="I5786" s="3030"/>
    </row>
    <row r="5787" spans="2:9" ht="25.5">
      <c r="B5787" s="3192" t="s">
        <v>675</v>
      </c>
      <c r="C5787" s="3063"/>
      <c r="D5787" s="3064">
        <v>1</v>
      </c>
      <c r="E5787" s="3064"/>
      <c r="F5787" s="3064"/>
      <c r="G5787" s="3301" t="s">
        <v>675</v>
      </c>
      <c r="H5787" s="3063"/>
      <c r="I5787" s="3030"/>
    </row>
    <row r="5788" spans="2:9" ht="25.5">
      <c r="B5788" s="3192" t="s">
        <v>676</v>
      </c>
      <c r="C5788" s="3063"/>
      <c r="D5788" s="3064"/>
      <c r="E5788" s="3064"/>
      <c r="F5788" s="3064"/>
      <c r="G5788" s="3301" t="s">
        <v>676</v>
      </c>
      <c r="H5788" s="3063"/>
      <c r="I5788" s="3030"/>
    </row>
    <row r="5789" spans="2:9">
      <c r="B5789" s="3192" t="s">
        <v>677</v>
      </c>
      <c r="C5789" s="3063"/>
      <c r="D5789" s="3064"/>
      <c r="E5789" s="3064"/>
      <c r="F5789" s="3064"/>
      <c r="G5789" s="3301" t="s">
        <v>677</v>
      </c>
      <c r="H5789" s="3063"/>
      <c r="I5789" s="3030"/>
    </row>
    <row r="5790" spans="2:9">
      <c r="B5790" s="3192" t="s">
        <v>678</v>
      </c>
      <c r="C5790" s="3063"/>
      <c r="D5790" s="3064"/>
      <c r="E5790" s="3064"/>
      <c r="F5790" s="3064"/>
      <c r="G5790" s="3301" t="s">
        <v>678</v>
      </c>
      <c r="H5790" s="3063"/>
      <c r="I5790" s="3030"/>
    </row>
    <row r="5791" spans="2:9">
      <c r="B5791" s="3192" t="s">
        <v>679</v>
      </c>
      <c r="C5791" s="3063"/>
      <c r="D5791" s="3064"/>
      <c r="E5791" s="3064"/>
      <c r="F5791" s="3064"/>
      <c r="G5791" s="3301" t="s">
        <v>679</v>
      </c>
      <c r="H5791" s="3063"/>
      <c r="I5791" s="3030"/>
    </row>
    <row r="5792" spans="2:9" ht="25.5">
      <c r="B5792" s="3230" t="s">
        <v>81</v>
      </c>
      <c r="C5792" s="3063"/>
      <c r="D5792" s="3064"/>
      <c r="E5792" s="3064"/>
      <c r="F5792" s="3064"/>
      <c r="G5792" s="3302" t="s">
        <v>81</v>
      </c>
      <c r="H5792" s="3063"/>
      <c r="I5792" s="3030"/>
    </row>
    <row r="5793" spans="2:9" ht="26.25" thickBot="1">
      <c r="B5793" s="3303" t="s">
        <v>81</v>
      </c>
      <c r="C5793" s="3068"/>
      <c r="D5793" s="3069"/>
      <c r="E5793" s="3069"/>
      <c r="F5793" s="3069"/>
      <c r="G5793" s="3304" t="s">
        <v>81</v>
      </c>
      <c r="H5793" s="3068"/>
      <c r="I5793" s="3070"/>
    </row>
    <row r="5794" spans="2:9" ht="38.25">
      <c r="B5794" s="4723">
        <v>3037</v>
      </c>
      <c r="C5794" s="3289"/>
      <c r="D5794" s="3290"/>
      <c r="E5794" s="3290"/>
      <c r="F5794" s="3290"/>
      <c r="G5794" s="4723">
        <v>3037</v>
      </c>
      <c r="H5794" s="3291" t="s">
        <v>687</v>
      </c>
      <c r="I5794" s="3292" t="s">
        <v>688</v>
      </c>
    </row>
    <row r="5795" spans="2:9">
      <c r="B5795" s="4724"/>
      <c r="C5795" s="4678" t="s">
        <v>686</v>
      </c>
      <c r="D5795" s="4725"/>
      <c r="E5795" s="4725"/>
      <c r="F5795" s="4726"/>
      <c r="G5795" s="4724"/>
      <c r="H5795" s="3293"/>
      <c r="I5795" s="3294"/>
    </row>
    <row r="5796" spans="2:9" ht="13.5" thickBot="1">
      <c r="B5796" s="4724"/>
      <c r="C5796" s="3215">
        <v>2013</v>
      </c>
      <c r="D5796" s="3215">
        <v>2014</v>
      </c>
      <c r="E5796" s="3215">
        <v>2015</v>
      </c>
      <c r="F5796" s="3215">
        <v>2016</v>
      </c>
      <c r="G5796" s="4724"/>
      <c r="H5796" s="3295" t="s">
        <v>390</v>
      </c>
      <c r="I5796" s="3296" t="s">
        <v>390</v>
      </c>
    </row>
    <row r="5797" spans="2:9">
      <c r="B5797" s="3217" t="s">
        <v>695</v>
      </c>
      <c r="C5797" s="3218"/>
      <c r="D5797" s="3219"/>
      <c r="E5797" s="3219"/>
      <c r="F5797" s="3219"/>
      <c r="G5797" s="3217" t="s">
        <v>695</v>
      </c>
      <c r="H5797" s="3297"/>
      <c r="I5797" s="3298"/>
    </row>
    <row r="5798" spans="2:9">
      <c r="B5798" s="3299" t="s">
        <v>64</v>
      </c>
      <c r="C5798" s="3063"/>
      <c r="D5798" s="3064"/>
      <c r="E5798" s="3064"/>
      <c r="F5798" s="3064"/>
      <c r="G5798" s="3300" t="s">
        <v>64</v>
      </c>
      <c r="H5798" s="3063"/>
      <c r="I5798" s="3030"/>
    </row>
    <row r="5799" spans="2:9" ht="25.5">
      <c r="B5799" s="3192" t="s">
        <v>675</v>
      </c>
      <c r="C5799" s="3063"/>
      <c r="D5799" s="3064"/>
      <c r="E5799" s="3064"/>
      <c r="F5799" s="3064"/>
      <c r="G5799" s="3301" t="s">
        <v>675</v>
      </c>
      <c r="H5799" s="3063"/>
      <c r="I5799" s="3030"/>
    </row>
    <row r="5800" spans="2:9" ht="25.5">
      <c r="B5800" s="3192" t="s">
        <v>676</v>
      </c>
      <c r="C5800" s="3063"/>
      <c r="D5800" s="3064"/>
      <c r="E5800" s="3064"/>
      <c r="F5800" s="3064"/>
      <c r="G5800" s="3301" t="s">
        <v>676</v>
      </c>
      <c r="H5800" s="3063"/>
      <c r="I5800" s="3030"/>
    </row>
    <row r="5801" spans="2:9">
      <c r="B5801" s="3192" t="s">
        <v>677</v>
      </c>
      <c r="C5801" s="3063"/>
      <c r="D5801" s="3064"/>
      <c r="E5801" s="3064"/>
      <c r="F5801" s="3064"/>
      <c r="G5801" s="3301" t="s">
        <v>677</v>
      </c>
      <c r="H5801" s="3063"/>
      <c r="I5801" s="3030"/>
    </row>
    <row r="5802" spans="2:9">
      <c r="B5802" s="3192" t="s">
        <v>678</v>
      </c>
      <c r="C5802" s="3063"/>
      <c r="D5802" s="3064"/>
      <c r="E5802" s="3064"/>
      <c r="F5802" s="3064"/>
      <c r="G5802" s="3301" t="s">
        <v>678</v>
      </c>
      <c r="H5802" s="3063"/>
      <c r="I5802" s="3030"/>
    </row>
    <row r="5803" spans="2:9">
      <c r="B5803" s="3192" t="s">
        <v>679</v>
      </c>
      <c r="C5803" s="3063"/>
      <c r="D5803" s="3064"/>
      <c r="E5803" s="3064"/>
      <c r="F5803" s="3064"/>
      <c r="G5803" s="3301" t="s">
        <v>679</v>
      </c>
      <c r="H5803" s="3063"/>
      <c r="I5803" s="3030"/>
    </row>
    <row r="5804" spans="2:9" ht="25.5">
      <c r="B5804" s="3192" t="s">
        <v>720</v>
      </c>
      <c r="C5804" s="3063"/>
      <c r="D5804" s="3064"/>
      <c r="E5804" s="3064"/>
      <c r="F5804" s="3064"/>
      <c r="G5804" s="3301" t="s">
        <v>720</v>
      </c>
      <c r="H5804" s="3063"/>
      <c r="I5804" s="3030"/>
    </row>
    <row r="5805" spans="2:9">
      <c r="B5805" s="3299" t="s">
        <v>65</v>
      </c>
      <c r="C5805" s="3063"/>
      <c r="D5805" s="3064"/>
      <c r="E5805" s="3064"/>
      <c r="F5805" s="3064"/>
      <c r="G5805" s="3300" t="s">
        <v>65</v>
      </c>
      <c r="H5805" s="3063"/>
      <c r="I5805" s="3030"/>
    </row>
    <row r="5806" spans="2:9" ht="25.5">
      <c r="B5806" s="3192" t="s">
        <v>675</v>
      </c>
      <c r="C5806" s="3063"/>
      <c r="D5806" s="3064"/>
      <c r="E5806" s="3064"/>
      <c r="F5806" s="3064"/>
      <c r="G5806" s="3301" t="s">
        <v>675</v>
      </c>
      <c r="H5806" s="3063"/>
      <c r="I5806" s="3030"/>
    </row>
    <row r="5807" spans="2:9" ht="25.5">
      <c r="B5807" s="3192" t="s">
        <v>676</v>
      </c>
      <c r="C5807" s="3063"/>
      <c r="D5807" s="3064"/>
      <c r="E5807" s="3064"/>
      <c r="F5807" s="3064"/>
      <c r="G5807" s="3301" t="s">
        <v>676</v>
      </c>
      <c r="H5807" s="3063"/>
      <c r="I5807" s="3030"/>
    </row>
    <row r="5808" spans="2:9">
      <c r="B5808" s="3192" t="s">
        <v>677</v>
      </c>
      <c r="C5808" s="3063"/>
      <c r="D5808" s="3064"/>
      <c r="E5808" s="3064"/>
      <c r="F5808" s="3064"/>
      <c r="G5808" s="3301" t="s">
        <v>677</v>
      </c>
      <c r="H5808" s="3063"/>
      <c r="I5808" s="3030"/>
    </row>
    <row r="5809" spans="2:9">
      <c r="B5809" s="3192" t="s">
        <v>678</v>
      </c>
      <c r="C5809" s="3063"/>
      <c r="D5809" s="3064"/>
      <c r="E5809" s="3064"/>
      <c r="F5809" s="3064"/>
      <c r="G5809" s="3301" t="s">
        <v>678</v>
      </c>
      <c r="H5809" s="3063"/>
      <c r="I5809" s="3030"/>
    </row>
    <row r="5810" spans="2:9">
      <c r="B5810" s="3192" t="s">
        <v>679</v>
      </c>
      <c r="C5810" s="3063"/>
      <c r="D5810" s="3064"/>
      <c r="E5810" s="3064"/>
      <c r="F5810" s="3064"/>
      <c r="G5810" s="3301" t="s">
        <v>679</v>
      </c>
      <c r="H5810" s="3063"/>
      <c r="I5810" s="3030"/>
    </row>
    <row r="5811" spans="2:9" ht="25.5">
      <c r="B5811" s="3192" t="s">
        <v>720</v>
      </c>
      <c r="C5811" s="3063"/>
      <c r="D5811" s="3064"/>
      <c r="E5811" s="3064"/>
      <c r="F5811" s="3064"/>
      <c r="G5811" s="3301" t="s">
        <v>720</v>
      </c>
      <c r="H5811" s="3063"/>
      <c r="I5811" s="3030"/>
    </row>
    <row r="5812" spans="2:9">
      <c r="B5812" s="3299" t="s">
        <v>82</v>
      </c>
      <c r="C5812" s="3063"/>
      <c r="D5812" s="3064"/>
      <c r="E5812" s="3064"/>
      <c r="F5812" s="3064"/>
      <c r="G5812" s="3300" t="s">
        <v>82</v>
      </c>
      <c r="H5812" s="3063"/>
      <c r="I5812" s="3030"/>
    </row>
    <row r="5813" spans="2:9" ht="25.5">
      <c r="B5813" s="3192" t="s">
        <v>675</v>
      </c>
      <c r="C5813" s="3063"/>
      <c r="D5813" s="3064"/>
      <c r="E5813" s="3064"/>
      <c r="F5813" s="3064"/>
      <c r="G5813" s="3301" t="s">
        <v>675</v>
      </c>
      <c r="H5813" s="3063"/>
      <c r="I5813" s="3030"/>
    </row>
    <row r="5814" spans="2:9" ht="25.5">
      <c r="B5814" s="3192" t="s">
        <v>676</v>
      </c>
      <c r="C5814" s="3063"/>
      <c r="D5814" s="3064"/>
      <c r="E5814" s="3064"/>
      <c r="F5814" s="3064"/>
      <c r="G5814" s="3301" t="s">
        <v>676</v>
      </c>
      <c r="H5814" s="3063"/>
      <c r="I5814" s="3030"/>
    </row>
    <row r="5815" spans="2:9">
      <c r="B5815" s="3192" t="s">
        <v>677</v>
      </c>
      <c r="C5815" s="3063"/>
      <c r="D5815" s="3064"/>
      <c r="E5815" s="3064"/>
      <c r="F5815" s="3064"/>
      <c r="G5815" s="3301" t="s">
        <v>677</v>
      </c>
      <c r="H5815" s="3063"/>
      <c r="I5815" s="3030"/>
    </row>
    <row r="5816" spans="2:9">
      <c r="B5816" s="3192" t="s">
        <v>678</v>
      </c>
      <c r="C5816" s="3063"/>
      <c r="D5816" s="3064"/>
      <c r="E5816" s="3064"/>
      <c r="F5816" s="3064"/>
      <c r="G5816" s="3301" t="s">
        <v>678</v>
      </c>
      <c r="H5816" s="3063"/>
      <c r="I5816" s="3030"/>
    </row>
    <row r="5817" spans="2:9">
      <c r="B5817" s="3192" t="s">
        <v>679</v>
      </c>
      <c r="C5817" s="3063"/>
      <c r="D5817" s="3064"/>
      <c r="E5817" s="3064"/>
      <c r="F5817" s="3064"/>
      <c r="G5817" s="3301" t="s">
        <v>679</v>
      </c>
      <c r="H5817" s="3063"/>
      <c r="I5817" s="3030"/>
    </row>
    <row r="5818" spans="2:9" ht="25.5">
      <c r="B5818" s="3192" t="s">
        <v>720</v>
      </c>
      <c r="C5818" s="3063"/>
      <c r="D5818" s="3064"/>
      <c r="E5818" s="3064"/>
      <c r="F5818" s="3064"/>
      <c r="G5818" s="3301" t="s">
        <v>720</v>
      </c>
      <c r="H5818" s="3063"/>
      <c r="I5818" s="3030"/>
    </row>
    <row r="5819" spans="2:9" ht="38.25">
      <c r="B5819" s="3299" t="s">
        <v>680</v>
      </c>
      <c r="C5819" s="3063"/>
      <c r="D5819" s="3064"/>
      <c r="E5819" s="3064"/>
      <c r="F5819" s="3064"/>
      <c r="G5819" s="3300" t="s">
        <v>680</v>
      </c>
      <c r="H5819" s="3063"/>
      <c r="I5819" s="3030"/>
    </row>
    <row r="5820" spans="2:9" ht="25.5">
      <c r="B5820" s="3192" t="s">
        <v>675</v>
      </c>
      <c r="C5820" s="3063"/>
      <c r="D5820" s="3064"/>
      <c r="E5820" s="3064"/>
      <c r="F5820" s="3064"/>
      <c r="G5820" s="3301" t="s">
        <v>675</v>
      </c>
      <c r="H5820" s="3063"/>
      <c r="I5820" s="3030"/>
    </row>
    <row r="5821" spans="2:9" ht="25.5">
      <c r="B5821" s="3192" t="s">
        <v>676</v>
      </c>
      <c r="C5821" s="3063"/>
      <c r="D5821" s="3064"/>
      <c r="E5821" s="3064"/>
      <c r="F5821" s="3064"/>
      <c r="G5821" s="3301" t="s">
        <v>676</v>
      </c>
      <c r="H5821" s="3063"/>
      <c r="I5821" s="3030"/>
    </row>
    <row r="5822" spans="2:9">
      <c r="B5822" s="3192" t="s">
        <v>677</v>
      </c>
      <c r="C5822" s="3063"/>
      <c r="D5822" s="3064"/>
      <c r="E5822" s="3064"/>
      <c r="F5822" s="3064"/>
      <c r="G5822" s="3301" t="s">
        <v>677</v>
      </c>
      <c r="H5822" s="3063"/>
      <c r="I5822" s="3030"/>
    </row>
    <row r="5823" spans="2:9">
      <c r="B5823" s="3192" t="s">
        <v>678</v>
      </c>
      <c r="C5823" s="3063"/>
      <c r="D5823" s="3064"/>
      <c r="E5823" s="3064"/>
      <c r="F5823" s="3064"/>
      <c r="G5823" s="3301" t="s">
        <v>678</v>
      </c>
      <c r="H5823" s="3063"/>
      <c r="I5823" s="3030"/>
    </row>
    <row r="5824" spans="2:9">
      <c r="B5824" s="3192" t="s">
        <v>679</v>
      </c>
      <c r="C5824" s="3063"/>
      <c r="D5824" s="3064"/>
      <c r="E5824" s="3064"/>
      <c r="F5824" s="3064"/>
      <c r="G5824" s="3301" t="s">
        <v>679</v>
      </c>
      <c r="H5824" s="3063"/>
      <c r="I5824" s="3030"/>
    </row>
    <row r="5825" spans="2:9" ht="25.5">
      <c r="B5825" s="3192" t="s">
        <v>720</v>
      </c>
      <c r="C5825" s="3063"/>
      <c r="D5825" s="3064"/>
      <c r="E5825" s="3064"/>
      <c r="F5825" s="3064"/>
      <c r="G5825" s="3301" t="s">
        <v>720</v>
      </c>
      <c r="H5825" s="3063"/>
      <c r="I5825" s="3030"/>
    </row>
    <row r="5826" spans="2:9" ht="38.25">
      <c r="B5826" s="3299" t="s">
        <v>681</v>
      </c>
      <c r="C5826" s="3063"/>
      <c r="D5826" s="3064"/>
      <c r="E5826" s="3064"/>
      <c r="F5826" s="3064"/>
      <c r="G5826" s="3300" t="s">
        <v>681</v>
      </c>
      <c r="H5826" s="3063"/>
      <c r="I5826" s="3030"/>
    </row>
    <row r="5827" spans="2:9" ht="25.5">
      <c r="B5827" s="3192" t="s">
        <v>675</v>
      </c>
      <c r="C5827" s="3063"/>
      <c r="D5827" s="3064"/>
      <c r="E5827" s="3064"/>
      <c r="F5827" s="3064"/>
      <c r="G5827" s="3301" t="s">
        <v>675</v>
      </c>
      <c r="H5827" s="3063"/>
      <c r="I5827" s="3030"/>
    </row>
    <row r="5828" spans="2:9" ht="25.5">
      <c r="B5828" s="3192" t="s">
        <v>676</v>
      </c>
      <c r="C5828" s="3063"/>
      <c r="D5828" s="3064"/>
      <c r="E5828" s="3064"/>
      <c r="F5828" s="3064"/>
      <c r="G5828" s="3301" t="s">
        <v>676</v>
      </c>
      <c r="H5828" s="3063"/>
      <c r="I5828" s="3030"/>
    </row>
    <row r="5829" spans="2:9">
      <c r="B5829" s="3192" t="s">
        <v>677</v>
      </c>
      <c r="C5829" s="3063"/>
      <c r="D5829" s="3064"/>
      <c r="E5829" s="3064"/>
      <c r="F5829" s="3064"/>
      <c r="G5829" s="3301" t="s">
        <v>677</v>
      </c>
      <c r="H5829" s="3063"/>
      <c r="I5829" s="3030"/>
    </row>
    <row r="5830" spans="2:9">
      <c r="B5830" s="3192" t="s">
        <v>678</v>
      </c>
      <c r="C5830" s="3063"/>
      <c r="D5830" s="3064"/>
      <c r="E5830" s="3064"/>
      <c r="F5830" s="3064"/>
      <c r="G5830" s="3301" t="s">
        <v>678</v>
      </c>
      <c r="H5830" s="3063"/>
      <c r="I5830" s="3030"/>
    </row>
    <row r="5831" spans="2:9">
      <c r="B5831" s="3192" t="s">
        <v>679</v>
      </c>
      <c r="C5831" s="3063"/>
      <c r="D5831" s="3064"/>
      <c r="E5831" s="3064"/>
      <c r="F5831" s="3064"/>
      <c r="G5831" s="3301" t="s">
        <v>679</v>
      </c>
      <c r="H5831" s="3063"/>
      <c r="I5831" s="3030"/>
    </row>
    <row r="5832" spans="2:9" ht="25.5">
      <c r="B5832" s="3192" t="s">
        <v>720</v>
      </c>
      <c r="C5832" s="3063"/>
      <c r="D5832" s="3064"/>
      <c r="E5832" s="3064"/>
      <c r="F5832" s="3064"/>
      <c r="G5832" s="3301" t="s">
        <v>720</v>
      </c>
      <c r="H5832" s="3063"/>
      <c r="I5832" s="3030"/>
    </row>
    <row r="5833" spans="2:9" ht="25.5">
      <c r="B5833" s="3299" t="s">
        <v>682</v>
      </c>
      <c r="C5833" s="3063"/>
      <c r="D5833" s="3064"/>
      <c r="E5833" s="3064"/>
      <c r="F5833" s="3064"/>
      <c r="G5833" s="3300" t="s">
        <v>682</v>
      </c>
      <c r="H5833" s="3063"/>
      <c r="I5833" s="3030"/>
    </row>
    <row r="5834" spans="2:9" ht="25.5">
      <c r="B5834" s="3192" t="s">
        <v>675</v>
      </c>
      <c r="C5834" s="3063"/>
      <c r="D5834" s="3064"/>
      <c r="E5834" s="3064"/>
      <c r="F5834" s="3064"/>
      <c r="G5834" s="3301" t="s">
        <v>675</v>
      </c>
      <c r="H5834" s="3063"/>
      <c r="I5834" s="3030"/>
    </row>
    <row r="5835" spans="2:9" ht="25.5">
      <c r="B5835" s="3192" t="s">
        <v>676</v>
      </c>
      <c r="C5835" s="3063"/>
      <c r="D5835" s="3064"/>
      <c r="E5835" s="3064"/>
      <c r="F5835" s="3064"/>
      <c r="G5835" s="3301" t="s">
        <v>676</v>
      </c>
      <c r="H5835" s="3063"/>
      <c r="I5835" s="3030"/>
    </row>
    <row r="5836" spans="2:9">
      <c r="B5836" s="3192" t="s">
        <v>677</v>
      </c>
      <c r="C5836" s="3063"/>
      <c r="D5836" s="3064"/>
      <c r="E5836" s="3064"/>
      <c r="F5836" s="3064"/>
      <c r="G5836" s="3301" t="s">
        <v>677</v>
      </c>
      <c r="H5836" s="3063"/>
      <c r="I5836" s="3030"/>
    </row>
    <row r="5837" spans="2:9">
      <c r="B5837" s="3192" t="s">
        <v>678</v>
      </c>
      <c r="C5837" s="3063"/>
      <c r="D5837" s="3064"/>
      <c r="E5837" s="3064"/>
      <c r="F5837" s="3064"/>
      <c r="G5837" s="3301" t="s">
        <v>678</v>
      </c>
      <c r="H5837" s="3063"/>
      <c r="I5837" s="3030"/>
    </row>
    <row r="5838" spans="2:9">
      <c r="B5838" s="3192" t="s">
        <v>679</v>
      </c>
      <c r="C5838" s="3063"/>
      <c r="D5838" s="3064"/>
      <c r="E5838" s="3064"/>
      <c r="F5838" s="3064"/>
      <c r="G5838" s="3301" t="s">
        <v>679</v>
      </c>
      <c r="H5838" s="3063"/>
      <c r="I5838" s="3030"/>
    </row>
    <row r="5839" spans="2:9" ht="25.5">
      <c r="B5839" s="3192" t="s">
        <v>720</v>
      </c>
      <c r="C5839" s="3063"/>
      <c r="D5839" s="3064"/>
      <c r="E5839" s="3064"/>
      <c r="F5839" s="3064"/>
      <c r="G5839" s="3301" t="s">
        <v>720</v>
      </c>
      <c r="H5839" s="3063"/>
      <c r="I5839" s="3030"/>
    </row>
    <row r="5840" spans="2:9" ht="25.5">
      <c r="B5840" s="3299" t="s">
        <v>66</v>
      </c>
      <c r="C5840" s="3063"/>
      <c r="D5840" s="3064"/>
      <c r="E5840" s="3064"/>
      <c r="F5840" s="3064"/>
      <c r="G5840" s="3300" t="s">
        <v>66</v>
      </c>
      <c r="H5840" s="3063"/>
      <c r="I5840" s="3030"/>
    </row>
    <row r="5841" spans="2:9" ht="25.5">
      <c r="B5841" s="3192" t="s">
        <v>675</v>
      </c>
      <c r="C5841" s="3063"/>
      <c r="D5841" s="3064"/>
      <c r="E5841" s="3064"/>
      <c r="F5841" s="3064"/>
      <c r="G5841" s="3301" t="s">
        <v>675</v>
      </c>
      <c r="H5841" s="3063"/>
      <c r="I5841" s="3030"/>
    </row>
    <row r="5842" spans="2:9" ht="25.5">
      <c r="B5842" s="3192" t="s">
        <v>676</v>
      </c>
      <c r="C5842" s="3063"/>
      <c r="D5842" s="3064"/>
      <c r="E5842" s="3064"/>
      <c r="F5842" s="3064"/>
      <c r="G5842" s="3301" t="s">
        <v>676</v>
      </c>
      <c r="H5842" s="3063"/>
      <c r="I5842" s="3030"/>
    </row>
    <row r="5843" spans="2:9">
      <c r="B5843" s="3192" t="s">
        <v>677</v>
      </c>
      <c r="C5843" s="3063"/>
      <c r="D5843" s="3064"/>
      <c r="E5843" s="3064"/>
      <c r="F5843" s="3064"/>
      <c r="G5843" s="3301" t="s">
        <v>677</v>
      </c>
      <c r="H5843" s="3063"/>
      <c r="I5843" s="3030"/>
    </row>
    <row r="5844" spans="2:9">
      <c r="B5844" s="3192" t="s">
        <v>678</v>
      </c>
      <c r="C5844" s="3063"/>
      <c r="D5844" s="3064"/>
      <c r="E5844" s="3064"/>
      <c r="F5844" s="3064"/>
      <c r="G5844" s="3301" t="s">
        <v>678</v>
      </c>
      <c r="H5844" s="3063"/>
      <c r="I5844" s="3030"/>
    </row>
    <row r="5845" spans="2:9">
      <c r="B5845" s="3192" t="s">
        <v>679</v>
      </c>
      <c r="C5845" s="3063"/>
      <c r="D5845" s="3064"/>
      <c r="E5845" s="3064"/>
      <c r="F5845" s="3064"/>
      <c r="G5845" s="3301" t="s">
        <v>679</v>
      </c>
      <c r="H5845" s="3063"/>
      <c r="I5845" s="3030"/>
    </row>
    <row r="5846" spans="2:9" ht="25.5">
      <c r="B5846" s="3192" t="s">
        <v>720</v>
      </c>
      <c r="C5846" s="3063"/>
      <c r="D5846" s="3064"/>
      <c r="E5846" s="3064"/>
      <c r="F5846" s="3064"/>
      <c r="G5846" s="3301" t="s">
        <v>720</v>
      </c>
      <c r="H5846" s="3063"/>
      <c r="I5846" s="3030"/>
    </row>
    <row r="5847" spans="2:9">
      <c r="B5847" s="3299" t="s">
        <v>67</v>
      </c>
      <c r="C5847" s="3063"/>
      <c r="D5847" s="3064"/>
      <c r="E5847" s="3064"/>
      <c r="F5847" s="3064"/>
      <c r="G5847" s="3300" t="s">
        <v>67</v>
      </c>
      <c r="H5847" s="3063"/>
      <c r="I5847" s="3030"/>
    </row>
    <row r="5848" spans="2:9" ht="25.5">
      <c r="B5848" s="3192" t="s">
        <v>675</v>
      </c>
      <c r="C5848" s="3063"/>
      <c r="D5848" s="3064"/>
      <c r="E5848" s="3064"/>
      <c r="F5848" s="3064"/>
      <c r="G5848" s="3301" t="s">
        <v>675</v>
      </c>
      <c r="H5848" s="3063"/>
      <c r="I5848" s="3030"/>
    </row>
    <row r="5849" spans="2:9" ht="25.5">
      <c r="B5849" s="3192" t="s">
        <v>676</v>
      </c>
      <c r="C5849" s="3063"/>
      <c r="D5849" s="3064"/>
      <c r="E5849" s="3064"/>
      <c r="F5849" s="3064"/>
      <c r="G5849" s="3301" t="s">
        <v>676</v>
      </c>
      <c r="H5849" s="3063"/>
      <c r="I5849" s="3030"/>
    </row>
    <row r="5850" spans="2:9">
      <c r="B5850" s="3192" t="s">
        <v>677</v>
      </c>
      <c r="C5850" s="3063"/>
      <c r="D5850" s="3064"/>
      <c r="E5850" s="3064"/>
      <c r="F5850" s="3064"/>
      <c r="G5850" s="3301" t="s">
        <v>677</v>
      </c>
      <c r="H5850" s="3063"/>
      <c r="I5850" s="3030"/>
    </row>
    <row r="5851" spans="2:9">
      <c r="B5851" s="3192" t="s">
        <v>678</v>
      </c>
      <c r="C5851" s="3063"/>
      <c r="D5851" s="3064"/>
      <c r="E5851" s="3064"/>
      <c r="F5851" s="3064"/>
      <c r="G5851" s="3301" t="s">
        <v>678</v>
      </c>
      <c r="H5851" s="3063"/>
      <c r="I5851" s="3030"/>
    </row>
    <row r="5852" spans="2:9">
      <c r="B5852" s="3192" t="s">
        <v>679</v>
      </c>
      <c r="C5852" s="3063"/>
      <c r="D5852" s="3064"/>
      <c r="E5852" s="3064"/>
      <c r="F5852" s="3064"/>
      <c r="G5852" s="3301" t="s">
        <v>679</v>
      </c>
      <c r="H5852" s="3063"/>
      <c r="I5852" s="3030"/>
    </row>
    <row r="5853" spans="2:9" ht="25.5">
      <c r="B5853" s="3192" t="s">
        <v>720</v>
      </c>
      <c r="C5853" s="3063"/>
      <c r="D5853" s="3064"/>
      <c r="E5853" s="3064"/>
      <c r="F5853" s="3064"/>
      <c r="G5853" s="3301" t="s">
        <v>720</v>
      </c>
      <c r="H5853" s="3063"/>
      <c r="I5853" s="3030"/>
    </row>
    <row r="5854" spans="2:9" ht="25.5">
      <c r="B5854" s="3230" t="s">
        <v>81</v>
      </c>
      <c r="C5854" s="3063"/>
      <c r="D5854" s="3064"/>
      <c r="E5854" s="3064"/>
      <c r="F5854" s="3064"/>
      <c r="G5854" s="3302" t="s">
        <v>81</v>
      </c>
      <c r="H5854" s="3063"/>
      <c r="I5854" s="3030"/>
    </row>
    <row r="5855" spans="2:9" ht="26.25" thickBot="1">
      <c r="B5855" s="3303" t="s">
        <v>81</v>
      </c>
      <c r="C5855" s="3063"/>
      <c r="D5855" s="3064"/>
      <c r="E5855" s="3064"/>
      <c r="F5855" s="3064"/>
      <c r="G5855" s="3302" t="s">
        <v>81</v>
      </c>
      <c r="H5855" s="3063"/>
      <c r="I5855" s="3030"/>
    </row>
    <row r="5856" spans="2:9" ht="25.5">
      <c r="B5856" s="3217" t="s">
        <v>696</v>
      </c>
      <c r="C5856" s="3218"/>
      <c r="D5856" s="3219"/>
      <c r="E5856" s="3219"/>
      <c r="F5856" s="3219"/>
      <c r="G5856" s="3217" t="s">
        <v>696</v>
      </c>
      <c r="H5856" s="3297"/>
      <c r="I5856" s="3298"/>
    </row>
    <row r="5857" spans="2:9">
      <c r="B5857" s="3299" t="s">
        <v>64</v>
      </c>
      <c r="C5857" s="3063"/>
      <c r="D5857" s="3064"/>
      <c r="E5857" s="3064"/>
      <c r="F5857" s="3064"/>
      <c r="G5857" s="3300" t="s">
        <v>64</v>
      </c>
      <c r="H5857" s="3063"/>
      <c r="I5857" s="3030"/>
    </row>
    <row r="5858" spans="2:9" ht="25.5">
      <c r="B5858" s="3192" t="s">
        <v>675</v>
      </c>
      <c r="C5858" s="3063"/>
      <c r="D5858" s="3064"/>
      <c r="E5858" s="3064"/>
      <c r="F5858" s="3064"/>
      <c r="G5858" s="3301" t="s">
        <v>675</v>
      </c>
      <c r="H5858" s="3063"/>
      <c r="I5858" s="3030"/>
    </row>
    <row r="5859" spans="2:9" ht="25.5">
      <c r="B5859" s="3192" t="s">
        <v>676</v>
      </c>
      <c r="C5859" s="3063"/>
      <c r="D5859" s="3064"/>
      <c r="E5859" s="3064"/>
      <c r="F5859" s="3064"/>
      <c r="G5859" s="3301" t="s">
        <v>676</v>
      </c>
      <c r="H5859" s="3063"/>
      <c r="I5859" s="3030"/>
    </row>
    <row r="5860" spans="2:9">
      <c r="B5860" s="3192" t="s">
        <v>677</v>
      </c>
      <c r="C5860" s="3063"/>
      <c r="D5860" s="3064"/>
      <c r="E5860" s="3064"/>
      <c r="F5860" s="3064"/>
      <c r="G5860" s="3301" t="s">
        <v>677</v>
      </c>
      <c r="H5860" s="3063"/>
      <c r="I5860" s="3030"/>
    </row>
    <row r="5861" spans="2:9">
      <c r="B5861" s="3192" t="s">
        <v>678</v>
      </c>
      <c r="C5861" s="3063"/>
      <c r="D5861" s="3064"/>
      <c r="E5861" s="3064"/>
      <c r="F5861" s="3064"/>
      <c r="G5861" s="3301" t="s">
        <v>678</v>
      </c>
      <c r="H5861" s="3063"/>
      <c r="I5861" s="3030"/>
    </row>
    <row r="5862" spans="2:9">
      <c r="B5862" s="3192" t="s">
        <v>679</v>
      </c>
      <c r="C5862" s="3063"/>
      <c r="D5862" s="3064"/>
      <c r="E5862" s="3064"/>
      <c r="F5862" s="3064"/>
      <c r="G5862" s="3301" t="s">
        <v>679</v>
      </c>
      <c r="H5862" s="3063"/>
      <c r="I5862" s="3030"/>
    </row>
    <row r="5863" spans="2:9" ht="25.5">
      <c r="B5863" s="3192" t="s">
        <v>720</v>
      </c>
      <c r="C5863" s="3063"/>
      <c r="D5863" s="3064"/>
      <c r="E5863" s="3064"/>
      <c r="F5863" s="3064"/>
      <c r="G5863" s="3301" t="s">
        <v>720</v>
      </c>
      <c r="H5863" s="3063"/>
      <c r="I5863" s="3030"/>
    </row>
    <row r="5864" spans="2:9">
      <c r="B5864" s="3299" t="s">
        <v>65</v>
      </c>
      <c r="C5864" s="3063"/>
      <c r="D5864" s="3064"/>
      <c r="E5864" s="3064"/>
      <c r="F5864" s="3064"/>
      <c r="G5864" s="3300" t="s">
        <v>65</v>
      </c>
      <c r="H5864" s="3063"/>
      <c r="I5864" s="3030"/>
    </row>
    <row r="5865" spans="2:9" ht="25.5">
      <c r="B5865" s="3192" t="s">
        <v>675</v>
      </c>
      <c r="C5865" s="3063"/>
      <c r="D5865" s="3064"/>
      <c r="E5865" s="3064"/>
      <c r="F5865" s="3064"/>
      <c r="G5865" s="3301" t="s">
        <v>675</v>
      </c>
      <c r="H5865" s="3063"/>
      <c r="I5865" s="3030"/>
    </row>
    <row r="5866" spans="2:9" ht="25.5">
      <c r="B5866" s="3192" t="s">
        <v>676</v>
      </c>
      <c r="C5866" s="3063"/>
      <c r="D5866" s="3064"/>
      <c r="E5866" s="3064"/>
      <c r="F5866" s="3064"/>
      <c r="G5866" s="3301" t="s">
        <v>676</v>
      </c>
      <c r="H5866" s="3063"/>
      <c r="I5866" s="3030"/>
    </row>
    <row r="5867" spans="2:9">
      <c r="B5867" s="3192" t="s">
        <v>677</v>
      </c>
      <c r="C5867" s="3063"/>
      <c r="D5867" s="3064"/>
      <c r="E5867" s="3064"/>
      <c r="F5867" s="3064"/>
      <c r="G5867" s="3301" t="s">
        <v>677</v>
      </c>
      <c r="H5867" s="3063"/>
      <c r="I5867" s="3030"/>
    </row>
    <row r="5868" spans="2:9">
      <c r="B5868" s="3192" t="s">
        <v>678</v>
      </c>
      <c r="C5868" s="3063"/>
      <c r="D5868" s="3064"/>
      <c r="E5868" s="3064"/>
      <c r="F5868" s="3064"/>
      <c r="G5868" s="3301" t="s">
        <v>678</v>
      </c>
      <c r="H5868" s="3063"/>
      <c r="I5868" s="3030"/>
    </row>
    <row r="5869" spans="2:9">
      <c r="B5869" s="3192" t="s">
        <v>679</v>
      </c>
      <c r="C5869" s="3063"/>
      <c r="D5869" s="3064"/>
      <c r="E5869" s="3064"/>
      <c r="F5869" s="3064"/>
      <c r="G5869" s="3301" t="s">
        <v>679</v>
      </c>
      <c r="H5869" s="3063"/>
      <c r="I5869" s="3030"/>
    </row>
    <row r="5870" spans="2:9" ht="25.5">
      <c r="B5870" s="3192" t="s">
        <v>720</v>
      </c>
      <c r="C5870" s="3063"/>
      <c r="D5870" s="3064"/>
      <c r="E5870" s="3064"/>
      <c r="F5870" s="3064"/>
      <c r="G5870" s="3301" t="s">
        <v>720</v>
      </c>
      <c r="H5870" s="3063"/>
      <c r="I5870" s="3030"/>
    </row>
    <row r="5871" spans="2:9">
      <c r="B5871" s="3299" t="s">
        <v>82</v>
      </c>
      <c r="C5871" s="3063"/>
      <c r="D5871" s="3064"/>
      <c r="E5871" s="3064"/>
      <c r="F5871" s="3064"/>
      <c r="G5871" s="3300" t="s">
        <v>82</v>
      </c>
      <c r="H5871" s="3063"/>
      <c r="I5871" s="3030"/>
    </row>
    <row r="5872" spans="2:9" ht="25.5">
      <c r="B5872" s="3192" t="s">
        <v>675</v>
      </c>
      <c r="C5872" s="3063"/>
      <c r="D5872" s="3064"/>
      <c r="E5872" s="3064"/>
      <c r="F5872" s="3064"/>
      <c r="G5872" s="3301" t="s">
        <v>675</v>
      </c>
      <c r="H5872" s="3063"/>
      <c r="I5872" s="3030"/>
    </row>
    <row r="5873" spans="2:9" ht="25.5">
      <c r="B5873" s="3192" t="s">
        <v>676</v>
      </c>
      <c r="C5873" s="3063"/>
      <c r="D5873" s="3064"/>
      <c r="E5873" s="3064"/>
      <c r="F5873" s="3064"/>
      <c r="G5873" s="3301" t="s">
        <v>676</v>
      </c>
      <c r="H5873" s="3063"/>
      <c r="I5873" s="3030"/>
    </row>
    <row r="5874" spans="2:9">
      <c r="B5874" s="3192" t="s">
        <v>677</v>
      </c>
      <c r="C5874" s="3063"/>
      <c r="D5874" s="3064"/>
      <c r="E5874" s="3064"/>
      <c r="F5874" s="3064"/>
      <c r="G5874" s="3301" t="s">
        <v>677</v>
      </c>
      <c r="H5874" s="3063"/>
      <c r="I5874" s="3030"/>
    </row>
    <row r="5875" spans="2:9">
      <c r="B5875" s="3192" t="s">
        <v>678</v>
      </c>
      <c r="C5875" s="3063"/>
      <c r="D5875" s="3064"/>
      <c r="E5875" s="3064"/>
      <c r="F5875" s="3064"/>
      <c r="G5875" s="3301" t="s">
        <v>678</v>
      </c>
      <c r="H5875" s="3063"/>
      <c r="I5875" s="3030"/>
    </row>
    <row r="5876" spans="2:9">
      <c r="B5876" s="3192" t="s">
        <v>679</v>
      </c>
      <c r="C5876" s="3063"/>
      <c r="D5876" s="3064"/>
      <c r="E5876" s="3064"/>
      <c r="F5876" s="3064"/>
      <c r="G5876" s="3301" t="s">
        <v>679</v>
      </c>
      <c r="H5876" s="3063"/>
      <c r="I5876" s="3030"/>
    </row>
    <row r="5877" spans="2:9" ht="25.5">
      <c r="B5877" s="3192" t="s">
        <v>720</v>
      </c>
      <c r="C5877" s="3063"/>
      <c r="D5877" s="3064"/>
      <c r="E5877" s="3064"/>
      <c r="F5877" s="3064"/>
      <c r="G5877" s="3301" t="s">
        <v>720</v>
      </c>
      <c r="H5877" s="3063"/>
      <c r="I5877" s="3030"/>
    </row>
    <row r="5878" spans="2:9" ht="38.25">
      <c r="B5878" s="3299" t="s">
        <v>680</v>
      </c>
      <c r="C5878" s="3063"/>
      <c r="D5878" s="3064"/>
      <c r="E5878" s="3064"/>
      <c r="F5878" s="3064"/>
      <c r="G5878" s="3300" t="s">
        <v>680</v>
      </c>
      <c r="H5878" s="3063"/>
      <c r="I5878" s="3030"/>
    </row>
    <row r="5879" spans="2:9" ht="25.5">
      <c r="B5879" s="3192" t="s">
        <v>675</v>
      </c>
      <c r="C5879" s="3063"/>
      <c r="D5879" s="3064"/>
      <c r="E5879" s="3064"/>
      <c r="F5879" s="3064"/>
      <c r="G5879" s="3301" t="s">
        <v>675</v>
      </c>
      <c r="H5879" s="3063"/>
      <c r="I5879" s="3030"/>
    </row>
    <row r="5880" spans="2:9" ht="25.5">
      <c r="B5880" s="3192" t="s">
        <v>676</v>
      </c>
      <c r="C5880" s="3063"/>
      <c r="D5880" s="3064"/>
      <c r="E5880" s="3064"/>
      <c r="F5880" s="3064"/>
      <c r="G5880" s="3301" t="s">
        <v>676</v>
      </c>
      <c r="H5880" s="3063"/>
      <c r="I5880" s="3030"/>
    </row>
    <row r="5881" spans="2:9">
      <c r="B5881" s="3192" t="s">
        <v>677</v>
      </c>
      <c r="C5881" s="3063"/>
      <c r="D5881" s="3064"/>
      <c r="E5881" s="3064"/>
      <c r="F5881" s="3064"/>
      <c r="G5881" s="3301" t="s">
        <v>677</v>
      </c>
      <c r="H5881" s="3063"/>
      <c r="I5881" s="3030"/>
    </row>
    <row r="5882" spans="2:9">
      <c r="B5882" s="3192" t="s">
        <v>678</v>
      </c>
      <c r="C5882" s="3063"/>
      <c r="D5882" s="3064"/>
      <c r="E5882" s="3064"/>
      <c r="F5882" s="3064"/>
      <c r="G5882" s="3301" t="s">
        <v>678</v>
      </c>
      <c r="H5882" s="3063"/>
      <c r="I5882" s="3030"/>
    </row>
    <row r="5883" spans="2:9">
      <c r="B5883" s="3192" t="s">
        <v>679</v>
      </c>
      <c r="C5883" s="3063"/>
      <c r="D5883" s="3064"/>
      <c r="E5883" s="3064"/>
      <c r="F5883" s="3064"/>
      <c r="G5883" s="3301" t="s">
        <v>679</v>
      </c>
      <c r="H5883" s="3063"/>
      <c r="I5883" s="3030"/>
    </row>
    <row r="5884" spans="2:9" ht="25.5">
      <c r="B5884" s="3192" t="s">
        <v>720</v>
      </c>
      <c r="C5884" s="3063"/>
      <c r="D5884" s="3064"/>
      <c r="E5884" s="3064"/>
      <c r="F5884" s="3064"/>
      <c r="G5884" s="3301" t="s">
        <v>720</v>
      </c>
      <c r="H5884" s="3063"/>
      <c r="I5884" s="3030"/>
    </row>
    <row r="5885" spans="2:9" ht="38.25">
      <c r="B5885" s="3299" t="s">
        <v>681</v>
      </c>
      <c r="C5885" s="3063"/>
      <c r="D5885" s="3064"/>
      <c r="E5885" s="3064"/>
      <c r="F5885" s="3064"/>
      <c r="G5885" s="3300" t="s">
        <v>681</v>
      </c>
      <c r="H5885" s="3063"/>
      <c r="I5885" s="3030"/>
    </row>
    <row r="5886" spans="2:9" ht="25.5">
      <c r="B5886" s="3192" t="s">
        <v>675</v>
      </c>
      <c r="C5886" s="3063"/>
      <c r="D5886" s="3064"/>
      <c r="E5886" s="3064"/>
      <c r="F5886" s="3064"/>
      <c r="G5886" s="3301" t="s">
        <v>675</v>
      </c>
      <c r="H5886" s="3063"/>
      <c r="I5886" s="3030"/>
    </row>
    <row r="5887" spans="2:9" ht="25.5">
      <c r="B5887" s="3192" t="s">
        <v>676</v>
      </c>
      <c r="C5887" s="3063"/>
      <c r="D5887" s="3064"/>
      <c r="E5887" s="3064"/>
      <c r="F5887" s="3064"/>
      <c r="G5887" s="3301" t="s">
        <v>676</v>
      </c>
      <c r="H5887" s="3063"/>
      <c r="I5887" s="3030"/>
    </row>
    <row r="5888" spans="2:9">
      <c r="B5888" s="3192" t="s">
        <v>677</v>
      </c>
      <c r="C5888" s="3063"/>
      <c r="D5888" s="3064"/>
      <c r="E5888" s="3064"/>
      <c r="F5888" s="3064"/>
      <c r="G5888" s="3301" t="s">
        <v>677</v>
      </c>
      <c r="H5888" s="3063"/>
      <c r="I5888" s="3030"/>
    </row>
    <row r="5889" spans="2:9">
      <c r="B5889" s="3192" t="s">
        <v>678</v>
      </c>
      <c r="C5889" s="3063"/>
      <c r="D5889" s="3064"/>
      <c r="E5889" s="3064"/>
      <c r="F5889" s="3064"/>
      <c r="G5889" s="3301" t="s">
        <v>678</v>
      </c>
      <c r="H5889" s="3063"/>
      <c r="I5889" s="3030"/>
    </row>
    <row r="5890" spans="2:9">
      <c r="B5890" s="3192" t="s">
        <v>679</v>
      </c>
      <c r="C5890" s="3063"/>
      <c r="D5890" s="3064"/>
      <c r="E5890" s="3064"/>
      <c r="F5890" s="3064"/>
      <c r="G5890" s="3301" t="s">
        <v>679</v>
      </c>
      <c r="H5890" s="3063"/>
      <c r="I5890" s="3030"/>
    </row>
    <row r="5891" spans="2:9" ht="25.5">
      <c r="B5891" s="3192" t="s">
        <v>720</v>
      </c>
      <c r="C5891" s="3063"/>
      <c r="D5891" s="3064"/>
      <c r="E5891" s="3064"/>
      <c r="F5891" s="3064"/>
      <c r="G5891" s="3301" t="s">
        <v>720</v>
      </c>
      <c r="H5891" s="3063"/>
      <c r="I5891" s="3030"/>
    </row>
    <row r="5892" spans="2:9" ht="25.5">
      <c r="B5892" s="3299" t="s">
        <v>682</v>
      </c>
      <c r="C5892" s="3063"/>
      <c r="D5892" s="3064"/>
      <c r="E5892" s="3064"/>
      <c r="F5892" s="3064"/>
      <c r="G5892" s="3300" t="s">
        <v>682</v>
      </c>
      <c r="H5892" s="3063"/>
      <c r="I5892" s="3030"/>
    </row>
    <row r="5893" spans="2:9" ht="25.5">
      <c r="B5893" s="3192" t="s">
        <v>675</v>
      </c>
      <c r="C5893" s="3063"/>
      <c r="D5893" s="3064"/>
      <c r="E5893" s="3064"/>
      <c r="F5893" s="3064"/>
      <c r="G5893" s="3301" t="s">
        <v>675</v>
      </c>
      <c r="H5893" s="3063"/>
      <c r="I5893" s="3030"/>
    </row>
    <row r="5894" spans="2:9" ht="25.5">
      <c r="B5894" s="3192" t="s">
        <v>676</v>
      </c>
      <c r="C5894" s="3063"/>
      <c r="D5894" s="3064"/>
      <c r="E5894" s="3064"/>
      <c r="F5894" s="3064"/>
      <c r="G5894" s="3301" t="s">
        <v>676</v>
      </c>
      <c r="H5894" s="3063"/>
      <c r="I5894" s="3030"/>
    </row>
    <row r="5895" spans="2:9">
      <c r="B5895" s="3192" t="s">
        <v>677</v>
      </c>
      <c r="C5895" s="3063"/>
      <c r="D5895" s="3064"/>
      <c r="E5895" s="3064"/>
      <c r="F5895" s="3064"/>
      <c r="G5895" s="3301" t="s">
        <v>677</v>
      </c>
      <c r="H5895" s="3063"/>
      <c r="I5895" s="3030"/>
    </row>
    <row r="5896" spans="2:9">
      <c r="B5896" s="3192" t="s">
        <v>678</v>
      </c>
      <c r="C5896" s="3063"/>
      <c r="D5896" s="3064"/>
      <c r="E5896" s="3064"/>
      <c r="F5896" s="3064"/>
      <c r="G5896" s="3301" t="s">
        <v>678</v>
      </c>
      <c r="H5896" s="3063"/>
      <c r="I5896" s="3030"/>
    </row>
    <row r="5897" spans="2:9">
      <c r="B5897" s="3192" t="s">
        <v>679</v>
      </c>
      <c r="C5897" s="3063"/>
      <c r="D5897" s="3064"/>
      <c r="E5897" s="3064"/>
      <c r="F5897" s="3064"/>
      <c r="G5897" s="3301" t="s">
        <v>679</v>
      </c>
      <c r="H5897" s="3063"/>
      <c r="I5897" s="3030"/>
    </row>
    <row r="5898" spans="2:9" ht="25.5">
      <c r="B5898" s="3192" t="s">
        <v>720</v>
      </c>
      <c r="C5898" s="3063"/>
      <c r="D5898" s="3064"/>
      <c r="E5898" s="3064"/>
      <c r="F5898" s="3064"/>
      <c r="G5898" s="3301" t="s">
        <v>720</v>
      </c>
      <c r="H5898" s="3063"/>
      <c r="I5898" s="3030"/>
    </row>
    <row r="5899" spans="2:9" ht="25.5">
      <c r="B5899" s="3299" t="s">
        <v>66</v>
      </c>
      <c r="C5899" s="3063"/>
      <c r="D5899" s="3064"/>
      <c r="E5899" s="3064"/>
      <c r="F5899" s="3064"/>
      <c r="G5899" s="3300" t="s">
        <v>66</v>
      </c>
      <c r="H5899" s="3063"/>
      <c r="I5899" s="3030"/>
    </row>
    <row r="5900" spans="2:9" ht="25.5">
      <c r="B5900" s="3192" t="s">
        <v>675</v>
      </c>
      <c r="C5900" s="3063"/>
      <c r="D5900" s="3064"/>
      <c r="E5900" s="3064"/>
      <c r="F5900" s="3064"/>
      <c r="G5900" s="3301" t="s">
        <v>675</v>
      </c>
      <c r="H5900" s="3063"/>
      <c r="I5900" s="3030"/>
    </row>
    <row r="5901" spans="2:9" ht="25.5">
      <c r="B5901" s="3192" t="s">
        <v>676</v>
      </c>
      <c r="C5901" s="3063"/>
      <c r="D5901" s="3064"/>
      <c r="E5901" s="3064"/>
      <c r="F5901" s="3064"/>
      <c r="G5901" s="3301" t="s">
        <v>676</v>
      </c>
      <c r="H5901" s="3063"/>
      <c r="I5901" s="3030"/>
    </row>
    <row r="5902" spans="2:9">
      <c r="B5902" s="3192" t="s">
        <v>677</v>
      </c>
      <c r="C5902" s="3063"/>
      <c r="D5902" s="3064"/>
      <c r="E5902" s="3064"/>
      <c r="F5902" s="3064"/>
      <c r="G5902" s="3301" t="s">
        <v>677</v>
      </c>
      <c r="H5902" s="3063"/>
      <c r="I5902" s="3030"/>
    </row>
    <row r="5903" spans="2:9">
      <c r="B5903" s="3192" t="s">
        <v>678</v>
      </c>
      <c r="C5903" s="3063"/>
      <c r="D5903" s="3064"/>
      <c r="E5903" s="3064"/>
      <c r="F5903" s="3064"/>
      <c r="G5903" s="3301" t="s">
        <v>678</v>
      </c>
      <c r="H5903" s="3063"/>
      <c r="I5903" s="3030"/>
    </row>
    <row r="5904" spans="2:9">
      <c r="B5904" s="3192" t="s">
        <v>679</v>
      </c>
      <c r="C5904" s="3063"/>
      <c r="D5904" s="3064"/>
      <c r="E5904" s="3064"/>
      <c r="F5904" s="3064"/>
      <c r="G5904" s="3301" t="s">
        <v>679</v>
      </c>
      <c r="H5904" s="3063"/>
      <c r="I5904" s="3030"/>
    </row>
    <row r="5905" spans="2:9" ht="25.5">
      <c r="B5905" s="3192" t="s">
        <v>720</v>
      </c>
      <c r="C5905" s="3063"/>
      <c r="D5905" s="3064"/>
      <c r="E5905" s="3064"/>
      <c r="F5905" s="3064"/>
      <c r="G5905" s="3301" t="s">
        <v>720</v>
      </c>
      <c r="H5905" s="3063"/>
      <c r="I5905" s="3030"/>
    </row>
    <row r="5906" spans="2:9">
      <c r="B5906" s="3299" t="s">
        <v>67</v>
      </c>
      <c r="C5906" s="3063"/>
      <c r="D5906" s="3064"/>
      <c r="E5906" s="3064"/>
      <c r="F5906" s="3064"/>
      <c r="G5906" s="3300" t="s">
        <v>67</v>
      </c>
      <c r="H5906" s="3063"/>
      <c r="I5906" s="3030"/>
    </row>
    <row r="5907" spans="2:9" ht="25.5">
      <c r="B5907" s="3192" t="s">
        <v>675</v>
      </c>
      <c r="C5907" s="3063"/>
      <c r="D5907" s="3064"/>
      <c r="E5907" s="3064"/>
      <c r="F5907" s="3064"/>
      <c r="G5907" s="3301" t="s">
        <v>675</v>
      </c>
      <c r="H5907" s="3063"/>
      <c r="I5907" s="3030"/>
    </row>
    <row r="5908" spans="2:9" ht="25.5">
      <c r="B5908" s="3192" t="s">
        <v>676</v>
      </c>
      <c r="C5908" s="3063"/>
      <c r="D5908" s="3064"/>
      <c r="E5908" s="3064"/>
      <c r="F5908" s="3064"/>
      <c r="G5908" s="3301" t="s">
        <v>676</v>
      </c>
      <c r="H5908" s="3063"/>
      <c r="I5908" s="3030"/>
    </row>
    <row r="5909" spans="2:9">
      <c r="B5909" s="3192" t="s">
        <v>677</v>
      </c>
      <c r="C5909" s="3063"/>
      <c r="D5909" s="3064"/>
      <c r="E5909" s="3064"/>
      <c r="F5909" s="3064"/>
      <c r="G5909" s="3301" t="s">
        <v>677</v>
      </c>
      <c r="H5909" s="3063"/>
      <c r="I5909" s="3030"/>
    </row>
    <row r="5910" spans="2:9">
      <c r="B5910" s="3192" t="s">
        <v>678</v>
      </c>
      <c r="C5910" s="3063"/>
      <c r="D5910" s="3064"/>
      <c r="E5910" s="3064"/>
      <c r="F5910" s="3064"/>
      <c r="G5910" s="3301" t="s">
        <v>678</v>
      </c>
      <c r="H5910" s="3063"/>
      <c r="I5910" s="3030"/>
    </row>
    <row r="5911" spans="2:9">
      <c r="B5911" s="3192" t="s">
        <v>679</v>
      </c>
      <c r="C5911" s="3063"/>
      <c r="D5911" s="3064"/>
      <c r="E5911" s="3064"/>
      <c r="F5911" s="3064"/>
      <c r="G5911" s="3301" t="s">
        <v>679</v>
      </c>
      <c r="H5911" s="3063"/>
      <c r="I5911" s="3030"/>
    </row>
    <row r="5912" spans="2:9" ht="25.5">
      <c r="B5912" s="3230" t="s">
        <v>81</v>
      </c>
      <c r="C5912" s="3063"/>
      <c r="D5912" s="3064"/>
      <c r="E5912" s="3064"/>
      <c r="F5912" s="3064"/>
      <c r="G5912" s="3302" t="s">
        <v>81</v>
      </c>
      <c r="H5912" s="3063"/>
      <c r="I5912" s="3030"/>
    </row>
    <row r="5913" spans="2:9" ht="26.25" thickBot="1">
      <c r="B5913" s="3303" t="s">
        <v>81</v>
      </c>
      <c r="C5913" s="3063"/>
      <c r="D5913" s="3064"/>
      <c r="E5913" s="3064"/>
      <c r="F5913" s="3064"/>
      <c r="G5913" s="3302" t="s">
        <v>81</v>
      </c>
      <c r="H5913" s="3063"/>
      <c r="I5913" s="3030"/>
    </row>
    <row r="5914" spans="2:9">
      <c r="B5914" s="3217" t="s">
        <v>697</v>
      </c>
      <c r="C5914" s="3218"/>
      <c r="D5914" s="3219"/>
      <c r="E5914" s="3219"/>
      <c r="F5914" s="3219"/>
      <c r="G5914" s="3217" t="s">
        <v>697</v>
      </c>
      <c r="H5914" s="3297"/>
      <c r="I5914" s="3298"/>
    </row>
    <row r="5915" spans="2:9">
      <c r="B5915" s="3299" t="s">
        <v>64</v>
      </c>
      <c r="C5915" s="3063"/>
      <c r="D5915" s="3064"/>
      <c r="E5915" s="3064"/>
      <c r="F5915" s="3064"/>
      <c r="G5915" s="3300" t="s">
        <v>64</v>
      </c>
      <c r="H5915" s="3063"/>
      <c r="I5915" s="3030"/>
    </row>
    <row r="5916" spans="2:9" ht="25.5">
      <c r="B5916" s="3192" t="s">
        <v>675</v>
      </c>
      <c r="C5916" s="3063"/>
      <c r="D5916" s="3064"/>
      <c r="E5916" s="3064"/>
      <c r="F5916" s="3064"/>
      <c r="G5916" s="3301" t="s">
        <v>675</v>
      </c>
      <c r="H5916" s="3063"/>
      <c r="I5916" s="3030"/>
    </row>
    <row r="5917" spans="2:9" ht="25.5">
      <c r="B5917" s="3192" t="s">
        <v>676</v>
      </c>
      <c r="C5917" s="3063"/>
      <c r="D5917" s="3064"/>
      <c r="E5917" s="3064"/>
      <c r="F5917" s="3064"/>
      <c r="G5917" s="3301" t="s">
        <v>676</v>
      </c>
      <c r="H5917" s="3063"/>
      <c r="I5917" s="3030"/>
    </row>
    <row r="5918" spans="2:9">
      <c r="B5918" s="3192" t="s">
        <v>677</v>
      </c>
      <c r="C5918" s="3063"/>
      <c r="D5918" s="3064"/>
      <c r="E5918" s="3064"/>
      <c r="F5918" s="3064"/>
      <c r="G5918" s="3301" t="s">
        <v>677</v>
      </c>
      <c r="H5918" s="3063"/>
      <c r="I5918" s="3030"/>
    </row>
    <row r="5919" spans="2:9">
      <c r="B5919" s="3192" t="s">
        <v>678</v>
      </c>
      <c r="C5919" s="3063"/>
      <c r="D5919" s="3064"/>
      <c r="E5919" s="3064"/>
      <c r="F5919" s="3064"/>
      <c r="G5919" s="3301" t="s">
        <v>678</v>
      </c>
      <c r="H5919" s="3063"/>
      <c r="I5919" s="3030"/>
    </row>
    <row r="5920" spans="2:9">
      <c r="B5920" s="3192" t="s">
        <v>679</v>
      </c>
      <c r="C5920" s="3063"/>
      <c r="D5920" s="3064"/>
      <c r="E5920" s="3064"/>
      <c r="F5920" s="3064"/>
      <c r="G5920" s="3301" t="s">
        <v>679</v>
      </c>
      <c r="H5920" s="3063"/>
      <c r="I5920" s="3030"/>
    </row>
    <row r="5921" spans="2:9" ht="25.5">
      <c r="B5921" s="3192" t="s">
        <v>720</v>
      </c>
      <c r="C5921" s="3063"/>
      <c r="D5921" s="3064"/>
      <c r="E5921" s="3064"/>
      <c r="F5921" s="3064"/>
      <c r="G5921" s="3301" t="s">
        <v>720</v>
      </c>
      <c r="H5921" s="3063"/>
      <c r="I5921" s="3030"/>
    </row>
    <row r="5922" spans="2:9">
      <c r="B5922" s="3299" t="s">
        <v>65</v>
      </c>
      <c r="C5922" s="3063"/>
      <c r="D5922" s="3064"/>
      <c r="E5922" s="3064"/>
      <c r="F5922" s="3064"/>
      <c r="G5922" s="3300" t="s">
        <v>65</v>
      </c>
      <c r="H5922" s="3063"/>
      <c r="I5922" s="3030"/>
    </row>
    <row r="5923" spans="2:9" ht="25.5">
      <c r="B5923" s="3192" t="s">
        <v>675</v>
      </c>
      <c r="C5923" s="3063"/>
      <c r="D5923" s="3064"/>
      <c r="E5923" s="3064"/>
      <c r="F5923" s="3064"/>
      <c r="G5923" s="3301" t="s">
        <v>675</v>
      </c>
      <c r="H5923" s="3063"/>
      <c r="I5923" s="3030"/>
    </row>
    <row r="5924" spans="2:9" ht="25.5">
      <c r="B5924" s="3192" t="s">
        <v>676</v>
      </c>
      <c r="C5924" s="3063"/>
      <c r="D5924" s="3064"/>
      <c r="E5924" s="3064"/>
      <c r="F5924" s="3064"/>
      <c r="G5924" s="3301" t="s">
        <v>676</v>
      </c>
      <c r="H5924" s="3063"/>
      <c r="I5924" s="3030"/>
    </row>
    <row r="5925" spans="2:9">
      <c r="B5925" s="3192" t="s">
        <v>677</v>
      </c>
      <c r="C5925" s="3063"/>
      <c r="D5925" s="3064"/>
      <c r="E5925" s="3064"/>
      <c r="F5925" s="3064"/>
      <c r="G5925" s="3301" t="s">
        <v>677</v>
      </c>
      <c r="H5925" s="3063"/>
      <c r="I5925" s="3030"/>
    </row>
    <row r="5926" spans="2:9">
      <c r="B5926" s="3192" t="s">
        <v>678</v>
      </c>
      <c r="C5926" s="3063"/>
      <c r="D5926" s="3064"/>
      <c r="E5926" s="3064"/>
      <c r="F5926" s="3064"/>
      <c r="G5926" s="3301" t="s">
        <v>678</v>
      </c>
      <c r="H5926" s="3063"/>
      <c r="I5926" s="3030"/>
    </row>
    <row r="5927" spans="2:9">
      <c r="B5927" s="3192" t="s">
        <v>679</v>
      </c>
      <c r="C5927" s="3063"/>
      <c r="D5927" s="3064"/>
      <c r="E5927" s="3064"/>
      <c r="F5927" s="3064"/>
      <c r="G5927" s="3301" t="s">
        <v>679</v>
      </c>
      <c r="H5927" s="3063"/>
      <c r="I5927" s="3030"/>
    </row>
    <row r="5928" spans="2:9" ht="25.5">
      <c r="B5928" s="3192" t="s">
        <v>720</v>
      </c>
      <c r="C5928" s="3063"/>
      <c r="D5928" s="3064"/>
      <c r="E5928" s="3064"/>
      <c r="F5928" s="3064"/>
      <c r="G5928" s="3301" t="s">
        <v>720</v>
      </c>
      <c r="H5928" s="3063"/>
      <c r="I5928" s="3030"/>
    </row>
    <row r="5929" spans="2:9">
      <c r="B5929" s="3299" t="s">
        <v>82</v>
      </c>
      <c r="C5929" s="3063"/>
      <c r="D5929" s="3064"/>
      <c r="E5929" s="3064"/>
      <c r="F5929" s="3064"/>
      <c r="G5929" s="3300" t="s">
        <v>82</v>
      </c>
      <c r="H5929" s="3063"/>
      <c r="I5929" s="3030"/>
    </row>
    <row r="5930" spans="2:9" ht="25.5">
      <c r="B5930" s="3192" t="s">
        <v>675</v>
      </c>
      <c r="C5930" s="3063"/>
      <c r="D5930" s="3064"/>
      <c r="E5930" s="3064"/>
      <c r="F5930" s="3064"/>
      <c r="G5930" s="3301" t="s">
        <v>675</v>
      </c>
      <c r="H5930" s="3063"/>
      <c r="I5930" s="3030"/>
    </row>
    <row r="5931" spans="2:9" ht="25.5">
      <c r="B5931" s="3192" t="s">
        <v>676</v>
      </c>
      <c r="C5931" s="3063"/>
      <c r="D5931" s="3064"/>
      <c r="E5931" s="3064"/>
      <c r="F5931" s="3064"/>
      <c r="G5931" s="3301" t="s">
        <v>676</v>
      </c>
      <c r="H5931" s="3063"/>
      <c r="I5931" s="3030"/>
    </row>
    <row r="5932" spans="2:9">
      <c r="B5932" s="3192" t="s">
        <v>677</v>
      </c>
      <c r="C5932" s="3063"/>
      <c r="D5932" s="3064"/>
      <c r="E5932" s="3064"/>
      <c r="F5932" s="3064"/>
      <c r="G5932" s="3301" t="s">
        <v>677</v>
      </c>
      <c r="H5932" s="3063"/>
      <c r="I5932" s="3030"/>
    </row>
    <row r="5933" spans="2:9">
      <c r="B5933" s="3192" t="s">
        <v>678</v>
      </c>
      <c r="C5933" s="3063"/>
      <c r="D5933" s="3064"/>
      <c r="E5933" s="3064"/>
      <c r="F5933" s="3064"/>
      <c r="G5933" s="3301" t="s">
        <v>678</v>
      </c>
      <c r="H5933" s="3063"/>
      <c r="I5933" s="3030"/>
    </row>
    <row r="5934" spans="2:9">
      <c r="B5934" s="3192" t="s">
        <v>679</v>
      </c>
      <c r="C5934" s="3063"/>
      <c r="D5934" s="3064"/>
      <c r="E5934" s="3064"/>
      <c r="F5934" s="3064"/>
      <c r="G5934" s="3301" t="s">
        <v>679</v>
      </c>
      <c r="H5934" s="3063"/>
      <c r="I5934" s="3030"/>
    </row>
    <row r="5935" spans="2:9" ht="25.5">
      <c r="B5935" s="3192" t="s">
        <v>720</v>
      </c>
      <c r="C5935" s="3063"/>
      <c r="D5935" s="3064"/>
      <c r="E5935" s="3064"/>
      <c r="F5935" s="3064"/>
      <c r="G5935" s="3301" t="s">
        <v>720</v>
      </c>
      <c r="H5935" s="3063"/>
      <c r="I5935" s="3030"/>
    </row>
    <row r="5936" spans="2:9" ht="38.25">
      <c r="B5936" s="3299" t="s">
        <v>680</v>
      </c>
      <c r="C5936" s="3063"/>
      <c r="D5936" s="3064"/>
      <c r="E5936" s="3064"/>
      <c r="F5936" s="3064"/>
      <c r="G5936" s="3300" t="s">
        <v>680</v>
      </c>
      <c r="H5936" s="3063"/>
      <c r="I5936" s="3030"/>
    </row>
    <row r="5937" spans="2:9" ht="25.5">
      <c r="B5937" s="3192" t="s">
        <v>675</v>
      </c>
      <c r="C5937" s="3063"/>
      <c r="D5937" s="3064"/>
      <c r="E5937" s="3064"/>
      <c r="F5937" s="3064"/>
      <c r="G5937" s="3301" t="s">
        <v>675</v>
      </c>
      <c r="H5937" s="3063"/>
      <c r="I5937" s="3030"/>
    </row>
    <row r="5938" spans="2:9" ht="25.5">
      <c r="B5938" s="3192" t="s">
        <v>676</v>
      </c>
      <c r="C5938" s="3063"/>
      <c r="D5938" s="3064"/>
      <c r="E5938" s="3064"/>
      <c r="F5938" s="3064"/>
      <c r="G5938" s="3301" t="s">
        <v>676</v>
      </c>
      <c r="H5938" s="3063"/>
      <c r="I5938" s="3030"/>
    </row>
    <row r="5939" spans="2:9">
      <c r="B5939" s="3192" t="s">
        <v>677</v>
      </c>
      <c r="C5939" s="3063"/>
      <c r="D5939" s="3064"/>
      <c r="E5939" s="3064"/>
      <c r="F5939" s="3064"/>
      <c r="G5939" s="3301" t="s">
        <v>677</v>
      </c>
      <c r="H5939" s="3063"/>
      <c r="I5939" s="3030"/>
    </row>
    <row r="5940" spans="2:9">
      <c r="B5940" s="3192" t="s">
        <v>678</v>
      </c>
      <c r="C5940" s="3063"/>
      <c r="D5940" s="3064"/>
      <c r="E5940" s="3064"/>
      <c r="F5940" s="3064"/>
      <c r="G5940" s="3301" t="s">
        <v>678</v>
      </c>
      <c r="H5940" s="3063"/>
      <c r="I5940" s="3030"/>
    </row>
    <row r="5941" spans="2:9">
      <c r="B5941" s="3192" t="s">
        <v>679</v>
      </c>
      <c r="C5941" s="3063"/>
      <c r="D5941" s="3064"/>
      <c r="E5941" s="3064"/>
      <c r="F5941" s="3064"/>
      <c r="G5941" s="3301" t="s">
        <v>679</v>
      </c>
      <c r="H5941" s="3063"/>
      <c r="I5941" s="3030"/>
    </row>
    <row r="5942" spans="2:9" ht="25.5">
      <c r="B5942" s="3192" t="s">
        <v>720</v>
      </c>
      <c r="C5942" s="3063"/>
      <c r="D5942" s="3064"/>
      <c r="E5942" s="3064"/>
      <c r="F5942" s="3064"/>
      <c r="G5942" s="3301" t="s">
        <v>720</v>
      </c>
      <c r="H5942" s="3063"/>
      <c r="I5942" s="3030"/>
    </row>
    <row r="5943" spans="2:9" ht="38.25">
      <c r="B5943" s="3299" t="s">
        <v>681</v>
      </c>
      <c r="C5943" s="3063"/>
      <c r="D5943" s="3064"/>
      <c r="E5943" s="3064"/>
      <c r="F5943" s="3064"/>
      <c r="G5943" s="3300" t="s">
        <v>681</v>
      </c>
      <c r="H5943" s="3063">
        <v>9.6681877948797471E-3</v>
      </c>
      <c r="I5943" s="3030"/>
    </row>
    <row r="5944" spans="2:9" ht="25.5">
      <c r="B5944" s="3192" t="s">
        <v>675</v>
      </c>
      <c r="C5944" s="3063">
        <v>3</v>
      </c>
      <c r="D5944" s="3064">
        <v>2</v>
      </c>
      <c r="E5944" s="3064"/>
      <c r="F5944" s="3064"/>
      <c r="G5944" s="3301" t="s">
        <v>675</v>
      </c>
      <c r="H5944" s="3063"/>
      <c r="I5944" s="3030">
        <v>1.2085234743599684E-2</v>
      </c>
    </row>
    <row r="5945" spans="2:9" ht="25.5">
      <c r="B5945" s="3192" t="s">
        <v>676</v>
      </c>
      <c r="C5945" s="3063"/>
      <c r="D5945" s="3064"/>
      <c r="E5945" s="3064"/>
      <c r="F5945" s="3064"/>
      <c r="G5945" s="3301" t="s">
        <v>676</v>
      </c>
      <c r="H5945" s="3063"/>
      <c r="I5945" s="3030"/>
    </row>
    <row r="5946" spans="2:9">
      <c r="B5946" s="3192" t="s">
        <v>677</v>
      </c>
      <c r="C5946" s="3063"/>
      <c r="D5946" s="3064"/>
      <c r="E5946" s="3064"/>
      <c r="F5946" s="3064"/>
      <c r="G5946" s="3301" t="s">
        <v>677</v>
      </c>
      <c r="H5946" s="3063"/>
      <c r="I5946" s="3030"/>
    </row>
    <row r="5947" spans="2:9">
      <c r="B5947" s="3192" t="s">
        <v>678</v>
      </c>
      <c r="C5947" s="3063"/>
      <c r="D5947" s="3064"/>
      <c r="E5947" s="3064"/>
      <c r="F5947" s="3064"/>
      <c r="G5947" s="3301" t="s">
        <v>678</v>
      </c>
      <c r="H5947" s="3063"/>
      <c r="I5947" s="3030"/>
    </row>
    <row r="5948" spans="2:9">
      <c r="B5948" s="3192" t="s">
        <v>679</v>
      </c>
      <c r="C5948" s="3063"/>
      <c r="D5948" s="3064">
        <v>1</v>
      </c>
      <c r="E5948" s="3064"/>
      <c r="F5948" s="3064"/>
      <c r="G5948" s="3301" t="s">
        <v>679</v>
      </c>
      <c r="H5948" s="3063"/>
      <c r="I5948" s="3030"/>
    </row>
    <row r="5949" spans="2:9" ht="25.5">
      <c r="B5949" s="3192" t="s">
        <v>720</v>
      </c>
      <c r="C5949" s="3063"/>
      <c r="D5949" s="3064"/>
      <c r="E5949" s="3064"/>
      <c r="F5949" s="3064"/>
      <c r="G5949" s="3301" t="s">
        <v>720</v>
      </c>
      <c r="H5949" s="3063"/>
      <c r="I5949" s="3030"/>
    </row>
    <row r="5950" spans="2:9" ht="25.5">
      <c r="B5950" s="3299" t="s">
        <v>682</v>
      </c>
      <c r="C5950" s="3063"/>
      <c r="D5950" s="3064"/>
      <c r="E5950" s="3064"/>
      <c r="F5950" s="3064"/>
      <c r="G5950" s="3300" t="s">
        <v>682</v>
      </c>
      <c r="H5950" s="3063"/>
      <c r="I5950" s="3030"/>
    </row>
    <row r="5951" spans="2:9" ht="25.5">
      <c r="B5951" s="3192" t="s">
        <v>675</v>
      </c>
      <c r="C5951" s="3063"/>
      <c r="D5951" s="3064"/>
      <c r="E5951" s="3064"/>
      <c r="F5951" s="3064"/>
      <c r="G5951" s="3301" t="s">
        <v>675</v>
      </c>
      <c r="H5951" s="3063"/>
      <c r="I5951" s="3030"/>
    </row>
    <row r="5952" spans="2:9" ht="25.5">
      <c r="B5952" s="3192" t="s">
        <v>676</v>
      </c>
      <c r="C5952" s="3063"/>
      <c r="D5952" s="3064"/>
      <c r="E5952" s="3064"/>
      <c r="F5952" s="3064"/>
      <c r="G5952" s="3301" t="s">
        <v>676</v>
      </c>
      <c r="H5952" s="3063"/>
      <c r="I5952" s="3030"/>
    </row>
    <row r="5953" spans="2:9">
      <c r="B5953" s="3192" t="s">
        <v>677</v>
      </c>
      <c r="C5953" s="3063"/>
      <c r="D5953" s="3064"/>
      <c r="E5953" s="3064"/>
      <c r="F5953" s="3064"/>
      <c r="G5953" s="3301" t="s">
        <v>677</v>
      </c>
      <c r="H5953" s="3063"/>
      <c r="I5953" s="3030"/>
    </row>
    <row r="5954" spans="2:9">
      <c r="B5954" s="3192" t="s">
        <v>678</v>
      </c>
      <c r="C5954" s="3063"/>
      <c r="D5954" s="3064"/>
      <c r="E5954" s="3064"/>
      <c r="F5954" s="3064"/>
      <c r="G5954" s="3301" t="s">
        <v>678</v>
      </c>
      <c r="H5954" s="3063"/>
      <c r="I5954" s="3030"/>
    </row>
    <row r="5955" spans="2:9">
      <c r="B5955" s="3192" t="s">
        <v>679</v>
      </c>
      <c r="C5955" s="3063"/>
      <c r="D5955" s="3064"/>
      <c r="E5955" s="3064"/>
      <c r="F5955" s="3064"/>
      <c r="G5955" s="3301" t="s">
        <v>679</v>
      </c>
      <c r="H5955" s="3063"/>
      <c r="I5955" s="3030"/>
    </row>
    <row r="5956" spans="2:9" ht="25.5">
      <c r="B5956" s="3192" t="s">
        <v>720</v>
      </c>
      <c r="C5956" s="3063"/>
      <c r="D5956" s="3064"/>
      <c r="E5956" s="3064"/>
      <c r="F5956" s="3064"/>
      <c r="G5956" s="3301" t="s">
        <v>720</v>
      </c>
      <c r="H5956" s="3063"/>
      <c r="I5956" s="3030"/>
    </row>
    <row r="5957" spans="2:9" ht="25.5">
      <c r="B5957" s="3299" t="s">
        <v>66</v>
      </c>
      <c r="C5957" s="3063"/>
      <c r="D5957" s="3064"/>
      <c r="E5957" s="3064"/>
      <c r="F5957" s="3064"/>
      <c r="G5957" s="3300" t="s">
        <v>66</v>
      </c>
      <c r="H5957" s="3063"/>
      <c r="I5957" s="3030"/>
    </row>
    <row r="5958" spans="2:9" ht="25.5">
      <c r="B5958" s="3192" t="s">
        <v>675</v>
      </c>
      <c r="C5958" s="3063"/>
      <c r="D5958" s="3064"/>
      <c r="E5958" s="3064"/>
      <c r="F5958" s="3064"/>
      <c r="G5958" s="3301" t="s">
        <v>675</v>
      </c>
      <c r="H5958" s="3063"/>
      <c r="I5958" s="3030"/>
    </row>
    <row r="5959" spans="2:9" ht="25.5">
      <c r="B5959" s="3192" t="s">
        <v>676</v>
      </c>
      <c r="C5959" s="3063"/>
      <c r="D5959" s="3064"/>
      <c r="E5959" s="3064"/>
      <c r="F5959" s="3064"/>
      <c r="G5959" s="3301" t="s">
        <v>676</v>
      </c>
      <c r="H5959" s="3063"/>
      <c r="I5959" s="3030"/>
    </row>
    <row r="5960" spans="2:9">
      <c r="B5960" s="3192" t="s">
        <v>677</v>
      </c>
      <c r="C5960" s="3063"/>
      <c r="D5960" s="3064"/>
      <c r="E5960" s="3064"/>
      <c r="F5960" s="3064"/>
      <c r="G5960" s="3301" t="s">
        <v>677</v>
      </c>
      <c r="H5960" s="3063"/>
      <c r="I5960" s="3030"/>
    </row>
    <row r="5961" spans="2:9">
      <c r="B5961" s="3192" t="s">
        <v>678</v>
      </c>
      <c r="C5961" s="3063"/>
      <c r="D5961" s="3064"/>
      <c r="E5961" s="3064"/>
      <c r="F5961" s="3064"/>
      <c r="G5961" s="3301" t="s">
        <v>678</v>
      </c>
      <c r="H5961" s="3063"/>
      <c r="I5961" s="3030"/>
    </row>
    <row r="5962" spans="2:9">
      <c r="B5962" s="3192" t="s">
        <v>679</v>
      </c>
      <c r="C5962" s="3063"/>
      <c r="D5962" s="3064"/>
      <c r="E5962" s="3064"/>
      <c r="F5962" s="3064"/>
      <c r="G5962" s="3301" t="s">
        <v>679</v>
      </c>
      <c r="H5962" s="3063"/>
      <c r="I5962" s="3030"/>
    </row>
    <row r="5963" spans="2:9" ht="25.5">
      <c r="B5963" s="3192" t="s">
        <v>720</v>
      </c>
      <c r="C5963" s="3063"/>
      <c r="D5963" s="3064"/>
      <c r="E5963" s="3064"/>
      <c r="F5963" s="3064"/>
      <c r="G5963" s="3301" t="s">
        <v>720</v>
      </c>
      <c r="H5963" s="3063"/>
      <c r="I5963" s="3030"/>
    </row>
    <row r="5964" spans="2:9">
      <c r="B5964" s="3299" t="s">
        <v>67</v>
      </c>
      <c r="C5964" s="3063"/>
      <c r="D5964" s="3064"/>
      <c r="E5964" s="3064"/>
      <c r="F5964" s="3064"/>
      <c r="G5964" s="3300" t="s">
        <v>67</v>
      </c>
      <c r="H5964" s="3063"/>
      <c r="I5964" s="3030"/>
    </row>
    <row r="5965" spans="2:9" ht="25.5">
      <c r="B5965" s="3192" t="s">
        <v>675</v>
      </c>
      <c r="C5965" s="3063"/>
      <c r="D5965" s="3064"/>
      <c r="E5965" s="3064"/>
      <c r="F5965" s="3064"/>
      <c r="G5965" s="3301" t="s">
        <v>675</v>
      </c>
      <c r="H5965" s="3063"/>
      <c r="I5965" s="3030"/>
    </row>
    <row r="5966" spans="2:9" ht="25.5">
      <c r="B5966" s="3192" t="s">
        <v>676</v>
      </c>
      <c r="C5966" s="3063"/>
      <c r="D5966" s="3064"/>
      <c r="E5966" s="3064"/>
      <c r="F5966" s="3064"/>
      <c r="G5966" s="3301" t="s">
        <v>676</v>
      </c>
      <c r="H5966" s="3063"/>
      <c r="I5966" s="3030"/>
    </row>
    <row r="5967" spans="2:9">
      <c r="B5967" s="3192" t="s">
        <v>677</v>
      </c>
      <c r="C5967" s="3063"/>
      <c r="D5967" s="3064"/>
      <c r="E5967" s="3064"/>
      <c r="F5967" s="3064"/>
      <c r="G5967" s="3301" t="s">
        <v>677</v>
      </c>
      <c r="H5967" s="3063"/>
      <c r="I5967" s="3030"/>
    </row>
    <row r="5968" spans="2:9">
      <c r="B5968" s="3192" t="s">
        <v>678</v>
      </c>
      <c r="C5968" s="3063"/>
      <c r="D5968" s="3064"/>
      <c r="E5968" s="3064"/>
      <c r="F5968" s="3064"/>
      <c r="G5968" s="3301" t="s">
        <v>678</v>
      </c>
      <c r="H5968" s="3063"/>
      <c r="I5968" s="3030"/>
    </row>
    <row r="5969" spans="2:9">
      <c r="B5969" s="3192" t="s">
        <v>679</v>
      </c>
      <c r="C5969" s="3063"/>
      <c r="D5969" s="3064"/>
      <c r="E5969" s="3064"/>
      <c r="F5969" s="3064"/>
      <c r="G5969" s="3301" t="s">
        <v>679</v>
      </c>
      <c r="H5969" s="3063"/>
      <c r="I5969" s="3030"/>
    </row>
    <row r="5970" spans="2:9" ht="25.5">
      <c r="B5970" s="3230" t="s">
        <v>81</v>
      </c>
      <c r="C5970" s="3063"/>
      <c r="D5970" s="3064"/>
      <c r="E5970" s="3064"/>
      <c r="F5970" s="3064"/>
      <c r="G5970" s="3302" t="s">
        <v>81</v>
      </c>
      <c r="H5970" s="3063"/>
      <c r="I5970" s="3030"/>
    </row>
    <row r="5971" spans="2:9" ht="26.25" thickBot="1">
      <c r="B5971" s="3303" t="s">
        <v>81</v>
      </c>
      <c r="C5971" s="3068"/>
      <c r="D5971" s="3069"/>
      <c r="E5971" s="3069"/>
      <c r="F5971" s="3069"/>
      <c r="G5971" s="3304" t="s">
        <v>81</v>
      </c>
      <c r="H5971" s="3068"/>
      <c r="I5971" s="3070"/>
    </row>
    <row r="5972" spans="2:9" ht="38.25">
      <c r="B5972" s="4723">
        <v>3038</v>
      </c>
      <c r="C5972" s="3289"/>
      <c r="D5972" s="3290"/>
      <c r="E5972" s="3290"/>
      <c r="F5972" s="3290"/>
      <c r="G5972" s="4723">
        <v>3038</v>
      </c>
      <c r="H5972" s="3291" t="s">
        <v>687</v>
      </c>
      <c r="I5972" s="3292" t="s">
        <v>688</v>
      </c>
    </row>
    <row r="5973" spans="2:9">
      <c r="B5973" s="4724"/>
      <c r="C5973" s="4678" t="s">
        <v>686</v>
      </c>
      <c r="D5973" s="4725"/>
      <c r="E5973" s="4725"/>
      <c r="F5973" s="4726"/>
      <c r="G5973" s="4724"/>
      <c r="H5973" s="3293"/>
      <c r="I5973" s="3294"/>
    </row>
    <row r="5974" spans="2:9" ht="13.5" thickBot="1">
      <c r="B5974" s="4724"/>
      <c r="C5974" s="3215">
        <v>2013</v>
      </c>
      <c r="D5974" s="3215">
        <v>2014</v>
      </c>
      <c r="E5974" s="3215">
        <v>2015</v>
      </c>
      <c r="F5974" s="3215">
        <v>2016</v>
      </c>
      <c r="G5974" s="4724"/>
      <c r="H5974" s="3295" t="s">
        <v>390</v>
      </c>
      <c r="I5974" s="3296" t="s">
        <v>390</v>
      </c>
    </row>
    <row r="5975" spans="2:9">
      <c r="B5975" s="3217" t="s">
        <v>695</v>
      </c>
      <c r="C5975" s="3218"/>
      <c r="D5975" s="3219"/>
      <c r="E5975" s="3219"/>
      <c r="F5975" s="3219"/>
      <c r="G5975" s="3217" t="s">
        <v>695</v>
      </c>
      <c r="H5975" s="3297"/>
      <c r="I5975" s="3298"/>
    </row>
    <row r="5976" spans="2:9">
      <c r="B5976" s="3299" t="s">
        <v>64</v>
      </c>
      <c r="C5976" s="3063"/>
      <c r="D5976" s="3064"/>
      <c r="E5976" s="3064"/>
      <c r="F5976" s="3064"/>
      <c r="G5976" s="3300" t="s">
        <v>64</v>
      </c>
      <c r="H5976" s="3063"/>
      <c r="I5976" s="3030"/>
    </row>
    <row r="5977" spans="2:9" ht="25.5">
      <c r="B5977" s="3192" t="s">
        <v>675</v>
      </c>
      <c r="C5977" s="3063"/>
      <c r="D5977" s="3064"/>
      <c r="E5977" s="3064"/>
      <c r="F5977" s="3064"/>
      <c r="G5977" s="3301" t="s">
        <v>675</v>
      </c>
      <c r="H5977" s="3063"/>
      <c r="I5977" s="3030"/>
    </row>
    <row r="5978" spans="2:9" ht="25.5">
      <c r="B5978" s="3192" t="s">
        <v>676</v>
      </c>
      <c r="C5978" s="3063"/>
      <c r="D5978" s="3064"/>
      <c r="E5978" s="3064"/>
      <c r="F5978" s="3064"/>
      <c r="G5978" s="3301" t="s">
        <v>676</v>
      </c>
      <c r="H5978" s="3063"/>
      <c r="I5978" s="3030"/>
    </row>
    <row r="5979" spans="2:9">
      <c r="B5979" s="3192" t="s">
        <v>677</v>
      </c>
      <c r="C5979" s="3063"/>
      <c r="D5979" s="3064"/>
      <c r="E5979" s="3064"/>
      <c r="F5979" s="3064"/>
      <c r="G5979" s="3301" t="s">
        <v>677</v>
      </c>
      <c r="H5979" s="3063"/>
      <c r="I5979" s="3030"/>
    </row>
    <row r="5980" spans="2:9">
      <c r="B5980" s="3192" t="s">
        <v>678</v>
      </c>
      <c r="C5980" s="3063"/>
      <c r="D5980" s="3064"/>
      <c r="E5980" s="3064"/>
      <c r="F5980" s="3064"/>
      <c r="G5980" s="3301" t="s">
        <v>678</v>
      </c>
      <c r="H5980" s="3063"/>
      <c r="I5980" s="3030"/>
    </row>
    <row r="5981" spans="2:9">
      <c r="B5981" s="3192" t="s">
        <v>679</v>
      </c>
      <c r="C5981" s="3063"/>
      <c r="D5981" s="3064"/>
      <c r="E5981" s="3064"/>
      <c r="F5981" s="3064"/>
      <c r="G5981" s="3301" t="s">
        <v>679</v>
      </c>
      <c r="H5981" s="3063"/>
      <c r="I5981" s="3030"/>
    </row>
    <row r="5982" spans="2:9" ht="25.5">
      <c r="B5982" s="3192" t="s">
        <v>720</v>
      </c>
      <c r="C5982" s="3063"/>
      <c r="D5982" s="3064"/>
      <c r="E5982" s="3064"/>
      <c r="F5982" s="3064"/>
      <c r="G5982" s="3301" t="s">
        <v>720</v>
      </c>
      <c r="H5982" s="3063"/>
      <c r="I5982" s="3030"/>
    </row>
    <row r="5983" spans="2:9">
      <c r="B5983" s="3299" t="s">
        <v>65</v>
      </c>
      <c r="C5983" s="3063"/>
      <c r="D5983" s="3064"/>
      <c r="E5983" s="3064"/>
      <c r="F5983" s="3064"/>
      <c r="G5983" s="3300" t="s">
        <v>65</v>
      </c>
      <c r="H5983" s="3063"/>
      <c r="I5983" s="3030"/>
    </row>
    <row r="5984" spans="2:9" ht="25.5">
      <c r="B5984" s="3192" t="s">
        <v>675</v>
      </c>
      <c r="C5984" s="3063"/>
      <c r="D5984" s="3064"/>
      <c r="E5984" s="3064"/>
      <c r="F5984" s="3064"/>
      <c r="G5984" s="3301" t="s">
        <v>675</v>
      </c>
      <c r="H5984" s="3063"/>
      <c r="I5984" s="3030"/>
    </row>
    <row r="5985" spans="2:9" ht="25.5">
      <c r="B5985" s="3192" t="s">
        <v>676</v>
      </c>
      <c r="C5985" s="3063"/>
      <c r="D5985" s="3064"/>
      <c r="E5985" s="3064"/>
      <c r="F5985" s="3064"/>
      <c r="G5985" s="3301" t="s">
        <v>676</v>
      </c>
      <c r="H5985" s="3063"/>
      <c r="I5985" s="3030"/>
    </row>
    <row r="5986" spans="2:9">
      <c r="B5986" s="3192" t="s">
        <v>677</v>
      </c>
      <c r="C5986" s="3063"/>
      <c r="D5986" s="3064"/>
      <c r="E5986" s="3064"/>
      <c r="F5986" s="3064"/>
      <c r="G5986" s="3301" t="s">
        <v>677</v>
      </c>
      <c r="H5986" s="3063"/>
      <c r="I5986" s="3030"/>
    </row>
    <row r="5987" spans="2:9">
      <c r="B5987" s="3192" t="s">
        <v>678</v>
      </c>
      <c r="C5987" s="3063"/>
      <c r="D5987" s="3064"/>
      <c r="E5987" s="3064"/>
      <c r="F5987" s="3064"/>
      <c r="G5987" s="3301" t="s">
        <v>678</v>
      </c>
      <c r="H5987" s="3063"/>
      <c r="I5987" s="3030"/>
    </row>
    <row r="5988" spans="2:9">
      <c r="B5988" s="3192" t="s">
        <v>679</v>
      </c>
      <c r="C5988" s="3063"/>
      <c r="D5988" s="3064"/>
      <c r="E5988" s="3064"/>
      <c r="F5988" s="3064"/>
      <c r="G5988" s="3301" t="s">
        <v>679</v>
      </c>
      <c r="H5988" s="3063"/>
      <c r="I5988" s="3030"/>
    </row>
    <row r="5989" spans="2:9" ht="25.5">
      <c r="B5989" s="3192" t="s">
        <v>720</v>
      </c>
      <c r="C5989" s="3063"/>
      <c r="D5989" s="3064"/>
      <c r="E5989" s="3064"/>
      <c r="F5989" s="3064"/>
      <c r="G5989" s="3301" t="s">
        <v>720</v>
      </c>
      <c r="H5989" s="3063"/>
      <c r="I5989" s="3030"/>
    </row>
    <row r="5990" spans="2:9">
      <c r="B5990" s="3299" t="s">
        <v>82</v>
      </c>
      <c r="C5990" s="3063"/>
      <c r="D5990" s="3064"/>
      <c r="E5990" s="3064"/>
      <c r="F5990" s="3064"/>
      <c r="G5990" s="3300" t="s">
        <v>82</v>
      </c>
      <c r="H5990" s="3063"/>
      <c r="I5990" s="3030"/>
    </row>
    <row r="5991" spans="2:9" ht="25.5">
      <c r="B5991" s="3192" t="s">
        <v>675</v>
      </c>
      <c r="C5991" s="3063"/>
      <c r="D5991" s="3064"/>
      <c r="E5991" s="3064"/>
      <c r="F5991" s="3064"/>
      <c r="G5991" s="3301" t="s">
        <v>675</v>
      </c>
      <c r="H5991" s="3063"/>
      <c r="I5991" s="3030"/>
    </row>
    <row r="5992" spans="2:9" ht="25.5">
      <c r="B5992" s="3192" t="s">
        <v>676</v>
      </c>
      <c r="C5992" s="3063"/>
      <c r="D5992" s="3064"/>
      <c r="E5992" s="3064"/>
      <c r="F5992" s="3064"/>
      <c r="G5992" s="3301" t="s">
        <v>676</v>
      </c>
      <c r="H5992" s="3063"/>
      <c r="I5992" s="3030"/>
    </row>
    <row r="5993" spans="2:9">
      <c r="B5993" s="3192" t="s">
        <v>677</v>
      </c>
      <c r="C5993" s="3063"/>
      <c r="D5993" s="3064"/>
      <c r="E5993" s="3064"/>
      <c r="F5993" s="3064"/>
      <c r="G5993" s="3301" t="s">
        <v>677</v>
      </c>
      <c r="H5993" s="3063"/>
      <c r="I5993" s="3030"/>
    </row>
    <row r="5994" spans="2:9">
      <c r="B5994" s="3192" t="s">
        <v>678</v>
      </c>
      <c r="C5994" s="3063"/>
      <c r="D5994" s="3064"/>
      <c r="E5994" s="3064"/>
      <c r="F5994" s="3064"/>
      <c r="G5994" s="3301" t="s">
        <v>678</v>
      </c>
      <c r="H5994" s="3063"/>
      <c r="I5994" s="3030"/>
    </row>
    <row r="5995" spans="2:9">
      <c r="B5995" s="3192" t="s">
        <v>679</v>
      </c>
      <c r="C5995" s="3063"/>
      <c r="D5995" s="3064"/>
      <c r="E5995" s="3064"/>
      <c r="F5995" s="3064"/>
      <c r="G5995" s="3301" t="s">
        <v>679</v>
      </c>
      <c r="H5995" s="3063"/>
      <c r="I5995" s="3030"/>
    </row>
    <row r="5996" spans="2:9" ht="25.5">
      <c r="B5996" s="3192" t="s">
        <v>720</v>
      </c>
      <c r="C5996" s="3063"/>
      <c r="D5996" s="3064"/>
      <c r="E5996" s="3064"/>
      <c r="F5996" s="3064"/>
      <c r="G5996" s="3301" t="s">
        <v>720</v>
      </c>
      <c r="H5996" s="3063"/>
      <c r="I5996" s="3030"/>
    </row>
    <row r="5997" spans="2:9" ht="38.25">
      <c r="B5997" s="3299" t="s">
        <v>680</v>
      </c>
      <c r="C5997" s="3063"/>
      <c r="D5997" s="3064"/>
      <c r="E5997" s="3064"/>
      <c r="F5997" s="3064"/>
      <c r="G5997" s="3300" t="s">
        <v>680</v>
      </c>
      <c r="H5997" s="3063"/>
      <c r="I5997" s="3030"/>
    </row>
    <row r="5998" spans="2:9" ht="25.5">
      <c r="B5998" s="3192" t="s">
        <v>675</v>
      </c>
      <c r="C5998" s="3063"/>
      <c r="D5998" s="3064"/>
      <c r="E5998" s="3064"/>
      <c r="F5998" s="3064"/>
      <c r="G5998" s="3301" t="s">
        <v>675</v>
      </c>
      <c r="H5998" s="3063"/>
      <c r="I5998" s="3030"/>
    </row>
    <row r="5999" spans="2:9" ht="25.5">
      <c r="B5999" s="3192" t="s">
        <v>676</v>
      </c>
      <c r="C5999" s="3063"/>
      <c r="D5999" s="3064"/>
      <c r="E5999" s="3064"/>
      <c r="F5999" s="3064"/>
      <c r="G5999" s="3301" t="s">
        <v>676</v>
      </c>
      <c r="H5999" s="3063"/>
      <c r="I5999" s="3030"/>
    </row>
    <row r="6000" spans="2:9">
      <c r="B6000" s="3192" t="s">
        <v>677</v>
      </c>
      <c r="C6000" s="3063"/>
      <c r="D6000" s="3064"/>
      <c r="E6000" s="3064"/>
      <c r="F6000" s="3064"/>
      <c r="G6000" s="3301" t="s">
        <v>677</v>
      </c>
      <c r="H6000" s="3063"/>
      <c r="I6000" s="3030"/>
    </row>
    <row r="6001" spans="2:9">
      <c r="B6001" s="3192" t="s">
        <v>678</v>
      </c>
      <c r="C6001" s="3063"/>
      <c r="D6001" s="3064"/>
      <c r="E6001" s="3064"/>
      <c r="F6001" s="3064"/>
      <c r="G6001" s="3301" t="s">
        <v>678</v>
      </c>
      <c r="H6001" s="3063"/>
      <c r="I6001" s="3030"/>
    </row>
    <row r="6002" spans="2:9">
      <c r="B6002" s="3192" t="s">
        <v>679</v>
      </c>
      <c r="C6002" s="3063"/>
      <c r="D6002" s="3064"/>
      <c r="E6002" s="3064"/>
      <c r="F6002" s="3064"/>
      <c r="G6002" s="3301" t="s">
        <v>679</v>
      </c>
      <c r="H6002" s="3063"/>
      <c r="I6002" s="3030"/>
    </row>
    <row r="6003" spans="2:9" ht="25.5">
      <c r="B6003" s="3192" t="s">
        <v>720</v>
      </c>
      <c r="C6003" s="3063"/>
      <c r="D6003" s="3064"/>
      <c r="E6003" s="3064"/>
      <c r="F6003" s="3064"/>
      <c r="G6003" s="3301" t="s">
        <v>720</v>
      </c>
      <c r="H6003" s="3063"/>
      <c r="I6003" s="3030"/>
    </row>
    <row r="6004" spans="2:9" ht="38.25">
      <c r="B6004" s="3299" t="s">
        <v>681</v>
      </c>
      <c r="C6004" s="3063"/>
      <c r="D6004" s="3064"/>
      <c r="E6004" s="3064"/>
      <c r="F6004" s="3064"/>
      <c r="G6004" s="3300" t="s">
        <v>681</v>
      </c>
      <c r="H6004" s="3063"/>
      <c r="I6004" s="3030"/>
    </row>
    <row r="6005" spans="2:9" ht="25.5">
      <c r="B6005" s="3192" t="s">
        <v>675</v>
      </c>
      <c r="C6005" s="3063"/>
      <c r="D6005" s="3064"/>
      <c r="E6005" s="3064"/>
      <c r="F6005" s="3064"/>
      <c r="G6005" s="3301" t="s">
        <v>675</v>
      </c>
      <c r="H6005" s="3063"/>
      <c r="I6005" s="3030"/>
    </row>
    <row r="6006" spans="2:9" ht="25.5">
      <c r="B6006" s="3192" t="s">
        <v>676</v>
      </c>
      <c r="C6006" s="3063"/>
      <c r="D6006" s="3064"/>
      <c r="E6006" s="3064"/>
      <c r="F6006" s="3064"/>
      <c r="G6006" s="3301" t="s">
        <v>676</v>
      </c>
      <c r="H6006" s="3063"/>
      <c r="I6006" s="3030"/>
    </row>
    <row r="6007" spans="2:9">
      <c r="B6007" s="3192" t="s">
        <v>677</v>
      </c>
      <c r="C6007" s="3063"/>
      <c r="D6007" s="3064"/>
      <c r="E6007" s="3064"/>
      <c r="F6007" s="3064"/>
      <c r="G6007" s="3301" t="s">
        <v>677</v>
      </c>
      <c r="H6007" s="3063"/>
      <c r="I6007" s="3030"/>
    </row>
    <row r="6008" spans="2:9">
      <c r="B6008" s="3192" t="s">
        <v>678</v>
      </c>
      <c r="C6008" s="3063"/>
      <c r="D6008" s="3064"/>
      <c r="E6008" s="3064"/>
      <c r="F6008" s="3064"/>
      <c r="G6008" s="3301" t="s">
        <v>678</v>
      </c>
      <c r="H6008" s="3063"/>
      <c r="I6008" s="3030"/>
    </row>
    <row r="6009" spans="2:9">
      <c r="B6009" s="3192" t="s">
        <v>679</v>
      </c>
      <c r="C6009" s="3063"/>
      <c r="D6009" s="3064"/>
      <c r="E6009" s="3064"/>
      <c r="F6009" s="3064"/>
      <c r="G6009" s="3301" t="s">
        <v>679</v>
      </c>
      <c r="H6009" s="3063"/>
      <c r="I6009" s="3030"/>
    </row>
    <row r="6010" spans="2:9" ht="25.5">
      <c r="B6010" s="3192" t="s">
        <v>720</v>
      </c>
      <c r="C6010" s="3063"/>
      <c r="D6010" s="3064"/>
      <c r="E6010" s="3064"/>
      <c r="F6010" s="3064"/>
      <c r="G6010" s="3301" t="s">
        <v>720</v>
      </c>
      <c r="H6010" s="3063"/>
      <c r="I6010" s="3030"/>
    </row>
    <row r="6011" spans="2:9" ht="25.5">
      <c r="B6011" s="3299" t="s">
        <v>682</v>
      </c>
      <c r="C6011" s="3063"/>
      <c r="D6011" s="3064"/>
      <c r="E6011" s="3064"/>
      <c r="F6011" s="3064"/>
      <c r="G6011" s="3300" t="s">
        <v>682</v>
      </c>
      <c r="H6011" s="3063"/>
      <c r="I6011" s="3030"/>
    </row>
    <row r="6012" spans="2:9" ht="25.5">
      <c r="B6012" s="3192" t="s">
        <v>675</v>
      </c>
      <c r="C6012" s="3063"/>
      <c r="D6012" s="3064"/>
      <c r="E6012" s="3064"/>
      <c r="F6012" s="3064"/>
      <c r="G6012" s="3301" t="s">
        <v>675</v>
      </c>
      <c r="H6012" s="3063"/>
      <c r="I6012" s="3030"/>
    </row>
    <row r="6013" spans="2:9" ht="25.5">
      <c r="B6013" s="3192" t="s">
        <v>676</v>
      </c>
      <c r="C6013" s="3063"/>
      <c r="D6013" s="3064"/>
      <c r="E6013" s="3064"/>
      <c r="F6013" s="3064"/>
      <c r="G6013" s="3301" t="s">
        <v>676</v>
      </c>
      <c r="H6013" s="3063"/>
      <c r="I6013" s="3030"/>
    </row>
    <row r="6014" spans="2:9">
      <c r="B6014" s="3192" t="s">
        <v>677</v>
      </c>
      <c r="C6014" s="3063"/>
      <c r="D6014" s="3064"/>
      <c r="E6014" s="3064"/>
      <c r="F6014" s="3064"/>
      <c r="G6014" s="3301" t="s">
        <v>677</v>
      </c>
      <c r="H6014" s="3063"/>
      <c r="I6014" s="3030"/>
    </row>
    <row r="6015" spans="2:9">
      <c r="B6015" s="3192" t="s">
        <v>678</v>
      </c>
      <c r="C6015" s="3063"/>
      <c r="D6015" s="3064"/>
      <c r="E6015" s="3064"/>
      <c r="F6015" s="3064"/>
      <c r="G6015" s="3301" t="s">
        <v>678</v>
      </c>
      <c r="H6015" s="3063"/>
      <c r="I6015" s="3030"/>
    </row>
    <row r="6016" spans="2:9">
      <c r="B6016" s="3192" t="s">
        <v>679</v>
      </c>
      <c r="C6016" s="3063"/>
      <c r="D6016" s="3064"/>
      <c r="E6016" s="3064"/>
      <c r="F6016" s="3064"/>
      <c r="G6016" s="3301" t="s">
        <v>679</v>
      </c>
      <c r="H6016" s="3063"/>
      <c r="I6016" s="3030"/>
    </row>
    <row r="6017" spans="2:9" ht="25.5">
      <c r="B6017" s="3192" t="s">
        <v>720</v>
      </c>
      <c r="C6017" s="3063"/>
      <c r="D6017" s="3064"/>
      <c r="E6017" s="3064"/>
      <c r="F6017" s="3064"/>
      <c r="G6017" s="3301" t="s">
        <v>720</v>
      </c>
      <c r="H6017" s="3063"/>
      <c r="I6017" s="3030"/>
    </row>
    <row r="6018" spans="2:9" ht="25.5">
      <c r="B6018" s="3299" t="s">
        <v>66</v>
      </c>
      <c r="C6018" s="3063"/>
      <c r="D6018" s="3064"/>
      <c r="E6018" s="3064"/>
      <c r="F6018" s="3064"/>
      <c r="G6018" s="3300" t="s">
        <v>66</v>
      </c>
      <c r="H6018" s="3063"/>
      <c r="I6018" s="3030"/>
    </row>
    <row r="6019" spans="2:9" ht="25.5">
      <c r="B6019" s="3192" t="s">
        <v>675</v>
      </c>
      <c r="C6019" s="3063"/>
      <c r="D6019" s="3064"/>
      <c r="E6019" s="3064"/>
      <c r="F6019" s="3064"/>
      <c r="G6019" s="3301" t="s">
        <v>675</v>
      </c>
      <c r="H6019" s="3063"/>
      <c r="I6019" s="3030"/>
    </row>
    <row r="6020" spans="2:9" ht="25.5">
      <c r="B6020" s="3192" t="s">
        <v>676</v>
      </c>
      <c r="C6020" s="3063"/>
      <c r="D6020" s="3064"/>
      <c r="E6020" s="3064"/>
      <c r="F6020" s="3064"/>
      <c r="G6020" s="3301" t="s">
        <v>676</v>
      </c>
      <c r="H6020" s="3063"/>
      <c r="I6020" s="3030"/>
    </row>
    <row r="6021" spans="2:9">
      <c r="B6021" s="3192" t="s">
        <v>677</v>
      </c>
      <c r="C6021" s="3063"/>
      <c r="D6021" s="3064"/>
      <c r="E6021" s="3064"/>
      <c r="F6021" s="3064"/>
      <c r="G6021" s="3301" t="s">
        <v>677</v>
      </c>
      <c r="H6021" s="3063"/>
      <c r="I6021" s="3030"/>
    </row>
    <row r="6022" spans="2:9">
      <c r="B6022" s="3192" t="s">
        <v>678</v>
      </c>
      <c r="C6022" s="3063"/>
      <c r="D6022" s="3064"/>
      <c r="E6022" s="3064"/>
      <c r="F6022" s="3064"/>
      <c r="G6022" s="3301" t="s">
        <v>678</v>
      </c>
      <c r="H6022" s="3063"/>
      <c r="I6022" s="3030"/>
    </row>
    <row r="6023" spans="2:9">
      <c r="B6023" s="3192" t="s">
        <v>679</v>
      </c>
      <c r="C6023" s="3063"/>
      <c r="D6023" s="3064"/>
      <c r="E6023" s="3064"/>
      <c r="F6023" s="3064"/>
      <c r="G6023" s="3301" t="s">
        <v>679</v>
      </c>
      <c r="H6023" s="3063"/>
      <c r="I6023" s="3030"/>
    </row>
    <row r="6024" spans="2:9" ht="25.5">
      <c r="B6024" s="3192" t="s">
        <v>720</v>
      </c>
      <c r="C6024" s="3063"/>
      <c r="D6024" s="3064"/>
      <c r="E6024" s="3064"/>
      <c r="F6024" s="3064"/>
      <c r="G6024" s="3301" t="s">
        <v>720</v>
      </c>
      <c r="H6024" s="3063"/>
      <c r="I6024" s="3030"/>
    </row>
    <row r="6025" spans="2:9">
      <c r="B6025" s="3299" t="s">
        <v>67</v>
      </c>
      <c r="C6025" s="3063"/>
      <c r="D6025" s="3064"/>
      <c r="E6025" s="3064"/>
      <c r="F6025" s="3064"/>
      <c r="G6025" s="3300" t="s">
        <v>67</v>
      </c>
      <c r="H6025" s="3063"/>
      <c r="I6025" s="3030"/>
    </row>
    <row r="6026" spans="2:9" ht="25.5">
      <c r="B6026" s="3192" t="s">
        <v>675</v>
      </c>
      <c r="C6026" s="3063"/>
      <c r="D6026" s="3064"/>
      <c r="E6026" s="3064"/>
      <c r="F6026" s="3064"/>
      <c r="G6026" s="3301" t="s">
        <v>675</v>
      </c>
      <c r="H6026" s="3063"/>
      <c r="I6026" s="3030"/>
    </row>
    <row r="6027" spans="2:9" ht="25.5">
      <c r="B6027" s="3192" t="s">
        <v>676</v>
      </c>
      <c r="C6027" s="3063"/>
      <c r="D6027" s="3064"/>
      <c r="E6027" s="3064"/>
      <c r="F6027" s="3064"/>
      <c r="G6027" s="3301" t="s">
        <v>676</v>
      </c>
      <c r="H6027" s="3063"/>
      <c r="I6027" s="3030"/>
    </row>
    <row r="6028" spans="2:9">
      <c r="B6028" s="3192" t="s">
        <v>677</v>
      </c>
      <c r="C6028" s="3063"/>
      <c r="D6028" s="3064"/>
      <c r="E6028" s="3064"/>
      <c r="F6028" s="3064"/>
      <c r="G6028" s="3301" t="s">
        <v>677</v>
      </c>
      <c r="H6028" s="3063"/>
      <c r="I6028" s="3030"/>
    </row>
    <row r="6029" spans="2:9">
      <c r="B6029" s="3192" t="s">
        <v>678</v>
      </c>
      <c r="C6029" s="3063"/>
      <c r="D6029" s="3064"/>
      <c r="E6029" s="3064"/>
      <c r="F6029" s="3064"/>
      <c r="G6029" s="3301" t="s">
        <v>678</v>
      </c>
      <c r="H6029" s="3063"/>
      <c r="I6029" s="3030"/>
    </row>
    <row r="6030" spans="2:9">
      <c r="B6030" s="3192" t="s">
        <v>679</v>
      </c>
      <c r="C6030" s="3063"/>
      <c r="D6030" s="3064"/>
      <c r="E6030" s="3064"/>
      <c r="F6030" s="3064"/>
      <c r="G6030" s="3301" t="s">
        <v>679</v>
      </c>
      <c r="H6030" s="3063"/>
      <c r="I6030" s="3030"/>
    </row>
    <row r="6031" spans="2:9" ht="25.5">
      <c r="B6031" s="3192" t="s">
        <v>720</v>
      </c>
      <c r="C6031" s="3063"/>
      <c r="D6031" s="3064"/>
      <c r="E6031" s="3064"/>
      <c r="F6031" s="3064"/>
      <c r="G6031" s="3301" t="s">
        <v>720</v>
      </c>
      <c r="H6031" s="3063"/>
      <c r="I6031" s="3030"/>
    </row>
    <row r="6032" spans="2:9" ht="25.5">
      <c r="B6032" s="3230" t="s">
        <v>81</v>
      </c>
      <c r="C6032" s="3063"/>
      <c r="D6032" s="3064"/>
      <c r="E6032" s="3064"/>
      <c r="F6032" s="3064"/>
      <c r="G6032" s="3302" t="s">
        <v>81</v>
      </c>
      <c r="H6032" s="3063"/>
      <c r="I6032" s="3030"/>
    </row>
    <row r="6033" spans="2:9" ht="26.25" thickBot="1">
      <c r="B6033" s="3303" t="s">
        <v>81</v>
      </c>
      <c r="C6033" s="3063"/>
      <c r="D6033" s="3064"/>
      <c r="E6033" s="3064"/>
      <c r="F6033" s="3064"/>
      <c r="G6033" s="3302" t="s">
        <v>81</v>
      </c>
      <c r="H6033" s="3063"/>
      <c r="I6033" s="3030"/>
    </row>
    <row r="6034" spans="2:9" ht="25.5">
      <c r="B6034" s="3217" t="s">
        <v>696</v>
      </c>
      <c r="C6034" s="3218"/>
      <c r="D6034" s="3219"/>
      <c r="E6034" s="3219"/>
      <c r="F6034" s="3219"/>
      <c r="G6034" s="3217" t="s">
        <v>696</v>
      </c>
      <c r="H6034" s="3297"/>
      <c r="I6034" s="3298"/>
    </row>
    <row r="6035" spans="2:9">
      <c r="B6035" s="3299" t="s">
        <v>64</v>
      </c>
      <c r="C6035" s="3063"/>
      <c r="D6035" s="3064"/>
      <c r="E6035" s="3064"/>
      <c r="F6035" s="3064"/>
      <c r="G6035" s="3300" t="s">
        <v>64</v>
      </c>
      <c r="H6035" s="3063"/>
      <c r="I6035" s="3030"/>
    </row>
    <row r="6036" spans="2:9" ht="25.5">
      <c r="B6036" s="3192" t="s">
        <v>675</v>
      </c>
      <c r="C6036" s="3063"/>
      <c r="D6036" s="3064"/>
      <c r="E6036" s="3064"/>
      <c r="F6036" s="3064"/>
      <c r="G6036" s="3301" t="s">
        <v>675</v>
      </c>
      <c r="H6036" s="3063"/>
      <c r="I6036" s="3030"/>
    </row>
    <row r="6037" spans="2:9" ht="25.5">
      <c r="B6037" s="3192" t="s">
        <v>676</v>
      </c>
      <c r="C6037" s="3063"/>
      <c r="D6037" s="3064"/>
      <c r="E6037" s="3064"/>
      <c r="F6037" s="3064"/>
      <c r="G6037" s="3301" t="s">
        <v>676</v>
      </c>
      <c r="H6037" s="3063"/>
      <c r="I6037" s="3030"/>
    </row>
    <row r="6038" spans="2:9">
      <c r="B6038" s="3192" t="s">
        <v>677</v>
      </c>
      <c r="C6038" s="3063"/>
      <c r="D6038" s="3064"/>
      <c r="E6038" s="3064"/>
      <c r="F6038" s="3064"/>
      <c r="G6038" s="3301" t="s">
        <v>677</v>
      </c>
      <c r="H6038" s="3063"/>
      <c r="I6038" s="3030"/>
    </row>
    <row r="6039" spans="2:9">
      <c r="B6039" s="3192" t="s">
        <v>678</v>
      </c>
      <c r="C6039" s="3063"/>
      <c r="D6039" s="3064"/>
      <c r="E6039" s="3064"/>
      <c r="F6039" s="3064"/>
      <c r="G6039" s="3301" t="s">
        <v>678</v>
      </c>
      <c r="H6039" s="3063"/>
      <c r="I6039" s="3030"/>
    </row>
    <row r="6040" spans="2:9">
      <c r="B6040" s="3192" t="s">
        <v>679</v>
      </c>
      <c r="C6040" s="3063"/>
      <c r="D6040" s="3064"/>
      <c r="E6040" s="3064"/>
      <c r="F6040" s="3064"/>
      <c r="G6040" s="3301" t="s">
        <v>679</v>
      </c>
      <c r="H6040" s="3063"/>
      <c r="I6040" s="3030"/>
    </row>
    <row r="6041" spans="2:9" ht="25.5">
      <c r="B6041" s="3192" t="s">
        <v>720</v>
      </c>
      <c r="C6041" s="3063"/>
      <c r="D6041" s="3064"/>
      <c r="E6041" s="3064"/>
      <c r="F6041" s="3064"/>
      <c r="G6041" s="3301" t="s">
        <v>720</v>
      </c>
      <c r="H6041" s="3063"/>
      <c r="I6041" s="3030"/>
    </row>
    <row r="6042" spans="2:9">
      <c r="B6042" s="3299" t="s">
        <v>65</v>
      </c>
      <c r="C6042" s="3063"/>
      <c r="D6042" s="3064"/>
      <c r="E6042" s="3064"/>
      <c r="F6042" s="3064"/>
      <c r="G6042" s="3300" t="s">
        <v>65</v>
      </c>
      <c r="H6042" s="3063"/>
      <c r="I6042" s="3030"/>
    </row>
    <row r="6043" spans="2:9" ht="25.5">
      <c r="B6043" s="3192" t="s">
        <v>675</v>
      </c>
      <c r="C6043" s="3063"/>
      <c r="D6043" s="3064"/>
      <c r="E6043" s="3064"/>
      <c r="F6043" s="3064"/>
      <c r="G6043" s="3301" t="s">
        <v>675</v>
      </c>
      <c r="H6043" s="3063"/>
      <c r="I6043" s="3030"/>
    </row>
    <row r="6044" spans="2:9" ht="25.5">
      <c r="B6044" s="3192" t="s">
        <v>676</v>
      </c>
      <c r="C6044" s="3063"/>
      <c r="D6044" s="3064"/>
      <c r="E6044" s="3064"/>
      <c r="F6044" s="3064"/>
      <c r="G6044" s="3301" t="s">
        <v>676</v>
      </c>
      <c r="H6044" s="3063"/>
      <c r="I6044" s="3030"/>
    </row>
    <row r="6045" spans="2:9">
      <c r="B6045" s="3192" t="s">
        <v>677</v>
      </c>
      <c r="C6045" s="3063"/>
      <c r="D6045" s="3064"/>
      <c r="E6045" s="3064"/>
      <c r="F6045" s="3064"/>
      <c r="G6045" s="3301" t="s">
        <v>677</v>
      </c>
      <c r="H6045" s="3063"/>
      <c r="I6045" s="3030"/>
    </row>
    <row r="6046" spans="2:9">
      <c r="B6046" s="3192" t="s">
        <v>678</v>
      </c>
      <c r="C6046" s="3063"/>
      <c r="D6046" s="3064"/>
      <c r="E6046" s="3064"/>
      <c r="F6046" s="3064"/>
      <c r="G6046" s="3301" t="s">
        <v>678</v>
      </c>
      <c r="H6046" s="3063"/>
      <c r="I6046" s="3030"/>
    </row>
    <row r="6047" spans="2:9">
      <c r="B6047" s="3192" t="s">
        <v>679</v>
      </c>
      <c r="C6047" s="3063"/>
      <c r="D6047" s="3064"/>
      <c r="E6047" s="3064"/>
      <c r="F6047" s="3064"/>
      <c r="G6047" s="3301" t="s">
        <v>679</v>
      </c>
      <c r="H6047" s="3063"/>
      <c r="I6047" s="3030"/>
    </row>
    <row r="6048" spans="2:9" ht="25.5">
      <c r="B6048" s="3192" t="s">
        <v>720</v>
      </c>
      <c r="C6048" s="3063"/>
      <c r="D6048" s="3064"/>
      <c r="E6048" s="3064"/>
      <c r="F6048" s="3064"/>
      <c r="G6048" s="3301" t="s">
        <v>720</v>
      </c>
      <c r="H6048" s="3063"/>
      <c r="I6048" s="3030"/>
    </row>
    <row r="6049" spans="2:9">
      <c r="B6049" s="3299" t="s">
        <v>82</v>
      </c>
      <c r="C6049" s="3063"/>
      <c r="D6049" s="3064"/>
      <c r="E6049" s="3064"/>
      <c r="F6049" s="3064"/>
      <c r="G6049" s="3300" t="s">
        <v>82</v>
      </c>
      <c r="H6049" s="3063"/>
      <c r="I6049" s="3030"/>
    </row>
    <row r="6050" spans="2:9" ht="25.5">
      <c r="B6050" s="3192" t="s">
        <v>675</v>
      </c>
      <c r="C6050" s="3063"/>
      <c r="D6050" s="3064"/>
      <c r="E6050" s="3064"/>
      <c r="F6050" s="3064"/>
      <c r="G6050" s="3301" t="s">
        <v>675</v>
      </c>
      <c r="H6050" s="3063"/>
      <c r="I6050" s="3030"/>
    </row>
    <row r="6051" spans="2:9" ht="25.5">
      <c r="B6051" s="3192" t="s">
        <v>676</v>
      </c>
      <c r="C6051" s="3063"/>
      <c r="D6051" s="3064"/>
      <c r="E6051" s="3064"/>
      <c r="F6051" s="3064"/>
      <c r="G6051" s="3301" t="s">
        <v>676</v>
      </c>
      <c r="H6051" s="3063"/>
      <c r="I6051" s="3030"/>
    </row>
    <row r="6052" spans="2:9">
      <c r="B6052" s="3192" t="s">
        <v>677</v>
      </c>
      <c r="C6052" s="3063"/>
      <c r="D6052" s="3064"/>
      <c r="E6052" s="3064"/>
      <c r="F6052" s="3064"/>
      <c r="G6052" s="3301" t="s">
        <v>677</v>
      </c>
      <c r="H6052" s="3063"/>
      <c r="I6052" s="3030"/>
    </row>
    <row r="6053" spans="2:9">
      <c r="B6053" s="3192" t="s">
        <v>678</v>
      </c>
      <c r="C6053" s="3063"/>
      <c r="D6053" s="3064"/>
      <c r="E6053" s="3064"/>
      <c r="F6053" s="3064"/>
      <c r="G6053" s="3301" t="s">
        <v>678</v>
      </c>
      <c r="H6053" s="3063"/>
      <c r="I6053" s="3030"/>
    </row>
    <row r="6054" spans="2:9">
      <c r="B6054" s="3192" t="s">
        <v>679</v>
      </c>
      <c r="C6054" s="3063"/>
      <c r="D6054" s="3064"/>
      <c r="E6054" s="3064"/>
      <c r="F6054" s="3064"/>
      <c r="G6054" s="3301" t="s">
        <v>679</v>
      </c>
      <c r="H6054" s="3063"/>
      <c r="I6054" s="3030"/>
    </row>
    <row r="6055" spans="2:9" ht="25.5">
      <c r="B6055" s="3192" t="s">
        <v>720</v>
      </c>
      <c r="C6055" s="3063"/>
      <c r="D6055" s="3064"/>
      <c r="E6055" s="3064"/>
      <c r="F6055" s="3064"/>
      <c r="G6055" s="3301" t="s">
        <v>720</v>
      </c>
      <c r="H6055" s="3063"/>
      <c r="I6055" s="3030"/>
    </row>
    <row r="6056" spans="2:9" ht="38.25">
      <c r="B6056" s="3299" t="s">
        <v>680</v>
      </c>
      <c r="C6056" s="3063"/>
      <c r="D6056" s="3064"/>
      <c r="E6056" s="3064"/>
      <c r="F6056" s="3064"/>
      <c r="G6056" s="3300" t="s">
        <v>680</v>
      </c>
      <c r="H6056" s="3063"/>
      <c r="I6056" s="3030"/>
    </row>
    <row r="6057" spans="2:9" ht="25.5">
      <c r="B6057" s="3192" t="s">
        <v>675</v>
      </c>
      <c r="C6057" s="3063"/>
      <c r="D6057" s="3064"/>
      <c r="E6057" s="3064"/>
      <c r="F6057" s="3064"/>
      <c r="G6057" s="3301" t="s">
        <v>675</v>
      </c>
      <c r="H6057" s="3063"/>
      <c r="I6057" s="3030"/>
    </row>
    <row r="6058" spans="2:9" ht="25.5">
      <c r="B6058" s="3192" t="s">
        <v>676</v>
      </c>
      <c r="C6058" s="3063"/>
      <c r="D6058" s="3064"/>
      <c r="E6058" s="3064"/>
      <c r="F6058" s="3064"/>
      <c r="G6058" s="3301" t="s">
        <v>676</v>
      </c>
      <c r="H6058" s="3063"/>
      <c r="I6058" s="3030"/>
    </row>
    <row r="6059" spans="2:9">
      <c r="B6059" s="3192" t="s">
        <v>677</v>
      </c>
      <c r="C6059" s="3063"/>
      <c r="D6059" s="3064"/>
      <c r="E6059" s="3064"/>
      <c r="F6059" s="3064"/>
      <c r="G6059" s="3301" t="s">
        <v>677</v>
      </c>
      <c r="H6059" s="3063"/>
      <c r="I6059" s="3030"/>
    </row>
    <row r="6060" spans="2:9">
      <c r="B6060" s="3192" t="s">
        <v>678</v>
      </c>
      <c r="C6060" s="3063"/>
      <c r="D6060" s="3064"/>
      <c r="E6060" s="3064"/>
      <c r="F6060" s="3064"/>
      <c r="G6060" s="3301" t="s">
        <v>678</v>
      </c>
      <c r="H6060" s="3063"/>
      <c r="I6060" s="3030"/>
    </row>
    <row r="6061" spans="2:9">
      <c r="B6061" s="3192" t="s">
        <v>679</v>
      </c>
      <c r="C6061" s="3063"/>
      <c r="D6061" s="3064"/>
      <c r="E6061" s="3064"/>
      <c r="F6061" s="3064"/>
      <c r="G6061" s="3301" t="s">
        <v>679</v>
      </c>
      <c r="H6061" s="3063"/>
      <c r="I6061" s="3030"/>
    </row>
    <row r="6062" spans="2:9" ht="25.5">
      <c r="B6062" s="3192" t="s">
        <v>720</v>
      </c>
      <c r="C6062" s="3063"/>
      <c r="D6062" s="3064"/>
      <c r="E6062" s="3064"/>
      <c r="F6062" s="3064"/>
      <c r="G6062" s="3301" t="s">
        <v>720</v>
      </c>
      <c r="H6062" s="3063"/>
      <c r="I6062" s="3030"/>
    </row>
    <row r="6063" spans="2:9" ht="38.25">
      <c r="B6063" s="3299" t="s">
        <v>681</v>
      </c>
      <c r="C6063" s="3063"/>
      <c r="D6063" s="3064"/>
      <c r="E6063" s="3064"/>
      <c r="F6063" s="3064"/>
      <c r="G6063" s="3300" t="s">
        <v>681</v>
      </c>
      <c r="H6063" s="3063"/>
      <c r="I6063" s="3030"/>
    </row>
    <row r="6064" spans="2:9" ht="25.5">
      <c r="B6064" s="3192" t="s">
        <v>675</v>
      </c>
      <c r="C6064" s="3063"/>
      <c r="D6064" s="3064"/>
      <c r="E6064" s="3064"/>
      <c r="F6064" s="3064"/>
      <c r="G6064" s="3301" t="s">
        <v>675</v>
      </c>
      <c r="H6064" s="3063"/>
      <c r="I6064" s="3030"/>
    </row>
    <row r="6065" spans="2:9" ht="25.5">
      <c r="B6065" s="3192" t="s">
        <v>676</v>
      </c>
      <c r="C6065" s="3063"/>
      <c r="D6065" s="3064"/>
      <c r="E6065" s="3064"/>
      <c r="F6065" s="3064"/>
      <c r="G6065" s="3301" t="s">
        <v>676</v>
      </c>
      <c r="H6065" s="3063"/>
      <c r="I6065" s="3030"/>
    </row>
    <row r="6066" spans="2:9">
      <c r="B6066" s="3192" t="s">
        <v>677</v>
      </c>
      <c r="C6066" s="3063"/>
      <c r="D6066" s="3064"/>
      <c r="E6066" s="3064"/>
      <c r="F6066" s="3064"/>
      <c r="G6066" s="3301" t="s">
        <v>677</v>
      </c>
      <c r="H6066" s="3063"/>
      <c r="I6066" s="3030"/>
    </row>
    <row r="6067" spans="2:9">
      <c r="B6067" s="3192" t="s">
        <v>678</v>
      </c>
      <c r="C6067" s="3063"/>
      <c r="D6067" s="3064"/>
      <c r="E6067" s="3064"/>
      <c r="F6067" s="3064"/>
      <c r="G6067" s="3301" t="s">
        <v>678</v>
      </c>
      <c r="H6067" s="3063"/>
      <c r="I6067" s="3030"/>
    </row>
    <row r="6068" spans="2:9">
      <c r="B6068" s="3192" t="s">
        <v>679</v>
      </c>
      <c r="C6068" s="3063"/>
      <c r="D6068" s="3064"/>
      <c r="E6068" s="3064"/>
      <c r="F6068" s="3064"/>
      <c r="G6068" s="3301" t="s">
        <v>679</v>
      </c>
      <c r="H6068" s="3063"/>
      <c r="I6068" s="3030"/>
    </row>
    <row r="6069" spans="2:9" ht="25.5">
      <c r="B6069" s="3192" t="s">
        <v>720</v>
      </c>
      <c r="C6069" s="3063"/>
      <c r="D6069" s="3064"/>
      <c r="E6069" s="3064"/>
      <c r="F6069" s="3064"/>
      <c r="G6069" s="3301" t="s">
        <v>720</v>
      </c>
      <c r="H6069" s="3063"/>
      <c r="I6069" s="3030"/>
    </row>
    <row r="6070" spans="2:9" ht="25.5">
      <c r="B6070" s="3299" t="s">
        <v>682</v>
      </c>
      <c r="C6070" s="3063"/>
      <c r="D6070" s="3064"/>
      <c r="E6070" s="3064"/>
      <c r="F6070" s="3064"/>
      <c r="G6070" s="3300" t="s">
        <v>682</v>
      </c>
      <c r="H6070" s="3063"/>
      <c r="I6070" s="3030"/>
    </row>
    <row r="6071" spans="2:9" ht="25.5">
      <c r="B6071" s="3192" t="s">
        <v>675</v>
      </c>
      <c r="C6071" s="3063"/>
      <c r="D6071" s="3064"/>
      <c r="E6071" s="3064"/>
      <c r="F6071" s="3064"/>
      <c r="G6071" s="3301" t="s">
        <v>675</v>
      </c>
      <c r="H6071" s="3063"/>
      <c r="I6071" s="3030"/>
    </row>
    <row r="6072" spans="2:9" ht="25.5">
      <c r="B6072" s="3192" t="s">
        <v>676</v>
      </c>
      <c r="C6072" s="3063"/>
      <c r="D6072" s="3064"/>
      <c r="E6072" s="3064"/>
      <c r="F6072" s="3064"/>
      <c r="G6072" s="3301" t="s">
        <v>676</v>
      </c>
      <c r="H6072" s="3063"/>
      <c r="I6072" s="3030"/>
    </row>
    <row r="6073" spans="2:9">
      <c r="B6073" s="3192" t="s">
        <v>677</v>
      </c>
      <c r="C6073" s="3063"/>
      <c r="D6073" s="3064"/>
      <c r="E6073" s="3064"/>
      <c r="F6073" s="3064"/>
      <c r="G6073" s="3301" t="s">
        <v>677</v>
      </c>
      <c r="H6073" s="3063"/>
      <c r="I6073" s="3030"/>
    </row>
    <row r="6074" spans="2:9">
      <c r="B6074" s="3192" t="s">
        <v>678</v>
      </c>
      <c r="C6074" s="3063"/>
      <c r="D6074" s="3064"/>
      <c r="E6074" s="3064"/>
      <c r="F6074" s="3064"/>
      <c r="G6074" s="3301" t="s">
        <v>678</v>
      </c>
      <c r="H6074" s="3063"/>
      <c r="I6074" s="3030"/>
    </row>
    <row r="6075" spans="2:9">
      <c r="B6075" s="3192" t="s">
        <v>679</v>
      </c>
      <c r="C6075" s="3063"/>
      <c r="D6075" s="3064"/>
      <c r="E6075" s="3064"/>
      <c r="F6075" s="3064"/>
      <c r="G6075" s="3301" t="s">
        <v>679</v>
      </c>
      <c r="H6075" s="3063"/>
      <c r="I6075" s="3030"/>
    </row>
    <row r="6076" spans="2:9" ht="25.5">
      <c r="B6076" s="3192" t="s">
        <v>720</v>
      </c>
      <c r="C6076" s="3063"/>
      <c r="D6076" s="3064"/>
      <c r="E6076" s="3064"/>
      <c r="F6076" s="3064"/>
      <c r="G6076" s="3301" t="s">
        <v>720</v>
      </c>
      <c r="H6076" s="3063"/>
      <c r="I6076" s="3030"/>
    </row>
    <row r="6077" spans="2:9" ht="25.5">
      <c r="B6077" s="3299" t="s">
        <v>66</v>
      </c>
      <c r="C6077" s="3063"/>
      <c r="D6077" s="3064"/>
      <c r="E6077" s="3064"/>
      <c r="F6077" s="3064"/>
      <c r="G6077" s="3300" t="s">
        <v>66</v>
      </c>
      <c r="H6077" s="3063"/>
      <c r="I6077" s="3030"/>
    </row>
    <row r="6078" spans="2:9" ht="25.5">
      <c r="B6078" s="3192" t="s">
        <v>675</v>
      </c>
      <c r="C6078" s="3063"/>
      <c r="D6078" s="3064"/>
      <c r="E6078" s="3064"/>
      <c r="F6078" s="3064"/>
      <c r="G6078" s="3301" t="s">
        <v>675</v>
      </c>
      <c r="H6078" s="3063"/>
      <c r="I6078" s="3030"/>
    </row>
    <row r="6079" spans="2:9" ht="25.5">
      <c r="B6079" s="3192" t="s">
        <v>676</v>
      </c>
      <c r="C6079" s="3063"/>
      <c r="D6079" s="3064"/>
      <c r="E6079" s="3064"/>
      <c r="F6079" s="3064"/>
      <c r="G6079" s="3301" t="s">
        <v>676</v>
      </c>
      <c r="H6079" s="3063"/>
      <c r="I6079" s="3030"/>
    </row>
    <row r="6080" spans="2:9">
      <c r="B6080" s="3192" t="s">
        <v>677</v>
      </c>
      <c r="C6080" s="3063"/>
      <c r="D6080" s="3064"/>
      <c r="E6080" s="3064"/>
      <c r="F6080" s="3064"/>
      <c r="G6080" s="3301" t="s">
        <v>677</v>
      </c>
      <c r="H6080" s="3063"/>
      <c r="I6080" s="3030"/>
    </row>
    <row r="6081" spans="2:9">
      <c r="B6081" s="3192" t="s">
        <v>678</v>
      </c>
      <c r="C6081" s="3063"/>
      <c r="D6081" s="3064"/>
      <c r="E6081" s="3064"/>
      <c r="F6081" s="3064"/>
      <c r="G6081" s="3301" t="s">
        <v>678</v>
      </c>
      <c r="H6081" s="3063"/>
      <c r="I6081" s="3030"/>
    </row>
    <row r="6082" spans="2:9">
      <c r="B6082" s="3192" t="s">
        <v>679</v>
      </c>
      <c r="C6082" s="3063"/>
      <c r="D6082" s="3064"/>
      <c r="E6082" s="3064"/>
      <c r="F6082" s="3064"/>
      <c r="G6082" s="3301" t="s">
        <v>679</v>
      </c>
      <c r="H6082" s="3063"/>
      <c r="I6082" s="3030"/>
    </row>
    <row r="6083" spans="2:9" ht="25.5">
      <c r="B6083" s="3192" t="s">
        <v>720</v>
      </c>
      <c r="C6083" s="3063"/>
      <c r="D6083" s="3064"/>
      <c r="E6083" s="3064"/>
      <c r="F6083" s="3064"/>
      <c r="G6083" s="3301" t="s">
        <v>720</v>
      </c>
      <c r="H6083" s="3063"/>
      <c r="I6083" s="3030"/>
    </row>
    <row r="6084" spans="2:9">
      <c r="B6084" s="3299" t="s">
        <v>67</v>
      </c>
      <c r="C6084" s="3063"/>
      <c r="D6084" s="3064"/>
      <c r="E6084" s="3064"/>
      <c r="F6084" s="3064"/>
      <c r="G6084" s="3300" t="s">
        <v>67</v>
      </c>
      <c r="H6084" s="3063"/>
      <c r="I6084" s="3030"/>
    </row>
    <row r="6085" spans="2:9" ht="25.5">
      <c r="B6085" s="3192" t="s">
        <v>675</v>
      </c>
      <c r="C6085" s="3063"/>
      <c r="D6085" s="3064"/>
      <c r="E6085" s="3064"/>
      <c r="F6085" s="3064"/>
      <c r="G6085" s="3301" t="s">
        <v>675</v>
      </c>
      <c r="H6085" s="3063"/>
      <c r="I6085" s="3030"/>
    </row>
    <row r="6086" spans="2:9" ht="25.5">
      <c r="B6086" s="3192" t="s">
        <v>676</v>
      </c>
      <c r="C6086" s="3063"/>
      <c r="D6086" s="3064"/>
      <c r="E6086" s="3064"/>
      <c r="F6086" s="3064"/>
      <c r="G6086" s="3301" t="s">
        <v>676</v>
      </c>
      <c r="H6086" s="3063"/>
      <c r="I6086" s="3030"/>
    </row>
    <row r="6087" spans="2:9">
      <c r="B6087" s="3192" t="s">
        <v>677</v>
      </c>
      <c r="C6087" s="3063"/>
      <c r="D6087" s="3064"/>
      <c r="E6087" s="3064"/>
      <c r="F6087" s="3064"/>
      <c r="G6087" s="3301" t="s">
        <v>677</v>
      </c>
      <c r="H6087" s="3063"/>
      <c r="I6087" s="3030"/>
    </row>
    <row r="6088" spans="2:9">
      <c r="B6088" s="3192" t="s">
        <v>678</v>
      </c>
      <c r="C6088" s="3063"/>
      <c r="D6088" s="3064"/>
      <c r="E6088" s="3064"/>
      <c r="F6088" s="3064"/>
      <c r="G6088" s="3301" t="s">
        <v>678</v>
      </c>
      <c r="H6088" s="3063"/>
      <c r="I6088" s="3030"/>
    </row>
    <row r="6089" spans="2:9">
      <c r="B6089" s="3192" t="s">
        <v>679</v>
      </c>
      <c r="C6089" s="3063"/>
      <c r="D6089" s="3064"/>
      <c r="E6089" s="3064"/>
      <c r="F6089" s="3064"/>
      <c r="G6089" s="3301" t="s">
        <v>679</v>
      </c>
      <c r="H6089" s="3063"/>
      <c r="I6089" s="3030"/>
    </row>
    <row r="6090" spans="2:9" ht="25.5">
      <c r="B6090" s="3230" t="s">
        <v>81</v>
      </c>
      <c r="C6090" s="3063"/>
      <c r="D6090" s="3064"/>
      <c r="E6090" s="3064"/>
      <c r="F6090" s="3064"/>
      <c r="G6090" s="3302" t="s">
        <v>81</v>
      </c>
      <c r="H6090" s="3063"/>
      <c r="I6090" s="3030"/>
    </row>
    <row r="6091" spans="2:9" ht="26.25" thickBot="1">
      <c r="B6091" s="3303" t="s">
        <v>81</v>
      </c>
      <c r="C6091" s="3063"/>
      <c r="D6091" s="3064"/>
      <c r="E6091" s="3064"/>
      <c r="F6091" s="3064"/>
      <c r="G6091" s="3302" t="s">
        <v>81</v>
      </c>
      <c r="H6091" s="3063"/>
      <c r="I6091" s="3030"/>
    </row>
    <row r="6092" spans="2:9">
      <c r="B6092" s="3217" t="s">
        <v>697</v>
      </c>
      <c r="C6092" s="3218"/>
      <c r="D6092" s="3219"/>
      <c r="E6092" s="3219"/>
      <c r="F6092" s="3219"/>
      <c r="G6092" s="3217" t="s">
        <v>697</v>
      </c>
      <c r="H6092" s="3297"/>
      <c r="I6092" s="3298"/>
    </row>
    <row r="6093" spans="2:9">
      <c r="B6093" s="3299" t="s">
        <v>64</v>
      </c>
      <c r="C6093" s="3063"/>
      <c r="D6093" s="3064"/>
      <c r="E6093" s="3064"/>
      <c r="F6093" s="3064"/>
      <c r="G6093" s="3300" t="s">
        <v>64</v>
      </c>
      <c r="H6093" s="3063"/>
      <c r="I6093" s="3030"/>
    </row>
    <row r="6094" spans="2:9" ht="25.5">
      <c r="B6094" s="3192" t="s">
        <v>675</v>
      </c>
      <c r="C6094" s="3063"/>
      <c r="D6094" s="3064"/>
      <c r="E6094" s="3064"/>
      <c r="F6094" s="3064"/>
      <c r="G6094" s="3301" t="s">
        <v>675</v>
      </c>
      <c r="H6094" s="3063"/>
      <c r="I6094" s="3030"/>
    </row>
    <row r="6095" spans="2:9" ht="25.5">
      <c r="B6095" s="3192" t="s">
        <v>676</v>
      </c>
      <c r="C6095" s="3063"/>
      <c r="D6095" s="3064"/>
      <c r="E6095" s="3064"/>
      <c r="F6095" s="3064"/>
      <c r="G6095" s="3301" t="s">
        <v>676</v>
      </c>
      <c r="H6095" s="3063"/>
      <c r="I6095" s="3030"/>
    </row>
    <row r="6096" spans="2:9">
      <c r="B6096" s="3192" t="s">
        <v>677</v>
      </c>
      <c r="C6096" s="3063"/>
      <c r="D6096" s="3064"/>
      <c r="E6096" s="3064"/>
      <c r="F6096" s="3064"/>
      <c r="G6096" s="3301" t="s">
        <v>677</v>
      </c>
      <c r="H6096" s="3063"/>
      <c r="I6096" s="3030"/>
    </row>
    <row r="6097" spans="2:9">
      <c r="B6097" s="3192" t="s">
        <v>678</v>
      </c>
      <c r="C6097" s="3063"/>
      <c r="D6097" s="3064"/>
      <c r="E6097" s="3064"/>
      <c r="F6097" s="3064"/>
      <c r="G6097" s="3301" t="s">
        <v>678</v>
      </c>
      <c r="H6097" s="3063"/>
      <c r="I6097" s="3030"/>
    </row>
    <row r="6098" spans="2:9">
      <c r="B6098" s="3192" t="s">
        <v>679</v>
      </c>
      <c r="C6098" s="3063"/>
      <c r="D6098" s="3064"/>
      <c r="E6098" s="3064"/>
      <c r="F6098" s="3064"/>
      <c r="G6098" s="3301" t="s">
        <v>679</v>
      </c>
      <c r="H6098" s="3063"/>
      <c r="I6098" s="3030"/>
    </row>
    <row r="6099" spans="2:9" ht="25.5">
      <c r="B6099" s="3192" t="s">
        <v>720</v>
      </c>
      <c r="C6099" s="3063"/>
      <c r="D6099" s="3064"/>
      <c r="E6099" s="3064"/>
      <c r="F6099" s="3064"/>
      <c r="G6099" s="3301" t="s">
        <v>720</v>
      </c>
      <c r="H6099" s="3063"/>
      <c r="I6099" s="3030"/>
    </row>
    <row r="6100" spans="2:9">
      <c r="B6100" s="3299" t="s">
        <v>65</v>
      </c>
      <c r="C6100" s="3063"/>
      <c r="D6100" s="3064"/>
      <c r="E6100" s="3064"/>
      <c r="F6100" s="3064"/>
      <c r="G6100" s="3300" t="s">
        <v>65</v>
      </c>
      <c r="H6100" s="3063"/>
      <c r="I6100" s="3030"/>
    </row>
    <row r="6101" spans="2:9" ht="25.5">
      <c r="B6101" s="3192" t="s">
        <v>675</v>
      </c>
      <c r="C6101" s="3063"/>
      <c r="D6101" s="3064"/>
      <c r="E6101" s="3064"/>
      <c r="F6101" s="3064"/>
      <c r="G6101" s="3301" t="s">
        <v>675</v>
      </c>
      <c r="H6101" s="3063"/>
      <c r="I6101" s="3030"/>
    </row>
    <row r="6102" spans="2:9" ht="25.5">
      <c r="B6102" s="3192" t="s">
        <v>676</v>
      </c>
      <c r="C6102" s="3063"/>
      <c r="D6102" s="3064"/>
      <c r="E6102" s="3064"/>
      <c r="F6102" s="3064"/>
      <c r="G6102" s="3301" t="s">
        <v>676</v>
      </c>
      <c r="H6102" s="3063"/>
      <c r="I6102" s="3030"/>
    </row>
    <row r="6103" spans="2:9">
      <c r="B6103" s="3192" t="s">
        <v>677</v>
      </c>
      <c r="C6103" s="3063"/>
      <c r="D6103" s="3064"/>
      <c r="E6103" s="3064"/>
      <c r="F6103" s="3064"/>
      <c r="G6103" s="3301" t="s">
        <v>677</v>
      </c>
      <c r="H6103" s="3063"/>
      <c r="I6103" s="3030"/>
    </row>
    <row r="6104" spans="2:9">
      <c r="B6104" s="3192" t="s">
        <v>678</v>
      </c>
      <c r="C6104" s="3063"/>
      <c r="D6104" s="3064"/>
      <c r="E6104" s="3064"/>
      <c r="F6104" s="3064"/>
      <c r="G6104" s="3301" t="s">
        <v>678</v>
      </c>
      <c r="H6104" s="3063"/>
      <c r="I6104" s="3030"/>
    </row>
    <row r="6105" spans="2:9">
      <c r="B6105" s="3192" t="s">
        <v>679</v>
      </c>
      <c r="C6105" s="3063"/>
      <c r="D6105" s="3064"/>
      <c r="E6105" s="3064"/>
      <c r="F6105" s="3064"/>
      <c r="G6105" s="3301" t="s">
        <v>679</v>
      </c>
      <c r="H6105" s="3063"/>
      <c r="I6105" s="3030"/>
    </row>
    <row r="6106" spans="2:9" ht="25.5">
      <c r="B6106" s="3192" t="s">
        <v>720</v>
      </c>
      <c r="C6106" s="3063"/>
      <c r="D6106" s="3064"/>
      <c r="E6106" s="3064"/>
      <c r="F6106" s="3064"/>
      <c r="G6106" s="3301" t="s">
        <v>720</v>
      </c>
      <c r="H6106" s="3063"/>
      <c r="I6106" s="3030"/>
    </row>
    <row r="6107" spans="2:9">
      <c r="B6107" s="3299" t="s">
        <v>82</v>
      </c>
      <c r="C6107" s="3063"/>
      <c r="D6107" s="3064"/>
      <c r="E6107" s="3064"/>
      <c r="F6107" s="3064"/>
      <c r="G6107" s="3300" t="s">
        <v>82</v>
      </c>
      <c r="H6107" s="3063"/>
      <c r="I6107" s="3030"/>
    </row>
    <row r="6108" spans="2:9" ht="25.5">
      <c r="B6108" s="3192" t="s">
        <v>675</v>
      </c>
      <c r="C6108" s="3063"/>
      <c r="D6108" s="3064"/>
      <c r="E6108" s="3064"/>
      <c r="F6108" s="3064"/>
      <c r="G6108" s="3301" t="s">
        <v>675</v>
      </c>
      <c r="H6108" s="3063"/>
      <c r="I6108" s="3030"/>
    </row>
    <row r="6109" spans="2:9" ht="25.5">
      <c r="B6109" s="3192" t="s">
        <v>676</v>
      </c>
      <c r="C6109" s="3063"/>
      <c r="D6109" s="3064"/>
      <c r="E6109" s="3064"/>
      <c r="F6109" s="3064"/>
      <c r="G6109" s="3301" t="s">
        <v>676</v>
      </c>
      <c r="H6109" s="3063"/>
      <c r="I6109" s="3030"/>
    </row>
    <row r="6110" spans="2:9">
      <c r="B6110" s="3192" t="s">
        <v>677</v>
      </c>
      <c r="C6110" s="3063"/>
      <c r="D6110" s="3064"/>
      <c r="E6110" s="3064"/>
      <c r="F6110" s="3064"/>
      <c r="G6110" s="3301" t="s">
        <v>677</v>
      </c>
      <c r="H6110" s="3063"/>
      <c r="I6110" s="3030"/>
    </row>
    <row r="6111" spans="2:9">
      <c r="B6111" s="3192" t="s">
        <v>678</v>
      </c>
      <c r="C6111" s="3063"/>
      <c r="D6111" s="3064"/>
      <c r="E6111" s="3064"/>
      <c r="F6111" s="3064"/>
      <c r="G6111" s="3301" t="s">
        <v>678</v>
      </c>
      <c r="H6111" s="3063"/>
      <c r="I6111" s="3030"/>
    </row>
    <row r="6112" spans="2:9">
      <c r="B6112" s="3192" t="s">
        <v>679</v>
      </c>
      <c r="C6112" s="3063"/>
      <c r="D6112" s="3064"/>
      <c r="E6112" s="3064"/>
      <c r="F6112" s="3064"/>
      <c r="G6112" s="3301" t="s">
        <v>679</v>
      </c>
      <c r="H6112" s="3063"/>
      <c r="I6112" s="3030"/>
    </row>
    <row r="6113" spans="2:9" ht="25.5">
      <c r="B6113" s="3192" t="s">
        <v>720</v>
      </c>
      <c r="C6113" s="3063"/>
      <c r="D6113" s="3064"/>
      <c r="E6113" s="3064"/>
      <c r="F6113" s="3064"/>
      <c r="G6113" s="3301" t="s">
        <v>720</v>
      </c>
      <c r="H6113" s="3063"/>
      <c r="I6113" s="3030"/>
    </row>
    <row r="6114" spans="2:9" ht="38.25">
      <c r="B6114" s="3299" t="s">
        <v>680</v>
      </c>
      <c r="C6114" s="3063"/>
      <c r="D6114" s="3064"/>
      <c r="E6114" s="3064"/>
      <c r="F6114" s="3064"/>
      <c r="G6114" s="3300" t="s">
        <v>680</v>
      </c>
      <c r="H6114" s="3063"/>
      <c r="I6114" s="3030"/>
    </row>
    <row r="6115" spans="2:9" ht="25.5">
      <c r="B6115" s="3192" t="s">
        <v>675</v>
      </c>
      <c r="C6115" s="3063"/>
      <c r="D6115" s="3064"/>
      <c r="E6115" s="3064"/>
      <c r="F6115" s="3064"/>
      <c r="G6115" s="3301" t="s">
        <v>675</v>
      </c>
      <c r="H6115" s="3063"/>
      <c r="I6115" s="3030"/>
    </row>
    <row r="6116" spans="2:9" ht="25.5">
      <c r="B6116" s="3192" t="s">
        <v>676</v>
      </c>
      <c r="C6116" s="3063"/>
      <c r="D6116" s="3064"/>
      <c r="E6116" s="3064"/>
      <c r="F6116" s="3064"/>
      <c r="G6116" s="3301" t="s">
        <v>676</v>
      </c>
      <c r="H6116" s="3063"/>
      <c r="I6116" s="3030"/>
    </row>
    <row r="6117" spans="2:9">
      <c r="B6117" s="3192" t="s">
        <v>677</v>
      </c>
      <c r="C6117" s="3063"/>
      <c r="D6117" s="3064"/>
      <c r="E6117" s="3064"/>
      <c r="F6117" s="3064"/>
      <c r="G6117" s="3301" t="s">
        <v>677</v>
      </c>
      <c r="H6117" s="3063"/>
      <c r="I6117" s="3030"/>
    </row>
    <row r="6118" spans="2:9">
      <c r="B6118" s="3192" t="s">
        <v>678</v>
      </c>
      <c r="C6118" s="3063"/>
      <c r="D6118" s="3064"/>
      <c r="E6118" s="3064"/>
      <c r="F6118" s="3064"/>
      <c r="G6118" s="3301" t="s">
        <v>678</v>
      </c>
      <c r="H6118" s="3063"/>
      <c r="I6118" s="3030"/>
    </row>
    <row r="6119" spans="2:9">
      <c r="B6119" s="3192" t="s">
        <v>679</v>
      </c>
      <c r="C6119" s="3063"/>
      <c r="D6119" s="3064"/>
      <c r="E6119" s="3064"/>
      <c r="F6119" s="3064"/>
      <c r="G6119" s="3301" t="s">
        <v>679</v>
      </c>
      <c r="H6119" s="3063"/>
      <c r="I6119" s="3030"/>
    </row>
    <row r="6120" spans="2:9" ht="25.5">
      <c r="B6120" s="3192" t="s">
        <v>720</v>
      </c>
      <c r="C6120" s="3063"/>
      <c r="D6120" s="3064"/>
      <c r="E6120" s="3064"/>
      <c r="F6120" s="3064"/>
      <c r="G6120" s="3301" t="s">
        <v>720</v>
      </c>
      <c r="H6120" s="3063"/>
      <c r="I6120" s="3030"/>
    </row>
    <row r="6121" spans="2:9" ht="38.25">
      <c r="B6121" s="3299" t="s">
        <v>681</v>
      </c>
      <c r="C6121" s="3063"/>
      <c r="D6121" s="3064"/>
      <c r="E6121" s="3064"/>
      <c r="F6121" s="3064">
        <v>6</v>
      </c>
      <c r="G6121" s="3300" t="s">
        <v>681</v>
      </c>
      <c r="H6121" s="3063">
        <v>3.0722562326377136E-2</v>
      </c>
      <c r="I6121" s="3030"/>
    </row>
    <row r="6122" spans="2:9" ht="25.5">
      <c r="B6122" s="3192" t="s">
        <v>675</v>
      </c>
      <c r="C6122" s="3063">
        <v>5</v>
      </c>
      <c r="D6122" s="3064">
        <v>5</v>
      </c>
      <c r="E6122" s="3064"/>
      <c r="F6122" s="3064"/>
      <c r="G6122" s="3301" t="s">
        <v>675</v>
      </c>
      <c r="H6122" s="3063"/>
      <c r="I6122" s="3030">
        <v>4.8509308936384957E-2</v>
      </c>
    </row>
    <row r="6123" spans="2:9" ht="25.5">
      <c r="B6123" s="3192" t="s">
        <v>676</v>
      </c>
      <c r="C6123" s="3063"/>
      <c r="D6123" s="3064"/>
      <c r="E6123" s="3064"/>
      <c r="F6123" s="3064"/>
      <c r="G6123" s="3301" t="s">
        <v>676</v>
      </c>
      <c r="H6123" s="3063"/>
      <c r="I6123" s="3030"/>
    </row>
    <row r="6124" spans="2:9">
      <c r="B6124" s="3192" t="s">
        <v>677</v>
      </c>
      <c r="C6124" s="3063"/>
      <c r="D6124" s="3064"/>
      <c r="E6124" s="3064"/>
      <c r="F6124" s="3064"/>
      <c r="G6124" s="3301" t="s">
        <v>677</v>
      </c>
      <c r="H6124" s="3063"/>
      <c r="I6124" s="3030"/>
    </row>
    <row r="6125" spans="2:9">
      <c r="B6125" s="3192" t="s">
        <v>678</v>
      </c>
      <c r="C6125" s="3063"/>
      <c r="D6125" s="3064"/>
      <c r="E6125" s="3064"/>
      <c r="F6125" s="3064"/>
      <c r="G6125" s="3301" t="s">
        <v>678</v>
      </c>
      <c r="H6125" s="3063"/>
      <c r="I6125" s="3030"/>
    </row>
    <row r="6126" spans="2:9">
      <c r="B6126" s="3192" t="s">
        <v>679</v>
      </c>
      <c r="C6126" s="3063">
        <v>1</v>
      </c>
      <c r="D6126" s="3064">
        <v>1</v>
      </c>
      <c r="E6126" s="3064"/>
      <c r="F6126" s="3064"/>
      <c r="G6126" s="3301" t="s">
        <v>679</v>
      </c>
      <c r="H6126" s="3063"/>
      <c r="I6126" s="3030"/>
    </row>
    <row r="6127" spans="2:9" ht="25.5">
      <c r="B6127" s="3192" t="s">
        <v>720</v>
      </c>
      <c r="C6127" s="3063"/>
      <c r="D6127" s="3064">
        <v>1</v>
      </c>
      <c r="E6127" s="3064"/>
      <c r="F6127" s="3064"/>
      <c r="G6127" s="3301" t="s">
        <v>720</v>
      </c>
      <c r="H6127" s="3063"/>
      <c r="I6127" s="3030"/>
    </row>
    <row r="6128" spans="2:9" ht="25.5">
      <c r="B6128" s="3299" t="s">
        <v>682</v>
      </c>
      <c r="C6128" s="3063"/>
      <c r="D6128" s="3064"/>
      <c r="E6128" s="3064"/>
      <c r="F6128" s="3064"/>
      <c r="G6128" s="3300" t="s">
        <v>682</v>
      </c>
      <c r="H6128" s="3063"/>
      <c r="I6128" s="3030"/>
    </row>
    <row r="6129" spans="2:9" ht="25.5">
      <c r="B6129" s="3192" t="s">
        <v>675</v>
      </c>
      <c r="C6129" s="3063"/>
      <c r="D6129" s="3064"/>
      <c r="E6129" s="3064"/>
      <c r="F6129" s="3064"/>
      <c r="G6129" s="3301" t="s">
        <v>675</v>
      </c>
      <c r="H6129" s="3063"/>
      <c r="I6129" s="3030"/>
    </row>
    <row r="6130" spans="2:9" ht="25.5">
      <c r="B6130" s="3192" t="s">
        <v>676</v>
      </c>
      <c r="C6130" s="3063"/>
      <c r="D6130" s="3064"/>
      <c r="E6130" s="3064"/>
      <c r="F6130" s="3064"/>
      <c r="G6130" s="3301" t="s">
        <v>676</v>
      </c>
      <c r="H6130" s="3063"/>
      <c r="I6130" s="3030"/>
    </row>
    <row r="6131" spans="2:9">
      <c r="B6131" s="3192" t="s">
        <v>677</v>
      </c>
      <c r="C6131" s="3063"/>
      <c r="D6131" s="3064"/>
      <c r="E6131" s="3064"/>
      <c r="F6131" s="3064"/>
      <c r="G6131" s="3301" t="s">
        <v>677</v>
      </c>
      <c r="H6131" s="3063"/>
      <c r="I6131" s="3030"/>
    </row>
    <row r="6132" spans="2:9">
      <c r="B6132" s="3192" t="s">
        <v>678</v>
      </c>
      <c r="C6132" s="3063"/>
      <c r="D6132" s="3064"/>
      <c r="E6132" s="3064"/>
      <c r="F6132" s="3064"/>
      <c r="G6132" s="3301" t="s">
        <v>678</v>
      </c>
      <c r="H6132" s="3063"/>
      <c r="I6132" s="3030"/>
    </row>
    <row r="6133" spans="2:9">
      <c r="B6133" s="3192" t="s">
        <v>679</v>
      </c>
      <c r="C6133" s="3063"/>
      <c r="D6133" s="3064"/>
      <c r="E6133" s="3064"/>
      <c r="F6133" s="3064"/>
      <c r="G6133" s="3301" t="s">
        <v>679</v>
      </c>
      <c r="H6133" s="3063"/>
      <c r="I6133" s="3030"/>
    </row>
    <row r="6134" spans="2:9" ht="25.5">
      <c r="B6134" s="3192" t="s">
        <v>720</v>
      </c>
      <c r="C6134" s="3063"/>
      <c r="D6134" s="3064"/>
      <c r="E6134" s="3064"/>
      <c r="F6134" s="3064"/>
      <c r="G6134" s="3301" t="s">
        <v>720</v>
      </c>
      <c r="H6134" s="3063"/>
      <c r="I6134" s="3030"/>
    </row>
    <row r="6135" spans="2:9" ht="25.5">
      <c r="B6135" s="3299" t="s">
        <v>66</v>
      </c>
      <c r="C6135" s="3063"/>
      <c r="D6135" s="3064"/>
      <c r="E6135" s="3064"/>
      <c r="F6135" s="3064"/>
      <c r="G6135" s="3300" t="s">
        <v>66</v>
      </c>
      <c r="H6135" s="3063"/>
      <c r="I6135" s="3030"/>
    </row>
    <row r="6136" spans="2:9" ht="25.5">
      <c r="B6136" s="3192" t="s">
        <v>675</v>
      </c>
      <c r="C6136" s="3063"/>
      <c r="D6136" s="3064"/>
      <c r="E6136" s="3064"/>
      <c r="F6136" s="3064"/>
      <c r="G6136" s="3301" t="s">
        <v>675</v>
      </c>
      <c r="H6136" s="3063"/>
      <c r="I6136" s="3030"/>
    </row>
    <row r="6137" spans="2:9" ht="25.5">
      <c r="B6137" s="3192" t="s">
        <v>676</v>
      </c>
      <c r="C6137" s="3063"/>
      <c r="D6137" s="3064"/>
      <c r="E6137" s="3064"/>
      <c r="F6137" s="3064"/>
      <c r="G6137" s="3301" t="s">
        <v>676</v>
      </c>
      <c r="H6137" s="3063"/>
      <c r="I6137" s="3030"/>
    </row>
    <row r="6138" spans="2:9">
      <c r="B6138" s="3192" t="s">
        <v>677</v>
      </c>
      <c r="C6138" s="3063"/>
      <c r="D6138" s="3064"/>
      <c r="E6138" s="3064"/>
      <c r="F6138" s="3064"/>
      <c r="G6138" s="3301" t="s">
        <v>677</v>
      </c>
      <c r="H6138" s="3063"/>
      <c r="I6138" s="3030"/>
    </row>
    <row r="6139" spans="2:9">
      <c r="B6139" s="3192" t="s">
        <v>678</v>
      </c>
      <c r="C6139" s="3063"/>
      <c r="D6139" s="3064"/>
      <c r="E6139" s="3064"/>
      <c r="F6139" s="3064"/>
      <c r="G6139" s="3301" t="s">
        <v>678</v>
      </c>
      <c r="H6139" s="3063"/>
      <c r="I6139" s="3030"/>
    </row>
    <row r="6140" spans="2:9">
      <c r="B6140" s="3192" t="s">
        <v>679</v>
      </c>
      <c r="C6140" s="3063"/>
      <c r="D6140" s="3064"/>
      <c r="E6140" s="3064"/>
      <c r="F6140" s="3064"/>
      <c r="G6140" s="3301" t="s">
        <v>679</v>
      </c>
      <c r="H6140" s="3063"/>
      <c r="I6140" s="3030"/>
    </row>
    <row r="6141" spans="2:9" ht="25.5">
      <c r="B6141" s="3192" t="s">
        <v>720</v>
      </c>
      <c r="C6141" s="3063"/>
      <c r="D6141" s="3064"/>
      <c r="E6141" s="3064"/>
      <c r="F6141" s="3064"/>
      <c r="G6141" s="3301" t="s">
        <v>720</v>
      </c>
      <c r="H6141" s="3063"/>
      <c r="I6141" s="3030"/>
    </row>
    <row r="6142" spans="2:9">
      <c r="B6142" s="3299" t="s">
        <v>67</v>
      </c>
      <c r="C6142" s="3063"/>
      <c r="D6142" s="3064"/>
      <c r="E6142" s="3064"/>
      <c r="F6142" s="3064"/>
      <c r="G6142" s="3300" t="s">
        <v>67</v>
      </c>
      <c r="H6142" s="3063"/>
      <c r="I6142" s="3030"/>
    </row>
    <row r="6143" spans="2:9" ht="25.5">
      <c r="B6143" s="3192" t="s">
        <v>675</v>
      </c>
      <c r="C6143" s="3063"/>
      <c r="D6143" s="3064"/>
      <c r="E6143" s="3064"/>
      <c r="F6143" s="3064"/>
      <c r="G6143" s="3301" t="s">
        <v>675</v>
      </c>
      <c r="H6143" s="3063"/>
      <c r="I6143" s="3030"/>
    </row>
    <row r="6144" spans="2:9" ht="25.5">
      <c r="B6144" s="3192" t="s">
        <v>676</v>
      </c>
      <c r="C6144" s="3063"/>
      <c r="D6144" s="3064"/>
      <c r="E6144" s="3064"/>
      <c r="F6144" s="3064"/>
      <c r="G6144" s="3301" t="s">
        <v>676</v>
      </c>
      <c r="H6144" s="3063"/>
      <c r="I6144" s="3030"/>
    </row>
    <row r="6145" spans="2:9">
      <c r="B6145" s="3192" t="s">
        <v>677</v>
      </c>
      <c r="C6145" s="3063"/>
      <c r="D6145" s="3064"/>
      <c r="E6145" s="3064"/>
      <c r="F6145" s="3064"/>
      <c r="G6145" s="3301" t="s">
        <v>677</v>
      </c>
      <c r="H6145" s="3063"/>
      <c r="I6145" s="3030"/>
    </row>
    <row r="6146" spans="2:9">
      <c r="B6146" s="3192" t="s">
        <v>678</v>
      </c>
      <c r="C6146" s="3063"/>
      <c r="D6146" s="3064"/>
      <c r="E6146" s="3064"/>
      <c r="F6146" s="3064"/>
      <c r="G6146" s="3301" t="s">
        <v>678</v>
      </c>
      <c r="H6146" s="3063"/>
      <c r="I6146" s="3030"/>
    </row>
    <row r="6147" spans="2:9">
      <c r="B6147" s="3192" t="s">
        <v>679</v>
      </c>
      <c r="C6147" s="3063"/>
      <c r="D6147" s="3064"/>
      <c r="E6147" s="3064"/>
      <c r="F6147" s="3064"/>
      <c r="G6147" s="3301" t="s">
        <v>679</v>
      </c>
      <c r="H6147" s="3063"/>
      <c r="I6147" s="3030"/>
    </row>
    <row r="6148" spans="2:9" ht="25.5">
      <c r="B6148" s="3230" t="s">
        <v>81</v>
      </c>
      <c r="C6148" s="3063"/>
      <c r="D6148" s="3064"/>
      <c r="E6148" s="3064"/>
      <c r="F6148" s="3064"/>
      <c r="G6148" s="3302" t="s">
        <v>81</v>
      </c>
      <c r="H6148" s="3063"/>
      <c r="I6148" s="3030"/>
    </row>
    <row r="6149" spans="2:9" ht="26.25" thickBot="1">
      <c r="B6149" s="3303" t="s">
        <v>81</v>
      </c>
      <c r="C6149" s="3068"/>
      <c r="D6149" s="3069"/>
      <c r="E6149" s="3069"/>
      <c r="F6149" s="3069"/>
      <c r="G6149" s="3304" t="s">
        <v>81</v>
      </c>
      <c r="H6149" s="3068"/>
      <c r="I6149" s="3070"/>
    </row>
    <row r="6150" spans="2:9" ht="38.25">
      <c r="B6150" s="4723">
        <v>3039</v>
      </c>
      <c r="C6150" s="3289"/>
      <c r="D6150" s="3290"/>
      <c r="E6150" s="3290"/>
      <c r="F6150" s="3290"/>
      <c r="G6150" s="4723">
        <v>3039</v>
      </c>
      <c r="H6150" s="3291" t="s">
        <v>687</v>
      </c>
      <c r="I6150" s="3292" t="s">
        <v>688</v>
      </c>
    </row>
    <row r="6151" spans="2:9">
      <c r="B6151" s="4724"/>
      <c r="C6151" s="4678" t="s">
        <v>686</v>
      </c>
      <c r="D6151" s="4725"/>
      <c r="E6151" s="4725"/>
      <c r="F6151" s="4726"/>
      <c r="G6151" s="4724"/>
      <c r="H6151" s="3293"/>
      <c r="I6151" s="3294"/>
    </row>
    <row r="6152" spans="2:9" ht="13.5" thickBot="1">
      <c r="B6152" s="4724"/>
      <c r="C6152" s="3215">
        <v>2013</v>
      </c>
      <c r="D6152" s="3215">
        <v>2014</v>
      </c>
      <c r="E6152" s="3215">
        <v>2015</v>
      </c>
      <c r="F6152" s="3215">
        <v>2016</v>
      </c>
      <c r="G6152" s="4724"/>
      <c r="H6152" s="3295" t="s">
        <v>390</v>
      </c>
      <c r="I6152" s="3296" t="s">
        <v>390</v>
      </c>
    </row>
    <row r="6153" spans="2:9">
      <c r="B6153" s="3217" t="s">
        <v>695</v>
      </c>
      <c r="C6153" s="3218"/>
      <c r="D6153" s="3219"/>
      <c r="E6153" s="3219"/>
      <c r="F6153" s="3219"/>
      <c r="G6153" s="3217" t="s">
        <v>695</v>
      </c>
      <c r="H6153" s="3297"/>
      <c r="I6153" s="3298"/>
    </row>
    <row r="6154" spans="2:9">
      <c r="B6154" s="3299" t="s">
        <v>64</v>
      </c>
      <c r="C6154" s="3063"/>
      <c r="D6154" s="3064"/>
      <c r="E6154" s="3064"/>
      <c r="F6154" s="3064">
        <v>10</v>
      </c>
      <c r="G6154" s="3300" t="s">
        <v>64</v>
      </c>
      <c r="H6154" s="3063">
        <v>0.25904102999925582</v>
      </c>
      <c r="I6154" s="3030"/>
    </row>
    <row r="6155" spans="2:9" ht="25.5">
      <c r="B6155" s="3192" t="s">
        <v>675</v>
      </c>
      <c r="C6155" s="3063">
        <v>4</v>
      </c>
      <c r="D6155" s="3064">
        <v>4</v>
      </c>
      <c r="E6155" s="3064"/>
      <c r="F6155" s="3064"/>
      <c r="G6155" s="3301" t="s">
        <v>675</v>
      </c>
      <c r="H6155" s="3063"/>
      <c r="I6155" s="3030">
        <v>0.24380332235224075</v>
      </c>
    </row>
    <row r="6156" spans="2:9" ht="25.5">
      <c r="B6156" s="3192" t="s">
        <v>676</v>
      </c>
      <c r="C6156" s="3063"/>
      <c r="D6156" s="3064"/>
      <c r="E6156" s="3064"/>
      <c r="F6156" s="3064"/>
      <c r="G6156" s="3301" t="s">
        <v>676</v>
      </c>
      <c r="H6156" s="3063"/>
      <c r="I6156" s="3030"/>
    </row>
    <row r="6157" spans="2:9">
      <c r="B6157" s="3192" t="s">
        <v>677</v>
      </c>
      <c r="C6157" s="3063"/>
      <c r="D6157" s="3064"/>
      <c r="E6157" s="3064"/>
      <c r="F6157" s="3064"/>
      <c r="G6157" s="3301" t="s">
        <v>677</v>
      </c>
      <c r="H6157" s="3063"/>
      <c r="I6157" s="3030"/>
    </row>
    <row r="6158" spans="2:9">
      <c r="B6158" s="3192" t="s">
        <v>678</v>
      </c>
      <c r="C6158" s="3063">
        <v>8</v>
      </c>
      <c r="D6158" s="3064">
        <v>4</v>
      </c>
      <c r="E6158" s="3064"/>
      <c r="F6158" s="3064"/>
      <c r="G6158" s="3301" t="s">
        <v>678</v>
      </c>
      <c r="H6158" s="3063"/>
      <c r="I6158" s="3030"/>
    </row>
    <row r="6159" spans="2:9">
      <c r="B6159" s="3192" t="s">
        <v>679</v>
      </c>
      <c r="C6159" s="3063">
        <v>1</v>
      </c>
      <c r="D6159" s="3064">
        <v>1</v>
      </c>
      <c r="E6159" s="3064"/>
      <c r="F6159" s="3064"/>
      <c r="G6159" s="3301" t="s">
        <v>679</v>
      </c>
      <c r="H6159" s="3063"/>
      <c r="I6159" s="3030"/>
    </row>
    <row r="6160" spans="2:9" ht="25.5">
      <c r="B6160" s="3192" t="s">
        <v>720</v>
      </c>
      <c r="C6160" s="3063"/>
      <c r="D6160" s="3064">
        <v>2</v>
      </c>
      <c r="E6160" s="3064"/>
      <c r="F6160" s="3064"/>
      <c r="G6160" s="3301" t="s">
        <v>720</v>
      </c>
      <c r="H6160" s="3063"/>
      <c r="I6160" s="3030"/>
    </row>
    <row r="6161" spans="2:9">
      <c r="B6161" s="3299" t="s">
        <v>65</v>
      </c>
      <c r="C6161" s="3063"/>
      <c r="D6161" s="3064"/>
      <c r="E6161" s="3064"/>
      <c r="F6161" s="3064">
        <v>1</v>
      </c>
      <c r="G6161" s="3300" t="s">
        <v>65</v>
      </c>
      <c r="H6161" s="3063">
        <v>0.13721791263965827</v>
      </c>
      <c r="I6161" s="3030"/>
    </row>
    <row r="6162" spans="2:9" ht="25.5">
      <c r="B6162" s="3192" t="s">
        <v>675</v>
      </c>
      <c r="C6162" s="3063">
        <v>1</v>
      </c>
      <c r="D6162" s="3064"/>
      <c r="E6162" s="3064"/>
      <c r="F6162" s="3064"/>
      <c r="G6162" s="3301" t="s">
        <v>675</v>
      </c>
      <c r="H6162" s="3063"/>
      <c r="I6162" s="3063">
        <v>0.13721791263965827</v>
      </c>
    </row>
    <row r="6163" spans="2:9" ht="25.5">
      <c r="B6163" s="3192" t="s">
        <v>676</v>
      </c>
      <c r="C6163" s="3063"/>
      <c r="D6163" s="3064"/>
      <c r="E6163" s="3064"/>
      <c r="F6163" s="3064"/>
      <c r="G6163" s="3301" t="s">
        <v>676</v>
      </c>
      <c r="H6163" s="3063"/>
      <c r="I6163" s="3030"/>
    </row>
    <row r="6164" spans="2:9">
      <c r="B6164" s="3192" t="s">
        <v>677</v>
      </c>
      <c r="C6164" s="3063"/>
      <c r="D6164" s="3064"/>
      <c r="E6164" s="3064"/>
      <c r="F6164" s="3064"/>
      <c r="G6164" s="3301" t="s">
        <v>677</v>
      </c>
      <c r="H6164" s="3063"/>
      <c r="I6164" s="3030"/>
    </row>
    <row r="6165" spans="2:9">
      <c r="B6165" s="3192" t="s">
        <v>678</v>
      </c>
      <c r="C6165" s="3063">
        <v>1</v>
      </c>
      <c r="D6165" s="3064">
        <v>1</v>
      </c>
      <c r="E6165" s="3064"/>
      <c r="F6165" s="3064"/>
      <c r="G6165" s="3301" t="s">
        <v>678</v>
      </c>
      <c r="H6165" s="3063"/>
      <c r="I6165" s="3030"/>
    </row>
    <row r="6166" spans="2:9">
      <c r="B6166" s="3192" t="s">
        <v>679</v>
      </c>
      <c r="C6166" s="3063"/>
      <c r="D6166" s="3064"/>
      <c r="E6166" s="3064"/>
      <c r="F6166" s="3064"/>
      <c r="G6166" s="3301" t="s">
        <v>679</v>
      </c>
      <c r="H6166" s="3063"/>
      <c r="I6166" s="3030"/>
    </row>
    <row r="6167" spans="2:9" ht="25.5">
      <c r="B6167" s="3192" t="s">
        <v>720</v>
      </c>
      <c r="C6167" s="3063"/>
      <c r="D6167" s="3064"/>
      <c r="E6167" s="3064"/>
      <c r="F6167" s="3064"/>
      <c r="G6167" s="3301" t="s">
        <v>720</v>
      </c>
      <c r="H6167" s="3063"/>
      <c r="I6167" s="3030"/>
    </row>
    <row r="6168" spans="2:9">
      <c r="B6168" s="3299" t="s">
        <v>82</v>
      </c>
      <c r="C6168" s="3063"/>
      <c r="D6168" s="3064"/>
      <c r="E6168" s="3064"/>
      <c r="F6168" s="3064"/>
      <c r="G6168" s="3300" t="s">
        <v>82</v>
      </c>
      <c r="H6168" s="3063"/>
      <c r="I6168" s="3030"/>
    </row>
    <row r="6169" spans="2:9" ht="25.5">
      <c r="B6169" s="3192" t="s">
        <v>675</v>
      </c>
      <c r="C6169" s="3063"/>
      <c r="D6169" s="3064"/>
      <c r="E6169" s="3064"/>
      <c r="F6169" s="3064"/>
      <c r="G6169" s="3301" t="s">
        <v>675</v>
      </c>
      <c r="H6169" s="3063"/>
      <c r="I6169" s="3030"/>
    </row>
    <row r="6170" spans="2:9" ht="25.5">
      <c r="B6170" s="3192" t="s">
        <v>676</v>
      </c>
      <c r="C6170" s="3063"/>
      <c r="D6170" s="3064"/>
      <c r="E6170" s="3064"/>
      <c r="F6170" s="3064"/>
      <c r="G6170" s="3301" t="s">
        <v>676</v>
      </c>
      <c r="H6170" s="3063"/>
      <c r="I6170" s="3030"/>
    </row>
    <row r="6171" spans="2:9">
      <c r="B6171" s="3192" t="s">
        <v>677</v>
      </c>
      <c r="C6171" s="3063"/>
      <c r="D6171" s="3064"/>
      <c r="E6171" s="3064"/>
      <c r="F6171" s="3064"/>
      <c r="G6171" s="3301" t="s">
        <v>677</v>
      </c>
      <c r="H6171" s="3063"/>
      <c r="I6171" s="3030"/>
    </row>
    <row r="6172" spans="2:9">
      <c r="B6172" s="3192" t="s">
        <v>678</v>
      </c>
      <c r="C6172" s="3063"/>
      <c r="D6172" s="3064"/>
      <c r="E6172" s="3064"/>
      <c r="F6172" s="3064"/>
      <c r="G6172" s="3301" t="s">
        <v>678</v>
      </c>
      <c r="H6172" s="3063"/>
      <c r="I6172" s="3030"/>
    </row>
    <row r="6173" spans="2:9">
      <c r="B6173" s="3192" t="s">
        <v>679</v>
      </c>
      <c r="C6173" s="3063"/>
      <c r="D6173" s="3064"/>
      <c r="E6173" s="3064"/>
      <c r="F6173" s="3064"/>
      <c r="G6173" s="3301" t="s">
        <v>679</v>
      </c>
      <c r="H6173" s="3063"/>
      <c r="I6173" s="3030"/>
    </row>
    <row r="6174" spans="2:9" ht="25.5">
      <c r="B6174" s="3192" t="s">
        <v>720</v>
      </c>
      <c r="C6174" s="3063"/>
      <c r="D6174" s="3064"/>
      <c r="E6174" s="3064"/>
      <c r="F6174" s="3064"/>
      <c r="G6174" s="3301" t="s">
        <v>720</v>
      </c>
      <c r="H6174" s="3063"/>
      <c r="I6174" s="3030"/>
    </row>
    <row r="6175" spans="2:9" ht="38.25">
      <c r="B6175" s="3299" t="s">
        <v>680</v>
      </c>
      <c r="C6175" s="3063"/>
      <c r="D6175" s="3064"/>
      <c r="E6175" s="3064"/>
      <c r="F6175" s="3064"/>
      <c r="G6175" s="3300" t="s">
        <v>680</v>
      </c>
      <c r="H6175" s="3063"/>
      <c r="I6175" s="3030"/>
    </row>
    <row r="6176" spans="2:9" ht="25.5">
      <c r="B6176" s="3192" t="s">
        <v>675</v>
      </c>
      <c r="C6176" s="3063"/>
      <c r="D6176" s="3064"/>
      <c r="E6176" s="3064"/>
      <c r="F6176" s="3064"/>
      <c r="G6176" s="3301" t="s">
        <v>675</v>
      </c>
      <c r="H6176" s="3063"/>
      <c r="I6176" s="3030"/>
    </row>
    <row r="6177" spans="2:9" ht="25.5">
      <c r="B6177" s="3192" t="s">
        <v>676</v>
      </c>
      <c r="C6177" s="3063"/>
      <c r="D6177" s="3064"/>
      <c r="E6177" s="3064"/>
      <c r="F6177" s="3064"/>
      <c r="G6177" s="3301" t="s">
        <v>676</v>
      </c>
      <c r="H6177" s="3063"/>
      <c r="I6177" s="3030"/>
    </row>
    <row r="6178" spans="2:9">
      <c r="B6178" s="3192" t="s">
        <v>677</v>
      </c>
      <c r="C6178" s="3063"/>
      <c r="D6178" s="3064"/>
      <c r="E6178" s="3064"/>
      <c r="F6178" s="3064"/>
      <c r="G6178" s="3301" t="s">
        <v>677</v>
      </c>
      <c r="H6178" s="3063"/>
      <c r="I6178" s="3030"/>
    </row>
    <row r="6179" spans="2:9">
      <c r="B6179" s="3192" t="s">
        <v>678</v>
      </c>
      <c r="C6179" s="3063"/>
      <c r="D6179" s="3064"/>
      <c r="E6179" s="3064"/>
      <c r="F6179" s="3064"/>
      <c r="G6179" s="3301" t="s">
        <v>678</v>
      </c>
      <c r="H6179" s="3063"/>
      <c r="I6179" s="3030"/>
    </row>
    <row r="6180" spans="2:9">
      <c r="B6180" s="3192" t="s">
        <v>679</v>
      </c>
      <c r="C6180" s="3063"/>
      <c r="D6180" s="3064"/>
      <c r="E6180" s="3064"/>
      <c r="F6180" s="3064"/>
      <c r="G6180" s="3301" t="s">
        <v>679</v>
      </c>
      <c r="H6180" s="3063"/>
      <c r="I6180" s="3030"/>
    </row>
    <row r="6181" spans="2:9" ht="25.5">
      <c r="B6181" s="3192" t="s">
        <v>720</v>
      </c>
      <c r="C6181" s="3063"/>
      <c r="D6181" s="3064"/>
      <c r="E6181" s="3064"/>
      <c r="F6181" s="3064"/>
      <c r="G6181" s="3301" t="s">
        <v>720</v>
      </c>
      <c r="H6181" s="3063"/>
      <c r="I6181" s="3030"/>
    </row>
    <row r="6182" spans="2:9" ht="38.25">
      <c r="B6182" s="3299" t="s">
        <v>681</v>
      </c>
      <c r="C6182" s="3063"/>
      <c r="D6182" s="3064"/>
      <c r="E6182" s="3064"/>
      <c r="F6182" s="3064"/>
      <c r="G6182" s="3300" t="s">
        <v>681</v>
      </c>
      <c r="H6182" s="3063">
        <v>3.1669111809321103E-2</v>
      </c>
      <c r="I6182" s="3030"/>
    </row>
    <row r="6183" spans="2:9" ht="25.5">
      <c r="B6183" s="3192" t="s">
        <v>675</v>
      </c>
      <c r="C6183" s="3063">
        <v>1</v>
      </c>
      <c r="D6183" s="3064"/>
      <c r="E6183" s="3064"/>
      <c r="F6183" s="3064"/>
      <c r="G6183" s="3301" t="s">
        <v>675</v>
      </c>
      <c r="H6183" s="3063"/>
      <c r="I6183" s="3063">
        <v>3.1669111809321103E-2</v>
      </c>
    </row>
    <row r="6184" spans="2:9" ht="25.5">
      <c r="B6184" s="3192" t="s">
        <v>676</v>
      </c>
      <c r="C6184" s="3063"/>
      <c r="D6184" s="3064"/>
      <c r="E6184" s="3064"/>
      <c r="F6184" s="3064"/>
      <c r="G6184" s="3301" t="s">
        <v>676</v>
      </c>
      <c r="H6184" s="3063"/>
      <c r="I6184" s="3030"/>
    </row>
    <row r="6185" spans="2:9">
      <c r="B6185" s="3192" t="s">
        <v>677</v>
      </c>
      <c r="C6185" s="3063"/>
      <c r="D6185" s="3064"/>
      <c r="E6185" s="3064"/>
      <c r="F6185" s="3064"/>
      <c r="G6185" s="3301" t="s">
        <v>677</v>
      </c>
      <c r="H6185" s="3063"/>
      <c r="I6185" s="3030"/>
    </row>
    <row r="6186" spans="2:9">
      <c r="B6186" s="3192" t="s">
        <v>678</v>
      </c>
      <c r="C6186" s="3063"/>
      <c r="D6186" s="3064"/>
      <c r="E6186" s="3064"/>
      <c r="F6186" s="3064"/>
      <c r="G6186" s="3301" t="s">
        <v>678</v>
      </c>
      <c r="H6186" s="3063"/>
      <c r="I6186" s="3030"/>
    </row>
    <row r="6187" spans="2:9">
      <c r="B6187" s="3192" t="s">
        <v>679</v>
      </c>
      <c r="C6187" s="3063"/>
      <c r="D6187" s="3064"/>
      <c r="E6187" s="3064"/>
      <c r="F6187" s="3064"/>
      <c r="G6187" s="3301" t="s">
        <v>679</v>
      </c>
      <c r="H6187" s="3063"/>
      <c r="I6187" s="3030"/>
    </row>
    <row r="6188" spans="2:9" ht="25.5">
      <c r="B6188" s="3192" t="s">
        <v>720</v>
      </c>
      <c r="C6188" s="3063"/>
      <c r="D6188" s="3064"/>
      <c r="E6188" s="3064"/>
      <c r="F6188" s="3064"/>
      <c r="G6188" s="3301" t="s">
        <v>720</v>
      </c>
      <c r="H6188" s="3063"/>
      <c r="I6188" s="3030"/>
    </row>
    <row r="6189" spans="2:9" ht="25.5">
      <c r="B6189" s="3299" t="s">
        <v>682</v>
      </c>
      <c r="C6189" s="3063"/>
      <c r="D6189" s="3064"/>
      <c r="E6189" s="3064"/>
      <c r="F6189" s="3064"/>
      <c r="G6189" s="3300" t="s">
        <v>682</v>
      </c>
      <c r="H6189" s="3063"/>
      <c r="I6189" s="3030"/>
    </row>
    <row r="6190" spans="2:9" ht="25.5">
      <c r="B6190" s="3192" t="s">
        <v>675</v>
      </c>
      <c r="C6190" s="3063"/>
      <c r="D6190" s="3064"/>
      <c r="E6190" s="3064"/>
      <c r="F6190" s="3064"/>
      <c r="G6190" s="3301" t="s">
        <v>675</v>
      </c>
      <c r="H6190" s="3063"/>
      <c r="I6190" s="3030"/>
    </row>
    <row r="6191" spans="2:9" ht="25.5">
      <c r="B6191" s="3192" t="s">
        <v>676</v>
      </c>
      <c r="C6191" s="3063"/>
      <c r="D6191" s="3064"/>
      <c r="E6191" s="3064"/>
      <c r="F6191" s="3064"/>
      <c r="G6191" s="3301" t="s">
        <v>676</v>
      </c>
      <c r="H6191" s="3063"/>
      <c r="I6191" s="3030"/>
    </row>
    <row r="6192" spans="2:9">
      <c r="B6192" s="3192" t="s">
        <v>677</v>
      </c>
      <c r="C6192" s="3063"/>
      <c r="D6192" s="3064"/>
      <c r="E6192" s="3064"/>
      <c r="F6192" s="3064"/>
      <c r="G6192" s="3301" t="s">
        <v>677</v>
      </c>
      <c r="H6192" s="3063"/>
      <c r="I6192" s="3030"/>
    </row>
    <row r="6193" spans="2:9">
      <c r="B6193" s="3192" t="s">
        <v>678</v>
      </c>
      <c r="C6193" s="3063"/>
      <c r="D6193" s="3064"/>
      <c r="E6193" s="3064"/>
      <c r="F6193" s="3064"/>
      <c r="G6193" s="3301" t="s">
        <v>678</v>
      </c>
      <c r="H6193" s="3063"/>
      <c r="I6193" s="3030"/>
    </row>
    <row r="6194" spans="2:9">
      <c r="B6194" s="3192" t="s">
        <v>679</v>
      </c>
      <c r="C6194" s="3063"/>
      <c r="D6194" s="3064"/>
      <c r="E6194" s="3064"/>
      <c r="F6194" s="3064"/>
      <c r="G6194" s="3301" t="s">
        <v>679</v>
      </c>
      <c r="H6194" s="3063"/>
      <c r="I6194" s="3030"/>
    </row>
    <row r="6195" spans="2:9" ht="25.5">
      <c r="B6195" s="3192" t="s">
        <v>720</v>
      </c>
      <c r="C6195" s="3063"/>
      <c r="D6195" s="3064"/>
      <c r="E6195" s="3064"/>
      <c r="F6195" s="3064"/>
      <c r="G6195" s="3301" t="s">
        <v>720</v>
      </c>
      <c r="H6195" s="3063"/>
      <c r="I6195" s="3030"/>
    </row>
    <row r="6196" spans="2:9" ht="25.5">
      <c r="B6196" s="3299" t="s">
        <v>66</v>
      </c>
      <c r="C6196" s="3063"/>
      <c r="D6196" s="3064"/>
      <c r="E6196" s="3064"/>
      <c r="F6196" s="3064"/>
      <c r="G6196" s="3300" t="s">
        <v>66</v>
      </c>
      <c r="H6196" s="3063"/>
      <c r="I6196" s="3030"/>
    </row>
    <row r="6197" spans="2:9" ht="25.5">
      <c r="B6197" s="3192" t="s">
        <v>675</v>
      </c>
      <c r="C6197" s="3063"/>
      <c r="D6197" s="3064"/>
      <c r="E6197" s="3064"/>
      <c r="F6197" s="3064"/>
      <c r="G6197" s="3301" t="s">
        <v>675</v>
      </c>
      <c r="H6197" s="3063"/>
      <c r="I6197" s="3030"/>
    </row>
    <row r="6198" spans="2:9" ht="25.5">
      <c r="B6198" s="3192" t="s">
        <v>676</v>
      </c>
      <c r="C6198" s="3063"/>
      <c r="D6198" s="3064"/>
      <c r="E6198" s="3064"/>
      <c r="F6198" s="3064"/>
      <c r="G6198" s="3301" t="s">
        <v>676</v>
      </c>
      <c r="H6198" s="3063"/>
      <c r="I6198" s="3030"/>
    </row>
    <row r="6199" spans="2:9">
      <c r="B6199" s="3192" t="s">
        <v>677</v>
      </c>
      <c r="C6199" s="3063"/>
      <c r="D6199" s="3064"/>
      <c r="E6199" s="3064"/>
      <c r="F6199" s="3064"/>
      <c r="G6199" s="3301" t="s">
        <v>677</v>
      </c>
      <c r="H6199" s="3063"/>
      <c r="I6199" s="3030"/>
    </row>
    <row r="6200" spans="2:9">
      <c r="B6200" s="3192" t="s">
        <v>678</v>
      </c>
      <c r="C6200" s="3063"/>
      <c r="D6200" s="3064"/>
      <c r="E6200" s="3064"/>
      <c r="F6200" s="3064"/>
      <c r="G6200" s="3301" t="s">
        <v>678</v>
      </c>
      <c r="H6200" s="3063"/>
      <c r="I6200" s="3030"/>
    </row>
    <row r="6201" spans="2:9">
      <c r="B6201" s="3192" t="s">
        <v>679</v>
      </c>
      <c r="C6201" s="3063"/>
      <c r="D6201" s="3064"/>
      <c r="E6201" s="3064"/>
      <c r="F6201" s="3064"/>
      <c r="G6201" s="3301" t="s">
        <v>679</v>
      </c>
      <c r="H6201" s="3063"/>
      <c r="I6201" s="3030"/>
    </row>
    <row r="6202" spans="2:9" ht="25.5">
      <c r="B6202" s="3192" t="s">
        <v>720</v>
      </c>
      <c r="C6202" s="3063"/>
      <c r="D6202" s="3064"/>
      <c r="E6202" s="3064"/>
      <c r="F6202" s="3064"/>
      <c r="G6202" s="3301" t="s">
        <v>720</v>
      </c>
      <c r="H6202" s="3063"/>
      <c r="I6202" s="3030"/>
    </row>
    <row r="6203" spans="2:9">
      <c r="B6203" s="3299" t="s">
        <v>67</v>
      </c>
      <c r="C6203" s="3063"/>
      <c r="D6203" s="3064"/>
      <c r="E6203" s="3064"/>
      <c r="F6203" s="3064"/>
      <c r="G6203" s="3300" t="s">
        <v>67</v>
      </c>
      <c r="H6203" s="3063"/>
      <c r="I6203" s="3030"/>
    </row>
    <row r="6204" spans="2:9" ht="25.5">
      <c r="B6204" s="3192" t="s">
        <v>675</v>
      </c>
      <c r="C6204" s="3063"/>
      <c r="D6204" s="3064"/>
      <c r="E6204" s="3064"/>
      <c r="F6204" s="3064"/>
      <c r="G6204" s="3301" t="s">
        <v>675</v>
      </c>
      <c r="H6204" s="3063"/>
      <c r="I6204" s="3030"/>
    </row>
    <row r="6205" spans="2:9" ht="25.5">
      <c r="B6205" s="3192" t="s">
        <v>676</v>
      </c>
      <c r="C6205" s="3063"/>
      <c r="D6205" s="3064"/>
      <c r="E6205" s="3064"/>
      <c r="F6205" s="3064"/>
      <c r="G6205" s="3301" t="s">
        <v>676</v>
      </c>
      <c r="H6205" s="3063"/>
      <c r="I6205" s="3030"/>
    </row>
    <row r="6206" spans="2:9">
      <c r="B6206" s="3192" t="s">
        <v>677</v>
      </c>
      <c r="C6206" s="3063"/>
      <c r="D6206" s="3064"/>
      <c r="E6206" s="3064"/>
      <c r="F6206" s="3064"/>
      <c r="G6206" s="3301" t="s">
        <v>677</v>
      </c>
      <c r="H6206" s="3063"/>
      <c r="I6206" s="3030"/>
    </row>
    <row r="6207" spans="2:9">
      <c r="B6207" s="3192" t="s">
        <v>678</v>
      </c>
      <c r="C6207" s="3063"/>
      <c r="D6207" s="3064"/>
      <c r="E6207" s="3064"/>
      <c r="F6207" s="3064"/>
      <c r="G6207" s="3301" t="s">
        <v>678</v>
      </c>
      <c r="H6207" s="3063"/>
      <c r="I6207" s="3030"/>
    </row>
    <row r="6208" spans="2:9">
      <c r="B6208" s="3192" t="s">
        <v>679</v>
      </c>
      <c r="C6208" s="3063"/>
      <c r="D6208" s="3064"/>
      <c r="E6208" s="3064"/>
      <c r="F6208" s="3064"/>
      <c r="G6208" s="3301" t="s">
        <v>679</v>
      </c>
      <c r="H6208" s="3063"/>
      <c r="I6208" s="3030"/>
    </row>
    <row r="6209" spans="2:9" ht="25.5">
      <c r="B6209" s="3192" t="s">
        <v>720</v>
      </c>
      <c r="C6209" s="3063"/>
      <c r="D6209" s="3064"/>
      <c r="E6209" s="3064"/>
      <c r="F6209" s="3064"/>
      <c r="G6209" s="3301" t="s">
        <v>720</v>
      </c>
      <c r="H6209" s="3063"/>
      <c r="I6209" s="3030"/>
    </row>
    <row r="6210" spans="2:9" ht="25.5">
      <c r="B6210" s="3230" t="s">
        <v>81</v>
      </c>
      <c r="C6210" s="3063"/>
      <c r="D6210" s="3064"/>
      <c r="E6210" s="3064"/>
      <c r="F6210" s="3064"/>
      <c r="G6210" s="3302" t="s">
        <v>81</v>
      </c>
      <c r="H6210" s="3063"/>
      <c r="I6210" s="3030"/>
    </row>
    <row r="6211" spans="2:9" ht="26.25" thickBot="1">
      <c r="B6211" s="3303" t="s">
        <v>81</v>
      </c>
      <c r="C6211" s="3063"/>
      <c r="D6211" s="3064"/>
      <c r="E6211" s="3064"/>
      <c r="F6211" s="3064"/>
      <c r="G6211" s="3302" t="s">
        <v>81</v>
      </c>
      <c r="H6211" s="3063"/>
      <c r="I6211" s="3030"/>
    </row>
    <row r="6212" spans="2:9" ht="25.5">
      <c r="B6212" s="3217" t="s">
        <v>696</v>
      </c>
      <c r="C6212" s="3218"/>
      <c r="D6212" s="3219"/>
      <c r="E6212" s="3219"/>
      <c r="F6212" s="3219"/>
      <c r="G6212" s="3217" t="s">
        <v>696</v>
      </c>
      <c r="H6212" s="3297"/>
      <c r="I6212" s="3298"/>
    </row>
    <row r="6213" spans="2:9">
      <c r="B6213" s="3299" t="s">
        <v>64</v>
      </c>
      <c r="C6213" s="3063"/>
      <c r="D6213" s="3064"/>
      <c r="E6213" s="3064"/>
      <c r="F6213" s="3064"/>
      <c r="G6213" s="3300" t="s">
        <v>64</v>
      </c>
      <c r="H6213" s="3063">
        <v>6.0950830588060188E-2</v>
      </c>
      <c r="I6213" s="3030"/>
    </row>
    <row r="6214" spans="2:9" ht="25.5">
      <c r="B6214" s="3192" t="s">
        <v>675</v>
      </c>
      <c r="C6214" s="3063"/>
      <c r="D6214" s="3064">
        <v>1</v>
      </c>
      <c r="E6214" s="3064"/>
      <c r="F6214" s="3064"/>
      <c r="G6214" s="3301" t="s">
        <v>675</v>
      </c>
      <c r="H6214" s="3063"/>
      <c r="I6214" s="3063">
        <v>6.0950830588060188E-2</v>
      </c>
    </row>
    <row r="6215" spans="2:9" ht="25.5">
      <c r="B6215" s="3192" t="s">
        <v>676</v>
      </c>
      <c r="C6215" s="3063"/>
      <c r="D6215" s="3064"/>
      <c r="E6215" s="3064"/>
      <c r="F6215" s="3064"/>
      <c r="G6215" s="3301" t="s">
        <v>676</v>
      </c>
      <c r="H6215" s="3063"/>
      <c r="I6215" s="3030"/>
    </row>
    <row r="6216" spans="2:9">
      <c r="B6216" s="3192" t="s">
        <v>677</v>
      </c>
      <c r="C6216" s="3063"/>
      <c r="D6216" s="3064"/>
      <c r="E6216" s="3064"/>
      <c r="F6216" s="3064"/>
      <c r="G6216" s="3301" t="s">
        <v>677</v>
      </c>
      <c r="H6216" s="3063"/>
      <c r="I6216" s="3030"/>
    </row>
    <row r="6217" spans="2:9">
      <c r="B6217" s="3192" t="s">
        <v>678</v>
      </c>
      <c r="C6217" s="3063"/>
      <c r="D6217" s="3064"/>
      <c r="E6217" s="3064"/>
      <c r="F6217" s="3064"/>
      <c r="G6217" s="3301" t="s">
        <v>678</v>
      </c>
      <c r="H6217" s="3063"/>
      <c r="I6217" s="3030"/>
    </row>
    <row r="6218" spans="2:9">
      <c r="B6218" s="3192" t="s">
        <v>679</v>
      </c>
      <c r="C6218" s="3063"/>
      <c r="D6218" s="3064"/>
      <c r="E6218" s="3064"/>
      <c r="F6218" s="3064"/>
      <c r="G6218" s="3301" t="s">
        <v>679</v>
      </c>
      <c r="H6218" s="3063"/>
      <c r="I6218" s="3030"/>
    </row>
    <row r="6219" spans="2:9" ht="25.5">
      <c r="B6219" s="3192" t="s">
        <v>720</v>
      </c>
      <c r="C6219" s="3063"/>
      <c r="D6219" s="3064"/>
      <c r="E6219" s="3064"/>
      <c r="F6219" s="3064"/>
      <c r="G6219" s="3301" t="s">
        <v>720</v>
      </c>
      <c r="H6219" s="3063"/>
      <c r="I6219" s="3030"/>
    </row>
    <row r="6220" spans="2:9">
      <c r="B6220" s="3299" t="s">
        <v>65</v>
      </c>
      <c r="C6220" s="3063"/>
      <c r="D6220" s="3064"/>
      <c r="E6220" s="3064"/>
      <c r="F6220" s="3064"/>
      <c r="G6220" s="3300" t="s">
        <v>65</v>
      </c>
      <c r="H6220" s="3063"/>
      <c r="I6220" s="3030"/>
    </row>
    <row r="6221" spans="2:9" ht="25.5">
      <c r="B6221" s="3192" t="s">
        <v>675</v>
      </c>
      <c r="C6221" s="3063"/>
      <c r="D6221" s="3064"/>
      <c r="E6221" s="3064"/>
      <c r="F6221" s="3064"/>
      <c r="G6221" s="3301" t="s">
        <v>675</v>
      </c>
      <c r="H6221" s="3063"/>
      <c r="I6221" s="3030"/>
    </row>
    <row r="6222" spans="2:9" ht="25.5">
      <c r="B6222" s="3192" t="s">
        <v>676</v>
      </c>
      <c r="C6222" s="3063"/>
      <c r="D6222" s="3064"/>
      <c r="E6222" s="3064"/>
      <c r="F6222" s="3064"/>
      <c r="G6222" s="3301" t="s">
        <v>676</v>
      </c>
      <c r="H6222" s="3063"/>
      <c r="I6222" s="3030"/>
    </row>
    <row r="6223" spans="2:9">
      <c r="B6223" s="3192" t="s">
        <v>677</v>
      </c>
      <c r="C6223" s="3063"/>
      <c r="D6223" s="3064"/>
      <c r="E6223" s="3064"/>
      <c r="F6223" s="3064"/>
      <c r="G6223" s="3301" t="s">
        <v>677</v>
      </c>
      <c r="H6223" s="3063"/>
      <c r="I6223" s="3030"/>
    </row>
    <row r="6224" spans="2:9">
      <c r="B6224" s="3192" t="s">
        <v>678</v>
      </c>
      <c r="C6224" s="3063"/>
      <c r="D6224" s="3064"/>
      <c r="E6224" s="3064"/>
      <c r="F6224" s="3064"/>
      <c r="G6224" s="3301" t="s">
        <v>678</v>
      </c>
      <c r="H6224" s="3063"/>
      <c r="I6224" s="3030"/>
    </row>
    <row r="6225" spans="2:9">
      <c r="B6225" s="3192" t="s">
        <v>679</v>
      </c>
      <c r="C6225" s="3063"/>
      <c r="D6225" s="3064"/>
      <c r="E6225" s="3064"/>
      <c r="F6225" s="3064"/>
      <c r="G6225" s="3301" t="s">
        <v>679</v>
      </c>
      <c r="H6225" s="3063"/>
      <c r="I6225" s="3030"/>
    </row>
    <row r="6226" spans="2:9" ht="25.5">
      <c r="B6226" s="3192" t="s">
        <v>720</v>
      </c>
      <c r="C6226" s="3063"/>
      <c r="D6226" s="3064"/>
      <c r="E6226" s="3064"/>
      <c r="F6226" s="3064"/>
      <c r="G6226" s="3301" t="s">
        <v>720</v>
      </c>
      <c r="H6226" s="3063"/>
      <c r="I6226" s="3030"/>
    </row>
    <row r="6227" spans="2:9">
      <c r="B6227" s="3299" t="s">
        <v>82</v>
      </c>
      <c r="C6227" s="3063"/>
      <c r="D6227" s="3064"/>
      <c r="E6227" s="3064"/>
      <c r="F6227" s="3064"/>
      <c r="G6227" s="3300" t="s">
        <v>82</v>
      </c>
      <c r="H6227" s="3063"/>
      <c r="I6227" s="3030"/>
    </row>
    <row r="6228" spans="2:9" ht="25.5">
      <c r="B6228" s="3192" t="s">
        <v>675</v>
      </c>
      <c r="C6228" s="3063"/>
      <c r="D6228" s="3064"/>
      <c r="E6228" s="3064"/>
      <c r="F6228" s="3064"/>
      <c r="G6228" s="3301" t="s">
        <v>675</v>
      </c>
      <c r="H6228" s="3063"/>
      <c r="I6228" s="3030"/>
    </row>
    <row r="6229" spans="2:9" ht="25.5">
      <c r="B6229" s="3192" t="s">
        <v>676</v>
      </c>
      <c r="C6229" s="3063"/>
      <c r="D6229" s="3064"/>
      <c r="E6229" s="3064"/>
      <c r="F6229" s="3064"/>
      <c r="G6229" s="3301" t="s">
        <v>676</v>
      </c>
      <c r="H6229" s="3063"/>
      <c r="I6229" s="3030"/>
    </row>
    <row r="6230" spans="2:9">
      <c r="B6230" s="3192" t="s">
        <v>677</v>
      </c>
      <c r="C6230" s="3063"/>
      <c r="D6230" s="3064"/>
      <c r="E6230" s="3064"/>
      <c r="F6230" s="3064"/>
      <c r="G6230" s="3301" t="s">
        <v>677</v>
      </c>
      <c r="H6230" s="3063"/>
      <c r="I6230" s="3030"/>
    </row>
    <row r="6231" spans="2:9">
      <c r="B6231" s="3192" t="s">
        <v>678</v>
      </c>
      <c r="C6231" s="3063"/>
      <c r="D6231" s="3064"/>
      <c r="E6231" s="3064"/>
      <c r="F6231" s="3064"/>
      <c r="G6231" s="3301" t="s">
        <v>678</v>
      </c>
      <c r="H6231" s="3063"/>
      <c r="I6231" s="3030"/>
    </row>
    <row r="6232" spans="2:9">
      <c r="B6232" s="3192" t="s">
        <v>679</v>
      </c>
      <c r="C6232" s="3063"/>
      <c r="D6232" s="3064"/>
      <c r="E6232" s="3064"/>
      <c r="F6232" s="3064"/>
      <c r="G6232" s="3301" t="s">
        <v>679</v>
      </c>
      <c r="H6232" s="3063"/>
      <c r="I6232" s="3030"/>
    </row>
    <row r="6233" spans="2:9" ht="25.5">
      <c r="B6233" s="3192" t="s">
        <v>720</v>
      </c>
      <c r="C6233" s="3063"/>
      <c r="D6233" s="3064"/>
      <c r="E6233" s="3064"/>
      <c r="F6233" s="3064"/>
      <c r="G6233" s="3301" t="s">
        <v>720</v>
      </c>
      <c r="H6233" s="3063"/>
      <c r="I6233" s="3030"/>
    </row>
    <row r="6234" spans="2:9" ht="38.25">
      <c r="B6234" s="3299" t="s">
        <v>680</v>
      </c>
      <c r="C6234" s="3063"/>
      <c r="D6234" s="3064"/>
      <c r="E6234" s="3064"/>
      <c r="F6234" s="3064"/>
      <c r="G6234" s="3300" t="s">
        <v>680</v>
      </c>
      <c r="H6234" s="3063"/>
      <c r="I6234" s="3030"/>
    </row>
    <row r="6235" spans="2:9" ht="25.5">
      <c r="B6235" s="3192" t="s">
        <v>675</v>
      </c>
      <c r="C6235" s="3063"/>
      <c r="D6235" s="3064"/>
      <c r="E6235" s="3064"/>
      <c r="F6235" s="3064"/>
      <c r="G6235" s="3301" t="s">
        <v>675</v>
      </c>
      <c r="H6235" s="3063"/>
      <c r="I6235" s="3030"/>
    </row>
    <row r="6236" spans="2:9" ht="25.5">
      <c r="B6236" s="3192" t="s">
        <v>676</v>
      </c>
      <c r="C6236" s="3063"/>
      <c r="D6236" s="3064"/>
      <c r="E6236" s="3064"/>
      <c r="F6236" s="3064"/>
      <c r="G6236" s="3301" t="s">
        <v>676</v>
      </c>
      <c r="H6236" s="3063"/>
      <c r="I6236" s="3030"/>
    </row>
    <row r="6237" spans="2:9">
      <c r="B6237" s="3192" t="s">
        <v>677</v>
      </c>
      <c r="C6237" s="3063"/>
      <c r="D6237" s="3064"/>
      <c r="E6237" s="3064"/>
      <c r="F6237" s="3064"/>
      <c r="G6237" s="3301" t="s">
        <v>677</v>
      </c>
      <c r="H6237" s="3063"/>
      <c r="I6237" s="3030"/>
    </row>
    <row r="6238" spans="2:9">
      <c r="B6238" s="3192" t="s">
        <v>678</v>
      </c>
      <c r="C6238" s="3063"/>
      <c r="D6238" s="3064"/>
      <c r="E6238" s="3064"/>
      <c r="F6238" s="3064"/>
      <c r="G6238" s="3301" t="s">
        <v>678</v>
      </c>
      <c r="H6238" s="3063"/>
      <c r="I6238" s="3030"/>
    </row>
    <row r="6239" spans="2:9">
      <c r="B6239" s="3192" t="s">
        <v>679</v>
      </c>
      <c r="C6239" s="3063"/>
      <c r="D6239" s="3064"/>
      <c r="E6239" s="3064"/>
      <c r="F6239" s="3064"/>
      <c r="G6239" s="3301" t="s">
        <v>679</v>
      </c>
      <c r="H6239" s="3063"/>
      <c r="I6239" s="3030"/>
    </row>
    <row r="6240" spans="2:9" ht="25.5">
      <c r="B6240" s="3192" t="s">
        <v>720</v>
      </c>
      <c r="C6240" s="3063"/>
      <c r="D6240" s="3064"/>
      <c r="E6240" s="3064"/>
      <c r="F6240" s="3064"/>
      <c r="G6240" s="3301" t="s">
        <v>720</v>
      </c>
      <c r="H6240" s="3063"/>
      <c r="I6240" s="3030"/>
    </row>
    <row r="6241" spans="2:9" ht="38.25">
      <c r="B6241" s="3299" t="s">
        <v>681</v>
      </c>
      <c r="C6241" s="3063"/>
      <c r="D6241" s="3064"/>
      <c r="E6241" s="3064"/>
      <c r="F6241" s="3064"/>
      <c r="G6241" s="3300" t="s">
        <v>681</v>
      </c>
      <c r="H6241" s="3063"/>
      <c r="I6241" s="3030"/>
    </row>
    <row r="6242" spans="2:9" ht="25.5">
      <c r="B6242" s="3192" t="s">
        <v>675</v>
      </c>
      <c r="C6242" s="3063"/>
      <c r="D6242" s="3064"/>
      <c r="E6242" s="3064"/>
      <c r="F6242" s="3064"/>
      <c r="G6242" s="3301" t="s">
        <v>675</v>
      </c>
      <c r="H6242" s="3063"/>
      <c r="I6242" s="3030"/>
    </row>
    <row r="6243" spans="2:9" ht="25.5">
      <c r="B6243" s="3192" t="s">
        <v>676</v>
      </c>
      <c r="C6243" s="3063"/>
      <c r="D6243" s="3064"/>
      <c r="E6243" s="3064"/>
      <c r="F6243" s="3064"/>
      <c r="G6243" s="3301" t="s">
        <v>676</v>
      </c>
      <c r="H6243" s="3063"/>
      <c r="I6243" s="3030"/>
    </row>
    <row r="6244" spans="2:9">
      <c r="B6244" s="3192" t="s">
        <v>677</v>
      </c>
      <c r="C6244" s="3063"/>
      <c r="D6244" s="3064"/>
      <c r="E6244" s="3064"/>
      <c r="F6244" s="3064"/>
      <c r="G6244" s="3301" t="s">
        <v>677</v>
      </c>
      <c r="H6244" s="3063"/>
      <c r="I6244" s="3030"/>
    </row>
    <row r="6245" spans="2:9">
      <c r="B6245" s="3192" t="s">
        <v>678</v>
      </c>
      <c r="C6245" s="3063"/>
      <c r="D6245" s="3064"/>
      <c r="E6245" s="3064"/>
      <c r="F6245" s="3064"/>
      <c r="G6245" s="3301" t="s">
        <v>678</v>
      </c>
      <c r="H6245" s="3063"/>
      <c r="I6245" s="3030"/>
    </row>
    <row r="6246" spans="2:9">
      <c r="B6246" s="3192" t="s">
        <v>679</v>
      </c>
      <c r="C6246" s="3063"/>
      <c r="D6246" s="3064"/>
      <c r="E6246" s="3064"/>
      <c r="F6246" s="3064"/>
      <c r="G6246" s="3301" t="s">
        <v>679</v>
      </c>
      <c r="H6246" s="3063"/>
      <c r="I6246" s="3030"/>
    </row>
    <row r="6247" spans="2:9" ht="25.5">
      <c r="B6247" s="3192" t="s">
        <v>720</v>
      </c>
      <c r="C6247" s="3063"/>
      <c r="D6247" s="3064"/>
      <c r="E6247" s="3064"/>
      <c r="F6247" s="3064"/>
      <c r="G6247" s="3301" t="s">
        <v>720</v>
      </c>
      <c r="H6247" s="3063"/>
      <c r="I6247" s="3030"/>
    </row>
    <row r="6248" spans="2:9" ht="25.5">
      <c r="B6248" s="3299" t="s">
        <v>682</v>
      </c>
      <c r="C6248" s="3063"/>
      <c r="D6248" s="3064"/>
      <c r="E6248" s="3064"/>
      <c r="F6248" s="3064"/>
      <c r="G6248" s="3300" t="s">
        <v>682</v>
      </c>
      <c r="H6248" s="3063"/>
      <c r="I6248" s="3030"/>
    </row>
    <row r="6249" spans="2:9" ht="25.5">
      <c r="B6249" s="3192" t="s">
        <v>675</v>
      </c>
      <c r="C6249" s="3063"/>
      <c r="D6249" s="3064"/>
      <c r="E6249" s="3064"/>
      <c r="F6249" s="3064"/>
      <c r="G6249" s="3301" t="s">
        <v>675</v>
      </c>
      <c r="H6249" s="3063"/>
      <c r="I6249" s="3030"/>
    </row>
    <row r="6250" spans="2:9" ht="25.5">
      <c r="B6250" s="3192" t="s">
        <v>676</v>
      </c>
      <c r="C6250" s="3063"/>
      <c r="D6250" s="3064"/>
      <c r="E6250" s="3064"/>
      <c r="F6250" s="3064"/>
      <c r="G6250" s="3301" t="s">
        <v>676</v>
      </c>
      <c r="H6250" s="3063"/>
      <c r="I6250" s="3030"/>
    </row>
    <row r="6251" spans="2:9">
      <c r="B6251" s="3192" t="s">
        <v>677</v>
      </c>
      <c r="C6251" s="3063"/>
      <c r="D6251" s="3064"/>
      <c r="E6251" s="3064"/>
      <c r="F6251" s="3064"/>
      <c r="G6251" s="3301" t="s">
        <v>677</v>
      </c>
      <c r="H6251" s="3063"/>
      <c r="I6251" s="3030"/>
    </row>
    <row r="6252" spans="2:9">
      <c r="B6252" s="3192" t="s">
        <v>678</v>
      </c>
      <c r="C6252" s="3063"/>
      <c r="D6252" s="3064"/>
      <c r="E6252" s="3064"/>
      <c r="F6252" s="3064"/>
      <c r="G6252" s="3301" t="s">
        <v>678</v>
      </c>
      <c r="H6252" s="3063"/>
      <c r="I6252" s="3030"/>
    </row>
    <row r="6253" spans="2:9">
      <c r="B6253" s="3192" t="s">
        <v>679</v>
      </c>
      <c r="C6253" s="3063"/>
      <c r="D6253" s="3064"/>
      <c r="E6253" s="3064"/>
      <c r="F6253" s="3064"/>
      <c r="G6253" s="3301" t="s">
        <v>679</v>
      </c>
      <c r="H6253" s="3063"/>
      <c r="I6253" s="3030"/>
    </row>
    <row r="6254" spans="2:9" ht="25.5">
      <c r="B6254" s="3192" t="s">
        <v>720</v>
      </c>
      <c r="C6254" s="3063"/>
      <c r="D6254" s="3064"/>
      <c r="E6254" s="3064"/>
      <c r="F6254" s="3064"/>
      <c r="G6254" s="3301" t="s">
        <v>720</v>
      </c>
      <c r="H6254" s="3063"/>
      <c r="I6254" s="3030"/>
    </row>
    <row r="6255" spans="2:9" ht="25.5">
      <c r="B6255" s="3299" t="s">
        <v>66</v>
      </c>
      <c r="C6255" s="3063"/>
      <c r="D6255" s="3064"/>
      <c r="E6255" s="3064"/>
      <c r="F6255" s="3064"/>
      <c r="G6255" s="3300" t="s">
        <v>66</v>
      </c>
      <c r="H6255" s="3063"/>
      <c r="I6255" s="3030"/>
    </row>
    <row r="6256" spans="2:9" ht="25.5">
      <c r="B6256" s="3192" t="s">
        <v>675</v>
      </c>
      <c r="C6256" s="3063"/>
      <c r="D6256" s="3064"/>
      <c r="E6256" s="3064"/>
      <c r="F6256" s="3064"/>
      <c r="G6256" s="3301" t="s">
        <v>675</v>
      </c>
      <c r="H6256" s="3063"/>
      <c r="I6256" s="3030"/>
    </row>
    <row r="6257" spans="2:9" ht="25.5">
      <c r="B6257" s="3192" t="s">
        <v>676</v>
      </c>
      <c r="C6257" s="3063"/>
      <c r="D6257" s="3064"/>
      <c r="E6257" s="3064"/>
      <c r="F6257" s="3064"/>
      <c r="G6257" s="3301" t="s">
        <v>676</v>
      </c>
      <c r="H6257" s="3063"/>
      <c r="I6257" s="3030"/>
    </row>
    <row r="6258" spans="2:9">
      <c r="B6258" s="3192" t="s">
        <v>677</v>
      </c>
      <c r="C6258" s="3063"/>
      <c r="D6258" s="3064"/>
      <c r="E6258" s="3064"/>
      <c r="F6258" s="3064"/>
      <c r="G6258" s="3301" t="s">
        <v>677</v>
      </c>
      <c r="H6258" s="3063"/>
      <c r="I6258" s="3030"/>
    </row>
    <row r="6259" spans="2:9">
      <c r="B6259" s="3192" t="s">
        <v>678</v>
      </c>
      <c r="C6259" s="3063"/>
      <c r="D6259" s="3064"/>
      <c r="E6259" s="3064"/>
      <c r="F6259" s="3064"/>
      <c r="G6259" s="3301" t="s">
        <v>678</v>
      </c>
      <c r="H6259" s="3063"/>
      <c r="I6259" s="3030"/>
    </row>
    <row r="6260" spans="2:9">
      <c r="B6260" s="3192" t="s">
        <v>679</v>
      </c>
      <c r="C6260" s="3063"/>
      <c r="D6260" s="3064"/>
      <c r="E6260" s="3064"/>
      <c r="F6260" s="3064"/>
      <c r="G6260" s="3301" t="s">
        <v>679</v>
      </c>
      <c r="H6260" s="3063"/>
      <c r="I6260" s="3030"/>
    </row>
    <row r="6261" spans="2:9" ht="25.5">
      <c r="B6261" s="3192" t="s">
        <v>720</v>
      </c>
      <c r="C6261" s="3063"/>
      <c r="D6261" s="3064"/>
      <c r="E6261" s="3064"/>
      <c r="F6261" s="3064"/>
      <c r="G6261" s="3301" t="s">
        <v>720</v>
      </c>
      <c r="H6261" s="3063"/>
      <c r="I6261" s="3030"/>
    </row>
    <row r="6262" spans="2:9">
      <c r="B6262" s="3299" t="s">
        <v>67</v>
      </c>
      <c r="C6262" s="3063"/>
      <c r="D6262" s="3064"/>
      <c r="E6262" s="3064"/>
      <c r="F6262" s="3064"/>
      <c r="G6262" s="3300" t="s">
        <v>67</v>
      </c>
      <c r="H6262" s="3063"/>
      <c r="I6262" s="3030"/>
    </row>
    <row r="6263" spans="2:9" ht="25.5">
      <c r="B6263" s="3192" t="s">
        <v>675</v>
      </c>
      <c r="C6263" s="3063"/>
      <c r="D6263" s="3064"/>
      <c r="E6263" s="3064"/>
      <c r="F6263" s="3064"/>
      <c r="G6263" s="3301" t="s">
        <v>675</v>
      </c>
      <c r="H6263" s="3063"/>
      <c r="I6263" s="3030"/>
    </row>
    <row r="6264" spans="2:9" ht="25.5">
      <c r="B6264" s="3192" t="s">
        <v>676</v>
      </c>
      <c r="C6264" s="3063"/>
      <c r="D6264" s="3064"/>
      <c r="E6264" s="3064"/>
      <c r="F6264" s="3064"/>
      <c r="G6264" s="3301" t="s">
        <v>676</v>
      </c>
      <c r="H6264" s="3063"/>
      <c r="I6264" s="3030"/>
    </row>
    <row r="6265" spans="2:9">
      <c r="B6265" s="3192" t="s">
        <v>677</v>
      </c>
      <c r="C6265" s="3063"/>
      <c r="D6265" s="3064"/>
      <c r="E6265" s="3064"/>
      <c r="F6265" s="3064"/>
      <c r="G6265" s="3301" t="s">
        <v>677</v>
      </c>
      <c r="H6265" s="3063"/>
      <c r="I6265" s="3030"/>
    </row>
    <row r="6266" spans="2:9">
      <c r="B6266" s="3192" t="s">
        <v>678</v>
      </c>
      <c r="C6266" s="3063"/>
      <c r="D6266" s="3064"/>
      <c r="E6266" s="3064"/>
      <c r="F6266" s="3064"/>
      <c r="G6266" s="3301" t="s">
        <v>678</v>
      </c>
      <c r="H6266" s="3063"/>
      <c r="I6266" s="3030"/>
    </row>
    <row r="6267" spans="2:9">
      <c r="B6267" s="3192" t="s">
        <v>679</v>
      </c>
      <c r="C6267" s="3063"/>
      <c r="D6267" s="3064"/>
      <c r="E6267" s="3064"/>
      <c r="F6267" s="3064"/>
      <c r="G6267" s="3301" t="s">
        <v>679</v>
      </c>
      <c r="H6267" s="3063"/>
      <c r="I6267" s="3030"/>
    </row>
    <row r="6268" spans="2:9" ht="25.5">
      <c r="B6268" s="3230" t="s">
        <v>81</v>
      </c>
      <c r="C6268" s="3063"/>
      <c r="D6268" s="3064"/>
      <c r="E6268" s="3064"/>
      <c r="F6268" s="3064"/>
      <c r="G6268" s="3302" t="s">
        <v>81</v>
      </c>
      <c r="H6268" s="3063"/>
      <c r="I6268" s="3030"/>
    </row>
    <row r="6269" spans="2:9" ht="26.25" thickBot="1">
      <c r="B6269" s="3303" t="s">
        <v>81</v>
      </c>
      <c r="C6269" s="3063"/>
      <c r="D6269" s="3064"/>
      <c r="E6269" s="3064"/>
      <c r="F6269" s="3064"/>
      <c r="G6269" s="3302" t="s">
        <v>81</v>
      </c>
      <c r="H6269" s="3063"/>
      <c r="I6269" s="3030"/>
    </row>
    <row r="6270" spans="2:9">
      <c r="B6270" s="3217" t="s">
        <v>697</v>
      </c>
      <c r="C6270" s="3218"/>
      <c r="D6270" s="3219"/>
      <c r="E6270" s="3219"/>
      <c r="F6270" s="3219"/>
      <c r="G6270" s="3217" t="s">
        <v>697</v>
      </c>
      <c r="H6270" s="3297"/>
      <c r="I6270" s="3298"/>
    </row>
    <row r="6271" spans="2:9">
      <c r="B6271" s="3299" t="s">
        <v>64</v>
      </c>
      <c r="C6271" s="3063"/>
      <c r="D6271" s="3064"/>
      <c r="E6271" s="3064"/>
      <c r="F6271" s="3064"/>
      <c r="G6271" s="3300" t="s">
        <v>64</v>
      </c>
      <c r="H6271" s="3063"/>
      <c r="I6271" s="3030"/>
    </row>
    <row r="6272" spans="2:9" ht="25.5">
      <c r="B6272" s="3192" t="s">
        <v>675</v>
      </c>
      <c r="C6272" s="3063"/>
      <c r="D6272" s="3064"/>
      <c r="E6272" s="3064"/>
      <c r="F6272" s="3064"/>
      <c r="G6272" s="3301" t="s">
        <v>675</v>
      </c>
      <c r="H6272" s="3063"/>
      <c r="I6272" s="3030"/>
    </row>
    <row r="6273" spans="2:9" ht="25.5">
      <c r="B6273" s="3192" t="s">
        <v>676</v>
      </c>
      <c r="C6273" s="3063"/>
      <c r="D6273" s="3064"/>
      <c r="E6273" s="3064"/>
      <c r="F6273" s="3064"/>
      <c r="G6273" s="3301" t="s">
        <v>676</v>
      </c>
      <c r="H6273" s="3063"/>
      <c r="I6273" s="3030"/>
    </row>
    <row r="6274" spans="2:9">
      <c r="B6274" s="3192" t="s">
        <v>677</v>
      </c>
      <c r="C6274" s="3063"/>
      <c r="D6274" s="3064"/>
      <c r="E6274" s="3064"/>
      <c r="F6274" s="3064"/>
      <c r="G6274" s="3301" t="s">
        <v>677</v>
      </c>
      <c r="H6274" s="3063"/>
      <c r="I6274" s="3030"/>
    </row>
    <row r="6275" spans="2:9">
      <c r="B6275" s="3192" t="s">
        <v>678</v>
      </c>
      <c r="C6275" s="3063"/>
      <c r="D6275" s="3064"/>
      <c r="E6275" s="3064"/>
      <c r="F6275" s="3064"/>
      <c r="G6275" s="3301" t="s">
        <v>678</v>
      </c>
      <c r="H6275" s="3063"/>
      <c r="I6275" s="3030"/>
    </row>
    <row r="6276" spans="2:9">
      <c r="B6276" s="3192" t="s">
        <v>679</v>
      </c>
      <c r="C6276" s="3063"/>
      <c r="D6276" s="3064"/>
      <c r="E6276" s="3064"/>
      <c r="F6276" s="3064"/>
      <c r="G6276" s="3301" t="s">
        <v>679</v>
      </c>
      <c r="H6276" s="3063"/>
      <c r="I6276" s="3030"/>
    </row>
    <row r="6277" spans="2:9" ht="25.5">
      <c r="B6277" s="3192" t="s">
        <v>720</v>
      </c>
      <c r="C6277" s="3063"/>
      <c r="D6277" s="3064"/>
      <c r="E6277" s="3064"/>
      <c r="F6277" s="3064"/>
      <c r="G6277" s="3301" t="s">
        <v>720</v>
      </c>
      <c r="H6277" s="3063"/>
      <c r="I6277" s="3030"/>
    </row>
    <row r="6278" spans="2:9">
      <c r="B6278" s="3299" t="s">
        <v>65</v>
      </c>
      <c r="C6278" s="3063"/>
      <c r="D6278" s="3064"/>
      <c r="E6278" s="3064"/>
      <c r="F6278" s="3064"/>
      <c r="G6278" s="3300" t="s">
        <v>65</v>
      </c>
      <c r="H6278" s="3063"/>
      <c r="I6278" s="3030"/>
    </row>
    <row r="6279" spans="2:9" ht="25.5">
      <c r="B6279" s="3192" t="s">
        <v>675</v>
      </c>
      <c r="C6279" s="3063"/>
      <c r="D6279" s="3064"/>
      <c r="E6279" s="3064"/>
      <c r="F6279" s="3064"/>
      <c r="G6279" s="3301" t="s">
        <v>675</v>
      </c>
      <c r="H6279" s="3063"/>
      <c r="I6279" s="3030"/>
    </row>
    <row r="6280" spans="2:9" ht="25.5">
      <c r="B6280" s="3192" t="s">
        <v>676</v>
      </c>
      <c r="C6280" s="3063"/>
      <c r="D6280" s="3064"/>
      <c r="E6280" s="3064"/>
      <c r="F6280" s="3064"/>
      <c r="G6280" s="3301" t="s">
        <v>676</v>
      </c>
      <c r="H6280" s="3063"/>
      <c r="I6280" s="3030"/>
    </row>
    <row r="6281" spans="2:9">
      <c r="B6281" s="3192" t="s">
        <v>677</v>
      </c>
      <c r="C6281" s="3063"/>
      <c r="D6281" s="3064"/>
      <c r="E6281" s="3064"/>
      <c r="F6281" s="3064"/>
      <c r="G6281" s="3301" t="s">
        <v>677</v>
      </c>
      <c r="H6281" s="3063"/>
      <c r="I6281" s="3030"/>
    </row>
    <row r="6282" spans="2:9">
      <c r="B6282" s="3192" t="s">
        <v>678</v>
      </c>
      <c r="C6282" s="3063"/>
      <c r="D6282" s="3064"/>
      <c r="E6282" s="3064"/>
      <c r="F6282" s="3064"/>
      <c r="G6282" s="3301" t="s">
        <v>678</v>
      </c>
      <c r="H6282" s="3063"/>
      <c r="I6282" s="3030"/>
    </row>
    <row r="6283" spans="2:9">
      <c r="B6283" s="3192" t="s">
        <v>679</v>
      </c>
      <c r="C6283" s="3063"/>
      <c r="D6283" s="3064"/>
      <c r="E6283" s="3064"/>
      <c r="F6283" s="3064"/>
      <c r="G6283" s="3301" t="s">
        <v>679</v>
      </c>
      <c r="H6283" s="3063"/>
      <c r="I6283" s="3030"/>
    </row>
    <row r="6284" spans="2:9" ht="25.5">
      <c r="B6284" s="3192" t="s">
        <v>720</v>
      </c>
      <c r="C6284" s="3063"/>
      <c r="D6284" s="3064"/>
      <c r="E6284" s="3064"/>
      <c r="F6284" s="3064"/>
      <c r="G6284" s="3301" t="s">
        <v>720</v>
      </c>
      <c r="H6284" s="3063"/>
      <c r="I6284" s="3030"/>
    </row>
    <row r="6285" spans="2:9">
      <c r="B6285" s="3299" t="s">
        <v>82</v>
      </c>
      <c r="C6285" s="3063"/>
      <c r="D6285" s="3064"/>
      <c r="E6285" s="3064"/>
      <c r="F6285" s="3064"/>
      <c r="G6285" s="3300" t="s">
        <v>82</v>
      </c>
      <c r="H6285" s="3063"/>
      <c r="I6285" s="3030"/>
    </row>
    <row r="6286" spans="2:9" ht="25.5">
      <c r="B6286" s="3192" t="s">
        <v>675</v>
      </c>
      <c r="C6286" s="3063"/>
      <c r="D6286" s="3064"/>
      <c r="E6286" s="3064"/>
      <c r="F6286" s="3064"/>
      <c r="G6286" s="3301" t="s">
        <v>675</v>
      </c>
      <c r="H6286" s="3063"/>
      <c r="I6286" s="3030"/>
    </row>
    <row r="6287" spans="2:9" ht="25.5">
      <c r="B6287" s="3192" t="s">
        <v>676</v>
      </c>
      <c r="C6287" s="3063"/>
      <c r="D6287" s="3064"/>
      <c r="E6287" s="3064"/>
      <c r="F6287" s="3064"/>
      <c r="G6287" s="3301" t="s">
        <v>676</v>
      </c>
      <c r="H6287" s="3063"/>
      <c r="I6287" s="3030"/>
    </row>
    <row r="6288" spans="2:9">
      <c r="B6288" s="3192" t="s">
        <v>677</v>
      </c>
      <c r="C6288" s="3063"/>
      <c r="D6288" s="3064"/>
      <c r="E6288" s="3064"/>
      <c r="F6288" s="3064"/>
      <c r="G6288" s="3301" t="s">
        <v>677</v>
      </c>
      <c r="H6288" s="3063"/>
      <c r="I6288" s="3030"/>
    </row>
    <row r="6289" spans="2:9">
      <c r="B6289" s="3192" t="s">
        <v>678</v>
      </c>
      <c r="C6289" s="3063"/>
      <c r="D6289" s="3064"/>
      <c r="E6289" s="3064"/>
      <c r="F6289" s="3064"/>
      <c r="G6289" s="3301" t="s">
        <v>678</v>
      </c>
      <c r="H6289" s="3063"/>
      <c r="I6289" s="3030"/>
    </row>
    <row r="6290" spans="2:9">
      <c r="B6290" s="3192" t="s">
        <v>679</v>
      </c>
      <c r="C6290" s="3063"/>
      <c r="D6290" s="3064"/>
      <c r="E6290" s="3064"/>
      <c r="F6290" s="3064"/>
      <c r="G6290" s="3301" t="s">
        <v>679</v>
      </c>
      <c r="H6290" s="3063"/>
      <c r="I6290" s="3030"/>
    </row>
    <row r="6291" spans="2:9" ht="25.5">
      <c r="B6291" s="3192" t="s">
        <v>720</v>
      </c>
      <c r="C6291" s="3063"/>
      <c r="D6291" s="3064"/>
      <c r="E6291" s="3064"/>
      <c r="F6291" s="3064"/>
      <c r="G6291" s="3301" t="s">
        <v>720</v>
      </c>
      <c r="H6291" s="3063"/>
      <c r="I6291" s="3030"/>
    </row>
    <row r="6292" spans="2:9" ht="38.25">
      <c r="B6292" s="3299" t="s">
        <v>680</v>
      </c>
      <c r="C6292" s="3063"/>
      <c r="D6292" s="3064"/>
      <c r="E6292" s="3064"/>
      <c r="F6292" s="3064"/>
      <c r="G6292" s="3300" t="s">
        <v>680</v>
      </c>
      <c r="H6292" s="3063"/>
      <c r="I6292" s="3030"/>
    </row>
    <row r="6293" spans="2:9" ht="25.5">
      <c r="B6293" s="3192" t="s">
        <v>675</v>
      </c>
      <c r="C6293" s="3063"/>
      <c r="D6293" s="3064"/>
      <c r="E6293" s="3064"/>
      <c r="F6293" s="3064"/>
      <c r="G6293" s="3301" t="s">
        <v>675</v>
      </c>
      <c r="H6293" s="3063"/>
      <c r="I6293" s="3030"/>
    </row>
    <row r="6294" spans="2:9" ht="25.5">
      <c r="B6294" s="3192" t="s">
        <v>676</v>
      </c>
      <c r="C6294" s="3063"/>
      <c r="D6294" s="3064"/>
      <c r="E6294" s="3064"/>
      <c r="F6294" s="3064"/>
      <c r="G6294" s="3301" t="s">
        <v>676</v>
      </c>
      <c r="H6294" s="3063"/>
      <c r="I6294" s="3030"/>
    </row>
    <row r="6295" spans="2:9">
      <c r="B6295" s="3192" t="s">
        <v>677</v>
      </c>
      <c r="C6295" s="3063"/>
      <c r="D6295" s="3064"/>
      <c r="E6295" s="3064"/>
      <c r="F6295" s="3064"/>
      <c r="G6295" s="3301" t="s">
        <v>677</v>
      </c>
      <c r="H6295" s="3063"/>
      <c r="I6295" s="3030"/>
    </row>
    <row r="6296" spans="2:9">
      <c r="B6296" s="3192" t="s">
        <v>678</v>
      </c>
      <c r="C6296" s="3063"/>
      <c r="D6296" s="3064"/>
      <c r="E6296" s="3064"/>
      <c r="F6296" s="3064"/>
      <c r="G6296" s="3301" t="s">
        <v>678</v>
      </c>
      <c r="H6296" s="3063"/>
      <c r="I6296" s="3030"/>
    </row>
    <row r="6297" spans="2:9">
      <c r="B6297" s="3192" t="s">
        <v>679</v>
      </c>
      <c r="C6297" s="3063"/>
      <c r="D6297" s="3064"/>
      <c r="E6297" s="3064"/>
      <c r="F6297" s="3064"/>
      <c r="G6297" s="3301" t="s">
        <v>679</v>
      </c>
      <c r="H6297" s="3063"/>
      <c r="I6297" s="3030"/>
    </row>
    <row r="6298" spans="2:9" ht="25.5">
      <c r="B6298" s="3192" t="s">
        <v>720</v>
      </c>
      <c r="C6298" s="3063"/>
      <c r="D6298" s="3064"/>
      <c r="E6298" s="3064"/>
      <c r="F6298" s="3064"/>
      <c r="G6298" s="3301" t="s">
        <v>720</v>
      </c>
      <c r="H6298" s="3063"/>
      <c r="I6298" s="3030"/>
    </row>
    <row r="6299" spans="2:9" ht="38.25">
      <c r="B6299" s="3299" t="s">
        <v>681</v>
      </c>
      <c r="C6299" s="3063"/>
      <c r="D6299" s="3064"/>
      <c r="E6299" s="3064"/>
      <c r="F6299" s="3064">
        <v>2</v>
      </c>
      <c r="G6299" s="3300" t="s">
        <v>681</v>
      </c>
      <c r="H6299" s="3063">
        <v>6.3338223618642206E-2</v>
      </c>
      <c r="I6299" s="3030"/>
    </row>
    <row r="6300" spans="2:9" ht="25.5">
      <c r="B6300" s="3192" t="s">
        <v>675</v>
      </c>
      <c r="C6300" s="3063"/>
      <c r="D6300" s="3064"/>
      <c r="E6300" s="3064"/>
      <c r="F6300" s="3064"/>
      <c r="G6300" s="3301" t="s">
        <v>675</v>
      </c>
      <c r="H6300" s="3063"/>
      <c r="I6300" s="3030"/>
    </row>
    <row r="6301" spans="2:9" ht="25.5">
      <c r="B6301" s="3192" t="s">
        <v>676</v>
      </c>
      <c r="C6301" s="3063"/>
      <c r="D6301" s="3064"/>
      <c r="E6301" s="3064"/>
      <c r="F6301" s="3064"/>
      <c r="G6301" s="3301" t="s">
        <v>676</v>
      </c>
      <c r="H6301" s="3063"/>
      <c r="I6301" s="3030"/>
    </row>
    <row r="6302" spans="2:9">
      <c r="B6302" s="3192" t="s">
        <v>677</v>
      </c>
      <c r="C6302" s="3063"/>
      <c r="D6302" s="3064"/>
      <c r="E6302" s="3064"/>
      <c r="F6302" s="3064"/>
      <c r="G6302" s="3301" t="s">
        <v>677</v>
      </c>
      <c r="H6302" s="3063"/>
      <c r="I6302" s="3030"/>
    </row>
    <row r="6303" spans="2:9">
      <c r="B6303" s="3192" t="s">
        <v>678</v>
      </c>
      <c r="C6303" s="3063"/>
      <c r="D6303" s="3064"/>
      <c r="E6303" s="3064"/>
      <c r="F6303" s="3064"/>
      <c r="G6303" s="3301" t="s">
        <v>678</v>
      </c>
      <c r="H6303" s="3063"/>
      <c r="I6303" s="3030"/>
    </row>
    <row r="6304" spans="2:9">
      <c r="B6304" s="3192" t="s">
        <v>679</v>
      </c>
      <c r="C6304" s="3063"/>
      <c r="D6304" s="3064"/>
      <c r="E6304" s="3064"/>
      <c r="F6304" s="3064"/>
      <c r="G6304" s="3301" t="s">
        <v>679</v>
      </c>
      <c r="H6304" s="3063"/>
      <c r="I6304" s="3030"/>
    </row>
    <row r="6305" spans="2:9" ht="25.5">
      <c r="B6305" s="3192" t="s">
        <v>720</v>
      </c>
      <c r="C6305" s="3063"/>
      <c r="D6305" s="3064"/>
      <c r="E6305" s="3064"/>
      <c r="F6305" s="3064"/>
      <c r="G6305" s="3301" t="s">
        <v>720</v>
      </c>
      <c r="H6305" s="3063"/>
      <c r="I6305" s="3030"/>
    </row>
    <row r="6306" spans="2:9" ht="25.5">
      <c r="B6306" s="3299" t="s">
        <v>682</v>
      </c>
      <c r="C6306" s="3063"/>
      <c r="D6306" s="3064"/>
      <c r="E6306" s="3064"/>
      <c r="F6306" s="3064"/>
      <c r="G6306" s="3300" t="s">
        <v>682</v>
      </c>
      <c r="H6306" s="3063"/>
      <c r="I6306" s="3030"/>
    </row>
    <row r="6307" spans="2:9" ht="25.5">
      <c r="B6307" s="3192" t="s">
        <v>675</v>
      </c>
      <c r="C6307" s="3063"/>
      <c r="D6307" s="3064"/>
      <c r="E6307" s="3064"/>
      <c r="F6307" s="3064"/>
      <c r="G6307" s="3301" t="s">
        <v>675</v>
      </c>
      <c r="H6307" s="3063"/>
      <c r="I6307" s="3030"/>
    </row>
    <row r="6308" spans="2:9" ht="25.5">
      <c r="B6308" s="3192" t="s">
        <v>676</v>
      </c>
      <c r="C6308" s="3063"/>
      <c r="D6308" s="3064"/>
      <c r="E6308" s="3064"/>
      <c r="F6308" s="3064"/>
      <c r="G6308" s="3301" t="s">
        <v>676</v>
      </c>
      <c r="H6308" s="3063"/>
      <c r="I6308" s="3030"/>
    </row>
    <row r="6309" spans="2:9">
      <c r="B6309" s="3192" t="s">
        <v>677</v>
      </c>
      <c r="C6309" s="3063"/>
      <c r="D6309" s="3064"/>
      <c r="E6309" s="3064"/>
      <c r="F6309" s="3064"/>
      <c r="G6309" s="3301" t="s">
        <v>677</v>
      </c>
      <c r="H6309" s="3063"/>
      <c r="I6309" s="3030"/>
    </row>
    <row r="6310" spans="2:9">
      <c r="B6310" s="3192" t="s">
        <v>678</v>
      </c>
      <c r="C6310" s="3063"/>
      <c r="D6310" s="3064"/>
      <c r="E6310" s="3064"/>
      <c r="F6310" s="3064"/>
      <c r="G6310" s="3301" t="s">
        <v>678</v>
      </c>
      <c r="H6310" s="3063"/>
      <c r="I6310" s="3030"/>
    </row>
    <row r="6311" spans="2:9">
      <c r="B6311" s="3192" t="s">
        <v>679</v>
      </c>
      <c r="C6311" s="3063"/>
      <c r="D6311" s="3064"/>
      <c r="E6311" s="3064"/>
      <c r="F6311" s="3064"/>
      <c r="G6311" s="3301" t="s">
        <v>679</v>
      </c>
      <c r="H6311" s="3063"/>
      <c r="I6311" s="3030"/>
    </row>
    <row r="6312" spans="2:9" ht="25.5">
      <c r="B6312" s="3192" t="s">
        <v>720</v>
      </c>
      <c r="C6312" s="3063"/>
      <c r="D6312" s="3064"/>
      <c r="E6312" s="3064"/>
      <c r="F6312" s="3064"/>
      <c r="G6312" s="3301" t="s">
        <v>720</v>
      </c>
      <c r="H6312" s="3063"/>
      <c r="I6312" s="3030"/>
    </row>
    <row r="6313" spans="2:9" ht="25.5">
      <c r="B6313" s="3299" t="s">
        <v>66</v>
      </c>
      <c r="C6313" s="3063"/>
      <c r="D6313" s="3064"/>
      <c r="E6313" s="3064"/>
      <c r="F6313" s="3064"/>
      <c r="G6313" s="3300" t="s">
        <v>66</v>
      </c>
      <c r="H6313" s="3063"/>
      <c r="I6313" s="3030"/>
    </row>
    <row r="6314" spans="2:9" ht="25.5">
      <c r="B6314" s="3192" t="s">
        <v>675</v>
      </c>
      <c r="C6314" s="3063"/>
      <c r="D6314" s="3064"/>
      <c r="E6314" s="3064"/>
      <c r="F6314" s="3064"/>
      <c r="G6314" s="3301" t="s">
        <v>675</v>
      </c>
      <c r="H6314" s="3063"/>
      <c r="I6314" s="3030"/>
    </row>
    <row r="6315" spans="2:9" ht="25.5">
      <c r="B6315" s="3192" t="s">
        <v>676</v>
      </c>
      <c r="C6315" s="3063"/>
      <c r="D6315" s="3064"/>
      <c r="E6315" s="3064"/>
      <c r="F6315" s="3064"/>
      <c r="G6315" s="3301" t="s">
        <v>676</v>
      </c>
      <c r="H6315" s="3063"/>
      <c r="I6315" s="3030"/>
    </row>
    <row r="6316" spans="2:9">
      <c r="B6316" s="3192" t="s">
        <v>677</v>
      </c>
      <c r="C6316" s="3063"/>
      <c r="D6316" s="3064"/>
      <c r="E6316" s="3064"/>
      <c r="F6316" s="3064"/>
      <c r="G6316" s="3301" t="s">
        <v>677</v>
      </c>
      <c r="H6316" s="3063"/>
      <c r="I6316" s="3030"/>
    </row>
    <row r="6317" spans="2:9">
      <c r="B6317" s="3192" t="s">
        <v>678</v>
      </c>
      <c r="C6317" s="3063"/>
      <c r="D6317" s="3064"/>
      <c r="E6317" s="3064"/>
      <c r="F6317" s="3064"/>
      <c r="G6317" s="3301" t="s">
        <v>678</v>
      </c>
      <c r="H6317" s="3063"/>
      <c r="I6317" s="3030"/>
    </row>
    <row r="6318" spans="2:9">
      <c r="B6318" s="3192" t="s">
        <v>679</v>
      </c>
      <c r="C6318" s="3063"/>
      <c r="D6318" s="3064"/>
      <c r="E6318" s="3064"/>
      <c r="F6318" s="3064"/>
      <c r="G6318" s="3301" t="s">
        <v>679</v>
      </c>
      <c r="H6318" s="3063"/>
      <c r="I6318" s="3030"/>
    </row>
    <row r="6319" spans="2:9" ht="25.5">
      <c r="B6319" s="3192" t="s">
        <v>720</v>
      </c>
      <c r="C6319" s="3063"/>
      <c r="D6319" s="3064"/>
      <c r="E6319" s="3064"/>
      <c r="F6319" s="3064"/>
      <c r="G6319" s="3301" t="s">
        <v>720</v>
      </c>
      <c r="H6319" s="3063"/>
      <c r="I6319" s="3030"/>
    </row>
    <row r="6320" spans="2:9">
      <c r="B6320" s="3299" t="s">
        <v>67</v>
      </c>
      <c r="C6320" s="3063"/>
      <c r="D6320" s="3064"/>
      <c r="E6320" s="3064"/>
      <c r="F6320" s="3064"/>
      <c r="G6320" s="3300" t="s">
        <v>67</v>
      </c>
      <c r="H6320" s="3063"/>
      <c r="I6320" s="3030"/>
    </row>
    <row r="6321" spans="2:9" ht="25.5">
      <c r="B6321" s="3192" t="s">
        <v>675</v>
      </c>
      <c r="C6321" s="3063"/>
      <c r="D6321" s="3064"/>
      <c r="E6321" s="3064"/>
      <c r="F6321" s="3064"/>
      <c r="G6321" s="3301" t="s">
        <v>675</v>
      </c>
      <c r="H6321" s="3063"/>
      <c r="I6321" s="3030"/>
    </row>
    <row r="6322" spans="2:9" ht="25.5">
      <c r="B6322" s="3192" t="s">
        <v>676</v>
      </c>
      <c r="C6322" s="3063"/>
      <c r="D6322" s="3064"/>
      <c r="E6322" s="3064"/>
      <c r="F6322" s="3064"/>
      <c r="G6322" s="3301" t="s">
        <v>676</v>
      </c>
      <c r="H6322" s="3063"/>
      <c r="I6322" s="3030"/>
    </row>
    <row r="6323" spans="2:9">
      <c r="B6323" s="3192" t="s">
        <v>677</v>
      </c>
      <c r="C6323" s="3063"/>
      <c r="D6323" s="3064"/>
      <c r="E6323" s="3064"/>
      <c r="F6323" s="3064"/>
      <c r="G6323" s="3301" t="s">
        <v>677</v>
      </c>
      <c r="H6323" s="3063"/>
      <c r="I6323" s="3030"/>
    </row>
    <row r="6324" spans="2:9">
      <c r="B6324" s="3192" t="s">
        <v>678</v>
      </c>
      <c r="C6324" s="3063"/>
      <c r="D6324" s="3064"/>
      <c r="E6324" s="3064"/>
      <c r="F6324" s="3064"/>
      <c r="G6324" s="3301" t="s">
        <v>678</v>
      </c>
      <c r="H6324" s="3063"/>
      <c r="I6324" s="3030"/>
    </row>
    <row r="6325" spans="2:9">
      <c r="B6325" s="3192" t="s">
        <v>679</v>
      </c>
      <c r="C6325" s="3063"/>
      <c r="D6325" s="3064"/>
      <c r="E6325" s="3064"/>
      <c r="F6325" s="3064"/>
      <c r="G6325" s="3301" t="s">
        <v>679</v>
      </c>
      <c r="H6325" s="3063"/>
      <c r="I6325" s="3030"/>
    </row>
    <row r="6326" spans="2:9" ht="25.5">
      <c r="B6326" s="3230" t="s">
        <v>81</v>
      </c>
      <c r="C6326" s="3063"/>
      <c r="D6326" s="3064"/>
      <c r="E6326" s="3064"/>
      <c r="F6326" s="3064"/>
      <c r="G6326" s="3302" t="s">
        <v>81</v>
      </c>
      <c r="H6326" s="3063"/>
      <c r="I6326" s="3030"/>
    </row>
    <row r="6327" spans="2:9" ht="26.25" thickBot="1">
      <c r="B6327" s="3303" t="s">
        <v>81</v>
      </c>
      <c r="C6327" s="3068"/>
      <c r="D6327" s="3069"/>
      <c r="E6327" s="3069"/>
      <c r="F6327" s="3069"/>
      <c r="G6327" s="3304" t="s">
        <v>81</v>
      </c>
      <c r="H6327" s="3068"/>
      <c r="I6327" s="3070"/>
    </row>
    <row r="6328" spans="2:9" ht="38.25">
      <c r="B6328" s="4723">
        <v>3040</v>
      </c>
      <c r="C6328" s="3289"/>
      <c r="D6328" s="3290"/>
      <c r="E6328" s="3290"/>
      <c r="F6328" s="3290"/>
      <c r="G6328" s="4723">
        <v>3040</v>
      </c>
      <c r="H6328" s="3291" t="s">
        <v>687</v>
      </c>
      <c r="I6328" s="3292" t="s">
        <v>688</v>
      </c>
    </row>
    <row r="6329" spans="2:9">
      <c r="B6329" s="4724"/>
      <c r="C6329" s="4678" t="s">
        <v>686</v>
      </c>
      <c r="D6329" s="4725"/>
      <c r="E6329" s="4725"/>
      <c r="F6329" s="4726"/>
      <c r="G6329" s="4724"/>
      <c r="H6329" s="3293"/>
      <c r="I6329" s="3294"/>
    </row>
    <row r="6330" spans="2:9" ht="13.5" thickBot="1">
      <c r="B6330" s="4724"/>
      <c r="C6330" s="3215">
        <v>2013</v>
      </c>
      <c r="D6330" s="3215">
        <v>2014</v>
      </c>
      <c r="E6330" s="3215">
        <v>2015</v>
      </c>
      <c r="F6330" s="3215">
        <v>2016</v>
      </c>
      <c r="G6330" s="4724"/>
      <c r="H6330" s="3295" t="s">
        <v>390</v>
      </c>
      <c r="I6330" s="3296" t="s">
        <v>390</v>
      </c>
    </row>
    <row r="6331" spans="2:9">
      <c r="B6331" s="3217" t="s">
        <v>695</v>
      </c>
      <c r="C6331" s="3218"/>
      <c r="D6331" s="3219"/>
      <c r="E6331" s="3219"/>
      <c r="F6331" s="3219"/>
      <c r="G6331" s="3217" t="s">
        <v>695</v>
      </c>
      <c r="H6331" s="3297"/>
      <c r="I6331" s="3298"/>
    </row>
    <row r="6332" spans="2:9">
      <c r="B6332" s="3299" t="s">
        <v>64</v>
      </c>
      <c r="C6332" s="3063"/>
      <c r="D6332" s="3064"/>
      <c r="E6332" s="3064"/>
      <c r="F6332" s="3064">
        <v>12</v>
      </c>
      <c r="G6332" s="3300" t="s">
        <v>64</v>
      </c>
      <c r="H6332" s="3063">
        <v>0.41529943453333779</v>
      </c>
      <c r="I6332" s="3030"/>
    </row>
    <row r="6333" spans="2:9" ht="25.5">
      <c r="B6333" s="3192" t="s">
        <v>675</v>
      </c>
      <c r="C6333" s="3063">
        <v>9</v>
      </c>
      <c r="D6333" s="3064">
        <v>3</v>
      </c>
      <c r="E6333" s="3064"/>
      <c r="F6333" s="3064"/>
      <c r="G6333" s="3301" t="s">
        <v>675</v>
      </c>
      <c r="H6333" s="3063"/>
      <c r="I6333" s="3030">
        <v>0.34201129902745464</v>
      </c>
    </row>
    <row r="6334" spans="2:9" ht="25.5">
      <c r="B6334" s="3192" t="s">
        <v>676</v>
      </c>
      <c r="C6334" s="3063"/>
      <c r="D6334" s="3064"/>
      <c r="E6334" s="3064"/>
      <c r="F6334" s="3064"/>
      <c r="G6334" s="3301" t="s">
        <v>676</v>
      </c>
      <c r="H6334" s="3063"/>
      <c r="I6334" s="3030"/>
    </row>
    <row r="6335" spans="2:9">
      <c r="B6335" s="3192" t="s">
        <v>677</v>
      </c>
      <c r="C6335" s="3063"/>
      <c r="D6335" s="3064"/>
      <c r="E6335" s="3064"/>
      <c r="F6335" s="3064"/>
      <c r="G6335" s="3301" t="s">
        <v>677</v>
      </c>
      <c r="H6335" s="3063"/>
      <c r="I6335" s="3030"/>
    </row>
    <row r="6336" spans="2:9">
      <c r="B6336" s="3192" t="s">
        <v>678</v>
      </c>
      <c r="C6336" s="3063">
        <v>13</v>
      </c>
      <c r="D6336" s="3064">
        <v>12</v>
      </c>
      <c r="E6336" s="3064"/>
      <c r="F6336" s="3064"/>
      <c r="G6336" s="3301" t="s">
        <v>678</v>
      </c>
      <c r="H6336" s="3063"/>
      <c r="I6336" s="3030"/>
    </row>
    <row r="6337" spans="2:9">
      <c r="B6337" s="3192" t="s">
        <v>679</v>
      </c>
      <c r="C6337" s="3063"/>
      <c r="D6337" s="3064">
        <v>1</v>
      </c>
      <c r="E6337" s="3064"/>
      <c r="F6337" s="3064"/>
      <c r="G6337" s="3301" t="s">
        <v>679</v>
      </c>
      <c r="H6337" s="3063"/>
      <c r="I6337" s="3030"/>
    </row>
    <row r="6338" spans="2:9" ht="25.5">
      <c r="B6338" s="3192" t="s">
        <v>720</v>
      </c>
      <c r="C6338" s="3063">
        <v>1</v>
      </c>
      <c r="D6338" s="3064"/>
      <c r="E6338" s="3064"/>
      <c r="F6338" s="3064"/>
      <c r="G6338" s="3301" t="s">
        <v>720</v>
      </c>
      <c r="H6338" s="3063"/>
      <c r="I6338" s="3030"/>
    </row>
    <row r="6339" spans="2:9">
      <c r="B6339" s="3299" t="s">
        <v>65</v>
      </c>
      <c r="C6339" s="3063"/>
      <c r="D6339" s="3064"/>
      <c r="E6339" s="3064"/>
      <c r="F6339" s="3064">
        <v>2</v>
      </c>
      <c r="G6339" s="3300" t="s">
        <v>65</v>
      </c>
      <c r="H6339" s="3063">
        <v>0.34162609470559613</v>
      </c>
      <c r="I6339" s="3030"/>
    </row>
    <row r="6340" spans="2:9" ht="25.5">
      <c r="B6340" s="3192" t="s">
        <v>675</v>
      </c>
      <c r="C6340" s="3063"/>
      <c r="D6340" s="3064"/>
      <c r="E6340" s="3064"/>
      <c r="F6340" s="3064"/>
      <c r="G6340" s="3301" t="s">
        <v>675</v>
      </c>
      <c r="H6340" s="3063"/>
      <c r="I6340" s="3030"/>
    </row>
    <row r="6341" spans="2:9" ht="25.5">
      <c r="B6341" s="3192" t="s">
        <v>676</v>
      </c>
      <c r="C6341" s="3063"/>
      <c r="D6341" s="3064"/>
      <c r="E6341" s="3064"/>
      <c r="F6341" s="3064"/>
      <c r="G6341" s="3301" t="s">
        <v>676</v>
      </c>
      <c r="H6341" s="3063"/>
      <c r="I6341" s="3030"/>
    </row>
    <row r="6342" spans="2:9">
      <c r="B6342" s="3192" t="s">
        <v>677</v>
      </c>
      <c r="C6342" s="3063"/>
      <c r="D6342" s="3064"/>
      <c r="E6342" s="3064"/>
      <c r="F6342" s="3064"/>
      <c r="G6342" s="3301" t="s">
        <v>677</v>
      </c>
      <c r="H6342" s="3063"/>
      <c r="I6342" s="3030"/>
    </row>
    <row r="6343" spans="2:9">
      <c r="B6343" s="3192" t="s">
        <v>678</v>
      </c>
      <c r="C6343" s="3063"/>
      <c r="D6343" s="3064">
        <v>2</v>
      </c>
      <c r="E6343" s="3064"/>
      <c r="F6343" s="3064"/>
      <c r="G6343" s="3301" t="s">
        <v>678</v>
      </c>
      <c r="H6343" s="3063"/>
      <c r="I6343" s="3030"/>
    </row>
    <row r="6344" spans="2:9">
      <c r="B6344" s="3192" t="s">
        <v>679</v>
      </c>
      <c r="C6344" s="3063"/>
      <c r="D6344" s="3064">
        <v>1</v>
      </c>
      <c r="E6344" s="3064"/>
      <c r="F6344" s="3064"/>
      <c r="G6344" s="3301" t="s">
        <v>679</v>
      </c>
      <c r="H6344" s="3063"/>
      <c r="I6344" s="3030"/>
    </row>
    <row r="6345" spans="2:9" ht="25.5">
      <c r="B6345" s="3192" t="s">
        <v>720</v>
      </c>
      <c r="C6345" s="3063"/>
      <c r="D6345" s="3064"/>
      <c r="E6345" s="3064"/>
      <c r="F6345" s="3064"/>
      <c r="G6345" s="3301" t="s">
        <v>720</v>
      </c>
      <c r="H6345" s="3063"/>
      <c r="I6345" s="3030"/>
    </row>
    <row r="6346" spans="2:9">
      <c r="B6346" s="3299" t="s">
        <v>82</v>
      </c>
      <c r="C6346" s="3063"/>
      <c r="D6346" s="3064"/>
      <c r="E6346" s="3064"/>
      <c r="F6346" s="3064"/>
      <c r="G6346" s="3300" t="s">
        <v>82</v>
      </c>
      <c r="H6346" s="3063"/>
      <c r="I6346" s="3030"/>
    </row>
    <row r="6347" spans="2:9" ht="25.5">
      <c r="B6347" s="3192" t="s">
        <v>675</v>
      </c>
      <c r="C6347" s="3063"/>
      <c r="D6347" s="3064"/>
      <c r="E6347" s="3064"/>
      <c r="F6347" s="3064"/>
      <c r="G6347" s="3301" t="s">
        <v>675</v>
      </c>
      <c r="H6347" s="3063"/>
      <c r="I6347" s="3030"/>
    </row>
    <row r="6348" spans="2:9" ht="25.5">
      <c r="B6348" s="3192" t="s">
        <v>676</v>
      </c>
      <c r="C6348" s="3063"/>
      <c r="D6348" s="3064"/>
      <c r="E6348" s="3064"/>
      <c r="F6348" s="3064"/>
      <c r="G6348" s="3301" t="s">
        <v>676</v>
      </c>
      <c r="H6348" s="3063"/>
      <c r="I6348" s="3030"/>
    </row>
    <row r="6349" spans="2:9">
      <c r="B6349" s="3192" t="s">
        <v>677</v>
      </c>
      <c r="C6349" s="3063"/>
      <c r="D6349" s="3064"/>
      <c r="E6349" s="3064"/>
      <c r="F6349" s="3064"/>
      <c r="G6349" s="3301" t="s">
        <v>677</v>
      </c>
      <c r="H6349" s="3063"/>
      <c r="I6349" s="3030"/>
    </row>
    <row r="6350" spans="2:9">
      <c r="B6350" s="3192" t="s">
        <v>678</v>
      </c>
      <c r="C6350" s="3063"/>
      <c r="D6350" s="3064"/>
      <c r="E6350" s="3064"/>
      <c r="F6350" s="3064"/>
      <c r="G6350" s="3301" t="s">
        <v>678</v>
      </c>
      <c r="H6350" s="3063"/>
      <c r="I6350" s="3030"/>
    </row>
    <row r="6351" spans="2:9">
      <c r="B6351" s="3192" t="s">
        <v>679</v>
      </c>
      <c r="C6351" s="3063"/>
      <c r="D6351" s="3064"/>
      <c r="E6351" s="3064"/>
      <c r="F6351" s="3064"/>
      <c r="G6351" s="3301" t="s">
        <v>679</v>
      </c>
      <c r="H6351" s="3063"/>
      <c r="I6351" s="3030"/>
    </row>
    <row r="6352" spans="2:9" ht="25.5">
      <c r="B6352" s="3192" t="s">
        <v>720</v>
      </c>
      <c r="C6352" s="3063"/>
      <c r="D6352" s="3064"/>
      <c r="E6352" s="3064"/>
      <c r="F6352" s="3064"/>
      <c r="G6352" s="3301" t="s">
        <v>720</v>
      </c>
      <c r="H6352" s="3063"/>
      <c r="I6352" s="3030"/>
    </row>
    <row r="6353" spans="2:9" ht="38.25">
      <c r="B6353" s="3299" t="s">
        <v>680</v>
      </c>
      <c r="C6353" s="3063"/>
      <c r="D6353" s="3064"/>
      <c r="E6353" s="3064"/>
      <c r="F6353" s="3064"/>
      <c r="G6353" s="3300" t="s">
        <v>680</v>
      </c>
      <c r="H6353" s="3063"/>
      <c r="I6353" s="3030"/>
    </row>
    <row r="6354" spans="2:9" ht="25.5">
      <c r="B6354" s="3192" t="s">
        <v>675</v>
      </c>
      <c r="C6354" s="3063"/>
      <c r="D6354" s="3064"/>
      <c r="E6354" s="3064"/>
      <c r="F6354" s="3064"/>
      <c r="G6354" s="3301" t="s">
        <v>675</v>
      </c>
      <c r="H6354" s="3063"/>
      <c r="I6354" s="3030"/>
    </row>
    <row r="6355" spans="2:9" ht="25.5">
      <c r="B6355" s="3192" t="s">
        <v>676</v>
      </c>
      <c r="C6355" s="3063"/>
      <c r="D6355" s="3064"/>
      <c r="E6355" s="3064"/>
      <c r="F6355" s="3064"/>
      <c r="G6355" s="3301" t="s">
        <v>676</v>
      </c>
      <c r="H6355" s="3063"/>
      <c r="I6355" s="3030"/>
    </row>
    <row r="6356" spans="2:9">
      <c r="B6356" s="3192" t="s">
        <v>677</v>
      </c>
      <c r="C6356" s="3063"/>
      <c r="D6356" s="3064"/>
      <c r="E6356" s="3064"/>
      <c r="F6356" s="3064"/>
      <c r="G6356" s="3301" t="s">
        <v>677</v>
      </c>
      <c r="H6356" s="3063"/>
      <c r="I6356" s="3030"/>
    </row>
    <row r="6357" spans="2:9">
      <c r="B6357" s="3192" t="s">
        <v>678</v>
      </c>
      <c r="C6357" s="3063"/>
      <c r="D6357" s="3064"/>
      <c r="E6357" s="3064"/>
      <c r="F6357" s="3064"/>
      <c r="G6357" s="3301" t="s">
        <v>678</v>
      </c>
      <c r="H6357" s="3063"/>
      <c r="I6357" s="3030"/>
    </row>
    <row r="6358" spans="2:9">
      <c r="B6358" s="3192" t="s">
        <v>679</v>
      </c>
      <c r="C6358" s="3063"/>
      <c r="D6358" s="3064"/>
      <c r="E6358" s="3064"/>
      <c r="F6358" s="3064"/>
      <c r="G6358" s="3301" t="s">
        <v>679</v>
      </c>
      <c r="H6358" s="3063"/>
      <c r="I6358" s="3030"/>
    </row>
    <row r="6359" spans="2:9" ht="25.5">
      <c r="B6359" s="3192" t="s">
        <v>720</v>
      </c>
      <c r="C6359" s="3063"/>
      <c r="D6359" s="3064"/>
      <c r="E6359" s="3064"/>
      <c r="F6359" s="3064"/>
      <c r="G6359" s="3301" t="s">
        <v>720</v>
      </c>
      <c r="H6359" s="3063"/>
      <c r="I6359" s="3030"/>
    </row>
    <row r="6360" spans="2:9" ht="38.25">
      <c r="B6360" s="3299" t="s">
        <v>681</v>
      </c>
      <c r="C6360" s="3063"/>
      <c r="D6360" s="3064"/>
      <c r="E6360" s="3064"/>
      <c r="F6360" s="3064"/>
      <c r="G6360" s="3300" t="s">
        <v>681</v>
      </c>
      <c r="H6360" s="3063"/>
      <c r="I6360" s="3030"/>
    </row>
    <row r="6361" spans="2:9" ht="25.5">
      <c r="B6361" s="3192" t="s">
        <v>675</v>
      </c>
      <c r="C6361" s="3063"/>
      <c r="D6361" s="3064"/>
      <c r="E6361" s="3064"/>
      <c r="F6361" s="3064"/>
      <c r="G6361" s="3301" t="s">
        <v>675</v>
      </c>
      <c r="H6361" s="3063"/>
      <c r="I6361" s="3030"/>
    </row>
    <row r="6362" spans="2:9" ht="25.5">
      <c r="B6362" s="3192" t="s">
        <v>676</v>
      </c>
      <c r="C6362" s="3063"/>
      <c r="D6362" s="3064"/>
      <c r="E6362" s="3064"/>
      <c r="F6362" s="3064"/>
      <c r="G6362" s="3301" t="s">
        <v>676</v>
      </c>
      <c r="H6362" s="3063"/>
      <c r="I6362" s="3030"/>
    </row>
    <row r="6363" spans="2:9">
      <c r="B6363" s="3192" t="s">
        <v>677</v>
      </c>
      <c r="C6363" s="3063"/>
      <c r="D6363" s="3064"/>
      <c r="E6363" s="3064"/>
      <c r="F6363" s="3064"/>
      <c r="G6363" s="3301" t="s">
        <v>677</v>
      </c>
      <c r="H6363" s="3063"/>
      <c r="I6363" s="3030"/>
    </row>
    <row r="6364" spans="2:9">
      <c r="B6364" s="3192" t="s">
        <v>678</v>
      </c>
      <c r="C6364" s="3063"/>
      <c r="D6364" s="3064"/>
      <c r="E6364" s="3064"/>
      <c r="F6364" s="3064"/>
      <c r="G6364" s="3301" t="s">
        <v>678</v>
      </c>
      <c r="H6364" s="3063"/>
      <c r="I6364" s="3030"/>
    </row>
    <row r="6365" spans="2:9">
      <c r="B6365" s="3192" t="s">
        <v>679</v>
      </c>
      <c r="C6365" s="3063"/>
      <c r="D6365" s="3064"/>
      <c r="E6365" s="3064"/>
      <c r="F6365" s="3064"/>
      <c r="G6365" s="3301" t="s">
        <v>679</v>
      </c>
      <c r="H6365" s="3063"/>
      <c r="I6365" s="3030"/>
    </row>
    <row r="6366" spans="2:9" ht="25.5">
      <c r="B6366" s="3192" t="s">
        <v>720</v>
      </c>
      <c r="C6366" s="3063"/>
      <c r="D6366" s="3064"/>
      <c r="E6366" s="3064"/>
      <c r="F6366" s="3064"/>
      <c r="G6366" s="3301" t="s">
        <v>720</v>
      </c>
      <c r="H6366" s="3063"/>
      <c r="I6366" s="3030"/>
    </row>
    <row r="6367" spans="2:9" ht="25.5">
      <c r="B6367" s="3299" t="s">
        <v>682</v>
      </c>
      <c r="C6367" s="3063"/>
      <c r="D6367" s="3064"/>
      <c r="E6367" s="3064"/>
      <c r="F6367" s="3064"/>
      <c r="G6367" s="3300" t="s">
        <v>682</v>
      </c>
      <c r="H6367" s="3063"/>
      <c r="I6367" s="3030"/>
    </row>
    <row r="6368" spans="2:9" ht="25.5">
      <c r="B6368" s="3192" t="s">
        <v>675</v>
      </c>
      <c r="C6368" s="3063"/>
      <c r="D6368" s="3064"/>
      <c r="E6368" s="3064"/>
      <c r="F6368" s="3064"/>
      <c r="G6368" s="3301" t="s">
        <v>675</v>
      </c>
      <c r="H6368" s="3063"/>
      <c r="I6368" s="3030"/>
    </row>
    <row r="6369" spans="2:9" ht="25.5">
      <c r="B6369" s="3192" t="s">
        <v>676</v>
      </c>
      <c r="C6369" s="3063"/>
      <c r="D6369" s="3064"/>
      <c r="E6369" s="3064"/>
      <c r="F6369" s="3064"/>
      <c r="G6369" s="3301" t="s">
        <v>676</v>
      </c>
      <c r="H6369" s="3063"/>
      <c r="I6369" s="3030"/>
    </row>
    <row r="6370" spans="2:9">
      <c r="B6370" s="3192" t="s">
        <v>677</v>
      </c>
      <c r="C6370" s="3063"/>
      <c r="D6370" s="3064"/>
      <c r="E6370" s="3064"/>
      <c r="F6370" s="3064"/>
      <c r="G6370" s="3301" t="s">
        <v>677</v>
      </c>
      <c r="H6370" s="3063"/>
      <c r="I6370" s="3030"/>
    </row>
    <row r="6371" spans="2:9">
      <c r="B6371" s="3192" t="s">
        <v>678</v>
      </c>
      <c r="C6371" s="3063"/>
      <c r="D6371" s="3064"/>
      <c r="E6371" s="3064"/>
      <c r="F6371" s="3064"/>
      <c r="G6371" s="3301" t="s">
        <v>678</v>
      </c>
      <c r="H6371" s="3063"/>
      <c r="I6371" s="3030"/>
    </row>
    <row r="6372" spans="2:9">
      <c r="B6372" s="3192" t="s">
        <v>679</v>
      </c>
      <c r="C6372" s="3063"/>
      <c r="D6372" s="3064"/>
      <c r="E6372" s="3064"/>
      <c r="F6372" s="3064"/>
      <c r="G6372" s="3301" t="s">
        <v>679</v>
      </c>
      <c r="H6372" s="3063"/>
      <c r="I6372" s="3030"/>
    </row>
    <row r="6373" spans="2:9" ht="25.5">
      <c r="B6373" s="3192" t="s">
        <v>720</v>
      </c>
      <c r="C6373" s="3063"/>
      <c r="D6373" s="3064"/>
      <c r="E6373" s="3064"/>
      <c r="F6373" s="3064"/>
      <c r="G6373" s="3301" t="s">
        <v>720</v>
      </c>
      <c r="H6373" s="3063"/>
      <c r="I6373" s="3030"/>
    </row>
    <row r="6374" spans="2:9" ht="25.5">
      <c r="B6374" s="3299" t="s">
        <v>66</v>
      </c>
      <c r="C6374" s="3063"/>
      <c r="D6374" s="3064"/>
      <c r="E6374" s="3064"/>
      <c r="F6374" s="3064"/>
      <c r="G6374" s="3300" t="s">
        <v>66</v>
      </c>
      <c r="H6374" s="3063"/>
      <c r="I6374" s="3030"/>
    </row>
    <row r="6375" spans="2:9" ht="25.5">
      <c r="B6375" s="3192" t="s">
        <v>675</v>
      </c>
      <c r="C6375" s="3063"/>
      <c r="D6375" s="3064"/>
      <c r="E6375" s="3064"/>
      <c r="F6375" s="3064"/>
      <c r="G6375" s="3301" t="s">
        <v>675</v>
      </c>
      <c r="H6375" s="3063"/>
      <c r="I6375" s="3030"/>
    </row>
    <row r="6376" spans="2:9" ht="25.5">
      <c r="B6376" s="3192" t="s">
        <v>676</v>
      </c>
      <c r="C6376" s="3063"/>
      <c r="D6376" s="3064"/>
      <c r="E6376" s="3064"/>
      <c r="F6376" s="3064"/>
      <c r="G6376" s="3301" t="s">
        <v>676</v>
      </c>
      <c r="H6376" s="3063"/>
      <c r="I6376" s="3030"/>
    </row>
    <row r="6377" spans="2:9">
      <c r="B6377" s="3192" t="s">
        <v>677</v>
      </c>
      <c r="C6377" s="3063"/>
      <c r="D6377" s="3064"/>
      <c r="E6377" s="3064"/>
      <c r="F6377" s="3064"/>
      <c r="G6377" s="3301" t="s">
        <v>677</v>
      </c>
      <c r="H6377" s="3063"/>
      <c r="I6377" s="3030"/>
    </row>
    <row r="6378" spans="2:9">
      <c r="B6378" s="3192" t="s">
        <v>678</v>
      </c>
      <c r="C6378" s="3063"/>
      <c r="D6378" s="3064"/>
      <c r="E6378" s="3064"/>
      <c r="F6378" s="3064"/>
      <c r="G6378" s="3301" t="s">
        <v>678</v>
      </c>
      <c r="H6378" s="3063"/>
      <c r="I6378" s="3030"/>
    </row>
    <row r="6379" spans="2:9">
      <c r="B6379" s="3192" t="s">
        <v>679</v>
      </c>
      <c r="C6379" s="3063"/>
      <c r="D6379" s="3064"/>
      <c r="E6379" s="3064"/>
      <c r="F6379" s="3064"/>
      <c r="G6379" s="3301" t="s">
        <v>679</v>
      </c>
      <c r="H6379" s="3063"/>
      <c r="I6379" s="3030"/>
    </row>
    <row r="6380" spans="2:9" ht="25.5">
      <c r="B6380" s="3192" t="s">
        <v>720</v>
      </c>
      <c r="C6380" s="3063"/>
      <c r="D6380" s="3064"/>
      <c r="E6380" s="3064"/>
      <c r="F6380" s="3064"/>
      <c r="G6380" s="3301" t="s">
        <v>720</v>
      </c>
      <c r="H6380" s="3063"/>
      <c r="I6380" s="3030"/>
    </row>
    <row r="6381" spans="2:9">
      <c r="B6381" s="3299" t="s">
        <v>67</v>
      </c>
      <c r="C6381" s="3063"/>
      <c r="D6381" s="3064"/>
      <c r="E6381" s="3064"/>
      <c r="F6381" s="3064"/>
      <c r="G6381" s="3300" t="s">
        <v>67</v>
      </c>
      <c r="H6381" s="3063">
        <v>0.4332235052497807</v>
      </c>
      <c r="I6381" s="3030"/>
    </row>
    <row r="6382" spans="2:9" ht="25.5">
      <c r="B6382" s="3192" t="s">
        <v>675</v>
      </c>
      <c r="C6382" s="3063">
        <v>3</v>
      </c>
      <c r="D6382" s="3064"/>
      <c r="E6382" s="3064"/>
      <c r="F6382" s="3064"/>
      <c r="G6382" s="3301" t="s">
        <v>675</v>
      </c>
      <c r="H6382" s="3063"/>
      <c r="I6382" s="3063">
        <v>0.4332235052497807</v>
      </c>
    </row>
    <row r="6383" spans="2:9" ht="25.5">
      <c r="B6383" s="3192" t="s">
        <v>676</v>
      </c>
      <c r="C6383" s="3063"/>
      <c r="D6383" s="3064"/>
      <c r="E6383" s="3064"/>
      <c r="F6383" s="3064"/>
      <c r="G6383" s="3301" t="s">
        <v>676</v>
      </c>
      <c r="H6383" s="3063"/>
      <c r="I6383" s="3030"/>
    </row>
    <row r="6384" spans="2:9">
      <c r="B6384" s="3192" t="s">
        <v>677</v>
      </c>
      <c r="C6384" s="3063"/>
      <c r="D6384" s="3064"/>
      <c r="E6384" s="3064"/>
      <c r="F6384" s="3064"/>
      <c r="G6384" s="3301" t="s">
        <v>677</v>
      </c>
      <c r="H6384" s="3063"/>
      <c r="I6384" s="3030"/>
    </row>
    <row r="6385" spans="2:9">
      <c r="B6385" s="3192" t="s">
        <v>678</v>
      </c>
      <c r="C6385" s="3063"/>
      <c r="D6385" s="3064"/>
      <c r="E6385" s="3064"/>
      <c r="F6385" s="3064"/>
      <c r="G6385" s="3301" t="s">
        <v>678</v>
      </c>
      <c r="H6385" s="3063"/>
      <c r="I6385" s="3030"/>
    </row>
    <row r="6386" spans="2:9">
      <c r="B6386" s="3192" t="s">
        <v>679</v>
      </c>
      <c r="C6386" s="3063"/>
      <c r="D6386" s="3064"/>
      <c r="E6386" s="3064"/>
      <c r="F6386" s="3064"/>
      <c r="G6386" s="3301" t="s">
        <v>679</v>
      </c>
      <c r="H6386" s="3063"/>
      <c r="I6386" s="3030"/>
    </row>
    <row r="6387" spans="2:9" ht="25.5">
      <c r="B6387" s="3192" t="s">
        <v>720</v>
      </c>
      <c r="C6387" s="3063"/>
      <c r="D6387" s="3064"/>
      <c r="E6387" s="3064"/>
      <c r="F6387" s="3064"/>
      <c r="G6387" s="3301" t="s">
        <v>720</v>
      </c>
      <c r="H6387" s="3063"/>
      <c r="I6387" s="3030"/>
    </row>
    <row r="6388" spans="2:9" ht="25.5">
      <c r="B6388" s="3230" t="s">
        <v>81</v>
      </c>
      <c r="C6388" s="3063"/>
      <c r="D6388" s="3064"/>
      <c r="E6388" s="3064"/>
      <c r="F6388" s="3064"/>
      <c r="G6388" s="3302" t="s">
        <v>81</v>
      </c>
      <c r="H6388" s="3063"/>
      <c r="I6388" s="3030"/>
    </row>
    <row r="6389" spans="2:9" ht="26.25" thickBot="1">
      <c r="B6389" s="3303" t="s">
        <v>81</v>
      </c>
      <c r="C6389" s="3063"/>
      <c r="D6389" s="3064"/>
      <c r="E6389" s="3064"/>
      <c r="F6389" s="3064"/>
      <c r="G6389" s="3302" t="s">
        <v>81</v>
      </c>
      <c r="H6389" s="3063"/>
      <c r="I6389" s="3030"/>
    </row>
    <row r="6390" spans="2:9" ht="25.5">
      <c r="B6390" s="3217" t="s">
        <v>696</v>
      </c>
      <c r="C6390" s="3218"/>
      <c r="D6390" s="3219"/>
      <c r="E6390" s="3219"/>
      <c r="F6390" s="3219"/>
      <c r="G6390" s="3217" t="s">
        <v>696</v>
      </c>
      <c r="H6390" s="3297"/>
      <c r="I6390" s="3298"/>
    </row>
    <row r="6391" spans="2:9">
      <c r="B6391" s="3299" t="s">
        <v>64</v>
      </c>
      <c r="C6391" s="3063"/>
      <c r="D6391" s="3064"/>
      <c r="E6391" s="3064"/>
      <c r="F6391" s="3064"/>
      <c r="G6391" s="3300" t="s">
        <v>64</v>
      </c>
      <c r="H6391" s="3063"/>
      <c r="I6391" s="3030"/>
    </row>
    <row r="6392" spans="2:9" ht="25.5">
      <c r="B6392" s="3192" t="s">
        <v>675</v>
      </c>
      <c r="C6392" s="3063"/>
      <c r="D6392" s="3064"/>
      <c r="E6392" s="3064"/>
      <c r="F6392" s="3064"/>
      <c r="G6392" s="3301" t="s">
        <v>675</v>
      </c>
      <c r="H6392" s="3063"/>
      <c r="I6392" s="3030"/>
    </row>
    <row r="6393" spans="2:9" ht="25.5">
      <c r="B6393" s="3192" t="s">
        <v>676</v>
      </c>
      <c r="C6393" s="3063"/>
      <c r="D6393" s="3064"/>
      <c r="E6393" s="3064"/>
      <c r="F6393" s="3064"/>
      <c r="G6393" s="3301" t="s">
        <v>676</v>
      </c>
      <c r="H6393" s="3063"/>
      <c r="I6393" s="3030"/>
    </row>
    <row r="6394" spans="2:9">
      <c r="B6394" s="3192" t="s">
        <v>677</v>
      </c>
      <c r="C6394" s="3063"/>
      <c r="D6394" s="3064"/>
      <c r="E6394" s="3064"/>
      <c r="F6394" s="3064"/>
      <c r="G6394" s="3301" t="s">
        <v>677</v>
      </c>
      <c r="H6394" s="3063"/>
      <c r="I6394" s="3030"/>
    </row>
    <row r="6395" spans="2:9">
      <c r="B6395" s="3192" t="s">
        <v>678</v>
      </c>
      <c r="C6395" s="3063"/>
      <c r="D6395" s="3064"/>
      <c r="E6395" s="3064"/>
      <c r="F6395" s="3064"/>
      <c r="G6395" s="3301" t="s">
        <v>678</v>
      </c>
      <c r="H6395" s="3063"/>
      <c r="I6395" s="3030"/>
    </row>
    <row r="6396" spans="2:9">
      <c r="B6396" s="3192" t="s">
        <v>679</v>
      </c>
      <c r="C6396" s="3063"/>
      <c r="D6396" s="3064"/>
      <c r="E6396" s="3064"/>
      <c r="F6396" s="3064"/>
      <c r="G6396" s="3301" t="s">
        <v>679</v>
      </c>
      <c r="H6396" s="3063"/>
      <c r="I6396" s="3030"/>
    </row>
    <row r="6397" spans="2:9" ht="25.5">
      <c r="B6397" s="3192" t="s">
        <v>720</v>
      </c>
      <c r="C6397" s="3063"/>
      <c r="D6397" s="3064"/>
      <c r="E6397" s="3064"/>
      <c r="F6397" s="3064"/>
      <c r="G6397" s="3301" t="s">
        <v>720</v>
      </c>
      <c r="H6397" s="3063"/>
      <c r="I6397" s="3030"/>
    </row>
    <row r="6398" spans="2:9">
      <c r="B6398" s="3299" t="s">
        <v>65</v>
      </c>
      <c r="C6398" s="3063"/>
      <c r="D6398" s="3064"/>
      <c r="E6398" s="3064"/>
      <c r="F6398" s="3064"/>
      <c r="G6398" s="3300" t="s">
        <v>65</v>
      </c>
      <c r="H6398" s="3063"/>
      <c r="I6398" s="3030"/>
    </row>
    <row r="6399" spans="2:9" ht="25.5">
      <c r="B6399" s="3192" t="s">
        <v>675</v>
      </c>
      <c r="C6399" s="3063"/>
      <c r="D6399" s="3064"/>
      <c r="E6399" s="3064"/>
      <c r="F6399" s="3064"/>
      <c r="G6399" s="3301" t="s">
        <v>675</v>
      </c>
      <c r="H6399" s="3063"/>
      <c r="I6399" s="3030"/>
    </row>
    <row r="6400" spans="2:9" ht="25.5">
      <c r="B6400" s="3192" t="s">
        <v>676</v>
      </c>
      <c r="C6400" s="3063"/>
      <c r="D6400" s="3064"/>
      <c r="E6400" s="3064"/>
      <c r="F6400" s="3064"/>
      <c r="G6400" s="3301" t="s">
        <v>676</v>
      </c>
      <c r="H6400" s="3063"/>
      <c r="I6400" s="3030"/>
    </row>
    <row r="6401" spans="2:9">
      <c r="B6401" s="3192" t="s">
        <v>677</v>
      </c>
      <c r="C6401" s="3063"/>
      <c r="D6401" s="3064"/>
      <c r="E6401" s="3064"/>
      <c r="F6401" s="3064"/>
      <c r="G6401" s="3301" t="s">
        <v>677</v>
      </c>
      <c r="H6401" s="3063"/>
      <c r="I6401" s="3030"/>
    </row>
    <row r="6402" spans="2:9">
      <c r="B6402" s="3192" t="s">
        <v>678</v>
      </c>
      <c r="C6402" s="3063"/>
      <c r="D6402" s="3064"/>
      <c r="E6402" s="3064"/>
      <c r="F6402" s="3064"/>
      <c r="G6402" s="3301" t="s">
        <v>678</v>
      </c>
      <c r="H6402" s="3063"/>
      <c r="I6402" s="3030"/>
    </row>
    <row r="6403" spans="2:9">
      <c r="B6403" s="3192" t="s">
        <v>679</v>
      </c>
      <c r="C6403" s="3063"/>
      <c r="D6403" s="3064"/>
      <c r="E6403" s="3064"/>
      <c r="F6403" s="3064"/>
      <c r="G6403" s="3301" t="s">
        <v>679</v>
      </c>
      <c r="H6403" s="3063"/>
      <c r="I6403" s="3030"/>
    </row>
    <row r="6404" spans="2:9" ht="25.5">
      <c r="B6404" s="3192" t="s">
        <v>720</v>
      </c>
      <c r="C6404" s="3063"/>
      <c r="D6404" s="3064"/>
      <c r="E6404" s="3064"/>
      <c r="F6404" s="3064"/>
      <c r="G6404" s="3301" t="s">
        <v>720</v>
      </c>
      <c r="H6404" s="3063"/>
      <c r="I6404" s="3030"/>
    </row>
    <row r="6405" spans="2:9">
      <c r="B6405" s="3299" t="s">
        <v>82</v>
      </c>
      <c r="C6405" s="3063"/>
      <c r="D6405" s="3064"/>
      <c r="E6405" s="3064"/>
      <c r="F6405" s="3064"/>
      <c r="G6405" s="3300" t="s">
        <v>82</v>
      </c>
      <c r="H6405" s="3063"/>
      <c r="I6405" s="3030"/>
    </row>
    <row r="6406" spans="2:9" ht="25.5">
      <c r="B6406" s="3192" t="s">
        <v>675</v>
      </c>
      <c r="C6406" s="3063"/>
      <c r="D6406" s="3064"/>
      <c r="E6406" s="3064"/>
      <c r="F6406" s="3064"/>
      <c r="G6406" s="3301" t="s">
        <v>675</v>
      </c>
      <c r="H6406" s="3063"/>
      <c r="I6406" s="3030"/>
    </row>
    <row r="6407" spans="2:9" ht="25.5">
      <c r="B6407" s="3192" t="s">
        <v>676</v>
      </c>
      <c r="C6407" s="3063"/>
      <c r="D6407" s="3064"/>
      <c r="E6407" s="3064"/>
      <c r="F6407" s="3064"/>
      <c r="G6407" s="3301" t="s">
        <v>676</v>
      </c>
      <c r="H6407" s="3063"/>
      <c r="I6407" s="3030"/>
    </row>
    <row r="6408" spans="2:9">
      <c r="B6408" s="3192" t="s">
        <v>677</v>
      </c>
      <c r="C6408" s="3063"/>
      <c r="D6408" s="3064"/>
      <c r="E6408" s="3064"/>
      <c r="F6408" s="3064"/>
      <c r="G6408" s="3301" t="s">
        <v>677</v>
      </c>
      <c r="H6408" s="3063"/>
      <c r="I6408" s="3030"/>
    </row>
    <row r="6409" spans="2:9">
      <c r="B6409" s="3192" t="s">
        <v>678</v>
      </c>
      <c r="C6409" s="3063"/>
      <c r="D6409" s="3064"/>
      <c r="E6409" s="3064"/>
      <c r="F6409" s="3064"/>
      <c r="G6409" s="3301" t="s">
        <v>678</v>
      </c>
      <c r="H6409" s="3063"/>
      <c r="I6409" s="3030"/>
    </row>
    <row r="6410" spans="2:9">
      <c r="B6410" s="3192" t="s">
        <v>679</v>
      </c>
      <c r="C6410" s="3063"/>
      <c r="D6410" s="3064"/>
      <c r="E6410" s="3064"/>
      <c r="F6410" s="3064"/>
      <c r="G6410" s="3301" t="s">
        <v>679</v>
      </c>
      <c r="H6410" s="3063"/>
      <c r="I6410" s="3030"/>
    </row>
    <row r="6411" spans="2:9" ht="25.5">
      <c r="B6411" s="3192" t="s">
        <v>720</v>
      </c>
      <c r="C6411" s="3063"/>
      <c r="D6411" s="3064"/>
      <c r="E6411" s="3064"/>
      <c r="F6411" s="3064"/>
      <c r="G6411" s="3301" t="s">
        <v>720</v>
      </c>
      <c r="H6411" s="3063"/>
      <c r="I6411" s="3030"/>
    </row>
    <row r="6412" spans="2:9" ht="38.25">
      <c r="B6412" s="3299" t="s">
        <v>680</v>
      </c>
      <c r="C6412" s="3063"/>
      <c r="D6412" s="3064"/>
      <c r="E6412" s="3064"/>
      <c r="F6412" s="3064"/>
      <c r="G6412" s="3300" t="s">
        <v>680</v>
      </c>
      <c r="H6412" s="3063"/>
      <c r="I6412" s="3030"/>
    </row>
    <row r="6413" spans="2:9" ht="25.5">
      <c r="B6413" s="3192" t="s">
        <v>675</v>
      </c>
      <c r="C6413" s="3063"/>
      <c r="D6413" s="3064"/>
      <c r="E6413" s="3064"/>
      <c r="F6413" s="3064"/>
      <c r="G6413" s="3301" t="s">
        <v>675</v>
      </c>
      <c r="H6413" s="3063"/>
      <c r="I6413" s="3030"/>
    </row>
    <row r="6414" spans="2:9" ht="25.5">
      <c r="B6414" s="3192" t="s">
        <v>676</v>
      </c>
      <c r="C6414" s="3063"/>
      <c r="D6414" s="3064"/>
      <c r="E6414" s="3064"/>
      <c r="F6414" s="3064"/>
      <c r="G6414" s="3301" t="s">
        <v>676</v>
      </c>
      <c r="H6414" s="3063"/>
      <c r="I6414" s="3030"/>
    </row>
    <row r="6415" spans="2:9">
      <c r="B6415" s="3192" t="s">
        <v>677</v>
      </c>
      <c r="C6415" s="3063"/>
      <c r="D6415" s="3064"/>
      <c r="E6415" s="3064"/>
      <c r="F6415" s="3064"/>
      <c r="G6415" s="3301" t="s">
        <v>677</v>
      </c>
      <c r="H6415" s="3063"/>
      <c r="I6415" s="3030"/>
    </row>
    <row r="6416" spans="2:9">
      <c r="B6416" s="3192" t="s">
        <v>678</v>
      </c>
      <c r="C6416" s="3063"/>
      <c r="D6416" s="3064"/>
      <c r="E6416" s="3064"/>
      <c r="F6416" s="3064"/>
      <c r="G6416" s="3301" t="s">
        <v>678</v>
      </c>
      <c r="H6416" s="3063"/>
      <c r="I6416" s="3030"/>
    </row>
    <row r="6417" spans="2:9">
      <c r="B6417" s="3192" t="s">
        <v>679</v>
      </c>
      <c r="C6417" s="3063"/>
      <c r="D6417" s="3064"/>
      <c r="E6417" s="3064"/>
      <c r="F6417" s="3064"/>
      <c r="G6417" s="3301" t="s">
        <v>679</v>
      </c>
      <c r="H6417" s="3063"/>
      <c r="I6417" s="3030"/>
    </row>
    <row r="6418" spans="2:9" ht="25.5">
      <c r="B6418" s="3192" t="s">
        <v>720</v>
      </c>
      <c r="C6418" s="3063"/>
      <c r="D6418" s="3064"/>
      <c r="E6418" s="3064"/>
      <c r="F6418" s="3064"/>
      <c r="G6418" s="3301" t="s">
        <v>720</v>
      </c>
      <c r="H6418" s="3063"/>
      <c r="I6418" s="3030"/>
    </row>
    <row r="6419" spans="2:9" ht="38.25">
      <c r="B6419" s="3299" t="s">
        <v>681</v>
      </c>
      <c r="C6419" s="3063"/>
      <c r="D6419" s="3064"/>
      <c r="E6419" s="3064"/>
      <c r="F6419" s="3064"/>
      <c r="G6419" s="3300" t="s">
        <v>681</v>
      </c>
      <c r="H6419" s="3063"/>
      <c r="I6419" s="3030"/>
    </row>
    <row r="6420" spans="2:9" ht="25.5">
      <c r="B6420" s="3192" t="s">
        <v>675</v>
      </c>
      <c r="C6420" s="3063"/>
      <c r="D6420" s="3064"/>
      <c r="E6420" s="3064"/>
      <c r="F6420" s="3064"/>
      <c r="G6420" s="3301" t="s">
        <v>675</v>
      </c>
      <c r="H6420" s="3063"/>
      <c r="I6420" s="3030"/>
    </row>
    <row r="6421" spans="2:9" ht="25.5">
      <c r="B6421" s="3192" t="s">
        <v>676</v>
      </c>
      <c r="C6421" s="3063"/>
      <c r="D6421" s="3064"/>
      <c r="E6421" s="3064"/>
      <c r="F6421" s="3064"/>
      <c r="G6421" s="3301" t="s">
        <v>676</v>
      </c>
      <c r="H6421" s="3063"/>
      <c r="I6421" s="3030"/>
    </row>
    <row r="6422" spans="2:9">
      <c r="B6422" s="3192" t="s">
        <v>677</v>
      </c>
      <c r="C6422" s="3063"/>
      <c r="D6422" s="3064"/>
      <c r="E6422" s="3064"/>
      <c r="F6422" s="3064"/>
      <c r="G6422" s="3301" t="s">
        <v>677</v>
      </c>
      <c r="H6422" s="3063"/>
      <c r="I6422" s="3030"/>
    </row>
    <row r="6423" spans="2:9">
      <c r="B6423" s="3192" t="s">
        <v>678</v>
      </c>
      <c r="C6423" s="3063"/>
      <c r="D6423" s="3064"/>
      <c r="E6423" s="3064"/>
      <c r="F6423" s="3064"/>
      <c r="G6423" s="3301" t="s">
        <v>678</v>
      </c>
      <c r="H6423" s="3063"/>
      <c r="I6423" s="3030"/>
    </row>
    <row r="6424" spans="2:9">
      <c r="B6424" s="3192" t="s">
        <v>679</v>
      </c>
      <c r="C6424" s="3063"/>
      <c r="D6424" s="3064"/>
      <c r="E6424" s="3064"/>
      <c r="F6424" s="3064"/>
      <c r="G6424" s="3301" t="s">
        <v>679</v>
      </c>
      <c r="H6424" s="3063"/>
      <c r="I6424" s="3030"/>
    </row>
    <row r="6425" spans="2:9" ht="25.5">
      <c r="B6425" s="3192" t="s">
        <v>720</v>
      </c>
      <c r="C6425" s="3063"/>
      <c r="D6425" s="3064"/>
      <c r="E6425" s="3064"/>
      <c r="F6425" s="3064"/>
      <c r="G6425" s="3301" t="s">
        <v>720</v>
      </c>
      <c r="H6425" s="3063"/>
      <c r="I6425" s="3030"/>
    </row>
    <row r="6426" spans="2:9" ht="25.5">
      <c r="B6426" s="3299" t="s">
        <v>682</v>
      </c>
      <c r="C6426" s="3063"/>
      <c r="D6426" s="3064"/>
      <c r="E6426" s="3064"/>
      <c r="F6426" s="3064"/>
      <c r="G6426" s="3300" t="s">
        <v>682</v>
      </c>
      <c r="H6426" s="3063"/>
      <c r="I6426" s="3030"/>
    </row>
    <row r="6427" spans="2:9" ht="25.5">
      <c r="B6427" s="3192" t="s">
        <v>675</v>
      </c>
      <c r="C6427" s="3063"/>
      <c r="D6427" s="3064"/>
      <c r="E6427" s="3064"/>
      <c r="F6427" s="3064"/>
      <c r="G6427" s="3301" t="s">
        <v>675</v>
      </c>
      <c r="H6427" s="3063"/>
      <c r="I6427" s="3030"/>
    </row>
    <row r="6428" spans="2:9" ht="25.5">
      <c r="B6428" s="3192" t="s">
        <v>676</v>
      </c>
      <c r="C6428" s="3063"/>
      <c r="D6428" s="3064"/>
      <c r="E6428" s="3064"/>
      <c r="F6428" s="3064"/>
      <c r="G6428" s="3301" t="s">
        <v>676</v>
      </c>
      <c r="H6428" s="3063"/>
      <c r="I6428" s="3030"/>
    </row>
    <row r="6429" spans="2:9">
      <c r="B6429" s="3192" t="s">
        <v>677</v>
      </c>
      <c r="C6429" s="3063"/>
      <c r="D6429" s="3064"/>
      <c r="E6429" s="3064"/>
      <c r="F6429" s="3064"/>
      <c r="G6429" s="3301" t="s">
        <v>677</v>
      </c>
      <c r="H6429" s="3063"/>
      <c r="I6429" s="3030"/>
    </row>
    <row r="6430" spans="2:9">
      <c r="B6430" s="3192" t="s">
        <v>678</v>
      </c>
      <c r="C6430" s="3063"/>
      <c r="D6430" s="3064"/>
      <c r="E6430" s="3064"/>
      <c r="F6430" s="3064"/>
      <c r="G6430" s="3301" t="s">
        <v>678</v>
      </c>
      <c r="H6430" s="3063"/>
      <c r="I6430" s="3030"/>
    </row>
    <row r="6431" spans="2:9">
      <c r="B6431" s="3192" t="s">
        <v>679</v>
      </c>
      <c r="C6431" s="3063"/>
      <c r="D6431" s="3064"/>
      <c r="E6431" s="3064"/>
      <c r="F6431" s="3064"/>
      <c r="G6431" s="3301" t="s">
        <v>679</v>
      </c>
      <c r="H6431" s="3063"/>
      <c r="I6431" s="3030"/>
    </row>
    <row r="6432" spans="2:9" ht="25.5">
      <c r="B6432" s="3192" t="s">
        <v>720</v>
      </c>
      <c r="C6432" s="3063"/>
      <c r="D6432" s="3064"/>
      <c r="E6432" s="3064"/>
      <c r="F6432" s="3064"/>
      <c r="G6432" s="3301" t="s">
        <v>720</v>
      </c>
      <c r="H6432" s="3063"/>
      <c r="I6432" s="3030"/>
    </row>
    <row r="6433" spans="2:9" ht="25.5">
      <c r="B6433" s="3299" t="s">
        <v>66</v>
      </c>
      <c r="C6433" s="3063"/>
      <c r="D6433" s="3064"/>
      <c r="E6433" s="3064"/>
      <c r="F6433" s="3064"/>
      <c r="G6433" s="3300" t="s">
        <v>66</v>
      </c>
      <c r="H6433" s="3063"/>
      <c r="I6433" s="3030"/>
    </row>
    <row r="6434" spans="2:9" ht="25.5">
      <c r="B6434" s="3192" t="s">
        <v>675</v>
      </c>
      <c r="C6434" s="3063"/>
      <c r="D6434" s="3064"/>
      <c r="E6434" s="3064"/>
      <c r="F6434" s="3064"/>
      <c r="G6434" s="3301" t="s">
        <v>675</v>
      </c>
      <c r="H6434" s="3063"/>
      <c r="I6434" s="3030"/>
    </row>
    <row r="6435" spans="2:9" ht="25.5">
      <c r="B6435" s="3192" t="s">
        <v>676</v>
      </c>
      <c r="C6435" s="3063"/>
      <c r="D6435" s="3064"/>
      <c r="E6435" s="3064"/>
      <c r="F6435" s="3064"/>
      <c r="G6435" s="3301" t="s">
        <v>676</v>
      </c>
      <c r="H6435" s="3063"/>
      <c r="I6435" s="3030"/>
    </row>
    <row r="6436" spans="2:9">
      <c r="B6436" s="3192" t="s">
        <v>677</v>
      </c>
      <c r="C6436" s="3063"/>
      <c r="D6436" s="3064"/>
      <c r="E6436" s="3064"/>
      <c r="F6436" s="3064"/>
      <c r="G6436" s="3301" t="s">
        <v>677</v>
      </c>
      <c r="H6436" s="3063"/>
      <c r="I6436" s="3030"/>
    </row>
    <row r="6437" spans="2:9">
      <c r="B6437" s="3192" t="s">
        <v>678</v>
      </c>
      <c r="C6437" s="3063"/>
      <c r="D6437" s="3064"/>
      <c r="E6437" s="3064"/>
      <c r="F6437" s="3064"/>
      <c r="G6437" s="3301" t="s">
        <v>678</v>
      </c>
      <c r="H6437" s="3063"/>
      <c r="I6437" s="3030"/>
    </row>
    <row r="6438" spans="2:9">
      <c r="B6438" s="3192" t="s">
        <v>679</v>
      </c>
      <c r="C6438" s="3063"/>
      <c r="D6438" s="3064"/>
      <c r="E6438" s="3064"/>
      <c r="F6438" s="3064"/>
      <c r="G6438" s="3301" t="s">
        <v>679</v>
      </c>
      <c r="H6438" s="3063"/>
      <c r="I6438" s="3030"/>
    </row>
    <row r="6439" spans="2:9" ht="25.5">
      <c r="B6439" s="3192" t="s">
        <v>720</v>
      </c>
      <c r="C6439" s="3063"/>
      <c r="D6439" s="3064"/>
      <c r="E6439" s="3064"/>
      <c r="F6439" s="3064"/>
      <c r="G6439" s="3301" t="s">
        <v>720</v>
      </c>
      <c r="H6439" s="3063"/>
      <c r="I6439" s="3030"/>
    </row>
    <row r="6440" spans="2:9">
      <c r="B6440" s="3299" t="s">
        <v>67</v>
      </c>
      <c r="C6440" s="3063"/>
      <c r="D6440" s="3064"/>
      <c r="E6440" s="3064"/>
      <c r="F6440" s="3064"/>
      <c r="G6440" s="3300" t="s">
        <v>67</v>
      </c>
      <c r="H6440" s="3063"/>
      <c r="I6440" s="3030"/>
    </row>
    <row r="6441" spans="2:9" ht="25.5">
      <c r="B6441" s="3192" t="s">
        <v>675</v>
      </c>
      <c r="C6441" s="3063"/>
      <c r="D6441" s="3064"/>
      <c r="E6441" s="3064"/>
      <c r="F6441" s="3064"/>
      <c r="G6441" s="3301" t="s">
        <v>675</v>
      </c>
      <c r="H6441" s="3063"/>
      <c r="I6441" s="3030"/>
    </row>
    <row r="6442" spans="2:9" ht="25.5">
      <c r="B6442" s="3192" t="s">
        <v>676</v>
      </c>
      <c r="C6442" s="3063"/>
      <c r="D6442" s="3064"/>
      <c r="E6442" s="3064"/>
      <c r="F6442" s="3064"/>
      <c r="G6442" s="3301" t="s">
        <v>676</v>
      </c>
      <c r="H6442" s="3063"/>
      <c r="I6442" s="3030"/>
    </row>
    <row r="6443" spans="2:9">
      <c r="B6443" s="3192" t="s">
        <v>677</v>
      </c>
      <c r="C6443" s="3063"/>
      <c r="D6443" s="3064"/>
      <c r="E6443" s="3064"/>
      <c r="F6443" s="3064"/>
      <c r="G6443" s="3301" t="s">
        <v>677</v>
      </c>
      <c r="H6443" s="3063"/>
      <c r="I6443" s="3030"/>
    </row>
    <row r="6444" spans="2:9">
      <c r="B6444" s="3192" t="s">
        <v>678</v>
      </c>
      <c r="C6444" s="3063"/>
      <c r="D6444" s="3064"/>
      <c r="E6444" s="3064"/>
      <c r="F6444" s="3064"/>
      <c r="G6444" s="3301" t="s">
        <v>678</v>
      </c>
      <c r="H6444" s="3063"/>
      <c r="I6444" s="3030"/>
    </row>
    <row r="6445" spans="2:9">
      <c r="B6445" s="3192" t="s">
        <v>679</v>
      </c>
      <c r="C6445" s="3063"/>
      <c r="D6445" s="3064"/>
      <c r="E6445" s="3064"/>
      <c r="F6445" s="3064"/>
      <c r="G6445" s="3301" t="s">
        <v>679</v>
      </c>
      <c r="H6445" s="3063"/>
      <c r="I6445" s="3030"/>
    </row>
    <row r="6446" spans="2:9" ht="25.5">
      <c r="B6446" s="3230" t="s">
        <v>81</v>
      </c>
      <c r="C6446" s="3063"/>
      <c r="D6446" s="3064"/>
      <c r="E6446" s="3064"/>
      <c r="F6446" s="3064"/>
      <c r="G6446" s="3302" t="s">
        <v>81</v>
      </c>
      <c r="H6446" s="3063"/>
      <c r="I6446" s="3030"/>
    </row>
    <row r="6447" spans="2:9" ht="26.25" thickBot="1">
      <c r="B6447" s="3303" t="s">
        <v>81</v>
      </c>
      <c r="C6447" s="3063"/>
      <c r="D6447" s="3064"/>
      <c r="E6447" s="3064"/>
      <c r="F6447" s="3064"/>
      <c r="G6447" s="3302" t="s">
        <v>81</v>
      </c>
      <c r="H6447" s="3063"/>
      <c r="I6447" s="3030"/>
    </row>
    <row r="6448" spans="2:9">
      <c r="B6448" s="3217" t="s">
        <v>697</v>
      </c>
      <c r="C6448" s="3218"/>
      <c r="D6448" s="3219"/>
      <c r="E6448" s="3219"/>
      <c r="F6448" s="3219"/>
      <c r="G6448" s="3217" t="s">
        <v>697</v>
      </c>
      <c r="H6448" s="3297"/>
      <c r="I6448" s="3298"/>
    </row>
    <row r="6449" spans="2:9">
      <c r="B6449" s="3299" t="s">
        <v>64</v>
      </c>
      <c r="C6449" s="3063"/>
      <c r="D6449" s="3064"/>
      <c r="E6449" s="3064"/>
      <c r="F6449" s="3064"/>
      <c r="G6449" s="3300" t="s">
        <v>64</v>
      </c>
      <c r="H6449" s="3063"/>
      <c r="I6449" s="3030"/>
    </row>
    <row r="6450" spans="2:9" ht="25.5">
      <c r="B6450" s="3192" t="s">
        <v>675</v>
      </c>
      <c r="C6450" s="3063"/>
      <c r="D6450" s="3064"/>
      <c r="E6450" s="3064"/>
      <c r="F6450" s="3064"/>
      <c r="G6450" s="3301" t="s">
        <v>675</v>
      </c>
      <c r="H6450" s="3063"/>
      <c r="I6450" s="3030"/>
    </row>
    <row r="6451" spans="2:9" ht="25.5">
      <c r="B6451" s="3192" t="s">
        <v>676</v>
      </c>
      <c r="C6451" s="3063"/>
      <c r="D6451" s="3064"/>
      <c r="E6451" s="3064"/>
      <c r="F6451" s="3064"/>
      <c r="G6451" s="3301" t="s">
        <v>676</v>
      </c>
      <c r="H6451" s="3063"/>
      <c r="I6451" s="3030"/>
    </row>
    <row r="6452" spans="2:9">
      <c r="B6452" s="3192" t="s">
        <v>677</v>
      </c>
      <c r="C6452" s="3063"/>
      <c r="D6452" s="3064"/>
      <c r="E6452" s="3064"/>
      <c r="F6452" s="3064"/>
      <c r="G6452" s="3301" t="s">
        <v>677</v>
      </c>
      <c r="H6452" s="3063"/>
      <c r="I6452" s="3030"/>
    </row>
    <row r="6453" spans="2:9">
      <c r="B6453" s="3192" t="s">
        <v>678</v>
      </c>
      <c r="C6453" s="3063"/>
      <c r="D6453" s="3064"/>
      <c r="E6453" s="3064"/>
      <c r="F6453" s="3064"/>
      <c r="G6453" s="3301" t="s">
        <v>678</v>
      </c>
      <c r="H6453" s="3063"/>
      <c r="I6453" s="3030"/>
    </row>
    <row r="6454" spans="2:9">
      <c r="B6454" s="3192" t="s">
        <v>679</v>
      </c>
      <c r="C6454" s="3063"/>
      <c r="D6454" s="3064"/>
      <c r="E6454" s="3064"/>
      <c r="F6454" s="3064"/>
      <c r="G6454" s="3301" t="s">
        <v>679</v>
      </c>
      <c r="H6454" s="3063"/>
      <c r="I6454" s="3030"/>
    </row>
    <row r="6455" spans="2:9" ht="25.5">
      <c r="B6455" s="3192" t="s">
        <v>720</v>
      </c>
      <c r="C6455" s="3063"/>
      <c r="D6455" s="3064"/>
      <c r="E6455" s="3064"/>
      <c r="F6455" s="3064"/>
      <c r="G6455" s="3301" t="s">
        <v>720</v>
      </c>
      <c r="H6455" s="3063"/>
      <c r="I6455" s="3030"/>
    </row>
    <row r="6456" spans="2:9">
      <c r="B6456" s="3299" t="s">
        <v>65</v>
      </c>
      <c r="C6456" s="3063"/>
      <c r="D6456" s="3064"/>
      <c r="E6456" s="3064"/>
      <c r="F6456" s="3064"/>
      <c r="G6456" s="3300" t="s">
        <v>65</v>
      </c>
      <c r="H6456" s="3063"/>
      <c r="I6456" s="3030"/>
    </row>
    <row r="6457" spans="2:9" ht="25.5">
      <c r="B6457" s="3192" t="s">
        <v>675</v>
      </c>
      <c r="C6457" s="3063"/>
      <c r="D6457" s="3064"/>
      <c r="E6457" s="3064"/>
      <c r="F6457" s="3064"/>
      <c r="G6457" s="3301" t="s">
        <v>675</v>
      </c>
      <c r="H6457" s="3063"/>
      <c r="I6457" s="3030"/>
    </row>
    <row r="6458" spans="2:9" ht="25.5">
      <c r="B6458" s="3192" t="s">
        <v>676</v>
      </c>
      <c r="C6458" s="3063"/>
      <c r="D6458" s="3064"/>
      <c r="E6458" s="3064"/>
      <c r="F6458" s="3064"/>
      <c r="G6458" s="3301" t="s">
        <v>676</v>
      </c>
      <c r="H6458" s="3063"/>
      <c r="I6458" s="3030"/>
    </row>
    <row r="6459" spans="2:9">
      <c r="B6459" s="3192" t="s">
        <v>677</v>
      </c>
      <c r="C6459" s="3063"/>
      <c r="D6459" s="3064"/>
      <c r="E6459" s="3064"/>
      <c r="F6459" s="3064"/>
      <c r="G6459" s="3301" t="s">
        <v>677</v>
      </c>
      <c r="H6459" s="3063"/>
      <c r="I6459" s="3030"/>
    </row>
    <row r="6460" spans="2:9">
      <c r="B6460" s="3192" t="s">
        <v>678</v>
      </c>
      <c r="C6460" s="3063"/>
      <c r="D6460" s="3064"/>
      <c r="E6460" s="3064"/>
      <c r="F6460" s="3064"/>
      <c r="G6460" s="3301" t="s">
        <v>678</v>
      </c>
      <c r="H6460" s="3063"/>
      <c r="I6460" s="3030"/>
    </row>
    <row r="6461" spans="2:9">
      <c r="B6461" s="3192" t="s">
        <v>679</v>
      </c>
      <c r="C6461" s="3063"/>
      <c r="D6461" s="3064"/>
      <c r="E6461" s="3064"/>
      <c r="F6461" s="3064"/>
      <c r="G6461" s="3301" t="s">
        <v>679</v>
      </c>
      <c r="H6461" s="3063"/>
      <c r="I6461" s="3030"/>
    </row>
    <row r="6462" spans="2:9" ht="25.5">
      <c r="B6462" s="3192" t="s">
        <v>720</v>
      </c>
      <c r="C6462" s="3063"/>
      <c r="D6462" s="3064"/>
      <c r="E6462" s="3064"/>
      <c r="F6462" s="3064"/>
      <c r="G6462" s="3301" t="s">
        <v>720</v>
      </c>
      <c r="H6462" s="3063"/>
      <c r="I6462" s="3030"/>
    </row>
    <row r="6463" spans="2:9">
      <c r="B6463" s="3299" t="s">
        <v>82</v>
      </c>
      <c r="C6463" s="3063"/>
      <c r="D6463" s="3064"/>
      <c r="E6463" s="3064"/>
      <c r="F6463" s="3064"/>
      <c r="G6463" s="3300" t="s">
        <v>82</v>
      </c>
      <c r="H6463" s="3063"/>
      <c r="I6463" s="3030"/>
    </row>
    <row r="6464" spans="2:9" ht="25.5">
      <c r="B6464" s="3192" t="s">
        <v>675</v>
      </c>
      <c r="C6464" s="3063"/>
      <c r="D6464" s="3064"/>
      <c r="E6464" s="3064"/>
      <c r="F6464" s="3064"/>
      <c r="G6464" s="3301" t="s">
        <v>675</v>
      </c>
      <c r="H6464" s="3063"/>
      <c r="I6464" s="3030"/>
    </row>
    <row r="6465" spans="2:9" ht="25.5">
      <c r="B6465" s="3192" t="s">
        <v>676</v>
      </c>
      <c r="C6465" s="3063"/>
      <c r="D6465" s="3064"/>
      <c r="E6465" s="3064"/>
      <c r="F6465" s="3064"/>
      <c r="G6465" s="3301" t="s">
        <v>676</v>
      </c>
      <c r="H6465" s="3063"/>
      <c r="I6465" s="3030"/>
    </row>
    <row r="6466" spans="2:9">
      <c r="B6466" s="3192" t="s">
        <v>677</v>
      </c>
      <c r="C6466" s="3063"/>
      <c r="D6466" s="3064"/>
      <c r="E6466" s="3064"/>
      <c r="F6466" s="3064"/>
      <c r="G6466" s="3301" t="s">
        <v>677</v>
      </c>
      <c r="H6466" s="3063"/>
      <c r="I6466" s="3030"/>
    </row>
    <row r="6467" spans="2:9">
      <c r="B6467" s="3192" t="s">
        <v>678</v>
      </c>
      <c r="C6467" s="3063"/>
      <c r="D6467" s="3064"/>
      <c r="E6467" s="3064"/>
      <c r="F6467" s="3064"/>
      <c r="G6467" s="3301" t="s">
        <v>678</v>
      </c>
      <c r="H6467" s="3063"/>
      <c r="I6467" s="3030"/>
    </row>
    <row r="6468" spans="2:9">
      <c r="B6468" s="3192" t="s">
        <v>679</v>
      </c>
      <c r="C6468" s="3063"/>
      <c r="D6468" s="3064"/>
      <c r="E6468" s="3064"/>
      <c r="F6468" s="3064"/>
      <c r="G6468" s="3301" t="s">
        <v>679</v>
      </c>
      <c r="H6468" s="3063"/>
      <c r="I6468" s="3030"/>
    </row>
    <row r="6469" spans="2:9" ht="25.5">
      <c r="B6469" s="3192" t="s">
        <v>720</v>
      </c>
      <c r="C6469" s="3063"/>
      <c r="D6469" s="3064"/>
      <c r="E6469" s="3064"/>
      <c r="F6469" s="3064"/>
      <c r="G6469" s="3301" t="s">
        <v>720</v>
      </c>
      <c r="H6469" s="3063"/>
      <c r="I6469" s="3030"/>
    </row>
    <row r="6470" spans="2:9" ht="38.25">
      <c r="B6470" s="3299" t="s">
        <v>680</v>
      </c>
      <c r="C6470" s="3063"/>
      <c r="D6470" s="3064"/>
      <c r="E6470" s="3064"/>
      <c r="F6470" s="3064"/>
      <c r="G6470" s="3300" t="s">
        <v>680</v>
      </c>
      <c r="H6470" s="3063"/>
      <c r="I6470" s="3030"/>
    </row>
    <row r="6471" spans="2:9" ht="25.5">
      <c r="B6471" s="3192" t="s">
        <v>675</v>
      </c>
      <c r="C6471" s="3063"/>
      <c r="D6471" s="3064"/>
      <c r="E6471" s="3064"/>
      <c r="F6471" s="3064"/>
      <c r="G6471" s="3301" t="s">
        <v>675</v>
      </c>
      <c r="H6471" s="3063"/>
      <c r="I6471" s="3030"/>
    </row>
    <row r="6472" spans="2:9" ht="25.5">
      <c r="B6472" s="3192" t="s">
        <v>676</v>
      </c>
      <c r="C6472" s="3063"/>
      <c r="D6472" s="3064"/>
      <c r="E6472" s="3064"/>
      <c r="F6472" s="3064"/>
      <c r="G6472" s="3301" t="s">
        <v>676</v>
      </c>
      <c r="H6472" s="3063"/>
      <c r="I6472" s="3030"/>
    </row>
    <row r="6473" spans="2:9">
      <c r="B6473" s="3192" t="s">
        <v>677</v>
      </c>
      <c r="C6473" s="3063"/>
      <c r="D6473" s="3064"/>
      <c r="E6473" s="3064"/>
      <c r="F6473" s="3064"/>
      <c r="G6473" s="3301" t="s">
        <v>677</v>
      </c>
      <c r="H6473" s="3063"/>
      <c r="I6473" s="3030"/>
    </row>
    <row r="6474" spans="2:9">
      <c r="B6474" s="3192" t="s">
        <v>678</v>
      </c>
      <c r="C6474" s="3063"/>
      <c r="D6474" s="3064"/>
      <c r="E6474" s="3064"/>
      <c r="F6474" s="3064"/>
      <c r="G6474" s="3301" t="s">
        <v>678</v>
      </c>
      <c r="H6474" s="3063"/>
      <c r="I6474" s="3030"/>
    </row>
    <row r="6475" spans="2:9">
      <c r="B6475" s="3192" t="s">
        <v>679</v>
      </c>
      <c r="C6475" s="3063"/>
      <c r="D6475" s="3064"/>
      <c r="E6475" s="3064"/>
      <c r="F6475" s="3064"/>
      <c r="G6475" s="3301" t="s">
        <v>679</v>
      </c>
      <c r="H6475" s="3063"/>
      <c r="I6475" s="3030"/>
    </row>
    <row r="6476" spans="2:9" ht="25.5">
      <c r="B6476" s="3192" t="s">
        <v>720</v>
      </c>
      <c r="C6476" s="3063"/>
      <c r="D6476" s="3064"/>
      <c r="E6476" s="3064"/>
      <c r="F6476" s="3064"/>
      <c r="G6476" s="3301" t="s">
        <v>720</v>
      </c>
      <c r="H6476" s="3063"/>
      <c r="I6476" s="3030"/>
    </row>
    <row r="6477" spans="2:9" ht="38.25">
      <c r="B6477" s="3299" t="s">
        <v>681</v>
      </c>
      <c r="C6477" s="3063"/>
      <c r="D6477" s="3064"/>
      <c r="E6477" s="3064"/>
      <c r="F6477" s="3064">
        <v>2</v>
      </c>
      <c r="G6477" s="3300" t="s">
        <v>681</v>
      </c>
      <c r="H6477" s="3030">
        <f>2/AVERAGE(H489:J489)</f>
        <v>2.5950434669780708E-2</v>
      </c>
      <c r="I6477" s="3030"/>
    </row>
    <row r="6478" spans="2:9" ht="25.5">
      <c r="B6478" s="3192" t="s">
        <v>675</v>
      </c>
      <c r="C6478" s="3063">
        <v>3</v>
      </c>
      <c r="D6478" s="3064">
        <v>1</v>
      </c>
      <c r="E6478" s="3064"/>
      <c r="F6478" s="3064"/>
      <c r="G6478" s="3301" t="s">
        <v>675</v>
      </c>
      <c r="H6478" s="3063"/>
      <c r="I6478" s="3030">
        <v>2.5950434669780708E-2</v>
      </c>
    </row>
    <row r="6479" spans="2:9" ht="25.5">
      <c r="B6479" s="3192" t="s">
        <v>676</v>
      </c>
      <c r="C6479" s="3063"/>
      <c r="D6479" s="3064"/>
      <c r="E6479" s="3064"/>
      <c r="F6479" s="3064"/>
      <c r="G6479" s="3301" t="s">
        <v>676</v>
      </c>
      <c r="H6479" s="3063"/>
      <c r="I6479" s="3030"/>
    </row>
    <row r="6480" spans="2:9">
      <c r="B6480" s="3192" t="s">
        <v>677</v>
      </c>
      <c r="C6480" s="3063"/>
      <c r="D6480" s="3064"/>
      <c r="E6480" s="3064"/>
      <c r="F6480" s="3064"/>
      <c r="G6480" s="3301" t="s">
        <v>677</v>
      </c>
      <c r="H6480" s="3063"/>
      <c r="I6480" s="3030"/>
    </row>
    <row r="6481" spans="2:9">
      <c r="B6481" s="3192" t="s">
        <v>678</v>
      </c>
      <c r="C6481" s="3063"/>
      <c r="D6481" s="3064"/>
      <c r="E6481" s="3064"/>
      <c r="F6481" s="3064"/>
      <c r="G6481" s="3301" t="s">
        <v>678</v>
      </c>
      <c r="H6481" s="3063"/>
      <c r="I6481" s="3030"/>
    </row>
    <row r="6482" spans="2:9">
      <c r="B6482" s="3192" t="s">
        <v>679</v>
      </c>
      <c r="C6482" s="3063"/>
      <c r="D6482" s="3064"/>
      <c r="E6482" s="3064"/>
      <c r="F6482" s="3064"/>
      <c r="G6482" s="3301" t="s">
        <v>679</v>
      </c>
      <c r="H6482" s="3063"/>
      <c r="I6482" s="3030"/>
    </row>
    <row r="6483" spans="2:9" ht="25.5">
      <c r="B6483" s="3192" t="s">
        <v>720</v>
      </c>
      <c r="C6483" s="3063"/>
      <c r="D6483" s="3064"/>
      <c r="E6483" s="3064"/>
      <c r="F6483" s="3064"/>
      <c r="G6483" s="3301" t="s">
        <v>720</v>
      </c>
      <c r="H6483" s="3063"/>
      <c r="I6483" s="3030"/>
    </row>
    <row r="6484" spans="2:9" ht="25.5">
      <c r="B6484" s="3299" t="s">
        <v>682</v>
      </c>
      <c r="C6484" s="3063"/>
      <c r="D6484" s="3064"/>
      <c r="E6484" s="3064"/>
      <c r="F6484" s="3064"/>
      <c r="G6484" s="3300" t="s">
        <v>682</v>
      </c>
      <c r="H6484" s="3063"/>
      <c r="I6484" s="3030"/>
    </row>
    <row r="6485" spans="2:9" ht="25.5">
      <c r="B6485" s="3192" t="s">
        <v>675</v>
      </c>
      <c r="C6485" s="3063"/>
      <c r="D6485" s="3064"/>
      <c r="E6485" s="3064"/>
      <c r="F6485" s="3064"/>
      <c r="G6485" s="3301" t="s">
        <v>675</v>
      </c>
      <c r="H6485" s="3063"/>
      <c r="I6485" s="3030"/>
    </row>
    <row r="6486" spans="2:9" ht="25.5">
      <c r="B6486" s="3192" t="s">
        <v>676</v>
      </c>
      <c r="C6486" s="3063"/>
      <c r="D6486" s="3064"/>
      <c r="E6486" s="3064"/>
      <c r="F6486" s="3064"/>
      <c r="G6486" s="3301" t="s">
        <v>676</v>
      </c>
      <c r="H6486" s="3063"/>
      <c r="I6486" s="3030"/>
    </row>
    <row r="6487" spans="2:9">
      <c r="B6487" s="3192" t="s">
        <v>677</v>
      </c>
      <c r="C6487" s="3063"/>
      <c r="D6487" s="3064"/>
      <c r="E6487" s="3064"/>
      <c r="F6487" s="3064"/>
      <c r="G6487" s="3301" t="s">
        <v>677</v>
      </c>
      <c r="H6487" s="3063"/>
      <c r="I6487" s="3030"/>
    </row>
    <row r="6488" spans="2:9">
      <c r="B6488" s="3192" t="s">
        <v>678</v>
      </c>
      <c r="C6488" s="3063"/>
      <c r="D6488" s="3064"/>
      <c r="E6488" s="3064"/>
      <c r="F6488" s="3064"/>
      <c r="G6488" s="3301" t="s">
        <v>678</v>
      </c>
      <c r="H6488" s="3063"/>
      <c r="I6488" s="3030"/>
    </row>
    <row r="6489" spans="2:9">
      <c r="B6489" s="3192" t="s">
        <v>679</v>
      </c>
      <c r="C6489" s="3063"/>
      <c r="D6489" s="3064"/>
      <c r="E6489" s="3064"/>
      <c r="F6489" s="3064"/>
      <c r="G6489" s="3301" t="s">
        <v>679</v>
      </c>
      <c r="H6489" s="3063"/>
      <c r="I6489" s="3030"/>
    </row>
    <row r="6490" spans="2:9" ht="25.5">
      <c r="B6490" s="3192" t="s">
        <v>720</v>
      </c>
      <c r="C6490" s="3063"/>
      <c r="D6490" s="3064"/>
      <c r="E6490" s="3064"/>
      <c r="F6490" s="3064"/>
      <c r="G6490" s="3301" t="s">
        <v>720</v>
      </c>
      <c r="H6490" s="3063"/>
      <c r="I6490" s="3030"/>
    </row>
    <row r="6491" spans="2:9" ht="25.5">
      <c r="B6491" s="3299" t="s">
        <v>66</v>
      </c>
      <c r="C6491" s="3063"/>
      <c r="D6491" s="3064"/>
      <c r="E6491" s="3064"/>
      <c r="F6491" s="3064"/>
      <c r="G6491" s="3300" t="s">
        <v>66</v>
      </c>
      <c r="H6491" s="3063"/>
      <c r="I6491" s="3030"/>
    </row>
    <row r="6492" spans="2:9" ht="25.5">
      <c r="B6492" s="3192" t="s">
        <v>675</v>
      </c>
      <c r="C6492" s="3063"/>
      <c r="D6492" s="3064"/>
      <c r="E6492" s="3064"/>
      <c r="F6492" s="3064"/>
      <c r="G6492" s="3301" t="s">
        <v>675</v>
      </c>
      <c r="H6492" s="3063"/>
      <c r="I6492" s="3030"/>
    </row>
    <row r="6493" spans="2:9" ht="25.5">
      <c r="B6493" s="3192" t="s">
        <v>676</v>
      </c>
      <c r="C6493" s="3063"/>
      <c r="D6493" s="3064"/>
      <c r="E6493" s="3064"/>
      <c r="F6493" s="3064"/>
      <c r="G6493" s="3301" t="s">
        <v>676</v>
      </c>
      <c r="H6493" s="3063"/>
      <c r="I6493" s="3030"/>
    </row>
    <row r="6494" spans="2:9">
      <c r="B6494" s="3192" t="s">
        <v>677</v>
      </c>
      <c r="C6494" s="3063"/>
      <c r="D6494" s="3064"/>
      <c r="E6494" s="3064"/>
      <c r="F6494" s="3064"/>
      <c r="G6494" s="3301" t="s">
        <v>677</v>
      </c>
      <c r="H6494" s="3063"/>
      <c r="I6494" s="3030"/>
    </row>
    <row r="6495" spans="2:9">
      <c r="B6495" s="3192" t="s">
        <v>678</v>
      </c>
      <c r="C6495" s="3063"/>
      <c r="D6495" s="3064"/>
      <c r="E6495" s="3064"/>
      <c r="F6495" s="3064"/>
      <c r="G6495" s="3301" t="s">
        <v>678</v>
      </c>
      <c r="H6495" s="3063"/>
      <c r="I6495" s="3030"/>
    </row>
    <row r="6496" spans="2:9">
      <c r="B6496" s="3192" t="s">
        <v>679</v>
      </c>
      <c r="C6496" s="3063"/>
      <c r="D6496" s="3064"/>
      <c r="E6496" s="3064"/>
      <c r="F6496" s="3064"/>
      <c r="G6496" s="3301" t="s">
        <v>679</v>
      </c>
      <c r="H6496" s="3063"/>
      <c r="I6496" s="3030"/>
    </row>
    <row r="6497" spans="2:9" ht="25.5">
      <c r="B6497" s="3192" t="s">
        <v>720</v>
      </c>
      <c r="C6497" s="3063"/>
      <c r="D6497" s="3064"/>
      <c r="E6497" s="3064"/>
      <c r="F6497" s="3064"/>
      <c r="G6497" s="3301" t="s">
        <v>720</v>
      </c>
      <c r="H6497" s="3063"/>
      <c r="I6497" s="3030"/>
    </row>
    <row r="6498" spans="2:9">
      <c r="B6498" s="3299" t="s">
        <v>67</v>
      </c>
      <c r="C6498" s="3063"/>
      <c r="D6498" s="3064"/>
      <c r="E6498" s="3064"/>
      <c r="F6498" s="3064"/>
      <c r="G6498" s="3300" t="s">
        <v>67</v>
      </c>
      <c r="H6498" s="3063"/>
      <c r="I6498" s="3030"/>
    </row>
    <row r="6499" spans="2:9" ht="25.5">
      <c r="B6499" s="3192" t="s">
        <v>675</v>
      </c>
      <c r="C6499" s="3063"/>
      <c r="D6499" s="3064"/>
      <c r="E6499" s="3064"/>
      <c r="F6499" s="3064"/>
      <c r="G6499" s="3301" t="s">
        <v>675</v>
      </c>
      <c r="H6499" s="3063"/>
      <c r="I6499" s="3030"/>
    </row>
    <row r="6500" spans="2:9" ht="25.5">
      <c r="B6500" s="3192" t="s">
        <v>676</v>
      </c>
      <c r="C6500" s="3063"/>
      <c r="D6500" s="3064"/>
      <c r="E6500" s="3064"/>
      <c r="F6500" s="3064"/>
      <c r="G6500" s="3301" t="s">
        <v>676</v>
      </c>
      <c r="H6500" s="3063"/>
      <c r="I6500" s="3030"/>
    </row>
    <row r="6501" spans="2:9">
      <c r="B6501" s="3192" t="s">
        <v>677</v>
      </c>
      <c r="C6501" s="3063"/>
      <c r="D6501" s="3064"/>
      <c r="E6501" s="3064"/>
      <c r="F6501" s="3064"/>
      <c r="G6501" s="3301" t="s">
        <v>677</v>
      </c>
      <c r="H6501" s="3063"/>
      <c r="I6501" s="3030"/>
    </row>
    <row r="6502" spans="2:9">
      <c r="B6502" s="3192" t="s">
        <v>678</v>
      </c>
      <c r="C6502" s="3063"/>
      <c r="D6502" s="3064"/>
      <c r="E6502" s="3064"/>
      <c r="F6502" s="3064"/>
      <c r="G6502" s="3301" t="s">
        <v>678</v>
      </c>
      <c r="H6502" s="3063"/>
      <c r="I6502" s="3030"/>
    </row>
    <row r="6503" spans="2:9">
      <c r="B6503" s="3192" t="s">
        <v>679</v>
      </c>
      <c r="C6503" s="3063"/>
      <c r="D6503" s="3064"/>
      <c r="E6503" s="3064"/>
      <c r="F6503" s="3064"/>
      <c r="G6503" s="3301" t="s">
        <v>679</v>
      </c>
      <c r="H6503" s="3063"/>
      <c r="I6503" s="3030"/>
    </row>
    <row r="6504" spans="2:9" ht="25.5">
      <c r="B6504" s="3230" t="s">
        <v>81</v>
      </c>
      <c r="C6504" s="3063"/>
      <c r="D6504" s="3064"/>
      <c r="E6504" s="3064"/>
      <c r="F6504" s="3064"/>
      <c r="G6504" s="3302" t="s">
        <v>81</v>
      </c>
      <c r="H6504" s="3063"/>
      <c r="I6504" s="3030"/>
    </row>
    <row r="6505" spans="2:9" ht="26.25" thickBot="1">
      <c r="B6505" s="3303" t="s">
        <v>81</v>
      </c>
      <c r="C6505" s="3068"/>
      <c r="D6505" s="3069"/>
      <c r="E6505" s="3069"/>
      <c r="F6505" s="3069"/>
      <c r="G6505" s="3304" t="s">
        <v>81</v>
      </c>
      <c r="H6505" s="3068"/>
      <c r="I6505" s="3070"/>
    </row>
    <row r="6506" spans="2:9" ht="38.25">
      <c r="B6506" s="4723">
        <v>3041</v>
      </c>
      <c r="C6506" s="3289"/>
      <c r="D6506" s="3290"/>
      <c r="E6506" s="3290"/>
      <c r="F6506" s="3290"/>
      <c r="G6506" s="4723">
        <v>3041</v>
      </c>
      <c r="H6506" s="3291" t="s">
        <v>687</v>
      </c>
      <c r="I6506" s="3292" t="s">
        <v>688</v>
      </c>
    </row>
    <row r="6507" spans="2:9">
      <c r="B6507" s="4724"/>
      <c r="C6507" s="4678" t="s">
        <v>686</v>
      </c>
      <c r="D6507" s="4725"/>
      <c r="E6507" s="4725"/>
      <c r="F6507" s="4726"/>
      <c r="G6507" s="4724"/>
      <c r="H6507" s="3293"/>
      <c r="I6507" s="3294"/>
    </row>
    <row r="6508" spans="2:9" ht="13.5" thickBot="1">
      <c r="B6508" s="4724"/>
      <c r="C6508" s="3215">
        <v>2013</v>
      </c>
      <c r="D6508" s="3215">
        <v>2014</v>
      </c>
      <c r="E6508" s="3215">
        <v>2015</v>
      </c>
      <c r="F6508" s="3215">
        <v>2016</v>
      </c>
      <c r="G6508" s="4724"/>
      <c r="H6508" s="3295" t="s">
        <v>390</v>
      </c>
      <c r="I6508" s="3296" t="s">
        <v>390</v>
      </c>
    </row>
    <row r="6509" spans="2:9">
      <c r="B6509" s="3217" t="s">
        <v>695</v>
      </c>
      <c r="C6509" s="3218"/>
      <c r="D6509" s="3219"/>
      <c r="E6509" s="3219"/>
      <c r="F6509" s="3219"/>
      <c r="G6509" s="3217" t="s">
        <v>695</v>
      </c>
      <c r="H6509" s="3297"/>
      <c r="I6509" s="3298"/>
    </row>
    <row r="6510" spans="2:9">
      <c r="B6510" s="3299" t="s">
        <v>64</v>
      </c>
      <c r="C6510" s="3063"/>
      <c r="D6510" s="3064"/>
      <c r="E6510" s="3064"/>
      <c r="F6510" s="3064"/>
      <c r="G6510" s="3300" t="s">
        <v>64</v>
      </c>
      <c r="H6510" s="3063"/>
      <c r="I6510" s="3030"/>
    </row>
    <row r="6511" spans="2:9" ht="25.5">
      <c r="B6511" s="3192" t="s">
        <v>675</v>
      </c>
      <c r="C6511" s="3063"/>
      <c r="D6511" s="3064"/>
      <c r="E6511" s="3064"/>
      <c r="F6511" s="3064"/>
      <c r="G6511" s="3301" t="s">
        <v>675</v>
      </c>
      <c r="H6511" s="3063"/>
      <c r="I6511" s="3063"/>
    </row>
    <row r="6512" spans="2:9" ht="25.5">
      <c r="B6512" s="3192" t="s">
        <v>676</v>
      </c>
      <c r="C6512" s="3063"/>
      <c r="D6512" s="3064"/>
      <c r="E6512" s="3064"/>
      <c r="F6512" s="3064"/>
      <c r="G6512" s="3301" t="s">
        <v>676</v>
      </c>
      <c r="H6512" s="3063"/>
      <c r="I6512" s="3030"/>
    </row>
    <row r="6513" spans="2:9">
      <c r="B6513" s="3192" t="s">
        <v>677</v>
      </c>
      <c r="C6513" s="3063"/>
      <c r="D6513" s="3064"/>
      <c r="E6513" s="3064"/>
      <c r="F6513" s="3064"/>
      <c r="G6513" s="3301" t="s">
        <v>677</v>
      </c>
      <c r="H6513" s="3063"/>
      <c r="I6513" s="3030"/>
    </row>
    <row r="6514" spans="2:9">
      <c r="B6514" s="3192" t="s">
        <v>678</v>
      </c>
      <c r="C6514" s="3063"/>
      <c r="D6514" s="3064"/>
      <c r="E6514" s="3064"/>
      <c r="F6514" s="3064"/>
      <c r="G6514" s="3301" t="s">
        <v>678</v>
      </c>
      <c r="H6514" s="3063"/>
      <c r="I6514" s="3030"/>
    </row>
    <row r="6515" spans="2:9">
      <c r="B6515" s="3192" t="s">
        <v>679</v>
      </c>
      <c r="C6515" s="3063"/>
      <c r="D6515" s="3064"/>
      <c r="E6515" s="3064"/>
      <c r="F6515" s="3064"/>
      <c r="G6515" s="3301" t="s">
        <v>679</v>
      </c>
      <c r="H6515" s="3063"/>
      <c r="I6515" s="3030"/>
    </row>
    <row r="6516" spans="2:9" ht="25.5">
      <c r="B6516" s="3192" t="s">
        <v>720</v>
      </c>
      <c r="C6516" s="3063"/>
      <c r="D6516" s="3064"/>
      <c r="E6516" s="3064"/>
      <c r="F6516" s="3064"/>
      <c r="G6516" s="3301" t="s">
        <v>720</v>
      </c>
      <c r="H6516" s="3063"/>
      <c r="I6516" s="3030"/>
    </row>
    <row r="6517" spans="2:9">
      <c r="B6517" s="3299" t="s">
        <v>65</v>
      </c>
      <c r="C6517" s="3063"/>
      <c r="D6517" s="3064"/>
      <c r="E6517" s="3064"/>
      <c r="F6517" s="3064"/>
      <c r="G6517" s="3300" t="s">
        <v>65</v>
      </c>
      <c r="H6517" s="3063">
        <v>0.20497565682335767</v>
      </c>
      <c r="I6517" s="3030"/>
    </row>
    <row r="6518" spans="2:9" ht="25.5">
      <c r="B6518" s="3192" t="s">
        <v>675</v>
      </c>
      <c r="C6518" s="3063"/>
      <c r="D6518" s="3064"/>
      <c r="E6518" s="3064"/>
      <c r="F6518" s="3064"/>
      <c r="G6518" s="3301" t="s">
        <v>675</v>
      </c>
      <c r="H6518" s="3063"/>
      <c r="I6518" s="3030"/>
    </row>
    <row r="6519" spans="2:9" ht="25.5">
      <c r="B6519" s="3192" t="s">
        <v>676</v>
      </c>
      <c r="C6519" s="3063"/>
      <c r="D6519" s="3064"/>
      <c r="E6519" s="3064"/>
      <c r="F6519" s="3064"/>
      <c r="G6519" s="3301" t="s">
        <v>676</v>
      </c>
      <c r="H6519" s="3063"/>
      <c r="I6519" s="3030"/>
    </row>
    <row r="6520" spans="2:9">
      <c r="B6520" s="3192" t="s">
        <v>677</v>
      </c>
      <c r="C6520" s="3063"/>
      <c r="D6520" s="3064"/>
      <c r="E6520" s="3064"/>
      <c r="F6520" s="3064"/>
      <c r="G6520" s="3301" t="s">
        <v>677</v>
      </c>
      <c r="H6520" s="3063"/>
      <c r="I6520" s="3030"/>
    </row>
    <row r="6521" spans="2:9">
      <c r="B6521" s="3192" t="s">
        <v>678</v>
      </c>
      <c r="C6521" s="3063">
        <v>1</v>
      </c>
      <c r="D6521" s="3064"/>
      <c r="E6521" s="3064"/>
      <c r="F6521" s="3064"/>
      <c r="G6521" s="3301" t="s">
        <v>678</v>
      </c>
      <c r="H6521" s="3063"/>
      <c r="I6521" s="3030"/>
    </row>
    <row r="6522" spans="2:9">
      <c r="B6522" s="3192" t="s">
        <v>679</v>
      </c>
      <c r="C6522" s="3063"/>
      <c r="D6522" s="3064"/>
      <c r="E6522" s="3064"/>
      <c r="F6522" s="3064"/>
      <c r="G6522" s="3301" t="s">
        <v>679</v>
      </c>
      <c r="H6522" s="3063"/>
      <c r="I6522" s="3030"/>
    </row>
    <row r="6523" spans="2:9" ht="25.5">
      <c r="B6523" s="3192" t="s">
        <v>720</v>
      </c>
      <c r="C6523" s="3063"/>
      <c r="D6523" s="3064"/>
      <c r="E6523" s="3064"/>
      <c r="F6523" s="3064"/>
      <c r="G6523" s="3301" t="s">
        <v>720</v>
      </c>
      <c r="H6523" s="3063"/>
      <c r="I6523" s="3030"/>
    </row>
    <row r="6524" spans="2:9">
      <c r="B6524" s="3299" t="s">
        <v>82</v>
      </c>
      <c r="C6524" s="3063"/>
      <c r="D6524" s="3064"/>
      <c r="E6524" s="3064"/>
      <c r="F6524" s="3064"/>
      <c r="G6524" s="3300" t="s">
        <v>82</v>
      </c>
      <c r="H6524" s="3063"/>
      <c r="I6524" s="3030"/>
    </row>
    <row r="6525" spans="2:9" ht="25.5">
      <c r="B6525" s="3192" t="s">
        <v>675</v>
      </c>
      <c r="C6525" s="3063"/>
      <c r="D6525" s="3064"/>
      <c r="E6525" s="3064"/>
      <c r="F6525" s="3064"/>
      <c r="G6525" s="3301" t="s">
        <v>675</v>
      </c>
      <c r="H6525" s="3063"/>
      <c r="I6525" s="3030"/>
    </row>
    <row r="6526" spans="2:9" ht="25.5">
      <c r="B6526" s="3192" t="s">
        <v>676</v>
      </c>
      <c r="C6526" s="3063"/>
      <c r="D6526" s="3064"/>
      <c r="E6526" s="3064"/>
      <c r="F6526" s="3064"/>
      <c r="G6526" s="3301" t="s">
        <v>676</v>
      </c>
      <c r="H6526" s="3063"/>
      <c r="I6526" s="3030"/>
    </row>
    <row r="6527" spans="2:9">
      <c r="B6527" s="3192" t="s">
        <v>677</v>
      </c>
      <c r="C6527" s="3063"/>
      <c r="D6527" s="3064"/>
      <c r="E6527" s="3064"/>
      <c r="F6527" s="3064"/>
      <c r="G6527" s="3301" t="s">
        <v>677</v>
      </c>
      <c r="H6527" s="3063"/>
      <c r="I6527" s="3030"/>
    </row>
    <row r="6528" spans="2:9">
      <c r="B6528" s="3192" t="s">
        <v>678</v>
      </c>
      <c r="C6528" s="3063"/>
      <c r="D6528" s="3064"/>
      <c r="E6528" s="3064"/>
      <c r="F6528" s="3064"/>
      <c r="G6528" s="3301" t="s">
        <v>678</v>
      </c>
      <c r="H6528" s="3063"/>
      <c r="I6528" s="3030"/>
    </row>
    <row r="6529" spans="2:9">
      <c r="B6529" s="3192" t="s">
        <v>679</v>
      </c>
      <c r="C6529" s="3063"/>
      <c r="D6529" s="3064"/>
      <c r="E6529" s="3064"/>
      <c r="F6529" s="3064"/>
      <c r="G6529" s="3301" t="s">
        <v>679</v>
      </c>
      <c r="H6529" s="3063"/>
      <c r="I6529" s="3030"/>
    </row>
    <row r="6530" spans="2:9" ht="25.5">
      <c r="B6530" s="3192" t="s">
        <v>720</v>
      </c>
      <c r="C6530" s="3063"/>
      <c r="D6530" s="3064"/>
      <c r="E6530" s="3064"/>
      <c r="F6530" s="3064"/>
      <c r="G6530" s="3301" t="s">
        <v>720</v>
      </c>
      <c r="H6530" s="3063"/>
      <c r="I6530" s="3030"/>
    </row>
    <row r="6531" spans="2:9" ht="38.25">
      <c r="B6531" s="3299" t="s">
        <v>680</v>
      </c>
      <c r="C6531" s="3063"/>
      <c r="D6531" s="3064"/>
      <c r="E6531" s="3064"/>
      <c r="F6531" s="3064"/>
      <c r="G6531" s="3300" t="s">
        <v>680</v>
      </c>
      <c r="H6531" s="3063"/>
      <c r="I6531" s="3030"/>
    </row>
    <row r="6532" spans="2:9" ht="25.5">
      <c r="B6532" s="3192" t="s">
        <v>675</v>
      </c>
      <c r="C6532" s="3063"/>
      <c r="D6532" s="3064"/>
      <c r="E6532" s="3064"/>
      <c r="F6532" s="3064"/>
      <c r="G6532" s="3301" t="s">
        <v>675</v>
      </c>
      <c r="H6532" s="3063"/>
      <c r="I6532" s="3030"/>
    </row>
    <row r="6533" spans="2:9" ht="25.5">
      <c r="B6533" s="3192" t="s">
        <v>676</v>
      </c>
      <c r="C6533" s="3063"/>
      <c r="D6533" s="3064"/>
      <c r="E6533" s="3064"/>
      <c r="F6533" s="3064"/>
      <c r="G6533" s="3301" t="s">
        <v>676</v>
      </c>
      <c r="H6533" s="3063"/>
      <c r="I6533" s="3030"/>
    </row>
    <row r="6534" spans="2:9">
      <c r="B6534" s="3192" t="s">
        <v>677</v>
      </c>
      <c r="C6534" s="3063"/>
      <c r="D6534" s="3064"/>
      <c r="E6534" s="3064"/>
      <c r="F6534" s="3064"/>
      <c r="G6534" s="3301" t="s">
        <v>677</v>
      </c>
      <c r="H6534" s="3063"/>
      <c r="I6534" s="3030"/>
    </row>
    <row r="6535" spans="2:9">
      <c r="B6535" s="3192" t="s">
        <v>678</v>
      </c>
      <c r="C6535" s="3063"/>
      <c r="D6535" s="3064"/>
      <c r="E6535" s="3064"/>
      <c r="F6535" s="3064"/>
      <c r="G6535" s="3301" t="s">
        <v>678</v>
      </c>
      <c r="H6535" s="3063"/>
      <c r="I6535" s="3030"/>
    </row>
    <row r="6536" spans="2:9">
      <c r="B6536" s="3192" t="s">
        <v>679</v>
      </c>
      <c r="C6536" s="3063"/>
      <c r="D6536" s="3064"/>
      <c r="E6536" s="3064"/>
      <c r="F6536" s="3064"/>
      <c r="G6536" s="3301" t="s">
        <v>679</v>
      </c>
      <c r="H6536" s="3063"/>
      <c r="I6536" s="3030"/>
    </row>
    <row r="6537" spans="2:9" ht="25.5">
      <c r="B6537" s="3192" t="s">
        <v>720</v>
      </c>
      <c r="C6537" s="3063"/>
      <c r="D6537" s="3064"/>
      <c r="E6537" s="3064"/>
      <c r="F6537" s="3064"/>
      <c r="G6537" s="3301" t="s">
        <v>720</v>
      </c>
      <c r="H6537" s="3063"/>
      <c r="I6537" s="3030"/>
    </row>
    <row r="6538" spans="2:9" ht="38.25">
      <c r="B6538" s="3299" t="s">
        <v>681</v>
      </c>
      <c r="C6538" s="3063"/>
      <c r="D6538" s="3064"/>
      <c r="E6538" s="3064"/>
      <c r="F6538" s="3064"/>
      <c r="G6538" s="3300" t="s">
        <v>681</v>
      </c>
      <c r="H6538" s="3063"/>
      <c r="I6538" s="3030"/>
    </row>
    <row r="6539" spans="2:9" ht="25.5">
      <c r="B6539" s="3192" t="s">
        <v>675</v>
      </c>
      <c r="C6539" s="3063"/>
      <c r="D6539" s="3064"/>
      <c r="E6539" s="3064"/>
      <c r="F6539" s="3064"/>
      <c r="G6539" s="3301" t="s">
        <v>675</v>
      </c>
      <c r="H6539" s="3063"/>
      <c r="I6539" s="3030"/>
    </row>
    <row r="6540" spans="2:9" ht="25.5">
      <c r="B6540" s="3192" t="s">
        <v>676</v>
      </c>
      <c r="C6540" s="3063"/>
      <c r="D6540" s="3064"/>
      <c r="E6540" s="3064"/>
      <c r="F6540" s="3064"/>
      <c r="G6540" s="3301" t="s">
        <v>676</v>
      </c>
      <c r="H6540" s="3063"/>
      <c r="I6540" s="3030"/>
    </row>
    <row r="6541" spans="2:9">
      <c r="B6541" s="3192" t="s">
        <v>677</v>
      </c>
      <c r="C6541" s="3063"/>
      <c r="D6541" s="3064"/>
      <c r="E6541" s="3064"/>
      <c r="F6541" s="3064"/>
      <c r="G6541" s="3301" t="s">
        <v>677</v>
      </c>
      <c r="H6541" s="3063"/>
      <c r="I6541" s="3030"/>
    </row>
    <row r="6542" spans="2:9">
      <c r="B6542" s="3192" t="s">
        <v>678</v>
      </c>
      <c r="C6542" s="3063"/>
      <c r="D6542" s="3064"/>
      <c r="E6542" s="3064"/>
      <c r="F6542" s="3064"/>
      <c r="G6542" s="3301" t="s">
        <v>678</v>
      </c>
      <c r="H6542" s="3063"/>
      <c r="I6542" s="3030"/>
    </row>
    <row r="6543" spans="2:9">
      <c r="B6543" s="3192" t="s">
        <v>679</v>
      </c>
      <c r="C6543" s="3063"/>
      <c r="D6543" s="3064"/>
      <c r="E6543" s="3064"/>
      <c r="F6543" s="3064"/>
      <c r="G6543" s="3301" t="s">
        <v>679</v>
      </c>
      <c r="H6543" s="3063"/>
      <c r="I6543" s="3030"/>
    </row>
    <row r="6544" spans="2:9" ht="25.5">
      <c r="B6544" s="3192" t="s">
        <v>720</v>
      </c>
      <c r="C6544" s="3063"/>
      <c r="D6544" s="3064"/>
      <c r="E6544" s="3064"/>
      <c r="F6544" s="3064"/>
      <c r="G6544" s="3301" t="s">
        <v>720</v>
      </c>
      <c r="H6544" s="3063"/>
      <c r="I6544" s="3030"/>
    </row>
    <row r="6545" spans="2:9" ht="25.5">
      <c r="B6545" s="3299" t="s">
        <v>682</v>
      </c>
      <c r="C6545" s="3063"/>
      <c r="D6545" s="3064"/>
      <c r="E6545" s="3064"/>
      <c r="F6545" s="3064"/>
      <c r="G6545" s="3300" t="s">
        <v>682</v>
      </c>
      <c r="H6545" s="3063"/>
      <c r="I6545" s="3030"/>
    </row>
    <row r="6546" spans="2:9" ht="25.5">
      <c r="B6546" s="3192" t="s">
        <v>675</v>
      </c>
      <c r="C6546" s="3063"/>
      <c r="D6546" s="3064"/>
      <c r="E6546" s="3064"/>
      <c r="F6546" s="3064"/>
      <c r="G6546" s="3301" t="s">
        <v>675</v>
      </c>
      <c r="H6546" s="3063"/>
      <c r="I6546" s="3030"/>
    </row>
    <row r="6547" spans="2:9" ht="25.5">
      <c r="B6547" s="3192" t="s">
        <v>676</v>
      </c>
      <c r="C6547" s="3063"/>
      <c r="D6547" s="3064"/>
      <c r="E6547" s="3064"/>
      <c r="F6547" s="3064"/>
      <c r="G6547" s="3301" t="s">
        <v>676</v>
      </c>
      <c r="H6547" s="3063"/>
      <c r="I6547" s="3030"/>
    </row>
    <row r="6548" spans="2:9">
      <c r="B6548" s="3192" t="s">
        <v>677</v>
      </c>
      <c r="C6548" s="3063"/>
      <c r="D6548" s="3064"/>
      <c r="E6548" s="3064"/>
      <c r="F6548" s="3064"/>
      <c r="G6548" s="3301" t="s">
        <v>677</v>
      </c>
      <c r="H6548" s="3063"/>
      <c r="I6548" s="3030"/>
    </row>
    <row r="6549" spans="2:9">
      <c r="B6549" s="3192" t="s">
        <v>678</v>
      </c>
      <c r="C6549" s="3063"/>
      <c r="D6549" s="3064"/>
      <c r="E6549" s="3064"/>
      <c r="F6549" s="3064"/>
      <c r="G6549" s="3301" t="s">
        <v>678</v>
      </c>
      <c r="H6549" s="3063"/>
      <c r="I6549" s="3030"/>
    </row>
    <row r="6550" spans="2:9">
      <c r="B6550" s="3192" t="s">
        <v>679</v>
      </c>
      <c r="C6550" s="3063"/>
      <c r="D6550" s="3064"/>
      <c r="E6550" s="3064"/>
      <c r="F6550" s="3064"/>
      <c r="G6550" s="3301" t="s">
        <v>679</v>
      </c>
      <c r="H6550" s="3063"/>
      <c r="I6550" s="3030"/>
    </row>
    <row r="6551" spans="2:9" ht="25.5">
      <c r="B6551" s="3192" t="s">
        <v>720</v>
      </c>
      <c r="C6551" s="3063"/>
      <c r="D6551" s="3064"/>
      <c r="E6551" s="3064"/>
      <c r="F6551" s="3064"/>
      <c r="G6551" s="3301" t="s">
        <v>720</v>
      </c>
      <c r="H6551" s="3063"/>
      <c r="I6551" s="3030"/>
    </row>
    <row r="6552" spans="2:9" ht="25.5">
      <c r="B6552" s="3299" t="s">
        <v>66</v>
      </c>
      <c r="C6552" s="3063"/>
      <c r="D6552" s="3064"/>
      <c r="E6552" s="3064"/>
      <c r="F6552" s="3064"/>
      <c r="G6552" s="3300" t="s">
        <v>66</v>
      </c>
      <c r="H6552" s="3063"/>
      <c r="I6552" s="3030"/>
    </row>
    <row r="6553" spans="2:9" ht="25.5">
      <c r="B6553" s="3192" t="s">
        <v>675</v>
      </c>
      <c r="C6553" s="3063"/>
      <c r="D6553" s="3064"/>
      <c r="E6553" s="3064"/>
      <c r="F6553" s="3064"/>
      <c r="G6553" s="3301" t="s">
        <v>675</v>
      </c>
      <c r="H6553" s="3063"/>
      <c r="I6553" s="3030"/>
    </row>
    <row r="6554" spans="2:9" ht="25.5">
      <c r="B6554" s="3192" t="s">
        <v>676</v>
      </c>
      <c r="C6554" s="3063"/>
      <c r="D6554" s="3064"/>
      <c r="E6554" s="3064"/>
      <c r="F6554" s="3064"/>
      <c r="G6554" s="3301" t="s">
        <v>676</v>
      </c>
      <c r="H6554" s="3063"/>
      <c r="I6554" s="3030"/>
    </row>
    <row r="6555" spans="2:9">
      <c r="B6555" s="3192" t="s">
        <v>677</v>
      </c>
      <c r="C6555" s="3063"/>
      <c r="D6555" s="3064"/>
      <c r="E6555" s="3064"/>
      <c r="F6555" s="3064"/>
      <c r="G6555" s="3301" t="s">
        <v>677</v>
      </c>
      <c r="H6555" s="3063"/>
      <c r="I6555" s="3030"/>
    </row>
    <row r="6556" spans="2:9">
      <c r="B6556" s="3192" t="s">
        <v>678</v>
      </c>
      <c r="C6556" s="3063"/>
      <c r="D6556" s="3064"/>
      <c r="E6556" s="3064"/>
      <c r="F6556" s="3064"/>
      <c r="G6556" s="3301" t="s">
        <v>678</v>
      </c>
      <c r="H6556" s="3063"/>
      <c r="I6556" s="3030"/>
    </row>
    <row r="6557" spans="2:9">
      <c r="B6557" s="3192" t="s">
        <v>679</v>
      </c>
      <c r="C6557" s="3063"/>
      <c r="D6557" s="3064"/>
      <c r="E6557" s="3064"/>
      <c r="F6557" s="3064"/>
      <c r="G6557" s="3301" t="s">
        <v>679</v>
      </c>
      <c r="H6557" s="3063"/>
      <c r="I6557" s="3030"/>
    </row>
    <row r="6558" spans="2:9" ht="25.5">
      <c r="B6558" s="3192" t="s">
        <v>720</v>
      </c>
      <c r="C6558" s="3063"/>
      <c r="D6558" s="3064"/>
      <c r="E6558" s="3064"/>
      <c r="F6558" s="3064"/>
      <c r="G6558" s="3301" t="s">
        <v>720</v>
      </c>
      <c r="H6558" s="3063"/>
      <c r="I6558" s="3030"/>
    </row>
    <row r="6559" spans="2:9">
      <c r="B6559" s="3299" t="s">
        <v>67</v>
      </c>
      <c r="C6559" s="3063"/>
      <c r="D6559" s="3064"/>
      <c r="E6559" s="3064"/>
      <c r="F6559" s="3064"/>
      <c r="G6559" s="3300" t="s">
        <v>67</v>
      </c>
      <c r="H6559" s="3063"/>
      <c r="I6559" s="3030"/>
    </row>
    <row r="6560" spans="2:9" ht="25.5">
      <c r="B6560" s="3192" t="s">
        <v>675</v>
      </c>
      <c r="C6560" s="3063"/>
      <c r="D6560" s="3064"/>
      <c r="E6560" s="3064"/>
      <c r="F6560" s="3064"/>
      <c r="G6560" s="3301" t="s">
        <v>675</v>
      </c>
      <c r="H6560" s="3063"/>
      <c r="I6560" s="3030"/>
    </row>
    <row r="6561" spans="2:9" ht="25.5">
      <c r="B6561" s="3192" t="s">
        <v>676</v>
      </c>
      <c r="C6561" s="3063"/>
      <c r="D6561" s="3064"/>
      <c r="E6561" s="3064"/>
      <c r="F6561" s="3064"/>
      <c r="G6561" s="3301" t="s">
        <v>676</v>
      </c>
      <c r="H6561" s="3063"/>
      <c r="I6561" s="3030"/>
    </row>
    <row r="6562" spans="2:9">
      <c r="B6562" s="3192" t="s">
        <v>677</v>
      </c>
      <c r="C6562" s="3063"/>
      <c r="D6562" s="3064"/>
      <c r="E6562" s="3064"/>
      <c r="F6562" s="3064"/>
      <c r="G6562" s="3301" t="s">
        <v>677</v>
      </c>
      <c r="H6562" s="3063"/>
      <c r="I6562" s="3030"/>
    </row>
    <row r="6563" spans="2:9">
      <c r="B6563" s="3192" t="s">
        <v>678</v>
      </c>
      <c r="C6563" s="3063"/>
      <c r="D6563" s="3064"/>
      <c r="E6563" s="3064"/>
      <c r="F6563" s="3064"/>
      <c r="G6563" s="3301" t="s">
        <v>678</v>
      </c>
      <c r="H6563" s="3063"/>
      <c r="I6563" s="3030"/>
    </row>
    <row r="6564" spans="2:9">
      <c r="B6564" s="3192" t="s">
        <v>679</v>
      </c>
      <c r="C6564" s="3063"/>
      <c r="D6564" s="3064"/>
      <c r="E6564" s="3064"/>
      <c r="F6564" s="3064"/>
      <c r="G6564" s="3301" t="s">
        <v>679</v>
      </c>
      <c r="H6564" s="3063"/>
      <c r="I6564" s="3030"/>
    </row>
    <row r="6565" spans="2:9" ht="25.5">
      <c r="B6565" s="3192" t="s">
        <v>720</v>
      </c>
      <c r="C6565" s="3063"/>
      <c r="D6565" s="3064"/>
      <c r="E6565" s="3064"/>
      <c r="F6565" s="3064"/>
      <c r="G6565" s="3301" t="s">
        <v>720</v>
      </c>
      <c r="H6565" s="3063"/>
      <c r="I6565" s="3030"/>
    </row>
    <row r="6566" spans="2:9" ht="25.5">
      <c r="B6566" s="3230" t="s">
        <v>81</v>
      </c>
      <c r="C6566" s="3063"/>
      <c r="D6566" s="3064"/>
      <c r="E6566" s="3064"/>
      <c r="F6566" s="3064"/>
      <c r="G6566" s="3302" t="s">
        <v>81</v>
      </c>
      <c r="H6566" s="3063"/>
      <c r="I6566" s="3030"/>
    </row>
    <row r="6567" spans="2:9" ht="26.25" thickBot="1">
      <c r="B6567" s="3303" t="s">
        <v>81</v>
      </c>
      <c r="C6567" s="3063"/>
      <c r="D6567" s="3064"/>
      <c r="E6567" s="3064"/>
      <c r="F6567" s="3064"/>
      <c r="G6567" s="3302" t="s">
        <v>81</v>
      </c>
      <c r="H6567" s="3063"/>
      <c r="I6567" s="3030"/>
    </row>
    <row r="6568" spans="2:9" ht="25.5">
      <c r="B6568" s="3217" t="s">
        <v>696</v>
      </c>
      <c r="C6568" s="3218"/>
      <c r="D6568" s="3219"/>
      <c r="E6568" s="3219"/>
      <c r="F6568" s="3219"/>
      <c r="G6568" s="3217" t="s">
        <v>696</v>
      </c>
      <c r="H6568" s="3297"/>
      <c r="I6568" s="3298"/>
    </row>
    <row r="6569" spans="2:9">
      <c r="B6569" s="3299" t="s">
        <v>64</v>
      </c>
      <c r="C6569" s="3063"/>
      <c r="D6569" s="3064"/>
      <c r="E6569" s="3064"/>
      <c r="F6569" s="3064"/>
      <c r="G6569" s="3300" t="s">
        <v>64</v>
      </c>
      <c r="H6569" s="3063"/>
      <c r="I6569" s="3030"/>
    </row>
    <row r="6570" spans="2:9" ht="25.5">
      <c r="B6570" s="3192" t="s">
        <v>675</v>
      </c>
      <c r="C6570" s="3063"/>
      <c r="D6570" s="3064"/>
      <c r="E6570" s="3064"/>
      <c r="F6570" s="3064"/>
      <c r="G6570" s="3301" t="s">
        <v>675</v>
      </c>
      <c r="H6570" s="3063"/>
      <c r="I6570" s="3030"/>
    </row>
    <row r="6571" spans="2:9" ht="25.5">
      <c r="B6571" s="3192" t="s">
        <v>676</v>
      </c>
      <c r="C6571" s="3063"/>
      <c r="D6571" s="3064"/>
      <c r="E6571" s="3064"/>
      <c r="F6571" s="3064"/>
      <c r="G6571" s="3301" t="s">
        <v>676</v>
      </c>
      <c r="H6571" s="3063"/>
      <c r="I6571" s="3030"/>
    </row>
    <row r="6572" spans="2:9">
      <c r="B6572" s="3192" t="s">
        <v>677</v>
      </c>
      <c r="C6572" s="3063"/>
      <c r="D6572" s="3064"/>
      <c r="E6572" s="3064"/>
      <c r="F6572" s="3064"/>
      <c r="G6572" s="3301" t="s">
        <v>677</v>
      </c>
      <c r="H6572" s="3063"/>
      <c r="I6572" s="3030"/>
    </row>
    <row r="6573" spans="2:9">
      <c r="B6573" s="3192" t="s">
        <v>678</v>
      </c>
      <c r="C6573" s="3063"/>
      <c r="D6573" s="3064"/>
      <c r="E6573" s="3064"/>
      <c r="F6573" s="3064"/>
      <c r="G6573" s="3301" t="s">
        <v>678</v>
      </c>
      <c r="H6573" s="3063"/>
      <c r="I6573" s="3030"/>
    </row>
    <row r="6574" spans="2:9">
      <c r="B6574" s="3192" t="s">
        <v>679</v>
      </c>
      <c r="C6574" s="3063"/>
      <c r="D6574" s="3064"/>
      <c r="E6574" s="3064"/>
      <c r="F6574" s="3064"/>
      <c r="G6574" s="3301" t="s">
        <v>679</v>
      </c>
      <c r="H6574" s="3063"/>
      <c r="I6574" s="3030"/>
    </row>
    <row r="6575" spans="2:9" ht="25.5">
      <c r="B6575" s="3192" t="s">
        <v>720</v>
      </c>
      <c r="C6575" s="3063"/>
      <c r="D6575" s="3064"/>
      <c r="E6575" s="3064"/>
      <c r="F6575" s="3064"/>
      <c r="G6575" s="3301" t="s">
        <v>720</v>
      </c>
      <c r="H6575" s="3063"/>
      <c r="I6575" s="3030"/>
    </row>
    <row r="6576" spans="2:9">
      <c r="B6576" s="3299" t="s">
        <v>65</v>
      </c>
      <c r="C6576" s="3063"/>
      <c r="D6576" s="3064"/>
      <c r="E6576" s="3064"/>
      <c r="F6576" s="3064"/>
      <c r="G6576" s="3300" t="s">
        <v>65</v>
      </c>
      <c r="H6576" s="3063"/>
      <c r="I6576" s="3030"/>
    </row>
    <row r="6577" spans="2:9" ht="25.5">
      <c r="B6577" s="3192" t="s">
        <v>675</v>
      </c>
      <c r="C6577" s="3063"/>
      <c r="D6577" s="3064"/>
      <c r="E6577" s="3064"/>
      <c r="F6577" s="3064"/>
      <c r="G6577" s="3301" t="s">
        <v>675</v>
      </c>
      <c r="H6577" s="3063"/>
      <c r="I6577" s="3030"/>
    </row>
    <row r="6578" spans="2:9" ht="25.5">
      <c r="B6578" s="3192" t="s">
        <v>676</v>
      </c>
      <c r="C6578" s="3063"/>
      <c r="D6578" s="3064"/>
      <c r="E6578" s="3064"/>
      <c r="F6578" s="3064"/>
      <c r="G6578" s="3301" t="s">
        <v>676</v>
      </c>
      <c r="H6578" s="3063"/>
      <c r="I6578" s="3030"/>
    </row>
    <row r="6579" spans="2:9">
      <c r="B6579" s="3192" t="s">
        <v>677</v>
      </c>
      <c r="C6579" s="3063"/>
      <c r="D6579" s="3064"/>
      <c r="E6579" s="3064"/>
      <c r="F6579" s="3064"/>
      <c r="G6579" s="3301" t="s">
        <v>677</v>
      </c>
      <c r="H6579" s="3063"/>
      <c r="I6579" s="3030"/>
    </row>
    <row r="6580" spans="2:9">
      <c r="B6580" s="3192" t="s">
        <v>678</v>
      </c>
      <c r="C6580" s="3063"/>
      <c r="D6580" s="3064"/>
      <c r="E6580" s="3064"/>
      <c r="F6580" s="3064"/>
      <c r="G6580" s="3301" t="s">
        <v>678</v>
      </c>
      <c r="H6580" s="3063"/>
      <c r="I6580" s="3030"/>
    </row>
    <row r="6581" spans="2:9">
      <c r="B6581" s="3192" t="s">
        <v>679</v>
      </c>
      <c r="C6581" s="3063"/>
      <c r="D6581" s="3064"/>
      <c r="E6581" s="3064"/>
      <c r="F6581" s="3064"/>
      <c r="G6581" s="3301" t="s">
        <v>679</v>
      </c>
      <c r="H6581" s="3063"/>
      <c r="I6581" s="3030"/>
    </row>
    <row r="6582" spans="2:9" ht="25.5">
      <c r="B6582" s="3192" t="s">
        <v>720</v>
      </c>
      <c r="C6582" s="3063"/>
      <c r="D6582" s="3064"/>
      <c r="E6582" s="3064"/>
      <c r="F6582" s="3064"/>
      <c r="G6582" s="3301" t="s">
        <v>720</v>
      </c>
      <c r="H6582" s="3063"/>
      <c r="I6582" s="3030"/>
    </row>
    <row r="6583" spans="2:9">
      <c r="B6583" s="3299" t="s">
        <v>82</v>
      </c>
      <c r="C6583" s="3063"/>
      <c r="D6583" s="3064"/>
      <c r="E6583" s="3064"/>
      <c r="F6583" s="3064"/>
      <c r="G6583" s="3300" t="s">
        <v>82</v>
      </c>
      <c r="H6583" s="3063"/>
      <c r="I6583" s="3030"/>
    </row>
    <row r="6584" spans="2:9" ht="25.5">
      <c r="B6584" s="3192" t="s">
        <v>675</v>
      </c>
      <c r="C6584" s="3063"/>
      <c r="D6584" s="3064"/>
      <c r="E6584" s="3064"/>
      <c r="F6584" s="3064"/>
      <c r="G6584" s="3301" t="s">
        <v>675</v>
      </c>
      <c r="H6584" s="3063"/>
      <c r="I6584" s="3030"/>
    </row>
    <row r="6585" spans="2:9" ht="25.5">
      <c r="B6585" s="3192" t="s">
        <v>676</v>
      </c>
      <c r="C6585" s="3063"/>
      <c r="D6585" s="3064"/>
      <c r="E6585" s="3064"/>
      <c r="F6585" s="3064"/>
      <c r="G6585" s="3301" t="s">
        <v>676</v>
      </c>
      <c r="H6585" s="3063"/>
      <c r="I6585" s="3030"/>
    </row>
    <row r="6586" spans="2:9">
      <c r="B6586" s="3192" t="s">
        <v>677</v>
      </c>
      <c r="C6586" s="3063"/>
      <c r="D6586" s="3064"/>
      <c r="E6586" s="3064"/>
      <c r="F6586" s="3064"/>
      <c r="G6586" s="3301" t="s">
        <v>677</v>
      </c>
      <c r="H6586" s="3063"/>
      <c r="I6586" s="3030"/>
    </row>
    <row r="6587" spans="2:9">
      <c r="B6587" s="3192" t="s">
        <v>678</v>
      </c>
      <c r="C6587" s="3063"/>
      <c r="D6587" s="3064"/>
      <c r="E6587" s="3064"/>
      <c r="F6587" s="3064"/>
      <c r="G6587" s="3301" t="s">
        <v>678</v>
      </c>
      <c r="H6587" s="3063"/>
      <c r="I6587" s="3030"/>
    </row>
    <row r="6588" spans="2:9">
      <c r="B6588" s="3192" t="s">
        <v>679</v>
      </c>
      <c r="C6588" s="3063"/>
      <c r="D6588" s="3064"/>
      <c r="E6588" s="3064"/>
      <c r="F6588" s="3064"/>
      <c r="G6588" s="3301" t="s">
        <v>679</v>
      </c>
      <c r="H6588" s="3063"/>
      <c r="I6588" s="3030"/>
    </row>
    <row r="6589" spans="2:9" ht="25.5">
      <c r="B6589" s="3192" t="s">
        <v>720</v>
      </c>
      <c r="C6589" s="3063"/>
      <c r="D6589" s="3064"/>
      <c r="E6589" s="3064"/>
      <c r="F6589" s="3064"/>
      <c r="G6589" s="3301" t="s">
        <v>720</v>
      </c>
      <c r="H6589" s="3063"/>
      <c r="I6589" s="3030"/>
    </row>
    <row r="6590" spans="2:9" ht="38.25">
      <c r="B6590" s="3299" t="s">
        <v>680</v>
      </c>
      <c r="C6590" s="3063"/>
      <c r="D6590" s="3064"/>
      <c r="E6590" s="3064"/>
      <c r="F6590" s="3064"/>
      <c r="G6590" s="3300" t="s">
        <v>680</v>
      </c>
      <c r="H6590" s="3063"/>
      <c r="I6590" s="3030"/>
    </row>
    <row r="6591" spans="2:9" ht="25.5">
      <c r="B6591" s="3192" t="s">
        <v>675</v>
      </c>
      <c r="C6591" s="3063"/>
      <c r="D6591" s="3064"/>
      <c r="E6591" s="3064"/>
      <c r="F6591" s="3064"/>
      <c r="G6591" s="3301" t="s">
        <v>675</v>
      </c>
      <c r="H6591" s="3063"/>
      <c r="I6591" s="3030"/>
    </row>
    <row r="6592" spans="2:9" ht="25.5">
      <c r="B6592" s="3192" t="s">
        <v>676</v>
      </c>
      <c r="C6592" s="3063"/>
      <c r="D6592" s="3064"/>
      <c r="E6592" s="3064"/>
      <c r="F6592" s="3064"/>
      <c r="G6592" s="3301" t="s">
        <v>676</v>
      </c>
      <c r="H6592" s="3063"/>
      <c r="I6592" s="3030"/>
    </row>
    <row r="6593" spans="2:9">
      <c r="B6593" s="3192" t="s">
        <v>677</v>
      </c>
      <c r="C6593" s="3063"/>
      <c r="D6593" s="3064"/>
      <c r="E6593" s="3064"/>
      <c r="F6593" s="3064"/>
      <c r="G6593" s="3301" t="s">
        <v>677</v>
      </c>
      <c r="H6593" s="3063"/>
      <c r="I6593" s="3030"/>
    </row>
    <row r="6594" spans="2:9">
      <c r="B6594" s="3192" t="s">
        <v>678</v>
      </c>
      <c r="C6594" s="3063"/>
      <c r="D6594" s="3064"/>
      <c r="E6594" s="3064"/>
      <c r="F6594" s="3064"/>
      <c r="G6594" s="3301" t="s">
        <v>678</v>
      </c>
      <c r="H6594" s="3063"/>
      <c r="I6594" s="3030"/>
    </row>
    <row r="6595" spans="2:9">
      <c r="B6595" s="3192" t="s">
        <v>679</v>
      </c>
      <c r="C6595" s="3063"/>
      <c r="D6595" s="3064"/>
      <c r="E6595" s="3064"/>
      <c r="F6595" s="3064"/>
      <c r="G6595" s="3301" t="s">
        <v>679</v>
      </c>
      <c r="H6595" s="3063"/>
      <c r="I6595" s="3030"/>
    </row>
    <row r="6596" spans="2:9" ht="25.5">
      <c r="B6596" s="3192" t="s">
        <v>720</v>
      </c>
      <c r="C6596" s="3063"/>
      <c r="D6596" s="3064"/>
      <c r="E6596" s="3064"/>
      <c r="F6596" s="3064"/>
      <c r="G6596" s="3301" t="s">
        <v>720</v>
      </c>
      <c r="H6596" s="3063"/>
      <c r="I6596" s="3030"/>
    </row>
    <row r="6597" spans="2:9" ht="38.25">
      <c r="B6597" s="3299" t="s">
        <v>681</v>
      </c>
      <c r="C6597" s="3063"/>
      <c r="D6597" s="3064"/>
      <c r="E6597" s="3064"/>
      <c r="F6597" s="3064"/>
      <c r="G6597" s="3300" t="s">
        <v>681</v>
      </c>
      <c r="H6597" s="3063"/>
      <c r="I6597" s="3030"/>
    </row>
    <row r="6598" spans="2:9" ht="25.5">
      <c r="B6598" s="3192" t="s">
        <v>675</v>
      </c>
      <c r="C6598" s="3063"/>
      <c r="D6598" s="3064"/>
      <c r="E6598" s="3064"/>
      <c r="F6598" s="3064"/>
      <c r="G6598" s="3301" t="s">
        <v>675</v>
      </c>
      <c r="H6598" s="3063"/>
      <c r="I6598" s="3030"/>
    </row>
    <row r="6599" spans="2:9" ht="25.5">
      <c r="B6599" s="3192" t="s">
        <v>676</v>
      </c>
      <c r="C6599" s="3063"/>
      <c r="D6599" s="3064"/>
      <c r="E6599" s="3064"/>
      <c r="F6599" s="3064"/>
      <c r="G6599" s="3301" t="s">
        <v>676</v>
      </c>
      <c r="H6599" s="3063"/>
      <c r="I6599" s="3030"/>
    </row>
    <row r="6600" spans="2:9">
      <c r="B6600" s="3192" t="s">
        <v>677</v>
      </c>
      <c r="C6600" s="3063"/>
      <c r="D6600" s="3064"/>
      <c r="E6600" s="3064"/>
      <c r="F6600" s="3064"/>
      <c r="G6600" s="3301" t="s">
        <v>677</v>
      </c>
      <c r="H6600" s="3063"/>
      <c r="I6600" s="3030"/>
    </row>
    <row r="6601" spans="2:9">
      <c r="B6601" s="3192" t="s">
        <v>678</v>
      </c>
      <c r="C6601" s="3063"/>
      <c r="D6601" s="3064"/>
      <c r="E6601" s="3064"/>
      <c r="F6601" s="3064"/>
      <c r="G6601" s="3301" t="s">
        <v>678</v>
      </c>
      <c r="H6601" s="3063"/>
      <c r="I6601" s="3030"/>
    </row>
    <row r="6602" spans="2:9">
      <c r="B6602" s="3192" t="s">
        <v>679</v>
      </c>
      <c r="C6602" s="3063"/>
      <c r="D6602" s="3064"/>
      <c r="E6602" s="3064"/>
      <c r="F6602" s="3064"/>
      <c r="G6602" s="3301" t="s">
        <v>679</v>
      </c>
      <c r="H6602" s="3063"/>
      <c r="I6602" s="3030"/>
    </row>
    <row r="6603" spans="2:9" ht="25.5">
      <c r="B6603" s="3192" t="s">
        <v>720</v>
      </c>
      <c r="C6603" s="3063"/>
      <c r="D6603" s="3064"/>
      <c r="E6603" s="3064"/>
      <c r="F6603" s="3064"/>
      <c r="G6603" s="3301" t="s">
        <v>720</v>
      </c>
      <c r="H6603" s="3063"/>
      <c r="I6603" s="3030"/>
    </row>
    <row r="6604" spans="2:9" ht="25.5">
      <c r="B6604" s="3299" t="s">
        <v>682</v>
      </c>
      <c r="C6604" s="3063"/>
      <c r="D6604" s="3064"/>
      <c r="E6604" s="3064"/>
      <c r="F6604" s="3064"/>
      <c r="G6604" s="3300" t="s">
        <v>682</v>
      </c>
      <c r="H6604" s="3063"/>
      <c r="I6604" s="3030"/>
    </row>
    <row r="6605" spans="2:9" ht="25.5">
      <c r="B6605" s="3192" t="s">
        <v>675</v>
      </c>
      <c r="C6605" s="3063"/>
      <c r="D6605" s="3064"/>
      <c r="E6605" s="3064"/>
      <c r="F6605" s="3064"/>
      <c r="G6605" s="3301" t="s">
        <v>675</v>
      </c>
      <c r="H6605" s="3063"/>
      <c r="I6605" s="3030"/>
    </row>
    <row r="6606" spans="2:9" ht="25.5">
      <c r="B6606" s="3192" t="s">
        <v>676</v>
      </c>
      <c r="C6606" s="3063"/>
      <c r="D6606" s="3064"/>
      <c r="E6606" s="3064"/>
      <c r="F6606" s="3064"/>
      <c r="G6606" s="3301" t="s">
        <v>676</v>
      </c>
      <c r="H6606" s="3063"/>
      <c r="I6606" s="3030"/>
    </row>
    <row r="6607" spans="2:9">
      <c r="B6607" s="3192" t="s">
        <v>677</v>
      </c>
      <c r="C6607" s="3063"/>
      <c r="D6607" s="3064"/>
      <c r="E6607" s="3064"/>
      <c r="F6607" s="3064"/>
      <c r="G6607" s="3301" t="s">
        <v>677</v>
      </c>
      <c r="H6607" s="3063"/>
      <c r="I6607" s="3030"/>
    </row>
    <row r="6608" spans="2:9">
      <c r="B6608" s="3192" t="s">
        <v>678</v>
      </c>
      <c r="C6608" s="3063"/>
      <c r="D6608" s="3064"/>
      <c r="E6608" s="3064"/>
      <c r="F6608" s="3064"/>
      <c r="G6608" s="3301" t="s">
        <v>678</v>
      </c>
      <c r="H6608" s="3063"/>
      <c r="I6608" s="3030"/>
    </row>
    <row r="6609" spans="2:9">
      <c r="B6609" s="3192" t="s">
        <v>679</v>
      </c>
      <c r="C6609" s="3063"/>
      <c r="D6609" s="3064"/>
      <c r="E6609" s="3064"/>
      <c r="F6609" s="3064"/>
      <c r="G6609" s="3301" t="s">
        <v>679</v>
      </c>
      <c r="H6609" s="3063"/>
      <c r="I6609" s="3030"/>
    </row>
    <row r="6610" spans="2:9" ht="25.5">
      <c r="B6610" s="3192" t="s">
        <v>720</v>
      </c>
      <c r="C6610" s="3063"/>
      <c r="D6610" s="3064"/>
      <c r="E6610" s="3064"/>
      <c r="F6610" s="3064"/>
      <c r="G6610" s="3301" t="s">
        <v>720</v>
      </c>
      <c r="H6610" s="3063"/>
      <c r="I6610" s="3030"/>
    </row>
    <row r="6611" spans="2:9" ht="25.5">
      <c r="B6611" s="3299" t="s">
        <v>66</v>
      </c>
      <c r="C6611" s="3063"/>
      <c r="D6611" s="3064"/>
      <c r="E6611" s="3064"/>
      <c r="F6611" s="3064"/>
      <c r="G6611" s="3300" t="s">
        <v>66</v>
      </c>
      <c r="H6611" s="3063"/>
      <c r="I6611" s="3030"/>
    </row>
    <row r="6612" spans="2:9" ht="25.5">
      <c r="B6612" s="3192" t="s">
        <v>675</v>
      </c>
      <c r="C6612" s="3063"/>
      <c r="D6612" s="3064"/>
      <c r="E6612" s="3064"/>
      <c r="F6612" s="3064"/>
      <c r="G6612" s="3301" t="s">
        <v>675</v>
      </c>
      <c r="H6612" s="3063"/>
      <c r="I6612" s="3030"/>
    </row>
    <row r="6613" spans="2:9" ht="25.5">
      <c r="B6613" s="3192" t="s">
        <v>676</v>
      </c>
      <c r="C6613" s="3063"/>
      <c r="D6613" s="3064"/>
      <c r="E6613" s="3064"/>
      <c r="F6613" s="3064"/>
      <c r="G6613" s="3301" t="s">
        <v>676</v>
      </c>
      <c r="H6613" s="3063"/>
      <c r="I6613" s="3030"/>
    </row>
    <row r="6614" spans="2:9">
      <c r="B6614" s="3192" t="s">
        <v>677</v>
      </c>
      <c r="C6614" s="3063"/>
      <c r="D6614" s="3064"/>
      <c r="E6614" s="3064"/>
      <c r="F6614" s="3064"/>
      <c r="G6614" s="3301" t="s">
        <v>677</v>
      </c>
      <c r="H6614" s="3063"/>
      <c r="I6614" s="3030"/>
    </row>
    <row r="6615" spans="2:9">
      <c r="B6615" s="3192" t="s">
        <v>678</v>
      </c>
      <c r="C6615" s="3063"/>
      <c r="D6615" s="3064"/>
      <c r="E6615" s="3064"/>
      <c r="F6615" s="3064"/>
      <c r="G6615" s="3301" t="s">
        <v>678</v>
      </c>
      <c r="H6615" s="3063"/>
      <c r="I6615" s="3030"/>
    </row>
    <row r="6616" spans="2:9">
      <c r="B6616" s="3192" t="s">
        <v>679</v>
      </c>
      <c r="C6616" s="3063"/>
      <c r="D6616" s="3064"/>
      <c r="E6616" s="3064"/>
      <c r="F6616" s="3064"/>
      <c r="G6616" s="3301" t="s">
        <v>679</v>
      </c>
      <c r="H6616" s="3063"/>
      <c r="I6616" s="3030"/>
    </row>
    <row r="6617" spans="2:9" ht="25.5">
      <c r="B6617" s="3192" t="s">
        <v>720</v>
      </c>
      <c r="C6617" s="3063"/>
      <c r="D6617" s="3064"/>
      <c r="E6617" s="3064"/>
      <c r="F6617" s="3064"/>
      <c r="G6617" s="3301" t="s">
        <v>720</v>
      </c>
      <c r="H6617" s="3063"/>
      <c r="I6617" s="3030"/>
    </row>
    <row r="6618" spans="2:9">
      <c r="B6618" s="3299" t="s">
        <v>67</v>
      </c>
      <c r="C6618" s="3063"/>
      <c r="D6618" s="3064"/>
      <c r="E6618" s="3064"/>
      <c r="F6618" s="3064"/>
      <c r="G6618" s="3300" t="s">
        <v>67</v>
      </c>
      <c r="H6618" s="3063"/>
      <c r="I6618" s="3030"/>
    </row>
    <row r="6619" spans="2:9" ht="25.5">
      <c r="B6619" s="3192" t="s">
        <v>675</v>
      </c>
      <c r="C6619" s="3063"/>
      <c r="D6619" s="3064"/>
      <c r="E6619" s="3064"/>
      <c r="F6619" s="3064"/>
      <c r="G6619" s="3301" t="s">
        <v>675</v>
      </c>
      <c r="H6619" s="3063"/>
      <c r="I6619" s="3030"/>
    </row>
    <row r="6620" spans="2:9" ht="25.5">
      <c r="B6620" s="3192" t="s">
        <v>676</v>
      </c>
      <c r="C6620" s="3063"/>
      <c r="D6620" s="3064"/>
      <c r="E6620" s="3064"/>
      <c r="F6620" s="3064"/>
      <c r="G6620" s="3301" t="s">
        <v>676</v>
      </c>
      <c r="H6620" s="3063"/>
      <c r="I6620" s="3030"/>
    </row>
    <row r="6621" spans="2:9">
      <c r="B6621" s="3192" t="s">
        <v>677</v>
      </c>
      <c r="C6621" s="3063"/>
      <c r="D6621" s="3064"/>
      <c r="E6621" s="3064"/>
      <c r="F6621" s="3064"/>
      <c r="G6621" s="3301" t="s">
        <v>677</v>
      </c>
      <c r="H6621" s="3063"/>
      <c r="I6621" s="3030"/>
    </row>
    <row r="6622" spans="2:9">
      <c r="B6622" s="3192" t="s">
        <v>678</v>
      </c>
      <c r="C6622" s="3063"/>
      <c r="D6622" s="3064"/>
      <c r="E6622" s="3064"/>
      <c r="F6622" s="3064"/>
      <c r="G6622" s="3301" t="s">
        <v>678</v>
      </c>
      <c r="H6622" s="3063"/>
      <c r="I6622" s="3030"/>
    </row>
    <row r="6623" spans="2:9">
      <c r="B6623" s="3192" t="s">
        <v>679</v>
      </c>
      <c r="C6623" s="3063"/>
      <c r="D6623" s="3064"/>
      <c r="E6623" s="3064"/>
      <c r="F6623" s="3064"/>
      <c r="G6623" s="3301" t="s">
        <v>679</v>
      </c>
      <c r="H6623" s="3063"/>
      <c r="I6623" s="3030"/>
    </row>
    <row r="6624" spans="2:9" ht="25.5">
      <c r="B6624" s="3230" t="s">
        <v>81</v>
      </c>
      <c r="C6624" s="3063"/>
      <c r="D6624" s="3064"/>
      <c r="E6624" s="3064"/>
      <c r="F6624" s="3064"/>
      <c r="G6624" s="3302" t="s">
        <v>81</v>
      </c>
      <c r="H6624" s="3063"/>
      <c r="I6624" s="3030"/>
    </row>
    <row r="6625" spans="2:9" ht="26.25" thickBot="1">
      <c r="B6625" s="3303" t="s">
        <v>81</v>
      </c>
      <c r="C6625" s="3063"/>
      <c r="D6625" s="3064"/>
      <c r="E6625" s="3064"/>
      <c r="F6625" s="3064"/>
      <c r="G6625" s="3302" t="s">
        <v>81</v>
      </c>
      <c r="H6625" s="3063"/>
      <c r="I6625" s="3030"/>
    </row>
    <row r="6626" spans="2:9">
      <c r="B6626" s="3217" t="s">
        <v>697</v>
      </c>
      <c r="C6626" s="3218"/>
      <c r="D6626" s="3219"/>
      <c r="E6626" s="3219"/>
      <c r="F6626" s="3219"/>
      <c r="G6626" s="3217" t="s">
        <v>697</v>
      </c>
      <c r="H6626" s="3297"/>
      <c r="I6626" s="3298"/>
    </row>
    <row r="6627" spans="2:9">
      <c r="B6627" s="3299" t="s">
        <v>64</v>
      </c>
      <c r="C6627" s="3063"/>
      <c r="D6627" s="3064"/>
      <c r="E6627" s="3064"/>
      <c r="F6627" s="3064"/>
      <c r="G6627" s="3300" t="s">
        <v>64</v>
      </c>
      <c r="H6627" s="3063"/>
      <c r="I6627" s="3030"/>
    </row>
    <row r="6628" spans="2:9" ht="25.5">
      <c r="B6628" s="3192" t="s">
        <v>675</v>
      </c>
      <c r="C6628" s="3063"/>
      <c r="D6628" s="3064"/>
      <c r="E6628" s="3064"/>
      <c r="F6628" s="3064"/>
      <c r="G6628" s="3301" t="s">
        <v>675</v>
      </c>
      <c r="H6628" s="3063"/>
      <c r="I6628" s="3030"/>
    </row>
    <row r="6629" spans="2:9" ht="25.5">
      <c r="B6629" s="3192" t="s">
        <v>676</v>
      </c>
      <c r="C6629" s="3063"/>
      <c r="D6629" s="3064"/>
      <c r="E6629" s="3064"/>
      <c r="F6629" s="3064"/>
      <c r="G6629" s="3301" t="s">
        <v>676</v>
      </c>
      <c r="H6629" s="3063"/>
      <c r="I6629" s="3030"/>
    </row>
    <row r="6630" spans="2:9">
      <c r="B6630" s="3192" t="s">
        <v>677</v>
      </c>
      <c r="C6630" s="3063"/>
      <c r="D6630" s="3064"/>
      <c r="E6630" s="3064"/>
      <c r="F6630" s="3064"/>
      <c r="G6630" s="3301" t="s">
        <v>677</v>
      </c>
      <c r="H6630" s="3063"/>
      <c r="I6630" s="3030"/>
    </row>
    <row r="6631" spans="2:9">
      <c r="B6631" s="3192" t="s">
        <v>678</v>
      </c>
      <c r="C6631" s="3063"/>
      <c r="D6631" s="3064"/>
      <c r="E6631" s="3064"/>
      <c r="F6631" s="3064"/>
      <c r="G6631" s="3301" t="s">
        <v>678</v>
      </c>
      <c r="H6631" s="3063"/>
      <c r="I6631" s="3030"/>
    </row>
    <row r="6632" spans="2:9">
      <c r="B6632" s="3192" t="s">
        <v>679</v>
      </c>
      <c r="C6632" s="3063"/>
      <c r="D6632" s="3064"/>
      <c r="E6632" s="3064"/>
      <c r="F6632" s="3064"/>
      <c r="G6632" s="3301" t="s">
        <v>679</v>
      </c>
      <c r="H6632" s="3063"/>
      <c r="I6632" s="3030"/>
    </row>
    <row r="6633" spans="2:9" ht="25.5">
      <c r="B6633" s="3192" t="s">
        <v>720</v>
      </c>
      <c r="C6633" s="3063"/>
      <c r="D6633" s="3064"/>
      <c r="E6633" s="3064"/>
      <c r="F6633" s="3064"/>
      <c r="G6633" s="3301" t="s">
        <v>720</v>
      </c>
      <c r="H6633" s="3063"/>
      <c r="I6633" s="3030"/>
    </row>
    <row r="6634" spans="2:9">
      <c r="B6634" s="3299" t="s">
        <v>65</v>
      </c>
      <c r="C6634" s="3063"/>
      <c r="D6634" s="3064"/>
      <c r="E6634" s="3064"/>
      <c r="F6634" s="3064"/>
      <c r="G6634" s="3300" t="s">
        <v>65</v>
      </c>
      <c r="H6634" s="3063"/>
      <c r="I6634" s="3030"/>
    </row>
    <row r="6635" spans="2:9" ht="25.5">
      <c r="B6635" s="3192" t="s">
        <v>675</v>
      </c>
      <c r="C6635" s="3063"/>
      <c r="D6635" s="3064"/>
      <c r="E6635" s="3064"/>
      <c r="F6635" s="3064"/>
      <c r="G6635" s="3301" t="s">
        <v>675</v>
      </c>
      <c r="H6635" s="3063"/>
      <c r="I6635" s="3030"/>
    </row>
    <row r="6636" spans="2:9" ht="25.5">
      <c r="B6636" s="3192" t="s">
        <v>676</v>
      </c>
      <c r="C6636" s="3063"/>
      <c r="D6636" s="3064"/>
      <c r="E6636" s="3064"/>
      <c r="F6636" s="3064"/>
      <c r="G6636" s="3301" t="s">
        <v>676</v>
      </c>
      <c r="H6636" s="3063"/>
      <c r="I6636" s="3030"/>
    </row>
    <row r="6637" spans="2:9">
      <c r="B6637" s="3192" t="s">
        <v>677</v>
      </c>
      <c r="C6637" s="3063"/>
      <c r="D6637" s="3064"/>
      <c r="E6637" s="3064"/>
      <c r="F6637" s="3064"/>
      <c r="G6637" s="3301" t="s">
        <v>677</v>
      </c>
      <c r="H6637" s="3063"/>
      <c r="I6637" s="3030"/>
    </row>
    <row r="6638" spans="2:9">
      <c r="B6638" s="3192" t="s">
        <v>678</v>
      </c>
      <c r="C6638" s="3063"/>
      <c r="D6638" s="3064"/>
      <c r="E6638" s="3064"/>
      <c r="F6638" s="3064"/>
      <c r="G6638" s="3301" t="s">
        <v>678</v>
      </c>
      <c r="H6638" s="3063"/>
      <c r="I6638" s="3030"/>
    </row>
    <row r="6639" spans="2:9">
      <c r="B6639" s="3192" t="s">
        <v>679</v>
      </c>
      <c r="C6639" s="3063"/>
      <c r="D6639" s="3064"/>
      <c r="E6639" s="3064"/>
      <c r="F6639" s="3064"/>
      <c r="G6639" s="3301" t="s">
        <v>679</v>
      </c>
      <c r="H6639" s="3063"/>
      <c r="I6639" s="3030"/>
    </row>
    <row r="6640" spans="2:9" ht="25.5">
      <c r="B6640" s="3192" t="s">
        <v>720</v>
      </c>
      <c r="C6640" s="3063"/>
      <c r="D6640" s="3064"/>
      <c r="E6640" s="3064"/>
      <c r="F6640" s="3064"/>
      <c r="G6640" s="3301" t="s">
        <v>720</v>
      </c>
      <c r="H6640" s="3063"/>
      <c r="I6640" s="3030"/>
    </row>
    <row r="6641" spans="2:9">
      <c r="B6641" s="3299" t="s">
        <v>82</v>
      </c>
      <c r="C6641" s="3063"/>
      <c r="D6641" s="3064"/>
      <c r="E6641" s="3064"/>
      <c r="F6641" s="3064"/>
      <c r="G6641" s="3300" t="s">
        <v>82</v>
      </c>
      <c r="H6641" s="3063"/>
      <c r="I6641" s="3030"/>
    </row>
    <row r="6642" spans="2:9" ht="25.5">
      <c r="B6642" s="3192" t="s">
        <v>675</v>
      </c>
      <c r="C6642" s="3063"/>
      <c r="D6642" s="3064"/>
      <c r="E6642" s="3064"/>
      <c r="F6642" s="3064"/>
      <c r="G6642" s="3301" t="s">
        <v>675</v>
      </c>
      <c r="H6642" s="3063"/>
      <c r="I6642" s="3030"/>
    </row>
    <row r="6643" spans="2:9" ht="25.5">
      <c r="B6643" s="3192" t="s">
        <v>676</v>
      </c>
      <c r="C6643" s="3063"/>
      <c r="D6643" s="3064"/>
      <c r="E6643" s="3064"/>
      <c r="F6643" s="3064"/>
      <c r="G6643" s="3301" t="s">
        <v>676</v>
      </c>
      <c r="H6643" s="3063"/>
      <c r="I6643" s="3030"/>
    </row>
    <row r="6644" spans="2:9">
      <c r="B6644" s="3192" t="s">
        <v>677</v>
      </c>
      <c r="C6644" s="3063"/>
      <c r="D6644" s="3064"/>
      <c r="E6644" s="3064"/>
      <c r="F6644" s="3064"/>
      <c r="G6644" s="3301" t="s">
        <v>677</v>
      </c>
      <c r="H6644" s="3063"/>
      <c r="I6644" s="3030"/>
    </row>
    <row r="6645" spans="2:9">
      <c r="B6645" s="3192" t="s">
        <v>678</v>
      </c>
      <c r="C6645" s="3063"/>
      <c r="D6645" s="3064"/>
      <c r="E6645" s="3064"/>
      <c r="F6645" s="3064"/>
      <c r="G6645" s="3301" t="s">
        <v>678</v>
      </c>
      <c r="H6645" s="3063"/>
      <c r="I6645" s="3030"/>
    </row>
    <row r="6646" spans="2:9">
      <c r="B6646" s="3192" t="s">
        <v>679</v>
      </c>
      <c r="C6646" s="3063"/>
      <c r="D6646" s="3064"/>
      <c r="E6646" s="3064"/>
      <c r="F6646" s="3064"/>
      <c r="G6646" s="3301" t="s">
        <v>679</v>
      </c>
      <c r="H6646" s="3063"/>
      <c r="I6646" s="3030"/>
    </row>
    <row r="6647" spans="2:9" ht="25.5">
      <c r="B6647" s="3192" t="s">
        <v>720</v>
      </c>
      <c r="C6647" s="3063"/>
      <c r="D6647" s="3064"/>
      <c r="E6647" s="3064"/>
      <c r="F6647" s="3064"/>
      <c r="G6647" s="3301" t="s">
        <v>720</v>
      </c>
      <c r="H6647" s="3063"/>
      <c r="I6647" s="3030"/>
    </row>
    <row r="6648" spans="2:9" ht="38.25">
      <c r="B6648" s="3299" t="s">
        <v>680</v>
      </c>
      <c r="C6648" s="3063"/>
      <c r="D6648" s="3064"/>
      <c r="E6648" s="3064"/>
      <c r="F6648" s="3064"/>
      <c r="G6648" s="3300" t="s">
        <v>680</v>
      </c>
      <c r="H6648" s="3063"/>
      <c r="I6648" s="3030"/>
    </row>
    <row r="6649" spans="2:9" ht="25.5">
      <c r="B6649" s="3192" t="s">
        <v>675</v>
      </c>
      <c r="C6649" s="3063"/>
      <c r="D6649" s="3064"/>
      <c r="E6649" s="3064"/>
      <c r="F6649" s="3064"/>
      <c r="G6649" s="3301" t="s">
        <v>675</v>
      </c>
      <c r="H6649" s="3063"/>
      <c r="I6649" s="3030"/>
    </row>
    <row r="6650" spans="2:9" ht="25.5">
      <c r="B6650" s="3192" t="s">
        <v>676</v>
      </c>
      <c r="C6650" s="3063"/>
      <c r="D6650" s="3064"/>
      <c r="E6650" s="3064"/>
      <c r="F6650" s="3064"/>
      <c r="G6650" s="3301" t="s">
        <v>676</v>
      </c>
      <c r="H6650" s="3063"/>
      <c r="I6650" s="3030"/>
    </row>
    <row r="6651" spans="2:9">
      <c r="B6651" s="3192" t="s">
        <v>677</v>
      </c>
      <c r="C6651" s="3063"/>
      <c r="D6651" s="3064"/>
      <c r="E6651" s="3064"/>
      <c r="F6651" s="3064"/>
      <c r="G6651" s="3301" t="s">
        <v>677</v>
      </c>
      <c r="H6651" s="3063"/>
      <c r="I6651" s="3030"/>
    </row>
    <row r="6652" spans="2:9">
      <c r="B6652" s="3192" t="s">
        <v>678</v>
      </c>
      <c r="C6652" s="3063"/>
      <c r="D6652" s="3064"/>
      <c r="E6652" s="3064"/>
      <c r="F6652" s="3064"/>
      <c r="G6652" s="3301" t="s">
        <v>678</v>
      </c>
      <c r="H6652" s="3063"/>
      <c r="I6652" s="3030"/>
    </row>
    <row r="6653" spans="2:9">
      <c r="B6653" s="3192" t="s">
        <v>679</v>
      </c>
      <c r="C6653" s="3063"/>
      <c r="D6653" s="3064"/>
      <c r="E6653" s="3064"/>
      <c r="F6653" s="3064"/>
      <c r="G6653" s="3301" t="s">
        <v>679</v>
      </c>
      <c r="H6653" s="3063"/>
      <c r="I6653" s="3030"/>
    </row>
    <row r="6654" spans="2:9" ht="25.5">
      <c r="B6654" s="3192" t="s">
        <v>720</v>
      </c>
      <c r="C6654" s="3063"/>
      <c r="D6654" s="3064"/>
      <c r="E6654" s="3064"/>
      <c r="F6654" s="3064"/>
      <c r="G6654" s="3301" t="s">
        <v>720</v>
      </c>
      <c r="H6654" s="3063"/>
      <c r="I6654" s="3030"/>
    </row>
    <row r="6655" spans="2:9" ht="38.25">
      <c r="B6655" s="3299" t="s">
        <v>681</v>
      </c>
      <c r="C6655" s="3063"/>
      <c r="D6655" s="3064"/>
      <c r="E6655" s="3064"/>
      <c r="F6655" s="3064">
        <v>4</v>
      </c>
      <c r="G6655" s="3300" t="s">
        <v>681</v>
      </c>
      <c r="H6655" s="3063">
        <v>3.98626068816147E-2</v>
      </c>
      <c r="I6655" s="3030"/>
    </row>
    <row r="6656" spans="2:9" ht="25.5">
      <c r="B6656" s="3192" t="s">
        <v>675</v>
      </c>
      <c r="C6656" s="3063"/>
      <c r="D6656" s="3064">
        <v>1</v>
      </c>
      <c r="E6656" s="3064"/>
      <c r="F6656" s="3064"/>
      <c r="G6656" s="3301" t="s">
        <v>675</v>
      </c>
      <c r="H6656" s="3063"/>
      <c r="I6656" s="3030">
        <v>1.993130344080735E-2</v>
      </c>
    </row>
    <row r="6657" spans="2:9" ht="25.5">
      <c r="B6657" s="3192" t="s">
        <v>676</v>
      </c>
      <c r="C6657" s="3063"/>
      <c r="D6657" s="3064"/>
      <c r="E6657" s="3064"/>
      <c r="F6657" s="3064"/>
      <c r="G6657" s="3301" t="s">
        <v>676</v>
      </c>
      <c r="H6657" s="3063"/>
      <c r="I6657" s="3030"/>
    </row>
    <row r="6658" spans="2:9">
      <c r="B6658" s="3192" t="s">
        <v>677</v>
      </c>
      <c r="C6658" s="3063"/>
      <c r="D6658" s="3064"/>
      <c r="E6658" s="3064"/>
      <c r="F6658" s="3064"/>
      <c r="G6658" s="3301" t="s">
        <v>677</v>
      </c>
      <c r="H6658" s="3063"/>
      <c r="I6658" s="3030"/>
    </row>
    <row r="6659" spans="2:9">
      <c r="B6659" s="3192" t="s">
        <v>678</v>
      </c>
      <c r="C6659" s="3063"/>
      <c r="D6659" s="3064"/>
      <c r="E6659" s="3064"/>
      <c r="F6659" s="3064"/>
      <c r="G6659" s="3301" t="s">
        <v>678</v>
      </c>
      <c r="H6659" s="3063"/>
      <c r="I6659" s="3030"/>
    </row>
    <row r="6660" spans="2:9">
      <c r="B6660" s="3192" t="s">
        <v>679</v>
      </c>
      <c r="C6660" s="3063"/>
      <c r="D6660" s="3064">
        <v>1</v>
      </c>
      <c r="E6660" s="3064"/>
      <c r="F6660" s="3064"/>
      <c r="G6660" s="3301" t="s">
        <v>679</v>
      </c>
      <c r="H6660" s="3063"/>
      <c r="I6660" s="3030"/>
    </row>
    <row r="6661" spans="2:9" ht="25.5">
      <c r="B6661" s="3192" t="s">
        <v>720</v>
      </c>
      <c r="C6661" s="3063"/>
      <c r="D6661" s="3064"/>
      <c r="E6661" s="3064"/>
      <c r="F6661" s="3064"/>
      <c r="G6661" s="3301" t="s">
        <v>720</v>
      </c>
      <c r="H6661" s="3063"/>
      <c r="I6661" s="3030"/>
    </row>
    <row r="6662" spans="2:9" ht="25.5">
      <c r="B6662" s="3299" t="s">
        <v>682</v>
      </c>
      <c r="C6662" s="3063"/>
      <c r="D6662" s="3064"/>
      <c r="E6662" s="3064"/>
      <c r="F6662" s="3064"/>
      <c r="G6662" s="3300" t="s">
        <v>682</v>
      </c>
      <c r="H6662" s="3063"/>
      <c r="I6662" s="3030"/>
    </row>
    <row r="6663" spans="2:9" ht="25.5">
      <c r="B6663" s="3192" t="s">
        <v>675</v>
      </c>
      <c r="C6663" s="3063"/>
      <c r="D6663" s="3064"/>
      <c r="E6663" s="3064"/>
      <c r="F6663" s="3064"/>
      <c r="G6663" s="3301" t="s">
        <v>675</v>
      </c>
      <c r="H6663" s="3063"/>
      <c r="I6663" s="3030"/>
    </row>
    <row r="6664" spans="2:9" ht="25.5">
      <c r="B6664" s="3192" t="s">
        <v>676</v>
      </c>
      <c r="C6664" s="3063"/>
      <c r="D6664" s="3064"/>
      <c r="E6664" s="3064"/>
      <c r="F6664" s="3064"/>
      <c r="G6664" s="3301" t="s">
        <v>676</v>
      </c>
      <c r="H6664" s="3063"/>
      <c r="I6664" s="3030"/>
    </row>
    <row r="6665" spans="2:9">
      <c r="B6665" s="3192" t="s">
        <v>677</v>
      </c>
      <c r="C6665" s="3063"/>
      <c r="D6665" s="3064"/>
      <c r="E6665" s="3064"/>
      <c r="F6665" s="3064"/>
      <c r="G6665" s="3301" t="s">
        <v>677</v>
      </c>
      <c r="H6665" s="3063"/>
      <c r="I6665" s="3030"/>
    </row>
    <row r="6666" spans="2:9">
      <c r="B6666" s="3192" t="s">
        <v>678</v>
      </c>
      <c r="C6666" s="3063"/>
      <c r="D6666" s="3064"/>
      <c r="E6666" s="3064"/>
      <c r="F6666" s="3064"/>
      <c r="G6666" s="3301" t="s">
        <v>678</v>
      </c>
      <c r="H6666" s="3063"/>
      <c r="I6666" s="3030"/>
    </row>
    <row r="6667" spans="2:9">
      <c r="B6667" s="3192" t="s">
        <v>679</v>
      </c>
      <c r="C6667" s="3063"/>
      <c r="D6667" s="3064"/>
      <c r="E6667" s="3064"/>
      <c r="F6667" s="3064"/>
      <c r="G6667" s="3301" t="s">
        <v>679</v>
      </c>
      <c r="H6667" s="3063"/>
      <c r="I6667" s="3030"/>
    </row>
    <row r="6668" spans="2:9" ht="25.5">
      <c r="B6668" s="3192" t="s">
        <v>720</v>
      </c>
      <c r="C6668" s="3063"/>
      <c r="D6668" s="3064"/>
      <c r="E6668" s="3064"/>
      <c r="F6668" s="3064"/>
      <c r="G6668" s="3301" t="s">
        <v>720</v>
      </c>
      <c r="H6668" s="3063"/>
      <c r="I6668" s="3030"/>
    </row>
    <row r="6669" spans="2:9" ht="25.5">
      <c r="B6669" s="3299" t="s">
        <v>66</v>
      </c>
      <c r="C6669" s="3063"/>
      <c r="D6669" s="3064"/>
      <c r="E6669" s="3064"/>
      <c r="F6669" s="3064"/>
      <c r="G6669" s="3300" t="s">
        <v>66</v>
      </c>
      <c r="H6669" s="3063"/>
      <c r="I6669" s="3030"/>
    </row>
    <row r="6670" spans="2:9" ht="25.5">
      <c r="B6670" s="3192" t="s">
        <v>675</v>
      </c>
      <c r="C6670" s="3063"/>
      <c r="D6670" s="3064"/>
      <c r="E6670" s="3064"/>
      <c r="F6670" s="3064"/>
      <c r="G6670" s="3301" t="s">
        <v>675</v>
      </c>
      <c r="H6670" s="3063"/>
      <c r="I6670" s="3030"/>
    </row>
    <row r="6671" spans="2:9" ht="25.5">
      <c r="B6671" s="3192" t="s">
        <v>676</v>
      </c>
      <c r="C6671" s="3063"/>
      <c r="D6671" s="3064"/>
      <c r="E6671" s="3064"/>
      <c r="F6671" s="3064"/>
      <c r="G6671" s="3301" t="s">
        <v>676</v>
      </c>
      <c r="H6671" s="3063"/>
      <c r="I6671" s="3030"/>
    </row>
    <row r="6672" spans="2:9">
      <c r="B6672" s="3192" t="s">
        <v>677</v>
      </c>
      <c r="C6672" s="3063"/>
      <c r="D6672" s="3064"/>
      <c r="E6672" s="3064"/>
      <c r="F6672" s="3064"/>
      <c r="G6672" s="3301" t="s">
        <v>677</v>
      </c>
      <c r="H6672" s="3063"/>
      <c r="I6672" s="3030"/>
    </row>
    <row r="6673" spans="2:9">
      <c r="B6673" s="3192" t="s">
        <v>678</v>
      </c>
      <c r="C6673" s="3063"/>
      <c r="D6673" s="3064"/>
      <c r="E6673" s="3064"/>
      <c r="F6673" s="3064"/>
      <c r="G6673" s="3301" t="s">
        <v>678</v>
      </c>
      <c r="H6673" s="3063"/>
      <c r="I6673" s="3030"/>
    </row>
    <row r="6674" spans="2:9">
      <c r="B6674" s="3192" t="s">
        <v>679</v>
      </c>
      <c r="C6674" s="3063"/>
      <c r="D6674" s="3064"/>
      <c r="E6674" s="3064"/>
      <c r="F6674" s="3064"/>
      <c r="G6674" s="3301" t="s">
        <v>679</v>
      </c>
      <c r="H6674" s="3063"/>
      <c r="I6674" s="3030"/>
    </row>
    <row r="6675" spans="2:9" ht="25.5">
      <c r="B6675" s="3192" t="s">
        <v>720</v>
      </c>
      <c r="C6675" s="3063"/>
      <c r="D6675" s="3064"/>
      <c r="E6675" s="3064"/>
      <c r="F6675" s="3064"/>
      <c r="G6675" s="3301" t="s">
        <v>720</v>
      </c>
      <c r="H6675" s="3063"/>
      <c r="I6675" s="3030"/>
    </row>
    <row r="6676" spans="2:9">
      <c r="B6676" s="3299" t="s">
        <v>67</v>
      </c>
      <c r="C6676" s="3063"/>
      <c r="D6676" s="3064"/>
      <c r="E6676" s="3064"/>
      <c r="F6676" s="3064">
        <v>1</v>
      </c>
      <c r="G6676" s="3300" t="s">
        <v>67</v>
      </c>
      <c r="H6676" s="3063">
        <v>0.15012760846719711</v>
      </c>
      <c r="I6676" s="3030"/>
    </row>
    <row r="6677" spans="2:9" ht="25.5">
      <c r="B6677" s="3192" t="s">
        <v>675</v>
      </c>
      <c r="C6677" s="3063">
        <v>1</v>
      </c>
      <c r="D6677" s="3064"/>
      <c r="E6677" s="3064"/>
      <c r="F6677" s="3064"/>
      <c r="G6677" s="3301" t="s">
        <v>675</v>
      </c>
      <c r="H6677" s="3063"/>
      <c r="I6677" s="3030">
        <v>0.15012760846719711</v>
      </c>
    </row>
    <row r="6678" spans="2:9" ht="25.5">
      <c r="B6678" s="3192" t="s">
        <v>676</v>
      </c>
      <c r="C6678" s="3063"/>
      <c r="D6678" s="3064"/>
      <c r="E6678" s="3064"/>
      <c r="F6678" s="3064"/>
      <c r="G6678" s="3301" t="s">
        <v>676</v>
      </c>
      <c r="H6678" s="3063"/>
      <c r="I6678" s="3030"/>
    </row>
    <row r="6679" spans="2:9">
      <c r="B6679" s="3192" t="s">
        <v>677</v>
      </c>
      <c r="C6679" s="3063"/>
      <c r="D6679" s="3064"/>
      <c r="E6679" s="3064"/>
      <c r="F6679" s="3064"/>
      <c r="G6679" s="3301" t="s">
        <v>677</v>
      </c>
      <c r="H6679" s="3063"/>
      <c r="I6679" s="3030"/>
    </row>
    <row r="6680" spans="2:9">
      <c r="B6680" s="3192" t="s">
        <v>678</v>
      </c>
      <c r="C6680" s="3063"/>
      <c r="D6680" s="3064"/>
      <c r="E6680" s="3064"/>
      <c r="F6680" s="3064"/>
      <c r="G6680" s="3301" t="s">
        <v>678</v>
      </c>
      <c r="H6680" s="3063"/>
      <c r="I6680" s="3030"/>
    </row>
    <row r="6681" spans="2:9">
      <c r="B6681" s="3192" t="s">
        <v>679</v>
      </c>
      <c r="C6681" s="3063"/>
      <c r="D6681" s="3064"/>
      <c r="E6681" s="3064"/>
      <c r="F6681" s="3064"/>
      <c r="G6681" s="3301" t="s">
        <v>679</v>
      </c>
      <c r="H6681" s="3063"/>
      <c r="I6681" s="3030"/>
    </row>
    <row r="6682" spans="2:9" ht="25.5">
      <c r="B6682" s="3230" t="s">
        <v>81</v>
      </c>
      <c r="C6682" s="3063"/>
      <c r="D6682" s="3064"/>
      <c r="E6682" s="3064"/>
      <c r="F6682" s="3064"/>
      <c r="G6682" s="3302" t="s">
        <v>81</v>
      </c>
      <c r="H6682" s="3063"/>
      <c r="I6682" s="3030"/>
    </row>
    <row r="6683" spans="2:9" ht="26.25" thickBot="1">
      <c r="B6683" s="3303" t="s">
        <v>81</v>
      </c>
      <c r="C6683" s="3068"/>
      <c r="D6683" s="3069"/>
      <c r="E6683" s="3069"/>
      <c r="F6683" s="3069"/>
      <c r="G6683" s="3304" t="s">
        <v>81</v>
      </c>
      <c r="H6683" s="3068"/>
      <c r="I6683" s="3070"/>
    </row>
    <row r="6684" spans="2:9" ht="38.25">
      <c r="B6684" s="4723">
        <v>3042</v>
      </c>
      <c r="C6684" s="3289"/>
      <c r="D6684" s="3290"/>
      <c r="E6684" s="3290"/>
      <c r="F6684" s="3290"/>
      <c r="G6684" s="4723">
        <v>3042</v>
      </c>
      <c r="H6684" s="3291" t="s">
        <v>687</v>
      </c>
      <c r="I6684" s="3292" t="s">
        <v>688</v>
      </c>
    </row>
    <row r="6685" spans="2:9">
      <c r="B6685" s="4724"/>
      <c r="C6685" s="4678" t="s">
        <v>686</v>
      </c>
      <c r="D6685" s="4725"/>
      <c r="E6685" s="4725"/>
      <c r="F6685" s="4726"/>
      <c r="G6685" s="4724"/>
      <c r="H6685" s="3293"/>
      <c r="I6685" s="3294"/>
    </row>
    <row r="6686" spans="2:9" ht="13.5" thickBot="1">
      <c r="B6686" s="4724"/>
      <c r="C6686" s="3215">
        <v>2013</v>
      </c>
      <c r="D6686" s="3215">
        <v>2014</v>
      </c>
      <c r="E6686" s="3215">
        <v>2015</v>
      </c>
      <c r="F6686" s="3215">
        <v>2016</v>
      </c>
      <c r="G6686" s="4724"/>
      <c r="H6686" s="3295" t="s">
        <v>390</v>
      </c>
      <c r="I6686" s="3296" t="s">
        <v>390</v>
      </c>
    </row>
    <row r="6687" spans="2:9">
      <c r="B6687" s="3217" t="s">
        <v>695</v>
      </c>
      <c r="C6687" s="3218"/>
      <c r="D6687" s="3219"/>
      <c r="E6687" s="3219"/>
      <c r="F6687" s="3219"/>
      <c r="G6687" s="3217" t="s">
        <v>695</v>
      </c>
      <c r="H6687" s="3297"/>
      <c r="I6687" s="3298"/>
    </row>
    <row r="6688" spans="2:9">
      <c r="B6688" s="3299" t="s">
        <v>64</v>
      </c>
      <c r="C6688" s="3063"/>
      <c r="D6688" s="3064"/>
      <c r="E6688" s="3064"/>
      <c r="F6688" s="3064"/>
      <c r="G6688" s="3300" t="s">
        <v>64</v>
      </c>
      <c r="H6688" s="3063"/>
      <c r="I6688" s="3030"/>
    </row>
    <row r="6689" spans="2:9" ht="25.5">
      <c r="B6689" s="3192" t="s">
        <v>675</v>
      </c>
      <c r="C6689" s="3063"/>
      <c r="D6689" s="3064"/>
      <c r="E6689" s="3064"/>
      <c r="F6689" s="3064"/>
      <c r="G6689" s="3301" t="s">
        <v>675</v>
      </c>
      <c r="H6689" s="3063"/>
      <c r="I6689" s="3030"/>
    </row>
    <row r="6690" spans="2:9" ht="25.5">
      <c r="B6690" s="3192" t="s">
        <v>676</v>
      </c>
      <c r="C6690" s="3063"/>
      <c r="D6690" s="3064"/>
      <c r="E6690" s="3064"/>
      <c r="F6690" s="3064"/>
      <c r="G6690" s="3301" t="s">
        <v>676</v>
      </c>
      <c r="H6690" s="3063"/>
      <c r="I6690" s="3030"/>
    </row>
    <row r="6691" spans="2:9">
      <c r="B6691" s="3192" t="s">
        <v>677</v>
      </c>
      <c r="C6691" s="3063"/>
      <c r="D6691" s="3064"/>
      <c r="E6691" s="3064"/>
      <c r="F6691" s="3064"/>
      <c r="G6691" s="3301" t="s">
        <v>677</v>
      </c>
      <c r="H6691" s="3063"/>
      <c r="I6691" s="3030"/>
    </row>
    <row r="6692" spans="2:9">
      <c r="B6692" s="3192" t="s">
        <v>678</v>
      </c>
      <c r="C6692" s="3063"/>
      <c r="D6692" s="3064"/>
      <c r="E6692" s="3064"/>
      <c r="F6692" s="3064"/>
      <c r="G6692" s="3301" t="s">
        <v>678</v>
      </c>
      <c r="H6692" s="3063"/>
      <c r="I6692" s="3030"/>
    </row>
    <row r="6693" spans="2:9">
      <c r="B6693" s="3192" t="s">
        <v>679</v>
      </c>
      <c r="C6693" s="3063"/>
      <c r="D6693" s="3064"/>
      <c r="E6693" s="3064"/>
      <c r="F6693" s="3064"/>
      <c r="G6693" s="3301" t="s">
        <v>679</v>
      </c>
      <c r="H6693" s="3063"/>
      <c r="I6693" s="3030"/>
    </row>
    <row r="6694" spans="2:9" ht="25.5">
      <c r="B6694" s="3192" t="s">
        <v>720</v>
      </c>
      <c r="C6694" s="3063"/>
      <c r="D6694" s="3064"/>
      <c r="E6694" s="3064"/>
      <c r="F6694" s="3064"/>
      <c r="G6694" s="3301" t="s">
        <v>720</v>
      </c>
      <c r="H6694" s="3063"/>
      <c r="I6694" s="3030"/>
    </row>
    <row r="6695" spans="2:9">
      <c r="B6695" s="3299" t="s">
        <v>65</v>
      </c>
      <c r="C6695" s="3063"/>
      <c r="D6695" s="3064"/>
      <c r="E6695" s="3064"/>
      <c r="F6695" s="3064"/>
      <c r="G6695" s="3300" t="s">
        <v>65</v>
      </c>
      <c r="H6695" s="3063"/>
      <c r="I6695" s="3030"/>
    </row>
    <row r="6696" spans="2:9" ht="25.5">
      <c r="B6696" s="3192" t="s">
        <v>675</v>
      </c>
      <c r="C6696" s="3063"/>
      <c r="D6696" s="3064"/>
      <c r="E6696" s="3064"/>
      <c r="F6696" s="3064"/>
      <c r="G6696" s="3301" t="s">
        <v>675</v>
      </c>
      <c r="H6696" s="3063"/>
      <c r="I6696" s="3030"/>
    </row>
    <row r="6697" spans="2:9" ht="25.5">
      <c r="B6697" s="3192" t="s">
        <v>676</v>
      </c>
      <c r="C6697" s="3063"/>
      <c r="D6697" s="3064"/>
      <c r="E6697" s="3064"/>
      <c r="F6697" s="3064"/>
      <c r="G6697" s="3301" t="s">
        <v>676</v>
      </c>
      <c r="H6697" s="3063"/>
      <c r="I6697" s="3030"/>
    </row>
    <row r="6698" spans="2:9">
      <c r="B6698" s="3192" t="s">
        <v>677</v>
      </c>
      <c r="C6698" s="3063"/>
      <c r="D6698" s="3064"/>
      <c r="E6698" s="3064"/>
      <c r="F6698" s="3064"/>
      <c r="G6698" s="3301" t="s">
        <v>677</v>
      </c>
      <c r="H6698" s="3063"/>
      <c r="I6698" s="3030"/>
    </row>
    <row r="6699" spans="2:9">
      <c r="B6699" s="3192" t="s">
        <v>678</v>
      </c>
      <c r="C6699" s="3063"/>
      <c r="D6699" s="3064"/>
      <c r="E6699" s="3064"/>
      <c r="F6699" s="3064"/>
      <c r="G6699" s="3301" t="s">
        <v>678</v>
      </c>
      <c r="H6699" s="3063"/>
      <c r="I6699" s="3030"/>
    </row>
    <row r="6700" spans="2:9">
      <c r="B6700" s="3192" t="s">
        <v>679</v>
      </c>
      <c r="C6700" s="3063"/>
      <c r="D6700" s="3064"/>
      <c r="E6700" s="3064"/>
      <c r="F6700" s="3064"/>
      <c r="G6700" s="3301" t="s">
        <v>679</v>
      </c>
      <c r="H6700" s="3063"/>
      <c r="I6700" s="3030"/>
    </row>
    <row r="6701" spans="2:9" ht="25.5">
      <c r="B6701" s="3192" t="s">
        <v>720</v>
      </c>
      <c r="C6701" s="3063"/>
      <c r="D6701" s="3064"/>
      <c r="E6701" s="3064"/>
      <c r="F6701" s="3064"/>
      <c r="G6701" s="3301" t="s">
        <v>720</v>
      </c>
      <c r="H6701" s="3063"/>
      <c r="I6701" s="3030"/>
    </row>
    <row r="6702" spans="2:9">
      <c r="B6702" s="3299" t="s">
        <v>82</v>
      </c>
      <c r="C6702" s="3063"/>
      <c r="D6702" s="3064"/>
      <c r="E6702" s="3064"/>
      <c r="F6702" s="3064"/>
      <c r="G6702" s="3300" t="s">
        <v>82</v>
      </c>
      <c r="H6702" s="3063"/>
      <c r="I6702" s="3030"/>
    </row>
    <row r="6703" spans="2:9" ht="25.5">
      <c r="B6703" s="3192" t="s">
        <v>675</v>
      </c>
      <c r="C6703" s="3063"/>
      <c r="D6703" s="3064"/>
      <c r="E6703" s="3064"/>
      <c r="F6703" s="3064"/>
      <c r="G6703" s="3301" t="s">
        <v>675</v>
      </c>
      <c r="H6703" s="3063"/>
      <c r="I6703" s="3030"/>
    </row>
    <row r="6704" spans="2:9" ht="25.5">
      <c r="B6704" s="3192" t="s">
        <v>676</v>
      </c>
      <c r="C6704" s="3063"/>
      <c r="D6704" s="3064"/>
      <c r="E6704" s="3064"/>
      <c r="F6704" s="3064"/>
      <c r="G6704" s="3301" t="s">
        <v>676</v>
      </c>
      <c r="H6704" s="3063"/>
      <c r="I6704" s="3030"/>
    </row>
    <row r="6705" spans="2:9">
      <c r="B6705" s="3192" t="s">
        <v>677</v>
      </c>
      <c r="C6705" s="3063"/>
      <c r="D6705" s="3064"/>
      <c r="E6705" s="3064"/>
      <c r="F6705" s="3064"/>
      <c r="G6705" s="3301" t="s">
        <v>677</v>
      </c>
      <c r="H6705" s="3063"/>
      <c r="I6705" s="3030"/>
    </row>
    <row r="6706" spans="2:9">
      <c r="B6706" s="3192" t="s">
        <v>678</v>
      </c>
      <c r="C6706" s="3063"/>
      <c r="D6706" s="3064"/>
      <c r="E6706" s="3064"/>
      <c r="F6706" s="3064"/>
      <c r="G6706" s="3301" t="s">
        <v>678</v>
      </c>
      <c r="H6706" s="3063"/>
      <c r="I6706" s="3030"/>
    </row>
    <row r="6707" spans="2:9">
      <c r="B6707" s="3192" t="s">
        <v>679</v>
      </c>
      <c r="C6707" s="3063"/>
      <c r="D6707" s="3064"/>
      <c r="E6707" s="3064"/>
      <c r="F6707" s="3064"/>
      <c r="G6707" s="3301" t="s">
        <v>679</v>
      </c>
      <c r="H6707" s="3063"/>
      <c r="I6707" s="3030"/>
    </row>
    <row r="6708" spans="2:9" ht="25.5">
      <c r="B6708" s="3192" t="s">
        <v>720</v>
      </c>
      <c r="C6708" s="3063"/>
      <c r="D6708" s="3064"/>
      <c r="E6708" s="3064"/>
      <c r="F6708" s="3064"/>
      <c r="G6708" s="3301" t="s">
        <v>720</v>
      </c>
      <c r="H6708" s="3063"/>
      <c r="I6708" s="3030"/>
    </row>
    <row r="6709" spans="2:9" ht="38.25">
      <c r="B6709" s="3299" t="s">
        <v>680</v>
      </c>
      <c r="C6709" s="3063"/>
      <c r="D6709" s="3064"/>
      <c r="E6709" s="3064"/>
      <c r="F6709" s="3064"/>
      <c r="G6709" s="3300" t="s">
        <v>680</v>
      </c>
      <c r="H6709" s="3063"/>
      <c r="I6709" s="3030"/>
    </row>
    <row r="6710" spans="2:9" ht="25.5">
      <c r="B6710" s="3192" t="s">
        <v>675</v>
      </c>
      <c r="C6710" s="3063"/>
      <c r="D6710" s="3064"/>
      <c r="E6710" s="3064"/>
      <c r="F6710" s="3064"/>
      <c r="G6710" s="3301" t="s">
        <v>675</v>
      </c>
      <c r="H6710" s="3063"/>
      <c r="I6710" s="3030"/>
    </row>
    <row r="6711" spans="2:9" ht="25.5">
      <c r="B6711" s="3192" t="s">
        <v>676</v>
      </c>
      <c r="C6711" s="3063"/>
      <c r="D6711" s="3064"/>
      <c r="E6711" s="3064"/>
      <c r="F6711" s="3064"/>
      <c r="G6711" s="3301" t="s">
        <v>676</v>
      </c>
      <c r="H6711" s="3063"/>
      <c r="I6711" s="3030"/>
    </row>
    <row r="6712" spans="2:9">
      <c r="B6712" s="3192" t="s">
        <v>677</v>
      </c>
      <c r="C6712" s="3063"/>
      <c r="D6712" s="3064"/>
      <c r="E6712" s="3064"/>
      <c r="F6712" s="3064"/>
      <c r="G6712" s="3301" t="s">
        <v>677</v>
      </c>
      <c r="H6712" s="3063"/>
      <c r="I6712" s="3030"/>
    </row>
    <row r="6713" spans="2:9">
      <c r="B6713" s="3192" t="s">
        <v>678</v>
      </c>
      <c r="C6713" s="3063"/>
      <c r="D6713" s="3064"/>
      <c r="E6713" s="3064"/>
      <c r="F6713" s="3064"/>
      <c r="G6713" s="3301" t="s">
        <v>678</v>
      </c>
      <c r="H6713" s="3063"/>
      <c r="I6713" s="3030"/>
    </row>
    <row r="6714" spans="2:9">
      <c r="B6714" s="3192" t="s">
        <v>679</v>
      </c>
      <c r="C6714" s="3063"/>
      <c r="D6714" s="3064"/>
      <c r="E6714" s="3064"/>
      <c r="F6714" s="3064"/>
      <c r="G6714" s="3301" t="s">
        <v>679</v>
      </c>
      <c r="H6714" s="3063"/>
      <c r="I6714" s="3030"/>
    </row>
    <row r="6715" spans="2:9" ht="25.5">
      <c r="B6715" s="3192" t="s">
        <v>720</v>
      </c>
      <c r="C6715" s="3063"/>
      <c r="D6715" s="3064"/>
      <c r="E6715" s="3064"/>
      <c r="F6715" s="3064"/>
      <c r="G6715" s="3301" t="s">
        <v>720</v>
      </c>
      <c r="H6715" s="3063"/>
      <c r="I6715" s="3030"/>
    </row>
    <row r="6716" spans="2:9" ht="38.25">
      <c r="B6716" s="3299" t="s">
        <v>681</v>
      </c>
      <c r="C6716" s="3063"/>
      <c r="D6716" s="3064"/>
      <c r="E6716" s="3064"/>
      <c r="F6716" s="3064"/>
      <c r="G6716" s="3300" t="s">
        <v>681</v>
      </c>
      <c r="H6716" s="3063"/>
      <c r="I6716" s="3030"/>
    </row>
    <row r="6717" spans="2:9" ht="25.5">
      <c r="B6717" s="3192" t="s">
        <v>675</v>
      </c>
      <c r="C6717" s="3063"/>
      <c r="D6717" s="3064"/>
      <c r="E6717" s="3064"/>
      <c r="F6717" s="3064"/>
      <c r="G6717" s="3301" t="s">
        <v>675</v>
      </c>
      <c r="H6717" s="3063"/>
      <c r="I6717" s="3030"/>
    </row>
    <row r="6718" spans="2:9" ht="25.5">
      <c r="B6718" s="3192" t="s">
        <v>676</v>
      </c>
      <c r="C6718" s="3063"/>
      <c r="D6718" s="3064"/>
      <c r="E6718" s="3064"/>
      <c r="F6718" s="3064"/>
      <c r="G6718" s="3301" t="s">
        <v>676</v>
      </c>
      <c r="H6718" s="3063"/>
      <c r="I6718" s="3030"/>
    </row>
    <row r="6719" spans="2:9">
      <c r="B6719" s="3192" t="s">
        <v>677</v>
      </c>
      <c r="C6719" s="3063"/>
      <c r="D6719" s="3064"/>
      <c r="E6719" s="3064"/>
      <c r="F6719" s="3064"/>
      <c r="G6719" s="3301" t="s">
        <v>677</v>
      </c>
      <c r="H6719" s="3063"/>
      <c r="I6719" s="3030"/>
    </row>
    <row r="6720" spans="2:9">
      <c r="B6720" s="3192" t="s">
        <v>678</v>
      </c>
      <c r="C6720" s="3063"/>
      <c r="D6720" s="3064"/>
      <c r="E6720" s="3064"/>
      <c r="F6720" s="3064"/>
      <c r="G6720" s="3301" t="s">
        <v>678</v>
      </c>
      <c r="H6720" s="3063"/>
      <c r="I6720" s="3030"/>
    </row>
    <row r="6721" spans="2:9">
      <c r="B6721" s="3192" t="s">
        <v>679</v>
      </c>
      <c r="C6721" s="3063"/>
      <c r="D6721" s="3064"/>
      <c r="E6721" s="3064"/>
      <c r="F6721" s="3064"/>
      <c r="G6721" s="3301" t="s">
        <v>679</v>
      </c>
      <c r="H6721" s="3063"/>
      <c r="I6721" s="3030"/>
    </row>
    <row r="6722" spans="2:9" ht="25.5">
      <c r="B6722" s="3192" t="s">
        <v>720</v>
      </c>
      <c r="C6722" s="3063"/>
      <c r="D6722" s="3064"/>
      <c r="E6722" s="3064"/>
      <c r="F6722" s="3064"/>
      <c r="G6722" s="3301" t="s">
        <v>720</v>
      </c>
      <c r="H6722" s="3063"/>
      <c r="I6722" s="3030"/>
    </row>
    <row r="6723" spans="2:9" ht="25.5">
      <c r="B6723" s="3299" t="s">
        <v>682</v>
      </c>
      <c r="C6723" s="3063"/>
      <c r="D6723" s="3064"/>
      <c r="E6723" s="3064"/>
      <c r="F6723" s="3064"/>
      <c r="G6723" s="3300" t="s">
        <v>682</v>
      </c>
      <c r="H6723" s="3063"/>
      <c r="I6723" s="3030"/>
    </row>
    <row r="6724" spans="2:9" ht="25.5">
      <c r="B6724" s="3192" t="s">
        <v>675</v>
      </c>
      <c r="C6724" s="3063"/>
      <c r="D6724" s="3064"/>
      <c r="E6724" s="3064"/>
      <c r="F6724" s="3064"/>
      <c r="G6724" s="3301" t="s">
        <v>675</v>
      </c>
      <c r="H6724" s="3063"/>
      <c r="I6724" s="3030"/>
    </row>
    <row r="6725" spans="2:9" ht="25.5">
      <c r="B6725" s="3192" t="s">
        <v>676</v>
      </c>
      <c r="C6725" s="3063"/>
      <c r="D6725" s="3064"/>
      <c r="E6725" s="3064"/>
      <c r="F6725" s="3064"/>
      <c r="G6725" s="3301" t="s">
        <v>676</v>
      </c>
      <c r="H6725" s="3063"/>
      <c r="I6725" s="3030"/>
    </row>
    <row r="6726" spans="2:9">
      <c r="B6726" s="3192" t="s">
        <v>677</v>
      </c>
      <c r="C6726" s="3063"/>
      <c r="D6726" s="3064"/>
      <c r="E6726" s="3064"/>
      <c r="F6726" s="3064"/>
      <c r="G6726" s="3301" t="s">
        <v>677</v>
      </c>
      <c r="H6726" s="3063"/>
      <c r="I6726" s="3030"/>
    </row>
    <row r="6727" spans="2:9">
      <c r="B6727" s="3192" t="s">
        <v>678</v>
      </c>
      <c r="C6727" s="3063"/>
      <c r="D6727" s="3064"/>
      <c r="E6727" s="3064"/>
      <c r="F6727" s="3064"/>
      <c r="G6727" s="3301" t="s">
        <v>678</v>
      </c>
      <c r="H6727" s="3063"/>
      <c r="I6727" s="3030"/>
    </row>
    <row r="6728" spans="2:9">
      <c r="B6728" s="3192" t="s">
        <v>679</v>
      </c>
      <c r="C6728" s="3063"/>
      <c r="D6728" s="3064"/>
      <c r="E6728" s="3064"/>
      <c r="F6728" s="3064"/>
      <c r="G6728" s="3301" t="s">
        <v>679</v>
      </c>
      <c r="H6728" s="3063"/>
      <c r="I6728" s="3030"/>
    </row>
    <row r="6729" spans="2:9" ht="25.5">
      <c r="B6729" s="3192" t="s">
        <v>720</v>
      </c>
      <c r="C6729" s="3063"/>
      <c r="D6729" s="3064"/>
      <c r="E6729" s="3064"/>
      <c r="F6729" s="3064"/>
      <c r="G6729" s="3301" t="s">
        <v>720</v>
      </c>
      <c r="H6729" s="3063"/>
      <c r="I6729" s="3030"/>
    </row>
    <row r="6730" spans="2:9" ht="25.5">
      <c r="B6730" s="3299" t="s">
        <v>66</v>
      </c>
      <c r="C6730" s="3063"/>
      <c r="D6730" s="3064"/>
      <c r="E6730" s="3064"/>
      <c r="F6730" s="3064"/>
      <c r="G6730" s="3300" t="s">
        <v>66</v>
      </c>
      <c r="H6730" s="3063"/>
      <c r="I6730" s="3030"/>
    </row>
    <row r="6731" spans="2:9" ht="25.5">
      <c r="B6731" s="3192" t="s">
        <v>675</v>
      </c>
      <c r="C6731" s="3063"/>
      <c r="D6731" s="3064"/>
      <c r="E6731" s="3064"/>
      <c r="F6731" s="3064"/>
      <c r="G6731" s="3301" t="s">
        <v>675</v>
      </c>
      <c r="H6731" s="3063"/>
      <c r="I6731" s="3030"/>
    </row>
    <row r="6732" spans="2:9" ht="25.5">
      <c r="B6732" s="3192" t="s">
        <v>676</v>
      </c>
      <c r="C6732" s="3063"/>
      <c r="D6732" s="3064"/>
      <c r="E6732" s="3064"/>
      <c r="F6732" s="3064"/>
      <c r="G6732" s="3301" t="s">
        <v>676</v>
      </c>
      <c r="H6732" s="3063"/>
      <c r="I6732" s="3030"/>
    </row>
    <row r="6733" spans="2:9">
      <c r="B6733" s="3192" t="s">
        <v>677</v>
      </c>
      <c r="C6733" s="3063"/>
      <c r="D6733" s="3064"/>
      <c r="E6733" s="3064"/>
      <c r="F6733" s="3064"/>
      <c r="G6733" s="3301" t="s">
        <v>677</v>
      </c>
      <c r="H6733" s="3063"/>
      <c r="I6733" s="3030"/>
    </row>
    <row r="6734" spans="2:9">
      <c r="B6734" s="3192" t="s">
        <v>678</v>
      </c>
      <c r="C6734" s="3063"/>
      <c r="D6734" s="3064"/>
      <c r="E6734" s="3064"/>
      <c r="F6734" s="3064"/>
      <c r="G6734" s="3301" t="s">
        <v>678</v>
      </c>
      <c r="H6734" s="3063"/>
      <c r="I6734" s="3030"/>
    </row>
    <row r="6735" spans="2:9">
      <c r="B6735" s="3192" t="s">
        <v>679</v>
      </c>
      <c r="C6735" s="3063"/>
      <c r="D6735" s="3064"/>
      <c r="E6735" s="3064"/>
      <c r="F6735" s="3064"/>
      <c r="G6735" s="3301" t="s">
        <v>679</v>
      </c>
      <c r="H6735" s="3063"/>
      <c r="I6735" s="3030"/>
    </row>
    <row r="6736" spans="2:9" ht="25.5">
      <c r="B6736" s="3192" t="s">
        <v>720</v>
      </c>
      <c r="C6736" s="3063"/>
      <c r="D6736" s="3064"/>
      <c r="E6736" s="3064"/>
      <c r="F6736" s="3064"/>
      <c r="G6736" s="3301" t="s">
        <v>720</v>
      </c>
      <c r="H6736" s="3063"/>
      <c r="I6736" s="3030"/>
    </row>
    <row r="6737" spans="2:9">
      <c r="B6737" s="3299" t="s">
        <v>67</v>
      </c>
      <c r="C6737" s="3063"/>
      <c r="D6737" s="3064"/>
      <c r="E6737" s="3064"/>
      <c r="F6737" s="3064"/>
      <c r="G6737" s="3300" t="s">
        <v>67</v>
      </c>
      <c r="H6737" s="3063"/>
      <c r="I6737" s="3030"/>
    </row>
    <row r="6738" spans="2:9" ht="25.5">
      <c r="B6738" s="3192" t="s">
        <v>675</v>
      </c>
      <c r="C6738" s="3063"/>
      <c r="D6738" s="3064"/>
      <c r="E6738" s="3064"/>
      <c r="F6738" s="3064"/>
      <c r="G6738" s="3301" t="s">
        <v>675</v>
      </c>
      <c r="H6738" s="3063"/>
      <c r="I6738" s="3030"/>
    </row>
    <row r="6739" spans="2:9" ht="25.5">
      <c r="B6739" s="3192" t="s">
        <v>676</v>
      </c>
      <c r="C6739" s="3063"/>
      <c r="D6739" s="3064"/>
      <c r="E6739" s="3064"/>
      <c r="F6739" s="3064"/>
      <c r="G6739" s="3301" t="s">
        <v>676</v>
      </c>
      <c r="H6739" s="3063"/>
      <c r="I6739" s="3030"/>
    </row>
    <row r="6740" spans="2:9">
      <c r="B6740" s="3192" t="s">
        <v>677</v>
      </c>
      <c r="C6740" s="3063"/>
      <c r="D6740" s="3064"/>
      <c r="E6740" s="3064"/>
      <c r="F6740" s="3064"/>
      <c r="G6740" s="3301" t="s">
        <v>677</v>
      </c>
      <c r="H6740" s="3063"/>
      <c r="I6740" s="3030"/>
    </row>
    <row r="6741" spans="2:9">
      <c r="B6741" s="3192" t="s">
        <v>678</v>
      </c>
      <c r="C6741" s="3063"/>
      <c r="D6741" s="3064"/>
      <c r="E6741" s="3064"/>
      <c r="F6741" s="3064"/>
      <c r="G6741" s="3301" t="s">
        <v>678</v>
      </c>
      <c r="H6741" s="3063"/>
      <c r="I6741" s="3030"/>
    </row>
    <row r="6742" spans="2:9">
      <c r="B6742" s="3192" t="s">
        <v>679</v>
      </c>
      <c r="C6742" s="3063"/>
      <c r="D6742" s="3064"/>
      <c r="E6742" s="3064"/>
      <c r="F6742" s="3064"/>
      <c r="G6742" s="3301" t="s">
        <v>679</v>
      </c>
      <c r="H6742" s="3063"/>
      <c r="I6742" s="3030"/>
    </row>
    <row r="6743" spans="2:9" ht="25.5">
      <c r="B6743" s="3192" t="s">
        <v>720</v>
      </c>
      <c r="C6743" s="3063"/>
      <c r="D6743" s="3064"/>
      <c r="E6743" s="3064"/>
      <c r="F6743" s="3064"/>
      <c r="G6743" s="3301" t="s">
        <v>720</v>
      </c>
      <c r="H6743" s="3063"/>
      <c r="I6743" s="3030"/>
    </row>
    <row r="6744" spans="2:9" ht="25.5">
      <c r="B6744" s="3230" t="s">
        <v>81</v>
      </c>
      <c r="C6744" s="3063"/>
      <c r="D6744" s="3064"/>
      <c r="E6744" s="3064"/>
      <c r="F6744" s="3064"/>
      <c r="G6744" s="3302" t="s">
        <v>81</v>
      </c>
      <c r="H6744" s="3063"/>
      <c r="I6744" s="3030"/>
    </row>
    <row r="6745" spans="2:9" ht="26.25" thickBot="1">
      <c r="B6745" s="3303" t="s">
        <v>81</v>
      </c>
      <c r="C6745" s="3063"/>
      <c r="D6745" s="3064"/>
      <c r="E6745" s="3064"/>
      <c r="F6745" s="3064"/>
      <c r="G6745" s="3302" t="s">
        <v>81</v>
      </c>
      <c r="H6745" s="3063"/>
      <c r="I6745" s="3030"/>
    </row>
    <row r="6746" spans="2:9" ht="25.5">
      <c r="B6746" s="3217" t="s">
        <v>696</v>
      </c>
      <c r="C6746" s="3218"/>
      <c r="D6746" s="3219"/>
      <c r="E6746" s="3219"/>
      <c r="F6746" s="3219"/>
      <c r="G6746" s="3217" t="s">
        <v>696</v>
      </c>
      <c r="H6746" s="3297"/>
      <c r="I6746" s="3298"/>
    </row>
    <row r="6747" spans="2:9">
      <c r="B6747" s="3299" t="s">
        <v>64</v>
      </c>
      <c r="C6747" s="3063"/>
      <c r="D6747" s="3064"/>
      <c r="E6747" s="3064"/>
      <c r="F6747" s="3064"/>
      <c r="G6747" s="3300" t="s">
        <v>64</v>
      </c>
      <c r="H6747" s="3063"/>
      <c r="I6747" s="3030"/>
    </row>
    <row r="6748" spans="2:9" ht="25.5">
      <c r="B6748" s="3192" t="s">
        <v>675</v>
      </c>
      <c r="C6748" s="3063"/>
      <c r="D6748" s="3064"/>
      <c r="E6748" s="3064"/>
      <c r="F6748" s="3064"/>
      <c r="G6748" s="3301" t="s">
        <v>675</v>
      </c>
      <c r="H6748" s="3063"/>
      <c r="I6748" s="3030"/>
    </row>
    <row r="6749" spans="2:9" ht="25.5">
      <c r="B6749" s="3192" t="s">
        <v>676</v>
      </c>
      <c r="C6749" s="3063"/>
      <c r="D6749" s="3064"/>
      <c r="E6749" s="3064"/>
      <c r="F6749" s="3064"/>
      <c r="G6749" s="3301" t="s">
        <v>676</v>
      </c>
      <c r="H6749" s="3063"/>
      <c r="I6749" s="3030"/>
    </row>
    <row r="6750" spans="2:9">
      <c r="B6750" s="3192" t="s">
        <v>677</v>
      </c>
      <c r="C6750" s="3063"/>
      <c r="D6750" s="3064"/>
      <c r="E6750" s="3064"/>
      <c r="F6750" s="3064"/>
      <c r="G6750" s="3301" t="s">
        <v>677</v>
      </c>
      <c r="H6750" s="3063"/>
      <c r="I6750" s="3030"/>
    </row>
    <row r="6751" spans="2:9">
      <c r="B6751" s="3192" t="s">
        <v>678</v>
      </c>
      <c r="C6751" s="3063"/>
      <c r="D6751" s="3064"/>
      <c r="E6751" s="3064"/>
      <c r="F6751" s="3064"/>
      <c r="G6751" s="3301" t="s">
        <v>678</v>
      </c>
      <c r="H6751" s="3063"/>
      <c r="I6751" s="3030"/>
    </row>
    <row r="6752" spans="2:9">
      <c r="B6752" s="3192" t="s">
        <v>679</v>
      </c>
      <c r="C6752" s="3063"/>
      <c r="D6752" s="3064"/>
      <c r="E6752" s="3064"/>
      <c r="F6752" s="3064"/>
      <c r="G6752" s="3301" t="s">
        <v>679</v>
      </c>
      <c r="H6752" s="3063"/>
      <c r="I6752" s="3030"/>
    </row>
    <row r="6753" spans="2:9" ht="25.5">
      <c r="B6753" s="3192" t="s">
        <v>720</v>
      </c>
      <c r="C6753" s="3063"/>
      <c r="D6753" s="3064"/>
      <c r="E6753" s="3064"/>
      <c r="F6753" s="3064"/>
      <c r="G6753" s="3301" t="s">
        <v>720</v>
      </c>
      <c r="H6753" s="3063"/>
      <c r="I6753" s="3030"/>
    </row>
    <row r="6754" spans="2:9">
      <c r="B6754" s="3299" t="s">
        <v>65</v>
      </c>
      <c r="C6754" s="3063"/>
      <c r="D6754" s="3064"/>
      <c r="E6754" s="3064"/>
      <c r="F6754" s="3064"/>
      <c r="G6754" s="3300" t="s">
        <v>65</v>
      </c>
      <c r="H6754" s="3063"/>
      <c r="I6754" s="3030"/>
    </row>
    <row r="6755" spans="2:9" ht="25.5">
      <c r="B6755" s="3192" t="s">
        <v>675</v>
      </c>
      <c r="C6755" s="3063"/>
      <c r="D6755" s="3064"/>
      <c r="E6755" s="3064"/>
      <c r="F6755" s="3064"/>
      <c r="G6755" s="3301" t="s">
        <v>675</v>
      </c>
      <c r="H6755" s="3063"/>
      <c r="I6755" s="3030"/>
    </row>
    <row r="6756" spans="2:9" ht="25.5">
      <c r="B6756" s="3192" t="s">
        <v>676</v>
      </c>
      <c r="C6756" s="3063"/>
      <c r="D6756" s="3064"/>
      <c r="E6756" s="3064"/>
      <c r="F6756" s="3064"/>
      <c r="G6756" s="3301" t="s">
        <v>676</v>
      </c>
      <c r="H6756" s="3063"/>
      <c r="I6756" s="3030"/>
    </row>
    <row r="6757" spans="2:9">
      <c r="B6757" s="3192" t="s">
        <v>677</v>
      </c>
      <c r="C6757" s="3063"/>
      <c r="D6757" s="3064"/>
      <c r="E6757" s="3064"/>
      <c r="F6757" s="3064"/>
      <c r="G6757" s="3301" t="s">
        <v>677</v>
      </c>
      <c r="H6757" s="3063"/>
      <c r="I6757" s="3030"/>
    </row>
    <row r="6758" spans="2:9">
      <c r="B6758" s="3192" t="s">
        <v>678</v>
      </c>
      <c r="C6758" s="3063"/>
      <c r="D6758" s="3064"/>
      <c r="E6758" s="3064"/>
      <c r="F6758" s="3064"/>
      <c r="G6758" s="3301" t="s">
        <v>678</v>
      </c>
      <c r="H6758" s="3063"/>
      <c r="I6758" s="3030"/>
    </row>
    <row r="6759" spans="2:9">
      <c r="B6759" s="3192" t="s">
        <v>679</v>
      </c>
      <c r="C6759" s="3063"/>
      <c r="D6759" s="3064"/>
      <c r="E6759" s="3064"/>
      <c r="F6759" s="3064"/>
      <c r="G6759" s="3301" t="s">
        <v>679</v>
      </c>
      <c r="H6759" s="3063"/>
      <c r="I6759" s="3030"/>
    </row>
    <row r="6760" spans="2:9" ht="25.5">
      <c r="B6760" s="3192" t="s">
        <v>720</v>
      </c>
      <c r="C6760" s="3063"/>
      <c r="D6760" s="3064"/>
      <c r="E6760" s="3064"/>
      <c r="F6760" s="3064"/>
      <c r="G6760" s="3301" t="s">
        <v>720</v>
      </c>
      <c r="H6760" s="3063"/>
      <c r="I6760" s="3030"/>
    </row>
    <row r="6761" spans="2:9">
      <c r="B6761" s="3299" t="s">
        <v>82</v>
      </c>
      <c r="C6761" s="3063"/>
      <c r="D6761" s="3064"/>
      <c r="E6761" s="3064"/>
      <c r="F6761" s="3064"/>
      <c r="G6761" s="3300" t="s">
        <v>82</v>
      </c>
      <c r="H6761" s="3063"/>
      <c r="I6761" s="3030"/>
    </row>
    <row r="6762" spans="2:9" ht="25.5">
      <c r="B6762" s="3192" t="s">
        <v>675</v>
      </c>
      <c r="C6762" s="3063"/>
      <c r="D6762" s="3064"/>
      <c r="E6762" s="3064"/>
      <c r="F6762" s="3064"/>
      <c r="G6762" s="3301" t="s">
        <v>675</v>
      </c>
      <c r="H6762" s="3063"/>
      <c r="I6762" s="3030"/>
    </row>
    <row r="6763" spans="2:9" ht="25.5">
      <c r="B6763" s="3192" t="s">
        <v>676</v>
      </c>
      <c r="C6763" s="3063"/>
      <c r="D6763" s="3064"/>
      <c r="E6763" s="3064"/>
      <c r="F6763" s="3064"/>
      <c r="G6763" s="3301" t="s">
        <v>676</v>
      </c>
      <c r="H6763" s="3063"/>
      <c r="I6763" s="3030"/>
    </row>
    <row r="6764" spans="2:9">
      <c r="B6764" s="3192" t="s">
        <v>677</v>
      </c>
      <c r="C6764" s="3063"/>
      <c r="D6764" s="3064"/>
      <c r="E6764" s="3064"/>
      <c r="F6764" s="3064"/>
      <c r="G6764" s="3301" t="s">
        <v>677</v>
      </c>
      <c r="H6764" s="3063"/>
      <c r="I6764" s="3030"/>
    </row>
    <row r="6765" spans="2:9">
      <c r="B6765" s="3192" t="s">
        <v>678</v>
      </c>
      <c r="C6765" s="3063"/>
      <c r="D6765" s="3064"/>
      <c r="E6765" s="3064"/>
      <c r="F6765" s="3064"/>
      <c r="G6765" s="3301" t="s">
        <v>678</v>
      </c>
      <c r="H6765" s="3063"/>
      <c r="I6765" s="3030"/>
    </row>
    <row r="6766" spans="2:9">
      <c r="B6766" s="3192" t="s">
        <v>679</v>
      </c>
      <c r="C6766" s="3063"/>
      <c r="D6766" s="3064"/>
      <c r="E6766" s="3064"/>
      <c r="F6766" s="3064"/>
      <c r="G6766" s="3301" t="s">
        <v>679</v>
      </c>
      <c r="H6766" s="3063"/>
      <c r="I6766" s="3030"/>
    </row>
    <row r="6767" spans="2:9" ht="25.5">
      <c r="B6767" s="3192" t="s">
        <v>720</v>
      </c>
      <c r="C6767" s="3063"/>
      <c r="D6767" s="3064"/>
      <c r="E6767" s="3064"/>
      <c r="F6767" s="3064"/>
      <c r="G6767" s="3301" t="s">
        <v>720</v>
      </c>
      <c r="H6767" s="3063"/>
      <c r="I6767" s="3030"/>
    </row>
    <row r="6768" spans="2:9" ht="38.25">
      <c r="B6768" s="3299" t="s">
        <v>680</v>
      </c>
      <c r="C6768" s="3063"/>
      <c r="D6768" s="3064"/>
      <c r="E6768" s="3064"/>
      <c r="F6768" s="3064"/>
      <c r="G6768" s="3300" t="s">
        <v>680</v>
      </c>
      <c r="H6768" s="3063"/>
      <c r="I6768" s="3030"/>
    </row>
    <row r="6769" spans="2:9" ht="25.5">
      <c r="B6769" s="3192" t="s">
        <v>675</v>
      </c>
      <c r="C6769" s="3063"/>
      <c r="D6769" s="3064"/>
      <c r="E6769" s="3064"/>
      <c r="F6769" s="3064"/>
      <c r="G6769" s="3301" t="s">
        <v>675</v>
      </c>
      <c r="H6769" s="3063"/>
      <c r="I6769" s="3030"/>
    </row>
    <row r="6770" spans="2:9" ht="25.5">
      <c r="B6770" s="3192" t="s">
        <v>676</v>
      </c>
      <c r="C6770" s="3063"/>
      <c r="D6770" s="3064"/>
      <c r="E6770" s="3064"/>
      <c r="F6770" s="3064"/>
      <c r="G6770" s="3301" t="s">
        <v>676</v>
      </c>
      <c r="H6770" s="3063"/>
      <c r="I6770" s="3030"/>
    </row>
    <row r="6771" spans="2:9">
      <c r="B6771" s="3192" t="s">
        <v>677</v>
      </c>
      <c r="C6771" s="3063"/>
      <c r="D6771" s="3064"/>
      <c r="E6771" s="3064"/>
      <c r="F6771" s="3064"/>
      <c r="G6771" s="3301" t="s">
        <v>677</v>
      </c>
      <c r="H6771" s="3063"/>
      <c r="I6771" s="3030"/>
    </row>
    <row r="6772" spans="2:9">
      <c r="B6772" s="3192" t="s">
        <v>678</v>
      </c>
      <c r="C6772" s="3063"/>
      <c r="D6772" s="3064"/>
      <c r="E6772" s="3064"/>
      <c r="F6772" s="3064"/>
      <c r="G6772" s="3301" t="s">
        <v>678</v>
      </c>
      <c r="H6772" s="3063"/>
      <c r="I6772" s="3030"/>
    </row>
    <row r="6773" spans="2:9">
      <c r="B6773" s="3192" t="s">
        <v>679</v>
      </c>
      <c r="C6773" s="3063"/>
      <c r="D6773" s="3064"/>
      <c r="E6773" s="3064"/>
      <c r="F6773" s="3064"/>
      <c r="G6773" s="3301" t="s">
        <v>679</v>
      </c>
      <c r="H6773" s="3063"/>
      <c r="I6773" s="3030"/>
    </row>
    <row r="6774" spans="2:9" ht="25.5">
      <c r="B6774" s="3192" t="s">
        <v>720</v>
      </c>
      <c r="C6774" s="3063"/>
      <c r="D6774" s="3064"/>
      <c r="E6774" s="3064"/>
      <c r="F6774" s="3064"/>
      <c r="G6774" s="3301" t="s">
        <v>720</v>
      </c>
      <c r="H6774" s="3063"/>
      <c r="I6774" s="3030"/>
    </row>
    <row r="6775" spans="2:9" ht="38.25">
      <c r="B6775" s="3299" t="s">
        <v>681</v>
      </c>
      <c r="C6775" s="3063"/>
      <c r="D6775" s="3064"/>
      <c r="E6775" s="3064"/>
      <c r="F6775" s="3064"/>
      <c r="G6775" s="3300" t="s">
        <v>681</v>
      </c>
      <c r="H6775" s="3063"/>
      <c r="I6775" s="3030"/>
    </row>
    <row r="6776" spans="2:9" ht="25.5">
      <c r="B6776" s="3192" t="s">
        <v>675</v>
      </c>
      <c r="C6776" s="3063"/>
      <c r="D6776" s="3064"/>
      <c r="E6776" s="3064"/>
      <c r="F6776" s="3064"/>
      <c r="G6776" s="3301" t="s">
        <v>675</v>
      </c>
      <c r="H6776" s="3063"/>
      <c r="I6776" s="3030"/>
    </row>
    <row r="6777" spans="2:9" ht="25.5">
      <c r="B6777" s="3192" t="s">
        <v>676</v>
      </c>
      <c r="C6777" s="3063"/>
      <c r="D6777" s="3064"/>
      <c r="E6777" s="3064"/>
      <c r="F6777" s="3064"/>
      <c r="G6777" s="3301" t="s">
        <v>676</v>
      </c>
      <c r="H6777" s="3063"/>
      <c r="I6777" s="3030"/>
    </row>
    <row r="6778" spans="2:9">
      <c r="B6778" s="3192" t="s">
        <v>677</v>
      </c>
      <c r="C6778" s="3063"/>
      <c r="D6778" s="3064"/>
      <c r="E6778" s="3064"/>
      <c r="F6778" s="3064"/>
      <c r="G6778" s="3301" t="s">
        <v>677</v>
      </c>
      <c r="H6778" s="3063"/>
      <c r="I6778" s="3030"/>
    </row>
    <row r="6779" spans="2:9">
      <c r="B6779" s="3192" t="s">
        <v>678</v>
      </c>
      <c r="C6779" s="3063"/>
      <c r="D6779" s="3064"/>
      <c r="E6779" s="3064"/>
      <c r="F6779" s="3064"/>
      <c r="G6779" s="3301" t="s">
        <v>678</v>
      </c>
      <c r="H6779" s="3063"/>
      <c r="I6779" s="3030"/>
    </row>
    <row r="6780" spans="2:9">
      <c r="B6780" s="3192" t="s">
        <v>679</v>
      </c>
      <c r="C6780" s="3063"/>
      <c r="D6780" s="3064"/>
      <c r="E6780" s="3064"/>
      <c r="F6780" s="3064"/>
      <c r="G6780" s="3301" t="s">
        <v>679</v>
      </c>
      <c r="H6780" s="3063"/>
      <c r="I6780" s="3030"/>
    </row>
    <row r="6781" spans="2:9" ht="25.5">
      <c r="B6781" s="3192" t="s">
        <v>720</v>
      </c>
      <c r="C6781" s="3063"/>
      <c r="D6781" s="3064"/>
      <c r="E6781" s="3064"/>
      <c r="F6781" s="3064"/>
      <c r="G6781" s="3301" t="s">
        <v>720</v>
      </c>
      <c r="H6781" s="3063"/>
      <c r="I6781" s="3030"/>
    </row>
    <row r="6782" spans="2:9" ht="25.5">
      <c r="B6782" s="3299" t="s">
        <v>682</v>
      </c>
      <c r="C6782" s="3063"/>
      <c r="D6782" s="3064"/>
      <c r="E6782" s="3064"/>
      <c r="F6782" s="3064"/>
      <c r="G6782" s="3300" t="s">
        <v>682</v>
      </c>
      <c r="H6782" s="3063"/>
      <c r="I6782" s="3030"/>
    </row>
    <row r="6783" spans="2:9" ht="25.5">
      <c r="B6783" s="3192" t="s">
        <v>675</v>
      </c>
      <c r="C6783" s="3063"/>
      <c r="D6783" s="3064"/>
      <c r="E6783" s="3064"/>
      <c r="F6783" s="3064"/>
      <c r="G6783" s="3301" t="s">
        <v>675</v>
      </c>
      <c r="H6783" s="3063"/>
      <c r="I6783" s="3030"/>
    </row>
    <row r="6784" spans="2:9" ht="25.5">
      <c r="B6784" s="3192" t="s">
        <v>676</v>
      </c>
      <c r="C6784" s="3063"/>
      <c r="D6784" s="3064"/>
      <c r="E6784" s="3064"/>
      <c r="F6784" s="3064"/>
      <c r="G6784" s="3301" t="s">
        <v>676</v>
      </c>
      <c r="H6784" s="3063"/>
      <c r="I6784" s="3030"/>
    </row>
    <row r="6785" spans="2:9">
      <c r="B6785" s="3192" t="s">
        <v>677</v>
      </c>
      <c r="C6785" s="3063"/>
      <c r="D6785" s="3064"/>
      <c r="E6785" s="3064"/>
      <c r="F6785" s="3064"/>
      <c r="G6785" s="3301" t="s">
        <v>677</v>
      </c>
      <c r="H6785" s="3063"/>
      <c r="I6785" s="3030"/>
    </row>
    <row r="6786" spans="2:9">
      <c r="B6786" s="3192" t="s">
        <v>678</v>
      </c>
      <c r="C6786" s="3063"/>
      <c r="D6786" s="3064"/>
      <c r="E6786" s="3064"/>
      <c r="F6786" s="3064"/>
      <c r="G6786" s="3301" t="s">
        <v>678</v>
      </c>
      <c r="H6786" s="3063"/>
      <c r="I6786" s="3030"/>
    </row>
    <row r="6787" spans="2:9">
      <c r="B6787" s="3192" t="s">
        <v>679</v>
      </c>
      <c r="C6787" s="3063"/>
      <c r="D6787" s="3064"/>
      <c r="E6787" s="3064"/>
      <c r="F6787" s="3064"/>
      <c r="G6787" s="3301" t="s">
        <v>679</v>
      </c>
      <c r="H6787" s="3063"/>
      <c r="I6787" s="3030"/>
    </row>
    <row r="6788" spans="2:9" ht="25.5">
      <c r="B6788" s="3192" t="s">
        <v>720</v>
      </c>
      <c r="C6788" s="3063"/>
      <c r="D6788" s="3064"/>
      <c r="E6788" s="3064"/>
      <c r="F6788" s="3064"/>
      <c r="G6788" s="3301" t="s">
        <v>720</v>
      </c>
      <c r="H6788" s="3063"/>
      <c r="I6788" s="3030"/>
    </row>
    <row r="6789" spans="2:9" ht="25.5">
      <c r="B6789" s="3299" t="s">
        <v>66</v>
      </c>
      <c r="C6789" s="3063"/>
      <c r="D6789" s="3064"/>
      <c r="E6789" s="3064"/>
      <c r="F6789" s="3064"/>
      <c r="G6789" s="3300" t="s">
        <v>66</v>
      </c>
      <c r="H6789" s="3063"/>
      <c r="I6789" s="3030"/>
    </row>
    <row r="6790" spans="2:9" ht="25.5">
      <c r="B6790" s="3192" t="s">
        <v>675</v>
      </c>
      <c r="C6790" s="3063"/>
      <c r="D6790" s="3064"/>
      <c r="E6790" s="3064"/>
      <c r="F6790" s="3064"/>
      <c r="G6790" s="3301" t="s">
        <v>675</v>
      </c>
      <c r="H6790" s="3063"/>
      <c r="I6790" s="3030"/>
    </row>
    <row r="6791" spans="2:9" ht="25.5">
      <c r="B6791" s="3192" t="s">
        <v>676</v>
      </c>
      <c r="C6791" s="3063"/>
      <c r="D6791" s="3064"/>
      <c r="E6791" s="3064"/>
      <c r="F6791" s="3064"/>
      <c r="G6791" s="3301" t="s">
        <v>676</v>
      </c>
      <c r="H6791" s="3063"/>
      <c r="I6791" s="3030"/>
    </row>
    <row r="6792" spans="2:9">
      <c r="B6792" s="3192" t="s">
        <v>677</v>
      </c>
      <c r="C6792" s="3063"/>
      <c r="D6792" s="3064"/>
      <c r="E6792" s="3064"/>
      <c r="F6792" s="3064"/>
      <c r="G6792" s="3301" t="s">
        <v>677</v>
      </c>
      <c r="H6792" s="3063"/>
      <c r="I6792" s="3030"/>
    </row>
    <row r="6793" spans="2:9">
      <c r="B6793" s="3192" t="s">
        <v>678</v>
      </c>
      <c r="C6793" s="3063"/>
      <c r="D6793" s="3064"/>
      <c r="E6793" s="3064"/>
      <c r="F6793" s="3064"/>
      <c r="G6793" s="3301" t="s">
        <v>678</v>
      </c>
      <c r="H6793" s="3063"/>
      <c r="I6793" s="3030"/>
    </row>
    <row r="6794" spans="2:9">
      <c r="B6794" s="3192" t="s">
        <v>679</v>
      </c>
      <c r="C6794" s="3063"/>
      <c r="D6794" s="3064"/>
      <c r="E6794" s="3064"/>
      <c r="F6794" s="3064"/>
      <c r="G6794" s="3301" t="s">
        <v>679</v>
      </c>
      <c r="H6794" s="3063"/>
      <c r="I6794" s="3030"/>
    </row>
    <row r="6795" spans="2:9" ht="25.5">
      <c r="B6795" s="3192" t="s">
        <v>720</v>
      </c>
      <c r="C6795" s="3063"/>
      <c r="D6795" s="3064"/>
      <c r="E6795" s="3064"/>
      <c r="F6795" s="3064"/>
      <c r="G6795" s="3301" t="s">
        <v>720</v>
      </c>
      <c r="H6795" s="3063"/>
      <c r="I6795" s="3030"/>
    </row>
    <row r="6796" spans="2:9">
      <c r="B6796" s="3299" t="s">
        <v>67</v>
      </c>
      <c r="C6796" s="3063"/>
      <c r="D6796" s="3064"/>
      <c r="E6796" s="3064"/>
      <c r="F6796" s="3064"/>
      <c r="G6796" s="3300" t="s">
        <v>67</v>
      </c>
      <c r="H6796" s="3063"/>
      <c r="I6796" s="3030"/>
    </row>
    <row r="6797" spans="2:9" ht="25.5">
      <c r="B6797" s="3192" t="s">
        <v>675</v>
      </c>
      <c r="C6797" s="3063"/>
      <c r="D6797" s="3064"/>
      <c r="E6797" s="3064"/>
      <c r="F6797" s="3064"/>
      <c r="G6797" s="3301" t="s">
        <v>675</v>
      </c>
      <c r="H6797" s="3063"/>
      <c r="I6797" s="3030"/>
    </row>
    <row r="6798" spans="2:9" ht="25.5">
      <c r="B6798" s="3192" t="s">
        <v>676</v>
      </c>
      <c r="C6798" s="3063"/>
      <c r="D6798" s="3064"/>
      <c r="E6798" s="3064"/>
      <c r="F6798" s="3064"/>
      <c r="G6798" s="3301" t="s">
        <v>676</v>
      </c>
      <c r="H6798" s="3063"/>
      <c r="I6798" s="3030"/>
    </row>
    <row r="6799" spans="2:9">
      <c r="B6799" s="3192" t="s">
        <v>677</v>
      </c>
      <c r="C6799" s="3063"/>
      <c r="D6799" s="3064"/>
      <c r="E6799" s="3064"/>
      <c r="F6799" s="3064"/>
      <c r="G6799" s="3301" t="s">
        <v>677</v>
      </c>
      <c r="H6799" s="3063"/>
      <c r="I6799" s="3030"/>
    </row>
    <row r="6800" spans="2:9">
      <c r="B6800" s="3192" t="s">
        <v>678</v>
      </c>
      <c r="C6800" s="3063"/>
      <c r="D6800" s="3064"/>
      <c r="E6800" s="3064"/>
      <c r="F6800" s="3064"/>
      <c r="G6800" s="3301" t="s">
        <v>678</v>
      </c>
      <c r="H6800" s="3063"/>
      <c r="I6800" s="3030"/>
    </row>
    <row r="6801" spans="2:9">
      <c r="B6801" s="3192" t="s">
        <v>679</v>
      </c>
      <c r="C6801" s="3063"/>
      <c r="D6801" s="3064"/>
      <c r="E6801" s="3064"/>
      <c r="F6801" s="3064"/>
      <c r="G6801" s="3301" t="s">
        <v>679</v>
      </c>
      <c r="H6801" s="3063"/>
      <c r="I6801" s="3030"/>
    </row>
    <row r="6802" spans="2:9" ht="25.5">
      <c r="B6802" s="3230" t="s">
        <v>81</v>
      </c>
      <c r="C6802" s="3063"/>
      <c r="D6802" s="3064"/>
      <c r="E6802" s="3064"/>
      <c r="F6802" s="3064"/>
      <c r="G6802" s="3302" t="s">
        <v>81</v>
      </c>
      <c r="H6802" s="3063"/>
      <c r="I6802" s="3030"/>
    </row>
    <row r="6803" spans="2:9" ht="26.25" thickBot="1">
      <c r="B6803" s="3303" t="s">
        <v>81</v>
      </c>
      <c r="C6803" s="3063"/>
      <c r="D6803" s="3064"/>
      <c r="E6803" s="3064"/>
      <c r="F6803" s="3064"/>
      <c r="G6803" s="3302" t="s">
        <v>81</v>
      </c>
      <c r="H6803" s="3063"/>
      <c r="I6803" s="3030"/>
    </row>
    <row r="6804" spans="2:9">
      <c r="B6804" s="3217" t="s">
        <v>697</v>
      </c>
      <c r="C6804" s="3218"/>
      <c r="D6804" s="3219"/>
      <c r="E6804" s="3219"/>
      <c r="F6804" s="3219"/>
      <c r="G6804" s="3217" t="s">
        <v>697</v>
      </c>
      <c r="H6804" s="3297"/>
      <c r="I6804" s="3298"/>
    </row>
    <row r="6805" spans="2:9">
      <c r="B6805" s="3299" t="s">
        <v>64</v>
      </c>
      <c r="C6805" s="3063"/>
      <c r="D6805" s="3064"/>
      <c r="E6805" s="3064"/>
      <c r="F6805" s="3064"/>
      <c r="G6805" s="3300" t="s">
        <v>64</v>
      </c>
      <c r="H6805" s="3063"/>
      <c r="I6805" s="3030"/>
    </row>
    <row r="6806" spans="2:9" ht="25.5">
      <c r="B6806" s="3192" t="s">
        <v>675</v>
      </c>
      <c r="C6806" s="3063"/>
      <c r="D6806" s="3064"/>
      <c r="E6806" s="3064"/>
      <c r="F6806" s="3064"/>
      <c r="G6806" s="3301" t="s">
        <v>675</v>
      </c>
      <c r="H6806" s="3063"/>
      <c r="I6806" s="3030"/>
    </row>
    <row r="6807" spans="2:9" ht="25.5">
      <c r="B6807" s="3192" t="s">
        <v>676</v>
      </c>
      <c r="C6807" s="3063"/>
      <c r="D6807" s="3064"/>
      <c r="E6807" s="3064"/>
      <c r="F6807" s="3064"/>
      <c r="G6807" s="3301" t="s">
        <v>676</v>
      </c>
      <c r="H6807" s="3063"/>
      <c r="I6807" s="3030"/>
    </row>
    <row r="6808" spans="2:9">
      <c r="B6808" s="3192" t="s">
        <v>677</v>
      </c>
      <c r="C6808" s="3063"/>
      <c r="D6808" s="3064"/>
      <c r="E6808" s="3064"/>
      <c r="F6808" s="3064"/>
      <c r="G6808" s="3301" t="s">
        <v>677</v>
      </c>
      <c r="H6808" s="3063"/>
      <c r="I6808" s="3030"/>
    </row>
    <row r="6809" spans="2:9">
      <c r="B6809" s="3192" t="s">
        <v>678</v>
      </c>
      <c r="C6809" s="3063"/>
      <c r="D6809" s="3064"/>
      <c r="E6809" s="3064"/>
      <c r="F6809" s="3064"/>
      <c r="G6809" s="3301" t="s">
        <v>678</v>
      </c>
      <c r="H6809" s="3063"/>
      <c r="I6809" s="3030"/>
    </row>
    <row r="6810" spans="2:9">
      <c r="B6810" s="3192" t="s">
        <v>679</v>
      </c>
      <c r="C6810" s="3063"/>
      <c r="D6810" s="3064"/>
      <c r="E6810" s="3064"/>
      <c r="F6810" s="3064"/>
      <c r="G6810" s="3301" t="s">
        <v>679</v>
      </c>
      <c r="H6810" s="3063"/>
      <c r="I6810" s="3030"/>
    </row>
    <row r="6811" spans="2:9" ht="25.5">
      <c r="B6811" s="3192" t="s">
        <v>720</v>
      </c>
      <c r="C6811" s="3063"/>
      <c r="D6811" s="3064"/>
      <c r="E6811" s="3064"/>
      <c r="F6811" s="3064"/>
      <c r="G6811" s="3301" t="s">
        <v>720</v>
      </c>
      <c r="H6811" s="3063"/>
      <c r="I6811" s="3030"/>
    </row>
    <row r="6812" spans="2:9">
      <c r="B6812" s="3299" t="s">
        <v>65</v>
      </c>
      <c r="C6812" s="3063"/>
      <c r="D6812" s="3064"/>
      <c r="E6812" s="3064"/>
      <c r="F6812" s="3064"/>
      <c r="G6812" s="3300" t="s">
        <v>65</v>
      </c>
      <c r="H6812" s="3063"/>
      <c r="I6812" s="3030"/>
    </row>
    <row r="6813" spans="2:9" ht="25.5">
      <c r="B6813" s="3192" t="s">
        <v>675</v>
      </c>
      <c r="C6813" s="3063"/>
      <c r="D6813" s="3064"/>
      <c r="E6813" s="3064"/>
      <c r="F6813" s="3064"/>
      <c r="G6813" s="3301" t="s">
        <v>675</v>
      </c>
      <c r="H6813" s="3063"/>
      <c r="I6813" s="3030"/>
    </row>
    <row r="6814" spans="2:9" ht="25.5">
      <c r="B6814" s="3192" t="s">
        <v>676</v>
      </c>
      <c r="C6814" s="3063"/>
      <c r="D6814" s="3064"/>
      <c r="E6814" s="3064"/>
      <c r="F6814" s="3064"/>
      <c r="G6814" s="3301" t="s">
        <v>676</v>
      </c>
      <c r="H6814" s="3063"/>
      <c r="I6814" s="3030"/>
    </row>
    <row r="6815" spans="2:9">
      <c r="B6815" s="3192" t="s">
        <v>677</v>
      </c>
      <c r="C6815" s="3063"/>
      <c r="D6815" s="3064"/>
      <c r="E6815" s="3064"/>
      <c r="F6815" s="3064"/>
      <c r="G6815" s="3301" t="s">
        <v>677</v>
      </c>
      <c r="H6815" s="3063"/>
      <c r="I6815" s="3030"/>
    </row>
    <row r="6816" spans="2:9">
      <c r="B6816" s="3192" t="s">
        <v>678</v>
      </c>
      <c r="C6816" s="3063"/>
      <c r="D6816" s="3064"/>
      <c r="E6816" s="3064"/>
      <c r="F6816" s="3064"/>
      <c r="G6816" s="3301" t="s">
        <v>678</v>
      </c>
      <c r="H6816" s="3063"/>
      <c r="I6816" s="3030"/>
    </row>
    <row r="6817" spans="2:9">
      <c r="B6817" s="3192" t="s">
        <v>679</v>
      </c>
      <c r="C6817" s="3063"/>
      <c r="D6817" s="3064"/>
      <c r="E6817" s="3064"/>
      <c r="F6817" s="3064"/>
      <c r="G6817" s="3301" t="s">
        <v>679</v>
      </c>
      <c r="H6817" s="3063"/>
      <c r="I6817" s="3030"/>
    </row>
    <row r="6818" spans="2:9" ht="25.5">
      <c r="B6818" s="3192" t="s">
        <v>720</v>
      </c>
      <c r="C6818" s="3063"/>
      <c r="D6818" s="3064"/>
      <c r="E6818" s="3064"/>
      <c r="F6818" s="3064"/>
      <c r="G6818" s="3301" t="s">
        <v>720</v>
      </c>
      <c r="H6818" s="3063"/>
      <c r="I6818" s="3030"/>
    </row>
    <row r="6819" spans="2:9">
      <c r="B6819" s="3299" t="s">
        <v>82</v>
      </c>
      <c r="C6819" s="3063"/>
      <c r="D6819" s="3064"/>
      <c r="E6819" s="3064"/>
      <c r="F6819" s="3064"/>
      <c r="G6819" s="3300" t="s">
        <v>82</v>
      </c>
      <c r="H6819" s="3063"/>
      <c r="I6819" s="3030"/>
    </row>
    <row r="6820" spans="2:9" ht="25.5">
      <c r="B6820" s="3192" t="s">
        <v>675</v>
      </c>
      <c r="C6820" s="3063"/>
      <c r="D6820" s="3064"/>
      <c r="E6820" s="3064"/>
      <c r="F6820" s="3064"/>
      <c r="G6820" s="3301" t="s">
        <v>675</v>
      </c>
      <c r="H6820" s="3063"/>
      <c r="I6820" s="3030"/>
    </row>
    <row r="6821" spans="2:9" ht="25.5">
      <c r="B6821" s="3192" t="s">
        <v>676</v>
      </c>
      <c r="C6821" s="3063"/>
      <c r="D6821" s="3064"/>
      <c r="E6821" s="3064"/>
      <c r="F6821" s="3064"/>
      <c r="G6821" s="3301" t="s">
        <v>676</v>
      </c>
      <c r="H6821" s="3063"/>
      <c r="I6821" s="3030"/>
    </row>
    <row r="6822" spans="2:9">
      <c r="B6822" s="3192" t="s">
        <v>677</v>
      </c>
      <c r="C6822" s="3063"/>
      <c r="D6822" s="3064"/>
      <c r="E6822" s="3064"/>
      <c r="F6822" s="3064"/>
      <c r="G6822" s="3301" t="s">
        <v>677</v>
      </c>
      <c r="H6822" s="3063"/>
      <c r="I6822" s="3030"/>
    </row>
    <row r="6823" spans="2:9">
      <c r="B6823" s="3192" t="s">
        <v>678</v>
      </c>
      <c r="C6823" s="3063"/>
      <c r="D6823" s="3064"/>
      <c r="E6823" s="3064"/>
      <c r="F6823" s="3064"/>
      <c r="G6823" s="3301" t="s">
        <v>678</v>
      </c>
      <c r="H6823" s="3063"/>
      <c r="I6823" s="3030"/>
    </row>
    <row r="6824" spans="2:9">
      <c r="B6824" s="3192" t="s">
        <v>679</v>
      </c>
      <c r="C6824" s="3063"/>
      <c r="D6824" s="3064"/>
      <c r="E6824" s="3064"/>
      <c r="F6824" s="3064"/>
      <c r="G6824" s="3301" t="s">
        <v>679</v>
      </c>
      <c r="H6824" s="3063"/>
      <c r="I6824" s="3030"/>
    </row>
    <row r="6825" spans="2:9" ht="25.5">
      <c r="B6825" s="3192" t="s">
        <v>720</v>
      </c>
      <c r="C6825" s="3063"/>
      <c r="D6825" s="3064"/>
      <c r="E6825" s="3064"/>
      <c r="F6825" s="3064"/>
      <c r="G6825" s="3301" t="s">
        <v>720</v>
      </c>
      <c r="H6825" s="3063"/>
      <c r="I6825" s="3030"/>
    </row>
    <row r="6826" spans="2:9" ht="38.25">
      <c r="B6826" s="3299" t="s">
        <v>680</v>
      </c>
      <c r="C6826" s="3063"/>
      <c r="D6826" s="3064"/>
      <c r="E6826" s="3064"/>
      <c r="F6826" s="3064"/>
      <c r="G6826" s="3300" t="s">
        <v>680</v>
      </c>
      <c r="H6826" s="3063"/>
      <c r="I6826" s="3030"/>
    </row>
    <row r="6827" spans="2:9" ht="25.5">
      <c r="B6827" s="3192" t="s">
        <v>675</v>
      </c>
      <c r="C6827" s="3063"/>
      <c r="D6827" s="3064"/>
      <c r="E6827" s="3064"/>
      <c r="F6827" s="3064"/>
      <c r="G6827" s="3301" t="s">
        <v>675</v>
      </c>
      <c r="H6827" s="3063"/>
      <c r="I6827" s="3030"/>
    </row>
    <row r="6828" spans="2:9" ht="25.5">
      <c r="B6828" s="3192" t="s">
        <v>676</v>
      </c>
      <c r="C6828" s="3063"/>
      <c r="D6828" s="3064"/>
      <c r="E6828" s="3064"/>
      <c r="F6828" s="3064"/>
      <c r="G6828" s="3301" t="s">
        <v>676</v>
      </c>
      <c r="H6828" s="3063"/>
      <c r="I6828" s="3030"/>
    </row>
    <row r="6829" spans="2:9">
      <c r="B6829" s="3192" t="s">
        <v>677</v>
      </c>
      <c r="C6829" s="3063"/>
      <c r="D6829" s="3064"/>
      <c r="E6829" s="3064"/>
      <c r="F6829" s="3064"/>
      <c r="G6829" s="3301" t="s">
        <v>677</v>
      </c>
      <c r="H6829" s="3063"/>
      <c r="I6829" s="3030"/>
    </row>
    <row r="6830" spans="2:9">
      <c r="B6830" s="3192" t="s">
        <v>678</v>
      </c>
      <c r="C6830" s="3063"/>
      <c r="D6830" s="3064"/>
      <c r="E6830" s="3064"/>
      <c r="F6830" s="3064"/>
      <c r="G6830" s="3301" t="s">
        <v>678</v>
      </c>
      <c r="H6830" s="3063"/>
      <c r="I6830" s="3030"/>
    </row>
    <row r="6831" spans="2:9">
      <c r="B6831" s="3192" t="s">
        <v>679</v>
      </c>
      <c r="C6831" s="3063"/>
      <c r="D6831" s="3064"/>
      <c r="E6831" s="3064"/>
      <c r="F6831" s="3064"/>
      <c r="G6831" s="3301" t="s">
        <v>679</v>
      </c>
      <c r="H6831" s="3063"/>
      <c r="I6831" s="3030"/>
    </row>
    <row r="6832" spans="2:9" ht="25.5">
      <c r="B6832" s="3192" t="s">
        <v>720</v>
      </c>
      <c r="C6832" s="3063"/>
      <c r="D6832" s="3064"/>
      <c r="E6832" s="3064"/>
      <c r="F6832" s="3064"/>
      <c r="G6832" s="3301" t="s">
        <v>720</v>
      </c>
      <c r="H6832" s="3063"/>
      <c r="I6832" s="3030"/>
    </row>
    <row r="6833" spans="2:9" ht="38.25">
      <c r="B6833" s="3299" t="s">
        <v>681</v>
      </c>
      <c r="C6833" s="3063"/>
      <c r="D6833" s="3064"/>
      <c r="E6833" s="3064"/>
      <c r="F6833" s="3064">
        <v>4</v>
      </c>
      <c r="G6833" s="3300" t="s">
        <v>681</v>
      </c>
      <c r="H6833" s="3063">
        <v>2.7229111187352665E-2</v>
      </c>
      <c r="I6833" s="3030"/>
    </row>
    <row r="6834" spans="2:9" ht="25.5">
      <c r="B6834" s="3192" t="s">
        <v>675</v>
      </c>
      <c r="C6834" s="3063">
        <v>1</v>
      </c>
      <c r="D6834" s="3064">
        <v>2</v>
      </c>
      <c r="E6834" s="3064"/>
      <c r="F6834" s="3064"/>
      <c r="G6834" s="3301" t="s">
        <v>675</v>
      </c>
      <c r="H6834" s="3063"/>
      <c r="I6834" s="3030">
        <v>2.4506200068617395E-2</v>
      </c>
    </row>
    <row r="6835" spans="2:9" ht="25.5">
      <c r="B6835" s="3192" t="s">
        <v>676</v>
      </c>
      <c r="C6835" s="3063"/>
      <c r="D6835" s="3064"/>
      <c r="E6835" s="3064"/>
      <c r="F6835" s="3064"/>
      <c r="G6835" s="3301" t="s">
        <v>676</v>
      </c>
      <c r="H6835" s="3063"/>
      <c r="I6835" s="3030"/>
    </row>
    <row r="6836" spans="2:9">
      <c r="B6836" s="3192" t="s">
        <v>677</v>
      </c>
      <c r="C6836" s="3063"/>
      <c r="D6836" s="3064"/>
      <c r="E6836" s="3064"/>
      <c r="F6836" s="3064"/>
      <c r="G6836" s="3301" t="s">
        <v>677</v>
      </c>
      <c r="H6836" s="3063"/>
      <c r="I6836" s="3030"/>
    </row>
    <row r="6837" spans="2:9">
      <c r="B6837" s="3192" t="s">
        <v>678</v>
      </c>
      <c r="C6837" s="3063">
        <v>1</v>
      </c>
      <c r="D6837" s="3064">
        <v>1</v>
      </c>
      <c r="E6837" s="3064"/>
      <c r="F6837" s="3064"/>
      <c r="G6837" s="3301" t="s">
        <v>678</v>
      </c>
      <c r="H6837" s="3063"/>
      <c r="I6837" s="3030"/>
    </row>
    <row r="6838" spans="2:9">
      <c r="B6838" s="3192" t="s">
        <v>679</v>
      </c>
      <c r="C6838" s="3063"/>
      <c r="D6838" s="3064">
        <v>1</v>
      </c>
      <c r="E6838" s="3064"/>
      <c r="F6838" s="3064"/>
      <c r="G6838" s="3301" t="s">
        <v>679</v>
      </c>
      <c r="H6838" s="3063"/>
      <c r="I6838" s="3030"/>
    </row>
    <row r="6839" spans="2:9" ht="25.5">
      <c r="B6839" s="3192" t="s">
        <v>720</v>
      </c>
      <c r="C6839" s="3063"/>
      <c r="D6839" s="3064"/>
      <c r="E6839" s="3064"/>
      <c r="F6839" s="3064"/>
      <c r="G6839" s="3301" t="s">
        <v>720</v>
      </c>
      <c r="H6839" s="3063"/>
      <c r="I6839" s="3030"/>
    </row>
    <row r="6840" spans="2:9" ht="25.5">
      <c r="B6840" s="3299" t="s">
        <v>682</v>
      </c>
      <c r="C6840" s="3063"/>
      <c r="D6840" s="3064"/>
      <c r="E6840" s="3064"/>
      <c r="F6840" s="3064"/>
      <c r="G6840" s="3300" t="s">
        <v>682</v>
      </c>
      <c r="H6840" s="3063"/>
      <c r="I6840" s="3030"/>
    </row>
    <row r="6841" spans="2:9" ht="25.5">
      <c r="B6841" s="3192" t="s">
        <v>675</v>
      </c>
      <c r="C6841" s="3063"/>
      <c r="D6841" s="3064"/>
      <c r="E6841" s="3064"/>
      <c r="F6841" s="3064"/>
      <c r="G6841" s="3301" t="s">
        <v>675</v>
      </c>
      <c r="H6841" s="3063"/>
      <c r="I6841" s="3030"/>
    </row>
    <row r="6842" spans="2:9" ht="25.5">
      <c r="B6842" s="3192" t="s">
        <v>676</v>
      </c>
      <c r="C6842" s="3063"/>
      <c r="D6842" s="3064"/>
      <c r="E6842" s="3064"/>
      <c r="F6842" s="3064"/>
      <c r="G6842" s="3301" t="s">
        <v>676</v>
      </c>
      <c r="H6842" s="3063"/>
      <c r="I6842" s="3030"/>
    </row>
    <row r="6843" spans="2:9">
      <c r="B6843" s="3192" t="s">
        <v>677</v>
      </c>
      <c r="C6843" s="3063"/>
      <c r="D6843" s="3064"/>
      <c r="E6843" s="3064"/>
      <c r="F6843" s="3064"/>
      <c r="G6843" s="3301" t="s">
        <v>677</v>
      </c>
      <c r="H6843" s="3063"/>
      <c r="I6843" s="3030"/>
    </row>
    <row r="6844" spans="2:9">
      <c r="B6844" s="3192" t="s">
        <v>678</v>
      </c>
      <c r="C6844" s="3063"/>
      <c r="D6844" s="3064"/>
      <c r="E6844" s="3064"/>
      <c r="F6844" s="3064"/>
      <c r="G6844" s="3301" t="s">
        <v>678</v>
      </c>
      <c r="H6844" s="3063"/>
      <c r="I6844" s="3030"/>
    </row>
    <row r="6845" spans="2:9">
      <c r="B6845" s="3192" t="s">
        <v>679</v>
      </c>
      <c r="C6845" s="3063"/>
      <c r="D6845" s="3064"/>
      <c r="E6845" s="3064"/>
      <c r="F6845" s="3064"/>
      <c r="G6845" s="3301" t="s">
        <v>679</v>
      </c>
      <c r="H6845" s="3063"/>
      <c r="I6845" s="3030"/>
    </row>
    <row r="6846" spans="2:9" ht="25.5">
      <c r="B6846" s="3192" t="s">
        <v>720</v>
      </c>
      <c r="C6846" s="3063"/>
      <c r="D6846" s="3064"/>
      <c r="E6846" s="3064"/>
      <c r="F6846" s="3064"/>
      <c r="G6846" s="3301" t="s">
        <v>720</v>
      </c>
      <c r="H6846" s="3063"/>
      <c r="I6846" s="3030"/>
    </row>
    <row r="6847" spans="2:9" ht="25.5">
      <c r="B6847" s="3299" t="s">
        <v>66</v>
      </c>
      <c r="C6847" s="3063"/>
      <c r="D6847" s="3064"/>
      <c r="E6847" s="3064"/>
      <c r="F6847" s="3064"/>
      <c r="G6847" s="3300" t="s">
        <v>66</v>
      </c>
      <c r="H6847" s="3063"/>
      <c r="I6847" s="3030"/>
    </row>
    <row r="6848" spans="2:9" ht="25.5">
      <c r="B6848" s="3192" t="s">
        <v>675</v>
      </c>
      <c r="C6848" s="3063"/>
      <c r="D6848" s="3064"/>
      <c r="E6848" s="3064"/>
      <c r="F6848" s="3064"/>
      <c r="G6848" s="3301" t="s">
        <v>675</v>
      </c>
      <c r="H6848" s="3063"/>
      <c r="I6848" s="3030"/>
    </row>
    <row r="6849" spans="2:9" ht="25.5">
      <c r="B6849" s="3192" t="s">
        <v>676</v>
      </c>
      <c r="C6849" s="3063"/>
      <c r="D6849" s="3064"/>
      <c r="E6849" s="3064"/>
      <c r="F6849" s="3064"/>
      <c r="G6849" s="3301" t="s">
        <v>676</v>
      </c>
      <c r="H6849" s="3063"/>
      <c r="I6849" s="3030"/>
    </row>
    <row r="6850" spans="2:9">
      <c r="B6850" s="3192" t="s">
        <v>677</v>
      </c>
      <c r="C6850" s="3063"/>
      <c r="D6850" s="3064"/>
      <c r="E6850" s="3064"/>
      <c r="F6850" s="3064"/>
      <c r="G6850" s="3301" t="s">
        <v>677</v>
      </c>
      <c r="H6850" s="3063"/>
      <c r="I6850" s="3030"/>
    </row>
    <row r="6851" spans="2:9">
      <c r="B6851" s="3192" t="s">
        <v>678</v>
      </c>
      <c r="C6851" s="3063"/>
      <c r="D6851" s="3064"/>
      <c r="E6851" s="3064"/>
      <c r="F6851" s="3064"/>
      <c r="G6851" s="3301" t="s">
        <v>678</v>
      </c>
      <c r="H6851" s="3063"/>
      <c r="I6851" s="3030"/>
    </row>
    <row r="6852" spans="2:9">
      <c r="B6852" s="3192" t="s">
        <v>679</v>
      </c>
      <c r="C6852" s="3063"/>
      <c r="D6852" s="3064"/>
      <c r="E6852" s="3064"/>
      <c r="F6852" s="3064"/>
      <c r="G6852" s="3301" t="s">
        <v>679</v>
      </c>
      <c r="H6852" s="3063"/>
      <c r="I6852" s="3030"/>
    </row>
    <row r="6853" spans="2:9" ht="25.5">
      <c r="B6853" s="3192" t="s">
        <v>720</v>
      </c>
      <c r="C6853" s="3063"/>
      <c r="D6853" s="3064"/>
      <c r="E6853" s="3064"/>
      <c r="F6853" s="3064"/>
      <c r="G6853" s="3301" t="s">
        <v>720</v>
      </c>
      <c r="H6853" s="3063"/>
      <c r="I6853" s="3030"/>
    </row>
    <row r="6854" spans="2:9">
      <c r="B6854" s="3299" t="s">
        <v>67</v>
      </c>
      <c r="C6854" s="3063"/>
      <c r="D6854" s="3064"/>
      <c r="E6854" s="3064"/>
      <c r="F6854" s="3064"/>
      <c r="G6854" s="3300" t="s">
        <v>67</v>
      </c>
      <c r="H6854" s="3063">
        <v>0.16987221834242466</v>
      </c>
      <c r="I6854" s="3030"/>
    </row>
    <row r="6855" spans="2:9" ht="25.5">
      <c r="B6855" s="3192" t="s">
        <v>675</v>
      </c>
      <c r="C6855" s="3063"/>
      <c r="D6855" s="3064">
        <v>3</v>
      </c>
      <c r="E6855" s="3064"/>
      <c r="F6855" s="3064"/>
      <c r="G6855" s="3301" t="s">
        <v>675</v>
      </c>
      <c r="H6855" s="3063"/>
      <c r="I6855" s="3030"/>
    </row>
    <row r="6856" spans="2:9" ht="25.5">
      <c r="B6856" s="3192" t="s">
        <v>676</v>
      </c>
      <c r="C6856" s="3063"/>
      <c r="D6856" s="3064"/>
      <c r="E6856" s="3064"/>
      <c r="F6856" s="3064"/>
      <c r="G6856" s="3301" t="s">
        <v>676</v>
      </c>
      <c r="H6856" s="3063"/>
      <c r="I6856" s="3030"/>
    </row>
    <row r="6857" spans="2:9">
      <c r="B6857" s="3192" t="s">
        <v>677</v>
      </c>
      <c r="C6857" s="3063"/>
      <c r="D6857" s="3064"/>
      <c r="E6857" s="3064"/>
      <c r="F6857" s="3064"/>
      <c r="G6857" s="3301" t="s">
        <v>677</v>
      </c>
      <c r="H6857" s="3063"/>
      <c r="I6857" s="3030"/>
    </row>
    <row r="6858" spans="2:9">
      <c r="B6858" s="3192" t="s">
        <v>678</v>
      </c>
      <c r="C6858" s="3063"/>
      <c r="D6858" s="3064"/>
      <c r="E6858" s="3064"/>
      <c r="F6858" s="3064"/>
      <c r="G6858" s="3301" t="s">
        <v>678</v>
      </c>
      <c r="H6858" s="3063"/>
      <c r="I6858" s="3030"/>
    </row>
    <row r="6859" spans="2:9">
      <c r="B6859" s="3192" t="s">
        <v>679</v>
      </c>
      <c r="C6859" s="3063"/>
      <c r="D6859" s="3064"/>
      <c r="E6859" s="3064"/>
      <c r="F6859" s="3064"/>
      <c r="G6859" s="3301" t="s">
        <v>679</v>
      </c>
      <c r="H6859" s="3063"/>
      <c r="I6859" s="3030"/>
    </row>
    <row r="6860" spans="2:9" ht="25.5">
      <c r="B6860" s="3230" t="s">
        <v>81</v>
      </c>
      <c r="C6860" s="3063"/>
      <c r="D6860" s="3064"/>
      <c r="E6860" s="3064"/>
      <c r="F6860" s="3064"/>
      <c r="G6860" s="3302" t="s">
        <v>81</v>
      </c>
      <c r="H6860" s="3063"/>
      <c r="I6860" s="3030"/>
    </row>
    <row r="6861" spans="2:9" ht="26.25" thickBot="1">
      <c r="B6861" s="3303" t="s">
        <v>81</v>
      </c>
      <c r="C6861" s="3068"/>
      <c r="D6861" s="3069"/>
      <c r="E6861" s="3069"/>
      <c r="F6861" s="3069"/>
      <c r="G6861" s="3304" t="s">
        <v>81</v>
      </c>
      <c r="H6861" s="3068"/>
      <c r="I6861" s="3070"/>
    </row>
    <row r="6862" spans="2:9" ht="38.25">
      <c r="B6862" s="4723">
        <v>3043</v>
      </c>
      <c r="C6862" s="3289"/>
      <c r="D6862" s="3290"/>
      <c r="E6862" s="3290"/>
      <c r="F6862" s="3290"/>
      <c r="G6862" s="4723">
        <v>3043</v>
      </c>
      <c r="H6862" s="3291" t="s">
        <v>687</v>
      </c>
      <c r="I6862" s="3292" t="s">
        <v>688</v>
      </c>
    </row>
    <row r="6863" spans="2:9">
      <c r="B6863" s="4724"/>
      <c r="C6863" s="4678" t="s">
        <v>686</v>
      </c>
      <c r="D6863" s="4725"/>
      <c r="E6863" s="4725"/>
      <c r="F6863" s="4726"/>
      <c r="G6863" s="4724"/>
      <c r="H6863" s="3293"/>
      <c r="I6863" s="3294"/>
    </row>
    <row r="6864" spans="2:9" ht="13.5" thickBot="1">
      <c r="B6864" s="4724"/>
      <c r="C6864" s="3215">
        <v>2013</v>
      </c>
      <c r="D6864" s="3215">
        <v>2014</v>
      </c>
      <c r="E6864" s="3215">
        <v>2015</v>
      </c>
      <c r="F6864" s="3215">
        <v>2016</v>
      </c>
      <c r="G6864" s="4724"/>
      <c r="H6864" s="3295" t="s">
        <v>390</v>
      </c>
      <c r="I6864" s="3296" t="s">
        <v>390</v>
      </c>
    </row>
    <row r="6865" spans="2:9">
      <c r="B6865" s="3217" t="s">
        <v>695</v>
      </c>
      <c r="C6865" s="3218"/>
      <c r="D6865" s="3219"/>
      <c r="E6865" s="3219"/>
      <c r="F6865" s="3219"/>
      <c r="G6865" s="3217" t="s">
        <v>695</v>
      </c>
      <c r="H6865" s="3297"/>
      <c r="I6865" s="3298"/>
    </row>
    <row r="6866" spans="2:9">
      <c r="B6866" s="3299" t="s">
        <v>64</v>
      </c>
      <c r="C6866" s="3063"/>
      <c r="D6866" s="3064"/>
      <c r="E6866" s="3064"/>
      <c r="F6866" s="3064"/>
      <c r="G6866" s="3300" t="s">
        <v>64</v>
      </c>
      <c r="H6866" s="3063"/>
      <c r="I6866" s="3030"/>
    </row>
    <row r="6867" spans="2:9" ht="25.5">
      <c r="B6867" s="3192" t="s">
        <v>675</v>
      </c>
      <c r="C6867" s="3063"/>
      <c r="D6867" s="3064"/>
      <c r="E6867" s="3064"/>
      <c r="F6867" s="3064"/>
      <c r="G6867" s="3301" t="s">
        <v>675</v>
      </c>
      <c r="H6867" s="3063"/>
      <c r="I6867" s="3030"/>
    </row>
    <row r="6868" spans="2:9" ht="25.5">
      <c r="B6868" s="3192" t="s">
        <v>676</v>
      </c>
      <c r="C6868" s="3063"/>
      <c r="D6868" s="3064"/>
      <c r="E6868" s="3064"/>
      <c r="F6868" s="3064"/>
      <c r="G6868" s="3301" t="s">
        <v>676</v>
      </c>
      <c r="H6868" s="3063"/>
      <c r="I6868" s="3030"/>
    </row>
    <row r="6869" spans="2:9">
      <c r="B6869" s="3192" t="s">
        <v>677</v>
      </c>
      <c r="C6869" s="3063"/>
      <c r="D6869" s="3064"/>
      <c r="E6869" s="3064"/>
      <c r="F6869" s="3064"/>
      <c r="G6869" s="3301" t="s">
        <v>677</v>
      </c>
      <c r="H6869" s="3063"/>
      <c r="I6869" s="3030"/>
    </row>
    <row r="6870" spans="2:9">
      <c r="B6870" s="3192" t="s">
        <v>678</v>
      </c>
      <c r="C6870" s="3063"/>
      <c r="D6870" s="3064"/>
      <c r="E6870" s="3064"/>
      <c r="F6870" s="3064"/>
      <c r="G6870" s="3301" t="s">
        <v>678</v>
      </c>
      <c r="H6870" s="3063"/>
      <c r="I6870" s="3030"/>
    </row>
    <row r="6871" spans="2:9">
      <c r="B6871" s="3192" t="s">
        <v>679</v>
      </c>
      <c r="C6871" s="3063"/>
      <c r="D6871" s="3064"/>
      <c r="E6871" s="3064"/>
      <c r="F6871" s="3064"/>
      <c r="G6871" s="3301" t="s">
        <v>679</v>
      </c>
      <c r="H6871" s="3063"/>
      <c r="I6871" s="3030"/>
    </row>
    <row r="6872" spans="2:9" ht="25.5">
      <c r="B6872" s="3192" t="s">
        <v>720</v>
      </c>
      <c r="C6872" s="3063"/>
      <c r="D6872" s="3064"/>
      <c r="E6872" s="3064"/>
      <c r="F6872" s="3064"/>
      <c r="G6872" s="3301" t="s">
        <v>720</v>
      </c>
      <c r="H6872" s="3063"/>
      <c r="I6872" s="3030"/>
    </row>
    <row r="6873" spans="2:9">
      <c r="B6873" s="3299" t="s">
        <v>65</v>
      </c>
      <c r="C6873" s="3063"/>
      <c r="D6873" s="3064"/>
      <c r="E6873" s="3064"/>
      <c r="F6873" s="3064"/>
      <c r="G6873" s="3300" t="s">
        <v>65</v>
      </c>
      <c r="H6873" s="3063"/>
      <c r="I6873" s="3030"/>
    </row>
    <row r="6874" spans="2:9" ht="25.5">
      <c r="B6874" s="3192" t="s">
        <v>675</v>
      </c>
      <c r="C6874" s="3063"/>
      <c r="D6874" s="3064"/>
      <c r="E6874" s="3064"/>
      <c r="F6874" s="3064"/>
      <c r="G6874" s="3301" t="s">
        <v>675</v>
      </c>
      <c r="H6874" s="3063"/>
      <c r="I6874" s="3030"/>
    </row>
    <row r="6875" spans="2:9" ht="25.5">
      <c r="B6875" s="3192" t="s">
        <v>676</v>
      </c>
      <c r="C6875" s="3063"/>
      <c r="D6875" s="3064"/>
      <c r="E6875" s="3064"/>
      <c r="F6875" s="3064"/>
      <c r="G6875" s="3301" t="s">
        <v>676</v>
      </c>
      <c r="H6875" s="3063"/>
      <c r="I6875" s="3030"/>
    </row>
    <row r="6876" spans="2:9">
      <c r="B6876" s="3192" t="s">
        <v>677</v>
      </c>
      <c r="C6876" s="3063"/>
      <c r="D6876" s="3064"/>
      <c r="E6876" s="3064"/>
      <c r="F6876" s="3064"/>
      <c r="G6876" s="3301" t="s">
        <v>677</v>
      </c>
      <c r="H6876" s="3063"/>
      <c r="I6876" s="3030"/>
    </row>
    <row r="6877" spans="2:9">
      <c r="B6877" s="3192" t="s">
        <v>678</v>
      </c>
      <c r="C6877" s="3063"/>
      <c r="D6877" s="3064"/>
      <c r="E6877" s="3064"/>
      <c r="F6877" s="3064"/>
      <c r="G6877" s="3301" t="s">
        <v>678</v>
      </c>
      <c r="H6877" s="3063"/>
      <c r="I6877" s="3030"/>
    </row>
    <row r="6878" spans="2:9">
      <c r="B6878" s="3192" t="s">
        <v>679</v>
      </c>
      <c r="C6878" s="3063"/>
      <c r="D6878" s="3064"/>
      <c r="E6878" s="3064"/>
      <c r="F6878" s="3064"/>
      <c r="G6878" s="3301" t="s">
        <v>679</v>
      </c>
      <c r="H6878" s="3063"/>
      <c r="I6878" s="3030"/>
    </row>
    <row r="6879" spans="2:9" ht="25.5">
      <c r="B6879" s="3192" t="s">
        <v>720</v>
      </c>
      <c r="C6879" s="3063"/>
      <c r="D6879" s="3064"/>
      <c r="E6879" s="3064"/>
      <c r="F6879" s="3064"/>
      <c r="G6879" s="3301" t="s">
        <v>720</v>
      </c>
      <c r="H6879" s="3063"/>
      <c r="I6879" s="3030"/>
    </row>
    <row r="6880" spans="2:9">
      <c r="B6880" s="3299" t="s">
        <v>82</v>
      </c>
      <c r="C6880" s="3063"/>
      <c r="D6880" s="3064"/>
      <c r="E6880" s="3064"/>
      <c r="F6880" s="3064"/>
      <c r="G6880" s="3300" t="s">
        <v>82</v>
      </c>
      <c r="H6880" s="3063"/>
      <c r="I6880" s="3030"/>
    </row>
    <row r="6881" spans="2:9" ht="25.5">
      <c r="B6881" s="3192" t="s">
        <v>675</v>
      </c>
      <c r="C6881" s="3063"/>
      <c r="D6881" s="3064"/>
      <c r="E6881" s="3064"/>
      <c r="F6881" s="3064"/>
      <c r="G6881" s="3301" t="s">
        <v>675</v>
      </c>
      <c r="H6881" s="3063"/>
      <c r="I6881" s="3030"/>
    </row>
    <row r="6882" spans="2:9" ht="25.5">
      <c r="B6882" s="3192" t="s">
        <v>676</v>
      </c>
      <c r="C6882" s="3063"/>
      <c r="D6882" s="3064"/>
      <c r="E6882" s="3064"/>
      <c r="F6882" s="3064"/>
      <c r="G6882" s="3301" t="s">
        <v>676</v>
      </c>
      <c r="H6882" s="3063"/>
      <c r="I6882" s="3030"/>
    </row>
    <row r="6883" spans="2:9">
      <c r="B6883" s="3192" t="s">
        <v>677</v>
      </c>
      <c r="C6883" s="3063"/>
      <c r="D6883" s="3064"/>
      <c r="E6883" s="3064"/>
      <c r="F6883" s="3064"/>
      <c r="G6883" s="3301" t="s">
        <v>677</v>
      </c>
      <c r="H6883" s="3063"/>
      <c r="I6883" s="3030"/>
    </row>
    <row r="6884" spans="2:9">
      <c r="B6884" s="3192" t="s">
        <v>678</v>
      </c>
      <c r="C6884" s="3063"/>
      <c r="D6884" s="3064"/>
      <c r="E6884" s="3064"/>
      <c r="F6884" s="3064"/>
      <c r="G6884" s="3301" t="s">
        <v>678</v>
      </c>
      <c r="H6884" s="3063"/>
      <c r="I6884" s="3030"/>
    </row>
    <row r="6885" spans="2:9">
      <c r="B6885" s="3192" t="s">
        <v>679</v>
      </c>
      <c r="C6885" s="3063"/>
      <c r="D6885" s="3064"/>
      <c r="E6885" s="3064"/>
      <c r="F6885" s="3064"/>
      <c r="G6885" s="3301" t="s">
        <v>679</v>
      </c>
      <c r="H6885" s="3063"/>
      <c r="I6885" s="3030"/>
    </row>
    <row r="6886" spans="2:9" ht="25.5">
      <c r="B6886" s="3192" t="s">
        <v>720</v>
      </c>
      <c r="C6886" s="3063"/>
      <c r="D6886" s="3064"/>
      <c r="E6886" s="3064"/>
      <c r="F6886" s="3064"/>
      <c r="G6886" s="3301" t="s">
        <v>720</v>
      </c>
      <c r="H6886" s="3063"/>
      <c r="I6886" s="3030"/>
    </row>
    <row r="6887" spans="2:9" ht="38.25">
      <c r="B6887" s="3299" t="s">
        <v>680</v>
      </c>
      <c r="C6887" s="3063"/>
      <c r="D6887" s="3064"/>
      <c r="E6887" s="3064"/>
      <c r="F6887" s="3064"/>
      <c r="G6887" s="3300" t="s">
        <v>680</v>
      </c>
      <c r="H6887" s="3063"/>
      <c r="I6887" s="3030"/>
    </row>
    <row r="6888" spans="2:9" ht="25.5">
      <c r="B6888" s="3192" t="s">
        <v>675</v>
      </c>
      <c r="C6888" s="3063"/>
      <c r="D6888" s="3064"/>
      <c r="E6888" s="3064"/>
      <c r="F6888" s="3064"/>
      <c r="G6888" s="3301" t="s">
        <v>675</v>
      </c>
      <c r="H6888" s="3063"/>
      <c r="I6888" s="3030"/>
    </row>
    <row r="6889" spans="2:9" ht="25.5">
      <c r="B6889" s="3192" t="s">
        <v>676</v>
      </c>
      <c r="C6889" s="3063"/>
      <c r="D6889" s="3064"/>
      <c r="E6889" s="3064"/>
      <c r="F6889" s="3064"/>
      <c r="G6889" s="3301" t="s">
        <v>676</v>
      </c>
      <c r="H6889" s="3063"/>
      <c r="I6889" s="3030"/>
    </row>
    <row r="6890" spans="2:9">
      <c r="B6890" s="3192" t="s">
        <v>677</v>
      </c>
      <c r="C6890" s="3063"/>
      <c r="D6890" s="3064"/>
      <c r="E6890" s="3064"/>
      <c r="F6890" s="3064"/>
      <c r="G6890" s="3301" t="s">
        <v>677</v>
      </c>
      <c r="H6890" s="3063"/>
      <c r="I6890" s="3030"/>
    </row>
    <row r="6891" spans="2:9">
      <c r="B6891" s="3192" t="s">
        <v>678</v>
      </c>
      <c r="C6891" s="3063"/>
      <c r="D6891" s="3064"/>
      <c r="E6891" s="3064"/>
      <c r="F6891" s="3064"/>
      <c r="G6891" s="3301" t="s">
        <v>678</v>
      </c>
      <c r="H6891" s="3063"/>
      <c r="I6891" s="3030"/>
    </row>
    <row r="6892" spans="2:9">
      <c r="B6892" s="3192" t="s">
        <v>679</v>
      </c>
      <c r="C6892" s="3063"/>
      <c r="D6892" s="3064"/>
      <c r="E6892" s="3064"/>
      <c r="F6892" s="3064"/>
      <c r="G6892" s="3301" t="s">
        <v>679</v>
      </c>
      <c r="H6892" s="3063"/>
      <c r="I6892" s="3030"/>
    </row>
    <row r="6893" spans="2:9" ht="25.5">
      <c r="B6893" s="3192" t="s">
        <v>720</v>
      </c>
      <c r="C6893" s="3063"/>
      <c r="D6893" s="3064"/>
      <c r="E6893" s="3064"/>
      <c r="F6893" s="3064"/>
      <c r="G6893" s="3301" t="s">
        <v>720</v>
      </c>
      <c r="H6893" s="3063"/>
      <c r="I6893" s="3030"/>
    </row>
    <row r="6894" spans="2:9" ht="38.25">
      <c r="B6894" s="3299" t="s">
        <v>681</v>
      </c>
      <c r="C6894" s="3063"/>
      <c r="D6894" s="3064"/>
      <c r="E6894" s="3064"/>
      <c r="F6894" s="3064"/>
      <c r="G6894" s="3300" t="s">
        <v>681</v>
      </c>
      <c r="H6894" s="3063"/>
      <c r="I6894" s="3030"/>
    </row>
    <row r="6895" spans="2:9" ht="25.5">
      <c r="B6895" s="3192" t="s">
        <v>675</v>
      </c>
      <c r="C6895" s="3063"/>
      <c r="D6895" s="3064"/>
      <c r="E6895" s="3064"/>
      <c r="F6895" s="3064"/>
      <c r="G6895" s="3301" t="s">
        <v>675</v>
      </c>
      <c r="H6895" s="3063"/>
      <c r="I6895" s="3030"/>
    </row>
    <row r="6896" spans="2:9" ht="25.5">
      <c r="B6896" s="3192" t="s">
        <v>676</v>
      </c>
      <c r="C6896" s="3063"/>
      <c r="D6896" s="3064"/>
      <c r="E6896" s="3064"/>
      <c r="F6896" s="3064"/>
      <c r="G6896" s="3301" t="s">
        <v>676</v>
      </c>
      <c r="H6896" s="3063"/>
      <c r="I6896" s="3030"/>
    </row>
    <row r="6897" spans="2:9">
      <c r="B6897" s="3192" t="s">
        <v>677</v>
      </c>
      <c r="C6897" s="3063"/>
      <c r="D6897" s="3064"/>
      <c r="E6897" s="3064"/>
      <c r="F6897" s="3064"/>
      <c r="G6897" s="3301" t="s">
        <v>677</v>
      </c>
      <c r="H6897" s="3063"/>
      <c r="I6897" s="3030"/>
    </row>
    <row r="6898" spans="2:9">
      <c r="B6898" s="3192" t="s">
        <v>678</v>
      </c>
      <c r="C6898" s="3063"/>
      <c r="D6898" s="3064"/>
      <c r="E6898" s="3064"/>
      <c r="F6898" s="3064"/>
      <c r="G6898" s="3301" t="s">
        <v>678</v>
      </c>
      <c r="H6898" s="3063"/>
      <c r="I6898" s="3030"/>
    </row>
    <row r="6899" spans="2:9">
      <c r="B6899" s="3192" t="s">
        <v>679</v>
      </c>
      <c r="C6899" s="3063"/>
      <c r="D6899" s="3064"/>
      <c r="E6899" s="3064"/>
      <c r="F6899" s="3064"/>
      <c r="G6899" s="3301" t="s">
        <v>679</v>
      </c>
      <c r="H6899" s="3063"/>
      <c r="I6899" s="3030"/>
    </row>
    <row r="6900" spans="2:9" ht="25.5">
      <c r="B6900" s="3192" t="s">
        <v>720</v>
      </c>
      <c r="C6900" s="3063"/>
      <c r="D6900" s="3064"/>
      <c r="E6900" s="3064"/>
      <c r="F6900" s="3064"/>
      <c r="G6900" s="3301" t="s">
        <v>720</v>
      </c>
      <c r="H6900" s="3063"/>
      <c r="I6900" s="3030"/>
    </row>
    <row r="6901" spans="2:9" ht="25.5">
      <c r="B6901" s="3299" t="s">
        <v>682</v>
      </c>
      <c r="C6901" s="3063"/>
      <c r="D6901" s="3064"/>
      <c r="E6901" s="3064"/>
      <c r="F6901" s="3064"/>
      <c r="G6901" s="3300" t="s">
        <v>682</v>
      </c>
      <c r="H6901" s="3063"/>
      <c r="I6901" s="3030"/>
    </row>
    <row r="6902" spans="2:9" ht="25.5">
      <c r="B6902" s="3192" t="s">
        <v>675</v>
      </c>
      <c r="C6902" s="3063"/>
      <c r="D6902" s="3064"/>
      <c r="E6902" s="3064"/>
      <c r="F6902" s="3064"/>
      <c r="G6902" s="3301" t="s">
        <v>675</v>
      </c>
      <c r="H6902" s="3063"/>
      <c r="I6902" s="3030"/>
    </row>
    <row r="6903" spans="2:9" ht="25.5">
      <c r="B6903" s="3192" t="s">
        <v>676</v>
      </c>
      <c r="C6903" s="3063"/>
      <c r="D6903" s="3064"/>
      <c r="E6903" s="3064"/>
      <c r="F6903" s="3064"/>
      <c r="G6903" s="3301" t="s">
        <v>676</v>
      </c>
      <c r="H6903" s="3063"/>
      <c r="I6903" s="3030"/>
    </row>
    <row r="6904" spans="2:9">
      <c r="B6904" s="3192" t="s">
        <v>677</v>
      </c>
      <c r="C6904" s="3063"/>
      <c r="D6904" s="3064"/>
      <c r="E6904" s="3064"/>
      <c r="F6904" s="3064"/>
      <c r="G6904" s="3301" t="s">
        <v>677</v>
      </c>
      <c r="H6904" s="3063"/>
      <c r="I6904" s="3030"/>
    </row>
    <row r="6905" spans="2:9">
      <c r="B6905" s="3192" t="s">
        <v>678</v>
      </c>
      <c r="C6905" s="3063"/>
      <c r="D6905" s="3064"/>
      <c r="E6905" s="3064"/>
      <c r="F6905" s="3064"/>
      <c r="G6905" s="3301" t="s">
        <v>678</v>
      </c>
      <c r="H6905" s="3063"/>
      <c r="I6905" s="3030"/>
    </row>
    <row r="6906" spans="2:9">
      <c r="B6906" s="3192" t="s">
        <v>679</v>
      </c>
      <c r="C6906" s="3063"/>
      <c r="D6906" s="3064"/>
      <c r="E6906" s="3064"/>
      <c r="F6906" s="3064"/>
      <c r="G6906" s="3301" t="s">
        <v>679</v>
      </c>
      <c r="H6906" s="3063"/>
      <c r="I6906" s="3030"/>
    </row>
    <row r="6907" spans="2:9" ht="25.5">
      <c r="B6907" s="3192" t="s">
        <v>720</v>
      </c>
      <c r="C6907" s="3063"/>
      <c r="D6907" s="3064"/>
      <c r="E6907" s="3064"/>
      <c r="F6907" s="3064"/>
      <c r="G6907" s="3301" t="s">
        <v>720</v>
      </c>
      <c r="H6907" s="3063"/>
      <c r="I6907" s="3030"/>
    </row>
    <row r="6908" spans="2:9" ht="25.5">
      <c r="B6908" s="3299" t="s">
        <v>66</v>
      </c>
      <c r="C6908" s="3063"/>
      <c r="D6908" s="3064"/>
      <c r="E6908" s="3064"/>
      <c r="F6908" s="3064"/>
      <c r="G6908" s="3300" t="s">
        <v>66</v>
      </c>
      <c r="H6908" s="3063"/>
      <c r="I6908" s="3030"/>
    </row>
    <row r="6909" spans="2:9" ht="25.5">
      <c r="B6909" s="3192" t="s">
        <v>675</v>
      </c>
      <c r="C6909" s="3063"/>
      <c r="D6909" s="3064"/>
      <c r="E6909" s="3064"/>
      <c r="F6909" s="3064"/>
      <c r="G6909" s="3301" t="s">
        <v>675</v>
      </c>
      <c r="H6909" s="3063"/>
      <c r="I6909" s="3030"/>
    </row>
    <row r="6910" spans="2:9" ht="25.5">
      <c r="B6910" s="3192" t="s">
        <v>676</v>
      </c>
      <c r="C6910" s="3063"/>
      <c r="D6910" s="3064"/>
      <c r="E6910" s="3064"/>
      <c r="F6910" s="3064"/>
      <c r="G6910" s="3301" t="s">
        <v>676</v>
      </c>
      <c r="H6910" s="3063"/>
      <c r="I6910" s="3030"/>
    </row>
    <row r="6911" spans="2:9">
      <c r="B6911" s="3192" t="s">
        <v>677</v>
      </c>
      <c r="C6911" s="3063"/>
      <c r="D6911" s="3064"/>
      <c r="E6911" s="3064"/>
      <c r="F6911" s="3064"/>
      <c r="G6911" s="3301" t="s">
        <v>677</v>
      </c>
      <c r="H6911" s="3063"/>
      <c r="I6911" s="3030"/>
    </row>
    <row r="6912" spans="2:9">
      <c r="B6912" s="3192" t="s">
        <v>678</v>
      </c>
      <c r="C6912" s="3063"/>
      <c r="D6912" s="3064"/>
      <c r="E6912" s="3064"/>
      <c r="F6912" s="3064"/>
      <c r="G6912" s="3301" t="s">
        <v>678</v>
      </c>
      <c r="H6912" s="3063"/>
      <c r="I6912" s="3030"/>
    </row>
    <row r="6913" spans="2:9">
      <c r="B6913" s="3192" t="s">
        <v>679</v>
      </c>
      <c r="C6913" s="3063"/>
      <c r="D6913" s="3064"/>
      <c r="E6913" s="3064"/>
      <c r="F6913" s="3064"/>
      <c r="G6913" s="3301" t="s">
        <v>679</v>
      </c>
      <c r="H6913" s="3063"/>
      <c r="I6913" s="3030"/>
    </row>
    <row r="6914" spans="2:9" ht="25.5">
      <c r="B6914" s="3192" t="s">
        <v>720</v>
      </c>
      <c r="C6914" s="3063"/>
      <c r="D6914" s="3064"/>
      <c r="E6914" s="3064"/>
      <c r="F6914" s="3064"/>
      <c r="G6914" s="3301" t="s">
        <v>720</v>
      </c>
      <c r="H6914" s="3063"/>
      <c r="I6914" s="3030"/>
    </row>
    <row r="6915" spans="2:9">
      <c r="B6915" s="3299" t="s">
        <v>67</v>
      </c>
      <c r="C6915" s="3063"/>
      <c r="D6915" s="3064"/>
      <c r="E6915" s="3064"/>
      <c r="F6915" s="3064"/>
      <c r="G6915" s="3300" t="s">
        <v>67</v>
      </c>
      <c r="H6915" s="3063"/>
      <c r="I6915" s="3030"/>
    </row>
    <row r="6916" spans="2:9" ht="25.5">
      <c r="B6916" s="3192" t="s">
        <v>675</v>
      </c>
      <c r="C6916" s="3063"/>
      <c r="D6916" s="3064"/>
      <c r="E6916" s="3064"/>
      <c r="F6916" s="3064"/>
      <c r="G6916" s="3301" t="s">
        <v>675</v>
      </c>
      <c r="H6916" s="3063"/>
      <c r="I6916" s="3030"/>
    </row>
    <row r="6917" spans="2:9" ht="25.5">
      <c r="B6917" s="3192" t="s">
        <v>676</v>
      </c>
      <c r="C6917" s="3063"/>
      <c r="D6917" s="3064"/>
      <c r="E6917" s="3064"/>
      <c r="F6917" s="3064"/>
      <c r="G6917" s="3301" t="s">
        <v>676</v>
      </c>
      <c r="H6917" s="3063"/>
      <c r="I6917" s="3030"/>
    </row>
    <row r="6918" spans="2:9">
      <c r="B6918" s="3192" t="s">
        <v>677</v>
      </c>
      <c r="C6918" s="3063"/>
      <c r="D6918" s="3064"/>
      <c r="E6918" s="3064"/>
      <c r="F6918" s="3064"/>
      <c r="G6918" s="3301" t="s">
        <v>677</v>
      </c>
      <c r="H6918" s="3063"/>
      <c r="I6918" s="3030"/>
    </row>
    <row r="6919" spans="2:9">
      <c r="B6919" s="3192" t="s">
        <v>678</v>
      </c>
      <c r="C6919" s="3063"/>
      <c r="D6919" s="3064"/>
      <c r="E6919" s="3064"/>
      <c r="F6919" s="3064"/>
      <c r="G6919" s="3301" t="s">
        <v>678</v>
      </c>
      <c r="H6919" s="3063"/>
      <c r="I6919" s="3030"/>
    </row>
    <row r="6920" spans="2:9">
      <c r="B6920" s="3192" t="s">
        <v>679</v>
      </c>
      <c r="C6920" s="3063"/>
      <c r="D6920" s="3064"/>
      <c r="E6920" s="3064"/>
      <c r="F6920" s="3064"/>
      <c r="G6920" s="3301" t="s">
        <v>679</v>
      </c>
      <c r="H6920" s="3063"/>
      <c r="I6920" s="3030"/>
    </row>
    <row r="6921" spans="2:9" ht="25.5">
      <c r="B6921" s="3192" t="s">
        <v>720</v>
      </c>
      <c r="C6921" s="3063"/>
      <c r="D6921" s="3064"/>
      <c r="E6921" s="3064"/>
      <c r="F6921" s="3064"/>
      <c r="G6921" s="3301" t="s">
        <v>720</v>
      </c>
      <c r="H6921" s="3063"/>
      <c r="I6921" s="3030"/>
    </row>
    <row r="6922" spans="2:9" ht="25.5">
      <c r="B6922" s="3230" t="s">
        <v>81</v>
      </c>
      <c r="C6922" s="3063"/>
      <c r="D6922" s="3064"/>
      <c r="E6922" s="3064"/>
      <c r="F6922" s="3064"/>
      <c r="G6922" s="3302" t="s">
        <v>81</v>
      </c>
      <c r="H6922" s="3063"/>
      <c r="I6922" s="3030"/>
    </row>
    <row r="6923" spans="2:9" ht="26.25" thickBot="1">
      <c r="B6923" s="3303" t="s">
        <v>81</v>
      </c>
      <c r="C6923" s="3063"/>
      <c r="D6923" s="3064"/>
      <c r="E6923" s="3064"/>
      <c r="F6923" s="3064"/>
      <c r="G6923" s="3302" t="s">
        <v>81</v>
      </c>
      <c r="H6923" s="3063"/>
      <c r="I6923" s="3030"/>
    </row>
    <row r="6924" spans="2:9" ht="25.5">
      <c r="B6924" s="3217" t="s">
        <v>696</v>
      </c>
      <c r="C6924" s="3218"/>
      <c r="D6924" s="3219"/>
      <c r="E6924" s="3219"/>
      <c r="F6924" s="3219"/>
      <c r="G6924" s="3217" t="s">
        <v>696</v>
      </c>
      <c r="H6924" s="3297"/>
      <c r="I6924" s="3298"/>
    </row>
    <row r="6925" spans="2:9">
      <c r="B6925" s="3299" t="s">
        <v>64</v>
      </c>
      <c r="C6925" s="3063"/>
      <c r="D6925" s="3064"/>
      <c r="E6925" s="3064"/>
      <c r="F6925" s="3064"/>
      <c r="G6925" s="3300" t="s">
        <v>64</v>
      </c>
      <c r="H6925" s="3063"/>
      <c r="I6925" s="3030"/>
    </row>
    <row r="6926" spans="2:9" ht="25.5">
      <c r="B6926" s="3192" t="s">
        <v>675</v>
      </c>
      <c r="C6926" s="3063"/>
      <c r="D6926" s="3064"/>
      <c r="E6926" s="3064"/>
      <c r="F6926" s="3064"/>
      <c r="G6926" s="3301" t="s">
        <v>675</v>
      </c>
      <c r="H6926" s="3063"/>
      <c r="I6926" s="3030"/>
    </row>
    <row r="6927" spans="2:9" ht="25.5">
      <c r="B6927" s="3192" t="s">
        <v>676</v>
      </c>
      <c r="C6927" s="3063"/>
      <c r="D6927" s="3064"/>
      <c r="E6927" s="3064"/>
      <c r="F6927" s="3064"/>
      <c r="G6927" s="3301" t="s">
        <v>676</v>
      </c>
      <c r="H6927" s="3063"/>
      <c r="I6927" s="3030"/>
    </row>
    <row r="6928" spans="2:9">
      <c r="B6928" s="3192" t="s">
        <v>677</v>
      </c>
      <c r="C6928" s="3063"/>
      <c r="D6928" s="3064"/>
      <c r="E6928" s="3064"/>
      <c r="F6928" s="3064"/>
      <c r="G6928" s="3301" t="s">
        <v>677</v>
      </c>
      <c r="H6928" s="3063"/>
      <c r="I6928" s="3030"/>
    </row>
    <row r="6929" spans="2:9">
      <c r="B6929" s="3192" t="s">
        <v>678</v>
      </c>
      <c r="C6929" s="3063"/>
      <c r="D6929" s="3064"/>
      <c r="E6929" s="3064"/>
      <c r="F6929" s="3064"/>
      <c r="G6929" s="3301" t="s">
        <v>678</v>
      </c>
      <c r="H6929" s="3063"/>
      <c r="I6929" s="3030"/>
    </row>
    <row r="6930" spans="2:9">
      <c r="B6930" s="3192" t="s">
        <v>679</v>
      </c>
      <c r="C6930" s="3063"/>
      <c r="D6930" s="3064"/>
      <c r="E6930" s="3064"/>
      <c r="F6930" s="3064"/>
      <c r="G6930" s="3301" t="s">
        <v>679</v>
      </c>
      <c r="H6930" s="3063"/>
      <c r="I6930" s="3030"/>
    </row>
    <row r="6931" spans="2:9" ht="25.5">
      <c r="B6931" s="3192" t="s">
        <v>720</v>
      </c>
      <c r="C6931" s="3063"/>
      <c r="D6931" s="3064"/>
      <c r="E6931" s="3064"/>
      <c r="F6931" s="3064"/>
      <c r="G6931" s="3301" t="s">
        <v>720</v>
      </c>
      <c r="H6931" s="3063"/>
      <c r="I6931" s="3030"/>
    </row>
    <row r="6932" spans="2:9">
      <c r="B6932" s="3299" t="s">
        <v>65</v>
      </c>
      <c r="C6932" s="3063"/>
      <c r="D6932" s="3064"/>
      <c r="E6932" s="3064"/>
      <c r="F6932" s="3064"/>
      <c r="G6932" s="3300" t="s">
        <v>65</v>
      </c>
      <c r="H6932" s="3063"/>
      <c r="I6932" s="3030"/>
    </row>
    <row r="6933" spans="2:9" ht="25.5">
      <c r="B6933" s="3192" t="s">
        <v>675</v>
      </c>
      <c r="C6933" s="3063"/>
      <c r="D6933" s="3064"/>
      <c r="E6933" s="3064"/>
      <c r="F6933" s="3064"/>
      <c r="G6933" s="3301" t="s">
        <v>675</v>
      </c>
      <c r="H6933" s="3063"/>
      <c r="I6933" s="3030"/>
    </row>
    <row r="6934" spans="2:9" ht="25.5">
      <c r="B6934" s="3192" t="s">
        <v>676</v>
      </c>
      <c r="C6934" s="3063"/>
      <c r="D6934" s="3064"/>
      <c r="E6934" s="3064"/>
      <c r="F6934" s="3064"/>
      <c r="G6934" s="3301" t="s">
        <v>676</v>
      </c>
      <c r="H6934" s="3063"/>
      <c r="I6934" s="3030"/>
    </row>
    <row r="6935" spans="2:9">
      <c r="B6935" s="3192" t="s">
        <v>677</v>
      </c>
      <c r="C6935" s="3063"/>
      <c r="D6935" s="3064"/>
      <c r="E6935" s="3064"/>
      <c r="F6935" s="3064"/>
      <c r="G6935" s="3301" t="s">
        <v>677</v>
      </c>
      <c r="H6935" s="3063"/>
      <c r="I6935" s="3030"/>
    </row>
    <row r="6936" spans="2:9">
      <c r="B6936" s="3192" t="s">
        <v>678</v>
      </c>
      <c r="C6936" s="3063"/>
      <c r="D6936" s="3064"/>
      <c r="E6936" s="3064"/>
      <c r="F6936" s="3064"/>
      <c r="G6936" s="3301" t="s">
        <v>678</v>
      </c>
      <c r="H6936" s="3063"/>
      <c r="I6936" s="3030"/>
    </row>
    <row r="6937" spans="2:9">
      <c r="B6937" s="3192" t="s">
        <v>679</v>
      </c>
      <c r="C6937" s="3063"/>
      <c r="D6937" s="3064"/>
      <c r="E6937" s="3064"/>
      <c r="F6937" s="3064"/>
      <c r="G6937" s="3301" t="s">
        <v>679</v>
      </c>
      <c r="H6937" s="3063"/>
      <c r="I6937" s="3030"/>
    </row>
    <row r="6938" spans="2:9" ht="25.5">
      <c r="B6938" s="3192" t="s">
        <v>720</v>
      </c>
      <c r="C6938" s="3063"/>
      <c r="D6938" s="3064"/>
      <c r="E6938" s="3064"/>
      <c r="F6938" s="3064"/>
      <c r="G6938" s="3301" t="s">
        <v>720</v>
      </c>
      <c r="H6938" s="3063"/>
      <c r="I6938" s="3030"/>
    </row>
    <row r="6939" spans="2:9">
      <c r="B6939" s="3299" t="s">
        <v>82</v>
      </c>
      <c r="C6939" s="3063"/>
      <c r="D6939" s="3064"/>
      <c r="E6939" s="3064"/>
      <c r="F6939" s="3064"/>
      <c r="G6939" s="3300" t="s">
        <v>82</v>
      </c>
      <c r="H6939" s="3063"/>
      <c r="I6939" s="3030"/>
    </row>
    <row r="6940" spans="2:9" ht="25.5">
      <c r="B6940" s="3192" t="s">
        <v>675</v>
      </c>
      <c r="C6940" s="3063"/>
      <c r="D6940" s="3064"/>
      <c r="E6940" s="3064"/>
      <c r="F6940" s="3064"/>
      <c r="G6940" s="3301" t="s">
        <v>675</v>
      </c>
      <c r="H6940" s="3063"/>
      <c r="I6940" s="3030"/>
    </row>
    <row r="6941" spans="2:9" ht="25.5">
      <c r="B6941" s="3192" t="s">
        <v>676</v>
      </c>
      <c r="C6941" s="3063"/>
      <c r="D6941" s="3064"/>
      <c r="E6941" s="3064"/>
      <c r="F6941" s="3064"/>
      <c r="G6941" s="3301" t="s">
        <v>676</v>
      </c>
      <c r="H6941" s="3063"/>
      <c r="I6941" s="3030"/>
    </row>
    <row r="6942" spans="2:9">
      <c r="B6942" s="3192" t="s">
        <v>677</v>
      </c>
      <c r="C6942" s="3063"/>
      <c r="D6942" s="3064"/>
      <c r="E6942" s="3064"/>
      <c r="F6942" s="3064"/>
      <c r="G6942" s="3301" t="s">
        <v>677</v>
      </c>
      <c r="H6942" s="3063"/>
      <c r="I6942" s="3030"/>
    </row>
    <row r="6943" spans="2:9">
      <c r="B6943" s="3192" t="s">
        <v>678</v>
      </c>
      <c r="C6943" s="3063"/>
      <c r="D6943" s="3064"/>
      <c r="E6943" s="3064"/>
      <c r="F6943" s="3064"/>
      <c r="G6943" s="3301" t="s">
        <v>678</v>
      </c>
      <c r="H6943" s="3063"/>
      <c r="I6943" s="3030"/>
    </row>
    <row r="6944" spans="2:9">
      <c r="B6944" s="3192" t="s">
        <v>679</v>
      </c>
      <c r="C6944" s="3063"/>
      <c r="D6944" s="3064"/>
      <c r="E6944" s="3064"/>
      <c r="F6944" s="3064"/>
      <c r="G6944" s="3301" t="s">
        <v>679</v>
      </c>
      <c r="H6944" s="3063"/>
      <c r="I6944" s="3030"/>
    </row>
    <row r="6945" spans="2:9" ht="25.5">
      <c r="B6945" s="3192" t="s">
        <v>720</v>
      </c>
      <c r="C6945" s="3063"/>
      <c r="D6945" s="3064"/>
      <c r="E6945" s="3064"/>
      <c r="F6945" s="3064"/>
      <c r="G6945" s="3301" t="s">
        <v>720</v>
      </c>
      <c r="H6945" s="3063"/>
      <c r="I6945" s="3030"/>
    </row>
    <row r="6946" spans="2:9" ht="38.25">
      <c r="B6946" s="3299" t="s">
        <v>680</v>
      </c>
      <c r="C6946" s="3063"/>
      <c r="D6946" s="3064"/>
      <c r="E6946" s="3064"/>
      <c r="F6946" s="3064"/>
      <c r="G6946" s="3300" t="s">
        <v>680</v>
      </c>
      <c r="H6946" s="3063"/>
      <c r="I6946" s="3030"/>
    </row>
    <row r="6947" spans="2:9" ht="25.5">
      <c r="B6947" s="3192" t="s">
        <v>675</v>
      </c>
      <c r="C6947" s="3063"/>
      <c r="D6947" s="3064"/>
      <c r="E6947" s="3064"/>
      <c r="F6947" s="3064"/>
      <c r="G6947" s="3301" t="s">
        <v>675</v>
      </c>
      <c r="H6947" s="3063"/>
      <c r="I6947" s="3030"/>
    </row>
    <row r="6948" spans="2:9" ht="25.5">
      <c r="B6948" s="3192" t="s">
        <v>676</v>
      </c>
      <c r="C6948" s="3063"/>
      <c r="D6948" s="3064"/>
      <c r="E6948" s="3064"/>
      <c r="F6948" s="3064"/>
      <c r="G6948" s="3301" t="s">
        <v>676</v>
      </c>
      <c r="H6948" s="3063"/>
      <c r="I6948" s="3030"/>
    </row>
    <row r="6949" spans="2:9">
      <c r="B6949" s="3192" t="s">
        <v>677</v>
      </c>
      <c r="C6949" s="3063"/>
      <c r="D6949" s="3064"/>
      <c r="E6949" s="3064"/>
      <c r="F6949" s="3064"/>
      <c r="G6949" s="3301" t="s">
        <v>677</v>
      </c>
      <c r="H6949" s="3063"/>
      <c r="I6949" s="3030"/>
    </row>
    <row r="6950" spans="2:9">
      <c r="B6950" s="3192" t="s">
        <v>678</v>
      </c>
      <c r="C6950" s="3063"/>
      <c r="D6950" s="3064"/>
      <c r="E6950" s="3064"/>
      <c r="F6950" s="3064"/>
      <c r="G6950" s="3301" t="s">
        <v>678</v>
      </c>
      <c r="H6950" s="3063"/>
      <c r="I6950" s="3030"/>
    </row>
    <row r="6951" spans="2:9">
      <c r="B6951" s="3192" t="s">
        <v>679</v>
      </c>
      <c r="C6951" s="3063"/>
      <c r="D6951" s="3064"/>
      <c r="E6951" s="3064"/>
      <c r="F6951" s="3064"/>
      <c r="G6951" s="3301" t="s">
        <v>679</v>
      </c>
      <c r="H6951" s="3063"/>
      <c r="I6951" s="3030"/>
    </row>
    <row r="6952" spans="2:9" ht="25.5">
      <c r="B6952" s="3192" t="s">
        <v>720</v>
      </c>
      <c r="C6952" s="3063"/>
      <c r="D6952" s="3064"/>
      <c r="E6952" s="3064"/>
      <c r="F6952" s="3064"/>
      <c r="G6952" s="3301" t="s">
        <v>720</v>
      </c>
      <c r="H6952" s="3063"/>
      <c r="I6952" s="3030"/>
    </row>
    <row r="6953" spans="2:9" ht="38.25">
      <c r="B6953" s="3299" t="s">
        <v>681</v>
      </c>
      <c r="C6953" s="3063"/>
      <c r="D6953" s="3064"/>
      <c r="E6953" s="3064"/>
      <c r="F6953" s="3064"/>
      <c r="G6953" s="3300" t="s">
        <v>681</v>
      </c>
      <c r="H6953" s="3063"/>
      <c r="I6953" s="3030"/>
    </row>
    <row r="6954" spans="2:9" ht="25.5">
      <c r="B6954" s="3192" t="s">
        <v>675</v>
      </c>
      <c r="C6954" s="3063"/>
      <c r="D6954" s="3064"/>
      <c r="E6954" s="3064"/>
      <c r="F6954" s="3064"/>
      <c r="G6954" s="3301" t="s">
        <v>675</v>
      </c>
      <c r="H6954" s="3063"/>
      <c r="I6954" s="3030"/>
    </row>
    <row r="6955" spans="2:9" ht="25.5">
      <c r="B6955" s="3192" t="s">
        <v>676</v>
      </c>
      <c r="C6955" s="3063"/>
      <c r="D6955" s="3064"/>
      <c r="E6955" s="3064"/>
      <c r="F6955" s="3064"/>
      <c r="G6955" s="3301" t="s">
        <v>676</v>
      </c>
      <c r="H6955" s="3063"/>
      <c r="I6955" s="3030"/>
    </row>
    <row r="6956" spans="2:9">
      <c r="B6956" s="3192" t="s">
        <v>677</v>
      </c>
      <c r="C6956" s="3063"/>
      <c r="D6956" s="3064"/>
      <c r="E6956" s="3064"/>
      <c r="F6956" s="3064"/>
      <c r="G6956" s="3301" t="s">
        <v>677</v>
      </c>
      <c r="H6956" s="3063"/>
      <c r="I6956" s="3030"/>
    </row>
    <row r="6957" spans="2:9">
      <c r="B6957" s="3192" t="s">
        <v>678</v>
      </c>
      <c r="C6957" s="3063"/>
      <c r="D6957" s="3064"/>
      <c r="E6957" s="3064"/>
      <c r="F6957" s="3064"/>
      <c r="G6957" s="3301" t="s">
        <v>678</v>
      </c>
      <c r="H6957" s="3063"/>
      <c r="I6957" s="3030"/>
    </row>
    <row r="6958" spans="2:9">
      <c r="B6958" s="3192" t="s">
        <v>679</v>
      </c>
      <c r="C6958" s="3063"/>
      <c r="D6958" s="3064"/>
      <c r="E6958" s="3064"/>
      <c r="F6958" s="3064"/>
      <c r="G6958" s="3301" t="s">
        <v>679</v>
      </c>
      <c r="H6958" s="3063"/>
      <c r="I6958" s="3030"/>
    </row>
    <row r="6959" spans="2:9" ht="25.5">
      <c r="B6959" s="3192" t="s">
        <v>720</v>
      </c>
      <c r="C6959" s="3063"/>
      <c r="D6959" s="3064"/>
      <c r="E6959" s="3064"/>
      <c r="F6959" s="3064"/>
      <c r="G6959" s="3301" t="s">
        <v>720</v>
      </c>
      <c r="H6959" s="3063"/>
      <c r="I6959" s="3030"/>
    </row>
    <row r="6960" spans="2:9" ht="25.5">
      <c r="B6960" s="3299" t="s">
        <v>682</v>
      </c>
      <c r="C6960" s="3063"/>
      <c r="D6960" s="3064"/>
      <c r="E6960" s="3064"/>
      <c r="F6960" s="3064"/>
      <c r="G6960" s="3300" t="s">
        <v>682</v>
      </c>
      <c r="H6960" s="3063"/>
      <c r="I6960" s="3030"/>
    </row>
    <row r="6961" spans="2:9" ht="25.5">
      <c r="B6961" s="3192" t="s">
        <v>675</v>
      </c>
      <c r="C6961" s="3063"/>
      <c r="D6961" s="3064"/>
      <c r="E6961" s="3064"/>
      <c r="F6961" s="3064"/>
      <c r="G6961" s="3301" t="s">
        <v>675</v>
      </c>
      <c r="H6961" s="3063"/>
      <c r="I6961" s="3030"/>
    </row>
    <row r="6962" spans="2:9" ht="25.5">
      <c r="B6962" s="3192" t="s">
        <v>676</v>
      </c>
      <c r="C6962" s="3063"/>
      <c r="D6962" s="3064"/>
      <c r="E6962" s="3064"/>
      <c r="F6962" s="3064"/>
      <c r="G6962" s="3301" t="s">
        <v>676</v>
      </c>
      <c r="H6962" s="3063"/>
      <c r="I6962" s="3030"/>
    </row>
    <row r="6963" spans="2:9">
      <c r="B6963" s="3192" t="s">
        <v>677</v>
      </c>
      <c r="C6963" s="3063"/>
      <c r="D6963" s="3064"/>
      <c r="E6963" s="3064"/>
      <c r="F6963" s="3064"/>
      <c r="G6963" s="3301" t="s">
        <v>677</v>
      </c>
      <c r="H6963" s="3063"/>
      <c r="I6963" s="3030"/>
    </row>
    <row r="6964" spans="2:9">
      <c r="B6964" s="3192" t="s">
        <v>678</v>
      </c>
      <c r="C6964" s="3063"/>
      <c r="D6964" s="3064"/>
      <c r="E6964" s="3064"/>
      <c r="F6964" s="3064"/>
      <c r="G6964" s="3301" t="s">
        <v>678</v>
      </c>
      <c r="H6964" s="3063"/>
      <c r="I6964" s="3030"/>
    </row>
    <row r="6965" spans="2:9">
      <c r="B6965" s="3192" t="s">
        <v>679</v>
      </c>
      <c r="C6965" s="3063"/>
      <c r="D6965" s="3064"/>
      <c r="E6965" s="3064"/>
      <c r="F6965" s="3064"/>
      <c r="G6965" s="3301" t="s">
        <v>679</v>
      </c>
      <c r="H6965" s="3063"/>
      <c r="I6965" s="3030"/>
    </row>
    <row r="6966" spans="2:9" ht="25.5">
      <c r="B6966" s="3192" t="s">
        <v>720</v>
      </c>
      <c r="C6966" s="3063"/>
      <c r="D6966" s="3064"/>
      <c r="E6966" s="3064"/>
      <c r="F6966" s="3064"/>
      <c r="G6966" s="3301" t="s">
        <v>720</v>
      </c>
      <c r="H6966" s="3063"/>
      <c r="I6966" s="3030"/>
    </row>
    <row r="6967" spans="2:9" ht="25.5">
      <c r="B6967" s="3299" t="s">
        <v>66</v>
      </c>
      <c r="C6967" s="3063"/>
      <c r="D6967" s="3064"/>
      <c r="E6967" s="3064"/>
      <c r="F6967" s="3064"/>
      <c r="G6967" s="3300" t="s">
        <v>66</v>
      </c>
      <c r="H6967" s="3063"/>
      <c r="I6967" s="3030"/>
    </row>
    <row r="6968" spans="2:9" ht="25.5">
      <c r="B6968" s="3192" t="s">
        <v>675</v>
      </c>
      <c r="C6968" s="3063"/>
      <c r="D6968" s="3064"/>
      <c r="E6968" s="3064"/>
      <c r="F6968" s="3064"/>
      <c r="G6968" s="3301" t="s">
        <v>675</v>
      </c>
      <c r="H6968" s="3063"/>
      <c r="I6968" s="3030"/>
    </row>
    <row r="6969" spans="2:9" ht="25.5">
      <c r="B6969" s="3192" t="s">
        <v>676</v>
      </c>
      <c r="C6969" s="3063"/>
      <c r="D6969" s="3064"/>
      <c r="E6969" s="3064"/>
      <c r="F6969" s="3064"/>
      <c r="G6969" s="3301" t="s">
        <v>676</v>
      </c>
      <c r="H6969" s="3063"/>
      <c r="I6969" s="3030"/>
    </row>
    <row r="6970" spans="2:9">
      <c r="B6970" s="3192" t="s">
        <v>677</v>
      </c>
      <c r="C6970" s="3063"/>
      <c r="D6970" s="3064"/>
      <c r="E6970" s="3064"/>
      <c r="F6970" s="3064"/>
      <c r="G6970" s="3301" t="s">
        <v>677</v>
      </c>
      <c r="H6970" s="3063"/>
      <c r="I6970" s="3030"/>
    </row>
    <row r="6971" spans="2:9">
      <c r="B6971" s="3192" t="s">
        <v>678</v>
      </c>
      <c r="C6971" s="3063"/>
      <c r="D6971" s="3064"/>
      <c r="E6971" s="3064"/>
      <c r="F6971" s="3064"/>
      <c r="G6971" s="3301" t="s">
        <v>678</v>
      </c>
      <c r="H6971" s="3063"/>
      <c r="I6971" s="3030"/>
    </row>
    <row r="6972" spans="2:9">
      <c r="B6972" s="3192" t="s">
        <v>679</v>
      </c>
      <c r="C6972" s="3063"/>
      <c r="D6972" s="3064"/>
      <c r="E6972" s="3064"/>
      <c r="F6972" s="3064"/>
      <c r="G6972" s="3301" t="s">
        <v>679</v>
      </c>
      <c r="H6972" s="3063"/>
      <c r="I6972" s="3030"/>
    </row>
    <row r="6973" spans="2:9" ht="25.5">
      <c r="B6973" s="3192" t="s">
        <v>720</v>
      </c>
      <c r="C6973" s="3063"/>
      <c r="D6973" s="3064"/>
      <c r="E6973" s="3064"/>
      <c r="F6973" s="3064"/>
      <c r="G6973" s="3301" t="s">
        <v>720</v>
      </c>
      <c r="H6973" s="3063"/>
      <c r="I6973" s="3030"/>
    </row>
    <row r="6974" spans="2:9">
      <c r="B6974" s="3299" t="s">
        <v>67</v>
      </c>
      <c r="C6974" s="3063"/>
      <c r="D6974" s="3064"/>
      <c r="E6974" s="3064"/>
      <c r="F6974" s="3064"/>
      <c r="G6974" s="3300" t="s">
        <v>67</v>
      </c>
      <c r="H6974" s="3063"/>
      <c r="I6974" s="3030"/>
    </row>
    <row r="6975" spans="2:9" ht="25.5">
      <c r="B6975" s="3192" t="s">
        <v>675</v>
      </c>
      <c r="C6975" s="3063"/>
      <c r="D6975" s="3064"/>
      <c r="E6975" s="3064"/>
      <c r="F6975" s="3064"/>
      <c r="G6975" s="3301" t="s">
        <v>675</v>
      </c>
      <c r="H6975" s="3063"/>
      <c r="I6975" s="3030"/>
    </row>
    <row r="6976" spans="2:9" ht="25.5">
      <c r="B6976" s="3192" t="s">
        <v>676</v>
      </c>
      <c r="C6976" s="3063"/>
      <c r="D6976" s="3064"/>
      <c r="E6976" s="3064"/>
      <c r="F6976" s="3064"/>
      <c r="G6976" s="3301" t="s">
        <v>676</v>
      </c>
      <c r="H6976" s="3063"/>
      <c r="I6976" s="3030"/>
    </row>
    <row r="6977" spans="2:9">
      <c r="B6977" s="3192" t="s">
        <v>677</v>
      </c>
      <c r="C6977" s="3063"/>
      <c r="D6977" s="3064"/>
      <c r="E6977" s="3064"/>
      <c r="F6977" s="3064"/>
      <c r="G6977" s="3301" t="s">
        <v>677</v>
      </c>
      <c r="H6977" s="3063"/>
      <c r="I6977" s="3030"/>
    </row>
    <row r="6978" spans="2:9">
      <c r="B6978" s="3192" t="s">
        <v>678</v>
      </c>
      <c r="C6978" s="3063"/>
      <c r="D6978" s="3064"/>
      <c r="E6978" s="3064"/>
      <c r="F6978" s="3064"/>
      <c r="G6978" s="3301" t="s">
        <v>678</v>
      </c>
      <c r="H6978" s="3063"/>
      <c r="I6978" s="3030"/>
    </row>
    <row r="6979" spans="2:9">
      <c r="B6979" s="3192" t="s">
        <v>679</v>
      </c>
      <c r="C6979" s="3063"/>
      <c r="D6979" s="3064"/>
      <c r="E6979" s="3064"/>
      <c r="F6979" s="3064"/>
      <c r="G6979" s="3301" t="s">
        <v>679</v>
      </c>
      <c r="H6979" s="3063"/>
      <c r="I6979" s="3030"/>
    </row>
    <row r="6980" spans="2:9" ht="25.5">
      <c r="B6980" s="3230" t="s">
        <v>81</v>
      </c>
      <c r="C6980" s="3063"/>
      <c r="D6980" s="3064"/>
      <c r="E6980" s="3064"/>
      <c r="F6980" s="3064"/>
      <c r="G6980" s="3302" t="s">
        <v>81</v>
      </c>
      <c r="H6980" s="3063"/>
      <c r="I6980" s="3030"/>
    </row>
    <row r="6981" spans="2:9" ht="26.25" thickBot="1">
      <c r="B6981" s="3303" t="s">
        <v>81</v>
      </c>
      <c r="C6981" s="3063"/>
      <c r="D6981" s="3064"/>
      <c r="E6981" s="3064"/>
      <c r="F6981" s="3064"/>
      <c r="G6981" s="3302" t="s">
        <v>81</v>
      </c>
      <c r="H6981" s="3063"/>
      <c r="I6981" s="3030"/>
    </row>
    <row r="6982" spans="2:9">
      <c r="B6982" s="3217" t="s">
        <v>697</v>
      </c>
      <c r="C6982" s="3218"/>
      <c r="D6982" s="3219"/>
      <c r="E6982" s="3219"/>
      <c r="F6982" s="3219"/>
      <c r="G6982" s="3217" t="s">
        <v>697</v>
      </c>
      <c r="H6982" s="3297"/>
      <c r="I6982" s="3298"/>
    </row>
    <row r="6983" spans="2:9">
      <c r="B6983" s="3299" t="s">
        <v>64</v>
      </c>
      <c r="C6983" s="3063"/>
      <c r="D6983" s="3064"/>
      <c r="E6983" s="3064"/>
      <c r="F6983" s="3064"/>
      <c r="G6983" s="3300" t="s">
        <v>64</v>
      </c>
      <c r="H6983" s="3063"/>
      <c r="I6983" s="3030"/>
    </row>
    <row r="6984" spans="2:9" ht="25.5">
      <c r="B6984" s="3192" t="s">
        <v>675</v>
      </c>
      <c r="C6984" s="3063"/>
      <c r="D6984" s="3064"/>
      <c r="E6984" s="3064"/>
      <c r="F6984" s="3064"/>
      <c r="G6984" s="3301" t="s">
        <v>675</v>
      </c>
      <c r="H6984" s="3063"/>
      <c r="I6984" s="3030"/>
    </row>
    <row r="6985" spans="2:9" ht="25.5">
      <c r="B6985" s="3192" t="s">
        <v>676</v>
      </c>
      <c r="C6985" s="3063"/>
      <c r="D6985" s="3064"/>
      <c r="E6985" s="3064"/>
      <c r="F6985" s="3064"/>
      <c r="G6985" s="3301" t="s">
        <v>676</v>
      </c>
      <c r="H6985" s="3063"/>
      <c r="I6985" s="3030"/>
    </row>
    <row r="6986" spans="2:9">
      <c r="B6986" s="3192" t="s">
        <v>677</v>
      </c>
      <c r="C6986" s="3063"/>
      <c r="D6986" s="3064"/>
      <c r="E6986" s="3064"/>
      <c r="F6986" s="3064"/>
      <c r="G6986" s="3301" t="s">
        <v>677</v>
      </c>
      <c r="H6986" s="3063"/>
      <c r="I6986" s="3030"/>
    </row>
    <row r="6987" spans="2:9">
      <c r="B6987" s="3192" t="s">
        <v>678</v>
      </c>
      <c r="C6987" s="3063"/>
      <c r="D6987" s="3064"/>
      <c r="E6987" s="3064"/>
      <c r="F6987" s="3064"/>
      <c r="G6987" s="3301" t="s">
        <v>678</v>
      </c>
      <c r="H6987" s="3063"/>
      <c r="I6987" s="3030"/>
    </row>
    <row r="6988" spans="2:9">
      <c r="B6988" s="3192" t="s">
        <v>679</v>
      </c>
      <c r="C6988" s="3063"/>
      <c r="D6988" s="3064"/>
      <c r="E6988" s="3064"/>
      <c r="F6988" s="3064"/>
      <c r="G6988" s="3301" t="s">
        <v>679</v>
      </c>
      <c r="H6988" s="3063"/>
      <c r="I6988" s="3030"/>
    </row>
    <row r="6989" spans="2:9" ht="25.5">
      <c r="B6989" s="3192" t="s">
        <v>720</v>
      </c>
      <c r="C6989" s="3063"/>
      <c r="D6989" s="3064"/>
      <c r="E6989" s="3064"/>
      <c r="F6989" s="3064"/>
      <c r="G6989" s="3301" t="s">
        <v>720</v>
      </c>
      <c r="H6989" s="3063"/>
      <c r="I6989" s="3030"/>
    </row>
    <row r="6990" spans="2:9">
      <c r="B6990" s="3299" t="s">
        <v>65</v>
      </c>
      <c r="C6990" s="3063"/>
      <c r="D6990" s="3064"/>
      <c r="E6990" s="3064"/>
      <c r="F6990" s="3064"/>
      <c r="G6990" s="3300" t="s">
        <v>65</v>
      </c>
      <c r="H6990" s="3063"/>
      <c r="I6990" s="3030"/>
    </row>
    <row r="6991" spans="2:9" ht="25.5">
      <c r="B6991" s="3192" t="s">
        <v>675</v>
      </c>
      <c r="C6991" s="3063"/>
      <c r="D6991" s="3064"/>
      <c r="E6991" s="3064"/>
      <c r="F6991" s="3064"/>
      <c r="G6991" s="3301" t="s">
        <v>675</v>
      </c>
      <c r="H6991" s="3063"/>
      <c r="I6991" s="3030"/>
    </row>
    <row r="6992" spans="2:9" ht="25.5">
      <c r="B6992" s="3192" t="s">
        <v>676</v>
      </c>
      <c r="C6992" s="3063"/>
      <c r="D6992" s="3064"/>
      <c r="E6992" s="3064"/>
      <c r="F6992" s="3064"/>
      <c r="G6992" s="3301" t="s">
        <v>676</v>
      </c>
      <c r="H6992" s="3063"/>
      <c r="I6992" s="3030"/>
    </row>
    <row r="6993" spans="2:9">
      <c r="B6993" s="3192" t="s">
        <v>677</v>
      </c>
      <c r="C6993" s="3063"/>
      <c r="D6993" s="3064"/>
      <c r="E6993" s="3064"/>
      <c r="F6993" s="3064"/>
      <c r="G6993" s="3301" t="s">
        <v>677</v>
      </c>
      <c r="H6993" s="3063"/>
      <c r="I6993" s="3030"/>
    </row>
    <row r="6994" spans="2:9">
      <c r="B6994" s="3192" t="s">
        <v>678</v>
      </c>
      <c r="C6994" s="3063"/>
      <c r="D6994" s="3064"/>
      <c r="E6994" s="3064"/>
      <c r="F6994" s="3064"/>
      <c r="G6994" s="3301" t="s">
        <v>678</v>
      </c>
      <c r="H6994" s="3063"/>
      <c r="I6994" s="3030"/>
    </row>
    <row r="6995" spans="2:9">
      <c r="B6995" s="3192" t="s">
        <v>679</v>
      </c>
      <c r="C6995" s="3063"/>
      <c r="D6995" s="3064"/>
      <c r="E6995" s="3064"/>
      <c r="F6995" s="3064"/>
      <c r="G6995" s="3301" t="s">
        <v>679</v>
      </c>
      <c r="H6995" s="3063"/>
      <c r="I6995" s="3030"/>
    </row>
    <row r="6996" spans="2:9" ht="25.5">
      <c r="B6996" s="3192" t="s">
        <v>720</v>
      </c>
      <c r="C6996" s="3063"/>
      <c r="D6996" s="3064"/>
      <c r="E6996" s="3064"/>
      <c r="F6996" s="3064"/>
      <c r="G6996" s="3301" t="s">
        <v>720</v>
      </c>
      <c r="H6996" s="3063"/>
      <c r="I6996" s="3030"/>
    </row>
    <row r="6997" spans="2:9">
      <c r="B6997" s="3299" t="s">
        <v>82</v>
      </c>
      <c r="C6997" s="3063"/>
      <c r="D6997" s="3064"/>
      <c r="E6997" s="3064"/>
      <c r="F6997" s="3064"/>
      <c r="G6997" s="3300" t="s">
        <v>82</v>
      </c>
      <c r="H6997" s="3063"/>
      <c r="I6997" s="3030"/>
    </row>
    <row r="6998" spans="2:9" ht="25.5">
      <c r="B6998" s="3192" t="s">
        <v>675</v>
      </c>
      <c r="C6998" s="3063"/>
      <c r="D6998" s="3064"/>
      <c r="E6998" s="3064"/>
      <c r="F6998" s="3064"/>
      <c r="G6998" s="3301" t="s">
        <v>675</v>
      </c>
      <c r="H6998" s="3063"/>
      <c r="I6998" s="3030"/>
    </row>
    <row r="6999" spans="2:9" ht="25.5">
      <c r="B6999" s="3192" t="s">
        <v>676</v>
      </c>
      <c r="C6999" s="3063"/>
      <c r="D6999" s="3064"/>
      <c r="E6999" s="3064"/>
      <c r="F6999" s="3064"/>
      <c r="G6999" s="3301" t="s">
        <v>676</v>
      </c>
      <c r="H6999" s="3063"/>
      <c r="I6999" s="3030"/>
    </row>
    <row r="7000" spans="2:9">
      <c r="B7000" s="3192" t="s">
        <v>677</v>
      </c>
      <c r="C7000" s="3063"/>
      <c r="D7000" s="3064"/>
      <c r="E7000" s="3064"/>
      <c r="F7000" s="3064"/>
      <c r="G7000" s="3301" t="s">
        <v>677</v>
      </c>
      <c r="H7000" s="3063"/>
      <c r="I7000" s="3030"/>
    </row>
    <row r="7001" spans="2:9">
      <c r="B7001" s="3192" t="s">
        <v>678</v>
      </c>
      <c r="C7001" s="3063"/>
      <c r="D7001" s="3064"/>
      <c r="E7001" s="3064"/>
      <c r="F7001" s="3064"/>
      <c r="G7001" s="3301" t="s">
        <v>678</v>
      </c>
      <c r="H7001" s="3063"/>
      <c r="I7001" s="3030"/>
    </row>
    <row r="7002" spans="2:9">
      <c r="B7002" s="3192" t="s">
        <v>679</v>
      </c>
      <c r="C7002" s="3063"/>
      <c r="D7002" s="3064"/>
      <c r="E7002" s="3064"/>
      <c r="F7002" s="3064"/>
      <c r="G7002" s="3301" t="s">
        <v>679</v>
      </c>
      <c r="H7002" s="3063"/>
      <c r="I7002" s="3030"/>
    </row>
    <row r="7003" spans="2:9" ht="25.5">
      <c r="B7003" s="3192" t="s">
        <v>720</v>
      </c>
      <c r="C7003" s="3063"/>
      <c r="D7003" s="3064"/>
      <c r="E7003" s="3064"/>
      <c r="F7003" s="3064"/>
      <c r="G7003" s="3301" t="s">
        <v>720</v>
      </c>
      <c r="H7003" s="3063"/>
      <c r="I7003" s="3030"/>
    </row>
    <row r="7004" spans="2:9" ht="38.25">
      <c r="B7004" s="3299" t="s">
        <v>680</v>
      </c>
      <c r="C7004" s="3063"/>
      <c r="D7004" s="3064"/>
      <c r="E7004" s="3064"/>
      <c r="F7004" s="3064"/>
      <c r="G7004" s="3300" t="s">
        <v>680</v>
      </c>
      <c r="H7004" s="3063"/>
      <c r="I7004" s="3030"/>
    </row>
    <row r="7005" spans="2:9" ht="25.5">
      <c r="B7005" s="3192" t="s">
        <v>675</v>
      </c>
      <c r="C7005" s="3063"/>
      <c r="D7005" s="3064"/>
      <c r="E7005" s="3064"/>
      <c r="F7005" s="3064"/>
      <c r="G7005" s="3301" t="s">
        <v>675</v>
      </c>
      <c r="H7005" s="3063"/>
      <c r="I7005" s="3030"/>
    </row>
    <row r="7006" spans="2:9" ht="25.5">
      <c r="B7006" s="3192" t="s">
        <v>676</v>
      </c>
      <c r="C7006" s="3063"/>
      <c r="D7006" s="3064"/>
      <c r="E7006" s="3064"/>
      <c r="F7006" s="3064"/>
      <c r="G7006" s="3301" t="s">
        <v>676</v>
      </c>
      <c r="H7006" s="3063"/>
      <c r="I7006" s="3030"/>
    </row>
    <row r="7007" spans="2:9">
      <c r="B7007" s="3192" t="s">
        <v>677</v>
      </c>
      <c r="C7007" s="3063"/>
      <c r="D7007" s="3064"/>
      <c r="E7007" s="3064"/>
      <c r="F7007" s="3064"/>
      <c r="G7007" s="3301" t="s">
        <v>677</v>
      </c>
      <c r="H7007" s="3063"/>
      <c r="I7007" s="3030"/>
    </row>
    <row r="7008" spans="2:9">
      <c r="B7008" s="3192" t="s">
        <v>678</v>
      </c>
      <c r="C7008" s="3063"/>
      <c r="D7008" s="3064"/>
      <c r="E7008" s="3064"/>
      <c r="F7008" s="3064"/>
      <c r="G7008" s="3301" t="s">
        <v>678</v>
      </c>
      <c r="H7008" s="3063"/>
      <c r="I7008" s="3030"/>
    </row>
    <row r="7009" spans="2:9">
      <c r="B7009" s="3192" t="s">
        <v>679</v>
      </c>
      <c r="C7009" s="3063"/>
      <c r="D7009" s="3064"/>
      <c r="E7009" s="3064"/>
      <c r="F7009" s="3064"/>
      <c r="G7009" s="3301" t="s">
        <v>679</v>
      </c>
      <c r="H7009" s="3063"/>
      <c r="I7009" s="3030"/>
    </row>
    <row r="7010" spans="2:9" ht="25.5">
      <c r="B7010" s="3192" t="s">
        <v>720</v>
      </c>
      <c r="C7010" s="3063"/>
      <c r="D7010" s="3064"/>
      <c r="E7010" s="3064"/>
      <c r="F7010" s="3064"/>
      <c r="G7010" s="3301" t="s">
        <v>720</v>
      </c>
      <c r="H7010" s="3063"/>
      <c r="I7010" s="3030"/>
    </row>
    <row r="7011" spans="2:9" ht="38.25">
      <c r="B7011" s="3299" t="s">
        <v>681</v>
      </c>
      <c r="C7011" s="3063"/>
      <c r="D7011" s="3064"/>
      <c r="E7011" s="3064"/>
      <c r="F7011" s="3064"/>
      <c r="G7011" s="3300" t="s">
        <v>681</v>
      </c>
      <c r="H7011" s="3063"/>
      <c r="I7011" s="3030"/>
    </row>
    <row r="7012" spans="2:9" ht="25.5">
      <c r="B7012" s="3192" t="s">
        <v>675</v>
      </c>
      <c r="C7012" s="3063"/>
      <c r="D7012" s="3064"/>
      <c r="E7012" s="3064"/>
      <c r="F7012" s="3064"/>
      <c r="G7012" s="3301" t="s">
        <v>675</v>
      </c>
      <c r="H7012" s="3063"/>
      <c r="I7012" s="3030"/>
    </row>
    <row r="7013" spans="2:9" ht="25.5">
      <c r="B7013" s="3192" t="s">
        <v>676</v>
      </c>
      <c r="C7013" s="3063"/>
      <c r="D7013" s="3064"/>
      <c r="E7013" s="3064"/>
      <c r="F7013" s="3064"/>
      <c r="G7013" s="3301" t="s">
        <v>676</v>
      </c>
      <c r="H7013" s="3063"/>
      <c r="I7013" s="3030"/>
    </row>
    <row r="7014" spans="2:9">
      <c r="B7014" s="3192" t="s">
        <v>677</v>
      </c>
      <c r="C7014" s="3063"/>
      <c r="D7014" s="3064"/>
      <c r="E7014" s="3064"/>
      <c r="F7014" s="3064"/>
      <c r="G7014" s="3301" t="s">
        <v>677</v>
      </c>
      <c r="H7014" s="3063"/>
      <c r="I7014" s="3030"/>
    </row>
    <row r="7015" spans="2:9">
      <c r="B7015" s="3192" t="s">
        <v>678</v>
      </c>
      <c r="C7015" s="3063"/>
      <c r="D7015" s="3064"/>
      <c r="E7015" s="3064"/>
      <c r="F7015" s="3064"/>
      <c r="G7015" s="3301" t="s">
        <v>678</v>
      </c>
      <c r="H7015" s="3063"/>
      <c r="I7015" s="3030"/>
    </row>
    <row r="7016" spans="2:9">
      <c r="B7016" s="3192" t="s">
        <v>679</v>
      </c>
      <c r="C7016" s="3063"/>
      <c r="D7016" s="3064"/>
      <c r="E7016" s="3064"/>
      <c r="F7016" s="3064"/>
      <c r="G7016" s="3301" t="s">
        <v>679</v>
      </c>
      <c r="H7016" s="3063"/>
      <c r="I7016" s="3030"/>
    </row>
    <row r="7017" spans="2:9" ht="25.5">
      <c r="B7017" s="3192" t="s">
        <v>720</v>
      </c>
      <c r="C7017" s="3063"/>
      <c r="D7017" s="3064"/>
      <c r="E7017" s="3064"/>
      <c r="F7017" s="3064"/>
      <c r="G7017" s="3301" t="s">
        <v>720</v>
      </c>
      <c r="H7017" s="3063"/>
      <c r="I7017" s="3030"/>
    </row>
    <row r="7018" spans="2:9" ht="25.5">
      <c r="B7018" s="3299" t="s">
        <v>682</v>
      </c>
      <c r="C7018" s="3063"/>
      <c r="D7018" s="3064"/>
      <c r="E7018" s="3064"/>
      <c r="F7018" s="3064"/>
      <c r="G7018" s="3300" t="s">
        <v>682</v>
      </c>
      <c r="H7018" s="3063"/>
      <c r="I7018" s="3030"/>
    </row>
    <row r="7019" spans="2:9" ht="25.5">
      <c r="B7019" s="3192" t="s">
        <v>675</v>
      </c>
      <c r="C7019" s="3063"/>
      <c r="D7019" s="3064"/>
      <c r="E7019" s="3064"/>
      <c r="F7019" s="3064"/>
      <c r="G7019" s="3301" t="s">
        <v>675</v>
      </c>
      <c r="H7019" s="3063"/>
      <c r="I7019" s="3030"/>
    </row>
    <row r="7020" spans="2:9" ht="25.5">
      <c r="B7020" s="3192" t="s">
        <v>676</v>
      </c>
      <c r="C7020" s="3063"/>
      <c r="D7020" s="3064"/>
      <c r="E7020" s="3064"/>
      <c r="F7020" s="3064"/>
      <c r="G7020" s="3301" t="s">
        <v>676</v>
      </c>
      <c r="H7020" s="3063"/>
      <c r="I7020" s="3030"/>
    </row>
    <row r="7021" spans="2:9">
      <c r="B7021" s="3192" t="s">
        <v>677</v>
      </c>
      <c r="C7021" s="3063"/>
      <c r="D7021" s="3064"/>
      <c r="E7021" s="3064"/>
      <c r="F7021" s="3064"/>
      <c r="G7021" s="3301" t="s">
        <v>677</v>
      </c>
      <c r="H7021" s="3063"/>
      <c r="I7021" s="3030"/>
    </row>
    <row r="7022" spans="2:9">
      <c r="B7022" s="3192" t="s">
        <v>678</v>
      </c>
      <c r="C7022" s="3063"/>
      <c r="D7022" s="3064"/>
      <c r="E7022" s="3064"/>
      <c r="F7022" s="3064"/>
      <c r="G7022" s="3301" t="s">
        <v>678</v>
      </c>
      <c r="H7022" s="3063"/>
      <c r="I7022" s="3030"/>
    </row>
    <row r="7023" spans="2:9">
      <c r="B7023" s="3192" t="s">
        <v>679</v>
      </c>
      <c r="C7023" s="3063"/>
      <c r="D7023" s="3064"/>
      <c r="E7023" s="3064"/>
      <c r="F7023" s="3064"/>
      <c r="G7023" s="3301" t="s">
        <v>679</v>
      </c>
      <c r="H7023" s="3063"/>
      <c r="I7023" s="3030"/>
    </row>
    <row r="7024" spans="2:9" ht="25.5">
      <c r="B7024" s="3192" t="s">
        <v>720</v>
      </c>
      <c r="C7024" s="3063"/>
      <c r="D7024" s="3064"/>
      <c r="E7024" s="3064"/>
      <c r="F7024" s="3064"/>
      <c r="G7024" s="3301" t="s">
        <v>720</v>
      </c>
      <c r="H7024" s="3063"/>
      <c r="I7024" s="3030"/>
    </row>
    <row r="7025" spans="2:9" ht="25.5">
      <c r="B7025" s="3299" t="s">
        <v>66</v>
      </c>
      <c r="C7025" s="3063"/>
      <c r="D7025" s="3064"/>
      <c r="E7025" s="3064"/>
      <c r="F7025" s="3064"/>
      <c r="G7025" s="3300" t="s">
        <v>66</v>
      </c>
      <c r="H7025" s="3063"/>
      <c r="I7025" s="3030"/>
    </row>
    <row r="7026" spans="2:9" ht="25.5">
      <c r="B7026" s="3192" t="s">
        <v>675</v>
      </c>
      <c r="C7026" s="3063"/>
      <c r="D7026" s="3064"/>
      <c r="E7026" s="3064"/>
      <c r="F7026" s="3064"/>
      <c r="G7026" s="3301" t="s">
        <v>675</v>
      </c>
      <c r="H7026" s="3063"/>
      <c r="I7026" s="3030"/>
    </row>
    <row r="7027" spans="2:9" ht="25.5">
      <c r="B7027" s="3192" t="s">
        <v>676</v>
      </c>
      <c r="C7027" s="3063"/>
      <c r="D7027" s="3064"/>
      <c r="E7027" s="3064"/>
      <c r="F7027" s="3064"/>
      <c r="G7027" s="3301" t="s">
        <v>676</v>
      </c>
      <c r="H7027" s="3063"/>
      <c r="I7027" s="3030"/>
    </row>
    <row r="7028" spans="2:9">
      <c r="B7028" s="3192" t="s">
        <v>677</v>
      </c>
      <c r="C7028" s="3063"/>
      <c r="D7028" s="3064"/>
      <c r="E7028" s="3064"/>
      <c r="F7028" s="3064"/>
      <c r="G7028" s="3301" t="s">
        <v>677</v>
      </c>
      <c r="H7028" s="3063"/>
      <c r="I7028" s="3030"/>
    </row>
    <row r="7029" spans="2:9">
      <c r="B7029" s="3192" t="s">
        <v>678</v>
      </c>
      <c r="C7029" s="3063"/>
      <c r="D7029" s="3064"/>
      <c r="E7029" s="3064"/>
      <c r="F7029" s="3064"/>
      <c r="G7029" s="3301" t="s">
        <v>678</v>
      </c>
      <c r="H7029" s="3063"/>
      <c r="I7029" s="3030"/>
    </row>
    <row r="7030" spans="2:9">
      <c r="B7030" s="3192" t="s">
        <v>679</v>
      </c>
      <c r="C7030" s="3063"/>
      <c r="D7030" s="3064"/>
      <c r="E7030" s="3064"/>
      <c r="F7030" s="3064"/>
      <c r="G7030" s="3301" t="s">
        <v>679</v>
      </c>
      <c r="H7030" s="3063"/>
      <c r="I7030" s="3030"/>
    </row>
    <row r="7031" spans="2:9" ht="25.5">
      <c r="B7031" s="3192" t="s">
        <v>720</v>
      </c>
      <c r="C7031" s="3063"/>
      <c r="D7031" s="3064"/>
      <c r="E7031" s="3064"/>
      <c r="F7031" s="3064"/>
      <c r="G7031" s="3301" t="s">
        <v>720</v>
      </c>
      <c r="H7031" s="3063"/>
      <c r="I7031" s="3030"/>
    </row>
    <row r="7032" spans="2:9">
      <c r="B7032" s="3299" t="s">
        <v>67</v>
      </c>
      <c r="C7032" s="3063"/>
      <c r="D7032" s="3064"/>
      <c r="E7032" s="3064"/>
      <c r="F7032" s="3064">
        <v>1</v>
      </c>
      <c r="G7032" s="3300" t="s">
        <v>67</v>
      </c>
      <c r="H7032" s="3063">
        <v>2.7559597629874578E-2</v>
      </c>
      <c r="I7032" s="3030"/>
    </row>
    <row r="7033" spans="2:9" ht="25.5">
      <c r="B7033" s="3192" t="s">
        <v>675</v>
      </c>
      <c r="C7033" s="3063">
        <v>2</v>
      </c>
      <c r="D7033" s="3064">
        <v>3</v>
      </c>
      <c r="E7033" s="3064"/>
      <c r="F7033" s="3064"/>
      <c r="G7033" s="3301" t="s">
        <v>675</v>
      </c>
      <c r="H7033" s="3063"/>
      <c r="I7033" s="3030"/>
    </row>
    <row r="7034" spans="2:9" ht="25.5">
      <c r="B7034" s="3192" t="s">
        <v>676</v>
      </c>
      <c r="C7034" s="3063"/>
      <c r="D7034" s="3064"/>
      <c r="E7034" s="3064"/>
      <c r="F7034" s="3064"/>
      <c r="G7034" s="3301" t="s">
        <v>676</v>
      </c>
      <c r="H7034" s="3063"/>
      <c r="I7034" s="3030"/>
    </row>
    <row r="7035" spans="2:9">
      <c r="B7035" s="3192" t="s">
        <v>677</v>
      </c>
      <c r="C7035" s="3063"/>
      <c r="D7035" s="3064"/>
      <c r="E7035" s="3064"/>
      <c r="F7035" s="3064"/>
      <c r="G7035" s="3301" t="s">
        <v>677</v>
      </c>
      <c r="H7035" s="3063"/>
      <c r="I7035" s="3030"/>
    </row>
    <row r="7036" spans="2:9">
      <c r="B7036" s="3192" t="s">
        <v>678</v>
      </c>
      <c r="C7036" s="3063"/>
      <c r="D7036" s="3064"/>
      <c r="E7036" s="3064"/>
      <c r="F7036" s="3064"/>
      <c r="G7036" s="3301" t="s">
        <v>678</v>
      </c>
      <c r="H7036" s="3063"/>
      <c r="I7036" s="3030"/>
    </row>
    <row r="7037" spans="2:9">
      <c r="B7037" s="3192" t="s">
        <v>679</v>
      </c>
      <c r="C7037" s="3063">
        <v>2</v>
      </c>
      <c r="D7037" s="3064">
        <v>2</v>
      </c>
      <c r="E7037" s="3064"/>
      <c r="F7037" s="3064"/>
      <c r="G7037" s="3301" t="s">
        <v>679</v>
      </c>
      <c r="H7037" s="3063"/>
      <c r="I7037" s="3030"/>
    </row>
    <row r="7038" spans="2:9" ht="25.5">
      <c r="B7038" s="3230" t="s">
        <v>81</v>
      </c>
      <c r="C7038" s="3063"/>
      <c r="D7038" s="3064"/>
      <c r="E7038" s="3064"/>
      <c r="F7038" s="3064"/>
      <c r="G7038" s="3302" t="s">
        <v>81</v>
      </c>
      <c r="H7038" s="3063"/>
      <c r="I7038" s="3030"/>
    </row>
    <row r="7039" spans="2:9" ht="26.25" thickBot="1">
      <c r="B7039" s="3303" t="s">
        <v>81</v>
      </c>
      <c r="C7039" s="3068"/>
      <c r="D7039" s="3069"/>
      <c r="E7039" s="3069"/>
      <c r="F7039" s="3069"/>
      <c r="G7039" s="3304" t="s">
        <v>81</v>
      </c>
      <c r="H7039" s="3068"/>
      <c r="I7039" s="3070"/>
    </row>
    <row r="7040" spans="2:9" ht="38.25">
      <c r="B7040" s="4723">
        <v>3044</v>
      </c>
      <c r="C7040" s="3289"/>
      <c r="D7040" s="3290"/>
      <c r="E7040" s="3290"/>
      <c r="F7040" s="3290"/>
      <c r="G7040" s="4723">
        <v>3044</v>
      </c>
      <c r="H7040" s="3291" t="s">
        <v>687</v>
      </c>
      <c r="I7040" s="3292" t="s">
        <v>688</v>
      </c>
    </row>
    <row r="7041" spans="2:9">
      <c r="B7041" s="4724"/>
      <c r="C7041" s="4678" t="s">
        <v>686</v>
      </c>
      <c r="D7041" s="4725"/>
      <c r="E7041" s="4725"/>
      <c r="F7041" s="4726"/>
      <c r="G7041" s="4724"/>
      <c r="H7041" s="3293"/>
      <c r="I7041" s="3294"/>
    </row>
    <row r="7042" spans="2:9" ht="13.5" thickBot="1">
      <c r="B7042" s="4724"/>
      <c r="C7042" s="3215">
        <v>2013</v>
      </c>
      <c r="D7042" s="3215">
        <v>2014</v>
      </c>
      <c r="E7042" s="3215">
        <v>2015</v>
      </c>
      <c r="F7042" s="3215">
        <v>2016</v>
      </c>
      <c r="G7042" s="4724"/>
      <c r="H7042" s="3295" t="s">
        <v>390</v>
      </c>
      <c r="I7042" s="3296" t="s">
        <v>390</v>
      </c>
    </row>
    <row r="7043" spans="2:9">
      <c r="B7043" s="3217" t="s">
        <v>695</v>
      </c>
      <c r="C7043" s="3218"/>
      <c r="D7043" s="3219"/>
      <c r="E7043" s="3219"/>
      <c r="F7043" s="3219"/>
      <c r="G7043" s="3217" t="s">
        <v>695</v>
      </c>
      <c r="H7043" s="3297"/>
      <c r="I7043" s="3298"/>
    </row>
    <row r="7044" spans="2:9">
      <c r="B7044" s="3299" t="s">
        <v>64</v>
      </c>
      <c r="C7044" s="3063"/>
      <c r="D7044" s="3064"/>
      <c r="E7044" s="3064"/>
      <c r="F7044" s="3064"/>
      <c r="G7044" s="3300" t="s">
        <v>64</v>
      </c>
      <c r="H7044" s="3063">
        <v>0.71428571428571486</v>
      </c>
      <c r="I7044" s="3030"/>
    </row>
    <row r="7045" spans="2:9" ht="25.5">
      <c r="B7045" s="3192" t="s">
        <v>675</v>
      </c>
      <c r="C7045" s="3063">
        <v>6</v>
      </c>
      <c r="D7045" s="3064">
        <v>8</v>
      </c>
      <c r="E7045" s="3064"/>
      <c r="F7045" s="3064"/>
      <c r="G7045" s="3301" t="s">
        <v>675</v>
      </c>
      <c r="H7045" s="3063"/>
      <c r="I7045" s="3030">
        <v>1.0294117647058831</v>
      </c>
    </row>
    <row r="7046" spans="2:9" ht="25.5">
      <c r="B7046" s="3192" t="s">
        <v>676</v>
      </c>
      <c r="C7046" s="3063"/>
      <c r="D7046" s="3064"/>
      <c r="E7046" s="3064"/>
      <c r="F7046" s="3064"/>
      <c r="G7046" s="3301" t="s">
        <v>676</v>
      </c>
      <c r="H7046" s="3063"/>
      <c r="I7046" s="3030"/>
    </row>
    <row r="7047" spans="2:9">
      <c r="B7047" s="3192" t="s">
        <v>677</v>
      </c>
      <c r="C7047" s="3063"/>
      <c r="D7047" s="3064"/>
      <c r="E7047" s="3064"/>
      <c r="F7047" s="3064"/>
      <c r="G7047" s="3301" t="s">
        <v>677</v>
      </c>
      <c r="H7047" s="3063"/>
      <c r="I7047" s="3030"/>
    </row>
    <row r="7048" spans="2:9">
      <c r="B7048" s="3192" t="s">
        <v>678</v>
      </c>
      <c r="C7048" s="3063">
        <v>8</v>
      </c>
      <c r="D7048" s="3064">
        <v>5</v>
      </c>
      <c r="E7048" s="3064"/>
      <c r="F7048" s="3064"/>
      <c r="G7048" s="3301" t="s">
        <v>678</v>
      </c>
      <c r="H7048" s="3063"/>
      <c r="I7048" s="3030"/>
    </row>
    <row r="7049" spans="2:9">
      <c r="B7049" s="3192" t="s">
        <v>679</v>
      </c>
      <c r="C7049" s="3063"/>
      <c r="D7049" s="3064">
        <v>1</v>
      </c>
      <c r="E7049" s="3064"/>
      <c r="F7049" s="3064"/>
      <c r="G7049" s="3301" t="s">
        <v>679</v>
      </c>
      <c r="H7049" s="3063"/>
      <c r="I7049" s="3030"/>
    </row>
    <row r="7050" spans="2:9" ht="25.5">
      <c r="B7050" s="3192" t="s">
        <v>720</v>
      </c>
      <c r="C7050" s="3063">
        <v>5</v>
      </c>
      <c r="D7050" s="3064">
        <v>1</v>
      </c>
      <c r="E7050" s="3064"/>
      <c r="F7050" s="3064"/>
      <c r="G7050" s="3301" t="s">
        <v>720</v>
      </c>
      <c r="H7050" s="3063"/>
      <c r="I7050" s="3030"/>
    </row>
    <row r="7051" spans="2:9">
      <c r="B7051" s="3299" t="s">
        <v>65</v>
      </c>
      <c r="C7051" s="3063"/>
      <c r="D7051" s="3064"/>
      <c r="E7051" s="3064"/>
      <c r="F7051" s="3064"/>
      <c r="G7051" s="3300" t="s">
        <v>65</v>
      </c>
      <c r="H7051" s="3063">
        <v>2.8868360277136258</v>
      </c>
      <c r="I7051" s="3030"/>
    </row>
    <row r="7052" spans="2:9" ht="25.5">
      <c r="B7052" s="3192" t="s">
        <v>675</v>
      </c>
      <c r="C7052" s="3063">
        <v>1</v>
      </c>
      <c r="D7052" s="3064"/>
      <c r="E7052" s="3064"/>
      <c r="F7052" s="3064"/>
      <c r="G7052" s="3301" t="s">
        <v>675</v>
      </c>
      <c r="H7052" s="3063"/>
      <c r="I7052" s="3030">
        <v>1.1547344110854503</v>
      </c>
    </row>
    <row r="7053" spans="2:9" ht="25.5">
      <c r="B7053" s="3192" t="s">
        <v>676</v>
      </c>
      <c r="C7053" s="3063"/>
      <c r="D7053" s="3064"/>
      <c r="E7053" s="3064"/>
      <c r="F7053" s="3064"/>
      <c r="G7053" s="3301" t="s">
        <v>676</v>
      </c>
      <c r="H7053" s="3063"/>
      <c r="I7053" s="3030"/>
    </row>
    <row r="7054" spans="2:9">
      <c r="B7054" s="3192" t="s">
        <v>677</v>
      </c>
      <c r="C7054" s="3063"/>
      <c r="D7054" s="3064"/>
      <c r="E7054" s="3064"/>
      <c r="F7054" s="3064"/>
      <c r="G7054" s="3301" t="s">
        <v>677</v>
      </c>
      <c r="H7054" s="3063"/>
      <c r="I7054" s="3030"/>
    </row>
    <row r="7055" spans="2:9">
      <c r="B7055" s="3192" t="s">
        <v>678</v>
      </c>
      <c r="C7055" s="3063">
        <v>4</v>
      </c>
      <c r="D7055" s="3064"/>
      <c r="E7055" s="3064"/>
      <c r="F7055" s="3064"/>
      <c r="G7055" s="3301" t="s">
        <v>678</v>
      </c>
      <c r="H7055" s="3063"/>
      <c r="I7055" s="3030"/>
    </row>
    <row r="7056" spans="2:9">
      <c r="B7056" s="3192" t="s">
        <v>679</v>
      </c>
      <c r="C7056" s="3063"/>
      <c r="D7056" s="3064"/>
      <c r="E7056" s="3064"/>
      <c r="F7056" s="3064"/>
      <c r="G7056" s="3301" t="s">
        <v>679</v>
      </c>
      <c r="H7056" s="3063"/>
      <c r="I7056" s="3030"/>
    </row>
    <row r="7057" spans="2:9" ht="25.5">
      <c r="B7057" s="3192" t="s">
        <v>720</v>
      </c>
      <c r="C7057" s="3063"/>
      <c r="D7057" s="3064"/>
      <c r="E7057" s="3064"/>
      <c r="F7057" s="3064"/>
      <c r="G7057" s="3301" t="s">
        <v>720</v>
      </c>
      <c r="H7057" s="3063"/>
      <c r="I7057" s="3030"/>
    </row>
    <row r="7058" spans="2:9">
      <c r="B7058" s="3299" t="s">
        <v>82</v>
      </c>
      <c r="C7058" s="3063"/>
      <c r="D7058" s="3064"/>
      <c r="E7058" s="3064"/>
      <c r="F7058" s="3064"/>
      <c r="G7058" s="3300" t="s">
        <v>82</v>
      </c>
      <c r="H7058" s="3063"/>
      <c r="I7058" s="3030"/>
    </row>
    <row r="7059" spans="2:9" ht="25.5">
      <c r="B7059" s="3192" t="s">
        <v>675</v>
      </c>
      <c r="C7059" s="3063"/>
      <c r="D7059" s="3064"/>
      <c r="E7059" s="3064"/>
      <c r="F7059" s="3064"/>
      <c r="G7059" s="3301" t="s">
        <v>675</v>
      </c>
      <c r="H7059" s="3063"/>
      <c r="I7059" s="3030"/>
    </row>
    <row r="7060" spans="2:9" ht="25.5">
      <c r="B7060" s="3192" t="s">
        <v>676</v>
      </c>
      <c r="C7060" s="3063"/>
      <c r="D7060" s="3064"/>
      <c r="E7060" s="3064"/>
      <c r="F7060" s="3064"/>
      <c r="G7060" s="3301" t="s">
        <v>676</v>
      </c>
      <c r="H7060" s="3063"/>
      <c r="I7060" s="3030"/>
    </row>
    <row r="7061" spans="2:9">
      <c r="B7061" s="3192" t="s">
        <v>677</v>
      </c>
      <c r="C7061" s="3063"/>
      <c r="D7061" s="3064"/>
      <c r="E7061" s="3064"/>
      <c r="F7061" s="3064"/>
      <c r="G7061" s="3301" t="s">
        <v>677</v>
      </c>
      <c r="H7061" s="3063"/>
      <c r="I7061" s="3030"/>
    </row>
    <row r="7062" spans="2:9">
      <c r="B7062" s="3192" t="s">
        <v>678</v>
      </c>
      <c r="C7062" s="3063"/>
      <c r="D7062" s="3064"/>
      <c r="E7062" s="3064"/>
      <c r="F7062" s="3064"/>
      <c r="G7062" s="3301" t="s">
        <v>678</v>
      </c>
      <c r="H7062" s="3063"/>
      <c r="I7062" s="3030"/>
    </row>
    <row r="7063" spans="2:9">
      <c r="B7063" s="3192" t="s">
        <v>679</v>
      </c>
      <c r="C7063" s="3063"/>
      <c r="D7063" s="3064"/>
      <c r="E7063" s="3064"/>
      <c r="F7063" s="3064"/>
      <c r="G7063" s="3301" t="s">
        <v>679</v>
      </c>
      <c r="H7063" s="3063"/>
      <c r="I7063" s="3030"/>
    </row>
    <row r="7064" spans="2:9" ht="25.5">
      <c r="B7064" s="3192" t="s">
        <v>720</v>
      </c>
      <c r="C7064" s="3063"/>
      <c r="D7064" s="3064"/>
      <c r="E7064" s="3064"/>
      <c r="F7064" s="3064"/>
      <c r="G7064" s="3301" t="s">
        <v>720</v>
      </c>
      <c r="H7064" s="3063"/>
      <c r="I7064" s="3030"/>
    </row>
    <row r="7065" spans="2:9" ht="38.25">
      <c r="B7065" s="3299" t="s">
        <v>680</v>
      </c>
      <c r="C7065" s="3063"/>
      <c r="D7065" s="3064"/>
      <c r="E7065" s="3064"/>
      <c r="F7065" s="3064"/>
      <c r="G7065" s="3300" t="s">
        <v>680</v>
      </c>
      <c r="H7065" s="3063"/>
      <c r="I7065" s="3030"/>
    </row>
    <row r="7066" spans="2:9" ht="25.5">
      <c r="B7066" s="3192" t="s">
        <v>675</v>
      </c>
      <c r="C7066" s="3063"/>
      <c r="D7066" s="3064"/>
      <c r="E7066" s="3064"/>
      <c r="F7066" s="3064"/>
      <c r="G7066" s="3301" t="s">
        <v>675</v>
      </c>
      <c r="H7066" s="3063"/>
      <c r="I7066" s="3030"/>
    </row>
    <row r="7067" spans="2:9" ht="25.5">
      <c r="B7067" s="3192" t="s">
        <v>676</v>
      </c>
      <c r="C7067" s="3063"/>
      <c r="D7067" s="3064"/>
      <c r="E7067" s="3064"/>
      <c r="F7067" s="3064"/>
      <c r="G7067" s="3301" t="s">
        <v>676</v>
      </c>
      <c r="H7067" s="3063"/>
      <c r="I7067" s="3030"/>
    </row>
    <row r="7068" spans="2:9">
      <c r="B7068" s="3192" t="s">
        <v>677</v>
      </c>
      <c r="C7068" s="3063"/>
      <c r="D7068" s="3064"/>
      <c r="E7068" s="3064"/>
      <c r="F7068" s="3064"/>
      <c r="G7068" s="3301" t="s">
        <v>677</v>
      </c>
      <c r="H7068" s="3063"/>
      <c r="I7068" s="3030"/>
    </row>
    <row r="7069" spans="2:9">
      <c r="B7069" s="3192" t="s">
        <v>678</v>
      </c>
      <c r="C7069" s="3063"/>
      <c r="D7069" s="3064"/>
      <c r="E7069" s="3064"/>
      <c r="F7069" s="3064"/>
      <c r="G7069" s="3301" t="s">
        <v>678</v>
      </c>
      <c r="H7069" s="3063"/>
      <c r="I7069" s="3030"/>
    </row>
    <row r="7070" spans="2:9">
      <c r="B7070" s="3192" t="s">
        <v>679</v>
      </c>
      <c r="C7070" s="3063"/>
      <c r="D7070" s="3064"/>
      <c r="E7070" s="3064"/>
      <c r="F7070" s="3064"/>
      <c r="G7070" s="3301" t="s">
        <v>679</v>
      </c>
      <c r="H7070" s="3063"/>
      <c r="I7070" s="3030"/>
    </row>
    <row r="7071" spans="2:9" ht="25.5">
      <c r="B7071" s="3192" t="s">
        <v>720</v>
      </c>
      <c r="C7071" s="3063"/>
      <c r="D7071" s="3064"/>
      <c r="E7071" s="3064"/>
      <c r="F7071" s="3064"/>
      <c r="G7071" s="3301" t="s">
        <v>720</v>
      </c>
      <c r="H7071" s="3063"/>
      <c r="I7071" s="3030"/>
    </row>
    <row r="7072" spans="2:9" ht="38.25">
      <c r="B7072" s="3299" t="s">
        <v>681</v>
      </c>
      <c r="C7072" s="3063"/>
      <c r="D7072" s="3064"/>
      <c r="E7072" s="3064"/>
      <c r="F7072" s="3064"/>
      <c r="G7072" s="3300" t="s">
        <v>681</v>
      </c>
      <c r="H7072" s="3063"/>
      <c r="I7072" s="3030"/>
    </row>
    <row r="7073" spans="2:9" ht="25.5">
      <c r="B7073" s="3192" t="s">
        <v>675</v>
      </c>
      <c r="C7073" s="3063"/>
      <c r="D7073" s="3064"/>
      <c r="E7073" s="3064"/>
      <c r="F7073" s="3064"/>
      <c r="G7073" s="3301" t="s">
        <v>675</v>
      </c>
      <c r="H7073" s="3063"/>
      <c r="I7073" s="3030"/>
    </row>
    <row r="7074" spans="2:9" ht="25.5">
      <c r="B7074" s="3192" t="s">
        <v>676</v>
      </c>
      <c r="C7074" s="3063"/>
      <c r="D7074" s="3064"/>
      <c r="E7074" s="3064"/>
      <c r="F7074" s="3064"/>
      <c r="G7074" s="3301" t="s">
        <v>676</v>
      </c>
      <c r="H7074" s="3063"/>
      <c r="I7074" s="3030"/>
    </row>
    <row r="7075" spans="2:9">
      <c r="B7075" s="3192" t="s">
        <v>677</v>
      </c>
      <c r="C7075" s="3063"/>
      <c r="D7075" s="3064"/>
      <c r="E7075" s="3064"/>
      <c r="F7075" s="3064"/>
      <c r="G7075" s="3301" t="s">
        <v>677</v>
      </c>
      <c r="H7075" s="3063"/>
      <c r="I7075" s="3030"/>
    </row>
    <row r="7076" spans="2:9">
      <c r="B7076" s="3192" t="s">
        <v>678</v>
      </c>
      <c r="C7076" s="3063"/>
      <c r="D7076" s="3064"/>
      <c r="E7076" s="3064"/>
      <c r="F7076" s="3064"/>
      <c r="G7076" s="3301" t="s">
        <v>678</v>
      </c>
      <c r="H7076" s="3063"/>
      <c r="I7076" s="3030"/>
    </row>
    <row r="7077" spans="2:9">
      <c r="B7077" s="3192" t="s">
        <v>679</v>
      </c>
      <c r="C7077" s="3063"/>
      <c r="D7077" s="3064"/>
      <c r="E7077" s="3064"/>
      <c r="F7077" s="3064"/>
      <c r="G7077" s="3301" t="s">
        <v>679</v>
      </c>
      <c r="H7077" s="3063"/>
      <c r="I7077" s="3030"/>
    </row>
    <row r="7078" spans="2:9" ht="25.5">
      <c r="B7078" s="3192" t="s">
        <v>720</v>
      </c>
      <c r="C7078" s="3063"/>
      <c r="D7078" s="3064"/>
      <c r="E7078" s="3064"/>
      <c r="F7078" s="3064"/>
      <c r="G7078" s="3301" t="s">
        <v>720</v>
      </c>
      <c r="H7078" s="3063"/>
      <c r="I7078" s="3030"/>
    </row>
    <row r="7079" spans="2:9" ht="25.5">
      <c r="B7079" s="3299" t="s">
        <v>682</v>
      </c>
      <c r="C7079" s="3063"/>
      <c r="D7079" s="3064"/>
      <c r="E7079" s="3064"/>
      <c r="F7079" s="3064"/>
      <c r="G7079" s="3300" t="s">
        <v>682</v>
      </c>
      <c r="H7079" s="3063"/>
      <c r="I7079" s="3030"/>
    </row>
    <row r="7080" spans="2:9" ht="25.5">
      <c r="B7080" s="3192" t="s">
        <v>675</v>
      </c>
      <c r="C7080" s="3063"/>
      <c r="D7080" s="3064"/>
      <c r="E7080" s="3064"/>
      <c r="F7080" s="3064"/>
      <c r="G7080" s="3301" t="s">
        <v>675</v>
      </c>
      <c r="H7080" s="3063"/>
      <c r="I7080" s="3030"/>
    </row>
    <row r="7081" spans="2:9" ht="25.5">
      <c r="B7081" s="3192" t="s">
        <v>676</v>
      </c>
      <c r="C7081" s="3063"/>
      <c r="D7081" s="3064"/>
      <c r="E7081" s="3064"/>
      <c r="F7081" s="3064"/>
      <c r="G7081" s="3301" t="s">
        <v>676</v>
      </c>
      <c r="H7081" s="3063"/>
      <c r="I7081" s="3030"/>
    </row>
    <row r="7082" spans="2:9">
      <c r="B7082" s="3192" t="s">
        <v>677</v>
      </c>
      <c r="C7082" s="3063"/>
      <c r="D7082" s="3064"/>
      <c r="E7082" s="3064"/>
      <c r="F7082" s="3064"/>
      <c r="G7082" s="3301" t="s">
        <v>677</v>
      </c>
      <c r="H7082" s="3063"/>
      <c r="I7082" s="3030"/>
    </row>
    <row r="7083" spans="2:9">
      <c r="B7083" s="3192" t="s">
        <v>678</v>
      </c>
      <c r="C7083" s="3063"/>
      <c r="D7083" s="3064"/>
      <c r="E7083" s="3064"/>
      <c r="F7083" s="3064"/>
      <c r="G7083" s="3301" t="s">
        <v>678</v>
      </c>
      <c r="H7083" s="3063"/>
      <c r="I7083" s="3030"/>
    </row>
    <row r="7084" spans="2:9">
      <c r="B7084" s="3192" t="s">
        <v>679</v>
      </c>
      <c r="C7084" s="3063"/>
      <c r="D7084" s="3064"/>
      <c r="E7084" s="3064"/>
      <c r="F7084" s="3064"/>
      <c r="G7084" s="3301" t="s">
        <v>679</v>
      </c>
      <c r="H7084" s="3063"/>
      <c r="I7084" s="3030"/>
    </row>
    <row r="7085" spans="2:9" ht="25.5">
      <c r="B7085" s="3192" t="s">
        <v>720</v>
      </c>
      <c r="C7085" s="3063"/>
      <c r="D7085" s="3064"/>
      <c r="E7085" s="3064"/>
      <c r="F7085" s="3064"/>
      <c r="G7085" s="3301" t="s">
        <v>720</v>
      </c>
      <c r="H7085" s="3063"/>
      <c r="I7085" s="3030"/>
    </row>
    <row r="7086" spans="2:9" ht="25.5">
      <c r="B7086" s="3299" t="s">
        <v>66</v>
      </c>
      <c r="C7086" s="3063"/>
      <c r="D7086" s="3064"/>
      <c r="E7086" s="3064"/>
      <c r="F7086" s="3064"/>
      <c r="G7086" s="3300" t="s">
        <v>66</v>
      </c>
      <c r="H7086" s="3063"/>
      <c r="I7086" s="3030"/>
    </row>
    <row r="7087" spans="2:9" ht="25.5">
      <c r="B7087" s="3192" t="s">
        <v>675</v>
      </c>
      <c r="C7087" s="3063"/>
      <c r="D7087" s="3064"/>
      <c r="E7087" s="3064"/>
      <c r="F7087" s="3064"/>
      <c r="G7087" s="3301" t="s">
        <v>675</v>
      </c>
      <c r="H7087" s="3063"/>
      <c r="I7087" s="3030"/>
    </row>
    <row r="7088" spans="2:9" ht="25.5">
      <c r="B7088" s="3192" t="s">
        <v>676</v>
      </c>
      <c r="C7088" s="3063"/>
      <c r="D7088" s="3064"/>
      <c r="E7088" s="3064"/>
      <c r="F7088" s="3064"/>
      <c r="G7088" s="3301" t="s">
        <v>676</v>
      </c>
      <c r="H7088" s="3063"/>
      <c r="I7088" s="3030"/>
    </row>
    <row r="7089" spans="2:9">
      <c r="B7089" s="3192" t="s">
        <v>677</v>
      </c>
      <c r="C7089" s="3063"/>
      <c r="D7089" s="3064"/>
      <c r="E7089" s="3064"/>
      <c r="F7089" s="3064"/>
      <c r="G7089" s="3301" t="s">
        <v>677</v>
      </c>
      <c r="H7089" s="3063"/>
      <c r="I7089" s="3030"/>
    </row>
    <row r="7090" spans="2:9">
      <c r="B7090" s="3192" t="s">
        <v>678</v>
      </c>
      <c r="C7090" s="3063"/>
      <c r="D7090" s="3064"/>
      <c r="E7090" s="3064"/>
      <c r="F7090" s="3064"/>
      <c r="G7090" s="3301" t="s">
        <v>678</v>
      </c>
      <c r="H7090" s="3063"/>
      <c r="I7090" s="3030"/>
    </row>
    <row r="7091" spans="2:9">
      <c r="B7091" s="3192" t="s">
        <v>679</v>
      </c>
      <c r="C7091" s="3063"/>
      <c r="D7091" s="3064"/>
      <c r="E7091" s="3064"/>
      <c r="F7091" s="3064"/>
      <c r="G7091" s="3301" t="s">
        <v>679</v>
      </c>
      <c r="H7091" s="3063"/>
      <c r="I7091" s="3030"/>
    </row>
    <row r="7092" spans="2:9" ht="25.5">
      <c r="B7092" s="3192" t="s">
        <v>720</v>
      </c>
      <c r="C7092" s="3063"/>
      <c r="D7092" s="3064"/>
      <c r="E7092" s="3064"/>
      <c r="F7092" s="3064"/>
      <c r="G7092" s="3301" t="s">
        <v>720</v>
      </c>
      <c r="H7092" s="3063"/>
      <c r="I7092" s="3030"/>
    </row>
    <row r="7093" spans="2:9">
      <c r="B7093" s="3299" t="s">
        <v>67</v>
      </c>
      <c r="C7093" s="3063"/>
      <c r="D7093" s="3064"/>
      <c r="E7093" s="3064"/>
      <c r="F7093" s="3064"/>
      <c r="G7093" s="3300" t="s">
        <v>67</v>
      </c>
      <c r="H7093" s="3063"/>
      <c r="I7093" s="3030"/>
    </row>
    <row r="7094" spans="2:9" ht="25.5">
      <c r="B7094" s="3192" t="s">
        <v>675</v>
      </c>
      <c r="C7094" s="3063"/>
      <c r="D7094" s="3064"/>
      <c r="E7094" s="3064"/>
      <c r="F7094" s="3064"/>
      <c r="G7094" s="3301" t="s">
        <v>675</v>
      </c>
      <c r="H7094" s="3063"/>
      <c r="I7094" s="3030"/>
    </row>
    <row r="7095" spans="2:9" ht="25.5">
      <c r="B7095" s="3192" t="s">
        <v>676</v>
      </c>
      <c r="C7095" s="3063"/>
      <c r="D7095" s="3064"/>
      <c r="E7095" s="3064"/>
      <c r="F7095" s="3064"/>
      <c r="G7095" s="3301" t="s">
        <v>676</v>
      </c>
      <c r="H7095" s="3063"/>
      <c r="I7095" s="3030"/>
    </row>
    <row r="7096" spans="2:9">
      <c r="B7096" s="3192" t="s">
        <v>677</v>
      </c>
      <c r="C7096" s="3063"/>
      <c r="D7096" s="3064"/>
      <c r="E7096" s="3064"/>
      <c r="F7096" s="3064"/>
      <c r="G7096" s="3301" t="s">
        <v>677</v>
      </c>
      <c r="H7096" s="3063"/>
      <c r="I7096" s="3030"/>
    </row>
    <row r="7097" spans="2:9">
      <c r="B7097" s="3192" t="s">
        <v>678</v>
      </c>
      <c r="C7097" s="3063"/>
      <c r="D7097" s="3064"/>
      <c r="E7097" s="3064"/>
      <c r="F7097" s="3064"/>
      <c r="G7097" s="3301" t="s">
        <v>678</v>
      </c>
      <c r="H7097" s="3063"/>
      <c r="I7097" s="3030"/>
    </row>
    <row r="7098" spans="2:9">
      <c r="B7098" s="3192" t="s">
        <v>679</v>
      </c>
      <c r="C7098" s="3063"/>
      <c r="D7098" s="3064"/>
      <c r="E7098" s="3064"/>
      <c r="F7098" s="3064"/>
      <c r="G7098" s="3301" t="s">
        <v>679</v>
      </c>
      <c r="H7098" s="3063"/>
      <c r="I7098" s="3030"/>
    </row>
    <row r="7099" spans="2:9" ht="25.5">
      <c r="B7099" s="3192" t="s">
        <v>720</v>
      </c>
      <c r="C7099" s="3063"/>
      <c r="D7099" s="3064"/>
      <c r="E7099" s="3064"/>
      <c r="F7099" s="3064"/>
      <c r="G7099" s="3301" t="s">
        <v>720</v>
      </c>
      <c r="H7099" s="3063"/>
      <c r="I7099" s="3030"/>
    </row>
    <row r="7100" spans="2:9" ht="25.5">
      <c r="B7100" s="3230" t="s">
        <v>81</v>
      </c>
      <c r="C7100" s="3063"/>
      <c r="D7100" s="3064"/>
      <c r="E7100" s="3064"/>
      <c r="F7100" s="3064"/>
      <c r="G7100" s="3302" t="s">
        <v>81</v>
      </c>
      <c r="H7100" s="3063"/>
      <c r="I7100" s="3030"/>
    </row>
    <row r="7101" spans="2:9" ht="26.25" thickBot="1">
      <c r="B7101" s="3303" t="s">
        <v>81</v>
      </c>
      <c r="C7101" s="3063"/>
      <c r="D7101" s="3064"/>
      <c r="E7101" s="3064"/>
      <c r="F7101" s="3064"/>
      <c r="G7101" s="3302" t="s">
        <v>81</v>
      </c>
      <c r="H7101" s="3063"/>
      <c r="I7101" s="3030"/>
    </row>
    <row r="7102" spans="2:9" ht="25.5">
      <c r="B7102" s="3217" t="s">
        <v>696</v>
      </c>
      <c r="C7102" s="3218"/>
      <c r="D7102" s="3219"/>
      <c r="E7102" s="3219"/>
      <c r="F7102" s="3219"/>
      <c r="G7102" s="3217" t="s">
        <v>696</v>
      </c>
      <c r="H7102" s="3297"/>
      <c r="I7102" s="3298"/>
    </row>
    <row r="7103" spans="2:9">
      <c r="B7103" s="3299" t="s">
        <v>64</v>
      </c>
      <c r="C7103" s="3063"/>
      <c r="D7103" s="3064"/>
      <c r="E7103" s="3064"/>
      <c r="F7103" s="3064"/>
      <c r="G7103" s="3300" t="s">
        <v>64</v>
      </c>
      <c r="H7103" s="3063"/>
      <c r="I7103" s="3030"/>
    </row>
    <row r="7104" spans="2:9" ht="25.5">
      <c r="B7104" s="3192" t="s">
        <v>675</v>
      </c>
      <c r="C7104" s="3063"/>
      <c r="D7104" s="3064"/>
      <c r="E7104" s="3064"/>
      <c r="F7104" s="3064"/>
      <c r="G7104" s="3301" t="s">
        <v>675</v>
      </c>
      <c r="H7104" s="3063"/>
      <c r="I7104" s="3030"/>
    </row>
    <row r="7105" spans="2:9" ht="25.5">
      <c r="B7105" s="3192" t="s">
        <v>676</v>
      </c>
      <c r="C7105" s="3063"/>
      <c r="D7105" s="3064"/>
      <c r="E7105" s="3064"/>
      <c r="F7105" s="3064"/>
      <c r="G7105" s="3301" t="s">
        <v>676</v>
      </c>
      <c r="H7105" s="3063"/>
      <c r="I7105" s="3030"/>
    </row>
    <row r="7106" spans="2:9">
      <c r="B7106" s="3192" t="s">
        <v>677</v>
      </c>
      <c r="C7106" s="3063"/>
      <c r="D7106" s="3064"/>
      <c r="E7106" s="3064"/>
      <c r="F7106" s="3064"/>
      <c r="G7106" s="3301" t="s">
        <v>677</v>
      </c>
      <c r="H7106" s="3063"/>
      <c r="I7106" s="3030"/>
    </row>
    <row r="7107" spans="2:9">
      <c r="B7107" s="3192" t="s">
        <v>678</v>
      </c>
      <c r="C7107" s="3063"/>
      <c r="D7107" s="3064"/>
      <c r="E7107" s="3064"/>
      <c r="F7107" s="3064"/>
      <c r="G7107" s="3301" t="s">
        <v>678</v>
      </c>
      <c r="H7107" s="3063"/>
      <c r="I7107" s="3030"/>
    </row>
    <row r="7108" spans="2:9">
      <c r="B7108" s="3192" t="s">
        <v>679</v>
      </c>
      <c r="C7108" s="3063"/>
      <c r="D7108" s="3064"/>
      <c r="E7108" s="3064"/>
      <c r="F7108" s="3064"/>
      <c r="G7108" s="3301" t="s">
        <v>679</v>
      </c>
      <c r="H7108" s="3063"/>
      <c r="I7108" s="3030"/>
    </row>
    <row r="7109" spans="2:9" ht="25.5">
      <c r="B7109" s="3192" t="s">
        <v>720</v>
      </c>
      <c r="C7109" s="3063"/>
      <c r="D7109" s="3064"/>
      <c r="E7109" s="3064"/>
      <c r="F7109" s="3064"/>
      <c r="G7109" s="3301" t="s">
        <v>720</v>
      </c>
      <c r="H7109" s="3063"/>
      <c r="I7109" s="3030"/>
    </row>
    <row r="7110" spans="2:9">
      <c r="B7110" s="3299" t="s">
        <v>65</v>
      </c>
      <c r="C7110" s="3063"/>
      <c r="D7110" s="3064"/>
      <c r="E7110" s="3064"/>
      <c r="F7110" s="3064"/>
      <c r="G7110" s="3300" t="s">
        <v>65</v>
      </c>
      <c r="H7110" s="3063"/>
      <c r="I7110" s="3030"/>
    </row>
    <row r="7111" spans="2:9" ht="25.5">
      <c r="B7111" s="3192" t="s">
        <v>675</v>
      </c>
      <c r="C7111" s="3063"/>
      <c r="D7111" s="3064"/>
      <c r="E7111" s="3064"/>
      <c r="F7111" s="3064"/>
      <c r="G7111" s="3301" t="s">
        <v>675</v>
      </c>
      <c r="H7111" s="3063"/>
      <c r="I7111" s="3030"/>
    </row>
    <row r="7112" spans="2:9" ht="25.5">
      <c r="B7112" s="3192" t="s">
        <v>676</v>
      </c>
      <c r="C7112" s="3063"/>
      <c r="D7112" s="3064"/>
      <c r="E7112" s="3064"/>
      <c r="F7112" s="3064"/>
      <c r="G7112" s="3301" t="s">
        <v>676</v>
      </c>
      <c r="H7112" s="3063"/>
      <c r="I7112" s="3030"/>
    </row>
    <row r="7113" spans="2:9">
      <c r="B7113" s="3192" t="s">
        <v>677</v>
      </c>
      <c r="C7113" s="3063"/>
      <c r="D7113" s="3064"/>
      <c r="E7113" s="3064"/>
      <c r="F7113" s="3064"/>
      <c r="G7113" s="3301" t="s">
        <v>677</v>
      </c>
      <c r="H7113" s="3063"/>
      <c r="I7113" s="3030"/>
    </row>
    <row r="7114" spans="2:9">
      <c r="B7114" s="3192" t="s">
        <v>678</v>
      </c>
      <c r="C7114" s="3063"/>
      <c r="D7114" s="3064"/>
      <c r="E7114" s="3064"/>
      <c r="F7114" s="3064"/>
      <c r="G7114" s="3301" t="s">
        <v>678</v>
      </c>
      <c r="H7114" s="3063"/>
      <c r="I7114" s="3030"/>
    </row>
    <row r="7115" spans="2:9">
      <c r="B7115" s="3192" t="s">
        <v>679</v>
      </c>
      <c r="C7115" s="3063"/>
      <c r="D7115" s="3064"/>
      <c r="E7115" s="3064"/>
      <c r="F7115" s="3064"/>
      <c r="G7115" s="3301" t="s">
        <v>679</v>
      </c>
      <c r="H7115" s="3063"/>
      <c r="I7115" s="3030"/>
    </row>
    <row r="7116" spans="2:9" ht="25.5">
      <c r="B7116" s="3192" t="s">
        <v>720</v>
      </c>
      <c r="C7116" s="3063"/>
      <c r="D7116" s="3064"/>
      <c r="E7116" s="3064"/>
      <c r="F7116" s="3064"/>
      <c r="G7116" s="3301" t="s">
        <v>720</v>
      </c>
      <c r="H7116" s="3063"/>
      <c r="I7116" s="3030"/>
    </row>
    <row r="7117" spans="2:9">
      <c r="B7117" s="3299" t="s">
        <v>82</v>
      </c>
      <c r="C7117" s="3063"/>
      <c r="D7117" s="3064"/>
      <c r="E7117" s="3064"/>
      <c r="F7117" s="3064"/>
      <c r="G7117" s="3300" t="s">
        <v>82</v>
      </c>
      <c r="H7117" s="3063"/>
      <c r="I7117" s="3030"/>
    </row>
    <row r="7118" spans="2:9" ht="25.5">
      <c r="B7118" s="3192" t="s">
        <v>675</v>
      </c>
      <c r="C7118" s="3063"/>
      <c r="D7118" s="3064"/>
      <c r="E7118" s="3064"/>
      <c r="F7118" s="3064"/>
      <c r="G7118" s="3301" t="s">
        <v>675</v>
      </c>
      <c r="H7118" s="3063"/>
      <c r="I7118" s="3030"/>
    </row>
    <row r="7119" spans="2:9" ht="25.5">
      <c r="B7119" s="3192" t="s">
        <v>676</v>
      </c>
      <c r="C7119" s="3063"/>
      <c r="D7119" s="3064"/>
      <c r="E7119" s="3064"/>
      <c r="F7119" s="3064"/>
      <c r="G7119" s="3301" t="s">
        <v>676</v>
      </c>
      <c r="H7119" s="3063"/>
      <c r="I7119" s="3030"/>
    </row>
    <row r="7120" spans="2:9">
      <c r="B7120" s="3192" t="s">
        <v>677</v>
      </c>
      <c r="C7120" s="3063"/>
      <c r="D7120" s="3064"/>
      <c r="E7120" s="3064"/>
      <c r="F7120" s="3064"/>
      <c r="G7120" s="3301" t="s">
        <v>677</v>
      </c>
      <c r="H7120" s="3063"/>
      <c r="I7120" s="3030"/>
    </row>
    <row r="7121" spans="2:9">
      <c r="B7121" s="3192" t="s">
        <v>678</v>
      </c>
      <c r="C7121" s="3063"/>
      <c r="D7121" s="3064"/>
      <c r="E7121" s="3064"/>
      <c r="F7121" s="3064"/>
      <c r="G7121" s="3301" t="s">
        <v>678</v>
      </c>
      <c r="H7121" s="3063"/>
      <c r="I7121" s="3030"/>
    </row>
    <row r="7122" spans="2:9">
      <c r="B7122" s="3192" t="s">
        <v>679</v>
      </c>
      <c r="C7122" s="3063"/>
      <c r="D7122" s="3064"/>
      <c r="E7122" s="3064"/>
      <c r="F7122" s="3064"/>
      <c r="G7122" s="3301" t="s">
        <v>679</v>
      </c>
      <c r="H7122" s="3063"/>
      <c r="I7122" s="3030"/>
    </row>
    <row r="7123" spans="2:9" ht="25.5">
      <c r="B7123" s="3192" t="s">
        <v>720</v>
      </c>
      <c r="C7123" s="3063"/>
      <c r="D7123" s="3064"/>
      <c r="E7123" s="3064"/>
      <c r="F7123" s="3064"/>
      <c r="G7123" s="3301" t="s">
        <v>720</v>
      </c>
      <c r="H7123" s="3063"/>
      <c r="I7123" s="3030"/>
    </row>
    <row r="7124" spans="2:9" ht="38.25">
      <c r="B7124" s="3299" t="s">
        <v>680</v>
      </c>
      <c r="C7124" s="3063"/>
      <c r="D7124" s="3064"/>
      <c r="E7124" s="3064"/>
      <c r="F7124" s="3064"/>
      <c r="G7124" s="3300" t="s">
        <v>680</v>
      </c>
      <c r="H7124" s="3063"/>
      <c r="I7124" s="3030"/>
    </row>
    <row r="7125" spans="2:9" ht="25.5">
      <c r="B7125" s="3192" t="s">
        <v>675</v>
      </c>
      <c r="C7125" s="3063"/>
      <c r="D7125" s="3064"/>
      <c r="E7125" s="3064"/>
      <c r="F7125" s="3064"/>
      <c r="G7125" s="3301" t="s">
        <v>675</v>
      </c>
      <c r="H7125" s="3063"/>
      <c r="I7125" s="3030"/>
    </row>
    <row r="7126" spans="2:9" ht="25.5">
      <c r="B7126" s="3192" t="s">
        <v>676</v>
      </c>
      <c r="C7126" s="3063"/>
      <c r="D7126" s="3064"/>
      <c r="E7126" s="3064"/>
      <c r="F7126" s="3064"/>
      <c r="G7126" s="3301" t="s">
        <v>676</v>
      </c>
      <c r="H7126" s="3063"/>
      <c r="I7126" s="3030"/>
    </row>
    <row r="7127" spans="2:9">
      <c r="B7127" s="3192" t="s">
        <v>677</v>
      </c>
      <c r="C7127" s="3063"/>
      <c r="D7127" s="3064"/>
      <c r="E7127" s="3064"/>
      <c r="F7127" s="3064"/>
      <c r="G7127" s="3301" t="s">
        <v>677</v>
      </c>
      <c r="H7127" s="3063"/>
      <c r="I7127" s="3030"/>
    </row>
    <row r="7128" spans="2:9">
      <c r="B7128" s="3192" t="s">
        <v>678</v>
      </c>
      <c r="C7128" s="3063"/>
      <c r="D7128" s="3064"/>
      <c r="E7128" s="3064"/>
      <c r="F7128" s="3064"/>
      <c r="G7128" s="3301" t="s">
        <v>678</v>
      </c>
      <c r="H7128" s="3063"/>
      <c r="I7128" s="3030"/>
    </row>
    <row r="7129" spans="2:9">
      <c r="B7129" s="3192" t="s">
        <v>679</v>
      </c>
      <c r="C7129" s="3063"/>
      <c r="D7129" s="3064"/>
      <c r="E7129" s="3064"/>
      <c r="F7129" s="3064"/>
      <c r="G7129" s="3301" t="s">
        <v>679</v>
      </c>
      <c r="H7129" s="3063"/>
      <c r="I7129" s="3030"/>
    </row>
    <row r="7130" spans="2:9" ht="25.5">
      <c r="B7130" s="3192" t="s">
        <v>720</v>
      </c>
      <c r="C7130" s="3063"/>
      <c r="D7130" s="3064"/>
      <c r="E7130" s="3064"/>
      <c r="F7130" s="3064"/>
      <c r="G7130" s="3301" t="s">
        <v>720</v>
      </c>
      <c r="H7130" s="3063"/>
      <c r="I7130" s="3030"/>
    </row>
    <row r="7131" spans="2:9" ht="38.25">
      <c r="B7131" s="3299" t="s">
        <v>681</v>
      </c>
      <c r="C7131" s="3063"/>
      <c r="D7131" s="3064"/>
      <c r="E7131" s="3064"/>
      <c r="F7131" s="3064"/>
      <c r="G7131" s="3300" t="s">
        <v>681</v>
      </c>
      <c r="H7131" s="3063"/>
      <c r="I7131" s="3030"/>
    </row>
    <row r="7132" spans="2:9" ht="25.5">
      <c r="B7132" s="3192" t="s">
        <v>675</v>
      </c>
      <c r="C7132" s="3063"/>
      <c r="D7132" s="3064"/>
      <c r="E7132" s="3064"/>
      <c r="F7132" s="3064"/>
      <c r="G7132" s="3301" t="s">
        <v>675</v>
      </c>
      <c r="H7132" s="3063"/>
      <c r="I7132" s="3030"/>
    </row>
    <row r="7133" spans="2:9" ht="25.5">
      <c r="B7133" s="3192" t="s">
        <v>676</v>
      </c>
      <c r="C7133" s="3063"/>
      <c r="D7133" s="3064"/>
      <c r="E7133" s="3064"/>
      <c r="F7133" s="3064"/>
      <c r="G7133" s="3301" t="s">
        <v>676</v>
      </c>
      <c r="H7133" s="3063"/>
      <c r="I7133" s="3030"/>
    </row>
    <row r="7134" spans="2:9">
      <c r="B7134" s="3192" t="s">
        <v>677</v>
      </c>
      <c r="C7134" s="3063"/>
      <c r="D7134" s="3064"/>
      <c r="E7134" s="3064"/>
      <c r="F7134" s="3064"/>
      <c r="G7134" s="3301" t="s">
        <v>677</v>
      </c>
      <c r="H7134" s="3063"/>
      <c r="I7134" s="3030"/>
    </row>
    <row r="7135" spans="2:9">
      <c r="B7135" s="3192" t="s">
        <v>678</v>
      </c>
      <c r="C7135" s="3063"/>
      <c r="D7135" s="3064"/>
      <c r="E7135" s="3064"/>
      <c r="F7135" s="3064"/>
      <c r="G7135" s="3301" t="s">
        <v>678</v>
      </c>
      <c r="H7135" s="3063"/>
      <c r="I7135" s="3030"/>
    </row>
    <row r="7136" spans="2:9">
      <c r="B7136" s="3192" t="s">
        <v>679</v>
      </c>
      <c r="C7136" s="3063"/>
      <c r="D7136" s="3064"/>
      <c r="E7136" s="3064"/>
      <c r="F7136" s="3064"/>
      <c r="G7136" s="3301" t="s">
        <v>679</v>
      </c>
      <c r="H7136" s="3063"/>
      <c r="I7136" s="3030"/>
    </row>
    <row r="7137" spans="2:9" ht="25.5">
      <c r="B7137" s="3192" t="s">
        <v>720</v>
      </c>
      <c r="C7137" s="3063"/>
      <c r="D7137" s="3064"/>
      <c r="E7137" s="3064"/>
      <c r="F7137" s="3064"/>
      <c r="G7137" s="3301" t="s">
        <v>720</v>
      </c>
      <c r="H7137" s="3063"/>
      <c r="I7137" s="3030"/>
    </row>
    <row r="7138" spans="2:9" ht="25.5">
      <c r="B7138" s="3299" t="s">
        <v>682</v>
      </c>
      <c r="C7138" s="3063"/>
      <c r="D7138" s="3064"/>
      <c r="E7138" s="3064"/>
      <c r="F7138" s="3064"/>
      <c r="G7138" s="3300" t="s">
        <v>682</v>
      </c>
      <c r="H7138" s="3063"/>
      <c r="I7138" s="3030"/>
    </row>
    <row r="7139" spans="2:9" ht="25.5">
      <c r="B7139" s="3192" t="s">
        <v>675</v>
      </c>
      <c r="C7139" s="3063"/>
      <c r="D7139" s="3064"/>
      <c r="E7139" s="3064"/>
      <c r="F7139" s="3064"/>
      <c r="G7139" s="3301" t="s">
        <v>675</v>
      </c>
      <c r="H7139" s="3063"/>
      <c r="I7139" s="3030"/>
    </row>
    <row r="7140" spans="2:9" ht="25.5">
      <c r="B7140" s="3192" t="s">
        <v>676</v>
      </c>
      <c r="C7140" s="3063"/>
      <c r="D7140" s="3064"/>
      <c r="E7140" s="3064"/>
      <c r="F7140" s="3064"/>
      <c r="G7140" s="3301" t="s">
        <v>676</v>
      </c>
      <c r="H7140" s="3063"/>
      <c r="I7140" s="3030"/>
    </row>
    <row r="7141" spans="2:9">
      <c r="B7141" s="3192" t="s">
        <v>677</v>
      </c>
      <c r="C7141" s="3063"/>
      <c r="D7141" s="3064"/>
      <c r="E7141" s="3064"/>
      <c r="F7141" s="3064"/>
      <c r="G7141" s="3301" t="s">
        <v>677</v>
      </c>
      <c r="H7141" s="3063"/>
      <c r="I7141" s="3030"/>
    </row>
    <row r="7142" spans="2:9">
      <c r="B7142" s="3192" t="s">
        <v>678</v>
      </c>
      <c r="C7142" s="3063"/>
      <c r="D7142" s="3064"/>
      <c r="E7142" s="3064"/>
      <c r="F7142" s="3064"/>
      <c r="G7142" s="3301" t="s">
        <v>678</v>
      </c>
      <c r="H7142" s="3063"/>
      <c r="I7142" s="3030"/>
    </row>
    <row r="7143" spans="2:9">
      <c r="B7143" s="3192" t="s">
        <v>679</v>
      </c>
      <c r="C7143" s="3063"/>
      <c r="D7143" s="3064"/>
      <c r="E7143" s="3064"/>
      <c r="F7143" s="3064"/>
      <c r="G7143" s="3301" t="s">
        <v>679</v>
      </c>
      <c r="H7143" s="3063"/>
      <c r="I7143" s="3030"/>
    </row>
    <row r="7144" spans="2:9" ht="25.5">
      <c r="B7144" s="3192" t="s">
        <v>720</v>
      </c>
      <c r="C7144" s="3063"/>
      <c r="D7144" s="3064"/>
      <c r="E7144" s="3064"/>
      <c r="F7144" s="3064"/>
      <c r="G7144" s="3301" t="s">
        <v>720</v>
      </c>
      <c r="H7144" s="3063"/>
      <c r="I7144" s="3030"/>
    </row>
    <row r="7145" spans="2:9" ht="25.5">
      <c r="B7145" s="3299" t="s">
        <v>66</v>
      </c>
      <c r="C7145" s="3063"/>
      <c r="D7145" s="3064"/>
      <c r="E7145" s="3064"/>
      <c r="F7145" s="3064"/>
      <c r="G7145" s="3300" t="s">
        <v>66</v>
      </c>
      <c r="H7145" s="3063"/>
      <c r="I7145" s="3030"/>
    </row>
    <row r="7146" spans="2:9" ht="25.5">
      <c r="B7146" s="3192" t="s">
        <v>675</v>
      </c>
      <c r="C7146" s="3063"/>
      <c r="D7146" s="3064"/>
      <c r="E7146" s="3064"/>
      <c r="F7146" s="3064"/>
      <c r="G7146" s="3301" t="s">
        <v>675</v>
      </c>
      <c r="H7146" s="3063"/>
      <c r="I7146" s="3030"/>
    </row>
    <row r="7147" spans="2:9" ht="25.5">
      <c r="B7147" s="3192" t="s">
        <v>676</v>
      </c>
      <c r="C7147" s="3063"/>
      <c r="D7147" s="3064"/>
      <c r="E7147" s="3064"/>
      <c r="F7147" s="3064"/>
      <c r="G7147" s="3301" t="s">
        <v>676</v>
      </c>
      <c r="H7147" s="3063"/>
      <c r="I7147" s="3030"/>
    </row>
    <row r="7148" spans="2:9">
      <c r="B7148" s="3192" t="s">
        <v>677</v>
      </c>
      <c r="C7148" s="3063"/>
      <c r="D7148" s="3064"/>
      <c r="E7148" s="3064"/>
      <c r="F7148" s="3064"/>
      <c r="G7148" s="3301" t="s">
        <v>677</v>
      </c>
      <c r="H7148" s="3063"/>
      <c r="I7148" s="3030"/>
    </row>
    <row r="7149" spans="2:9">
      <c r="B7149" s="3192" t="s">
        <v>678</v>
      </c>
      <c r="C7149" s="3063"/>
      <c r="D7149" s="3064"/>
      <c r="E7149" s="3064"/>
      <c r="F7149" s="3064"/>
      <c r="G7149" s="3301" t="s">
        <v>678</v>
      </c>
      <c r="H7149" s="3063"/>
      <c r="I7149" s="3030"/>
    </row>
    <row r="7150" spans="2:9">
      <c r="B7150" s="3192" t="s">
        <v>679</v>
      </c>
      <c r="C7150" s="3063"/>
      <c r="D7150" s="3064"/>
      <c r="E7150" s="3064"/>
      <c r="F7150" s="3064"/>
      <c r="G7150" s="3301" t="s">
        <v>679</v>
      </c>
      <c r="H7150" s="3063"/>
      <c r="I7150" s="3030"/>
    </row>
    <row r="7151" spans="2:9" ht="25.5">
      <c r="B7151" s="3192" t="s">
        <v>720</v>
      </c>
      <c r="C7151" s="3063"/>
      <c r="D7151" s="3064"/>
      <c r="E7151" s="3064"/>
      <c r="F7151" s="3064"/>
      <c r="G7151" s="3301" t="s">
        <v>720</v>
      </c>
      <c r="H7151" s="3063"/>
      <c r="I7151" s="3030"/>
    </row>
    <row r="7152" spans="2:9">
      <c r="B7152" s="3299" t="s">
        <v>67</v>
      </c>
      <c r="C7152" s="3063"/>
      <c r="D7152" s="3064"/>
      <c r="E7152" s="3064"/>
      <c r="F7152" s="3064"/>
      <c r="G7152" s="3300" t="s">
        <v>67</v>
      </c>
      <c r="H7152" s="3063"/>
      <c r="I7152" s="3030"/>
    </row>
    <row r="7153" spans="2:9" ht="25.5">
      <c r="B7153" s="3192" t="s">
        <v>675</v>
      </c>
      <c r="C7153" s="3063"/>
      <c r="D7153" s="3064"/>
      <c r="E7153" s="3064"/>
      <c r="F7153" s="3064"/>
      <c r="G7153" s="3301" t="s">
        <v>675</v>
      </c>
      <c r="H7153" s="3063"/>
      <c r="I7153" s="3030"/>
    </row>
    <row r="7154" spans="2:9" ht="25.5">
      <c r="B7154" s="3192" t="s">
        <v>676</v>
      </c>
      <c r="C7154" s="3063"/>
      <c r="D7154" s="3064"/>
      <c r="E7154" s="3064"/>
      <c r="F7154" s="3064"/>
      <c r="G7154" s="3301" t="s">
        <v>676</v>
      </c>
      <c r="H7154" s="3063"/>
      <c r="I7154" s="3030"/>
    </row>
    <row r="7155" spans="2:9">
      <c r="B7155" s="3192" t="s">
        <v>677</v>
      </c>
      <c r="C7155" s="3063"/>
      <c r="D7155" s="3064"/>
      <c r="E7155" s="3064"/>
      <c r="F7155" s="3064"/>
      <c r="G7155" s="3301" t="s">
        <v>677</v>
      </c>
      <c r="H7155" s="3063"/>
      <c r="I7155" s="3030"/>
    </row>
    <row r="7156" spans="2:9">
      <c r="B7156" s="3192" t="s">
        <v>678</v>
      </c>
      <c r="C7156" s="3063"/>
      <c r="D7156" s="3064"/>
      <c r="E7156" s="3064"/>
      <c r="F7156" s="3064"/>
      <c r="G7156" s="3301" t="s">
        <v>678</v>
      </c>
      <c r="H7156" s="3063"/>
      <c r="I7156" s="3030"/>
    </row>
    <row r="7157" spans="2:9">
      <c r="B7157" s="3192" t="s">
        <v>679</v>
      </c>
      <c r="C7157" s="3063"/>
      <c r="D7157" s="3064"/>
      <c r="E7157" s="3064"/>
      <c r="F7157" s="3064"/>
      <c r="G7157" s="3301" t="s">
        <v>679</v>
      </c>
      <c r="H7157" s="3063"/>
      <c r="I7157" s="3030"/>
    </row>
    <row r="7158" spans="2:9" ht="25.5">
      <c r="B7158" s="3230" t="s">
        <v>81</v>
      </c>
      <c r="C7158" s="3063"/>
      <c r="D7158" s="3064"/>
      <c r="E7158" s="3064"/>
      <c r="F7158" s="3064"/>
      <c r="G7158" s="3302" t="s">
        <v>81</v>
      </c>
      <c r="H7158" s="3063"/>
      <c r="I7158" s="3030"/>
    </row>
    <row r="7159" spans="2:9" ht="26.25" thickBot="1">
      <c r="B7159" s="3303" t="s">
        <v>81</v>
      </c>
      <c r="C7159" s="3063"/>
      <c r="D7159" s="3064"/>
      <c r="E7159" s="3064"/>
      <c r="F7159" s="3064"/>
      <c r="G7159" s="3302" t="s">
        <v>81</v>
      </c>
      <c r="H7159" s="3063"/>
      <c r="I7159" s="3030"/>
    </row>
    <row r="7160" spans="2:9">
      <c r="B7160" s="3217" t="s">
        <v>697</v>
      </c>
      <c r="C7160" s="3218"/>
      <c r="D7160" s="3219"/>
      <c r="E7160" s="3219"/>
      <c r="F7160" s="3219"/>
      <c r="G7160" s="3217" t="s">
        <v>697</v>
      </c>
      <c r="H7160" s="3297"/>
      <c r="I7160" s="3298"/>
    </row>
    <row r="7161" spans="2:9">
      <c r="B7161" s="3299" t="s">
        <v>64</v>
      </c>
      <c r="C7161" s="3063"/>
      <c r="D7161" s="3064"/>
      <c r="E7161" s="3064"/>
      <c r="F7161" s="3064"/>
      <c r="G7161" s="3300" t="s">
        <v>64</v>
      </c>
      <c r="H7161" s="3063"/>
      <c r="I7161" s="3030"/>
    </row>
    <row r="7162" spans="2:9" ht="25.5">
      <c r="B7162" s="3192" t="s">
        <v>675</v>
      </c>
      <c r="C7162" s="3063"/>
      <c r="D7162" s="3064"/>
      <c r="E7162" s="3064"/>
      <c r="F7162" s="3064"/>
      <c r="G7162" s="3301" t="s">
        <v>675</v>
      </c>
      <c r="H7162" s="3063"/>
      <c r="I7162" s="3030"/>
    </row>
    <row r="7163" spans="2:9" ht="25.5">
      <c r="B7163" s="3192" t="s">
        <v>676</v>
      </c>
      <c r="C7163" s="3063"/>
      <c r="D7163" s="3064"/>
      <c r="E7163" s="3064"/>
      <c r="F7163" s="3064"/>
      <c r="G7163" s="3301" t="s">
        <v>676</v>
      </c>
      <c r="H7163" s="3063"/>
      <c r="I7163" s="3030"/>
    </row>
    <row r="7164" spans="2:9">
      <c r="B7164" s="3192" t="s">
        <v>677</v>
      </c>
      <c r="C7164" s="3063"/>
      <c r="D7164" s="3064"/>
      <c r="E7164" s="3064"/>
      <c r="F7164" s="3064"/>
      <c r="G7164" s="3301" t="s">
        <v>677</v>
      </c>
      <c r="H7164" s="3063"/>
      <c r="I7164" s="3030"/>
    </row>
    <row r="7165" spans="2:9">
      <c r="B7165" s="3192" t="s">
        <v>678</v>
      </c>
      <c r="C7165" s="3063"/>
      <c r="D7165" s="3064"/>
      <c r="E7165" s="3064"/>
      <c r="F7165" s="3064"/>
      <c r="G7165" s="3301" t="s">
        <v>678</v>
      </c>
      <c r="H7165" s="3063"/>
      <c r="I7165" s="3030"/>
    </row>
    <row r="7166" spans="2:9">
      <c r="B7166" s="3192" t="s">
        <v>679</v>
      </c>
      <c r="C7166" s="3063"/>
      <c r="D7166" s="3064"/>
      <c r="E7166" s="3064"/>
      <c r="F7166" s="3064"/>
      <c r="G7166" s="3301" t="s">
        <v>679</v>
      </c>
      <c r="H7166" s="3063"/>
      <c r="I7166" s="3030"/>
    </row>
    <row r="7167" spans="2:9" ht="25.5">
      <c r="B7167" s="3192" t="s">
        <v>720</v>
      </c>
      <c r="C7167" s="3063"/>
      <c r="D7167" s="3064"/>
      <c r="E7167" s="3064"/>
      <c r="F7167" s="3064"/>
      <c r="G7167" s="3301" t="s">
        <v>720</v>
      </c>
      <c r="H7167" s="3063"/>
      <c r="I7167" s="3030"/>
    </row>
    <row r="7168" spans="2:9">
      <c r="B7168" s="3299" t="s">
        <v>65</v>
      </c>
      <c r="C7168" s="3063"/>
      <c r="D7168" s="3064"/>
      <c r="E7168" s="3064"/>
      <c r="F7168" s="3064"/>
      <c r="G7168" s="3300" t="s">
        <v>65</v>
      </c>
      <c r="H7168" s="3063"/>
      <c r="I7168" s="3030"/>
    </row>
    <row r="7169" spans="2:9" ht="25.5">
      <c r="B7169" s="3192" t="s">
        <v>675</v>
      </c>
      <c r="C7169" s="3063"/>
      <c r="D7169" s="3064"/>
      <c r="E7169" s="3064"/>
      <c r="F7169" s="3064"/>
      <c r="G7169" s="3301" t="s">
        <v>675</v>
      </c>
      <c r="H7169" s="3063"/>
      <c r="I7169" s="3030"/>
    </row>
    <row r="7170" spans="2:9" ht="25.5">
      <c r="B7170" s="3192" t="s">
        <v>676</v>
      </c>
      <c r="C7170" s="3063"/>
      <c r="D7170" s="3064"/>
      <c r="E7170" s="3064"/>
      <c r="F7170" s="3064"/>
      <c r="G7170" s="3301" t="s">
        <v>676</v>
      </c>
      <c r="H7170" s="3063"/>
      <c r="I7170" s="3030"/>
    </row>
    <row r="7171" spans="2:9">
      <c r="B7171" s="3192" t="s">
        <v>677</v>
      </c>
      <c r="C7171" s="3063"/>
      <c r="D7171" s="3064"/>
      <c r="E7171" s="3064"/>
      <c r="F7171" s="3064"/>
      <c r="G7171" s="3301" t="s">
        <v>677</v>
      </c>
      <c r="H7171" s="3063"/>
      <c r="I7171" s="3030"/>
    </row>
    <row r="7172" spans="2:9">
      <c r="B7172" s="3192" t="s">
        <v>678</v>
      </c>
      <c r="C7172" s="3063"/>
      <c r="D7172" s="3064"/>
      <c r="E7172" s="3064"/>
      <c r="F7172" s="3064"/>
      <c r="G7172" s="3301" t="s">
        <v>678</v>
      </c>
      <c r="H7172" s="3063"/>
      <c r="I7172" s="3030"/>
    </row>
    <row r="7173" spans="2:9">
      <c r="B7173" s="3192" t="s">
        <v>679</v>
      </c>
      <c r="C7173" s="3063"/>
      <c r="D7173" s="3064"/>
      <c r="E7173" s="3064"/>
      <c r="F7173" s="3064"/>
      <c r="G7173" s="3301" t="s">
        <v>679</v>
      </c>
      <c r="H7173" s="3063"/>
      <c r="I7173" s="3030"/>
    </row>
    <row r="7174" spans="2:9" ht="25.5">
      <c r="B7174" s="3192" t="s">
        <v>720</v>
      </c>
      <c r="C7174" s="3063"/>
      <c r="D7174" s="3064"/>
      <c r="E7174" s="3064"/>
      <c r="F7174" s="3064"/>
      <c r="G7174" s="3301" t="s">
        <v>720</v>
      </c>
      <c r="H7174" s="3063"/>
      <c r="I7174" s="3030"/>
    </row>
    <row r="7175" spans="2:9">
      <c r="B7175" s="3299" t="s">
        <v>82</v>
      </c>
      <c r="C7175" s="3063"/>
      <c r="D7175" s="3064"/>
      <c r="E7175" s="3064"/>
      <c r="F7175" s="3064"/>
      <c r="G7175" s="3300" t="s">
        <v>82</v>
      </c>
      <c r="H7175" s="3063"/>
      <c r="I7175" s="3030"/>
    </row>
    <row r="7176" spans="2:9" ht="25.5">
      <c r="B7176" s="3192" t="s">
        <v>675</v>
      </c>
      <c r="C7176" s="3063"/>
      <c r="D7176" s="3064"/>
      <c r="E7176" s="3064"/>
      <c r="F7176" s="3064"/>
      <c r="G7176" s="3301" t="s">
        <v>675</v>
      </c>
      <c r="H7176" s="3063"/>
      <c r="I7176" s="3030"/>
    </row>
    <row r="7177" spans="2:9" ht="25.5">
      <c r="B7177" s="3192" t="s">
        <v>676</v>
      </c>
      <c r="C7177" s="3063"/>
      <c r="D7177" s="3064"/>
      <c r="E7177" s="3064"/>
      <c r="F7177" s="3064"/>
      <c r="G7177" s="3301" t="s">
        <v>676</v>
      </c>
      <c r="H7177" s="3063"/>
      <c r="I7177" s="3030"/>
    </row>
    <row r="7178" spans="2:9">
      <c r="B7178" s="3192" t="s">
        <v>677</v>
      </c>
      <c r="C7178" s="3063"/>
      <c r="D7178" s="3064"/>
      <c r="E7178" s="3064"/>
      <c r="F7178" s="3064"/>
      <c r="G7178" s="3301" t="s">
        <v>677</v>
      </c>
      <c r="H7178" s="3063"/>
      <c r="I7178" s="3030"/>
    </row>
    <row r="7179" spans="2:9">
      <c r="B7179" s="3192" t="s">
        <v>678</v>
      </c>
      <c r="C7179" s="3063"/>
      <c r="D7179" s="3064"/>
      <c r="E7179" s="3064"/>
      <c r="F7179" s="3064"/>
      <c r="G7179" s="3301" t="s">
        <v>678</v>
      </c>
      <c r="H7179" s="3063"/>
      <c r="I7179" s="3030"/>
    </row>
    <row r="7180" spans="2:9">
      <c r="B7180" s="3192" t="s">
        <v>679</v>
      </c>
      <c r="C7180" s="3063"/>
      <c r="D7180" s="3064"/>
      <c r="E7180" s="3064"/>
      <c r="F7180" s="3064"/>
      <c r="G7180" s="3301" t="s">
        <v>679</v>
      </c>
      <c r="H7180" s="3063"/>
      <c r="I7180" s="3030"/>
    </row>
    <row r="7181" spans="2:9" ht="25.5">
      <c r="B7181" s="3192" t="s">
        <v>720</v>
      </c>
      <c r="C7181" s="3063"/>
      <c r="D7181" s="3064"/>
      <c r="E7181" s="3064"/>
      <c r="F7181" s="3064"/>
      <c r="G7181" s="3301" t="s">
        <v>720</v>
      </c>
      <c r="H7181" s="3063"/>
      <c r="I7181" s="3030"/>
    </row>
    <row r="7182" spans="2:9" ht="38.25">
      <c r="B7182" s="3299" t="s">
        <v>680</v>
      </c>
      <c r="C7182" s="3063"/>
      <c r="D7182" s="3064"/>
      <c r="E7182" s="3064"/>
      <c r="F7182" s="3064"/>
      <c r="G7182" s="3300" t="s">
        <v>680</v>
      </c>
      <c r="H7182" s="3063"/>
      <c r="I7182" s="3030"/>
    </row>
    <row r="7183" spans="2:9" ht="25.5">
      <c r="B7183" s="3192" t="s">
        <v>675</v>
      </c>
      <c r="C7183" s="3063"/>
      <c r="D7183" s="3064"/>
      <c r="E7183" s="3064"/>
      <c r="F7183" s="3064"/>
      <c r="G7183" s="3301" t="s">
        <v>675</v>
      </c>
      <c r="H7183" s="3063"/>
      <c r="I7183" s="3030"/>
    </row>
    <row r="7184" spans="2:9" ht="25.5">
      <c r="B7184" s="3192" t="s">
        <v>676</v>
      </c>
      <c r="C7184" s="3063"/>
      <c r="D7184" s="3064"/>
      <c r="E7184" s="3064"/>
      <c r="F7184" s="3064"/>
      <c r="G7184" s="3301" t="s">
        <v>676</v>
      </c>
      <c r="H7184" s="3063"/>
      <c r="I7184" s="3030"/>
    </row>
    <row r="7185" spans="2:9">
      <c r="B7185" s="3192" t="s">
        <v>677</v>
      </c>
      <c r="C7185" s="3063"/>
      <c r="D7185" s="3064"/>
      <c r="E7185" s="3064"/>
      <c r="F7185" s="3064"/>
      <c r="G7185" s="3301" t="s">
        <v>677</v>
      </c>
      <c r="H7185" s="3063"/>
      <c r="I7185" s="3030"/>
    </row>
    <row r="7186" spans="2:9">
      <c r="B7186" s="3192" t="s">
        <v>678</v>
      </c>
      <c r="C7186" s="3063"/>
      <c r="D7186" s="3064"/>
      <c r="E7186" s="3064"/>
      <c r="F7186" s="3064"/>
      <c r="G7186" s="3301" t="s">
        <v>678</v>
      </c>
      <c r="H7186" s="3063"/>
      <c r="I7186" s="3030"/>
    </row>
    <row r="7187" spans="2:9">
      <c r="B7187" s="3192" t="s">
        <v>679</v>
      </c>
      <c r="C7187" s="3063"/>
      <c r="D7187" s="3064"/>
      <c r="E7187" s="3064"/>
      <c r="F7187" s="3064"/>
      <c r="G7187" s="3301" t="s">
        <v>679</v>
      </c>
      <c r="H7187" s="3063"/>
      <c r="I7187" s="3030"/>
    </row>
    <row r="7188" spans="2:9" ht="25.5">
      <c r="B7188" s="3192" t="s">
        <v>720</v>
      </c>
      <c r="C7188" s="3063"/>
      <c r="D7188" s="3064"/>
      <c r="E7188" s="3064"/>
      <c r="F7188" s="3064"/>
      <c r="G7188" s="3301" t="s">
        <v>720</v>
      </c>
      <c r="H7188" s="3063"/>
      <c r="I7188" s="3030"/>
    </row>
    <row r="7189" spans="2:9" ht="38.25">
      <c r="B7189" s="3299" t="s">
        <v>681</v>
      </c>
      <c r="C7189" s="3063"/>
      <c r="D7189" s="3064"/>
      <c r="E7189" s="3064"/>
      <c r="F7189" s="3064">
        <v>5</v>
      </c>
      <c r="G7189" s="3300" t="s">
        <v>681</v>
      </c>
      <c r="H7189" s="3063">
        <v>2.9707697476614028E-2</v>
      </c>
      <c r="I7189" s="3030"/>
    </row>
    <row r="7190" spans="2:9" ht="25.5">
      <c r="B7190" s="3192" t="s">
        <v>675</v>
      </c>
      <c r="C7190" s="3063">
        <v>1</v>
      </c>
      <c r="D7190" s="3064">
        <v>2</v>
      </c>
      <c r="E7190" s="3064"/>
      <c r="F7190" s="3064"/>
      <c r="G7190" s="3301" t="s">
        <v>675</v>
      </c>
      <c r="H7190" s="3063"/>
      <c r="I7190" s="3030">
        <v>1.5914837933900375E-2</v>
      </c>
    </row>
    <row r="7191" spans="2:9" ht="25.5">
      <c r="B7191" s="3192" t="s">
        <v>676</v>
      </c>
      <c r="C7191" s="3063"/>
      <c r="D7191" s="3064"/>
      <c r="E7191" s="3064"/>
      <c r="F7191" s="3064"/>
      <c r="G7191" s="3301" t="s">
        <v>676</v>
      </c>
      <c r="H7191" s="3063"/>
      <c r="I7191" s="3030"/>
    </row>
    <row r="7192" spans="2:9">
      <c r="B7192" s="3192" t="s">
        <v>677</v>
      </c>
      <c r="C7192" s="3063"/>
      <c r="D7192" s="3064"/>
      <c r="E7192" s="3064"/>
      <c r="F7192" s="3064"/>
      <c r="G7192" s="3301" t="s">
        <v>677</v>
      </c>
      <c r="H7192" s="3063"/>
      <c r="I7192" s="3030"/>
    </row>
    <row r="7193" spans="2:9">
      <c r="B7193" s="3192" t="s">
        <v>678</v>
      </c>
      <c r="C7193" s="3063">
        <v>5</v>
      </c>
      <c r="D7193" s="3064"/>
      <c r="E7193" s="3064"/>
      <c r="F7193" s="3064"/>
      <c r="G7193" s="3301" t="s">
        <v>678</v>
      </c>
      <c r="H7193" s="3063"/>
      <c r="I7193" s="3030"/>
    </row>
    <row r="7194" spans="2:9">
      <c r="B7194" s="3192" t="s">
        <v>679</v>
      </c>
      <c r="C7194" s="3063"/>
      <c r="D7194" s="3064">
        <v>1</v>
      </c>
      <c r="E7194" s="3064"/>
      <c r="F7194" s="3064"/>
      <c r="G7194" s="3301" t="s">
        <v>679</v>
      </c>
      <c r="H7194" s="3063"/>
      <c r="I7194" s="3030"/>
    </row>
    <row r="7195" spans="2:9" ht="25.5">
      <c r="B7195" s="3192" t="s">
        <v>720</v>
      </c>
      <c r="C7195" s="3063"/>
      <c r="D7195" s="3064"/>
      <c r="E7195" s="3064"/>
      <c r="F7195" s="3064"/>
      <c r="G7195" s="3301" t="s">
        <v>720</v>
      </c>
      <c r="H7195" s="3063"/>
      <c r="I7195" s="3030"/>
    </row>
    <row r="7196" spans="2:9" ht="25.5">
      <c r="B7196" s="3299" t="s">
        <v>682</v>
      </c>
      <c r="C7196" s="3063"/>
      <c r="D7196" s="3064"/>
      <c r="E7196" s="3064"/>
      <c r="F7196" s="3064"/>
      <c r="G7196" s="3300" t="s">
        <v>682</v>
      </c>
      <c r="H7196" s="3063"/>
      <c r="I7196" s="3030"/>
    </row>
    <row r="7197" spans="2:9" ht="25.5">
      <c r="B7197" s="3192" t="s">
        <v>675</v>
      </c>
      <c r="C7197" s="3063"/>
      <c r="D7197" s="3064"/>
      <c r="E7197" s="3064"/>
      <c r="F7197" s="3064"/>
      <c r="G7197" s="3301" t="s">
        <v>675</v>
      </c>
      <c r="H7197" s="3063"/>
      <c r="I7197" s="3030"/>
    </row>
    <row r="7198" spans="2:9" ht="25.5">
      <c r="B7198" s="3192" t="s">
        <v>676</v>
      </c>
      <c r="C7198" s="3063"/>
      <c r="D7198" s="3064"/>
      <c r="E7198" s="3064"/>
      <c r="F7198" s="3064"/>
      <c r="G7198" s="3301" t="s">
        <v>676</v>
      </c>
      <c r="H7198" s="3063"/>
      <c r="I7198" s="3030"/>
    </row>
    <row r="7199" spans="2:9">
      <c r="B7199" s="3192" t="s">
        <v>677</v>
      </c>
      <c r="C7199" s="3063"/>
      <c r="D7199" s="3064"/>
      <c r="E7199" s="3064"/>
      <c r="F7199" s="3064"/>
      <c r="G7199" s="3301" t="s">
        <v>677</v>
      </c>
      <c r="H7199" s="3063"/>
      <c r="I7199" s="3030"/>
    </row>
    <row r="7200" spans="2:9">
      <c r="B7200" s="3192" t="s">
        <v>678</v>
      </c>
      <c r="C7200" s="3063"/>
      <c r="D7200" s="3064"/>
      <c r="E7200" s="3064"/>
      <c r="F7200" s="3064"/>
      <c r="G7200" s="3301" t="s">
        <v>678</v>
      </c>
      <c r="H7200" s="3063"/>
      <c r="I7200" s="3030"/>
    </row>
    <row r="7201" spans="2:9">
      <c r="B7201" s="3192" t="s">
        <v>679</v>
      </c>
      <c r="C7201" s="3063"/>
      <c r="D7201" s="3064"/>
      <c r="E7201" s="3064"/>
      <c r="F7201" s="3064"/>
      <c r="G7201" s="3301" t="s">
        <v>679</v>
      </c>
      <c r="H7201" s="3063"/>
      <c r="I7201" s="3030"/>
    </row>
    <row r="7202" spans="2:9" ht="25.5">
      <c r="B7202" s="3192" t="s">
        <v>720</v>
      </c>
      <c r="C7202" s="3063"/>
      <c r="D7202" s="3064"/>
      <c r="E7202" s="3064"/>
      <c r="F7202" s="3064"/>
      <c r="G7202" s="3301" t="s">
        <v>720</v>
      </c>
      <c r="H7202" s="3063"/>
      <c r="I7202" s="3030"/>
    </row>
    <row r="7203" spans="2:9" ht="25.5">
      <c r="B7203" s="3299" t="s">
        <v>66</v>
      </c>
      <c r="C7203" s="3063"/>
      <c r="D7203" s="3064"/>
      <c r="E7203" s="3064"/>
      <c r="F7203" s="3064"/>
      <c r="G7203" s="3300" t="s">
        <v>66</v>
      </c>
      <c r="H7203" s="3063"/>
      <c r="I7203" s="3030"/>
    </row>
    <row r="7204" spans="2:9" ht="25.5">
      <c r="B7204" s="3192" t="s">
        <v>675</v>
      </c>
      <c r="C7204" s="3063"/>
      <c r="D7204" s="3064"/>
      <c r="E7204" s="3064"/>
      <c r="F7204" s="3064"/>
      <c r="G7204" s="3301" t="s">
        <v>675</v>
      </c>
      <c r="H7204" s="3063"/>
      <c r="I7204" s="3030"/>
    </row>
    <row r="7205" spans="2:9" ht="25.5">
      <c r="B7205" s="3192" t="s">
        <v>676</v>
      </c>
      <c r="C7205" s="3063"/>
      <c r="D7205" s="3064"/>
      <c r="E7205" s="3064"/>
      <c r="F7205" s="3064"/>
      <c r="G7205" s="3301" t="s">
        <v>676</v>
      </c>
      <c r="H7205" s="3063"/>
      <c r="I7205" s="3030"/>
    </row>
    <row r="7206" spans="2:9">
      <c r="B7206" s="3192" t="s">
        <v>677</v>
      </c>
      <c r="C7206" s="3063"/>
      <c r="D7206" s="3064"/>
      <c r="E7206" s="3064"/>
      <c r="F7206" s="3064"/>
      <c r="G7206" s="3301" t="s">
        <v>677</v>
      </c>
      <c r="H7206" s="3063"/>
      <c r="I7206" s="3030"/>
    </row>
    <row r="7207" spans="2:9">
      <c r="B7207" s="3192" t="s">
        <v>678</v>
      </c>
      <c r="C7207" s="3063"/>
      <c r="D7207" s="3064"/>
      <c r="E7207" s="3064"/>
      <c r="F7207" s="3064"/>
      <c r="G7207" s="3301" t="s">
        <v>678</v>
      </c>
      <c r="H7207" s="3063"/>
      <c r="I7207" s="3030"/>
    </row>
    <row r="7208" spans="2:9">
      <c r="B7208" s="3192" t="s">
        <v>679</v>
      </c>
      <c r="C7208" s="3063"/>
      <c r="D7208" s="3064"/>
      <c r="E7208" s="3064"/>
      <c r="F7208" s="3064"/>
      <c r="G7208" s="3301" t="s">
        <v>679</v>
      </c>
      <c r="H7208" s="3063"/>
      <c r="I7208" s="3030"/>
    </row>
    <row r="7209" spans="2:9" ht="25.5">
      <c r="B7209" s="3192" t="s">
        <v>720</v>
      </c>
      <c r="C7209" s="3063"/>
      <c r="D7209" s="3064"/>
      <c r="E7209" s="3064"/>
      <c r="F7209" s="3064"/>
      <c r="G7209" s="3301" t="s">
        <v>720</v>
      </c>
      <c r="H7209" s="3063"/>
      <c r="I7209" s="3030"/>
    </row>
    <row r="7210" spans="2:9">
      <c r="B7210" s="3299" t="s">
        <v>67</v>
      </c>
      <c r="C7210" s="3063"/>
      <c r="D7210" s="3064"/>
      <c r="E7210" s="3064"/>
      <c r="F7210" s="3064">
        <v>2</v>
      </c>
      <c r="G7210" s="3300" t="s">
        <v>67</v>
      </c>
      <c r="H7210" s="3063">
        <v>0.20657363202350357</v>
      </c>
      <c r="I7210" s="3030"/>
    </row>
    <row r="7211" spans="2:9" ht="25.5">
      <c r="B7211" s="3192" t="s">
        <v>675</v>
      </c>
      <c r="C7211" s="3063">
        <v>1</v>
      </c>
      <c r="D7211" s="3064"/>
      <c r="E7211" s="3064"/>
      <c r="F7211" s="3064"/>
      <c r="G7211" s="3301" t="s">
        <v>675</v>
      </c>
      <c r="H7211" s="3063"/>
      <c r="I7211" s="3030">
        <v>0.13771575468233571</v>
      </c>
    </row>
    <row r="7212" spans="2:9" ht="25.5">
      <c r="B7212" s="3192" t="s">
        <v>676</v>
      </c>
      <c r="C7212" s="3063"/>
      <c r="D7212" s="3064"/>
      <c r="E7212" s="3064"/>
      <c r="F7212" s="3064"/>
      <c r="G7212" s="3301" t="s">
        <v>676</v>
      </c>
      <c r="H7212" s="3063"/>
      <c r="I7212" s="3030"/>
    </row>
    <row r="7213" spans="2:9">
      <c r="B7213" s="3192" t="s">
        <v>677</v>
      </c>
      <c r="C7213" s="3063"/>
      <c r="D7213" s="3064"/>
      <c r="E7213" s="3064"/>
      <c r="F7213" s="3064"/>
      <c r="G7213" s="3301" t="s">
        <v>677</v>
      </c>
      <c r="H7213" s="3063"/>
      <c r="I7213" s="3030"/>
    </row>
    <row r="7214" spans="2:9">
      <c r="B7214" s="3192" t="s">
        <v>678</v>
      </c>
      <c r="C7214" s="3063"/>
      <c r="D7214" s="3064"/>
      <c r="E7214" s="3064"/>
      <c r="F7214" s="3064"/>
      <c r="G7214" s="3301" t="s">
        <v>678</v>
      </c>
      <c r="H7214" s="3063"/>
      <c r="I7214" s="3030"/>
    </row>
    <row r="7215" spans="2:9">
      <c r="B7215" s="3192" t="s">
        <v>679</v>
      </c>
      <c r="C7215" s="3063"/>
      <c r="D7215" s="3064"/>
      <c r="E7215" s="3064"/>
      <c r="F7215" s="3064"/>
      <c r="G7215" s="3301" t="s">
        <v>679</v>
      </c>
      <c r="H7215" s="3063"/>
      <c r="I7215" s="3030"/>
    </row>
    <row r="7216" spans="2:9" ht="25.5">
      <c r="B7216" s="3230" t="s">
        <v>81</v>
      </c>
      <c r="C7216" s="3063"/>
      <c r="D7216" s="3064"/>
      <c r="E7216" s="3064"/>
      <c r="F7216" s="3064"/>
      <c r="G7216" s="3302" t="s">
        <v>81</v>
      </c>
      <c r="H7216" s="3063"/>
      <c r="I7216" s="3030"/>
    </row>
    <row r="7217" spans="2:9" ht="26.25" thickBot="1">
      <c r="B7217" s="3303" t="s">
        <v>81</v>
      </c>
      <c r="C7217" s="3068"/>
      <c r="D7217" s="3069"/>
      <c r="E7217" s="3069"/>
      <c r="F7217" s="3069"/>
      <c r="G7217" s="3304" t="s">
        <v>81</v>
      </c>
      <c r="H7217" s="3068"/>
      <c r="I7217" s="3070"/>
    </row>
    <row r="7218" spans="2:9" ht="38.25">
      <c r="B7218" s="4723">
        <v>3045</v>
      </c>
      <c r="C7218" s="3289"/>
      <c r="D7218" s="3290"/>
      <c r="E7218" s="3290"/>
      <c r="F7218" s="3290"/>
      <c r="G7218" s="4723">
        <v>3045</v>
      </c>
      <c r="H7218" s="3291" t="s">
        <v>687</v>
      </c>
      <c r="I7218" s="3292" t="s">
        <v>688</v>
      </c>
    </row>
    <row r="7219" spans="2:9">
      <c r="B7219" s="4724"/>
      <c r="C7219" s="4678" t="s">
        <v>686</v>
      </c>
      <c r="D7219" s="4725"/>
      <c r="E7219" s="4725"/>
      <c r="F7219" s="4726"/>
      <c r="G7219" s="4724"/>
      <c r="H7219" s="3293"/>
      <c r="I7219" s="3294"/>
    </row>
    <row r="7220" spans="2:9" ht="13.5" thickBot="1">
      <c r="B7220" s="4724"/>
      <c r="C7220" s="3215">
        <v>2013</v>
      </c>
      <c r="D7220" s="3215">
        <v>2014</v>
      </c>
      <c r="E7220" s="3215">
        <v>2015</v>
      </c>
      <c r="F7220" s="3215">
        <v>2016</v>
      </c>
      <c r="G7220" s="4724"/>
      <c r="H7220" s="3295" t="s">
        <v>390</v>
      </c>
      <c r="I7220" s="3296" t="s">
        <v>390</v>
      </c>
    </row>
    <row r="7221" spans="2:9">
      <c r="B7221" s="3217" t="s">
        <v>695</v>
      </c>
      <c r="C7221" s="3218"/>
      <c r="D7221" s="3219"/>
      <c r="E7221" s="3219"/>
      <c r="F7221" s="3219"/>
      <c r="G7221" s="3217" t="s">
        <v>695</v>
      </c>
      <c r="H7221" s="3297"/>
      <c r="I7221" s="3298"/>
    </row>
    <row r="7222" spans="2:9">
      <c r="B7222" s="3299" t="s">
        <v>64</v>
      </c>
      <c r="C7222" s="3063"/>
      <c r="D7222" s="3064"/>
      <c r="E7222" s="3064"/>
      <c r="F7222" s="3064"/>
      <c r="G7222" s="3300" t="s">
        <v>64</v>
      </c>
      <c r="H7222" s="3063"/>
      <c r="I7222" s="3030"/>
    </row>
    <row r="7223" spans="2:9" ht="25.5">
      <c r="B7223" s="3192" t="s">
        <v>675</v>
      </c>
      <c r="C7223" s="3063"/>
      <c r="D7223" s="3064"/>
      <c r="E7223" s="3064"/>
      <c r="F7223" s="3064"/>
      <c r="G7223" s="3301" t="s">
        <v>675</v>
      </c>
      <c r="H7223" s="3063"/>
      <c r="I7223" s="3030"/>
    </row>
    <row r="7224" spans="2:9" ht="25.5">
      <c r="B7224" s="3192" t="s">
        <v>676</v>
      </c>
      <c r="C7224" s="3063"/>
      <c r="D7224" s="3064"/>
      <c r="E7224" s="3064"/>
      <c r="F7224" s="3064"/>
      <c r="G7224" s="3301" t="s">
        <v>676</v>
      </c>
      <c r="H7224" s="3063"/>
      <c r="I7224" s="3030"/>
    </row>
    <row r="7225" spans="2:9">
      <c r="B7225" s="3192" t="s">
        <v>677</v>
      </c>
      <c r="C7225" s="3063"/>
      <c r="D7225" s="3064"/>
      <c r="E7225" s="3064"/>
      <c r="F7225" s="3064"/>
      <c r="G7225" s="3301" t="s">
        <v>677</v>
      </c>
      <c r="H7225" s="3063"/>
      <c r="I7225" s="3030"/>
    </row>
    <row r="7226" spans="2:9">
      <c r="B7226" s="3192" t="s">
        <v>678</v>
      </c>
      <c r="C7226" s="3063"/>
      <c r="D7226" s="3064"/>
      <c r="E7226" s="3064"/>
      <c r="F7226" s="3064"/>
      <c r="G7226" s="3301" t="s">
        <v>678</v>
      </c>
      <c r="H7226" s="3063"/>
      <c r="I7226" s="3030"/>
    </row>
    <row r="7227" spans="2:9">
      <c r="B7227" s="3192" t="s">
        <v>679</v>
      </c>
      <c r="C7227" s="3063"/>
      <c r="D7227" s="3064"/>
      <c r="E7227" s="3064"/>
      <c r="F7227" s="3064"/>
      <c r="G7227" s="3301" t="s">
        <v>679</v>
      </c>
      <c r="H7227" s="3063"/>
      <c r="I7227" s="3030"/>
    </row>
    <row r="7228" spans="2:9" ht="25.5">
      <c r="B7228" s="3192" t="s">
        <v>720</v>
      </c>
      <c r="C7228" s="3063"/>
      <c r="D7228" s="3064"/>
      <c r="E7228" s="3064"/>
      <c r="F7228" s="3064"/>
      <c r="G7228" s="3301" t="s">
        <v>720</v>
      </c>
      <c r="H7228" s="3063"/>
      <c r="I7228" s="3030"/>
    </row>
    <row r="7229" spans="2:9">
      <c r="B7229" s="3299" t="s">
        <v>65</v>
      </c>
      <c r="C7229" s="3063"/>
      <c r="D7229" s="3064"/>
      <c r="E7229" s="3064"/>
      <c r="F7229" s="3064"/>
      <c r="G7229" s="3300" t="s">
        <v>65</v>
      </c>
      <c r="H7229" s="3063"/>
      <c r="I7229" s="3030"/>
    </row>
    <row r="7230" spans="2:9" ht="25.5">
      <c r="B7230" s="3192" t="s">
        <v>675</v>
      </c>
      <c r="C7230" s="3063"/>
      <c r="D7230" s="3064"/>
      <c r="E7230" s="3064"/>
      <c r="F7230" s="3064"/>
      <c r="G7230" s="3301" t="s">
        <v>675</v>
      </c>
      <c r="H7230" s="3063"/>
      <c r="I7230" s="3030"/>
    </row>
    <row r="7231" spans="2:9" ht="25.5">
      <c r="B7231" s="3192" t="s">
        <v>676</v>
      </c>
      <c r="C7231" s="3063"/>
      <c r="D7231" s="3064"/>
      <c r="E7231" s="3064"/>
      <c r="F7231" s="3064"/>
      <c r="G7231" s="3301" t="s">
        <v>676</v>
      </c>
      <c r="H7231" s="3063"/>
      <c r="I7231" s="3030"/>
    </row>
    <row r="7232" spans="2:9">
      <c r="B7232" s="3192" t="s">
        <v>677</v>
      </c>
      <c r="C7232" s="3063"/>
      <c r="D7232" s="3064"/>
      <c r="E7232" s="3064"/>
      <c r="F7232" s="3064"/>
      <c r="G7232" s="3301" t="s">
        <v>677</v>
      </c>
      <c r="H7232" s="3063"/>
      <c r="I7232" s="3030"/>
    </row>
    <row r="7233" spans="2:9">
      <c r="B7233" s="3192" t="s">
        <v>678</v>
      </c>
      <c r="C7233" s="3063"/>
      <c r="D7233" s="3064"/>
      <c r="E7233" s="3064"/>
      <c r="F7233" s="3064"/>
      <c r="G7233" s="3301" t="s">
        <v>678</v>
      </c>
      <c r="H7233" s="3063"/>
      <c r="I7233" s="3030"/>
    </row>
    <row r="7234" spans="2:9">
      <c r="B7234" s="3192" t="s">
        <v>679</v>
      </c>
      <c r="C7234" s="3063"/>
      <c r="D7234" s="3064"/>
      <c r="E7234" s="3064"/>
      <c r="F7234" s="3064"/>
      <c r="G7234" s="3301" t="s">
        <v>679</v>
      </c>
      <c r="H7234" s="3063"/>
      <c r="I7234" s="3030"/>
    </row>
    <row r="7235" spans="2:9" ht="25.5">
      <c r="B7235" s="3192" t="s">
        <v>720</v>
      </c>
      <c r="C7235" s="3063"/>
      <c r="D7235" s="3064"/>
      <c r="E7235" s="3064"/>
      <c r="F7235" s="3064"/>
      <c r="G7235" s="3301" t="s">
        <v>720</v>
      </c>
      <c r="H7235" s="3063"/>
      <c r="I7235" s="3030"/>
    </row>
    <row r="7236" spans="2:9">
      <c r="B7236" s="3299" t="s">
        <v>82</v>
      </c>
      <c r="C7236" s="3063"/>
      <c r="D7236" s="3064"/>
      <c r="E7236" s="3064"/>
      <c r="F7236" s="3064"/>
      <c r="G7236" s="3300" t="s">
        <v>82</v>
      </c>
      <c r="H7236" s="3063"/>
      <c r="I7236" s="3030"/>
    </row>
    <row r="7237" spans="2:9" ht="25.5">
      <c r="B7237" s="3192" t="s">
        <v>675</v>
      </c>
      <c r="C7237" s="3063"/>
      <c r="D7237" s="3064"/>
      <c r="E7237" s="3064"/>
      <c r="F7237" s="3064"/>
      <c r="G7237" s="3301" t="s">
        <v>675</v>
      </c>
      <c r="H7237" s="3063"/>
      <c r="I7237" s="3030"/>
    </row>
    <row r="7238" spans="2:9" ht="25.5">
      <c r="B7238" s="3192" t="s">
        <v>676</v>
      </c>
      <c r="C7238" s="3063"/>
      <c r="D7238" s="3064"/>
      <c r="E7238" s="3064"/>
      <c r="F7238" s="3064"/>
      <c r="G7238" s="3301" t="s">
        <v>676</v>
      </c>
      <c r="H7238" s="3063"/>
      <c r="I7238" s="3030"/>
    </row>
    <row r="7239" spans="2:9">
      <c r="B7239" s="3192" t="s">
        <v>677</v>
      </c>
      <c r="C7239" s="3063"/>
      <c r="D7239" s="3064"/>
      <c r="E7239" s="3064"/>
      <c r="F7239" s="3064"/>
      <c r="G7239" s="3301" t="s">
        <v>677</v>
      </c>
      <c r="H7239" s="3063"/>
      <c r="I7239" s="3030"/>
    </row>
    <row r="7240" spans="2:9">
      <c r="B7240" s="3192" t="s">
        <v>678</v>
      </c>
      <c r="C7240" s="3063"/>
      <c r="D7240" s="3064"/>
      <c r="E7240" s="3064"/>
      <c r="F7240" s="3064"/>
      <c r="G7240" s="3301" t="s">
        <v>678</v>
      </c>
      <c r="H7240" s="3063"/>
      <c r="I7240" s="3030"/>
    </row>
    <row r="7241" spans="2:9">
      <c r="B7241" s="3192" t="s">
        <v>679</v>
      </c>
      <c r="C7241" s="3063"/>
      <c r="D7241" s="3064"/>
      <c r="E7241" s="3064"/>
      <c r="F7241" s="3064"/>
      <c r="G7241" s="3301" t="s">
        <v>679</v>
      </c>
      <c r="H7241" s="3063"/>
      <c r="I7241" s="3030"/>
    </row>
    <row r="7242" spans="2:9" ht="25.5">
      <c r="B7242" s="3192" t="s">
        <v>720</v>
      </c>
      <c r="C7242" s="3063"/>
      <c r="D7242" s="3064"/>
      <c r="E7242" s="3064"/>
      <c r="F7242" s="3064"/>
      <c r="G7242" s="3301" t="s">
        <v>720</v>
      </c>
      <c r="H7242" s="3063"/>
      <c r="I7242" s="3030"/>
    </row>
    <row r="7243" spans="2:9" ht="38.25">
      <c r="B7243" s="3299" t="s">
        <v>680</v>
      </c>
      <c r="C7243" s="3063"/>
      <c r="D7243" s="3064"/>
      <c r="E7243" s="3064"/>
      <c r="F7243" s="3064"/>
      <c r="G7243" s="3300" t="s">
        <v>680</v>
      </c>
      <c r="H7243" s="3063"/>
      <c r="I7243" s="3030"/>
    </row>
    <row r="7244" spans="2:9" ht="25.5">
      <c r="B7244" s="3192" t="s">
        <v>675</v>
      </c>
      <c r="C7244" s="3063"/>
      <c r="D7244" s="3064"/>
      <c r="E7244" s="3064"/>
      <c r="F7244" s="3064"/>
      <c r="G7244" s="3301" t="s">
        <v>675</v>
      </c>
      <c r="H7244" s="3063"/>
      <c r="I7244" s="3030"/>
    </row>
    <row r="7245" spans="2:9" ht="25.5">
      <c r="B7245" s="3192" t="s">
        <v>676</v>
      </c>
      <c r="C7245" s="3063"/>
      <c r="D7245" s="3064"/>
      <c r="E7245" s="3064"/>
      <c r="F7245" s="3064"/>
      <c r="G7245" s="3301" t="s">
        <v>676</v>
      </c>
      <c r="H7245" s="3063"/>
      <c r="I7245" s="3030"/>
    </row>
    <row r="7246" spans="2:9">
      <c r="B7246" s="3192" t="s">
        <v>677</v>
      </c>
      <c r="C7246" s="3063"/>
      <c r="D7246" s="3064"/>
      <c r="E7246" s="3064"/>
      <c r="F7246" s="3064"/>
      <c r="G7246" s="3301" t="s">
        <v>677</v>
      </c>
      <c r="H7246" s="3063"/>
      <c r="I7246" s="3030"/>
    </row>
    <row r="7247" spans="2:9">
      <c r="B7247" s="3192" t="s">
        <v>678</v>
      </c>
      <c r="C7247" s="3063"/>
      <c r="D7247" s="3064"/>
      <c r="E7247" s="3064"/>
      <c r="F7247" s="3064"/>
      <c r="G7247" s="3301" t="s">
        <v>678</v>
      </c>
      <c r="H7247" s="3063"/>
      <c r="I7247" s="3030"/>
    </row>
    <row r="7248" spans="2:9">
      <c r="B7248" s="3192" t="s">
        <v>679</v>
      </c>
      <c r="C7248" s="3063"/>
      <c r="D7248" s="3064"/>
      <c r="E7248" s="3064"/>
      <c r="F7248" s="3064"/>
      <c r="G7248" s="3301" t="s">
        <v>679</v>
      </c>
      <c r="H7248" s="3063"/>
      <c r="I7248" s="3030"/>
    </row>
    <row r="7249" spans="2:9" ht="25.5">
      <c r="B7249" s="3192" t="s">
        <v>720</v>
      </c>
      <c r="C7249" s="3063"/>
      <c r="D7249" s="3064"/>
      <c r="E7249" s="3064"/>
      <c r="F7249" s="3064"/>
      <c r="G7249" s="3301" t="s">
        <v>720</v>
      </c>
      <c r="H7249" s="3063"/>
      <c r="I7249" s="3030"/>
    </row>
    <row r="7250" spans="2:9" ht="38.25">
      <c r="B7250" s="3299" t="s">
        <v>681</v>
      </c>
      <c r="C7250" s="3063"/>
      <c r="D7250" s="3064"/>
      <c r="E7250" s="3064"/>
      <c r="F7250" s="3064"/>
      <c r="G7250" s="3300" t="s">
        <v>681</v>
      </c>
      <c r="H7250" s="3063"/>
      <c r="I7250" s="3030"/>
    </row>
    <row r="7251" spans="2:9" ht="25.5">
      <c r="B7251" s="3192" t="s">
        <v>675</v>
      </c>
      <c r="C7251" s="3063"/>
      <c r="D7251" s="3064"/>
      <c r="E7251" s="3064"/>
      <c r="F7251" s="3064"/>
      <c r="G7251" s="3301" t="s">
        <v>675</v>
      </c>
      <c r="H7251" s="3063"/>
      <c r="I7251" s="3030"/>
    </row>
    <row r="7252" spans="2:9" ht="25.5">
      <c r="B7252" s="3192" t="s">
        <v>676</v>
      </c>
      <c r="C7252" s="3063"/>
      <c r="D7252" s="3064"/>
      <c r="E7252" s="3064"/>
      <c r="F7252" s="3064"/>
      <c r="G7252" s="3301" t="s">
        <v>676</v>
      </c>
      <c r="H7252" s="3063"/>
      <c r="I7252" s="3030"/>
    </row>
    <row r="7253" spans="2:9">
      <c r="B7253" s="3192" t="s">
        <v>677</v>
      </c>
      <c r="C7253" s="3063"/>
      <c r="D7253" s="3064"/>
      <c r="E7253" s="3064"/>
      <c r="F7253" s="3064"/>
      <c r="G7253" s="3301" t="s">
        <v>677</v>
      </c>
      <c r="H7253" s="3063"/>
      <c r="I7253" s="3030"/>
    </row>
    <row r="7254" spans="2:9">
      <c r="B7254" s="3192" t="s">
        <v>678</v>
      </c>
      <c r="C7254" s="3063"/>
      <c r="D7254" s="3064"/>
      <c r="E7254" s="3064"/>
      <c r="F7254" s="3064"/>
      <c r="G7254" s="3301" t="s">
        <v>678</v>
      </c>
      <c r="H7254" s="3063"/>
      <c r="I7254" s="3030"/>
    </row>
    <row r="7255" spans="2:9">
      <c r="B7255" s="3192" t="s">
        <v>679</v>
      </c>
      <c r="C7255" s="3063"/>
      <c r="D7255" s="3064"/>
      <c r="E7255" s="3064"/>
      <c r="F7255" s="3064"/>
      <c r="G7255" s="3301" t="s">
        <v>679</v>
      </c>
      <c r="H7255" s="3063"/>
      <c r="I7255" s="3030"/>
    </row>
    <row r="7256" spans="2:9" ht="25.5">
      <c r="B7256" s="3192" t="s">
        <v>720</v>
      </c>
      <c r="C7256" s="3063"/>
      <c r="D7256" s="3064"/>
      <c r="E7256" s="3064"/>
      <c r="F7256" s="3064"/>
      <c r="G7256" s="3301" t="s">
        <v>720</v>
      </c>
      <c r="H7256" s="3063"/>
      <c r="I7256" s="3030"/>
    </row>
    <row r="7257" spans="2:9" ht="25.5">
      <c r="B7257" s="3299" t="s">
        <v>682</v>
      </c>
      <c r="C7257" s="3063"/>
      <c r="D7257" s="3064"/>
      <c r="E7257" s="3064"/>
      <c r="F7257" s="3064"/>
      <c r="G7257" s="3300" t="s">
        <v>682</v>
      </c>
      <c r="H7257" s="3063"/>
      <c r="I7257" s="3030"/>
    </row>
    <row r="7258" spans="2:9" ht="25.5">
      <c r="B7258" s="3192" t="s">
        <v>675</v>
      </c>
      <c r="C7258" s="3063"/>
      <c r="D7258" s="3064"/>
      <c r="E7258" s="3064"/>
      <c r="F7258" s="3064"/>
      <c r="G7258" s="3301" t="s">
        <v>675</v>
      </c>
      <c r="H7258" s="3063"/>
      <c r="I7258" s="3030"/>
    </row>
    <row r="7259" spans="2:9" ht="25.5">
      <c r="B7259" s="3192" t="s">
        <v>676</v>
      </c>
      <c r="C7259" s="3063"/>
      <c r="D7259" s="3064"/>
      <c r="E7259" s="3064"/>
      <c r="F7259" s="3064"/>
      <c r="G7259" s="3301" t="s">
        <v>676</v>
      </c>
      <c r="H7259" s="3063"/>
      <c r="I7259" s="3030"/>
    </row>
    <row r="7260" spans="2:9">
      <c r="B7260" s="3192" t="s">
        <v>677</v>
      </c>
      <c r="C7260" s="3063"/>
      <c r="D7260" s="3064"/>
      <c r="E7260" s="3064"/>
      <c r="F7260" s="3064"/>
      <c r="G7260" s="3301" t="s">
        <v>677</v>
      </c>
      <c r="H7260" s="3063"/>
      <c r="I7260" s="3030"/>
    </row>
    <row r="7261" spans="2:9">
      <c r="B7261" s="3192" t="s">
        <v>678</v>
      </c>
      <c r="C7261" s="3063"/>
      <c r="D7261" s="3064"/>
      <c r="E7261" s="3064"/>
      <c r="F7261" s="3064"/>
      <c r="G7261" s="3301" t="s">
        <v>678</v>
      </c>
      <c r="H7261" s="3063"/>
      <c r="I7261" s="3030"/>
    </row>
    <row r="7262" spans="2:9">
      <c r="B7262" s="3192" t="s">
        <v>679</v>
      </c>
      <c r="C7262" s="3063"/>
      <c r="D7262" s="3064"/>
      <c r="E7262" s="3064"/>
      <c r="F7262" s="3064"/>
      <c r="G7262" s="3301" t="s">
        <v>679</v>
      </c>
      <c r="H7262" s="3063"/>
      <c r="I7262" s="3030"/>
    </row>
    <row r="7263" spans="2:9" ht="25.5">
      <c r="B7263" s="3192" t="s">
        <v>720</v>
      </c>
      <c r="C7263" s="3063"/>
      <c r="D7263" s="3064"/>
      <c r="E7263" s="3064"/>
      <c r="F7263" s="3064"/>
      <c r="G7263" s="3301" t="s">
        <v>720</v>
      </c>
      <c r="H7263" s="3063"/>
      <c r="I7263" s="3030"/>
    </row>
    <row r="7264" spans="2:9" ht="25.5">
      <c r="B7264" s="3299" t="s">
        <v>66</v>
      </c>
      <c r="C7264" s="3063"/>
      <c r="D7264" s="3064"/>
      <c r="E7264" s="3064"/>
      <c r="F7264" s="3064"/>
      <c r="G7264" s="3300" t="s">
        <v>66</v>
      </c>
      <c r="H7264" s="3063"/>
      <c r="I7264" s="3030"/>
    </row>
    <row r="7265" spans="2:9" ht="25.5">
      <c r="B7265" s="3192" t="s">
        <v>675</v>
      </c>
      <c r="C7265" s="3063"/>
      <c r="D7265" s="3064"/>
      <c r="E7265" s="3064"/>
      <c r="F7265" s="3064"/>
      <c r="G7265" s="3301" t="s">
        <v>675</v>
      </c>
      <c r="H7265" s="3063"/>
      <c r="I7265" s="3030"/>
    </row>
    <row r="7266" spans="2:9" ht="25.5">
      <c r="B7266" s="3192" t="s">
        <v>676</v>
      </c>
      <c r="C7266" s="3063"/>
      <c r="D7266" s="3064"/>
      <c r="E7266" s="3064"/>
      <c r="F7266" s="3064"/>
      <c r="G7266" s="3301" t="s">
        <v>676</v>
      </c>
      <c r="H7266" s="3063"/>
      <c r="I7266" s="3030"/>
    </row>
    <row r="7267" spans="2:9">
      <c r="B7267" s="3192" t="s">
        <v>677</v>
      </c>
      <c r="C7267" s="3063"/>
      <c r="D7267" s="3064"/>
      <c r="E7267" s="3064"/>
      <c r="F7267" s="3064"/>
      <c r="G7267" s="3301" t="s">
        <v>677</v>
      </c>
      <c r="H7267" s="3063"/>
      <c r="I7267" s="3030"/>
    </row>
    <row r="7268" spans="2:9">
      <c r="B7268" s="3192" t="s">
        <v>678</v>
      </c>
      <c r="C7268" s="3063"/>
      <c r="D7268" s="3064"/>
      <c r="E7268" s="3064"/>
      <c r="F7268" s="3064"/>
      <c r="G7268" s="3301" t="s">
        <v>678</v>
      </c>
      <c r="H7268" s="3063"/>
      <c r="I7268" s="3030"/>
    </row>
    <row r="7269" spans="2:9">
      <c r="B7269" s="3192" t="s">
        <v>679</v>
      </c>
      <c r="C7269" s="3063"/>
      <c r="D7269" s="3064"/>
      <c r="E7269" s="3064"/>
      <c r="F7269" s="3064"/>
      <c r="G7269" s="3301" t="s">
        <v>679</v>
      </c>
      <c r="H7269" s="3063"/>
      <c r="I7269" s="3030"/>
    </row>
    <row r="7270" spans="2:9" ht="25.5">
      <c r="B7270" s="3192" t="s">
        <v>720</v>
      </c>
      <c r="C7270" s="3063"/>
      <c r="D7270" s="3064"/>
      <c r="E7270" s="3064"/>
      <c r="F7270" s="3064"/>
      <c r="G7270" s="3301" t="s">
        <v>720</v>
      </c>
      <c r="H7270" s="3063"/>
      <c r="I7270" s="3030"/>
    </row>
    <row r="7271" spans="2:9">
      <c r="B7271" s="3299" t="s">
        <v>67</v>
      </c>
      <c r="C7271" s="3063"/>
      <c r="D7271" s="3064"/>
      <c r="E7271" s="3064"/>
      <c r="F7271" s="3064"/>
      <c r="G7271" s="3300" t="s">
        <v>67</v>
      </c>
      <c r="H7271" s="3063"/>
      <c r="I7271" s="3030"/>
    </row>
    <row r="7272" spans="2:9" ht="25.5">
      <c r="B7272" s="3192" t="s">
        <v>675</v>
      </c>
      <c r="C7272" s="3063"/>
      <c r="D7272" s="3064"/>
      <c r="E7272" s="3064"/>
      <c r="F7272" s="3064"/>
      <c r="G7272" s="3301" t="s">
        <v>675</v>
      </c>
      <c r="H7272" s="3063"/>
      <c r="I7272" s="3030"/>
    </row>
    <row r="7273" spans="2:9" ht="25.5">
      <c r="B7273" s="3192" t="s">
        <v>676</v>
      </c>
      <c r="C7273" s="3063"/>
      <c r="D7273" s="3064"/>
      <c r="E7273" s="3064"/>
      <c r="F7273" s="3064"/>
      <c r="G7273" s="3301" t="s">
        <v>676</v>
      </c>
      <c r="H7273" s="3063"/>
      <c r="I7273" s="3030"/>
    </row>
    <row r="7274" spans="2:9">
      <c r="B7274" s="3192" t="s">
        <v>677</v>
      </c>
      <c r="C7274" s="3063"/>
      <c r="D7274" s="3064"/>
      <c r="E7274" s="3064"/>
      <c r="F7274" s="3064"/>
      <c r="G7274" s="3301" t="s">
        <v>677</v>
      </c>
      <c r="H7274" s="3063"/>
      <c r="I7274" s="3030"/>
    </row>
    <row r="7275" spans="2:9">
      <c r="B7275" s="3192" t="s">
        <v>678</v>
      </c>
      <c r="C7275" s="3063"/>
      <c r="D7275" s="3064"/>
      <c r="E7275" s="3064"/>
      <c r="F7275" s="3064"/>
      <c r="G7275" s="3301" t="s">
        <v>678</v>
      </c>
      <c r="H7275" s="3063"/>
      <c r="I7275" s="3030"/>
    </row>
    <row r="7276" spans="2:9">
      <c r="B7276" s="3192" t="s">
        <v>679</v>
      </c>
      <c r="C7276" s="3063"/>
      <c r="D7276" s="3064"/>
      <c r="E7276" s="3064"/>
      <c r="F7276" s="3064"/>
      <c r="G7276" s="3301" t="s">
        <v>679</v>
      </c>
      <c r="H7276" s="3063"/>
      <c r="I7276" s="3030"/>
    </row>
    <row r="7277" spans="2:9" ht="25.5">
      <c r="B7277" s="3192" t="s">
        <v>720</v>
      </c>
      <c r="C7277" s="3063"/>
      <c r="D7277" s="3064"/>
      <c r="E7277" s="3064"/>
      <c r="F7277" s="3064"/>
      <c r="G7277" s="3301" t="s">
        <v>720</v>
      </c>
      <c r="H7277" s="3063"/>
      <c r="I7277" s="3030"/>
    </row>
    <row r="7278" spans="2:9" ht="25.5">
      <c r="B7278" s="3230" t="s">
        <v>81</v>
      </c>
      <c r="C7278" s="3063"/>
      <c r="D7278" s="3064"/>
      <c r="E7278" s="3064"/>
      <c r="F7278" s="3064"/>
      <c r="G7278" s="3302" t="s">
        <v>81</v>
      </c>
      <c r="H7278" s="3063"/>
      <c r="I7278" s="3030"/>
    </row>
    <row r="7279" spans="2:9" ht="26.25" thickBot="1">
      <c r="B7279" s="3303" t="s">
        <v>81</v>
      </c>
      <c r="C7279" s="3063"/>
      <c r="D7279" s="3064"/>
      <c r="E7279" s="3064"/>
      <c r="F7279" s="3064"/>
      <c r="G7279" s="3302" t="s">
        <v>81</v>
      </c>
      <c r="H7279" s="3063"/>
      <c r="I7279" s="3030"/>
    </row>
    <row r="7280" spans="2:9" ht="25.5">
      <c r="B7280" s="3217" t="s">
        <v>696</v>
      </c>
      <c r="C7280" s="3218"/>
      <c r="D7280" s="3219"/>
      <c r="E7280" s="3219"/>
      <c r="F7280" s="3219"/>
      <c r="G7280" s="3217" t="s">
        <v>696</v>
      </c>
      <c r="H7280" s="3297"/>
      <c r="I7280" s="3298"/>
    </row>
    <row r="7281" spans="2:9">
      <c r="B7281" s="3299" t="s">
        <v>64</v>
      </c>
      <c r="C7281" s="3063"/>
      <c r="D7281" s="3064"/>
      <c r="E7281" s="3064"/>
      <c r="F7281" s="3064"/>
      <c r="G7281" s="3300" t="s">
        <v>64</v>
      </c>
      <c r="H7281" s="3063"/>
      <c r="I7281" s="3030"/>
    </row>
    <row r="7282" spans="2:9" ht="25.5">
      <c r="B7282" s="3192" t="s">
        <v>675</v>
      </c>
      <c r="C7282" s="3063"/>
      <c r="D7282" s="3064"/>
      <c r="E7282" s="3064"/>
      <c r="F7282" s="3064"/>
      <c r="G7282" s="3301" t="s">
        <v>675</v>
      </c>
      <c r="H7282" s="3063"/>
      <c r="I7282" s="3030"/>
    </row>
    <row r="7283" spans="2:9" ht="25.5">
      <c r="B7283" s="3192" t="s">
        <v>676</v>
      </c>
      <c r="C7283" s="3063"/>
      <c r="D7283" s="3064"/>
      <c r="E7283" s="3064"/>
      <c r="F7283" s="3064"/>
      <c r="G7283" s="3301" t="s">
        <v>676</v>
      </c>
      <c r="H7283" s="3063"/>
      <c r="I7283" s="3030"/>
    </row>
    <row r="7284" spans="2:9">
      <c r="B7284" s="3192" t="s">
        <v>677</v>
      </c>
      <c r="C7284" s="3063"/>
      <c r="D7284" s="3064"/>
      <c r="E7284" s="3064"/>
      <c r="F7284" s="3064"/>
      <c r="G7284" s="3301" t="s">
        <v>677</v>
      </c>
      <c r="H7284" s="3063"/>
      <c r="I7284" s="3030"/>
    </row>
    <row r="7285" spans="2:9">
      <c r="B7285" s="3192" t="s">
        <v>678</v>
      </c>
      <c r="C7285" s="3063"/>
      <c r="D7285" s="3064"/>
      <c r="E7285" s="3064"/>
      <c r="F7285" s="3064"/>
      <c r="G7285" s="3301" t="s">
        <v>678</v>
      </c>
      <c r="H7285" s="3063"/>
      <c r="I7285" s="3030"/>
    </row>
    <row r="7286" spans="2:9">
      <c r="B7286" s="3192" t="s">
        <v>679</v>
      </c>
      <c r="C7286" s="3063"/>
      <c r="D7286" s="3064"/>
      <c r="E7286" s="3064"/>
      <c r="F7286" s="3064"/>
      <c r="G7286" s="3301" t="s">
        <v>679</v>
      </c>
      <c r="H7286" s="3063"/>
      <c r="I7286" s="3030"/>
    </row>
    <row r="7287" spans="2:9" ht="25.5">
      <c r="B7287" s="3192" t="s">
        <v>720</v>
      </c>
      <c r="C7287" s="3063"/>
      <c r="D7287" s="3064"/>
      <c r="E7287" s="3064"/>
      <c r="F7287" s="3064"/>
      <c r="G7287" s="3301" t="s">
        <v>720</v>
      </c>
      <c r="H7287" s="3063"/>
      <c r="I7287" s="3030"/>
    </row>
    <row r="7288" spans="2:9">
      <c r="B7288" s="3299" t="s">
        <v>65</v>
      </c>
      <c r="C7288" s="3063"/>
      <c r="D7288" s="3064"/>
      <c r="E7288" s="3064"/>
      <c r="F7288" s="3064"/>
      <c r="G7288" s="3300" t="s">
        <v>65</v>
      </c>
      <c r="H7288" s="3063"/>
      <c r="I7288" s="3030"/>
    </row>
    <row r="7289" spans="2:9" ht="25.5">
      <c r="B7289" s="3192" t="s">
        <v>675</v>
      </c>
      <c r="C7289" s="3063"/>
      <c r="D7289" s="3064"/>
      <c r="E7289" s="3064"/>
      <c r="F7289" s="3064"/>
      <c r="G7289" s="3301" t="s">
        <v>675</v>
      </c>
      <c r="H7289" s="3063"/>
      <c r="I7289" s="3030"/>
    </row>
    <row r="7290" spans="2:9" ht="25.5">
      <c r="B7290" s="3192" t="s">
        <v>676</v>
      </c>
      <c r="C7290" s="3063"/>
      <c r="D7290" s="3064"/>
      <c r="E7290" s="3064"/>
      <c r="F7290" s="3064"/>
      <c r="G7290" s="3301" t="s">
        <v>676</v>
      </c>
      <c r="H7290" s="3063"/>
      <c r="I7290" s="3030"/>
    </row>
    <row r="7291" spans="2:9">
      <c r="B7291" s="3192" t="s">
        <v>677</v>
      </c>
      <c r="C7291" s="3063"/>
      <c r="D7291" s="3064"/>
      <c r="E7291" s="3064"/>
      <c r="F7291" s="3064"/>
      <c r="G7291" s="3301" t="s">
        <v>677</v>
      </c>
      <c r="H7291" s="3063"/>
      <c r="I7291" s="3030"/>
    </row>
    <row r="7292" spans="2:9">
      <c r="B7292" s="3192" t="s">
        <v>678</v>
      </c>
      <c r="C7292" s="3063"/>
      <c r="D7292" s="3064"/>
      <c r="E7292" s="3064"/>
      <c r="F7292" s="3064"/>
      <c r="G7292" s="3301" t="s">
        <v>678</v>
      </c>
      <c r="H7292" s="3063"/>
      <c r="I7292" s="3030"/>
    </row>
    <row r="7293" spans="2:9">
      <c r="B7293" s="3192" t="s">
        <v>679</v>
      </c>
      <c r="C7293" s="3063"/>
      <c r="D7293" s="3064"/>
      <c r="E7293" s="3064"/>
      <c r="F7293" s="3064"/>
      <c r="G7293" s="3301" t="s">
        <v>679</v>
      </c>
      <c r="H7293" s="3063"/>
      <c r="I7293" s="3030"/>
    </row>
    <row r="7294" spans="2:9" ht="25.5">
      <c r="B7294" s="3192" t="s">
        <v>720</v>
      </c>
      <c r="C7294" s="3063"/>
      <c r="D7294" s="3064"/>
      <c r="E7294" s="3064"/>
      <c r="F7294" s="3064"/>
      <c r="G7294" s="3301" t="s">
        <v>720</v>
      </c>
      <c r="H7294" s="3063"/>
      <c r="I7294" s="3030"/>
    </row>
    <row r="7295" spans="2:9">
      <c r="B7295" s="3299" t="s">
        <v>82</v>
      </c>
      <c r="C7295" s="3063"/>
      <c r="D7295" s="3064"/>
      <c r="E7295" s="3064"/>
      <c r="F7295" s="3064"/>
      <c r="G7295" s="3300" t="s">
        <v>82</v>
      </c>
      <c r="H7295" s="3063"/>
      <c r="I7295" s="3030"/>
    </row>
    <row r="7296" spans="2:9" ht="25.5">
      <c r="B7296" s="3192" t="s">
        <v>675</v>
      </c>
      <c r="C7296" s="3063"/>
      <c r="D7296" s="3064"/>
      <c r="E7296" s="3064"/>
      <c r="F7296" s="3064"/>
      <c r="G7296" s="3301" t="s">
        <v>675</v>
      </c>
      <c r="H7296" s="3063"/>
      <c r="I7296" s="3030"/>
    </row>
    <row r="7297" spans="2:9" ht="25.5">
      <c r="B7297" s="3192" t="s">
        <v>676</v>
      </c>
      <c r="C7297" s="3063"/>
      <c r="D7297" s="3064"/>
      <c r="E7297" s="3064"/>
      <c r="F7297" s="3064"/>
      <c r="G7297" s="3301" t="s">
        <v>676</v>
      </c>
      <c r="H7297" s="3063"/>
      <c r="I7297" s="3030"/>
    </row>
    <row r="7298" spans="2:9">
      <c r="B7298" s="3192" t="s">
        <v>677</v>
      </c>
      <c r="C7298" s="3063"/>
      <c r="D7298" s="3064"/>
      <c r="E7298" s="3064"/>
      <c r="F7298" s="3064"/>
      <c r="G7298" s="3301" t="s">
        <v>677</v>
      </c>
      <c r="H7298" s="3063"/>
      <c r="I7298" s="3030"/>
    </row>
    <row r="7299" spans="2:9">
      <c r="B7299" s="3192" t="s">
        <v>678</v>
      </c>
      <c r="C7299" s="3063"/>
      <c r="D7299" s="3064"/>
      <c r="E7299" s="3064"/>
      <c r="F7299" s="3064"/>
      <c r="G7299" s="3301" t="s">
        <v>678</v>
      </c>
      <c r="H7299" s="3063"/>
      <c r="I7299" s="3030"/>
    </row>
    <row r="7300" spans="2:9">
      <c r="B7300" s="3192" t="s">
        <v>679</v>
      </c>
      <c r="C7300" s="3063"/>
      <c r="D7300" s="3064"/>
      <c r="E7300" s="3064"/>
      <c r="F7300" s="3064"/>
      <c r="G7300" s="3301" t="s">
        <v>679</v>
      </c>
      <c r="H7300" s="3063"/>
      <c r="I7300" s="3030"/>
    </row>
    <row r="7301" spans="2:9" ht="25.5">
      <c r="B7301" s="3192" t="s">
        <v>720</v>
      </c>
      <c r="C7301" s="3063"/>
      <c r="D7301" s="3064"/>
      <c r="E7301" s="3064"/>
      <c r="F7301" s="3064"/>
      <c r="G7301" s="3301" t="s">
        <v>720</v>
      </c>
      <c r="H7301" s="3063"/>
      <c r="I7301" s="3030"/>
    </row>
    <row r="7302" spans="2:9" ht="38.25">
      <c r="B7302" s="3299" t="s">
        <v>680</v>
      </c>
      <c r="C7302" s="3063"/>
      <c r="D7302" s="3064"/>
      <c r="E7302" s="3064"/>
      <c r="F7302" s="3064"/>
      <c r="G7302" s="3300" t="s">
        <v>680</v>
      </c>
      <c r="H7302" s="3063"/>
      <c r="I7302" s="3030"/>
    </row>
    <row r="7303" spans="2:9" ht="25.5">
      <c r="B7303" s="3192" t="s">
        <v>675</v>
      </c>
      <c r="C7303" s="3063"/>
      <c r="D7303" s="3064"/>
      <c r="E7303" s="3064"/>
      <c r="F7303" s="3064"/>
      <c r="G7303" s="3301" t="s">
        <v>675</v>
      </c>
      <c r="H7303" s="3063"/>
      <c r="I7303" s="3030"/>
    </row>
    <row r="7304" spans="2:9" ht="25.5">
      <c r="B7304" s="3192" t="s">
        <v>676</v>
      </c>
      <c r="C7304" s="3063"/>
      <c r="D7304" s="3064"/>
      <c r="E7304" s="3064"/>
      <c r="F7304" s="3064"/>
      <c r="G7304" s="3301" t="s">
        <v>676</v>
      </c>
      <c r="H7304" s="3063"/>
      <c r="I7304" s="3030"/>
    </row>
    <row r="7305" spans="2:9">
      <c r="B7305" s="3192" t="s">
        <v>677</v>
      </c>
      <c r="C7305" s="3063"/>
      <c r="D7305" s="3064"/>
      <c r="E7305" s="3064"/>
      <c r="F7305" s="3064"/>
      <c r="G7305" s="3301" t="s">
        <v>677</v>
      </c>
      <c r="H7305" s="3063"/>
      <c r="I7305" s="3030"/>
    </row>
    <row r="7306" spans="2:9">
      <c r="B7306" s="3192" t="s">
        <v>678</v>
      </c>
      <c r="C7306" s="3063"/>
      <c r="D7306" s="3064"/>
      <c r="E7306" s="3064"/>
      <c r="F7306" s="3064"/>
      <c r="G7306" s="3301" t="s">
        <v>678</v>
      </c>
      <c r="H7306" s="3063"/>
      <c r="I7306" s="3030"/>
    </row>
    <row r="7307" spans="2:9">
      <c r="B7307" s="3192" t="s">
        <v>679</v>
      </c>
      <c r="C7307" s="3063"/>
      <c r="D7307" s="3064"/>
      <c r="E7307" s="3064"/>
      <c r="F7307" s="3064"/>
      <c r="G7307" s="3301" t="s">
        <v>679</v>
      </c>
      <c r="H7307" s="3063"/>
      <c r="I7307" s="3030"/>
    </row>
    <row r="7308" spans="2:9" ht="25.5">
      <c r="B7308" s="3192" t="s">
        <v>720</v>
      </c>
      <c r="C7308" s="3063"/>
      <c r="D7308" s="3064"/>
      <c r="E7308" s="3064"/>
      <c r="F7308" s="3064"/>
      <c r="G7308" s="3301" t="s">
        <v>720</v>
      </c>
      <c r="H7308" s="3063"/>
      <c r="I7308" s="3030"/>
    </row>
    <row r="7309" spans="2:9" ht="38.25">
      <c r="B7309" s="3299" t="s">
        <v>681</v>
      </c>
      <c r="C7309" s="3063"/>
      <c r="D7309" s="3064"/>
      <c r="E7309" s="3064"/>
      <c r="F7309" s="3064"/>
      <c r="G7309" s="3300" t="s">
        <v>681</v>
      </c>
      <c r="H7309" s="3063"/>
      <c r="I7309" s="3030"/>
    </row>
    <row r="7310" spans="2:9" ht="25.5">
      <c r="B7310" s="3192" t="s">
        <v>675</v>
      </c>
      <c r="C7310" s="3063"/>
      <c r="D7310" s="3064"/>
      <c r="E7310" s="3064"/>
      <c r="F7310" s="3064"/>
      <c r="G7310" s="3301" t="s">
        <v>675</v>
      </c>
      <c r="H7310" s="3063"/>
      <c r="I7310" s="3030"/>
    </row>
    <row r="7311" spans="2:9" ht="25.5">
      <c r="B7311" s="3192" t="s">
        <v>676</v>
      </c>
      <c r="C7311" s="3063"/>
      <c r="D7311" s="3064"/>
      <c r="E7311" s="3064"/>
      <c r="F7311" s="3064"/>
      <c r="G7311" s="3301" t="s">
        <v>676</v>
      </c>
      <c r="H7311" s="3063"/>
      <c r="I7311" s="3030"/>
    </row>
    <row r="7312" spans="2:9">
      <c r="B7312" s="3192" t="s">
        <v>677</v>
      </c>
      <c r="C7312" s="3063"/>
      <c r="D7312" s="3064"/>
      <c r="E7312" s="3064"/>
      <c r="F7312" s="3064"/>
      <c r="G7312" s="3301" t="s">
        <v>677</v>
      </c>
      <c r="H7312" s="3063"/>
      <c r="I7312" s="3030"/>
    </row>
    <row r="7313" spans="2:9">
      <c r="B7313" s="3192" t="s">
        <v>678</v>
      </c>
      <c r="C7313" s="3063"/>
      <c r="D7313" s="3064"/>
      <c r="E7313" s="3064"/>
      <c r="F7313" s="3064"/>
      <c r="G7313" s="3301" t="s">
        <v>678</v>
      </c>
      <c r="H7313" s="3063"/>
      <c r="I7313" s="3030"/>
    </row>
    <row r="7314" spans="2:9">
      <c r="B7314" s="3192" t="s">
        <v>679</v>
      </c>
      <c r="C7314" s="3063"/>
      <c r="D7314" s="3064"/>
      <c r="E7314" s="3064"/>
      <c r="F7314" s="3064"/>
      <c r="G7314" s="3301" t="s">
        <v>679</v>
      </c>
      <c r="H7314" s="3063"/>
      <c r="I7314" s="3030"/>
    </row>
    <row r="7315" spans="2:9" ht="25.5">
      <c r="B7315" s="3192" t="s">
        <v>720</v>
      </c>
      <c r="C7315" s="3063"/>
      <c r="D7315" s="3064"/>
      <c r="E7315" s="3064"/>
      <c r="F7315" s="3064"/>
      <c r="G7315" s="3301" t="s">
        <v>720</v>
      </c>
      <c r="H7315" s="3063"/>
      <c r="I7315" s="3030"/>
    </row>
    <row r="7316" spans="2:9" ht="25.5">
      <c r="B7316" s="3299" t="s">
        <v>682</v>
      </c>
      <c r="C7316" s="3063"/>
      <c r="D7316" s="3064"/>
      <c r="E7316" s="3064"/>
      <c r="F7316" s="3064"/>
      <c r="G7316" s="3300" t="s">
        <v>682</v>
      </c>
      <c r="H7316" s="3063"/>
      <c r="I7316" s="3030"/>
    </row>
    <row r="7317" spans="2:9" ht="25.5">
      <c r="B7317" s="3192" t="s">
        <v>675</v>
      </c>
      <c r="C7317" s="3063"/>
      <c r="D7317" s="3064"/>
      <c r="E7317" s="3064"/>
      <c r="F7317" s="3064"/>
      <c r="G7317" s="3301" t="s">
        <v>675</v>
      </c>
      <c r="H7317" s="3063"/>
      <c r="I7317" s="3030"/>
    </row>
    <row r="7318" spans="2:9" ht="25.5">
      <c r="B7318" s="3192" t="s">
        <v>676</v>
      </c>
      <c r="C7318" s="3063"/>
      <c r="D7318" s="3064"/>
      <c r="E7318" s="3064"/>
      <c r="F7318" s="3064"/>
      <c r="G7318" s="3301" t="s">
        <v>676</v>
      </c>
      <c r="H7318" s="3063"/>
      <c r="I7318" s="3030"/>
    </row>
    <row r="7319" spans="2:9">
      <c r="B7319" s="3192" t="s">
        <v>677</v>
      </c>
      <c r="C7319" s="3063"/>
      <c r="D7319" s="3064"/>
      <c r="E7319" s="3064"/>
      <c r="F7319" s="3064"/>
      <c r="G7319" s="3301" t="s">
        <v>677</v>
      </c>
      <c r="H7319" s="3063"/>
      <c r="I7319" s="3030"/>
    </row>
    <row r="7320" spans="2:9">
      <c r="B7320" s="3192" t="s">
        <v>678</v>
      </c>
      <c r="C7320" s="3063"/>
      <c r="D7320" s="3064"/>
      <c r="E7320" s="3064"/>
      <c r="F7320" s="3064"/>
      <c r="G7320" s="3301" t="s">
        <v>678</v>
      </c>
      <c r="H7320" s="3063"/>
      <c r="I7320" s="3030"/>
    </row>
    <row r="7321" spans="2:9">
      <c r="B7321" s="3192" t="s">
        <v>679</v>
      </c>
      <c r="C7321" s="3063"/>
      <c r="D7321" s="3064"/>
      <c r="E7321" s="3064"/>
      <c r="F7321" s="3064"/>
      <c r="G7321" s="3301" t="s">
        <v>679</v>
      </c>
      <c r="H7321" s="3063"/>
      <c r="I7321" s="3030"/>
    </row>
    <row r="7322" spans="2:9" ht="25.5">
      <c r="B7322" s="3192" t="s">
        <v>720</v>
      </c>
      <c r="C7322" s="3063"/>
      <c r="D7322" s="3064"/>
      <c r="E7322" s="3064"/>
      <c r="F7322" s="3064"/>
      <c r="G7322" s="3301" t="s">
        <v>720</v>
      </c>
      <c r="H7322" s="3063"/>
      <c r="I7322" s="3030"/>
    </row>
    <row r="7323" spans="2:9" ht="25.5">
      <c r="B7323" s="3299" t="s">
        <v>66</v>
      </c>
      <c r="C7323" s="3063"/>
      <c r="D7323" s="3064"/>
      <c r="E7323" s="3064"/>
      <c r="F7323" s="3064"/>
      <c r="G7323" s="3300" t="s">
        <v>66</v>
      </c>
      <c r="H7323" s="3063"/>
      <c r="I7323" s="3030"/>
    </row>
    <row r="7324" spans="2:9" ht="25.5">
      <c r="B7324" s="3192" t="s">
        <v>675</v>
      </c>
      <c r="C7324" s="3063"/>
      <c r="D7324" s="3064"/>
      <c r="E7324" s="3064"/>
      <c r="F7324" s="3064"/>
      <c r="G7324" s="3301" t="s">
        <v>675</v>
      </c>
      <c r="H7324" s="3063"/>
      <c r="I7324" s="3030"/>
    </row>
    <row r="7325" spans="2:9" ht="25.5">
      <c r="B7325" s="3192" t="s">
        <v>676</v>
      </c>
      <c r="C7325" s="3063"/>
      <c r="D7325" s="3064"/>
      <c r="E7325" s="3064"/>
      <c r="F7325" s="3064"/>
      <c r="G7325" s="3301" t="s">
        <v>676</v>
      </c>
      <c r="H7325" s="3063"/>
      <c r="I7325" s="3030"/>
    </row>
    <row r="7326" spans="2:9">
      <c r="B7326" s="3192" t="s">
        <v>677</v>
      </c>
      <c r="C7326" s="3063"/>
      <c r="D7326" s="3064"/>
      <c r="E7326" s="3064"/>
      <c r="F7326" s="3064"/>
      <c r="G7326" s="3301" t="s">
        <v>677</v>
      </c>
      <c r="H7326" s="3063"/>
      <c r="I7326" s="3030"/>
    </row>
    <row r="7327" spans="2:9">
      <c r="B7327" s="3192" t="s">
        <v>678</v>
      </c>
      <c r="C7327" s="3063"/>
      <c r="D7327" s="3064"/>
      <c r="E7327" s="3064"/>
      <c r="F7327" s="3064"/>
      <c r="G7327" s="3301" t="s">
        <v>678</v>
      </c>
      <c r="H7327" s="3063"/>
      <c r="I7327" s="3030"/>
    </row>
    <row r="7328" spans="2:9">
      <c r="B7328" s="3192" t="s">
        <v>679</v>
      </c>
      <c r="C7328" s="3063"/>
      <c r="D7328" s="3064"/>
      <c r="E7328" s="3064"/>
      <c r="F7328" s="3064"/>
      <c r="G7328" s="3301" t="s">
        <v>679</v>
      </c>
      <c r="H7328" s="3063"/>
      <c r="I7328" s="3030"/>
    </row>
    <row r="7329" spans="2:9" ht="25.5">
      <c r="B7329" s="3192" t="s">
        <v>720</v>
      </c>
      <c r="C7329" s="3063"/>
      <c r="D7329" s="3064"/>
      <c r="E7329" s="3064"/>
      <c r="F7329" s="3064"/>
      <c r="G7329" s="3301" t="s">
        <v>720</v>
      </c>
      <c r="H7329" s="3063"/>
      <c r="I7329" s="3030"/>
    </row>
    <row r="7330" spans="2:9">
      <c r="B7330" s="3299" t="s">
        <v>67</v>
      </c>
      <c r="C7330" s="3063"/>
      <c r="D7330" s="3064"/>
      <c r="E7330" s="3064"/>
      <c r="F7330" s="3064"/>
      <c r="G7330" s="3300" t="s">
        <v>67</v>
      </c>
      <c r="H7330" s="3063"/>
      <c r="I7330" s="3030"/>
    </row>
    <row r="7331" spans="2:9" ht="25.5">
      <c r="B7331" s="3192" t="s">
        <v>675</v>
      </c>
      <c r="C7331" s="3063"/>
      <c r="D7331" s="3064"/>
      <c r="E7331" s="3064"/>
      <c r="F7331" s="3064"/>
      <c r="G7331" s="3301" t="s">
        <v>675</v>
      </c>
      <c r="H7331" s="3063"/>
      <c r="I7331" s="3030"/>
    </row>
    <row r="7332" spans="2:9" ht="25.5">
      <c r="B7332" s="3192" t="s">
        <v>676</v>
      </c>
      <c r="C7332" s="3063"/>
      <c r="D7332" s="3064"/>
      <c r="E7332" s="3064"/>
      <c r="F7332" s="3064"/>
      <c r="G7332" s="3301" t="s">
        <v>676</v>
      </c>
      <c r="H7332" s="3063"/>
      <c r="I7332" s="3030"/>
    </row>
    <row r="7333" spans="2:9">
      <c r="B7333" s="3192" t="s">
        <v>677</v>
      </c>
      <c r="C7333" s="3063"/>
      <c r="D7333" s="3064"/>
      <c r="E7333" s="3064"/>
      <c r="F7333" s="3064"/>
      <c r="G7333" s="3301" t="s">
        <v>677</v>
      </c>
      <c r="H7333" s="3063"/>
      <c r="I7333" s="3030"/>
    </row>
    <row r="7334" spans="2:9">
      <c r="B7334" s="3192" t="s">
        <v>678</v>
      </c>
      <c r="C7334" s="3063"/>
      <c r="D7334" s="3064"/>
      <c r="E7334" s="3064"/>
      <c r="F7334" s="3064"/>
      <c r="G7334" s="3301" t="s">
        <v>678</v>
      </c>
      <c r="H7334" s="3063"/>
      <c r="I7334" s="3030"/>
    </row>
    <row r="7335" spans="2:9">
      <c r="B7335" s="3192" t="s">
        <v>679</v>
      </c>
      <c r="C7335" s="3063"/>
      <c r="D7335" s="3064"/>
      <c r="E7335" s="3064"/>
      <c r="F7335" s="3064"/>
      <c r="G7335" s="3301" t="s">
        <v>679</v>
      </c>
      <c r="H7335" s="3063"/>
      <c r="I7335" s="3030"/>
    </row>
    <row r="7336" spans="2:9" ht="25.5">
      <c r="B7336" s="3230" t="s">
        <v>81</v>
      </c>
      <c r="C7336" s="3063"/>
      <c r="D7336" s="3064"/>
      <c r="E7336" s="3064"/>
      <c r="F7336" s="3064"/>
      <c r="G7336" s="3302" t="s">
        <v>81</v>
      </c>
      <c r="H7336" s="3063"/>
      <c r="I7336" s="3030"/>
    </row>
    <row r="7337" spans="2:9" ht="26.25" thickBot="1">
      <c r="B7337" s="3303" t="s">
        <v>81</v>
      </c>
      <c r="C7337" s="3063"/>
      <c r="D7337" s="3064"/>
      <c r="E7337" s="3064"/>
      <c r="F7337" s="3064"/>
      <c r="G7337" s="3302" t="s">
        <v>81</v>
      </c>
      <c r="H7337" s="3063"/>
      <c r="I7337" s="3030"/>
    </row>
    <row r="7338" spans="2:9">
      <c r="B7338" s="3217" t="s">
        <v>697</v>
      </c>
      <c r="C7338" s="3218"/>
      <c r="D7338" s="3219"/>
      <c r="E7338" s="3219"/>
      <c r="F7338" s="3219"/>
      <c r="G7338" s="3217" t="s">
        <v>697</v>
      </c>
      <c r="H7338" s="3297"/>
      <c r="I7338" s="3298"/>
    </row>
    <row r="7339" spans="2:9">
      <c r="B7339" s="3299" t="s">
        <v>64</v>
      </c>
      <c r="C7339" s="3063"/>
      <c r="D7339" s="3064"/>
      <c r="E7339" s="3064"/>
      <c r="F7339" s="3064"/>
      <c r="G7339" s="3300" t="s">
        <v>64</v>
      </c>
      <c r="H7339" s="3063"/>
      <c r="I7339" s="3030"/>
    </row>
    <row r="7340" spans="2:9" ht="25.5">
      <c r="B7340" s="3192" t="s">
        <v>675</v>
      </c>
      <c r="C7340" s="3063"/>
      <c r="D7340" s="3064"/>
      <c r="E7340" s="3064"/>
      <c r="F7340" s="3064"/>
      <c r="G7340" s="3301" t="s">
        <v>675</v>
      </c>
      <c r="H7340" s="3063"/>
      <c r="I7340" s="3030"/>
    </row>
    <row r="7341" spans="2:9" ht="25.5">
      <c r="B7341" s="3192" t="s">
        <v>676</v>
      </c>
      <c r="C7341" s="3063"/>
      <c r="D7341" s="3064"/>
      <c r="E7341" s="3064"/>
      <c r="F7341" s="3064"/>
      <c r="G7341" s="3301" t="s">
        <v>676</v>
      </c>
      <c r="H7341" s="3063"/>
      <c r="I7341" s="3030"/>
    </row>
    <row r="7342" spans="2:9">
      <c r="B7342" s="3192" t="s">
        <v>677</v>
      </c>
      <c r="C7342" s="3063"/>
      <c r="D7342" s="3064"/>
      <c r="E7342" s="3064"/>
      <c r="F7342" s="3064"/>
      <c r="G7342" s="3301" t="s">
        <v>677</v>
      </c>
      <c r="H7342" s="3063"/>
      <c r="I7342" s="3030"/>
    </row>
    <row r="7343" spans="2:9">
      <c r="B7343" s="3192" t="s">
        <v>678</v>
      </c>
      <c r="C7343" s="3063"/>
      <c r="D7343" s="3064"/>
      <c r="E7343" s="3064"/>
      <c r="F7343" s="3064"/>
      <c r="G7343" s="3301" t="s">
        <v>678</v>
      </c>
      <c r="H7343" s="3063"/>
      <c r="I7343" s="3030"/>
    </row>
    <row r="7344" spans="2:9">
      <c r="B7344" s="3192" t="s">
        <v>679</v>
      </c>
      <c r="C7344" s="3063"/>
      <c r="D7344" s="3064"/>
      <c r="E7344" s="3064"/>
      <c r="F7344" s="3064"/>
      <c r="G7344" s="3301" t="s">
        <v>679</v>
      </c>
      <c r="H7344" s="3063"/>
      <c r="I7344" s="3030"/>
    </row>
    <row r="7345" spans="2:9" ht="25.5">
      <c r="B7345" s="3192" t="s">
        <v>720</v>
      </c>
      <c r="C7345" s="3063"/>
      <c r="D7345" s="3064"/>
      <c r="E7345" s="3064"/>
      <c r="F7345" s="3064"/>
      <c r="G7345" s="3301" t="s">
        <v>720</v>
      </c>
      <c r="H7345" s="3063"/>
      <c r="I7345" s="3030"/>
    </row>
    <row r="7346" spans="2:9">
      <c r="B7346" s="3299" t="s">
        <v>65</v>
      </c>
      <c r="C7346" s="3063"/>
      <c r="D7346" s="3064"/>
      <c r="E7346" s="3064"/>
      <c r="F7346" s="3064"/>
      <c r="G7346" s="3300" t="s">
        <v>65</v>
      </c>
      <c r="H7346" s="3063"/>
      <c r="I7346" s="3030"/>
    </row>
    <row r="7347" spans="2:9" ht="25.5">
      <c r="B7347" s="3192" t="s">
        <v>675</v>
      </c>
      <c r="C7347" s="3063"/>
      <c r="D7347" s="3064"/>
      <c r="E7347" s="3064"/>
      <c r="F7347" s="3064"/>
      <c r="G7347" s="3301" t="s">
        <v>675</v>
      </c>
      <c r="H7347" s="3063"/>
      <c r="I7347" s="3030"/>
    </row>
    <row r="7348" spans="2:9" ht="25.5">
      <c r="B7348" s="3192" t="s">
        <v>676</v>
      </c>
      <c r="C7348" s="3063"/>
      <c r="D7348" s="3064"/>
      <c r="E7348" s="3064"/>
      <c r="F7348" s="3064"/>
      <c r="G7348" s="3301" t="s">
        <v>676</v>
      </c>
      <c r="H7348" s="3063"/>
      <c r="I7348" s="3030"/>
    </row>
    <row r="7349" spans="2:9">
      <c r="B7349" s="3192" t="s">
        <v>677</v>
      </c>
      <c r="C7349" s="3063"/>
      <c r="D7349" s="3064"/>
      <c r="E7349" s="3064"/>
      <c r="F7349" s="3064"/>
      <c r="G7349" s="3301" t="s">
        <v>677</v>
      </c>
      <c r="H7349" s="3063"/>
      <c r="I7349" s="3030"/>
    </row>
    <row r="7350" spans="2:9">
      <c r="B7350" s="3192" t="s">
        <v>678</v>
      </c>
      <c r="C7350" s="3063"/>
      <c r="D7350" s="3064"/>
      <c r="E7350" s="3064"/>
      <c r="F7350" s="3064"/>
      <c r="G7350" s="3301" t="s">
        <v>678</v>
      </c>
      <c r="H7350" s="3063"/>
      <c r="I7350" s="3030"/>
    </row>
    <row r="7351" spans="2:9">
      <c r="B7351" s="3192" t="s">
        <v>679</v>
      </c>
      <c r="C7351" s="3063"/>
      <c r="D7351" s="3064"/>
      <c r="E7351" s="3064"/>
      <c r="F7351" s="3064"/>
      <c r="G7351" s="3301" t="s">
        <v>679</v>
      </c>
      <c r="H7351" s="3063"/>
      <c r="I7351" s="3030"/>
    </row>
    <row r="7352" spans="2:9" ht="25.5">
      <c r="B7352" s="3192" t="s">
        <v>720</v>
      </c>
      <c r="C7352" s="3063"/>
      <c r="D7352" s="3064"/>
      <c r="E7352" s="3064"/>
      <c r="F7352" s="3064"/>
      <c r="G7352" s="3301" t="s">
        <v>720</v>
      </c>
      <c r="H7352" s="3063"/>
      <c r="I7352" s="3030"/>
    </row>
    <row r="7353" spans="2:9">
      <c r="B7353" s="3299" t="s">
        <v>82</v>
      </c>
      <c r="C7353" s="3063"/>
      <c r="D7353" s="3064"/>
      <c r="E7353" s="3064"/>
      <c r="F7353" s="3064"/>
      <c r="G7353" s="3300" t="s">
        <v>82</v>
      </c>
      <c r="H7353" s="3063"/>
      <c r="I7353" s="3030"/>
    </row>
    <row r="7354" spans="2:9" ht="25.5">
      <c r="B7354" s="3192" t="s">
        <v>675</v>
      </c>
      <c r="C7354" s="3063"/>
      <c r="D7354" s="3064"/>
      <c r="E7354" s="3064"/>
      <c r="F7354" s="3064"/>
      <c r="G7354" s="3301" t="s">
        <v>675</v>
      </c>
      <c r="H7354" s="3063"/>
      <c r="I7354" s="3030"/>
    </row>
    <row r="7355" spans="2:9" ht="25.5">
      <c r="B7355" s="3192" t="s">
        <v>676</v>
      </c>
      <c r="C7355" s="3063"/>
      <c r="D7355" s="3064"/>
      <c r="E7355" s="3064"/>
      <c r="F7355" s="3064"/>
      <c r="G7355" s="3301" t="s">
        <v>676</v>
      </c>
      <c r="H7355" s="3063"/>
      <c r="I7355" s="3030"/>
    </row>
    <row r="7356" spans="2:9">
      <c r="B7356" s="3192" t="s">
        <v>677</v>
      </c>
      <c r="C7356" s="3063"/>
      <c r="D7356" s="3064"/>
      <c r="E7356" s="3064"/>
      <c r="F7356" s="3064"/>
      <c r="G7356" s="3301" t="s">
        <v>677</v>
      </c>
      <c r="H7356" s="3063"/>
      <c r="I7356" s="3030"/>
    </row>
    <row r="7357" spans="2:9">
      <c r="B7357" s="3192" t="s">
        <v>678</v>
      </c>
      <c r="C7357" s="3063"/>
      <c r="D7357" s="3064"/>
      <c r="E7357" s="3064"/>
      <c r="F7357" s="3064"/>
      <c r="G7357" s="3301" t="s">
        <v>678</v>
      </c>
      <c r="H7357" s="3063"/>
      <c r="I7357" s="3030"/>
    </row>
    <row r="7358" spans="2:9">
      <c r="B7358" s="3192" t="s">
        <v>679</v>
      </c>
      <c r="C7358" s="3063"/>
      <c r="D7358" s="3064"/>
      <c r="E7358" s="3064"/>
      <c r="F7358" s="3064"/>
      <c r="G7358" s="3301" t="s">
        <v>679</v>
      </c>
      <c r="H7358" s="3063"/>
      <c r="I7358" s="3030"/>
    </row>
    <row r="7359" spans="2:9" ht="25.5">
      <c r="B7359" s="3192" t="s">
        <v>720</v>
      </c>
      <c r="C7359" s="3063"/>
      <c r="D7359" s="3064"/>
      <c r="E7359" s="3064"/>
      <c r="F7359" s="3064"/>
      <c r="G7359" s="3301" t="s">
        <v>720</v>
      </c>
      <c r="H7359" s="3063"/>
      <c r="I7359" s="3030"/>
    </row>
    <row r="7360" spans="2:9" ht="38.25">
      <c r="B7360" s="3299" t="s">
        <v>680</v>
      </c>
      <c r="C7360" s="3063"/>
      <c r="D7360" s="3064"/>
      <c r="E7360" s="3064"/>
      <c r="F7360" s="3064"/>
      <c r="G7360" s="3300" t="s">
        <v>680</v>
      </c>
      <c r="H7360" s="3063"/>
      <c r="I7360" s="3030"/>
    </row>
    <row r="7361" spans="2:9" ht="25.5">
      <c r="B7361" s="3192" t="s">
        <v>675</v>
      </c>
      <c r="C7361" s="3063"/>
      <c r="D7361" s="3064"/>
      <c r="E7361" s="3064"/>
      <c r="F7361" s="3064"/>
      <c r="G7361" s="3301" t="s">
        <v>675</v>
      </c>
      <c r="H7361" s="3063"/>
      <c r="I7361" s="3030"/>
    </row>
    <row r="7362" spans="2:9" ht="25.5">
      <c r="B7362" s="3192" t="s">
        <v>676</v>
      </c>
      <c r="C7362" s="3063"/>
      <c r="D7362" s="3064"/>
      <c r="E7362" s="3064"/>
      <c r="F7362" s="3064"/>
      <c r="G7362" s="3301" t="s">
        <v>676</v>
      </c>
      <c r="H7362" s="3063"/>
      <c r="I7362" s="3030"/>
    </row>
    <row r="7363" spans="2:9">
      <c r="B7363" s="3192" t="s">
        <v>677</v>
      </c>
      <c r="C7363" s="3063"/>
      <c r="D7363" s="3064"/>
      <c r="E7363" s="3064"/>
      <c r="F7363" s="3064"/>
      <c r="G7363" s="3301" t="s">
        <v>677</v>
      </c>
      <c r="H7363" s="3063"/>
      <c r="I7363" s="3030"/>
    </row>
    <row r="7364" spans="2:9">
      <c r="B7364" s="3192" t="s">
        <v>678</v>
      </c>
      <c r="C7364" s="3063"/>
      <c r="D7364" s="3064"/>
      <c r="E7364" s="3064"/>
      <c r="F7364" s="3064"/>
      <c r="G7364" s="3301" t="s">
        <v>678</v>
      </c>
      <c r="H7364" s="3063"/>
      <c r="I7364" s="3030"/>
    </row>
    <row r="7365" spans="2:9">
      <c r="B7365" s="3192" t="s">
        <v>679</v>
      </c>
      <c r="C7365" s="3063"/>
      <c r="D7365" s="3064"/>
      <c r="E7365" s="3064"/>
      <c r="F7365" s="3064"/>
      <c r="G7365" s="3301" t="s">
        <v>679</v>
      </c>
      <c r="H7365" s="3063"/>
      <c r="I7365" s="3030"/>
    </row>
    <row r="7366" spans="2:9" ht="25.5">
      <c r="B7366" s="3192" t="s">
        <v>720</v>
      </c>
      <c r="C7366" s="3063"/>
      <c r="D7366" s="3064"/>
      <c r="E7366" s="3064"/>
      <c r="F7366" s="3064"/>
      <c r="G7366" s="3301" t="s">
        <v>720</v>
      </c>
      <c r="H7366" s="3063"/>
      <c r="I7366" s="3030"/>
    </row>
    <row r="7367" spans="2:9" ht="38.25">
      <c r="B7367" s="3299" t="s">
        <v>681</v>
      </c>
      <c r="C7367" s="3063"/>
      <c r="D7367" s="3064"/>
      <c r="E7367" s="3064"/>
      <c r="F7367" s="3064"/>
      <c r="G7367" s="3300" t="s">
        <v>681</v>
      </c>
      <c r="H7367" s="3063">
        <v>0.36092396535129934</v>
      </c>
      <c r="I7367" s="3030"/>
    </row>
    <row r="7368" spans="2:9" ht="25.5">
      <c r="B7368" s="3192" t="s">
        <v>675</v>
      </c>
      <c r="C7368" s="3063"/>
      <c r="D7368" s="3064"/>
      <c r="E7368" s="3064"/>
      <c r="F7368" s="3064"/>
      <c r="G7368" s="3301" t="s">
        <v>675</v>
      </c>
      <c r="H7368" s="3063"/>
      <c r="I7368" s="3030"/>
    </row>
    <row r="7369" spans="2:9" ht="25.5">
      <c r="B7369" s="3192" t="s">
        <v>676</v>
      </c>
      <c r="C7369" s="3063"/>
      <c r="D7369" s="3064"/>
      <c r="E7369" s="3064"/>
      <c r="F7369" s="3064"/>
      <c r="G7369" s="3301" t="s">
        <v>676</v>
      </c>
      <c r="H7369" s="3063"/>
      <c r="I7369" s="3030"/>
    </row>
    <row r="7370" spans="2:9">
      <c r="B7370" s="3192" t="s">
        <v>677</v>
      </c>
      <c r="C7370" s="3063"/>
      <c r="D7370" s="3064"/>
      <c r="E7370" s="3064"/>
      <c r="F7370" s="3064"/>
      <c r="G7370" s="3301" t="s">
        <v>677</v>
      </c>
      <c r="H7370" s="3063"/>
      <c r="I7370" s="3030"/>
    </row>
    <row r="7371" spans="2:9">
      <c r="B7371" s="3192" t="s">
        <v>678</v>
      </c>
      <c r="C7371" s="3063"/>
      <c r="D7371" s="3064"/>
      <c r="E7371" s="3064"/>
      <c r="F7371" s="3064"/>
      <c r="G7371" s="3301" t="s">
        <v>678</v>
      </c>
      <c r="H7371" s="3063"/>
      <c r="I7371" s="3030"/>
    </row>
    <row r="7372" spans="2:9">
      <c r="B7372" s="3192" t="s">
        <v>679</v>
      </c>
      <c r="C7372" s="3063">
        <v>1</v>
      </c>
      <c r="D7372" s="3064"/>
      <c r="E7372" s="3064"/>
      <c r="F7372" s="3064"/>
      <c r="G7372" s="3301" t="s">
        <v>679</v>
      </c>
      <c r="H7372" s="3063"/>
      <c r="I7372" s="3030"/>
    </row>
    <row r="7373" spans="2:9" ht="25.5">
      <c r="B7373" s="3192" t="s">
        <v>720</v>
      </c>
      <c r="C7373" s="3063"/>
      <c r="D7373" s="3064"/>
      <c r="E7373" s="3064"/>
      <c r="F7373" s="3064"/>
      <c r="G7373" s="3301" t="s">
        <v>720</v>
      </c>
      <c r="H7373" s="3063"/>
      <c r="I7373" s="3030"/>
    </row>
    <row r="7374" spans="2:9" ht="25.5">
      <c r="B7374" s="3299" t="s">
        <v>682</v>
      </c>
      <c r="C7374" s="3063"/>
      <c r="D7374" s="3064"/>
      <c r="E7374" s="3064"/>
      <c r="F7374" s="3064"/>
      <c r="G7374" s="3300" t="s">
        <v>682</v>
      </c>
      <c r="H7374" s="3063"/>
      <c r="I7374" s="3030"/>
    </row>
    <row r="7375" spans="2:9" ht="25.5">
      <c r="B7375" s="3192" t="s">
        <v>675</v>
      </c>
      <c r="C7375" s="3063"/>
      <c r="D7375" s="3064"/>
      <c r="E7375" s="3064"/>
      <c r="F7375" s="3064"/>
      <c r="G7375" s="3301" t="s">
        <v>675</v>
      </c>
      <c r="H7375" s="3063"/>
      <c r="I7375" s="3030"/>
    </row>
    <row r="7376" spans="2:9" ht="25.5">
      <c r="B7376" s="3192" t="s">
        <v>676</v>
      </c>
      <c r="C7376" s="3063"/>
      <c r="D7376" s="3064"/>
      <c r="E7376" s="3064"/>
      <c r="F7376" s="3064"/>
      <c r="G7376" s="3301" t="s">
        <v>676</v>
      </c>
      <c r="H7376" s="3063"/>
      <c r="I7376" s="3030"/>
    </row>
    <row r="7377" spans="2:9">
      <c r="B7377" s="3192" t="s">
        <v>677</v>
      </c>
      <c r="C7377" s="3063"/>
      <c r="D7377" s="3064"/>
      <c r="E7377" s="3064"/>
      <c r="F7377" s="3064"/>
      <c r="G7377" s="3301" t="s">
        <v>677</v>
      </c>
      <c r="H7377" s="3063"/>
      <c r="I7377" s="3030"/>
    </row>
    <row r="7378" spans="2:9">
      <c r="B7378" s="3192" t="s">
        <v>678</v>
      </c>
      <c r="C7378" s="3063"/>
      <c r="D7378" s="3064"/>
      <c r="E7378" s="3064"/>
      <c r="F7378" s="3064"/>
      <c r="G7378" s="3301" t="s">
        <v>678</v>
      </c>
      <c r="H7378" s="3063"/>
      <c r="I7378" s="3030"/>
    </row>
    <row r="7379" spans="2:9">
      <c r="B7379" s="3192" t="s">
        <v>679</v>
      </c>
      <c r="C7379" s="3063"/>
      <c r="D7379" s="3064"/>
      <c r="E7379" s="3064"/>
      <c r="F7379" s="3064"/>
      <c r="G7379" s="3301" t="s">
        <v>679</v>
      </c>
      <c r="H7379" s="3063"/>
      <c r="I7379" s="3030"/>
    </row>
    <row r="7380" spans="2:9" ht="25.5">
      <c r="B7380" s="3192" t="s">
        <v>720</v>
      </c>
      <c r="C7380" s="3063"/>
      <c r="D7380" s="3064"/>
      <c r="E7380" s="3064"/>
      <c r="F7380" s="3064"/>
      <c r="G7380" s="3301" t="s">
        <v>720</v>
      </c>
      <c r="H7380" s="3063"/>
      <c r="I7380" s="3030"/>
    </row>
    <row r="7381" spans="2:9" ht="25.5">
      <c r="B7381" s="3299" t="s">
        <v>66</v>
      </c>
      <c r="C7381" s="3063"/>
      <c r="D7381" s="3064"/>
      <c r="E7381" s="3064"/>
      <c r="F7381" s="3064"/>
      <c r="G7381" s="3300" t="s">
        <v>66</v>
      </c>
      <c r="H7381" s="3063"/>
      <c r="I7381" s="3030"/>
    </row>
    <row r="7382" spans="2:9" ht="25.5">
      <c r="B7382" s="3192" t="s">
        <v>675</v>
      </c>
      <c r="C7382" s="3063"/>
      <c r="D7382" s="3064"/>
      <c r="E7382" s="3064"/>
      <c r="F7382" s="3064"/>
      <c r="G7382" s="3301" t="s">
        <v>675</v>
      </c>
      <c r="H7382" s="3063"/>
      <c r="I7382" s="3030"/>
    </row>
    <row r="7383" spans="2:9" ht="25.5">
      <c r="B7383" s="3192" t="s">
        <v>676</v>
      </c>
      <c r="C7383" s="3063"/>
      <c r="D7383" s="3064"/>
      <c r="E7383" s="3064"/>
      <c r="F7383" s="3064"/>
      <c r="G7383" s="3301" t="s">
        <v>676</v>
      </c>
      <c r="H7383" s="3063"/>
      <c r="I7383" s="3030"/>
    </row>
    <row r="7384" spans="2:9">
      <c r="B7384" s="3192" t="s">
        <v>677</v>
      </c>
      <c r="C7384" s="3063"/>
      <c r="D7384" s="3064"/>
      <c r="E7384" s="3064"/>
      <c r="F7384" s="3064"/>
      <c r="G7384" s="3301" t="s">
        <v>677</v>
      </c>
      <c r="H7384" s="3063"/>
      <c r="I7384" s="3030"/>
    </row>
    <row r="7385" spans="2:9">
      <c r="B7385" s="3192" t="s">
        <v>678</v>
      </c>
      <c r="C7385" s="3063"/>
      <c r="D7385" s="3064"/>
      <c r="E7385" s="3064"/>
      <c r="F7385" s="3064"/>
      <c r="G7385" s="3301" t="s">
        <v>678</v>
      </c>
      <c r="H7385" s="3063"/>
      <c r="I7385" s="3030"/>
    </row>
    <row r="7386" spans="2:9">
      <c r="B7386" s="3192" t="s">
        <v>679</v>
      </c>
      <c r="C7386" s="3063"/>
      <c r="D7386" s="3064"/>
      <c r="E7386" s="3064"/>
      <c r="F7386" s="3064"/>
      <c r="G7386" s="3301" t="s">
        <v>679</v>
      </c>
      <c r="H7386" s="3063"/>
      <c r="I7386" s="3030"/>
    </row>
    <row r="7387" spans="2:9" ht="25.5">
      <c r="B7387" s="3192" t="s">
        <v>720</v>
      </c>
      <c r="C7387" s="3063"/>
      <c r="D7387" s="3064"/>
      <c r="E7387" s="3064"/>
      <c r="F7387" s="3064"/>
      <c r="G7387" s="3301" t="s">
        <v>720</v>
      </c>
      <c r="H7387" s="3063"/>
      <c r="I7387" s="3030"/>
    </row>
    <row r="7388" spans="2:9">
      <c r="B7388" s="3299" t="s">
        <v>67</v>
      </c>
      <c r="C7388" s="3063"/>
      <c r="D7388" s="3064"/>
      <c r="E7388" s="3064"/>
      <c r="F7388" s="3064">
        <v>2</v>
      </c>
      <c r="G7388" s="3300" t="s">
        <v>67</v>
      </c>
      <c r="H7388" s="3063">
        <v>0.2186349888860547</v>
      </c>
      <c r="I7388" s="3030"/>
    </row>
    <row r="7389" spans="2:9" ht="25.5">
      <c r="B7389" s="3192" t="s">
        <v>675</v>
      </c>
      <c r="C7389" s="3063"/>
      <c r="D7389" s="3064"/>
      <c r="E7389" s="3064"/>
      <c r="F7389" s="3064"/>
      <c r="G7389" s="3301" t="s">
        <v>675</v>
      </c>
      <c r="H7389" s="3063"/>
      <c r="I7389" s="3030"/>
    </row>
    <row r="7390" spans="2:9" ht="25.5">
      <c r="B7390" s="3192" t="s">
        <v>676</v>
      </c>
      <c r="C7390" s="3063"/>
      <c r="D7390" s="3064"/>
      <c r="E7390" s="3064"/>
      <c r="F7390" s="3064"/>
      <c r="G7390" s="3301" t="s">
        <v>676</v>
      </c>
      <c r="H7390" s="3063"/>
      <c r="I7390" s="3030"/>
    </row>
    <row r="7391" spans="2:9">
      <c r="B7391" s="3192" t="s">
        <v>677</v>
      </c>
      <c r="C7391" s="3063"/>
      <c r="D7391" s="3064"/>
      <c r="E7391" s="3064"/>
      <c r="F7391" s="3064"/>
      <c r="G7391" s="3301" t="s">
        <v>677</v>
      </c>
      <c r="H7391" s="3063"/>
      <c r="I7391" s="3030"/>
    </row>
    <row r="7392" spans="2:9">
      <c r="B7392" s="3192" t="s">
        <v>678</v>
      </c>
      <c r="C7392" s="3063"/>
      <c r="D7392" s="3064"/>
      <c r="E7392" s="3064"/>
      <c r="F7392" s="3064"/>
      <c r="G7392" s="3301" t="s">
        <v>678</v>
      </c>
      <c r="H7392" s="3063"/>
      <c r="I7392" s="3030"/>
    </row>
    <row r="7393" spans="2:9">
      <c r="B7393" s="3192" t="s">
        <v>679</v>
      </c>
      <c r="C7393" s="3063"/>
      <c r="D7393" s="3064"/>
      <c r="E7393" s="3064"/>
      <c r="F7393" s="3064"/>
      <c r="G7393" s="3301" t="s">
        <v>679</v>
      </c>
      <c r="H7393" s="3063"/>
      <c r="I7393" s="3030"/>
    </row>
    <row r="7394" spans="2:9" ht="25.5">
      <c r="B7394" s="3230" t="s">
        <v>81</v>
      </c>
      <c r="C7394" s="3063"/>
      <c r="D7394" s="3064"/>
      <c r="E7394" s="3064"/>
      <c r="F7394" s="3064"/>
      <c r="G7394" s="3302" t="s">
        <v>81</v>
      </c>
      <c r="H7394" s="3063"/>
      <c r="I7394" s="3030"/>
    </row>
    <row r="7395" spans="2:9" ht="26.25" thickBot="1">
      <c r="B7395" s="3303" t="s">
        <v>81</v>
      </c>
      <c r="C7395" s="3068"/>
      <c r="D7395" s="3069"/>
      <c r="E7395" s="3069"/>
      <c r="F7395" s="3069"/>
      <c r="G7395" s="3304" t="s">
        <v>81</v>
      </c>
      <c r="H7395" s="3068"/>
      <c r="I7395" s="3070"/>
    </row>
    <row r="7396" spans="2:9" ht="38.25">
      <c r="B7396" s="4723">
        <v>3046</v>
      </c>
      <c r="C7396" s="3289"/>
      <c r="D7396" s="3290"/>
      <c r="E7396" s="3290"/>
      <c r="F7396" s="3290"/>
      <c r="G7396" s="4723">
        <v>3046</v>
      </c>
      <c r="H7396" s="3291" t="s">
        <v>687</v>
      </c>
      <c r="I7396" s="3292" t="s">
        <v>688</v>
      </c>
    </row>
    <row r="7397" spans="2:9">
      <c r="B7397" s="4724"/>
      <c r="C7397" s="4678" t="s">
        <v>686</v>
      </c>
      <c r="D7397" s="4725"/>
      <c r="E7397" s="4725"/>
      <c r="F7397" s="4726"/>
      <c r="G7397" s="4724"/>
      <c r="H7397" s="3293"/>
      <c r="I7397" s="3294"/>
    </row>
    <row r="7398" spans="2:9" ht="13.5" thickBot="1">
      <c r="B7398" s="4724"/>
      <c r="C7398" s="3215">
        <v>2013</v>
      </c>
      <c r="D7398" s="3215">
        <v>2014</v>
      </c>
      <c r="E7398" s="3215">
        <v>2015</v>
      </c>
      <c r="F7398" s="3215">
        <v>2016</v>
      </c>
      <c r="G7398" s="4724"/>
      <c r="H7398" s="3295" t="s">
        <v>390</v>
      </c>
      <c r="I7398" s="3296" t="s">
        <v>390</v>
      </c>
    </row>
    <row r="7399" spans="2:9">
      <c r="B7399" s="3217" t="s">
        <v>695</v>
      </c>
      <c r="C7399" s="3218"/>
      <c r="D7399" s="3219"/>
      <c r="E7399" s="3219"/>
      <c r="F7399" s="3219"/>
      <c r="G7399" s="3217" t="s">
        <v>695</v>
      </c>
      <c r="H7399" s="3297"/>
      <c r="I7399" s="3298"/>
    </row>
    <row r="7400" spans="2:9">
      <c r="B7400" s="3299" t="s">
        <v>64</v>
      </c>
      <c r="C7400" s="3063"/>
      <c r="D7400" s="3064"/>
      <c r="E7400" s="3064"/>
      <c r="F7400" s="3064">
        <v>2</v>
      </c>
      <c r="G7400" s="3300" t="s">
        <v>64</v>
      </c>
      <c r="H7400" s="3063">
        <v>18.987341772151897</v>
      </c>
      <c r="I7400" s="3030"/>
    </row>
    <row r="7401" spans="2:9" ht="25.5">
      <c r="B7401" s="3192" t="s">
        <v>675</v>
      </c>
      <c r="C7401" s="3063"/>
      <c r="D7401" s="3064"/>
      <c r="E7401" s="3064"/>
      <c r="F7401" s="3064"/>
      <c r="G7401" s="3301" t="s">
        <v>675</v>
      </c>
      <c r="H7401" s="3063"/>
      <c r="I7401" s="3030"/>
    </row>
    <row r="7402" spans="2:9" ht="25.5">
      <c r="B7402" s="3192" t="s">
        <v>676</v>
      </c>
      <c r="C7402" s="3063"/>
      <c r="D7402" s="3064"/>
      <c r="E7402" s="3064"/>
      <c r="F7402" s="3064"/>
      <c r="G7402" s="3301" t="s">
        <v>676</v>
      </c>
      <c r="H7402" s="3063"/>
      <c r="I7402" s="3030"/>
    </row>
    <row r="7403" spans="2:9">
      <c r="B7403" s="3192" t="s">
        <v>677</v>
      </c>
      <c r="C7403" s="3063"/>
      <c r="D7403" s="3064"/>
      <c r="E7403" s="3064"/>
      <c r="F7403" s="3064"/>
      <c r="G7403" s="3301" t="s">
        <v>677</v>
      </c>
      <c r="H7403" s="3063"/>
      <c r="I7403" s="3030"/>
    </row>
    <row r="7404" spans="2:9">
      <c r="B7404" s="3192" t="s">
        <v>678</v>
      </c>
      <c r="C7404" s="3063">
        <v>1</v>
      </c>
      <c r="D7404" s="3064"/>
      <c r="E7404" s="3064"/>
      <c r="F7404" s="3064"/>
      <c r="G7404" s="3301" t="s">
        <v>678</v>
      </c>
      <c r="H7404" s="3063"/>
      <c r="I7404" s="3030"/>
    </row>
    <row r="7405" spans="2:9">
      <c r="B7405" s="3192" t="s">
        <v>679</v>
      </c>
      <c r="C7405" s="3063"/>
      <c r="D7405" s="3064"/>
      <c r="E7405" s="3064"/>
      <c r="F7405" s="3064"/>
      <c r="G7405" s="3301" t="s">
        <v>679</v>
      </c>
      <c r="H7405" s="3063"/>
      <c r="I7405" s="3030"/>
    </row>
    <row r="7406" spans="2:9" ht="25.5">
      <c r="B7406" s="3192" t="s">
        <v>720</v>
      </c>
      <c r="C7406" s="3063"/>
      <c r="D7406" s="3064"/>
      <c r="E7406" s="3064"/>
      <c r="F7406" s="3064"/>
      <c r="G7406" s="3301" t="s">
        <v>720</v>
      </c>
      <c r="H7406" s="3063"/>
      <c r="I7406" s="3030"/>
    </row>
    <row r="7407" spans="2:9">
      <c r="B7407" s="3299" t="s">
        <v>65</v>
      </c>
      <c r="C7407" s="3063"/>
      <c r="D7407" s="3064"/>
      <c r="E7407" s="3064"/>
      <c r="F7407" s="3064"/>
      <c r="G7407" s="3300" t="s">
        <v>65</v>
      </c>
      <c r="H7407" s="3063"/>
      <c r="I7407" s="3030"/>
    </row>
    <row r="7408" spans="2:9" ht="25.5">
      <c r="B7408" s="3192" t="s">
        <v>675</v>
      </c>
      <c r="C7408" s="3063"/>
      <c r="D7408" s="3064"/>
      <c r="E7408" s="3064"/>
      <c r="F7408" s="3064"/>
      <c r="G7408" s="3301" t="s">
        <v>675</v>
      </c>
      <c r="H7408" s="3063"/>
      <c r="I7408" s="3030"/>
    </row>
    <row r="7409" spans="2:9" ht="25.5">
      <c r="B7409" s="3192" t="s">
        <v>676</v>
      </c>
      <c r="C7409" s="3063"/>
      <c r="D7409" s="3064"/>
      <c r="E7409" s="3064"/>
      <c r="F7409" s="3064"/>
      <c r="G7409" s="3301" t="s">
        <v>676</v>
      </c>
      <c r="H7409" s="3063"/>
      <c r="I7409" s="3030"/>
    </row>
    <row r="7410" spans="2:9">
      <c r="B7410" s="3192" t="s">
        <v>677</v>
      </c>
      <c r="C7410" s="3063"/>
      <c r="D7410" s="3064"/>
      <c r="E7410" s="3064"/>
      <c r="F7410" s="3064"/>
      <c r="G7410" s="3301" t="s">
        <v>677</v>
      </c>
      <c r="H7410" s="3063"/>
      <c r="I7410" s="3030"/>
    </row>
    <row r="7411" spans="2:9">
      <c r="B7411" s="3192" t="s">
        <v>678</v>
      </c>
      <c r="C7411" s="3063"/>
      <c r="D7411" s="3064"/>
      <c r="E7411" s="3064"/>
      <c r="F7411" s="3064"/>
      <c r="G7411" s="3301" t="s">
        <v>678</v>
      </c>
      <c r="H7411" s="3063"/>
      <c r="I7411" s="3030"/>
    </row>
    <row r="7412" spans="2:9">
      <c r="B7412" s="3192" t="s">
        <v>679</v>
      </c>
      <c r="C7412" s="3063"/>
      <c r="D7412" s="3064"/>
      <c r="E7412" s="3064"/>
      <c r="F7412" s="3064"/>
      <c r="G7412" s="3301" t="s">
        <v>679</v>
      </c>
      <c r="H7412" s="3063"/>
      <c r="I7412" s="3030"/>
    </row>
    <row r="7413" spans="2:9" ht="25.5">
      <c r="B7413" s="3192" t="s">
        <v>720</v>
      </c>
      <c r="C7413" s="3063"/>
      <c r="D7413" s="3064"/>
      <c r="E7413" s="3064"/>
      <c r="F7413" s="3064"/>
      <c r="G7413" s="3301" t="s">
        <v>720</v>
      </c>
      <c r="H7413" s="3063"/>
      <c r="I7413" s="3030"/>
    </row>
    <row r="7414" spans="2:9">
      <c r="B7414" s="3299" t="s">
        <v>82</v>
      </c>
      <c r="C7414" s="3063"/>
      <c r="D7414" s="3064"/>
      <c r="E7414" s="3064"/>
      <c r="F7414" s="3064"/>
      <c r="G7414" s="3300" t="s">
        <v>82</v>
      </c>
      <c r="H7414" s="3063"/>
      <c r="I7414" s="3030"/>
    </row>
    <row r="7415" spans="2:9" ht="25.5">
      <c r="B7415" s="3192" t="s">
        <v>675</v>
      </c>
      <c r="C7415" s="3063"/>
      <c r="D7415" s="3064"/>
      <c r="E7415" s="3064"/>
      <c r="F7415" s="3064"/>
      <c r="G7415" s="3301" t="s">
        <v>675</v>
      </c>
      <c r="H7415" s="3063"/>
      <c r="I7415" s="3030"/>
    </row>
    <row r="7416" spans="2:9" ht="25.5">
      <c r="B7416" s="3192" t="s">
        <v>676</v>
      </c>
      <c r="C7416" s="3063"/>
      <c r="D7416" s="3064"/>
      <c r="E7416" s="3064"/>
      <c r="F7416" s="3064"/>
      <c r="G7416" s="3301" t="s">
        <v>676</v>
      </c>
      <c r="H7416" s="3063"/>
      <c r="I7416" s="3030"/>
    </row>
    <row r="7417" spans="2:9">
      <c r="B7417" s="3192" t="s">
        <v>677</v>
      </c>
      <c r="C7417" s="3063"/>
      <c r="D7417" s="3064"/>
      <c r="E7417" s="3064"/>
      <c r="F7417" s="3064"/>
      <c r="G7417" s="3301" t="s">
        <v>677</v>
      </c>
      <c r="H7417" s="3063"/>
      <c r="I7417" s="3030"/>
    </row>
    <row r="7418" spans="2:9">
      <c r="B7418" s="3192" t="s">
        <v>678</v>
      </c>
      <c r="C7418" s="3063"/>
      <c r="D7418" s="3064"/>
      <c r="E7418" s="3064"/>
      <c r="F7418" s="3064"/>
      <c r="G7418" s="3301" t="s">
        <v>678</v>
      </c>
      <c r="H7418" s="3063"/>
      <c r="I7418" s="3030"/>
    </row>
    <row r="7419" spans="2:9">
      <c r="B7419" s="3192" t="s">
        <v>679</v>
      </c>
      <c r="C7419" s="3063"/>
      <c r="D7419" s="3064"/>
      <c r="E7419" s="3064"/>
      <c r="F7419" s="3064"/>
      <c r="G7419" s="3301" t="s">
        <v>679</v>
      </c>
      <c r="H7419" s="3063"/>
      <c r="I7419" s="3030"/>
    </row>
    <row r="7420" spans="2:9" ht="25.5">
      <c r="B7420" s="3192" t="s">
        <v>720</v>
      </c>
      <c r="C7420" s="3063"/>
      <c r="D7420" s="3064"/>
      <c r="E7420" s="3064"/>
      <c r="F7420" s="3064"/>
      <c r="G7420" s="3301" t="s">
        <v>720</v>
      </c>
      <c r="H7420" s="3063"/>
      <c r="I7420" s="3030"/>
    </row>
    <row r="7421" spans="2:9" ht="38.25">
      <c r="B7421" s="3299" t="s">
        <v>680</v>
      </c>
      <c r="C7421" s="3063"/>
      <c r="D7421" s="3064"/>
      <c r="E7421" s="3064"/>
      <c r="F7421" s="3064"/>
      <c r="G7421" s="3300" t="s">
        <v>680</v>
      </c>
      <c r="H7421" s="3063"/>
      <c r="I7421" s="3030"/>
    </row>
    <row r="7422" spans="2:9" ht="25.5">
      <c r="B7422" s="3192" t="s">
        <v>675</v>
      </c>
      <c r="C7422" s="3063"/>
      <c r="D7422" s="3064"/>
      <c r="E7422" s="3064"/>
      <c r="F7422" s="3064"/>
      <c r="G7422" s="3301" t="s">
        <v>675</v>
      </c>
      <c r="H7422" s="3063"/>
      <c r="I7422" s="3030"/>
    </row>
    <row r="7423" spans="2:9" ht="25.5">
      <c r="B7423" s="3192" t="s">
        <v>676</v>
      </c>
      <c r="C7423" s="3063"/>
      <c r="D7423" s="3064"/>
      <c r="E7423" s="3064"/>
      <c r="F7423" s="3064"/>
      <c r="G7423" s="3301" t="s">
        <v>676</v>
      </c>
      <c r="H7423" s="3063"/>
      <c r="I7423" s="3030"/>
    </row>
    <row r="7424" spans="2:9">
      <c r="B7424" s="3192" t="s">
        <v>677</v>
      </c>
      <c r="C7424" s="3063"/>
      <c r="D7424" s="3064"/>
      <c r="E7424" s="3064"/>
      <c r="F7424" s="3064"/>
      <c r="G7424" s="3301" t="s">
        <v>677</v>
      </c>
      <c r="H7424" s="3063"/>
      <c r="I7424" s="3030"/>
    </row>
    <row r="7425" spans="2:9">
      <c r="B7425" s="3192" t="s">
        <v>678</v>
      </c>
      <c r="C7425" s="3063"/>
      <c r="D7425" s="3064"/>
      <c r="E7425" s="3064"/>
      <c r="F7425" s="3064"/>
      <c r="G7425" s="3301" t="s">
        <v>678</v>
      </c>
      <c r="H7425" s="3063"/>
      <c r="I7425" s="3030"/>
    </row>
    <row r="7426" spans="2:9">
      <c r="B7426" s="3192" t="s">
        <v>679</v>
      </c>
      <c r="C7426" s="3063"/>
      <c r="D7426" s="3064"/>
      <c r="E7426" s="3064"/>
      <c r="F7426" s="3064"/>
      <c r="G7426" s="3301" t="s">
        <v>679</v>
      </c>
      <c r="H7426" s="3063"/>
      <c r="I7426" s="3030"/>
    </row>
    <row r="7427" spans="2:9" ht="25.5">
      <c r="B7427" s="3192" t="s">
        <v>720</v>
      </c>
      <c r="C7427" s="3063"/>
      <c r="D7427" s="3064"/>
      <c r="E7427" s="3064"/>
      <c r="F7427" s="3064"/>
      <c r="G7427" s="3301" t="s">
        <v>720</v>
      </c>
      <c r="H7427" s="3063"/>
      <c r="I7427" s="3030"/>
    </row>
    <row r="7428" spans="2:9" ht="38.25">
      <c r="B7428" s="3299" t="s">
        <v>681</v>
      </c>
      <c r="C7428" s="3063"/>
      <c r="D7428" s="3064"/>
      <c r="E7428" s="3064"/>
      <c r="F7428" s="3064"/>
      <c r="G7428" s="3300" t="s">
        <v>681</v>
      </c>
      <c r="H7428" s="3063"/>
      <c r="I7428" s="3030"/>
    </row>
    <row r="7429" spans="2:9" ht="25.5">
      <c r="B7429" s="3192" t="s">
        <v>675</v>
      </c>
      <c r="C7429" s="3063"/>
      <c r="D7429" s="3064"/>
      <c r="E7429" s="3064"/>
      <c r="F7429" s="3064"/>
      <c r="G7429" s="3301" t="s">
        <v>675</v>
      </c>
      <c r="H7429" s="3063"/>
      <c r="I7429" s="3030"/>
    </row>
    <row r="7430" spans="2:9" ht="25.5">
      <c r="B7430" s="3192" t="s">
        <v>676</v>
      </c>
      <c r="C7430" s="3063"/>
      <c r="D7430" s="3064"/>
      <c r="E7430" s="3064"/>
      <c r="F7430" s="3064"/>
      <c r="G7430" s="3301" t="s">
        <v>676</v>
      </c>
      <c r="H7430" s="3063"/>
      <c r="I7430" s="3030"/>
    </row>
    <row r="7431" spans="2:9">
      <c r="B7431" s="3192" t="s">
        <v>677</v>
      </c>
      <c r="C7431" s="3063"/>
      <c r="D7431" s="3064"/>
      <c r="E7431" s="3064"/>
      <c r="F7431" s="3064"/>
      <c r="G7431" s="3301" t="s">
        <v>677</v>
      </c>
      <c r="H7431" s="3063"/>
      <c r="I7431" s="3030"/>
    </row>
    <row r="7432" spans="2:9">
      <c r="B7432" s="3192" t="s">
        <v>678</v>
      </c>
      <c r="C7432" s="3063"/>
      <c r="D7432" s="3064"/>
      <c r="E7432" s="3064"/>
      <c r="F7432" s="3064"/>
      <c r="G7432" s="3301" t="s">
        <v>678</v>
      </c>
      <c r="H7432" s="3063"/>
      <c r="I7432" s="3030"/>
    </row>
    <row r="7433" spans="2:9">
      <c r="B7433" s="3192" t="s">
        <v>679</v>
      </c>
      <c r="C7433" s="3063"/>
      <c r="D7433" s="3064"/>
      <c r="E7433" s="3064"/>
      <c r="F7433" s="3064"/>
      <c r="G7433" s="3301" t="s">
        <v>679</v>
      </c>
      <c r="H7433" s="3063"/>
      <c r="I7433" s="3030"/>
    </row>
    <row r="7434" spans="2:9" ht="25.5">
      <c r="B7434" s="3192" t="s">
        <v>720</v>
      </c>
      <c r="C7434" s="3063"/>
      <c r="D7434" s="3064"/>
      <c r="E7434" s="3064"/>
      <c r="F7434" s="3064"/>
      <c r="G7434" s="3301" t="s">
        <v>720</v>
      </c>
      <c r="H7434" s="3063"/>
      <c r="I7434" s="3030"/>
    </row>
    <row r="7435" spans="2:9" ht="25.5">
      <c r="B7435" s="3299" t="s">
        <v>682</v>
      </c>
      <c r="C7435" s="3063"/>
      <c r="D7435" s="3064"/>
      <c r="E7435" s="3064"/>
      <c r="F7435" s="3064"/>
      <c r="G7435" s="3300" t="s">
        <v>682</v>
      </c>
      <c r="H7435" s="3063"/>
      <c r="I7435" s="3030"/>
    </row>
    <row r="7436" spans="2:9" ht="25.5">
      <c r="B7436" s="3192" t="s">
        <v>675</v>
      </c>
      <c r="C7436" s="3063"/>
      <c r="D7436" s="3064"/>
      <c r="E7436" s="3064"/>
      <c r="F7436" s="3064"/>
      <c r="G7436" s="3301" t="s">
        <v>675</v>
      </c>
      <c r="H7436" s="3063"/>
      <c r="I7436" s="3030"/>
    </row>
    <row r="7437" spans="2:9" ht="25.5">
      <c r="B7437" s="3192" t="s">
        <v>676</v>
      </c>
      <c r="C7437" s="3063"/>
      <c r="D7437" s="3064"/>
      <c r="E7437" s="3064"/>
      <c r="F7437" s="3064"/>
      <c r="G7437" s="3301" t="s">
        <v>676</v>
      </c>
      <c r="H7437" s="3063"/>
      <c r="I7437" s="3030"/>
    </row>
    <row r="7438" spans="2:9">
      <c r="B7438" s="3192" t="s">
        <v>677</v>
      </c>
      <c r="C7438" s="3063"/>
      <c r="D7438" s="3064"/>
      <c r="E7438" s="3064"/>
      <c r="F7438" s="3064"/>
      <c r="G7438" s="3301" t="s">
        <v>677</v>
      </c>
      <c r="H7438" s="3063"/>
      <c r="I7438" s="3030"/>
    </row>
    <row r="7439" spans="2:9">
      <c r="B7439" s="3192" t="s">
        <v>678</v>
      </c>
      <c r="C7439" s="3063"/>
      <c r="D7439" s="3064"/>
      <c r="E7439" s="3064"/>
      <c r="F7439" s="3064"/>
      <c r="G7439" s="3301" t="s">
        <v>678</v>
      </c>
      <c r="H7439" s="3063"/>
      <c r="I7439" s="3030"/>
    </row>
    <row r="7440" spans="2:9">
      <c r="B7440" s="3192" t="s">
        <v>679</v>
      </c>
      <c r="C7440" s="3063"/>
      <c r="D7440" s="3064"/>
      <c r="E7440" s="3064"/>
      <c r="F7440" s="3064"/>
      <c r="G7440" s="3301" t="s">
        <v>679</v>
      </c>
      <c r="H7440" s="3063"/>
      <c r="I7440" s="3030"/>
    </row>
    <row r="7441" spans="2:9" ht="25.5">
      <c r="B7441" s="3192" t="s">
        <v>720</v>
      </c>
      <c r="C7441" s="3063"/>
      <c r="D7441" s="3064"/>
      <c r="E7441" s="3064"/>
      <c r="F7441" s="3064"/>
      <c r="G7441" s="3301" t="s">
        <v>720</v>
      </c>
      <c r="H7441" s="3063"/>
      <c r="I7441" s="3030"/>
    </row>
    <row r="7442" spans="2:9" ht="25.5">
      <c r="B7442" s="3299" t="s">
        <v>66</v>
      </c>
      <c r="C7442" s="3063"/>
      <c r="D7442" s="3064"/>
      <c r="E7442" s="3064"/>
      <c r="F7442" s="3064"/>
      <c r="G7442" s="3300" t="s">
        <v>66</v>
      </c>
      <c r="H7442" s="3063"/>
      <c r="I7442" s="3030"/>
    </row>
    <row r="7443" spans="2:9" ht="25.5">
      <c r="B7443" s="3192" t="s">
        <v>675</v>
      </c>
      <c r="C7443" s="3063"/>
      <c r="D7443" s="3064"/>
      <c r="E7443" s="3064"/>
      <c r="F7443" s="3064"/>
      <c r="G7443" s="3301" t="s">
        <v>675</v>
      </c>
      <c r="H7443" s="3063"/>
      <c r="I7443" s="3030"/>
    </row>
    <row r="7444" spans="2:9" ht="25.5">
      <c r="B7444" s="3192" t="s">
        <v>676</v>
      </c>
      <c r="C7444" s="3063"/>
      <c r="D7444" s="3064"/>
      <c r="E7444" s="3064"/>
      <c r="F7444" s="3064"/>
      <c r="G7444" s="3301" t="s">
        <v>676</v>
      </c>
      <c r="H7444" s="3063"/>
      <c r="I7444" s="3030"/>
    </row>
    <row r="7445" spans="2:9">
      <c r="B7445" s="3192" t="s">
        <v>677</v>
      </c>
      <c r="C7445" s="3063"/>
      <c r="D7445" s="3064"/>
      <c r="E7445" s="3064"/>
      <c r="F7445" s="3064"/>
      <c r="G7445" s="3301" t="s">
        <v>677</v>
      </c>
      <c r="H7445" s="3063"/>
      <c r="I7445" s="3030"/>
    </row>
    <row r="7446" spans="2:9">
      <c r="B7446" s="3192" t="s">
        <v>678</v>
      </c>
      <c r="C7446" s="3063"/>
      <c r="D7446" s="3064"/>
      <c r="E7446" s="3064"/>
      <c r="F7446" s="3064"/>
      <c r="G7446" s="3301" t="s">
        <v>678</v>
      </c>
      <c r="H7446" s="3063"/>
      <c r="I7446" s="3030"/>
    </row>
    <row r="7447" spans="2:9">
      <c r="B7447" s="3192" t="s">
        <v>679</v>
      </c>
      <c r="C7447" s="3063"/>
      <c r="D7447" s="3064"/>
      <c r="E7447" s="3064"/>
      <c r="F7447" s="3064"/>
      <c r="G7447" s="3301" t="s">
        <v>679</v>
      </c>
      <c r="H7447" s="3063"/>
      <c r="I7447" s="3030"/>
    </row>
    <row r="7448" spans="2:9" ht="25.5">
      <c r="B7448" s="3192" t="s">
        <v>720</v>
      </c>
      <c r="C7448" s="3063"/>
      <c r="D7448" s="3064"/>
      <c r="E7448" s="3064"/>
      <c r="F7448" s="3064"/>
      <c r="G7448" s="3301" t="s">
        <v>720</v>
      </c>
      <c r="H7448" s="3063"/>
      <c r="I7448" s="3030"/>
    </row>
    <row r="7449" spans="2:9">
      <c r="B7449" s="3299" t="s">
        <v>67</v>
      </c>
      <c r="C7449" s="3063"/>
      <c r="D7449" s="3064"/>
      <c r="E7449" s="3064"/>
      <c r="F7449" s="3064"/>
      <c r="G7449" s="3300" t="s">
        <v>67</v>
      </c>
      <c r="H7449" s="3063"/>
      <c r="I7449" s="3030"/>
    </row>
    <row r="7450" spans="2:9" ht="25.5">
      <c r="B7450" s="3192" t="s">
        <v>675</v>
      </c>
      <c r="C7450" s="3063"/>
      <c r="D7450" s="3064"/>
      <c r="E7450" s="3064"/>
      <c r="F7450" s="3064"/>
      <c r="G7450" s="3301" t="s">
        <v>675</v>
      </c>
      <c r="H7450" s="3063"/>
      <c r="I7450" s="3030"/>
    </row>
    <row r="7451" spans="2:9" ht="25.5">
      <c r="B7451" s="3192" t="s">
        <v>676</v>
      </c>
      <c r="C7451" s="3063"/>
      <c r="D7451" s="3064"/>
      <c r="E7451" s="3064"/>
      <c r="F7451" s="3064"/>
      <c r="G7451" s="3301" t="s">
        <v>676</v>
      </c>
      <c r="H7451" s="3063"/>
      <c r="I7451" s="3030"/>
    </row>
    <row r="7452" spans="2:9">
      <c r="B7452" s="3192" t="s">
        <v>677</v>
      </c>
      <c r="C7452" s="3063"/>
      <c r="D7452" s="3064"/>
      <c r="E7452" s="3064"/>
      <c r="F7452" s="3064"/>
      <c r="G7452" s="3301" t="s">
        <v>677</v>
      </c>
      <c r="H7452" s="3063"/>
      <c r="I7452" s="3030"/>
    </row>
    <row r="7453" spans="2:9">
      <c r="B7453" s="3192" t="s">
        <v>678</v>
      </c>
      <c r="C7453" s="3063"/>
      <c r="D7453" s="3064"/>
      <c r="E7453" s="3064"/>
      <c r="F7453" s="3064"/>
      <c r="G7453" s="3301" t="s">
        <v>678</v>
      </c>
      <c r="H7453" s="3063"/>
      <c r="I7453" s="3030"/>
    </row>
    <row r="7454" spans="2:9">
      <c r="B7454" s="3192" t="s">
        <v>679</v>
      </c>
      <c r="C7454" s="3063"/>
      <c r="D7454" s="3064"/>
      <c r="E7454" s="3064"/>
      <c r="F7454" s="3064"/>
      <c r="G7454" s="3301" t="s">
        <v>679</v>
      </c>
      <c r="H7454" s="3063"/>
      <c r="I7454" s="3030"/>
    </row>
    <row r="7455" spans="2:9" ht="25.5">
      <c r="B7455" s="3192" t="s">
        <v>720</v>
      </c>
      <c r="C7455" s="3063"/>
      <c r="D7455" s="3064"/>
      <c r="E7455" s="3064"/>
      <c r="F7455" s="3064"/>
      <c r="G7455" s="3301" t="s">
        <v>720</v>
      </c>
      <c r="H7455" s="3063"/>
      <c r="I7455" s="3030"/>
    </row>
    <row r="7456" spans="2:9" ht="25.5">
      <c r="B7456" s="3230" t="s">
        <v>81</v>
      </c>
      <c r="C7456" s="3063"/>
      <c r="D7456" s="3064"/>
      <c r="E7456" s="3064"/>
      <c r="F7456" s="3064"/>
      <c r="G7456" s="3302" t="s">
        <v>81</v>
      </c>
      <c r="H7456" s="3063"/>
      <c r="I7456" s="3030"/>
    </row>
    <row r="7457" spans="2:9" ht="26.25" thickBot="1">
      <c r="B7457" s="3303" t="s">
        <v>81</v>
      </c>
      <c r="C7457" s="3063"/>
      <c r="D7457" s="3064"/>
      <c r="E7457" s="3064"/>
      <c r="F7457" s="3064"/>
      <c r="G7457" s="3302" t="s">
        <v>81</v>
      </c>
      <c r="H7457" s="3063"/>
      <c r="I7457" s="3030"/>
    </row>
    <row r="7458" spans="2:9" ht="25.5">
      <c r="B7458" s="3217" t="s">
        <v>696</v>
      </c>
      <c r="C7458" s="3218"/>
      <c r="D7458" s="3219"/>
      <c r="E7458" s="3219"/>
      <c r="F7458" s="3219"/>
      <c r="G7458" s="3217" t="s">
        <v>696</v>
      </c>
      <c r="H7458" s="3297"/>
      <c r="I7458" s="3298"/>
    </row>
    <row r="7459" spans="2:9">
      <c r="B7459" s="3299" t="s">
        <v>64</v>
      </c>
      <c r="C7459" s="3063"/>
      <c r="D7459" s="3064"/>
      <c r="E7459" s="3064"/>
      <c r="F7459" s="3064"/>
      <c r="G7459" s="3300" t="s">
        <v>64</v>
      </c>
      <c r="H7459" s="3063"/>
      <c r="I7459" s="3030"/>
    </row>
    <row r="7460" spans="2:9" ht="25.5">
      <c r="B7460" s="3192" t="s">
        <v>675</v>
      </c>
      <c r="C7460" s="3063"/>
      <c r="D7460" s="3064"/>
      <c r="E7460" s="3064"/>
      <c r="F7460" s="3064"/>
      <c r="G7460" s="3301" t="s">
        <v>675</v>
      </c>
      <c r="H7460" s="3063"/>
      <c r="I7460" s="3030"/>
    </row>
    <row r="7461" spans="2:9" ht="25.5">
      <c r="B7461" s="3192" t="s">
        <v>676</v>
      </c>
      <c r="C7461" s="3063"/>
      <c r="D7461" s="3064"/>
      <c r="E7461" s="3064"/>
      <c r="F7461" s="3064"/>
      <c r="G7461" s="3301" t="s">
        <v>676</v>
      </c>
      <c r="H7461" s="3063"/>
      <c r="I7461" s="3030"/>
    </row>
    <row r="7462" spans="2:9">
      <c r="B7462" s="3192" t="s">
        <v>677</v>
      </c>
      <c r="C7462" s="3063"/>
      <c r="D7462" s="3064"/>
      <c r="E7462" s="3064"/>
      <c r="F7462" s="3064"/>
      <c r="G7462" s="3301" t="s">
        <v>677</v>
      </c>
      <c r="H7462" s="3063"/>
      <c r="I7462" s="3030"/>
    </row>
    <row r="7463" spans="2:9">
      <c r="B7463" s="3192" t="s">
        <v>678</v>
      </c>
      <c r="C7463" s="3063"/>
      <c r="D7463" s="3064"/>
      <c r="E7463" s="3064"/>
      <c r="F7463" s="3064"/>
      <c r="G7463" s="3301" t="s">
        <v>678</v>
      </c>
      <c r="H7463" s="3063"/>
      <c r="I7463" s="3030"/>
    </row>
    <row r="7464" spans="2:9">
      <c r="B7464" s="3192" t="s">
        <v>679</v>
      </c>
      <c r="C7464" s="3063"/>
      <c r="D7464" s="3064"/>
      <c r="E7464" s="3064"/>
      <c r="F7464" s="3064"/>
      <c r="G7464" s="3301" t="s">
        <v>679</v>
      </c>
      <c r="H7464" s="3063"/>
      <c r="I7464" s="3030"/>
    </row>
    <row r="7465" spans="2:9" ht="25.5">
      <c r="B7465" s="3192" t="s">
        <v>720</v>
      </c>
      <c r="C7465" s="3063"/>
      <c r="D7465" s="3064"/>
      <c r="E7465" s="3064"/>
      <c r="F7465" s="3064"/>
      <c r="G7465" s="3301" t="s">
        <v>720</v>
      </c>
      <c r="H7465" s="3063"/>
      <c r="I7465" s="3030"/>
    </row>
    <row r="7466" spans="2:9">
      <c r="B7466" s="3299" t="s">
        <v>65</v>
      </c>
      <c r="C7466" s="3063"/>
      <c r="D7466" s="3064"/>
      <c r="E7466" s="3064"/>
      <c r="F7466" s="3064"/>
      <c r="G7466" s="3300" t="s">
        <v>65</v>
      </c>
      <c r="H7466" s="3063"/>
      <c r="I7466" s="3030"/>
    </row>
    <row r="7467" spans="2:9" ht="25.5">
      <c r="B7467" s="3192" t="s">
        <v>675</v>
      </c>
      <c r="C7467" s="3063"/>
      <c r="D7467" s="3064"/>
      <c r="E7467" s="3064"/>
      <c r="F7467" s="3064"/>
      <c r="G7467" s="3301" t="s">
        <v>675</v>
      </c>
      <c r="H7467" s="3063"/>
      <c r="I7467" s="3030"/>
    </row>
    <row r="7468" spans="2:9" ht="25.5">
      <c r="B7468" s="3192" t="s">
        <v>676</v>
      </c>
      <c r="C7468" s="3063"/>
      <c r="D7468" s="3064"/>
      <c r="E7468" s="3064"/>
      <c r="F7468" s="3064"/>
      <c r="G7468" s="3301" t="s">
        <v>676</v>
      </c>
      <c r="H7468" s="3063"/>
      <c r="I7468" s="3030"/>
    </row>
    <row r="7469" spans="2:9">
      <c r="B7469" s="3192" t="s">
        <v>677</v>
      </c>
      <c r="C7469" s="3063"/>
      <c r="D7469" s="3064"/>
      <c r="E7469" s="3064"/>
      <c r="F7469" s="3064"/>
      <c r="G7469" s="3301" t="s">
        <v>677</v>
      </c>
      <c r="H7469" s="3063"/>
      <c r="I7469" s="3030"/>
    </row>
    <row r="7470" spans="2:9">
      <c r="B7470" s="3192" t="s">
        <v>678</v>
      </c>
      <c r="C7470" s="3063"/>
      <c r="D7470" s="3064"/>
      <c r="E7470" s="3064"/>
      <c r="F7470" s="3064"/>
      <c r="G7470" s="3301" t="s">
        <v>678</v>
      </c>
      <c r="H7470" s="3063"/>
      <c r="I7470" s="3030"/>
    </row>
    <row r="7471" spans="2:9">
      <c r="B7471" s="3192" t="s">
        <v>679</v>
      </c>
      <c r="C7471" s="3063"/>
      <c r="D7471" s="3064"/>
      <c r="E7471" s="3064"/>
      <c r="F7471" s="3064"/>
      <c r="G7471" s="3301" t="s">
        <v>679</v>
      </c>
      <c r="H7471" s="3063"/>
      <c r="I7471" s="3030"/>
    </row>
    <row r="7472" spans="2:9" ht="25.5">
      <c r="B7472" s="3192" t="s">
        <v>720</v>
      </c>
      <c r="C7472" s="3063"/>
      <c r="D7472" s="3064"/>
      <c r="E7472" s="3064"/>
      <c r="F7472" s="3064"/>
      <c r="G7472" s="3301" t="s">
        <v>720</v>
      </c>
      <c r="H7472" s="3063"/>
      <c r="I7472" s="3030"/>
    </row>
    <row r="7473" spans="2:9">
      <c r="B7473" s="3299" t="s">
        <v>82</v>
      </c>
      <c r="C7473" s="3063"/>
      <c r="D7473" s="3064"/>
      <c r="E7473" s="3064"/>
      <c r="F7473" s="3064"/>
      <c r="G7473" s="3300" t="s">
        <v>82</v>
      </c>
      <c r="H7473" s="3063"/>
      <c r="I7473" s="3030"/>
    </row>
    <row r="7474" spans="2:9" ht="25.5">
      <c r="B7474" s="3192" t="s">
        <v>675</v>
      </c>
      <c r="C7474" s="3063"/>
      <c r="D7474" s="3064"/>
      <c r="E7474" s="3064"/>
      <c r="F7474" s="3064"/>
      <c r="G7474" s="3301" t="s">
        <v>675</v>
      </c>
      <c r="H7474" s="3063"/>
      <c r="I7474" s="3030"/>
    </row>
    <row r="7475" spans="2:9" ht="25.5">
      <c r="B7475" s="3192" t="s">
        <v>676</v>
      </c>
      <c r="C7475" s="3063"/>
      <c r="D7475" s="3064"/>
      <c r="E7475" s="3064"/>
      <c r="F7475" s="3064"/>
      <c r="G7475" s="3301" t="s">
        <v>676</v>
      </c>
      <c r="H7475" s="3063"/>
      <c r="I7475" s="3030"/>
    </row>
    <row r="7476" spans="2:9">
      <c r="B7476" s="3192" t="s">
        <v>677</v>
      </c>
      <c r="C7476" s="3063"/>
      <c r="D7476" s="3064"/>
      <c r="E7476" s="3064"/>
      <c r="F7476" s="3064"/>
      <c r="G7476" s="3301" t="s">
        <v>677</v>
      </c>
      <c r="H7476" s="3063"/>
      <c r="I7476" s="3030"/>
    </row>
    <row r="7477" spans="2:9">
      <c r="B7477" s="3192" t="s">
        <v>678</v>
      </c>
      <c r="C7477" s="3063"/>
      <c r="D7477" s="3064"/>
      <c r="E7477" s="3064"/>
      <c r="F7477" s="3064"/>
      <c r="G7477" s="3301" t="s">
        <v>678</v>
      </c>
      <c r="H7477" s="3063"/>
      <c r="I7477" s="3030"/>
    </row>
    <row r="7478" spans="2:9">
      <c r="B7478" s="3192" t="s">
        <v>679</v>
      </c>
      <c r="C7478" s="3063"/>
      <c r="D7478" s="3064"/>
      <c r="E7478" s="3064"/>
      <c r="F7478" s="3064"/>
      <c r="G7478" s="3301" t="s">
        <v>679</v>
      </c>
      <c r="H7478" s="3063"/>
      <c r="I7478" s="3030"/>
    </row>
    <row r="7479" spans="2:9" ht="25.5">
      <c r="B7479" s="3192" t="s">
        <v>720</v>
      </c>
      <c r="C7479" s="3063"/>
      <c r="D7479" s="3064"/>
      <c r="E7479" s="3064"/>
      <c r="F7479" s="3064"/>
      <c r="G7479" s="3301" t="s">
        <v>720</v>
      </c>
      <c r="H7479" s="3063"/>
      <c r="I7479" s="3030"/>
    </row>
    <row r="7480" spans="2:9" ht="38.25">
      <c r="B7480" s="3299" t="s">
        <v>680</v>
      </c>
      <c r="C7480" s="3063"/>
      <c r="D7480" s="3064"/>
      <c r="E7480" s="3064"/>
      <c r="F7480" s="3064"/>
      <c r="G7480" s="3300" t="s">
        <v>680</v>
      </c>
      <c r="H7480" s="3063"/>
      <c r="I7480" s="3030"/>
    </row>
    <row r="7481" spans="2:9" ht="25.5">
      <c r="B7481" s="3192" t="s">
        <v>675</v>
      </c>
      <c r="C7481" s="3063"/>
      <c r="D7481" s="3064"/>
      <c r="E7481" s="3064"/>
      <c r="F7481" s="3064"/>
      <c r="G7481" s="3301" t="s">
        <v>675</v>
      </c>
      <c r="H7481" s="3063"/>
      <c r="I7481" s="3030"/>
    </row>
    <row r="7482" spans="2:9" ht="25.5">
      <c r="B7482" s="3192" t="s">
        <v>676</v>
      </c>
      <c r="C7482" s="3063"/>
      <c r="D7482" s="3064"/>
      <c r="E7482" s="3064"/>
      <c r="F7482" s="3064"/>
      <c r="G7482" s="3301" t="s">
        <v>676</v>
      </c>
      <c r="H7482" s="3063"/>
      <c r="I7482" s="3030"/>
    </row>
    <row r="7483" spans="2:9">
      <c r="B7483" s="3192" t="s">
        <v>677</v>
      </c>
      <c r="C7483" s="3063"/>
      <c r="D7483" s="3064"/>
      <c r="E7483" s="3064"/>
      <c r="F7483" s="3064"/>
      <c r="G7483" s="3301" t="s">
        <v>677</v>
      </c>
      <c r="H7483" s="3063"/>
      <c r="I7483" s="3030"/>
    </row>
    <row r="7484" spans="2:9">
      <c r="B7484" s="3192" t="s">
        <v>678</v>
      </c>
      <c r="C7484" s="3063"/>
      <c r="D7484" s="3064"/>
      <c r="E7484" s="3064"/>
      <c r="F7484" s="3064"/>
      <c r="G7484" s="3301" t="s">
        <v>678</v>
      </c>
      <c r="H7484" s="3063"/>
      <c r="I7484" s="3030"/>
    </row>
    <row r="7485" spans="2:9">
      <c r="B7485" s="3192" t="s">
        <v>679</v>
      </c>
      <c r="C7485" s="3063"/>
      <c r="D7485" s="3064"/>
      <c r="E7485" s="3064"/>
      <c r="F7485" s="3064"/>
      <c r="G7485" s="3301" t="s">
        <v>679</v>
      </c>
      <c r="H7485" s="3063"/>
      <c r="I7485" s="3030"/>
    </row>
    <row r="7486" spans="2:9" ht="25.5">
      <c r="B7486" s="3192" t="s">
        <v>720</v>
      </c>
      <c r="C7486" s="3063"/>
      <c r="D7486" s="3064"/>
      <c r="E7486" s="3064"/>
      <c r="F7486" s="3064"/>
      <c r="G7486" s="3301" t="s">
        <v>720</v>
      </c>
      <c r="H7486" s="3063"/>
      <c r="I7486" s="3030"/>
    </row>
    <row r="7487" spans="2:9" ht="38.25">
      <c r="B7487" s="3299" t="s">
        <v>681</v>
      </c>
      <c r="C7487" s="3063"/>
      <c r="D7487" s="3064"/>
      <c r="E7487" s="3064"/>
      <c r="F7487" s="3064"/>
      <c r="G7487" s="3300" t="s">
        <v>681</v>
      </c>
      <c r="H7487" s="3063"/>
      <c r="I7487" s="3030"/>
    </row>
    <row r="7488" spans="2:9" ht="25.5">
      <c r="B7488" s="3192" t="s">
        <v>675</v>
      </c>
      <c r="C7488" s="3063"/>
      <c r="D7488" s="3064"/>
      <c r="E7488" s="3064"/>
      <c r="F7488" s="3064"/>
      <c r="G7488" s="3301" t="s">
        <v>675</v>
      </c>
      <c r="H7488" s="3063"/>
      <c r="I7488" s="3030"/>
    </row>
    <row r="7489" spans="2:9" ht="25.5">
      <c r="B7489" s="3192" t="s">
        <v>676</v>
      </c>
      <c r="C7489" s="3063"/>
      <c r="D7489" s="3064"/>
      <c r="E7489" s="3064"/>
      <c r="F7489" s="3064"/>
      <c r="G7489" s="3301" t="s">
        <v>676</v>
      </c>
      <c r="H7489" s="3063"/>
      <c r="I7489" s="3030"/>
    </row>
    <row r="7490" spans="2:9">
      <c r="B7490" s="3192" t="s">
        <v>677</v>
      </c>
      <c r="C7490" s="3063"/>
      <c r="D7490" s="3064"/>
      <c r="E7490" s="3064"/>
      <c r="F7490" s="3064"/>
      <c r="G7490" s="3301" t="s">
        <v>677</v>
      </c>
      <c r="H7490" s="3063"/>
      <c r="I7490" s="3030"/>
    </row>
    <row r="7491" spans="2:9">
      <c r="B7491" s="3192" t="s">
        <v>678</v>
      </c>
      <c r="C7491" s="3063"/>
      <c r="D7491" s="3064"/>
      <c r="E7491" s="3064"/>
      <c r="F7491" s="3064"/>
      <c r="G7491" s="3301" t="s">
        <v>678</v>
      </c>
      <c r="H7491" s="3063"/>
      <c r="I7491" s="3030"/>
    </row>
    <row r="7492" spans="2:9">
      <c r="B7492" s="3192" t="s">
        <v>679</v>
      </c>
      <c r="C7492" s="3063"/>
      <c r="D7492" s="3064"/>
      <c r="E7492" s="3064"/>
      <c r="F7492" s="3064"/>
      <c r="G7492" s="3301" t="s">
        <v>679</v>
      </c>
      <c r="H7492" s="3063"/>
      <c r="I7492" s="3030"/>
    </row>
    <row r="7493" spans="2:9" ht="25.5">
      <c r="B7493" s="3192" t="s">
        <v>720</v>
      </c>
      <c r="C7493" s="3063"/>
      <c r="D7493" s="3064"/>
      <c r="E7493" s="3064"/>
      <c r="F7493" s="3064"/>
      <c r="G7493" s="3301" t="s">
        <v>720</v>
      </c>
      <c r="H7493" s="3063"/>
      <c r="I7493" s="3030"/>
    </row>
    <row r="7494" spans="2:9" ht="25.5">
      <c r="B7494" s="3299" t="s">
        <v>682</v>
      </c>
      <c r="C7494" s="3063"/>
      <c r="D7494" s="3064"/>
      <c r="E7494" s="3064"/>
      <c r="F7494" s="3064"/>
      <c r="G7494" s="3300" t="s">
        <v>682</v>
      </c>
      <c r="H7494" s="3063"/>
      <c r="I7494" s="3030"/>
    </row>
    <row r="7495" spans="2:9" ht="25.5">
      <c r="B7495" s="3192" t="s">
        <v>675</v>
      </c>
      <c r="C7495" s="3063"/>
      <c r="D7495" s="3064"/>
      <c r="E7495" s="3064"/>
      <c r="F7495" s="3064"/>
      <c r="G7495" s="3301" t="s">
        <v>675</v>
      </c>
      <c r="H7495" s="3063"/>
      <c r="I7495" s="3030"/>
    </row>
    <row r="7496" spans="2:9" ht="25.5">
      <c r="B7496" s="3192" t="s">
        <v>676</v>
      </c>
      <c r="C7496" s="3063"/>
      <c r="D7496" s="3064"/>
      <c r="E7496" s="3064"/>
      <c r="F7496" s="3064"/>
      <c r="G7496" s="3301" t="s">
        <v>676</v>
      </c>
      <c r="H7496" s="3063"/>
      <c r="I7496" s="3030"/>
    </row>
    <row r="7497" spans="2:9">
      <c r="B7497" s="3192" t="s">
        <v>677</v>
      </c>
      <c r="C7497" s="3063"/>
      <c r="D7497" s="3064"/>
      <c r="E7497" s="3064"/>
      <c r="F7497" s="3064"/>
      <c r="G7497" s="3301" t="s">
        <v>677</v>
      </c>
      <c r="H7497" s="3063"/>
      <c r="I7497" s="3030"/>
    </row>
    <row r="7498" spans="2:9">
      <c r="B7498" s="3192" t="s">
        <v>678</v>
      </c>
      <c r="C7498" s="3063"/>
      <c r="D7498" s="3064"/>
      <c r="E7498" s="3064"/>
      <c r="F7498" s="3064"/>
      <c r="G7498" s="3301" t="s">
        <v>678</v>
      </c>
      <c r="H7498" s="3063"/>
      <c r="I7498" s="3030"/>
    </row>
    <row r="7499" spans="2:9">
      <c r="B7499" s="3192" t="s">
        <v>679</v>
      </c>
      <c r="C7499" s="3063"/>
      <c r="D7499" s="3064"/>
      <c r="E7499" s="3064"/>
      <c r="F7499" s="3064"/>
      <c r="G7499" s="3301" t="s">
        <v>679</v>
      </c>
      <c r="H7499" s="3063"/>
      <c r="I7499" s="3030"/>
    </row>
    <row r="7500" spans="2:9" ht="25.5">
      <c r="B7500" s="3192" t="s">
        <v>720</v>
      </c>
      <c r="C7500" s="3063"/>
      <c r="D7500" s="3064"/>
      <c r="E7500" s="3064"/>
      <c r="F7500" s="3064"/>
      <c r="G7500" s="3301" t="s">
        <v>720</v>
      </c>
      <c r="H7500" s="3063"/>
      <c r="I7500" s="3030"/>
    </row>
    <row r="7501" spans="2:9" ht="25.5">
      <c r="B7501" s="3299" t="s">
        <v>66</v>
      </c>
      <c r="C7501" s="3063"/>
      <c r="D7501" s="3064"/>
      <c r="E7501" s="3064"/>
      <c r="F7501" s="3064"/>
      <c r="G7501" s="3300" t="s">
        <v>66</v>
      </c>
      <c r="H7501" s="3063"/>
      <c r="I7501" s="3030"/>
    </row>
    <row r="7502" spans="2:9" ht="25.5">
      <c r="B7502" s="3192" t="s">
        <v>675</v>
      </c>
      <c r="C7502" s="3063"/>
      <c r="D7502" s="3064"/>
      <c r="E7502" s="3064"/>
      <c r="F7502" s="3064"/>
      <c r="G7502" s="3301" t="s">
        <v>675</v>
      </c>
      <c r="H7502" s="3063"/>
      <c r="I7502" s="3030"/>
    </row>
    <row r="7503" spans="2:9" ht="25.5">
      <c r="B7503" s="3192" t="s">
        <v>676</v>
      </c>
      <c r="C7503" s="3063"/>
      <c r="D7503" s="3064"/>
      <c r="E7503" s="3064"/>
      <c r="F7503" s="3064"/>
      <c r="G7503" s="3301" t="s">
        <v>676</v>
      </c>
      <c r="H7503" s="3063"/>
      <c r="I7503" s="3030"/>
    </row>
    <row r="7504" spans="2:9">
      <c r="B7504" s="3192" t="s">
        <v>677</v>
      </c>
      <c r="C7504" s="3063"/>
      <c r="D7504" s="3064"/>
      <c r="E7504" s="3064"/>
      <c r="F7504" s="3064"/>
      <c r="G7504" s="3301" t="s">
        <v>677</v>
      </c>
      <c r="H7504" s="3063"/>
      <c r="I7504" s="3030"/>
    </row>
    <row r="7505" spans="2:9">
      <c r="B7505" s="3192" t="s">
        <v>678</v>
      </c>
      <c r="C7505" s="3063"/>
      <c r="D7505" s="3064"/>
      <c r="E7505" s="3064"/>
      <c r="F7505" s="3064"/>
      <c r="G7505" s="3301" t="s">
        <v>678</v>
      </c>
      <c r="H7505" s="3063"/>
      <c r="I7505" s="3030"/>
    </row>
    <row r="7506" spans="2:9">
      <c r="B7506" s="3192" t="s">
        <v>679</v>
      </c>
      <c r="C7506" s="3063"/>
      <c r="D7506" s="3064"/>
      <c r="E7506" s="3064"/>
      <c r="F7506" s="3064"/>
      <c r="G7506" s="3301" t="s">
        <v>679</v>
      </c>
      <c r="H7506" s="3063"/>
      <c r="I7506" s="3030"/>
    </row>
    <row r="7507" spans="2:9" ht="25.5">
      <c r="B7507" s="3192" t="s">
        <v>720</v>
      </c>
      <c r="C7507" s="3063"/>
      <c r="D7507" s="3064"/>
      <c r="E7507" s="3064"/>
      <c r="F7507" s="3064"/>
      <c r="G7507" s="3301" t="s">
        <v>720</v>
      </c>
      <c r="H7507" s="3063"/>
      <c r="I7507" s="3030"/>
    </row>
    <row r="7508" spans="2:9">
      <c r="B7508" s="3299" t="s">
        <v>67</v>
      </c>
      <c r="C7508" s="3063"/>
      <c r="D7508" s="3064"/>
      <c r="E7508" s="3064"/>
      <c r="F7508" s="3064"/>
      <c r="G7508" s="3300" t="s">
        <v>67</v>
      </c>
      <c r="H7508" s="3063"/>
      <c r="I7508" s="3030"/>
    </row>
    <row r="7509" spans="2:9" ht="25.5">
      <c r="B7509" s="3192" t="s">
        <v>675</v>
      </c>
      <c r="C7509" s="3063"/>
      <c r="D7509" s="3064"/>
      <c r="E7509" s="3064"/>
      <c r="F7509" s="3064"/>
      <c r="G7509" s="3301" t="s">
        <v>675</v>
      </c>
      <c r="H7509" s="3063"/>
      <c r="I7509" s="3030"/>
    </row>
    <row r="7510" spans="2:9" ht="25.5">
      <c r="B7510" s="3192" t="s">
        <v>676</v>
      </c>
      <c r="C7510" s="3063"/>
      <c r="D7510" s="3064"/>
      <c r="E7510" s="3064"/>
      <c r="F7510" s="3064"/>
      <c r="G7510" s="3301" t="s">
        <v>676</v>
      </c>
      <c r="H7510" s="3063"/>
      <c r="I7510" s="3030"/>
    </row>
    <row r="7511" spans="2:9">
      <c r="B7511" s="3192" t="s">
        <v>677</v>
      </c>
      <c r="C7511" s="3063"/>
      <c r="D7511" s="3064"/>
      <c r="E7511" s="3064"/>
      <c r="F7511" s="3064"/>
      <c r="G7511" s="3301" t="s">
        <v>677</v>
      </c>
      <c r="H7511" s="3063"/>
      <c r="I7511" s="3030"/>
    </row>
    <row r="7512" spans="2:9">
      <c r="B7512" s="3192" t="s">
        <v>678</v>
      </c>
      <c r="C7512" s="3063"/>
      <c r="D7512" s="3064"/>
      <c r="E7512" s="3064"/>
      <c r="F7512" s="3064"/>
      <c r="G7512" s="3301" t="s">
        <v>678</v>
      </c>
      <c r="H7512" s="3063"/>
      <c r="I7512" s="3030"/>
    </row>
    <row r="7513" spans="2:9">
      <c r="B7513" s="3192" t="s">
        <v>679</v>
      </c>
      <c r="C7513" s="3063"/>
      <c r="D7513" s="3064"/>
      <c r="E7513" s="3064"/>
      <c r="F7513" s="3064"/>
      <c r="G7513" s="3301" t="s">
        <v>679</v>
      </c>
      <c r="H7513" s="3063"/>
      <c r="I7513" s="3030"/>
    </row>
    <row r="7514" spans="2:9" ht="25.5">
      <c r="B7514" s="3230" t="s">
        <v>81</v>
      </c>
      <c r="C7514" s="3063"/>
      <c r="D7514" s="3064"/>
      <c r="E7514" s="3064"/>
      <c r="F7514" s="3064"/>
      <c r="G7514" s="3302" t="s">
        <v>81</v>
      </c>
      <c r="H7514" s="3063"/>
      <c r="I7514" s="3030"/>
    </row>
    <row r="7515" spans="2:9" ht="26.25" thickBot="1">
      <c r="B7515" s="3303" t="s">
        <v>81</v>
      </c>
      <c r="C7515" s="3063"/>
      <c r="D7515" s="3064"/>
      <c r="E7515" s="3064"/>
      <c r="F7515" s="3064"/>
      <c r="G7515" s="3302" t="s">
        <v>81</v>
      </c>
      <c r="H7515" s="3063"/>
      <c r="I7515" s="3030"/>
    </row>
    <row r="7516" spans="2:9">
      <c r="B7516" s="3217" t="s">
        <v>697</v>
      </c>
      <c r="C7516" s="3218"/>
      <c r="D7516" s="3219"/>
      <c r="E7516" s="3219"/>
      <c r="F7516" s="3219"/>
      <c r="G7516" s="3217" t="s">
        <v>697</v>
      </c>
      <c r="H7516" s="3297"/>
      <c r="I7516" s="3298"/>
    </row>
    <row r="7517" spans="2:9">
      <c r="B7517" s="3299" t="s">
        <v>64</v>
      </c>
      <c r="C7517" s="3063"/>
      <c r="D7517" s="3064"/>
      <c r="E7517" s="3064"/>
      <c r="F7517" s="3064"/>
      <c r="G7517" s="3300" t="s">
        <v>64</v>
      </c>
      <c r="H7517" s="3063"/>
      <c r="I7517" s="3030"/>
    </row>
    <row r="7518" spans="2:9" ht="25.5">
      <c r="B7518" s="3192" t="s">
        <v>675</v>
      </c>
      <c r="C7518" s="3063"/>
      <c r="D7518" s="3064"/>
      <c r="E7518" s="3064"/>
      <c r="F7518" s="3064"/>
      <c r="G7518" s="3301" t="s">
        <v>675</v>
      </c>
      <c r="H7518" s="3063"/>
      <c r="I7518" s="3030"/>
    </row>
    <row r="7519" spans="2:9" ht="25.5">
      <c r="B7519" s="3192" t="s">
        <v>676</v>
      </c>
      <c r="C7519" s="3063"/>
      <c r="D7519" s="3064"/>
      <c r="E7519" s="3064"/>
      <c r="F7519" s="3064"/>
      <c r="G7519" s="3301" t="s">
        <v>676</v>
      </c>
      <c r="H7519" s="3063"/>
      <c r="I7519" s="3030"/>
    </row>
    <row r="7520" spans="2:9">
      <c r="B7520" s="3192" t="s">
        <v>677</v>
      </c>
      <c r="C7520" s="3063"/>
      <c r="D7520" s="3064"/>
      <c r="E7520" s="3064"/>
      <c r="F7520" s="3064"/>
      <c r="G7520" s="3301" t="s">
        <v>677</v>
      </c>
      <c r="H7520" s="3063"/>
      <c r="I7520" s="3030"/>
    </row>
    <row r="7521" spans="2:9">
      <c r="B7521" s="3192" t="s">
        <v>678</v>
      </c>
      <c r="C7521" s="3063"/>
      <c r="D7521" s="3064"/>
      <c r="E7521" s="3064"/>
      <c r="F7521" s="3064"/>
      <c r="G7521" s="3301" t="s">
        <v>678</v>
      </c>
      <c r="H7521" s="3063"/>
      <c r="I7521" s="3030"/>
    </row>
    <row r="7522" spans="2:9">
      <c r="B7522" s="3192" t="s">
        <v>679</v>
      </c>
      <c r="C7522" s="3063"/>
      <c r="D7522" s="3064"/>
      <c r="E7522" s="3064"/>
      <c r="F7522" s="3064"/>
      <c r="G7522" s="3301" t="s">
        <v>679</v>
      </c>
      <c r="H7522" s="3063"/>
      <c r="I7522" s="3030"/>
    </row>
    <row r="7523" spans="2:9" ht="25.5">
      <c r="B7523" s="3192" t="s">
        <v>720</v>
      </c>
      <c r="C7523" s="3063"/>
      <c r="D7523" s="3064"/>
      <c r="E7523" s="3064"/>
      <c r="F7523" s="3064"/>
      <c r="G7523" s="3301" t="s">
        <v>720</v>
      </c>
      <c r="H7523" s="3063"/>
      <c r="I7523" s="3030"/>
    </row>
    <row r="7524" spans="2:9">
      <c r="B7524" s="3299" t="s">
        <v>65</v>
      </c>
      <c r="C7524" s="3063"/>
      <c r="D7524" s="3064"/>
      <c r="E7524" s="3064"/>
      <c r="F7524" s="3064"/>
      <c r="G7524" s="3300" t="s">
        <v>65</v>
      </c>
      <c r="H7524" s="3063"/>
      <c r="I7524" s="3030"/>
    </row>
    <row r="7525" spans="2:9" ht="25.5">
      <c r="B7525" s="3192" t="s">
        <v>675</v>
      </c>
      <c r="C7525" s="3063"/>
      <c r="D7525" s="3064"/>
      <c r="E7525" s="3064"/>
      <c r="F7525" s="3064"/>
      <c r="G7525" s="3301" t="s">
        <v>675</v>
      </c>
      <c r="H7525" s="3063"/>
      <c r="I7525" s="3030"/>
    </row>
    <row r="7526" spans="2:9" ht="25.5">
      <c r="B7526" s="3192" t="s">
        <v>676</v>
      </c>
      <c r="C7526" s="3063"/>
      <c r="D7526" s="3064"/>
      <c r="E7526" s="3064"/>
      <c r="F7526" s="3064"/>
      <c r="G7526" s="3301" t="s">
        <v>676</v>
      </c>
      <c r="H7526" s="3063"/>
      <c r="I7526" s="3030"/>
    </row>
    <row r="7527" spans="2:9">
      <c r="B7527" s="3192" t="s">
        <v>677</v>
      </c>
      <c r="C7527" s="3063"/>
      <c r="D7527" s="3064"/>
      <c r="E7527" s="3064"/>
      <c r="F7527" s="3064"/>
      <c r="G7527" s="3301" t="s">
        <v>677</v>
      </c>
      <c r="H7527" s="3063"/>
      <c r="I7527" s="3030"/>
    </row>
    <row r="7528" spans="2:9">
      <c r="B7528" s="3192" t="s">
        <v>678</v>
      </c>
      <c r="C7528" s="3063"/>
      <c r="D7528" s="3064"/>
      <c r="E7528" s="3064"/>
      <c r="F7528" s="3064"/>
      <c r="G7528" s="3301" t="s">
        <v>678</v>
      </c>
      <c r="H7528" s="3063"/>
      <c r="I7528" s="3030"/>
    </row>
    <row r="7529" spans="2:9">
      <c r="B7529" s="3192" t="s">
        <v>679</v>
      </c>
      <c r="C7529" s="3063"/>
      <c r="D7529" s="3064"/>
      <c r="E7529" s="3064"/>
      <c r="F7529" s="3064"/>
      <c r="G7529" s="3301" t="s">
        <v>679</v>
      </c>
      <c r="H7529" s="3063"/>
      <c r="I7529" s="3030"/>
    </row>
    <row r="7530" spans="2:9" ht="25.5">
      <c r="B7530" s="3192" t="s">
        <v>720</v>
      </c>
      <c r="C7530" s="3063"/>
      <c r="D7530" s="3064"/>
      <c r="E7530" s="3064"/>
      <c r="F7530" s="3064"/>
      <c r="G7530" s="3301" t="s">
        <v>720</v>
      </c>
      <c r="H7530" s="3063"/>
      <c r="I7530" s="3030"/>
    </row>
    <row r="7531" spans="2:9">
      <c r="B7531" s="3299" t="s">
        <v>82</v>
      </c>
      <c r="C7531" s="3063"/>
      <c r="D7531" s="3064"/>
      <c r="E7531" s="3064"/>
      <c r="F7531" s="3064"/>
      <c r="G7531" s="3300" t="s">
        <v>82</v>
      </c>
      <c r="H7531" s="3063"/>
      <c r="I7531" s="3030"/>
    </row>
    <row r="7532" spans="2:9" ht="25.5">
      <c r="B7532" s="3192" t="s">
        <v>675</v>
      </c>
      <c r="C7532" s="3063"/>
      <c r="D7532" s="3064"/>
      <c r="E7532" s="3064"/>
      <c r="F7532" s="3064"/>
      <c r="G7532" s="3301" t="s">
        <v>675</v>
      </c>
      <c r="H7532" s="3063"/>
      <c r="I7532" s="3030"/>
    </row>
    <row r="7533" spans="2:9" ht="25.5">
      <c r="B7533" s="3192" t="s">
        <v>676</v>
      </c>
      <c r="C7533" s="3063"/>
      <c r="D7533" s="3064"/>
      <c r="E7533" s="3064"/>
      <c r="F7533" s="3064"/>
      <c r="G7533" s="3301" t="s">
        <v>676</v>
      </c>
      <c r="H7533" s="3063"/>
      <c r="I7533" s="3030"/>
    </row>
    <row r="7534" spans="2:9">
      <c r="B7534" s="3192" t="s">
        <v>677</v>
      </c>
      <c r="C7534" s="3063"/>
      <c r="D7534" s="3064"/>
      <c r="E7534" s="3064"/>
      <c r="F7534" s="3064"/>
      <c r="G7534" s="3301" t="s">
        <v>677</v>
      </c>
      <c r="H7534" s="3063"/>
      <c r="I7534" s="3030"/>
    </row>
    <row r="7535" spans="2:9">
      <c r="B7535" s="3192" t="s">
        <v>678</v>
      </c>
      <c r="C7535" s="3063"/>
      <c r="D7535" s="3064"/>
      <c r="E7535" s="3064"/>
      <c r="F7535" s="3064"/>
      <c r="G7535" s="3301" t="s">
        <v>678</v>
      </c>
      <c r="H7535" s="3063"/>
      <c r="I7535" s="3030"/>
    </row>
    <row r="7536" spans="2:9">
      <c r="B7536" s="3192" t="s">
        <v>679</v>
      </c>
      <c r="C7536" s="3063"/>
      <c r="D7536" s="3064"/>
      <c r="E7536" s="3064"/>
      <c r="F7536" s="3064"/>
      <c r="G7536" s="3301" t="s">
        <v>679</v>
      </c>
      <c r="H7536" s="3063"/>
      <c r="I7536" s="3030"/>
    </row>
    <row r="7537" spans="2:9" ht="25.5">
      <c r="B7537" s="3192" t="s">
        <v>720</v>
      </c>
      <c r="C7537" s="3063"/>
      <c r="D7537" s="3064"/>
      <c r="E7537" s="3064"/>
      <c r="F7537" s="3064"/>
      <c r="G7537" s="3301" t="s">
        <v>720</v>
      </c>
      <c r="H7537" s="3063"/>
      <c r="I7537" s="3030"/>
    </row>
    <row r="7538" spans="2:9" ht="38.25">
      <c r="B7538" s="3299" t="s">
        <v>680</v>
      </c>
      <c r="C7538" s="3063"/>
      <c r="D7538" s="3064"/>
      <c r="E7538" s="3064"/>
      <c r="F7538" s="3064"/>
      <c r="G7538" s="3300" t="s">
        <v>680</v>
      </c>
      <c r="H7538" s="3063"/>
      <c r="I7538" s="3030"/>
    </row>
    <row r="7539" spans="2:9" ht="25.5">
      <c r="B7539" s="3192" t="s">
        <v>675</v>
      </c>
      <c r="C7539" s="3063"/>
      <c r="D7539" s="3064"/>
      <c r="E7539" s="3064"/>
      <c r="F7539" s="3064"/>
      <c r="G7539" s="3301" t="s">
        <v>675</v>
      </c>
      <c r="H7539" s="3063"/>
      <c r="I7539" s="3030"/>
    </row>
    <row r="7540" spans="2:9" ht="25.5">
      <c r="B7540" s="3192" t="s">
        <v>676</v>
      </c>
      <c r="C7540" s="3063"/>
      <c r="D7540" s="3064"/>
      <c r="E7540" s="3064"/>
      <c r="F7540" s="3064"/>
      <c r="G7540" s="3301" t="s">
        <v>676</v>
      </c>
      <c r="H7540" s="3063"/>
      <c r="I7540" s="3030"/>
    </row>
    <row r="7541" spans="2:9">
      <c r="B7541" s="3192" t="s">
        <v>677</v>
      </c>
      <c r="C7541" s="3063"/>
      <c r="D7541" s="3064"/>
      <c r="E7541" s="3064"/>
      <c r="F7541" s="3064"/>
      <c r="G7541" s="3301" t="s">
        <v>677</v>
      </c>
      <c r="H7541" s="3063"/>
      <c r="I7541" s="3030"/>
    </row>
    <row r="7542" spans="2:9">
      <c r="B7542" s="3192" t="s">
        <v>678</v>
      </c>
      <c r="C7542" s="3063"/>
      <c r="D7542" s="3064"/>
      <c r="E7542" s="3064"/>
      <c r="F7542" s="3064"/>
      <c r="G7542" s="3301" t="s">
        <v>678</v>
      </c>
      <c r="H7542" s="3063"/>
      <c r="I7542" s="3030"/>
    </row>
    <row r="7543" spans="2:9">
      <c r="B7543" s="3192" t="s">
        <v>679</v>
      </c>
      <c r="C7543" s="3063"/>
      <c r="D7543" s="3064"/>
      <c r="E7543" s="3064"/>
      <c r="F7543" s="3064"/>
      <c r="G7543" s="3301" t="s">
        <v>679</v>
      </c>
      <c r="H7543" s="3063"/>
      <c r="I7543" s="3030"/>
    </row>
    <row r="7544" spans="2:9" ht="25.5">
      <c r="B7544" s="3192" t="s">
        <v>720</v>
      </c>
      <c r="C7544" s="3063"/>
      <c r="D7544" s="3064"/>
      <c r="E7544" s="3064"/>
      <c r="F7544" s="3064"/>
      <c r="G7544" s="3301" t="s">
        <v>720</v>
      </c>
      <c r="H7544" s="3063"/>
      <c r="I7544" s="3030"/>
    </row>
    <row r="7545" spans="2:9" ht="38.25">
      <c r="B7545" s="3299" t="s">
        <v>681</v>
      </c>
      <c r="C7545" s="3063"/>
      <c r="D7545" s="3064"/>
      <c r="E7545" s="3064"/>
      <c r="F7545" s="3064">
        <v>2</v>
      </c>
      <c r="G7545" s="3300" t="s">
        <v>681</v>
      </c>
      <c r="H7545" s="3063">
        <v>2.1581646967418908E-2</v>
      </c>
      <c r="I7545" s="3030"/>
    </row>
    <row r="7546" spans="2:9" ht="25.5">
      <c r="B7546" s="3192" t="s">
        <v>675</v>
      </c>
      <c r="C7546" s="3063">
        <v>3</v>
      </c>
      <c r="D7546" s="3064">
        <v>1</v>
      </c>
      <c r="E7546" s="3064"/>
      <c r="F7546" s="3064"/>
      <c r="G7546" s="3301" t="s">
        <v>675</v>
      </c>
      <c r="H7546" s="3063"/>
      <c r="I7546" s="3030">
        <v>2.1581646967418908E-2</v>
      </c>
    </row>
    <row r="7547" spans="2:9" ht="25.5">
      <c r="B7547" s="3192" t="s">
        <v>676</v>
      </c>
      <c r="C7547" s="3063"/>
      <c r="D7547" s="3064"/>
      <c r="E7547" s="3064"/>
      <c r="F7547" s="3064"/>
      <c r="G7547" s="3301" t="s">
        <v>676</v>
      </c>
      <c r="H7547" s="3063"/>
      <c r="I7547" s="3030"/>
    </row>
    <row r="7548" spans="2:9">
      <c r="B7548" s="3192" t="s">
        <v>677</v>
      </c>
      <c r="C7548" s="3063"/>
      <c r="D7548" s="3064"/>
      <c r="E7548" s="3064"/>
      <c r="F7548" s="3064"/>
      <c r="G7548" s="3301" t="s">
        <v>677</v>
      </c>
      <c r="H7548" s="3063"/>
      <c r="I7548" s="3030"/>
    </row>
    <row r="7549" spans="2:9">
      <c r="B7549" s="3192" t="s">
        <v>678</v>
      </c>
      <c r="C7549" s="3063"/>
      <c r="D7549" s="3064"/>
      <c r="E7549" s="3064"/>
      <c r="F7549" s="3064"/>
      <c r="G7549" s="3301" t="s">
        <v>678</v>
      </c>
      <c r="H7549" s="3063"/>
      <c r="I7549" s="3030"/>
    </row>
    <row r="7550" spans="2:9">
      <c r="B7550" s="3192" t="s">
        <v>679</v>
      </c>
      <c r="C7550" s="3063"/>
      <c r="D7550" s="3064"/>
      <c r="E7550" s="3064"/>
      <c r="F7550" s="3064"/>
      <c r="G7550" s="3301" t="s">
        <v>679</v>
      </c>
      <c r="H7550" s="3063"/>
      <c r="I7550" s="3030"/>
    </row>
    <row r="7551" spans="2:9" ht="25.5">
      <c r="B7551" s="3192" t="s">
        <v>720</v>
      </c>
      <c r="C7551" s="3063"/>
      <c r="D7551" s="3064"/>
      <c r="E7551" s="3064"/>
      <c r="F7551" s="3064"/>
      <c r="G7551" s="3301" t="s">
        <v>720</v>
      </c>
      <c r="H7551" s="3063"/>
      <c r="I7551" s="3030"/>
    </row>
    <row r="7552" spans="2:9" ht="25.5">
      <c r="B7552" s="3299" t="s">
        <v>682</v>
      </c>
      <c r="C7552" s="3063"/>
      <c r="D7552" s="3064"/>
      <c r="E7552" s="3064"/>
      <c r="F7552" s="3064"/>
      <c r="G7552" s="3300" t="s">
        <v>682</v>
      </c>
      <c r="H7552" s="3063"/>
      <c r="I7552" s="3030"/>
    </row>
    <row r="7553" spans="2:9" ht="25.5">
      <c r="B7553" s="3192" t="s">
        <v>675</v>
      </c>
      <c r="C7553" s="3063"/>
      <c r="D7553" s="3064"/>
      <c r="E7553" s="3064"/>
      <c r="F7553" s="3064"/>
      <c r="G7553" s="3301" t="s">
        <v>675</v>
      </c>
      <c r="H7553" s="3063"/>
      <c r="I7553" s="3030"/>
    </row>
    <row r="7554" spans="2:9" ht="25.5">
      <c r="B7554" s="3192" t="s">
        <v>676</v>
      </c>
      <c r="C7554" s="3063"/>
      <c r="D7554" s="3064"/>
      <c r="E7554" s="3064"/>
      <c r="F7554" s="3064"/>
      <c r="G7554" s="3301" t="s">
        <v>676</v>
      </c>
      <c r="H7554" s="3063"/>
      <c r="I7554" s="3030"/>
    </row>
    <row r="7555" spans="2:9">
      <c r="B7555" s="3192" t="s">
        <v>677</v>
      </c>
      <c r="C7555" s="3063"/>
      <c r="D7555" s="3064"/>
      <c r="E7555" s="3064"/>
      <c r="F7555" s="3064"/>
      <c r="G7555" s="3301" t="s">
        <v>677</v>
      </c>
      <c r="H7555" s="3063"/>
      <c r="I7555" s="3030"/>
    </row>
    <row r="7556" spans="2:9">
      <c r="B7556" s="3192" t="s">
        <v>678</v>
      </c>
      <c r="C7556" s="3063"/>
      <c r="D7556" s="3064"/>
      <c r="E7556" s="3064"/>
      <c r="F7556" s="3064"/>
      <c r="G7556" s="3301" t="s">
        <v>678</v>
      </c>
      <c r="H7556" s="3063"/>
      <c r="I7556" s="3030"/>
    </row>
    <row r="7557" spans="2:9">
      <c r="B7557" s="3192" t="s">
        <v>679</v>
      </c>
      <c r="C7557" s="3063"/>
      <c r="D7557" s="3064"/>
      <c r="E7557" s="3064"/>
      <c r="F7557" s="3064"/>
      <c r="G7557" s="3301" t="s">
        <v>679</v>
      </c>
      <c r="H7557" s="3063"/>
      <c r="I7557" s="3030"/>
    </row>
    <row r="7558" spans="2:9" ht="25.5">
      <c r="B7558" s="3192" t="s">
        <v>720</v>
      </c>
      <c r="C7558" s="3063"/>
      <c r="D7558" s="3064"/>
      <c r="E7558" s="3064"/>
      <c r="F7558" s="3064"/>
      <c r="G7558" s="3301" t="s">
        <v>720</v>
      </c>
      <c r="H7558" s="3063"/>
      <c r="I7558" s="3030"/>
    </row>
    <row r="7559" spans="2:9" ht="25.5">
      <c r="B7559" s="3299" t="s">
        <v>66</v>
      </c>
      <c r="C7559" s="3063"/>
      <c r="D7559" s="3064"/>
      <c r="E7559" s="3064"/>
      <c r="F7559" s="3064"/>
      <c r="G7559" s="3300" t="s">
        <v>66</v>
      </c>
      <c r="H7559" s="3063"/>
      <c r="I7559" s="3030"/>
    </row>
    <row r="7560" spans="2:9" ht="25.5">
      <c r="B7560" s="3192" t="s">
        <v>675</v>
      </c>
      <c r="C7560" s="3063"/>
      <c r="D7560" s="3064"/>
      <c r="E7560" s="3064"/>
      <c r="F7560" s="3064"/>
      <c r="G7560" s="3301" t="s">
        <v>675</v>
      </c>
      <c r="H7560" s="3063"/>
      <c r="I7560" s="3030"/>
    </row>
    <row r="7561" spans="2:9" ht="25.5">
      <c r="B7561" s="3192" t="s">
        <v>676</v>
      </c>
      <c r="C7561" s="3063"/>
      <c r="D7561" s="3064"/>
      <c r="E7561" s="3064"/>
      <c r="F7561" s="3064"/>
      <c r="G7561" s="3301" t="s">
        <v>676</v>
      </c>
      <c r="H7561" s="3063"/>
      <c r="I7561" s="3030"/>
    </row>
    <row r="7562" spans="2:9">
      <c r="B7562" s="3192" t="s">
        <v>677</v>
      </c>
      <c r="C7562" s="3063"/>
      <c r="D7562" s="3064"/>
      <c r="E7562" s="3064"/>
      <c r="F7562" s="3064"/>
      <c r="G7562" s="3301" t="s">
        <v>677</v>
      </c>
      <c r="H7562" s="3063"/>
      <c r="I7562" s="3030"/>
    </row>
    <row r="7563" spans="2:9">
      <c r="B7563" s="3192" t="s">
        <v>678</v>
      </c>
      <c r="C7563" s="3063"/>
      <c r="D7563" s="3064"/>
      <c r="E7563" s="3064"/>
      <c r="F7563" s="3064"/>
      <c r="G7563" s="3301" t="s">
        <v>678</v>
      </c>
      <c r="H7563" s="3063"/>
      <c r="I7563" s="3030"/>
    </row>
    <row r="7564" spans="2:9">
      <c r="B7564" s="3192" t="s">
        <v>679</v>
      </c>
      <c r="C7564" s="3063"/>
      <c r="D7564" s="3064"/>
      <c r="E7564" s="3064"/>
      <c r="F7564" s="3064"/>
      <c r="G7564" s="3301" t="s">
        <v>679</v>
      </c>
      <c r="H7564" s="3063"/>
      <c r="I7564" s="3030"/>
    </row>
    <row r="7565" spans="2:9" ht="25.5">
      <c r="B7565" s="3192" t="s">
        <v>720</v>
      </c>
      <c r="C7565" s="3063"/>
      <c r="D7565" s="3064"/>
      <c r="E7565" s="3064"/>
      <c r="F7565" s="3064"/>
      <c r="G7565" s="3301" t="s">
        <v>720</v>
      </c>
      <c r="H7565" s="3063"/>
      <c r="I7565" s="3030"/>
    </row>
    <row r="7566" spans="2:9">
      <c r="B7566" s="3299" t="s">
        <v>67</v>
      </c>
      <c r="C7566" s="3063"/>
      <c r="D7566" s="3064"/>
      <c r="E7566" s="3064"/>
      <c r="F7566" s="3064">
        <v>10</v>
      </c>
      <c r="G7566" s="3300" t="s">
        <v>67</v>
      </c>
      <c r="H7566" s="3063">
        <v>6.6932413136601532E-2</v>
      </c>
      <c r="I7566" s="3030"/>
    </row>
    <row r="7567" spans="2:9" ht="25.5">
      <c r="B7567" s="3192" t="s">
        <v>675</v>
      </c>
      <c r="C7567" s="3063">
        <v>1</v>
      </c>
      <c r="D7567" s="3064">
        <v>2</v>
      </c>
      <c r="E7567" s="3064"/>
      <c r="F7567" s="3064"/>
      <c r="G7567" s="3301" t="s">
        <v>675</v>
      </c>
      <c r="H7567" s="3063"/>
      <c r="I7567" s="3030">
        <v>3.3466206568300766E-2</v>
      </c>
    </row>
    <row r="7568" spans="2:9" ht="25.5">
      <c r="B7568" s="3192" t="s">
        <v>676</v>
      </c>
      <c r="C7568" s="3063"/>
      <c r="D7568" s="3064"/>
      <c r="E7568" s="3064"/>
      <c r="F7568" s="3064"/>
      <c r="G7568" s="3301" t="s">
        <v>676</v>
      </c>
      <c r="H7568" s="3063"/>
      <c r="I7568" s="3030"/>
    </row>
    <row r="7569" spans="2:9">
      <c r="B7569" s="3192" t="s">
        <v>677</v>
      </c>
      <c r="C7569" s="3063"/>
      <c r="D7569" s="3064"/>
      <c r="E7569" s="3064"/>
      <c r="F7569" s="3064"/>
      <c r="G7569" s="3301" t="s">
        <v>677</v>
      </c>
      <c r="H7569" s="3063"/>
      <c r="I7569" s="3030"/>
    </row>
    <row r="7570" spans="2:9">
      <c r="B7570" s="3192" t="s">
        <v>678</v>
      </c>
      <c r="C7570" s="3063">
        <v>1</v>
      </c>
      <c r="D7570" s="3064"/>
      <c r="E7570" s="3064"/>
      <c r="F7570" s="3064"/>
      <c r="G7570" s="3301" t="s">
        <v>678</v>
      </c>
      <c r="H7570" s="3063"/>
      <c r="I7570" s="3030"/>
    </row>
    <row r="7571" spans="2:9">
      <c r="B7571" s="3192" t="s">
        <v>679</v>
      </c>
      <c r="C7571" s="3063"/>
      <c r="D7571" s="3064">
        <v>1</v>
      </c>
      <c r="E7571" s="3064"/>
      <c r="F7571" s="3064"/>
      <c r="G7571" s="3301" t="s">
        <v>679</v>
      </c>
      <c r="H7571" s="3063"/>
      <c r="I7571" s="3030"/>
    </row>
    <row r="7572" spans="2:9" ht="25.5">
      <c r="B7572" s="3230" t="s">
        <v>81</v>
      </c>
      <c r="C7572" s="3063"/>
      <c r="D7572" s="3064"/>
      <c r="E7572" s="3064"/>
      <c r="F7572" s="3064"/>
      <c r="G7572" s="3302" t="s">
        <v>81</v>
      </c>
      <c r="H7572" s="3063"/>
      <c r="I7572" s="3030"/>
    </row>
    <row r="7573" spans="2:9" ht="26.25" thickBot="1">
      <c r="B7573" s="3303" t="s">
        <v>81</v>
      </c>
      <c r="C7573" s="3068"/>
      <c r="D7573" s="3069"/>
      <c r="E7573" s="3069"/>
      <c r="F7573" s="3069"/>
      <c r="G7573" s="3304" t="s">
        <v>81</v>
      </c>
      <c r="H7573" s="3068"/>
      <c r="I7573" s="3070"/>
    </row>
    <row r="7574" spans="2:9" ht="38.25">
      <c r="B7574" s="4723">
        <v>3047</v>
      </c>
      <c r="C7574" s="3289"/>
      <c r="D7574" s="3290"/>
      <c r="E7574" s="3290"/>
      <c r="F7574" s="3290"/>
      <c r="G7574" s="4723">
        <v>3047</v>
      </c>
      <c r="H7574" s="3291" t="s">
        <v>687</v>
      </c>
      <c r="I7574" s="3292" t="s">
        <v>688</v>
      </c>
    </row>
    <row r="7575" spans="2:9">
      <c r="B7575" s="4724"/>
      <c r="C7575" s="4678" t="s">
        <v>686</v>
      </c>
      <c r="D7575" s="4725"/>
      <c r="E7575" s="4725"/>
      <c r="F7575" s="4726"/>
      <c r="G7575" s="4724"/>
      <c r="H7575" s="3293"/>
      <c r="I7575" s="3294"/>
    </row>
    <row r="7576" spans="2:9" ht="13.5" thickBot="1">
      <c r="B7576" s="4724"/>
      <c r="C7576" s="3215">
        <v>2013</v>
      </c>
      <c r="D7576" s="3215">
        <v>2014</v>
      </c>
      <c r="E7576" s="3215">
        <v>2015</v>
      </c>
      <c r="F7576" s="3215">
        <v>2016</v>
      </c>
      <c r="G7576" s="4724"/>
      <c r="H7576" s="3295" t="s">
        <v>390</v>
      </c>
      <c r="I7576" s="3296" t="s">
        <v>390</v>
      </c>
    </row>
    <row r="7577" spans="2:9">
      <c r="B7577" s="3217" t="s">
        <v>695</v>
      </c>
      <c r="C7577" s="3218"/>
      <c r="D7577" s="3219"/>
      <c r="E7577" s="3219"/>
      <c r="F7577" s="3219"/>
      <c r="G7577" s="3217" t="s">
        <v>695</v>
      </c>
      <c r="H7577" s="3297"/>
      <c r="I7577" s="3298"/>
    </row>
    <row r="7578" spans="2:9">
      <c r="B7578" s="3299" t="s">
        <v>64</v>
      </c>
      <c r="C7578" s="3063"/>
      <c r="D7578" s="3064"/>
      <c r="E7578" s="3064"/>
      <c r="F7578" s="3064"/>
      <c r="G7578" s="3300" t="s">
        <v>64</v>
      </c>
      <c r="H7578" s="3063"/>
      <c r="I7578" s="3030"/>
    </row>
    <row r="7579" spans="2:9" ht="25.5">
      <c r="B7579" s="3192" t="s">
        <v>675</v>
      </c>
      <c r="C7579" s="3063"/>
      <c r="D7579" s="3064"/>
      <c r="E7579" s="3064"/>
      <c r="F7579" s="3064"/>
      <c r="G7579" s="3301" t="s">
        <v>675</v>
      </c>
      <c r="H7579" s="3063"/>
      <c r="I7579" s="3030"/>
    </row>
    <row r="7580" spans="2:9" ht="25.5">
      <c r="B7580" s="3192" t="s">
        <v>676</v>
      </c>
      <c r="C7580" s="3063"/>
      <c r="D7580" s="3064"/>
      <c r="E7580" s="3064"/>
      <c r="F7580" s="3064"/>
      <c r="G7580" s="3301" t="s">
        <v>676</v>
      </c>
      <c r="H7580" s="3063"/>
      <c r="I7580" s="3030"/>
    </row>
    <row r="7581" spans="2:9">
      <c r="B7581" s="3192" t="s">
        <v>677</v>
      </c>
      <c r="C7581" s="3063"/>
      <c r="D7581" s="3064"/>
      <c r="E7581" s="3064"/>
      <c r="F7581" s="3064"/>
      <c r="G7581" s="3301" t="s">
        <v>677</v>
      </c>
      <c r="H7581" s="3063"/>
      <c r="I7581" s="3030"/>
    </row>
    <row r="7582" spans="2:9">
      <c r="B7582" s="3192" t="s">
        <v>678</v>
      </c>
      <c r="C7582" s="3063"/>
      <c r="D7582" s="3064"/>
      <c r="E7582" s="3064"/>
      <c r="F7582" s="3064"/>
      <c r="G7582" s="3301" t="s">
        <v>678</v>
      </c>
      <c r="H7582" s="3063"/>
      <c r="I7582" s="3030"/>
    </row>
    <row r="7583" spans="2:9">
      <c r="B7583" s="3192" t="s">
        <v>679</v>
      </c>
      <c r="C7583" s="3063"/>
      <c r="D7583" s="3064"/>
      <c r="E7583" s="3064"/>
      <c r="F7583" s="3064"/>
      <c r="G7583" s="3301" t="s">
        <v>679</v>
      </c>
      <c r="H7583" s="3063"/>
      <c r="I7583" s="3030"/>
    </row>
    <row r="7584" spans="2:9" ht="25.5">
      <c r="B7584" s="3192" t="s">
        <v>720</v>
      </c>
      <c r="C7584" s="3063"/>
      <c r="D7584" s="3064"/>
      <c r="E7584" s="3064"/>
      <c r="F7584" s="3064"/>
      <c r="G7584" s="3301" t="s">
        <v>720</v>
      </c>
      <c r="H7584" s="3063"/>
      <c r="I7584" s="3030"/>
    </row>
    <row r="7585" spans="2:9">
      <c r="B7585" s="3299" t="s">
        <v>65</v>
      </c>
      <c r="C7585" s="3063"/>
      <c r="D7585" s="3064"/>
      <c r="E7585" s="3064"/>
      <c r="F7585" s="3064"/>
      <c r="G7585" s="3300" t="s">
        <v>65</v>
      </c>
      <c r="H7585" s="3063"/>
      <c r="I7585" s="3030"/>
    </row>
    <row r="7586" spans="2:9" ht="25.5">
      <c r="B7586" s="3192" t="s">
        <v>675</v>
      </c>
      <c r="C7586" s="3063"/>
      <c r="D7586" s="3064"/>
      <c r="E7586" s="3064"/>
      <c r="F7586" s="3064"/>
      <c r="G7586" s="3301" t="s">
        <v>675</v>
      </c>
      <c r="H7586" s="3063"/>
      <c r="I7586" s="3030"/>
    </row>
    <row r="7587" spans="2:9" ht="25.5">
      <c r="B7587" s="3192" t="s">
        <v>676</v>
      </c>
      <c r="C7587" s="3063"/>
      <c r="D7587" s="3064"/>
      <c r="E7587" s="3064"/>
      <c r="F7587" s="3064"/>
      <c r="G7587" s="3301" t="s">
        <v>676</v>
      </c>
      <c r="H7587" s="3063"/>
      <c r="I7587" s="3030"/>
    </row>
    <row r="7588" spans="2:9">
      <c r="B7588" s="3192" t="s">
        <v>677</v>
      </c>
      <c r="C7588" s="3063"/>
      <c r="D7588" s="3064"/>
      <c r="E7588" s="3064"/>
      <c r="F7588" s="3064"/>
      <c r="G7588" s="3301" t="s">
        <v>677</v>
      </c>
      <c r="H7588" s="3063"/>
      <c r="I7588" s="3030"/>
    </row>
    <row r="7589" spans="2:9">
      <c r="B7589" s="3192" t="s">
        <v>678</v>
      </c>
      <c r="C7589" s="3063"/>
      <c r="D7589" s="3064"/>
      <c r="E7589" s="3064"/>
      <c r="F7589" s="3064"/>
      <c r="G7589" s="3301" t="s">
        <v>678</v>
      </c>
      <c r="H7589" s="3063"/>
      <c r="I7589" s="3030"/>
    </row>
    <row r="7590" spans="2:9">
      <c r="B7590" s="3192" t="s">
        <v>679</v>
      </c>
      <c r="C7590" s="3063"/>
      <c r="D7590" s="3064"/>
      <c r="E7590" s="3064"/>
      <c r="F7590" s="3064"/>
      <c r="G7590" s="3301" t="s">
        <v>679</v>
      </c>
      <c r="H7590" s="3063"/>
      <c r="I7590" s="3030"/>
    </row>
    <row r="7591" spans="2:9" ht="25.5">
      <c r="B7591" s="3192" t="s">
        <v>720</v>
      </c>
      <c r="C7591" s="3063"/>
      <c r="D7591" s="3064"/>
      <c r="E7591" s="3064"/>
      <c r="F7591" s="3064"/>
      <c r="G7591" s="3301" t="s">
        <v>720</v>
      </c>
      <c r="H7591" s="3063"/>
      <c r="I7591" s="3030"/>
    </row>
    <row r="7592" spans="2:9">
      <c r="B7592" s="3299" t="s">
        <v>82</v>
      </c>
      <c r="C7592" s="3063"/>
      <c r="D7592" s="3064"/>
      <c r="E7592" s="3064"/>
      <c r="F7592" s="3064"/>
      <c r="G7592" s="3300" t="s">
        <v>82</v>
      </c>
      <c r="H7592" s="3063"/>
      <c r="I7592" s="3030"/>
    </row>
    <row r="7593" spans="2:9" ht="25.5">
      <c r="B7593" s="3192" t="s">
        <v>675</v>
      </c>
      <c r="C7593" s="3063"/>
      <c r="D7593" s="3064"/>
      <c r="E7593" s="3064"/>
      <c r="F7593" s="3064"/>
      <c r="G7593" s="3301" t="s">
        <v>675</v>
      </c>
      <c r="H7593" s="3063"/>
      <c r="I7593" s="3030"/>
    </row>
    <row r="7594" spans="2:9" ht="25.5">
      <c r="B7594" s="3192" t="s">
        <v>676</v>
      </c>
      <c r="C7594" s="3063"/>
      <c r="D7594" s="3064"/>
      <c r="E7594" s="3064"/>
      <c r="F7594" s="3064"/>
      <c r="G7594" s="3301" t="s">
        <v>676</v>
      </c>
      <c r="H7594" s="3063"/>
      <c r="I7594" s="3030"/>
    </row>
    <row r="7595" spans="2:9">
      <c r="B7595" s="3192" t="s">
        <v>677</v>
      </c>
      <c r="C7595" s="3063"/>
      <c r="D7595" s="3064"/>
      <c r="E7595" s="3064"/>
      <c r="F7595" s="3064"/>
      <c r="G7595" s="3301" t="s">
        <v>677</v>
      </c>
      <c r="H7595" s="3063"/>
      <c r="I7595" s="3030"/>
    </row>
    <row r="7596" spans="2:9">
      <c r="B7596" s="3192" t="s">
        <v>678</v>
      </c>
      <c r="C7596" s="3063"/>
      <c r="D7596" s="3064"/>
      <c r="E7596" s="3064"/>
      <c r="F7596" s="3064"/>
      <c r="G7596" s="3301" t="s">
        <v>678</v>
      </c>
      <c r="H7596" s="3063"/>
      <c r="I7596" s="3030"/>
    </row>
    <row r="7597" spans="2:9">
      <c r="B7597" s="3192" t="s">
        <v>679</v>
      </c>
      <c r="C7597" s="3063"/>
      <c r="D7597" s="3064"/>
      <c r="E7597" s="3064"/>
      <c r="F7597" s="3064"/>
      <c r="G7597" s="3301" t="s">
        <v>679</v>
      </c>
      <c r="H7597" s="3063"/>
      <c r="I7597" s="3030"/>
    </row>
    <row r="7598" spans="2:9" ht="25.5">
      <c r="B7598" s="3192" t="s">
        <v>720</v>
      </c>
      <c r="C7598" s="3063"/>
      <c r="D7598" s="3064"/>
      <c r="E7598" s="3064"/>
      <c r="F7598" s="3064"/>
      <c r="G7598" s="3301" t="s">
        <v>720</v>
      </c>
      <c r="H7598" s="3063"/>
      <c r="I7598" s="3030"/>
    </row>
    <row r="7599" spans="2:9" ht="38.25">
      <c r="B7599" s="3299" t="s">
        <v>680</v>
      </c>
      <c r="C7599" s="3063"/>
      <c r="D7599" s="3064"/>
      <c r="E7599" s="3064"/>
      <c r="F7599" s="3064"/>
      <c r="G7599" s="3300" t="s">
        <v>680</v>
      </c>
      <c r="H7599" s="3063"/>
      <c r="I7599" s="3030"/>
    </row>
    <row r="7600" spans="2:9" ht="25.5">
      <c r="B7600" s="3192" t="s">
        <v>675</v>
      </c>
      <c r="C7600" s="3063"/>
      <c r="D7600" s="3064"/>
      <c r="E7600" s="3064"/>
      <c r="F7600" s="3064"/>
      <c r="G7600" s="3301" t="s">
        <v>675</v>
      </c>
      <c r="H7600" s="3063"/>
      <c r="I7600" s="3030"/>
    </row>
    <row r="7601" spans="2:9" ht="25.5">
      <c r="B7601" s="3192" t="s">
        <v>676</v>
      </c>
      <c r="C7601" s="3063"/>
      <c r="D7601" s="3064"/>
      <c r="E7601" s="3064"/>
      <c r="F7601" s="3064"/>
      <c r="G7601" s="3301" t="s">
        <v>676</v>
      </c>
      <c r="H7601" s="3063"/>
      <c r="I7601" s="3030"/>
    </row>
    <row r="7602" spans="2:9">
      <c r="B7602" s="3192" t="s">
        <v>677</v>
      </c>
      <c r="C7602" s="3063"/>
      <c r="D7602" s="3064"/>
      <c r="E7602" s="3064"/>
      <c r="F7602" s="3064"/>
      <c r="G7602" s="3301" t="s">
        <v>677</v>
      </c>
      <c r="H7602" s="3063"/>
      <c r="I7602" s="3030"/>
    </row>
    <row r="7603" spans="2:9">
      <c r="B7603" s="3192" t="s">
        <v>678</v>
      </c>
      <c r="C7603" s="3063"/>
      <c r="D7603" s="3064"/>
      <c r="E7603" s="3064"/>
      <c r="F7603" s="3064"/>
      <c r="G7603" s="3301" t="s">
        <v>678</v>
      </c>
      <c r="H7603" s="3063"/>
      <c r="I7603" s="3030"/>
    </row>
    <row r="7604" spans="2:9">
      <c r="B7604" s="3192" t="s">
        <v>679</v>
      </c>
      <c r="C7604" s="3063"/>
      <c r="D7604" s="3064"/>
      <c r="E7604" s="3064"/>
      <c r="F7604" s="3064"/>
      <c r="G7604" s="3301" t="s">
        <v>679</v>
      </c>
      <c r="H7604" s="3063"/>
      <c r="I7604" s="3030"/>
    </row>
    <row r="7605" spans="2:9" ht="25.5">
      <c r="B7605" s="3192" t="s">
        <v>720</v>
      </c>
      <c r="C7605" s="3063"/>
      <c r="D7605" s="3064"/>
      <c r="E7605" s="3064"/>
      <c r="F7605" s="3064"/>
      <c r="G7605" s="3301" t="s">
        <v>720</v>
      </c>
      <c r="H7605" s="3063"/>
      <c r="I7605" s="3030"/>
    </row>
    <row r="7606" spans="2:9" ht="38.25">
      <c r="B7606" s="3299" t="s">
        <v>681</v>
      </c>
      <c r="C7606" s="3063"/>
      <c r="D7606" s="3064"/>
      <c r="E7606" s="3064"/>
      <c r="F7606" s="3064"/>
      <c r="G7606" s="3300" t="s">
        <v>681</v>
      </c>
      <c r="H7606" s="3063"/>
      <c r="I7606" s="3030"/>
    </row>
    <row r="7607" spans="2:9" ht="25.5">
      <c r="B7607" s="3192" t="s">
        <v>675</v>
      </c>
      <c r="C7607" s="3063"/>
      <c r="D7607" s="3064"/>
      <c r="E7607" s="3064"/>
      <c r="F7607" s="3064"/>
      <c r="G7607" s="3301" t="s">
        <v>675</v>
      </c>
      <c r="H7607" s="3063"/>
      <c r="I7607" s="3030"/>
    </row>
    <row r="7608" spans="2:9" ht="25.5">
      <c r="B7608" s="3192" t="s">
        <v>676</v>
      </c>
      <c r="C7608" s="3063"/>
      <c r="D7608" s="3064"/>
      <c r="E7608" s="3064"/>
      <c r="F7608" s="3064"/>
      <c r="G7608" s="3301" t="s">
        <v>676</v>
      </c>
      <c r="H7608" s="3063"/>
      <c r="I7608" s="3030"/>
    </row>
    <row r="7609" spans="2:9">
      <c r="B7609" s="3192" t="s">
        <v>677</v>
      </c>
      <c r="C7609" s="3063"/>
      <c r="D7609" s="3064"/>
      <c r="E7609" s="3064"/>
      <c r="F7609" s="3064"/>
      <c r="G7609" s="3301" t="s">
        <v>677</v>
      </c>
      <c r="H7609" s="3063"/>
      <c r="I7609" s="3030"/>
    </row>
    <row r="7610" spans="2:9">
      <c r="B7610" s="3192" t="s">
        <v>678</v>
      </c>
      <c r="C7610" s="3063"/>
      <c r="D7610" s="3064"/>
      <c r="E7610" s="3064"/>
      <c r="F7610" s="3064"/>
      <c r="G7610" s="3301" t="s">
        <v>678</v>
      </c>
      <c r="H7610" s="3063"/>
      <c r="I7610" s="3030"/>
    </row>
    <row r="7611" spans="2:9">
      <c r="B7611" s="3192" t="s">
        <v>679</v>
      </c>
      <c r="C7611" s="3063"/>
      <c r="D7611" s="3064"/>
      <c r="E7611" s="3064"/>
      <c r="F7611" s="3064"/>
      <c r="G7611" s="3301" t="s">
        <v>679</v>
      </c>
      <c r="H7611" s="3063"/>
      <c r="I7611" s="3030"/>
    </row>
    <row r="7612" spans="2:9" ht="25.5">
      <c r="B7612" s="3192" t="s">
        <v>720</v>
      </c>
      <c r="C7612" s="3063"/>
      <c r="D7612" s="3064"/>
      <c r="E7612" s="3064"/>
      <c r="F7612" s="3064"/>
      <c r="G7612" s="3301" t="s">
        <v>720</v>
      </c>
      <c r="H7612" s="3063"/>
      <c r="I7612" s="3030"/>
    </row>
    <row r="7613" spans="2:9" ht="25.5">
      <c r="B7613" s="3299" t="s">
        <v>682</v>
      </c>
      <c r="C7613" s="3063"/>
      <c r="D7613" s="3064"/>
      <c r="E7613" s="3064"/>
      <c r="F7613" s="3064"/>
      <c r="G7613" s="3300" t="s">
        <v>682</v>
      </c>
      <c r="H7613" s="3063"/>
      <c r="I7613" s="3030"/>
    </row>
    <row r="7614" spans="2:9" ht="25.5">
      <c r="B7614" s="3192" t="s">
        <v>675</v>
      </c>
      <c r="C7614" s="3063"/>
      <c r="D7614" s="3064"/>
      <c r="E7614" s="3064"/>
      <c r="F7614" s="3064"/>
      <c r="G7614" s="3301" t="s">
        <v>675</v>
      </c>
      <c r="H7614" s="3063"/>
      <c r="I7614" s="3030"/>
    </row>
    <row r="7615" spans="2:9" ht="25.5">
      <c r="B7615" s="3192" t="s">
        <v>676</v>
      </c>
      <c r="C7615" s="3063"/>
      <c r="D7615" s="3064"/>
      <c r="E7615" s="3064"/>
      <c r="F7615" s="3064"/>
      <c r="G7615" s="3301" t="s">
        <v>676</v>
      </c>
      <c r="H7615" s="3063"/>
      <c r="I7615" s="3030"/>
    </row>
    <row r="7616" spans="2:9">
      <c r="B7616" s="3192" t="s">
        <v>677</v>
      </c>
      <c r="C7616" s="3063"/>
      <c r="D7616" s="3064"/>
      <c r="E7616" s="3064"/>
      <c r="F7616" s="3064"/>
      <c r="G7616" s="3301" t="s">
        <v>677</v>
      </c>
      <c r="H7616" s="3063"/>
      <c r="I7616" s="3030"/>
    </row>
    <row r="7617" spans="2:9">
      <c r="B7617" s="3192" t="s">
        <v>678</v>
      </c>
      <c r="C7617" s="3063"/>
      <c r="D7617" s="3064"/>
      <c r="E7617" s="3064"/>
      <c r="F7617" s="3064"/>
      <c r="G7617" s="3301" t="s">
        <v>678</v>
      </c>
      <c r="H7617" s="3063"/>
      <c r="I7617" s="3030"/>
    </row>
    <row r="7618" spans="2:9">
      <c r="B7618" s="3192" t="s">
        <v>679</v>
      </c>
      <c r="C7618" s="3063"/>
      <c r="D7618" s="3064"/>
      <c r="E7618" s="3064"/>
      <c r="F7618" s="3064"/>
      <c r="G7618" s="3301" t="s">
        <v>679</v>
      </c>
      <c r="H7618" s="3063"/>
      <c r="I7618" s="3030"/>
    </row>
    <row r="7619" spans="2:9" ht="25.5">
      <c r="B7619" s="3192" t="s">
        <v>720</v>
      </c>
      <c r="C7619" s="3063"/>
      <c r="D7619" s="3064"/>
      <c r="E7619" s="3064"/>
      <c r="F7619" s="3064"/>
      <c r="G7619" s="3301" t="s">
        <v>720</v>
      </c>
      <c r="H7619" s="3063"/>
      <c r="I7619" s="3030"/>
    </row>
    <row r="7620" spans="2:9" ht="25.5">
      <c r="B7620" s="3299" t="s">
        <v>66</v>
      </c>
      <c r="C7620" s="3063"/>
      <c r="D7620" s="3064"/>
      <c r="E7620" s="3064"/>
      <c r="F7620" s="3064"/>
      <c r="G7620" s="3300" t="s">
        <v>66</v>
      </c>
      <c r="H7620" s="3063"/>
      <c r="I7620" s="3030"/>
    </row>
    <row r="7621" spans="2:9" ht="25.5">
      <c r="B7621" s="3192" t="s">
        <v>675</v>
      </c>
      <c r="C7621" s="3063"/>
      <c r="D7621" s="3064"/>
      <c r="E7621" s="3064"/>
      <c r="F7621" s="3064"/>
      <c r="G7621" s="3301" t="s">
        <v>675</v>
      </c>
      <c r="H7621" s="3063"/>
      <c r="I7621" s="3030"/>
    </row>
    <row r="7622" spans="2:9" ht="25.5">
      <c r="B7622" s="3192" t="s">
        <v>676</v>
      </c>
      <c r="C7622" s="3063"/>
      <c r="D7622" s="3064"/>
      <c r="E7622" s="3064"/>
      <c r="F7622" s="3064"/>
      <c r="G7622" s="3301" t="s">
        <v>676</v>
      </c>
      <c r="H7622" s="3063"/>
      <c r="I7622" s="3030"/>
    </row>
    <row r="7623" spans="2:9">
      <c r="B7623" s="3192" t="s">
        <v>677</v>
      </c>
      <c r="C7623" s="3063"/>
      <c r="D7623" s="3064"/>
      <c r="E7623" s="3064"/>
      <c r="F7623" s="3064"/>
      <c r="G7623" s="3301" t="s">
        <v>677</v>
      </c>
      <c r="H7623" s="3063"/>
      <c r="I7623" s="3030"/>
    </row>
    <row r="7624" spans="2:9">
      <c r="B7624" s="3192" t="s">
        <v>678</v>
      </c>
      <c r="C7624" s="3063"/>
      <c r="D7624" s="3064"/>
      <c r="E7624" s="3064"/>
      <c r="F7624" s="3064"/>
      <c r="G7624" s="3301" t="s">
        <v>678</v>
      </c>
      <c r="H7624" s="3063"/>
      <c r="I7624" s="3030"/>
    </row>
    <row r="7625" spans="2:9">
      <c r="B7625" s="3192" t="s">
        <v>679</v>
      </c>
      <c r="C7625" s="3063"/>
      <c r="D7625" s="3064"/>
      <c r="E7625" s="3064"/>
      <c r="F7625" s="3064"/>
      <c r="G7625" s="3301" t="s">
        <v>679</v>
      </c>
      <c r="H7625" s="3063"/>
      <c r="I7625" s="3030"/>
    </row>
    <row r="7626" spans="2:9" ht="25.5">
      <c r="B7626" s="3192" t="s">
        <v>720</v>
      </c>
      <c r="C7626" s="3063"/>
      <c r="D7626" s="3064"/>
      <c r="E7626" s="3064"/>
      <c r="F7626" s="3064"/>
      <c r="G7626" s="3301" t="s">
        <v>720</v>
      </c>
      <c r="H7626" s="3063"/>
      <c r="I7626" s="3030"/>
    </row>
    <row r="7627" spans="2:9">
      <c r="B7627" s="3299" t="s">
        <v>67</v>
      </c>
      <c r="C7627" s="3063"/>
      <c r="D7627" s="3064"/>
      <c r="E7627" s="3064"/>
      <c r="F7627" s="3064"/>
      <c r="G7627" s="3300" t="s">
        <v>67</v>
      </c>
      <c r="H7627" s="3063"/>
      <c r="I7627" s="3030"/>
    </row>
    <row r="7628" spans="2:9" ht="25.5">
      <c r="B7628" s="3192" t="s">
        <v>675</v>
      </c>
      <c r="C7628" s="3063"/>
      <c r="D7628" s="3064"/>
      <c r="E7628" s="3064"/>
      <c r="F7628" s="3064"/>
      <c r="G7628" s="3301" t="s">
        <v>675</v>
      </c>
      <c r="H7628" s="3063"/>
      <c r="I7628" s="3030"/>
    </row>
    <row r="7629" spans="2:9" ht="25.5">
      <c r="B7629" s="3192" t="s">
        <v>676</v>
      </c>
      <c r="C7629" s="3063"/>
      <c r="D7629" s="3064"/>
      <c r="E7629" s="3064"/>
      <c r="F7629" s="3064"/>
      <c r="G7629" s="3301" t="s">
        <v>676</v>
      </c>
      <c r="H7629" s="3063"/>
      <c r="I7629" s="3030"/>
    </row>
    <row r="7630" spans="2:9">
      <c r="B7630" s="3192" t="s">
        <v>677</v>
      </c>
      <c r="C7630" s="3063"/>
      <c r="D7630" s="3064"/>
      <c r="E7630" s="3064"/>
      <c r="F7630" s="3064"/>
      <c r="G7630" s="3301" t="s">
        <v>677</v>
      </c>
      <c r="H7630" s="3063"/>
      <c r="I7630" s="3030"/>
    </row>
    <row r="7631" spans="2:9">
      <c r="B7631" s="3192" t="s">
        <v>678</v>
      </c>
      <c r="C7631" s="3063"/>
      <c r="D7631" s="3064"/>
      <c r="E7631" s="3064"/>
      <c r="F7631" s="3064"/>
      <c r="G7631" s="3301" t="s">
        <v>678</v>
      </c>
      <c r="H7631" s="3063"/>
      <c r="I7631" s="3030"/>
    </row>
    <row r="7632" spans="2:9">
      <c r="B7632" s="3192" t="s">
        <v>679</v>
      </c>
      <c r="C7632" s="3063"/>
      <c r="D7632" s="3064"/>
      <c r="E7632" s="3064"/>
      <c r="F7632" s="3064"/>
      <c r="G7632" s="3301" t="s">
        <v>679</v>
      </c>
      <c r="H7632" s="3063"/>
      <c r="I7632" s="3030"/>
    </row>
    <row r="7633" spans="2:9" ht="25.5">
      <c r="B7633" s="3192" t="s">
        <v>720</v>
      </c>
      <c r="C7633" s="3063"/>
      <c r="D7633" s="3064"/>
      <c r="E7633" s="3064"/>
      <c r="F7633" s="3064"/>
      <c r="G7633" s="3301" t="s">
        <v>720</v>
      </c>
      <c r="H7633" s="3063"/>
      <c r="I7633" s="3030"/>
    </row>
    <row r="7634" spans="2:9" ht="25.5">
      <c r="B7634" s="3230" t="s">
        <v>81</v>
      </c>
      <c r="C7634" s="3063"/>
      <c r="D7634" s="3064"/>
      <c r="E7634" s="3064"/>
      <c r="F7634" s="3064"/>
      <c r="G7634" s="3302" t="s">
        <v>81</v>
      </c>
      <c r="H7634" s="3063"/>
      <c r="I7634" s="3030"/>
    </row>
    <row r="7635" spans="2:9" ht="26.25" thickBot="1">
      <c r="B7635" s="3303" t="s">
        <v>81</v>
      </c>
      <c r="C7635" s="3063"/>
      <c r="D7635" s="3064"/>
      <c r="E7635" s="3064"/>
      <c r="F7635" s="3064"/>
      <c r="G7635" s="3302" t="s">
        <v>81</v>
      </c>
      <c r="H7635" s="3063"/>
      <c r="I7635" s="3030"/>
    </row>
    <row r="7636" spans="2:9" ht="25.5">
      <c r="B7636" s="3217" t="s">
        <v>696</v>
      </c>
      <c r="C7636" s="3218"/>
      <c r="D7636" s="3219"/>
      <c r="E7636" s="3219"/>
      <c r="F7636" s="3219"/>
      <c r="G7636" s="3217" t="s">
        <v>696</v>
      </c>
      <c r="H7636" s="3297"/>
      <c r="I7636" s="3298"/>
    </row>
    <row r="7637" spans="2:9">
      <c r="B7637" s="3299" t="s">
        <v>64</v>
      </c>
      <c r="C7637" s="3063"/>
      <c r="D7637" s="3064"/>
      <c r="E7637" s="3064"/>
      <c r="F7637" s="3064"/>
      <c r="G7637" s="3300" t="s">
        <v>64</v>
      </c>
      <c r="H7637" s="3063"/>
      <c r="I7637" s="3030"/>
    </row>
    <row r="7638" spans="2:9" ht="25.5">
      <c r="B7638" s="3192" t="s">
        <v>675</v>
      </c>
      <c r="C7638" s="3063"/>
      <c r="D7638" s="3064"/>
      <c r="E7638" s="3064"/>
      <c r="F7638" s="3064"/>
      <c r="G7638" s="3301" t="s">
        <v>675</v>
      </c>
      <c r="H7638" s="3063"/>
      <c r="I7638" s="3030"/>
    </row>
    <row r="7639" spans="2:9" ht="25.5">
      <c r="B7639" s="3192" t="s">
        <v>676</v>
      </c>
      <c r="C7639" s="3063"/>
      <c r="D7639" s="3064"/>
      <c r="E7639" s="3064"/>
      <c r="F7639" s="3064"/>
      <c r="G7639" s="3301" t="s">
        <v>676</v>
      </c>
      <c r="H7639" s="3063"/>
      <c r="I7639" s="3030"/>
    </row>
    <row r="7640" spans="2:9">
      <c r="B7640" s="3192" t="s">
        <v>677</v>
      </c>
      <c r="C7640" s="3063"/>
      <c r="D7640" s="3064"/>
      <c r="E7640" s="3064"/>
      <c r="F7640" s="3064"/>
      <c r="G7640" s="3301" t="s">
        <v>677</v>
      </c>
      <c r="H7640" s="3063"/>
      <c r="I7640" s="3030"/>
    </row>
    <row r="7641" spans="2:9">
      <c r="B7641" s="3192" t="s">
        <v>678</v>
      </c>
      <c r="C7641" s="3063"/>
      <c r="D7641" s="3064"/>
      <c r="E7641" s="3064"/>
      <c r="F7641" s="3064"/>
      <c r="G7641" s="3301" t="s">
        <v>678</v>
      </c>
      <c r="H7641" s="3063"/>
      <c r="I7641" s="3030"/>
    </row>
    <row r="7642" spans="2:9">
      <c r="B7642" s="3192" t="s">
        <v>679</v>
      </c>
      <c r="C7642" s="3063"/>
      <c r="D7642" s="3064"/>
      <c r="E7642" s="3064"/>
      <c r="F7642" s="3064"/>
      <c r="G7642" s="3301" t="s">
        <v>679</v>
      </c>
      <c r="H7642" s="3063"/>
      <c r="I7642" s="3030"/>
    </row>
    <row r="7643" spans="2:9" ht="25.5">
      <c r="B7643" s="3192" t="s">
        <v>720</v>
      </c>
      <c r="C7643" s="3063"/>
      <c r="D7643" s="3064"/>
      <c r="E7643" s="3064"/>
      <c r="F7643" s="3064"/>
      <c r="G7643" s="3301" t="s">
        <v>720</v>
      </c>
      <c r="H7643" s="3063"/>
      <c r="I7643" s="3030"/>
    </row>
    <row r="7644" spans="2:9">
      <c r="B7644" s="3299" t="s">
        <v>65</v>
      </c>
      <c r="C7644" s="3063"/>
      <c r="D7644" s="3064"/>
      <c r="E7644" s="3064"/>
      <c r="F7644" s="3064"/>
      <c r="G7644" s="3300" t="s">
        <v>65</v>
      </c>
      <c r="H7644" s="3063"/>
      <c r="I7644" s="3030"/>
    </row>
    <row r="7645" spans="2:9" ht="25.5">
      <c r="B7645" s="3192" t="s">
        <v>675</v>
      </c>
      <c r="C7645" s="3063"/>
      <c r="D7645" s="3064"/>
      <c r="E7645" s="3064"/>
      <c r="F7645" s="3064"/>
      <c r="G7645" s="3301" t="s">
        <v>675</v>
      </c>
      <c r="H7645" s="3063"/>
      <c r="I7645" s="3030"/>
    </row>
    <row r="7646" spans="2:9" ht="25.5">
      <c r="B7646" s="3192" t="s">
        <v>676</v>
      </c>
      <c r="C7646" s="3063"/>
      <c r="D7646" s="3064"/>
      <c r="E7646" s="3064"/>
      <c r="F7646" s="3064"/>
      <c r="G7646" s="3301" t="s">
        <v>676</v>
      </c>
      <c r="H7646" s="3063"/>
      <c r="I7646" s="3030"/>
    </row>
    <row r="7647" spans="2:9">
      <c r="B7647" s="3192" t="s">
        <v>677</v>
      </c>
      <c r="C7647" s="3063"/>
      <c r="D7647" s="3064"/>
      <c r="E7647" s="3064"/>
      <c r="F7647" s="3064"/>
      <c r="G7647" s="3301" t="s">
        <v>677</v>
      </c>
      <c r="H7647" s="3063"/>
      <c r="I7647" s="3030"/>
    </row>
    <row r="7648" spans="2:9">
      <c r="B7648" s="3192" t="s">
        <v>678</v>
      </c>
      <c r="C7648" s="3063"/>
      <c r="D7648" s="3064"/>
      <c r="E7648" s="3064"/>
      <c r="F7648" s="3064"/>
      <c r="G7648" s="3301" t="s">
        <v>678</v>
      </c>
      <c r="H7648" s="3063"/>
      <c r="I7648" s="3030"/>
    </row>
    <row r="7649" spans="2:9">
      <c r="B7649" s="3192" t="s">
        <v>679</v>
      </c>
      <c r="C7649" s="3063"/>
      <c r="D7649" s="3064"/>
      <c r="E7649" s="3064"/>
      <c r="F7649" s="3064"/>
      <c r="G7649" s="3301" t="s">
        <v>679</v>
      </c>
      <c r="H7649" s="3063"/>
      <c r="I7649" s="3030"/>
    </row>
    <row r="7650" spans="2:9" ht="25.5">
      <c r="B7650" s="3192" t="s">
        <v>720</v>
      </c>
      <c r="C7650" s="3063"/>
      <c r="D7650" s="3064"/>
      <c r="E7650" s="3064"/>
      <c r="F7650" s="3064"/>
      <c r="G7650" s="3301" t="s">
        <v>720</v>
      </c>
      <c r="H7650" s="3063"/>
      <c r="I7650" s="3030"/>
    </row>
    <row r="7651" spans="2:9">
      <c r="B7651" s="3299" t="s">
        <v>82</v>
      </c>
      <c r="C7651" s="3063"/>
      <c r="D7651" s="3064"/>
      <c r="E7651" s="3064"/>
      <c r="F7651" s="3064"/>
      <c r="G7651" s="3300" t="s">
        <v>82</v>
      </c>
      <c r="H7651" s="3063"/>
      <c r="I7651" s="3030"/>
    </row>
    <row r="7652" spans="2:9" ht="25.5">
      <c r="B7652" s="3192" t="s">
        <v>675</v>
      </c>
      <c r="C7652" s="3063"/>
      <c r="D7652" s="3064"/>
      <c r="E7652" s="3064"/>
      <c r="F7652" s="3064"/>
      <c r="G7652" s="3301" t="s">
        <v>675</v>
      </c>
      <c r="H7652" s="3063"/>
      <c r="I7652" s="3030"/>
    </row>
    <row r="7653" spans="2:9" ht="25.5">
      <c r="B7653" s="3192" t="s">
        <v>676</v>
      </c>
      <c r="C7653" s="3063"/>
      <c r="D7653" s="3064"/>
      <c r="E7653" s="3064"/>
      <c r="F7653" s="3064"/>
      <c r="G7653" s="3301" t="s">
        <v>676</v>
      </c>
      <c r="H7653" s="3063"/>
      <c r="I7653" s="3030"/>
    </row>
    <row r="7654" spans="2:9">
      <c r="B7654" s="3192" t="s">
        <v>677</v>
      </c>
      <c r="C7654" s="3063"/>
      <c r="D7654" s="3064"/>
      <c r="E7654" s="3064"/>
      <c r="F7654" s="3064"/>
      <c r="G7654" s="3301" t="s">
        <v>677</v>
      </c>
      <c r="H7654" s="3063"/>
      <c r="I7654" s="3030"/>
    </row>
    <row r="7655" spans="2:9">
      <c r="B7655" s="3192" t="s">
        <v>678</v>
      </c>
      <c r="C7655" s="3063"/>
      <c r="D7655" s="3064"/>
      <c r="E7655" s="3064"/>
      <c r="F7655" s="3064"/>
      <c r="G7655" s="3301" t="s">
        <v>678</v>
      </c>
      <c r="H7655" s="3063"/>
      <c r="I7655" s="3030"/>
    </row>
    <row r="7656" spans="2:9">
      <c r="B7656" s="3192" t="s">
        <v>679</v>
      </c>
      <c r="C7656" s="3063"/>
      <c r="D7656" s="3064"/>
      <c r="E7656" s="3064"/>
      <c r="F7656" s="3064"/>
      <c r="G7656" s="3301" t="s">
        <v>679</v>
      </c>
      <c r="H7656" s="3063"/>
      <c r="I7656" s="3030"/>
    </row>
    <row r="7657" spans="2:9" ht="25.5">
      <c r="B7657" s="3192" t="s">
        <v>720</v>
      </c>
      <c r="C7657" s="3063"/>
      <c r="D7657" s="3064"/>
      <c r="E7657" s="3064"/>
      <c r="F7657" s="3064"/>
      <c r="G7657" s="3301" t="s">
        <v>720</v>
      </c>
      <c r="H7657" s="3063"/>
      <c r="I7657" s="3030"/>
    </row>
    <row r="7658" spans="2:9" ht="38.25">
      <c r="B7658" s="3299" t="s">
        <v>680</v>
      </c>
      <c r="C7658" s="3063"/>
      <c r="D7658" s="3064"/>
      <c r="E7658" s="3064"/>
      <c r="F7658" s="3064"/>
      <c r="G7658" s="3300" t="s">
        <v>680</v>
      </c>
      <c r="H7658" s="3063"/>
      <c r="I7658" s="3030"/>
    </row>
    <row r="7659" spans="2:9" ht="25.5">
      <c r="B7659" s="3192" t="s">
        <v>675</v>
      </c>
      <c r="C7659" s="3063"/>
      <c r="D7659" s="3064"/>
      <c r="E7659" s="3064"/>
      <c r="F7659" s="3064"/>
      <c r="G7659" s="3301" t="s">
        <v>675</v>
      </c>
      <c r="H7659" s="3063"/>
      <c r="I7659" s="3030"/>
    </row>
    <row r="7660" spans="2:9" ht="25.5">
      <c r="B7660" s="3192" t="s">
        <v>676</v>
      </c>
      <c r="C7660" s="3063"/>
      <c r="D7660" s="3064"/>
      <c r="E7660" s="3064"/>
      <c r="F7660" s="3064"/>
      <c r="G7660" s="3301" t="s">
        <v>676</v>
      </c>
      <c r="H7660" s="3063"/>
      <c r="I7660" s="3030"/>
    </row>
    <row r="7661" spans="2:9">
      <c r="B7661" s="3192" t="s">
        <v>677</v>
      </c>
      <c r="C7661" s="3063"/>
      <c r="D7661" s="3064"/>
      <c r="E7661" s="3064"/>
      <c r="F7661" s="3064"/>
      <c r="G7661" s="3301" t="s">
        <v>677</v>
      </c>
      <c r="H7661" s="3063"/>
      <c r="I7661" s="3030"/>
    </row>
    <row r="7662" spans="2:9">
      <c r="B7662" s="3192" t="s">
        <v>678</v>
      </c>
      <c r="C7662" s="3063"/>
      <c r="D7662" s="3064"/>
      <c r="E7662" s="3064"/>
      <c r="F7662" s="3064"/>
      <c r="G7662" s="3301" t="s">
        <v>678</v>
      </c>
      <c r="H7662" s="3063"/>
      <c r="I7662" s="3030"/>
    </row>
    <row r="7663" spans="2:9">
      <c r="B7663" s="3192" t="s">
        <v>679</v>
      </c>
      <c r="C7663" s="3063"/>
      <c r="D7663" s="3064"/>
      <c r="E7663" s="3064"/>
      <c r="F7663" s="3064"/>
      <c r="G7663" s="3301" t="s">
        <v>679</v>
      </c>
      <c r="H7663" s="3063"/>
      <c r="I7663" s="3030"/>
    </row>
    <row r="7664" spans="2:9" ht="25.5">
      <c r="B7664" s="3192" t="s">
        <v>720</v>
      </c>
      <c r="C7664" s="3063"/>
      <c r="D7664" s="3064"/>
      <c r="E7664" s="3064"/>
      <c r="F7664" s="3064"/>
      <c r="G7664" s="3301" t="s">
        <v>720</v>
      </c>
      <c r="H7664" s="3063"/>
      <c r="I7664" s="3030"/>
    </row>
    <row r="7665" spans="2:9" ht="38.25">
      <c r="B7665" s="3299" t="s">
        <v>681</v>
      </c>
      <c r="C7665" s="3063"/>
      <c r="D7665" s="3064"/>
      <c r="E7665" s="3064"/>
      <c r="F7665" s="3064"/>
      <c r="G7665" s="3300" t="s">
        <v>681</v>
      </c>
      <c r="H7665" s="3063"/>
      <c r="I7665" s="3030"/>
    </row>
    <row r="7666" spans="2:9" ht="25.5">
      <c r="B7666" s="3192" t="s">
        <v>675</v>
      </c>
      <c r="C7666" s="3063"/>
      <c r="D7666" s="3064"/>
      <c r="E7666" s="3064"/>
      <c r="F7666" s="3064"/>
      <c r="G7666" s="3301" t="s">
        <v>675</v>
      </c>
      <c r="H7666" s="3063"/>
      <c r="I7666" s="3030"/>
    </row>
    <row r="7667" spans="2:9" ht="25.5">
      <c r="B7667" s="3192" t="s">
        <v>676</v>
      </c>
      <c r="C7667" s="3063"/>
      <c r="D7667" s="3064"/>
      <c r="E7667" s="3064"/>
      <c r="F7667" s="3064"/>
      <c r="G7667" s="3301" t="s">
        <v>676</v>
      </c>
      <c r="H7667" s="3063"/>
      <c r="I7667" s="3030"/>
    </row>
    <row r="7668" spans="2:9">
      <c r="B7668" s="3192" t="s">
        <v>677</v>
      </c>
      <c r="C7668" s="3063"/>
      <c r="D7668" s="3064"/>
      <c r="E7668" s="3064"/>
      <c r="F7668" s="3064"/>
      <c r="G7668" s="3301" t="s">
        <v>677</v>
      </c>
      <c r="H7668" s="3063"/>
      <c r="I7668" s="3030"/>
    </row>
    <row r="7669" spans="2:9">
      <c r="B7669" s="3192" t="s">
        <v>678</v>
      </c>
      <c r="C7669" s="3063"/>
      <c r="D7669" s="3064"/>
      <c r="E7669" s="3064"/>
      <c r="F7669" s="3064"/>
      <c r="G7669" s="3301" t="s">
        <v>678</v>
      </c>
      <c r="H7669" s="3063"/>
      <c r="I7669" s="3030"/>
    </row>
    <row r="7670" spans="2:9">
      <c r="B7670" s="3192" t="s">
        <v>679</v>
      </c>
      <c r="C7670" s="3063"/>
      <c r="D7670" s="3064"/>
      <c r="E7670" s="3064"/>
      <c r="F7670" s="3064"/>
      <c r="G7670" s="3301" t="s">
        <v>679</v>
      </c>
      <c r="H7670" s="3063"/>
      <c r="I7670" s="3030"/>
    </row>
    <row r="7671" spans="2:9" ht="25.5">
      <c r="B7671" s="3192" t="s">
        <v>720</v>
      </c>
      <c r="C7671" s="3063"/>
      <c r="D7671" s="3064"/>
      <c r="E7671" s="3064"/>
      <c r="F7671" s="3064"/>
      <c r="G7671" s="3301" t="s">
        <v>720</v>
      </c>
      <c r="H7671" s="3063"/>
      <c r="I7671" s="3030"/>
    </row>
    <row r="7672" spans="2:9" ht="25.5">
      <c r="B7672" s="3299" t="s">
        <v>682</v>
      </c>
      <c r="C7672" s="3063"/>
      <c r="D7672" s="3064"/>
      <c r="E7672" s="3064"/>
      <c r="F7672" s="3064"/>
      <c r="G7672" s="3300" t="s">
        <v>682</v>
      </c>
      <c r="H7672" s="3063"/>
      <c r="I7672" s="3030"/>
    </row>
    <row r="7673" spans="2:9" ht="25.5">
      <c r="B7673" s="3192" t="s">
        <v>675</v>
      </c>
      <c r="C7673" s="3063"/>
      <c r="D7673" s="3064"/>
      <c r="E7673" s="3064"/>
      <c r="F7673" s="3064"/>
      <c r="G7673" s="3301" t="s">
        <v>675</v>
      </c>
      <c r="H7673" s="3063"/>
      <c r="I7673" s="3030"/>
    </row>
    <row r="7674" spans="2:9" ht="25.5">
      <c r="B7674" s="3192" t="s">
        <v>676</v>
      </c>
      <c r="C7674" s="3063"/>
      <c r="D7674" s="3064"/>
      <c r="E7674" s="3064"/>
      <c r="F7674" s="3064"/>
      <c r="G7674" s="3301" t="s">
        <v>676</v>
      </c>
      <c r="H7674" s="3063"/>
      <c r="I7674" s="3030"/>
    </row>
    <row r="7675" spans="2:9">
      <c r="B7675" s="3192" t="s">
        <v>677</v>
      </c>
      <c r="C7675" s="3063"/>
      <c r="D7675" s="3064"/>
      <c r="E7675" s="3064"/>
      <c r="F7675" s="3064"/>
      <c r="G7675" s="3301" t="s">
        <v>677</v>
      </c>
      <c r="H7675" s="3063"/>
      <c r="I7675" s="3030"/>
    </row>
    <row r="7676" spans="2:9">
      <c r="B7676" s="3192" t="s">
        <v>678</v>
      </c>
      <c r="C7676" s="3063"/>
      <c r="D7676" s="3064"/>
      <c r="E7676" s="3064"/>
      <c r="F7676" s="3064"/>
      <c r="G7676" s="3301" t="s">
        <v>678</v>
      </c>
      <c r="H7676" s="3063"/>
      <c r="I7676" s="3030"/>
    </row>
    <row r="7677" spans="2:9">
      <c r="B7677" s="3192" t="s">
        <v>679</v>
      </c>
      <c r="C7677" s="3063"/>
      <c r="D7677" s="3064"/>
      <c r="E7677" s="3064"/>
      <c r="F7677" s="3064"/>
      <c r="G7677" s="3301" t="s">
        <v>679</v>
      </c>
      <c r="H7677" s="3063"/>
      <c r="I7677" s="3030"/>
    </row>
    <row r="7678" spans="2:9" ht="25.5">
      <c r="B7678" s="3192" t="s">
        <v>720</v>
      </c>
      <c r="C7678" s="3063"/>
      <c r="D7678" s="3064"/>
      <c r="E7678" s="3064"/>
      <c r="F7678" s="3064"/>
      <c r="G7678" s="3301" t="s">
        <v>720</v>
      </c>
      <c r="H7678" s="3063"/>
      <c r="I7678" s="3030"/>
    </row>
    <row r="7679" spans="2:9" ht="25.5">
      <c r="B7679" s="3299" t="s">
        <v>66</v>
      </c>
      <c r="C7679" s="3063"/>
      <c r="D7679" s="3064"/>
      <c r="E7679" s="3064"/>
      <c r="F7679" s="3064"/>
      <c r="G7679" s="3300" t="s">
        <v>66</v>
      </c>
      <c r="H7679" s="3063"/>
      <c r="I7679" s="3030"/>
    </row>
    <row r="7680" spans="2:9" ht="25.5">
      <c r="B7680" s="3192" t="s">
        <v>675</v>
      </c>
      <c r="C7680" s="3063"/>
      <c r="D7680" s="3064"/>
      <c r="E7680" s="3064"/>
      <c r="F7680" s="3064"/>
      <c r="G7680" s="3301" t="s">
        <v>675</v>
      </c>
      <c r="H7680" s="3063"/>
      <c r="I7680" s="3030"/>
    </row>
    <row r="7681" spans="2:9" ht="25.5">
      <c r="B7681" s="3192" t="s">
        <v>676</v>
      </c>
      <c r="C7681" s="3063"/>
      <c r="D7681" s="3064"/>
      <c r="E7681" s="3064"/>
      <c r="F7681" s="3064"/>
      <c r="G7681" s="3301" t="s">
        <v>676</v>
      </c>
      <c r="H7681" s="3063"/>
      <c r="I7681" s="3030"/>
    </row>
    <row r="7682" spans="2:9">
      <c r="B7682" s="3192" t="s">
        <v>677</v>
      </c>
      <c r="C7682" s="3063"/>
      <c r="D7682" s="3064"/>
      <c r="E7682" s="3064"/>
      <c r="F7682" s="3064"/>
      <c r="G7682" s="3301" t="s">
        <v>677</v>
      </c>
      <c r="H7682" s="3063"/>
      <c r="I7682" s="3030"/>
    </row>
    <row r="7683" spans="2:9">
      <c r="B7683" s="3192" t="s">
        <v>678</v>
      </c>
      <c r="C7683" s="3063"/>
      <c r="D7683" s="3064"/>
      <c r="E7683" s="3064"/>
      <c r="F7683" s="3064"/>
      <c r="G7683" s="3301" t="s">
        <v>678</v>
      </c>
      <c r="H7683" s="3063"/>
      <c r="I7683" s="3030"/>
    </row>
    <row r="7684" spans="2:9">
      <c r="B7684" s="3192" t="s">
        <v>679</v>
      </c>
      <c r="C7684" s="3063"/>
      <c r="D7684" s="3064"/>
      <c r="E7684" s="3064"/>
      <c r="F7684" s="3064"/>
      <c r="G7684" s="3301" t="s">
        <v>679</v>
      </c>
      <c r="H7684" s="3063"/>
      <c r="I7684" s="3030"/>
    </row>
    <row r="7685" spans="2:9" ht="25.5">
      <c r="B7685" s="3192" t="s">
        <v>720</v>
      </c>
      <c r="C7685" s="3063"/>
      <c r="D7685" s="3064"/>
      <c r="E7685" s="3064"/>
      <c r="F7685" s="3064"/>
      <c r="G7685" s="3301" t="s">
        <v>720</v>
      </c>
      <c r="H7685" s="3063"/>
      <c r="I7685" s="3030"/>
    </row>
    <row r="7686" spans="2:9">
      <c r="B7686" s="3299" t="s">
        <v>67</v>
      </c>
      <c r="C7686" s="3063"/>
      <c r="D7686" s="3064"/>
      <c r="E7686" s="3064"/>
      <c r="F7686" s="3064"/>
      <c r="G7686" s="3300" t="s">
        <v>67</v>
      </c>
      <c r="H7686" s="3063"/>
      <c r="I7686" s="3030"/>
    </row>
    <row r="7687" spans="2:9" ht="25.5">
      <c r="B7687" s="3192" t="s">
        <v>675</v>
      </c>
      <c r="C7687" s="3063"/>
      <c r="D7687" s="3064"/>
      <c r="E7687" s="3064"/>
      <c r="F7687" s="3064"/>
      <c r="G7687" s="3301" t="s">
        <v>675</v>
      </c>
      <c r="H7687" s="3063"/>
      <c r="I7687" s="3030"/>
    </row>
    <row r="7688" spans="2:9" ht="25.5">
      <c r="B7688" s="3192" t="s">
        <v>676</v>
      </c>
      <c r="C7688" s="3063"/>
      <c r="D7688" s="3064"/>
      <c r="E7688" s="3064"/>
      <c r="F7688" s="3064"/>
      <c r="G7688" s="3301" t="s">
        <v>676</v>
      </c>
      <c r="H7688" s="3063"/>
      <c r="I7688" s="3030"/>
    </row>
    <row r="7689" spans="2:9">
      <c r="B7689" s="3192" t="s">
        <v>677</v>
      </c>
      <c r="C7689" s="3063"/>
      <c r="D7689" s="3064"/>
      <c r="E7689" s="3064"/>
      <c r="F7689" s="3064"/>
      <c r="G7689" s="3301" t="s">
        <v>677</v>
      </c>
      <c r="H7689" s="3063"/>
      <c r="I7689" s="3030"/>
    </row>
    <row r="7690" spans="2:9">
      <c r="B7690" s="3192" t="s">
        <v>678</v>
      </c>
      <c r="C7690" s="3063"/>
      <c r="D7690" s="3064"/>
      <c r="E7690" s="3064"/>
      <c r="F7690" s="3064"/>
      <c r="G7690" s="3301" t="s">
        <v>678</v>
      </c>
      <c r="H7690" s="3063"/>
      <c r="I7690" s="3030"/>
    </row>
    <row r="7691" spans="2:9">
      <c r="B7691" s="3192" t="s">
        <v>679</v>
      </c>
      <c r="C7691" s="3063"/>
      <c r="D7691" s="3064"/>
      <c r="E7691" s="3064"/>
      <c r="F7691" s="3064"/>
      <c r="G7691" s="3301" t="s">
        <v>679</v>
      </c>
      <c r="H7691" s="3063"/>
      <c r="I7691" s="3030"/>
    </row>
    <row r="7692" spans="2:9" ht="25.5">
      <c r="B7692" s="3230" t="s">
        <v>81</v>
      </c>
      <c r="C7692" s="3063"/>
      <c r="D7692" s="3064"/>
      <c r="E7692" s="3064"/>
      <c r="F7692" s="3064"/>
      <c r="G7692" s="3302" t="s">
        <v>81</v>
      </c>
      <c r="H7692" s="3063"/>
      <c r="I7692" s="3030"/>
    </row>
    <row r="7693" spans="2:9" ht="26.25" thickBot="1">
      <c r="B7693" s="3303" t="s">
        <v>81</v>
      </c>
      <c r="C7693" s="3063"/>
      <c r="D7693" s="3064"/>
      <c r="E7693" s="3064"/>
      <c r="F7693" s="3064"/>
      <c r="G7693" s="3302" t="s">
        <v>81</v>
      </c>
      <c r="H7693" s="3063"/>
      <c r="I7693" s="3030"/>
    </row>
    <row r="7694" spans="2:9">
      <c r="B7694" s="3217" t="s">
        <v>697</v>
      </c>
      <c r="C7694" s="3218"/>
      <c r="D7694" s="3219"/>
      <c r="E7694" s="3219"/>
      <c r="F7694" s="3219"/>
      <c r="G7694" s="3217" t="s">
        <v>697</v>
      </c>
      <c r="H7694" s="3297"/>
      <c r="I7694" s="3298"/>
    </row>
    <row r="7695" spans="2:9">
      <c r="B7695" s="3299" t="s">
        <v>64</v>
      </c>
      <c r="C7695" s="3063"/>
      <c r="D7695" s="3064"/>
      <c r="E7695" s="3064"/>
      <c r="F7695" s="3064"/>
      <c r="G7695" s="3300" t="s">
        <v>64</v>
      </c>
      <c r="H7695" s="3063"/>
      <c r="I7695" s="3030"/>
    </row>
    <row r="7696" spans="2:9" ht="25.5">
      <c r="B7696" s="3192" t="s">
        <v>675</v>
      </c>
      <c r="C7696" s="3063"/>
      <c r="D7696" s="3064"/>
      <c r="E7696" s="3064"/>
      <c r="F7696" s="3064"/>
      <c r="G7696" s="3301" t="s">
        <v>675</v>
      </c>
      <c r="H7696" s="3063"/>
      <c r="I7696" s="3030"/>
    </row>
    <row r="7697" spans="2:9" ht="25.5">
      <c r="B7697" s="3192" t="s">
        <v>676</v>
      </c>
      <c r="C7697" s="3063"/>
      <c r="D7697" s="3064"/>
      <c r="E7697" s="3064"/>
      <c r="F7697" s="3064"/>
      <c r="G7697" s="3301" t="s">
        <v>676</v>
      </c>
      <c r="H7697" s="3063"/>
      <c r="I7697" s="3030"/>
    </row>
    <row r="7698" spans="2:9">
      <c r="B7698" s="3192" t="s">
        <v>677</v>
      </c>
      <c r="C7698" s="3063"/>
      <c r="D7698" s="3064"/>
      <c r="E7698" s="3064"/>
      <c r="F7698" s="3064"/>
      <c r="G7698" s="3301" t="s">
        <v>677</v>
      </c>
      <c r="H7698" s="3063"/>
      <c r="I7698" s="3030"/>
    </row>
    <row r="7699" spans="2:9">
      <c r="B7699" s="3192" t="s">
        <v>678</v>
      </c>
      <c r="C7699" s="3063"/>
      <c r="D7699" s="3064"/>
      <c r="E7699" s="3064"/>
      <c r="F7699" s="3064"/>
      <c r="G7699" s="3301" t="s">
        <v>678</v>
      </c>
      <c r="H7699" s="3063"/>
      <c r="I7699" s="3030"/>
    </row>
    <row r="7700" spans="2:9">
      <c r="B7700" s="3192" t="s">
        <v>679</v>
      </c>
      <c r="C7700" s="3063"/>
      <c r="D7700" s="3064"/>
      <c r="E7700" s="3064"/>
      <c r="F7700" s="3064"/>
      <c r="G7700" s="3301" t="s">
        <v>679</v>
      </c>
      <c r="H7700" s="3063"/>
      <c r="I7700" s="3030"/>
    </row>
    <row r="7701" spans="2:9" ht="25.5">
      <c r="B7701" s="3192" t="s">
        <v>720</v>
      </c>
      <c r="C7701" s="3063"/>
      <c r="D7701" s="3064"/>
      <c r="E7701" s="3064"/>
      <c r="F7701" s="3064"/>
      <c r="G7701" s="3301" t="s">
        <v>720</v>
      </c>
      <c r="H7701" s="3063"/>
      <c r="I7701" s="3030"/>
    </row>
    <row r="7702" spans="2:9">
      <c r="B7702" s="3299" t="s">
        <v>65</v>
      </c>
      <c r="C7702" s="3063"/>
      <c r="D7702" s="3064"/>
      <c r="E7702" s="3064"/>
      <c r="F7702" s="3064"/>
      <c r="G7702" s="3300" t="s">
        <v>65</v>
      </c>
      <c r="H7702" s="3063"/>
      <c r="I7702" s="3030"/>
    </row>
    <row r="7703" spans="2:9" ht="25.5">
      <c r="B7703" s="3192" t="s">
        <v>675</v>
      </c>
      <c r="C7703" s="3063"/>
      <c r="D7703" s="3064"/>
      <c r="E7703" s="3064"/>
      <c r="F7703" s="3064"/>
      <c r="G7703" s="3301" t="s">
        <v>675</v>
      </c>
      <c r="H7703" s="3063"/>
      <c r="I7703" s="3030"/>
    </row>
    <row r="7704" spans="2:9" ht="25.5">
      <c r="B7704" s="3192" t="s">
        <v>676</v>
      </c>
      <c r="C7704" s="3063"/>
      <c r="D7704" s="3064"/>
      <c r="E7704" s="3064"/>
      <c r="F7704" s="3064"/>
      <c r="G7704" s="3301" t="s">
        <v>676</v>
      </c>
      <c r="H7704" s="3063"/>
      <c r="I7704" s="3030"/>
    </row>
    <row r="7705" spans="2:9">
      <c r="B7705" s="3192" t="s">
        <v>677</v>
      </c>
      <c r="C7705" s="3063"/>
      <c r="D7705" s="3064"/>
      <c r="E7705" s="3064"/>
      <c r="F7705" s="3064"/>
      <c r="G7705" s="3301" t="s">
        <v>677</v>
      </c>
      <c r="H7705" s="3063"/>
      <c r="I7705" s="3030"/>
    </row>
    <row r="7706" spans="2:9">
      <c r="B7706" s="3192" t="s">
        <v>678</v>
      </c>
      <c r="C7706" s="3063"/>
      <c r="D7706" s="3064"/>
      <c r="E7706" s="3064"/>
      <c r="F7706" s="3064"/>
      <c r="G7706" s="3301" t="s">
        <v>678</v>
      </c>
      <c r="H7706" s="3063"/>
      <c r="I7706" s="3030"/>
    </row>
    <row r="7707" spans="2:9">
      <c r="B7707" s="3192" t="s">
        <v>679</v>
      </c>
      <c r="C7707" s="3063"/>
      <c r="D7707" s="3064"/>
      <c r="E7707" s="3064"/>
      <c r="F7707" s="3064"/>
      <c r="G7707" s="3301" t="s">
        <v>679</v>
      </c>
      <c r="H7707" s="3063"/>
      <c r="I7707" s="3030"/>
    </row>
    <row r="7708" spans="2:9" ht="25.5">
      <c r="B7708" s="3192" t="s">
        <v>720</v>
      </c>
      <c r="C7708" s="3063"/>
      <c r="D7708" s="3064"/>
      <c r="E7708" s="3064"/>
      <c r="F7708" s="3064"/>
      <c r="G7708" s="3301" t="s">
        <v>720</v>
      </c>
      <c r="H7708" s="3063"/>
      <c r="I7708" s="3030"/>
    </row>
    <row r="7709" spans="2:9">
      <c r="B7709" s="3299" t="s">
        <v>82</v>
      </c>
      <c r="C7709" s="3063"/>
      <c r="D7709" s="3064"/>
      <c r="E7709" s="3064"/>
      <c r="F7709" s="3064"/>
      <c r="G7709" s="3300" t="s">
        <v>82</v>
      </c>
      <c r="H7709" s="3063"/>
      <c r="I7709" s="3030"/>
    </row>
    <row r="7710" spans="2:9" ht="25.5">
      <c r="B7710" s="3192" t="s">
        <v>675</v>
      </c>
      <c r="C7710" s="3063"/>
      <c r="D7710" s="3064"/>
      <c r="E7710" s="3064"/>
      <c r="F7710" s="3064"/>
      <c r="G7710" s="3301" t="s">
        <v>675</v>
      </c>
      <c r="H7710" s="3063"/>
      <c r="I7710" s="3030"/>
    </row>
    <row r="7711" spans="2:9" ht="25.5">
      <c r="B7711" s="3192" t="s">
        <v>676</v>
      </c>
      <c r="C7711" s="3063"/>
      <c r="D7711" s="3064"/>
      <c r="E7711" s="3064"/>
      <c r="F7711" s="3064"/>
      <c r="G7711" s="3301" t="s">
        <v>676</v>
      </c>
      <c r="H7711" s="3063"/>
      <c r="I7711" s="3030"/>
    </row>
    <row r="7712" spans="2:9">
      <c r="B7712" s="3192" t="s">
        <v>677</v>
      </c>
      <c r="C7712" s="3063"/>
      <c r="D7712" s="3064"/>
      <c r="E7712" s="3064"/>
      <c r="F7712" s="3064"/>
      <c r="G7712" s="3301" t="s">
        <v>677</v>
      </c>
      <c r="H7712" s="3063"/>
      <c r="I7712" s="3030"/>
    </row>
    <row r="7713" spans="2:9">
      <c r="B7713" s="3192" t="s">
        <v>678</v>
      </c>
      <c r="C7713" s="3063"/>
      <c r="D7713" s="3064"/>
      <c r="E7713" s="3064"/>
      <c r="F7713" s="3064"/>
      <c r="G7713" s="3301" t="s">
        <v>678</v>
      </c>
      <c r="H7713" s="3063"/>
      <c r="I7713" s="3030"/>
    </row>
    <row r="7714" spans="2:9">
      <c r="B7714" s="3192" t="s">
        <v>679</v>
      </c>
      <c r="C7714" s="3063"/>
      <c r="D7714" s="3064"/>
      <c r="E7714" s="3064"/>
      <c r="F7714" s="3064"/>
      <c r="G7714" s="3301" t="s">
        <v>679</v>
      </c>
      <c r="H7714" s="3063"/>
      <c r="I7714" s="3030"/>
    </row>
    <row r="7715" spans="2:9" ht="25.5">
      <c r="B7715" s="3192" t="s">
        <v>720</v>
      </c>
      <c r="C7715" s="3063"/>
      <c r="D7715" s="3064"/>
      <c r="E7715" s="3064"/>
      <c r="F7715" s="3064"/>
      <c r="G7715" s="3301" t="s">
        <v>720</v>
      </c>
      <c r="H7715" s="3063"/>
      <c r="I7715" s="3030"/>
    </row>
    <row r="7716" spans="2:9" ht="38.25">
      <c r="B7716" s="3299" t="s">
        <v>680</v>
      </c>
      <c r="C7716" s="3063"/>
      <c r="D7716" s="3064"/>
      <c r="E7716" s="3064"/>
      <c r="F7716" s="3064"/>
      <c r="G7716" s="3300" t="s">
        <v>680</v>
      </c>
      <c r="H7716" s="3063"/>
      <c r="I7716" s="3030"/>
    </row>
    <row r="7717" spans="2:9" ht="25.5">
      <c r="B7717" s="3192" t="s">
        <v>675</v>
      </c>
      <c r="C7717" s="3063"/>
      <c r="D7717" s="3064"/>
      <c r="E7717" s="3064"/>
      <c r="F7717" s="3064"/>
      <c r="G7717" s="3301" t="s">
        <v>675</v>
      </c>
      <c r="H7717" s="3063"/>
      <c r="I7717" s="3030"/>
    </row>
    <row r="7718" spans="2:9" ht="25.5">
      <c r="B7718" s="3192" t="s">
        <v>676</v>
      </c>
      <c r="C7718" s="3063"/>
      <c r="D7718" s="3064"/>
      <c r="E7718" s="3064"/>
      <c r="F7718" s="3064"/>
      <c r="G7718" s="3301" t="s">
        <v>676</v>
      </c>
      <c r="H7718" s="3063"/>
      <c r="I7718" s="3030"/>
    </row>
    <row r="7719" spans="2:9">
      <c r="B7719" s="3192" t="s">
        <v>677</v>
      </c>
      <c r="C7719" s="3063"/>
      <c r="D7719" s="3064"/>
      <c r="E7719" s="3064"/>
      <c r="F7719" s="3064"/>
      <c r="G7719" s="3301" t="s">
        <v>677</v>
      </c>
      <c r="H7719" s="3063"/>
      <c r="I7719" s="3030"/>
    </row>
    <row r="7720" spans="2:9">
      <c r="B7720" s="3192" t="s">
        <v>678</v>
      </c>
      <c r="C7720" s="3063"/>
      <c r="D7720" s="3064"/>
      <c r="E7720" s="3064"/>
      <c r="F7720" s="3064"/>
      <c r="G7720" s="3301" t="s">
        <v>678</v>
      </c>
      <c r="H7720" s="3063"/>
      <c r="I7720" s="3030"/>
    </row>
    <row r="7721" spans="2:9">
      <c r="B7721" s="3192" t="s">
        <v>679</v>
      </c>
      <c r="C7721" s="3063"/>
      <c r="D7721" s="3064"/>
      <c r="E7721" s="3064"/>
      <c r="F7721" s="3064"/>
      <c r="G7721" s="3301" t="s">
        <v>679</v>
      </c>
      <c r="H7721" s="3063"/>
      <c r="I7721" s="3030"/>
    </row>
    <row r="7722" spans="2:9" ht="25.5">
      <c r="B7722" s="3192" t="s">
        <v>720</v>
      </c>
      <c r="C7722" s="3063"/>
      <c r="D7722" s="3064"/>
      <c r="E7722" s="3064"/>
      <c r="F7722" s="3064"/>
      <c r="G7722" s="3301" t="s">
        <v>720</v>
      </c>
      <c r="H7722" s="3063"/>
      <c r="I7722" s="3030"/>
    </row>
    <row r="7723" spans="2:9" ht="38.25">
      <c r="B7723" s="3299" t="s">
        <v>681</v>
      </c>
      <c r="C7723" s="3063"/>
      <c r="D7723" s="3064"/>
      <c r="E7723" s="3064"/>
      <c r="F7723" s="3064">
        <v>2</v>
      </c>
      <c r="G7723" s="3300" t="s">
        <v>681</v>
      </c>
      <c r="H7723" s="3063">
        <v>3.7715354675195378E-2</v>
      </c>
      <c r="I7723" s="3030"/>
    </row>
    <row r="7724" spans="2:9" ht="25.5">
      <c r="B7724" s="3192" t="s">
        <v>675</v>
      </c>
      <c r="C7724" s="3063"/>
      <c r="D7724" s="3064"/>
      <c r="E7724" s="3064"/>
      <c r="F7724" s="3064"/>
      <c r="G7724" s="3301" t="s">
        <v>675</v>
      </c>
      <c r="H7724" s="3063"/>
      <c r="I7724" s="3030"/>
    </row>
    <row r="7725" spans="2:9" ht="25.5">
      <c r="B7725" s="3192" t="s">
        <v>676</v>
      </c>
      <c r="C7725" s="3063"/>
      <c r="D7725" s="3064"/>
      <c r="E7725" s="3064"/>
      <c r="F7725" s="3064"/>
      <c r="G7725" s="3301" t="s">
        <v>676</v>
      </c>
      <c r="H7725" s="3063"/>
      <c r="I7725" s="3030"/>
    </row>
    <row r="7726" spans="2:9">
      <c r="B7726" s="3192" t="s">
        <v>677</v>
      </c>
      <c r="C7726" s="3063"/>
      <c r="D7726" s="3064"/>
      <c r="E7726" s="3064"/>
      <c r="F7726" s="3064"/>
      <c r="G7726" s="3301" t="s">
        <v>677</v>
      </c>
      <c r="H7726" s="3063"/>
      <c r="I7726" s="3030"/>
    </row>
    <row r="7727" spans="2:9">
      <c r="B7727" s="3192" t="s">
        <v>678</v>
      </c>
      <c r="C7727" s="3063"/>
      <c r="D7727" s="3064"/>
      <c r="E7727" s="3064"/>
      <c r="F7727" s="3064"/>
      <c r="G7727" s="3301" t="s">
        <v>678</v>
      </c>
      <c r="H7727" s="3063"/>
      <c r="I7727" s="3030"/>
    </row>
    <row r="7728" spans="2:9">
      <c r="B7728" s="3192" t="s">
        <v>679</v>
      </c>
      <c r="C7728" s="3063">
        <v>1</v>
      </c>
      <c r="D7728" s="3064">
        <v>1</v>
      </c>
      <c r="E7728" s="3064"/>
      <c r="F7728" s="3064"/>
      <c r="G7728" s="3301" t="s">
        <v>679</v>
      </c>
      <c r="H7728" s="3063"/>
      <c r="I7728" s="3030"/>
    </row>
    <row r="7729" spans="2:9" ht="25.5">
      <c r="B7729" s="3192" t="s">
        <v>720</v>
      </c>
      <c r="C7729" s="3063"/>
      <c r="D7729" s="3064"/>
      <c r="E7729" s="3064"/>
      <c r="F7729" s="3064"/>
      <c r="G7729" s="3301" t="s">
        <v>720</v>
      </c>
      <c r="H7729" s="3063"/>
      <c r="I7729" s="3030"/>
    </row>
    <row r="7730" spans="2:9" ht="25.5">
      <c r="B7730" s="3299" t="s">
        <v>682</v>
      </c>
      <c r="C7730" s="3063"/>
      <c r="D7730" s="3064"/>
      <c r="E7730" s="3064"/>
      <c r="F7730" s="3064"/>
      <c r="G7730" s="3300" t="s">
        <v>682</v>
      </c>
      <c r="H7730" s="3063"/>
      <c r="I7730" s="3030"/>
    </row>
    <row r="7731" spans="2:9" ht="25.5">
      <c r="B7731" s="3192" t="s">
        <v>675</v>
      </c>
      <c r="C7731" s="3063"/>
      <c r="D7731" s="3064"/>
      <c r="E7731" s="3064"/>
      <c r="F7731" s="3064"/>
      <c r="G7731" s="3301" t="s">
        <v>675</v>
      </c>
      <c r="H7731" s="3063"/>
      <c r="I7731" s="3030"/>
    </row>
    <row r="7732" spans="2:9" ht="25.5">
      <c r="B7732" s="3192" t="s">
        <v>676</v>
      </c>
      <c r="C7732" s="3063"/>
      <c r="D7732" s="3064"/>
      <c r="E7732" s="3064"/>
      <c r="F7732" s="3064"/>
      <c r="G7732" s="3301" t="s">
        <v>676</v>
      </c>
      <c r="H7732" s="3063"/>
      <c r="I7732" s="3030"/>
    </row>
    <row r="7733" spans="2:9">
      <c r="B7733" s="3192" t="s">
        <v>677</v>
      </c>
      <c r="C7733" s="3063"/>
      <c r="D7733" s="3064"/>
      <c r="E7733" s="3064"/>
      <c r="F7733" s="3064"/>
      <c r="G7733" s="3301" t="s">
        <v>677</v>
      </c>
      <c r="H7733" s="3063"/>
      <c r="I7733" s="3030"/>
    </row>
    <row r="7734" spans="2:9">
      <c r="B7734" s="3192" t="s">
        <v>678</v>
      </c>
      <c r="C7734" s="3063"/>
      <c r="D7734" s="3064"/>
      <c r="E7734" s="3064"/>
      <c r="F7734" s="3064"/>
      <c r="G7734" s="3301" t="s">
        <v>678</v>
      </c>
      <c r="H7734" s="3063"/>
      <c r="I7734" s="3030"/>
    </row>
    <row r="7735" spans="2:9">
      <c r="B7735" s="3192" t="s">
        <v>679</v>
      </c>
      <c r="C7735" s="3063"/>
      <c r="D7735" s="3064"/>
      <c r="E7735" s="3064"/>
      <c r="F7735" s="3064"/>
      <c r="G7735" s="3301" t="s">
        <v>679</v>
      </c>
      <c r="H7735" s="3063"/>
      <c r="I7735" s="3030"/>
    </row>
    <row r="7736" spans="2:9" ht="25.5">
      <c r="B7736" s="3192" t="s">
        <v>720</v>
      </c>
      <c r="C7736" s="3063"/>
      <c r="D7736" s="3064"/>
      <c r="E7736" s="3064"/>
      <c r="F7736" s="3064"/>
      <c r="G7736" s="3301" t="s">
        <v>720</v>
      </c>
      <c r="H7736" s="3063"/>
      <c r="I7736" s="3030"/>
    </row>
    <row r="7737" spans="2:9" ht="25.5">
      <c r="B7737" s="3299" t="s">
        <v>66</v>
      </c>
      <c r="C7737" s="3063"/>
      <c r="D7737" s="3064"/>
      <c r="E7737" s="3064"/>
      <c r="F7737" s="3064"/>
      <c r="G7737" s="3300" t="s">
        <v>66</v>
      </c>
      <c r="H7737" s="3063"/>
      <c r="I7737" s="3030"/>
    </row>
    <row r="7738" spans="2:9" ht="25.5">
      <c r="B7738" s="3192" t="s">
        <v>675</v>
      </c>
      <c r="C7738" s="3063"/>
      <c r="D7738" s="3064"/>
      <c r="E7738" s="3064"/>
      <c r="F7738" s="3064"/>
      <c r="G7738" s="3301" t="s">
        <v>675</v>
      </c>
      <c r="H7738" s="3063"/>
      <c r="I7738" s="3030"/>
    </row>
    <row r="7739" spans="2:9" ht="25.5">
      <c r="B7739" s="3192" t="s">
        <v>676</v>
      </c>
      <c r="C7739" s="3063"/>
      <c r="D7739" s="3064"/>
      <c r="E7739" s="3064"/>
      <c r="F7739" s="3064"/>
      <c r="G7739" s="3301" t="s">
        <v>676</v>
      </c>
      <c r="H7739" s="3063"/>
      <c r="I7739" s="3030"/>
    </row>
    <row r="7740" spans="2:9">
      <c r="B7740" s="3192" t="s">
        <v>677</v>
      </c>
      <c r="C7740" s="3063"/>
      <c r="D7740" s="3064"/>
      <c r="E7740" s="3064"/>
      <c r="F7740" s="3064"/>
      <c r="G7740" s="3301" t="s">
        <v>677</v>
      </c>
      <c r="H7740" s="3063"/>
      <c r="I7740" s="3030"/>
    </row>
    <row r="7741" spans="2:9">
      <c r="B7741" s="3192" t="s">
        <v>678</v>
      </c>
      <c r="C7741" s="3063"/>
      <c r="D7741" s="3064"/>
      <c r="E7741" s="3064"/>
      <c r="F7741" s="3064"/>
      <c r="G7741" s="3301" t="s">
        <v>678</v>
      </c>
      <c r="H7741" s="3063"/>
      <c r="I7741" s="3030"/>
    </row>
    <row r="7742" spans="2:9">
      <c r="B7742" s="3192" t="s">
        <v>679</v>
      </c>
      <c r="C7742" s="3063"/>
      <c r="D7742" s="3064"/>
      <c r="E7742" s="3064"/>
      <c r="F7742" s="3064"/>
      <c r="G7742" s="3301" t="s">
        <v>679</v>
      </c>
      <c r="H7742" s="3063"/>
      <c r="I7742" s="3030"/>
    </row>
    <row r="7743" spans="2:9" ht="25.5">
      <c r="B7743" s="3192" t="s">
        <v>720</v>
      </c>
      <c r="C7743" s="3063"/>
      <c r="D7743" s="3064"/>
      <c r="E7743" s="3064"/>
      <c r="F7743" s="3064"/>
      <c r="G7743" s="3301" t="s">
        <v>720</v>
      </c>
      <c r="H7743" s="3063"/>
      <c r="I7743" s="3030"/>
    </row>
    <row r="7744" spans="2:9">
      <c r="B7744" s="3299" t="s">
        <v>67</v>
      </c>
      <c r="C7744" s="3063"/>
      <c r="D7744" s="3064"/>
      <c r="E7744" s="3064"/>
      <c r="F7744" s="3064">
        <v>4</v>
      </c>
      <c r="G7744" s="3300" t="s">
        <v>67</v>
      </c>
      <c r="H7744" s="3063">
        <v>3.6931599599907668E-2</v>
      </c>
      <c r="I7744" s="3030"/>
    </row>
    <row r="7745" spans="2:9" ht="25.5">
      <c r="B7745" s="3192" t="s">
        <v>675</v>
      </c>
      <c r="C7745" s="3063">
        <v>3</v>
      </c>
      <c r="D7745" s="3064">
        <v>3</v>
      </c>
      <c r="E7745" s="3064"/>
      <c r="F7745" s="3064"/>
      <c r="G7745" s="3301" t="s">
        <v>675</v>
      </c>
      <c r="H7745" s="3063"/>
      <c r="I7745" s="3030">
        <v>4.616449949988459E-2</v>
      </c>
    </row>
    <row r="7746" spans="2:9" ht="25.5">
      <c r="B7746" s="3192" t="s">
        <v>676</v>
      </c>
      <c r="C7746" s="3063"/>
      <c r="D7746" s="3064"/>
      <c r="E7746" s="3064"/>
      <c r="F7746" s="3064"/>
      <c r="G7746" s="3301" t="s">
        <v>676</v>
      </c>
      <c r="H7746" s="3063"/>
      <c r="I7746" s="3030"/>
    </row>
    <row r="7747" spans="2:9">
      <c r="B7747" s="3192" t="s">
        <v>677</v>
      </c>
      <c r="C7747" s="3063"/>
      <c r="D7747" s="3064"/>
      <c r="E7747" s="3064"/>
      <c r="F7747" s="3064"/>
      <c r="G7747" s="3301" t="s">
        <v>677</v>
      </c>
      <c r="H7747" s="3063"/>
      <c r="I7747" s="3030"/>
    </row>
    <row r="7748" spans="2:9">
      <c r="B7748" s="3192" t="s">
        <v>678</v>
      </c>
      <c r="C7748" s="3063">
        <v>1</v>
      </c>
      <c r="D7748" s="3064"/>
      <c r="E7748" s="3064"/>
      <c r="F7748" s="3064"/>
      <c r="G7748" s="3301" t="s">
        <v>678</v>
      </c>
      <c r="H7748" s="3063"/>
      <c r="I7748" s="3030"/>
    </row>
    <row r="7749" spans="2:9">
      <c r="B7749" s="3192" t="s">
        <v>679</v>
      </c>
      <c r="C7749" s="3063"/>
      <c r="D7749" s="3064">
        <v>1</v>
      </c>
      <c r="E7749" s="3064"/>
      <c r="F7749" s="3064"/>
      <c r="G7749" s="3301" t="s">
        <v>679</v>
      </c>
      <c r="H7749" s="3063"/>
      <c r="I7749" s="3030"/>
    </row>
    <row r="7750" spans="2:9" ht="25.5">
      <c r="B7750" s="3230" t="s">
        <v>81</v>
      </c>
      <c r="C7750" s="3063"/>
      <c r="D7750" s="3064"/>
      <c r="E7750" s="3064"/>
      <c r="F7750" s="3064"/>
      <c r="G7750" s="3302" t="s">
        <v>81</v>
      </c>
      <c r="H7750" s="3063"/>
      <c r="I7750" s="3030"/>
    </row>
    <row r="7751" spans="2:9" ht="26.25" thickBot="1">
      <c r="B7751" s="3303" t="s">
        <v>81</v>
      </c>
      <c r="C7751" s="3068"/>
      <c r="D7751" s="3069"/>
      <c r="E7751" s="3069"/>
      <c r="F7751" s="3069"/>
      <c r="G7751" s="3304" t="s">
        <v>81</v>
      </c>
      <c r="H7751" s="3068"/>
      <c r="I7751" s="3070"/>
    </row>
    <row r="7752" spans="2:9" ht="38.25">
      <c r="B7752" s="4723">
        <v>3048</v>
      </c>
      <c r="C7752" s="3289"/>
      <c r="D7752" s="3290"/>
      <c r="E7752" s="3290"/>
      <c r="F7752" s="3290"/>
      <c r="G7752" s="4723">
        <v>3048</v>
      </c>
      <c r="H7752" s="3291" t="s">
        <v>687</v>
      </c>
      <c r="I7752" s="3292" t="s">
        <v>688</v>
      </c>
    </row>
    <row r="7753" spans="2:9">
      <c r="B7753" s="4724"/>
      <c r="C7753" s="4678" t="s">
        <v>686</v>
      </c>
      <c r="D7753" s="4725"/>
      <c r="E7753" s="4725"/>
      <c r="F7753" s="4726"/>
      <c r="G7753" s="4724"/>
      <c r="H7753" s="3293"/>
      <c r="I7753" s="3294"/>
    </row>
    <row r="7754" spans="2:9" ht="13.5" thickBot="1">
      <c r="B7754" s="4724"/>
      <c r="C7754" s="3215">
        <v>2013</v>
      </c>
      <c r="D7754" s="3215">
        <v>2014</v>
      </c>
      <c r="E7754" s="3215">
        <v>2015</v>
      </c>
      <c r="F7754" s="3215">
        <v>2016</v>
      </c>
      <c r="G7754" s="4724"/>
      <c r="H7754" s="3295" t="s">
        <v>390</v>
      </c>
      <c r="I7754" s="3296" t="s">
        <v>390</v>
      </c>
    </row>
    <row r="7755" spans="2:9">
      <c r="B7755" s="3217" t="s">
        <v>695</v>
      </c>
      <c r="C7755" s="3218"/>
      <c r="D7755" s="3219"/>
      <c r="E7755" s="3219"/>
      <c r="F7755" s="3219"/>
      <c r="G7755" s="3217" t="s">
        <v>695</v>
      </c>
      <c r="H7755" s="3297"/>
      <c r="I7755" s="3298"/>
    </row>
    <row r="7756" spans="2:9">
      <c r="B7756" s="3299" t="s">
        <v>64</v>
      </c>
      <c r="C7756" s="3063"/>
      <c r="D7756" s="3064"/>
      <c r="E7756" s="3064"/>
      <c r="F7756" s="3064"/>
      <c r="G7756" s="3300" t="s">
        <v>64</v>
      </c>
      <c r="H7756" s="3063"/>
      <c r="I7756" s="3030"/>
    </row>
    <row r="7757" spans="2:9" ht="25.5">
      <c r="B7757" s="3192" t="s">
        <v>675</v>
      </c>
      <c r="C7757" s="3063"/>
      <c r="D7757" s="3064"/>
      <c r="E7757" s="3064"/>
      <c r="F7757" s="3064"/>
      <c r="G7757" s="3301" t="s">
        <v>675</v>
      </c>
      <c r="H7757" s="3063"/>
      <c r="I7757" s="3030"/>
    </row>
    <row r="7758" spans="2:9" ht="25.5">
      <c r="B7758" s="3192" t="s">
        <v>676</v>
      </c>
      <c r="C7758" s="3063"/>
      <c r="D7758" s="3064"/>
      <c r="E7758" s="3064"/>
      <c r="F7758" s="3064"/>
      <c r="G7758" s="3301" t="s">
        <v>676</v>
      </c>
      <c r="H7758" s="3063"/>
      <c r="I7758" s="3030"/>
    </row>
    <row r="7759" spans="2:9">
      <c r="B7759" s="3192" t="s">
        <v>677</v>
      </c>
      <c r="C7759" s="3063"/>
      <c r="D7759" s="3064"/>
      <c r="E7759" s="3064"/>
      <c r="F7759" s="3064"/>
      <c r="G7759" s="3301" t="s">
        <v>677</v>
      </c>
      <c r="H7759" s="3063"/>
      <c r="I7759" s="3030"/>
    </row>
    <row r="7760" spans="2:9">
      <c r="B7760" s="3192" t="s">
        <v>678</v>
      </c>
      <c r="C7760" s="3063"/>
      <c r="D7760" s="3064"/>
      <c r="E7760" s="3064"/>
      <c r="F7760" s="3064"/>
      <c r="G7760" s="3301" t="s">
        <v>678</v>
      </c>
      <c r="H7760" s="3063"/>
      <c r="I7760" s="3030"/>
    </row>
    <row r="7761" spans="2:9">
      <c r="B7761" s="3192" t="s">
        <v>679</v>
      </c>
      <c r="C7761" s="3063"/>
      <c r="D7761" s="3064"/>
      <c r="E7761" s="3064"/>
      <c r="F7761" s="3064"/>
      <c r="G7761" s="3301" t="s">
        <v>679</v>
      </c>
      <c r="H7761" s="3063"/>
      <c r="I7761" s="3030"/>
    </row>
    <row r="7762" spans="2:9" ht="25.5">
      <c r="B7762" s="3192" t="s">
        <v>720</v>
      </c>
      <c r="C7762" s="3063"/>
      <c r="D7762" s="3064"/>
      <c r="E7762" s="3064"/>
      <c r="F7762" s="3064"/>
      <c r="G7762" s="3301" t="s">
        <v>720</v>
      </c>
      <c r="H7762" s="3063"/>
      <c r="I7762" s="3030"/>
    </row>
    <row r="7763" spans="2:9">
      <c r="B7763" s="3299" t="s">
        <v>65</v>
      </c>
      <c r="C7763" s="3063"/>
      <c r="D7763" s="3064"/>
      <c r="E7763" s="3064"/>
      <c r="F7763" s="3064"/>
      <c r="G7763" s="3300" t="s">
        <v>65</v>
      </c>
      <c r="H7763" s="3063"/>
      <c r="I7763" s="3030"/>
    </row>
    <row r="7764" spans="2:9" ht="25.5">
      <c r="B7764" s="3192" t="s">
        <v>675</v>
      </c>
      <c r="C7764" s="3063"/>
      <c r="D7764" s="3064"/>
      <c r="E7764" s="3064"/>
      <c r="F7764" s="3064"/>
      <c r="G7764" s="3301" t="s">
        <v>675</v>
      </c>
      <c r="H7764" s="3063"/>
      <c r="I7764" s="3030"/>
    </row>
    <row r="7765" spans="2:9" ht="25.5">
      <c r="B7765" s="3192" t="s">
        <v>676</v>
      </c>
      <c r="C7765" s="3063"/>
      <c r="D7765" s="3064"/>
      <c r="E7765" s="3064"/>
      <c r="F7765" s="3064"/>
      <c r="G7765" s="3301" t="s">
        <v>676</v>
      </c>
      <c r="H7765" s="3063"/>
      <c r="I7765" s="3030"/>
    </row>
    <row r="7766" spans="2:9">
      <c r="B7766" s="3192" t="s">
        <v>677</v>
      </c>
      <c r="C7766" s="3063"/>
      <c r="D7766" s="3064"/>
      <c r="E7766" s="3064"/>
      <c r="F7766" s="3064"/>
      <c r="G7766" s="3301" t="s">
        <v>677</v>
      </c>
      <c r="H7766" s="3063"/>
      <c r="I7766" s="3030"/>
    </row>
    <row r="7767" spans="2:9">
      <c r="B7767" s="3192" t="s">
        <v>678</v>
      </c>
      <c r="C7767" s="3063"/>
      <c r="D7767" s="3064"/>
      <c r="E7767" s="3064"/>
      <c r="F7767" s="3064"/>
      <c r="G7767" s="3301" t="s">
        <v>678</v>
      </c>
      <c r="H7767" s="3063"/>
      <c r="I7767" s="3030"/>
    </row>
    <row r="7768" spans="2:9">
      <c r="B7768" s="3192" t="s">
        <v>679</v>
      </c>
      <c r="C7768" s="3063"/>
      <c r="D7768" s="3064"/>
      <c r="E7768" s="3064"/>
      <c r="F7768" s="3064"/>
      <c r="G7768" s="3301" t="s">
        <v>679</v>
      </c>
      <c r="H7768" s="3063"/>
      <c r="I7768" s="3030"/>
    </row>
    <row r="7769" spans="2:9" ht="25.5">
      <c r="B7769" s="3192" t="s">
        <v>720</v>
      </c>
      <c r="C7769" s="3063"/>
      <c r="D7769" s="3064"/>
      <c r="E7769" s="3064"/>
      <c r="F7769" s="3064"/>
      <c r="G7769" s="3301" t="s">
        <v>720</v>
      </c>
      <c r="H7769" s="3063"/>
      <c r="I7769" s="3030"/>
    </row>
    <row r="7770" spans="2:9">
      <c r="B7770" s="3299" t="s">
        <v>82</v>
      </c>
      <c r="C7770" s="3063"/>
      <c r="D7770" s="3064"/>
      <c r="E7770" s="3064"/>
      <c r="F7770" s="3064"/>
      <c r="G7770" s="3300" t="s">
        <v>82</v>
      </c>
      <c r="H7770" s="3063"/>
      <c r="I7770" s="3030"/>
    </row>
    <row r="7771" spans="2:9" ht="25.5">
      <c r="B7771" s="3192" t="s">
        <v>675</v>
      </c>
      <c r="C7771" s="3063"/>
      <c r="D7771" s="3064"/>
      <c r="E7771" s="3064"/>
      <c r="F7771" s="3064"/>
      <c r="G7771" s="3301" t="s">
        <v>675</v>
      </c>
      <c r="H7771" s="3063"/>
      <c r="I7771" s="3030"/>
    </row>
    <row r="7772" spans="2:9" ht="25.5">
      <c r="B7772" s="3192" t="s">
        <v>676</v>
      </c>
      <c r="C7772" s="3063"/>
      <c r="D7772" s="3064"/>
      <c r="E7772" s="3064"/>
      <c r="F7772" s="3064"/>
      <c r="G7772" s="3301" t="s">
        <v>676</v>
      </c>
      <c r="H7772" s="3063"/>
      <c r="I7772" s="3030"/>
    </row>
    <row r="7773" spans="2:9">
      <c r="B7773" s="3192" t="s">
        <v>677</v>
      </c>
      <c r="C7773" s="3063"/>
      <c r="D7773" s="3064"/>
      <c r="E7773" s="3064"/>
      <c r="F7773" s="3064"/>
      <c r="G7773" s="3301" t="s">
        <v>677</v>
      </c>
      <c r="H7773" s="3063"/>
      <c r="I7773" s="3030"/>
    </row>
    <row r="7774" spans="2:9">
      <c r="B7774" s="3192" t="s">
        <v>678</v>
      </c>
      <c r="C7774" s="3063"/>
      <c r="D7774" s="3064"/>
      <c r="E7774" s="3064"/>
      <c r="F7774" s="3064"/>
      <c r="G7774" s="3301" t="s">
        <v>678</v>
      </c>
      <c r="H7774" s="3063"/>
      <c r="I7774" s="3030"/>
    </row>
    <row r="7775" spans="2:9">
      <c r="B7775" s="3192" t="s">
        <v>679</v>
      </c>
      <c r="C7775" s="3063"/>
      <c r="D7775" s="3064"/>
      <c r="E7775" s="3064"/>
      <c r="F7775" s="3064"/>
      <c r="G7775" s="3301" t="s">
        <v>679</v>
      </c>
      <c r="H7775" s="3063"/>
      <c r="I7775" s="3030"/>
    </row>
    <row r="7776" spans="2:9" ht="25.5">
      <c r="B7776" s="3192" t="s">
        <v>720</v>
      </c>
      <c r="C7776" s="3063"/>
      <c r="D7776" s="3064"/>
      <c r="E7776" s="3064"/>
      <c r="F7776" s="3064"/>
      <c r="G7776" s="3301" t="s">
        <v>720</v>
      </c>
      <c r="H7776" s="3063"/>
      <c r="I7776" s="3030"/>
    </row>
    <row r="7777" spans="2:9" ht="38.25">
      <c r="B7777" s="3299" t="s">
        <v>680</v>
      </c>
      <c r="C7777" s="3063"/>
      <c r="D7777" s="3064"/>
      <c r="E7777" s="3064"/>
      <c r="F7777" s="3064"/>
      <c r="G7777" s="3300" t="s">
        <v>680</v>
      </c>
      <c r="H7777" s="3063"/>
      <c r="I7777" s="3030"/>
    </row>
    <row r="7778" spans="2:9" ht="25.5">
      <c r="B7778" s="3192" t="s">
        <v>675</v>
      </c>
      <c r="C7778" s="3063"/>
      <c r="D7778" s="3064"/>
      <c r="E7778" s="3064"/>
      <c r="F7778" s="3064"/>
      <c r="G7778" s="3301" t="s">
        <v>675</v>
      </c>
      <c r="H7778" s="3063"/>
      <c r="I7778" s="3030"/>
    </row>
    <row r="7779" spans="2:9" ht="25.5">
      <c r="B7779" s="3192" t="s">
        <v>676</v>
      </c>
      <c r="C7779" s="3063"/>
      <c r="D7779" s="3064"/>
      <c r="E7779" s="3064"/>
      <c r="F7779" s="3064"/>
      <c r="G7779" s="3301" t="s">
        <v>676</v>
      </c>
      <c r="H7779" s="3063"/>
      <c r="I7779" s="3030"/>
    </row>
    <row r="7780" spans="2:9">
      <c r="B7780" s="3192" t="s">
        <v>677</v>
      </c>
      <c r="C7780" s="3063"/>
      <c r="D7780" s="3064"/>
      <c r="E7780" s="3064"/>
      <c r="F7780" s="3064"/>
      <c r="G7780" s="3301" t="s">
        <v>677</v>
      </c>
      <c r="H7780" s="3063"/>
      <c r="I7780" s="3030"/>
    </row>
    <row r="7781" spans="2:9">
      <c r="B7781" s="3192" t="s">
        <v>678</v>
      </c>
      <c r="C7781" s="3063"/>
      <c r="D7781" s="3064"/>
      <c r="E7781" s="3064"/>
      <c r="F7781" s="3064"/>
      <c r="G7781" s="3301" t="s">
        <v>678</v>
      </c>
      <c r="H7781" s="3063"/>
      <c r="I7781" s="3030"/>
    </row>
    <row r="7782" spans="2:9">
      <c r="B7782" s="3192" t="s">
        <v>679</v>
      </c>
      <c r="C7782" s="3063"/>
      <c r="D7782" s="3064"/>
      <c r="E7782" s="3064"/>
      <c r="F7782" s="3064"/>
      <c r="G7782" s="3301" t="s">
        <v>679</v>
      </c>
      <c r="H7782" s="3063"/>
      <c r="I7782" s="3030"/>
    </row>
    <row r="7783" spans="2:9" ht="25.5">
      <c r="B7783" s="3192" t="s">
        <v>720</v>
      </c>
      <c r="C7783" s="3063"/>
      <c r="D7783" s="3064"/>
      <c r="E7783" s="3064"/>
      <c r="F7783" s="3064"/>
      <c r="G7783" s="3301" t="s">
        <v>720</v>
      </c>
      <c r="H7783" s="3063"/>
      <c r="I7783" s="3030"/>
    </row>
    <row r="7784" spans="2:9" ht="38.25">
      <c r="B7784" s="3299" t="s">
        <v>681</v>
      </c>
      <c r="C7784" s="3063"/>
      <c r="D7784" s="3064"/>
      <c r="E7784" s="3064"/>
      <c r="F7784" s="3064"/>
      <c r="G7784" s="3300" t="s">
        <v>681</v>
      </c>
      <c r="H7784" s="3063"/>
      <c r="I7784" s="3030"/>
    </row>
    <row r="7785" spans="2:9" ht="25.5">
      <c r="B7785" s="3192" t="s">
        <v>675</v>
      </c>
      <c r="C7785" s="3063"/>
      <c r="D7785" s="3064"/>
      <c r="E7785" s="3064"/>
      <c r="F7785" s="3064"/>
      <c r="G7785" s="3301" t="s">
        <v>675</v>
      </c>
      <c r="H7785" s="3063"/>
      <c r="I7785" s="3030"/>
    </row>
    <row r="7786" spans="2:9" ht="25.5">
      <c r="B7786" s="3192" t="s">
        <v>676</v>
      </c>
      <c r="C7786" s="3063"/>
      <c r="D7786" s="3064"/>
      <c r="E7786" s="3064"/>
      <c r="F7786" s="3064"/>
      <c r="G7786" s="3301" t="s">
        <v>676</v>
      </c>
      <c r="H7786" s="3063"/>
      <c r="I7786" s="3030"/>
    </row>
    <row r="7787" spans="2:9">
      <c r="B7787" s="3192" t="s">
        <v>677</v>
      </c>
      <c r="C7787" s="3063"/>
      <c r="D7787" s="3064"/>
      <c r="E7787" s="3064"/>
      <c r="F7787" s="3064"/>
      <c r="G7787" s="3301" t="s">
        <v>677</v>
      </c>
      <c r="H7787" s="3063"/>
      <c r="I7787" s="3030"/>
    </row>
    <row r="7788" spans="2:9">
      <c r="B7788" s="3192" t="s">
        <v>678</v>
      </c>
      <c r="C7788" s="3063"/>
      <c r="D7788" s="3064"/>
      <c r="E7788" s="3064"/>
      <c r="F7788" s="3064"/>
      <c r="G7788" s="3301" t="s">
        <v>678</v>
      </c>
      <c r="H7788" s="3063"/>
      <c r="I7788" s="3030"/>
    </row>
    <row r="7789" spans="2:9">
      <c r="B7789" s="3192" t="s">
        <v>679</v>
      </c>
      <c r="C7789" s="3063"/>
      <c r="D7789" s="3064"/>
      <c r="E7789" s="3064"/>
      <c r="F7789" s="3064"/>
      <c r="G7789" s="3301" t="s">
        <v>679</v>
      </c>
      <c r="H7789" s="3063"/>
      <c r="I7789" s="3030"/>
    </row>
    <row r="7790" spans="2:9" ht="25.5">
      <c r="B7790" s="3192" t="s">
        <v>720</v>
      </c>
      <c r="C7790" s="3063"/>
      <c r="D7790" s="3064"/>
      <c r="E7790" s="3064"/>
      <c r="F7790" s="3064"/>
      <c r="G7790" s="3301" t="s">
        <v>720</v>
      </c>
      <c r="H7790" s="3063"/>
      <c r="I7790" s="3030"/>
    </row>
    <row r="7791" spans="2:9" ht="25.5">
      <c r="B7791" s="3299" t="s">
        <v>682</v>
      </c>
      <c r="C7791" s="3063"/>
      <c r="D7791" s="3064"/>
      <c r="E7791" s="3064"/>
      <c r="F7791" s="3064"/>
      <c r="G7791" s="3300" t="s">
        <v>682</v>
      </c>
      <c r="H7791" s="3063"/>
      <c r="I7791" s="3030"/>
    </row>
    <row r="7792" spans="2:9" ht="25.5">
      <c r="B7792" s="3192" t="s">
        <v>675</v>
      </c>
      <c r="C7792" s="3063"/>
      <c r="D7792" s="3064"/>
      <c r="E7792" s="3064"/>
      <c r="F7792" s="3064"/>
      <c r="G7792" s="3301" t="s">
        <v>675</v>
      </c>
      <c r="H7792" s="3063"/>
      <c r="I7792" s="3030"/>
    </row>
    <row r="7793" spans="2:9" ht="25.5">
      <c r="B7793" s="3192" t="s">
        <v>676</v>
      </c>
      <c r="C7793" s="3063"/>
      <c r="D7793" s="3064"/>
      <c r="E7793" s="3064"/>
      <c r="F7793" s="3064"/>
      <c r="G7793" s="3301" t="s">
        <v>676</v>
      </c>
      <c r="H7793" s="3063"/>
      <c r="I7793" s="3030"/>
    </row>
    <row r="7794" spans="2:9">
      <c r="B7794" s="3192" t="s">
        <v>677</v>
      </c>
      <c r="C7794" s="3063"/>
      <c r="D7794" s="3064"/>
      <c r="E7794" s="3064"/>
      <c r="F7794" s="3064"/>
      <c r="G7794" s="3301" t="s">
        <v>677</v>
      </c>
      <c r="H7794" s="3063"/>
      <c r="I7794" s="3030"/>
    </row>
    <row r="7795" spans="2:9">
      <c r="B7795" s="3192" t="s">
        <v>678</v>
      </c>
      <c r="C7795" s="3063"/>
      <c r="D7795" s="3064"/>
      <c r="E7795" s="3064"/>
      <c r="F7795" s="3064"/>
      <c r="G7795" s="3301" t="s">
        <v>678</v>
      </c>
      <c r="H7795" s="3063"/>
      <c r="I7795" s="3030"/>
    </row>
    <row r="7796" spans="2:9">
      <c r="B7796" s="3192" t="s">
        <v>679</v>
      </c>
      <c r="C7796" s="3063"/>
      <c r="D7796" s="3064"/>
      <c r="E7796" s="3064"/>
      <c r="F7796" s="3064"/>
      <c r="G7796" s="3301" t="s">
        <v>679</v>
      </c>
      <c r="H7796" s="3063"/>
      <c r="I7796" s="3030"/>
    </row>
    <row r="7797" spans="2:9" ht="25.5">
      <c r="B7797" s="3192" t="s">
        <v>720</v>
      </c>
      <c r="C7797" s="3063"/>
      <c r="D7797" s="3064"/>
      <c r="E7797" s="3064"/>
      <c r="F7797" s="3064"/>
      <c r="G7797" s="3301" t="s">
        <v>720</v>
      </c>
      <c r="H7797" s="3063"/>
      <c r="I7797" s="3030"/>
    </row>
    <row r="7798" spans="2:9" ht="25.5">
      <c r="B7798" s="3299" t="s">
        <v>66</v>
      </c>
      <c r="C7798" s="3063"/>
      <c r="D7798" s="3064"/>
      <c r="E7798" s="3064"/>
      <c r="F7798" s="3064"/>
      <c r="G7798" s="3300" t="s">
        <v>66</v>
      </c>
      <c r="H7798" s="3063"/>
      <c r="I7798" s="3030"/>
    </row>
    <row r="7799" spans="2:9" ht="25.5">
      <c r="B7799" s="3192" t="s">
        <v>675</v>
      </c>
      <c r="C7799" s="3063"/>
      <c r="D7799" s="3064"/>
      <c r="E7799" s="3064"/>
      <c r="F7799" s="3064"/>
      <c r="G7799" s="3301" t="s">
        <v>675</v>
      </c>
      <c r="H7799" s="3063"/>
      <c r="I7799" s="3030"/>
    </row>
    <row r="7800" spans="2:9" ht="25.5">
      <c r="B7800" s="3192" t="s">
        <v>676</v>
      </c>
      <c r="C7800" s="3063"/>
      <c r="D7800" s="3064"/>
      <c r="E7800" s="3064"/>
      <c r="F7800" s="3064"/>
      <c r="G7800" s="3301" t="s">
        <v>676</v>
      </c>
      <c r="H7800" s="3063"/>
      <c r="I7800" s="3030"/>
    </row>
    <row r="7801" spans="2:9">
      <c r="B7801" s="3192" t="s">
        <v>677</v>
      </c>
      <c r="C7801" s="3063"/>
      <c r="D7801" s="3064"/>
      <c r="E7801" s="3064"/>
      <c r="F7801" s="3064"/>
      <c r="G7801" s="3301" t="s">
        <v>677</v>
      </c>
      <c r="H7801" s="3063"/>
      <c r="I7801" s="3030"/>
    </row>
    <row r="7802" spans="2:9">
      <c r="B7802" s="3192" t="s">
        <v>678</v>
      </c>
      <c r="C7802" s="3063"/>
      <c r="D7802" s="3064"/>
      <c r="E7802" s="3064"/>
      <c r="F7802" s="3064"/>
      <c r="G7802" s="3301" t="s">
        <v>678</v>
      </c>
      <c r="H7802" s="3063"/>
      <c r="I7802" s="3030"/>
    </row>
    <row r="7803" spans="2:9">
      <c r="B7803" s="3192" t="s">
        <v>679</v>
      </c>
      <c r="C7803" s="3063"/>
      <c r="D7803" s="3064"/>
      <c r="E7803" s="3064"/>
      <c r="F7803" s="3064"/>
      <c r="G7803" s="3301" t="s">
        <v>679</v>
      </c>
      <c r="H7803" s="3063"/>
      <c r="I7803" s="3030"/>
    </row>
    <row r="7804" spans="2:9" ht="25.5">
      <c r="B7804" s="3192" t="s">
        <v>720</v>
      </c>
      <c r="C7804" s="3063"/>
      <c r="D7804" s="3064"/>
      <c r="E7804" s="3064"/>
      <c r="F7804" s="3064"/>
      <c r="G7804" s="3301" t="s">
        <v>720</v>
      </c>
      <c r="H7804" s="3063"/>
      <c r="I7804" s="3030"/>
    </row>
    <row r="7805" spans="2:9">
      <c r="B7805" s="3299" t="s">
        <v>67</v>
      </c>
      <c r="C7805" s="3063"/>
      <c r="D7805" s="3064"/>
      <c r="E7805" s="3064"/>
      <c r="F7805" s="3064"/>
      <c r="G7805" s="3300" t="s">
        <v>67</v>
      </c>
      <c r="H7805" s="3063"/>
      <c r="I7805" s="3030"/>
    </row>
    <row r="7806" spans="2:9" ht="25.5">
      <c r="B7806" s="3192" t="s">
        <v>675</v>
      </c>
      <c r="C7806" s="3063"/>
      <c r="D7806" s="3064"/>
      <c r="E7806" s="3064"/>
      <c r="F7806" s="3064"/>
      <c r="G7806" s="3301" t="s">
        <v>675</v>
      </c>
      <c r="H7806" s="3063"/>
      <c r="I7806" s="3030"/>
    </row>
    <row r="7807" spans="2:9" ht="25.5">
      <c r="B7807" s="3192" t="s">
        <v>676</v>
      </c>
      <c r="C7807" s="3063"/>
      <c r="D7807" s="3064"/>
      <c r="E7807" s="3064"/>
      <c r="F7807" s="3064"/>
      <c r="G7807" s="3301" t="s">
        <v>676</v>
      </c>
      <c r="H7807" s="3063"/>
      <c r="I7807" s="3030"/>
    </row>
    <row r="7808" spans="2:9">
      <c r="B7808" s="3192" t="s">
        <v>677</v>
      </c>
      <c r="C7808" s="3063"/>
      <c r="D7808" s="3064"/>
      <c r="E7808" s="3064"/>
      <c r="F7808" s="3064"/>
      <c r="G7808" s="3301" t="s">
        <v>677</v>
      </c>
      <c r="H7808" s="3063"/>
      <c r="I7808" s="3030"/>
    </row>
    <row r="7809" spans="2:9">
      <c r="B7809" s="3192" t="s">
        <v>678</v>
      </c>
      <c r="C7809" s="3063"/>
      <c r="D7809" s="3064"/>
      <c r="E7809" s="3064"/>
      <c r="F7809" s="3064"/>
      <c r="G7809" s="3301" t="s">
        <v>678</v>
      </c>
      <c r="H7809" s="3063"/>
      <c r="I7809" s="3030"/>
    </row>
    <row r="7810" spans="2:9">
      <c r="B7810" s="3192" t="s">
        <v>679</v>
      </c>
      <c r="C7810" s="3063"/>
      <c r="D7810" s="3064"/>
      <c r="E7810" s="3064"/>
      <c r="F7810" s="3064"/>
      <c r="G7810" s="3301" t="s">
        <v>679</v>
      </c>
      <c r="H7810" s="3063"/>
      <c r="I7810" s="3030"/>
    </row>
    <row r="7811" spans="2:9" ht="25.5">
      <c r="B7811" s="3192" t="s">
        <v>720</v>
      </c>
      <c r="C7811" s="3063"/>
      <c r="D7811" s="3064"/>
      <c r="E7811" s="3064"/>
      <c r="F7811" s="3064"/>
      <c r="G7811" s="3301" t="s">
        <v>720</v>
      </c>
      <c r="H7811" s="3063"/>
      <c r="I7811" s="3030"/>
    </row>
    <row r="7812" spans="2:9" ht="25.5">
      <c r="B7812" s="3230" t="s">
        <v>81</v>
      </c>
      <c r="C7812" s="3063"/>
      <c r="D7812" s="3064"/>
      <c r="E7812" s="3064"/>
      <c r="F7812" s="3064"/>
      <c r="G7812" s="3302" t="s">
        <v>81</v>
      </c>
      <c r="H7812" s="3063"/>
      <c r="I7812" s="3030"/>
    </row>
    <row r="7813" spans="2:9" ht="26.25" thickBot="1">
      <c r="B7813" s="3303" t="s">
        <v>81</v>
      </c>
      <c r="C7813" s="3063"/>
      <c r="D7813" s="3064"/>
      <c r="E7813" s="3064"/>
      <c r="F7813" s="3064"/>
      <c r="G7813" s="3302" t="s">
        <v>81</v>
      </c>
      <c r="H7813" s="3063"/>
      <c r="I7813" s="3030"/>
    </row>
    <row r="7814" spans="2:9" ht="25.5">
      <c r="B7814" s="3217" t="s">
        <v>696</v>
      </c>
      <c r="C7814" s="3218"/>
      <c r="D7814" s="3219"/>
      <c r="E7814" s="3219"/>
      <c r="F7814" s="3219"/>
      <c r="G7814" s="3217" t="s">
        <v>696</v>
      </c>
      <c r="H7814" s="3297"/>
      <c r="I7814" s="3298"/>
    </row>
    <row r="7815" spans="2:9">
      <c r="B7815" s="3299" t="s">
        <v>64</v>
      </c>
      <c r="C7815" s="3063"/>
      <c r="D7815" s="3064"/>
      <c r="E7815" s="3064"/>
      <c r="F7815" s="3064"/>
      <c r="G7815" s="3300" t="s">
        <v>64</v>
      </c>
      <c r="H7815" s="3063"/>
      <c r="I7815" s="3030"/>
    </row>
    <row r="7816" spans="2:9" ht="25.5">
      <c r="B7816" s="3192" t="s">
        <v>675</v>
      </c>
      <c r="C7816" s="3063"/>
      <c r="D7816" s="3064"/>
      <c r="E7816" s="3064"/>
      <c r="F7816" s="3064"/>
      <c r="G7816" s="3301" t="s">
        <v>675</v>
      </c>
      <c r="H7816" s="3063"/>
      <c r="I7816" s="3030"/>
    </row>
    <row r="7817" spans="2:9" ht="25.5">
      <c r="B7817" s="3192" t="s">
        <v>676</v>
      </c>
      <c r="C7817" s="3063"/>
      <c r="D7817" s="3064"/>
      <c r="E7817" s="3064"/>
      <c r="F7817" s="3064"/>
      <c r="G7817" s="3301" t="s">
        <v>676</v>
      </c>
      <c r="H7817" s="3063"/>
      <c r="I7817" s="3030"/>
    </row>
    <row r="7818" spans="2:9">
      <c r="B7818" s="3192" t="s">
        <v>677</v>
      </c>
      <c r="C7818" s="3063"/>
      <c r="D7818" s="3064"/>
      <c r="E7818" s="3064"/>
      <c r="F7818" s="3064"/>
      <c r="G7818" s="3301" t="s">
        <v>677</v>
      </c>
      <c r="H7818" s="3063"/>
      <c r="I7818" s="3030"/>
    </row>
    <row r="7819" spans="2:9">
      <c r="B7819" s="3192" t="s">
        <v>678</v>
      </c>
      <c r="C7819" s="3063"/>
      <c r="D7819" s="3064"/>
      <c r="E7819" s="3064"/>
      <c r="F7819" s="3064"/>
      <c r="G7819" s="3301" t="s">
        <v>678</v>
      </c>
      <c r="H7819" s="3063"/>
      <c r="I7819" s="3030"/>
    </row>
    <row r="7820" spans="2:9">
      <c r="B7820" s="3192" t="s">
        <v>679</v>
      </c>
      <c r="C7820" s="3063"/>
      <c r="D7820" s="3064"/>
      <c r="E7820" s="3064"/>
      <c r="F7820" s="3064"/>
      <c r="G7820" s="3301" t="s">
        <v>679</v>
      </c>
      <c r="H7820" s="3063"/>
      <c r="I7820" s="3030"/>
    </row>
    <row r="7821" spans="2:9" ht="25.5">
      <c r="B7821" s="3192" t="s">
        <v>720</v>
      </c>
      <c r="C7821" s="3063"/>
      <c r="D7821" s="3064"/>
      <c r="E7821" s="3064"/>
      <c r="F7821" s="3064"/>
      <c r="G7821" s="3301" t="s">
        <v>720</v>
      </c>
      <c r="H7821" s="3063"/>
      <c r="I7821" s="3030"/>
    </row>
    <row r="7822" spans="2:9">
      <c r="B7822" s="3299" t="s">
        <v>65</v>
      </c>
      <c r="C7822" s="3063"/>
      <c r="D7822" s="3064"/>
      <c r="E7822" s="3064"/>
      <c r="F7822" s="3064"/>
      <c r="G7822" s="3300" t="s">
        <v>65</v>
      </c>
      <c r="H7822" s="3063"/>
      <c r="I7822" s="3030"/>
    </row>
    <row r="7823" spans="2:9" ht="25.5">
      <c r="B7823" s="3192" t="s">
        <v>675</v>
      </c>
      <c r="C7823" s="3063"/>
      <c r="D7823" s="3064"/>
      <c r="E7823" s="3064"/>
      <c r="F7823" s="3064"/>
      <c r="G7823" s="3301" t="s">
        <v>675</v>
      </c>
      <c r="H7823" s="3063"/>
      <c r="I7823" s="3030"/>
    </row>
    <row r="7824" spans="2:9" ht="25.5">
      <c r="B7824" s="3192" t="s">
        <v>676</v>
      </c>
      <c r="C7824" s="3063"/>
      <c r="D7824" s="3064"/>
      <c r="E7824" s="3064"/>
      <c r="F7824" s="3064"/>
      <c r="G7824" s="3301" t="s">
        <v>676</v>
      </c>
      <c r="H7824" s="3063"/>
      <c r="I7824" s="3030"/>
    </row>
    <row r="7825" spans="2:9">
      <c r="B7825" s="3192" t="s">
        <v>677</v>
      </c>
      <c r="C7825" s="3063"/>
      <c r="D7825" s="3064"/>
      <c r="E7825" s="3064"/>
      <c r="F7825" s="3064"/>
      <c r="G7825" s="3301" t="s">
        <v>677</v>
      </c>
      <c r="H7825" s="3063"/>
      <c r="I7825" s="3030"/>
    </row>
    <row r="7826" spans="2:9">
      <c r="B7826" s="3192" t="s">
        <v>678</v>
      </c>
      <c r="C7826" s="3063"/>
      <c r="D7826" s="3064"/>
      <c r="E7826" s="3064"/>
      <c r="F7826" s="3064"/>
      <c r="G7826" s="3301" t="s">
        <v>678</v>
      </c>
      <c r="H7826" s="3063"/>
      <c r="I7826" s="3030"/>
    </row>
    <row r="7827" spans="2:9">
      <c r="B7827" s="3192" t="s">
        <v>679</v>
      </c>
      <c r="C7827" s="3063"/>
      <c r="D7827" s="3064"/>
      <c r="E7827" s="3064"/>
      <c r="F7827" s="3064"/>
      <c r="G7827" s="3301" t="s">
        <v>679</v>
      </c>
      <c r="H7827" s="3063"/>
      <c r="I7827" s="3030"/>
    </row>
    <row r="7828" spans="2:9" ht="25.5">
      <c r="B7828" s="3192" t="s">
        <v>720</v>
      </c>
      <c r="C7828" s="3063"/>
      <c r="D7828" s="3064"/>
      <c r="E7828" s="3064"/>
      <c r="F7828" s="3064"/>
      <c r="G7828" s="3301" t="s">
        <v>720</v>
      </c>
      <c r="H7828" s="3063"/>
      <c r="I7828" s="3030"/>
    </row>
    <row r="7829" spans="2:9">
      <c r="B7829" s="3299" t="s">
        <v>82</v>
      </c>
      <c r="C7829" s="3063"/>
      <c r="D7829" s="3064"/>
      <c r="E7829" s="3064"/>
      <c r="F7829" s="3064"/>
      <c r="G7829" s="3300" t="s">
        <v>82</v>
      </c>
      <c r="H7829" s="3063"/>
      <c r="I7829" s="3030"/>
    </row>
    <row r="7830" spans="2:9" ht="25.5">
      <c r="B7830" s="3192" t="s">
        <v>675</v>
      </c>
      <c r="C7830" s="3063"/>
      <c r="D7830" s="3064"/>
      <c r="E7830" s="3064"/>
      <c r="F7830" s="3064"/>
      <c r="G7830" s="3301" t="s">
        <v>675</v>
      </c>
      <c r="H7830" s="3063"/>
      <c r="I7830" s="3030"/>
    </row>
    <row r="7831" spans="2:9" ht="25.5">
      <c r="B7831" s="3192" t="s">
        <v>676</v>
      </c>
      <c r="C7831" s="3063"/>
      <c r="D7831" s="3064"/>
      <c r="E7831" s="3064"/>
      <c r="F7831" s="3064"/>
      <c r="G7831" s="3301" t="s">
        <v>676</v>
      </c>
      <c r="H7831" s="3063"/>
      <c r="I7831" s="3030"/>
    </row>
    <row r="7832" spans="2:9">
      <c r="B7832" s="3192" t="s">
        <v>677</v>
      </c>
      <c r="C7832" s="3063"/>
      <c r="D7832" s="3064"/>
      <c r="E7832" s="3064"/>
      <c r="F7832" s="3064"/>
      <c r="G7832" s="3301" t="s">
        <v>677</v>
      </c>
      <c r="H7832" s="3063"/>
      <c r="I7832" s="3030"/>
    </row>
    <row r="7833" spans="2:9">
      <c r="B7833" s="3192" t="s">
        <v>678</v>
      </c>
      <c r="C7833" s="3063"/>
      <c r="D7833" s="3064"/>
      <c r="E7833" s="3064"/>
      <c r="F7833" s="3064"/>
      <c r="G7833" s="3301" t="s">
        <v>678</v>
      </c>
      <c r="H7833" s="3063"/>
      <c r="I7833" s="3030"/>
    </row>
    <row r="7834" spans="2:9">
      <c r="B7834" s="3192" t="s">
        <v>679</v>
      </c>
      <c r="C7834" s="3063"/>
      <c r="D7834" s="3064"/>
      <c r="E7834" s="3064"/>
      <c r="F7834" s="3064"/>
      <c r="G7834" s="3301" t="s">
        <v>679</v>
      </c>
      <c r="H7834" s="3063"/>
      <c r="I7834" s="3030"/>
    </row>
    <row r="7835" spans="2:9" ht="25.5">
      <c r="B7835" s="3192" t="s">
        <v>720</v>
      </c>
      <c r="C7835" s="3063"/>
      <c r="D7835" s="3064"/>
      <c r="E7835" s="3064"/>
      <c r="F7835" s="3064"/>
      <c r="G7835" s="3301" t="s">
        <v>720</v>
      </c>
      <c r="H7835" s="3063"/>
      <c r="I7835" s="3030"/>
    </row>
    <row r="7836" spans="2:9" ht="38.25">
      <c r="B7836" s="3299" t="s">
        <v>680</v>
      </c>
      <c r="C7836" s="3063"/>
      <c r="D7836" s="3064"/>
      <c r="E7836" s="3064"/>
      <c r="F7836" s="3064"/>
      <c r="G7836" s="3300" t="s">
        <v>680</v>
      </c>
      <c r="H7836" s="3063"/>
      <c r="I7836" s="3030"/>
    </row>
    <row r="7837" spans="2:9" ht="25.5">
      <c r="B7837" s="3192" t="s">
        <v>675</v>
      </c>
      <c r="C7837" s="3063"/>
      <c r="D7837" s="3064"/>
      <c r="E7837" s="3064"/>
      <c r="F7837" s="3064"/>
      <c r="G7837" s="3301" t="s">
        <v>675</v>
      </c>
      <c r="H7837" s="3063"/>
      <c r="I7837" s="3030"/>
    </row>
    <row r="7838" spans="2:9" ht="25.5">
      <c r="B7838" s="3192" t="s">
        <v>676</v>
      </c>
      <c r="C7838" s="3063"/>
      <c r="D7838" s="3064"/>
      <c r="E7838" s="3064"/>
      <c r="F7838" s="3064"/>
      <c r="G7838" s="3301" t="s">
        <v>676</v>
      </c>
      <c r="H7838" s="3063"/>
      <c r="I7838" s="3030"/>
    </row>
    <row r="7839" spans="2:9">
      <c r="B7839" s="3192" t="s">
        <v>677</v>
      </c>
      <c r="C7839" s="3063"/>
      <c r="D7839" s="3064"/>
      <c r="E7839" s="3064"/>
      <c r="F7839" s="3064"/>
      <c r="G7839" s="3301" t="s">
        <v>677</v>
      </c>
      <c r="H7839" s="3063"/>
      <c r="I7839" s="3030"/>
    </row>
    <row r="7840" spans="2:9">
      <c r="B7840" s="3192" t="s">
        <v>678</v>
      </c>
      <c r="C7840" s="3063"/>
      <c r="D7840" s="3064"/>
      <c r="E7840" s="3064"/>
      <c r="F7840" s="3064"/>
      <c r="G7840" s="3301" t="s">
        <v>678</v>
      </c>
      <c r="H7840" s="3063"/>
      <c r="I7840" s="3030"/>
    </row>
    <row r="7841" spans="2:9">
      <c r="B7841" s="3192" t="s">
        <v>679</v>
      </c>
      <c r="C7841" s="3063"/>
      <c r="D7841" s="3064"/>
      <c r="E7841" s="3064"/>
      <c r="F7841" s="3064"/>
      <c r="G7841" s="3301" t="s">
        <v>679</v>
      </c>
      <c r="H7841" s="3063"/>
      <c r="I7841" s="3030"/>
    </row>
    <row r="7842" spans="2:9" ht="25.5">
      <c r="B7842" s="3192" t="s">
        <v>720</v>
      </c>
      <c r="C7842" s="3063"/>
      <c r="D7842" s="3064"/>
      <c r="E7842" s="3064"/>
      <c r="F7842" s="3064"/>
      <c r="G7842" s="3301" t="s">
        <v>720</v>
      </c>
      <c r="H7842" s="3063"/>
      <c r="I7842" s="3030"/>
    </row>
    <row r="7843" spans="2:9" ht="38.25">
      <c r="B7843" s="3299" t="s">
        <v>681</v>
      </c>
      <c r="C7843" s="3063"/>
      <c r="D7843" s="3064"/>
      <c r="E7843" s="3064"/>
      <c r="F7843" s="3064"/>
      <c r="G7843" s="3300" t="s">
        <v>681</v>
      </c>
      <c r="H7843" s="3063"/>
      <c r="I7843" s="3030"/>
    </row>
    <row r="7844" spans="2:9" ht="25.5">
      <c r="B7844" s="3192" t="s">
        <v>675</v>
      </c>
      <c r="C7844" s="3063"/>
      <c r="D7844" s="3064"/>
      <c r="E7844" s="3064"/>
      <c r="F7844" s="3064"/>
      <c r="G7844" s="3301" t="s">
        <v>675</v>
      </c>
      <c r="H7844" s="3063"/>
      <c r="I7844" s="3030"/>
    </row>
    <row r="7845" spans="2:9" ht="25.5">
      <c r="B7845" s="3192" t="s">
        <v>676</v>
      </c>
      <c r="C7845" s="3063"/>
      <c r="D7845" s="3064"/>
      <c r="E7845" s="3064"/>
      <c r="F7845" s="3064"/>
      <c r="G7845" s="3301" t="s">
        <v>676</v>
      </c>
      <c r="H7845" s="3063"/>
      <c r="I7845" s="3030"/>
    </row>
    <row r="7846" spans="2:9">
      <c r="B7846" s="3192" t="s">
        <v>677</v>
      </c>
      <c r="C7846" s="3063"/>
      <c r="D7846" s="3064"/>
      <c r="E7846" s="3064"/>
      <c r="F7846" s="3064"/>
      <c r="G7846" s="3301" t="s">
        <v>677</v>
      </c>
      <c r="H7846" s="3063"/>
      <c r="I7846" s="3030"/>
    </row>
    <row r="7847" spans="2:9">
      <c r="B7847" s="3192" t="s">
        <v>678</v>
      </c>
      <c r="C7847" s="3063"/>
      <c r="D7847" s="3064"/>
      <c r="E7847" s="3064"/>
      <c r="F7847" s="3064"/>
      <c r="G7847" s="3301" t="s">
        <v>678</v>
      </c>
      <c r="H7847" s="3063"/>
      <c r="I7847" s="3030"/>
    </row>
    <row r="7848" spans="2:9">
      <c r="B7848" s="3192" t="s">
        <v>679</v>
      </c>
      <c r="C7848" s="3063"/>
      <c r="D7848" s="3064"/>
      <c r="E7848" s="3064"/>
      <c r="F7848" s="3064"/>
      <c r="G7848" s="3301" t="s">
        <v>679</v>
      </c>
      <c r="H7848" s="3063"/>
      <c r="I7848" s="3030"/>
    </row>
    <row r="7849" spans="2:9" ht="25.5">
      <c r="B7849" s="3192" t="s">
        <v>720</v>
      </c>
      <c r="C7849" s="3063"/>
      <c r="D7849" s="3064"/>
      <c r="E7849" s="3064"/>
      <c r="F7849" s="3064"/>
      <c r="G7849" s="3301" t="s">
        <v>720</v>
      </c>
      <c r="H7849" s="3063"/>
      <c r="I7849" s="3030"/>
    </row>
    <row r="7850" spans="2:9" ht="25.5">
      <c r="B7850" s="3299" t="s">
        <v>682</v>
      </c>
      <c r="C7850" s="3063"/>
      <c r="D7850" s="3064"/>
      <c r="E7850" s="3064"/>
      <c r="F7850" s="3064"/>
      <c r="G7850" s="3300" t="s">
        <v>682</v>
      </c>
      <c r="H7850" s="3063"/>
      <c r="I7850" s="3030"/>
    </row>
    <row r="7851" spans="2:9" ht="25.5">
      <c r="B7851" s="3192" t="s">
        <v>675</v>
      </c>
      <c r="C7851" s="3063"/>
      <c r="D7851" s="3064"/>
      <c r="E7851" s="3064"/>
      <c r="F7851" s="3064"/>
      <c r="G7851" s="3301" t="s">
        <v>675</v>
      </c>
      <c r="H7851" s="3063"/>
      <c r="I7851" s="3030"/>
    </row>
    <row r="7852" spans="2:9" ht="25.5">
      <c r="B7852" s="3192" t="s">
        <v>676</v>
      </c>
      <c r="C7852" s="3063"/>
      <c r="D7852" s="3064"/>
      <c r="E7852" s="3064"/>
      <c r="F7852" s="3064"/>
      <c r="G7852" s="3301" t="s">
        <v>676</v>
      </c>
      <c r="H7852" s="3063"/>
      <c r="I7852" s="3030"/>
    </row>
    <row r="7853" spans="2:9">
      <c r="B7853" s="3192" t="s">
        <v>677</v>
      </c>
      <c r="C7853" s="3063"/>
      <c r="D7853" s="3064"/>
      <c r="E7853" s="3064"/>
      <c r="F7853" s="3064"/>
      <c r="G7853" s="3301" t="s">
        <v>677</v>
      </c>
      <c r="H7853" s="3063"/>
      <c r="I7853" s="3030"/>
    </row>
    <row r="7854" spans="2:9">
      <c r="B7854" s="3192" t="s">
        <v>678</v>
      </c>
      <c r="C7854" s="3063"/>
      <c r="D7854" s="3064"/>
      <c r="E7854" s="3064"/>
      <c r="F7854" s="3064"/>
      <c r="G7854" s="3301" t="s">
        <v>678</v>
      </c>
      <c r="H7854" s="3063"/>
      <c r="I7854" s="3030"/>
    </row>
    <row r="7855" spans="2:9">
      <c r="B7855" s="3192" t="s">
        <v>679</v>
      </c>
      <c r="C7855" s="3063"/>
      <c r="D7855" s="3064"/>
      <c r="E7855" s="3064"/>
      <c r="F7855" s="3064"/>
      <c r="G7855" s="3301" t="s">
        <v>679</v>
      </c>
      <c r="H7855" s="3063"/>
      <c r="I7855" s="3030"/>
    </row>
    <row r="7856" spans="2:9" ht="25.5">
      <c r="B7856" s="3192" t="s">
        <v>720</v>
      </c>
      <c r="C7856" s="3063"/>
      <c r="D7856" s="3064"/>
      <c r="E7856" s="3064"/>
      <c r="F7856" s="3064"/>
      <c r="G7856" s="3301" t="s">
        <v>720</v>
      </c>
      <c r="H7856" s="3063"/>
      <c r="I7856" s="3030"/>
    </row>
    <row r="7857" spans="2:9" ht="25.5">
      <c r="B7857" s="3299" t="s">
        <v>66</v>
      </c>
      <c r="C7857" s="3063"/>
      <c r="D7857" s="3064"/>
      <c r="E7857" s="3064"/>
      <c r="F7857" s="3064"/>
      <c r="G7857" s="3300" t="s">
        <v>66</v>
      </c>
      <c r="H7857" s="3063"/>
      <c r="I7857" s="3030"/>
    </row>
    <row r="7858" spans="2:9" ht="25.5">
      <c r="B7858" s="3192" t="s">
        <v>675</v>
      </c>
      <c r="C7858" s="3063"/>
      <c r="D7858" s="3064"/>
      <c r="E7858" s="3064"/>
      <c r="F7858" s="3064"/>
      <c r="G7858" s="3301" t="s">
        <v>675</v>
      </c>
      <c r="H7858" s="3063"/>
      <c r="I7858" s="3030"/>
    </row>
    <row r="7859" spans="2:9" ht="25.5">
      <c r="B7859" s="3192" t="s">
        <v>676</v>
      </c>
      <c r="C7859" s="3063"/>
      <c r="D7859" s="3064"/>
      <c r="E7859" s="3064"/>
      <c r="F7859" s="3064"/>
      <c r="G7859" s="3301" t="s">
        <v>676</v>
      </c>
      <c r="H7859" s="3063"/>
      <c r="I7859" s="3030"/>
    </row>
    <row r="7860" spans="2:9">
      <c r="B7860" s="3192" t="s">
        <v>677</v>
      </c>
      <c r="C7860" s="3063"/>
      <c r="D7860" s="3064"/>
      <c r="E7860" s="3064"/>
      <c r="F7860" s="3064"/>
      <c r="G7860" s="3301" t="s">
        <v>677</v>
      </c>
      <c r="H7860" s="3063"/>
      <c r="I7860" s="3030"/>
    </row>
    <row r="7861" spans="2:9">
      <c r="B7861" s="3192" t="s">
        <v>678</v>
      </c>
      <c r="C7861" s="3063"/>
      <c r="D7861" s="3064"/>
      <c r="E7861" s="3064"/>
      <c r="F7861" s="3064"/>
      <c r="G7861" s="3301" t="s">
        <v>678</v>
      </c>
      <c r="H7861" s="3063"/>
      <c r="I7861" s="3030"/>
    </row>
    <row r="7862" spans="2:9">
      <c r="B7862" s="3192" t="s">
        <v>679</v>
      </c>
      <c r="C7862" s="3063"/>
      <c r="D7862" s="3064"/>
      <c r="E7862" s="3064"/>
      <c r="F7862" s="3064"/>
      <c r="G7862" s="3301" t="s">
        <v>679</v>
      </c>
      <c r="H7862" s="3063"/>
      <c r="I7862" s="3030"/>
    </row>
    <row r="7863" spans="2:9" ht="25.5">
      <c r="B7863" s="3192" t="s">
        <v>720</v>
      </c>
      <c r="C7863" s="3063"/>
      <c r="D7863" s="3064"/>
      <c r="E7863" s="3064"/>
      <c r="F7863" s="3064"/>
      <c r="G7863" s="3301" t="s">
        <v>720</v>
      </c>
      <c r="H7863" s="3063"/>
      <c r="I7863" s="3030"/>
    </row>
    <row r="7864" spans="2:9">
      <c r="B7864" s="3299" t="s">
        <v>67</v>
      </c>
      <c r="C7864" s="3063"/>
      <c r="D7864" s="3064"/>
      <c r="E7864" s="3064"/>
      <c r="F7864" s="3064"/>
      <c r="G7864" s="3300" t="s">
        <v>67</v>
      </c>
      <c r="H7864" s="3063"/>
      <c r="I7864" s="3030"/>
    </row>
    <row r="7865" spans="2:9" ht="25.5">
      <c r="B7865" s="3192" t="s">
        <v>675</v>
      </c>
      <c r="C7865" s="3063"/>
      <c r="D7865" s="3064"/>
      <c r="E7865" s="3064"/>
      <c r="F7865" s="3064"/>
      <c r="G7865" s="3301" t="s">
        <v>675</v>
      </c>
      <c r="H7865" s="3063"/>
      <c r="I7865" s="3030"/>
    </row>
    <row r="7866" spans="2:9" ht="25.5">
      <c r="B7866" s="3192" t="s">
        <v>676</v>
      </c>
      <c r="C7866" s="3063"/>
      <c r="D7866" s="3064"/>
      <c r="E7866" s="3064"/>
      <c r="F7866" s="3064"/>
      <c r="G7866" s="3301" t="s">
        <v>676</v>
      </c>
      <c r="H7866" s="3063"/>
      <c r="I7866" s="3030"/>
    </row>
    <row r="7867" spans="2:9">
      <c r="B7867" s="3192" t="s">
        <v>677</v>
      </c>
      <c r="C7867" s="3063"/>
      <c r="D7867" s="3064"/>
      <c r="E7867" s="3064"/>
      <c r="F7867" s="3064"/>
      <c r="G7867" s="3301" t="s">
        <v>677</v>
      </c>
      <c r="H7867" s="3063"/>
      <c r="I7867" s="3030"/>
    </row>
    <row r="7868" spans="2:9">
      <c r="B7868" s="3192" t="s">
        <v>678</v>
      </c>
      <c r="C7868" s="3063"/>
      <c r="D7868" s="3064"/>
      <c r="E7868" s="3064"/>
      <c r="F7868" s="3064"/>
      <c r="G7868" s="3301" t="s">
        <v>678</v>
      </c>
      <c r="H7868" s="3063"/>
      <c r="I7868" s="3030"/>
    </row>
    <row r="7869" spans="2:9">
      <c r="B7869" s="3192" t="s">
        <v>679</v>
      </c>
      <c r="C7869" s="3063"/>
      <c r="D7869" s="3064"/>
      <c r="E7869" s="3064"/>
      <c r="F7869" s="3064"/>
      <c r="G7869" s="3301" t="s">
        <v>679</v>
      </c>
      <c r="H7869" s="3063"/>
      <c r="I7869" s="3030"/>
    </row>
    <row r="7870" spans="2:9" ht="25.5">
      <c r="B7870" s="3230" t="s">
        <v>81</v>
      </c>
      <c r="C7870" s="3063"/>
      <c r="D7870" s="3064"/>
      <c r="E7870" s="3064"/>
      <c r="F7870" s="3064"/>
      <c r="G7870" s="3302" t="s">
        <v>81</v>
      </c>
      <c r="H7870" s="3063"/>
      <c r="I7870" s="3030"/>
    </row>
    <row r="7871" spans="2:9" ht="26.25" thickBot="1">
      <c r="B7871" s="3303" t="s">
        <v>81</v>
      </c>
      <c r="C7871" s="3063"/>
      <c r="D7871" s="3064"/>
      <c r="E7871" s="3064"/>
      <c r="F7871" s="3064"/>
      <c r="G7871" s="3302" t="s">
        <v>81</v>
      </c>
      <c r="H7871" s="3063"/>
      <c r="I7871" s="3030"/>
    </row>
    <row r="7872" spans="2:9">
      <c r="B7872" s="3217" t="s">
        <v>697</v>
      </c>
      <c r="C7872" s="3218"/>
      <c r="D7872" s="3219"/>
      <c r="E7872" s="3219"/>
      <c r="F7872" s="3219"/>
      <c r="G7872" s="3217" t="s">
        <v>697</v>
      </c>
      <c r="H7872" s="3297"/>
      <c r="I7872" s="3298"/>
    </row>
    <row r="7873" spans="2:9">
      <c r="B7873" s="3299" t="s">
        <v>64</v>
      </c>
      <c r="C7873" s="3063"/>
      <c r="D7873" s="3064"/>
      <c r="E7873" s="3064"/>
      <c r="F7873" s="3064"/>
      <c r="G7873" s="3300" t="s">
        <v>64</v>
      </c>
      <c r="H7873" s="3063"/>
      <c r="I7873" s="3030"/>
    </row>
    <row r="7874" spans="2:9" ht="25.5">
      <c r="B7874" s="3192" t="s">
        <v>675</v>
      </c>
      <c r="C7874" s="3063"/>
      <c r="D7874" s="3064"/>
      <c r="E7874" s="3064"/>
      <c r="F7874" s="3064"/>
      <c r="G7874" s="3301" t="s">
        <v>675</v>
      </c>
      <c r="H7874" s="3063"/>
      <c r="I7874" s="3030"/>
    </row>
    <row r="7875" spans="2:9" ht="25.5">
      <c r="B7875" s="3192" t="s">
        <v>676</v>
      </c>
      <c r="C7875" s="3063"/>
      <c r="D7875" s="3064"/>
      <c r="E7875" s="3064"/>
      <c r="F7875" s="3064"/>
      <c r="G7875" s="3301" t="s">
        <v>676</v>
      </c>
      <c r="H7875" s="3063"/>
      <c r="I7875" s="3030"/>
    </row>
    <row r="7876" spans="2:9">
      <c r="B7876" s="3192" t="s">
        <v>677</v>
      </c>
      <c r="C7876" s="3063"/>
      <c r="D7876" s="3064"/>
      <c r="E7876" s="3064"/>
      <c r="F7876" s="3064"/>
      <c r="G7876" s="3301" t="s">
        <v>677</v>
      </c>
      <c r="H7876" s="3063"/>
      <c r="I7876" s="3030"/>
    </row>
    <row r="7877" spans="2:9">
      <c r="B7877" s="3192" t="s">
        <v>678</v>
      </c>
      <c r="C7877" s="3063"/>
      <c r="D7877" s="3064"/>
      <c r="E7877" s="3064"/>
      <c r="F7877" s="3064"/>
      <c r="G7877" s="3301" t="s">
        <v>678</v>
      </c>
      <c r="H7877" s="3063"/>
      <c r="I7877" s="3030"/>
    </row>
    <row r="7878" spans="2:9">
      <c r="B7878" s="3192" t="s">
        <v>679</v>
      </c>
      <c r="C7878" s="3063"/>
      <c r="D7878" s="3064"/>
      <c r="E7878" s="3064"/>
      <c r="F7878" s="3064"/>
      <c r="G7878" s="3301" t="s">
        <v>679</v>
      </c>
      <c r="H7878" s="3063"/>
      <c r="I7878" s="3030"/>
    </row>
    <row r="7879" spans="2:9" ht="25.5">
      <c r="B7879" s="3192" t="s">
        <v>720</v>
      </c>
      <c r="C7879" s="3063"/>
      <c r="D7879" s="3064"/>
      <c r="E7879" s="3064"/>
      <c r="F7879" s="3064"/>
      <c r="G7879" s="3301" t="s">
        <v>720</v>
      </c>
      <c r="H7879" s="3063"/>
      <c r="I7879" s="3030"/>
    </row>
    <row r="7880" spans="2:9">
      <c r="B7880" s="3299" t="s">
        <v>65</v>
      </c>
      <c r="C7880" s="3063"/>
      <c r="D7880" s="3064"/>
      <c r="E7880" s="3064"/>
      <c r="F7880" s="3064"/>
      <c r="G7880" s="3300" t="s">
        <v>65</v>
      </c>
      <c r="H7880" s="3063"/>
      <c r="I7880" s="3030"/>
    </row>
    <row r="7881" spans="2:9" ht="25.5">
      <c r="B7881" s="3192" t="s">
        <v>675</v>
      </c>
      <c r="C7881" s="3063"/>
      <c r="D7881" s="3064"/>
      <c r="E7881" s="3064"/>
      <c r="F7881" s="3064"/>
      <c r="G7881" s="3301" t="s">
        <v>675</v>
      </c>
      <c r="H7881" s="3063"/>
      <c r="I7881" s="3030"/>
    </row>
    <row r="7882" spans="2:9" ht="25.5">
      <c r="B7882" s="3192" t="s">
        <v>676</v>
      </c>
      <c r="C7882" s="3063"/>
      <c r="D7882" s="3064"/>
      <c r="E7882" s="3064"/>
      <c r="F7882" s="3064"/>
      <c r="G7882" s="3301" t="s">
        <v>676</v>
      </c>
      <c r="H7882" s="3063"/>
      <c r="I7882" s="3030"/>
    </row>
    <row r="7883" spans="2:9">
      <c r="B7883" s="3192" t="s">
        <v>677</v>
      </c>
      <c r="C7883" s="3063"/>
      <c r="D7883" s="3064"/>
      <c r="E7883" s="3064"/>
      <c r="F7883" s="3064"/>
      <c r="G7883" s="3301" t="s">
        <v>677</v>
      </c>
      <c r="H7883" s="3063"/>
      <c r="I7883" s="3030"/>
    </row>
    <row r="7884" spans="2:9">
      <c r="B7884" s="3192" t="s">
        <v>678</v>
      </c>
      <c r="C7884" s="3063"/>
      <c r="D7884" s="3064"/>
      <c r="E7884" s="3064"/>
      <c r="F7884" s="3064"/>
      <c r="G7884" s="3301" t="s">
        <v>678</v>
      </c>
      <c r="H7884" s="3063"/>
      <c r="I7884" s="3030"/>
    </row>
    <row r="7885" spans="2:9">
      <c r="B7885" s="3192" t="s">
        <v>679</v>
      </c>
      <c r="C7885" s="3063"/>
      <c r="D7885" s="3064"/>
      <c r="E7885" s="3064"/>
      <c r="F7885" s="3064"/>
      <c r="G7885" s="3301" t="s">
        <v>679</v>
      </c>
      <c r="H7885" s="3063"/>
      <c r="I7885" s="3030"/>
    </row>
    <row r="7886" spans="2:9" ht="25.5">
      <c r="B7886" s="3192" t="s">
        <v>720</v>
      </c>
      <c r="C7886" s="3063"/>
      <c r="D7886" s="3064"/>
      <c r="E7886" s="3064"/>
      <c r="F7886" s="3064"/>
      <c r="G7886" s="3301" t="s">
        <v>720</v>
      </c>
      <c r="H7886" s="3063"/>
      <c r="I7886" s="3030"/>
    </row>
    <row r="7887" spans="2:9">
      <c r="B7887" s="3299" t="s">
        <v>82</v>
      </c>
      <c r="C7887" s="3063"/>
      <c r="D7887" s="3064"/>
      <c r="E7887" s="3064"/>
      <c r="F7887" s="3064"/>
      <c r="G7887" s="3300" t="s">
        <v>82</v>
      </c>
      <c r="H7887" s="3063"/>
      <c r="I7887" s="3030"/>
    </row>
    <row r="7888" spans="2:9" ht="25.5">
      <c r="B7888" s="3192" t="s">
        <v>675</v>
      </c>
      <c r="C7888" s="3063"/>
      <c r="D7888" s="3064"/>
      <c r="E7888" s="3064"/>
      <c r="F7888" s="3064"/>
      <c r="G7888" s="3301" t="s">
        <v>675</v>
      </c>
      <c r="H7888" s="3063"/>
      <c r="I7888" s="3030"/>
    </row>
    <row r="7889" spans="2:9" ht="25.5">
      <c r="B7889" s="3192" t="s">
        <v>676</v>
      </c>
      <c r="C7889" s="3063"/>
      <c r="D7889" s="3064"/>
      <c r="E7889" s="3064"/>
      <c r="F7889" s="3064"/>
      <c r="G7889" s="3301" t="s">
        <v>676</v>
      </c>
      <c r="H7889" s="3063"/>
      <c r="I7889" s="3030"/>
    </row>
    <row r="7890" spans="2:9">
      <c r="B7890" s="3192" t="s">
        <v>677</v>
      </c>
      <c r="C7890" s="3063"/>
      <c r="D7890" s="3064"/>
      <c r="E7890" s="3064"/>
      <c r="F7890" s="3064"/>
      <c r="G7890" s="3301" t="s">
        <v>677</v>
      </c>
      <c r="H7890" s="3063"/>
      <c r="I7890" s="3030"/>
    </row>
    <row r="7891" spans="2:9">
      <c r="B7891" s="3192" t="s">
        <v>678</v>
      </c>
      <c r="C7891" s="3063"/>
      <c r="D7891" s="3064"/>
      <c r="E7891" s="3064"/>
      <c r="F7891" s="3064"/>
      <c r="G7891" s="3301" t="s">
        <v>678</v>
      </c>
      <c r="H7891" s="3063"/>
      <c r="I7891" s="3030"/>
    </row>
    <row r="7892" spans="2:9">
      <c r="B7892" s="3192" t="s">
        <v>679</v>
      </c>
      <c r="C7892" s="3063"/>
      <c r="D7892" s="3064"/>
      <c r="E7892" s="3064"/>
      <c r="F7892" s="3064"/>
      <c r="G7892" s="3301" t="s">
        <v>679</v>
      </c>
      <c r="H7892" s="3063"/>
      <c r="I7892" s="3030"/>
    </row>
    <row r="7893" spans="2:9" ht="25.5">
      <c r="B7893" s="3192" t="s">
        <v>720</v>
      </c>
      <c r="C7893" s="3063"/>
      <c r="D7893" s="3064"/>
      <c r="E7893" s="3064"/>
      <c r="F7893" s="3064"/>
      <c r="G7893" s="3301" t="s">
        <v>720</v>
      </c>
      <c r="H7893" s="3063"/>
      <c r="I7893" s="3030"/>
    </row>
    <row r="7894" spans="2:9" ht="38.25">
      <c r="B7894" s="3299" t="s">
        <v>680</v>
      </c>
      <c r="C7894" s="3063"/>
      <c r="D7894" s="3064"/>
      <c r="E7894" s="3064"/>
      <c r="F7894" s="3064"/>
      <c r="G7894" s="3300" t="s">
        <v>680</v>
      </c>
      <c r="H7894" s="3063"/>
      <c r="I7894" s="3030"/>
    </row>
    <row r="7895" spans="2:9" ht="25.5">
      <c r="B7895" s="3192" t="s">
        <v>675</v>
      </c>
      <c r="C7895" s="3063"/>
      <c r="D7895" s="3064"/>
      <c r="E7895" s="3064"/>
      <c r="F7895" s="3064"/>
      <c r="G7895" s="3301" t="s">
        <v>675</v>
      </c>
      <c r="H7895" s="3063"/>
      <c r="I7895" s="3030"/>
    </row>
    <row r="7896" spans="2:9" ht="25.5">
      <c r="B7896" s="3192" t="s">
        <v>676</v>
      </c>
      <c r="C7896" s="3063"/>
      <c r="D7896" s="3064"/>
      <c r="E7896" s="3064"/>
      <c r="F7896" s="3064"/>
      <c r="G7896" s="3301" t="s">
        <v>676</v>
      </c>
      <c r="H7896" s="3063"/>
      <c r="I7896" s="3030"/>
    </row>
    <row r="7897" spans="2:9">
      <c r="B7897" s="3192" t="s">
        <v>677</v>
      </c>
      <c r="C7897" s="3063"/>
      <c r="D7897" s="3064"/>
      <c r="E7897" s="3064"/>
      <c r="F7897" s="3064"/>
      <c r="G7897" s="3301" t="s">
        <v>677</v>
      </c>
      <c r="H7897" s="3063"/>
      <c r="I7897" s="3030"/>
    </row>
    <row r="7898" spans="2:9">
      <c r="B7898" s="3192" t="s">
        <v>678</v>
      </c>
      <c r="C7898" s="3063"/>
      <c r="D7898" s="3064"/>
      <c r="E7898" s="3064"/>
      <c r="F7898" s="3064"/>
      <c r="G7898" s="3301" t="s">
        <v>678</v>
      </c>
      <c r="H7898" s="3063"/>
      <c r="I7898" s="3030"/>
    </row>
    <row r="7899" spans="2:9">
      <c r="B7899" s="3192" t="s">
        <v>679</v>
      </c>
      <c r="C7899" s="3063"/>
      <c r="D7899" s="3064"/>
      <c r="E7899" s="3064"/>
      <c r="F7899" s="3064"/>
      <c r="G7899" s="3301" t="s">
        <v>679</v>
      </c>
      <c r="H7899" s="3063"/>
      <c r="I7899" s="3030"/>
    </row>
    <row r="7900" spans="2:9" ht="25.5">
      <c r="B7900" s="3192" t="s">
        <v>720</v>
      </c>
      <c r="C7900" s="3063"/>
      <c r="D7900" s="3064"/>
      <c r="E7900" s="3064"/>
      <c r="F7900" s="3064"/>
      <c r="G7900" s="3301" t="s">
        <v>720</v>
      </c>
      <c r="H7900" s="3063"/>
      <c r="I7900" s="3030"/>
    </row>
    <row r="7901" spans="2:9" ht="38.25">
      <c r="B7901" s="3299" t="s">
        <v>681</v>
      </c>
      <c r="C7901" s="3063"/>
      <c r="D7901" s="3064"/>
      <c r="E7901" s="3064"/>
      <c r="F7901" s="3064">
        <v>1</v>
      </c>
      <c r="G7901" s="3300" t="s">
        <v>681</v>
      </c>
      <c r="H7901" s="3063">
        <v>3.2790468903705336E-2</v>
      </c>
      <c r="I7901" s="3030"/>
    </row>
    <row r="7902" spans="2:9" ht="25.5">
      <c r="B7902" s="3192" t="s">
        <v>675</v>
      </c>
      <c r="C7902" s="3063">
        <v>2</v>
      </c>
      <c r="D7902" s="3064"/>
      <c r="E7902" s="3064"/>
      <c r="F7902" s="3064"/>
      <c r="G7902" s="3301" t="s">
        <v>675</v>
      </c>
      <c r="H7902" s="3063"/>
      <c r="I7902" s="3030">
        <v>4.3720625204940446E-2</v>
      </c>
    </row>
    <row r="7903" spans="2:9" ht="25.5">
      <c r="B7903" s="3192" t="s">
        <v>676</v>
      </c>
      <c r="C7903" s="3063"/>
      <c r="D7903" s="3064"/>
      <c r="E7903" s="3064"/>
      <c r="F7903" s="3064"/>
      <c r="G7903" s="3301" t="s">
        <v>676</v>
      </c>
      <c r="H7903" s="3063"/>
      <c r="I7903" s="3030"/>
    </row>
    <row r="7904" spans="2:9">
      <c r="B7904" s="3192" t="s">
        <v>677</v>
      </c>
      <c r="C7904" s="3063"/>
      <c r="D7904" s="3064"/>
      <c r="E7904" s="3064"/>
      <c r="F7904" s="3064"/>
      <c r="G7904" s="3301" t="s">
        <v>677</v>
      </c>
      <c r="H7904" s="3063"/>
      <c r="I7904" s="3030"/>
    </row>
    <row r="7905" spans="2:9">
      <c r="B7905" s="3192" t="s">
        <v>678</v>
      </c>
      <c r="C7905" s="3063"/>
      <c r="D7905" s="3064"/>
      <c r="E7905" s="3064"/>
      <c r="F7905" s="3064"/>
      <c r="G7905" s="3301" t="s">
        <v>678</v>
      </c>
      <c r="H7905" s="3063"/>
      <c r="I7905" s="3030"/>
    </row>
    <row r="7906" spans="2:9">
      <c r="B7906" s="3192" t="s">
        <v>679</v>
      </c>
      <c r="C7906" s="3063"/>
      <c r="D7906" s="3064"/>
      <c r="E7906" s="3064"/>
      <c r="F7906" s="3064"/>
      <c r="G7906" s="3301" t="s">
        <v>679</v>
      </c>
      <c r="H7906" s="3063"/>
      <c r="I7906" s="3030"/>
    </row>
    <row r="7907" spans="2:9" ht="25.5">
      <c r="B7907" s="3192" t="s">
        <v>720</v>
      </c>
      <c r="C7907" s="3063"/>
      <c r="D7907" s="3064"/>
      <c r="E7907" s="3064"/>
      <c r="F7907" s="3064"/>
      <c r="G7907" s="3301" t="s">
        <v>720</v>
      </c>
      <c r="H7907" s="3063"/>
      <c r="I7907" s="3030"/>
    </row>
    <row r="7908" spans="2:9" ht="25.5">
      <c r="B7908" s="3299" t="s">
        <v>682</v>
      </c>
      <c r="C7908" s="3063"/>
      <c r="D7908" s="3064"/>
      <c r="E7908" s="3064"/>
      <c r="F7908" s="3064"/>
      <c r="G7908" s="3300" t="s">
        <v>682</v>
      </c>
      <c r="H7908" s="3063"/>
      <c r="I7908" s="3030"/>
    </row>
    <row r="7909" spans="2:9" ht="25.5">
      <c r="B7909" s="3192" t="s">
        <v>675</v>
      </c>
      <c r="C7909" s="3063"/>
      <c r="D7909" s="3064"/>
      <c r="E7909" s="3064"/>
      <c r="F7909" s="3064"/>
      <c r="G7909" s="3301" t="s">
        <v>675</v>
      </c>
      <c r="H7909" s="3063"/>
      <c r="I7909" s="3030"/>
    </row>
    <row r="7910" spans="2:9" ht="25.5">
      <c r="B7910" s="3192" t="s">
        <v>676</v>
      </c>
      <c r="C7910" s="3063"/>
      <c r="D7910" s="3064"/>
      <c r="E7910" s="3064"/>
      <c r="F7910" s="3064"/>
      <c r="G7910" s="3301" t="s">
        <v>676</v>
      </c>
      <c r="H7910" s="3063"/>
      <c r="I7910" s="3030"/>
    </row>
    <row r="7911" spans="2:9">
      <c r="B7911" s="3192" t="s">
        <v>677</v>
      </c>
      <c r="C7911" s="3063"/>
      <c r="D7911" s="3064"/>
      <c r="E7911" s="3064"/>
      <c r="F7911" s="3064"/>
      <c r="G7911" s="3301" t="s">
        <v>677</v>
      </c>
      <c r="H7911" s="3063"/>
      <c r="I7911" s="3030"/>
    </row>
    <row r="7912" spans="2:9">
      <c r="B7912" s="3192" t="s">
        <v>678</v>
      </c>
      <c r="C7912" s="3063"/>
      <c r="D7912" s="3064"/>
      <c r="E7912" s="3064"/>
      <c r="F7912" s="3064"/>
      <c r="G7912" s="3301" t="s">
        <v>678</v>
      </c>
      <c r="H7912" s="3063"/>
      <c r="I7912" s="3030"/>
    </row>
    <row r="7913" spans="2:9">
      <c r="B7913" s="3192" t="s">
        <v>679</v>
      </c>
      <c r="C7913" s="3063"/>
      <c r="D7913" s="3064"/>
      <c r="E7913" s="3064"/>
      <c r="F7913" s="3064"/>
      <c r="G7913" s="3301" t="s">
        <v>679</v>
      </c>
      <c r="H7913" s="3063"/>
      <c r="I7913" s="3030"/>
    </row>
    <row r="7914" spans="2:9" ht="25.5">
      <c r="B7914" s="3192" t="s">
        <v>720</v>
      </c>
      <c r="C7914" s="3063"/>
      <c r="D7914" s="3064"/>
      <c r="E7914" s="3064"/>
      <c r="F7914" s="3064"/>
      <c r="G7914" s="3301" t="s">
        <v>720</v>
      </c>
      <c r="H7914" s="3063"/>
      <c r="I7914" s="3030"/>
    </row>
    <row r="7915" spans="2:9" ht="25.5">
      <c r="B7915" s="3299" t="s">
        <v>66</v>
      </c>
      <c r="C7915" s="3063"/>
      <c r="D7915" s="3064"/>
      <c r="E7915" s="3064"/>
      <c r="F7915" s="3064"/>
      <c r="G7915" s="3300" t="s">
        <v>66</v>
      </c>
      <c r="H7915" s="3063"/>
      <c r="I7915" s="3030"/>
    </row>
    <row r="7916" spans="2:9" ht="25.5">
      <c r="B7916" s="3192" t="s">
        <v>675</v>
      </c>
      <c r="C7916" s="3063"/>
      <c r="D7916" s="3064"/>
      <c r="E7916" s="3064"/>
      <c r="F7916" s="3064"/>
      <c r="G7916" s="3301" t="s">
        <v>675</v>
      </c>
      <c r="H7916" s="3063"/>
      <c r="I7916" s="3030"/>
    </row>
    <row r="7917" spans="2:9" ht="25.5">
      <c r="B7917" s="3192" t="s">
        <v>676</v>
      </c>
      <c r="C7917" s="3063"/>
      <c r="D7917" s="3064"/>
      <c r="E7917" s="3064"/>
      <c r="F7917" s="3064"/>
      <c r="G7917" s="3301" t="s">
        <v>676</v>
      </c>
      <c r="H7917" s="3063"/>
      <c r="I7917" s="3030"/>
    </row>
    <row r="7918" spans="2:9">
      <c r="B7918" s="3192" t="s">
        <v>677</v>
      </c>
      <c r="C7918" s="3063"/>
      <c r="D7918" s="3064"/>
      <c r="E7918" s="3064"/>
      <c r="F7918" s="3064"/>
      <c r="G7918" s="3301" t="s">
        <v>677</v>
      </c>
      <c r="H7918" s="3063"/>
      <c r="I7918" s="3030"/>
    </row>
    <row r="7919" spans="2:9">
      <c r="B7919" s="3192" t="s">
        <v>678</v>
      </c>
      <c r="C7919" s="3063"/>
      <c r="D7919" s="3064"/>
      <c r="E7919" s="3064"/>
      <c r="F7919" s="3064"/>
      <c r="G7919" s="3301" t="s">
        <v>678</v>
      </c>
      <c r="H7919" s="3063"/>
      <c r="I7919" s="3030"/>
    </row>
    <row r="7920" spans="2:9">
      <c r="B7920" s="3192" t="s">
        <v>679</v>
      </c>
      <c r="C7920" s="3063"/>
      <c r="D7920" s="3064"/>
      <c r="E7920" s="3064"/>
      <c r="F7920" s="3064"/>
      <c r="G7920" s="3301" t="s">
        <v>679</v>
      </c>
      <c r="H7920" s="3063"/>
      <c r="I7920" s="3030"/>
    </row>
    <row r="7921" spans="2:9" ht="25.5">
      <c r="B7921" s="3192" t="s">
        <v>720</v>
      </c>
      <c r="C7921" s="3063"/>
      <c r="D7921" s="3064"/>
      <c r="E7921" s="3064"/>
      <c r="F7921" s="3064"/>
      <c r="G7921" s="3301" t="s">
        <v>720</v>
      </c>
      <c r="H7921" s="3063"/>
      <c r="I7921" s="3030"/>
    </row>
    <row r="7922" spans="2:9">
      <c r="B7922" s="3299" t="s">
        <v>67</v>
      </c>
      <c r="C7922" s="3063"/>
      <c r="D7922" s="3064"/>
      <c r="E7922" s="3064"/>
      <c r="F7922" s="3064">
        <v>1</v>
      </c>
      <c r="G7922" s="3300" t="s">
        <v>67</v>
      </c>
      <c r="H7922" s="3063"/>
      <c r="I7922" s="3030"/>
    </row>
    <row r="7923" spans="2:9" ht="25.5">
      <c r="B7923" s="3192" t="s">
        <v>675</v>
      </c>
      <c r="C7923" s="3063"/>
      <c r="D7923" s="3064"/>
      <c r="E7923" s="3064"/>
      <c r="F7923" s="3064"/>
      <c r="G7923" s="3301" t="s">
        <v>675</v>
      </c>
      <c r="H7923" s="3063"/>
      <c r="I7923" s="3030"/>
    </row>
    <row r="7924" spans="2:9" ht="25.5">
      <c r="B7924" s="3192" t="s">
        <v>676</v>
      </c>
      <c r="C7924" s="3063"/>
      <c r="D7924" s="3064"/>
      <c r="E7924" s="3064"/>
      <c r="F7924" s="3064"/>
      <c r="G7924" s="3301" t="s">
        <v>676</v>
      </c>
      <c r="H7924" s="3063"/>
      <c r="I7924" s="3030"/>
    </row>
    <row r="7925" spans="2:9">
      <c r="B7925" s="3192" t="s">
        <v>677</v>
      </c>
      <c r="C7925" s="3063"/>
      <c r="D7925" s="3064"/>
      <c r="E7925" s="3064"/>
      <c r="F7925" s="3064"/>
      <c r="G7925" s="3301" t="s">
        <v>677</v>
      </c>
      <c r="H7925" s="3063"/>
      <c r="I7925" s="3030"/>
    </row>
    <row r="7926" spans="2:9">
      <c r="B7926" s="3192" t="s">
        <v>678</v>
      </c>
      <c r="C7926" s="3063"/>
      <c r="D7926" s="3064"/>
      <c r="E7926" s="3064"/>
      <c r="F7926" s="3064"/>
      <c r="G7926" s="3301" t="s">
        <v>678</v>
      </c>
      <c r="H7926" s="3063"/>
      <c r="I7926" s="3030"/>
    </row>
    <row r="7927" spans="2:9">
      <c r="B7927" s="3192" t="s">
        <v>679</v>
      </c>
      <c r="C7927" s="3063"/>
      <c r="D7927" s="3064"/>
      <c r="E7927" s="3064"/>
      <c r="F7927" s="3064"/>
      <c r="G7927" s="3301" t="s">
        <v>679</v>
      </c>
      <c r="H7927" s="3063"/>
      <c r="I7927" s="3030"/>
    </row>
    <row r="7928" spans="2:9" ht="25.5">
      <c r="B7928" s="3230" t="s">
        <v>81</v>
      </c>
      <c r="C7928" s="3063"/>
      <c r="D7928" s="3064"/>
      <c r="E7928" s="3064"/>
      <c r="F7928" s="3064"/>
      <c r="G7928" s="3302" t="s">
        <v>81</v>
      </c>
      <c r="H7928" s="3063"/>
      <c r="I7928" s="3030"/>
    </row>
    <row r="7929" spans="2:9" ht="26.25" thickBot="1">
      <c r="B7929" s="3303" t="s">
        <v>81</v>
      </c>
      <c r="C7929" s="3068"/>
      <c r="D7929" s="3069"/>
      <c r="E7929" s="3069"/>
      <c r="F7929" s="3069"/>
      <c r="G7929" s="3304" t="s">
        <v>81</v>
      </c>
      <c r="H7929" s="3068"/>
      <c r="I7929" s="3070"/>
    </row>
    <row r="7930" spans="2:9" ht="38.25">
      <c r="B7930" s="4723">
        <v>3049</v>
      </c>
      <c r="C7930" s="3289"/>
      <c r="D7930" s="3290"/>
      <c r="E7930" s="3290"/>
      <c r="F7930" s="3290"/>
      <c r="G7930" s="4723">
        <v>3049</v>
      </c>
      <c r="H7930" s="3291" t="s">
        <v>687</v>
      </c>
      <c r="I7930" s="3292" t="s">
        <v>688</v>
      </c>
    </row>
    <row r="7931" spans="2:9">
      <c r="B7931" s="4724"/>
      <c r="C7931" s="4678" t="s">
        <v>686</v>
      </c>
      <c r="D7931" s="4725"/>
      <c r="E7931" s="4725"/>
      <c r="F7931" s="4726"/>
      <c r="G7931" s="4724"/>
      <c r="H7931" s="3293"/>
      <c r="I7931" s="3294"/>
    </row>
    <row r="7932" spans="2:9" ht="13.5" thickBot="1">
      <c r="B7932" s="4724"/>
      <c r="C7932" s="3215">
        <v>2013</v>
      </c>
      <c r="D7932" s="3215">
        <v>2014</v>
      </c>
      <c r="E7932" s="3215">
        <v>2015</v>
      </c>
      <c r="F7932" s="3215">
        <v>2016</v>
      </c>
      <c r="G7932" s="4724"/>
      <c r="H7932" s="3295" t="s">
        <v>390</v>
      </c>
      <c r="I7932" s="3296" t="s">
        <v>390</v>
      </c>
    </row>
    <row r="7933" spans="2:9">
      <c r="B7933" s="3217" t="s">
        <v>695</v>
      </c>
      <c r="C7933" s="3218"/>
      <c r="D7933" s="3219"/>
      <c r="E7933" s="3219"/>
      <c r="F7933" s="3219"/>
      <c r="G7933" s="3217" t="s">
        <v>695</v>
      </c>
      <c r="H7933" s="3297"/>
      <c r="I7933" s="3298"/>
    </row>
    <row r="7934" spans="2:9">
      <c r="B7934" s="3299" t="s">
        <v>64</v>
      </c>
      <c r="C7934" s="3063"/>
      <c r="D7934" s="3064"/>
      <c r="E7934" s="3064"/>
      <c r="F7934" s="3064"/>
      <c r="G7934" s="3300" t="s">
        <v>64</v>
      </c>
      <c r="H7934" s="3063"/>
      <c r="I7934" s="3030"/>
    </row>
    <row r="7935" spans="2:9" ht="25.5">
      <c r="B7935" s="3192" t="s">
        <v>675</v>
      </c>
      <c r="C7935" s="3063"/>
      <c r="D7935" s="3064"/>
      <c r="E7935" s="3064"/>
      <c r="F7935" s="3064"/>
      <c r="G7935" s="3301" t="s">
        <v>675</v>
      </c>
      <c r="H7935" s="3063"/>
      <c r="I7935" s="3030"/>
    </row>
    <row r="7936" spans="2:9" ht="25.5">
      <c r="B7936" s="3192" t="s">
        <v>676</v>
      </c>
      <c r="C7936" s="3063"/>
      <c r="D7936" s="3064"/>
      <c r="E7936" s="3064"/>
      <c r="F7936" s="3064"/>
      <c r="G7936" s="3301" t="s">
        <v>676</v>
      </c>
      <c r="H7936" s="3063"/>
      <c r="I7936" s="3030"/>
    </row>
    <row r="7937" spans="2:9">
      <c r="B7937" s="3192" t="s">
        <v>677</v>
      </c>
      <c r="C7937" s="3063"/>
      <c r="D7937" s="3064"/>
      <c r="E7937" s="3064"/>
      <c r="F7937" s="3064"/>
      <c r="G7937" s="3301" t="s">
        <v>677</v>
      </c>
      <c r="H7937" s="3063"/>
      <c r="I7937" s="3030"/>
    </row>
    <row r="7938" spans="2:9">
      <c r="B7938" s="3192" t="s">
        <v>678</v>
      </c>
      <c r="C7938" s="3063"/>
      <c r="D7938" s="3064"/>
      <c r="E7938" s="3064"/>
      <c r="F7938" s="3064"/>
      <c r="G7938" s="3301" t="s">
        <v>678</v>
      </c>
      <c r="H7938" s="3063"/>
      <c r="I7938" s="3030"/>
    </row>
    <row r="7939" spans="2:9">
      <c r="B7939" s="3192" t="s">
        <v>679</v>
      </c>
      <c r="C7939" s="3063"/>
      <c r="D7939" s="3064"/>
      <c r="E7939" s="3064"/>
      <c r="F7939" s="3064"/>
      <c r="G7939" s="3301" t="s">
        <v>679</v>
      </c>
      <c r="H7939" s="3063"/>
      <c r="I7939" s="3030"/>
    </row>
    <row r="7940" spans="2:9" ht="25.5">
      <c r="B7940" s="3192" t="s">
        <v>720</v>
      </c>
      <c r="C7940" s="3063"/>
      <c r="D7940" s="3064"/>
      <c r="E7940" s="3064"/>
      <c r="F7940" s="3064"/>
      <c r="G7940" s="3301" t="s">
        <v>720</v>
      </c>
      <c r="H7940" s="3063"/>
      <c r="I7940" s="3030"/>
    </row>
    <row r="7941" spans="2:9">
      <c r="B7941" s="3299" t="s">
        <v>65</v>
      </c>
      <c r="C7941" s="3063"/>
      <c r="D7941" s="3064"/>
      <c r="E7941" s="3064"/>
      <c r="F7941" s="3064"/>
      <c r="G7941" s="3300" t="s">
        <v>65</v>
      </c>
      <c r="H7941" s="3063"/>
      <c r="I7941" s="3030"/>
    </row>
    <row r="7942" spans="2:9" ht="25.5">
      <c r="B7942" s="3192" t="s">
        <v>675</v>
      </c>
      <c r="C7942" s="3063"/>
      <c r="D7942" s="3064"/>
      <c r="E7942" s="3064"/>
      <c r="F7942" s="3064"/>
      <c r="G7942" s="3301" t="s">
        <v>675</v>
      </c>
      <c r="H7942" s="3063"/>
      <c r="I7942" s="3030"/>
    </row>
    <row r="7943" spans="2:9" ht="25.5">
      <c r="B7943" s="3192" t="s">
        <v>676</v>
      </c>
      <c r="C7943" s="3063"/>
      <c r="D7943" s="3064"/>
      <c r="E7943" s="3064"/>
      <c r="F7943" s="3064"/>
      <c r="G7943" s="3301" t="s">
        <v>676</v>
      </c>
      <c r="H7943" s="3063"/>
      <c r="I7943" s="3030"/>
    </row>
    <row r="7944" spans="2:9">
      <c r="B7944" s="3192" t="s">
        <v>677</v>
      </c>
      <c r="C7944" s="3063"/>
      <c r="D7944" s="3064"/>
      <c r="E7944" s="3064"/>
      <c r="F7944" s="3064"/>
      <c r="G7944" s="3301" t="s">
        <v>677</v>
      </c>
      <c r="H7944" s="3063"/>
      <c r="I7944" s="3030"/>
    </row>
    <row r="7945" spans="2:9">
      <c r="B7945" s="3192" t="s">
        <v>678</v>
      </c>
      <c r="C7945" s="3063"/>
      <c r="D7945" s="3064"/>
      <c r="E7945" s="3064"/>
      <c r="F7945" s="3064"/>
      <c r="G7945" s="3301" t="s">
        <v>678</v>
      </c>
      <c r="H7945" s="3063"/>
      <c r="I7945" s="3030"/>
    </row>
    <row r="7946" spans="2:9">
      <c r="B7946" s="3192" t="s">
        <v>679</v>
      </c>
      <c r="C7946" s="3063"/>
      <c r="D7946" s="3064"/>
      <c r="E7946" s="3064"/>
      <c r="F7946" s="3064"/>
      <c r="G7946" s="3301" t="s">
        <v>679</v>
      </c>
      <c r="H7946" s="3063"/>
      <c r="I7946" s="3030"/>
    </row>
    <row r="7947" spans="2:9" ht="25.5">
      <c r="B7947" s="3192" t="s">
        <v>720</v>
      </c>
      <c r="C7947" s="3063"/>
      <c r="D7947" s="3064"/>
      <c r="E7947" s="3064"/>
      <c r="F7947" s="3064"/>
      <c r="G7947" s="3301" t="s">
        <v>720</v>
      </c>
      <c r="H7947" s="3063"/>
      <c r="I7947" s="3030"/>
    </row>
    <row r="7948" spans="2:9">
      <c r="B7948" s="3299" t="s">
        <v>82</v>
      </c>
      <c r="C7948" s="3063"/>
      <c r="D7948" s="3064"/>
      <c r="E7948" s="3064"/>
      <c r="F7948" s="3064"/>
      <c r="G7948" s="3300" t="s">
        <v>82</v>
      </c>
      <c r="H7948" s="3063"/>
      <c r="I7948" s="3030"/>
    </row>
    <row r="7949" spans="2:9" ht="25.5">
      <c r="B7949" s="3192" t="s">
        <v>675</v>
      </c>
      <c r="C7949" s="3063"/>
      <c r="D7949" s="3064"/>
      <c r="E7949" s="3064"/>
      <c r="F7949" s="3064"/>
      <c r="G7949" s="3301" t="s">
        <v>675</v>
      </c>
      <c r="H7949" s="3063"/>
      <c r="I7949" s="3030"/>
    </row>
    <row r="7950" spans="2:9" ht="25.5">
      <c r="B7950" s="3192" t="s">
        <v>676</v>
      </c>
      <c r="C7950" s="3063"/>
      <c r="D7950" s="3064"/>
      <c r="E7950" s="3064"/>
      <c r="F7950" s="3064"/>
      <c r="G7950" s="3301" t="s">
        <v>676</v>
      </c>
      <c r="H7950" s="3063"/>
      <c r="I7950" s="3030"/>
    </row>
    <row r="7951" spans="2:9">
      <c r="B7951" s="3192" t="s">
        <v>677</v>
      </c>
      <c r="C7951" s="3063"/>
      <c r="D7951" s="3064"/>
      <c r="E7951" s="3064"/>
      <c r="F7951" s="3064"/>
      <c r="G7951" s="3301" t="s">
        <v>677</v>
      </c>
      <c r="H7951" s="3063"/>
      <c r="I7951" s="3030"/>
    </row>
    <row r="7952" spans="2:9">
      <c r="B7952" s="3192" t="s">
        <v>678</v>
      </c>
      <c r="C7952" s="3063"/>
      <c r="D7952" s="3064"/>
      <c r="E7952" s="3064"/>
      <c r="F7952" s="3064"/>
      <c r="G7952" s="3301" t="s">
        <v>678</v>
      </c>
      <c r="H7952" s="3063"/>
      <c r="I7952" s="3030"/>
    </row>
    <row r="7953" spans="2:9">
      <c r="B7953" s="3192" t="s">
        <v>679</v>
      </c>
      <c r="C7953" s="3063"/>
      <c r="D7953" s="3064"/>
      <c r="E7953" s="3064"/>
      <c r="F7953" s="3064"/>
      <c r="G7953" s="3301" t="s">
        <v>679</v>
      </c>
      <c r="H7953" s="3063"/>
      <c r="I7953" s="3030"/>
    </row>
    <row r="7954" spans="2:9" ht="25.5">
      <c r="B7954" s="3192" t="s">
        <v>720</v>
      </c>
      <c r="C7954" s="3063"/>
      <c r="D7954" s="3064"/>
      <c r="E7954" s="3064"/>
      <c r="F7954" s="3064"/>
      <c r="G7954" s="3301" t="s">
        <v>720</v>
      </c>
      <c r="H7954" s="3063"/>
      <c r="I7954" s="3030"/>
    </row>
    <row r="7955" spans="2:9" ht="38.25">
      <c r="B7955" s="3299" t="s">
        <v>680</v>
      </c>
      <c r="C7955" s="3063"/>
      <c r="D7955" s="3064"/>
      <c r="E7955" s="3064"/>
      <c r="F7955" s="3064"/>
      <c r="G7955" s="3300" t="s">
        <v>680</v>
      </c>
      <c r="H7955" s="3063"/>
      <c r="I7955" s="3030"/>
    </row>
    <row r="7956" spans="2:9" ht="25.5">
      <c r="B7956" s="3192" t="s">
        <v>675</v>
      </c>
      <c r="C7956" s="3063"/>
      <c r="D7956" s="3064"/>
      <c r="E7956" s="3064"/>
      <c r="F7956" s="3064"/>
      <c r="G7956" s="3301" t="s">
        <v>675</v>
      </c>
      <c r="H7956" s="3063"/>
      <c r="I7956" s="3030"/>
    </row>
    <row r="7957" spans="2:9" ht="25.5">
      <c r="B7957" s="3192" t="s">
        <v>676</v>
      </c>
      <c r="C7957" s="3063"/>
      <c r="D7957" s="3064"/>
      <c r="E7957" s="3064"/>
      <c r="F7957" s="3064"/>
      <c r="G7957" s="3301" t="s">
        <v>676</v>
      </c>
      <c r="H7957" s="3063"/>
      <c r="I7957" s="3030"/>
    </row>
    <row r="7958" spans="2:9">
      <c r="B7958" s="3192" t="s">
        <v>677</v>
      </c>
      <c r="C7958" s="3063"/>
      <c r="D7958" s="3064"/>
      <c r="E7958" s="3064"/>
      <c r="F7958" s="3064"/>
      <c r="G7958" s="3301" t="s">
        <v>677</v>
      </c>
      <c r="H7958" s="3063"/>
      <c r="I7958" s="3030"/>
    </row>
    <row r="7959" spans="2:9">
      <c r="B7959" s="3192" t="s">
        <v>678</v>
      </c>
      <c r="C7959" s="3063"/>
      <c r="D7959" s="3064"/>
      <c r="E7959" s="3064"/>
      <c r="F7959" s="3064"/>
      <c r="G7959" s="3301" t="s">
        <v>678</v>
      </c>
      <c r="H7959" s="3063"/>
      <c r="I7959" s="3030"/>
    </row>
    <row r="7960" spans="2:9">
      <c r="B7960" s="3192" t="s">
        <v>679</v>
      </c>
      <c r="C7960" s="3063"/>
      <c r="D7960" s="3064"/>
      <c r="E7960" s="3064"/>
      <c r="F7960" s="3064"/>
      <c r="G7960" s="3301" t="s">
        <v>679</v>
      </c>
      <c r="H7960" s="3063"/>
      <c r="I7960" s="3030"/>
    </row>
    <row r="7961" spans="2:9" ht="25.5">
      <c r="B7961" s="3192" t="s">
        <v>720</v>
      </c>
      <c r="C7961" s="3063"/>
      <c r="D7961" s="3064"/>
      <c r="E7961" s="3064"/>
      <c r="F7961" s="3064"/>
      <c r="G7961" s="3301" t="s">
        <v>720</v>
      </c>
      <c r="H7961" s="3063"/>
      <c r="I7961" s="3030"/>
    </row>
    <row r="7962" spans="2:9" ht="38.25">
      <c r="B7962" s="3299" t="s">
        <v>681</v>
      </c>
      <c r="C7962" s="3063"/>
      <c r="D7962" s="3064"/>
      <c r="E7962" s="3064"/>
      <c r="F7962" s="3064"/>
      <c r="G7962" s="3300" t="s">
        <v>681</v>
      </c>
      <c r="H7962" s="3063"/>
      <c r="I7962" s="3030"/>
    </row>
    <row r="7963" spans="2:9" ht="25.5">
      <c r="B7963" s="3192" t="s">
        <v>675</v>
      </c>
      <c r="C7963" s="3063"/>
      <c r="D7963" s="3064"/>
      <c r="E7963" s="3064"/>
      <c r="F7963" s="3064"/>
      <c r="G7963" s="3301" t="s">
        <v>675</v>
      </c>
      <c r="H7963" s="3063"/>
      <c r="I7963" s="3030"/>
    </row>
    <row r="7964" spans="2:9" ht="25.5">
      <c r="B7964" s="3192" t="s">
        <v>676</v>
      </c>
      <c r="C7964" s="3063"/>
      <c r="D7964" s="3064"/>
      <c r="E7964" s="3064"/>
      <c r="F7964" s="3064"/>
      <c r="G7964" s="3301" t="s">
        <v>676</v>
      </c>
      <c r="H7964" s="3063"/>
      <c r="I7964" s="3030"/>
    </row>
    <row r="7965" spans="2:9">
      <c r="B7965" s="3192" t="s">
        <v>677</v>
      </c>
      <c r="C7965" s="3063"/>
      <c r="D7965" s="3064"/>
      <c r="E7965" s="3064"/>
      <c r="F7965" s="3064"/>
      <c r="G7965" s="3301" t="s">
        <v>677</v>
      </c>
      <c r="H7965" s="3063"/>
      <c r="I7965" s="3030"/>
    </row>
    <row r="7966" spans="2:9">
      <c r="B7966" s="3192" t="s">
        <v>678</v>
      </c>
      <c r="C7966" s="3063"/>
      <c r="D7966" s="3064"/>
      <c r="E7966" s="3064"/>
      <c r="F7966" s="3064"/>
      <c r="G7966" s="3301" t="s">
        <v>678</v>
      </c>
      <c r="H7966" s="3063"/>
      <c r="I7966" s="3030"/>
    </row>
    <row r="7967" spans="2:9">
      <c r="B7967" s="3192" t="s">
        <v>679</v>
      </c>
      <c r="C7967" s="3063"/>
      <c r="D7967" s="3064"/>
      <c r="E7967" s="3064"/>
      <c r="F7967" s="3064"/>
      <c r="G7967" s="3301" t="s">
        <v>679</v>
      </c>
      <c r="H7967" s="3063"/>
      <c r="I7967" s="3030"/>
    </row>
    <row r="7968" spans="2:9" ht="25.5">
      <c r="B7968" s="3192" t="s">
        <v>720</v>
      </c>
      <c r="C7968" s="3063"/>
      <c r="D7968" s="3064"/>
      <c r="E7968" s="3064"/>
      <c r="F7968" s="3064"/>
      <c r="G7968" s="3301" t="s">
        <v>720</v>
      </c>
      <c r="H7968" s="3063"/>
      <c r="I7968" s="3030"/>
    </row>
    <row r="7969" spans="2:9" ht="25.5">
      <c r="B7969" s="3299" t="s">
        <v>682</v>
      </c>
      <c r="C7969" s="3063"/>
      <c r="D7969" s="3064"/>
      <c r="E7969" s="3064"/>
      <c r="F7969" s="3064"/>
      <c r="G7969" s="3300" t="s">
        <v>682</v>
      </c>
      <c r="H7969" s="3063"/>
      <c r="I7969" s="3030"/>
    </row>
    <row r="7970" spans="2:9" ht="25.5">
      <c r="B7970" s="3192" t="s">
        <v>675</v>
      </c>
      <c r="C7970" s="3063"/>
      <c r="D7970" s="3064"/>
      <c r="E7970" s="3064"/>
      <c r="F7970" s="3064"/>
      <c r="G7970" s="3301" t="s">
        <v>675</v>
      </c>
      <c r="H7970" s="3063"/>
      <c r="I7970" s="3030"/>
    </row>
    <row r="7971" spans="2:9" ht="25.5">
      <c r="B7971" s="3192" t="s">
        <v>676</v>
      </c>
      <c r="C7971" s="3063"/>
      <c r="D7971" s="3064"/>
      <c r="E7971" s="3064"/>
      <c r="F7971" s="3064"/>
      <c r="G7971" s="3301" t="s">
        <v>676</v>
      </c>
      <c r="H7971" s="3063"/>
      <c r="I7971" s="3030"/>
    </row>
    <row r="7972" spans="2:9">
      <c r="B7972" s="3192" t="s">
        <v>677</v>
      </c>
      <c r="C7972" s="3063"/>
      <c r="D7972" s="3064"/>
      <c r="E7972" s="3064"/>
      <c r="F7972" s="3064"/>
      <c r="G7972" s="3301" t="s">
        <v>677</v>
      </c>
      <c r="H7972" s="3063"/>
      <c r="I7972" s="3030"/>
    </row>
    <row r="7973" spans="2:9">
      <c r="B7973" s="3192" t="s">
        <v>678</v>
      </c>
      <c r="C7973" s="3063"/>
      <c r="D7973" s="3064"/>
      <c r="E7973" s="3064"/>
      <c r="F7973" s="3064"/>
      <c r="G7973" s="3301" t="s">
        <v>678</v>
      </c>
      <c r="H7973" s="3063"/>
      <c r="I7973" s="3030"/>
    </row>
    <row r="7974" spans="2:9">
      <c r="B7974" s="3192" t="s">
        <v>679</v>
      </c>
      <c r="C7974" s="3063"/>
      <c r="D7974" s="3064"/>
      <c r="E7974" s="3064"/>
      <c r="F7974" s="3064"/>
      <c r="G7974" s="3301" t="s">
        <v>679</v>
      </c>
      <c r="H7974" s="3063"/>
      <c r="I7974" s="3030"/>
    </row>
    <row r="7975" spans="2:9" ht="25.5">
      <c r="B7975" s="3192" t="s">
        <v>720</v>
      </c>
      <c r="C7975" s="3063"/>
      <c r="D7975" s="3064"/>
      <c r="E7975" s="3064"/>
      <c r="F7975" s="3064"/>
      <c r="G7975" s="3301" t="s">
        <v>720</v>
      </c>
      <c r="H7975" s="3063"/>
      <c r="I7975" s="3030"/>
    </row>
    <row r="7976" spans="2:9" ht="25.5">
      <c r="B7976" s="3299" t="s">
        <v>66</v>
      </c>
      <c r="C7976" s="3063"/>
      <c r="D7976" s="3064"/>
      <c r="E7976" s="3064"/>
      <c r="F7976" s="3064"/>
      <c r="G7976" s="3300" t="s">
        <v>66</v>
      </c>
      <c r="H7976" s="3063"/>
      <c r="I7976" s="3030"/>
    </row>
    <row r="7977" spans="2:9" ht="25.5">
      <c r="B7977" s="3192" t="s">
        <v>675</v>
      </c>
      <c r="C7977" s="3063"/>
      <c r="D7977" s="3064"/>
      <c r="E7977" s="3064"/>
      <c r="F7977" s="3064"/>
      <c r="G7977" s="3301" t="s">
        <v>675</v>
      </c>
      <c r="H7977" s="3063"/>
      <c r="I7977" s="3030"/>
    </row>
    <row r="7978" spans="2:9" ht="25.5">
      <c r="B7978" s="3192" t="s">
        <v>676</v>
      </c>
      <c r="C7978" s="3063"/>
      <c r="D7978" s="3064"/>
      <c r="E7978" s="3064"/>
      <c r="F7978" s="3064"/>
      <c r="G7978" s="3301" t="s">
        <v>676</v>
      </c>
      <c r="H7978" s="3063"/>
      <c r="I7978" s="3030"/>
    </row>
    <row r="7979" spans="2:9">
      <c r="B7979" s="3192" t="s">
        <v>677</v>
      </c>
      <c r="C7979" s="3063"/>
      <c r="D7979" s="3064"/>
      <c r="E7979" s="3064"/>
      <c r="F7979" s="3064"/>
      <c r="G7979" s="3301" t="s">
        <v>677</v>
      </c>
      <c r="H7979" s="3063"/>
      <c r="I7979" s="3030"/>
    </row>
    <row r="7980" spans="2:9">
      <c r="B7980" s="3192" t="s">
        <v>678</v>
      </c>
      <c r="C7980" s="3063"/>
      <c r="D7980" s="3064"/>
      <c r="E7980" s="3064"/>
      <c r="F7980" s="3064"/>
      <c r="G7980" s="3301" t="s">
        <v>678</v>
      </c>
      <c r="H7980" s="3063"/>
      <c r="I7980" s="3030"/>
    </row>
    <row r="7981" spans="2:9">
      <c r="B7981" s="3192" t="s">
        <v>679</v>
      </c>
      <c r="C7981" s="3063"/>
      <c r="D7981" s="3064"/>
      <c r="E7981" s="3064"/>
      <c r="F7981" s="3064"/>
      <c r="G7981" s="3301" t="s">
        <v>679</v>
      </c>
      <c r="H7981" s="3063"/>
      <c r="I7981" s="3030"/>
    </row>
    <row r="7982" spans="2:9" ht="25.5">
      <c r="B7982" s="3192" t="s">
        <v>720</v>
      </c>
      <c r="C7982" s="3063"/>
      <c r="D7982" s="3064"/>
      <c r="E7982" s="3064"/>
      <c r="F7982" s="3064"/>
      <c r="G7982" s="3301" t="s">
        <v>720</v>
      </c>
      <c r="H7982" s="3063"/>
      <c r="I7982" s="3030"/>
    </row>
    <row r="7983" spans="2:9">
      <c r="B7983" s="3299" t="s">
        <v>67</v>
      </c>
      <c r="C7983" s="3063"/>
      <c r="D7983" s="3064"/>
      <c r="E7983" s="3064"/>
      <c r="F7983" s="3064"/>
      <c r="G7983" s="3300" t="s">
        <v>67</v>
      </c>
      <c r="H7983" s="3063"/>
      <c r="I7983" s="3030"/>
    </row>
    <row r="7984" spans="2:9" ht="25.5">
      <c r="B7984" s="3192" t="s">
        <v>675</v>
      </c>
      <c r="C7984" s="3063"/>
      <c r="D7984" s="3064"/>
      <c r="E7984" s="3064"/>
      <c r="F7984" s="3064"/>
      <c r="G7984" s="3301" t="s">
        <v>675</v>
      </c>
      <c r="H7984" s="3063"/>
      <c r="I7984" s="3030"/>
    </row>
    <row r="7985" spans="2:9" ht="25.5">
      <c r="B7985" s="3192" t="s">
        <v>676</v>
      </c>
      <c r="C7985" s="3063"/>
      <c r="D7985" s="3064"/>
      <c r="E7985" s="3064"/>
      <c r="F7985" s="3064"/>
      <c r="G7985" s="3301" t="s">
        <v>676</v>
      </c>
      <c r="H7985" s="3063"/>
      <c r="I7985" s="3030"/>
    </row>
    <row r="7986" spans="2:9">
      <c r="B7986" s="3192" t="s">
        <v>677</v>
      </c>
      <c r="C7986" s="3063"/>
      <c r="D7986" s="3064"/>
      <c r="E7986" s="3064"/>
      <c r="F7986" s="3064"/>
      <c r="G7986" s="3301" t="s">
        <v>677</v>
      </c>
      <c r="H7986" s="3063"/>
      <c r="I7986" s="3030"/>
    </row>
    <row r="7987" spans="2:9">
      <c r="B7987" s="3192" t="s">
        <v>678</v>
      </c>
      <c r="C7987" s="3063"/>
      <c r="D7987" s="3064"/>
      <c r="E7987" s="3064"/>
      <c r="F7987" s="3064"/>
      <c r="G7987" s="3301" t="s">
        <v>678</v>
      </c>
      <c r="H7987" s="3063"/>
      <c r="I7987" s="3030"/>
    </row>
    <row r="7988" spans="2:9">
      <c r="B7988" s="3192" t="s">
        <v>679</v>
      </c>
      <c r="C7988" s="3063"/>
      <c r="D7988" s="3064"/>
      <c r="E7988" s="3064"/>
      <c r="F7988" s="3064"/>
      <c r="G7988" s="3301" t="s">
        <v>679</v>
      </c>
      <c r="H7988" s="3063"/>
      <c r="I7988" s="3030"/>
    </row>
    <row r="7989" spans="2:9" ht="25.5">
      <c r="B7989" s="3192" t="s">
        <v>720</v>
      </c>
      <c r="C7989" s="3063"/>
      <c r="D7989" s="3064"/>
      <c r="E7989" s="3064"/>
      <c r="F7989" s="3064"/>
      <c r="G7989" s="3301" t="s">
        <v>720</v>
      </c>
      <c r="H7989" s="3063"/>
      <c r="I7989" s="3030"/>
    </row>
    <row r="7990" spans="2:9" ht="25.5">
      <c r="B7990" s="3230" t="s">
        <v>81</v>
      </c>
      <c r="C7990" s="3063"/>
      <c r="D7990" s="3064"/>
      <c r="E7990" s="3064"/>
      <c r="F7990" s="3064"/>
      <c r="G7990" s="3302" t="s">
        <v>81</v>
      </c>
      <c r="H7990" s="3063"/>
      <c r="I7990" s="3030"/>
    </row>
    <row r="7991" spans="2:9" ht="26.25" thickBot="1">
      <c r="B7991" s="3303" t="s">
        <v>81</v>
      </c>
      <c r="C7991" s="3063"/>
      <c r="D7991" s="3064"/>
      <c r="E7991" s="3064"/>
      <c r="F7991" s="3064"/>
      <c r="G7991" s="3302" t="s">
        <v>81</v>
      </c>
      <c r="H7991" s="3063"/>
      <c r="I7991" s="3030"/>
    </row>
    <row r="7992" spans="2:9" ht="25.5">
      <c r="B7992" s="3217" t="s">
        <v>696</v>
      </c>
      <c r="C7992" s="3218"/>
      <c r="D7992" s="3219"/>
      <c r="E7992" s="3219"/>
      <c r="F7992" s="3219"/>
      <c r="G7992" s="3217" t="s">
        <v>696</v>
      </c>
      <c r="H7992" s="3297"/>
      <c r="I7992" s="3298"/>
    </row>
    <row r="7993" spans="2:9">
      <c r="B7993" s="3299" t="s">
        <v>64</v>
      </c>
      <c r="C7993" s="3063"/>
      <c r="D7993" s="3064"/>
      <c r="E7993" s="3064"/>
      <c r="F7993" s="3064"/>
      <c r="G7993" s="3300" t="s">
        <v>64</v>
      </c>
      <c r="H7993" s="3063"/>
      <c r="I7993" s="3030"/>
    </row>
    <row r="7994" spans="2:9" ht="25.5">
      <c r="B7994" s="3192" t="s">
        <v>675</v>
      </c>
      <c r="C7994" s="3063"/>
      <c r="D7994" s="3064"/>
      <c r="E7994" s="3064"/>
      <c r="F7994" s="3064"/>
      <c r="G7994" s="3301" t="s">
        <v>675</v>
      </c>
      <c r="H7994" s="3063"/>
      <c r="I7994" s="3030"/>
    </row>
    <row r="7995" spans="2:9" ht="25.5">
      <c r="B7995" s="3192" t="s">
        <v>676</v>
      </c>
      <c r="C7995" s="3063"/>
      <c r="D7995" s="3064"/>
      <c r="E7995" s="3064"/>
      <c r="F7995" s="3064"/>
      <c r="G7995" s="3301" t="s">
        <v>676</v>
      </c>
      <c r="H7995" s="3063"/>
      <c r="I7995" s="3030"/>
    </row>
    <row r="7996" spans="2:9">
      <c r="B7996" s="3192" t="s">
        <v>677</v>
      </c>
      <c r="C7996" s="3063"/>
      <c r="D7996" s="3064"/>
      <c r="E7996" s="3064"/>
      <c r="F7996" s="3064"/>
      <c r="G7996" s="3301" t="s">
        <v>677</v>
      </c>
      <c r="H7996" s="3063"/>
      <c r="I7996" s="3030"/>
    </row>
    <row r="7997" spans="2:9">
      <c r="B7997" s="3192" t="s">
        <v>678</v>
      </c>
      <c r="C7997" s="3063"/>
      <c r="D7997" s="3064"/>
      <c r="E7997" s="3064"/>
      <c r="F7997" s="3064"/>
      <c r="G7997" s="3301" t="s">
        <v>678</v>
      </c>
      <c r="H7997" s="3063"/>
      <c r="I7997" s="3030"/>
    </row>
    <row r="7998" spans="2:9">
      <c r="B7998" s="3192" t="s">
        <v>679</v>
      </c>
      <c r="C7998" s="3063"/>
      <c r="D7998" s="3064"/>
      <c r="E7998" s="3064"/>
      <c r="F7998" s="3064"/>
      <c r="G7998" s="3301" t="s">
        <v>679</v>
      </c>
      <c r="H7998" s="3063"/>
      <c r="I7998" s="3030"/>
    </row>
    <row r="7999" spans="2:9" ht="25.5">
      <c r="B7999" s="3192" t="s">
        <v>720</v>
      </c>
      <c r="C7999" s="3063"/>
      <c r="D7999" s="3064"/>
      <c r="E7999" s="3064"/>
      <c r="F7999" s="3064"/>
      <c r="G7999" s="3301" t="s">
        <v>720</v>
      </c>
      <c r="H7999" s="3063"/>
      <c r="I7999" s="3030"/>
    </row>
    <row r="8000" spans="2:9">
      <c r="B8000" s="3299" t="s">
        <v>65</v>
      </c>
      <c r="C8000" s="3063"/>
      <c r="D8000" s="3064"/>
      <c r="E8000" s="3064"/>
      <c r="F8000" s="3064"/>
      <c r="G8000" s="3300" t="s">
        <v>65</v>
      </c>
      <c r="H8000" s="3063"/>
      <c r="I8000" s="3030"/>
    </row>
    <row r="8001" spans="2:9" ht="25.5">
      <c r="B8001" s="3192" t="s">
        <v>675</v>
      </c>
      <c r="C8001" s="3063"/>
      <c r="D8001" s="3064"/>
      <c r="E8001" s="3064"/>
      <c r="F8001" s="3064"/>
      <c r="G8001" s="3301" t="s">
        <v>675</v>
      </c>
      <c r="H8001" s="3063"/>
      <c r="I8001" s="3030"/>
    </row>
    <row r="8002" spans="2:9" ht="25.5">
      <c r="B8002" s="3192" t="s">
        <v>676</v>
      </c>
      <c r="C8002" s="3063"/>
      <c r="D8002" s="3064"/>
      <c r="E8002" s="3064"/>
      <c r="F8002" s="3064"/>
      <c r="G8002" s="3301" t="s">
        <v>676</v>
      </c>
      <c r="H8002" s="3063"/>
      <c r="I8002" s="3030"/>
    </row>
    <row r="8003" spans="2:9">
      <c r="B8003" s="3192" t="s">
        <v>677</v>
      </c>
      <c r="C8003" s="3063"/>
      <c r="D8003" s="3064"/>
      <c r="E8003" s="3064"/>
      <c r="F8003" s="3064"/>
      <c r="G8003" s="3301" t="s">
        <v>677</v>
      </c>
      <c r="H8003" s="3063"/>
      <c r="I8003" s="3030"/>
    </row>
    <row r="8004" spans="2:9">
      <c r="B8004" s="3192" t="s">
        <v>678</v>
      </c>
      <c r="C8004" s="3063"/>
      <c r="D8004" s="3064"/>
      <c r="E8004" s="3064"/>
      <c r="F8004" s="3064"/>
      <c r="G8004" s="3301" t="s">
        <v>678</v>
      </c>
      <c r="H8004" s="3063"/>
      <c r="I8004" s="3030"/>
    </row>
    <row r="8005" spans="2:9">
      <c r="B8005" s="3192" t="s">
        <v>679</v>
      </c>
      <c r="C8005" s="3063"/>
      <c r="D8005" s="3064"/>
      <c r="E8005" s="3064"/>
      <c r="F8005" s="3064"/>
      <c r="G8005" s="3301" t="s">
        <v>679</v>
      </c>
      <c r="H8005" s="3063"/>
      <c r="I8005" s="3030"/>
    </row>
    <row r="8006" spans="2:9" ht="25.5">
      <c r="B8006" s="3192" t="s">
        <v>720</v>
      </c>
      <c r="C8006" s="3063"/>
      <c r="D8006" s="3064"/>
      <c r="E8006" s="3064"/>
      <c r="F8006" s="3064"/>
      <c r="G8006" s="3301" t="s">
        <v>720</v>
      </c>
      <c r="H8006" s="3063"/>
      <c r="I8006" s="3030"/>
    </row>
    <row r="8007" spans="2:9">
      <c r="B8007" s="3299" t="s">
        <v>82</v>
      </c>
      <c r="C8007" s="3063"/>
      <c r="D8007" s="3064"/>
      <c r="E8007" s="3064"/>
      <c r="F8007" s="3064"/>
      <c r="G8007" s="3300" t="s">
        <v>82</v>
      </c>
      <c r="H8007" s="3063"/>
      <c r="I8007" s="3030"/>
    </row>
    <row r="8008" spans="2:9" ht="25.5">
      <c r="B8008" s="3192" t="s">
        <v>675</v>
      </c>
      <c r="C8008" s="3063"/>
      <c r="D8008" s="3064"/>
      <c r="E8008" s="3064"/>
      <c r="F8008" s="3064"/>
      <c r="G8008" s="3301" t="s">
        <v>675</v>
      </c>
      <c r="H8008" s="3063"/>
      <c r="I8008" s="3030"/>
    </row>
    <row r="8009" spans="2:9" ht="25.5">
      <c r="B8009" s="3192" t="s">
        <v>676</v>
      </c>
      <c r="C8009" s="3063"/>
      <c r="D8009" s="3064"/>
      <c r="E8009" s="3064"/>
      <c r="F8009" s="3064"/>
      <c r="G8009" s="3301" t="s">
        <v>676</v>
      </c>
      <c r="H8009" s="3063"/>
      <c r="I8009" s="3030"/>
    </row>
    <row r="8010" spans="2:9">
      <c r="B8010" s="3192" t="s">
        <v>677</v>
      </c>
      <c r="C8010" s="3063"/>
      <c r="D8010" s="3064"/>
      <c r="E8010" s="3064"/>
      <c r="F8010" s="3064"/>
      <c r="G8010" s="3301" t="s">
        <v>677</v>
      </c>
      <c r="H8010" s="3063"/>
      <c r="I8010" s="3030"/>
    </row>
    <row r="8011" spans="2:9">
      <c r="B8011" s="3192" t="s">
        <v>678</v>
      </c>
      <c r="C8011" s="3063"/>
      <c r="D8011" s="3064"/>
      <c r="E8011" s="3064"/>
      <c r="F8011" s="3064"/>
      <c r="G8011" s="3301" t="s">
        <v>678</v>
      </c>
      <c r="H8011" s="3063"/>
      <c r="I8011" s="3030"/>
    </row>
    <row r="8012" spans="2:9">
      <c r="B8012" s="3192" t="s">
        <v>679</v>
      </c>
      <c r="C8012" s="3063"/>
      <c r="D8012" s="3064"/>
      <c r="E8012" s="3064"/>
      <c r="F8012" s="3064"/>
      <c r="G8012" s="3301" t="s">
        <v>679</v>
      </c>
      <c r="H8012" s="3063"/>
      <c r="I8012" s="3030"/>
    </row>
    <row r="8013" spans="2:9" ht="25.5">
      <c r="B8013" s="3192" t="s">
        <v>720</v>
      </c>
      <c r="C8013" s="3063"/>
      <c r="D8013" s="3064"/>
      <c r="E8013" s="3064"/>
      <c r="F8013" s="3064"/>
      <c r="G8013" s="3301" t="s">
        <v>720</v>
      </c>
      <c r="H8013" s="3063"/>
      <c r="I8013" s="3030"/>
    </row>
    <row r="8014" spans="2:9" ht="38.25">
      <c r="B8014" s="3299" t="s">
        <v>680</v>
      </c>
      <c r="C8014" s="3063"/>
      <c r="D8014" s="3064"/>
      <c r="E8014" s="3064"/>
      <c r="F8014" s="3064"/>
      <c r="G8014" s="3300" t="s">
        <v>680</v>
      </c>
      <c r="H8014" s="3063"/>
      <c r="I8014" s="3030"/>
    </row>
    <row r="8015" spans="2:9" ht="25.5">
      <c r="B8015" s="3192" t="s">
        <v>675</v>
      </c>
      <c r="C8015" s="3063"/>
      <c r="D8015" s="3064"/>
      <c r="E8015" s="3064"/>
      <c r="F8015" s="3064"/>
      <c r="G8015" s="3301" t="s">
        <v>675</v>
      </c>
      <c r="H8015" s="3063"/>
      <c r="I8015" s="3030"/>
    </row>
    <row r="8016" spans="2:9" ht="25.5">
      <c r="B8016" s="3192" t="s">
        <v>676</v>
      </c>
      <c r="C8016" s="3063"/>
      <c r="D8016" s="3064"/>
      <c r="E8016" s="3064"/>
      <c r="F8016" s="3064"/>
      <c r="G8016" s="3301" t="s">
        <v>676</v>
      </c>
      <c r="H8016" s="3063"/>
      <c r="I8016" s="3030"/>
    </row>
    <row r="8017" spans="2:9">
      <c r="B8017" s="3192" t="s">
        <v>677</v>
      </c>
      <c r="C8017" s="3063"/>
      <c r="D8017" s="3064"/>
      <c r="E8017" s="3064"/>
      <c r="F8017" s="3064"/>
      <c r="G8017" s="3301" t="s">
        <v>677</v>
      </c>
      <c r="H8017" s="3063"/>
      <c r="I8017" s="3030"/>
    </row>
    <row r="8018" spans="2:9">
      <c r="B8018" s="3192" t="s">
        <v>678</v>
      </c>
      <c r="C8018" s="3063"/>
      <c r="D8018" s="3064"/>
      <c r="E8018" s="3064"/>
      <c r="F8018" s="3064"/>
      <c r="G8018" s="3301" t="s">
        <v>678</v>
      </c>
      <c r="H8018" s="3063"/>
      <c r="I8018" s="3030"/>
    </row>
    <row r="8019" spans="2:9">
      <c r="B8019" s="3192" t="s">
        <v>679</v>
      </c>
      <c r="C8019" s="3063"/>
      <c r="D8019" s="3064"/>
      <c r="E8019" s="3064"/>
      <c r="F8019" s="3064"/>
      <c r="G8019" s="3301" t="s">
        <v>679</v>
      </c>
      <c r="H8019" s="3063"/>
      <c r="I8019" s="3030"/>
    </row>
    <row r="8020" spans="2:9" ht="25.5">
      <c r="B8020" s="3192" t="s">
        <v>720</v>
      </c>
      <c r="C8020" s="3063"/>
      <c r="D8020" s="3064"/>
      <c r="E8020" s="3064"/>
      <c r="F8020" s="3064"/>
      <c r="G8020" s="3301" t="s">
        <v>720</v>
      </c>
      <c r="H8020" s="3063"/>
      <c r="I8020" s="3030"/>
    </row>
    <row r="8021" spans="2:9" ht="38.25">
      <c r="B8021" s="3299" t="s">
        <v>681</v>
      </c>
      <c r="C8021" s="3063"/>
      <c r="D8021" s="3064"/>
      <c r="E8021" s="3064"/>
      <c r="F8021" s="3064"/>
      <c r="G8021" s="3300" t="s">
        <v>681</v>
      </c>
      <c r="H8021" s="3063"/>
      <c r="I8021" s="3030"/>
    </row>
    <row r="8022" spans="2:9" ht="25.5">
      <c r="B8022" s="3192" t="s">
        <v>675</v>
      </c>
      <c r="C8022" s="3063"/>
      <c r="D8022" s="3064"/>
      <c r="E8022" s="3064"/>
      <c r="F8022" s="3064"/>
      <c r="G8022" s="3301" t="s">
        <v>675</v>
      </c>
      <c r="H8022" s="3063"/>
      <c r="I8022" s="3030"/>
    </row>
    <row r="8023" spans="2:9" ht="25.5">
      <c r="B8023" s="3192" t="s">
        <v>676</v>
      </c>
      <c r="C8023" s="3063"/>
      <c r="D8023" s="3064"/>
      <c r="E8023" s="3064"/>
      <c r="F8023" s="3064"/>
      <c r="G8023" s="3301" t="s">
        <v>676</v>
      </c>
      <c r="H8023" s="3063"/>
      <c r="I8023" s="3030"/>
    </row>
    <row r="8024" spans="2:9">
      <c r="B8024" s="3192" t="s">
        <v>677</v>
      </c>
      <c r="C8024" s="3063"/>
      <c r="D8024" s="3064"/>
      <c r="E8024" s="3064"/>
      <c r="F8024" s="3064"/>
      <c r="G8024" s="3301" t="s">
        <v>677</v>
      </c>
      <c r="H8024" s="3063"/>
      <c r="I8024" s="3030"/>
    </row>
    <row r="8025" spans="2:9">
      <c r="B8025" s="3192" t="s">
        <v>678</v>
      </c>
      <c r="C8025" s="3063"/>
      <c r="D8025" s="3064"/>
      <c r="E8025" s="3064"/>
      <c r="F8025" s="3064"/>
      <c r="G8025" s="3301" t="s">
        <v>678</v>
      </c>
      <c r="H8025" s="3063"/>
      <c r="I8025" s="3030"/>
    </row>
    <row r="8026" spans="2:9">
      <c r="B8026" s="3192" t="s">
        <v>679</v>
      </c>
      <c r="C8026" s="3063"/>
      <c r="D8026" s="3064"/>
      <c r="E8026" s="3064"/>
      <c r="F8026" s="3064"/>
      <c r="G8026" s="3301" t="s">
        <v>679</v>
      </c>
      <c r="H8026" s="3063"/>
      <c r="I8026" s="3030"/>
    </row>
    <row r="8027" spans="2:9" ht="25.5">
      <c r="B8027" s="3192" t="s">
        <v>720</v>
      </c>
      <c r="C8027" s="3063"/>
      <c r="D8027" s="3064"/>
      <c r="E8027" s="3064"/>
      <c r="F8027" s="3064"/>
      <c r="G8027" s="3301" t="s">
        <v>720</v>
      </c>
      <c r="H8027" s="3063"/>
      <c r="I8027" s="3030"/>
    </row>
    <row r="8028" spans="2:9" ht="25.5">
      <c r="B8028" s="3299" t="s">
        <v>682</v>
      </c>
      <c r="C8028" s="3063"/>
      <c r="D8028" s="3064"/>
      <c r="E8028" s="3064"/>
      <c r="F8028" s="3064"/>
      <c r="G8028" s="3300" t="s">
        <v>682</v>
      </c>
      <c r="H8028" s="3063"/>
      <c r="I8028" s="3030"/>
    </row>
    <row r="8029" spans="2:9" ht="25.5">
      <c r="B8029" s="3192" t="s">
        <v>675</v>
      </c>
      <c r="C8029" s="3063"/>
      <c r="D8029" s="3064"/>
      <c r="E8029" s="3064"/>
      <c r="F8029" s="3064"/>
      <c r="G8029" s="3301" t="s">
        <v>675</v>
      </c>
      <c r="H8029" s="3063"/>
      <c r="I8029" s="3030"/>
    </row>
    <row r="8030" spans="2:9" ht="25.5">
      <c r="B8030" s="3192" t="s">
        <v>676</v>
      </c>
      <c r="C8030" s="3063"/>
      <c r="D8030" s="3064"/>
      <c r="E8030" s="3064"/>
      <c r="F8030" s="3064"/>
      <c r="G8030" s="3301" t="s">
        <v>676</v>
      </c>
      <c r="H8030" s="3063"/>
      <c r="I8030" s="3030"/>
    </row>
    <row r="8031" spans="2:9">
      <c r="B8031" s="3192" t="s">
        <v>677</v>
      </c>
      <c r="C8031" s="3063"/>
      <c r="D8031" s="3064"/>
      <c r="E8031" s="3064"/>
      <c r="F8031" s="3064"/>
      <c r="G8031" s="3301" t="s">
        <v>677</v>
      </c>
      <c r="H8031" s="3063"/>
      <c r="I8031" s="3030"/>
    </row>
    <row r="8032" spans="2:9">
      <c r="B8032" s="3192" t="s">
        <v>678</v>
      </c>
      <c r="C8032" s="3063"/>
      <c r="D8032" s="3064"/>
      <c r="E8032" s="3064"/>
      <c r="F8032" s="3064"/>
      <c r="G8032" s="3301" t="s">
        <v>678</v>
      </c>
      <c r="H8032" s="3063"/>
      <c r="I8032" s="3030"/>
    </row>
    <row r="8033" spans="2:9">
      <c r="B8033" s="3192" t="s">
        <v>679</v>
      </c>
      <c r="C8033" s="3063"/>
      <c r="D8033" s="3064"/>
      <c r="E8033" s="3064"/>
      <c r="F8033" s="3064"/>
      <c r="G8033" s="3301" t="s">
        <v>679</v>
      </c>
      <c r="H8033" s="3063"/>
      <c r="I8033" s="3030"/>
    </row>
    <row r="8034" spans="2:9" ht="25.5">
      <c r="B8034" s="3192" t="s">
        <v>720</v>
      </c>
      <c r="C8034" s="3063"/>
      <c r="D8034" s="3064"/>
      <c r="E8034" s="3064"/>
      <c r="F8034" s="3064"/>
      <c r="G8034" s="3301" t="s">
        <v>720</v>
      </c>
      <c r="H8034" s="3063"/>
      <c r="I8034" s="3030"/>
    </row>
    <row r="8035" spans="2:9" ht="25.5">
      <c r="B8035" s="3299" t="s">
        <v>66</v>
      </c>
      <c r="C8035" s="3063"/>
      <c r="D8035" s="3064"/>
      <c r="E8035" s="3064"/>
      <c r="F8035" s="3064"/>
      <c r="G8035" s="3300" t="s">
        <v>66</v>
      </c>
      <c r="H8035" s="3063"/>
      <c r="I8035" s="3030"/>
    </row>
    <row r="8036" spans="2:9" ht="25.5">
      <c r="B8036" s="3192" t="s">
        <v>675</v>
      </c>
      <c r="C8036" s="3063"/>
      <c r="D8036" s="3064"/>
      <c r="E8036" s="3064"/>
      <c r="F8036" s="3064"/>
      <c r="G8036" s="3301" t="s">
        <v>675</v>
      </c>
      <c r="H8036" s="3063"/>
      <c r="I8036" s="3030"/>
    </row>
    <row r="8037" spans="2:9" ht="25.5">
      <c r="B8037" s="3192" t="s">
        <v>676</v>
      </c>
      <c r="C8037" s="3063"/>
      <c r="D8037" s="3064"/>
      <c r="E8037" s="3064"/>
      <c r="F8037" s="3064"/>
      <c r="G8037" s="3301" t="s">
        <v>676</v>
      </c>
      <c r="H8037" s="3063"/>
      <c r="I8037" s="3030"/>
    </row>
    <row r="8038" spans="2:9">
      <c r="B8038" s="3192" t="s">
        <v>677</v>
      </c>
      <c r="C8038" s="3063"/>
      <c r="D8038" s="3064"/>
      <c r="E8038" s="3064"/>
      <c r="F8038" s="3064"/>
      <c r="G8038" s="3301" t="s">
        <v>677</v>
      </c>
      <c r="H8038" s="3063"/>
      <c r="I8038" s="3030"/>
    </row>
    <row r="8039" spans="2:9">
      <c r="B8039" s="3192" t="s">
        <v>678</v>
      </c>
      <c r="C8039" s="3063"/>
      <c r="D8039" s="3064"/>
      <c r="E8039" s="3064"/>
      <c r="F8039" s="3064"/>
      <c r="G8039" s="3301" t="s">
        <v>678</v>
      </c>
      <c r="H8039" s="3063"/>
      <c r="I8039" s="3030"/>
    </row>
    <row r="8040" spans="2:9">
      <c r="B8040" s="3192" t="s">
        <v>679</v>
      </c>
      <c r="C8040" s="3063"/>
      <c r="D8040" s="3064"/>
      <c r="E8040" s="3064"/>
      <c r="F8040" s="3064"/>
      <c r="G8040" s="3301" t="s">
        <v>679</v>
      </c>
      <c r="H8040" s="3063"/>
      <c r="I8040" s="3030"/>
    </row>
    <row r="8041" spans="2:9" ht="25.5">
      <c r="B8041" s="3192" t="s">
        <v>720</v>
      </c>
      <c r="C8041" s="3063"/>
      <c r="D8041" s="3064"/>
      <c r="E8041" s="3064"/>
      <c r="F8041" s="3064"/>
      <c r="G8041" s="3301" t="s">
        <v>720</v>
      </c>
      <c r="H8041" s="3063"/>
      <c r="I8041" s="3030"/>
    </row>
    <row r="8042" spans="2:9">
      <c r="B8042" s="3299" t="s">
        <v>67</v>
      </c>
      <c r="C8042" s="3063"/>
      <c r="D8042" s="3064"/>
      <c r="E8042" s="3064"/>
      <c r="F8042" s="3064"/>
      <c r="G8042" s="3300" t="s">
        <v>67</v>
      </c>
      <c r="H8042" s="3063"/>
      <c r="I8042" s="3030"/>
    </row>
    <row r="8043" spans="2:9" ht="25.5">
      <c r="B8043" s="3192" t="s">
        <v>675</v>
      </c>
      <c r="C8043" s="3063"/>
      <c r="D8043" s="3064"/>
      <c r="E8043" s="3064"/>
      <c r="F8043" s="3064"/>
      <c r="G8043" s="3301" t="s">
        <v>675</v>
      </c>
      <c r="H8043" s="3063"/>
      <c r="I8043" s="3030"/>
    </row>
    <row r="8044" spans="2:9" ht="25.5">
      <c r="B8044" s="3192" t="s">
        <v>676</v>
      </c>
      <c r="C8044" s="3063"/>
      <c r="D8044" s="3064"/>
      <c r="E8044" s="3064"/>
      <c r="F8044" s="3064"/>
      <c r="G8044" s="3301" t="s">
        <v>676</v>
      </c>
      <c r="H8044" s="3063"/>
      <c r="I8044" s="3030"/>
    </row>
    <row r="8045" spans="2:9">
      <c r="B8045" s="3192" t="s">
        <v>677</v>
      </c>
      <c r="C8045" s="3063"/>
      <c r="D8045" s="3064"/>
      <c r="E8045" s="3064"/>
      <c r="F8045" s="3064"/>
      <c r="G8045" s="3301" t="s">
        <v>677</v>
      </c>
      <c r="H8045" s="3063"/>
      <c r="I8045" s="3030"/>
    </row>
    <row r="8046" spans="2:9">
      <c r="B8046" s="3192" t="s">
        <v>678</v>
      </c>
      <c r="C8046" s="3063"/>
      <c r="D8046" s="3064"/>
      <c r="E8046" s="3064"/>
      <c r="F8046" s="3064"/>
      <c r="G8046" s="3301" t="s">
        <v>678</v>
      </c>
      <c r="H8046" s="3063"/>
      <c r="I8046" s="3030"/>
    </row>
    <row r="8047" spans="2:9">
      <c r="B8047" s="3192" t="s">
        <v>679</v>
      </c>
      <c r="C8047" s="3063"/>
      <c r="D8047" s="3064"/>
      <c r="E8047" s="3064"/>
      <c r="F8047" s="3064"/>
      <c r="G8047" s="3301" t="s">
        <v>679</v>
      </c>
      <c r="H8047" s="3063"/>
      <c r="I8047" s="3030"/>
    </row>
    <row r="8048" spans="2:9" ht="25.5">
      <c r="B8048" s="3230" t="s">
        <v>81</v>
      </c>
      <c r="C8048" s="3063"/>
      <c r="D8048" s="3064"/>
      <c r="E8048" s="3064"/>
      <c r="F8048" s="3064"/>
      <c r="G8048" s="3302" t="s">
        <v>81</v>
      </c>
      <c r="H8048" s="3063"/>
      <c r="I8048" s="3030"/>
    </row>
    <row r="8049" spans="2:9" ht="26.25" thickBot="1">
      <c r="B8049" s="3303" t="s">
        <v>81</v>
      </c>
      <c r="C8049" s="3063"/>
      <c r="D8049" s="3064"/>
      <c r="E8049" s="3064"/>
      <c r="F8049" s="3064"/>
      <c r="G8049" s="3302" t="s">
        <v>81</v>
      </c>
      <c r="H8049" s="3063"/>
      <c r="I8049" s="3030"/>
    </row>
    <row r="8050" spans="2:9">
      <c r="B8050" s="3217" t="s">
        <v>697</v>
      </c>
      <c r="C8050" s="3218"/>
      <c r="D8050" s="3219"/>
      <c r="E8050" s="3219"/>
      <c r="F8050" s="3219"/>
      <c r="G8050" s="3217" t="s">
        <v>697</v>
      </c>
      <c r="H8050" s="3297"/>
      <c r="I8050" s="3298"/>
    </row>
    <row r="8051" spans="2:9">
      <c r="B8051" s="3299" t="s">
        <v>64</v>
      </c>
      <c r="C8051" s="3063"/>
      <c r="D8051" s="3064"/>
      <c r="E8051" s="3064"/>
      <c r="F8051" s="3064"/>
      <c r="G8051" s="3300" t="s">
        <v>64</v>
      </c>
      <c r="H8051" s="3063"/>
      <c r="I8051" s="3030"/>
    </row>
    <row r="8052" spans="2:9" ht="25.5">
      <c r="B8052" s="3192" t="s">
        <v>675</v>
      </c>
      <c r="C8052" s="3063"/>
      <c r="D8052" s="3064"/>
      <c r="E8052" s="3064"/>
      <c r="F8052" s="3064"/>
      <c r="G8052" s="3301" t="s">
        <v>675</v>
      </c>
      <c r="H8052" s="3063"/>
      <c r="I8052" s="3030"/>
    </row>
    <row r="8053" spans="2:9" ht="25.5">
      <c r="B8053" s="3192" t="s">
        <v>676</v>
      </c>
      <c r="C8053" s="3063"/>
      <c r="D8053" s="3064"/>
      <c r="E8053" s="3064"/>
      <c r="F8053" s="3064"/>
      <c r="G8053" s="3301" t="s">
        <v>676</v>
      </c>
      <c r="H8053" s="3063"/>
      <c r="I8053" s="3030"/>
    </row>
    <row r="8054" spans="2:9">
      <c r="B8054" s="3192" t="s">
        <v>677</v>
      </c>
      <c r="C8054" s="3063"/>
      <c r="D8054" s="3064"/>
      <c r="E8054" s="3064"/>
      <c r="F8054" s="3064"/>
      <c r="G8054" s="3301" t="s">
        <v>677</v>
      </c>
      <c r="H8054" s="3063"/>
      <c r="I8054" s="3030"/>
    </row>
    <row r="8055" spans="2:9">
      <c r="B8055" s="3192" t="s">
        <v>678</v>
      </c>
      <c r="C8055" s="3063"/>
      <c r="D8055" s="3064"/>
      <c r="E8055" s="3064"/>
      <c r="F8055" s="3064"/>
      <c r="G8055" s="3301" t="s">
        <v>678</v>
      </c>
      <c r="H8055" s="3063"/>
      <c r="I8055" s="3030"/>
    </row>
    <row r="8056" spans="2:9">
      <c r="B8056" s="3192" t="s">
        <v>679</v>
      </c>
      <c r="C8056" s="3063"/>
      <c r="D8056" s="3064"/>
      <c r="E8056" s="3064"/>
      <c r="F8056" s="3064"/>
      <c r="G8056" s="3301" t="s">
        <v>679</v>
      </c>
      <c r="H8056" s="3063"/>
      <c r="I8056" s="3030"/>
    </row>
    <row r="8057" spans="2:9" ht="25.5">
      <c r="B8057" s="3192" t="s">
        <v>720</v>
      </c>
      <c r="C8057" s="3063"/>
      <c r="D8057" s="3064"/>
      <c r="E8057" s="3064"/>
      <c r="F8057" s="3064"/>
      <c r="G8057" s="3301" t="s">
        <v>720</v>
      </c>
      <c r="H8057" s="3063"/>
      <c r="I8057" s="3030"/>
    </row>
    <row r="8058" spans="2:9">
      <c r="B8058" s="3299" t="s">
        <v>65</v>
      </c>
      <c r="C8058" s="3063"/>
      <c r="D8058" s="3064"/>
      <c r="E8058" s="3064"/>
      <c r="F8058" s="3064"/>
      <c r="G8058" s="3300" t="s">
        <v>65</v>
      </c>
      <c r="H8058" s="3063"/>
      <c r="I8058" s="3030"/>
    </row>
    <row r="8059" spans="2:9" ht="25.5">
      <c r="B8059" s="3192" t="s">
        <v>675</v>
      </c>
      <c r="C8059" s="3063"/>
      <c r="D8059" s="3064"/>
      <c r="E8059" s="3064"/>
      <c r="F8059" s="3064"/>
      <c r="G8059" s="3301" t="s">
        <v>675</v>
      </c>
      <c r="H8059" s="3063"/>
      <c r="I8059" s="3030"/>
    </row>
    <row r="8060" spans="2:9" ht="25.5">
      <c r="B8060" s="3192" t="s">
        <v>676</v>
      </c>
      <c r="C8060" s="3063"/>
      <c r="D8060" s="3064"/>
      <c r="E8060" s="3064"/>
      <c r="F8060" s="3064"/>
      <c r="G8060" s="3301" t="s">
        <v>676</v>
      </c>
      <c r="H8060" s="3063"/>
      <c r="I8060" s="3030"/>
    </row>
    <row r="8061" spans="2:9">
      <c r="B8061" s="3192" t="s">
        <v>677</v>
      </c>
      <c r="C8061" s="3063"/>
      <c r="D8061" s="3064"/>
      <c r="E8061" s="3064"/>
      <c r="F8061" s="3064"/>
      <c r="G8061" s="3301" t="s">
        <v>677</v>
      </c>
      <c r="H8061" s="3063"/>
      <c r="I8061" s="3030"/>
    </row>
    <row r="8062" spans="2:9">
      <c r="B8062" s="3192" t="s">
        <v>678</v>
      </c>
      <c r="C8062" s="3063"/>
      <c r="D8062" s="3064"/>
      <c r="E8062" s="3064"/>
      <c r="F8062" s="3064"/>
      <c r="G8062" s="3301" t="s">
        <v>678</v>
      </c>
      <c r="H8062" s="3063"/>
      <c r="I8062" s="3030"/>
    </row>
    <row r="8063" spans="2:9">
      <c r="B8063" s="3192" t="s">
        <v>679</v>
      </c>
      <c r="C8063" s="3063"/>
      <c r="D8063" s="3064"/>
      <c r="E8063" s="3064"/>
      <c r="F8063" s="3064"/>
      <c r="G8063" s="3301" t="s">
        <v>679</v>
      </c>
      <c r="H8063" s="3063"/>
      <c r="I8063" s="3030"/>
    </row>
    <row r="8064" spans="2:9" ht="25.5">
      <c r="B8064" s="3192" t="s">
        <v>720</v>
      </c>
      <c r="C8064" s="3063"/>
      <c r="D8064" s="3064"/>
      <c r="E8064" s="3064"/>
      <c r="F8064" s="3064"/>
      <c r="G8064" s="3301" t="s">
        <v>720</v>
      </c>
      <c r="H8064" s="3063"/>
      <c r="I8064" s="3030"/>
    </row>
    <row r="8065" spans="2:9">
      <c r="B8065" s="3299" t="s">
        <v>82</v>
      </c>
      <c r="C8065" s="3063"/>
      <c r="D8065" s="3064"/>
      <c r="E8065" s="3064"/>
      <c r="F8065" s="3064"/>
      <c r="G8065" s="3300" t="s">
        <v>82</v>
      </c>
      <c r="H8065" s="3063"/>
      <c r="I8065" s="3030"/>
    </row>
    <row r="8066" spans="2:9" ht="25.5">
      <c r="B8066" s="3192" t="s">
        <v>675</v>
      </c>
      <c r="C8066" s="3063"/>
      <c r="D8066" s="3064"/>
      <c r="E8066" s="3064"/>
      <c r="F8066" s="3064"/>
      <c r="G8066" s="3301" t="s">
        <v>675</v>
      </c>
      <c r="H8066" s="3063"/>
      <c r="I8066" s="3030"/>
    </row>
    <row r="8067" spans="2:9" ht="25.5">
      <c r="B8067" s="3192" t="s">
        <v>676</v>
      </c>
      <c r="C8067" s="3063"/>
      <c r="D8067" s="3064"/>
      <c r="E8067" s="3064"/>
      <c r="F8067" s="3064"/>
      <c r="G8067" s="3301" t="s">
        <v>676</v>
      </c>
      <c r="H8067" s="3063"/>
      <c r="I8067" s="3030"/>
    </row>
    <row r="8068" spans="2:9">
      <c r="B8068" s="3192" t="s">
        <v>677</v>
      </c>
      <c r="C8068" s="3063"/>
      <c r="D8068" s="3064"/>
      <c r="E8068" s="3064"/>
      <c r="F8068" s="3064"/>
      <c r="G8068" s="3301" t="s">
        <v>677</v>
      </c>
      <c r="H8068" s="3063"/>
      <c r="I8068" s="3030"/>
    </row>
    <row r="8069" spans="2:9">
      <c r="B8069" s="3192" t="s">
        <v>678</v>
      </c>
      <c r="C8069" s="3063"/>
      <c r="D8069" s="3064"/>
      <c r="E8069" s="3064"/>
      <c r="F8069" s="3064"/>
      <c r="G8069" s="3301" t="s">
        <v>678</v>
      </c>
      <c r="H8069" s="3063"/>
      <c r="I8069" s="3030"/>
    </row>
    <row r="8070" spans="2:9">
      <c r="B8070" s="3192" t="s">
        <v>679</v>
      </c>
      <c r="C8070" s="3063"/>
      <c r="D8070" s="3064"/>
      <c r="E8070" s="3064"/>
      <c r="F8070" s="3064"/>
      <c r="G8070" s="3301" t="s">
        <v>679</v>
      </c>
      <c r="H8070" s="3063"/>
      <c r="I8070" s="3030"/>
    </row>
    <row r="8071" spans="2:9" ht="25.5">
      <c r="B8071" s="3192" t="s">
        <v>720</v>
      </c>
      <c r="C8071" s="3063"/>
      <c r="D8071" s="3064"/>
      <c r="E8071" s="3064"/>
      <c r="F8071" s="3064"/>
      <c r="G8071" s="3301" t="s">
        <v>720</v>
      </c>
      <c r="H8071" s="3063"/>
      <c r="I8071" s="3030"/>
    </row>
    <row r="8072" spans="2:9" ht="38.25">
      <c r="B8072" s="3299" t="s">
        <v>680</v>
      </c>
      <c r="C8072" s="3063"/>
      <c r="D8072" s="3064"/>
      <c r="E8072" s="3064"/>
      <c r="F8072" s="3064"/>
      <c r="G8072" s="3300" t="s">
        <v>680</v>
      </c>
      <c r="H8072" s="3063"/>
      <c r="I8072" s="3030"/>
    </row>
    <row r="8073" spans="2:9" ht="25.5">
      <c r="B8073" s="3192" t="s">
        <v>675</v>
      </c>
      <c r="C8073" s="3063"/>
      <c r="D8073" s="3064"/>
      <c r="E8073" s="3064"/>
      <c r="F8073" s="3064"/>
      <c r="G8073" s="3301" t="s">
        <v>675</v>
      </c>
      <c r="H8073" s="3063"/>
      <c r="I8073" s="3030"/>
    </row>
    <row r="8074" spans="2:9" ht="25.5">
      <c r="B8074" s="3192" t="s">
        <v>676</v>
      </c>
      <c r="C8074" s="3063"/>
      <c r="D8074" s="3064"/>
      <c r="E8074" s="3064"/>
      <c r="F8074" s="3064"/>
      <c r="G8074" s="3301" t="s">
        <v>676</v>
      </c>
      <c r="H8074" s="3063"/>
      <c r="I8074" s="3030"/>
    </row>
    <row r="8075" spans="2:9">
      <c r="B8075" s="3192" t="s">
        <v>677</v>
      </c>
      <c r="C8075" s="3063"/>
      <c r="D8075" s="3064"/>
      <c r="E8075" s="3064"/>
      <c r="F8075" s="3064"/>
      <c r="G8075" s="3301" t="s">
        <v>677</v>
      </c>
      <c r="H8075" s="3063"/>
      <c r="I8075" s="3030"/>
    </row>
    <row r="8076" spans="2:9">
      <c r="B8076" s="3192" t="s">
        <v>678</v>
      </c>
      <c r="C8076" s="3063"/>
      <c r="D8076" s="3064"/>
      <c r="E8076" s="3064"/>
      <c r="F8076" s="3064"/>
      <c r="G8076" s="3301" t="s">
        <v>678</v>
      </c>
      <c r="H8076" s="3063"/>
      <c r="I8076" s="3030"/>
    </row>
    <row r="8077" spans="2:9">
      <c r="B8077" s="3192" t="s">
        <v>679</v>
      </c>
      <c r="C8077" s="3063"/>
      <c r="D8077" s="3064"/>
      <c r="E8077" s="3064"/>
      <c r="F8077" s="3064"/>
      <c r="G8077" s="3301" t="s">
        <v>679</v>
      </c>
      <c r="H8077" s="3063"/>
      <c r="I8077" s="3030"/>
    </row>
    <row r="8078" spans="2:9" ht="25.5">
      <c r="B8078" s="3192" t="s">
        <v>720</v>
      </c>
      <c r="C8078" s="3063"/>
      <c r="D8078" s="3064"/>
      <c r="E8078" s="3064"/>
      <c r="F8078" s="3064"/>
      <c r="G8078" s="3301" t="s">
        <v>720</v>
      </c>
      <c r="H8078" s="3063"/>
      <c r="I8078" s="3030"/>
    </row>
    <row r="8079" spans="2:9" ht="38.25">
      <c r="B8079" s="3299" t="s">
        <v>681</v>
      </c>
      <c r="C8079" s="3063"/>
      <c r="D8079" s="3064"/>
      <c r="E8079" s="3064"/>
      <c r="F8079" s="3064"/>
      <c r="G8079" s="3300" t="s">
        <v>681</v>
      </c>
      <c r="H8079" s="3063">
        <v>3.8489171713024753E-2</v>
      </c>
      <c r="I8079" s="3030"/>
    </row>
    <row r="8080" spans="2:9" ht="25.5">
      <c r="B8080" s="3192" t="s">
        <v>675</v>
      </c>
      <c r="C8080" s="3063"/>
      <c r="D8080" s="3064">
        <v>1</v>
      </c>
      <c r="E8080" s="3064"/>
      <c r="F8080" s="3064"/>
      <c r="G8080" s="3301" t="s">
        <v>675</v>
      </c>
      <c r="H8080" s="3063"/>
      <c r="I8080" s="3030">
        <v>3.8489171713024753E-2</v>
      </c>
    </row>
    <row r="8081" spans="2:9" ht="25.5">
      <c r="B8081" s="3192" t="s">
        <v>676</v>
      </c>
      <c r="C8081" s="3063"/>
      <c r="D8081" s="3064"/>
      <c r="E8081" s="3064"/>
      <c r="F8081" s="3064"/>
      <c r="G8081" s="3301" t="s">
        <v>676</v>
      </c>
      <c r="H8081" s="3063"/>
      <c r="I8081" s="3030"/>
    </row>
    <row r="8082" spans="2:9">
      <c r="B8082" s="3192" t="s">
        <v>677</v>
      </c>
      <c r="C8082" s="3063"/>
      <c r="D8082" s="3064"/>
      <c r="E8082" s="3064"/>
      <c r="F8082" s="3064"/>
      <c r="G8082" s="3301" t="s">
        <v>677</v>
      </c>
      <c r="H8082" s="3063"/>
      <c r="I8082" s="3030"/>
    </row>
    <row r="8083" spans="2:9">
      <c r="B8083" s="3192" t="s">
        <v>678</v>
      </c>
      <c r="C8083" s="3063"/>
      <c r="D8083" s="3064"/>
      <c r="E8083" s="3064"/>
      <c r="F8083" s="3064"/>
      <c r="G8083" s="3301" t="s">
        <v>678</v>
      </c>
      <c r="H8083" s="3063"/>
      <c r="I8083" s="3030"/>
    </row>
    <row r="8084" spans="2:9">
      <c r="B8084" s="3192" t="s">
        <v>679</v>
      </c>
      <c r="C8084" s="3063"/>
      <c r="D8084" s="3064"/>
      <c r="E8084" s="3064"/>
      <c r="F8084" s="3064"/>
      <c r="G8084" s="3301" t="s">
        <v>679</v>
      </c>
      <c r="H8084" s="3063"/>
      <c r="I8084" s="3030"/>
    </row>
    <row r="8085" spans="2:9" ht="25.5">
      <c r="B8085" s="3192" t="s">
        <v>720</v>
      </c>
      <c r="C8085" s="3063"/>
      <c r="D8085" s="3064"/>
      <c r="E8085" s="3064"/>
      <c r="F8085" s="3064"/>
      <c r="G8085" s="3301" t="s">
        <v>720</v>
      </c>
      <c r="H8085" s="3063"/>
      <c r="I8085" s="3030"/>
    </row>
    <row r="8086" spans="2:9" ht="25.5">
      <c r="B8086" s="3299" t="s">
        <v>682</v>
      </c>
      <c r="C8086" s="3063"/>
      <c r="D8086" s="3064"/>
      <c r="E8086" s="3064"/>
      <c r="F8086" s="3064"/>
      <c r="G8086" s="3300" t="s">
        <v>682</v>
      </c>
      <c r="H8086" s="3063"/>
      <c r="I8086" s="3030"/>
    </row>
    <row r="8087" spans="2:9" ht="25.5">
      <c r="B8087" s="3192" t="s">
        <v>675</v>
      </c>
      <c r="C8087" s="3063"/>
      <c r="D8087" s="3064"/>
      <c r="E8087" s="3064"/>
      <c r="F8087" s="3064"/>
      <c r="G8087" s="3301" t="s">
        <v>675</v>
      </c>
      <c r="H8087" s="3063"/>
      <c r="I8087" s="3030"/>
    </row>
    <row r="8088" spans="2:9" ht="25.5">
      <c r="B8088" s="3192" t="s">
        <v>676</v>
      </c>
      <c r="C8088" s="3063"/>
      <c r="D8088" s="3064"/>
      <c r="E8088" s="3064"/>
      <c r="F8088" s="3064"/>
      <c r="G8088" s="3301" t="s">
        <v>676</v>
      </c>
      <c r="H8088" s="3063"/>
      <c r="I8088" s="3030"/>
    </row>
    <row r="8089" spans="2:9">
      <c r="B8089" s="3192" t="s">
        <v>677</v>
      </c>
      <c r="C8089" s="3063"/>
      <c r="D8089" s="3064"/>
      <c r="E8089" s="3064"/>
      <c r="F8089" s="3064"/>
      <c r="G8089" s="3301" t="s">
        <v>677</v>
      </c>
      <c r="H8089" s="3063"/>
      <c r="I8089" s="3030"/>
    </row>
    <row r="8090" spans="2:9">
      <c r="B8090" s="3192" t="s">
        <v>678</v>
      </c>
      <c r="C8090" s="3063"/>
      <c r="D8090" s="3064"/>
      <c r="E8090" s="3064"/>
      <c r="F8090" s="3064"/>
      <c r="G8090" s="3301" t="s">
        <v>678</v>
      </c>
      <c r="H8090" s="3063"/>
      <c r="I8090" s="3030"/>
    </row>
    <row r="8091" spans="2:9">
      <c r="B8091" s="3192" t="s">
        <v>679</v>
      </c>
      <c r="C8091" s="3063"/>
      <c r="D8091" s="3064"/>
      <c r="E8091" s="3064"/>
      <c r="F8091" s="3064"/>
      <c r="G8091" s="3301" t="s">
        <v>679</v>
      </c>
      <c r="H8091" s="3063"/>
      <c r="I8091" s="3030"/>
    </row>
    <row r="8092" spans="2:9" ht="25.5">
      <c r="B8092" s="3192" t="s">
        <v>720</v>
      </c>
      <c r="C8092" s="3063"/>
      <c r="D8092" s="3064"/>
      <c r="E8092" s="3064"/>
      <c r="F8092" s="3064"/>
      <c r="G8092" s="3301" t="s">
        <v>720</v>
      </c>
      <c r="H8092" s="3063"/>
      <c r="I8092" s="3030"/>
    </row>
    <row r="8093" spans="2:9" ht="25.5">
      <c r="B8093" s="3299" t="s">
        <v>66</v>
      </c>
      <c r="C8093" s="3063"/>
      <c r="D8093" s="3064"/>
      <c r="E8093" s="3064"/>
      <c r="F8093" s="3064"/>
      <c r="G8093" s="3300" t="s">
        <v>66</v>
      </c>
      <c r="H8093" s="3063"/>
      <c r="I8093" s="3030"/>
    </row>
    <row r="8094" spans="2:9" ht="25.5">
      <c r="B8094" s="3192" t="s">
        <v>675</v>
      </c>
      <c r="C8094" s="3063"/>
      <c r="D8094" s="3064"/>
      <c r="E8094" s="3064"/>
      <c r="F8094" s="3064"/>
      <c r="G8094" s="3301" t="s">
        <v>675</v>
      </c>
      <c r="H8094" s="3063"/>
      <c r="I8094" s="3030"/>
    </row>
    <row r="8095" spans="2:9" ht="25.5">
      <c r="B8095" s="3192" t="s">
        <v>676</v>
      </c>
      <c r="C8095" s="3063"/>
      <c r="D8095" s="3064"/>
      <c r="E8095" s="3064"/>
      <c r="F8095" s="3064"/>
      <c r="G8095" s="3301" t="s">
        <v>676</v>
      </c>
      <c r="H8095" s="3063"/>
      <c r="I8095" s="3030"/>
    </row>
    <row r="8096" spans="2:9">
      <c r="B8096" s="3192" t="s">
        <v>677</v>
      </c>
      <c r="C8096" s="3063"/>
      <c r="D8096" s="3064"/>
      <c r="E8096" s="3064"/>
      <c r="F8096" s="3064"/>
      <c r="G8096" s="3301" t="s">
        <v>677</v>
      </c>
      <c r="H8096" s="3063"/>
      <c r="I8096" s="3030"/>
    </row>
    <row r="8097" spans="2:9">
      <c r="B8097" s="3192" t="s">
        <v>678</v>
      </c>
      <c r="C8097" s="3063"/>
      <c r="D8097" s="3064"/>
      <c r="E8097" s="3064"/>
      <c r="F8097" s="3064"/>
      <c r="G8097" s="3301" t="s">
        <v>678</v>
      </c>
      <c r="H8097" s="3063"/>
      <c r="I8097" s="3030"/>
    </row>
    <row r="8098" spans="2:9">
      <c r="B8098" s="3192" t="s">
        <v>679</v>
      </c>
      <c r="C8098" s="3063"/>
      <c r="D8098" s="3064"/>
      <c r="E8098" s="3064"/>
      <c r="F8098" s="3064"/>
      <c r="G8098" s="3301" t="s">
        <v>679</v>
      </c>
      <c r="H8098" s="3063"/>
      <c r="I8098" s="3030"/>
    </row>
    <row r="8099" spans="2:9" ht="25.5">
      <c r="B8099" s="3192" t="s">
        <v>720</v>
      </c>
      <c r="C8099" s="3063"/>
      <c r="D8099" s="3064"/>
      <c r="E8099" s="3064"/>
      <c r="F8099" s="3064"/>
      <c r="G8099" s="3301" t="s">
        <v>720</v>
      </c>
      <c r="H8099" s="3063"/>
      <c r="I8099" s="3030"/>
    </row>
    <row r="8100" spans="2:9">
      <c r="B8100" s="3299" t="s">
        <v>67</v>
      </c>
      <c r="C8100" s="3063"/>
      <c r="D8100" s="3064"/>
      <c r="E8100" s="3064"/>
      <c r="F8100" s="3064">
        <v>1</v>
      </c>
      <c r="G8100" s="3300" t="s">
        <v>67</v>
      </c>
      <c r="H8100" s="3063">
        <v>4.5347360783602408E-2</v>
      </c>
      <c r="I8100" s="3030"/>
    </row>
    <row r="8101" spans="2:9" ht="25.5">
      <c r="B8101" s="3192" t="s">
        <v>675</v>
      </c>
      <c r="C8101" s="3063"/>
      <c r="D8101" s="3064"/>
      <c r="E8101" s="3064"/>
      <c r="F8101" s="3064"/>
      <c r="G8101" s="3301" t="s">
        <v>675</v>
      </c>
      <c r="H8101" s="3063"/>
      <c r="I8101" s="3030"/>
    </row>
    <row r="8102" spans="2:9" ht="25.5">
      <c r="B8102" s="3192" t="s">
        <v>676</v>
      </c>
      <c r="C8102" s="3063"/>
      <c r="D8102" s="3064"/>
      <c r="E8102" s="3064"/>
      <c r="F8102" s="3064"/>
      <c r="G8102" s="3301" t="s">
        <v>676</v>
      </c>
      <c r="H8102" s="3063"/>
      <c r="I8102" s="3030"/>
    </row>
    <row r="8103" spans="2:9">
      <c r="B8103" s="3192" t="s">
        <v>677</v>
      </c>
      <c r="C8103" s="3063"/>
      <c r="D8103" s="3064"/>
      <c r="E8103" s="3064"/>
      <c r="F8103" s="3064"/>
      <c r="G8103" s="3301" t="s">
        <v>677</v>
      </c>
      <c r="H8103" s="3063"/>
      <c r="I8103" s="3030"/>
    </row>
    <row r="8104" spans="2:9">
      <c r="B8104" s="3192" t="s">
        <v>678</v>
      </c>
      <c r="C8104" s="3063"/>
      <c r="D8104" s="3064"/>
      <c r="E8104" s="3064"/>
      <c r="F8104" s="3064"/>
      <c r="G8104" s="3301" t="s">
        <v>678</v>
      </c>
      <c r="H8104" s="3063"/>
      <c r="I8104" s="3030"/>
    </row>
    <row r="8105" spans="2:9">
      <c r="B8105" s="3192" t="s">
        <v>679</v>
      </c>
      <c r="C8105" s="3063"/>
      <c r="D8105" s="3064"/>
      <c r="E8105" s="3064"/>
      <c r="F8105" s="3064"/>
      <c r="G8105" s="3301" t="s">
        <v>679</v>
      </c>
      <c r="H8105" s="3063"/>
      <c r="I8105" s="3030"/>
    </row>
    <row r="8106" spans="2:9" ht="25.5">
      <c r="B8106" s="3230" t="s">
        <v>81</v>
      </c>
      <c r="C8106" s="3063"/>
      <c r="D8106" s="3064"/>
      <c r="E8106" s="3064"/>
      <c r="F8106" s="3064"/>
      <c r="G8106" s="3302" t="s">
        <v>81</v>
      </c>
      <c r="H8106" s="3063"/>
      <c r="I8106" s="3030"/>
    </row>
    <row r="8107" spans="2:9" ht="26.25" thickBot="1">
      <c r="B8107" s="3303" t="s">
        <v>81</v>
      </c>
      <c r="C8107" s="3068"/>
      <c r="D8107" s="3069"/>
      <c r="E8107" s="3069"/>
      <c r="F8107" s="3069"/>
      <c r="G8107" s="3304" t="s">
        <v>81</v>
      </c>
      <c r="H8107" s="3068"/>
      <c r="I8107" s="3070"/>
    </row>
    <row r="8108" spans="2:9" ht="38.25">
      <c r="B8108" s="4723">
        <v>3058</v>
      </c>
      <c r="C8108" s="3289"/>
      <c r="D8108" s="3290"/>
      <c r="E8108" s="3290"/>
      <c r="F8108" s="3290"/>
      <c r="G8108" s="4723">
        <v>3058</v>
      </c>
      <c r="H8108" s="3291" t="s">
        <v>687</v>
      </c>
      <c r="I8108" s="3292" t="s">
        <v>688</v>
      </c>
    </row>
    <row r="8109" spans="2:9">
      <c r="B8109" s="4724"/>
      <c r="C8109" s="4678" t="s">
        <v>686</v>
      </c>
      <c r="D8109" s="4725"/>
      <c r="E8109" s="4725"/>
      <c r="F8109" s="4726"/>
      <c r="G8109" s="4724"/>
      <c r="H8109" s="3293"/>
      <c r="I8109" s="3294"/>
    </row>
    <row r="8110" spans="2:9" ht="13.5" thickBot="1">
      <c r="B8110" s="4724"/>
      <c r="C8110" s="3215">
        <v>2013</v>
      </c>
      <c r="D8110" s="3215">
        <v>2014</v>
      </c>
      <c r="E8110" s="3215">
        <v>2015</v>
      </c>
      <c r="F8110" s="3215">
        <v>2016</v>
      </c>
      <c r="G8110" s="4724"/>
      <c r="H8110" s="3295" t="s">
        <v>390</v>
      </c>
      <c r="I8110" s="3296" t="s">
        <v>390</v>
      </c>
    </row>
    <row r="8111" spans="2:9">
      <c r="B8111" s="3217" t="s">
        <v>695</v>
      </c>
      <c r="C8111" s="3218"/>
      <c r="D8111" s="3219"/>
      <c r="E8111" s="3219"/>
      <c r="F8111" s="3219"/>
      <c r="G8111" s="3217" t="s">
        <v>695</v>
      </c>
      <c r="H8111" s="3297"/>
      <c r="I8111" s="3298"/>
    </row>
    <row r="8112" spans="2:9">
      <c r="B8112" s="3299" t="s">
        <v>64</v>
      </c>
      <c r="C8112" s="3063"/>
      <c r="D8112" s="3064"/>
      <c r="E8112" s="3064"/>
      <c r="F8112" s="3064">
        <v>9</v>
      </c>
      <c r="G8112" s="3300" t="s">
        <v>64</v>
      </c>
      <c r="H8112" s="3063">
        <v>0.78204836106534903</v>
      </c>
      <c r="I8112" s="3030"/>
    </row>
    <row r="8113" spans="2:9" ht="25.5">
      <c r="B8113" s="3192" t="s">
        <v>675</v>
      </c>
      <c r="C8113" s="3063">
        <v>7</v>
      </c>
      <c r="D8113" s="3064">
        <v>5</v>
      </c>
      <c r="E8113" s="3064"/>
      <c r="F8113" s="3064"/>
      <c r="G8113" s="3301" t="s">
        <v>675</v>
      </c>
      <c r="H8113" s="3063"/>
      <c r="I8113" s="3030">
        <v>0.52136557404356598</v>
      </c>
    </row>
    <row r="8114" spans="2:9" ht="25.5">
      <c r="B8114" s="3192" t="s">
        <v>676</v>
      </c>
      <c r="C8114" s="3063"/>
      <c r="D8114" s="3064"/>
      <c r="E8114" s="3064"/>
      <c r="F8114" s="3064"/>
      <c r="G8114" s="3301" t="s">
        <v>676</v>
      </c>
      <c r="H8114" s="3063"/>
      <c r="I8114" s="3030"/>
    </row>
    <row r="8115" spans="2:9">
      <c r="B8115" s="3192" t="s">
        <v>677</v>
      </c>
      <c r="C8115" s="3063"/>
      <c r="D8115" s="3064"/>
      <c r="E8115" s="3064"/>
      <c r="F8115" s="3064"/>
      <c r="G8115" s="3301" t="s">
        <v>677</v>
      </c>
      <c r="H8115" s="3063"/>
      <c r="I8115" s="3030"/>
    </row>
    <row r="8116" spans="2:9">
      <c r="B8116" s="3192" t="s">
        <v>678</v>
      </c>
      <c r="C8116" s="3063">
        <v>14</v>
      </c>
      <c r="D8116" s="3064">
        <v>18</v>
      </c>
      <c r="E8116" s="3064"/>
      <c r="F8116" s="3064"/>
      <c r="G8116" s="3301" t="s">
        <v>678</v>
      </c>
      <c r="H8116" s="3063"/>
      <c r="I8116" s="3030"/>
    </row>
    <row r="8117" spans="2:9">
      <c r="B8117" s="3192" t="s">
        <v>679</v>
      </c>
      <c r="C8117" s="3063"/>
      <c r="D8117" s="3064"/>
      <c r="E8117" s="3064"/>
      <c r="F8117" s="3064"/>
      <c r="G8117" s="3301" t="s">
        <v>679</v>
      </c>
      <c r="H8117" s="3063"/>
      <c r="I8117" s="3030"/>
    </row>
    <row r="8118" spans="2:9" ht="25.5">
      <c r="B8118" s="3192" t="s">
        <v>720</v>
      </c>
      <c r="C8118" s="3063">
        <v>1</v>
      </c>
      <c r="D8118" s="3064"/>
      <c r="E8118" s="3064"/>
      <c r="F8118" s="3064"/>
      <c r="G8118" s="3301" t="s">
        <v>720</v>
      </c>
      <c r="H8118" s="3063"/>
      <c r="I8118" s="3030"/>
    </row>
    <row r="8119" spans="2:9">
      <c r="B8119" s="3299" t="s">
        <v>65</v>
      </c>
      <c r="C8119" s="3063"/>
      <c r="D8119" s="3064"/>
      <c r="E8119" s="3064"/>
      <c r="F8119" s="3064">
        <v>7</v>
      </c>
      <c r="G8119" s="3300" t="s">
        <v>65</v>
      </c>
      <c r="H8119" s="3063">
        <v>0.14025005774173216</v>
      </c>
      <c r="I8119" s="3030"/>
    </row>
    <row r="8120" spans="2:9" ht="25.5">
      <c r="B8120" s="3192" t="s">
        <v>675</v>
      </c>
      <c r="C8120" s="3063">
        <v>1</v>
      </c>
      <c r="D8120" s="3064">
        <v>2</v>
      </c>
      <c r="E8120" s="3064"/>
      <c r="F8120" s="3064"/>
      <c r="G8120" s="3301" t="s">
        <v>675</v>
      </c>
      <c r="H8120" s="3063"/>
      <c r="I8120" s="3030">
        <v>7.8890657479724333E-2</v>
      </c>
    </row>
    <row r="8121" spans="2:9" ht="25.5">
      <c r="B8121" s="3192" t="s">
        <v>676</v>
      </c>
      <c r="C8121" s="3063"/>
      <c r="D8121" s="3064"/>
      <c r="E8121" s="3064"/>
      <c r="F8121" s="3064"/>
      <c r="G8121" s="3301" t="s">
        <v>676</v>
      </c>
      <c r="H8121" s="3063"/>
      <c r="I8121" s="3030"/>
    </row>
    <row r="8122" spans="2:9">
      <c r="B8122" s="3192" t="s">
        <v>677</v>
      </c>
      <c r="C8122" s="3063"/>
      <c r="D8122" s="3064"/>
      <c r="E8122" s="3064"/>
      <c r="F8122" s="3064"/>
      <c r="G8122" s="3301" t="s">
        <v>677</v>
      </c>
      <c r="H8122" s="3063"/>
      <c r="I8122" s="3030"/>
    </row>
    <row r="8123" spans="2:9">
      <c r="B8123" s="3192" t="s">
        <v>678</v>
      </c>
      <c r="C8123" s="3063">
        <v>3</v>
      </c>
      <c r="D8123" s="3064">
        <v>1</v>
      </c>
      <c r="E8123" s="3064"/>
      <c r="F8123" s="3064"/>
      <c r="G8123" s="3301" t="s">
        <v>678</v>
      </c>
      <c r="H8123" s="3063"/>
      <c r="I8123" s="3030"/>
    </row>
    <row r="8124" spans="2:9">
      <c r="B8124" s="3192" t="s">
        <v>679</v>
      </c>
      <c r="C8124" s="3063"/>
      <c r="D8124" s="3064">
        <v>2</v>
      </c>
      <c r="E8124" s="3064"/>
      <c r="F8124" s="3064"/>
      <c r="G8124" s="3301" t="s">
        <v>679</v>
      </c>
      <c r="H8124" s="3063"/>
      <c r="I8124" s="3030"/>
    </row>
    <row r="8125" spans="2:9" ht="25.5">
      <c r="B8125" s="3192" t="s">
        <v>720</v>
      </c>
      <c r="C8125" s="3063"/>
      <c r="D8125" s="3064"/>
      <c r="E8125" s="3064"/>
      <c r="F8125" s="3064"/>
      <c r="G8125" s="3301" t="s">
        <v>720</v>
      </c>
      <c r="H8125" s="3063"/>
      <c r="I8125" s="3030"/>
    </row>
    <row r="8126" spans="2:9">
      <c r="B8126" s="3299" t="s">
        <v>82</v>
      </c>
      <c r="C8126" s="3063"/>
      <c r="D8126" s="3064"/>
      <c r="E8126" s="3064"/>
      <c r="F8126" s="3064"/>
      <c r="G8126" s="3300" t="s">
        <v>82</v>
      </c>
      <c r="H8126" s="3063"/>
      <c r="I8126" s="3030"/>
    </row>
    <row r="8127" spans="2:9" ht="25.5">
      <c r="B8127" s="3192" t="s">
        <v>675</v>
      </c>
      <c r="C8127" s="3063"/>
      <c r="D8127" s="3064"/>
      <c r="E8127" s="3064"/>
      <c r="F8127" s="3064"/>
      <c r="G8127" s="3301" t="s">
        <v>675</v>
      </c>
      <c r="H8127" s="3063"/>
      <c r="I8127" s="3030"/>
    </row>
    <row r="8128" spans="2:9" ht="25.5">
      <c r="B8128" s="3192" t="s">
        <v>676</v>
      </c>
      <c r="C8128" s="3063"/>
      <c r="D8128" s="3064"/>
      <c r="E8128" s="3064"/>
      <c r="F8128" s="3064"/>
      <c r="G8128" s="3301" t="s">
        <v>676</v>
      </c>
      <c r="H8128" s="3063"/>
      <c r="I8128" s="3030"/>
    </row>
    <row r="8129" spans="2:9">
      <c r="B8129" s="3192" t="s">
        <v>677</v>
      </c>
      <c r="C8129" s="3063"/>
      <c r="D8129" s="3064"/>
      <c r="E8129" s="3064"/>
      <c r="F8129" s="3064"/>
      <c r="G8129" s="3301" t="s">
        <v>677</v>
      </c>
      <c r="H8129" s="3063"/>
      <c r="I8129" s="3030"/>
    </row>
    <row r="8130" spans="2:9">
      <c r="B8130" s="3192" t="s">
        <v>678</v>
      </c>
      <c r="C8130" s="3063"/>
      <c r="D8130" s="3064"/>
      <c r="E8130" s="3064"/>
      <c r="F8130" s="3064"/>
      <c r="G8130" s="3301" t="s">
        <v>678</v>
      </c>
      <c r="H8130" s="3063"/>
      <c r="I8130" s="3030"/>
    </row>
    <row r="8131" spans="2:9">
      <c r="B8131" s="3192" t="s">
        <v>679</v>
      </c>
      <c r="C8131" s="3063"/>
      <c r="D8131" s="3064"/>
      <c r="E8131" s="3064"/>
      <c r="F8131" s="3064"/>
      <c r="G8131" s="3301" t="s">
        <v>679</v>
      </c>
      <c r="H8131" s="3063"/>
      <c r="I8131" s="3030"/>
    </row>
    <row r="8132" spans="2:9" ht="25.5">
      <c r="B8132" s="3192" t="s">
        <v>720</v>
      </c>
      <c r="C8132" s="3063"/>
      <c r="D8132" s="3064"/>
      <c r="E8132" s="3064"/>
      <c r="F8132" s="3064"/>
      <c r="G8132" s="3301" t="s">
        <v>720</v>
      </c>
      <c r="H8132" s="3063"/>
      <c r="I8132" s="3030"/>
    </row>
    <row r="8133" spans="2:9" ht="38.25">
      <c r="B8133" s="3299" t="s">
        <v>680</v>
      </c>
      <c r="C8133" s="3063"/>
      <c r="D8133" s="3064"/>
      <c r="E8133" s="3064"/>
      <c r="F8133" s="3064"/>
      <c r="G8133" s="3300" t="s">
        <v>680</v>
      </c>
      <c r="H8133" s="3063"/>
      <c r="I8133" s="3030"/>
    </row>
    <row r="8134" spans="2:9" ht="25.5">
      <c r="B8134" s="3192" t="s">
        <v>675</v>
      </c>
      <c r="C8134" s="3063"/>
      <c r="D8134" s="3064"/>
      <c r="E8134" s="3064"/>
      <c r="F8134" s="3064"/>
      <c r="G8134" s="3301" t="s">
        <v>675</v>
      </c>
      <c r="H8134" s="3063"/>
      <c r="I8134" s="3030"/>
    </row>
    <row r="8135" spans="2:9" ht="25.5">
      <c r="B8135" s="3192" t="s">
        <v>676</v>
      </c>
      <c r="C8135" s="3063"/>
      <c r="D8135" s="3064"/>
      <c r="E8135" s="3064"/>
      <c r="F8135" s="3064"/>
      <c r="G8135" s="3301" t="s">
        <v>676</v>
      </c>
      <c r="H8135" s="3063"/>
      <c r="I8135" s="3030"/>
    </row>
    <row r="8136" spans="2:9">
      <c r="B8136" s="3192" t="s">
        <v>677</v>
      </c>
      <c r="C8136" s="3063"/>
      <c r="D8136" s="3064"/>
      <c r="E8136" s="3064"/>
      <c r="F8136" s="3064"/>
      <c r="G8136" s="3301" t="s">
        <v>677</v>
      </c>
      <c r="H8136" s="3063"/>
      <c r="I8136" s="3030"/>
    </row>
    <row r="8137" spans="2:9">
      <c r="B8137" s="3192" t="s">
        <v>678</v>
      </c>
      <c r="C8137" s="3063"/>
      <c r="D8137" s="3064"/>
      <c r="E8137" s="3064"/>
      <c r="F8137" s="3064"/>
      <c r="G8137" s="3301" t="s">
        <v>678</v>
      </c>
      <c r="H8137" s="3063"/>
      <c r="I8137" s="3030"/>
    </row>
    <row r="8138" spans="2:9">
      <c r="B8138" s="3192" t="s">
        <v>679</v>
      </c>
      <c r="C8138" s="3063"/>
      <c r="D8138" s="3064"/>
      <c r="E8138" s="3064"/>
      <c r="F8138" s="3064"/>
      <c r="G8138" s="3301" t="s">
        <v>679</v>
      </c>
      <c r="H8138" s="3063"/>
      <c r="I8138" s="3030"/>
    </row>
    <row r="8139" spans="2:9" ht="25.5">
      <c r="B8139" s="3192" t="s">
        <v>720</v>
      </c>
      <c r="C8139" s="3063"/>
      <c r="D8139" s="3064"/>
      <c r="E8139" s="3064"/>
      <c r="F8139" s="3064"/>
      <c r="G8139" s="3301" t="s">
        <v>720</v>
      </c>
      <c r="H8139" s="3063"/>
      <c r="I8139" s="3030"/>
    </row>
    <row r="8140" spans="2:9" ht="38.25">
      <c r="B8140" s="3299" t="s">
        <v>681</v>
      </c>
      <c r="C8140" s="3063"/>
      <c r="D8140" s="3064"/>
      <c r="E8140" s="3064"/>
      <c r="F8140" s="3064"/>
      <c r="G8140" s="3300" t="s">
        <v>681</v>
      </c>
      <c r="H8140" s="3063"/>
      <c r="I8140" s="3030"/>
    </row>
    <row r="8141" spans="2:9" ht="25.5">
      <c r="B8141" s="3192" t="s">
        <v>675</v>
      </c>
      <c r="C8141" s="3063"/>
      <c r="D8141" s="3064"/>
      <c r="E8141" s="3064"/>
      <c r="F8141" s="3064"/>
      <c r="G8141" s="3301" t="s">
        <v>675</v>
      </c>
      <c r="H8141" s="3063"/>
      <c r="I8141" s="3030"/>
    </row>
    <row r="8142" spans="2:9" ht="25.5">
      <c r="B8142" s="3192" t="s">
        <v>676</v>
      </c>
      <c r="C8142" s="3063"/>
      <c r="D8142" s="3064"/>
      <c r="E8142" s="3064"/>
      <c r="F8142" s="3064"/>
      <c r="G8142" s="3301" t="s">
        <v>676</v>
      </c>
      <c r="H8142" s="3063"/>
      <c r="I8142" s="3030"/>
    </row>
    <row r="8143" spans="2:9">
      <c r="B8143" s="3192" t="s">
        <v>677</v>
      </c>
      <c r="C8143" s="3063"/>
      <c r="D8143" s="3064"/>
      <c r="E8143" s="3064"/>
      <c r="F8143" s="3064"/>
      <c r="G8143" s="3301" t="s">
        <v>677</v>
      </c>
      <c r="H8143" s="3063"/>
      <c r="I8143" s="3030"/>
    </row>
    <row r="8144" spans="2:9">
      <c r="B8144" s="3192" t="s">
        <v>678</v>
      </c>
      <c r="C8144" s="3063"/>
      <c r="D8144" s="3064"/>
      <c r="E8144" s="3064"/>
      <c r="F8144" s="3064"/>
      <c r="G8144" s="3301" t="s">
        <v>678</v>
      </c>
      <c r="H8144" s="3063"/>
      <c r="I8144" s="3030"/>
    </row>
    <row r="8145" spans="2:9">
      <c r="B8145" s="3192" t="s">
        <v>679</v>
      </c>
      <c r="C8145" s="3063"/>
      <c r="D8145" s="3064"/>
      <c r="E8145" s="3064"/>
      <c r="F8145" s="3064"/>
      <c r="G8145" s="3301" t="s">
        <v>679</v>
      </c>
      <c r="H8145" s="3063"/>
      <c r="I8145" s="3030"/>
    </row>
    <row r="8146" spans="2:9" ht="25.5">
      <c r="B8146" s="3192" t="s">
        <v>720</v>
      </c>
      <c r="C8146" s="3063"/>
      <c r="D8146" s="3064"/>
      <c r="E8146" s="3064"/>
      <c r="F8146" s="3064"/>
      <c r="G8146" s="3301" t="s">
        <v>720</v>
      </c>
      <c r="H8146" s="3063"/>
      <c r="I8146" s="3030"/>
    </row>
    <row r="8147" spans="2:9" ht="25.5">
      <c r="B8147" s="3299" t="s">
        <v>682</v>
      </c>
      <c r="C8147" s="3063"/>
      <c r="D8147" s="3064"/>
      <c r="E8147" s="3064"/>
      <c r="F8147" s="3064"/>
      <c r="G8147" s="3300" t="s">
        <v>682</v>
      </c>
      <c r="H8147" s="3063"/>
      <c r="I8147" s="3030"/>
    </row>
    <row r="8148" spans="2:9" ht="25.5">
      <c r="B8148" s="3192" t="s">
        <v>675</v>
      </c>
      <c r="C8148" s="3063"/>
      <c r="D8148" s="3064"/>
      <c r="E8148" s="3064"/>
      <c r="F8148" s="3064"/>
      <c r="G8148" s="3301" t="s">
        <v>675</v>
      </c>
      <c r="H8148" s="3063"/>
      <c r="I8148" s="3030"/>
    </row>
    <row r="8149" spans="2:9" ht="25.5">
      <c r="B8149" s="3192" t="s">
        <v>676</v>
      </c>
      <c r="C8149" s="3063"/>
      <c r="D8149" s="3064"/>
      <c r="E8149" s="3064"/>
      <c r="F8149" s="3064"/>
      <c r="G8149" s="3301" t="s">
        <v>676</v>
      </c>
      <c r="H8149" s="3063"/>
      <c r="I8149" s="3030"/>
    </row>
    <row r="8150" spans="2:9">
      <c r="B8150" s="3192" t="s">
        <v>677</v>
      </c>
      <c r="C8150" s="3063"/>
      <c r="D8150" s="3064"/>
      <c r="E8150" s="3064"/>
      <c r="F8150" s="3064"/>
      <c r="G8150" s="3301" t="s">
        <v>677</v>
      </c>
      <c r="H8150" s="3063"/>
      <c r="I8150" s="3030"/>
    </row>
    <row r="8151" spans="2:9">
      <c r="B8151" s="3192" t="s">
        <v>678</v>
      </c>
      <c r="C8151" s="3063"/>
      <c r="D8151" s="3064"/>
      <c r="E8151" s="3064"/>
      <c r="F8151" s="3064"/>
      <c r="G8151" s="3301" t="s">
        <v>678</v>
      </c>
      <c r="H8151" s="3063"/>
      <c r="I8151" s="3030"/>
    </row>
    <row r="8152" spans="2:9">
      <c r="B8152" s="3192" t="s">
        <v>679</v>
      </c>
      <c r="C8152" s="3063"/>
      <c r="D8152" s="3064"/>
      <c r="E8152" s="3064"/>
      <c r="F8152" s="3064"/>
      <c r="G8152" s="3301" t="s">
        <v>679</v>
      </c>
      <c r="H8152" s="3063"/>
      <c r="I8152" s="3030"/>
    </row>
    <row r="8153" spans="2:9" ht="25.5">
      <c r="B8153" s="3192" t="s">
        <v>720</v>
      </c>
      <c r="C8153" s="3063"/>
      <c r="D8153" s="3064"/>
      <c r="E8153" s="3064"/>
      <c r="F8153" s="3064"/>
      <c r="G8153" s="3301" t="s">
        <v>720</v>
      </c>
      <c r="H8153" s="3063"/>
      <c r="I8153" s="3030"/>
    </row>
    <row r="8154" spans="2:9" ht="25.5">
      <c r="B8154" s="3299" t="s">
        <v>66</v>
      </c>
      <c r="C8154" s="3063"/>
      <c r="D8154" s="3064"/>
      <c r="E8154" s="3064"/>
      <c r="F8154" s="3064"/>
      <c r="G8154" s="3300" t="s">
        <v>66</v>
      </c>
      <c r="H8154" s="3063">
        <v>2.0430401271588194</v>
      </c>
      <c r="I8154" s="3030"/>
    </row>
    <row r="8155" spans="2:9" ht="25.5">
      <c r="B8155" s="3192" t="s">
        <v>675</v>
      </c>
      <c r="C8155" s="3063">
        <v>1</v>
      </c>
      <c r="D8155" s="3064">
        <v>1</v>
      </c>
      <c r="E8155" s="3064"/>
      <c r="F8155" s="3064"/>
      <c r="G8155" s="3301" t="s">
        <v>675</v>
      </c>
      <c r="H8155" s="3063"/>
      <c r="I8155" s="3030">
        <v>4.0860802543176389</v>
      </c>
    </row>
    <row r="8156" spans="2:9" ht="25.5">
      <c r="B8156" s="3192" t="s">
        <v>676</v>
      </c>
      <c r="C8156" s="3063"/>
      <c r="D8156" s="3064"/>
      <c r="E8156" s="3064"/>
      <c r="F8156" s="3064"/>
      <c r="G8156" s="3301" t="s">
        <v>676</v>
      </c>
      <c r="H8156" s="3063"/>
      <c r="I8156" s="3030"/>
    </row>
    <row r="8157" spans="2:9">
      <c r="B8157" s="3192" t="s">
        <v>677</v>
      </c>
      <c r="C8157" s="3063"/>
      <c r="D8157" s="3064"/>
      <c r="E8157" s="3064"/>
      <c r="F8157" s="3064"/>
      <c r="G8157" s="3301" t="s">
        <v>677</v>
      </c>
      <c r="H8157" s="3063"/>
      <c r="I8157" s="3030"/>
    </row>
    <row r="8158" spans="2:9">
      <c r="B8158" s="3192" t="s">
        <v>678</v>
      </c>
      <c r="C8158" s="3063">
        <v>1</v>
      </c>
      <c r="D8158" s="3064"/>
      <c r="E8158" s="3064"/>
      <c r="F8158" s="3064"/>
      <c r="G8158" s="3301" t="s">
        <v>678</v>
      </c>
      <c r="H8158" s="3063"/>
      <c r="I8158" s="3030"/>
    </row>
    <row r="8159" spans="2:9">
      <c r="B8159" s="3192" t="s">
        <v>679</v>
      </c>
      <c r="C8159" s="3063"/>
      <c r="D8159" s="3064"/>
      <c r="E8159" s="3064"/>
      <c r="F8159" s="3064"/>
      <c r="G8159" s="3301" t="s">
        <v>679</v>
      </c>
      <c r="H8159" s="3063"/>
      <c r="I8159" s="3030"/>
    </row>
    <row r="8160" spans="2:9" ht="25.5">
      <c r="B8160" s="3192" t="s">
        <v>720</v>
      </c>
      <c r="C8160" s="3063"/>
      <c r="D8160" s="3064"/>
      <c r="E8160" s="3064"/>
      <c r="F8160" s="3064"/>
      <c r="G8160" s="3301" t="s">
        <v>720</v>
      </c>
      <c r="H8160" s="3063"/>
      <c r="I8160" s="3030"/>
    </row>
    <row r="8161" spans="2:9">
      <c r="B8161" s="3299" t="s">
        <v>67</v>
      </c>
      <c r="C8161" s="3063"/>
      <c r="D8161" s="3064"/>
      <c r="E8161" s="3064"/>
      <c r="F8161" s="3064">
        <v>1</v>
      </c>
      <c r="G8161" s="3300" t="s">
        <v>67</v>
      </c>
      <c r="H8161" s="3063">
        <v>9.0142157317373656E-2</v>
      </c>
      <c r="I8161" s="3030"/>
    </row>
    <row r="8162" spans="2:9" ht="25.5">
      <c r="B8162" s="3192" t="s">
        <v>675</v>
      </c>
      <c r="C8162" s="3063">
        <v>3</v>
      </c>
      <c r="D8162" s="3064"/>
      <c r="E8162" s="3064"/>
      <c r="F8162" s="3064"/>
      <c r="G8162" s="3301" t="s">
        <v>675</v>
      </c>
      <c r="H8162" s="3063"/>
      <c r="I8162" s="3030">
        <v>0.13521323597606047</v>
      </c>
    </row>
    <row r="8163" spans="2:9" ht="25.5">
      <c r="B8163" s="3192" t="s">
        <v>676</v>
      </c>
      <c r="C8163" s="3063"/>
      <c r="D8163" s="3064"/>
      <c r="E8163" s="3064"/>
      <c r="F8163" s="3064"/>
      <c r="G8163" s="3301" t="s">
        <v>676</v>
      </c>
      <c r="H8163" s="3063"/>
      <c r="I8163" s="3030"/>
    </row>
    <row r="8164" spans="2:9">
      <c r="B8164" s="3192" t="s">
        <v>677</v>
      </c>
      <c r="C8164" s="3063"/>
      <c r="D8164" s="3064"/>
      <c r="E8164" s="3064"/>
      <c r="F8164" s="3064"/>
      <c r="G8164" s="3301" t="s">
        <v>677</v>
      </c>
      <c r="H8164" s="3063"/>
      <c r="I8164" s="3030"/>
    </row>
    <row r="8165" spans="2:9">
      <c r="B8165" s="3192" t="s">
        <v>678</v>
      </c>
      <c r="C8165" s="3063"/>
      <c r="D8165" s="3064"/>
      <c r="E8165" s="3064"/>
      <c r="F8165" s="3064"/>
      <c r="G8165" s="3301" t="s">
        <v>678</v>
      </c>
      <c r="H8165" s="3063"/>
      <c r="I8165" s="3030"/>
    </row>
    <row r="8166" spans="2:9">
      <c r="B8166" s="3192" t="s">
        <v>679</v>
      </c>
      <c r="C8166" s="3063"/>
      <c r="D8166" s="3064"/>
      <c r="E8166" s="3064"/>
      <c r="F8166" s="3064"/>
      <c r="G8166" s="3301" t="s">
        <v>679</v>
      </c>
      <c r="H8166" s="3063"/>
      <c r="I8166" s="3030"/>
    </row>
    <row r="8167" spans="2:9" ht="25.5">
      <c r="B8167" s="3192" t="s">
        <v>720</v>
      </c>
      <c r="C8167" s="3063"/>
      <c r="D8167" s="3064"/>
      <c r="E8167" s="3064"/>
      <c r="F8167" s="3064"/>
      <c r="G8167" s="3301" t="s">
        <v>720</v>
      </c>
      <c r="H8167" s="3063"/>
      <c r="I8167" s="3030"/>
    </row>
    <row r="8168" spans="2:9" ht="25.5">
      <c r="B8168" s="3230" t="s">
        <v>81</v>
      </c>
      <c r="C8168" s="3063"/>
      <c r="D8168" s="3064"/>
      <c r="E8168" s="3064"/>
      <c r="F8168" s="3064"/>
      <c r="G8168" s="3302" t="s">
        <v>81</v>
      </c>
      <c r="H8168" s="3063"/>
      <c r="I8168" s="3030"/>
    </row>
    <row r="8169" spans="2:9" ht="26.25" thickBot="1">
      <c r="B8169" s="3303" t="s">
        <v>81</v>
      </c>
      <c r="C8169" s="3063"/>
      <c r="D8169" s="3064"/>
      <c r="E8169" s="3064"/>
      <c r="F8169" s="3064"/>
      <c r="G8169" s="3302" t="s">
        <v>81</v>
      </c>
      <c r="H8169" s="3063"/>
      <c r="I8169" s="3030"/>
    </row>
    <row r="8170" spans="2:9" ht="25.5">
      <c r="B8170" s="3217" t="s">
        <v>696</v>
      </c>
      <c r="C8170" s="3218"/>
      <c r="D8170" s="3219"/>
      <c r="E8170" s="3219"/>
      <c r="F8170" s="3219"/>
      <c r="G8170" s="3217" t="s">
        <v>696</v>
      </c>
      <c r="H8170" s="3297"/>
      <c r="I8170" s="3298"/>
    </row>
    <row r="8171" spans="2:9">
      <c r="B8171" s="3299" t="s">
        <v>64</v>
      </c>
      <c r="C8171" s="3063"/>
      <c r="D8171" s="3064"/>
      <c r="E8171" s="3064"/>
      <c r="F8171" s="3064"/>
      <c r="G8171" s="3300" t="s">
        <v>64</v>
      </c>
      <c r="H8171" s="3063"/>
      <c r="I8171" s="3030"/>
    </row>
    <row r="8172" spans="2:9" ht="25.5">
      <c r="B8172" s="3192" t="s">
        <v>675</v>
      </c>
      <c r="C8172" s="3063"/>
      <c r="D8172" s="3064"/>
      <c r="E8172" s="3064"/>
      <c r="F8172" s="3064"/>
      <c r="G8172" s="3301" t="s">
        <v>675</v>
      </c>
      <c r="H8172" s="3063"/>
      <c r="I8172" s="3030"/>
    </row>
    <row r="8173" spans="2:9" ht="25.5">
      <c r="B8173" s="3192" t="s">
        <v>676</v>
      </c>
      <c r="C8173" s="3063"/>
      <c r="D8173" s="3064"/>
      <c r="E8173" s="3064"/>
      <c r="F8173" s="3064"/>
      <c r="G8173" s="3301" t="s">
        <v>676</v>
      </c>
      <c r="H8173" s="3063"/>
      <c r="I8173" s="3030"/>
    </row>
    <row r="8174" spans="2:9">
      <c r="B8174" s="3192" t="s">
        <v>677</v>
      </c>
      <c r="C8174" s="3063"/>
      <c r="D8174" s="3064"/>
      <c r="E8174" s="3064"/>
      <c r="F8174" s="3064"/>
      <c r="G8174" s="3301" t="s">
        <v>677</v>
      </c>
      <c r="H8174" s="3063"/>
      <c r="I8174" s="3030"/>
    </row>
    <row r="8175" spans="2:9">
      <c r="B8175" s="3192" t="s">
        <v>678</v>
      </c>
      <c r="C8175" s="3063"/>
      <c r="D8175" s="3064"/>
      <c r="E8175" s="3064"/>
      <c r="F8175" s="3064"/>
      <c r="G8175" s="3301" t="s">
        <v>678</v>
      </c>
      <c r="H8175" s="3063"/>
      <c r="I8175" s="3030"/>
    </row>
    <row r="8176" spans="2:9">
      <c r="B8176" s="3192" t="s">
        <v>679</v>
      </c>
      <c r="C8176" s="3063"/>
      <c r="D8176" s="3064"/>
      <c r="E8176" s="3064"/>
      <c r="F8176" s="3064"/>
      <c r="G8176" s="3301" t="s">
        <v>679</v>
      </c>
      <c r="H8176" s="3063"/>
      <c r="I8176" s="3030"/>
    </row>
    <row r="8177" spans="2:9" ht="25.5">
      <c r="B8177" s="3192" t="s">
        <v>720</v>
      </c>
      <c r="C8177" s="3063"/>
      <c r="D8177" s="3064"/>
      <c r="E8177" s="3064"/>
      <c r="F8177" s="3064"/>
      <c r="G8177" s="3301" t="s">
        <v>720</v>
      </c>
      <c r="H8177" s="3063"/>
      <c r="I8177" s="3030"/>
    </row>
    <row r="8178" spans="2:9">
      <c r="B8178" s="3299" t="s">
        <v>65</v>
      </c>
      <c r="C8178" s="3063"/>
      <c r="D8178" s="3064"/>
      <c r="E8178" s="3064"/>
      <c r="F8178" s="3064"/>
      <c r="G8178" s="3300" t="s">
        <v>65</v>
      </c>
      <c r="H8178" s="3063"/>
      <c r="I8178" s="3030"/>
    </row>
    <row r="8179" spans="2:9" ht="25.5">
      <c r="B8179" s="3192" t="s">
        <v>675</v>
      </c>
      <c r="C8179" s="3063"/>
      <c r="D8179" s="3064"/>
      <c r="E8179" s="3064"/>
      <c r="F8179" s="3064"/>
      <c r="G8179" s="3301" t="s">
        <v>675</v>
      </c>
      <c r="H8179" s="3063"/>
      <c r="I8179" s="3030"/>
    </row>
    <row r="8180" spans="2:9" ht="25.5">
      <c r="B8180" s="3192" t="s">
        <v>676</v>
      </c>
      <c r="C8180" s="3063"/>
      <c r="D8180" s="3064"/>
      <c r="E8180" s="3064"/>
      <c r="F8180" s="3064"/>
      <c r="G8180" s="3301" t="s">
        <v>676</v>
      </c>
      <c r="H8180" s="3063"/>
      <c r="I8180" s="3030"/>
    </row>
    <row r="8181" spans="2:9">
      <c r="B8181" s="3192" t="s">
        <v>677</v>
      </c>
      <c r="C8181" s="3063"/>
      <c r="D8181" s="3064"/>
      <c r="E8181" s="3064"/>
      <c r="F8181" s="3064"/>
      <c r="G8181" s="3301" t="s">
        <v>677</v>
      </c>
      <c r="H8181" s="3063"/>
      <c r="I8181" s="3030"/>
    </row>
    <row r="8182" spans="2:9">
      <c r="B8182" s="3192" t="s">
        <v>678</v>
      </c>
      <c r="C8182" s="3063"/>
      <c r="D8182" s="3064"/>
      <c r="E8182" s="3064"/>
      <c r="F8182" s="3064"/>
      <c r="G8182" s="3301" t="s">
        <v>678</v>
      </c>
      <c r="H8182" s="3063"/>
      <c r="I8182" s="3030"/>
    </row>
    <row r="8183" spans="2:9">
      <c r="B8183" s="3192" t="s">
        <v>679</v>
      </c>
      <c r="C8183" s="3063"/>
      <c r="D8183" s="3064"/>
      <c r="E8183" s="3064"/>
      <c r="F8183" s="3064"/>
      <c r="G8183" s="3301" t="s">
        <v>679</v>
      </c>
      <c r="H8183" s="3063"/>
      <c r="I8183" s="3030"/>
    </row>
    <row r="8184" spans="2:9" ht="25.5">
      <c r="B8184" s="3192" t="s">
        <v>720</v>
      </c>
      <c r="C8184" s="3063"/>
      <c r="D8184" s="3064"/>
      <c r="E8184" s="3064"/>
      <c r="F8184" s="3064"/>
      <c r="G8184" s="3301" t="s">
        <v>720</v>
      </c>
      <c r="H8184" s="3063"/>
      <c r="I8184" s="3030"/>
    </row>
    <row r="8185" spans="2:9">
      <c r="B8185" s="3299" t="s">
        <v>82</v>
      </c>
      <c r="C8185" s="3063"/>
      <c r="D8185" s="3064"/>
      <c r="E8185" s="3064"/>
      <c r="F8185" s="3064"/>
      <c r="G8185" s="3300" t="s">
        <v>82</v>
      </c>
      <c r="H8185" s="3063"/>
      <c r="I8185" s="3030"/>
    </row>
    <row r="8186" spans="2:9" ht="25.5">
      <c r="B8186" s="3192" t="s">
        <v>675</v>
      </c>
      <c r="C8186" s="3063"/>
      <c r="D8186" s="3064"/>
      <c r="E8186" s="3064"/>
      <c r="F8186" s="3064"/>
      <c r="G8186" s="3301" t="s">
        <v>675</v>
      </c>
      <c r="H8186" s="3063"/>
      <c r="I8186" s="3030"/>
    </row>
    <row r="8187" spans="2:9" ht="25.5">
      <c r="B8187" s="3192" t="s">
        <v>676</v>
      </c>
      <c r="C8187" s="3063"/>
      <c r="D8187" s="3064"/>
      <c r="E8187" s="3064"/>
      <c r="F8187" s="3064"/>
      <c r="G8187" s="3301" t="s">
        <v>676</v>
      </c>
      <c r="H8187" s="3063"/>
      <c r="I8187" s="3030"/>
    </row>
    <row r="8188" spans="2:9">
      <c r="B8188" s="3192" t="s">
        <v>677</v>
      </c>
      <c r="C8188" s="3063"/>
      <c r="D8188" s="3064"/>
      <c r="E8188" s="3064"/>
      <c r="F8188" s="3064"/>
      <c r="G8188" s="3301" t="s">
        <v>677</v>
      </c>
      <c r="H8188" s="3063"/>
      <c r="I8188" s="3030"/>
    </row>
    <row r="8189" spans="2:9">
      <c r="B8189" s="3192" t="s">
        <v>678</v>
      </c>
      <c r="C8189" s="3063"/>
      <c r="D8189" s="3064"/>
      <c r="E8189" s="3064"/>
      <c r="F8189" s="3064"/>
      <c r="G8189" s="3301" t="s">
        <v>678</v>
      </c>
      <c r="H8189" s="3063"/>
      <c r="I8189" s="3030"/>
    </row>
    <row r="8190" spans="2:9">
      <c r="B8190" s="3192" t="s">
        <v>679</v>
      </c>
      <c r="C8190" s="3063"/>
      <c r="D8190" s="3064"/>
      <c r="E8190" s="3064"/>
      <c r="F8190" s="3064"/>
      <c r="G8190" s="3301" t="s">
        <v>679</v>
      </c>
      <c r="H8190" s="3063"/>
      <c r="I8190" s="3030"/>
    </row>
    <row r="8191" spans="2:9" ht="25.5">
      <c r="B8191" s="3192" t="s">
        <v>720</v>
      </c>
      <c r="C8191" s="3063"/>
      <c r="D8191" s="3064"/>
      <c r="E8191" s="3064"/>
      <c r="F8191" s="3064"/>
      <c r="G8191" s="3301" t="s">
        <v>720</v>
      </c>
      <c r="H8191" s="3063"/>
      <c r="I8191" s="3030"/>
    </row>
    <row r="8192" spans="2:9" ht="38.25">
      <c r="B8192" s="3299" t="s">
        <v>680</v>
      </c>
      <c r="C8192" s="3063"/>
      <c r="D8192" s="3064"/>
      <c r="E8192" s="3064"/>
      <c r="F8192" s="3064"/>
      <c r="G8192" s="3300" t="s">
        <v>680</v>
      </c>
      <c r="H8192" s="3063"/>
      <c r="I8192" s="3030"/>
    </row>
    <row r="8193" spans="2:9" ht="25.5">
      <c r="B8193" s="3192" t="s">
        <v>675</v>
      </c>
      <c r="C8193" s="3063"/>
      <c r="D8193" s="3064"/>
      <c r="E8193" s="3064"/>
      <c r="F8193" s="3064"/>
      <c r="G8193" s="3301" t="s">
        <v>675</v>
      </c>
      <c r="H8193" s="3063"/>
      <c r="I8193" s="3030"/>
    </row>
    <row r="8194" spans="2:9" ht="25.5">
      <c r="B8194" s="3192" t="s">
        <v>676</v>
      </c>
      <c r="C8194" s="3063"/>
      <c r="D8194" s="3064"/>
      <c r="E8194" s="3064"/>
      <c r="F8194" s="3064"/>
      <c r="G8194" s="3301" t="s">
        <v>676</v>
      </c>
      <c r="H8194" s="3063"/>
      <c r="I8194" s="3030"/>
    </row>
    <row r="8195" spans="2:9">
      <c r="B8195" s="3192" t="s">
        <v>677</v>
      </c>
      <c r="C8195" s="3063"/>
      <c r="D8195" s="3064"/>
      <c r="E8195" s="3064"/>
      <c r="F8195" s="3064"/>
      <c r="G8195" s="3301" t="s">
        <v>677</v>
      </c>
      <c r="H8195" s="3063"/>
      <c r="I8195" s="3030"/>
    </row>
    <row r="8196" spans="2:9">
      <c r="B8196" s="3192" t="s">
        <v>678</v>
      </c>
      <c r="C8196" s="3063"/>
      <c r="D8196" s="3064"/>
      <c r="E8196" s="3064"/>
      <c r="F8196" s="3064"/>
      <c r="G8196" s="3301" t="s">
        <v>678</v>
      </c>
      <c r="H8196" s="3063"/>
      <c r="I8196" s="3030"/>
    </row>
    <row r="8197" spans="2:9">
      <c r="B8197" s="3192" t="s">
        <v>679</v>
      </c>
      <c r="C8197" s="3063"/>
      <c r="D8197" s="3064"/>
      <c r="E8197" s="3064"/>
      <c r="F8197" s="3064"/>
      <c r="G8197" s="3301" t="s">
        <v>679</v>
      </c>
      <c r="H8197" s="3063"/>
      <c r="I8197" s="3030"/>
    </row>
    <row r="8198" spans="2:9" ht="25.5">
      <c r="B8198" s="3192" t="s">
        <v>720</v>
      </c>
      <c r="C8198" s="3063"/>
      <c r="D8198" s="3064"/>
      <c r="E8198" s="3064"/>
      <c r="F8198" s="3064"/>
      <c r="G8198" s="3301" t="s">
        <v>720</v>
      </c>
      <c r="H8198" s="3063"/>
      <c r="I8198" s="3030"/>
    </row>
    <row r="8199" spans="2:9" ht="38.25">
      <c r="B8199" s="3299" t="s">
        <v>681</v>
      </c>
      <c r="C8199" s="3063"/>
      <c r="D8199" s="3064"/>
      <c r="E8199" s="3064"/>
      <c r="F8199" s="3064"/>
      <c r="G8199" s="3300" t="s">
        <v>681</v>
      </c>
      <c r="H8199" s="3063"/>
      <c r="I8199" s="3030"/>
    </row>
    <row r="8200" spans="2:9" ht="25.5">
      <c r="B8200" s="3192" t="s">
        <v>675</v>
      </c>
      <c r="C8200" s="3063"/>
      <c r="D8200" s="3064"/>
      <c r="E8200" s="3064"/>
      <c r="F8200" s="3064"/>
      <c r="G8200" s="3301" t="s">
        <v>675</v>
      </c>
      <c r="H8200" s="3063"/>
      <c r="I8200" s="3030"/>
    </row>
    <row r="8201" spans="2:9" ht="25.5">
      <c r="B8201" s="3192" t="s">
        <v>676</v>
      </c>
      <c r="C8201" s="3063"/>
      <c r="D8201" s="3064"/>
      <c r="E8201" s="3064"/>
      <c r="F8201" s="3064"/>
      <c r="G8201" s="3301" t="s">
        <v>676</v>
      </c>
      <c r="H8201" s="3063"/>
      <c r="I8201" s="3030"/>
    </row>
    <row r="8202" spans="2:9">
      <c r="B8202" s="3192" t="s">
        <v>677</v>
      </c>
      <c r="C8202" s="3063"/>
      <c r="D8202" s="3064"/>
      <c r="E8202" s="3064"/>
      <c r="F8202" s="3064"/>
      <c r="G8202" s="3301" t="s">
        <v>677</v>
      </c>
      <c r="H8202" s="3063"/>
      <c r="I8202" s="3030"/>
    </row>
    <row r="8203" spans="2:9">
      <c r="B8203" s="3192" t="s">
        <v>678</v>
      </c>
      <c r="C8203" s="3063"/>
      <c r="D8203" s="3064"/>
      <c r="E8203" s="3064"/>
      <c r="F8203" s="3064"/>
      <c r="G8203" s="3301" t="s">
        <v>678</v>
      </c>
      <c r="H8203" s="3063"/>
      <c r="I8203" s="3030"/>
    </row>
    <row r="8204" spans="2:9">
      <c r="B8204" s="3192" t="s">
        <v>679</v>
      </c>
      <c r="C8204" s="3063"/>
      <c r="D8204" s="3064"/>
      <c r="E8204" s="3064"/>
      <c r="F8204" s="3064"/>
      <c r="G8204" s="3301" t="s">
        <v>679</v>
      </c>
      <c r="H8204" s="3063"/>
      <c r="I8204" s="3030"/>
    </row>
    <row r="8205" spans="2:9" ht="25.5">
      <c r="B8205" s="3192" t="s">
        <v>720</v>
      </c>
      <c r="C8205" s="3063"/>
      <c r="D8205" s="3064"/>
      <c r="E8205" s="3064"/>
      <c r="F8205" s="3064"/>
      <c r="G8205" s="3301" t="s">
        <v>720</v>
      </c>
      <c r="H8205" s="3063"/>
      <c r="I8205" s="3030"/>
    </row>
    <row r="8206" spans="2:9" ht="25.5">
      <c r="B8206" s="3299" t="s">
        <v>682</v>
      </c>
      <c r="C8206" s="3063"/>
      <c r="D8206" s="3064"/>
      <c r="E8206" s="3064"/>
      <c r="F8206" s="3064"/>
      <c r="G8206" s="3300" t="s">
        <v>682</v>
      </c>
      <c r="H8206" s="3063"/>
      <c r="I8206" s="3030"/>
    </row>
    <row r="8207" spans="2:9" ht="25.5">
      <c r="B8207" s="3192" t="s">
        <v>675</v>
      </c>
      <c r="C8207" s="3063"/>
      <c r="D8207" s="3064"/>
      <c r="E8207" s="3064"/>
      <c r="F8207" s="3064"/>
      <c r="G8207" s="3301" t="s">
        <v>675</v>
      </c>
      <c r="H8207" s="3063"/>
      <c r="I8207" s="3030"/>
    </row>
    <row r="8208" spans="2:9" ht="25.5">
      <c r="B8208" s="3192" t="s">
        <v>676</v>
      </c>
      <c r="C8208" s="3063"/>
      <c r="D8208" s="3064"/>
      <c r="E8208" s="3064"/>
      <c r="F8208" s="3064"/>
      <c r="G8208" s="3301" t="s">
        <v>676</v>
      </c>
      <c r="H8208" s="3063"/>
      <c r="I8208" s="3030"/>
    </row>
    <row r="8209" spans="2:9">
      <c r="B8209" s="3192" t="s">
        <v>677</v>
      </c>
      <c r="C8209" s="3063"/>
      <c r="D8209" s="3064"/>
      <c r="E8209" s="3064"/>
      <c r="F8209" s="3064"/>
      <c r="G8209" s="3301" t="s">
        <v>677</v>
      </c>
      <c r="H8209" s="3063"/>
      <c r="I8209" s="3030"/>
    </row>
    <row r="8210" spans="2:9">
      <c r="B8210" s="3192" t="s">
        <v>678</v>
      </c>
      <c r="C8210" s="3063"/>
      <c r="D8210" s="3064"/>
      <c r="E8210" s="3064"/>
      <c r="F8210" s="3064"/>
      <c r="G8210" s="3301" t="s">
        <v>678</v>
      </c>
      <c r="H8210" s="3063"/>
      <c r="I8210" s="3030"/>
    </row>
    <row r="8211" spans="2:9">
      <c r="B8211" s="3192" t="s">
        <v>679</v>
      </c>
      <c r="C8211" s="3063"/>
      <c r="D8211" s="3064"/>
      <c r="E8211" s="3064"/>
      <c r="F8211" s="3064"/>
      <c r="G8211" s="3301" t="s">
        <v>679</v>
      </c>
      <c r="H8211" s="3063"/>
      <c r="I8211" s="3030"/>
    </row>
    <row r="8212" spans="2:9" ht="25.5">
      <c r="B8212" s="3192" t="s">
        <v>720</v>
      </c>
      <c r="C8212" s="3063"/>
      <c r="D8212" s="3064"/>
      <c r="E8212" s="3064"/>
      <c r="F8212" s="3064"/>
      <c r="G8212" s="3301" t="s">
        <v>720</v>
      </c>
      <c r="H8212" s="3063"/>
      <c r="I8212" s="3030"/>
    </row>
    <row r="8213" spans="2:9" ht="25.5">
      <c r="B8213" s="3299" t="s">
        <v>66</v>
      </c>
      <c r="C8213" s="3063"/>
      <c r="D8213" s="3064"/>
      <c r="E8213" s="3064"/>
      <c r="F8213" s="3064"/>
      <c r="G8213" s="3300" t="s">
        <v>66</v>
      </c>
      <c r="H8213" s="3063"/>
      <c r="I8213" s="3030"/>
    </row>
    <row r="8214" spans="2:9" ht="25.5">
      <c r="B8214" s="3192" t="s">
        <v>675</v>
      </c>
      <c r="C8214" s="3063"/>
      <c r="D8214" s="3064"/>
      <c r="E8214" s="3064"/>
      <c r="F8214" s="3064"/>
      <c r="G8214" s="3301" t="s">
        <v>675</v>
      </c>
      <c r="H8214" s="3063"/>
      <c r="I8214" s="3030"/>
    </row>
    <row r="8215" spans="2:9" ht="25.5">
      <c r="B8215" s="3192" t="s">
        <v>676</v>
      </c>
      <c r="C8215" s="3063"/>
      <c r="D8215" s="3064"/>
      <c r="E8215" s="3064"/>
      <c r="F8215" s="3064"/>
      <c r="G8215" s="3301" t="s">
        <v>676</v>
      </c>
      <c r="H8215" s="3063"/>
      <c r="I8215" s="3030"/>
    </row>
    <row r="8216" spans="2:9">
      <c r="B8216" s="3192" t="s">
        <v>677</v>
      </c>
      <c r="C8216" s="3063"/>
      <c r="D8216" s="3064"/>
      <c r="E8216" s="3064"/>
      <c r="F8216" s="3064"/>
      <c r="G8216" s="3301" t="s">
        <v>677</v>
      </c>
      <c r="H8216" s="3063"/>
      <c r="I8216" s="3030"/>
    </row>
    <row r="8217" spans="2:9">
      <c r="B8217" s="3192" t="s">
        <v>678</v>
      </c>
      <c r="C8217" s="3063"/>
      <c r="D8217" s="3064"/>
      <c r="E8217" s="3064"/>
      <c r="F8217" s="3064"/>
      <c r="G8217" s="3301" t="s">
        <v>678</v>
      </c>
      <c r="H8217" s="3063"/>
      <c r="I8217" s="3030"/>
    </row>
    <row r="8218" spans="2:9">
      <c r="B8218" s="3192" t="s">
        <v>679</v>
      </c>
      <c r="C8218" s="3063"/>
      <c r="D8218" s="3064"/>
      <c r="E8218" s="3064"/>
      <c r="F8218" s="3064"/>
      <c r="G8218" s="3301" t="s">
        <v>679</v>
      </c>
      <c r="H8218" s="3063"/>
      <c r="I8218" s="3030"/>
    </row>
    <row r="8219" spans="2:9" ht="25.5">
      <c r="B8219" s="3192" t="s">
        <v>720</v>
      </c>
      <c r="C8219" s="3063"/>
      <c r="D8219" s="3064"/>
      <c r="E8219" s="3064"/>
      <c r="F8219" s="3064"/>
      <c r="G8219" s="3301" t="s">
        <v>720</v>
      </c>
      <c r="H8219" s="3063"/>
      <c r="I8219" s="3030"/>
    </row>
    <row r="8220" spans="2:9">
      <c r="B8220" s="3299" t="s">
        <v>67</v>
      </c>
      <c r="C8220" s="3063"/>
      <c r="D8220" s="3064"/>
      <c r="E8220" s="3064"/>
      <c r="F8220" s="3064"/>
      <c r="G8220" s="3300" t="s">
        <v>67</v>
      </c>
      <c r="H8220" s="3063"/>
      <c r="I8220" s="3030"/>
    </row>
    <row r="8221" spans="2:9" ht="25.5">
      <c r="B8221" s="3192" t="s">
        <v>675</v>
      </c>
      <c r="C8221" s="3063"/>
      <c r="D8221" s="3064"/>
      <c r="E8221" s="3064"/>
      <c r="F8221" s="3064"/>
      <c r="G8221" s="3301" t="s">
        <v>675</v>
      </c>
      <c r="H8221" s="3063"/>
      <c r="I8221" s="3030"/>
    </row>
    <row r="8222" spans="2:9" ht="25.5">
      <c r="B8222" s="3192" t="s">
        <v>676</v>
      </c>
      <c r="C8222" s="3063"/>
      <c r="D8222" s="3064"/>
      <c r="E8222" s="3064"/>
      <c r="F8222" s="3064"/>
      <c r="G8222" s="3301" t="s">
        <v>676</v>
      </c>
      <c r="H8222" s="3063"/>
      <c r="I8222" s="3030"/>
    </row>
    <row r="8223" spans="2:9">
      <c r="B8223" s="3192" t="s">
        <v>677</v>
      </c>
      <c r="C8223" s="3063"/>
      <c r="D8223" s="3064"/>
      <c r="E8223" s="3064"/>
      <c r="F8223" s="3064"/>
      <c r="G8223" s="3301" t="s">
        <v>677</v>
      </c>
      <c r="H8223" s="3063"/>
      <c r="I8223" s="3030"/>
    </row>
    <row r="8224" spans="2:9">
      <c r="B8224" s="3192" t="s">
        <v>678</v>
      </c>
      <c r="C8224" s="3063"/>
      <c r="D8224" s="3064"/>
      <c r="E8224" s="3064"/>
      <c r="F8224" s="3064"/>
      <c r="G8224" s="3301" t="s">
        <v>678</v>
      </c>
      <c r="H8224" s="3063"/>
      <c r="I8224" s="3030"/>
    </row>
    <row r="8225" spans="2:9">
      <c r="B8225" s="3192" t="s">
        <v>679</v>
      </c>
      <c r="C8225" s="3063"/>
      <c r="D8225" s="3064"/>
      <c r="E8225" s="3064"/>
      <c r="F8225" s="3064"/>
      <c r="G8225" s="3301" t="s">
        <v>679</v>
      </c>
      <c r="H8225" s="3063"/>
      <c r="I8225" s="3030"/>
    </row>
    <row r="8226" spans="2:9" ht="25.5">
      <c r="B8226" s="3230" t="s">
        <v>81</v>
      </c>
      <c r="C8226" s="3063"/>
      <c r="D8226" s="3064"/>
      <c r="E8226" s="3064"/>
      <c r="F8226" s="3064"/>
      <c r="G8226" s="3302" t="s">
        <v>81</v>
      </c>
      <c r="H8226" s="3063"/>
      <c r="I8226" s="3030"/>
    </row>
    <row r="8227" spans="2:9" ht="26.25" thickBot="1">
      <c r="B8227" s="3303" t="s">
        <v>81</v>
      </c>
      <c r="C8227" s="3063"/>
      <c r="D8227" s="3064"/>
      <c r="E8227" s="3064"/>
      <c r="F8227" s="3064"/>
      <c r="G8227" s="3302" t="s">
        <v>81</v>
      </c>
      <c r="H8227" s="3063"/>
      <c r="I8227" s="3030"/>
    </row>
    <row r="8228" spans="2:9">
      <c r="B8228" s="3217" t="s">
        <v>697</v>
      </c>
      <c r="C8228" s="3218"/>
      <c r="D8228" s="3219"/>
      <c r="E8228" s="3219"/>
      <c r="F8228" s="3219"/>
      <c r="G8228" s="3217" t="s">
        <v>697</v>
      </c>
      <c r="H8228" s="3297"/>
      <c r="I8228" s="3298"/>
    </row>
    <row r="8229" spans="2:9">
      <c r="B8229" s="3299" t="s">
        <v>64</v>
      </c>
      <c r="C8229" s="3063"/>
      <c r="D8229" s="3064"/>
      <c r="E8229" s="3064"/>
      <c r="F8229" s="3064"/>
      <c r="G8229" s="3300" t="s">
        <v>64</v>
      </c>
      <c r="H8229" s="3063"/>
      <c r="I8229" s="3030"/>
    </row>
    <row r="8230" spans="2:9" ht="25.5">
      <c r="B8230" s="3192" t="s">
        <v>675</v>
      </c>
      <c r="C8230" s="3063"/>
      <c r="D8230" s="3064"/>
      <c r="E8230" s="3064"/>
      <c r="F8230" s="3064"/>
      <c r="G8230" s="3301" t="s">
        <v>675</v>
      </c>
      <c r="H8230" s="3063"/>
      <c r="I8230" s="3030"/>
    </row>
    <row r="8231" spans="2:9" ht="25.5">
      <c r="B8231" s="3192" t="s">
        <v>676</v>
      </c>
      <c r="C8231" s="3063"/>
      <c r="D8231" s="3064"/>
      <c r="E8231" s="3064"/>
      <c r="F8231" s="3064"/>
      <c r="G8231" s="3301" t="s">
        <v>676</v>
      </c>
      <c r="H8231" s="3063"/>
      <c r="I8231" s="3030"/>
    </row>
    <row r="8232" spans="2:9">
      <c r="B8232" s="3192" t="s">
        <v>677</v>
      </c>
      <c r="C8232" s="3063"/>
      <c r="D8232" s="3064"/>
      <c r="E8232" s="3064"/>
      <c r="F8232" s="3064"/>
      <c r="G8232" s="3301" t="s">
        <v>677</v>
      </c>
      <c r="H8232" s="3063"/>
      <c r="I8232" s="3030"/>
    </row>
    <row r="8233" spans="2:9">
      <c r="B8233" s="3192" t="s">
        <v>678</v>
      </c>
      <c r="C8233" s="3063"/>
      <c r="D8233" s="3064"/>
      <c r="E8233" s="3064"/>
      <c r="F8233" s="3064"/>
      <c r="G8233" s="3301" t="s">
        <v>678</v>
      </c>
      <c r="H8233" s="3063"/>
      <c r="I8233" s="3030"/>
    </row>
    <row r="8234" spans="2:9">
      <c r="B8234" s="3192" t="s">
        <v>679</v>
      </c>
      <c r="C8234" s="3063"/>
      <c r="D8234" s="3064"/>
      <c r="E8234" s="3064"/>
      <c r="F8234" s="3064"/>
      <c r="G8234" s="3301" t="s">
        <v>679</v>
      </c>
      <c r="H8234" s="3063"/>
      <c r="I8234" s="3030"/>
    </row>
    <row r="8235" spans="2:9" ht="25.5">
      <c r="B8235" s="3192" t="s">
        <v>720</v>
      </c>
      <c r="C8235" s="3063"/>
      <c r="D8235" s="3064"/>
      <c r="E8235" s="3064"/>
      <c r="F8235" s="3064"/>
      <c r="G8235" s="3301" t="s">
        <v>720</v>
      </c>
      <c r="H8235" s="3063"/>
      <c r="I8235" s="3030"/>
    </row>
    <row r="8236" spans="2:9">
      <c r="B8236" s="3299" t="s">
        <v>65</v>
      </c>
      <c r="C8236" s="3063"/>
      <c r="D8236" s="3064"/>
      <c r="E8236" s="3064"/>
      <c r="F8236" s="3064"/>
      <c r="G8236" s="3300" t="s">
        <v>65</v>
      </c>
      <c r="H8236" s="3063"/>
      <c r="I8236" s="3030"/>
    </row>
    <row r="8237" spans="2:9" ht="25.5">
      <c r="B8237" s="3192" t="s">
        <v>675</v>
      </c>
      <c r="C8237" s="3063"/>
      <c r="D8237" s="3064"/>
      <c r="E8237" s="3064"/>
      <c r="F8237" s="3064"/>
      <c r="G8237" s="3301" t="s">
        <v>675</v>
      </c>
      <c r="H8237" s="3063"/>
      <c r="I8237" s="3030"/>
    </row>
    <row r="8238" spans="2:9" ht="25.5">
      <c r="B8238" s="3192" t="s">
        <v>676</v>
      </c>
      <c r="C8238" s="3063"/>
      <c r="D8238" s="3064"/>
      <c r="E8238" s="3064"/>
      <c r="F8238" s="3064"/>
      <c r="G8238" s="3301" t="s">
        <v>676</v>
      </c>
      <c r="H8238" s="3063"/>
      <c r="I8238" s="3030"/>
    </row>
    <row r="8239" spans="2:9">
      <c r="B8239" s="3192" t="s">
        <v>677</v>
      </c>
      <c r="C8239" s="3063"/>
      <c r="D8239" s="3064"/>
      <c r="E8239" s="3064"/>
      <c r="F8239" s="3064"/>
      <c r="G8239" s="3301" t="s">
        <v>677</v>
      </c>
      <c r="H8239" s="3063"/>
      <c r="I8239" s="3030"/>
    </row>
    <row r="8240" spans="2:9">
      <c r="B8240" s="3192" t="s">
        <v>678</v>
      </c>
      <c r="C8240" s="3063"/>
      <c r="D8240" s="3064"/>
      <c r="E8240" s="3064"/>
      <c r="F8240" s="3064"/>
      <c r="G8240" s="3301" t="s">
        <v>678</v>
      </c>
      <c r="H8240" s="3063"/>
      <c r="I8240" s="3030"/>
    </row>
    <row r="8241" spans="2:9">
      <c r="B8241" s="3192" t="s">
        <v>679</v>
      </c>
      <c r="C8241" s="3063"/>
      <c r="D8241" s="3064"/>
      <c r="E8241" s="3064"/>
      <c r="F8241" s="3064"/>
      <c r="G8241" s="3301" t="s">
        <v>679</v>
      </c>
      <c r="H8241" s="3063"/>
      <c r="I8241" s="3030"/>
    </row>
    <row r="8242" spans="2:9" ht="25.5">
      <c r="B8242" s="3192" t="s">
        <v>720</v>
      </c>
      <c r="C8242" s="3063"/>
      <c r="D8242" s="3064"/>
      <c r="E8242" s="3064"/>
      <c r="F8242" s="3064"/>
      <c r="G8242" s="3301" t="s">
        <v>720</v>
      </c>
      <c r="H8242" s="3063"/>
      <c r="I8242" s="3030"/>
    </row>
    <row r="8243" spans="2:9">
      <c r="B8243" s="3299" t="s">
        <v>82</v>
      </c>
      <c r="C8243" s="3063"/>
      <c r="D8243" s="3064"/>
      <c r="E8243" s="3064"/>
      <c r="F8243" s="3064"/>
      <c r="G8243" s="3300" t="s">
        <v>82</v>
      </c>
      <c r="H8243" s="3063"/>
      <c r="I8243" s="3030"/>
    </row>
    <row r="8244" spans="2:9" ht="25.5">
      <c r="B8244" s="3192" t="s">
        <v>675</v>
      </c>
      <c r="C8244" s="3063"/>
      <c r="D8244" s="3064"/>
      <c r="E8244" s="3064"/>
      <c r="F8244" s="3064"/>
      <c r="G8244" s="3301" t="s">
        <v>675</v>
      </c>
      <c r="H8244" s="3063"/>
      <c r="I8244" s="3030"/>
    </row>
    <row r="8245" spans="2:9" ht="25.5">
      <c r="B8245" s="3192" t="s">
        <v>676</v>
      </c>
      <c r="C8245" s="3063"/>
      <c r="D8245" s="3064"/>
      <c r="E8245" s="3064"/>
      <c r="F8245" s="3064"/>
      <c r="G8245" s="3301" t="s">
        <v>676</v>
      </c>
      <c r="H8245" s="3063"/>
      <c r="I8245" s="3030"/>
    </row>
    <row r="8246" spans="2:9">
      <c r="B8246" s="3192" t="s">
        <v>677</v>
      </c>
      <c r="C8246" s="3063"/>
      <c r="D8246" s="3064"/>
      <c r="E8246" s="3064"/>
      <c r="F8246" s="3064"/>
      <c r="G8246" s="3301" t="s">
        <v>677</v>
      </c>
      <c r="H8246" s="3063"/>
      <c r="I8246" s="3030"/>
    </row>
    <row r="8247" spans="2:9">
      <c r="B8247" s="3192" t="s">
        <v>678</v>
      </c>
      <c r="C8247" s="3063"/>
      <c r="D8247" s="3064"/>
      <c r="E8247" s="3064"/>
      <c r="F8247" s="3064"/>
      <c r="G8247" s="3301" t="s">
        <v>678</v>
      </c>
      <c r="H8247" s="3063"/>
      <c r="I8247" s="3030"/>
    </row>
    <row r="8248" spans="2:9">
      <c r="B8248" s="3192" t="s">
        <v>679</v>
      </c>
      <c r="C8248" s="3063"/>
      <c r="D8248" s="3064"/>
      <c r="E8248" s="3064"/>
      <c r="F8248" s="3064"/>
      <c r="G8248" s="3301" t="s">
        <v>679</v>
      </c>
      <c r="H8248" s="3063"/>
      <c r="I8248" s="3030"/>
    </row>
    <row r="8249" spans="2:9" ht="25.5">
      <c r="B8249" s="3192" t="s">
        <v>720</v>
      </c>
      <c r="C8249" s="3063"/>
      <c r="D8249" s="3064"/>
      <c r="E8249" s="3064"/>
      <c r="F8249" s="3064"/>
      <c r="G8249" s="3301" t="s">
        <v>720</v>
      </c>
      <c r="H8249" s="3063"/>
      <c r="I8249" s="3030"/>
    </row>
    <row r="8250" spans="2:9" ht="38.25">
      <c r="B8250" s="3299" t="s">
        <v>680</v>
      </c>
      <c r="C8250" s="3063"/>
      <c r="D8250" s="3064"/>
      <c r="E8250" s="3064"/>
      <c r="F8250" s="3064"/>
      <c r="G8250" s="3300" t="s">
        <v>680</v>
      </c>
      <c r="H8250" s="3063"/>
      <c r="I8250" s="3030"/>
    </row>
    <row r="8251" spans="2:9" ht="25.5">
      <c r="B8251" s="3192" t="s">
        <v>675</v>
      </c>
      <c r="C8251" s="3063"/>
      <c r="D8251" s="3064"/>
      <c r="E8251" s="3064"/>
      <c r="F8251" s="3064"/>
      <c r="G8251" s="3301" t="s">
        <v>675</v>
      </c>
      <c r="H8251" s="3063"/>
      <c r="I8251" s="3030"/>
    </row>
    <row r="8252" spans="2:9" ht="25.5">
      <c r="B8252" s="3192" t="s">
        <v>676</v>
      </c>
      <c r="C8252" s="3063"/>
      <c r="D8252" s="3064"/>
      <c r="E8252" s="3064"/>
      <c r="F8252" s="3064"/>
      <c r="G8252" s="3301" t="s">
        <v>676</v>
      </c>
      <c r="H8252" s="3063"/>
      <c r="I8252" s="3030"/>
    </row>
    <row r="8253" spans="2:9">
      <c r="B8253" s="3192" t="s">
        <v>677</v>
      </c>
      <c r="C8253" s="3063"/>
      <c r="D8253" s="3064"/>
      <c r="E8253" s="3064"/>
      <c r="F8253" s="3064"/>
      <c r="G8253" s="3301" t="s">
        <v>677</v>
      </c>
      <c r="H8253" s="3063"/>
      <c r="I8253" s="3030"/>
    </row>
    <row r="8254" spans="2:9">
      <c r="B8254" s="3192" t="s">
        <v>678</v>
      </c>
      <c r="C8254" s="3063"/>
      <c r="D8254" s="3064"/>
      <c r="E8254" s="3064"/>
      <c r="F8254" s="3064"/>
      <c r="G8254" s="3301" t="s">
        <v>678</v>
      </c>
      <c r="H8254" s="3063"/>
      <c r="I8254" s="3030"/>
    </row>
    <row r="8255" spans="2:9">
      <c r="B8255" s="3192" t="s">
        <v>679</v>
      </c>
      <c r="C8255" s="3063"/>
      <c r="D8255" s="3064"/>
      <c r="E8255" s="3064"/>
      <c r="F8255" s="3064"/>
      <c r="G8255" s="3301" t="s">
        <v>679</v>
      </c>
      <c r="H8255" s="3063"/>
      <c r="I8255" s="3030"/>
    </row>
    <row r="8256" spans="2:9" ht="25.5">
      <c r="B8256" s="3192" t="s">
        <v>720</v>
      </c>
      <c r="C8256" s="3063"/>
      <c r="D8256" s="3064"/>
      <c r="E8256" s="3064"/>
      <c r="F8256" s="3064"/>
      <c r="G8256" s="3301" t="s">
        <v>720</v>
      </c>
      <c r="H8256" s="3063"/>
      <c r="I8256" s="3030"/>
    </row>
    <row r="8257" spans="2:9" ht="38.25">
      <c r="B8257" s="3299" t="s">
        <v>681</v>
      </c>
      <c r="C8257" s="3063"/>
      <c r="D8257" s="3064"/>
      <c r="E8257" s="3064"/>
      <c r="F8257" s="3064">
        <v>3</v>
      </c>
      <c r="G8257" s="3300" t="s">
        <v>681</v>
      </c>
      <c r="H8257" s="3063">
        <v>1.3638782518844874E-2</v>
      </c>
      <c r="I8257" s="3030"/>
    </row>
    <row r="8258" spans="2:9" ht="25.5">
      <c r="B8258" s="3192" t="s">
        <v>675</v>
      </c>
      <c r="C8258" s="3063">
        <v>1</v>
      </c>
      <c r="D8258" s="3064">
        <v>1</v>
      </c>
      <c r="E8258" s="3064"/>
      <c r="F8258" s="3064"/>
      <c r="G8258" s="3301" t="s">
        <v>675</v>
      </c>
      <c r="H8258" s="3063"/>
      <c r="I8258" s="3030">
        <v>9.7419875134606253E-3</v>
      </c>
    </row>
    <row r="8259" spans="2:9" ht="25.5">
      <c r="B8259" s="3192" t="s">
        <v>676</v>
      </c>
      <c r="C8259" s="3063"/>
      <c r="D8259" s="3064"/>
      <c r="E8259" s="3064"/>
      <c r="F8259" s="3064"/>
      <c r="G8259" s="3301" t="s">
        <v>676</v>
      </c>
      <c r="H8259" s="3063"/>
      <c r="I8259" s="3030"/>
    </row>
    <row r="8260" spans="2:9">
      <c r="B8260" s="3192" t="s">
        <v>677</v>
      </c>
      <c r="C8260" s="3063"/>
      <c r="D8260" s="3064"/>
      <c r="E8260" s="3064"/>
      <c r="F8260" s="3064"/>
      <c r="G8260" s="3301" t="s">
        <v>677</v>
      </c>
      <c r="H8260" s="3063"/>
      <c r="I8260" s="3030"/>
    </row>
    <row r="8261" spans="2:9">
      <c r="B8261" s="3192" t="s">
        <v>678</v>
      </c>
      <c r="C8261" s="3063"/>
      <c r="D8261" s="3064">
        <v>1</v>
      </c>
      <c r="E8261" s="3064"/>
      <c r="F8261" s="3064"/>
      <c r="G8261" s="3301" t="s">
        <v>678</v>
      </c>
      <c r="H8261" s="3063"/>
      <c r="I8261" s="3030"/>
    </row>
    <row r="8262" spans="2:9">
      <c r="B8262" s="3192" t="s">
        <v>679</v>
      </c>
      <c r="C8262" s="3063"/>
      <c r="D8262" s="3064">
        <v>1</v>
      </c>
      <c r="E8262" s="3064"/>
      <c r="F8262" s="3064"/>
      <c r="G8262" s="3301" t="s">
        <v>679</v>
      </c>
      <c r="H8262" s="3063"/>
      <c r="I8262" s="3030"/>
    </row>
    <row r="8263" spans="2:9" ht="25.5">
      <c r="B8263" s="3192" t="s">
        <v>720</v>
      </c>
      <c r="C8263" s="3063"/>
      <c r="D8263" s="3064"/>
      <c r="E8263" s="3064"/>
      <c r="F8263" s="3064"/>
      <c r="G8263" s="3301" t="s">
        <v>720</v>
      </c>
      <c r="H8263" s="3063"/>
      <c r="I8263" s="3030"/>
    </row>
    <row r="8264" spans="2:9" ht="25.5">
      <c r="B8264" s="3299" t="s">
        <v>682</v>
      </c>
      <c r="C8264" s="3063"/>
      <c r="D8264" s="3064"/>
      <c r="E8264" s="3064"/>
      <c r="F8264" s="3064"/>
      <c r="G8264" s="3300" t="s">
        <v>682</v>
      </c>
      <c r="H8264" s="3063"/>
      <c r="I8264" s="3030"/>
    </row>
    <row r="8265" spans="2:9" ht="25.5">
      <c r="B8265" s="3192" t="s">
        <v>675</v>
      </c>
      <c r="C8265" s="3063"/>
      <c r="D8265" s="3064"/>
      <c r="E8265" s="3064"/>
      <c r="F8265" s="3064"/>
      <c r="G8265" s="3301" t="s">
        <v>675</v>
      </c>
      <c r="H8265" s="3063"/>
      <c r="I8265" s="3030"/>
    </row>
    <row r="8266" spans="2:9" ht="25.5">
      <c r="B8266" s="3192" t="s">
        <v>676</v>
      </c>
      <c r="C8266" s="3063"/>
      <c r="D8266" s="3064"/>
      <c r="E8266" s="3064"/>
      <c r="F8266" s="3064"/>
      <c r="G8266" s="3301" t="s">
        <v>676</v>
      </c>
      <c r="H8266" s="3063"/>
      <c r="I8266" s="3030"/>
    </row>
    <row r="8267" spans="2:9">
      <c r="B8267" s="3192" t="s">
        <v>677</v>
      </c>
      <c r="C8267" s="3063"/>
      <c r="D8267" s="3064"/>
      <c r="E8267" s="3064"/>
      <c r="F8267" s="3064"/>
      <c r="G8267" s="3301" t="s">
        <v>677</v>
      </c>
      <c r="H8267" s="3063"/>
      <c r="I8267" s="3030"/>
    </row>
    <row r="8268" spans="2:9">
      <c r="B8268" s="3192" t="s">
        <v>678</v>
      </c>
      <c r="C8268" s="3063"/>
      <c r="D8268" s="3064"/>
      <c r="E8268" s="3064"/>
      <c r="F8268" s="3064"/>
      <c r="G8268" s="3301" t="s">
        <v>678</v>
      </c>
      <c r="H8268" s="3063"/>
      <c r="I8268" s="3030"/>
    </row>
    <row r="8269" spans="2:9">
      <c r="B8269" s="3192" t="s">
        <v>679</v>
      </c>
      <c r="C8269" s="3063"/>
      <c r="D8269" s="3064"/>
      <c r="E8269" s="3064"/>
      <c r="F8269" s="3064"/>
      <c r="G8269" s="3301" t="s">
        <v>679</v>
      </c>
      <c r="H8269" s="3063"/>
      <c r="I8269" s="3030"/>
    </row>
    <row r="8270" spans="2:9" ht="25.5">
      <c r="B8270" s="3192" t="s">
        <v>720</v>
      </c>
      <c r="C8270" s="3063"/>
      <c r="D8270" s="3064"/>
      <c r="E8270" s="3064"/>
      <c r="F8270" s="3064"/>
      <c r="G8270" s="3301" t="s">
        <v>720</v>
      </c>
      <c r="H8270" s="3063"/>
      <c r="I8270" s="3030"/>
    </row>
    <row r="8271" spans="2:9" ht="25.5">
      <c r="B8271" s="3299" t="s">
        <v>66</v>
      </c>
      <c r="C8271" s="3063"/>
      <c r="D8271" s="3064"/>
      <c r="E8271" s="3064"/>
      <c r="F8271" s="3064"/>
      <c r="G8271" s="3300" t="s">
        <v>66</v>
      </c>
      <c r="H8271" s="3063"/>
      <c r="I8271" s="3030"/>
    </row>
    <row r="8272" spans="2:9" ht="25.5">
      <c r="B8272" s="3192" t="s">
        <v>675</v>
      </c>
      <c r="C8272" s="3063"/>
      <c r="D8272" s="3064"/>
      <c r="E8272" s="3064"/>
      <c r="F8272" s="3064"/>
      <c r="G8272" s="3301" t="s">
        <v>675</v>
      </c>
      <c r="H8272" s="3063"/>
      <c r="I8272" s="3030"/>
    </row>
    <row r="8273" spans="2:9" ht="25.5">
      <c r="B8273" s="3192" t="s">
        <v>676</v>
      </c>
      <c r="C8273" s="3063"/>
      <c r="D8273" s="3064"/>
      <c r="E8273" s="3064"/>
      <c r="F8273" s="3064"/>
      <c r="G8273" s="3301" t="s">
        <v>676</v>
      </c>
      <c r="H8273" s="3063"/>
      <c r="I8273" s="3030"/>
    </row>
    <row r="8274" spans="2:9">
      <c r="B8274" s="3192" t="s">
        <v>677</v>
      </c>
      <c r="C8274" s="3063"/>
      <c r="D8274" s="3064"/>
      <c r="E8274" s="3064"/>
      <c r="F8274" s="3064"/>
      <c r="G8274" s="3301" t="s">
        <v>677</v>
      </c>
      <c r="H8274" s="3063"/>
      <c r="I8274" s="3030"/>
    </row>
    <row r="8275" spans="2:9">
      <c r="B8275" s="3192" t="s">
        <v>678</v>
      </c>
      <c r="C8275" s="3063"/>
      <c r="D8275" s="3064"/>
      <c r="E8275" s="3064"/>
      <c r="F8275" s="3064"/>
      <c r="G8275" s="3301" t="s">
        <v>678</v>
      </c>
      <c r="H8275" s="3063"/>
      <c r="I8275" s="3030"/>
    </row>
    <row r="8276" spans="2:9">
      <c r="B8276" s="3192" t="s">
        <v>679</v>
      </c>
      <c r="C8276" s="3063"/>
      <c r="D8276" s="3064"/>
      <c r="E8276" s="3064"/>
      <c r="F8276" s="3064"/>
      <c r="G8276" s="3301" t="s">
        <v>679</v>
      </c>
      <c r="H8276" s="3063"/>
      <c r="I8276" s="3030"/>
    </row>
    <row r="8277" spans="2:9" ht="25.5">
      <c r="B8277" s="3192" t="s">
        <v>720</v>
      </c>
      <c r="C8277" s="3063"/>
      <c r="D8277" s="3064"/>
      <c r="E8277" s="3064"/>
      <c r="F8277" s="3064"/>
      <c r="G8277" s="3301" t="s">
        <v>720</v>
      </c>
      <c r="H8277" s="3063"/>
      <c r="I8277" s="3030"/>
    </row>
    <row r="8278" spans="2:9">
      <c r="B8278" s="3299" t="s">
        <v>67</v>
      </c>
      <c r="C8278" s="3063"/>
      <c r="D8278" s="3064"/>
      <c r="E8278" s="3064"/>
      <c r="F8278" s="3064">
        <v>1</v>
      </c>
      <c r="G8278" s="3300" t="s">
        <v>67</v>
      </c>
      <c r="H8278" s="3063">
        <v>5.6338848323358531E-2</v>
      </c>
      <c r="I8278" s="3030"/>
    </row>
    <row r="8279" spans="2:9" ht="25.5">
      <c r="B8279" s="3192" t="s">
        <v>675</v>
      </c>
      <c r="C8279" s="3063">
        <v>1</v>
      </c>
      <c r="D8279" s="3064">
        <v>2</v>
      </c>
      <c r="E8279" s="3064"/>
      <c r="F8279" s="3064"/>
      <c r="G8279" s="3301" t="s">
        <v>675</v>
      </c>
      <c r="H8279" s="3063"/>
      <c r="I8279" s="3030">
        <v>6.7606617988030235E-2</v>
      </c>
    </row>
    <row r="8280" spans="2:9" ht="25.5">
      <c r="B8280" s="3192" t="s">
        <v>676</v>
      </c>
      <c r="C8280" s="3063"/>
      <c r="D8280" s="3064"/>
      <c r="E8280" s="3064"/>
      <c r="F8280" s="3064"/>
      <c r="G8280" s="3301" t="s">
        <v>676</v>
      </c>
      <c r="H8280" s="3063"/>
      <c r="I8280" s="3030"/>
    </row>
    <row r="8281" spans="2:9">
      <c r="B8281" s="3192" t="s">
        <v>677</v>
      </c>
      <c r="C8281" s="3063"/>
      <c r="D8281" s="3064"/>
      <c r="E8281" s="3064"/>
      <c r="F8281" s="3064"/>
      <c r="G8281" s="3301" t="s">
        <v>677</v>
      </c>
      <c r="H8281" s="3063"/>
      <c r="I8281" s="3030"/>
    </row>
    <row r="8282" spans="2:9">
      <c r="B8282" s="3192" t="s">
        <v>678</v>
      </c>
      <c r="C8282" s="3063"/>
      <c r="D8282" s="3064"/>
      <c r="E8282" s="3064"/>
      <c r="F8282" s="3064"/>
      <c r="G8282" s="3301" t="s">
        <v>678</v>
      </c>
      <c r="H8282" s="3063"/>
      <c r="I8282" s="3030"/>
    </row>
    <row r="8283" spans="2:9">
      <c r="B8283" s="3192" t="s">
        <v>679</v>
      </c>
      <c r="C8283" s="3063"/>
      <c r="D8283" s="3064"/>
      <c r="E8283" s="3064"/>
      <c r="F8283" s="3064"/>
      <c r="G8283" s="3301" t="s">
        <v>679</v>
      </c>
      <c r="H8283" s="3063"/>
      <c r="I8283" s="3030"/>
    </row>
    <row r="8284" spans="2:9" ht="25.5">
      <c r="B8284" s="3230" t="s">
        <v>81</v>
      </c>
      <c r="C8284" s="3063"/>
      <c r="D8284" s="3064"/>
      <c r="E8284" s="3064"/>
      <c r="F8284" s="3064"/>
      <c r="G8284" s="3302" t="s">
        <v>81</v>
      </c>
      <c r="H8284" s="3063"/>
      <c r="I8284" s="3030"/>
    </row>
    <row r="8285" spans="2:9" ht="26.25" thickBot="1">
      <c r="B8285" s="3303" t="s">
        <v>81</v>
      </c>
      <c r="C8285" s="3068"/>
      <c r="D8285" s="3069"/>
      <c r="E8285" s="3069"/>
      <c r="F8285" s="3069"/>
      <c r="G8285" s="3304" t="s">
        <v>81</v>
      </c>
      <c r="H8285" s="3068"/>
      <c r="I8285" s="3070"/>
    </row>
    <row r="8286" spans="2:9" ht="38.25">
      <c r="B8286" s="4723">
        <v>3059</v>
      </c>
      <c r="C8286" s="3289"/>
      <c r="D8286" s="3290"/>
      <c r="E8286" s="3290"/>
      <c r="F8286" s="3290"/>
      <c r="G8286" s="4723">
        <v>3059</v>
      </c>
      <c r="H8286" s="3291" t="s">
        <v>687</v>
      </c>
      <c r="I8286" s="3292" t="s">
        <v>688</v>
      </c>
    </row>
    <row r="8287" spans="2:9">
      <c r="B8287" s="4724"/>
      <c r="C8287" s="4678" t="s">
        <v>686</v>
      </c>
      <c r="D8287" s="4725"/>
      <c r="E8287" s="4725"/>
      <c r="F8287" s="4726"/>
      <c r="G8287" s="4724"/>
      <c r="H8287" s="3293"/>
      <c r="I8287" s="3294"/>
    </row>
    <row r="8288" spans="2:9" ht="13.5" thickBot="1">
      <c r="B8288" s="4724"/>
      <c r="C8288" s="3215">
        <v>2013</v>
      </c>
      <c r="D8288" s="3215">
        <v>2014</v>
      </c>
      <c r="E8288" s="3215">
        <v>2015</v>
      </c>
      <c r="F8288" s="3215">
        <v>2016</v>
      </c>
      <c r="G8288" s="4724"/>
      <c r="H8288" s="3295" t="s">
        <v>390</v>
      </c>
      <c r="I8288" s="3296" t="s">
        <v>390</v>
      </c>
    </row>
    <row r="8289" spans="2:9">
      <c r="B8289" s="3217" t="s">
        <v>695</v>
      </c>
      <c r="C8289" s="3218"/>
      <c r="D8289" s="3219"/>
      <c r="E8289" s="3219"/>
      <c r="F8289" s="3219"/>
      <c r="G8289" s="3217" t="s">
        <v>695</v>
      </c>
      <c r="H8289" s="3297"/>
      <c r="I8289" s="3298"/>
    </row>
    <row r="8290" spans="2:9">
      <c r="B8290" s="3299" t="s">
        <v>64</v>
      </c>
      <c r="C8290" s="3063"/>
      <c r="D8290" s="3064"/>
      <c r="E8290" s="3064"/>
      <c r="F8290" s="3064"/>
      <c r="G8290" s="3300" t="s">
        <v>64</v>
      </c>
      <c r="H8290" s="3063"/>
      <c r="I8290" s="3030"/>
    </row>
    <row r="8291" spans="2:9" ht="25.5">
      <c r="B8291" s="3192" t="s">
        <v>675</v>
      </c>
      <c r="C8291" s="3063"/>
      <c r="D8291" s="3064"/>
      <c r="E8291" s="3064"/>
      <c r="F8291" s="3064"/>
      <c r="G8291" s="3301" t="s">
        <v>675</v>
      </c>
      <c r="H8291" s="3063"/>
      <c r="I8291" s="3030"/>
    </row>
    <row r="8292" spans="2:9" ht="25.5">
      <c r="B8292" s="3192" t="s">
        <v>676</v>
      </c>
      <c r="C8292" s="3063"/>
      <c r="D8292" s="3064"/>
      <c r="E8292" s="3064"/>
      <c r="F8292" s="3064"/>
      <c r="G8292" s="3301" t="s">
        <v>676</v>
      </c>
      <c r="H8292" s="3063"/>
      <c r="I8292" s="3030"/>
    </row>
    <row r="8293" spans="2:9">
      <c r="B8293" s="3192" t="s">
        <v>677</v>
      </c>
      <c r="C8293" s="3063"/>
      <c r="D8293" s="3064"/>
      <c r="E8293" s="3064"/>
      <c r="F8293" s="3064"/>
      <c r="G8293" s="3301" t="s">
        <v>677</v>
      </c>
      <c r="H8293" s="3063"/>
      <c r="I8293" s="3030"/>
    </row>
    <row r="8294" spans="2:9">
      <c r="B8294" s="3192" t="s">
        <v>678</v>
      </c>
      <c r="C8294" s="3063"/>
      <c r="D8294" s="3064"/>
      <c r="E8294" s="3064"/>
      <c r="F8294" s="3064"/>
      <c r="G8294" s="3301" t="s">
        <v>678</v>
      </c>
      <c r="H8294" s="3063"/>
      <c r="I8294" s="3030"/>
    </row>
    <row r="8295" spans="2:9">
      <c r="B8295" s="3192" t="s">
        <v>679</v>
      </c>
      <c r="C8295" s="3063"/>
      <c r="D8295" s="3064"/>
      <c r="E8295" s="3064"/>
      <c r="F8295" s="3064"/>
      <c r="G8295" s="3301" t="s">
        <v>679</v>
      </c>
      <c r="H8295" s="3063"/>
      <c r="I8295" s="3030"/>
    </row>
    <row r="8296" spans="2:9" ht="25.5">
      <c r="B8296" s="3192" t="s">
        <v>720</v>
      </c>
      <c r="C8296" s="3063"/>
      <c r="D8296" s="3064"/>
      <c r="E8296" s="3064"/>
      <c r="F8296" s="3064"/>
      <c r="G8296" s="3301" t="s">
        <v>720</v>
      </c>
      <c r="H8296" s="3063"/>
      <c r="I8296" s="3030"/>
    </row>
    <row r="8297" spans="2:9">
      <c r="B8297" s="3299" t="s">
        <v>65</v>
      </c>
      <c r="C8297" s="3063"/>
      <c r="D8297" s="3064"/>
      <c r="E8297" s="3064"/>
      <c r="F8297" s="3064"/>
      <c r="G8297" s="3300" t="s">
        <v>65</v>
      </c>
      <c r="H8297" s="3063"/>
      <c r="I8297" s="3030"/>
    </row>
    <row r="8298" spans="2:9" ht="25.5">
      <c r="B8298" s="3192" t="s">
        <v>675</v>
      </c>
      <c r="C8298" s="3063"/>
      <c r="D8298" s="3064"/>
      <c r="E8298" s="3064"/>
      <c r="F8298" s="3064"/>
      <c r="G8298" s="3301" t="s">
        <v>675</v>
      </c>
      <c r="H8298" s="3063"/>
      <c r="I8298" s="3030"/>
    </row>
    <row r="8299" spans="2:9" ht="25.5">
      <c r="B8299" s="3192" t="s">
        <v>676</v>
      </c>
      <c r="C8299" s="3063"/>
      <c r="D8299" s="3064"/>
      <c r="E8299" s="3064"/>
      <c r="F8299" s="3064"/>
      <c r="G8299" s="3301" t="s">
        <v>676</v>
      </c>
      <c r="H8299" s="3063"/>
      <c r="I8299" s="3030"/>
    </row>
    <row r="8300" spans="2:9">
      <c r="B8300" s="3192" t="s">
        <v>677</v>
      </c>
      <c r="C8300" s="3063"/>
      <c r="D8300" s="3064"/>
      <c r="E8300" s="3064"/>
      <c r="F8300" s="3064"/>
      <c r="G8300" s="3301" t="s">
        <v>677</v>
      </c>
      <c r="H8300" s="3063"/>
      <c r="I8300" s="3030"/>
    </row>
    <row r="8301" spans="2:9">
      <c r="B8301" s="3192" t="s">
        <v>678</v>
      </c>
      <c r="C8301" s="3063"/>
      <c r="D8301" s="3064"/>
      <c r="E8301" s="3064"/>
      <c r="F8301" s="3064"/>
      <c r="G8301" s="3301" t="s">
        <v>678</v>
      </c>
      <c r="H8301" s="3063"/>
      <c r="I8301" s="3030"/>
    </row>
    <row r="8302" spans="2:9">
      <c r="B8302" s="3192" t="s">
        <v>679</v>
      </c>
      <c r="C8302" s="3063"/>
      <c r="D8302" s="3064"/>
      <c r="E8302" s="3064"/>
      <c r="F8302" s="3064"/>
      <c r="G8302" s="3301" t="s">
        <v>679</v>
      </c>
      <c r="H8302" s="3063"/>
      <c r="I8302" s="3030"/>
    </row>
    <row r="8303" spans="2:9" ht="25.5">
      <c r="B8303" s="3192" t="s">
        <v>720</v>
      </c>
      <c r="C8303" s="3063"/>
      <c r="D8303" s="3064"/>
      <c r="E8303" s="3064"/>
      <c r="F8303" s="3064"/>
      <c r="G8303" s="3301" t="s">
        <v>720</v>
      </c>
      <c r="H8303" s="3063"/>
      <c r="I8303" s="3030"/>
    </row>
    <row r="8304" spans="2:9">
      <c r="B8304" s="3299" t="s">
        <v>82</v>
      </c>
      <c r="C8304" s="3063"/>
      <c r="D8304" s="3064"/>
      <c r="E8304" s="3064"/>
      <c r="F8304" s="3064"/>
      <c r="G8304" s="3300" t="s">
        <v>82</v>
      </c>
      <c r="H8304" s="3063"/>
      <c r="I8304" s="3030"/>
    </row>
    <row r="8305" spans="2:9" ht="25.5">
      <c r="B8305" s="3192" t="s">
        <v>675</v>
      </c>
      <c r="C8305" s="3063"/>
      <c r="D8305" s="3064"/>
      <c r="E8305" s="3064"/>
      <c r="F8305" s="3064"/>
      <c r="G8305" s="3301" t="s">
        <v>675</v>
      </c>
      <c r="H8305" s="3063"/>
      <c r="I8305" s="3030"/>
    </row>
    <row r="8306" spans="2:9" ht="25.5">
      <c r="B8306" s="3192" t="s">
        <v>676</v>
      </c>
      <c r="C8306" s="3063"/>
      <c r="D8306" s="3064"/>
      <c r="E8306" s="3064"/>
      <c r="F8306" s="3064"/>
      <c r="G8306" s="3301" t="s">
        <v>676</v>
      </c>
      <c r="H8306" s="3063"/>
      <c r="I8306" s="3030"/>
    </row>
    <row r="8307" spans="2:9">
      <c r="B8307" s="3192" t="s">
        <v>677</v>
      </c>
      <c r="C8307" s="3063"/>
      <c r="D8307" s="3064"/>
      <c r="E8307" s="3064"/>
      <c r="F8307" s="3064"/>
      <c r="G8307" s="3301" t="s">
        <v>677</v>
      </c>
      <c r="H8307" s="3063"/>
      <c r="I8307" s="3030"/>
    </row>
    <row r="8308" spans="2:9">
      <c r="B8308" s="3192" t="s">
        <v>678</v>
      </c>
      <c r="C8308" s="3063"/>
      <c r="D8308" s="3064"/>
      <c r="E8308" s="3064"/>
      <c r="F8308" s="3064"/>
      <c r="G8308" s="3301" t="s">
        <v>678</v>
      </c>
      <c r="H8308" s="3063"/>
      <c r="I8308" s="3030"/>
    </row>
    <row r="8309" spans="2:9">
      <c r="B8309" s="3192" t="s">
        <v>679</v>
      </c>
      <c r="C8309" s="3063"/>
      <c r="D8309" s="3064"/>
      <c r="E8309" s="3064"/>
      <c r="F8309" s="3064"/>
      <c r="G8309" s="3301" t="s">
        <v>679</v>
      </c>
      <c r="H8309" s="3063"/>
      <c r="I8309" s="3030"/>
    </row>
    <row r="8310" spans="2:9" ht="25.5">
      <c r="B8310" s="3192" t="s">
        <v>720</v>
      </c>
      <c r="C8310" s="3063"/>
      <c r="D8310" s="3064"/>
      <c r="E8310" s="3064"/>
      <c r="F8310" s="3064"/>
      <c r="G8310" s="3301" t="s">
        <v>720</v>
      </c>
      <c r="H8310" s="3063"/>
      <c r="I8310" s="3030"/>
    </row>
    <row r="8311" spans="2:9" ht="38.25">
      <c r="B8311" s="3299" t="s">
        <v>680</v>
      </c>
      <c r="C8311" s="3063"/>
      <c r="D8311" s="3064"/>
      <c r="E8311" s="3064"/>
      <c r="F8311" s="3064"/>
      <c r="G8311" s="3300" t="s">
        <v>680</v>
      </c>
      <c r="H8311" s="3063"/>
      <c r="I8311" s="3030"/>
    </row>
    <row r="8312" spans="2:9" ht="25.5">
      <c r="B8312" s="3192" t="s">
        <v>675</v>
      </c>
      <c r="C8312" s="3063"/>
      <c r="D8312" s="3064"/>
      <c r="E8312" s="3064"/>
      <c r="F8312" s="3064"/>
      <c r="G8312" s="3301" t="s">
        <v>675</v>
      </c>
      <c r="H8312" s="3063"/>
      <c r="I8312" s="3030"/>
    </row>
    <row r="8313" spans="2:9" ht="25.5">
      <c r="B8313" s="3192" t="s">
        <v>676</v>
      </c>
      <c r="C8313" s="3063"/>
      <c r="D8313" s="3064"/>
      <c r="E8313" s="3064"/>
      <c r="F8313" s="3064"/>
      <c r="G8313" s="3301" t="s">
        <v>676</v>
      </c>
      <c r="H8313" s="3063"/>
      <c r="I8313" s="3030"/>
    </row>
    <row r="8314" spans="2:9">
      <c r="B8314" s="3192" t="s">
        <v>677</v>
      </c>
      <c r="C8314" s="3063"/>
      <c r="D8314" s="3064"/>
      <c r="E8314" s="3064"/>
      <c r="F8314" s="3064"/>
      <c r="G8314" s="3301" t="s">
        <v>677</v>
      </c>
      <c r="H8314" s="3063"/>
      <c r="I8314" s="3030"/>
    </row>
    <row r="8315" spans="2:9">
      <c r="B8315" s="3192" t="s">
        <v>678</v>
      </c>
      <c r="C8315" s="3063"/>
      <c r="D8315" s="3064"/>
      <c r="E8315" s="3064"/>
      <c r="F8315" s="3064"/>
      <c r="G8315" s="3301" t="s">
        <v>678</v>
      </c>
      <c r="H8315" s="3063"/>
      <c r="I8315" s="3030"/>
    </row>
    <row r="8316" spans="2:9">
      <c r="B8316" s="3192" t="s">
        <v>679</v>
      </c>
      <c r="C8316" s="3063"/>
      <c r="D8316" s="3064"/>
      <c r="E8316" s="3064"/>
      <c r="F8316" s="3064"/>
      <c r="G8316" s="3301" t="s">
        <v>679</v>
      </c>
      <c r="H8316" s="3063"/>
      <c r="I8316" s="3030"/>
    </row>
    <row r="8317" spans="2:9" ht="25.5">
      <c r="B8317" s="3192" t="s">
        <v>720</v>
      </c>
      <c r="C8317" s="3063"/>
      <c r="D8317" s="3064"/>
      <c r="E8317" s="3064"/>
      <c r="F8317" s="3064"/>
      <c r="G8317" s="3301" t="s">
        <v>720</v>
      </c>
      <c r="H8317" s="3063"/>
      <c r="I8317" s="3030"/>
    </row>
    <row r="8318" spans="2:9" ht="38.25">
      <c r="B8318" s="3299" t="s">
        <v>681</v>
      </c>
      <c r="C8318" s="3063"/>
      <c r="D8318" s="3064"/>
      <c r="E8318" s="3064"/>
      <c r="F8318" s="3064"/>
      <c r="G8318" s="3300" t="s">
        <v>681</v>
      </c>
      <c r="H8318" s="3063"/>
      <c r="I8318" s="3030"/>
    </row>
    <row r="8319" spans="2:9" ht="25.5">
      <c r="B8319" s="3192" t="s">
        <v>675</v>
      </c>
      <c r="C8319" s="3063"/>
      <c r="D8319" s="3064"/>
      <c r="E8319" s="3064"/>
      <c r="F8319" s="3064"/>
      <c r="G8319" s="3301" t="s">
        <v>675</v>
      </c>
      <c r="H8319" s="3063"/>
      <c r="I8319" s="3030"/>
    </row>
    <row r="8320" spans="2:9" ht="25.5">
      <c r="B8320" s="3192" t="s">
        <v>676</v>
      </c>
      <c r="C8320" s="3063"/>
      <c r="D8320" s="3064"/>
      <c r="E8320" s="3064"/>
      <c r="F8320" s="3064"/>
      <c r="G8320" s="3301" t="s">
        <v>676</v>
      </c>
      <c r="H8320" s="3063"/>
      <c r="I8320" s="3030"/>
    </row>
    <row r="8321" spans="2:9">
      <c r="B8321" s="3192" t="s">
        <v>677</v>
      </c>
      <c r="C8321" s="3063"/>
      <c r="D8321" s="3064"/>
      <c r="E8321" s="3064"/>
      <c r="F8321" s="3064"/>
      <c r="G8321" s="3301" t="s">
        <v>677</v>
      </c>
      <c r="H8321" s="3063"/>
      <c r="I8321" s="3030"/>
    </row>
    <row r="8322" spans="2:9">
      <c r="B8322" s="3192" t="s">
        <v>678</v>
      </c>
      <c r="C8322" s="3063"/>
      <c r="D8322" s="3064"/>
      <c r="E8322" s="3064"/>
      <c r="F8322" s="3064"/>
      <c r="G8322" s="3301" t="s">
        <v>678</v>
      </c>
      <c r="H8322" s="3063"/>
      <c r="I8322" s="3030"/>
    </row>
    <row r="8323" spans="2:9">
      <c r="B8323" s="3192" t="s">
        <v>679</v>
      </c>
      <c r="C8323" s="3063"/>
      <c r="D8323" s="3064"/>
      <c r="E8323" s="3064"/>
      <c r="F8323" s="3064"/>
      <c r="G8323" s="3301" t="s">
        <v>679</v>
      </c>
      <c r="H8323" s="3063"/>
      <c r="I8323" s="3030"/>
    </row>
    <row r="8324" spans="2:9" ht="25.5">
      <c r="B8324" s="3192" t="s">
        <v>720</v>
      </c>
      <c r="C8324" s="3063"/>
      <c r="D8324" s="3064"/>
      <c r="E8324" s="3064"/>
      <c r="F8324" s="3064"/>
      <c r="G8324" s="3301" t="s">
        <v>720</v>
      </c>
      <c r="H8324" s="3063"/>
      <c r="I8324" s="3030"/>
    </row>
    <row r="8325" spans="2:9" ht="25.5">
      <c r="B8325" s="3299" t="s">
        <v>682</v>
      </c>
      <c r="C8325" s="3063"/>
      <c r="D8325" s="3064"/>
      <c r="E8325" s="3064"/>
      <c r="F8325" s="3064"/>
      <c r="G8325" s="3300" t="s">
        <v>682</v>
      </c>
      <c r="H8325" s="3063"/>
      <c r="I8325" s="3030"/>
    </row>
    <row r="8326" spans="2:9" ht="25.5">
      <c r="B8326" s="3192" t="s">
        <v>675</v>
      </c>
      <c r="C8326" s="3063"/>
      <c r="D8326" s="3064"/>
      <c r="E8326" s="3064"/>
      <c r="F8326" s="3064"/>
      <c r="G8326" s="3301" t="s">
        <v>675</v>
      </c>
      <c r="H8326" s="3063"/>
      <c r="I8326" s="3030"/>
    </row>
    <row r="8327" spans="2:9" ht="25.5">
      <c r="B8327" s="3192" t="s">
        <v>676</v>
      </c>
      <c r="C8327" s="3063"/>
      <c r="D8327" s="3064"/>
      <c r="E8327" s="3064"/>
      <c r="F8327" s="3064"/>
      <c r="G8327" s="3301" t="s">
        <v>676</v>
      </c>
      <c r="H8327" s="3063"/>
      <c r="I8327" s="3030"/>
    </row>
    <row r="8328" spans="2:9">
      <c r="B8328" s="3192" t="s">
        <v>677</v>
      </c>
      <c r="C8328" s="3063"/>
      <c r="D8328" s="3064"/>
      <c r="E8328" s="3064"/>
      <c r="F8328" s="3064"/>
      <c r="G8328" s="3301" t="s">
        <v>677</v>
      </c>
      <c r="H8328" s="3063"/>
      <c r="I8328" s="3030"/>
    </row>
    <row r="8329" spans="2:9">
      <c r="B8329" s="3192" t="s">
        <v>678</v>
      </c>
      <c r="C8329" s="3063"/>
      <c r="D8329" s="3064"/>
      <c r="E8329" s="3064"/>
      <c r="F8329" s="3064"/>
      <c r="G8329" s="3301" t="s">
        <v>678</v>
      </c>
      <c r="H8329" s="3063"/>
      <c r="I8329" s="3030"/>
    </row>
    <row r="8330" spans="2:9">
      <c r="B8330" s="3192" t="s">
        <v>679</v>
      </c>
      <c r="C8330" s="3063"/>
      <c r="D8330" s="3064"/>
      <c r="E8330" s="3064"/>
      <c r="F8330" s="3064"/>
      <c r="G8330" s="3301" t="s">
        <v>679</v>
      </c>
      <c r="H8330" s="3063"/>
      <c r="I8330" s="3030"/>
    </row>
    <row r="8331" spans="2:9" ht="25.5">
      <c r="B8331" s="3192" t="s">
        <v>720</v>
      </c>
      <c r="C8331" s="3063"/>
      <c r="D8331" s="3064"/>
      <c r="E8331" s="3064"/>
      <c r="F8331" s="3064"/>
      <c r="G8331" s="3301" t="s">
        <v>720</v>
      </c>
      <c r="H8331" s="3063"/>
      <c r="I8331" s="3030"/>
    </row>
    <row r="8332" spans="2:9" ht="25.5">
      <c r="B8332" s="3299" t="s">
        <v>66</v>
      </c>
      <c r="C8332" s="3063"/>
      <c r="D8332" s="3064"/>
      <c r="E8332" s="3064"/>
      <c r="F8332" s="3064"/>
      <c r="G8332" s="3300" t="s">
        <v>66</v>
      </c>
      <c r="H8332" s="3063"/>
      <c r="I8332" s="3030"/>
    </row>
    <row r="8333" spans="2:9" ht="25.5">
      <c r="B8333" s="3192" t="s">
        <v>675</v>
      </c>
      <c r="C8333" s="3063"/>
      <c r="D8333" s="3064"/>
      <c r="E8333" s="3064"/>
      <c r="F8333" s="3064"/>
      <c r="G8333" s="3301" t="s">
        <v>675</v>
      </c>
      <c r="H8333" s="3063"/>
      <c r="I8333" s="3030"/>
    </row>
    <row r="8334" spans="2:9" ht="25.5">
      <c r="B8334" s="3192" t="s">
        <v>676</v>
      </c>
      <c r="C8334" s="3063"/>
      <c r="D8334" s="3064"/>
      <c r="E8334" s="3064"/>
      <c r="F8334" s="3064"/>
      <c r="G8334" s="3301" t="s">
        <v>676</v>
      </c>
      <c r="H8334" s="3063"/>
      <c r="I8334" s="3030"/>
    </row>
    <row r="8335" spans="2:9">
      <c r="B8335" s="3192" t="s">
        <v>677</v>
      </c>
      <c r="C8335" s="3063"/>
      <c r="D8335" s="3064"/>
      <c r="E8335" s="3064"/>
      <c r="F8335" s="3064"/>
      <c r="G8335" s="3301" t="s">
        <v>677</v>
      </c>
      <c r="H8335" s="3063"/>
      <c r="I8335" s="3030"/>
    </row>
    <row r="8336" spans="2:9">
      <c r="B8336" s="3192" t="s">
        <v>678</v>
      </c>
      <c r="C8336" s="3063"/>
      <c r="D8336" s="3064"/>
      <c r="E8336" s="3064"/>
      <c r="F8336" s="3064"/>
      <c r="G8336" s="3301" t="s">
        <v>678</v>
      </c>
      <c r="H8336" s="3063"/>
      <c r="I8336" s="3030"/>
    </row>
    <row r="8337" spans="2:9">
      <c r="B8337" s="3192" t="s">
        <v>679</v>
      </c>
      <c r="C8337" s="3063"/>
      <c r="D8337" s="3064"/>
      <c r="E8337" s="3064"/>
      <c r="F8337" s="3064"/>
      <c r="G8337" s="3301" t="s">
        <v>679</v>
      </c>
      <c r="H8337" s="3063"/>
      <c r="I8337" s="3030"/>
    </row>
    <row r="8338" spans="2:9" ht="25.5">
      <c r="B8338" s="3192" t="s">
        <v>720</v>
      </c>
      <c r="C8338" s="3063"/>
      <c r="D8338" s="3064"/>
      <c r="E8338" s="3064"/>
      <c r="F8338" s="3064"/>
      <c r="G8338" s="3301" t="s">
        <v>720</v>
      </c>
      <c r="H8338" s="3063"/>
      <c r="I8338" s="3030"/>
    </row>
    <row r="8339" spans="2:9">
      <c r="B8339" s="3299" t="s">
        <v>67</v>
      </c>
      <c r="C8339" s="3063"/>
      <c r="D8339" s="3064"/>
      <c r="E8339" s="3064"/>
      <c r="F8339" s="3064"/>
      <c r="G8339" s="3300" t="s">
        <v>67</v>
      </c>
      <c r="H8339" s="3063"/>
      <c r="I8339" s="3030"/>
    </row>
    <row r="8340" spans="2:9" ht="25.5">
      <c r="B8340" s="3192" t="s">
        <v>675</v>
      </c>
      <c r="C8340" s="3063"/>
      <c r="D8340" s="3064"/>
      <c r="E8340" s="3064"/>
      <c r="F8340" s="3064"/>
      <c r="G8340" s="3301" t="s">
        <v>675</v>
      </c>
      <c r="H8340" s="3063"/>
      <c r="I8340" s="3030"/>
    </row>
    <row r="8341" spans="2:9" ht="25.5">
      <c r="B8341" s="3192" t="s">
        <v>676</v>
      </c>
      <c r="C8341" s="3063"/>
      <c r="D8341" s="3064"/>
      <c r="E8341" s="3064"/>
      <c r="F8341" s="3064"/>
      <c r="G8341" s="3301" t="s">
        <v>676</v>
      </c>
      <c r="H8341" s="3063"/>
      <c r="I8341" s="3030"/>
    </row>
    <row r="8342" spans="2:9">
      <c r="B8342" s="3192" t="s">
        <v>677</v>
      </c>
      <c r="C8342" s="3063"/>
      <c r="D8342" s="3064"/>
      <c r="E8342" s="3064"/>
      <c r="F8342" s="3064"/>
      <c r="G8342" s="3301" t="s">
        <v>677</v>
      </c>
      <c r="H8342" s="3063"/>
      <c r="I8342" s="3030"/>
    </row>
    <row r="8343" spans="2:9">
      <c r="B8343" s="3192" t="s">
        <v>678</v>
      </c>
      <c r="C8343" s="3063"/>
      <c r="D8343" s="3064"/>
      <c r="E8343" s="3064"/>
      <c r="F8343" s="3064"/>
      <c r="G8343" s="3301" t="s">
        <v>678</v>
      </c>
      <c r="H8343" s="3063"/>
      <c r="I8343" s="3030"/>
    </row>
    <row r="8344" spans="2:9">
      <c r="B8344" s="3192" t="s">
        <v>679</v>
      </c>
      <c r="C8344" s="3063"/>
      <c r="D8344" s="3064"/>
      <c r="E8344" s="3064"/>
      <c r="F8344" s="3064"/>
      <c r="G8344" s="3301" t="s">
        <v>679</v>
      </c>
      <c r="H8344" s="3063"/>
      <c r="I8344" s="3030"/>
    </row>
    <row r="8345" spans="2:9" ht="25.5">
      <c r="B8345" s="3192" t="s">
        <v>720</v>
      </c>
      <c r="C8345" s="3063"/>
      <c r="D8345" s="3064"/>
      <c r="E8345" s="3064"/>
      <c r="F8345" s="3064"/>
      <c r="G8345" s="3301" t="s">
        <v>720</v>
      </c>
      <c r="H8345" s="3063"/>
      <c r="I8345" s="3030"/>
    </row>
    <row r="8346" spans="2:9" ht="25.5">
      <c r="B8346" s="3230" t="s">
        <v>81</v>
      </c>
      <c r="C8346" s="3063"/>
      <c r="D8346" s="3064"/>
      <c r="E8346" s="3064"/>
      <c r="F8346" s="3064"/>
      <c r="G8346" s="3302" t="s">
        <v>81</v>
      </c>
      <c r="H8346" s="3063"/>
      <c r="I8346" s="3030"/>
    </row>
    <row r="8347" spans="2:9" ht="26.25" thickBot="1">
      <c r="B8347" s="3303" t="s">
        <v>81</v>
      </c>
      <c r="C8347" s="3063"/>
      <c r="D8347" s="3064"/>
      <c r="E8347" s="3064"/>
      <c r="F8347" s="3064"/>
      <c r="G8347" s="3302" t="s">
        <v>81</v>
      </c>
      <c r="H8347" s="3063"/>
      <c r="I8347" s="3030"/>
    </row>
    <row r="8348" spans="2:9" ht="25.5">
      <c r="B8348" s="3217" t="s">
        <v>696</v>
      </c>
      <c r="C8348" s="3218"/>
      <c r="D8348" s="3219"/>
      <c r="E8348" s="3219"/>
      <c r="F8348" s="3219"/>
      <c r="G8348" s="3217" t="s">
        <v>696</v>
      </c>
      <c r="H8348" s="3297"/>
      <c r="I8348" s="3298"/>
    </row>
    <row r="8349" spans="2:9">
      <c r="B8349" s="3299" t="s">
        <v>64</v>
      </c>
      <c r="C8349" s="3063"/>
      <c r="D8349" s="3064"/>
      <c r="E8349" s="3064"/>
      <c r="F8349" s="3064"/>
      <c r="G8349" s="3300" t="s">
        <v>64</v>
      </c>
      <c r="H8349" s="3063"/>
      <c r="I8349" s="3030"/>
    </row>
    <row r="8350" spans="2:9" ht="25.5">
      <c r="B8350" s="3192" t="s">
        <v>675</v>
      </c>
      <c r="C8350" s="3063"/>
      <c r="D8350" s="3064"/>
      <c r="E8350" s="3064"/>
      <c r="F8350" s="3064"/>
      <c r="G8350" s="3301" t="s">
        <v>675</v>
      </c>
      <c r="H8350" s="3063"/>
      <c r="I8350" s="3030"/>
    </row>
    <row r="8351" spans="2:9" ht="25.5">
      <c r="B8351" s="3192" t="s">
        <v>676</v>
      </c>
      <c r="C8351" s="3063"/>
      <c r="D8351" s="3064"/>
      <c r="E8351" s="3064"/>
      <c r="F8351" s="3064"/>
      <c r="G8351" s="3301" t="s">
        <v>676</v>
      </c>
      <c r="H8351" s="3063"/>
      <c r="I8351" s="3030"/>
    </row>
    <row r="8352" spans="2:9">
      <c r="B8352" s="3192" t="s">
        <v>677</v>
      </c>
      <c r="C8352" s="3063"/>
      <c r="D8352" s="3064"/>
      <c r="E8352" s="3064"/>
      <c r="F8352" s="3064"/>
      <c r="G8352" s="3301" t="s">
        <v>677</v>
      </c>
      <c r="H8352" s="3063"/>
      <c r="I8352" s="3030"/>
    </row>
    <row r="8353" spans="2:9">
      <c r="B8353" s="3192" t="s">
        <v>678</v>
      </c>
      <c r="C8353" s="3063"/>
      <c r="D8353" s="3064"/>
      <c r="E8353" s="3064"/>
      <c r="F8353" s="3064"/>
      <c r="G8353" s="3301" t="s">
        <v>678</v>
      </c>
      <c r="H8353" s="3063"/>
      <c r="I8353" s="3030"/>
    </row>
    <row r="8354" spans="2:9">
      <c r="B8354" s="3192" t="s">
        <v>679</v>
      </c>
      <c r="C8354" s="3063"/>
      <c r="D8354" s="3064"/>
      <c r="E8354" s="3064"/>
      <c r="F8354" s="3064"/>
      <c r="G8354" s="3301" t="s">
        <v>679</v>
      </c>
      <c r="H8354" s="3063"/>
      <c r="I8354" s="3030"/>
    </row>
    <row r="8355" spans="2:9" ht="25.5">
      <c r="B8355" s="3192" t="s">
        <v>720</v>
      </c>
      <c r="C8355" s="3063"/>
      <c r="D8355" s="3064"/>
      <c r="E8355" s="3064"/>
      <c r="F8355" s="3064"/>
      <c r="G8355" s="3301" t="s">
        <v>720</v>
      </c>
      <c r="H8355" s="3063"/>
      <c r="I8355" s="3030"/>
    </row>
    <row r="8356" spans="2:9">
      <c r="B8356" s="3299" t="s">
        <v>65</v>
      </c>
      <c r="C8356" s="3063"/>
      <c r="D8356" s="3064"/>
      <c r="E8356" s="3064"/>
      <c r="F8356" s="3064"/>
      <c r="G8356" s="3300" t="s">
        <v>65</v>
      </c>
      <c r="H8356" s="3063"/>
      <c r="I8356" s="3030"/>
    </row>
    <row r="8357" spans="2:9" ht="25.5">
      <c r="B8357" s="3192" t="s">
        <v>675</v>
      </c>
      <c r="C8357" s="3063"/>
      <c r="D8357" s="3064"/>
      <c r="E8357" s="3064"/>
      <c r="F8357" s="3064"/>
      <c r="G8357" s="3301" t="s">
        <v>675</v>
      </c>
      <c r="H8357" s="3063"/>
      <c r="I8357" s="3030"/>
    </row>
    <row r="8358" spans="2:9" ht="25.5">
      <c r="B8358" s="3192" t="s">
        <v>676</v>
      </c>
      <c r="C8358" s="3063"/>
      <c r="D8358" s="3064"/>
      <c r="E8358" s="3064"/>
      <c r="F8358" s="3064"/>
      <c r="G8358" s="3301" t="s">
        <v>676</v>
      </c>
      <c r="H8358" s="3063"/>
      <c r="I8358" s="3030"/>
    </row>
    <row r="8359" spans="2:9">
      <c r="B8359" s="3192" t="s">
        <v>677</v>
      </c>
      <c r="C8359" s="3063"/>
      <c r="D8359" s="3064"/>
      <c r="E8359" s="3064"/>
      <c r="F8359" s="3064"/>
      <c r="G8359" s="3301" t="s">
        <v>677</v>
      </c>
      <c r="H8359" s="3063"/>
      <c r="I8359" s="3030"/>
    </row>
    <row r="8360" spans="2:9">
      <c r="B8360" s="3192" t="s">
        <v>678</v>
      </c>
      <c r="C8360" s="3063"/>
      <c r="D8360" s="3064"/>
      <c r="E8360" s="3064"/>
      <c r="F8360" s="3064"/>
      <c r="G8360" s="3301" t="s">
        <v>678</v>
      </c>
      <c r="H8360" s="3063"/>
      <c r="I8360" s="3030"/>
    </row>
    <row r="8361" spans="2:9">
      <c r="B8361" s="3192" t="s">
        <v>679</v>
      </c>
      <c r="C8361" s="3063"/>
      <c r="D8361" s="3064"/>
      <c r="E8361" s="3064"/>
      <c r="F8361" s="3064"/>
      <c r="G8361" s="3301" t="s">
        <v>679</v>
      </c>
      <c r="H8361" s="3063"/>
      <c r="I8361" s="3030"/>
    </row>
    <row r="8362" spans="2:9" ht="25.5">
      <c r="B8362" s="3192" t="s">
        <v>720</v>
      </c>
      <c r="C8362" s="3063"/>
      <c r="D8362" s="3064"/>
      <c r="E8362" s="3064"/>
      <c r="F8362" s="3064"/>
      <c r="G8362" s="3301" t="s">
        <v>720</v>
      </c>
      <c r="H8362" s="3063"/>
      <c r="I8362" s="3030"/>
    </row>
    <row r="8363" spans="2:9">
      <c r="B8363" s="3299" t="s">
        <v>82</v>
      </c>
      <c r="C8363" s="3063"/>
      <c r="D8363" s="3064"/>
      <c r="E8363" s="3064"/>
      <c r="F8363" s="3064"/>
      <c r="G8363" s="3300" t="s">
        <v>82</v>
      </c>
      <c r="H8363" s="3063"/>
      <c r="I8363" s="3030"/>
    </row>
    <row r="8364" spans="2:9" ht="25.5">
      <c r="B8364" s="3192" t="s">
        <v>675</v>
      </c>
      <c r="C8364" s="3063"/>
      <c r="D8364" s="3064"/>
      <c r="E8364" s="3064"/>
      <c r="F8364" s="3064"/>
      <c r="G8364" s="3301" t="s">
        <v>675</v>
      </c>
      <c r="H8364" s="3063"/>
      <c r="I8364" s="3030"/>
    </row>
    <row r="8365" spans="2:9" ht="25.5">
      <c r="B8365" s="3192" t="s">
        <v>676</v>
      </c>
      <c r="C8365" s="3063"/>
      <c r="D8365" s="3064"/>
      <c r="E8365" s="3064"/>
      <c r="F8365" s="3064"/>
      <c r="G8365" s="3301" t="s">
        <v>676</v>
      </c>
      <c r="H8365" s="3063"/>
      <c r="I8365" s="3030"/>
    </row>
    <row r="8366" spans="2:9">
      <c r="B8366" s="3192" t="s">
        <v>677</v>
      </c>
      <c r="C8366" s="3063"/>
      <c r="D8366" s="3064"/>
      <c r="E8366" s="3064"/>
      <c r="F8366" s="3064"/>
      <c r="G8366" s="3301" t="s">
        <v>677</v>
      </c>
      <c r="H8366" s="3063"/>
      <c r="I8366" s="3030"/>
    </row>
    <row r="8367" spans="2:9">
      <c r="B8367" s="3192" t="s">
        <v>678</v>
      </c>
      <c r="C8367" s="3063"/>
      <c r="D8367" s="3064"/>
      <c r="E8367" s="3064"/>
      <c r="F8367" s="3064"/>
      <c r="G8367" s="3301" t="s">
        <v>678</v>
      </c>
      <c r="H8367" s="3063"/>
      <c r="I8367" s="3030"/>
    </row>
    <row r="8368" spans="2:9">
      <c r="B8368" s="3192" t="s">
        <v>679</v>
      </c>
      <c r="C8368" s="3063"/>
      <c r="D8368" s="3064"/>
      <c r="E8368" s="3064"/>
      <c r="F8368" s="3064"/>
      <c r="G8368" s="3301" t="s">
        <v>679</v>
      </c>
      <c r="H8368" s="3063"/>
      <c r="I8368" s="3030"/>
    </row>
    <row r="8369" spans="2:9" ht="25.5">
      <c r="B8369" s="3192" t="s">
        <v>720</v>
      </c>
      <c r="C8369" s="3063"/>
      <c r="D8369" s="3064"/>
      <c r="E8369" s="3064"/>
      <c r="F8369" s="3064"/>
      <c r="G8369" s="3301" t="s">
        <v>720</v>
      </c>
      <c r="H8369" s="3063"/>
      <c r="I8369" s="3030"/>
    </row>
    <row r="8370" spans="2:9" ht="38.25">
      <c r="B8370" s="3299" t="s">
        <v>680</v>
      </c>
      <c r="C8370" s="3063"/>
      <c r="D8370" s="3064"/>
      <c r="E8370" s="3064"/>
      <c r="F8370" s="3064"/>
      <c r="G8370" s="3300" t="s">
        <v>680</v>
      </c>
      <c r="H8370" s="3063"/>
      <c r="I8370" s="3030"/>
    </row>
    <row r="8371" spans="2:9" ht="25.5">
      <c r="B8371" s="3192" t="s">
        <v>675</v>
      </c>
      <c r="C8371" s="3063"/>
      <c r="D8371" s="3064"/>
      <c r="E8371" s="3064"/>
      <c r="F8371" s="3064"/>
      <c r="G8371" s="3301" t="s">
        <v>675</v>
      </c>
      <c r="H8371" s="3063"/>
      <c r="I8371" s="3030"/>
    </row>
    <row r="8372" spans="2:9" ht="25.5">
      <c r="B8372" s="3192" t="s">
        <v>676</v>
      </c>
      <c r="C8372" s="3063"/>
      <c r="D8372" s="3064"/>
      <c r="E8372" s="3064"/>
      <c r="F8372" s="3064"/>
      <c r="G8372" s="3301" t="s">
        <v>676</v>
      </c>
      <c r="H8372" s="3063"/>
      <c r="I8372" s="3030"/>
    </row>
    <row r="8373" spans="2:9">
      <c r="B8373" s="3192" t="s">
        <v>677</v>
      </c>
      <c r="C8373" s="3063"/>
      <c r="D8373" s="3064"/>
      <c r="E8373" s="3064"/>
      <c r="F8373" s="3064"/>
      <c r="G8373" s="3301" t="s">
        <v>677</v>
      </c>
      <c r="H8373" s="3063"/>
      <c r="I8373" s="3030"/>
    </row>
    <row r="8374" spans="2:9">
      <c r="B8374" s="3192" t="s">
        <v>678</v>
      </c>
      <c r="C8374" s="3063"/>
      <c r="D8374" s="3064"/>
      <c r="E8374" s="3064"/>
      <c r="F8374" s="3064"/>
      <c r="G8374" s="3301" t="s">
        <v>678</v>
      </c>
      <c r="H8374" s="3063"/>
      <c r="I8374" s="3030"/>
    </row>
    <row r="8375" spans="2:9">
      <c r="B8375" s="3192" t="s">
        <v>679</v>
      </c>
      <c r="C8375" s="3063"/>
      <c r="D8375" s="3064"/>
      <c r="E8375" s="3064"/>
      <c r="F8375" s="3064"/>
      <c r="G8375" s="3301" t="s">
        <v>679</v>
      </c>
      <c r="H8375" s="3063"/>
      <c r="I8375" s="3030"/>
    </row>
    <row r="8376" spans="2:9" ht="25.5">
      <c r="B8376" s="3192" t="s">
        <v>720</v>
      </c>
      <c r="C8376" s="3063"/>
      <c r="D8376" s="3064"/>
      <c r="E8376" s="3064"/>
      <c r="F8376" s="3064"/>
      <c r="G8376" s="3301" t="s">
        <v>720</v>
      </c>
      <c r="H8376" s="3063"/>
      <c r="I8376" s="3030"/>
    </row>
    <row r="8377" spans="2:9" ht="38.25">
      <c r="B8377" s="3299" t="s">
        <v>681</v>
      </c>
      <c r="C8377" s="3063"/>
      <c r="D8377" s="3064"/>
      <c r="E8377" s="3064"/>
      <c r="F8377" s="3064"/>
      <c r="G8377" s="3300" t="s">
        <v>681</v>
      </c>
      <c r="H8377" s="3063"/>
      <c r="I8377" s="3030"/>
    </row>
    <row r="8378" spans="2:9" ht="25.5">
      <c r="B8378" s="3192" t="s">
        <v>675</v>
      </c>
      <c r="C8378" s="3063"/>
      <c r="D8378" s="3064"/>
      <c r="E8378" s="3064"/>
      <c r="F8378" s="3064"/>
      <c r="G8378" s="3301" t="s">
        <v>675</v>
      </c>
      <c r="H8378" s="3063"/>
      <c r="I8378" s="3030"/>
    </row>
    <row r="8379" spans="2:9" ht="25.5">
      <c r="B8379" s="3192" t="s">
        <v>676</v>
      </c>
      <c r="C8379" s="3063"/>
      <c r="D8379" s="3064"/>
      <c r="E8379" s="3064"/>
      <c r="F8379" s="3064"/>
      <c r="G8379" s="3301" t="s">
        <v>676</v>
      </c>
      <c r="H8379" s="3063"/>
      <c r="I8379" s="3030"/>
    </row>
    <row r="8380" spans="2:9">
      <c r="B8380" s="3192" t="s">
        <v>677</v>
      </c>
      <c r="C8380" s="3063"/>
      <c r="D8380" s="3064"/>
      <c r="E8380" s="3064"/>
      <c r="F8380" s="3064"/>
      <c r="G8380" s="3301" t="s">
        <v>677</v>
      </c>
      <c r="H8380" s="3063"/>
      <c r="I8380" s="3030"/>
    </row>
    <row r="8381" spans="2:9">
      <c r="B8381" s="3192" t="s">
        <v>678</v>
      </c>
      <c r="C8381" s="3063"/>
      <c r="D8381" s="3064"/>
      <c r="E8381" s="3064"/>
      <c r="F8381" s="3064"/>
      <c r="G8381" s="3301" t="s">
        <v>678</v>
      </c>
      <c r="H8381" s="3063"/>
      <c r="I8381" s="3030"/>
    </row>
    <row r="8382" spans="2:9">
      <c r="B8382" s="3192" t="s">
        <v>679</v>
      </c>
      <c r="C8382" s="3063"/>
      <c r="D8382" s="3064"/>
      <c r="E8382" s="3064"/>
      <c r="F8382" s="3064"/>
      <c r="G8382" s="3301" t="s">
        <v>679</v>
      </c>
      <c r="H8382" s="3063"/>
      <c r="I8382" s="3030"/>
    </row>
    <row r="8383" spans="2:9" ht="25.5">
      <c r="B8383" s="3192" t="s">
        <v>720</v>
      </c>
      <c r="C8383" s="3063"/>
      <c r="D8383" s="3064"/>
      <c r="E8383" s="3064"/>
      <c r="F8383" s="3064"/>
      <c r="G8383" s="3301" t="s">
        <v>720</v>
      </c>
      <c r="H8383" s="3063"/>
      <c r="I8383" s="3030"/>
    </row>
    <row r="8384" spans="2:9" ht="25.5">
      <c r="B8384" s="3299" t="s">
        <v>682</v>
      </c>
      <c r="C8384" s="3063"/>
      <c r="D8384" s="3064"/>
      <c r="E8384" s="3064"/>
      <c r="F8384" s="3064"/>
      <c r="G8384" s="3300" t="s">
        <v>682</v>
      </c>
      <c r="H8384" s="3063"/>
      <c r="I8384" s="3030"/>
    </row>
    <row r="8385" spans="2:9" ht="25.5">
      <c r="B8385" s="3192" t="s">
        <v>675</v>
      </c>
      <c r="C8385" s="3063"/>
      <c r="D8385" s="3064"/>
      <c r="E8385" s="3064"/>
      <c r="F8385" s="3064"/>
      <c r="G8385" s="3301" t="s">
        <v>675</v>
      </c>
      <c r="H8385" s="3063"/>
      <c r="I8385" s="3030"/>
    </row>
    <row r="8386" spans="2:9" ht="25.5">
      <c r="B8386" s="3192" t="s">
        <v>676</v>
      </c>
      <c r="C8386" s="3063"/>
      <c r="D8386" s="3064"/>
      <c r="E8386" s="3064"/>
      <c r="F8386" s="3064"/>
      <c r="G8386" s="3301" t="s">
        <v>676</v>
      </c>
      <c r="H8386" s="3063"/>
      <c r="I8386" s="3030"/>
    </row>
    <row r="8387" spans="2:9">
      <c r="B8387" s="3192" t="s">
        <v>677</v>
      </c>
      <c r="C8387" s="3063"/>
      <c r="D8387" s="3064"/>
      <c r="E8387" s="3064"/>
      <c r="F8387" s="3064"/>
      <c r="G8387" s="3301" t="s">
        <v>677</v>
      </c>
      <c r="H8387" s="3063"/>
      <c r="I8387" s="3030"/>
    </row>
    <row r="8388" spans="2:9">
      <c r="B8388" s="3192" t="s">
        <v>678</v>
      </c>
      <c r="C8388" s="3063"/>
      <c r="D8388" s="3064"/>
      <c r="E8388" s="3064"/>
      <c r="F8388" s="3064"/>
      <c r="G8388" s="3301" t="s">
        <v>678</v>
      </c>
      <c r="H8388" s="3063"/>
      <c r="I8388" s="3030"/>
    </row>
    <row r="8389" spans="2:9">
      <c r="B8389" s="3192" t="s">
        <v>679</v>
      </c>
      <c r="C8389" s="3063"/>
      <c r="D8389" s="3064"/>
      <c r="E8389" s="3064"/>
      <c r="F8389" s="3064"/>
      <c r="G8389" s="3301" t="s">
        <v>679</v>
      </c>
      <c r="H8389" s="3063"/>
      <c r="I8389" s="3030"/>
    </row>
    <row r="8390" spans="2:9" ht="25.5">
      <c r="B8390" s="3192" t="s">
        <v>720</v>
      </c>
      <c r="C8390" s="3063"/>
      <c r="D8390" s="3064"/>
      <c r="E8390" s="3064"/>
      <c r="F8390" s="3064"/>
      <c r="G8390" s="3301" t="s">
        <v>720</v>
      </c>
      <c r="H8390" s="3063"/>
      <c r="I8390" s="3030"/>
    </row>
    <row r="8391" spans="2:9" ht="25.5">
      <c r="B8391" s="3299" t="s">
        <v>66</v>
      </c>
      <c r="C8391" s="3063"/>
      <c r="D8391" s="3064"/>
      <c r="E8391" s="3064"/>
      <c r="F8391" s="3064"/>
      <c r="G8391" s="3300" t="s">
        <v>66</v>
      </c>
      <c r="H8391" s="3063"/>
      <c r="I8391" s="3030"/>
    </row>
    <row r="8392" spans="2:9" ht="25.5">
      <c r="B8392" s="3192" t="s">
        <v>675</v>
      </c>
      <c r="C8392" s="3063"/>
      <c r="D8392" s="3064"/>
      <c r="E8392" s="3064"/>
      <c r="F8392" s="3064"/>
      <c r="G8392" s="3301" t="s">
        <v>675</v>
      </c>
      <c r="H8392" s="3063"/>
      <c r="I8392" s="3030"/>
    </row>
    <row r="8393" spans="2:9" ht="25.5">
      <c r="B8393" s="3192" t="s">
        <v>676</v>
      </c>
      <c r="C8393" s="3063"/>
      <c r="D8393" s="3064"/>
      <c r="E8393" s="3064"/>
      <c r="F8393" s="3064"/>
      <c r="G8393" s="3301" t="s">
        <v>676</v>
      </c>
      <c r="H8393" s="3063"/>
      <c r="I8393" s="3030"/>
    </row>
    <row r="8394" spans="2:9">
      <c r="B8394" s="3192" t="s">
        <v>677</v>
      </c>
      <c r="C8394" s="3063"/>
      <c r="D8394" s="3064"/>
      <c r="E8394" s="3064"/>
      <c r="F8394" s="3064"/>
      <c r="G8394" s="3301" t="s">
        <v>677</v>
      </c>
      <c r="H8394" s="3063"/>
      <c r="I8394" s="3030"/>
    </row>
    <row r="8395" spans="2:9">
      <c r="B8395" s="3192" t="s">
        <v>678</v>
      </c>
      <c r="C8395" s="3063"/>
      <c r="D8395" s="3064"/>
      <c r="E8395" s="3064"/>
      <c r="F8395" s="3064"/>
      <c r="G8395" s="3301" t="s">
        <v>678</v>
      </c>
      <c r="H8395" s="3063"/>
      <c r="I8395" s="3030"/>
    </row>
    <row r="8396" spans="2:9">
      <c r="B8396" s="3192" t="s">
        <v>679</v>
      </c>
      <c r="C8396" s="3063"/>
      <c r="D8396" s="3064"/>
      <c r="E8396" s="3064"/>
      <c r="F8396" s="3064"/>
      <c r="G8396" s="3301" t="s">
        <v>679</v>
      </c>
      <c r="H8396" s="3063"/>
      <c r="I8396" s="3030"/>
    </row>
    <row r="8397" spans="2:9" ht="25.5">
      <c r="B8397" s="3192" t="s">
        <v>720</v>
      </c>
      <c r="C8397" s="3063"/>
      <c r="D8397" s="3064"/>
      <c r="E8397" s="3064"/>
      <c r="F8397" s="3064"/>
      <c r="G8397" s="3301" t="s">
        <v>720</v>
      </c>
      <c r="H8397" s="3063"/>
      <c r="I8397" s="3030"/>
    </row>
    <row r="8398" spans="2:9">
      <c r="B8398" s="3299" t="s">
        <v>67</v>
      </c>
      <c r="C8398" s="3063"/>
      <c r="D8398" s="3064"/>
      <c r="E8398" s="3064"/>
      <c r="F8398" s="3064"/>
      <c r="G8398" s="3300" t="s">
        <v>67</v>
      </c>
      <c r="H8398" s="3063"/>
      <c r="I8398" s="3030"/>
    </row>
    <row r="8399" spans="2:9" ht="25.5">
      <c r="B8399" s="3192" t="s">
        <v>675</v>
      </c>
      <c r="C8399" s="3063"/>
      <c r="D8399" s="3064"/>
      <c r="E8399" s="3064"/>
      <c r="F8399" s="3064"/>
      <c r="G8399" s="3301" t="s">
        <v>675</v>
      </c>
      <c r="H8399" s="3063"/>
      <c r="I8399" s="3030"/>
    </row>
    <row r="8400" spans="2:9" ht="25.5">
      <c r="B8400" s="3192" t="s">
        <v>676</v>
      </c>
      <c r="C8400" s="3063"/>
      <c r="D8400" s="3064"/>
      <c r="E8400" s="3064"/>
      <c r="F8400" s="3064"/>
      <c r="G8400" s="3301" t="s">
        <v>676</v>
      </c>
      <c r="H8400" s="3063"/>
      <c r="I8400" s="3030"/>
    </row>
    <row r="8401" spans="2:9">
      <c r="B8401" s="3192" t="s">
        <v>677</v>
      </c>
      <c r="C8401" s="3063"/>
      <c r="D8401" s="3064"/>
      <c r="E8401" s="3064"/>
      <c r="F8401" s="3064"/>
      <c r="G8401" s="3301" t="s">
        <v>677</v>
      </c>
      <c r="H8401" s="3063"/>
      <c r="I8401" s="3030"/>
    </row>
    <row r="8402" spans="2:9">
      <c r="B8402" s="3192" t="s">
        <v>678</v>
      </c>
      <c r="C8402" s="3063"/>
      <c r="D8402" s="3064"/>
      <c r="E8402" s="3064"/>
      <c r="F8402" s="3064"/>
      <c r="G8402" s="3301" t="s">
        <v>678</v>
      </c>
      <c r="H8402" s="3063"/>
      <c r="I8402" s="3030"/>
    </row>
    <row r="8403" spans="2:9">
      <c r="B8403" s="3192" t="s">
        <v>679</v>
      </c>
      <c r="C8403" s="3063"/>
      <c r="D8403" s="3064"/>
      <c r="E8403" s="3064"/>
      <c r="F8403" s="3064"/>
      <c r="G8403" s="3301" t="s">
        <v>679</v>
      </c>
      <c r="H8403" s="3063"/>
      <c r="I8403" s="3030"/>
    </row>
    <row r="8404" spans="2:9" ht="25.5">
      <c r="B8404" s="3230" t="s">
        <v>81</v>
      </c>
      <c r="C8404" s="3063"/>
      <c r="D8404" s="3064"/>
      <c r="E8404" s="3064"/>
      <c r="F8404" s="3064"/>
      <c r="G8404" s="3302" t="s">
        <v>81</v>
      </c>
      <c r="H8404" s="3063"/>
      <c r="I8404" s="3030"/>
    </row>
    <row r="8405" spans="2:9" ht="26.25" thickBot="1">
      <c r="B8405" s="3303" t="s">
        <v>81</v>
      </c>
      <c r="C8405" s="3063"/>
      <c r="D8405" s="3064"/>
      <c r="E8405" s="3064"/>
      <c r="F8405" s="3064"/>
      <c r="G8405" s="3302" t="s">
        <v>81</v>
      </c>
      <c r="H8405" s="3063"/>
      <c r="I8405" s="3030"/>
    </row>
    <row r="8406" spans="2:9">
      <c r="B8406" s="3217" t="s">
        <v>697</v>
      </c>
      <c r="C8406" s="3218"/>
      <c r="D8406" s="3219"/>
      <c r="E8406" s="3219"/>
      <c r="F8406" s="3219"/>
      <c r="G8406" s="3217" t="s">
        <v>697</v>
      </c>
      <c r="H8406" s="3297"/>
      <c r="I8406" s="3298"/>
    </row>
    <row r="8407" spans="2:9">
      <c r="B8407" s="3299" t="s">
        <v>64</v>
      </c>
      <c r="C8407" s="3063"/>
      <c r="D8407" s="3064"/>
      <c r="E8407" s="3064"/>
      <c r="F8407" s="3064"/>
      <c r="G8407" s="3300" t="s">
        <v>64</v>
      </c>
      <c r="H8407" s="3063"/>
      <c r="I8407" s="3030"/>
    </row>
    <row r="8408" spans="2:9" ht="25.5">
      <c r="B8408" s="3192" t="s">
        <v>675</v>
      </c>
      <c r="C8408" s="3063"/>
      <c r="D8408" s="3064"/>
      <c r="E8408" s="3064"/>
      <c r="F8408" s="3064"/>
      <c r="G8408" s="3301" t="s">
        <v>675</v>
      </c>
      <c r="H8408" s="3063"/>
      <c r="I8408" s="3030"/>
    </row>
    <row r="8409" spans="2:9" ht="25.5">
      <c r="B8409" s="3192" t="s">
        <v>676</v>
      </c>
      <c r="C8409" s="3063"/>
      <c r="D8409" s="3064"/>
      <c r="E8409" s="3064"/>
      <c r="F8409" s="3064"/>
      <c r="G8409" s="3301" t="s">
        <v>676</v>
      </c>
      <c r="H8409" s="3063"/>
      <c r="I8409" s="3030"/>
    </row>
    <row r="8410" spans="2:9">
      <c r="B8410" s="3192" t="s">
        <v>677</v>
      </c>
      <c r="C8410" s="3063"/>
      <c r="D8410" s="3064"/>
      <c r="E8410" s="3064"/>
      <c r="F8410" s="3064"/>
      <c r="G8410" s="3301" t="s">
        <v>677</v>
      </c>
      <c r="H8410" s="3063"/>
      <c r="I8410" s="3030"/>
    </row>
    <row r="8411" spans="2:9">
      <c r="B8411" s="3192" t="s">
        <v>678</v>
      </c>
      <c r="C8411" s="3063"/>
      <c r="D8411" s="3064"/>
      <c r="E8411" s="3064"/>
      <c r="F8411" s="3064"/>
      <c r="G8411" s="3301" t="s">
        <v>678</v>
      </c>
      <c r="H8411" s="3063"/>
      <c r="I8411" s="3030"/>
    </row>
    <row r="8412" spans="2:9">
      <c r="B8412" s="3192" t="s">
        <v>679</v>
      </c>
      <c r="C8412" s="3063"/>
      <c r="D8412" s="3064"/>
      <c r="E8412" s="3064"/>
      <c r="F8412" s="3064"/>
      <c r="G8412" s="3301" t="s">
        <v>679</v>
      </c>
      <c r="H8412" s="3063"/>
      <c r="I8412" s="3030"/>
    </row>
    <row r="8413" spans="2:9" ht="25.5">
      <c r="B8413" s="3192" t="s">
        <v>720</v>
      </c>
      <c r="C8413" s="3063"/>
      <c r="D8413" s="3064"/>
      <c r="E8413" s="3064"/>
      <c r="F8413" s="3064"/>
      <c r="G8413" s="3301" t="s">
        <v>720</v>
      </c>
      <c r="H8413" s="3063"/>
      <c r="I8413" s="3030"/>
    </row>
    <row r="8414" spans="2:9">
      <c r="B8414" s="3299" t="s">
        <v>65</v>
      </c>
      <c r="C8414" s="3063"/>
      <c r="D8414" s="3064"/>
      <c r="E8414" s="3064"/>
      <c r="F8414" s="3064"/>
      <c r="G8414" s="3300" t="s">
        <v>65</v>
      </c>
      <c r="H8414" s="3063"/>
      <c r="I8414" s="3030"/>
    </row>
    <row r="8415" spans="2:9" ht="25.5">
      <c r="B8415" s="3192" t="s">
        <v>675</v>
      </c>
      <c r="C8415" s="3063"/>
      <c r="D8415" s="3064"/>
      <c r="E8415" s="3064"/>
      <c r="F8415" s="3064"/>
      <c r="G8415" s="3301" t="s">
        <v>675</v>
      </c>
      <c r="H8415" s="3063"/>
      <c r="I8415" s="3030"/>
    </row>
    <row r="8416" spans="2:9" ht="25.5">
      <c r="B8416" s="3192" t="s">
        <v>676</v>
      </c>
      <c r="C8416" s="3063"/>
      <c r="D8416" s="3064"/>
      <c r="E8416" s="3064"/>
      <c r="F8416" s="3064"/>
      <c r="G8416" s="3301" t="s">
        <v>676</v>
      </c>
      <c r="H8416" s="3063"/>
      <c r="I8416" s="3030"/>
    </row>
    <row r="8417" spans="2:9">
      <c r="B8417" s="3192" t="s">
        <v>677</v>
      </c>
      <c r="C8417" s="3063"/>
      <c r="D8417" s="3064"/>
      <c r="E8417" s="3064"/>
      <c r="F8417" s="3064"/>
      <c r="G8417" s="3301" t="s">
        <v>677</v>
      </c>
      <c r="H8417" s="3063"/>
      <c r="I8417" s="3030"/>
    </row>
    <row r="8418" spans="2:9">
      <c r="B8418" s="3192" t="s">
        <v>678</v>
      </c>
      <c r="C8418" s="3063"/>
      <c r="D8418" s="3064"/>
      <c r="E8418" s="3064"/>
      <c r="F8418" s="3064"/>
      <c r="G8418" s="3301" t="s">
        <v>678</v>
      </c>
      <c r="H8418" s="3063"/>
      <c r="I8418" s="3030"/>
    </row>
    <row r="8419" spans="2:9">
      <c r="B8419" s="3192" t="s">
        <v>679</v>
      </c>
      <c r="C8419" s="3063"/>
      <c r="D8419" s="3064"/>
      <c r="E8419" s="3064"/>
      <c r="F8419" s="3064"/>
      <c r="G8419" s="3301" t="s">
        <v>679</v>
      </c>
      <c r="H8419" s="3063"/>
      <c r="I8419" s="3030"/>
    </row>
    <row r="8420" spans="2:9" ht="25.5">
      <c r="B8420" s="3192" t="s">
        <v>720</v>
      </c>
      <c r="C8420" s="3063"/>
      <c r="D8420" s="3064"/>
      <c r="E8420" s="3064"/>
      <c r="F8420" s="3064"/>
      <c r="G8420" s="3301" t="s">
        <v>720</v>
      </c>
      <c r="H8420" s="3063"/>
      <c r="I8420" s="3030"/>
    </row>
    <row r="8421" spans="2:9">
      <c r="B8421" s="3299" t="s">
        <v>82</v>
      </c>
      <c r="C8421" s="3063"/>
      <c r="D8421" s="3064"/>
      <c r="E8421" s="3064"/>
      <c r="F8421" s="3064"/>
      <c r="G8421" s="3300" t="s">
        <v>82</v>
      </c>
      <c r="H8421" s="3063"/>
      <c r="I8421" s="3030"/>
    </row>
    <row r="8422" spans="2:9" ht="25.5">
      <c r="B8422" s="3192" t="s">
        <v>675</v>
      </c>
      <c r="C8422" s="3063"/>
      <c r="D8422" s="3064"/>
      <c r="E8422" s="3064"/>
      <c r="F8422" s="3064"/>
      <c r="G8422" s="3301" t="s">
        <v>675</v>
      </c>
      <c r="H8422" s="3063"/>
      <c r="I8422" s="3030"/>
    </row>
    <row r="8423" spans="2:9" ht="25.5">
      <c r="B8423" s="3192" t="s">
        <v>676</v>
      </c>
      <c r="C8423" s="3063"/>
      <c r="D8423" s="3064"/>
      <c r="E8423" s="3064"/>
      <c r="F8423" s="3064"/>
      <c r="G8423" s="3301" t="s">
        <v>676</v>
      </c>
      <c r="H8423" s="3063"/>
      <c r="I8423" s="3030"/>
    </row>
    <row r="8424" spans="2:9">
      <c r="B8424" s="3192" t="s">
        <v>677</v>
      </c>
      <c r="C8424" s="3063"/>
      <c r="D8424" s="3064"/>
      <c r="E8424" s="3064"/>
      <c r="F8424" s="3064"/>
      <c r="G8424" s="3301" t="s">
        <v>677</v>
      </c>
      <c r="H8424" s="3063"/>
      <c r="I8424" s="3030"/>
    </row>
    <row r="8425" spans="2:9">
      <c r="B8425" s="3192" t="s">
        <v>678</v>
      </c>
      <c r="C8425" s="3063"/>
      <c r="D8425" s="3064"/>
      <c r="E8425" s="3064"/>
      <c r="F8425" s="3064"/>
      <c r="G8425" s="3301" t="s">
        <v>678</v>
      </c>
      <c r="H8425" s="3063"/>
      <c r="I8425" s="3030"/>
    </row>
    <row r="8426" spans="2:9">
      <c r="B8426" s="3192" t="s">
        <v>679</v>
      </c>
      <c r="C8426" s="3063"/>
      <c r="D8426" s="3064"/>
      <c r="E8426" s="3064"/>
      <c r="F8426" s="3064"/>
      <c r="G8426" s="3301" t="s">
        <v>679</v>
      </c>
      <c r="H8426" s="3063"/>
      <c r="I8426" s="3030"/>
    </row>
    <row r="8427" spans="2:9" ht="25.5">
      <c r="B8427" s="3192" t="s">
        <v>720</v>
      </c>
      <c r="C8427" s="3063"/>
      <c r="D8427" s="3064"/>
      <c r="E8427" s="3064"/>
      <c r="F8427" s="3064"/>
      <c r="G8427" s="3301" t="s">
        <v>720</v>
      </c>
      <c r="H8427" s="3063"/>
      <c r="I8427" s="3030"/>
    </row>
    <row r="8428" spans="2:9" ht="38.25">
      <c r="B8428" s="3299" t="s">
        <v>680</v>
      </c>
      <c r="C8428" s="3063"/>
      <c r="D8428" s="3064"/>
      <c r="E8428" s="3064"/>
      <c r="F8428" s="3064"/>
      <c r="G8428" s="3300" t="s">
        <v>680</v>
      </c>
      <c r="H8428" s="3063"/>
      <c r="I8428" s="3030"/>
    </row>
    <row r="8429" spans="2:9" ht="25.5">
      <c r="B8429" s="3192" t="s">
        <v>675</v>
      </c>
      <c r="C8429" s="3063"/>
      <c r="D8429" s="3064"/>
      <c r="E8429" s="3064"/>
      <c r="F8429" s="3064"/>
      <c r="G8429" s="3301" t="s">
        <v>675</v>
      </c>
      <c r="H8429" s="3063"/>
      <c r="I8429" s="3030"/>
    </row>
    <row r="8430" spans="2:9" ht="25.5">
      <c r="B8430" s="3192" t="s">
        <v>676</v>
      </c>
      <c r="C8430" s="3063"/>
      <c r="D8430" s="3064"/>
      <c r="E8430" s="3064"/>
      <c r="F8430" s="3064"/>
      <c r="G8430" s="3301" t="s">
        <v>676</v>
      </c>
      <c r="H8430" s="3063"/>
      <c r="I8430" s="3030"/>
    </row>
    <row r="8431" spans="2:9">
      <c r="B8431" s="3192" t="s">
        <v>677</v>
      </c>
      <c r="C8431" s="3063"/>
      <c r="D8431" s="3064"/>
      <c r="E8431" s="3064"/>
      <c r="F8431" s="3064"/>
      <c r="G8431" s="3301" t="s">
        <v>677</v>
      </c>
      <c r="H8431" s="3063"/>
      <c r="I8431" s="3030"/>
    </row>
    <row r="8432" spans="2:9">
      <c r="B8432" s="3192" t="s">
        <v>678</v>
      </c>
      <c r="C8432" s="3063"/>
      <c r="D8432" s="3064"/>
      <c r="E8432" s="3064"/>
      <c r="F8432" s="3064"/>
      <c r="G8432" s="3301" t="s">
        <v>678</v>
      </c>
      <c r="H8432" s="3063"/>
      <c r="I8432" s="3030"/>
    </row>
    <row r="8433" spans="2:9">
      <c r="B8433" s="3192" t="s">
        <v>679</v>
      </c>
      <c r="C8433" s="3063"/>
      <c r="D8433" s="3064"/>
      <c r="E8433" s="3064"/>
      <c r="F8433" s="3064"/>
      <c r="G8433" s="3301" t="s">
        <v>679</v>
      </c>
      <c r="H8433" s="3063"/>
      <c r="I8433" s="3030"/>
    </row>
    <row r="8434" spans="2:9" ht="25.5">
      <c r="B8434" s="3192" t="s">
        <v>720</v>
      </c>
      <c r="C8434" s="3063"/>
      <c r="D8434" s="3064"/>
      <c r="E8434" s="3064"/>
      <c r="F8434" s="3064"/>
      <c r="G8434" s="3301" t="s">
        <v>720</v>
      </c>
      <c r="H8434" s="3063"/>
      <c r="I8434" s="3030"/>
    </row>
    <row r="8435" spans="2:9" ht="38.25">
      <c r="B8435" s="3299" t="s">
        <v>681</v>
      </c>
      <c r="C8435" s="3063"/>
      <c r="D8435" s="3064"/>
      <c r="E8435" s="3064"/>
      <c r="F8435" s="3064">
        <v>1</v>
      </c>
      <c r="G8435" s="3300" t="s">
        <v>681</v>
      </c>
      <c r="H8435" s="3063">
        <v>1.5364560457209958E-2</v>
      </c>
      <c r="I8435" s="3030"/>
    </row>
    <row r="8436" spans="2:9" ht="25.5">
      <c r="B8436" s="3192" t="s">
        <v>675</v>
      </c>
      <c r="C8436" s="3063"/>
      <c r="D8436" s="3064"/>
      <c r="E8436" s="3064"/>
      <c r="F8436" s="3064"/>
      <c r="G8436" s="3301" t="s">
        <v>675</v>
      </c>
      <c r="H8436" s="3063"/>
      <c r="I8436" s="3030"/>
    </row>
    <row r="8437" spans="2:9" ht="25.5">
      <c r="B8437" s="3192" t="s">
        <v>676</v>
      </c>
      <c r="C8437" s="3063"/>
      <c r="D8437" s="3064"/>
      <c r="E8437" s="3064"/>
      <c r="F8437" s="3064"/>
      <c r="G8437" s="3301" t="s">
        <v>676</v>
      </c>
      <c r="H8437" s="3063"/>
      <c r="I8437" s="3030"/>
    </row>
    <row r="8438" spans="2:9">
      <c r="B8438" s="3192" t="s">
        <v>677</v>
      </c>
      <c r="C8438" s="3063"/>
      <c r="D8438" s="3064"/>
      <c r="E8438" s="3064"/>
      <c r="F8438" s="3064"/>
      <c r="G8438" s="3301" t="s">
        <v>677</v>
      </c>
      <c r="H8438" s="3063"/>
      <c r="I8438" s="3030"/>
    </row>
    <row r="8439" spans="2:9">
      <c r="B8439" s="3192" t="s">
        <v>678</v>
      </c>
      <c r="C8439" s="3063"/>
      <c r="D8439" s="3064"/>
      <c r="E8439" s="3064"/>
      <c r="F8439" s="3064"/>
      <c r="G8439" s="3301" t="s">
        <v>678</v>
      </c>
      <c r="H8439" s="3063"/>
      <c r="I8439" s="3030"/>
    </row>
    <row r="8440" spans="2:9">
      <c r="B8440" s="3192" t="s">
        <v>679</v>
      </c>
      <c r="C8440" s="3063">
        <v>2</v>
      </c>
      <c r="D8440" s="3064">
        <v>1</v>
      </c>
      <c r="E8440" s="3064"/>
      <c r="F8440" s="3064"/>
      <c r="G8440" s="3301" t="s">
        <v>679</v>
      </c>
      <c r="H8440" s="3063"/>
      <c r="I8440" s="3030"/>
    </row>
    <row r="8441" spans="2:9" ht="25.5">
      <c r="B8441" s="3192" t="s">
        <v>720</v>
      </c>
      <c r="C8441" s="3063"/>
      <c r="D8441" s="3064"/>
      <c r="E8441" s="3064"/>
      <c r="F8441" s="3064"/>
      <c r="G8441" s="3301" t="s">
        <v>720</v>
      </c>
      <c r="H8441" s="3063"/>
      <c r="I8441" s="3030"/>
    </row>
    <row r="8442" spans="2:9" ht="25.5">
      <c r="B8442" s="3299" t="s">
        <v>682</v>
      </c>
      <c r="C8442" s="3063"/>
      <c r="D8442" s="3064"/>
      <c r="E8442" s="3064"/>
      <c r="F8442" s="3064"/>
      <c r="G8442" s="3300" t="s">
        <v>682</v>
      </c>
      <c r="H8442" s="3063"/>
      <c r="I8442" s="3030"/>
    </row>
    <row r="8443" spans="2:9" ht="25.5">
      <c r="B8443" s="3192" t="s">
        <v>675</v>
      </c>
      <c r="C8443" s="3063"/>
      <c r="D8443" s="3064"/>
      <c r="E8443" s="3064"/>
      <c r="F8443" s="3064"/>
      <c r="G8443" s="3301" t="s">
        <v>675</v>
      </c>
      <c r="H8443" s="3063"/>
      <c r="I8443" s="3030"/>
    </row>
    <row r="8444" spans="2:9" ht="25.5">
      <c r="B8444" s="3192" t="s">
        <v>676</v>
      </c>
      <c r="C8444" s="3063"/>
      <c r="D8444" s="3064"/>
      <c r="E8444" s="3064"/>
      <c r="F8444" s="3064"/>
      <c r="G8444" s="3301" t="s">
        <v>676</v>
      </c>
      <c r="H8444" s="3063"/>
      <c r="I8444" s="3030"/>
    </row>
    <row r="8445" spans="2:9">
      <c r="B8445" s="3192" t="s">
        <v>677</v>
      </c>
      <c r="C8445" s="3063"/>
      <c r="D8445" s="3064"/>
      <c r="E8445" s="3064"/>
      <c r="F8445" s="3064"/>
      <c r="G8445" s="3301" t="s">
        <v>677</v>
      </c>
      <c r="H8445" s="3063"/>
      <c r="I8445" s="3030"/>
    </row>
    <row r="8446" spans="2:9">
      <c r="B8446" s="3192" t="s">
        <v>678</v>
      </c>
      <c r="C8446" s="3063"/>
      <c r="D8446" s="3064"/>
      <c r="E8446" s="3064"/>
      <c r="F8446" s="3064"/>
      <c r="G8446" s="3301" t="s">
        <v>678</v>
      </c>
      <c r="H8446" s="3063"/>
      <c r="I8446" s="3030"/>
    </row>
    <row r="8447" spans="2:9">
      <c r="B8447" s="3192" t="s">
        <v>679</v>
      </c>
      <c r="C8447" s="3063"/>
      <c r="D8447" s="3064"/>
      <c r="E8447" s="3064"/>
      <c r="F8447" s="3064"/>
      <c r="G8447" s="3301" t="s">
        <v>679</v>
      </c>
      <c r="H8447" s="3063"/>
      <c r="I8447" s="3030"/>
    </row>
    <row r="8448" spans="2:9" ht="25.5">
      <c r="B8448" s="3192" t="s">
        <v>720</v>
      </c>
      <c r="C8448" s="3063"/>
      <c r="D8448" s="3064"/>
      <c r="E8448" s="3064"/>
      <c r="F8448" s="3064"/>
      <c r="G8448" s="3301" t="s">
        <v>720</v>
      </c>
      <c r="H8448" s="3063"/>
      <c r="I8448" s="3030"/>
    </row>
    <row r="8449" spans="2:9" ht="25.5">
      <c r="B8449" s="3299" t="s">
        <v>66</v>
      </c>
      <c r="C8449" s="3063"/>
      <c r="D8449" s="3064"/>
      <c r="E8449" s="3064"/>
      <c r="F8449" s="3064"/>
      <c r="G8449" s="3300" t="s">
        <v>66</v>
      </c>
      <c r="H8449" s="3063"/>
      <c r="I8449" s="3030"/>
    </row>
    <row r="8450" spans="2:9" ht="25.5">
      <c r="B8450" s="3192" t="s">
        <v>675</v>
      </c>
      <c r="C8450" s="3063"/>
      <c r="D8450" s="3064"/>
      <c r="E8450" s="3064"/>
      <c r="F8450" s="3064"/>
      <c r="G8450" s="3301" t="s">
        <v>675</v>
      </c>
      <c r="H8450" s="3063"/>
      <c r="I8450" s="3030"/>
    </row>
    <row r="8451" spans="2:9" ht="25.5">
      <c r="B8451" s="3192" t="s">
        <v>676</v>
      </c>
      <c r="C8451" s="3063"/>
      <c r="D8451" s="3064"/>
      <c r="E8451" s="3064"/>
      <c r="F8451" s="3064"/>
      <c r="G8451" s="3301" t="s">
        <v>676</v>
      </c>
      <c r="H8451" s="3063"/>
      <c r="I8451" s="3030"/>
    </row>
    <row r="8452" spans="2:9">
      <c r="B8452" s="3192" t="s">
        <v>677</v>
      </c>
      <c r="C8452" s="3063"/>
      <c r="D8452" s="3064"/>
      <c r="E8452" s="3064"/>
      <c r="F8452" s="3064"/>
      <c r="G8452" s="3301" t="s">
        <v>677</v>
      </c>
      <c r="H8452" s="3063"/>
      <c r="I8452" s="3030"/>
    </row>
    <row r="8453" spans="2:9">
      <c r="B8453" s="3192" t="s">
        <v>678</v>
      </c>
      <c r="C8453" s="3063"/>
      <c r="D8453" s="3064"/>
      <c r="E8453" s="3064"/>
      <c r="F8453" s="3064"/>
      <c r="G8453" s="3301" t="s">
        <v>678</v>
      </c>
      <c r="H8453" s="3063"/>
      <c r="I8453" s="3030"/>
    </row>
    <row r="8454" spans="2:9">
      <c r="B8454" s="3192" t="s">
        <v>679</v>
      </c>
      <c r="C8454" s="3063"/>
      <c r="D8454" s="3064"/>
      <c r="E8454" s="3064"/>
      <c r="F8454" s="3064"/>
      <c r="G8454" s="3301" t="s">
        <v>679</v>
      </c>
      <c r="H8454" s="3063"/>
      <c r="I8454" s="3030"/>
    </row>
    <row r="8455" spans="2:9" ht="25.5">
      <c r="B8455" s="3192" t="s">
        <v>720</v>
      </c>
      <c r="C8455" s="3063"/>
      <c r="D8455" s="3064"/>
      <c r="E8455" s="3064"/>
      <c r="F8455" s="3064"/>
      <c r="G8455" s="3301" t="s">
        <v>720</v>
      </c>
      <c r="H8455" s="3063"/>
      <c r="I8455" s="3030"/>
    </row>
    <row r="8456" spans="2:9">
      <c r="B8456" s="3299" t="s">
        <v>67</v>
      </c>
      <c r="C8456" s="3063"/>
      <c r="D8456" s="3064"/>
      <c r="E8456" s="3064"/>
      <c r="F8456" s="3064"/>
      <c r="G8456" s="3300" t="s">
        <v>67</v>
      </c>
      <c r="H8456" s="3063"/>
      <c r="I8456" s="3030"/>
    </row>
    <row r="8457" spans="2:9" ht="25.5">
      <c r="B8457" s="3192" t="s">
        <v>675</v>
      </c>
      <c r="C8457" s="3063"/>
      <c r="D8457" s="3064"/>
      <c r="E8457" s="3064"/>
      <c r="F8457" s="3064"/>
      <c r="G8457" s="3301" t="s">
        <v>675</v>
      </c>
      <c r="H8457" s="3063"/>
      <c r="I8457" s="3030"/>
    </row>
    <row r="8458" spans="2:9" ht="25.5">
      <c r="B8458" s="3192" t="s">
        <v>676</v>
      </c>
      <c r="C8458" s="3063"/>
      <c r="D8458" s="3064"/>
      <c r="E8458" s="3064"/>
      <c r="F8458" s="3064"/>
      <c r="G8458" s="3301" t="s">
        <v>676</v>
      </c>
      <c r="H8458" s="3063"/>
      <c r="I8458" s="3030"/>
    </row>
    <row r="8459" spans="2:9">
      <c r="B8459" s="3192" t="s">
        <v>677</v>
      </c>
      <c r="C8459" s="3063"/>
      <c r="D8459" s="3064"/>
      <c r="E8459" s="3064"/>
      <c r="F8459" s="3064"/>
      <c r="G8459" s="3301" t="s">
        <v>677</v>
      </c>
      <c r="H8459" s="3063"/>
      <c r="I8459" s="3030"/>
    </row>
    <row r="8460" spans="2:9">
      <c r="B8460" s="3192" t="s">
        <v>678</v>
      </c>
      <c r="C8460" s="3063"/>
      <c r="D8460" s="3064"/>
      <c r="E8460" s="3064"/>
      <c r="F8460" s="3064"/>
      <c r="G8460" s="3301" t="s">
        <v>678</v>
      </c>
      <c r="H8460" s="3063"/>
      <c r="I8460" s="3030"/>
    </row>
    <row r="8461" spans="2:9">
      <c r="B8461" s="3192" t="s">
        <v>679</v>
      </c>
      <c r="C8461" s="3063"/>
      <c r="D8461" s="3064"/>
      <c r="E8461" s="3064"/>
      <c r="F8461" s="3064"/>
      <c r="G8461" s="3301" t="s">
        <v>679</v>
      </c>
      <c r="H8461" s="3063"/>
      <c r="I8461" s="3030"/>
    </row>
    <row r="8462" spans="2:9" ht="25.5">
      <c r="B8462" s="3230" t="s">
        <v>81</v>
      </c>
      <c r="C8462" s="3063"/>
      <c r="D8462" s="3064"/>
      <c r="E8462" s="3064"/>
      <c r="F8462" s="3064"/>
      <c r="G8462" s="3302" t="s">
        <v>81</v>
      </c>
      <c r="H8462" s="3063"/>
      <c r="I8462" s="3030"/>
    </row>
    <row r="8463" spans="2:9" ht="26.25" thickBot="1">
      <c r="B8463" s="3303" t="s">
        <v>81</v>
      </c>
      <c r="C8463" s="3068"/>
      <c r="D8463" s="3069"/>
      <c r="E8463" s="3069"/>
      <c r="F8463" s="3069"/>
      <c r="G8463" s="3304" t="s">
        <v>81</v>
      </c>
      <c r="H8463" s="3068"/>
      <c r="I8463" s="3070"/>
    </row>
    <row r="8464" spans="2:9" ht="38.25">
      <c r="B8464" s="4723">
        <v>3060</v>
      </c>
      <c r="C8464" s="3289"/>
      <c r="D8464" s="3290"/>
      <c r="E8464" s="3290"/>
      <c r="F8464" s="3290"/>
      <c r="G8464" s="4723">
        <v>3060</v>
      </c>
      <c r="H8464" s="3291" t="s">
        <v>687</v>
      </c>
      <c r="I8464" s="3292" t="s">
        <v>688</v>
      </c>
    </row>
    <row r="8465" spans="2:9">
      <c r="B8465" s="4724"/>
      <c r="C8465" s="4678" t="s">
        <v>686</v>
      </c>
      <c r="D8465" s="4725"/>
      <c r="E8465" s="4725"/>
      <c r="F8465" s="4726"/>
      <c r="G8465" s="4724"/>
      <c r="H8465" s="3293"/>
      <c r="I8465" s="3294"/>
    </row>
    <row r="8466" spans="2:9" ht="13.5" thickBot="1">
      <c r="B8466" s="4724"/>
      <c r="C8466" s="3215">
        <v>2013</v>
      </c>
      <c r="D8466" s="3215">
        <v>2014</v>
      </c>
      <c r="E8466" s="3215">
        <v>2015</v>
      </c>
      <c r="F8466" s="3215">
        <v>2016</v>
      </c>
      <c r="G8466" s="4724"/>
      <c r="H8466" s="3295" t="s">
        <v>390</v>
      </c>
      <c r="I8466" s="3296" t="s">
        <v>390</v>
      </c>
    </row>
    <row r="8467" spans="2:9">
      <c r="B8467" s="3217" t="s">
        <v>695</v>
      </c>
      <c r="C8467" s="3218"/>
      <c r="D8467" s="3219"/>
      <c r="E8467" s="3219"/>
      <c r="F8467" s="3219"/>
      <c r="G8467" s="3217" t="s">
        <v>695</v>
      </c>
      <c r="H8467" s="3297"/>
      <c r="I8467" s="3298"/>
    </row>
    <row r="8468" spans="2:9">
      <c r="B8468" s="3299" t="s">
        <v>64</v>
      </c>
      <c r="C8468" s="3063"/>
      <c r="D8468" s="3064"/>
      <c r="E8468" s="3064"/>
      <c r="F8468" s="3064"/>
      <c r="G8468" s="3300" t="s">
        <v>64</v>
      </c>
      <c r="H8468" s="3063"/>
      <c r="I8468" s="3030"/>
    </row>
    <row r="8469" spans="2:9" ht="25.5">
      <c r="B8469" s="3192" t="s">
        <v>675</v>
      </c>
      <c r="C8469" s="3063"/>
      <c r="D8469" s="3064"/>
      <c r="E8469" s="3064"/>
      <c r="F8469" s="3064"/>
      <c r="G8469" s="3301" t="s">
        <v>675</v>
      </c>
      <c r="H8469" s="3063"/>
      <c r="I8469" s="3030"/>
    </row>
    <row r="8470" spans="2:9" ht="25.5">
      <c r="B8470" s="3192" t="s">
        <v>676</v>
      </c>
      <c r="C8470" s="3063"/>
      <c r="D8470" s="3064"/>
      <c r="E8470" s="3064"/>
      <c r="F8470" s="3064"/>
      <c r="G8470" s="3301" t="s">
        <v>676</v>
      </c>
      <c r="H8470" s="3063"/>
      <c r="I8470" s="3030"/>
    </row>
    <row r="8471" spans="2:9">
      <c r="B8471" s="3192" t="s">
        <v>677</v>
      </c>
      <c r="C8471" s="3063"/>
      <c r="D8471" s="3064"/>
      <c r="E8471" s="3064"/>
      <c r="F8471" s="3064"/>
      <c r="G8471" s="3301" t="s">
        <v>677</v>
      </c>
      <c r="H8471" s="3063"/>
      <c r="I8471" s="3030"/>
    </row>
    <row r="8472" spans="2:9">
      <c r="B8472" s="3192" t="s">
        <v>678</v>
      </c>
      <c r="C8472" s="3063"/>
      <c r="D8472" s="3064"/>
      <c r="E8472" s="3064"/>
      <c r="F8472" s="3064"/>
      <c r="G8472" s="3301" t="s">
        <v>678</v>
      </c>
      <c r="H8472" s="3063"/>
      <c r="I8472" s="3030"/>
    </row>
    <row r="8473" spans="2:9">
      <c r="B8473" s="3192" t="s">
        <v>679</v>
      </c>
      <c r="C8473" s="3063"/>
      <c r="D8473" s="3064"/>
      <c r="E8473" s="3064"/>
      <c r="F8473" s="3064"/>
      <c r="G8473" s="3301" t="s">
        <v>679</v>
      </c>
      <c r="H8473" s="3063"/>
      <c r="I8473" s="3030"/>
    </row>
    <row r="8474" spans="2:9" ht="25.5">
      <c r="B8474" s="3192" t="s">
        <v>720</v>
      </c>
      <c r="C8474" s="3063"/>
      <c r="D8474" s="3064"/>
      <c r="E8474" s="3064"/>
      <c r="F8474" s="3064"/>
      <c r="G8474" s="3301" t="s">
        <v>720</v>
      </c>
      <c r="H8474" s="3063"/>
      <c r="I8474" s="3030"/>
    </row>
    <row r="8475" spans="2:9">
      <c r="B8475" s="3299" t="s">
        <v>65</v>
      </c>
      <c r="C8475" s="3063"/>
      <c r="D8475" s="3064"/>
      <c r="E8475" s="3064"/>
      <c r="F8475" s="3064"/>
      <c r="G8475" s="3300" t="s">
        <v>65</v>
      </c>
      <c r="H8475" s="3063"/>
      <c r="I8475" s="3030"/>
    </row>
    <row r="8476" spans="2:9" ht="25.5">
      <c r="B8476" s="3192" t="s">
        <v>675</v>
      </c>
      <c r="C8476" s="3063"/>
      <c r="D8476" s="3064"/>
      <c r="E8476" s="3064"/>
      <c r="F8476" s="3064"/>
      <c r="G8476" s="3301" t="s">
        <v>675</v>
      </c>
      <c r="H8476" s="3063"/>
      <c r="I8476" s="3030"/>
    </row>
    <row r="8477" spans="2:9" ht="25.5">
      <c r="B8477" s="3192" t="s">
        <v>676</v>
      </c>
      <c r="C8477" s="3063"/>
      <c r="D8477" s="3064"/>
      <c r="E8477" s="3064"/>
      <c r="F8477" s="3064"/>
      <c r="G8477" s="3301" t="s">
        <v>676</v>
      </c>
      <c r="H8477" s="3063"/>
      <c r="I8477" s="3030"/>
    </row>
    <row r="8478" spans="2:9">
      <c r="B8478" s="3192" t="s">
        <v>677</v>
      </c>
      <c r="C8478" s="3063"/>
      <c r="D8478" s="3064"/>
      <c r="E8478" s="3064"/>
      <c r="F8478" s="3064"/>
      <c r="G8478" s="3301" t="s">
        <v>677</v>
      </c>
      <c r="H8478" s="3063"/>
      <c r="I8478" s="3030"/>
    </row>
    <row r="8479" spans="2:9">
      <c r="B8479" s="3192" t="s">
        <v>678</v>
      </c>
      <c r="C8479" s="3063"/>
      <c r="D8479" s="3064"/>
      <c r="E8479" s="3064"/>
      <c r="F8479" s="3064"/>
      <c r="G8479" s="3301" t="s">
        <v>678</v>
      </c>
      <c r="H8479" s="3063"/>
      <c r="I8479" s="3030"/>
    </row>
    <row r="8480" spans="2:9">
      <c r="B8480" s="3192" t="s">
        <v>679</v>
      </c>
      <c r="C8480" s="3063"/>
      <c r="D8480" s="3064"/>
      <c r="E8480" s="3064"/>
      <c r="F8480" s="3064"/>
      <c r="G8480" s="3301" t="s">
        <v>679</v>
      </c>
      <c r="H8480" s="3063"/>
      <c r="I8480" s="3030"/>
    </row>
    <row r="8481" spans="2:9" ht="25.5">
      <c r="B8481" s="3192" t="s">
        <v>720</v>
      </c>
      <c r="C8481" s="3063"/>
      <c r="D8481" s="3064"/>
      <c r="E8481" s="3064"/>
      <c r="F8481" s="3064"/>
      <c r="G8481" s="3301" t="s">
        <v>720</v>
      </c>
      <c r="H8481" s="3063"/>
      <c r="I8481" s="3030"/>
    </row>
    <row r="8482" spans="2:9">
      <c r="B8482" s="3299" t="s">
        <v>82</v>
      </c>
      <c r="C8482" s="3063"/>
      <c r="D8482" s="3064"/>
      <c r="E8482" s="3064"/>
      <c r="F8482" s="3064"/>
      <c r="G8482" s="3300" t="s">
        <v>82</v>
      </c>
      <c r="H8482" s="3063"/>
      <c r="I8482" s="3030"/>
    </row>
    <row r="8483" spans="2:9" ht="25.5">
      <c r="B8483" s="3192" t="s">
        <v>675</v>
      </c>
      <c r="C8483" s="3063"/>
      <c r="D8483" s="3064"/>
      <c r="E8483" s="3064"/>
      <c r="F8483" s="3064"/>
      <c r="G8483" s="3301" t="s">
        <v>675</v>
      </c>
      <c r="H8483" s="3063"/>
      <c r="I8483" s="3030"/>
    </row>
    <row r="8484" spans="2:9" ht="25.5">
      <c r="B8484" s="3192" t="s">
        <v>676</v>
      </c>
      <c r="C8484" s="3063"/>
      <c r="D8484" s="3064"/>
      <c r="E8484" s="3064"/>
      <c r="F8484" s="3064"/>
      <c r="G8484" s="3301" t="s">
        <v>676</v>
      </c>
      <c r="H8484" s="3063"/>
      <c r="I8484" s="3030"/>
    </row>
    <row r="8485" spans="2:9">
      <c r="B8485" s="3192" t="s">
        <v>677</v>
      </c>
      <c r="C8485" s="3063"/>
      <c r="D8485" s="3064"/>
      <c r="E8485" s="3064"/>
      <c r="F8485" s="3064"/>
      <c r="G8485" s="3301" t="s">
        <v>677</v>
      </c>
      <c r="H8485" s="3063"/>
      <c r="I8485" s="3030"/>
    </row>
    <row r="8486" spans="2:9">
      <c r="B8486" s="3192" t="s">
        <v>678</v>
      </c>
      <c r="C8486" s="3063"/>
      <c r="D8486" s="3064"/>
      <c r="E8486" s="3064"/>
      <c r="F8486" s="3064"/>
      <c r="G8486" s="3301" t="s">
        <v>678</v>
      </c>
      <c r="H8486" s="3063"/>
      <c r="I8486" s="3030"/>
    </row>
    <row r="8487" spans="2:9">
      <c r="B8487" s="3192" t="s">
        <v>679</v>
      </c>
      <c r="C8487" s="3063"/>
      <c r="D8487" s="3064"/>
      <c r="E8487" s="3064"/>
      <c r="F8487" s="3064"/>
      <c r="G8487" s="3301" t="s">
        <v>679</v>
      </c>
      <c r="H8487" s="3063"/>
      <c r="I8487" s="3030"/>
    </row>
    <row r="8488" spans="2:9" ht="25.5">
      <c r="B8488" s="3192" t="s">
        <v>720</v>
      </c>
      <c r="C8488" s="3063"/>
      <c r="D8488" s="3064"/>
      <c r="E8488" s="3064"/>
      <c r="F8488" s="3064"/>
      <c r="G8488" s="3301" t="s">
        <v>720</v>
      </c>
      <c r="H8488" s="3063"/>
      <c r="I8488" s="3030"/>
    </row>
    <row r="8489" spans="2:9" ht="38.25">
      <c r="B8489" s="3299" t="s">
        <v>680</v>
      </c>
      <c r="C8489" s="3063"/>
      <c r="D8489" s="3064"/>
      <c r="E8489" s="3064"/>
      <c r="F8489" s="3064"/>
      <c r="G8489" s="3300" t="s">
        <v>680</v>
      </c>
      <c r="H8489" s="3063"/>
      <c r="I8489" s="3030"/>
    </row>
    <row r="8490" spans="2:9" ht="25.5">
      <c r="B8490" s="3192" t="s">
        <v>675</v>
      </c>
      <c r="C8490" s="3063"/>
      <c r="D8490" s="3064"/>
      <c r="E8490" s="3064"/>
      <c r="F8490" s="3064"/>
      <c r="G8490" s="3301" t="s">
        <v>675</v>
      </c>
      <c r="H8490" s="3063"/>
      <c r="I8490" s="3030"/>
    </row>
    <row r="8491" spans="2:9" ht="25.5">
      <c r="B8491" s="3192" t="s">
        <v>676</v>
      </c>
      <c r="C8491" s="3063"/>
      <c r="D8491" s="3064"/>
      <c r="E8491" s="3064"/>
      <c r="F8491" s="3064"/>
      <c r="G8491" s="3301" t="s">
        <v>676</v>
      </c>
      <c r="H8491" s="3063"/>
      <c r="I8491" s="3030"/>
    </row>
    <row r="8492" spans="2:9">
      <c r="B8492" s="3192" t="s">
        <v>677</v>
      </c>
      <c r="C8492" s="3063"/>
      <c r="D8492" s="3064"/>
      <c r="E8492" s="3064"/>
      <c r="F8492" s="3064"/>
      <c r="G8492" s="3301" t="s">
        <v>677</v>
      </c>
      <c r="H8492" s="3063"/>
      <c r="I8492" s="3030"/>
    </row>
    <row r="8493" spans="2:9">
      <c r="B8493" s="3192" t="s">
        <v>678</v>
      </c>
      <c r="C8493" s="3063"/>
      <c r="D8493" s="3064"/>
      <c r="E8493" s="3064"/>
      <c r="F8493" s="3064"/>
      <c r="G8493" s="3301" t="s">
        <v>678</v>
      </c>
      <c r="H8493" s="3063"/>
      <c r="I8493" s="3030"/>
    </row>
    <row r="8494" spans="2:9">
      <c r="B8494" s="3192" t="s">
        <v>679</v>
      </c>
      <c r="C8494" s="3063"/>
      <c r="D8494" s="3064"/>
      <c r="E8494" s="3064"/>
      <c r="F8494" s="3064"/>
      <c r="G8494" s="3301" t="s">
        <v>679</v>
      </c>
      <c r="H8494" s="3063"/>
      <c r="I8494" s="3030"/>
    </row>
    <row r="8495" spans="2:9" ht="25.5">
      <c r="B8495" s="3192" t="s">
        <v>720</v>
      </c>
      <c r="C8495" s="3063"/>
      <c r="D8495" s="3064"/>
      <c r="E8495" s="3064"/>
      <c r="F8495" s="3064"/>
      <c r="G8495" s="3301" t="s">
        <v>720</v>
      </c>
      <c r="H8495" s="3063"/>
      <c r="I8495" s="3030"/>
    </row>
    <row r="8496" spans="2:9" ht="38.25">
      <c r="B8496" s="3299" t="s">
        <v>681</v>
      </c>
      <c r="C8496" s="3063"/>
      <c r="D8496" s="3064"/>
      <c r="E8496" s="3064"/>
      <c r="F8496" s="3064"/>
      <c r="G8496" s="3300" t="s">
        <v>681</v>
      </c>
      <c r="H8496" s="3063"/>
      <c r="I8496" s="3030"/>
    </row>
    <row r="8497" spans="2:9" ht="25.5">
      <c r="B8497" s="3192" t="s">
        <v>675</v>
      </c>
      <c r="C8497" s="3063"/>
      <c r="D8497" s="3064"/>
      <c r="E8497" s="3064"/>
      <c r="F8497" s="3064"/>
      <c r="G8497" s="3301" t="s">
        <v>675</v>
      </c>
      <c r="H8497" s="3063"/>
      <c r="I8497" s="3030"/>
    </row>
    <row r="8498" spans="2:9" ht="25.5">
      <c r="B8498" s="3192" t="s">
        <v>676</v>
      </c>
      <c r="C8498" s="3063"/>
      <c r="D8498" s="3064"/>
      <c r="E8498" s="3064"/>
      <c r="F8498" s="3064"/>
      <c r="G8498" s="3301" t="s">
        <v>676</v>
      </c>
      <c r="H8498" s="3063"/>
      <c r="I8498" s="3030"/>
    </row>
    <row r="8499" spans="2:9">
      <c r="B8499" s="3192" t="s">
        <v>677</v>
      </c>
      <c r="C8499" s="3063"/>
      <c r="D8499" s="3064"/>
      <c r="E8499" s="3064"/>
      <c r="F8499" s="3064"/>
      <c r="G8499" s="3301" t="s">
        <v>677</v>
      </c>
      <c r="H8499" s="3063"/>
      <c r="I8499" s="3030"/>
    </row>
    <row r="8500" spans="2:9">
      <c r="B8500" s="3192" t="s">
        <v>678</v>
      </c>
      <c r="C8500" s="3063"/>
      <c r="D8500" s="3064"/>
      <c r="E8500" s="3064"/>
      <c r="F8500" s="3064"/>
      <c r="G8500" s="3301" t="s">
        <v>678</v>
      </c>
      <c r="H8500" s="3063"/>
      <c r="I8500" s="3030"/>
    </row>
    <row r="8501" spans="2:9">
      <c r="B8501" s="3192" t="s">
        <v>679</v>
      </c>
      <c r="C8501" s="3063"/>
      <c r="D8501" s="3064"/>
      <c r="E8501" s="3064"/>
      <c r="F8501" s="3064"/>
      <c r="G8501" s="3301" t="s">
        <v>679</v>
      </c>
      <c r="H8501" s="3063"/>
      <c r="I8501" s="3030"/>
    </row>
    <row r="8502" spans="2:9" ht="25.5">
      <c r="B8502" s="3192" t="s">
        <v>720</v>
      </c>
      <c r="C8502" s="3063"/>
      <c r="D8502" s="3064"/>
      <c r="E8502" s="3064"/>
      <c r="F8502" s="3064"/>
      <c r="G8502" s="3301" t="s">
        <v>720</v>
      </c>
      <c r="H8502" s="3063"/>
      <c r="I8502" s="3030"/>
    </row>
    <row r="8503" spans="2:9" ht="25.5">
      <c r="B8503" s="3299" t="s">
        <v>682</v>
      </c>
      <c r="C8503" s="3063"/>
      <c r="D8503" s="3064"/>
      <c r="E8503" s="3064"/>
      <c r="F8503" s="3064"/>
      <c r="G8503" s="3300" t="s">
        <v>682</v>
      </c>
      <c r="H8503" s="3063"/>
      <c r="I8503" s="3030"/>
    </row>
    <row r="8504" spans="2:9" ht="25.5">
      <c r="B8504" s="3192" t="s">
        <v>675</v>
      </c>
      <c r="C8504" s="3063"/>
      <c r="D8504" s="3064"/>
      <c r="E8504" s="3064"/>
      <c r="F8504" s="3064"/>
      <c r="G8504" s="3301" t="s">
        <v>675</v>
      </c>
      <c r="H8504" s="3063"/>
      <c r="I8504" s="3030"/>
    </row>
    <row r="8505" spans="2:9" ht="25.5">
      <c r="B8505" s="3192" t="s">
        <v>676</v>
      </c>
      <c r="C8505" s="3063"/>
      <c r="D8505" s="3064"/>
      <c r="E8505" s="3064"/>
      <c r="F8505" s="3064"/>
      <c r="G8505" s="3301" t="s">
        <v>676</v>
      </c>
      <c r="H8505" s="3063"/>
      <c r="I8505" s="3030"/>
    </row>
    <row r="8506" spans="2:9">
      <c r="B8506" s="3192" t="s">
        <v>677</v>
      </c>
      <c r="C8506" s="3063"/>
      <c r="D8506" s="3064"/>
      <c r="E8506" s="3064"/>
      <c r="F8506" s="3064"/>
      <c r="G8506" s="3301" t="s">
        <v>677</v>
      </c>
      <c r="H8506" s="3063"/>
      <c r="I8506" s="3030"/>
    </row>
    <row r="8507" spans="2:9">
      <c r="B8507" s="3192" t="s">
        <v>678</v>
      </c>
      <c r="C8507" s="3063"/>
      <c r="D8507" s="3064"/>
      <c r="E8507" s="3064"/>
      <c r="F8507" s="3064"/>
      <c r="G8507" s="3301" t="s">
        <v>678</v>
      </c>
      <c r="H8507" s="3063"/>
      <c r="I8507" s="3030"/>
    </row>
    <row r="8508" spans="2:9">
      <c r="B8508" s="3192" t="s">
        <v>679</v>
      </c>
      <c r="C8508" s="3063"/>
      <c r="D8508" s="3064"/>
      <c r="E8508" s="3064"/>
      <c r="F8508" s="3064"/>
      <c r="G8508" s="3301" t="s">
        <v>679</v>
      </c>
      <c r="H8508" s="3063"/>
      <c r="I8508" s="3030"/>
    </row>
    <row r="8509" spans="2:9" ht="25.5">
      <c r="B8509" s="3192" t="s">
        <v>720</v>
      </c>
      <c r="C8509" s="3063"/>
      <c r="D8509" s="3064"/>
      <c r="E8509" s="3064"/>
      <c r="F8509" s="3064"/>
      <c r="G8509" s="3301" t="s">
        <v>720</v>
      </c>
      <c r="H8509" s="3063"/>
      <c r="I8509" s="3030"/>
    </row>
    <row r="8510" spans="2:9" ht="25.5">
      <c r="B8510" s="3299" t="s">
        <v>66</v>
      </c>
      <c r="C8510" s="3063"/>
      <c r="D8510" s="3064"/>
      <c r="E8510" s="3064"/>
      <c r="F8510" s="3064"/>
      <c r="G8510" s="3300" t="s">
        <v>66</v>
      </c>
      <c r="H8510" s="3063"/>
      <c r="I8510" s="3030"/>
    </row>
    <row r="8511" spans="2:9" ht="25.5">
      <c r="B8511" s="3192" t="s">
        <v>675</v>
      </c>
      <c r="C8511" s="3063"/>
      <c r="D8511" s="3064"/>
      <c r="E8511" s="3064"/>
      <c r="F8511" s="3064"/>
      <c r="G8511" s="3301" t="s">
        <v>675</v>
      </c>
      <c r="H8511" s="3063"/>
      <c r="I8511" s="3030"/>
    </row>
    <row r="8512" spans="2:9" ht="25.5">
      <c r="B8512" s="3192" t="s">
        <v>676</v>
      </c>
      <c r="C8512" s="3063"/>
      <c r="D8512" s="3064"/>
      <c r="E8512" s="3064"/>
      <c r="F8512" s="3064"/>
      <c r="G8512" s="3301" t="s">
        <v>676</v>
      </c>
      <c r="H8512" s="3063"/>
      <c r="I8512" s="3030"/>
    </row>
    <row r="8513" spans="2:9">
      <c r="B8513" s="3192" t="s">
        <v>677</v>
      </c>
      <c r="C8513" s="3063"/>
      <c r="D8513" s="3064"/>
      <c r="E8513" s="3064"/>
      <c r="F8513" s="3064"/>
      <c r="G8513" s="3301" t="s">
        <v>677</v>
      </c>
      <c r="H8513" s="3063"/>
      <c r="I8513" s="3030"/>
    </row>
    <row r="8514" spans="2:9">
      <c r="B8514" s="3192" t="s">
        <v>678</v>
      </c>
      <c r="C8514" s="3063"/>
      <c r="D8514" s="3064"/>
      <c r="E8514" s="3064"/>
      <c r="F8514" s="3064"/>
      <c r="G8514" s="3301" t="s">
        <v>678</v>
      </c>
      <c r="H8514" s="3063"/>
      <c r="I8514" s="3030"/>
    </row>
    <row r="8515" spans="2:9">
      <c r="B8515" s="3192" t="s">
        <v>679</v>
      </c>
      <c r="C8515" s="3063"/>
      <c r="D8515" s="3064"/>
      <c r="E8515" s="3064"/>
      <c r="F8515" s="3064"/>
      <c r="G8515" s="3301" t="s">
        <v>679</v>
      </c>
      <c r="H8515" s="3063"/>
      <c r="I8515" s="3030"/>
    </row>
    <row r="8516" spans="2:9" ht="25.5">
      <c r="B8516" s="3192" t="s">
        <v>720</v>
      </c>
      <c r="C8516" s="3063"/>
      <c r="D8516" s="3064"/>
      <c r="E8516" s="3064"/>
      <c r="F8516" s="3064"/>
      <c r="G8516" s="3301" t="s">
        <v>720</v>
      </c>
      <c r="H8516" s="3063"/>
      <c r="I8516" s="3030"/>
    </row>
    <row r="8517" spans="2:9">
      <c r="B8517" s="3299" t="s">
        <v>67</v>
      </c>
      <c r="C8517" s="3063"/>
      <c r="D8517" s="3064"/>
      <c r="E8517" s="3064"/>
      <c r="F8517" s="3064"/>
      <c r="G8517" s="3300" t="s">
        <v>67</v>
      </c>
      <c r="H8517" s="3063"/>
      <c r="I8517" s="3030"/>
    </row>
    <row r="8518" spans="2:9" ht="25.5">
      <c r="B8518" s="3192" t="s">
        <v>675</v>
      </c>
      <c r="C8518" s="3063"/>
      <c r="D8518" s="3064"/>
      <c r="E8518" s="3064"/>
      <c r="F8518" s="3064"/>
      <c r="G8518" s="3301" t="s">
        <v>675</v>
      </c>
      <c r="H8518" s="3063"/>
      <c r="I8518" s="3030"/>
    </row>
    <row r="8519" spans="2:9" ht="25.5">
      <c r="B8519" s="3192" t="s">
        <v>676</v>
      </c>
      <c r="C8519" s="3063"/>
      <c r="D8519" s="3064"/>
      <c r="E8519" s="3064"/>
      <c r="F8519" s="3064"/>
      <c r="G8519" s="3301" t="s">
        <v>676</v>
      </c>
      <c r="H8519" s="3063"/>
      <c r="I8519" s="3030"/>
    </row>
    <row r="8520" spans="2:9">
      <c r="B8520" s="3192" t="s">
        <v>677</v>
      </c>
      <c r="C8520" s="3063"/>
      <c r="D8520" s="3064"/>
      <c r="E8520" s="3064"/>
      <c r="F8520" s="3064"/>
      <c r="G8520" s="3301" t="s">
        <v>677</v>
      </c>
      <c r="H8520" s="3063"/>
      <c r="I8520" s="3030"/>
    </row>
    <row r="8521" spans="2:9">
      <c r="B8521" s="3192" t="s">
        <v>678</v>
      </c>
      <c r="C8521" s="3063"/>
      <c r="D8521" s="3064"/>
      <c r="E8521" s="3064"/>
      <c r="F8521" s="3064"/>
      <c r="G8521" s="3301" t="s">
        <v>678</v>
      </c>
      <c r="H8521" s="3063"/>
      <c r="I8521" s="3030"/>
    </row>
    <row r="8522" spans="2:9">
      <c r="B8522" s="3192" t="s">
        <v>679</v>
      </c>
      <c r="C8522" s="3063"/>
      <c r="D8522" s="3064"/>
      <c r="E8522" s="3064"/>
      <c r="F8522" s="3064"/>
      <c r="G8522" s="3301" t="s">
        <v>679</v>
      </c>
      <c r="H8522" s="3063"/>
      <c r="I8522" s="3030"/>
    </row>
    <row r="8523" spans="2:9" ht="25.5">
      <c r="B8523" s="3192" t="s">
        <v>720</v>
      </c>
      <c r="C8523" s="3063"/>
      <c r="D8523" s="3064"/>
      <c r="E8523" s="3064"/>
      <c r="F8523" s="3064"/>
      <c r="G8523" s="3301" t="s">
        <v>720</v>
      </c>
      <c r="H8523" s="3063"/>
      <c r="I8523" s="3030"/>
    </row>
    <row r="8524" spans="2:9" ht="25.5">
      <c r="B8524" s="3230" t="s">
        <v>81</v>
      </c>
      <c r="C8524" s="3063"/>
      <c r="D8524" s="3064"/>
      <c r="E8524" s="3064"/>
      <c r="F8524" s="3064"/>
      <c r="G8524" s="3302" t="s">
        <v>81</v>
      </c>
      <c r="H8524" s="3063"/>
      <c r="I8524" s="3030"/>
    </row>
    <row r="8525" spans="2:9" ht="26.25" thickBot="1">
      <c r="B8525" s="3303" t="s">
        <v>81</v>
      </c>
      <c r="C8525" s="3063"/>
      <c r="D8525" s="3064"/>
      <c r="E8525" s="3064"/>
      <c r="F8525" s="3064"/>
      <c r="G8525" s="3302" t="s">
        <v>81</v>
      </c>
      <c r="H8525" s="3063"/>
      <c r="I8525" s="3030"/>
    </row>
    <row r="8526" spans="2:9" ht="25.5">
      <c r="B8526" s="3217" t="s">
        <v>696</v>
      </c>
      <c r="C8526" s="3218"/>
      <c r="D8526" s="3219"/>
      <c r="E8526" s="3219"/>
      <c r="F8526" s="3219"/>
      <c r="G8526" s="3217" t="s">
        <v>696</v>
      </c>
      <c r="H8526" s="3297"/>
      <c r="I8526" s="3298"/>
    </row>
    <row r="8527" spans="2:9">
      <c r="B8527" s="3299" t="s">
        <v>64</v>
      </c>
      <c r="C8527" s="3063"/>
      <c r="D8527" s="3064"/>
      <c r="E8527" s="3064"/>
      <c r="F8527" s="3064"/>
      <c r="G8527" s="3300" t="s">
        <v>64</v>
      </c>
      <c r="H8527" s="3063"/>
      <c r="I8527" s="3030"/>
    </row>
    <row r="8528" spans="2:9" ht="25.5">
      <c r="B8528" s="3192" t="s">
        <v>675</v>
      </c>
      <c r="C8528" s="3063"/>
      <c r="D8528" s="3064"/>
      <c r="E8528" s="3064"/>
      <c r="F8528" s="3064"/>
      <c r="G8528" s="3301" t="s">
        <v>675</v>
      </c>
      <c r="H8528" s="3063"/>
      <c r="I8528" s="3030"/>
    </row>
    <row r="8529" spans="2:9" ht="25.5">
      <c r="B8529" s="3192" t="s">
        <v>676</v>
      </c>
      <c r="C8529" s="3063"/>
      <c r="D8529" s="3064"/>
      <c r="E8529" s="3064"/>
      <c r="F8529" s="3064"/>
      <c r="G8529" s="3301" t="s">
        <v>676</v>
      </c>
      <c r="H8529" s="3063"/>
      <c r="I8529" s="3030"/>
    </row>
    <row r="8530" spans="2:9">
      <c r="B8530" s="3192" t="s">
        <v>677</v>
      </c>
      <c r="C8530" s="3063"/>
      <c r="D8530" s="3064"/>
      <c r="E8530" s="3064"/>
      <c r="F8530" s="3064"/>
      <c r="G8530" s="3301" t="s">
        <v>677</v>
      </c>
      <c r="H8530" s="3063"/>
      <c r="I8530" s="3030"/>
    </row>
    <row r="8531" spans="2:9">
      <c r="B8531" s="3192" t="s">
        <v>678</v>
      </c>
      <c r="C8531" s="3063"/>
      <c r="D8531" s="3064"/>
      <c r="E8531" s="3064"/>
      <c r="F8531" s="3064"/>
      <c r="G8531" s="3301" t="s">
        <v>678</v>
      </c>
      <c r="H8531" s="3063"/>
      <c r="I8531" s="3030"/>
    </row>
    <row r="8532" spans="2:9">
      <c r="B8532" s="3192" t="s">
        <v>679</v>
      </c>
      <c r="C8532" s="3063"/>
      <c r="D8532" s="3064"/>
      <c r="E8532" s="3064"/>
      <c r="F8532" s="3064"/>
      <c r="G8532" s="3301" t="s">
        <v>679</v>
      </c>
      <c r="H8532" s="3063"/>
      <c r="I8532" s="3030"/>
    </row>
    <row r="8533" spans="2:9" ht="25.5">
      <c r="B8533" s="3192" t="s">
        <v>720</v>
      </c>
      <c r="C8533" s="3063"/>
      <c r="D8533" s="3064"/>
      <c r="E8533" s="3064"/>
      <c r="F8533" s="3064"/>
      <c r="G8533" s="3301" t="s">
        <v>720</v>
      </c>
      <c r="H8533" s="3063"/>
      <c r="I8533" s="3030"/>
    </row>
    <row r="8534" spans="2:9">
      <c r="B8534" s="3299" t="s">
        <v>65</v>
      </c>
      <c r="C8534" s="3063"/>
      <c r="D8534" s="3064"/>
      <c r="E8534" s="3064"/>
      <c r="F8534" s="3064"/>
      <c r="G8534" s="3300" t="s">
        <v>65</v>
      </c>
      <c r="H8534" s="3063"/>
      <c r="I8534" s="3030"/>
    </row>
    <row r="8535" spans="2:9" ht="25.5">
      <c r="B8535" s="3192" t="s">
        <v>675</v>
      </c>
      <c r="C8535" s="3063"/>
      <c r="D8535" s="3064"/>
      <c r="E8535" s="3064"/>
      <c r="F8535" s="3064"/>
      <c r="G8535" s="3301" t="s">
        <v>675</v>
      </c>
      <c r="H8535" s="3063"/>
      <c r="I8535" s="3030"/>
    </row>
    <row r="8536" spans="2:9" ht="25.5">
      <c r="B8536" s="3192" t="s">
        <v>676</v>
      </c>
      <c r="C8536" s="3063"/>
      <c r="D8536" s="3064"/>
      <c r="E8536" s="3064"/>
      <c r="F8536" s="3064"/>
      <c r="G8536" s="3301" t="s">
        <v>676</v>
      </c>
      <c r="H8536" s="3063"/>
      <c r="I8536" s="3030"/>
    </row>
    <row r="8537" spans="2:9">
      <c r="B8537" s="3192" t="s">
        <v>677</v>
      </c>
      <c r="C8537" s="3063"/>
      <c r="D8537" s="3064"/>
      <c r="E8537" s="3064"/>
      <c r="F8537" s="3064"/>
      <c r="G8537" s="3301" t="s">
        <v>677</v>
      </c>
      <c r="H8537" s="3063"/>
      <c r="I8537" s="3030"/>
    </row>
    <row r="8538" spans="2:9">
      <c r="B8538" s="3192" t="s">
        <v>678</v>
      </c>
      <c r="C8538" s="3063"/>
      <c r="D8538" s="3064"/>
      <c r="E8538" s="3064"/>
      <c r="F8538" s="3064"/>
      <c r="G8538" s="3301" t="s">
        <v>678</v>
      </c>
      <c r="H8538" s="3063"/>
      <c r="I8538" s="3030"/>
    </row>
    <row r="8539" spans="2:9">
      <c r="B8539" s="3192" t="s">
        <v>679</v>
      </c>
      <c r="C8539" s="3063"/>
      <c r="D8539" s="3064"/>
      <c r="E8539" s="3064"/>
      <c r="F8539" s="3064"/>
      <c r="G8539" s="3301" t="s">
        <v>679</v>
      </c>
      <c r="H8539" s="3063"/>
      <c r="I8539" s="3030"/>
    </row>
    <row r="8540" spans="2:9" ht="25.5">
      <c r="B8540" s="3192" t="s">
        <v>720</v>
      </c>
      <c r="C8540" s="3063"/>
      <c r="D8540" s="3064"/>
      <c r="E8540" s="3064"/>
      <c r="F8540" s="3064"/>
      <c r="G8540" s="3301" t="s">
        <v>720</v>
      </c>
      <c r="H8540" s="3063"/>
      <c r="I8540" s="3030"/>
    </row>
    <row r="8541" spans="2:9">
      <c r="B8541" s="3299" t="s">
        <v>82</v>
      </c>
      <c r="C8541" s="3063"/>
      <c r="D8541" s="3064"/>
      <c r="E8541" s="3064"/>
      <c r="F8541" s="3064"/>
      <c r="G8541" s="3300" t="s">
        <v>82</v>
      </c>
      <c r="H8541" s="3063"/>
      <c r="I8541" s="3030"/>
    </row>
    <row r="8542" spans="2:9" ht="25.5">
      <c r="B8542" s="3192" t="s">
        <v>675</v>
      </c>
      <c r="C8542" s="3063"/>
      <c r="D8542" s="3064"/>
      <c r="E8542" s="3064"/>
      <c r="F8542" s="3064"/>
      <c r="G8542" s="3301" t="s">
        <v>675</v>
      </c>
      <c r="H8542" s="3063"/>
      <c r="I8542" s="3030"/>
    </row>
    <row r="8543" spans="2:9" ht="25.5">
      <c r="B8543" s="3192" t="s">
        <v>676</v>
      </c>
      <c r="C8543" s="3063"/>
      <c r="D8543" s="3064"/>
      <c r="E8543" s="3064"/>
      <c r="F8543" s="3064"/>
      <c r="G8543" s="3301" t="s">
        <v>676</v>
      </c>
      <c r="H8543" s="3063"/>
      <c r="I8543" s="3030"/>
    </row>
    <row r="8544" spans="2:9">
      <c r="B8544" s="3192" t="s">
        <v>677</v>
      </c>
      <c r="C8544" s="3063"/>
      <c r="D8544" s="3064"/>
      <c r="E8544" s="3064"/>
      <c r="F8544" s="3064"/>
      <c r="G8544" s="3301" t="s">
        <v>677</v>
      </c>
      <c r="H8544" s="3063"/>
      <c r="I8544" s="3030"/>
    </row>
    <row r="8545" spans="2:9">
      <c r="B8545" s="3192" t="s">
        <v>678</v>
      </c>
      <c r="C8545" s="3063"/>
      <c r="D8545" s="3064"/>
      <c r="E8545" s="3064"/>
      <c r="F8545" s="3064"/>
      <c r="G8545" s="3301" t="s">
        <v>678</v>
      </c>
      <c r="H8545" s="3063"/>
      <c r="I8545" s="3030"/>
    </row>
    <row r="8546" spans="2:9">
      <c r="B8546" s="3192" t="s">
        <v>679</v>
      </c>
      <c r="C8546" s="3063"/>
      <c r="D8546" s="3064"/>
      <c r="E8546" s="3064"/>
      <c r="F8546" s="3064"/>
      <c r="G8546" s="3301" t="s">
        <v>679</v>
      </c>
      <c r="H8546" s="3063"/>
      <c r="I8546" s="3030"/>
    </row>
    <row r="8547" spans="2:9" ht="25.5">
      <c r="B8547" s="3192" t="s">
        <v>720</v>
      </c>
      <c r="C8547" s="3063"/>
      <c r="D8547" s="3064"/>
      <c r="E8547" s="3064"/>
      <c r="F8547" s="3064"/>
      <c r="G8547" s="3301" t="s">
        <v>720</v>
      </c>
      <c r="H8547" s="3063"/>
      <c r="I8547" s="3030"/>
    </row>
    <row r="8548" spans="2:9" ht="38.25">
      <c r="B8548" s="3299" t="s">
        <v>680</v>
      </c>
      <c r="C8548" s="3063"/>
      <c r="D8548" s="3064"/>
      <c r="E8548" s="3064"/>
      <c r="F8548" s="3064"/>
      <c r="G8548" s="3300" t="s">
        <v>680</v>
      </c>
      <c r="H8548" s="3063"/>
      <c r="I8548" s="3030"/>
    </row>
    <row r="8549" spans="2:9" ht="25.5">
      <c r="B8549" s="3192" t="s">
        <v>675</v>
      </c>
      <c r="C8549" s="3063"/>
      <c r="D8549" s="3064"/>
      <c r="E8549" s="3064"/>
      <c r="F8549" s="3064"/>
      <c r="G8549" s="3301" t="s">
        <v>675</v>
      </c>
      <c r="H8549" s="3063"/>
      <c r="I8549" s="3030"/>
    </row>
    <row r="8550" spans="2:9" ht="25.5">
      <c r="B8550" s="3192" t="s">
        <v>676</v>
      </c>
      <c r="C8550" s="3063"/>
      <c r="D8550" s="3064"/>
      <c r="E8550" s="3064"/>
      <c r="F8550" s="3064"/>
      <c r="G8550" s="3301" t="s">
        <v>676</v>
      </c>
      <c r="H8550" s="3063"/>
      <c r="I8550" s="3030"/>
    </row>
    <row r="8551" spans="2:9">
      <c r="B8551" s="3192" t="s">
        <v>677</v>
      </c>
      <c r="C8551" s="3063"/>
      <c r="D8551" s="3064"/>
      <c r="E8551" s="3064"/>
      <c r="F8551" s="3064"/>
      <c r="G8551" s="3301" t="s">
        <v>677</v>
      </c>
      <c r="H8551" s="3063"/>
      <c r="I8551" s="3030"/>
    </row>
    <row r="8552" spans="2:9">
      <c r="B8552" s="3192" t="s">
        <v>678</v>
      </c>
      <c r="C8552" s="3063"/>
      <c r="D8552" s="3064"/>
      <c r="E8552" s="3064"/>
      <c r="F8552" s="3064"/>
      <c r="G8552" s="3301" t="s">
        <v>678</v>
      </c>
      <c r="H8552" s="3063"/>
      <c r="I8552" s="3030"/>
    </row>
    <row r="8553" spans="2:9">
      <c r="B8553" s="3192" t="s">
        <v>679</v>
      </c>
      <c r="C8553" s="3063"/>
      <c r="D8553" s="3064"/>
      <c r="E8553" s="3064"/>
      <c r="F8553" s="3064"/>
      <c r="G8553" s="3301" t="s">
        <v>679</v>
      </c>
      <c r="H8553" s="3063"/>
      <c r="I8553" s="3030"/>
    </row>
    <row r="8554" spans="2:9" ht="25.5">
      <c r="B8554" s="3192" t="s">
        <v>720</v>
      </c>
      <c r="C8554" s="3063"/>
      <c r="D8554" s="3064"/>
      <c r="E8554" s="3064"/>
      <c r="F8554" s="3064"/>
      <c r="G8554" s="3301" t="s">
        <v>720</v>
      </c>
      <c r="H8554" s="3063"/>
      <c r="I8554" s="3030"/>
    </row>
    <row r="8555" spans="2:9" ht="38.25">
      <c r="B8555" s="3299" t="s">
        <v>681</v>
      </c>
      <c r="C8555" s="3063"/>
      <c r="D8555" s="3064"/>
      <c r="E8555" s="3064"/>
      <c r="F8555" s="3064"/>
      <c r="G8555" s="3300" t="s">
        <v>681</v>
      </c>
      <c r="H8555" s="3063"/>
      <c r="I8555" s="3030"/>
    </row>
    <row r="8556" spans="2:9" ht="25.5">
      <c r="B8556" s="3192" t="s">
        <v>675</v>
      </c>
      <c r="C8556" s="3063"/>
      <c r="D8556" s="3064"/>
      <c r="E8556" s="3064"/>
      <c r="F8556" s="3064"/>
      <c r="G8556" s="3301" t="s">
        <v>675</v>
      </c>
      <c r="H8556" s="3063"/>
      <c r="I8556" s="3030"/>
    </row>
    <row r="8557" spans="2:9" ht="25.5">
      <c r="B8557" s="3192" t="s">
        <v>676</v>
      </c>
      <c r="C8557" s="3063"/>
      <c r="D8557" s="3064"/>
      <c r="E8557" s="3064"/>
      <c r="F8557" s="3064"/>
      <c r="G8557" s="3301" t="s">
        <v>676</v>
      </c>
      <c r="H8557" s="3063"/>
      <c r="I8557" s="3030"/>
    </row>
    <row r="8558" spans="2:9">
      <c r="B8558" s="3192" t="s">
        <v>677</v>
      </c>
      <c r="C8558" s="3063"/>
      <c r="D8558" s="3064"/>
      <c r="E8558" s="3064"/>
      <c r="F8558" s="3064"/>
      <c r="G8558" s="3301" t="s">
        <v>677</v>
      </c>
      <c r="H8558" s="3063"/>
      <c r="I8558" s="3030"/>
    </row>
    <row r="8559" spans="2:9">
      <c r="B8559" s="3192" t="s">
        <v>678</v>
      </c>
      <c r="C8559" s="3063"/>
      <c r="D8559" s="3064"/>
      <c r="E8559" s="3064"/>
      <c r="F8559" s="3064"/>
      <c r="G8559" s="3301" t="s">
        <v>678</v>
      </c>
      <c r="H8559" s="3063"/>
      <c r="I8559" s="3030"/>
    </row>
    <row r="8560" spans="2:9">
      <c r="B8560" s="3192" t="s">
        <v>679</v>
      </c>
      <c r="C8560" s="3063"/>
      <c r="D8560" s="3064"/>
      <c r="E8560" s="3064"/>
      <c r="F8560" s="3064"/>
      <c r="G8560" s="3301" t="s">
        <v>679</v>
      </c>
      <c r="H8560" s="3063"/>
      <c r="I8560" s="3030"/>
    </row>
    <row r="8561" spans="2:9" ht="25.5">
      <c r="B8561" s="3192" t="s">
        <v>720</v>
      </c>
      <c r="C8561" s="3063"/>
      <c r="D8561" s="3064"/>
      <c r="E8561" s="3064"/>
      <c r="F8561" s="3064"/>
      <c r="G8561" s="3301" t="s">
        <v>720</v>
      </c>
      <c r="H8561" s="3063"/>
      <c r="I8561" s="3030"/>
    </row>
    <row r="8562" spans="2:9" ht="25.5">
      <c r="B8562" s="3299" t="s">
        <v>682</v>
      </c>
      <c r="C8562" s="3063"/>
      <c r="D8562" s="3064"/>
      <c r="E8562" s="3064"/>
      <c r="F8562" s="3064"/>
      <c r="G8562" s="3300" t="s">
        <v>682</v>
      </c>
      <c r="H8562" s="3063"/>
      <c r="I8562" s="3030"/>
    </row>
    <row r="8563" spans="2:9" ht="25.5">
      <c r="B8563" s="3192" t="s">
        <v>675</v>
      </c>
      <c r="C8563" s="3063"/>
      <c r="D8563" s="3064"/>
      <c r="E8563" s="3064"/>
      <c r="F8563" s="3064"/>
      <c r="G8563" s="3301" t="s">
        <v>675</v>
      </c>
      <c r="H8563" s="3063"/>
      <c r="I8563" s="3030"/>
    </row>
    <row r="8564" spans="2:9" ht="25.5">
      <c r="B8564" s="3192" t="s">
        <v>676</v>
      </c>
      <c r="C8564" s="3063"/>
      <c r="D8564" s="3064"/>
      <c r="E8564" s="3064"/>
      <c r="F8564" s="3064"/>
      <c r="G8564" s="3301" t="s">
        <v>676</v>
      </c>
      <c r="H8564" s="3063"/>
      <c r="I8564" s="3030"/>
    </row>
    <row r="8565" spans="2:9">
      <c r="B8565" s="3192" t="s">
        <v>677</v>
      </c>
      <c r="C8565" s="3063"/>
      <c r="D8565" s="3064"/>
      <c r="E8565" s="3064"/>
      <c r="F8565" s="3064"/>
      <c r="G8565" s="3301" t="s">
        <v>677</v>
      </c>
      <c r="H8565" s="3063"/>
      <c r="I8565" s="3030"/>
    </row>
    <row r="8566" spans="2:9">
      <c r="B8566" s="3192" t="s">
        <v>678</v>
      </c>
      <c r="C8566" s="3063"/>
      <c r="D8566" s="3064"/>
      <c r="E8566" s="3064"/>
      <c r="F8566" s="3064"/>
      <c r="G8566" s="3301" t="s">
        <v>678</v>
      </c>
      <c r="H8566" s="3063"/>
      <c r="I8566" s="3030"/>
    </row>
    <row r="8567" spans="2:9">
      <c r="B8567" s="3192" t="s">
        <v>679</v>
      </c>
      <c r="C8567" s="3063"/>
      <c r="D8567" s="3064"/>
      <c r="E8567" s="3064"/>
      <c r="F8567" s="3064"/>
      <c r="G8567" s="3301" t="s">
        <v>679</v>
      </c>
      <c r="H8567" s="3063"/>
      <c r="I8567" s="3030"/>
    </row>
    <row r="8568" spans="2:9" ht="25.5">
      <c r="B8568" s="3192" t="s">
        <v>720</v>
      </c>
      <c r="C8568" s="3063"/>
      <c r="D8568" s="3064"/>
      <c r="E8568" s="3064"/>
      <c r="F8568" s="3064"/>
      <c r="G8568" s="3301" t="s">
        <v>720</v>
      </c>
      <c r="H8568" s="3063"/>
      <c r="I8568" s="3030"/>
    </row>
    <row r="8569" spans="2:9" ht="25.5">
      <c r="B8569" s="3299" t="s">
        <v>66</v>
      </c>
      <c r="C8569" s="3063"/>
      <c r="D8569" s="3064"/>
      <c r="E8569" s="3064"/>
      <c r="F8569" s="3064"/>
      <c r="G8569" s="3300" t="s">
        <v>66</v>
      </c>
      <c r="H8569" s="3063"/>
      <c r="I8569" s="3030"/>
    </row>
    <row r="8570" spans="2:9" ht="25.5">
      <c r="B8570" s="3192" t="s">
        <v>675</v>
      </c>
      <c r="C8570" s="3063"/>
      <c r="D8570" s="3064"/>
      <c r="E8570" s="3064"/>
      <c r="F8570" s="3064"/>
      <c r="G8570" s="3301" t="s">
        <v>675</v>
      </c>
      <c r="H8570" s="3063"/>
      <c r="I8570" s="3030"/>
    </row>
    <row r="8571" spans="2:9" ht="25.5">
      <c r="B8571" s="3192" t="s">
        <v>676</v>
      </c>
      <c r="C8571" s="3063"/>
      <c r="D8571" s="3064"/>
      <c r="E8571" s="3064"/>
      <c r="F8571" s="3064"/>
      <c r="G8571" s="3301" t="s">
        <v>676</v>
      </c>
      <c r="H8571" s="3063"/>
      <c r="I8571" s="3030"/>
    </row>
    <row r="8572" spans="2:9">
      <c r="B8572" s="3192" t="s">
        <v>677</v>
      </c>
      <c r="C8572" s="3063"/>
      <c r="D8572" s="3064"/>
      <c r="E8572" s="3064"/>
      <c r="F8572" s="3064"/>
      <c r="G8572" s="3301" t="s">
        <v>677</v>
      </c>
      <c r="H8572" s="3063"/>
      <c r="I8572" s="3030"/>
    </row>
    <row r="8573" spans="2:9">
      <c r="B8573" s="3192" t="s">
        <v>678</v>
      </c>
      <c r="C8573" s="3063"/>
      <c r="D8573" s="3064"/>
      <c r="E8573" s="3064"/>
      <c r="F8573" s="3064"/>
      <c r="G8573" s="3301" t="s">
        <v>678</v>
      </c>
      <c r="H8573" s="3063"/>
      <c r="I8573" s="3030"/>
    </row>
    <row r="8574" spans="2:9">
      <c r="B8574" s="3192" t="s">
        <v>679</v>
      </c>
      <c r="C8574" s="3063"/>
      <c r="D8574" s="3064"/>
      <c r="E8574" s="3064"/>
      <c r="F8574" s="3064"/>
      <c r="G8574" s="3301" t="s">
        <v>679</v>
      </c>
      <c r="H8574" s="3063"/>
      <c r="I8574" s="3030"/>
    </row>
    <row r="8575" spans="2:9" ht="25.5">
      <c r="B8575" s="3192" t="s">
        <v>720</v>
      </c>
      <c r="C8575" s="3063"/>
      <c r="D8575" s="3064"/>
      <c r="E8575" s="3064"/>
      <c r="F8575" s="3064"/>
      <c r="G8575" s="3301" t="s">
        <v>720</v>
      </c>
      <c r="H8575" s="3063"/>
      <c r="I8575" s="3030"/>
    </row>
    <row r="8576" spans="2:9">
      <c r="B8576" s="3299" t="s">
        <v>67</v>
      </c>
      <c r="C8576" s="3063"/>
      <c r="D8576" s="3064"/>
      <c r="E8576" s="3064"/>
      <c r="F8576" s="3064"/>
      <c r="G8576" s="3300" t="s">
        <v>67</v>
      </c>
      <c r="H8576" s="3063"/>
      <c r="I8576" s="3030"/>
    </row>
    <row r="8577" spans="2:9" ht="25.5">
      <c r="B8577" s="3192" t="s">
        <v>675</v>
      </c>
      <c r="C8577" s="3063"/>
      <c r="D8577" s="3064"/>
      <c r="E8577" s="3064"/>
      <c r="F8577" s="3064"/>
      <c r="G8577" s="3301" t="s">
        <v>675</v>
      </c>
      <c r="H8577" s="3063"/>
      <c r="I8577" s="3030"/>
    </row>
    <row r="8578" spans="2:9" ht="25.5">
      <c r="B8578" s="3192" t="s">
        <v>676</v>
      </c>
      <c r="C8578" s="3063"/>
      <c r="D8578" s="3064"/>
      <c r="E8578" s="3064"/>
      <c r="F8578" s="3064"/>
      <c r="G8578" s="3301" t="s">
        <v>676</v>
      </c>
      <c r="H8578" s="3063"/>
      <c r="I8578" s="3030"/>
    </row>
    <row r="8579" spans="2:9">
      <c r="B8579" s="3192" t="s">
        <v>677</v>
      </c>
      <c r="C8579" s="3063"/>
      <c r="D8579" s="3064"/>
      <c r="E8579" s="3064"/>
      <c r="F8579" s="3064"/>
      <c r="G8579" s="3301" t="s">
        <v>677</v>
      </c>
      <c r="H8579" s="3063"/>
      <c r="I8579" s="3030"/>
    </row>
    <row r="8580" spans="2:9">
      <c r="B8580" s="3192" t="s">
        <v>678</v>
      </c>
      <c r="C8580" s="3063"/>
      <c r="D8580" s="3064"/>
      <c r="E8580" s="3064"/>
      <c r="F8580" s="3064"/>
      <c r="G8580" s="3301" t="s">
        <v>678</v>
      </c>
      <c r="H8580" s="3063"/>
      <c r="I8580" s="3030"/>
    </row>
    <row r="8581" spans="2:9">
      <c r="B8581" s="3192" t="s">
        <v>679</v>
      </c>
      <c r="C8581" s="3063"/>
      <c r="D8581" s="3064"/>
      <c r="E8581" s="3064"/>
      <c r="F8581" s="3064"/>
      <c r="G8581" s="3301" t="s">
        <v>679</v>
      </c>
      <c r="H8581" s="3063"/>
      <c r="I8581" s="3030"/>
    </row>
    <row r="8582" spans="2:9" ht="25.5">
      <c r="B8582" s="3230" t="s">
        <v>81</v>
      </c>
      <c r="C8582" s="3063"/>
      <c r="D8582" s="3064"/>
      <c r="E8582" s="3064"/>
      <c r="F8582" s="3064"/>
      <c r="G8582" s="3302" t="s">
        <v>81</v>
      </c>
      <c r="H8582" s="3063"/>
      <c r="I8582" s="3030"/>
    </row>
    <row r="8583" spans="2:9" ht="26.25" thickBot="1">
      <c r="B8583" s="3303" t="s">
        <v>81</v>
      </c>
      <c r="C8583" s="3063"/>
      <c r="D8583" s="3064"/>
      <c r="E8583" s="3064"/>
      <c r="F8583" s="3064"/>
      <c r="G8583" s="3302" t="s">
        <v>81</v>
      </c>
      <c r="H8583" s="3063"/>
      <c r="I8583" s="3030"/>
    </row>
    <row r="8584" spans="2:9">
      <c r="B8584" s="3217" t="s">
        <v>697</v>
      </c>
      <c r="C8584" s="3218"/>
      <c r="D8584" s="3219"/>
      <c r="E8584" s="3219"/>
      <c r="F8584" s="3219"/>
      <c r="G8584" s="3217" t="s">
        <v>697</v>
      </c>
      <c r="H8584" s="3297"/>
      <c r="I8584" s="3298"/>
    </row>
    <row r="8585" spans="2:9">
      <c r="B8585" s="3299" t="s">
        <v>64</v>
      </c>
      <c r="C8585" s="3063"/>
      <c r="D8585" s="3064"/>
      <c r="E8585" s="3064"/>
      <c r="F8585" s="3064"/>
      <c r="G8585" s="3300" t="s">
        <v>64</v>
      </c>
      <c r="H8585" s="3063"/>
      <c r="I8585" s="3030"/>
    </row>
    <row r="8586" spans="2:9" ht="25.5">
      <c r="B8586" s="3192" t="s">
        <v>675</v>
      </c>
      <c r="C8586" s="3063"/>
      <c r="D8586" s="3064"/>
      <c r="E8586" s="3064"/>
      <c r="F8586" s="3064"/>
      <c r="G8586" s="3301" t="s">
        <v>675</v>
      </c>
      <c r="H8586" s="3063"/>
      <c r="I8586" s="3030"/>
    </row>
    <row r="8587" spans="2:9" ht="25.5">
      <c r="B8587" s="3192" t="s">
        <v>676</v>
      </c>
      <c r="C8587" s="3063"/>
      <c r="D8587" s="3064"/>
      <c r="E8587" s="3064"/>
      <c r="F8587" s="3064"/>
      <c r="G8587" s="3301" t="s">
        <v>676</v>
      </c>
      <c r="H8587" s="3063"/>
      <c r="I8587" s="3030"/>
    </row>
    <row r="8588" spans="2:9">
      <c r="B8588" s="3192" t="s">
        <v>677</v>
      </c>
      <c r="C8588" s="3063"/>
      <c r="D8588" s="3064"/>
      <c r="E8588" s="3064"/>
      <c r="F8588" s="3064"/>
      <c r="G8588" s="3301" t="s">
        <v>677</v>
      </c>
      <c r="H8588" s="3063"/>
      <c r="I8588" s="3030"/>
    </row>
    <row r="8589" spans="2:9">
      <c r="B8589" s="3192" t="s">
        <v>678</v>
      </c>
      <c r="C8589" s="3063"/>
      <c r="D8589" s="3064"/>
      <c r="E8589" s="3064"/>
      <c r="F8589" s="3064"/>
      <c r="G8589" s="3301" t="s">
        <v>678</v>
      </c>
      <c r="H8589" s="3063"/>
      <c r="I8589" s="3030"/>
    </row>
    <row r="8590" spans="2:9">
      <c r="B8590" s="3192" t="s">
        <v>679</v>
      </c>
      <c r="C8590" s="3063"/>
      <c r="D8590" s="3064"/>
      <c r="E8590" s="3064"/>
      <c r="F8590" s="3064"/>
      <c r="G8590" s="3301" t="s">
        <v>679</v>
      </c>
      <c r="H8590" s="3063"/>
      <c r="I8590" s="3030"/>
    </row>
    <row r="8591" spans="2:9" ht="25.5">
      <c r="B8591" s="3192" t="s">
        <v>720</v>
      </c>
      <c r="C8591" s="3063"/>
      <c r="D8591" s="3064"/>
      <c r="E8591" s="3064"/>
      <c r="F8591" s="3064"/>
      <c r="G8591" s="3301" t="s">
        <v>720</v>
      </c>
      <c r="H8591" s="3063"/>
      <c r="I8591" s="3030"/>
    </row>
    <row r="8592" spans="2:9">
      <c r="B8592" s="3299" t="s">
        <v>65</v>
      </c>
      <c r="C8592" s="3063"/>
      <c r="D8592" s="3064"/>
      <c r="E8592" s="3064"/>
      <c r="F8592" s="3064"/>
      <c r="G8592" s="3300" t="s">
        <v>65</v>
      </c>
      <c r="H8592" s="3063"/>
      <c r="I8592" s="3030"/>
    </row>
    <row r="8593" spans="2:9" ht="25.5">
      <c r="B8593" s="3192" t="s">
        <v>675</v>
      </c>
      <c r="C8593" s="3063"/>
      <c r="D8593" s="3064"/>
      <c r="E8593" s="3064"/>
      <c r="F8593" s="3064"/>
      <c r="G8593" s="3301" t="s">
        <v>675</v>
      </c>
      <c r="H8593" s="3063"/>
      <c r="I8593" s="3030"/>
    </row>
    <row r="8594" spans="2:9" ht="25.5">
      <c r="B8594" s="3192" t="s">
        <v>676</v>
      </c>
      <c r="C8594" s="3063"/>
      <c r="D8594" s="3064"/>
      <c r="E8594" s="3064"/>
      <c r="F8594" s="3064"/>
      <c r="G8594" s="3301" t="s">
        <v>676</v>
      </c>
      <c r="H8594" s="3063"/>
      <c r="I8594" s="3030"/>
    </row>
    <row r="8595" spans="2:9">
      <c r="B8595" s="3192" t="s">
        <v>677</v>
      </c>
      <c r="C8595" s="3063"/>
      <c r="D8595" s="3064"/>
      <c r="E8595" s="3064"/>
      <c r="F8595" s="3064"/>
      <c r="G8595" s="3301" t="s">
        <v>677</v>
      </c>
      <c r="H8595" s="3063"/>
      <c r="I8595" s="3030"/>
    </row>
    <row r="8596" spans="2:9">
      <c r="B8596" s="3192" t="s">
        <v>678</v>
      </c>
      <c r="C8596" s="3063"/>
      <c r="D8596" s="3064"/>
      <c r="E8596" s="3064"/>
      <c r="F8596" s="3064"/>
      <c r="G8596" s="3301" t="s">
        <v>678</v>
      </c>
      <c r="H8596" s="3063"/>
      <c r="I8596" s="3030"/>
    </row>
    <row r="8597" spans="2:9">
      <c r="B8597" s="3192" t="s">
        <v>679</v>
      </c>
      <c r="C8597" s="3063"/>
      <c r="D8597" s="3064"/>
      <c r="E8597" s="3064"/>
      <c r="F8597" s="3064"/>
      <c r="G8597" s="3301" t="s">
        <v>679</v>
      </c>
      <c r="H8597" s="3063"/>
      <c r="I8597" s="3030"/>
    </row>
    <row r="8598" spans="2:9" ht="25.5">
      <c r="B8598" s="3192" t="s">
        <v>720</v>
      </c>
      <c r="C8598" s="3063"/>
      <c r="D8598" s="3064"/>
      <c r="E8598" s="3064"/>
      <c r="F8598" s="3064"/>
      <c r="G8598" s="3301" t="s">
        <v>720</v>
      </c>
      <c r="H8598" s="3063"/>
      <c r="I8598" s="3030"/>
    </row>
    <row r="8599" spans="2:9">
      <c r="B8599" s="3299" t="s">
        <v>82</v>
      </c>
      <c r="C8599" s="3063"/>
      <c r="D8599" s="3064"/>
      <c r="E8599" s="3064"/>
      <c r="F8599" s="3064"/>
      <c r="G8599" s="3300" t="s">
        <v>82</v>
      </c>
      <c r="H8599" s="3063"/>
      <c r="I8599" s="3030"/>
    </row>
    <row r="8600" spans="2:9" ht="25.5">
      <c r="B8600" s="3192" t="s">
        <v>675</v>
      </c>
      <c r="C8600" s="3063"/>
      <c r="D8600" s="3064"/>
      <c r="E8600" s="3064"/>
      <c r="F8600" s="3064"/>
      <c r="G8600" s="3301" t="s">
        <v>675</v>
      </c>
      <c r="H8600" s="3063"/>
      <c r="I8600" s="3030"/>
    </row>
    <row r="8601" spans="2:9" ht="25.5">
      <c r="B8601" s="3192" t="s">
        <v>676</v>
      </c>
      <c r="C8601" s="3063"/>
      <c r="D8601" s="3064"/>
      <c r="E8601" s="3064"/>
      <c r="F8601" s="3064"/>
      <c r="G8601" s="3301" t="s">
        <v>676</v>
      </c>
      <c r="H8601" s="3063"/>
      <c r="I8601" s="3030"/>
    </row>
    <row r="8602" spans="2:9">
      <c r="B8602" s="3192" t="s">
        <v>677</v>
      </c>
      <c r="C8602" s="3063"/>
      <c r="D8602" s="3064"/>
      <c r="E8602" s="3064"/>
      <c r="F8602" s="3064"/>
      <c r="G8602" s="3301" t="s">
        <v>677</v>
      </c>
      <c r="H8602" s="3063"/>
      <c r="I8602" s="3030"/>
    </row>
    <row r="8603" spans="2:9">
      <c r="B8603" s="3192" t="s">
        <v>678</v>
      </c>
      <c r="C8603" s="3063"/>
      <c r="D8603" s="3064"/>
      <c r="E8603" s="3064"/>
      <c r="F8603" s="3064"/>
      <c r="G8603" s="3301" t="s">
        <v>678</v>
      </c>
      <c r="H8603" s="3063"/>
      <c r="I8603" s="3030"/>
    </row>
    <row r="8604" spans="2:9">
      <c r="B8604" s="3192" t="s">
        <v>679</v>
      </c>
      <c r="C8604" s="3063"/>
      <c r="D8604" s="3064"/>
      <c r="E8604" s="3064"/>
      <c r="F8604" s="3064"/>
      <c r="G8604" s="3301" t="s">
        <v>679</v>
      </c>
      <c r="H8604" s="3063"/>
      <c r="I8604" s="3030"/>
    </row>
    <row r="8605" spans="2:9" ht="25.5">
      <c r="B8605" s="3192" t="s">
        <v>720</v>
      </c>
      <c r="C8605" s="3063"/>
      <c r="D8605" s="3064"/>
      <c r="E8605" s="3064"/>
      <c r="F8605" s="3064"/>
      <c r="G8605" s="3301" t="s">
        <v>720</v>
      </c>
      <c r="H8605" s="3063"/>
      <c r="I8605" s="3030"/>
    </row>
    <row r="8606" spans="2:9" ht="38.25">
      <c r="B8606" s="3299" t="s">
        <v>680</v>
      </c>
      <c r="C8606" s="3063"/>
      <c r="D8606" s="3064"/>
      <c r="E8606" s="3064"/>
      <c r="F8606" s="3064"/>
      <c r="G8606" s="3300" t="s">
        <v>680</v>
      </c>
      <c r="H8606" s="3063"/>
      <c r="I8606" s="3030"/>
    </row>
    <row r="8607" spans="2:9" ht="25.5">
      <c r="B8607" s="3192" t="s">
        <v>675</v>
      </c>
      <c r="C8607" s="3063"/>
      <c r="D8607" s="3064"/>
      <c r="E8607" s="3064"/>
      <c r="F8607" s="3064"/>
      <c r="G8607" s="3301" t="s">
        <v>675</v>
      </c>
      <c r="H8607" s="3063"/>
      <c r="I8607" s="3030"/>
    </row>
    <row r="8608" spans="2:9" ht="25.5">
      <c r="B8608" s="3192" t="s">
        <v>676</v>
      </c>
      <c r="C8608" s="3063"/>
      <c r="D8608" s="3064"/>
      <c r="E8608" s="3064"/>
      <c r="F8608" s="3064"/>
      <c r="G8608" s="3301" t="s">
        <v>676</v>
      </c>
      <c r="H8608" s="3063"/>
      <c r="I8608" s="3030"/>
    </row>
    <row r="8609" spans="2:9">
      <c r="B8609" s="3192" t="s">
        <v>677</v>
      </c>
      <c r="C8609" s="3063"/>
      <c r="D8609" s="3064"/>
      <c r="E8609" s="3064"/>
      <c r="F8609" s="3064"/>
      <c r="G8609" s="3301" t="s">
        <v>677</v>
      </c>
      <c r="H8609" s="3063"/>
      <c r="I8609" s="3030"/>
    </row>
    <row r="8610" spans="2:9">
      <c r="B8610" s="3192" t="s">
        <v>678</v>
      </c>
      <c r="C8610" s="3063"/>
      <c r="D8610" s="3064"/>
      <c r="E8610" s="3064"/>
      <c r="F8610" s="3064"/>
      <c r="G8610" s="3301" t="s">
        <v>678</v>
      </c>
      <c r="H8610" s="3063"/>
      <c r="I8610" s="3030"/>
    </row>
    <row r="8611" spans="2:9">
      <c r="B8611" s="3192" t="s">
        <v>679</v>
      </c>
      <c r="C8611" s="3063"/>
      <c r="D8611" s="3064"/>
      <c r="E8611" s="3064"/>
      <c r="F8611" s="3064"/>
      <c r="G8611" s="3301" t="s">
        <v>679</v>
      </c>
      <c r="H8611" s="3063"/>
      <c r="I8611" s="3030"/>
    </row>
    <row r="8612" spans="2:9" ht="25.5">
      <c r="B8612" s="3192" t="s">
        <v>720</v>
      </c>
      <c r="C8612" s="3063"/>
      <c r="D8612" s="3064"/>
      <c r="E8612" s="3064"/>
      <c r="F8612" s="3064"/>
      <c r="G8612" s="3301" t="s">
        <v>720</v>
      </c>
      <c r="H8612" s="3063"/>
      <c r="I8612" s="3030"/>
    </row>
    <row r="8613" spans="2:9" ht="38.25">
      <c r="B8613" s="3299" t="s">
        <v>681</v>
      </c>
      <c r="C8613" s="3063"/>
      <c r="D8613" s="3064"/>
      <c r="E8613" s="3064"/>
      <c r="F8613" s="3064">
        <v>1</v>
      </c>
      <c r="G8613" s="3300" t="s">
        <v>681</v>
      </c>
      <c r="H8613" s="3063">
        <v>2.5998336106489203E-2</v>
      </c>
      <c r="I8613" s="3030"/>
    </row>
    <row r="8614" spans="2:9" ht="25.5">
      <c r="B8614" s="3192" t="s">
        <v>675</v>
      </c>
      <c r="C8614" s="3063">
        <v>2</v>
      </c>
      <c r="D8614" s="3064">
        <v>1</v>
      </c>
      <c r="E8614" s="3064"/>
      <c r="F8614" s="3064"/>
      <c r="G8614" s="3301" t="s">
        <v>675</v>
      </c>
      <c r="H8614" s="3063"/>
      <c r="I8614" s="3030">
        <v>2.9248128119800355E-2</v>
      </c>
    </row>
    <row r="8615" spans="2:9" ht="25.5">
      <c r="B8615" s="3192" t="s">
        <v>676</v>
      </c>
      <c r="C8615" s="3063"/>
      <c r="D8615" s="3064"/>
      <c r="E8615" s="3064"/>
      <c r="F8615" s="3064"/>
      <c r="G8615" s="3301" t="s">
        <v>676</v>
      </c>
      <c r="H8615" s="3063"/>
      <c r="I8615" s="3030"/>
    </row>
    <row r="8616" spans="2:9">
      <c r="B8616" s="3192" t="s">
        <v>677</v>
      </c>
      <c r="C8616" s="3063"/>
      <c r="D8616" s="3064"/>
      <c r="E8616" s="3064"/>
      <c r="F8616" s="3064"/>
      <c r="G8616" s="3301" t="s">
        <v>677</v>
      </c>
      <c r="H8616" s="3063"/>
      <c r="I8616" s="3030"/>
    </row>
    <row r="8617" spans="2:9">
      <c r="B8617" s="3192" t="s">
        <v>678</v>
      </c>
      <c r="C8617" s="3063"/>
      <c r="D8617" s="3064"/>
      <c r="E8617" s="3064"/>
      <c r="F8617" s="3064"/>
      <c r="G8617" s="3301" t="s">
        <v>678</v>
      </c>
      <c r="H8617" s="3063"/>
      <c r="I8617" s="3030"/>
    </row>
    <row r="8618" spans="2:9">
      <c r="B8618" s="3192" t="s">
        <v>679</v>
      </c>
      <c r="C8618" s="3063"/>
      <c r="D8618" s="3064"/>
      <c r="E8618" s="3064"/>
      <c r="F8618" s="3064"/>
      <c r="G8618" s="3301" t="s">
        <v>679</v>
      </c>
      <c r="H8618" s="3063"/>
      <c r="I8618" s="3030"/>
    </row>
    <row r="8619" spans="2:9" ht="25.5">
      <c r="B8619" s="3192" t="s">
        <v>720</v>
      </c>
      <c r="C8619" s="3063"/>
      <c r="D8619" s="3064"/>
      <c r="E8619" s="3064"/>
      <c r="F8619" s="3064"/>
      <c r="G8619" s="3301" t="s">
        <v>720</v>
      </c>
      <c r="H8619" s="3063"/>
      <c r="I8619" s="3030"/>
    </row>
    <row r="8620" spans="2:9" ht="25.5">
      <c r="B8620" s="3299" t="s">
        <v>682</v>
      </c>
      <c r="C8620" s="3063"/>
      <c r="D8620" s="3064"/>
      <c r="E8620" s="3064"/>
      <c r="F8620" s="3064"/>
      <c r="G8620" s="3300" t="s">
        <v>682</v>
      </c>
      <c r="H8620" s="3063"/>
      <c r="I8620" s="3030"/>
    </row>
    <row r="8621" spans="2:9" ht="25.5">
      <c r="B8621" s="3192" t="s">
        <v>675</v>
      </c>
      <c r="C8621" s="3063"/>
      <c r="D8621" s="3064"/>
      <c r="E8621" s="3064"/>
      <c r="F8621" s="3064"/>
      <c r="G8621" s="3301" t="s">
        <v>675</v>
      </c>
      <c r="H8621" s="3063"/>
      <c r="I8621" s="3030"/>
    </row>
    <row r="8622" spans="2:9" ht="25.5">
      <c r="B8622" s="3192" t="s">
        <v>676</v>
      </c>
      <c r="C8622" s="3063"/>
      <c r="D8622" s="3064"/>
      <c r="E8622" s="3064"/>
      <c r="F8622" s="3064"/>
      <c r="G8622" s="3301" t="s">
        <v>676</v>
      </c>
      <c r="H8622" s="3063"/>
      <c r="I8622" s="3030"/>
    </row>
    <row r="8623" spans="2:9">
      <c r="B8623" s="3192" t="s">
        <v>677</v>
      </c>
      <c r="C8623" s="3063"/>
      <c r="D8623" s="3064"/>
      <c r="E8623" s="3064"/>
      <c r="F8623" s="3064"/>
      <c r="G8623" s="3301" t="s">
        <v>677</v>
      </c>
      <c r="H8623" s="3063"/>
      <c r="I8623" s="3030"/>
    </row>
    <row r="8624" spans="2:9">
      <c r="B8624" s="3192" t="s">
        <v>678</v>
      </c>
      <c r="C8624" s="3063"/>
      <c r="D8624" s="3064"/>
      <c r="E8624" s="3064"/>
      <c r="F8624" s="3064"/>
      <c r="G8624" s="3301" t="s">
        <v>678</v>
      </c>
      <c r="H8624" s="3063"/>
      <c r="I8624" s="3030"/>
    </row>
    <row r="8625" spans="2:9">
      <c r="B8625" s="3192" t="s">
        <v>679</v>
      </c>
      <c r="C8625" s="3063"/>
      <c r="D8625" s="3064"/>
      <c r="E8625" s="3064"/>
      <c r="F8625" s="3064"/>
      <c r="G8625" s="3301" t="s">
        <v>679</v>
      </c>
      <c r="H8625" s="3063"/>
      <c r="I8625" s="3030"/>
    </row>
    <row r="8626" spans="2:9" ht="25.5">
      <c r="B8626" s="3192" t="s">
        <v>720</v>
      </c>
      <c r="C8626" s="3063"/>
      <c r="D8626" s="3064"/>
      <c r="E8626" s="3064"/>
      <c r="F8626" s="3064"/>
      <c r="G8626" s="3301" t="s">
        <v>720</v>
      </c>
      <c r="H8626" s="3063"/>
      <c r="I8626" s="3030"/>
    </row>
    <row r="8627" spans="2:9" ht="25.5">
      <c r="B8627" s="3299" t="s">
        <v>66</v>
      </c>
      <c r="C8627" s="3063"/>
      <c r="D8627" s="3064"/>
      <c r="E8627" s="3064"/>
      <c r="F8627" s="3064"/>
      <c r="G8627" s="3300" t="s">
        <v>66</v>
      </c>
      <c r="H8627" s="3063"/>
      <c r="I8627" s="3030"/>
    </row>
    <row r="8628" spans="2:9" ht="25.5">
      <c r="B8628" s="3192" t="s">
        <v>675</v>
      </c>
      <c r="C8628" s="3063"/>
      <c r="D8628" s="3064"/>
      <c r="E8628" s="3064"/>
      <c r="F8628" s="3064"/>
      <c r="G8628" s="3301" t="s">
        <v>675</v>
      </c>
      <c r="H8628" s="3063"/>
      <c r="I8628" s="3030"/>
    </row>
    <row r="8629" spans="2:9" ht="25.5">
      <c r="B8629" s="3192" t="s">
        <v>676</v>
      </c>
      <c r="C8629" s="3063"/>
      <c r="D8629" s="3064"/>
      <c r="E8629" s="3064"/>
      <c r="F8629" s="3064"/>
      <c r="G8629" s="3301" t="s">
        <v>676</v>
      </c>
      <c r="H8629" s="3063"/>
      <c r="I8629" s="3030"/>
    </row>
    <row r="8630" spans="2:9">
      <c r="B8630" s="3192" t="s">
        <v>677</v>
      </c>
      <c r="C8630" s="3063"/>
      <c r="D8630" s="3064"/>
      <c r="E8630" s="3064"/>
      <c r="F8630" s="3064"/>
      <c r="G8630" s="3301" t="s">
        <v>677</v>
      </c>
      <c r="H8630" s="3063"/>
      <c r="I8630" s="3030"/>
    </row>
    <row r="8631" spans="2:9">
      <c r="B8631" s="3192" t="s">
        <v>678</v>
      </c>
      <c r="C8631" s="3063"/>
      <c r="D8631" s="3064"/>
      <c r="E8631" s="3064"/>
      <c r="F8631" s="3064"/>
      <c r="G8631" s="3301" t="s">
        <v>678</v>
      </c>
      <c r="H8631" s="3063"/>
      <c r="I8631" s="3030"/>
    </row>
    <row r="8632" spans="2:9">
      <c r="B8632" s="3192" t="s">
        <v>679</v>
      </c>
      <c r="C8632" s="3063"/>
      <c r="D8632" s="3064"/>
      <c r="E8632" s="3064"/>
      <c r="F8632" s="3064"/>
      <c r="G8632" s="3301" t="s">
        <v>679</v>
      </c>
      <c r="H8632" s="3063"/>
      <c r="I8632" s="3030"/>
    </row>
    <row r="8633" spans="2:9" ht="25.5">
      <c r="B8633" s="3192" t="s">
        <v>720</v>
      </c>
      <c r="C8633" s="3063"/>
      <c r="D8633" s="3064"/>
      <c r="E8633" s="3064"/>
      <c r="F8633" s="3064"/>
      <c r="G8633" s="3301" t="s">
        <v>720</v>
      </c>
      <c r="H8633" s="3063"/>
      <c r="I8633" s="3030"/>
    </row>
    <row r="8634" spans="2:9">
      <c r="B8634" s="3299" t="s">
        <v>67</v>
      </c>
      <c r="C8634" s="3063"/>
      <c r="D8634" s="3064"/>
      <c r="E8634" s="3064"/>
      <c r="F8634" s="3064"/>
      <c r="G8634" s="3300" t="s">
        <v>67</v>
      </c>
      <c r="H8634" s="3063"/>
      <c r="I8634" s="3030"/>
    </row>
    <row r="8635" spans="2:9" ht="25.5">
      <c r="B8635" s="3192" t="s">
        <v>675</v>
      </c>
      <c r="C8635" s="3063"/>
      <c r="D8635" s="3064"/>
      <c r="E8635" s="3064"/>
      <c r="F8635" s="3064"/>
      <c r="G8635" s="3301" t="s">
        <v>675</v>
      </c>
      <c r="H8635" s="3063"/>
      <c r="I8635" s="3030"/>
    </row>
    <row r="8636" spans="2:9" ht="25.5">
      <c r="B8636" s="3192" t="s">
        <v>676</v>
      </c>
      <c r="C8636" s="3063"/>
      <c r="D8636" s="3064"/>
      <c r="E8636" s="3064"/>
      <c r="F8636" s="3064"/>
      <c r="G8636" s="3301" t="s">
        <v>676</v>
      </c>
      <c r="H8636" s="3063"/>
      <c r="I8636" s="3030"/>
    </row>
    <row r="8637" spans="2:9">
      <c r="B8637" s="3192" t="s">
        <v>677</v>
      </c>
      <c r="C8637" s="3063"/>
      <c r="D8637" s="3064"/>
      <c r="E8637" s="3064"/>
      <c r="F8637" s="3064"/>
      <c r="G8637" s="3301" t="s">
        <v>677</v>
      </c>
      <c r="H8637" s="3063"/>
      <c r="I8637" s="3030"/>
    </row>
    <row r="8638" spans="2:9">
      <c r="B8638" s="3192" t="s">
        <v>678</v>
      </c>
      <c r="C8638" s="3063"/>
      <c r="D8638" s="3064"/>
      <c r="E8638" s="3064"/>
      <c r="F8638" s="3064"/>
      <c r="G8638" s="3301" t="s">
        <v>678</v>
      </c>
      <c r="H8638" s="3063"/>
      <c r="I8638" s="3030"/>
    </row>
    <row r="8639" spans="2:9">
      <c r="B8639" s="3192" t="s">
        <v>679</v>
      </c>
      <c r="C8639" s="3063"/>
      <c r="D8639" s="3064"/>
      <c r="E8639" s="3064"/>
      <c r="F8639" s="3064"/>
      <c r="G8639" s="3301" t="s">
        <v>679</v>
      </c>
      <c r="H8639" s="3063"/>
      <c r="I8639" s="3030"/>
    </row>
    <row r="8640" spans="2:9" ht="25.5">
      <c r="B8640" s="3230" t="s">
        <v>81</v>
      </c>
      <c r="C8640" s="3063"/>
      <c r="D8640" s="3064"/>
      <c r="E8640" s="3064"/>
      <c r="F8640" s="3064"/>
      <c r="G8640" s="3302" t="s">
        <v>81</v>
      </c>
      <c r="H8640" s="3063"/>
      <c r="I8640" s="3030"/>
    </row>
    <row r="8641" spans="2:9" ht="26.25" thickBot="1">
      <c r="B8641" s="3303" t="s">
        <v>81</v>
      </c>
      <c r="C8641" s="3068"/>
      <c r="D8641" s="3069"/>
      <c r="E8641" s="3069"/>
      <c r="F8641" s="3069"/>
      <c r="G8641" s="3304" t="s">
        <v>81</v>
      </c>
      <c r="H8641" s="3068"/>
      <c r="I8641" s="3070"/>
    </row>
    <row r="8642" spans="2:9" ht="38.25">
      <c r="B8642" s="4723">
        <v>3061</v>
      </c>
      <c r="C8642" s="3289"/>
      <c r="D8642" s="3290"/>
      <c r="E8642" s="3290"/>
      <c r="F8642" s="3290"/>
      <c r="G8642" s="4723">
        <v>3061</v>
      </c>
      <c r="H8642" s="3291" t="s">
        <v>687</v>
      </c>
      <c r="I8642" s="3292" t="s">
        <v>688</v>
      </c>
    </row>
    <row r="8643" spans="2:9">
      <c r="B8643" s="4724"/>
      <c r="C8643" s="4678" t="s">
        <v>686</v>
      </c>
      <c r="D8643" s="4725"/>
      <c r="E8643" s="4725"/>
      <c r="F8643" s="4726"/>
      <c r="G8643" s="4724"/>
      <c r="H8643" s="3293"/>
      <c r="I8643" s="3294"/>
    </row>
    <row r="8644" spans="2:9" ht="13.5" thickBot="1">
      <c r="B8644" s="4724"/>
      <c r="C8644" s="3215">
        <v>2013</v>
      </c>
      <c r="D8644" s="3215">
        <v>2014</v>
      </c>
      <c r="E8644" s="3215">
        <v>2015</v>
      </c>
      <c r="F8644" s="3215">
        <v>2016</v>
      </c>
      <c r="G8644" s="4724"/>
      <c r="H8644" s="3295" t="s">
        <v>390</v>
      </c>
      <c r="I8644" s="3296" t="s">
        <v>390</v>
      </c>
    </row>
    <row r="8645" spans="2:9">
      <c r="B8645" s="3217" t="s">
        <v>695</v>
      </c>
      <c r="C8645" s="3218"/>
      <c r="D8645" s="3219"/>
      <c r="E8645" s="3219"/>
      <c r="F8645" s="3219"/>
      <c r="G8645" s="3217" t="s">
        <v>695</v>
      </c>
      <c r="H8645" s="3297"/>
      <c r="I8645" s="3298"/>
    </row>
    <row r="8646" spans="2:9">
      <c r="B8646" s="3299" t="s">
        <v>64</v>
      </c>
      <c r="C8646" s="3063"/>
      <c r="D8646" s="3064"/>
      <c r="E8646" s="3064"/>
      <c r="F8646" s="3064"/>
      <c r="G8646" s="3300" t="s">
        <v>64</v>
      </c>
      <c r="H8646" s="3063"/>
      <c r="I8646" s="3030"/>
    </row>
    <row r="8647" spans="2:9" ht="25.5">
      <c r="B8647" s="3192" t="s">
        <v>675</v>
      </c>
      <c r="C8647" s="3063"/>
      <c r="D8647" s="3064"/>
      <c r="E8647" s="3064"/>
      <c r="F8647" s="3064"/>
      <c r="G8647" s="3301" t="s">
        <v>675</v>
      </c>
      <c r="H8647" s="3063"/>
      <c r="I8647" s="3030"/>
    </row>
    <row r="8648" spans="2:9" ht="25.5">
      <c r="B8648" s="3192" t="s">
        <v>676</v>
      </c>
      <c r="C8648" s="3063"/>
      <c r="D8648" s="3064"/>
      <c r="E8648" s="3064"/>
      <c r="F8648" s="3064"/>
      <c r="G8648" s="3301" t="s">
        <v>676</v>
      </c>
      <c r="H8648" s="3063"/>
      <c r="I8648" s="3030"/>
    </row>
    <row r="8649" spans="2:9">
      <c r="B8649" s="3192" t="s">
        <v>677</v>
      </c>
      <c r="C8649" s="3063"/>
      <c r="D8649" s="3064"/>
      <c r="E8649" s="3064"/>
      <c r="F8649" s="3064"/>
      <c r="G8649" s="3301" t="s">
        <v>677</v>
      </c>
      <c r="H8649" s="3063"/>
      <c r="I8649" s="3030"/>
    </row>
    <row r="8650" spans="2:9">
      <c r="B8650" s="3192" t="s">
        <v>678</v>
      </c>
      <c r="C8650" s="3063"/>
      <c r="D8650" s="3064"/>
      <c r="E8650" s="3064"/>
      <c r="F8650" s="3064"/>
      <c r="G8650" s="3301" t="s">
        <v>678</v>
      </c>
      <c r="H8650" s="3063"/>
      <c r="I8650" s="3030"/>
    </row>
    <row r="8651" spans="2:9">
      <c r="B8651" s="3192" t="s">
        <v>679</v>
      </c>
      <c r="C8651" s="3063"/>
      <c r="D8651" s="3064"/>
      <c r="E8651" s="3064"/>
      <c r="F8651" s="3064"/>
      <c r="G8651" s="3301" t="s">
        <v>679</v>
      </c>
      <c r="H8651" s="3063"/>
      <c r="I8651" s="3030"/>
    </row>
    <row r="8652" spans="2:9" ht="25.5">
      <c r="B8652" s="3192" t="s">
        <v>720</v>
      </c>
      <c r="C8652" s="3063"/>
      <c r="D8652" s="3064"/>
      <c r="E8652" s="3064"/>
      <c r="F8652" s="3064"/>
      <c r="G8652" s="3301" t="s">
        <v>720</v>
      </c>
      <c r="H8652" s="3063"/>
      <c r="I8652" s="3030"/>
    </row>
    <row r="8653" spans="2:9">
      <c r="B8653" s="3299" t="s">
        <v>65</v>
      </c>
      <c r="C8653" s="3063"/>
      <c r="D8653" s="3064"/>
      <c r="E8653" s="3064"/>
      <c r="F8653" s="3064"/>
      <c r="G8653" s="3300" t="s">
        <v>65</v>
      </c>
      <c r="H8653" s="3063"/>
      <c r="I8653" s="3030"/>
    </row>
    <row r="8654" spans="2:9" ht="25.5">
      <c r="B8654" s="3192" t="s">
        <v>675</v>
      </c>
      <c r="C8654" s="3063"/>
      <c r="D8654" s="3064"/>
      <c r="E8654" s="3064"/>
      <c r="F8654" s="3064"/>
      <c r="G8654" s="3301" t="s">
        <v>675</v>
      </c>
      <c r="H8654" s="3063"/>
      <c r="I8654" s="3030"/>
    </row>
    <row r="8655" spans="2:9" ht="25.5">
      <c r="B8655" s="3192" t="s">
        <v>676</v>
      </c>
      <c r="C8655" s="3063"/>
      <c r="D8655" s="3064"/>
      <c r="E8655" s="3064"/>
      <c r="F8655" s="3064"/>
      <c r="G8655" s="3301" t="s">
        <v>676</v>
      </c>
      <c r="H8655" s="3063"/>
      <c r="I8655" s="3030"/>
    </row>
    <row r="8656" spans="2:9">
      <c r="B8656" s="3192" t="s">
        <v>677</v>
      </c>
      <c r="C8656" s="3063"/>
      <c r="D8656" s="3064"/>
      <c r="E8656" s="3064"/>
      <c r="F8656" s="3064"/>
      <c r="G8656" s="3301" t="s">
        <v>677</v>
      </c>
      <c r="H8656" s="3063"/>
      <c r="I8656" s="3030"/>
    </row>
    <row r="8657" spans="2:9">
      <c r="B8657" s="3192" t="s">
        <v>678</v>
      </c>
      <c r="C8657" s="3063"/>
      <c r="D8657" s="3064"/>
      <c r="E8657" s="3064"/>
      <c r="F8657" s="3064"/>
      <c r="G8657" s="3301" t="s">
        <v>678</v>
      </c>
      <c r="H8657" s="3063"/>
      <c r="I8657" s="3030"/>
    </row>
    <row r="8658" spans="2:9">
      <c r="B8658" s="3192" t="s">
        <v>679</v>
      </c>
      <c r="C8658" s="3063"/>
      <c r="D8658" s="3064"/>
      <c r="E8658" s="3064"/>
      <c r="F8658" s="3064"/>
      <c r="G8658" s="3301" t="s">
        <v>679</v>
      </c>
      <c r="H8658" s="3063"/>
      <c r="I8658" s="3030"/>
    </row>
    <row r="8659" spans="2:9" ht="25.5">
      <c r="B8659" s="3192" t="s">
        <v>720</v>
      </c>
      <c r="C8659" s="3063"/>
      <c r="D8659" s="3064"/>
      <c r="E8659" s="3064"/>
      <c r="F8659" s="3064"/>
      <c r="G8659" s="3301" t="s">
        <v>720</v>
      </c>
      <c r="H8659" s="3063"/>
      <c r="I8659" s="3030"/>
    </row>
    <row r="8660" spans="2:9">
      <c r="B8660" s="3299" t="s">
        <v>82</v>
      </c>
      <c r="C8660" s="3063"/>
      <c r="D8660" s="3064"/>
      <c r="E8660" s="3064"/>
      <c r="F8660" s="3064"/>
      <c r="G8660" s="3300" t="s">
        <v>82</v>
      </c>
      <c r="H8660" s="3063"/>
      <c r="I8660" s="3030"/>
    </row>
    <row r="8661" spans="2:9" ht="25.5">
      <c r="B8661" s="3192" t="s">
        <v>675</v>
      </c>
      <c r="C8661" s="3063"/>
      <c r="D8661" s="3064"/>
      <c r="E8661" s="3064"/>
      <c r="F8661" s="3064"/>
      <c r="G8661" s="3301" t="s">
        <v>675</v>
      </c>
      <c r="H8661" s="3063"/>
      <c r="I8661" s="3030"/>
    </row>
    <row r="8662" spans="2:9" ht="25.5">
      <c r="B8662" s="3192" t="s">
        <v>676</v>
      </c>
      <c r="C8662" s="3063"/>
      <c r="D8662" s="3064"/>
      <c r="E8662" s="3064"/>
      <c r="F8662" s="3064"/>
      <c r="G8662" s="3301" t="s">
        <v>676</v>
      </c>
      <c r="H8662" s="3063"/>
      <c r="I8662" s="3030"/>
    </row>
    <row r="8663" spans="2:9">
      <c r="B8663" s="3192" t="s">
        <v>677</v>
      </c>
      <c r="C8663" s="3063"/>
      <c r="D8663" s="3064"/>
      <c r="E8663" s="3064"/>
      <c r="F8663" s="3064"/>
      <c r="G8663" s="3301" t="s">
        <v>677</v>
      </c>
      <c r="H8663" s="3063"/>
      <c r="I8663" s="3030"/>
    </row>
    <row r="8664" spans="2:9">
      <c r="B8664" s="3192" t="s">
        <v>678</v>
      </c>
      <c r="C8664" s="3063"/>
      <c r="D8664" s="3064"/>
      <c r="E8664" s="3064"/>
      <c r="F8664" s="3064"/>
      <c r="G8664" s="3301" t="s">
        <v>678</v>
      </c>
      <c r="H8664" s="3063"/>
      <c r="I8664" s="3030"/>
    </row>
    <row r="8665" spans="2:9">
      <c r="B8665" s="3192" t="s">
        <v>679</v>
      </c>
      <c r="C8665" s="3063"/>
      <c r="D8665" s="3064"/>
      <c r="E8665" s="3064"/>
      <c r="F8665" s="3064"/>
      <c r="G8665" s="3301" t="s">
        <v>679</v>
      </c>
      <c r="H8665" s="3063"/>
      <c r="I8665" s="3030"/>
    </row>
    <row r="8666" spans="2:9" ht="25.5">
      <c r="B8666" s="3192" t="s">
        <v>720</v>
      </c>
      <c r="C8666" s="3063"/>
      <c r="D8666" s="3064"/>
      <c r="E8666" s="3064"/>
      <c r="F8666" s="3064"/>
      <c r="G8666" s="3301" t="s">
        <v>720</v>
      </c>
      <c r="H8666" s="3063"/>
      <c r="I8666" s="3030"/>
    </row>
    <row r="8667" spans="2:9" ht="38.25">
      <c r="B8667" s="3299" t="s">
        <v>680</v>
      </c>
      <c r="C8667" s="3063"/>
      <c r="D8667" s="3064"/>
      <c r="E8667" s="3064"/>
      <c r="F8667" s="3064"/>
      <c r="G8667" s="3300" t="s">
        <v>680</v>
      </c>
      <c r="H8667" s="3063"/>
      <c r="I8667" s="3030"/>
    </row>
    <row r="8668" spans="2:9" ht="25.5">
      <c r="B8668" s="3192" t="s">
        <v>675</v>
      </c>
      <c r="C8668" s="3063"/>
      <c r="D8668" s="3064"/>
      <c r="E8668" s="3064"/>
      <c r="F8668" s="3064"/>
      <c r="G8668" s="3301" t="s">
        <v>675</v>
      </c>
      <c r="H8668" s="3063"/>
      <c r="I8668" s="3030"/>
    </row>
    <row r="8669" spans="2:9" ht="25.5">
      <c r="B8669" s="3192" t="s">
        <v>676</v>
      </c>
      <c r="C8669" s="3063"/>
      <c r="D8669" s="3064"/>
      <c r="E8669" s="3064"/>
      <c r="F8669" s="3064"/>
      <c r="G8669" s="3301" t="s">
        <v>676</v>
      </c>
      <c r="H8669" s="3063"/>
      <c r="I8669" s="3030"/>
    </row>
    <row r="8670" spans="2:9">
      <c r="B8670" s="3192" t="s">
        <v>677</v>
      </c>
      <c r="C8670" s="3063"/>
      <c r="D8670" s="3064"/>
      <c r="E8670" s="3064"/>
      <c r="F8670" s="3064"/>
      <c r="G8670" s="3301" t="s">
        <v>677</v>
      </c>
      <c r="H8670" s="3063"/>
      <c r="I8670" s="3030"/>
    </row>
    <row r="8671" spans="2:9">
      <c r="B8671" s="3192" t="s">
        <v>678</v>
      </c>
      <c r="C8671" s="3063"/>
      <c r="D8671" s="3064"/>
      <c r="E8671" s="3064"/>
      <c r="F8671" s="3064"/>
      <c r="G8671" s="3301" t="s">
        <v>678</v>
      </c>
      <c r="H8671" s="3063"/>
      <c r="I8671" s="3030"/>
    </row>
    <row r="8672" spans="2:9">
      <c r="B8672" s="3192" t="s">
        <v>679</v>
      </c>
      <c r="C8672" s="3063"/>
      <c r="D8672" s="3064"/>
      <c r="E8672" s="3064"/>
      <c r="F8672" s="3064"/>
      <c r="G8672" s="3301" t="s">
        <v>679</v>
      </c>
      <c r="H8672" s="3063"/>
      <c r="I8672" s="3030"/>
    </row>
    <row r="8673" spans="2:9" ht="25.5">
      <c r="B8673" s="3192" t="s">
        <v>720</v>
      </c>
      <c r="C8673" s="3063"/>
      <c r="D8673" s="3064"/>
      <c r="E8673" s="3064"/>
      <c r="F8673" s="3064"/>
      <c r="G8673" s="3301" t="s">
        <v>720</v>
      </c>
      <c r="H8673" s="3063"/>
      <c r="I8673" s="3030"/>
    </row>
    <row r="8674" spans="2:9" ht="38.25">
      <c r="B8674" s="3299" t="s">
        <v>681</v>
      </c>
      <c r="C8674" s="3063"/>
      <c r="D8674" s="3064"/>
      <c r="E8674" s="3064"/>
      <c r="F8674" s="3064"/>
      <c r="G8674" s="3300" t="s">
        <v>681</v>
      </c>
      <c r="H8674" s="3063"/>
      <c r="I8674" s="3030"/>
    </row>
    <row r="8675" spans="2:9" ht="25.5">
      <c r="B8675" s="3192" t="s">
        <v>675</v>
      </c>
      <c r="C8675" s="3063"/>
      <c r="D8675" s="3064"/>
      <c r="E8675" s="3064"/>
      <c r="F8675" s="3064"/>
      <c r="G8675" s="3301" t="s">
        <v>675</v>
      </c>
      <c r="H8675" s="3063"/>
      <c r="I8675" s="3030"/>
    </row>
    <row r="8676" spans="2:9" ht="25.5">
      <c r="B8676" s="3192" t="s">
        <v>676</v>
      </c>
      <c r="C8676" s="3063"/>
      <c r="D8676" s="3064"/>
      <c r="E8676" s="3064"/>
      <c r="F8676" s="3064"/>
      <c r="G8676" s="3301" t="s">
        <v>676</v>
      </c>
      <c r="H8676" s="3063"/>
      <c r="I8676" s="3030"/>
    </row>
    <row r="8677" spans="2:9">
      <c r="B8677" s="3192" t="s">
        <v>677</v>
      </c>
      <c r="C8677" s="3063"/>
      <c r="D8677" s="3064"/>
      <c r="E8677" s="3064"/>
      <c r="F8677" s="3064"/>
      <c r="G8677" s="3301" t="s">
        <v>677</v>
      </c>
      <c r="H8677" s="3063"/>
      <c r="I8677" s="3030"/>
    </row>
    <row r="8678" spans="2:9">
      <c r="B8678" s="3192" t="s">
        <v>678</v>
      </c>
      <c r="C8678" s="3063"/>
      <c r="D8678" s="3064"/>
      <c r="E8678" s="3064"/>
      <c r="F8678" s="3064"/>
      <c r="G8678" s="3301" t="s">
        <v>678</v>
      </c>
      <c r="H8678" s="3063"/>
      <c r="I8678" s="3030"/>
    </row>
    <row r="8679" spans="2:9">
      <c r="B8679" s="3192" t="s">
        <v>679</v>
      </c>
      <c r="C8679" s="3063"/>
      <c r="D8679" s="3064"/>
      <c r="E8679" s="3064"/>
      <c r="F8679" s="3064"/>
      <c r="G8679" s="3301" t="s">
        <v>679</v>
      </c>
      <c r="H8679" s="3063"/>
      <c r="I8679" s="3030"/>
    </row>
    <row r="8680" spans="2:9" ht="25.5">
      <c r="B8680" s="3192" t="s">
        <v>720</v>
      </c>
      <c r="C8680" s="3063"/>
      <c r="D8680" s="3064"/>
      <c r="E8680" s="3064"/>
      <c r="F8680" s="3064"/>
      <c r="G8680" s="3301" t="s">
        <v>720</v>
      </c>
      <c r="H8680" s="3063"/>
      <c r="I8680" s="3030"/>
    </row>
    <row r="8681" spans="2:9" ht="25.5">
      <c r="B8681" s="3299" t="s">
        <v>682</v>
      </c>
      <c r="C8681" s="3063"/>
      <c r="D8681" s="3064"/>
      <c r="E8681" s="3064"/>
      <c r="F8681" s="3064"/>
      <c r="G8681" s="3300" t="s">
        <v>682</v>
      </c>
      <c r="H8681" s="3063"/>
      <c r="I8681" s="3030"/>
    </row>
    <row r="8682" spans="2:9" ht="25.5">
      <c r="B8682" s="3192" t="s">
        <v>675</v>
      </c>
      <c r="C8682" s="3063"/>
      <c r="D8682" s="3064"/>
      <c r="E8682" s="3064"/>
      <c r="F8682" s="3064"/>
      <c r="G8682" s="3301" t="s">
        <v>675</v>
      </c>
      <c r="H8682" s="3063"/>
      <c r="I8682" s="3030"/>
    </row>
    <row r="8683" spans="2:9" ht="25.5">
      <c r="B8683" s="3192" t="s">
        <v>676</v>
      </c>
      <c r="C8683" s="3063"/>
      <c r="D8683" s="3064"/>
      <c r="E8683" s="3064"/>
      <c r="F8683" s="3064"/>
      <c r="G8683" s="3301" t="s">
        <v>676</v>
      </c>
      <c r="H8683" s="3063"/>
      <c r="I8683" s="3030"/>
    </row>
    <row r="8684" spans="2:9">
      <c r="B8684" s="3192" t="s">
        <v>677</v>
      </c>
      <c r="C8684" s="3063"/>
      <c r="D8684" s="3064"/>
      <c r="E8684" s="3064"/>
      <c r="F8684" s="3064"/>
      <c r="G8684" s="3301" t="s">
        <v>677</v>
      </c>
      <c r="H8684" s="3063"/>
      <c r="I8684" s="3030"/>
    </row>
    <row r="8685" spans="2:9">
      <c r="B8685" s="3192" t="s">
        <v>678</v>
      </c>
      <c r="C8685" s="3063"/>
      <c r="D8685" s="3064"/>
      <c r="E8685" s="3064"/>
      <c r="F8685" s="3064"/>
      <c r="G8685" s="3301" t="s">
        <v>678</v>
      </c>
      <c r="H8685" s="3063"/>
      <c r="I8685" s="3030"/>
    </row>
    <row r="8686" spans="2:9">
      <c r="B8686" s="3192" t="s">
        <v>679</v>
      </c>
      <c r="C8686" s="3063"/>
      <c r="D8686" s="3064"/>
      <c r="E8686" s="3064"/>
      <c r="F8686" s="3064"/>
      <c r="G8686" s="3301" t="s">
        <v>679</v>
      </c>
      <c r="H8686" s="3063"/>
      <c r="I8686" s="3030"/>
    </row>
    <row r="8687" spans="2:9" ht="25.5">
      <c r="B8687" s="3192" t="s">
        <v>720</v>
      </c>
      <c r="C8687" s="3063"/>
      <c r="D8687" s="3064"/>
      <c r="E8687" s="3064"/>
      <c r="F8687" s="3064"/>
      <c r="G8687" s="3301" t="s">
        <v>720</v>
      </c>
      <c r="H8687" s="3063"/>
      <c r="I8687" s="3030"/>
    </row>
    <row r="8688" spans="2:9" ht="25.5">
      <c r="B8688" s="3299" t="s">
        <v>66</v>
      </c>
      <c r="C8688" s="3063"/>
      <c r="D8688" s="3064"/>
      <c r="E8688" s="3064"/>
      <c r="F8688" s="3064"/>
      <c r="G8688" s="3300" t="s">
        <v>66</v>
      </c>
      <c r="H8688" s="3063"/>
      <c r="I8688" s="3030"/>
    </row>
    <row r="8689" spans="2:9" ht="25.5">
      <c r="B8689" s="3192" t="s">
        <v>675</v>
      </c>
      <c r="C8689" s="3063"/>
      <c r="D8689" s="3064"/>
      <c r="E8689" s="3064"/>
      <c r="F8689" s="3064"/>
      <c r="G8689" s="3301" t="s">
        <v>675</v>
      </c>
      <c r="H8689" s="3063"/>
      <c r="I8689" s="3030"/>
    </row>
    <row r="8690" spans="2:9" ht="25.5">
      <c r="B8690" s="3192" t="s">
        <v>676</v>
      </c>
      <c r="C8690" s="3063"/>
      <c r="D8690" s="3064"/>
      <c r="E8690" s="3064"/>
      <c r="F8690" s="3064"/>
      <c r="G8690" s="3301" t="s">
        <v>676</v>
      </c>
      <c r="H8690" s="3063"/>
      <c r="I8690" s="3030"/>
    </row>
    <row r="8691" spans="2:9">
      <c r="B8691" s="3192" t="s">
        <v>677</v>
      </c>
      <c r="C8691" s="3063"/>
      <c r="D8691" s="3064"/>
      <c r="E8691" s="3064"/>
      <c r="F8691" s="3064"/>
      <c r="G8691" s="3301" t="s">
        <v>677</v>
      </c>
      <c r="H8691" s="3063"/>
      <c r="I8691" s="3030"/>
    </row>
    <row r="8692" spans="2:9">
      <c r="B8692" s="3192" t="s">
        <v>678</v>
      </c>
      <c r="C8692" s="3063"/>
      <c r="D8692" s="3064"/>
      <c r="E8692" s="3064"/>
      <c r="F8692" s="3064"/>
      <c r="G8692" s="3301" t="s">
        <v>678</v>
      </c>
      <c r="H8692" s="3063"/>
      <c r="I8692" s="3030"/>
    </row>
    <row r="8693" spans="2:9">
      <c r="B8693" s="3192" t="s">
        <v>679</v>
      </c>
      <c r="C8693" s="3063"/>
      <c r="D8693" s="3064"/>
      <c r="E8693" s="3064"/>
      <c r="F8693" s="3064"/>
      <c r="G8693" s="3301" t="s">
        <v>679</v>
      </c>
      <c r="H8693" s="3063"/>
      <c r="I8693" s="3030"/>
    </row>
    <row r="8694" spans="2:9" ht="25.5">
      <c r="B8694" s="3192" t="s">
        <v>720</v>
      </c>
      <c r="C8694" s="3063"/>
      <c r="D8694" s="3064"/>
      <c r="E8694" s="3064"/>
      <c r="F8694" s="3064"/>
      <c r="G8694" s="3301" t="s">
        <v>720</v>
      </c>
      <c r="H8694" s="3063"/>
      <c r="I8694" s="3030"/>
    </row>
    <row r="8695" spans="2:9">
      <c r="B8695" s="3299" t="s">
        <v>67</v>
      </c>
      <c r="C8695" s="3063"/>
      <c r="D8695" s="3064"/>
      <c r="E8695" s="3064"/>
      <c r="F8695" s="3064"/>
      <c r="G8695" s="3300" t="s">
        <v>67</v>
      </c>
      <c r="H8695" s="3063"/>
      <c r="I8695" s="3030"/>
    </row>
    <row r="8696" spans="2:9" ht="25.5">
      <c r="B8696" s="3192" t="s">
        <v>675</v>
      </c>
      <c r="C8696" s="3063"/>
      <c r="D8696" s="3064"/>
      <c r="E8696" s="3064"/>
      <c r="F8696" s="3064"/>
      <c r="G8696" s="3301" t="s">
        <v>675</v>
      </c>
      <c r="H8696" s="3063"/>
      <c r="I8696" s="3030"/>
    </row>
    <row r="8697" spans="2:9" ht="25.5">
      <c r="B8697" s="3192" t="s">
        <v>676</v>
      </c>
      <c r="C8697" s="3063"/>
      <c r="D8697" s="3064"/>
      <c r="E8697" s="3064"/>
      <c r="F8697" s="3064"/>
      <c r="G8697" s="3301" t="s">
        <v>676</v>
      </c>
      <c r="H8697" s="3063"/>
      <c r="I8697" s="3030"/>
    </row>
    <row r="8698" spans="2:9">
      <c r="B8698" s="3192" t="s">
        <v>677</v>
      </c>
      <c r="C8698" s="3063"/>
      <c r="D8698" s="3064"/>
      <c r="E8698" s="3064"/>
      <c r="F8698" s="3064"/>
      <c r="G8698" s="3301" t="s">
        <v>677</v>
      </c>
      <c r="H8698" s="3063"/>
      <c r="I8698" s="3030"/>
    </row>
    <row r="8699" spans="2:9">
      <c r="B8699" s="3192" t="s">
        <v>678</v>
      </c>
      <c r="C8699" s="3063"/>
      <c r="D8699" s="3064"/>
      <c r="E8699" s="3064"/>
      <c r="F8699" s="3064"/>
      <c r="G8699" s="3301" t="s">
        <v>678</v>
      </c>
      <c r="H8699" s="3063"/>
      <c r="I8699" s="3030"/>
    </row>
    <row r="8700" spans="2:9">
      <c r="B8700" s="3192" t="s">
        <v>679</v>
      </c>
      <c r="C8700" s="3063"/>
      <c r="D8700" s="3064"/>
      <c r="E8700" s="3064"/>
      <c r="F8700" s="3064"/>
      <c r="G8700" s="3301" t="s">
        <v>679</v>
      </c>
      <c r="H8700" s="3063"/>
      <c r="I8700" s="3030"/>
    </row>
    <row r="8701" spans="2:9" ht="25.5">
      <c r="B8701" s="3192" t="s">
        <v>720</v>
      </c>
      <c r="C8701" s="3063"/>
      <c r="D8701" s="3064"/>
      <c r="E8701" s="3064"/>
      <c r="F8701" s="3064"/>
      <c r="G8701" s="3301" t="s">
        <v>720</v>
      </c>
      <c r="H8701" s="3063"/>
      <c r="I8701" s="3030"/>
    </row>
    <row r="8702" spans="2:9" ht="25.5">
      <c r="B8702" s="3230" t="s">
        <v>81</v>
      </c>
      <c r="C8702" s="3063"/>
      <c r="D8702" s="3064"/>
      <c r="E8702" s="3064"/>
      <c r="F8702" s="3064"/>
      <c r="G8702" s="3302" t="s">
        <v>81</v>
      </c>
      <c r="H8702" s="3063"/>
      <c r="I8702" s="3030"/>
    </row>
    <row r="8703" spans="2:9" ht="26.25" thickBot="1">
      <c r="B8703" s="3303" t="s">
        <v>81</v>
      </c>
      <c r="C8703" s="3063"/>
      <c r="D8703" s="3064"/>
      <c r="E8703" s="3064"/>
      <c r="F8703" s="3064"/>
      <c r="G8703" s="3302" t="s">
        <v>81</v>
      </c>
      <c r="H8703" s="3063"/>
      <c r="I8703" s="3030"/>
    </row>
    <row r="8704" spans="2:9" ht="25.5">
      <c r="B8704" s="3217" t="s">
        <v>696</v>
      </c>
      <c r="C8704" s="3218"/>
      <c r="D8704" s="3219"/>
      <c r="E8704" s="3219"/>
      <c r="F8704" s="3219"/>
      <c r="G8704" s="3217" t="s">
        <v>696</v>
      </c>
      <c r="H8704" s="3297"/>
      <c r="I8704" s="3298"/>
    </row>
    <row r="8705" spans="2:9">
      <c r="B8705" s="3299" t="s">
        <v>64</v>
      </c>
      <c r="C8705" s="3063"/>
      <c r="D8705" s="3064"/>
      <c r="E8705" s="3064"/>
      <c r="F8705" s="3064"/>
      <c r="G8705" s="3300" t="s">
        <v>64</v>
      </c>
      <c r="H8705" s="3063"/>
      <c r="I8705" s="3030"/>
    </row>
    <row r="8706" spans="2:9" ht="25.5">
      <c r="B8706" s="3192" t="s">
        <v>675</v>
      </c>
      <c r="C8706" s="3063"/>
      <c r="D8706" s="3064"/>
      <c r="E8706" s="3064"/>
      <c r="F8706" s="3064"/>
      <c r="G8706" s="3301" t="s">
        <v>675</v>
      </c>
      <c r="H8706" s="3063"/>
      <c r="I8706" s="3030"/>
    </row>
    <row r="8707" spans="2:9" ht="25.5">
      <c r="B8707" s="3192" t="s">
        <v>676</v>
      </c>
      <c r="C8707" s="3063"/>
      <c r="D8707" s="3064"/>
      <c r="E8707" s="3064"/>
      <c r="F8707" s="3064"/>
      <c r="G8707" s="3301" t="s">
        <v>676</v>
      </c>
      <c r="H8707" s="3063"/>
      <c r="I8707" s="3030"/>
    </row>
    <row r="8708" spans="2:9">
      <c r="B8708" s="3192" t="s">
        <v>677</v>
      </c>
      <c r="C8708" s="3063"/>
      <c r="D8708" s="3064"/>
      <c r="E8708" s="3064"/>
      <c r="F8708" s="3064"/>
      <c r="G8708" s="3301" t="s">
        <v>677</v>
      </c>
      <c r="H8708" s="3063"/>
      <c r="I8708" s="3030"/>
    </row>
    <row r="8709" spans="2:9">
      <c r="B8709" s="3192" t="s">
        <v>678</v>
      </c>
      <c r="C8709" s="3063"/>
      <c r="D8709" s="3064"/>
      <c r="E8709" s="3064"/>
      <c r="F8709" s="3064"/>
      <c r="G8709" s="3301" t="s">
        <v>678</v>
      </c>
      <c r="H8709" s="3063"/>
      <c r="I8709" s="3030"/>
    </row>
    <row r="8710" spans="2:9">
      <c r="B8710" s="3192" t="s">
        <v>679</v>
      </c>
      <c r="C8710" s="3063"/>
      <c r="D8710" s="3064"/>
      <c r="E8710" s="3064"/>
      <c r="F8710" s="3064"/>
      <c r="G8710" s="3301" t="s">
        <v>679</v>
      </c>
      <c r="H8710" s="3063"/>
      <c r="I8710" s="3030"/>
    </row>
    <row r="8711" spans="2:9" ht="25.5">
      <c r="B8711" s="3192" t="s">
        <v>720</v>
      </c>
      <c r="C8711" s="3063"/>
      <c r="D8711" s="3064"/>
      <c r="E8711" s="3064"/>
      <c r="F8711" s="3064"/>
      <c r="G8711" s="3301" t="s">
        <v>720</v>
      </c>
      <c r="H8711" s="3063"/>
      <c r="I8711" s="3030"/>
    </row>
    <row r="8712" spans="2:9">
      <c r="B8712" s="3299" t="s">
        <v>65</v>
      </c>
      <c r="C8712" s="3063"/>
      <c r="D8712" s="3064"/>
      <c r="E8712" s="3064"/>
      <c r="F8712" s="3064"/>
      <c r="G8712" s="3300" t="s">
        <v>65</v>
      </c>
      <c r="H8712" s="3063"/>
      <c r="I8712" s="3030"/>
    </row>
    <row r="8713" spans="2:9" ht="25.5">
      <c r="B8713" s="3192" t="s">
        <v>675</v>
      </c>
      <c r="C8713" s="3063"/>
      <c r="D8713" s="3064"/>
      <c r="E8713" s="3064"/>
      <c r="F8713" s="3064"/>
      <c r="G8713" s="3301" t="s">
        <v>675</v>
      </c>
      <c r="H8713" s="3063"/>
      <c r="I8713" s="3030"/>
    </row>
    <row r="8714" spans="2:9" ht="25.5">
      <c r="B8714" s="3192" t="s">
        <v>676</v>
      </c>
      <c r="C8714" s="3063"/>
      <c r="D8714" s="3064"/>
      <c r="E8714" s="3064"/>
      <c r="F8714" s="3064"/>
      <c r="G8714" s="3301" t="s">
        <v>676</v>
      </c>
      <c r="H8714" s="3063"/>
      <c r="I8714" s="3030"/>
    </row>
    <row r="8715" spans="2:9">
      <c r="B8715" s="3192" t="s">
        <v>677</v>
      </c>
      <c r="C8715" s="3063"/>
      <c r="D8715" s="3064"/>
      <c r="E8715" s="3064"/>
      <c r="F8715" s="3064"/>
      <c r="G8715" s="3301" t="s">
        <v>677</v>
      </c>
      <c r="H8715" s="3063"/>
      <c r="I8715" s="3030"/>
    </row>
    <row r="8716" spans="2:9">
      <c r="B8716" s="3192" t="s">
        <v>678</v>
      </c>
      <c r="C8716" s="3063"/>
      <c r="D8716" s="3064"/>
      <c r="E8716" s="3064"/>
      <c r="F8716" s="3064"/>
      <c r="G8716" s="3301" t="s">
        <v>678</v>
      </c>
      <c r="H8716" s="3063"/>
      <c r="I8716" s="3030"/>
    </row>
    <row r="8717" spans="2:9">
      <c r="B8717" s="3192" t="s">
        <v>679</v>
      </c>
      <c r="C8717" s="3063"/>
      <c r="D8717" s="3064"/>
      <c r="E8717" s="3064"/>
      <c r="F8717" s="3064"/>
      <c r="G8717" s="3301" t="s">
        <v>679</v>
      </c>
      <c r="H8717" s="3063"/>
      <c r="I8717" s="3030"/>
    </row>
    <row r="8718" spans="2:9" ht="25.5">
      <c r="B8718" s="3192" t="s">
        <v>720</v>
      </c>
      <c r="C8718" s="3063"/>
      <c r="D8718" s="3064"/>
      <c r="E8718" s="3064"/>
      <c r="F8718" s="3064"/>
      <c r="G8718" s="3301" t="s">
        <v>720</v>
      </c>
      <c r="H8718" s="3063"/>
      <c r="I8718" s="3030"/>
    </row>
    <row r="8719" spans="2:9">
      <c r="B8719" s="3299" t="s">
        <v>82</v>
      </c>
      <c r="C8719" s="3063"/>
      <c r="D8719" s="3064"/>
      <c r="E8719" s="3064"/>
      <c r="F8719" s="3064"/>
      <c r="G8719" s="3300" t="s">
        <v>82</v>
      </c>
      <c r="H8719" s="3063"/>
      <c r="I8719" s="3030"/>
    </row>
    <row r="8720" spans="2:9" ht="25.5">
      <c r="B8720" s="3192" t="s">
        <v>675</v>
      </c>
      <c r="C8720" s="3063"/>
      <c r="D8720" s="3064"/>
      <c r="E8720" s="3064"/>
      <c r="F8720" s="3064"/>
      <c r="G8720" s="3301" t="s">
        <v>675</v>
      </c>
      <c r="H8720" s="3063"/>
      <c r="I8720" s="3030"/>
    </row>
    <row r="8721" spans="2:9" ht="25.5">
      <c r="B8721" s="3192" t="s">
        <v>676</v>
      </c>
      <c r="C8721" s="3063"/>
      <c r="D8721" s="3064"/>
      <c r="E8721" s="3064"/>
      <c r="F8721" s="3064"/>
      <c r="G8721" s="3301" t="s">
        <v>676</v>
      </c>
      <c r="H8721" s="3063"/>
      <c r="I8721" s="3030"/>
    </row>
    <row r="8722" spans="2:9">
      <c r="B8722" s="3192" t="s">
        <v>677</v>
      </c>
      <c r="C8722" s="3063"/>
      <c r="D8722" s="3064"/>
      <c r="E8722" s="3064"/>
      <c r="F8722" s="3064"/>
      <c r="G8722" s="3301" t="s">
        <v>677</v>
      </c>
      <c r="H8722" s="3063"/>
      <c r="I8722" s="3030"/>
    </row>
    <row r="8723" spans="2:9">
      <c r="B8723" s="3192" t="s">
        <v>678</v>
      </c>
      <c r="C8723" s="3063"/>
      <c r="D8723" s="3064"/>
      <c r="E8723" s="3064"/>
      <c r="F8723" s="3064"/>
      <c r="G8723" s="3301" t="s">
        <v>678</v>
      </c>
      <c r="H8723" s="3063"/>
      <c r="I8723" s="3030"/>
    </row>
    <row r="8724" spans="2:9">
      <c r="B8724" s="3192" t="s">
        <v>679</v>
      </c>
      <c r="C8724" s="3063"/>
      <c r="D8724" s="3064"/>
      <c r="E8724" s="3064"/>
      <c r="F8724" s="3064"/>
      <c r="G8724" s="3301" t="s">
        <v>679</v>
      </c>
      <c r="H8724" s="3063"/>
      <c r="I8724" s="3030"/>
    </row>
    <row r="8725" spans="2:9" ht="25.5">
      <c r="B8725" s="3192" t="s">
        <v>720</v>
      </c>
      <c r="C8725" s="3063"/>
      <c r="D8725" s="3064"/>
      <c r="E8725" s="3064"/>
      <c r="F8725" s="3064"/>
      <c r="G8725" s="3301" t="s">
        <v>720</v>
      </c>
      <c r="H8725" s="3063"/>
      <c r="I8725" s="3030"/>
    </row>
    <row r="8726" spans="2:9" ht="38.25">
      <c r="B8726" s="3299" t="s">
        <v>680</v>
      </c>
      <c r="C8726" s="3063"/>
      <c r="D8726" s="3064"/>
      <c r="E8726" s="3064"/>
      <c r="F8726" s="3064"/>
      <c r="G8726" s="3300" t="s">
        <v>680</v>
      </c>
      <c r="H8726" s="3063"/>
      <c r="I8726" s="3030"/>
    </row>
    <row r="8727" spans="2:9" ht="25.5">
      <c r="B8727" s="3192" t="s">
        <v>675</v>
      </c>
      <c r="C8727" s="3063"/>
      <c r="D8727" s="3064"/>
      <c r="E8727" s="3064"/>
      <c r="F8727" s="3064"/>
      <c r="G8727" s="3301" t="s">
        <v>675</v>
      </c>
      <c r="H8727" s="3063"/>
      <c r="I8727" s="3030"/>
    </row>
    <row r="8728" spans="2:9" ht="25.5">
      <c r="B8728" s="3192" t="s">
        <v>676</v>
      </c>
      <c r="C8728" s="3063"/>
      <c r="D8728" s="3064"/>
      <c r="E8728" s="3064"/>
      <c r="F8728" s="3064"/>
      <c r="G8728" s="3301" t="s">
        <v>676</v>
      </c>
      <c r="H8728" s="3063"/>
      <c r="I8728" s="3030"/>
    </row>
    <row r="8729" spans="2:9">
      <c r="B8729" s="3192" t="s">
        <v>677</v>
      </c>
      <c r="C8729" s="3063"/>
      <c r="D8729" s="3064"/>
      <c r="E8729" s="3064"/>
      <c r="F8729" s="3064"/>
      <c r="G8729" s="3301" t="s">
        <v>677</v>
      </c>
      <c r="H8729" s="3063"/>
      <c r="I8729" s="3030"/>
    </row>
    <row r="8730" spans="2:9">
      <c r="B8730" s="3192" t="s">
        <v>678</v>
      </c>
      <c r="C8730" s="3063"/>
      <c r="D8730" s="3064"/>
      <c r="E8730" s="3064"/>
      <c r="F8730" s="3064"/>
      <c r="G8730" s="3301" t="s">
        <v>678</v>
      </c>
      <c r="H8730" s="3063"/>
      <c r="I8730" s="3030"/>
    </row>
    <row r="8731" spans="2:9">
      <c r="B8731" s="3192" t="s">
        <v>679</v>
      </c>
      <c r="C8731" s="3063"/>
      <c r="D8731" s="3064"/>
      <c r="E8731" s="3064"/>
      <c r="F8731" s="3064"/>
      <c r="G8731" s="3301" t="s">
        <v>679</v>
      </c>
      <c r="H8731" s="3063"/>
      <c r="I8731" s="3030"/>
    </row>
    <row r="8732" spans="2:9" ht="25.5">
      <c r="B8732" s="3192" t="s">
        <v>720</v>
      </c>
      <c r="C8732" s="3063"/>
      <c r="D8732" s="3064"/>
      <c r="E8732" s="3064"/>
      <c r="F8732" s="3064"/>
      <c r="G8732" s="3301" t="s">
        <v>720</v>
      </c>
      <c r="H8732" s="3063"/>
      <c r="I8732" s="3030"/>
    </row>
    <row r="8733" spans="2:9" ht="38.25">
      <c r="B8733" s="3299" t="s">
        <v>681</v>
      </c>
      <c r="C8733" s="3063"/>
      <c r="D8733" s="3064"/>
      <c r="E8733" s="3064"/>
      <c r="F8733" s="3064"/>
      <c r="G8733" s="3300" t="s">
        <v>681</v>
      </c>
      <c r="H8733" s="3063"/>
      <c r="I8733" s="3030"/>
    </row>
    <row r="8734" spans="2:9" ht="25.5">
      <c r="B8734" s="3192" t="s">
        <v>675</v>
      </c>
      <c r="C8734" s="3063"/>
      <c r="D8734" s="3064"/>
      <c r="E8734" s="3064"/>
      <c r="F8734" s="3064"/>
      <c r="G8734" s="3301" t="s">
        <v>675</v>
      </c>
      <c r="H8734" s="3063"/>
      <c r="I8734" s="3030"/>
    </row>
    <row r="8735" spans="2:9" ht="25.5">
      <c r="B8735" s="3192" t="s">
        <v>676</v>
      </c>
      <c r="C8735" s="3063"/>
      <c r="D8735" s="3064"/>
      <c r="E8735" s="3064"/>
      <c r="F8735" s="3064"/>
      <c r="G8735" s="3301" t="s">
        <v>676</v>
      </c>
      <c r="H8735" s="3063"/>
      <c r="I8735" s="3030"/>
    </row>
    <row r="8736" spans="2:9">
      <c r="B8736" s="3192" t="s">
        <v>677</v>
      </c>
      <c r="C8736" s="3063"/>
      <c r="D8736" s="3064"/>
      <c r="E8736" s="3064"/>
      <c r="F8736" s="3064"/>
      <c r="G8736" s="3301" t="s">
        <v>677</v>
      </c>
      <c r="H8736" s="3063"/>
      <c r="I8736" s="3030"/>
    </row>
    <row r="8737" spans="2:9">
      <c r="B8737" s="3192" t="s">
        <v>678</v>
      </c>
      <c r="C8737" s="3063"/>
      <c r="D8737" s="3064"/>
      <c r="E8737" s="3064"/>
      <c r="F8737" s="3064"/>
      <c r="G8737" s="3301" t="s">
        <v>678</v>
      </c>
      <c r="H8737" s="3063"/>
      <c r="I8737" s="3030"/>
    </row>
    <row r="8738" spans="2:9">
      <c r="B8738" s="3192" t="s">
        <v>679</v>
      </c>
      <c r="C8738" s="3063"/>
      <c r="D8738" s="3064"/>
      <c r="E8738" s="3064"/>
      <c r="F8738" s="3064"/>
      <c r="G8738" s="3301" t="s">
        <v>679</v>
      </c>
      <c r="H8738" s="3063"/>
      <c r="I8738" s="3030"/>
    </row>
    <row r="8739" spans="2:9" ht="25.5">
      <c r="B8739" s="3192" t="s">
        <v>720</v>
      </c>
      <c r="C8739" s="3063"/>
      <c r="D8739" s="3064"/>
      <c r="E8739" s="3064"/>
      <c r="F8739" s="3064"/>
      <c r="G8739" s="3301" t="s">
        <v>720</v>
      </c>
      <c r="H8739" s="3063"/>
      <c r="I8739" s="3030"/>
    </row>
    <row r="8740" spans="2:9" ht="25.5">
      <c r="B8740" s="3299" t="s">
        <v>682</v>
      </c>
      <c r="C8740" s="3063"/>
      <c r="D8740" s="3064"/>
      <c r="E8740" s="3064"/>
      <c r="F8740" s="3064"/>
      <c r="G8740" s="3300" t="s">
        <v>682</v>
      </c>
      <c r="H8740" s="3063"/>
      <c r="I8740" s="3030"/>
    </row>
    <row r="8741" spans="2:9" ht="25.5">
      <c r="B8741" s="3192" t="s">
        <v>675</v>
      </c>
      <c r="C8741" s="3063"/>
      <c r="D8741" s="3064"/>
      <c r="E8741" s="3064"/>
      <c r="F8741" s="3064"/>
      <c r="G8741" s="3301" t="s">
        <v>675</v>
      </c>
      <c r="H8741" s="3063"/>
      <c r="I8741" s="3030"/>
    </row>
    <row r="8742" spans="2:9" ht="25.5">
      <c r="B8742" s="3192" t="s">
        <v>676</v>
      </c>
      <c r="C8742" s="3063"/>
      <c r="D8742" s="3064"/>
      <c r="E8742" s="3064"/>
      <c r="F8742" s="3064"/>
      <c r="G8742" s="3301" t="s">
        <v>676</v>
      </c>
      <c r="H8742" s="3063"/>
      <c r="I8742" s="3030"/>
    </row>
    <row r="8743" spans="2:9">
      <c r="B8743" s="3192" t="s">
        <v>677</v>
      </c>
      <c r="C8743" s="3063"/>
      <c r="D8743" s="3064"/>
      <c r="E8743" s="3064"/>
      <c r="F8743" s="3064"/>
      <c r="G8743" s="3301" t="s">
        <v>677</v>
      </c>
      <c r="H8743" s="3063"/>
      <c r="I8743" s="3030"/>
    </row>
    <row r="8744" spans="2:9">
      <c r="B8744" s="3192" t="s">
        <v>678</v>
      </c>
      <c r="C8744" s="3063"/>
      <c r="D8744" s="3064"/>
      <c r="E8744" s="3064"/>
      <c r="F8744" s="3064"/>
      <c r="G8744" s="3301" t="s">
        <v>678</v>
      </c>
      <c r="H8744" s="3063"/>
      <c r="I8744" s="3030"/>
    </row>
    <row r="8745" spans="2:9">
      <c r="B8745" s="3192" t="s">
        <v>679</v>
      </c>
      <c r="C8745" s="3063"/>
      <c r="D8745" s="3064"/>
      <c r="E8745" s="3064"/>
      <c r="F8745" s="3064"/>
      <c r="G8745" s="3301" t="s">
        <v>679</v>
      </c>
      <c r="H8745" s="3063"/>
      <c r="I8745" s="3030"/>
    </row>
    <row r="8746" spans="2:9" ht="25.5">
      <c r="B8746" s="3192" t="s">
        <v>720</v>
      </c>
      <c r="C8746" s="3063"/>
      <c r="D8746" s="3064"/>
      <c r="E8746" s="3064"/>
      <c r="F8746" s="3064"/>
      <c r="G8746" s="3301" t="s">
        <v>720</v>
      </c>
      <c r="H8746" s="3063"/>
      <c r="I8746" s="3030"/>
    </row>
    <row r="8747" spans="2:9" ht="25.5">
      <c r="B8747" s="3299" t="s">
        <v>66</v>
      </c>
      <c r="C8747" s="3063"/>
      <c r="D8747" s="3064"/>
      <c r="E8747" s="3064"/>
      <c r="F8747" s="3064"/>
      <c r="G8747" s="3300" t="s">
        <v>66</v>
      </c>
      <c r="H8747" s="3063"/>
      <c r="I8747" s="3030"/>
    </row>
    <row r="8748" spans="2:9" ht="25.5">
      <c r="B8748" s="3192" t="s">
        <v>675</v>
      </c>
      <c r="C8748" s="3063"/>
      <c r="D8748" s="3064"/>
      <c r="E8748" s="3064"/>
      <c r="F8748" s="3064"/>
      <c r="G8748" s="3301" t="s">
        <v>675</v>
      </c>
      <c r="H8748" s="3063"/>
      <c r="I8748" s="3030"/>
    </row>
    <row r="8749" spans="2:9" ht="25.5">
      <c r="B8749" s="3192" t="s">
        <v>676</v>
      </c>
      <c r="C8749" s="3063"/>
      <c r="D8749" s="3064"/>
      <c r="E8749" s="3064"/>
      <c r="F8749" s="3064"/>
      <c r="G8749" s="3301" t="s">
        <v>676</v>
      </c>
      <c r="H8749" s="3063"/>
      <c r="I8749" s="3030"/>
    </row>
    <row r="8750" spans="2:9">
      <c r="B8750" s="3192" t="s">
        <v>677</v>
      </c>
      <c r="C8750" s="3063"/>
      <c r="D8750" s="3064"/>
      <c r="E8750" s="3064"/>
      <c r="F8750" s="3064"/>
      <c r="G8750" s="3301" t="s">
        <v>677</v>
      </c>
      <c r="H8750" s="3063"/>
      <c r="I8750" s="3030"/>
    </row>
    <row r="8751" spans="2:9">
      <c r="B8751" s="3192" t="s">
        <v>678</v>
      </c>
      <c r="C8751" s="3063"/>
      <c r="D8751" s="3064"/>
      <c r="E8751" s="3064"/>
      <c r="F8751" s="3064"/>
      <c r="G8751" s="3301" t="s">
        <v>678</v>
      </c>
      <c r="H8751" s="3063"/>
      <c r="I8751" s="3030"/>
    </row>
    <row r="8752" spans="2:9">
      <c r="B8752" s="3192" t="s">
        <v>679</v>
      </c>
      <c r="C8752" s="3063"/>
      <c r="D8752" s="3064"/>
      <c r="E8752" s="3064"/>
      <c r="F8752" s="3064"/>
      <c r="G8752" s="3301" t="s">
        <v>679</v>
      </c>
      <c r="H8752" s="3063"/>
      <c r="I8752" s="3030"/>
    </row>
    <row r="8753" spans="2:9" ht="25.5">
      <c r="B8753" s="3192" t="s">
        <v>720</v>
      </c>
      <c r="C8753" s="3063"/>
      <c r="D8753" s="3064"/>
      <c r="E8753" s="3064"/>
      <c r="F8753" s="3064"/>
      <c r="G8753" s="3301" t="s">
        <v>720</v>
      </c>
      <c r="H8753" s="3063"/>
      <c r="I8753" s="3030"/>
    </row>
    <row r="8754" spans="2:9">
      <c r="B8754" s="3299" t="s">
        <v>67</v>
      </c>
      <c r="C8754" s="3063"/>
      <c r="D8754" s="3064"/>
      <c r="E8754" s="3064"/>
      <c r="F8754" s="3064"/>
      <c r="G8754" s="3300" t="s">
        <v>67</v>
      </c>
      <c r="H8754" s="3063"/>
      <c r="I8754" s="3030"/>
    </row>
    <row r="8755" spans="2:9" ht="25.5">
      <c r="B8755" s="3192" t="s">
        <v>675</v>
      </c>
      <c r="C8755" s="3063"/>
      <c r="D8755" s="3064"/>
      <c r="E8755" s="3064"/>
      <c r="F8755" s="3064"/>
      <c r="G8755" s="3301" t="s">
        <v>675</v>
      </c>
      <c r="H8755" s="3063"/>
      <c r="I8755" s="3030"/>
    </row>
    <row r="8756" spans="2:9" ht="25.5">
      <c r="B8756" s="3192" t="s">
        <v>676</v>
      </c>
      <c r="C8756" s="3063"/>
      <c r="D8756" s="3064"/>
      <c r="E8756" s="3064"/>
      <c r="F8756" s="3064"/>
      <c r="G8756" s="3301" t="s">
        <v>676</v>
      </c>
      <c r="H8756" s="3063"/>
      <c r="I8756" s="3030"/>
    </row>
    <row r="8757" spans="2:9">
      <c r="B8757" s="3192" t="s">
        <v>677</v>
      </c>
      <c r="C8757" s="3063"/>
      <c r="D8757" s="3064"/>
      <c r="E8757" s="3064"/>
      <c r="F8757" s="3064"/>
      <c r="G8757" s="3301" t="s">
        <v>677</v>
      </c>
      <c r="H8757" s="3063"/>
      <c r="I8757" s="3030"/>
    </row>
    <row r="8758" spans="2:9">
      <c r="B8758" s="3192" t="s">
        <v>678</v>
      </c>
      <c r="C8758" s="3063"/>
      <c r="D8758" s="3064"/>
      <c r="E8758" s="3064"/>
      <c r="F8758" s="3064"/>
      <c r="G8758" s="3301" t="s">
        <v>678</v>
      </c>
      <c r="H8758" s="3063"/>
      <c r="I8758" s="3030"/>
    </row>
    <row r="8759" spans="2:9">
      <c r="B8759" s="3192" t="s">
        <v>679</v>
      </c>
      <c r="C8759" s="3063"/>
      <c r="D8759" s="3064"/>
      <c r="E8759" s="3064"/>
      <c r="F8759" s="3064"/>
      <c r="G8759" s="3301" t="s">
        <v>679</v>
      </c>
      <c r="H8759" s="3063"/>
      <c r="I8759" s="3030"/>
    </row>
    <row r="8760" spans="2:9" ht="25.5">
      <c r="B8760" s="3230" t="s">
        <v>81</v>
      </c>
      <c r="C8760" s="3063"/>
      <c r="D8760" s="3064"/>
      <c r="E8760" s="3064"/>
      <c r="F8760" s="3064"/>
      <c r="G8760" s="3302" t="s">
        <v>81</v>
      </c>
      <c r="H8760" s="3063"/>
      <c r="I8760" s="3030"/>
    </row>
    <row r="8761" spans="2:9" ht="26.25" thickBot="1">
      <c r="B8761" s="3303" t="s">
        <v>81</v>
      </c>
      <c r="C8761" s="3063"/>
      <c r="D8761" s="3064"/>
      <c r="E8761" s="3064"/>
      <c r="F8761" s="3064"/>
      <c r="G8761" s="3302" t="s">
        <v>81</v>
      </c>
      <c r="H8761" s="3063"/>
      <c r="I8761" s="3030"/>
    </row>
    <row r="8762" spans="2:9">
      <c r="B8762" s="3217" t="s">
        <v>697</v>
      </c>
      <c r="C8762" s="3218"/>
      <c r="D8762" s="3219"/>
      <c r="E8762" s="3219"/>
      <c r="F8762" s="3219"/>
      <c r="G8762" s="3217" t="s">
        <v>697</v>
      </c>
      <c r="H8762" s="3297"/>
      <c r="I8762" s="3298"/>
    </row>
    <row r="8763" spans="2:9">
      <c r="B8763" s="3299" t="s">
        <v>64</v>
      </c>
      <c r="C8763" s="3063"/>
      <c r="D8763" s="3064"/>
      <c r="E8763" s="3064"/>
      <c r="F8763" s="3064"/>
      <c r="G8763" s="3300" t="s">
        <v>64</v>
      </c>
      <c r="H8763" s="3063"/>
      <c r="I8763" s="3030"/>
    </row>
    <row r="8764" spans="2:9" ht="25.5">
      <c r="B8764" s="3192" t="s">
        <v>675</v>
      </c>
      <c r="C8764" s="3063"/>
      <c r="D8764" s="3064"/>
      <c r="E8764" s="3064"/>
      <c r="F8764" s="3064"/>
      <c r="G8764" s="3301" t="s">
        <v>675</v>
      </c>
      <c r="H8764" s="3063"/>
      <c r="I8764" s="3030"/>
    </row>
    <row r="8765" spans="2:9" ht="25.5">
      <c r="B8765" s="3192" t="s">
        <v>676</v>
      </c>
      <c r="C8765" s="3063"/>
      <c r="D8765" s="3064"/>
      <c r="E8765" s="3064"/>
      <c r="F8765" s="3064"/>
      <c r="G8765" s="3301" t="s">
        <v>676</v>
      </c>
      <c r="H8765" s="3063"/>
      <c r="I8765" s="3030"/>
    </row>
    <row r="8766" spans="2:9">
      <c r="B8766" s="3192" t="s">
        <v>677</v>
      </c>
      <c r="C8766" s="3063"/>
      <c r="D8766" s="3064"/>
      <c r="E8766" s="3064"/>
      <c r="F8766" s="3064"/>
      <c r="G8766" s="3301" t="s">
        <v>677</v>
      </c>
      <c r="H8766" s="3063"/>
      <c r="I8766" s="3030"/>
    </row>
    <row r="8767" spans="2:9">
      <c r="B8767" s="3192" t="s">
        <v>678</v>
      </c>
      <c r="C8767" s="3063"/>
      <c r="D8767" s="3064"/>
      <c r="E8767" s="3064"/>
      <c r="F8767" s="3064"/>
      <c r="G8767" s="3301" t="s">
        <v>678</v>
      </c>
      <c r="H8767" s="3063"/>
      <c r="I8767" s="3030"/>
    </row>
    <row r="8768" spans="2:9">
      <c r="B8768" s="3192" t="s">
        <v>679</v>
      </c>
      <c r="C8768" s="3063"/>
      <c r="D8768" s="3064"/>
      <c r="E8768" s="3064"/>
      <c r="F8768" s="3064"/>
      <c r="G8768" s="3301" t="s">
        <v>679</v>
      </c>
      <c r="H8768" s="3063"/>
      <c r="I8768" s="3030"/>
    </row>
    <row r="8769" spans="2:9" ht="25.5">
      <c r="B8769" s="3192" t="s">
        <v>720</v>
      </c>
      <c r="C8769" s="3063"/>
      <c r="D8769" s="3064"/>
      <c r="E8769" s="3064"/>
      <c r="F8769" s="3064"/>
      <c r="G8769" s="3301" t="s">
        <v>720</v>
      </c>
      <c r="H8769" s="3063"/>
      <c r="I8769" s="3030"/>
    </row>
    <row r="8770" spans="2:9">
      <c r="B8770" s="3299" t="s">
        <v>65</v>
      </c>
      <c r="C8770" s="3063"/>
      <c r="D8770" s="3064"/>
      <c r="E8770" s="3064"/>
      <c r="F8770" s="3064"/>
      <c r="G8770" s="3300" t="s">
        <v>65</v>
      </c>
      <c r="H8770" s="3063"/>
      <c r="I8770" s="3030"/>
    </row>
    <row r="8771" spans="2:9" ht="25.5">
      <c r="B8771" s="3192" t="s">
        <v>675</v>
      </c>
      <c r="C8771" s="3063"/>
      <c r="D8771" s="3064"/>
      <c r="E8771" s="3064"/>
      <c r="F8771" s="3064"/>
      <c r="G8771" s="3301" t="s">
        <v>675</v>
      </c>
      <c r="H8771" s="3063"/>
      <c r="I8771" s="3030"/>
    </row>
    <row r="8772" spans="2:9" ht="25.5">
      <c r="B8772" s="3192" t="s">
        <v>676</v>
      </c>
      <c r="C8772" s="3063"/>
      <c r="D8772" s="3064"/>
      <c r="E8772" s="3064"/>
      <c r="F8772" s="3064"/>
      <c r="G8772" s="3301" t="s">
        <v>676</v>
      </c>
      <c r="H8772" s="3063"/>
      <c r="I8772" s="3030"/>
    </row>
    <row r="8773" spans="2:9">
      <c r="B8773" s="3192" t="s">
        <v>677</v>
      </c>
      <c r="C8773" s="3063"/>
      <c r="D8773" s="3064"/>
      <c r="E8773" s="3064"/>
      <c r="F8773" s="3064"/>
      <c r="G8773" s="3301" t="s">
        <v>677</v>
      </c>
      <c r="H8773" s="3063"/>
      <c r="I8773" s="3030"/>
    </row>
    <row r="8774" spans="2:9">
      <c r="B8774" s="3192" t="s">
        <v>678</v>
      </c>
      <c r="C8774" s="3063"/>
      <c r="D8774" s="3064"/>
      <c r="E8774" s="3064"/>
      <c r="F8774" s="3064"/>
      <c r="G8774" s="3301" t="s">
        <v>678</v>
      </c>
      <c r="H8774" s="3063"/>
      <c r="I8774" s="3030"/>
    </row>
    <row r="8775" spans="2:9">
      <c r="B8775" s="3192" t="s">
        <v>679</v>
      </c>
      <c r="C8775" s="3063"/>
      <c r="D8775" s="3064"/>
      <c r="E8775" s="3064"/>
      <c r="F8775" s="3064"/>
      <c r="G8775" s="3301" t="s">
        <v>679</v>
      </c>
      <c r="H8775" s="3063"/>
      <c r="I8775" s="3030"/>
    </row>
    <row r="8776" spans="2:9" ht="25.5">
      <c r="B8776" s="3192" t="s">
        <v>720</v>
      </c>
      <c r="C8776" s="3063"/>
      <c r="D8776" s="3064"/>
      <c r="E8776" s="3064"/>
      <c r="F8776" s="3064"/>
      <c r="G8776" s="3301" t="s">
        <v>720</v>
      </c>
      <c r="H8776" s="3063"/>
      <c r="I8776" s="3030"/>
    </row>
    <row r="8777" spans="2:9">
      <c r="B8777" s="3299" t="s">
        <v>82</v>
      </c>
      <c r="C8777" s="3063"/>
      <c r="D8777" s="3064"/>
      <c r="E8777" s="3064"/>
      <c r="F8777" s="3064"/>
      <c r="G8777" s="3300" t="s">
        <v>82</v>
      </c>
      <c r="H8777" s="3063"/>
      <c r="I8777" s="3030"/>
    </row>
    <row r="8778" spans="2:9" ht="25.5">
      <c r="B8778" s="3192" t="s">
        <v>675</v>
      </c>
      <c r="C8778" s="3063"/>
      <c r="D8778" s="3064"/>
      <c r="E8778" s="3064"/>
      <c r="F8778" s="3064"/>
      <c r="G8778" s="3301" t="s">
        <v>675</v>
      </c>
      <c r="H8778" s="3063"/>
      <c r="I8778" s="3030"/>
    </row>
    <row r="8779" spans="2:9" ht="25.5">
      <c r="B8779" s="3192" t="s">
        <v>676</v>
      </c>
      <c r="C8779" s="3063"/>
      <c r="D8779" s="3064"/>
      <c r="E8779" s="3064"/>
      <c r="F8779" s="3064"/>
      <c r="G8779" s="3301" t="s">
        <v>676</v>
      </c>
      <c r="H8779" s="3063"/>
      <c r="I8779" s="3030"/>
    </row>
    <row r="8780" spans="2:9">
      <c r="B8780" s="3192" t="s">
        <v>677</v>
      </c>
      <c r="C8780" s="3063"/>
      <c r="D8780" s="3064"/>
      <c r="E8780" s="3064"/>
      <c r="F8780" s="3064"/>
      <c r="G8780" s="3301" t="s">
        <v>677</v>
      </c>
      <c r="H8780" s="3063"/>
      <c r="I8780" s="3030"/>
    </row>
    <row r="8781" spans="2:9">
      <c r="B8781" s="3192" t="s">
        <v>678</v>
      </c>
      <c r="C8781" s="3063"/>
      <c r="D8781" s="3064"/>
      <c r="E8781" s="3064"/>
      <c r="F8781" s="3064"/>
      <c r="G8781" s="3301" t="s">
        <v>678</v>
      </c>
      <c r="H8781" s="3063"/>
      <c r="I8781" s="3030"/>
    </row>
    <row r="8782" spans="2:9">
      <c r="B8782" s="3192" t="s">
        <v>679</v>
      </c>
      <c r="C8782" s="3063"/>
      <c r="D8782" s="3064"/>
      <c r="E8782" s="3064"/>
      <c r="F8782" s="3064"/>
      <c r="G8782" s="3301" t="s">
        <v>679</v>
      </c>
      <c r="H8782" s="3063"/>
      <c r="I8782" s="3030"/>
    </row>
    <row r="8783" spans="2:9" ht="25.5">
      <c r="B8783" s="3192" t="s">
        <v>720</v>
      </c>
      <c r="C8783" s="3063"/>
      <c r="D8783" s="3064"/>
      <c r="E8783" s="3064"/>
      <c r="F8783" s="3064"/>
      <c r="G8783" s="3301" t="s">
        <v>720</v>
      </c>
      <c r="H8783" s="3063"/>
      <c r="I8783" s="3030"/>
    </row>
    <row r="8784" spans="2:9" ht="38.25">
      <c r="B8784" s="3299" t="s">
        <v>680</v>
      </c>
      <c r="C8784" s="3063"/>
      <c r="D8784" s="3064"/>
      <c r="E8784" s="3064"/>
      <c r="F8784" s="3064"/>
      <c r="G8784" s="3300" t="s">
        <v>680</v>
      </c>
      <c r="H8784" s="3063"/>
      <c r="I8784" s="3030"/>
    </row>
    <row r="8785" spans="2:9" ht="25.5">
      <c r="B8785" s="3192" t="s">
        <v>675</v>
      </c>
      <c r="C8785" s="3063"/>
      <c r="D8785" s="3064"/>
      <c r="E8785" s="3064"/>
      <c r="F8785" s="3064"/>
      <c r="G8785" s="3301" t="s">
        <v>675</v>
      </c>
      <c r="H8785" s="3063"/>
      <c r="I8785" s="3030"/>
    </row>
    <row r="8786" spans="2:9" ht="25.5">
      <c r="B8786" s="3192" t="s">
        <v>676</v>
      </c>
      <c r="C8786" s="3063"/>
      <c r="D8786" s="3064"/>
      <c r="E8786" s="3064"/>
      <c r="F8786" s="3064"/>
      <c r="G8786" s="3301" t="s">
        <v>676</v>
      </c>
      <c r="H8786" s="3063"/>
      <c r="I8786" s="3030"/>
    </row>
    <row r="8787" spans="2:9">
      <c r="B8787" s="3192" t="s">
        <v>677</v>
      </c>
      <c r="C8787" s="3063"/>
      <c r="D8787" s="3064"/>
      <c r="E8787" s="3064"/>
      <c r="F8787" s="3064"/>
      <c r="G8787" s="3301" t="s">
        <v>677</v>
      </c>
      <c r="H8787" s="3063"/>
      <c r="I8787" s="3030"/>
    </row>
    <row r="8788" spans="2:9">
      <c r="B8788" s="3192" t="s">
        <v>678</v>
      </c>
      <c r="C8788" s="3063"/>
      <c r="D8788" s="3064"/>
      <c r="E8788" s="3064"/>
      <c r="F8788" s="3064"/>
      <c r="G8788" s="3301" t="s">
        <v>678</v>
      </c>
      <c r="H8788" s="3063"/>
      <c r="I8788" s="3030"/>
    </row>
    <row r="8789" spans="2:9">
      <c r="B8789" s="3192" t="s">
        <v>679</v>
      </c>
      <c r="C8789" s="3063"/>
      <c r="D8789" s="3064"/>
      <c r="E8789" s="3064"/>
      <c r="F8789" s="3064"/>
      <c r="G8789" s="3301" t="s">
        <v>679</v>
      </c>
      <c r="H8789" s="3063"/>
      <c r="I8789" s="3030"/>
    </row>
    <row r="8790" spans="2:9" ht="25.5">
      <c r="B8790" s="3192" t="s">
        <v>720</v>
      </c>
      <c r="C8790" s="3063"/>
      <c r="D8790" s="3064"/>
      <c r="E8790" s="3064"/>
      <c r="F8790" s="3064"/>
      <c r="G8790" s="3301" t="s">
        <v>720</v>
      </c>
      <c r="H8790" s="3063"/>
      <c r="I8790" s="3030"/>
    </row>
    <row r="8791" spans="2:9" ht="38.25">
      <c r="B8791" s="3299" t="s">
        <v>681</v>
      </c>
      <c r="C8791" s="3063"/>
      <c r="D8791" s="3064"/>
      <c r="E8791" s="3064"/>
      <c r="F8791" s="3064"/>
      <c r="G8791" s="3300" t="s">
        <v>681</v>
      </c>
      <c r="H8791" s="3063"/>
      <c r="I8791" s="3030"/>
    </row>
    <row r="8792" spans="2:9" ht="25.5">
      <c r="B8792" s="3192" t="s">
        <v>675</v>
      </c>
      <c r="C8792" s="3063"/>
      <c r="D8792" s="3064"/>
      <c r="E8792" s="3064"/>
      <c r="F8792" s="3064"/>
      <c r="G8792" s="3301" t="s">
        <v>675</v>
      </c>
      <c r="H8792" s="3063"/>
      <c r="I8792" s="3030"/>
    </row>
    <row r="8793" spans="2:9" ht="25.5">
      <c r="B8793" s="3192" t="s">
        <v>676</v>
      </c>
      <c r="C8793" s="3063"/>
      <c r="D8793" s="3064"/>
      <c r="E8793" s="3064"/>
      <c r="F8793" s="3064"/>
      <c r="G8793" s="3301" t="s">
        <v>676</v>
      </c>
      <c r="H8793" s="3063"/>
      <c r="I8793" s="3030"/>
    </row>
    <row r="8794" spans="2:9">
      <c r="B8794" s="3192" t="s">
        <v>677</v>
      </c>
      <c r="C8794" s="3063"/>
      <c r="D8794" s="3064"/>
      <c r="E8794" s="3064"/>
      <c r="F8794" s="3064"/>
      <c r="G8794" s="3301" t="s">
        <v>677</v>
      </c>
      <c r="H8794" s="3063"/>
      <c r="I8794" s="3030"/>
    </row>
    <row r="8795" spans="2:9">
      <c r="B8795" s="3192" t="s">
        <v>678</v>
      </c>
      <c r="C8795" s="3063"/>
      <c r="D8795" s="3064"/>
      <c r="E8795" s="3064"/>
      <c r="F8795" s="3064"/>
      <c r="G8795" s="3301" t="s">
        <v>678</v>
      </c>
      <c r="H8795" s="3063"/>
      <c r="I8795" s="3030"/>
    </row>
    <row r="8796" spans="2:9">
      <c r="B8796" s="3192" t="s">
        <v>679</v>
      </c>
      <c r="C8796" s="3063"/>
      <c r="D8796" s="3064"/>
      <c r="E8796" s="3064"/>
      <c r="F8796" s="3064"/>
      <c r="G8796" s="3301" t="s">
        <v>679</v>
      </c>
      <c r="H8796" s="3063"/>
      <c r="I8796" s="3030"/>
    </row>
    <row r="8797" spans="2:9" ht="25.5">
      <c r="B8797" s="3192" t="s">
        <v>720</v>
      </c>
      <c r="C8797" s="3063"/>
      <c r="D8797" s="3064"/>
      <c r="E8797" s="3064"/>
      <c r="F8797" s="3064"/>
      <c r="G8797" s="3301" t="s">
        <v>720</v>
      </c>
      <c r="H8797" s="3063"/>
      <c r="I8797" s="3030"/>
    </row>
    <row r="8798" spans="2:9" ht="25.5">
      <c r="B8798" s="3299" t="s">
        <v>682</v>
      </c>
      <c r="C8798" s="3063"/>
      <c r="D8798" s="3064"/>
      <c r="E8798" s="3064"/>
      <c r="F8798" s="3064"/>
      <c r="G8798" s="3300" t="s">
        <v>682</v>
      </c>
      <c r="H8798" s="3063"/>
      <c r="I8798" s="3030"/>
    </row>
    <row r="8799" spans="2:9" ht="25.5">
      <c r="B8799" s="3192" t="s">
        <v>675</v>
      </c>
      <c r="C8799" s="3063"/>
      <c r="D8799" s="3064"/>
      <c r="E8799" s="3064"/>
      <c r="F8799" s="3064"/>
      <c r="G8799" s="3301" t="s">
        <v>675</v>
      </c>
      <c r="H8799" s="3063"/>
      <c r="I8799" s="3030"/>
    </row>
    <row r="8800" spans="2:9" ht="25.5">
      <c r="B8800" s="3192" t="s">
        <v>676</v>
      </c>
      <c r="C8800" s="3063"/>
      <c r="D8800" s="3064"/>
      <c r="E8800" s="3064"/>
      <c r="F8800" s="3064"/>
      <c r="G8800" s="3301" t="s">
        <v>676</v>
      </c>
      <c r="H8800" s="3063"/>
      <c r="I8800" s="3030"/>
    </row>
    <row r="8801" spans="2:9">
      <c r="B8801" s="3192" t="s">
        <v>677</v>
      </c>
      <c r="C8801" s="3063"/>
      <c r="D8801" s="3064"/>
      <c r="E8801" s="3064"/>
      <c r="F8801" s="3064"/>
      <c r="G8801" s="3301" t="s">
        <v>677</v>
      </c>
      <c r="H8801" s="3063"/>
      <c r="I8801" s="3030"/>
    </row>
    <row r="8802" spans="2:9">
      <c r="B8802" s="3192" t="s">
        <v>678</v>
      </c>
      <c r="C8802" s="3063"/>
      <c r="D8802" s="3064"/>
      <c r="E8802" s="3064"/>
      <c r="F8802" s="3064"/>
      <c r="G8802" s="3301" t="s">
        <v>678</v>
      </c>
      <c r="H8802" s="3063"/>
      <c r="I8802" s="3030"/>
    </row>
    <row r="8803" spans="2:9">
      <c r="B8803" s="3192" t="s">
        <v>679</v>
      </c>
      <c r="C8803" s="3063"/>
      <c r="D8803" s="3064"/>
      <c r="E8803" s="3064"/>
      <c r="F8803" s="3064"/>
      <c r="G8803" s="3301" t="s">
        <v>679</v>
      </c>
      <c r="H8803" s="3063"/>
      <c r="I8803" s="3030"/>
    </row>
    <row r="8804" spans="2:9" ht="25.5">
      <c r="B8804" s="3192" t="s">
        <v>720</v>
      </c>
      <c r="C8804" s="3063"/>
      <c r="D8804" s="3064"/>
      <c r="E8804" s="3064"/>
      <c r="F8804" s="3064"/>
      <c r="G8804" s="3301" t="s">
        <v>720</v>
      </c>
      <c r="H8804" s="3063"/>
      <c r="I8804" s="3030"/>
    </row>
    <row r="8805" spans="2:9" ht="25.5">
      <c r="B8805" s="3299" t="s">
        <v>66</v>
      </c>
      <c r="C8805" s="3063"/>
      <c r="D8805" s="3064"/>
      <c r="E8805" s="3064"/>
      <c r="F8805" s="3064"/>
      <c r="G8805" s="3300" t="s">
        <v>66</v>
      </c>
      <c r="H8805" s="3063"/>
      <c r="I8805" s="3030"/>
    </row>
    <row r="8806" spans="2:9" ht="25.5">
      <c r="B8806" s="3192" t="s">
        <v>675</v>
      </c>
      <c r="C8806" s="3063"/>
      <c r="D8806" s="3064"/>
      <c r="E8806" s="3064"/>
      <c r="F8806" s="3064"/>
      <c r="G8806" s="3301" t="s">
        <v>675</v>
      </c>
      <c r="H8806" s="3063"/>
      <c r="I8806" s="3030"/>
    </row>
    <row r="8807" spans="2:9" ht="25.5">
      <c r="B8807" s="3192" t="s">
        <v>676</v>
      </c>
      <c r="C8807" s="3063"/>
      <c r="D8807" s="3064"/>
      <c r="E8807" s="3064"/>
      <c r="F8807" s="3064"/>
      <c r="G8807" s="3301" t="s">
        <v>676</v>
      </c>
      <c r="H8807" s="3063"/>
      <c r="I8807" s="3030"/>
    </row>
    <row r="8808" spans="2:9">
      <c r="B8808" s="3192" t="s">
        <v>677</v>
      </c>
      <c r="C8808" s="3063"/>
      <c r="D8808" s="3064"/>
      <c r="E8808" s="3064"/>
      <c r="F8808" s="3064"/>
      <c r="G8808" s="3301" t="s">
        <v>677</v>
      </c>
      <c r="H8808" s="3063"/>
      <c r="I8808" s="3030"/>
    </row>
    <row r="8809" spans="2:9">
      <c r="B8809" s="3192" t="s">
        <v>678</v>
      </c>
      <c r="C8809" s="3063"/>
      <c r="D8809" s="3064"/>
      <c r="E8809" s="3064"/>
      <c r="F8809" s="3064"/>
      <c r="G8809" s="3301" t="s">
        <v>678</v>
      </c>
      <c r="H8809" s="3063"/>
      <c r="I8809" s="3030"/>
    </row>
    <row r="8810" spans="2:9">
      <c r="B8810" s="3192" t="s">
        <v>679</v>
      </c>
      <c r="C8810" s="3063"/>
      <c r="D8810" s="3064"/>
      <c r="E8810" s="3064"/>
      <c r="F8810" s="3064"/>
      <c r="G8810" s="3301" t="s">
        <v>679</v>
      </c>
      <c r="H8810" s="3063"/>
      <c r="I8810" s="3030"/>
    </row>
    <row r="8811" spans="2:9" ht="25.5">
      <c r="B8811" s="3192" t="s">
        <v>720</v>
      </c>
      <c r="C8811" s="3063"/>
      <c r="D8811" s="3064"/>
      <c r="E8811" s="3064"/>
      <c r="F8811" s="3064"/>
      <c r="G8811" s="3301" t="s">
        <v>720</v>
      </c>
      <c r="H8811" s="3063"/>
      <c r="I8811" s="3030"/>
    </row>
    <row r="8812" spans="2:9">
      <c r="B8812" s="3299" t="s">
        <v>67</v>
      </c>
      <c r="C8812" s="3063"/>
      <c r="D8812" s="3064"/>
      <c r="E8812" s="3064"/>
      <c r="F8812" s="3064">
        <v>1</v>
      </c>
      <c r="G8812" s="3300" t="s">
        <v>67</v>
      </c>
      <c r="H8812" s="3063">
        <v>3.2884640680492815E-2</v>
      </c>
      <c r="I8812" s="3030"/>
    </row>
    <row r="8813" spans="2:9" ht="25.5">
      <c r="B8813" s="3192" t="s">
        <v>675</v>
      </c>
      <c r="C8813" s="3063">
        <v>1</v>
      </c>
      <c r="D8813" s="3064"/>
      <c r="E8813" s="3064"/>
      <c r="F8813" s="3064"/>
      <c r="G8813" s="3301" t="s">
        <v>675</v>
      </c>
      <c r="H8813" s="3063"/>
      <c r="I8813" s="3030">
        <v>3.2884640680492815E-2</v>
      </c>
    </row>
    <row r="8814" spans="2:9" ht="25.5">
      <c r="B8814" s="3192" t="s">
        <v>676</v>
      </c>
      <c r="C8814" s="3063"/>
      <c r="D8814" s="3064"/>
      <c r="E8814" s="3064"/>
      <c r="F8814" s="3064"/>
      <c r="G8814" s="3301" t="s">
        <v>676</v>
      </c>
      <c r="H8814" s="3063"/>
      <c r="I8814" s="3030"/>
    </row>
    <row r="8815" spans="2:9">
      <c r="B8815" s="3192" t="s">
        <v>677</v>
      </c>
      <c r="C8815" s="3063"/>
      <c r="D8815" s="3064"/>
      <c r="E8815" s="3064"/>
      <c r="F8815" s="3064"/>
      <c r="G8815" s="3301" t="s">
        <v>677</v>
      </c>
      <c r="H8815" s="3063"/>
      <c r="I8815" s="3030"/>
    </row>
    <row r="8816" spans="2:9">
      <c r="B8816" s="3192" t="s">
        <v>678</v>
      </c>
      <c r="C8816" s="3063"/>
      <c r="D8816" s="3064"/>
      <c r="E8816" s="3064"/>
      <c r="F8816" s="3064"/>
      <c r="G8816" s="3301" t="s">
        <v>678</v>
      </c>
      <c r="H8816" s="3063"/>
      <c r="I8816" s="3030"/>
    </row>
    <row r="8817" spans="2:9">
      <c r="B8817" s="3192" t="s">
        <v>679</v>
      </c>
      <c r="C8817" s="3063"/>
      <c r="D8817" s="3064"/>
      <c r="E8817" s="3064"/>
      <c r="F8817" s="3064"/>
      <c r="G8817" s="3301" t="s">
        <v>679</v>
      </c>
      <c r="H8817" s="3063"/>
      <c r="I8817" s="3030"/>
    </row>
    <row r="8818" spans="2:9" ht="25.5">
      <c r="B8818" s="3230" t="s">
        <v>81</v>
      </c>
      <c r="C8818" s="3063"/>
      <c r="D8818" s="3064"/>
      <c r="E8818" s="3064"/>
      <c r="F8818" s="3064"/>
      <c r="G8818" s="3302" t="s">
        <v>81</v>
      </c>
      <c r="H8818" s="3063"/>
      <c r="I8818" s="3030"/>
    </row>
    <row r="8819" spans="2:9" ht="26.25" thickBot="1">
      <c r="B8819" s="3303" t="s">
        <v>81</v>
      </c>
      <c r="C8819" s="3068"/>
      <c r="D8819" s="3069"/>
      <c r="E8819" s="3069"/>
      <c r="F8819" s="3069"/>
      <c r="G8819" s="3304" t="s">
        <v>81</v>
      </c>
      <c r="H8819" s="3068"/>
      <c r="I8819" s="3070"/>
    </row>
    <row r="8820" spans="2:9" ht="38.25">
      <c r="B8820" s="4723">
        <v>3064</v>
      </c>
      <c r="C8820" s="3289"/>
      <c r="D8820" s="3290"/>
      <c r="E8820" s="3290"/>
      <c r="F8820" s="3290"/>
      <c r="G8820" s="4723">
        <v>3064</v>
      </c>
      <c r="H8820" s="3291" t="s">
        <v>687</v>
      </c>
      <c r="I8820" s="3292" t="s">
        <v>688</v>
      </c>
    </row>
    <row r="8821" spans="2:9">
      <c r="B8821" s="4724"/>
      <c r="C8821" s="4678" t="s">
        <v>686</v>
      </c>
      <c r="D8821" s="4725"/>
      <c r="E8821" s="4725"/>
      <c r="F8821" s="4726"/>
      <c r="G8821" s="4724"/>
      <c r="H8821" s="3293"/>
      <c r="I8821" s="3294"/>
    </row>
    <row r="8822" spans="2:9" ht="13.5" thickBot="1">
      <c r="B8822" s="4724"/>
      <c r="C8822" s="3215">
        <v>2013</v>
      </c>
      <c r="D8822" s="3215">
        <v>2014</v>
      </c>
      <c r="E8822" s="3215">
        <v>2015</v>
      </c>
      <c r="F8822" s="3215">
        <v>2016</v>
      </c>
      <c r="G8822" s="4724"/>
      <c r="H8822" s="3295" t="s">
        <v>390</v>
      </c>
      <c r="I8822" s="3296" t="s">
        <v>390</v>
      </c>
    </row>
    <row r="8823" spans="2:9">
      <c r="B8823" s="3217" t="s">
        <v>695</v>
      </c>
      <c r="C8823" s="3218"/>
      <c r="D8823" s="3219"/>
      <c r="E8823" s="3219"/>
      <c r="F8823" s="3219"/>
      <c r="G8823" s="3217" t="s">
        <v>695</v>
      </c>
      <c r="H8823" s="3297"/>
      <c r="I8823" s="3298"/>
    </row>
    <row r="8824" spans="2:9">
      <c r="B8824" s="3299" t="s">
        <v>64</v>
      </c>
      <c r="C8824" s="3063"/>
      <c r="D8824" s="3064"/>
      <c r="E8824" s="3064"/>
      <c r="F8824" s="3064"/>
      <c r="G8824" s="3300" t="s">
        <v>64</v>
      </c>
      <c r="H8824" s="3063"/>
      <c r="I8824" s="3030"/>
    </row>
    <row r="8825" spans="2:9" ht="25.5">
      <c r="B8825" s="3192" t="s">
        <v>675</v>
      </c>
      <c r="C8825" s="3063"/>
      <c r="D8825" s="3064"/>
      <c r="E8825" s="3064"/>
      <c r="F8825" s="3064"/>
      <c r="G8825" s="3301" t="s">
        <v>675</v>
      </c>
      <c r="H8825" s="3063"/>
      <c r="I8825" s="3030"/>
    </row>
    <row r="8826" spans="2:9" ht="25.5">
      <c r="B8826" s="3192" t="s">
        <v>676</v>
      </c>
      <c r="C8826" s="3063"/>
      <c r="D8826" s="3064"/>
      <c r="E8826" s="3064"/>
      <c r="F8826" s="3064"/>
      <c r="G8826" s="3301" t="s">
        <v>676</v>
      </c>
      <c r="H8826" s="3063"/>
      <c r="I8826" s="3030"/>
    </row>
    <row r="8827" spans="2:9">
      <c r="B8827" s="3192" t="s">
        <v>677</v>
      </c>
      <c r="C8827" s="3063"/>
      <c r="D8827" s="3064"/>
      <c r="E8827" s="3064"/>
      <c r="F8827" s="3064"/>
      <c r="G8827" s="3301" t="s">
        <v>677</v>
      </c>
      <c r="H8827" s="3063"/>
      <c r="I8827" s="3030"/>
    </row>
    <row r="8828" spans="2:9">
      <c r="B8828" s="3192" t="s">
        <v>678</v>
      </c>
      <c r="C8828" s="3063"/>
      <c r="D8828" s="3064"/>
      <c r="E8828" s="3064"/>
      <c r="F8828" s="3064"/>
      <c r="G8828" s="3301" t="s">
        <v>678</v>
      </c>
      <c r="H8828" s="3063"/>
      <c r="I8828" s="3030"/>
    </row>
    <row r="8829" spans="2:9">
      <c r="B8829" s="3192" t="s">
        <v>679</v>
      </c>
      <c r="C8829" s="3063"/>
      <c r="D8829" s="3064"/>
      <c r="E8829" s="3064"/>
      <c r="F8829" s="3064"/>
      <c r="G8829" s="3301" t="s">
        <v>679</v>
      </c>
      <c r="H8829" s="3063"/>
      <c r="I8829" s="3030"/>
    </row>
    <row r="8830" spans="2:9" ht="25.5">
      <c r="B8830" s="3192" t="s">
        <v>720</v>
      </c>
      <c r="C8830" s="3063"/>
      <c r="D8830" s="3064"/>
      <c r="E8830" s="3064"/>
      <c r="F8830" s="3064"/>
      <c r="G8830" s="3301" t="s">
        <v>720</v>
      </c>
      <c r="H8830" s="3063"/>
      <c r="I8830" s="3030"/>
    </row>
    <row r="8831" spans="2:9">
      <c r="B8831" s="3299" t="s">
        <v>65</v>
      </c>
      <c r="C8831" s="3063"/>
      <c r="D8831" s="3064"/>
      <c r="E8831" s="3064"/>
      <c r="F8831" s="3064"/>
      <c r="G8831" s="3300" t="s">
        <v>65</v>
      </c>
      <c r="H8831" s="3063"/>
      <c r="I8831" s="3030"/>
    </row>
    <row r="8832" spans="2:9" ht="25.5">
      <c r="B8832" s="3192" t="s">
        <v>675</v>
      </c>
      <c r="C8832" s="3063"/>
      <c r="D8832" s="3064"/>
      <c r="E8832" s="3064"/>
      <c r="F8832" s="3064"/>
      <c r="G8832" s="3301" t="s">
        <v>675</v>
      </c>
      <c r="H8832" s="3063"/>
      <c r="I8832" s="3030"/>
    </row>
    <row r="8833" spans="2:9" ht="25.5">
      <c r="B8833" s="3192" t="s">
        <v>676</v>
      </c>
      <c r="C8833" s="3063"/>
      <c r="D8833" s="3064"/>
      <c r="E8833" s="3064"/>
      <c r="F8833" s="3064"/>
      <c r="G8833" s="3301" t="s">
        <v>676</v>
      </c>
      <c r="H8833" s="3063"/>
      <c r="I8833" s="3030"/>
    </row>
    <row r="8834" spans="2:9">
      <c r="B8834" s="3192" t="s">
        <v>677</v>
      </c>
      <c r="C8834" s="3063"/>
      <c r="D8834" s="3064"/>
      <c r="E8834" s="3064"/>
      <c r="F8834" s="3064"/>
      <c r="G8834" s="3301" t="s">
        <v>677</v>
      </c>
      <c r="H8834" s="3063"/>
      <c r="I8834" s="3030"/>
    </row>
    <row r="8835" spans="2:9">
      <c r="B8835" s="3192" t="s">
        <v>678</v>
      </c>
      <c r="C8835" s="3063"/>
      <c r="D8835" s="3064"/>
      <c r="E8835" s="3064"/>
      <c r="F8835" s="3064"/>
      <c r="G8835" s="3301" t="s">
        <v>678</v>
      </c>
      <c r="H8835" s="3063"/>
      <c r="I8835" s="3030"/>
    </row>
    <row r="8836" spans="2:9">
      <c r="B8836" s="3192" t="s">
        <v>679</v>
      </c>
      <c r="C8836" s="3063"/>
      <c r="D8836" s="3064"/>
      <c r="E8836" s="3064"/>
      <c r="F8836" s="3064"/>
      <c r="G8836" s="3301" t="s">
        <v>679</v>
      </c>
      <c r="H8836" s="3063"/>
      <c r="I8836" s="3030"/>
    </row>
    <row r="8837" spans="2:9" ht="25.5">
      <c r="B8837" s="3192" t="s">
        <v>720</v>
      </c>
      <c r="C8837" s="3063"/>
      <c r="D8837" s="3064"/>
      <c r="E8837" s="3064"/>
      <c r="F8837" s="3064"/>
      <c r="G8837" s="3301" t="s">
        <v>720</v>
      </c>
      <c r="H8837" s="3063"/>
      <c r="I8837" s="3030"/>
    </row>
    <row r="8838" spans="2:9">
      <c r="B8838" s="3299" t="s">
        <v>82</v>
      </c>
      <c r="C8838" s="3063"/>
      <c r="D8838" s="3064"/>
      <c r="E8838" s="3064"/>
      <c r="F8838" s="3064"/>
      <c r="G8838" s="3300" t="s">
        <v>82</v>
      </c>
      <c r="H8838" s="3063"/>
      <c r="I8838" s="3030"/>
    </row>
    <row r="8839" spans="2:9" ht="25.5">
      <c r="B8839" s="3192" t="s">
        <v>675</v>
      </c>
      <c r="C8839" s="3063"/>
      <c r="D8839" s="3064"/>
      <c r="E8839" s="3064"/>
      <c r="F8839" s="3064"/>
      <c r="G8839" s="3301" t="s">
        <v>675</v>
      </c>
      <c r="H8839" s="3063"/>
      <c r="I8839" s="3030"/>
    </row>
    <row r="8840" spans="2:9" ht="25.5">
      <c r="B8840" s="3192" t="s">
        <v>676</v>
      </c>
      <c r="C8840" s="3063"/>
      <c r="D8840" s="3064"/>
      <c r="E8840" s="3064"/>
      <c r="F8840" s="3064"/>
      <c r="G8840" s="3301" t="s">
        <v>676</v>
      </c>
      <c r="H8840" s="3063"/>
      <c r="I8840" s="3030"/>
    </row>
    <row r="8841" spans="2:9">
      <c r="B8841" s="3192" t="s">
        <v>677</v>
      </c>
      <c r="C8841" s="3063"/>
      <c r="D8841" s="3064"/>
      <c r="E8841" s="3064"/>
      <c r="F8841" s="3064"/>
      <c r="G8841" s="3301" t="s">
        <v>677</v>
      </c>
      <c r="H8841" s="3063"/>
      <c r="I8841" s="3030"/>
    </row>
    <row r="8842" spans="2:9">
      <c r="B8842" s="3192" t="s">
        <v>678</v>
      </c>
      <c r="C8842" s="3063"/>
      <c r="D8842" s="3064"/>
      <c r="E8842" s="3064"/>
      <c r="F8842" s="3064"/>
      <c r="G8842" s="3301" t="s">
        <v>678</v>
      </c>
      <c r="H8842" s="3063"/>
      <c r="I8842" s="3030"/>
    </row>
    <row r="8843" spans="2:9">
      <c r="B8843" s="3192" t="s">
        <v>679</v>
      </c>
      <c r="C8843" s="3063"/>
      <c r="D8843" s="3064"/>
      <c r="E8843" s="3064"/>
      <c r="F8843" s="3064"/>
      <c r="G8843" s="3301" t="s">
        <v>679</v>
      </c>
      <c r="H8843" s="3063"/>
      <c r="I8843" s="3030"/>
    </row>
    <row r="8844" spans="2:9" ht="25.5">
      <c r="B8844" s="3192" t="s">
        <v>720</v>
      </c>
      <c r="C8844" s="3063"/>
      <c r="D8844" s="3064"/>
      <c r="E8844" s="3064"/>
      <c r="F8844" s="3064"/>
      <c r="G8844" s="3301" t="s">
        <v>720</v>
      </c>
      <c r="H8844" s="3063"/>
      <c r="I8844" s="3030"/>
    </row>
    <row r="8845" spans="2:9" ht="38.25">
      <c r="B8845" s="3299" t="s">
        <v>680</v>
      </c>
      <c r="C8845" s="3063"/>
      <c r="D8845" s="3064"/>
      <c r="E8845" s="3064"/>
      <c r="F8845" s="3064"/>
      <c r="G8845" s="3300" t="s">
        <v>680</v>
      </c>
      <c r="H8845" s="3063"/>
      <c r="I8845" s="3030"/>
    </row>
    <row r="8846" spans="2:9" ht="25.5">
      <c r="B8846" s="3192" t="s">
        <v>675</v>
      </c>
      <c r="C8846" s="3063"/>
      <c r="D8846" s="3064"/>
      <c r="E8846" s="3064"/>
      <c r="F8846" s="3064"/>
      <c r="G8846" s="3301" t="s">
        <v>675</v>
      </c>
      <c r="H8846" s="3063"/>
      <c r="I8846" s="3030"/>
    </row>
    <row r="8847" spans="2:9" ht="25.5">
      <c r="B8847" s="3192" t="s">
        <v>676</v>
      </c>
      <c r="C8847" s="3063"/>
      <c r="D8847" s="3064"/>
      <c r="E8847" s="3064"/>
      <c r="F8847" s="3064"/>
      <c r="G8847" s="3301" t="s">
        <v>676</v>
      </c>
      <c r="H8847" s="3063"/>
      <c r="I8847" s="3030"/>
    </row>
    <row r="8848" spans="2:9">
      <c r="B8848" s="3192" t="s">
        <v>677</v>
      </c>
      <c r="C8848" s="3063"/>
      <c r="D8848" s="3064"/>
      <c r="E8848" s="3064"/>
      <c r="F8848" s="3064"/>
      <c r="G8848" s="3301" t="s">
        <v>677</v>
      </c>
      <c r="H8848" s="3063"/>
      <c r="I8848" s="3030"/>
    </row>
    <row r="8849" spans="2:9">
      <c r="B8849" s="3192" t="s">
        <v>678</v>
      </c>
      <c r="C8849" s="3063"/>
      <c r="D8849" s="3064"/>
      <c r="E8849" s="3064"/>
      <c r="F8849" s="3064"/>
      <c r="G8849" s="3301" t="s">
        <v>678</v>
      </c>
      <c r="H8849" s="3063"/>
      <c r="I8849" s="3030"/>
    </row>
    <row r="8850" spans="2:9">
      <c r="B8850" s="3192" t="s">
        <v>679</v>
      </c>
      <c r="C8850" s="3063"/>
      <c r="D8850" s="3064"/>
      <c r="E8850" s="3064"/>
      <c r="F8850" s="3064"/>
      <c r="G8850" s="3301" t="s">
        <v>679</v>
      </c>
      <c r="H8850" s="3063"/>
      <c r="I8850" s="3030"/>
    </row>
    <row r="8851" spans="2:9" ht="25.5">
      <c r="B8851" s="3192" t="s">
        <v>720</v>
      </c>
      <c r="C8851" s="3063"/>
      <c r="D8851" s="3064"/>
      <c r="E8851" s="3064"/>
      <c r="F8851" s="3064"/>
      <c r="G8851" s="3301" t="s">
        <v>720</v>
      </c>
      <c r="H8851" s="3063"/>
      <c r="I8851" s="3030"/>
    </row>
    <row r="8852" spans="2:9" ht="38.25">
      <c r="B8852" s="3299" t="s">
        <v>681</v>
      </c>
      <c r="C8852" s="3063"/>
      <c r="D8852" s="3064"/>
      <c r="E8852" s="3064"/>
      <c r="F8852" s="3064"/>
      <c r="G8852" s="3300" t="s">
        <v>681</v>
      </c>
      <c r="H8852" s="3063"/>
      <c r="I8852" s="3030"/>
    </row>
    <row r="8853" spans="2:9" ht="25.5">
      <c r="B8853" s="3192" t="s">
        <v>675</v>
      </c>
      <c r="C8853" s="3063"/>
      <c r="D8853" s="3064"/>
      <c r="E8853" s="3064"/>
      <c r="F8853" s="3064"/>
      <c r="G8853" s="3301" t="s">
        <v>675</v>
      </c>
      <c r="H8853" s="3063"/>
      <c r="I8853" s="3030"/>
    </row>
    <row r="8854" spans="2:9" ht="25.5">
      <c r="B8854" s="3192" t="s">
        <v>676</v>
      </c>
      <c r="C8854" s="3063"/>
      <c r="D8854" s="3064"/>
      <c r="E8854" s="3064"/>
      <c r="F8854" s="3064"/>
      <c r="G8854" s="3301" t="s">
        <v>676</v>
      </c>
      <c r="H8854" s="3063"/>
      <c r="I8854" s="3030"/>
    </row>
    <row r="8855" spans="2:9">
      <c r="B8855" s="3192" t="s">
        <v>677</v>
      </c>
      <c r="C8855" s="3063"/>
      <c r="D8855" s="3064"/>
      <c r="E8855" s="3064"/>
      <c r="F8855" s="3064"/>
      <c r="G8855" s="3301" t="s">
        <v>677</v>
      </c>
      <c r="H8855" s="3063"/>
      <c r="I8855" s="3030"/>
    </row>
    <row r="8856" spans="2:9">
      <c r="B8856" s="3192" t="s">
        <v>678</v>
      </c>
      <c r="C8856" s="3063"/>
      <c r="D8856" s="3064"/>
      <c r="E8856" s="3064"/>
      <c r="F8856" s="3064"/>
      <c r="G8856" s="3301" t="s">
        <v>678</v>
      </c>
      <c r="H8856" s="3063"/>
      <c r="I8856" s="3030"/>
    </row>
    <row r="8857" spans="2:9">
      <c r="B8857" s="3192" t="s">
        <v>679</v>
      </c>
      <c r="C8857" s="3063"/>
      <c r="D8857" s="3064"/>
      <c r="E8857" s="3064"/>
      <c r="F8857" s="3064"/>
      <c r="G8857" s="3301" t="s">
        <v>679</v>
      </c>
      <c r="H8857" s="3063"/>
      <c r="I8857" s="3030"/>
    </row>
    <row r="8858" spans="2:9" ht="25.5">
      <c r="B8858" s="3192" t="s">
        <v>720</v>
      </c>
      <c r="C8858" s="3063"/>
      <c r="D8858" s="3064"/>
      <c r="E8858" s="3064"/>
      <c r="F8858" s="3064"/>
      <c r="G8858" s="3301" t="s">
        <v>720</v>
      </c>
      <c r="H8858" s="3063"/>
      <c r="I8858" s="3030"/>
    </row>
    <row r="8859" spans="2:9" ht="25.5">
      <c r="B8859" s="3299" t="s">
        <v>682</v>
      </c>
      <c r="C8859" s="3063"/>
      <c r="D8859" s="3064"/>
      <c r="E8859" s="3064"/>
      <c r="F8859" s="3064"/>
      <c r="G8859" s="3300" t="s">
        <v>682</v>
      </c>
      <c r="H8859" s="3063"/>
      <c r="I8859" s="3030"/>
    </row>
    <row r="8860" spans="2:9" ht="25.5">
      <c r="B8860" s="3192" t="s">
        <v>675</v>
      </c>
      <c r="C8860" s="3063"/>
      <c r="D8860" s="3064"/>
      <c r="E8860" s="3064"/>
      <c r="F8860" s="3064"/>
      <c r="G8860" s="3301" t="s">
        <v>675</v>
      </c>
      <c r="H8860" s="3063"/>
      <c r="I8860" s="3030"/>
    </row>
    <row r="8861" spans="2:9" ht="25.5">
      <c r="B8861" s="3192" t="s">
        <v>676</v>
      </c>
      <c r="C8861" s="3063"/>
      <c r="D8861" s="3064"/>
      <c r="E8861" s="3064"/>
      <c r="F8861" s="3064"/>
      <c r="G8861" s="3301" t="s">
        <v>676</v>
      </c>
      <c r="H8861" s="3063"/>
      <c r="I8861" s="3030"/>
    </row>
    <row r="8862" spans="2:9">
      <c r="B8862" s="3192" t="s">
        <v>677</v>
      </c>
      <c r="C8862" s="3063"/>
      <c r="D8862" s="3064"/>
      <c r="E8862" s="3064"/>
      <c r="F8862" s="3064"/>
      <c r="G8862" s="3301" t="s">
        <v>677</v>
      </c>
      <c r="H8862" s="3063"/>
      <c r="I8862" s="3030"/>
    </row>
    <row r="8863" spans="2:9">
      <c r="B8863" s="3192" t="s">
        <v>678</v>
      </c>
      <c r="C8863" s="3063"/>
      <c r="D8863" s="3064"/>
      <c r="E8863" s="3064"/>
      <c r="F8863" s="3064"/>
      <c r="G8863" s="3301" t="s">
        <v>678</v>
      </c>
      <c r="H8863" s="3063"/>
      <c r="I8863" s="3030"/>
    </row>
    <row r="8864" spans="2:9">
      <c r="B8864" s="3192" t="s">
        <v>679</v>
      </c>
      <c r="C8864" s="3063"/>
      <c r="D8864" s="3064"/>
      <c r="E8864" s="3064"/>
      <c r="F8864" s="3064"/>
      <c r="G8864" s="3301" t="s">
        <v>679</v>
      </c>
      <c r="H8864" s="3063"/>
      <c r="I8864" s="3030"/>
    </row>
    <row r="8865" spans="2:9" ht="25.5">
      <c r="B8865" s="3192" t="s">
        <v>720</v>
      </c>
      <c r="C8865" s="3063"/>
      <c r="D8865" s="3064"/>
      <c r="E8865" s="3064"/>
      <c r="F8865" s="3064"/>
      <c r="G8865" s="3301" t="s">
        <v>720</v>
      </c>
      <c r="H8865" s="3063"/>
      <c r="I8865" s="3030"/>
    </row>
    <row r="8866" spans="2:9" ht="25.5">
      <c r="B8866" s="3299" t="s">
        <v>66</v>
      </c>
      <c r="C8866" s="3063"/>
      <c r="D8866" s="3064"/>
      <c r="E8866" s="3064"/>
      <c r="F8866" s="3064"/>
      <c r="G8866" s="3300" t="s">
        <v>66</v>
      </c>
      <c r="H8866" s="3063"/>
      <c r="I8866" s="3030"/>
    </row>
    <row r="8867" spans="2:9" ht="25.5">
      <c r="B8867" s="3192" t="s">
        <v>675</v>
      </c>
      <c r="C8867" s="3063"/>
      <c r="D8867" s="3064"/>
      <c r="E8867" s="3064"/>
      <c r="F8867" s="3064"/>
      <c r="G8867" s="3301" t="s">
        <v>675</v>
      </c>
      <c r="H8867" s="3063"/>
      <c r="I8867" s="3030"/>
    </row>
    <row r="8868" spans="2:9" ht="25.5">
      <c r="B8868" s="3192" t="s">
        <v>676</v>
      </c>
      <c r="C8868" s="3063"/>
      <c r="D8868" s="3064"/>
      <c r="E8868" s="3064"/>
      <c r="F8868" s="3064"/>
      <c r="G8868" s="3301" t="s">
        <v>676</v>
      </c>
      <c r="H8868" s="3063"/>
      <c r="I8868" s="3030"/>
    </row>
    <row r="8869" spans="2:9">
      <c r="B8869" s="3192" t="s">
        <v>677</v>
      </c>
      <c r="C8869" s="3063"/>
      <c r="D8869" s="3064"/>
      <c r="E8869" s="3064"/>
      <c r="F8869" s="3064"/>
      <c r="G8869" s="3301" t="s">
        <v>677</v>
      </c>
      <c r="H8869" s="3063"/>
      <c r="I8869" s="3030"/>
    </row>
    <row r="8870" spans="2:9">
      <c r="B8870" s="3192" t="s">
        <v>678</v>
      </c>
      <c r="C8870" s="3063"/>
      <c r="D8870" s="3064"/>
      <c r="E8870" s="3064"/>
      <c r="F8870" s="3064"/>
      <c r="G8870" s="3301" t="s">
        <v>678</v>
      </c>
      <c r="H8870" s="3063"/>
      <c r="I8870" s="3030"/>
    </row>
    <row r="8871" spans="2:9">
      <c r="B8871" s="3192" t="s">
        <v>679</v>
      </c>
      <c r="C8871" s="3063"/>
      <c r="D8871" s="3064"/>
      <c r="E8871" s="3064"/>
      <c r="F8871" s="3064"/>
      <c r="G8871" s="3301" t="s">
        <v>679</v>
      </c>
      <c r="H8871" s="3063"/>
      <c r="I8871" s="3030"/>
    </row>
    <row r="8872" spans="2:9" ht="25.5">
      <c r="B8872" s="3192" t="s">
        <v>720</v>
      </c>
      <c r="C8872" s="3063"/>
      <c r="D8872" s="3064"/>
      <c r="E8872" s="3064"/>
      <c r="F8872" s="3064"/>
      <c r="G8872" s="3301" t="s">
        <v>720</v>
      </c>
      <c r="H8872" s="3063"/>
      <c r="I8872" s="3030"/>
    </row>
    <row r="8873" spans="2:9">
      <c r="B8873" s="3299" t="s">
        <v>67</v>
      </c>
      <c r="C8873" s="3063"/>
      <c r="D8873" s="3064"/>
      <c r="E8873" s="3064"/>
      <c r="F8873" s="3064"/>
      <c r="G8873" s="3300" t="s">
        <v>67</v>
      </c>
      <c r="H8873" s="3063"/>
      <c r="I8873" s="3030"/>
    </row>
    <row r="8874" spans="2:9" ht="25.5">
      <c r="B8874" s="3192" t="s">
        <v>675</v>
      </c>
      <c r="C8874" s="3063"/>
      <c r="D8874" s="3064"/>
      <c r="E8874" s="3064"/>
      <c r="F8874" s="3064"/>
      <c r="G8874" s="3301" t="s">
        <v>675</v>
      </c>
      <c r="H8874" s="3063"/>
      <c r="I8874" s="3030"/>
    </row>
    <row r="8875" spans="2:9" ht="25.5">
      <c r="B8875" s="3192" t="s">
        <v>676</v>
      </c>
      <c r="C8875" s="3063"/>
      <c r="D8875" s="3064"/>
      <c r="E8875" s="3064"/>
      <c r="F8875" s="3064"/>
      <c r="G8875" s="3301" t="s">
        <v>676</v>
      </c>
      <c r="H8875" s="3063"/>
      <c r="I8875" s="3030"/>
    </row>
    <row r="8876" spans="2:9">
      <c r="B8876" s="3192" t="s">
        <v>677</v>
      </c>
      <c r="C8876" s="3063"/>
      <c r="D8876" s="3064"/>
      <c r="E8876" s="3064"/>
      <c r="F8876" s="3064"/>
      <c r="G8876" s="3301" t="s">
        <v>677</v>
      </c>
      <c r="H8876" s="3063"/>
      <c r="I8876" s="3030"/>
    </row>
    <row r="8877" spans="2:9">
      <c r="B8877" s="3192" t="s">
        <v>678</v>
      </c>
      <c r="C8877" s="3063"/>
      <c r="D8877" s="3064"/>
      <c r="E8877" s="3064"/>
      <c r="F8877" s="3064"/>
      <c r="G8877" s="3301" t="s">
        <v>678</v>
      </c>
      <c r="H8877" s="3063"/>
      <c r="I8877" s="3030"/>
    </row>
    <row r="8878" spans="2:9">
      <c r="B8878" s="3192" t="s">
        <v>679</v>
      </c>
      <c r="C8878" s="3063"/>
      <c r="D8878" s="3064"/>
      <c r="E8878" s="3064"/>
      <c r="F8878" s="3064"/>
      <c r="G8878" s="3301" t="s">
        <v>679</v>
      </c>
      <c r="H8878" s="3063"/>
      <c r="I8878" s="3030"/>
    </row>
    <row r="8879" spans="2:9" ht="25.5">
      <c r="B8879" s="3192" t="s">
        <v>720</v>
      </c>
      <c r="C8879" s="3063"/>
      <c r="D8879" s="3064"/>
      <c r="E8879" s="3064"/>
      <c r="F8879" s="3064"/>
      <c r="G8879" s="3301" t="s">
        <v>720</v>
      </c>
      <c r="H8879" s="3063"/>
      <c r="I8879" s="3030"/>
    </row>
    <row r="8880" spans="2:9" ht="25.5">
      <c r="B8880" s="3230" t="s">
        <v>81</v>
      </c>
      <c r="C8880" s="3063"/>
      <c r="D8880" s="3064"/>
      <c r="E8880" s="3064"/>
      <c r="F8880" s="3064"/>
      <c r="G8880" s="3302" t="s">
        <v>81</v>
      </c>
      <c r="H8880" s="3063"/>
      <c r="I8880" s="3030"/>
    </row>
    <row r="8881" spans="2:9" ht="26.25" thickBot="1">
      <c r="B8881" s="3303" t="s">
        <v>81</v>
      </c>
      <c r="C8881" s="3063"/>
      <c r="D8881" s="3064"/>
      <c r="E8881" s="3064"/>
      <c r="F8881" s="3064"/>
      <c r="G8881" s="3302" t="s">
        <v>81</v>
      </c>
      <c r="H8881" s="3063"/>
      <c r="I8881" s="3030"/>
    </row>
    <row r="8882" spans="2:9" ht="25.5">
      <c r="B8882" s="3217" t="s">
        <v>696</v>
      </c>
      <c r="C8882" s="3218"/>
      <c r="D8882" s="3219"/>
      <c r="E8882" s="3219"/>
      <c r="F8882" s="3219"/>
      <c r="G8882" s="3217" t="s">
        <v>696</v>
      </c>
      <c r="H8882" s="3297"/>
      <c r="I8882" s="3298"/>
    </row>
    <row r="8883" spans="2:9">
      <c r="B8883" s="3299" t="s">
        <v>64</v>
      </c>
      <c r="C8883" s="3063"/>
      <c r="D8883" s="3064"/>
      <c r="E8883" s="3064"/>
      <c r="F8883" s="3064"/>
      <c r="G8883" s="3300" t="s">
        <v>64</v>
      </c>
      <c r="H8883" s="3063"/>
      <c r="I8883" s="3030"/>
    </row>
    <row r="8884" spans="2:9" ht="25.5">
      <c r="B8884" s="3192" t="s">
        <v>675</v>
      </c>
      <c r="C8884" s="3063"/>
      <c r="D8884" s="3064"/>
      <c r="E8884" s="3064"/>
      <c r="F8884" s="3064"/>
      <c r="G8884" s="3301" t="s">
        <v>675</v>
      </c>
      <c r="H8884" s="3063"/>
      <c r="I8884" s="3030"/>
    </row>
    <row r="8885" spans="2:9" ht="25.5">
      <c r="B8885" s="3192" t="s">
        <v>676</v>
      </c>
      <c r="C8885" s="3063"/>
      <c r="D8885" s="3064"/>
      <c r="E8885" s="3064"/>
      <c r="F8885" s="3064"/>
      <c r="G8885" s="3301" t="s">
        <v>676</v>
      </c>
      <c r="H8885" s="3063"/>
      <c r="I8885" s="3030"/>
    </row>
    <row r="8886" spans="2:9">
      <c r="B8886" s="3192" t="s">
        <v>677</v>
      </c>
      <c r="C8886" s="3063"/>
      <c r="D8886" s="3064"/>
      <c r="E8886" s="3064"/>
      <c r="F8886" s="3064"/>
      <c r="G8886" s="3301" t="s">
        <v>677</v>
      </c>
      <c r="H8886" s="3063"/>
      <c r="I8886" s="3030"/>
    </row>
    <row r="8887" spans="2:9">
      <c r="B8887" s="3192" t="s">
        <v>678</v>
      </c>
      <c r="C8887" s="3063"/>
      <c r="D8887" s="3064"/>
      <c r="E8887" s="3064"/>
      <c r="F8887" s="3064"/>
      <c r="G8887" s="3301" t="s">
        <v>678</v>
      </c>
      <c r="H8887" s="3063"/>
      <c r="I8887" s="3030"/>
    </row>
    <row r="8888" spans="2:9">
      <c r="B8888" s="3192" t="s">
        <v>679</v>
      </c>
      <c r="C8888" s="3063"/>
      <c r="D8888" s="3064"/>
      <c r="E8888" s="3064"/>
      <c r="F8888" s="3064"/>
      <c r="G8888" s="3301" t="s">
        <v>679</v>
      </c>
      <c r="H8888" s="3063"/>
      <c r="I8888" s="3030"/>
    </row>
    <row r="8889" spans="2:9" ht="25.5">
      <c r="B8889" s="3192" t="s">
        <v>720</v>
      </c>
      <c r="C8889" s="3063"/>
      <c r="D8889" s="3064"/>
      <c r="E8889" s="3064"/>
      <c r="F8889" s="3064"/>
      <c r="G8889" s="3301" t="s">
        <v>720</v>
      </c>
      <c r="H8889" s="3063"/>
      <c r="I8889" s="3030"/>
    </row>
    <row r="8890" spans="2:9">
      <c r="B8890" s="3299" t="s">
        <v>65</v>
      </c>
      <c r="C8890" s="3063"/>
      <c r="D8890" s="3064"/>
      <c r="E8890" s="3064"/>
      <c r="F8890" s="3064"/>
      <c r="G8890" s="3300" t="s">
        <v>65</v>
      </c>
      <c r="H8890" s="3063"/>
      <c r="I8890" s="3030"/>
    </row>
    <row r="8891" spans="2:9" ht="25.5">
      <c r="B8891" s="3192" t="s">
        <v>675</v>
      </c>
      <c r="C8891" s="3063"/>
      <c r="D8891" s="3064"/>
      <c r="E8891" s="3064"/>
      <c r="F8891" s="3064"/>
      <c r="G8891" s="3301" t="s">
        <v>675</v>
      </c>
      <c r="H8891" s="3063"/>
      <c r="I8891" s="3030"/>
    </row>
    <row r="8892" spans="2:9" ht="25.5">
      <c r="B8892" s="3192" t="s">
        <v>676</v>
      </c>
      <c r="C8892" s="3063"/>
      <c r="D8892" s="3064"/>
      <c r="E8892" s="3064"/>
      <c r="F8892" s="3064"/>
      <c r="G8892" s="3301" t="s">
        <v>676</v>
      </c>
      <c r="H8892" s="3063"/>
      <c r="I8892" s="3030"/>
    </row>
    <row r="8893" spans="2:9">
      <c r="B8893" s="3192" t="s">
        <v>677</v>
      </c>
      <c r="C8893" s="3063"/>
      <c r="D8893" s="3064"/>
      <c r="E8893" s="3064"/>
      <c r="F8893" s="3064"/>
      <c r="G8893" s="3301" t="s">
        <v>677</v>
      </c>
      <c r="H8893" s="3063"/>
      <c r="I8893" s="3030"/>
    </row>
    <row r="8894" spans="2:9">
      <c r="B8894" s="3192" t="s">
        <v>678</v>
      </c>
      <c r="C8894" s="3063"/>
      <c r="D8894" s="3064"/>
      <c r="E8894" s="3064"/>
      <c r="F8894" s="3064"/>
      <c r="G8894" s="3301" t="s">
        <v>678</v>
      </c>
      <c r="H8894" s="3063"/>
      <c r="I8894" s="3030"/>
    </row>
    <row r="8895" spans="2:9">
      <c r="B8895" s="3192" t="s">
        <v>679</v>
      </c>
      <c r="C8895" s="3063"/>
      <c r="D8895" s="3064"/>
      <c r="E8895" s="3064"/>
      <c r="F8895" s="3064"/>
      <c r="G8895" s="3301" t="s">
        <v>679</v>
      </c>
      <c r="H8895" s="3063"/>
      <c r="I8895" s="3030"/>
    </row>
    <row r="8896" spans="2:9" ht="25.5">
      <c r="B8896" s="3192" t="s">
        <v>720</v>
      </c>
      <c r="C8896" s="3063"/>
      <c r="D8896" s="3064"/>
      <c r="E8896" s="3064"/>
      <c r="F8896" s="3064"/>
      <c r="G8896" s="3301" t="s">
        <v>720</v>
      </c>
      <c r="H8896" s="3063"/>
      <c r="I8896" s="3030"/>
    </row>
    <row r="8897" spans="2:9">
      <c r="B8897" s="3299" t="s">
        <v>82</v>
      </c>
      <c r="C8897" s="3063"/>
      <c r="D8897" s="3064"/>
      <c r="E8897" s="3064"/>
      <c r="F8897" s="3064"/>
      <c r="G8897" s="3300" t="s">
        <v>82</v>
      </c>
      <c r="H8897" s="3063"/>
      <c r="I8897" s="3030"/>
    </row>
    <row r="8898" spans="2:9" ht="25.5">
      <c r="B8898" s="3192" t="s">
        <v>675</v>
      </c>
      <c r="C8898" s="3063"/>
      <c r="D8898" s="3064"/>
      <c r="E8898" s="3064"/>
      <c r="F8898" s="3064"/>
      <c r="G8898" s="3301" t="s">
        <v>675</v>
      </c>
      <c r="H8898" s="3063"/>
      <c r="I8898" s="3030"/>
    </row>
    <row r="8899" spans="2:9" ht="25.5">
      <c r="B8899" s="3192" t="s">
        <v>676</v>
      </c>
      <c r="C8899" s="3063"/>
      <c r="D8899" s="3064"/>
      <c r="E8899" s="3064"/>
      <c r="F8899" s="3064"/>
      <c r="G8899" s="3301" t="s">
        <v>676</v>
      </c>
      <c r="H8899" s="3063"/>
      <c r="I8899" s="3030"/>
    </row>
    <row r="8900" spans="2:9">
      <c r="B8900" s="3192" t="s">
        <v>677</v>
      </c>
      <c r="C8900" s="3063"/>
      <c r="D8900" s="3064"/>
      <c r="E8900" s="3064"/>
      <c r="F8900" s="3064"/>
      <c r="G8900" s="3301" t="s">
        <v>677</v>
      </c>
      <c r="H8900" s="3063"/>
      <c r="I8900" s="3030"/>
    </row>
    <row r="8901" spans="2:9">
      <c r="B8901" s="3192" t="s">
        <v>678</v>
      </c>
      <c r="C8901" s="3063"/>
      <c r="D8901" s="3064"/>
      <c r="E8901" s="3064"/>
      <c r="F8901" s="3064"/>
      <c r="G8901" s="3301" t="s">
        <v>678</v>
      </c>
      <c r="H8901" s="3063"/>
      <c r="I8901" s="3030"/>
    </row>
    <row r="8902" spans="2:9">
      <c r="B8902" s="3192" t="s">
        <v>679</v>
      </c>
      <c r="C8902" s="3063"/>
      <c r="D8902" s="3064"/>
      <c r="E8902" s="3064"/>
      <c r="F8902" s="3064"/>
      <c r="G8902" s="3301" t="s">
        <v>679</v>
      </c>
      <c r="H8902" s="3063"/>
      <c r="I8902" s="3030"/>
    </row>
    <row r="8903" spans="2:9" ht="25.5">
      <c r="B8903" s="3192" t="s">
        <v>720</v>
      </c>
      <c r="C8903" s="3063"/>
      <c r="D8903" s="3064"/>
      <c r="E8903" s="3064"/>
      <c r="F8903" s="3064"/>
      <c r="G8903" s="3301" t="s">
        <v>720</v>
      </c>
      <c r="H8903" s="3063"/>
      <c r="I8903" s="3030"/>
    </row>
    <row r="8904" spans="2:9" ht="38.25">
      <c r="B8904" s="3299" t="s">
        <v>680</v>
      </c>
      <c r="C8904" s="3063"/>
      <c r="D8904" s="3064"/>
      <c r="E8904" s="3064"/>
      <c r="F8904" s="3064"/>
      <c r="G8904" s="3300" t="s">
        <v>680</v>
      </c>
      <c r="H8904" s="3063"/>
      <c r="I8904" s="3030"/>
    </row>
    <row r="8905" spans="2:9" ht="25.5">
      <c r="B8905" s="3192" t="s">
        <v>675</v>
      </c>
      <c r="C8905" s="3063"/>
      <c r="D8905" s="3064"/>
      <c r="E8905" s="3064"/>
      <c r="F8905" s="3064"/>
      <c r="G8905" s="3301" t="s">
        <v>675</v>
      </c>
      <c r="H8905" s="3063"/>
      <c r="I8905" s="3030"/>
    </row>
    <row r="8906" spans="2:9" ht="25.5">
      <c r="B8906" s="3192" t="s">
        <v>676</v>
      </c>
      <c r="C8906" s="3063"/>
      <c r="D8906" s="3064"/>
      <c r="E8906" s="3064"/>
      <c r="F8906" s="3064"/>
      <c r="G8906" s="3301" t="s">
        <v>676</v>
      </c>
      <c r="H8906" s="3063"/>
      <c r="I8906" s="3030"/>
    </row>
    <row r="8907" spans="2:9">
      <c r="B8907" s="3192" t="s">
        <v>677</v>
      </c>
      <c r="C8907" s="3063"/>
      <c r="D8907" s="3064"/>
      <c r="E8907" s="3064"/>
      <c r="F8907" s="3064"/>
      <c r="G8907" s="3301" t="s">
        <v>677</v>
      </c>
      <c r="H8907" s="3063"/>
      <c r="I8907" s="3030"/>
    </row>
    <row r="8908" spans="2:9">
      <c r="B8908" s="3192" t="s">
        <v>678</v>
      </c>
      <c r="C8908" s="3063"/>
      <c r="D8908" s="3064"/>
      <c r="E8908" s="3064"/>
      <c r="F8908" s="3064"/>
      <c r="G8908" s="3301" t="s">
        <v>678</v>
      </c>
      <c r="H8908" s="3063"/>
      <c r="I8908" s="3030"/>
    </row>
    <row r="8909" spans="2:9">
      <c r="B8909" s="3192" t="s">
        <v>679</v>
      </c>
      <c r="C8909" s="3063"/>
      <c r="D8909" s="3064"/>
      <c r="E8909" s="3064"/>
      <c r="F8909" s="3064"/>
      <c r="G8909" s="3301" t="s">
        <v>679</v>
      </c>
      <c r="H8909" s="3063"/>
      <c r="I8909" s="3030"/>
    </row>
    <row r="8910" spans="2:9" ht="25.5">
      <c r="B8910" s="3192" t="s">
        <v>720</v>
      </c>
      <c r="C8910" s="3063"/>
      <c r="D8910" s="3064"/>
      <c r="E8910" s="3064"/>
      <c r="F8910" s="3064"/>
      <c r="G8910" s="3301" t="s">
        <v>720</v>
      </c>
      <c r="H8910" s="3063"/>
      <c r="I8910" s="3030"/>
    </row>
    <row r="8911" spans="2:9" ht="38.25">
      <c r="B8911" s="3299" t="s">
        <v>681</v>
      </c>
      <c r="C8911" s="3063"/>
      <c r="D8911" s="3064"/>
      <c r="E8911" s="3064"/>
      <c r="F8911" s="3064"/>
      <c r="G8911" s="3300" t="s">
        <v>681</v>
      </c>
      <c r="H8911" s="3063"/>
      <c r="I8911" s="3030"/>
    </row>
    <row r="8912" spans="2:9" ht="25.5">
      <c r="B8912" s="3192" t="s">
        <v>675</v>
      </c>
      <c r="C8912" s="3063"/>
      <c r="D8912" s="3064"/>
      <c r="E8912" s="3064"/>
      <c r="F8912" s="3064"/>
      <c r="G8912" s="3301" t="s">
        <v>675</v>
      </c>
      <c r="H8912" s="3063"/>
      <c r="I8912" s="3030"/>
    </row>
    <row r="8913" spans="2:9" ht="25.5">
      <c r="B8913" s="3192" t="s">
        <v>676</v>
      </c>
      <c r="C8913" s="3063"/>
      <c r="D8913" s="3064"/>
      <c r="E8913" s="3064"/>
      <c r="F8913" s="3064"/>
      <c r="G8913" s="3301" t="s">
        <v>676</v>
      </c>
      <c r="H8913" s="3063"/>
      <c r="I8913" s="3030"/>
    </row>
    <row r="8914" spans="2:9">
      <c r="B8914" s="3192" t="s">
        <v>677</v>
      </c>
      <c r="C8914" s="3063"/>
      <c r="D8914" s="3064"/>
      <c r="E8914" s="3064"/>
      <c r="F8914" s="3064"/>
      <c r="G8914" s="3301" t="s">
        <v>677</v>
      </c>
      <c r="H8914" s="3063"/>
      <c r="I8914" s="3030"/>
    </row>
    <row r="8915" spans="2:9">
      <c r="B8915" s="3192" t="s">
        <v>678</v>
      </c>
      <c r="C8915" s="3063"/>
      <c r="D8915" s="3064"/>
      <c r="E8915" s="3064"/>
      <c r="F8915" s="3064"/>
      <c r="G8915" s="3301" t="s">
        <v>678</v>
      </c>
      <c r="H8915" s="3063"/>
      <c r="I8915" s="3030"/>
    </row>
    <row r="8916" spans="2:9">
      <c r="B8916" s="3192" t="s">
        <v>679</v>
      </c>
      <c r="C8916" s="3063"/>
      <c r="D8916" s="3064"/>
      <c r="E8916" s="3064"/>
      <c r="F8916" s="3064"/>
      <c r="G8916" s="3301" t="s">
        <v>679</v>
      </c>
      <c r="H8916" s="3063"/>
      <c r="I8916" s="3030"/>
    </row>
    <row r="8917" spans="2:9" ht="25.5">
      <c r="B8917" s="3192" t="s">
        <v>720</v>
      </c>
      <c r="C8917" s="3063"/>
      <c r="D8917" s="3064"/>
      <c r="E8917" s="3064"/>
      <c r="F8917" s="3064"/>
      <c r="G8917" s="3301" t="s">
        <v>720</v>
      </c>
      <c r="H8917" s="3063"/>
      <c r="I8917" s="3030"/>
    </row>
    <row r="8918" spans="2:9" ht="25.5">
      <c r="B8918" s="3299" t="s">
        <v>682</v>
      </c>
      <c r="C8918" s="3063"/>
      <c r="D8918" s="3064"/>
      <c r="E8918" s="3064"/>
      <c r="F8918" s="3064"/>
      <c r="G8918" s="3300" t="s">
        <v>682</v>
      </c>
      <c r="H8918" s="3063"/>
      <c r="I8918" s="3030"/>
    </row>
    <row r="8919" spans="2:9" ht="25.5">
      <c r="B8919" s="3192" t="s">
        <v>675</v>
      </c>
      <c r="C8919" s="3063"/>
      <c r="D8919" s="3064"/>
      <c r="E8919" s="3064"/>
      <c r="F8919" s="3064"/>
      <c r="G8919" s="3301" t="s">
        <v>675</v>
      </c>
      <c r="H8919" s="3063"/>
      <c r="I8919" s="3030"/>
    </row>
    <row r="8920" spans="2:9" ht="25.5">
      <c r="B8920" s="3192" t="s">
        <v>676</v>
      </c>
      <c r="C8920" s="3063"/>
      <c r="D8920" s="3064"/>
      <c r="E8920" s="3064"/>
      <c r="F8920" s="3064"/>
      <c r="G8920" s="3301" t="s">
        <v>676</v>
      </c>
      <c r="H8920" s="3063"/>
      <c r="I8920" s="3030"/>
    </row>
    <row r="8921" spans="2:9">
      <c r="B8921" s="3192" t="s">
        <v>677</v>
      </c>
      <c r="C8921" s="3063"/>
      <c r="D8921" s="3064"/>
      <c r="E8921" s="3064"/>
      <c r="F8921" s="3064"/>
      <c r="G8921" s="3301" t="s">
        <v>677</v>
      </c>
      <c r="H8921" s="3063"/>
      <c r="I8921" s="3030"/>
    </row>
    <row r="8922" spans="2:9">
      <c r="B8922" s="3192" t="s">
        <v>678</v>
      </c>
      <c r="C8922" s="3063"/>
      <c r="D8922" s="3064"/>
      <c r="E8922" s="3064"/>
      <c r="F8922" s="3064"/>
      <c r="G8922" s="3301" t="s">
        <v>678</v>
      </c>
      <c r="H8922" s="3063"/>
      <c r="I8922" s="3030"/>
    </row>
    <row r="8923" spans="2:9">
      <c r="B8923" s="3192" t="s">
        <v>679</v>
      </c>
      <c r="C8923" s="3063"/>
      <c r="D8923" s="3064"/>
      <c r="E8923" s="3064"/>
      <c r="F8923" s="3064"/>
      <c r="G8923" s="3301" t="s">
        <v>679</v>
      </c>
      <c r="H8923" s="3063"/>
      <c r="I8923" s="3030"/>
    </row>
    <row r="8924" spans="2:9" ht="25.5">
      <c r="B8924" s="3192" t="s">
        <v>720</v>
      </c>
      <c r="C8924" s="3063"/>
      <c r="D8924" s="3064"/>
      <c r="E8924" s="3064"/>
      <c r="F8924" s="3064"/>
      <c r="G8924" s="3301" t="s">
        <v>720</v>
      </c>
      <c r="H8924" s="3063"/>
      <c r="I8924" s="3030"/>
    </row>
    <row r="8925" spans="2:9" ht="25.5">
      <c r="B8925" s="3299" t="s">
        <v>66</v>
      </c>
      <c r="C8925" s="3063"/>
      <c r="D8925" s="3064"/>
      <c r="E8925" s="3064"/>
      <c r="F8925" s="3064"/>
      <c r="G8925" s="3300" t="s">
        <v>66</v>
      </c>
      <c r="H8925" s="3063"/>
      <c r="I8925" s="3030"/>
    </row>
    <row r="8926" spans="2:9" ht="25.5">
      <c r="B8926" s="3192" t="s">
        <v>675</v>
      </c>
      <c r="C8926" s="3063"/>
      <c r="D8926" s="3064"/>
      <c r="E8926" s="3064"/>
      <c r="F8926" s="3064"/>
      <c r="G8926" s="3301" t="s">
        <v>675</v>
      </c>
      <c r="H8926" s="3063"/>
      <c r="I8926" s="3030"/>
    </row>
    <row r="8927" spans="2:9" ht="25.5">
      <c r="B8927" s="3192" t="s">
        <v>676</v>
      </c>
      <c r="C8927" s="3063"/>
      <c r="D8927" s="3064"/>
      <c r="E8927" s="3064"/>
      <c r="F8927" s="3064"/>
      <c r="G8927" s="3301" t="s">
        <v>676</v>
      </c>
      <c r="H8927" s="3063"/>
      <c r="I8927" s="3030"/>
    </row>
    <row r="8928" spans="2:9">
      <c r="B8928" s="3192" t="s">
        <v>677</v>
      </c>
      <c r="C8928" s="3063"/>
      <c r="D8928" s="3064"/>
      <c r="E8928" s="3064"/>
      <c r="F8928" s="3064"/>
      <c r="G8928" s="3301" t="s">
        <v>677</v>
      </c>
      <c r="H8928" s="3063"/>
      <c r="I8928" s="3030"/>
    </row>
    <row r="8929" spans="2:9">
      <c r="B8929" s="3192" t="s">
        <v>678</v>
      </c>
      <c r="C8929" s="3063"/>
      <c r="D8929" s="3064"/>
      <c r="E8929" s="3064"/>
      <c r="F8929" s="3064"/>
      <c r="G8929" s="3301" t="s">
        <v>678</v>
      </c>
      <c r="H8929" s="3063"/>
      <c r="I8929" s="3030"/>
    </row>
    <row r="8930" spans="2:9">
      <c r="B8930" s="3192" t="s">
        <v>679</v>
      </c>
      <c r="C8930" s="3063"/>
      <c r="D8930" s="3064"/>
      <c r="E8930" s="3064"/>
      <c r="F8930" s="3064"/>
      <c r="G8930" s="3301" t="s">
        <v>679</v>
      </c>
      <c r="H8930" s="3063"/>
      <c r="I8930" s="3030"/>
    </row>
    <row r="8931" spans="2:9" ht="25.5">
      <c r="B8931" s="3192" t="s">
        <v>720</v>
      </c>
      <c r="C8931" s="3063"/>
      <c r="D8931" s="3064"/>
      <c r="E8931" s="3064"/>
      <c r="F8931" s="3064"/>
      <c r="G8931" s="3301" t="s">
        <v>720</v>
      </c>
      <c r="H8931" s="3063"/>
      <c r="I8931" s="3030"/>
    </row>
    <row r="8932" spans="2:9">
      <c r="B8932" s="3299" t="s">
        <v>67</v>
      </c>
      <c r="C8932" s="3063"/>
      <c r="D8932" s="3064"/>
      <c r="E8932" s="3064"/>
      <c r="F8932" s="3064"/>
      <c r="G8932" s="3300" t="s">
        <v>67</v>
      </c>
      <c r="H8932" s="3063"/>
      <c r="I8932" s="3030"/>
    </row>
    <row r="8933" spans="2:9" ht="25.5">
      <c r="B8933" s="3192" t="s">
        <v>675</v>
      </c>
      <c r="C8933" s="3063"/>
      <c r="D8933" s="3064"/>
      <c r="E8933" s="3064"/>
      <c r="F8933" s="3064"/>
      <c r="G8933" s="3301" t="s">
        <v>675</v>
      </c>
      <c r="H8933" s="3063"/>
      <c r="I8933" s="3030"/>
    </row>
    <row r="8934" spans="2:9" ht="25.5">
      <c r="B8934" s="3192" t="s">
        <v>676</v>
      </c>
      <c r="C8934" s="3063"/>
      <c r="D8934" s="3064"/>
      <c r="E8934" s="3064"/>
      <c r="F8934" s="3064"/>
      <c r="G8934" s="3301" t="s">
        <v>676</v>
      </c>
      <c r="H8934" s="3063"/>
      <c r="I8934" s="3030"/>
    </row>
    <row r="8935" spans="2:9">
      <c r="B8935" s="3192" t="s">
        <v>677</v>
      </c>
      <c r="C8935" s="3063"/>
      <c r="D8935" s="3064"/>
      <c r="E8935" s="3064"/>
      <c r="F8935" s="3064"/>
      <c r="G8935" s="3301" t="s">
        <v>677</v>
      </c>
      <c r="H8935" s="3063"/>
      <c r="I8935" s="3030"/>
    </row>
    <row r="8936" spans="2:9">
      <c r="B8936" s="3192" t="s">
        <v>678</v>
      </c>
      <c r="C8936" s="3063"/>
      <c r="D8936" s="3064"/>
      <c r="E8936" s="3064"/>
      <c r="F8936" s="3064"/>
      <c r="G8936" s="3301" t="s">
        <v>678</v>
      </c>
      <c r="H8936" s="3063"/>
      <c r="I8936" s="3030"/>
    </row>
    <row r="8937" spans="2:9">
      <c r="B8937" s="3192" t="s">
        <v>679</v>
      </c>
      <c r="C8937" s="3063"/>
      <c r="D8937" s="3064"/>
      <c r="E8937" s="3064"/>
      <c r="F8937" s="3064"/>
      <c r="G8937" s="3301" t="s">
        <v>679</v>
      </c>
      <c r="H8937" s="3063"/>
      <c r="I8937" s="3030"/>
    </row>
    <row r="8938" spans="2:9" ht="25.5">
      <c r="B8938" s="3230" t="s">
        <v>81</v>
      </c>
      <c r="C8938" s="3063"/>
      <c r="D8938" s="3064"/>
      <c r="E8938" s="3064"/>
      <c r="F8938" s="3064"/>
      <c r="G8938" s="3302" t="s">
        <v>81</v>
      </c>
      <c r="H8938" s="3063"/>
      <c r="I8938" s="3030"/>
    </row>
    <row r="8939" spans="2:9" ht="26.25" thickBot="1">
      <c r="B8939" s="3303" t="s">
        <v>81</v>
      </c>
      <c r="C8939" s="3063"/>
      <c r="D8939" s="3064"/>
      <c r="E8939" s="3064"/>
      <c r="F8939" s="3064"/>
      <c r="G8939" s="3302" t="s">
        <v>81</v>
      </c>
      <c r="H8939" s="3063"/>
      <c r="I8939" s="3030"/>
    </row>
    <row r="8940" spans="2:9">
      <c r="B8940" s="3217" t="s">
        <v>697</v>
      </c>
      <c r="C8940" s="3218"/>
      <c r="D8940" s="3219"/>
      <c r="E8940" s="3219"/>
      <c r="F8940" s="3219"/>
      <c r="G8940" s="3217" t="s">
        <v>697</v>
      </c>
      <c r="H8940" s="3297"/>
      <c r="I8940" s="3298"/>
    </row>
    <row r="8941" spans="2:9">
      <c r="B8941" s="3299" t="s">
        <v>64</v>
      </c>
      <c r="C8941" s="3063"/>
      <c r="D8941" s="3064"/>
      <c r="E8941" s="3064"/>
      <c r="F8941" s="3064"/>
      <c r="G8941" s="3300" t="s">
        <v>64</v>
      </c>
      <c r="H8941" s="3063"/>
      <c r="I8941" s="3030"/>
    </row>
    <row r="8942" spans="2:9" ht="25.5">
      <c r="B8942" s="3192" t="s">
        <v>675</v>
      </c>
      <c r="C8942" s="3063"/>
      <c r="D8942" s="3064"/>
      <c r="E8942" s="3064"/>
      <c r="F8942" s="3064"/>
      <c r="G8942" s="3301" t="s">
        <v>675</v>
      </c>
      <c r="H8942" s="3063"/>
      <c r="I8942" s="3030"/>
    </row>
    <row r="8943" spans="2:9" ht="25.5">
      <c r="B8943" s="3192" t="s">
        <v>676</v>
      </c>
      <c r="C8943" s="3063"/>
      <c r="D8943" s="3064"/>
      <c r="E8943" s="3064"/>
      <c r="F8943" s="3064"/>
      <c r="G8943" s="3301" t="s">
        <v>676</v>
      </c>
      <c r="H8943" s="3063"/>
      <c r="I8943" s="3030"/>
    </row>
    <row r="8944" spans="2:9">
      <c r="B8944" s="3192" t="s">
        <v>677</v>
      </c>
      <c r="C8944" s="3063"/>
      <c r="D8944" s="3064"/>
      <c r="E8944" s="3064"/>
      <c r="F8944" s="3064"/>
      <c r="G8944" s="3301" t="s">
        <v>677</v>
      </c>
      <c r="H8944" s="3063"/>
      <c r="I8944" s="3030"/>
    </row>
    <row r="8945" spans="2:9">
      <c r="B8945" s="3192" t="s">
        <v>678</v>
      </c>
      <c r="C8945" s="3063"/>
      <c r="D8945" s="3064"/>
      <c r="E8945" s="3064"/>
      <c r="F8945" s="3064"/>
      <c r="G8945" s="3301" t="s">
        <v>678</v>
      </c>
      <c r="H8945" s="3063"/>
      <c r="I8945" s="3030"/>
    </row>
    <row r="8946" spans="2:9">
      <c r="B8946" s="3192" t="s">
        <v>679</v>
      </c>
      <c r="C8946" s="3063"/>
      <c r="D8946" s="3064"/>
      <c r="E8946" s="3064"/>
      <c r="F8946" s="3064"/>
      <c r="G8946" s="3301" t="s">
        <v>679</v>
      </c>
      <c r="H8946" s="3063"/>
      <c r="I8946" s="3030"/>
    </row>
    <row r="8947" spans="2:9" ht="25.5">
      <c r="B8947" s="3192" t="s">
        <v>720</v>
      </c>
      <c r="C8947" s="3063"/>
      <c r="D8947" s="3064"/>
      <c r="E8947" s="3064"/>
      <c r="F8947" s="3064"/>
      <c r="G8947" s="3301" t="s">
        <v>720</v>
      </c>
      <c r="H8947" s="3063"/>
      <c r="I8947" s="3030"/>
    </row>
    <row r="8948" spans="2:9">
      <c r="B8948" s="3299" t="s">
        <v>65</v>
      </c>
      <c r="C8948" s="3063"/>
      <c r="D8948" s="3064"/>
      <c r="E8948" s="3064"/>
      <c r="F8948" s="3064"/>
      <c r="G8948" s="3300" t="s">
        <v>65</v>
      </c>
      <c r="H8948" s="3063"/>
      <c r="I8948" s="3030"/>
    </row>
    <row r="8949" spans="2:9" ht="25.5">
      <c r="B8949" s="3192" t="s">
        <v>675</v>
      </c>
      <c r="C8949" s="3063"/>
      <c r="D8949" s="3064"/>
      <c r="E8949" s="3064"/>
      <c r="F8949" s="3064"/>
      <c r="G8949" s="3301" t="s">
        <v>675</v>
      </c>
      <c r="H8949" s="3063"/>
      <c r="I8949" s="3030"/>
    </row>
    <row r="8950" spans="2:9" ht="25.5">
      <c r="B8950" s="3192" t="s">
        <v>676</v>
      </c>
      <c r="C8950" s="3063"/>
      <c r="D8950" s="3064"/>
      <c r="E8950" s="3064"/>
      <c r="F8950" s="3064"/>
      <c r="G8950" s="3301" t="s">
        <v>676</v>
      </c>
      <c r="H8950" s="3063"/>
      <c r="I8950" s="3030"/>
    </row>
    <row r="8951" spans="2:9">
      <c r="B8951" s="3192" t="s">
        <v>677</v>
      </c>
      <c r="C8951" s="3063"/>
      <c r="D8951" s="3064"/>
      <c r="E8951" s="3064"/>
      <c r="F8951" s="3064"/>
      <c r="G8951" s="3301" t="s">
        <v>677</v>
      </c>
      <c r="H8951" s="3063"/>
      <c r="I8951" s="3030"/>
    </row>
    <row r="8952" spans="2:9">
      <c r="B8952" s="3192" t="s">
        <v>678</v>
      </c>
      <c r="C8952" s="3063"/>
      <c r="D8952" s="3064"/>
      <c r="E8952" s="3064"/>
      <c r="F8952" s="3064"/>
      <c r="G8952" s="3301" t="s">
        <v>678</v>
      </c>
      <c r="H8952" s="3063"/>
      <c r="I8952" s="3030"/>
    </row>
    <row r="8953" spans="2:9">
      <c r="B8953" s="3192" t="s">
        <v>679</v>
      </c>
      <c r="C8953" s="3063"/>
      <c r="D8953" s="3064"/>
      <c r="E8953" s="3064"/>
      <c r="F8953" s="3064"/>
      <c r="G8953" s="3301" t="s">
        <v>679</v>
      </c>
      <c r="H8953" s="3063"/>
      <c r="I8953" s="3030"/>
    </row>
    <row r="8954" spans="2:9" ht="25.5">
      <c r="B8954" s="3192" t="s">
        <v>720</v>
      </c>
      <c r="C8954" s="3063"/>
      <c r="D8954" s="3064"/>
      <c r="E8954" s="3064"/>
      <c r="F8954" s="3064"/>
      <c r="G8954" s="3301" t="s">
        <v>720</v>
      </c>
      <c r="H8954" s="3063"/>
      <c r="I8954" s="3030"/>
    </row>
    <row r="8955" spans="2:9">
      <c r="B8955" s="3299" t="s">
        <v>82</v>
      </c>
      <c r="C8955" s="3063"/>
      <c r="D8955" s="3064"/>
      <c r="E8955" s="3064"/>
      <c r="F8955" s="3064"/>
      <c r="G8955" s="3300" t="s">
        <v>82</v>
      </c>
      <c r="H8955" s="3063"/>
      <c r="I8955" s="3030"/>
    </row>
    <row r="8956" spans="2:9" ht="25.5">
      <c r="B8956" s="3192" t="s">
        <v>675</v>
      </c>
      <c r="C8956" s="3063"/>
      <c r="D8956" s="3064"/>
      <c r="E8956" s="3064"/>
      <c r="F8956" s="3064"/>
      <c r="G8956" s="3301" t="s">
        <v>675</v>
      </c>
      <c r="H8956" s="3063"/>
      <c r="I8956" s="3030"/>
    </row>
    <row r="8957" spans="2:9" ht="25.5">
      <c r="B8957" s="3192" t="s">
        <v>676</v>
      </c>
      <c r="C8957" s="3063"/>
      <c r="D8957" s="3064"/>
      <c r="E8957" s="3064"/>
      <c r="F8957" s="3064"/>
      <c r="G8957" s="3301" t="s">
        <v>676</v>
      </c>
      <c r="H8957" s="3063"/>
      <c r="I8957" s="3030"/>
    </row>
    <row r="8958" spans="2:9">
      <c r="B8958" s="3192" t="s">
        <v>677</v>
      </c>
      <c r="C8958" s="3063"/>
      <c r="D8958" s="3064"/>
      <c r="E8958" s="3064"/>
      <c r="F8958" s="3064"/>
      <c r="G8958" s="3301" t="s">
        <v>677</v>
      </c>
      <c r="H8958" s="3063"/>
      <c r="I8958" s="3030"/>
    </row>
    <row r="8959" spans="2:9">
      <c r="B8959" s="3192" t="s">
        <v>678</v>
      </c>
      <c r="C8959" s="3063"/>
      <c r="D8959" s="3064"/>
      <c r="E8959" s="3064"/>
      <c r="F8959" s="3064"/>
      <c r="G8959" s="3301" t="s">
        <v>678</v>
      </c>
      <c r="H8959" s="3063"/>
      <c r="I8959" s="3030"/>
    </row>
    <row r="8960" spans="2:9">
      <c r="B8960" s="3192" t="s">
        <v>679</v>
      </c>
      <c r="C8960" s="3063"/>
      <c r="D8960" s="3064"/>
      <c r="E8960" s="3064"/>
      <c r="F8960" s="3064"/>
      <c r="G8960" s="3301" t="s">
        <v>679</v>
      </c>
      <c r="H8960" s="3063"/>
      <c r="I8960" s="3030"/>
    </row>
    <row r="8961" spans="2:9" ht="25.5">
      <c r="B8961" s="3192" t="s">
        <v>720</v>
      </c>
      <c r="C8961" s="3063"/>
      <c r="D8961" s="3064"/>
      <c r="E8961" s="3064"/>
      <c r="F8961" s="3064"/>
      <c r="G8961" s="3301" t="s">
        <v>720</v>
      </c>
      <c r="H8961" s="3063"/>
      <c r="I8961" s="3030"/>
    </row>
    <row r="8962" spans="2:9" ht="38.25">
      <c r="B8962" s="3299" t="s">
        <v>680</v>
      </c>
      <c r="C8962" s="3063"/>
      <c r="D8962" s="3064"/>
      <c r="E8962" s="3064"/>
      <c r="F8962" s="3064"/>
      <c r="G8962" s="3300" t="s">
        <v>680</v>
      </c>
      <c r="H8962" s="3063"/>
      <c r="I8962" s="3030"/>
    </row>
    <row r="8963" spans="2:9" ht="25.5">
      <c r="B8963" s="3192" t="s">
        <v>675</v>
      </c>
      <c r="C8963" s="3063"/>
      <c r="D8963" s="3064"/>
      <c r="E8963" s="3064"/>
      <c r="F8963" s="3064"/>
      <c r="G8963" s="3301" t="s">
        <v>675</v>
      </c>
      <c r="H8963" s="3063"/>
      <c r="I8963" s="3030"/>
    </row>
    <row r="8964" spans="2:9" ht="25.5">
      <c r="B8964" s="3192" t="s">
        <v>676</v>
      </c>
      <c r="C8964" s="3063"/>
      <c r="D8964" s="3064"/>
      <c r="E8964" s="3064"/>
      <c r="F8964" s="3064"/>
      <c r="G8964" s="3301" t="s">
        <v>676</v>
      </c>
      <c r="H8964" s="3063"/>
      <c r="I8964" s="3030"/>
    </row>
    <row r="8965" spans="2:9">
      <c r="B8965" s="3192" t="s">
        <v>677</v>
      </c>
      <c r="C8965" s="3063"/>
      <c r="D8965" s="3064"/>
      <c r="E8965" s="3064"/>
      <c r="F8965" s="3064"/>
      <c r="G8965" s="3301" t="s">
        <v>677</v>
      </c>
      <c r="H8965" s="3063"/>
      <c r="I8965" s="3030"/>
    </row>
    <row r="8966" spans="2:9">
      <c r="B8966" s="3192" t="s">
        <v>678</v>
      </c>
      <c r="C8966" s="3063"/>
      <c r="D8966" s="3064"/>
      <c r="E8966" s="3064"/>
      <c r="F8966" s="3064"/>
      <c r="G8966" s="3301" t="s">
        <v>678</v>
      </c>
      <c r="H8966" s="3063"/>
      <c r="I8966" s="3030"/>
    </row>
    <row r="8967" spans="2:9">
      <c r="B8967" s="3192" t="s">
        <v>679</v>
      </c>
      <c r="C8967" s="3063"/>
      <c r="D8967" s="3064"/>
      <c r="E8967" s="3064"/>
      <c r="F8967" s="3064"/>
      <c r="G8967" s="3301" t="s">
        <v>679</v>
      </c>
      <c r="H8967" s="3063"/>
      <c r="I8967" s="3030"/>
    </row>
    <row r="8968" spans="2:9" ht="25.5">
      <c r="B8968" s="3192" t="s">
        <v>720</v>
      </c>
      <c r="C8968" s="3063"/>
      <c r="D8968" s="3064"/>
      <c r="E8968" s="3064"/>
      <c r="F8968" s="3064"/>
      <c r="G8968" s="3301" t="s">
        <v>720</v>
      </c>
      <c r="H8968" s="3063"/>
      <c r="I8968" s="3030"/>
    </row>
    <row r="8969" spans="2:9" ht="38.25">
      <c r="B8969" s="3299" t="s">
        <v>681</v>
      </c>
      <c r="C8969" s="3063"/>
      <c r="D8969" s="3064"/>
      <c r="E8969" s="3064"/>
      <c r="F8969" s="3064">
        <v>5</v>
      </c>
      <c r="G8969" s="3300" t="s">
        <v>681</v>
      </c>
      <c r="H8969" s="3063">
        <v>1.233136853528006E-2</v>
      </c>
      <c r="I8969" s="3030"/>
    </row>
    <row r="8970" spans="2:9" ht="25.5">
      <c r="B8970" s="3192" t="s">
        <v>675</v>
      </c>
      <c r="C8970" s="3063"/>
      <c r="D8970" s="3064">
        <v>4</v>
      </c>
      <c r="E8970" s="3064"/>
      <c r="F8970" s="3064"/>
      <c r="G8970" s="3301" t="s">
        <v>675</v>
      </c>
      <c r="H8970" s="3063"/>
      <c r="I8970" s="3030">
        <v>1.38629222235998E-2</v>
      </c>
    </row>
    <row r="8971" spans="2:9" ht="25.5">
      <c r="B8971" s="3192" t="s">
        <v>676</v>
      </c>
      <c r="C8971" s="3063"/>
      <c r="D8971" s="3064"/>
      <c r="E8971" s="3064"/>
      <c r="F8971" s="3064"/>
      <c r="G8971" s="3301" t="s">
        <v>676</v>
      </c>
      <c r="H8971" s="3063"/>
      <c r="I8971" s="3030"/>
    </row>
    <row r="8972" spans="2:9">
      <c r="B8972" s="3192" t="s">
        <v>677</v>
      </c>
      <c r="C8972" s="3063"/>
      <c r="D8972" s="3064"/>
      <c r="E8972" s="3064"/>
      <c r="F8972" s="3064"/>
      <c r="G8972" s="3301" t="s">
        <v>677</v>
      </c>
      <c r="H8972" s="3063"/>
      <c r="I8972" s="3030"/>
    </row>
    <row r="8973" spans="2:9">
      <c r="B8973" s="3192" t="s">
        <v>678</v>
      </c>
      <c r="C8973" s="3063">
        <v>1</v>
      </c>
      <c r="D8973" s="3064"/>
      <c r="E8973" s="3064"/>
      <c r="F8973" s="3064"/>
      <c r="G8973" s="3301" t="s">
        <v>678</v>
      </c>
      <c r="H8973" s="3063"/>
      <c r="I8973" s="3030"/>
    </row>
    <row r="8974" spans="2:9">
      <c r="B8974" s="3192" t="s">
        <v>679</v>
      </c>
      <c r="C8974" s="3063">
        <v>4</v>
      </c>
      <c r="D8974" s="3064"/>
      <c r="E8974" s="3064"/>
      <c r="F8974" s="3064"/>
      <c r="G8974" s="3301" t="s">
        <v>679</v>
      </c>
      <c r="H8974" s="3063"/>
      <c r="I8974" s="3030"/>
    </row>
    <row r="8975" spans="2:9" ht="25.5">
      <c r="B8975" s="3192" t="s">
        <v>720</v>
      </c>
      <c r="C8975" s="3063"/>
      <c r="D8975" s="3064"/>
      <c r="E8975" s="3064"/>
      <c r="F8975" s="3064"/>
      <c r="G8975" s="3301" t="s">
        <v>720</v>
      </c>
      <c r="H8975" s="3063"/>
      <c r="I8975" s="3030"/>
    </row>
    <row r="8976" spans="2:9" ht="25.5">
      <c r="B8976" s="3299" t="s">
        <v>682</v>
      </c>
      <c r="C8976" s="3063"/>
      <c r="D8976" s="3064"/>
      <c r="E8976" s="3064"/>
      <c r="F8976" s="3064"/>
      <c r="G8976" s="3300" t="s">
        <v>682</v>
      </c>
      <c r="H8976" s="3063"/>
      <c r="I8976" s="3030"/>
    </row>
    <row r="8977" spans="2:9" ht="25.5">
      <c r="B8977" s="3192" t="s">
        <v>675</v>
      </c>
      <c r="C8977" s="3063"/>
      <c r="D8977" s="3064"/>
      <c r="E8977" s="3064"/>
      <c r="F8977" s="3064"/>
      <c r="G8977" s="3301" t="s">
        <v>675</v>
      </c>
      <c r="H8977" s="3063"/>
      <c r="I8977" s="3030"/>
    </row>
    <row r="8978" spans="2:9" ht="25.5">
      <c r="B8978" s="3192" t="s">
        <v>676</v>
      </c>
      <c r="C8978" s="3063"/>
      <c r="D8978" s="3064"/>
      <c r="E8978" s="3064"/>
      <c r="F8978" s="3064"/>
      <c r="G8978" s="3301" t="s">
        <v>676</v>
      </c>
      <c r="H8978" s="3063"/>
      <c r="I8978" s="3030"/>
    </row>
    <row r="8979" spans="2:9">
      <c r="B8979" s="3192" t="s">
        <v>677</v>
      </c>
      <c r="C8979" s="3063"/>
      <c r="D8979" s="3064"/>
      <c r="E8979" s="3064"/>
      <c r="F8979" s="3064"/>
      <c r="G8979" s="3301" t="s">
        <v>677</v>
      </c>
      <c r="H8979" s="3063"/>
      <c r="I8979" s="3030"/>
    </row>
    <row r="8980" spans="2:9">
      <c r="B8980" s="3192" t="s">
        <v>678</v>
      </c>
      <c r="C8980" s="3063"/>
      <c r="D8980" s="3064"/>
      <c r="E8980" s="3064"/>
      <c r="F8980" s="3064"/>
      <c r="G8980" s="3301" t="s">
        <v>678</v>
      </c>
      <c r="H8980" s="3063"/>
      <c r="I8980" s="3030"/>
    </row>
    <row r="8981" spans="2:9">
      <c r="B8981" s="3192" t="s">
        <v>679</v>
      </c>
      <c r="C8981" s="3063"/>
      <c r="D8981" s="3064"/>
      <c r="E8981" s="3064"/>
      <c r="F8981" s="3064"/>
      <c r="G8981" s="3301" t="s">
        <v>679</v>
      </c>
      <c r="H8981" s="3063"/>
      <c r="I8981" s="3030"/>
    </row>
    <row r="8982" spans="2:9" ht="25.5">
      <c r="B8982" s="3192" t="s">
        <v>720</v>
      </c>
      <c r="C8982" s="3063"/>
      <c r="D8982" s="3064"/>
      <c r="E8982" s="3064"/>
      <c r="F8982" s="3064"/>
      <c r="G8982" s="3301" t="s">
        <v>720</v>
      </c>
      <c r="H8982" s="3063"/>
      <c r="I8982" s="3030"/>
    </row>
    <row r="8983" spans="2:9" ht="25.5">
      <c r="B8983" s="3299" t="s">
        <v>66</v>
      </c>
      <c r="C8983" s="3063"/>
      <c r="D8983" s="3064"/>
      <c r="E8983" s="3064"/>
      <c r="F8983" s="3064"/>
      <c r="G8983" s="3300" t="s">
        <v>66</v>
      </c>
      <c r="H8983" s="3063"/>
      <c r="I8983" s="3030"/>
    </row>
    <row r="8984" spans="2:9" ht="25.5">
      <c r="B8984" s="3192" t="s">
        <v>675</v>
      </c>
      <c r="C8984" s="3063"/>
      <c r="D8984" s="3064"/>
      <c r="E8984" s="3064"/>
      <c r="F8984" s="3064"/>
      <c r="G8984" s="3301" t="s">
        <v>675</v>
      </c>
      <c r="H8984" s="3063"/>
      <c r="I8984" s="3030"/>
    </row>
    <row r="8985" spans="2:9" ht="25.5">
      <c r="B8985" s="3192" t="s">
        <v>676</v>
      </c>
      <c r="C8985" s="3063"/>
      <c r="D8985" s="3064"/>
      <c r="E8985" s="3064"/>
      <c r="F8985" s="3064"/>
      <c r="G8985" s="3301" t="s">
        <v>676</v>
      </c>
      <c r="H8985" s="3063"/>
      <c r="I8985" s="3030"/>
    </row>
    <row r="8986" spans="2:9">
      <c r="B8986" s="3192" t="s">
        <v>677</v>
      </c>
      <c r="C8986" s="3063"/>
      <c r="D8986" s="3064"/>
      <c r="E8986" s="3064"/>
      <c r="F8986" s="3064"/>
      <c r="G8986" s="3301" t="s">
        <v>677</v>
      </c>
      <c r="H8986" s="3063"/>
      <c r="I8986" s="3030"/>
    </row>
    <row r="8987" spans="2:9">
      <c r="B8987" s="3192" t="s">
        <v>678</v>
      </c>
      <c r="C8987" s="3063"/>
      <c r="D8987" s="3064"/>
      <c r="E8987" s="3064"/>
      <c r="F8987" s="3064"/>
      <c r="G8987" s="3301" t="s">
        <v>678</v>
      </c>
      <c r="H8987" s="3063"/>
      <c r="I8987" s="3030"/>
    </row>
    <row r="8988" spans="2:9">
      <c r="B8988" s="3192" t="s">
        <v>679</v>
      </c>
      <c r="C8988" s="3063"/>
      <c r="D8988" s="3064"/>
      <c r="E8988" s="3064"/>
      <c r="F8988" s="3064"/>
      <c r="G8988" s="3301" t="s">
        <v>679</v>
      </c>
      <c r="H8988" s="3063"/>
      <c r="I8988" s="3030"/>
    </row>
    <row r="8989" spans="2:9" ht="25.5">
      <c r="B8989" s="3192" t="s">
        <v>720</v>
      </c>
      <c r="C8989" s="3063"/>
      <c r="D8989" s="3064"/>
      <c r="E8989" s="3064"/>
      <c r="F8989" s="3064"/>
      <c r="G8989" s="3301" t="s">
        <v>720</v>
      </c>
      <c r="H8989" s="3063"/>
      <c r="I8989" s="3030"/>
    </row>
    <row r="8990" spans="2:9">
      <c r="B8990" s="3299" t="s">
        <v>67</v>
      </c>
      <c r="C8990" s="3063"/>
      <c r="D8990" s="3064"/>
      <c r="E8990" s="3064"/>
      <c r="F8990" s="3064"/>
      <c r="G8990" s="3300" t="s">
        <v>67</v>
      </c>
      <c r="H8990" s="3063"/>
      <c r="I8990" s="3030"/>
    </row>
    <row r="8991" spans="2:9" ht="25.5">
      <c r="B8991" s="3192" t="s">
        <v>675</v>
      </c>
      <c r="C8991" s="3063"/>
      <c r="D8991" s="3064"/>
      <c r="E8991" s="3064"/>
      <c r="F8991" s="3064"/>
      <c r="G8991" s="3301" t="s">
        <v>675</v>
      </c>
      <c r="H8991" s="3063"/>
      <c r="I8991" s="3030"/>
    </row>
    <row r="8992" spans="2:9" ht="25.5">
      <c r="B8992" s="3192" t="s">
        <v>676</v>
      </c>
      <c r="C8992" s="3063"/>
      <c r="D8992" s="3064"/>
      <c r="E8992" s="3064"/>
      <c r="F8992" s="3064"/>
      <c r="G8992" s="3301" t="s">
        <v>676</v>
      </c>
      <c r="H8992" s="3063"/>
      <c r="I8992" s="3030"/>
    </row>
    <row r="8993" spans="2:9">
      <c r="B8993" s="3192" t="s">
        <v>677</v>
      </c>
      <c r="C8993" s="3063"/>
      <c r="D8993" s="3064"/>
      <c r="E8993" s="3064"/>
      <c r="F8993" s="3064"/>
      <c r="G8993" s="3301" t="s">
        <v>677</v>
      </c>
      <c r="H8993" s="3063"/>
      <c r="I8993" s="3030"/>
    </row>
    <row r="8994" spans="2:9">
      <c r="B8994" s="3192" t="s">
        <v>678</v>
      </c>
      <c r="C8994" s="3063"/>
      <c r="D8994" s="3064"/>
      <c r="E8994" s="3064"/>
      <c r="F8994" s="3064"/>
      <c r="G8994" s="3301" t="s">
        <v>678</v>
      </c>
      <c r="H8994" s="3063"/>
      <c r="I8994" s="3030"/>
    </row>
    <row r="8995" spans="2:9">
      <c r="B8995" s="3192" t="s">
        <v>679</v>
      </c>
      <c r="C8995" s="3063"/>
      <c r="D8995" s="3064"/>
      <c r="E8995" s="3064"/>
      <c r="F8995" s="3064"/>
      <c r="G8995" s="3301" t="s">
        <v>679</v>
      </c>
      <c r="H8995" s="3063"/>
      <c r="I8995" s="3030"/>
    </row>
    <row r="8996" spans="2:9" ht="25.5">
      <c r="B8996" s="3230" t="s">
        <v>81</v>
      </c>
      <c r="C8996" s="3063"/>
      <c r="D8996" s="3064"/>
      <c r="E8996" s="3064"/>
      <c r="F8996" s="3064"/>
      <c r="G8996" s="3302" t="s">
        <v>81</v>
      </c>
      <c r="H8996" s="3063"/>
      <c r="I8996" s="3030"/>
    </row>
    <row r="8997" spans="2:9" ht="26.25" thickBot="1">
      <c r="B8997" s="3303" t="s">
        <v>81</v>
      </c>
      <c r="C8997" s="3068"/>
      <c r="D8997" s="3069"/>
      <c r="E8997" s="3069"/>
      <c r="F8997" s="3069"/>
      <c r="G8997" s="3304" t="s">
        <v>81</v>
      </c>
      <c r="H8997" s="3068"/>
      <c r="I8997" s="3070"/>
    </row>
    <row r="8998" spans="2:9" ht="38.25">
      <c r="B8998" s="4723">
        <v>3212</v>
      </c>
      <c r="C8998" s="3289"/>
      <c r="D8998" s="3290"/>
      <c r="E8998" s="3290"/>
      <c r="F8998" s="3290"/>
      <c r="G8998" s="4723">
        <v>3212</v>
      </c>
      <c r="H8998" s="3291" t="s">
        <v>687</v>
      </c>
      <c r="I8998" s="3292" t="s">
        <v>688</v>
      </c>
    </row>
    <row r="8999" spans="2:9">
      <c r="B8999" s="4724"/>
      <c r="C8999" s="4678" t="s">
        <v>686</v>
      </c>
      <c r="D8999" s="4725"/>
      <c r="E8999" s="4725"/>
      <c r="F8999" s="4726"/>
      <c r="G8999" s="4724"/>
      <c r="H8999" s="3293"/>
      <c r="I8999" s="3294"/>
    </row>
    <row r="9000" spans="2:9" ht="13.5" thickBot="1">
      <c r="B9000" s="4724"/>
      <c r="C9000" s="3215">
        <v>2013</v>
      </c>
      <c r="D9000" s="3215">
        <v>2014</v>
      </c>
      <c r="E9000" s="3215">
        <v>2015</v>
      </c>
      <c r="F9000" s="3215">
        <v>2016</v>
      </c>
      <c r="G9000" s="4724"/>
      <c r="H9000" s="3295" t="s">
        <v>390</v>
      </c>
      <c r="I9000" s="3296" t="s">
        <v>390</v>
      </c>
    </row>
    <row r="9001" spans="2:9">
      <c r="B9001" s="3217" t="s">
        <v>695</v>
      </c>
      <c r="C9001" s="3218"/>
      <c r="D9001" s="3219"/>
      <c r="E9001" s="3219"/>
      <c r="F9001" s="3219"/>
      <c r="G9001" s="3217" t="s">
        <v>695</v>
      </c>
      <c r="H9001" s="3297"/>
      <c r="I9001" s="3298"/>
    </row>
    <row r="9002" spans="2:9">
      <c r="B9002" s="3299" t="s">
        <v>64</v>
      </c>
      <c r="C9002" s="3063"/>
      <c r="D9002" s="3064"/>
      <c r="E9002" s="3064"/>
      <c r="F9002" s="3064"/>
      <c r="G9002" s="3300" t="s">
        <v>64</v>
      </c>
      <c r="H9002" s="3063"/>
      <c r="I9002" s="3030"/>
    </row>
    <row r="9003" spans="2:9" ht="25.5">
      <c r="B9003" s="3192" t="s">
        <v>675</v>
      </c>
      <c r="C9003" s="3063"/>
      <c r="D9003" s="3064"/>
      <c r="E9003" s="3064"/>
      <c r="F9003" s="3064"/>
      <c r="G9003" s="3301" t="s">
        <v>675</v>
      </c>
      <c r="H9003" s="3063"/>
      <c r="I9003" s="3030"/>
    </row>
    <row r="9004" spans="2:9" ht="25.5">
      <c r="B9004" s="3192" t="s">
        <v>676</v>
      </c>
      <c r="C9004" s="3063"/>
      <c r="D9004" s="3064"/>
      <c r="E9004" s="3064"/>
      <c r="F9004" s="3064"/>
      <c r="G9004" s="3301" t="s">
        <v>676</v>
      </c>
      <c r="H9004" s="3063"/>
      <c r="I9004" s="3030"/>
    </row>
    <row r="9005" spans="2:9">
      <c r="B9005" s="3192" t="s">
        <v>677</v>
      </c>
      <c r="C9005" s="3063"/>
      <c r="D9005" s="3064"/>
      <c r="E9005" s="3064"/>
      <c r="F9005" s="3064"/>
      <c r="G9005" s="3301" t="s">
        <v>677</v>
      </c>
      <c r="H9005" s="3063"/>
      <c r="I9005" s="3030"/>
    </row>
    <row r="9006" spans="2:9">
      <c r="B9006" s="3192" t="s">
        <v>678</v>
      </c>
      <c r="C9006" s="3063"/>
      <c r="D9006" s="3064"/>
      <c r="E9006" s="3064"/>
      <c r="F9006" s="3064"/>
      <c r="G9006" s="3301" t="s">
        <v>678</v>
      </c>
      <c r="H9006" s="3063"/>
      <c r="I9006" s="3030"/>
    </row>
    <row r="9007" spans="2:9">
      <c r="B9007" s="3192" t="s">
        <v>679</v>
      </c>
      <c r="C9007" s="3063"/>
      <c r="D9007" s="3064"/>
      <c r="E9007" s="3064"/>
      <c r="F9007" s="3064"/>
      <c r="G9007" s="3301" t="s">
        <v>679</v>
      </c>
      <c r="H9007" s="3063"/>
      <c r="I9007" s="3030"/>
    </row>
    <row r="9008" spans="2:9" ht="25.5">
      <c r="B9008" s="3192" t="s">
        <v>720</v>
      </c>
      <c r="C9008" s="3063"/>
      <c r="D9008" s="3064"/>
      <c r="E9008" s="3064"/>
      <c r="F9008" s="3064"/>
      <c r="G9008" s="3301" t="s">
        <v>720</v>
      </c>
      <c r="H9008" s="3063"/>
      <c r="I9008" s="3030"/>
    </row>
    <row r="9009" spans="2:9">
      <c r="B9009" s="3299" t="s">
        <v>65</v>
      </c>
      <c r="C9009" s="3063"/>
      <c r="D9009" s="3064"/>
      <c r="E9009" s="3064"/>
      <c r="F9009" s="3064"/>
      <c r="G9009" s="3300" t="s">
        <v>65</v>
      </c>
      <c r="H9009" s="3063"/>
      <c r="I9009" s="3030"/>
    </row>
    <row r="9010" spans="2:9" ht="25.5">
      <c r="B9010" s="3192" t="s">
        <v>675</v>
      </c>
      <c r="C9010" s="3063"/>
      <c r="D9010" s="3064"/>
      <c r="E9010" s="3064"/>
      <c r="F9010" s="3064"/>
      <c r="G9010" s="3301" t="s">
        <v>675</v>
      </c>
      <c r="H9010" s="3063"/>
      <c r="I9010" s="3030"/>
    </row>
    <row r="9011" spans="2:9" ht="25.5">
      <c r="B9011" s="3192" t="s">
        <v>676</v>
      </c>
      <c r="C9011" s="3063"/>
      <c r="D9011" s="3064"/>
      <c r="E9011" s="3064"/>
      <c r="F9011" s="3064"/>
      <c r="G9011" s="3301" t="s">
        <v>676</v>
      </c>
      <c r="H9011" s="3063"/>
      <c r="I9011" s="3030"/>
    </row>
    <row r="9012" spans="2:9">
      <c r="B9012" s="3192" t="s">
        <v>677</v>
      </c>
      <c r="C9012" s="3063"/>
      <c r="D9012" s="3064"/>
      <c r="E9012" s="3064"/>
      <c r="F9012" s="3064"/>
      <c r="G9012" s="3301" t="s">
        <v>677</v>
      </c>
      <c r="H9012" s="3063"/>
      <c r="I9012" s="3030"/>
    </row>
    <row r="9013" spans="2:9">
      <c r="B9013" s="3192" t="s">
        <v>678</v>
      </c>
      <c r="C9013" s="3063"/>
      <c r="D9013" s="3064"/>
      <c r="E9013" s="3064"/>
      <c r="F9013" s="3064"/>
      <c r="G9013" s="3301" t="s">
        <v>678</v>
      </c>
      <c r="H9013" s="3063"/>
      <c r="I9013" s="3030"/>
    </row>
    <row r="9014" spans="2:9">
      <c r="B9014" s="3192" t="s">
        <v>679</v>
      </c>
      <c r="C9014" s="3063"/>
      <c r="D9014" s="3064"/>
      <c r="E9014" s="3064"/>
      <c r="F9014" s="3064"/>
      <c r="G9014" s="3301" t="s">
        <v>679</v>
      </c>
      <c r="H9014" s="3063"/>
      <c r="I9014" s="3030"/>
    </row>
    <row r="9015" spans="2:9" ht="25.5">
      <c r="B9015" s="3192" t="s">
        <v>720</v>
      </c>
      <c r="C9015" s="3063"/>
      <c r="D9015" s="3064"/>
      <c r="E9015" s="3064"/>
      <c r="F9015" s="3064"/>
      <c r="G9015" s="3301" t="s">
        <v>720</v>
      </c>
      <c r="H9015" s="3063"/>
      <c r="I9015" s="3030"/>
    </row>
    <row r="9016" spans="2:9">
      <c r="B9016" s="3299" t="s">
        <v>82</v>
      </c>
      <c r="C9016" s="3063"/>
      <c r="D9016" s="3064"/>
      <c r="E9016" s="3064"/>
      <c r="F9016" s="3064"/>
      <c r="G9016" s="3300" t="s">
        <v>82</v>
      </c>
      <c r="H9016" s="3063"/>
      <c r="I9016" s="3030"/>
    </row>
    <row r="9017" spans="2:9" ht="25.5">
      <c r="B9017" s="3192" t="s">
        <v>675</v>
      </c>
      <c r="C9017" s="3063"/>
      <c r="D9017" s="3064"/>
      <c r="E9017" s="3064"/>
      <c r="F9017" s="3064"/>
      <c r="G9017" s="3301" t="s">
        <v>675</v>
      </c>
      <c r="H9017" s="3063"/>
      <c r="I9017" s="3030"/>
    </row>
    <row r="9018" spans="2:9" ht="25.5">
      <c r="B9018" s="3192" t="s">
        <v>676</v>
      </c>
      <c r="C9018" s="3063"/>
      <c r="D9018" s="3064"/>
      <c r="E9018" s="3064"/>
      <c r="F9018" s="3064"/>
      <c r="G9018" s="3301" t="s">
        <v>676</v>
      </c>
      <c r="H9018" s="3063"/>
      <c r="I9018" s="3030"/>
    </row>
    <row r="9019" spans="2:9">
      <c r="B9019" s="3192" t="s">
        <v>677</v>
      </c>
      <c r="C9019" s="3063"/>
      <c r="D9019" s="3064"/>
      <c r="E9019" s="3064"/>
      <c r="F9019" s="3064"/>
      <c r="G9019" s="3301" t="s">
        <v>677</v>
      </c>
      <c r="H9019" s="3063"/>
      <c r="I9019" s="3030"/>
    </row>
    <row r="9020" spans="2:9">
      <c r="B9020" s="3192" t="s">
        <v>678</v>
      </c>
      <c r="C9020" s="3063"/>
      <c r="D9020" s="3064"/>
      <c r="E9020" s="3064"/>
      <c r="F9020" s="3064"/>
      <c r="G9020" s="3301" t="s">
        <v>678</v>
      </c>
      <c r="H9020" s="3063"/>
      <c r="I9020" s="3030"/>
    </row>
    <row r="9021" spans="2:9">
      <c r="B9021" s="3192" t="s">
        <v>679</v>
      </c>
      <c r="C9021" s="3063"/>
      <c r="D9021" s="3064"/>
      <c r="E9021" s="3064"/>
      <c r="F9021" s="3064"/>
      <c r="G9021" s="3301" t="s">
        <v>679</v>
      </c>
      <c r="H9021" s="3063"/>
      <c r="I9021" s="3030"/>
    </row>
    <row r="9022" spans="2:9" ht="25.5">
      <c r="B9022" s="3192" t="s">
        <v>720</v>
      </c>
      <c r="C9022" s="3063"/>
      <c r="D9022" s="3064"/>
      <c r="E9022" s="3064"/>
      <c r="F9022" s="3064"/>
      <c r="G9022" s="3301" t="s">
        <v>720</v>
      </c>
      <c r="H9022" s="3063"/>
      <c r="I9022" s="3030"/>
    </row>
    <row r="9023" spans="2:9" ht="38.25">
      <c r="B9023" s="3299" t="s">
        <v>680</v>
      </c>
      <c r="C9023" s="3063"/>
      <c r="D9023" s="3064"/>
      <c r="E9023" s="3064"/>
      <c r="F9023" s="3064"/>
      <c r="G9023" s="3300" t="s">
        <v>680</v>
      </c>
      <c r="H9023" s="3063"/>
      <c r="I9023" s="3030"/>
    </row>
    <row r="9024" spans="2:9" ht="25.5">
      <c r="B9024" s="3192" t="s">
        <v>675</v>
      </c>
      <c r="C9024" s="3063"/>
      <c r="D9024" s="3064"/>
      <c r="E9024" s="3064"/>
      <c r="F9024" s="3064"/>
      <c r="G9024" s="3301" t="s">
        <v>675</v>
      </c>
      <c r="H9024" s="3063"/>
      <c r="I9024" s="3030"/>
    </row>
    <row r="9025" spans="2:9" ht="25.5">
      <c r="B9025" s="3192" t="s">
        <v>676</v>
      </c>
      <c r="C9025" s="3063"/>
      <c r="D9025" s="3064"/>
      <c r="E9025" s="3064"/>
      <c r="F9025" s="3064"/>
      <c r="G9025" s="3301" t="s">
        <v>676</v>
      </c>
      <c r="H9025" s="3063"/>
      <c r="I9025" s="3030"/>
    </row>
    <row r="9026" spans="2:9">
      <c r="B9026" s="3192" t="s">
        <v>677</v>
      </c>
      <c r="C9026" s="3063"/>
      <c r="D9026" s="3064"/>
      <c r="E9026" s="3064"/>
      <c r="F9026" s="3064"/>
      <c r="G9026" s="3301" t="s">
        <v>677</v>
      </c>
      <c r="H9026" s="3063"/>
      <c r="I9026" s="3030"/>
    </row>
    <row r="9027" spans="2:9">
      <c r="B9027" s="3192" t="s">
        <v>678</v>
      </c>
      <c r="C9027" s="3063"/>
      <c r="D9027" s="3064"/>
      <c r="E9027" s="3064"/>
      <c r="F9027" s="3064"/>
      <c r="G9027" s="3301" t="s">
        <v>678</v>
      </c>
      <c r="H9027" s="3063"/>
      <c r="I9027" s="3030"/>
    </row>
    <row r="9028" spans="2:9">
      <c r="B9028" s="3192" t="s">
        <v>679</v>
      </c>
      <c r="C9028" s="3063"/>
      <c r="D9028" s="3064"/>
      <c r="E9028" s="3064"/>
      <c r="F9028" s="3064"/>
      <c r="G9028" s="3301" t="s">
        <v>679</v>
      </c>
      <c r="H9028" s="3063"/>
      <c r="I9028" s="3030"/>
    </row>
    <row r="9029" spans="2:9" ht="25.5">
      <c r="B9029" s="3192" t="s">
        <v>720</v>
      </c>
      <c r="C9029" s="3063"/>
      <c r="D9029" s="3064"/>
      <c r="E9029" s="3064"/>
      <c r="F9029" s="3064"/>
      <c r="G9029" s="3301" t="s">
        <v>720</v>
      </c>
      <c r="H9029" s="3063"/>
      <c r="I9029" s="3030"/>
    </row>
    <row r="9030" spans="2:9" ht="38.25">
      <c r="B9030" s="3299" t="s">
        <v>681</v>
      </c>
      <c r="C9030" s="3063"/>
      <c r="D9030" s="3064"/>
      <c r="E9030" s="3064"/>
      <c r="F9030" s="3064"/>
      <c r="G9030" s="3300" t="s">
        <v>681</v>
      </c>
      <c r="H9030" s="3063"/>
      <c r="I9030" s="3030"/>
    </row>
    <row r="9031" spans="2:9" ht="25.5">
      <c r="B9031" s="3192" t="s">
        <v>675</v>
      </c>
      <c r="C9031" s="3063"/>
      <c r="D9031" s="3064"/>
      <c r="E9031" s="3064"/>
      <c r="F9031" s="3064"/>
      <c r="G9031" s="3301" t="s">
        <v>675</v>
      </c>
      <c r="H9031" s="3063"/>
      <c r="I9031" s="3030"/>
    </row>
    <row r="9032" spans="2:9" ht="25.5">
      <c r="B9032" s="3192" t="s">
        <v>676</v>
      </c>
      <c r="C9032" s="3063"/>
      <c r="D9032" s="3064"/>
      <c r="E9032" s="3064"/>
      <c r="F9032" s="3064"/>
      <c r="G9032" s="3301" t="s">
        <v>676</v>
      </c>
      <c r="H9032" s="3063"/>
      <c r="I9032" s="3030"/>
    </row>
    <row r="9033" spans="2:9">
      <c r="B9033" s="3192" t="s">
        <v>677</v>
      </c>
      <c r="C9033" s="3063"/>
      <c r="D9033" s="3064"/>
      <c r="E9033" s="3064"/>
      <c r="F9033" s="3064"/>
      <c r="G9033" s="3301" t="s">
        <v>677</v>
      </c>
      <c r="H9033" s="3063"/>
      <c r="I9033" s="3030"/>
    </row>
    <row r="9034" spans="2:9">
      <c r="B9034" s="3192" t="s">
        <v>678</v>
      </c>
      <c r="C9034" s="3063"/>
      <c r="D9034" s="3064"/>
      <c r="E9034" s="3064"/>
      <c r="F9034" s="3064"/>
      <c r="G9034" s="3301" t="s">
        <v>678</v>
      </c>
      <c r="H9034" s="3063"/>
      <c r="I9034" s="3030"/>
    </row>
    <row r="9035" spans="2:9">
      <c r="B9035" s="3192" t="s">
        <v>679</v>
      </c>
      <c r="C9035" s="3063"/>
      <c r="D9035" s="3064"/>
      <c r="E9035" s="3064"/>
      <c r="F9035" s="3064"/>
      <c r="G9035" s="3301" t="s">
        <v>679</v>
      </c>
      <c r="H9035" s="3063"/>
      <c r="I9035" s="3030"/>
    </row>
    <row r="9036" spans="2:9" ht="25.5">
      <c r="B9036" s="3192" t="s">
        <v>720</v>
      </c>
      <c r="C9036" s="3063"/>
      <c r="D9036" s="3064"/>
      <c r="E9036" s="3064"/>
      <c r="F9036" s="3064"/>
      <c r="G9036" s="3301" t="s">
        <v>720</v>
      </c>
      <c r="H9036" s="3063"/>
      <c r="I9036" s="3030"/>
    </row>
    <row r="9037" spans="2:9" ht="25.5">
      <c r="B9037" s="3299" t="s">
        <v>682</v>
      </c>
      <c r="C9037" s="3063"/>
      <c r="D9037" s="3064"/>
      <c r="E9037" s="3064"/>
      <c r="F9037" s="3064"/>
      <c r="G9037" s="3300" t="s">
        <v>682</v>
      </c>
      <c r="H9037" s="3063"/>
      <c r="I9037" s="3030"/>
    </row>
    <row r="9038" spans="2:9" ht="25.5">
      <c r="B9038" s="3192" t="s">
        <v>675</v>
      </c>
      <c r="C9038" s="3063"/>
      <c r="D9038" s="3064"/>
      <c r="E9038" s="3064"/>
      <c r="F9038" s="3064"/>
      <c r="G9038" s="3301" t="s">
        <v>675</v>
      </c>
      <c r="H9038" s="3063"/>
      <c r="I9038" s="3030"/>
    </row>
    <row r="9039" spans="2:9" ht="25.5">
      <c r="B9039" s="3192" t="s">
        <v>676</v>
      </c>
      <c r="C9039" s="3063"/>
      <c r="D9039" s="3064"/>
      <c r="E9039" s="3064"/>
      <c r="F9039" s="3064"/>
      <c r="G9039" s="3301" t="s">
        <v>676</v>
      </c>
      <c r="H9039" s="3063"/>
      <c r="I9039" s="3030"/>
    </row>
    <row r="9040" spans="2:9">
      <c r="B9040" s="3192" t="s">
        <v>677</v>
      </c>
      <c r="C9040" s="3063"/>
      <c r="D9040" s="3064"/>
      <c r="E9040" s="3064"/>
      <c r="F9040" s="3064"/>
      <c r="G9040" s="3301" t="s">
        <v>677</v>
      </c>
      <c r="H9040" s="3063"/>
      <c r="I9040" s="3030"/>
    </row>
    <row r="9041" spans="2:9">
      <c r="B9041" s="3192" t="s">
        <v>678</v>
      </c>
      <c r="C9041" s="3063"/>
      <c r="D9041" s="3064"/>
      <c r="E9041" s="3064"/>
      <c r="F9041" s="3064"/>
      <c r="G9041" s="3301" t="s">
        <v>678</v>
      </c>
      <c r="H9041" s="3063"/>
      <c r="I9041" s="3030"/>
    </row>
    <row r="9042" spans="2:9">
      <c r="B9042" s="3192" t="s">
        <v>679</v>
      </c>
      <c r="C9042" s="3063"/>
      <c r="D9042" s="3064"/>
      <c r="E9042" s="3064"/>
      <c r="F9042" s="3064"/>
      <c r="G9042" s="3301" t="s">
        <v>679</v>
      </c>
      <c r="H9042" s="3063"/>
      <c r="I9042" s="3030"/>
    </row>
    <row r="9043" spans="2:9" ht="25.5">
      <c r="B9043" s="3192" t="s">
        <v>720</v>
      </c>
      <c r="C9043" s="3063"/>
      <c r="D9043" s="3064"/>
      <c r="E9043" s="3064"/>
      <c r="F9043" s="3064"/>
      <c r="G9043" s="3301" t="s">
        <v>720</v>
      </c>
      <c r="H9043" s="3063"/>
      <c r="I9043" s="3030"/>
    </row>
    <row r="9044" spans="2:9" ht="25.5">
      <c r="B9044" s="3299" t="s">
        <v>66</v>
      </c>
      <c r="C9044" s="3063"/>
      <c r="D9044" s="3064"/>
      <c r="E9044" s="3064"/>
      <c r="F9044" s="3064"/>
      <c r="G9044" s="3300" t="s">
        <v>66</v>
      </c>
      <c r="H9044" s="3063"/>
      <c r="I9044" s="3030"/>
    </row>
    <row r="9045" spans="2:9" ht="25.5">
      <c r="B9045" s="3192" t="s">
        <v>675</v>
      </c>
      <c r="C9045" s="3063"/>
      <c r="D9045" s="3064"/>
      <c r="E9045" s="3064"/>
      <c r="F9045" s="3064"/>
      <c r="G9045" s="3301" t="s">
        <v>675</v>
      </c>
      <c r="H9045" s="3063"/>
      <c r="I9045" s="3030"/>
    </row>
    <row r="9046" spans="2:9" ht="25.5">
      <c r="B9046" s="3192" t="s">
        <v>676</v>
      </c>
      <c r="C9046" s="3063"/>
      <c r="D9046" s="3064"/>
      <c r="E9046" s="3064"/>
      <c r="F9046" s="3064"/>
      <c r="G9046" s="3301" t="s">
        <v>676</v>
      </c>
      <c r="H9046" s="3063"/>
      <c r="I9046" s="3030"/>
    </row>
    <row r="9047" spans="2:9">
      <c r="B9047" s="3192" t="s">
        <v>677</v>
      </c>
      <c r="C9047" s="3063"/>
      <c r="D9047" s="3064"/>
      <c r="E9047" s="3064"/>
      <c r="F9047" s="3064"/>
      <c r="G9047" s="3301" t="s">
        <v>677</v>
      </c>
      <c r="H9047" s="3063"/>
      <c r="I9047" s="3030"/>
    </row>
    <row r="9048" spans="2:9">
      <c r="B9048" s="3192" t="s">
        <v>678</v>
      </c>
      <c r="C9048" s="3063"/>
      <c r="D9048" s="3064"/>
      <c r="E9048" s="3064"/>
      <c r="F9048" s="3064"/>
      <c r="G9048" s="3301" t="s">
        <v>678</v>
      </c>
      <c r="H9048" s="3063"/>
      <c r="I9048" s="3030"/>
    </row>
    <row r="9049" spans="2:9">
      <c r="B9049" s="3192" t="s">
        <v>679</v>
      </c>
      <c r="C9049" s="3063"/>
      <c r="D9049" s="3064"/>
      <c r="E9049" s="3064"/>
      <c r="F9049" s="3064"/>
      <c r="G9049" s="3301" t="s">
        <v>679</v>
      </c>
      <c r="H9049" s="3063"/>
      <c r="I9049" s="3030"/>
    </row>
    <row r="9050" spans="2:9" ht="25.5">
      <c r="B9050" s="3192" t="s">
        <v>720</v>
      </c>
      <c r="C9050" s="3063"/>
      <c r="D9050" s="3064"/>
      <c r="E9050" s="3064"/>
      <c r="F9050" s="3064"/>
      <c r="G9050" s="3301" t="s">
        <v>720</v>
      </c>
      <c r="H9050" s="3063"/>
      <c r="I9050" s="3030"/>
    </row>
    <row r="9051" spans="2:9">
      <c r="B9051" s="3299" t="s">
        <v>67</v>
      </c>
      <c r="C9051" s="3063"/>
      <c r="D9051" s="3064"/>
      <c r="E9051" s="3064"/>
      <c r="F9051" s="3064"/>
      <c r="G9051" s="3300" t="s">
        <v>67</v>
      </c>
      <c r="H9051" s="3063"/>
      <c r="I9051" s="3030"/>
    </row>
    <row r="9052" spans="2:9" ht="25.5">
      <c r="B9052" s="3192" t="s">
        <v>675</v>
      </c>
      <c r="C9052" s="3063"/>
      <c r="D9052" s="3064"/>
      <c r="E9052" s="3064"/>
      <c r="F9052" s="3064"/>
      <c r="G9052" s="3301" t="s">
        <v>675</v>
      </c>
      <c r="H9052" s="3063"/>
      <c r="I9052" s="3030"/>
    </row>
    <row r="9053" spans="2:9" ht="25.5">
      <c r="B9053" s="3192" t="s">
        <v>676</v>
      </c>
      <c r="C9053" s="3063"/>
      <c r="D9053" s="3064"/>
      <c r="E9053" s="3064"/>
      <c r="F9053" s="3064"/>
      <c r="G9053" s="3301" t="s">
        <v>676</v>
      </c>
      <c r="H9053" s="3063"/>
      <c r="I9053" s="3030"/>
    </row>
    <row r="9054" spans="2:9">
      <c r="B9054" s="3192" t="s">
        <v>677</v>
      </c>
      <c r="C9054" s="3063"/>
      <c r="D9054" s="3064"/>
      <c r="E9054" s="3064"/>
      <c r="F9054" s="3064"/>
      <c r="G9054" s="3301" t="s">
        <v>677</v>
      </c>
      <c r="H9054" s="3063"/>
      <c r="I9054" s="3030"/>
    </row>
    <row r="9055" spans="2:9">
      <c r="B9055" s="3192" t="s">
        <v>678</v>
      </c>
      <c r="C9055" s="3063"/>
      <c r="D9055" s="3064"/>
      <c r="E9055" s="3064"/>
      <c r="F9055" s="3064"/>
      <c r="G9055" s="3301" t="s">
        <v>678</v>
      </c>
      <c r="H9055" s="3063"/>
      <c r="I9055" s="3030"/>
    </row>
    <row r="9056" spans="2:9">
      <c r="B9056" s="3192" t="s">
        <v>679</v>
      </c>
      <c r="C9056" s="3063"/>
      <c r="D9056" s="3064"/>
      <c r="E9056" s="3064"/>
      <c r="F9056" s="3064"/>
      <c r="G9056" s="3301" t="s">
        <v>679</v>
      </c>
      <c r="H9056" s="3063"/>
      <c r="I9056" s="3030"/>
    </row>
    <row r="9057" spans="2:9" ht="25.5">
      <c r="B9057" s="3192" t="s">
        <v>720</v>
      </c>
      <c r="C9057" s="3063"/>
      <c r="D9057" s="3064"/>
      <c r="E9057" s="3064"/>
      <c r="F9057" s="3064"/>
      <c r="G9057" s="3301" t="s">
        <v>720</v>
      </c>
      <c r="H9057" s="3063"/>
      <c r="I9057" s="3030"/>
    </row>
    <row r="9058" spans="2:9" ht="25.5">
      <c r="B9058" s="3230" t="s">
        <v>81</v>
      </c>
      <c r="C9058" s="3063"/>
      <c r="D9058" s="3064"/>
      <c r="E9058" s="3064"/>
      <c r="F9058" s="3064"/>
      <c r="G9058" s="3302" t="s">
        <v>81</v>
      </c>
      <c r="H9058" s="3063"/>
      <c r="I9058" s="3030"/>
    </row>
    <row r="9059" spans="2:9" ht="26.25" thickBot="1">
      <c r="B9059" s="3303" t="s">
        <v>81</v>
      </c>
      <c r="C9059" s="3063"/>
      <c r="D9059" s="3064"/>
      <c r="E9059" s="3064"/>
      <c r="F9059" s="3064"/>
      <c r="G9059" s="3302" t="s">
        <v>81</v>
      </c>
      <c r="H9059" s="3063"/>
      <c r="I9059" s="3030"/>
    </row>
    <row r="9060" spans="2:9" ht="25.5">
      <c r="B9060" s="3217" t="s">
        <v>696</v>
      </c>
      <c r="C9060" s="3218"/>
      <c r="D9060" s="3219"/>
      <c r="E9060" s="3219"/>
      <c r="F9060" s="3219"/>
      <c r="G9060" s="3217" t="s">
        <v>696</v>
      </c>
      <c r="H9060" s="3297"/>
      <c r="I9060" s="3298"/>
    </row>
    <row r="9061" spans="2:9">
      <c r="B9061" s="3299" t="s">
        <v>64</v>
      </c>
      <c r="C9061" s="3063"/>
      <c r="D9061" s="3064"/>
      <c r="E9061" s="3064"/>
      <c r="F9061" s="3064"/>
      <c r="G9061" s="3300" t="s">
        <v>64</v>
      </c>
      <c r="H9061" s="3063"/>
      <c r="I9061" s="3030"/>
    </row>
    <row r="9062" spans="2:9" ht="25.5">
      <c r="B9062" s="3192" t="s">
        <v>675</v>
      </c>
      <c r="C9062" s="3063"/>
      <c r="D9062" s="3064"/>
      <c r="E9062" s="3064"/>
      <c r="F9062" s="3064"/>
      <c r="G9062" s="3301" t="s">
        <v>675</v>
      </c>
      <c r="H9062" s="3063"/>
      <c r="I9062" s="3030"/>
    </row>
    <row r="9063" spans="2:9" ht="25.5">
      <c r="B9063" s="3192" t="s">
        <v>676</v>
      </c>
      <c r="C9063" s="3063"/>
      <c r="D9063" s="3064"/>
      <c r="E9063" s="3064"/>
      <c r="F9063" s="3064"/>
      <c r="G9063" s="3301" t="s">
        <v>676</v>
      </c>
      <c r="H9063" s="3063"/>
      <c r="I9063" s="3030"/>
    </row>
    <row r="9064" spans="2:9">
      <c r="B9064" s="3192" t="s">
        <v>677</v>
      </c>
      <c r="C9064" s="3063"/>
      <c r="D9064" s="3064"/>
      <c r="E9064" s="3064"/>
      <c r="F9064" s="3064"/>
      <c r="G9064" s="3301" t="s">
        <v>677</v>
      </c>
      <c r="H9064" s="3063"/>
      <c r="I9064" s="3030"/>
    </row>
    <row r="9065" spans="2:9">
      <c r="B9065" s="3192" t="s">
        <v>678</v>
      </c>
      <c r="C9065" s="3063"/>
      <c r="D9065" s="3064"/>
      <c r="E9065" s="3064"/>
      <c r="F9065" s="3064"/>
      <c r="G9065" s="3301" t="s">
        <v>678</v>
      </c>
      <c r="H9065" s="3063"/>
      <c r="I9065" s="3030"/>
    </row>
    <row r="9066" spans="2:9">
      <c r="B9066" s="3192" t="s">
        <v>679</v>
      </c>
      <c r="C9066" s="3063"/>
      <c r="D9066" s="3064"/>
      <c r="E9066" s="3064"/>
      <c r="F9066" s="3064"/>
      <c r="G9066" s="3301" t="s">
        <v>679</v>
      </c>
      <c r="H9066" s="3063"/>
      <c r="I9066" s="3030"/>
    </row>
    <row r="9067" spans="2:9" ht="25.5">
      <c r="B9067" s="3192" t="s">
        <v>720</v>
      </c>
      <c r="C9067" s="3063"/>
      <c r="D9067" s="3064"/>
      <c r="E9067" s="3064"/>
      <c r="F9067" s="3064"/>
      <c r="G9067" s="3301" t="s">
        <v>720</v>
      </c>
      <c r="H9067" s="3063"/>
      <c r="I9067" s="3030"/>
    </row>
    <row r="9068" spans="2:9">
      <c r="B9068" s="3299" t="s">
        <v>65</v>
      </c>
      <c r="C9068" s="3063"/>
      <c r="D9068" s="3064"/>
      <c r="E9068" s="3064"/>
      <c r="F9068" s="3064"/>
      <c r="G9068" s="3300" t="s">
        <v>65</v>
      </c>
      <c r="H9068" s="3063"/>
      <c r="I9068" s="3030"/>
    </row>
    <row r="9069" spans="2:9" ht="25.5">
      <c r="B9069" s="3192" t="s">
        <v>675</v>
      </c>
      <c r="C9069" s="3063"/>
      <c r="D9069" s="3064"/>
      <c r="E9069" s="3064"/>
      <c r="F9069" s="3064"/>
      <c r="G9069" s="3301" t="s">
        <v>675</v>
      </c>
      <c r="H9069" s="3063"/>
      <c r="I9069" s="3030"/>
    </row>
    <row r="9070" spans="2:9" ht="25.5">
      <c r="B9070" s="3192" t="s">
        <v>676</v>
      </c>
      <c r="C9070" s="3063"/>
      <c r="D9070" s="3064"/>
      <c r="E9070" s="3064"/>
      <c r="F9070" s="3064"/>
      <c r="G9070" s="3301" t="s">
        <v>676</v>
      </c>
      <c r="H9070" s="3063"/>
      <c r="I9070" s="3030"/>
    </row>
    <row r="9071" spans="2:9">
      <c r="B9071" s="3192" t="s">
        <v>677</v>
      </c>
      <c r="C9071" s="3063"/>
      <c r="D9071" s="3064"/>
      <c r="E9071" s="3064"/>
      <c r="F9071" s="3064"/>
      <c r="G9071" s="3301" t="s">
        <v>677</v>
      </c>
      <c r="H9071" s="3063"/>
      <c r="I9071" s="3030"/>
    </row>
    <row r="9072" spans="2:9">
      <c r="B9072" s="3192" t="s">
        <v>678</v>
      </c>
      <c r="C9072" s="3063"/>
      <c r="D9072" s="3064"/>
      <c r="E9072" s="3064"/>
      <c r="F9072" s="3064"/>
      <c r="G9072" s="3301" t="s">
        <v>678</v>
      </c>
      <c r="H9072" s="3063"/>
      <c r="I9072" s="3030"/>
    </row>
    <row r="9073" spans="2:9">
      <c r="B9073" s="3192" t="s">
        <v>679</v>
      </c>
      <c r="C9073" s="3063"/>
      <c r="D9073" s="3064"/>
      <c r="E9073" s="3064"/>
      <c r="F9073" s="3064"/>
      <c r="G9073" s="3301" t="s">
        <v>679</v>
      </c>
      <c r="H9073" s="3063"/>
      <c r="I9073" s="3030"/>
    </row>
    <row r="9074" spans="2:9" ht="25.5">
      <c r="B9074" s="3192" t="s">
        <v>720</v>
      </c>
      <c r="C9074" s="3063"/>
      <c r="D9074" s="3064"/>
      <c r="E9074" s="3064"/>
      <c r="F9074" s="3064"/>
      <c r="G9074" s="3301" t="s">
        <v>720</v>
      </c>
      <c r="H9074" s="3063"/>
      <c r="I9074" s="3030"/>
    </row>
    <row r="9075" spans="2:9">
      <c r="B9075" s="3299" t="s">
        <v>82</v>
      </c>
      <c r="C9075" s="3063"/>
      <c r="D9075" s="3064"/>
      <c r="E9075" s="3064"/>
      <c r="F9075" s="3064"/>
      <c r="G9075" s="3300" t="s">
        <v>82</v>
      </c>
      <c r="H9075" s="3063"/>
      <c r="I9075" s="3030"/>
    </row>
    <row r="9076" spans="2:9" ht="25.5">
      <c r="B9076" s="3192" t="s">
        <v>675</v>
      </c>
      <c r="C9076" s="3063"/>
      <c r="D9076" s="3064"/>
      <c r="E9076" s="3064"/>
      <c r="F9076" s="3064"/>
      <c r="G9076" s="3301" t="s">
        <v>675</v>
      </c>
      <c r="H9076" s="3063"/>
      <c r="I9076" s="3030"/>
    </row>
    <row r="9077" spans="2:9" ht="25.5">
      <c r="B9077" s="3192" t="s">
        <v>676</v>
      </c>
      <c r="C9077" s="3063"/>
      <c r="D9077" s="3064"/>
      <c r="E9077" s="3064"/>
      <c r="F9077" s="3064"/>
      <c r="G9077" s="3301" t="s">
        <v>676</v>
      </c>
      <c r="H9077" s="3063"/>
      <c r="I9077" s="3030"/>
    </row>
    <row r="9078" spans="2:9">
      <c r="B9078" s="3192" t="s">
        <v>677</v>
      </c>
      <c r="C9078" s="3063"/>
      <c r="D9078" s="3064"/>
      <c r="E9078" s="3064"/>
      <c r="F9078" s="3064"/>
      <c r="G9078" s="3301" t="s">
        <v>677</v>
      </c>
      <c r="H9078" s="3063"/>
      <c r="I9078" s="3030"/>
    </row>
    <row r="9079" spans="2:9">
      <c r="B9079" s="3192" t="s">
        <v>678</v>
      </c>
      <c r="C9079" s="3063"/>
      <c r="D9079" s="3064"/>
      <c r="E9079" s="3064"/>
      <c r="F9079" s="3064"/>
      <c r="G9079" s="3301" t="s">
        <v>678</v>
      </c>
      <c r="H9079" s="3063"/>
      <c r="I9079" s="3030"/>
    </row>
    <row r="9080" spans="2:9">
      <c r="B9080" s="3192" t="s">
        <v>679</v>
      </c>
      <c r="C9080" s="3063"/>
      <c r="D9080" s="3064"/>
      <c r="E9080" s="3064"/>
      <c r="F9080" s="3064"/>
      <c r="G9080" s="3301" t="s">
        <v>679</v>
      </c>
      <c r="H9080" s="3063"/>
      <c r="I9080" s="3030"/>
    </row>
    <row r="9081" spans="2:9" ht="25.5">
      <c r="B9081" s="3192" t="s">
        <v>720</v>
      </c>
      <c r="C9081" s="3063"/>
      <c r="D9081" s="3064"/>
      <c r="E9081" s="3064"/>
      <c r="F9081" s="3064"/>
      <c r="G9081" s="3301" t="s">
        <v>720</v>
      </c>
      <c r="H9081" s="3063"/>
      <c r="I9081" s="3030"/>
    </row>
    <row r="9082" spans="2:9" ht="38.25">
      <c r="B9082" s="3299" t="s">
        <v>680</v>
      </c>
      <c r="C9082" s="3063"/>
      <c r="D9082" s="3064"/>
      <c r="E9082" s="3064"/>
      <c r="F9082" s="3064"/>
      <c r="G9082" s="3300" t="s">
        <v>680</v>
      </c>
      <c r="H9082" s="3063"/>
      <c r="I9082" s="3030"/>
    </row>
    <row r="9083" spans="2:9" ht="25.5">
      <c r="B9083" s="3192" t="s">
        <v>675</v>
      </c>
      <c r="C9083" s="3063"/>
      <c r="D9083" s="3064"/>
      <c r="E9083" s="3064"/>
      <c r="F9083" s="3064"/>
      <c r="G9083" s="3301" t="s">
        <v>675</v>
      </c>
      <c r="H9083" s="3063"/>
      <c r="I9083" s="3030"/>
    </row>
    <row r="9084" spans="2:9" ht="25.5">
      <c r="B9084" s="3192" t="s">
        <v>676</v>
      </c>
      <c r="C9084" s="3063"/>
      <c r="D9084" s="3064"/>
      <c r="E9084" s="3064"/>
      <c r="F9084" s="3064"/>
      <c r="G9084" s="3301" t="s">
        <v>676</v>
      </c>
      <c r="H9084" s="3063"/>
      <c r="I9084" s="3030"/>
    </row>
    <row r="9085" spans="2:9">
      <c r="B9085" s="3192" t="s">
        <v>677</v>
      </c>
      <c r="C9085" s="3063"/>
      <c r="D9085" s="3064"/>
      <c r="E9085" s="3064"/>
      <c r="F9085" s="3064"/>
      <c r="G9085" s="3301" t="s">
        <v>677</v>
      </c>
      <c r="H9085" s="3063"/>
      <c r="I9085" s="3030"/>
    </row>
    <row r="9086" spans="2:9">
      <c r="B9086" s="3192" t="s">
        <v>678</v>
      </c>
      <c r="C9086" s="3063"/>
      <c r="D9086" s="3064"/>
      <c r="E9086" s="3064"/>
      <c r="F9086" s="3064"/>
      <c r="G9086" s="3301" t="s">
        <v>678</v>
      </c>
      <c r="H9086" s="3063"/>
      <c r="I9086" s="3030"/>
    </row>
    <row r="9087" spans="2:9">
      <c r="B9087" s="3192" t="s">
        <v>679</v>
      </c>
      <c r="C9087" s="3063"/>
      <c r="D9087" s="3064"/>
      <c r="E9087" s="3064"/>
      <c r="F9087" s="3064"/>
      <c r="G9087" s="3301" t="s">
        <v>679</v>
      </c>
      <c r="H9087" s="3063"/>
      <c r="I9087" s="3030"/>
    </row>
    <row r="9088" spans="2:9" ht="25.5">
      <c r="B9088" s="3192" t="s">
        <v>720</v>
      </c>
      <c r="C9088" s="3063"/>
      <c r="D9088" s="3064"/>
      <c r="E9088" s="3064"/>
      <c r="F9088" s="3064"/>
      <c r="G9088" s="3301" t="s">
        <v>720</v>
      </c>
      <c r="H9088" s="3063"/>
      <c r="I9088" s="3030"/>
    </row>
    <row r="9089" spans="2:9" ht="38.25">
      <c r="B9089" s="3299" t="s">
        <v>681</v>
      </c>
      <c r="C9089" s="3063"/>
      <c r="D9089" s="3064"/>
      <c r="E9089" s="3064"/>
      <c r="F9089" s="3064"/>
      <c r="G9089" s="3300" t="s">
        <v>681</v>
      </c>
      <c r="H9089" s="3063"/>
      <c r="I9089" s="3030"/>
    </row>
    <row r="9090" spans="2:9" ht="25.5">
      <c r="B9090" s="3192" t="s">
        <v>675</v>
      </c>
      <c r="C9090" s="3063"/>
      <c r="D9090" s="3064"/>
      <c r="E9090" s="3064"/>
      <c r="F9090" s="3064"/>
      <c r="G9090" s="3301" t="s">
        <v>675</v>
      </c>
      <c r="H9090" s="3063"/>
      <c r="I9090" s="3030"/>
    </row>
    <row r="9091" spans="2:9" ht="25.5">
      <c r="B9091" s="3192" t="s">
        <v>676</v>
      </c>
      <c r="C9091" s="3063"/>
      <c r="D9091" s="3064"/>
      <c r="E9091" s="3064"/>
      <c r="F9091" s="3064"/>
      <c r="G9091" s="3301" t="s">
        <v>676</v>
      </c>
      <c r="H9091" s="3063"/>
      <c r="I9091" s="3030"/>
    </row>
    <row r="9092" spans="2:9">
      <c r="B9092" s="3192" t="s">
        <v>677</v>
      </c>
      <c r="C9092" s="3063"/>
      <c r="D9092" s="3064"/>
      <c r="E9092" s="3064"/>
      <c r="F9092" s="3064"/>
      <c r="G9092" s="3301" t="s">
        <v>677</v>
      </c>
      <c r="H9092" s="3063"/>
      <c r="I9092" s="3030"/>
    </row>
    <row r="9093" spans="2:9">
      <c r="B9093" s="3192" t="s">
        <v>678</v>
      </c>
      <c r="C9093" s="3063"/>
      <c r="D9093" s="3064"/>
      <c r="E9093" s="3064"/>
      <c r="F9093" s="3064"/>
      <c r="G9093" s="3301" t="s">
        <v>678</v>
      </c>
      <c r="H9093" s="3063"/>
      <c r="I9093" s="3030"/>
    </row>
    <row r="9094" spans="2:9">
      <c r="B9094" s="3192" t="s">
        <v>679</v>
      </c>
      <c r="C9094" s="3063"/>
      <c r="D9094" s="3064"/>
      <c r="E9094" s="3064"/>
      <c r="F9094" s="3064"/>
      <c r="G9094" s="3301" t="s">
        <v>679</v>
      </c>
      <c r="H9094" s="3063"/>
      <c r="I9094" s="3030"/>
    </row>
    <row r="9095" spans="2:9" ht="25.5">
      <c r="B9095" s="3192" t="s">
        <v>720</v>
      </c>
      <c r="C9095" s="3063"/>
      <c r="D9095" s="3064"/>
      <c r="E9095" s="3064"/>
      <c r="F9095" s="3064"/>
      <c r="G9095" s="3301" t="s">
        <v>720</v>
      </c>
      <c r="H9095" s="3063"/>
      <c r="I9095" s="3030"/>
    </row>
    <row r="9096" spans="2:9" ht="25.5">
      <c r="B9096" s="3299" t="s">
        <v>682</v>
      </c>
      <c r="C9096" s="3063"/>
      <c r="D9096" s="3064"/>
      <c r="E9096" s="3064"/>
      <c r="F9096" s="3064"/>
      <c r="G9096" s="3300" t="s">
        <v>682</v>
      </c>
      <c r="H9096" s="3063"/>
      <c r="I9096" s="3030"/>
    </row>
    <row r="9097" spans="2:9" ht="25.5">
      <c r="B9097" s="3192" t="s">
        <v>675</v>
      </c>
      <c r="C9097" s="3063"/>
      <c r="D9097" s="3064"/>
      <c r="E9097" s="3064"/>
      <c r="F9097" s="3064"/>
      <c r="G9097" s="3301" t="s">
        <v>675</v>
      </c>
      <c r="H9097" s="3063"/>
      <c r="I9097" s="3030"/>
    </row>
    <row r="9098" spans="2:9" ht="25.5">
      <c r="B9098" s="3192" t="s">
        <v>676</v>
      </c>
      <c r="C9098" s="3063"/>
      <c r="D9098" s="3064"/>
      <c r="E9098" s="3064"/>
      <c r="F9098" s="3064"/>
      <c r="G9098" s="3301" t="s">
        <v>676</v>
      </c>
      <c r="H9098" s="3063"/>
      <c r="I9098" s="3030"/>
    </row>
    <row r="9099" spans="2:9">
      <c r="B9099" s="3192" t="s">
        <v>677</v>
      </c>
      <c r="C9099" s="3063"/>
      <c r="D9099" s="3064"/>
      <c r="E9099" s="3064"/>
      <c r="F9099" s="3064"/>
      <c r="G9099" s="3301" t="s">
        <v>677</v>
      </c>
      <c r="H9099" s="3063"/>
      <c r="I9099" s="3030"/>
    </row>
    <row r="9100" spans="2:9">
      <c r="B9100" s="3192" t="s">
        <v>678</v>
      </c>
      <c r="C9100" s="3063"/>
      <c r="D9100" s="3064"/>
      <c r="E9100" s="3064"/>
      <c r="F9100" s="3064"/>
      <c r="G9100" s="3301" t="s">
        <v>678</v>
      </c>
      <c r="H9100" s="3063"/>
      <c r="I9100" s="3030"/>
    </row>
    <row r="9101" spans="2:9">
      <c r="B9101" s="3192" t="s">
        <v>679</v>
      </c>
      <c r="C9101" s="3063"/>
      <c r="D9101" s="3064"/>
      <c r="E9101" s="3064"/>
      <c r="F9101" s="3064"/>
      <c r="G9101" s="3301" t="s">
        <v>679</v>
      </c>
      <c r="H9101" s="3063"/>
      <c r="I9101" s="3030"/>
    </row>
    <row r="9102" spans="2:9" ht="25.5">
      <c r="B9102" s="3192" t="s">
        <v>720</v>
      </c>
      <c r="C9102" s="3063"/>
      <c r="D9102" s="3064"/>
      <c r="E9102" s="3064"/>
      <c r="F9102" s="3064"/>
      <c r="G9102" s="3301" t="s">
        <v>720</v>
      </c>
      <c r="H9102" s="3063"/>
      <c r="I9102" s="3030"/>
    </row>
    <row r="9103" spans="2:9" ht="25.5">
      <c r="B9103" s="3299" t="s">
        <v>66</v>
      </c>
      <c r="C9103" s="3063"/>
      <c r="D9103" s="3064"/>
      <c r="E9103" s="3064"/>
      <c r="F9103" s="3064"/>
      <c r="G9103" s="3300" t="s">
        <v>66</v>
      </c>
      <c r="H9103" s="3063"/>
      <c r="I9103" s="3030"/>
    </row>
    <row r="9104" spans="2:9" ht="25.5">
      <c r="B9104" s="3192" t="s">
        <v>675</v>
      </c>
      <c r="C9104" s="3063"/>
      <c r="D9104" s="3064"/>
      <c r="E9104" s="3064"/>
      <c r="F9104" s="3064"/>
      <c r="G9104" s="3301" t="s">
        <v>675</v>
      </c>
      <c r="H9104" s="3063"/>
      <c r="I9104" s="3030"/>
    </row>
    <row r="9105" spans="2:9" ht="25.5">
      <c r="B9105" s="3192" t="s">
        <v>676</v>
      </c>
      <c r="C9105" s="3063"/>
      <c r="D9105" s="3064"/>
      <c r="E9105" s="3064"/>
      <c r="F9105" s="3064"/>
      <c r="G9105" s="3301" t="s">
        <v>676</v>
      </c>
      <c r="H9105" s="3063"/>
      <c r="I9105" s="3030"/>
    </row>
    <row r="9106" spans="2:9">
      <c r="B9106" s="3192" t="s">
        <v>677</v>
      </c>
      <c r="C9106" s="3063"/>
      <c r="D9106" s="3064"/>
      <c r="E9106" s="3064"/>
      <c r="F9106" s="3064"/>
      <c r="G9106" s="3301" t="s">
        <v>677</v>
      </c>
      <c r="H9106" s="3063"/>
      <c r="I9106" s="3030"/>
    </row>
    <row r="9107" spans="2:9">
      <c r="B9107" s="3192" t="s">
        <v>678</v>
      </c>
      <c r="C9107" s="3063"/>
      <c r="D9107" s="3064"/>
      <c r="E9107" s="3064"/>
      <c r="F9107" s="3064"/>
      <c r="G9107" s="3301" t="s">
        <v>678</v>
      </c>
      <c r="H9107" s="3063"/>
      <c r="I9107" s="3030"/>
    </row>
    <row r="9108" spans="2:9">
      <c r="B9108" s="3192" t="s">
        <v>679</v>
      </c>
      <c r="C9108" s="3063"/>
      <c r="D9108" s="3064"/>
      <c r="E9108" s="3064"/>
      <c r="F9108" s="3064"/>
      <c r="G9108" s="3301" t="s">
        <v>679</v>
      </c>
      <c r="H9108" s="3063"/>
      <c r="I9108" s="3030"/>
    </row>
    <row r="9109" spans="2:9" ht="25.5">
      <c r="B9109" s="3192" t="s">
        <v>720</v>
      </c>
      <c r="C9109" s="3063"/>
      <c r="D9109" s="3064"/>
      <c r="E9109" s="3064"/>
      <c r="F9109" s="3064"/>
      <c r="G9109" s="3301" t="s">
        <v>720</v>
      </c>
      <c r="H9109" s="3063"/>
      <c r="I9109" s="3030"/>
    </row>
    <row r="9110" spans="2:9">
      <c r="B9110" s="3299" t="s">
        <v>67</v>
      </c>
      <c r="C9110" s="3063"/>
      <c r="D9110" s="3064"/>
      <c r="E9110" s="3064"/>
      <c r="F9110" s="3064"/>
      <c r="G9110" s="3300" t="s">
        <v>67</v>
      </c>
      <c r="H9110" s="3063"/>
      <c r="I9110" s="3030"/>
    </row>
    <row r="9111" spans="2:9" ht="25.5">
      <c r="B9111" s="3192" t="s">
        <v>675</v>
      </c>
      <c r="C9111" s="3063"/>
      <c r="D9111" s="3064"/>
      <c r="E9111" s="3064"/>
      <c r="F9111" s="3064"/>
      <c r="G9111" s="3301" t="s">
        <v>675</v>
      </c>
      <c r="H9111" s="3063"/>
      <c r="I9111" s="3030"/>
    </row>
    <row r="9112" spans="2:9" ht="25.5">
      <c r="B9112" s="3192" t="s">
        <v>676</v>
      </c>
      <c r="C9112" s="3063"/>
      <c r="D9112" s="3064"/>
      <c r="E9112" s="3064"/>
      <c r="F9112" s="3064"/>
      <c r="G9112" s="3301" t="s">
        <v>676</v>
      </c>
      <c r="H9112" s="3063"/>
      <c r="I9112" s="3030"/>
    </row>
    <row r="9113" spans="2:9">
      <c r="B9113" s="3192" t="s">
        <v>677</v>
      </c>
      <c r="C9113" s="3063"/>
      <c r="D9113" s="3064"/>
      <c r="E9113" s="3064"/>
      <c r="F9113" s="3064"/>
      <c r="G9113" s="3301" t="s">
        <v>677</v>
      </c>
      <c r="H9113" s="3063"/>
      <c r="I9113" s="3030"/>
    </row>
    <row r="9114" spans="2:9">
      <c r="B9114" s="3192" t="s">
        <v>678</v>
      </c>
      <c r="C9114" s="3063"/>
      <c r="D9114" s="3064"/>
      <c r="E9114" s="3064"/>
      <c r="F9114" s="3064"/>
      <c r="G9114" s="3301" t="s">
        <v>678</v>
      </c>
      <c r="H9114" s="3063"/>
      <c r="I9114" s="3030"/>
    </row>
    <row r="9115" spans="2:9">
      <c r="B9115" s="3192" t="s">
        <v>679</v>
      </c>
      <c r="C9115" s="3063"/>
      <c r="D9115" s="3064"/>
      <c r="E9115" s="3064"/>
      <c r="F9115" s="3064"/>
      <c r="G9115" s="3301" t="s">
        <v>679</v>
      </c>
      <c r="H9115" s="3063"/>
      <c r="I9115" s="3030"/>
    </row>
    <row r="9116" spans="2:9" ht="25.5">
      <c r="B9116" s="3230" t="s">
        <v>81</v>
      </c>
      <c r="C9116" s="3063"/>
      <c r="D9116" s="3064"/>
      <c r="E9116" s="3064"/>
      <c r="F9116" s="3064"/>
      <c r="G9116" s="3302" t="s">
        <v>81</v>
      </c>
      <c r="H9116" s="3063"/>
      <c r="I9116" s="3030"/>
    </row>
    <row r="9117" spans="2:9" ht="26.25" thickBot="1">
      <c r="B9117" s="3303" t="s">
        <v>81</v>
      </c>
      <c r="C9117" s="3063"/>
      <c r="D9117" s="3064"/>
      <c r="E9117" s="3064"/>
      <c r="F9117" s="3064"/>
      <c r="G9117" s="3302" t="s">
        <v>81</v>
      </c>
      <c r="H9117" s="3063"/>
      <c r="I9117" s="3030"/>
    </row>
    <row r="9118" spans="2:9">
      <c r="B9118" s="3217" t="s">
        <v>697</v>
      </c>
      <c r="C9118" s="3218"/>
      <c r="D9118" s="3219"/>
      <c r="E9118" s="3219"/>
      <c r="F9118" s="3219"/>
      <c r="G9118" s="3217" t="s">
        <v>697</v>
      </c>
      <c r="H9118" s="3297"/>
      <c r="I9118" s="3298"/>
    </row>
    <row r="9119" spans="2:9">
      <c r="B9119" s="3299" t="s">
        <v>64</v>
      </c>
      <c r="C9119" s="3063"/>
      <c r="D9119" s="3064"/>
      <c r="E9119" s="3064"/>
      <c r="F9119" s="3064"/>
      <c r="G9119" s="3300" t="s">
        <v>64</v>
      </c>
      <c r="H9119" s="3063"/>
      <c r="I9119" s="3030"/>
    </row>
    <row r="9120" spans="2:9" ht="25.5">
      <c r="B9120" s="3192" t="s">
        <v>675</v>
      </c>
      <c r="C9120" s="3063"/>
      <c r="D9120" s="3064"/>
      <c r="E9120" s="3064"/>
      <c r="F9120" s="3064"/>
      <c r="G9120" s="3301" t="s">
        <v>675</v>
      </c>
      <c r="H9120" s="3063"/>
      <c r="I9120" s="3030"/>
    </row>
    <row r="9121" spans="2:9" ht="25.5">
      <c r="B9121" s="3192" t="s">
        <v>676</v>
      </c>
      <c r="C9121" s="3063"/>
      <c r="D9121" s="3064"/>
      <c r="E9121" s="3064"/>
      <c r="F9121" s="3064"/>
      <c r="G9121" s="3301" t="s">
        <v>676</v>
      </c>
      <c r="H9121" s="3063"/>
      <c r="I9121" s="3030"/>
    </row>
    <row r="9122" spans="2:9">
      <c r="B9122" s="3192" t="s">
        <v>677</v>
      </c>
      <c r="C9122" s="3063"/>
      <c r="D9122" s="3064"/>
      <c r="E9122" s="3064"/>
      <c r="F9122" s="3064"/>
      <c r="G9122" s="3301" t="s">
        <v>677</v>
      </c>
      <c r="H9122" s="3063"/>
      <c r="I9122" s="3030"/>
    </row>
    <row r="9123" spans="2:9">
      <c r="B9123" s="3192" t="s">
        <v>678</v>
      </c>
      <c r="C9123" s="3063"/>
      <c r="D9123" s="3064"/>
      <c r="E9123" s="3064"/>
      <c r="F9123" s="3064"/>
      <c r="G9123" s="3301" t="s">
        <v>678</v>
      </c>
      <c r="H9123" s="3063"/>
      <c r="I9123" s="3030"/>
    </row>
    <row r="9124" spans="2:9">
      <c r="B9124" s="3192" t="s">
        <v>679</v>
      </c>
      <c r="C9124" s="3063"/>
      <c r="D9124" s="3064"/>
      <c r="E9124" s="3064"/>
      <c r="F9124" s="3064"/>
      <c r="G9124" s="3301" t="s">
        <v>679</v>
      </c>
      <c r="H9124" s="3063"/>
      <c r="I9124" s="3030"/>
    </row>
    <row r="9125" spans="2:9" ht="25.5">
      <c r="B9125" s="3192" t="s">
        <v>720</v>
      </c>
      <c r="C9125" s="3063"/>
      <c r="D9125" s="3064"/>
      <c r="E9125" s="3064"/>
      <c r="F9125" s="3064"/>
      <c r="G9125" s="3301" t="s">
        <v>720</v>
      </c>
      <c r="H9125" s="3063"/>
      <c r="I9125" s="3030"/>
    </row>
    <row r="9126" spans="2:9">
      <c r="B9126" s="3299" t="s">
        <v>65</v>
      </c>
      <c r="C9126" s="3063"/>
      <c r="D9126" s="3064"/>
      <c r="E9126" s="3064"/>
      <c r="F9126" s="3064"/>
      <c r="G9126" s="3300" t="s">
        <v>65</v>
      </c>
      <c r="H9126" s="3063"/>
      <c r="I9126" s="3030"/>
    </row>
    <row r="9127" spans="2:9" ht="25.5">
      <c r="B9127" s="3192" t="s">
        <v>675</v>
      </c>
      <c r="C9127" s="3063"/>
      <c r="D9127" s="3064"/>
      <c r="E9127" s="3064"/>
      <c r="F9127" s="3064"/>
      <c r="G9127" s="3301" t="s">
        <v>675</v>
      </c>
      <c r="H9127" s="3063"/>
      <c r="I9127" s="3030"/>
    </row>
    <row r="9128" spans="2:9" ht="25.5">
      <c r="B9128" s="3192" t="s">
        <v>676</v>
      </c>
      <c r="C9128" s="3063"/>
      <c r="D9128" s="3064"/>
      <c r="E9128" s="3064"/>
      <c r="F9128" s="3064"/>
      <c r="G9128" s="3301" t="s">
        <v>676</v>
      </c>
      <c r="H9128" s="3063"/>
      <c r="I9128" s="3030"/>
    </row>
    <row r="9129" spans="2:9">
      <c r="B9129" s="3192" t="s">
        <v>677</v>
      </c>
      <c r="C9129" s="3063"/>
      <c r="D9129" s="3064"/>
      <c r="E9129" s="3064"/>
      <c r="F9129" s="3064"/>
      <c r="G9129" s="3301" t="s">
        <v>677</v>
      </c>
      <c r="H9129" s="3063"/>
      <c r="I9129" s="3030"/>
    </row>
    <row r="9130" spans="2:9">
      <c r="B9130" s="3192" t="s">
        <v>678</v>
      </c>
      <c r="C9130" s="3063"/>
      <c r="D9130" s="3064"/>
      <c r="E9130" s="3064"/>
      <c r="F9130" s="3064"/>
      <c r="G9130" s="3301" t="s">
        <v>678</v>
      </c>
      <c r="H9130" s="3063"/>
      <c r="I9130" s="3030"/>
    </row>
    <row r="9131" spans="2:9">
      <c r="B9131" s="3192" t="s">
        <v>679</v>
      </c>
      <c r="C9131" s="3063"/>
      <c r="D9131" s="3064"/>
      <c r="E9131" s="3064"/>
      <c r="F9131" s="3064"/>
      <c r="G9131" s="3301" t="s">
        <v>679</v>
      </c>
      <c r="H9131" s="3063"/>
      <c r="I9131" s="3030"/>
    </row>
    <row r="9132" spans="2:9" ht="25.5">
      <c r="B9132" s="3192" t="s">
        <v>720</v>
      </c>
      <c r="C9132" s="3063"/>
      <c r="D9132" s="3064"/>
      <c r="E9132" s="3064"/>
      <c r="F9132" s="3064"/>
      <c r="G9132" s="3301" t="s">
        <v>720</v>
      </c>
      <c r="H9132" s="3063"/>
      <c r="I9132" s="3030"/>
    </row>
    <row r="9133" spans="2:9">
      <c r="B9133" s="3299" t="s">
        <v>82</v>
      </c>
      <c r="C9133" s="3063"/>
      <c r="D9133" s="3064"/>
      <c r="E9133" s="3064"/>
      <c r="F9133" s="3064"/>
      <c r="G9133" s="3300" t="s">
        <v>82</v>
      </c>
      <c r="H9133" s="3063"/>
      <c r="I9133" s="3030"/>
    </row>
    <row r="9134" spans="2:9" ht="25.5">
      <c r="B9134" s="3192" t="s">
        <v>675</v>
      </c>
      <c r="C9134" s="3063"/>
      <c r="D9134" s="3064"/>
      <c r="E9134" s="3064"/>
      <c r="F9134" s="3064"/>
      <c r="G9134" s="3301" t="s">
        <v>675</v>
      </c>
      <c r="H9134" s="3063"/>
      <c r="I9134" s="3030"/>
    </row>
    <row r="9135" spans="2:9" ht="25.5">
      <c r="B9135" s="3192" t="s">
        <v>676</v>
      </c>
      <c r="C9135" s="3063"/>
      <c r="D9135" s="3064"/>
      <c r="E9135" s="3064"/>
      <c r="F9135" s="3064"/>
      <c r="G9135" s="3301" t="s">
        <v>676</v>
      </c>
      <c r="H9135" s="3063"/>
      <c r="I9135" s="3030"/>
    </row>
    <row r="9136" spans="2:9">
      <c r="B9136" s="3192" t="s">
        <v>677</v>
      </c>
      <c r="C9136" s="3063"/>
      <c r="D9136" s="3064"/>
      <c r="E9136" s="3064"/>
      <c r="F9136" s="3064"/>
      <c r="G9136" s="3301" t="s">
        <v>677</v>
      </c>
      <c r="H9136" s="3063"/>
      <c r="I9136" s="3030"/>
    </row>
    <row r="9137" spans="2:9">
      <c r="B9137" s="3192" t="s">
        <v>678</v>
      </c>
      <c r="C9137" s="3063"/>
      <c r="D9137" s="3064"/>
      <c r="E9137" s="3064"/>
      <c r="F9137" s="3064"/>
      <c r="G9137" s="3301" t="s">
        <v>678</v>
      </c>
      <c r="H9137" s="3063"/>
      <c r="I9137" s="3030"/>
    </row>
    <row r="9138" spans="2:9">
      <c r="B9138" s="3192" t="s">
        <v>679</v>
      </c>
      <c r="C9138" s="3063"/>
      <c r="D9138" s="3064"/>
      <c r="E9138" s="3064"/>
      <c r="F9138" s="3064"/>
      <c r="G9138" s="3301" t="s">
        <v>679</v>
      </c>
      <c r="H9138" s="3063"/>
      <c r="I9138" s="3030"/>
    </row>
    <row r="9139" spans="2:9" ht="25.5">
      <c r="B9139" s="3192" t="s">
        <v>720</v>
      </c>
      <c r="C9139" s="3063"/>
      <c r="D9139" s="3064"/>
      <c r="E9139" s="3064"/>
      <c r="F9139" s="3064"/>
      <c r="G9139" s="3301" t="s">
        <v>720</v>
      </c>
      <c r="H9139" s="3063"/>
      <c r="I9139" s="3030"/>
    </row>
    <row r="9140" spans="2:9" ht="38.25">
      <c r="B9140" s="3299" t="s">
        <v>680</v>
      </c>
      <c r="C9140" s="3063"/>
      <c r="D9140" s="3064"/>
      <c r="E9140" s="3064"/>
      <c r="F9140" s="3064"/>
      <c r="G9140" s="3300" t="s">
        <v>680</v>
      </c>
      <c r="H9140" s="3063"/>
      <c r="I9140" s="3030"/>
    </row>
    <row r="9141" spans="2:9" ht="25.5">
      <c r="B9141" s="3192" t="s">
        <v>675</v>
      </c>
      <c r="C9141" s="3063"/>
      <c r="D9141" s="3064"/>
      <c r="E9141" s="3064"/>
      <c r="F9141" s="3064"/>
      <c r="G9141" s="3301" t="s">
        <v>675</v>
      </c>
      <c r="H9141" s="3063"/>
      <c r="I9141" s="3030"/>
    </row>
    <row r="9142" spans="2:9" ht="25.5">
      <c r="B9142" s="3192" t="s">
        <v>676</v>
      </c>
      <c r="C9142" s="3063"/>
      <c r="D9142" s="3064"/>
      <c r="E9142" s="3064"/>
      <c r="F9142" s="3064"/>
      <c r="G9142" s="3301" t="s">
        <v>676</v>
      </c>
      <c r="H9142" s="3063"/>
      <c r="I9142" s="3030"/>
    </row>
    <row r="9143" spans="2:9">
      <c r="B9143" s="3192" t="s">
        <v>677</v>
      </c>
      <c r="C9143" s="3063"/>
      <c r="D9143" s="3064"/>
      <c r="E9143" s="3064"/>
      <c r="F9143" s="3064"/>
      <c r="G9143" s="3301" t="s">
        <v>677</v>
      </c>
      <c r="H9143" s="3063"/>
      <c r="I9143" s="3030"/>
    </row>
    <row r="9144" spans="2:9">
      <c r="B9144" s="3192" t="s">
        <v>678</v>
      </c>
      <c r="C9144" s="3063"/>
      <c r="D9144" s="3064"/>
      <c r="E9144" s="3064"/>
      <c r="F9144" s="3064"/>
      <c r="G9144" s="3301" t="s">
        <v>678</v>
      </c>
      <c r="H9144" s="3063"/>
      <c r="I9144" s="3030"/>
    </row>
    <row r="9145" spans="2:9">
      <c r="B9145" s="3192" t="s">
        <v>679</v>
      </c>
      <c r="C9145" s="3063"/>
      <c r="D9145" s="3064"/>
      <c r="E9145" s="3064"/>
      <c r="F9145" s="3064"/>
      <c r="G9145" s="3301" t="s">
        <v>679</v>
      </c>
      <c r="H9145" s="3063"/>
      <c r="I9145" s="3030"/>
    </row>
    <row r="9146" spans="2:9" ht="25.5">
      <c r="B9146" s="3192" t="s">
        <v>720</v>
      </c>
      <c r="C9146" s="3063"/>
      <c r="D9146" s="3064"/>
      <c r="E9146" s="3064"/>
      <c r="F9146" s="3064"/>
      <c r="G9146" s="3301" t="s">
        <v>720</v>
      </c>
      <c r="H9146" s="3063"/>
      <c r="I9146" s="3030"/>
    </row>
    <row r="9147" spans="2:9" ht="38.25">
      <c r="B9147" s="3299" t="s">
        <v>681</v>
      </c>
      <c r="C9147" s="3063"/>
      <c r="D9147" s="3064"/>
      <c r="E9147" s="3064"/>
      <c r="F9147" s="3064"/>
      <c r="G9147" s="3300" t="s">
        <v>681</v>
      </c>
      <c r="H9147" s="3063">
        <v>1.6673308201100103E-2</v>
      </c>
      <c r="I9147" s="3030"/>
    </row>
    <row r="9148" spans="2:9" ht="25.5">
      <c r="B9148" s="3192" t="s">
        <v>675</v>
      </c>
      <c r="C9148" s="3063"/>
      <c r="D9148" s="3064"/>
      <c r="E9148" s="3064"/>
      <c r="F9148" s="3064"/>
      <c r="G9148" s="3301" t="s">
        <v>675</v>
      </c>
      <c r="H9148" s="3063"/>
      <c r="I9148" s="3030"/>
    </row>
    <row r="9149" spans="2:9" ht="25.5">
      <c r="B9149" s="3192" t="s">
        <v>676</v>
      </c>
      <c r="C9149" s="3063"/>
      <c r="D9149" s="3064"/>
      <c r="E9149" s="3064"/>
      <c r="F9149" s="3064"/>
      <c r="G9149" s="3301" t="s">
        <v>676</v>
      </c>
      <c r="H9149" s="3063"/>
      <c r="I9149" s="3030"/>
    </row>
    <row r="9150" spans="2:9">
      <c r="B9150" s="3192" t="s">
        <v>677</v>
      </c>
      <c r="C9150" s="3063"/>
      <c r="D9150" s="3064"/>
      <c r="E9150" s="3064"/>
      <c r="F9150" s="3064"/>
      <c r="G9150" s="3301" t="s">
        <v>677</v>
      </c>
      <c r="H9150" s="3063"/>
      <c r="I9150" s="3030"/>
    </row>
    <row r="9151" spans="2:9">
      <c r="B9151" s="3192" t="s">
        <v>678</v>
      </c>
      <c r="C9151" s="3063"/>
      <c r="D9151" s="3064"/>
      <c r="E9151" s="3064"/>
      <c r="F9151" s="3064"/>
      <c r="G9151" s="3301" t="s">
        <v>678</v>
      </c>
      <c r="H9151" s="3063"/>
      <c r="I9151" s="3030"/>
    </row>
    <row r="9152" spans="2:9">
      <c r="B9152" s="3192" t="s">
        <v>679</v>
      </c>
      <c r="C9152" s="3063">
        <v>1</v>
      </c>
      <c r="D9152" s="3064"/>
      <c r="E9152" s="3064"/>
      <c r="F9152" s="3064"/>
      <c r="G9152" s="3301" t="s">
        <v>679</v>
      </c>
      <c r="H9152" s="3063"/>
      <c r="I9152" s="3030"/>
    </row>
    <row r="9153" spans="2:9" ht="25.5">
      <c r="B9153" s="3192" t="s">
        <v>720</v>
      </c>
      <c r="C9153" s="3063"/>
      <c r="D9153" s="3064"/>
      <c r="E9153" s="3064"/>
      <c r="F9153" s="3064"/>
      <c r="G9153" s="3301" t="s">
        <v>720</v>
      </c>
      <c r="H9153" s="3063"/>
      <c r="I9153" s="3030"/>
    </row>
    <row r="9154" spans="2:9" ht="25.5">
      <c r="B9154" s="3299" t="s">
        <v>682</v>
      </c>
      <c r="C9154" s="3063"/>
      <c r="D9154" s="3064"/>
      <c r="E9154" s="3064"/>
      <c r="F9154" s="3064"/>
      <c r="G9154" s="3300" t="s">
        <v>682</v>
      </c>
      <c r="H9154" s="3063"/>
      <c r="I9154" s="3030"/>
    </row>
    <row r="9155" spans="2:9" ht="25.5">
      <c r="B9155" s="3192" t="s">
        <v>675</v>
      </c>
      <c r="C9155" s="3063"/>
      <c r="D9155" s="3064"/>
      <c r="E9155" s="3064"/>
      <c r="F9155" s="3064"/>
      <c r="G9155" s="3301" t="s">
        <v>675</v>
      </c>
      <c r="H9155" s="3063"/>
      <c r="I9155" s="3030"/>
    </row>
    <row r="9156" spans="2:9" ht="25.5">
      <c r="B9156" s="3192" t="s">
        <v>676</v>
      </c>
      <c r="C9156" s="3063"/>
      <c r="D9156" s="3064"/>
      <c r="E9156" s="3064"/>
      <c r="F9156" s="3064"/>
      <c r="G9156" s="3301" t="s">
        <v>676</v>
      </c>
      <c r="H9156" s="3063"/>
      <c r="I9156" s="3030"/>
    </row>
    <row r="9157" spans="2:9">
      <c r="B9157" s="3192" t="s">
        <v>677</v>
      </c>
      <c r="C9157" s="3063"/>
      <c r="D9157" s="3064"/>
      <c r="E9157" s="3064"/>
      <c r="F9157" s="3064"/>
      <c r="G9157" s="3301" t="s">
        <v>677</v>
      </c>
      <c r="H9157" s="3063"/>
      <c r="I9157" s="3030"/>
    </row>
    <row r="9158" spans="2:9">
      <c r="B9158" s="3192" t="s">
        <v>678</v>
      </c>
      <c r="C9158" s="3063"/>
      <c r="D9158" s="3064"/>
      <c r="E9158" s="3064"/>
      <c r="F9158" s="3064"/>
      <c r="G9158" s="3301" t="s">
        <v>678</v>
      </c>
      <c r="H9158" s="3063"/>
      <c r="I9158" s="3030"/>
    </row>
    <row r="9159" spans="2:9">
      <c r="B9159" s="3192" t="s">
        <v>679</v>
      </c>
      <c r="C9159" s="3063"/>
      <c r="D9159" s="3064"/>
      <c r="E9159" s="3064"/>
      <c r="F9159" s="3064"/>
      <c r="G9159" s="3301" t="s">
        <v>679</v>
      </c>
      <c r="H9159" s="3063"/>
      <c r="I9159" s="3030"/>
    </row>
    <row r="9160" spans="2:9" ht="25.5">
      <c r="B9160" s="3192" t="s">
        <v>720</v>
      </c>
      <c r="C9160" s="3063"/>
      <c r="D9160" s="3064"/>
      <c r="E9160" s="3064"/>
      <c r="F9160" s="3064"/>
      <c r="G9160" s="3301" t="s">
        <v>720</v>
      </c>
      <c r="H9160" s="3063"/>
      <c r="I9160" s="3030"/>
    </row>
    <row r="9161" spans="2:9" ht="25.5">
      <c r="B9161" s="3299" t="s">
        <v>66</v>
      </c>
      <c r="C9161" s="3063"/>
      <c r="D9161" s="3064"/>
      <c r="E9161" s="3064"/>
      <c r="F9161" s="3064"/>
      <c r="G9161" s="3300" t="s">
        <v>66</v>
      </c>
      <c r="H9161" s="3063"/>
      <c r="I9161" s="3030"/>
    </row>
    <row r="9162" spans="2:9" ht="25.5">
      <c r="B9162" s="3192" t="s">
        <v>675</v>
      </c>
      <c r="C9162" s="3063"/>
      <c r="D9162" s="3064"/>
      <c r="E9162" s="3064"/>
      <c r="F9162" s="3064"/>
      <c r="G9162" s="3301" t="s">
        <v>675</v>
      </c>
      <c r="H9162" s="3063"/>
      <c r="I9162" s="3030"/>
    </row>
    <row r="9163" spans="2:9" ht="25.5">
      <c r="B9163" s="3192" t="s">
        <v>676</v>
      </c>
      <c r="C9163" s="3063"/>
      <c r="D9163" s="3064"/>
      <c r="E9163" s="3064"/>
      <c r="F9163" s="3064"/>
      <c r="G9163" s="3301" t="s">
        <v>676</v>
      </c>
      <c r="H9163" s="3063"/>
      <c r="I9163" s="3030"/>
    </row>
    <row r="9164" spans="2:9">
      <c r="B9164" s="3192" t="s">
        <v>677</v>
      </c>
      <c r="C9164" s="3063"/>
      <c r="D9164" s="3064"/>
      <c r="E9164" s="3064"/>
      <c r="F9164" s="3064"/>
      <c r="G9164" s="3301" t="s">
        <v>677</v>
      </c>
      <c r="H9164" s="3063"/>
      <c r="I9164" s="3030"/>
    </row>
    <row r="9165" spans="2:9">
      <c r="B9165" s="3192" t="s">
        <v>678</v>
      </c>
      <c r="C9165" s="3063"/>
      <c r="D9165" s="3064"/>
      <c r="E9165" s="3064"/>
      <c r="F9165" s="3064"/>
      <c r="G9165" s="3301" t="s">
        <v>678</v>
      </c>
      <c r="H9165" s="3063"/>
      <c r="I9165" s="3030"/>
    </row>
    <row r="9166" spans="2:9">
      <c r="B9166" s="3192" t="s">
        <v>679</v>
      </c>
      <c r="C9166" s="3063"/>
      <c r="D9166" s="3064"/>
      <c r="E9166" s="3064"/>
      <c r="F9166" s="3064"/>
      <c r="G9166" s="3301" t="s">
        <v>679</v>
      </c>
      <c r="H9166" s="3063"/>
      <c r="I9166" s="3030"/>
    </row>
    <row r="9167" spans="2:9" ht="25.5">
      <c r="B9167" s="3192" t="s">
        <v>720</v>
      </c>
      <c r="C9167" s="3063"/>
      <c r="D9167" s="3064"/>
      <c r="E9167" s="3064"/>
      <c r="F9167" s="3064"/>
      <c r="G9167" s="3301" t="s">
        <v>720</v>
      </c>
      <c r="H9167" s="3063"/>
      <c r="I9167" s="3030"/>
    </row>
    <row r="9168" spans="2:9">
      <c r="B9168" s="3299" t="s">
        <v>67</v>
      </c>
      <c r="C9168" s="3063"/>
      <c r="D9168" s="3064"/>
      <c r="E9168" s="3064"/>
      <c r="F9168" s="3064">
        <v>1</v>
      </c>
      <c r="G9168" s="3300" t="s">
        <v>67</v>
      </c>
      <c r="H9168" s="3063">
        <v>2.9948488599608671E-2</v>
      </c>
      <c r="I9168" s="3030"/>
    </row>
    <row r="9169" spans="2:9" ht="25.5">
      <c r="B9169" s="3192" t="s">
        <v>675</v>
      </c>
      <c r="C9169" s="3063"/>
      <c r="D9169" s="3064"/>
      <c r="E9169" s="3064"/>
      <c r="F9169" s="3064"/>
      <c r="G9169" s="3301" t="s">
        <v>675</v>
      </c>
      <c r="H9169" s="3063"/>
      <c r="I9169" s="3030"/>
    </row>
    <row r="9170" spans="2:9" ht="25.5">
      <c r="B9170" s="3192" t="s">
        <v>676</v>
      </c>
      <c r="C9170" s="3063"/>
      <c r="D9170" s="3064"/>
      <c r="E9170" s="3064"/>
      <c r="F9170" s="3064"/>
      <c r="G9170" s="3301" t="s">
        <v>676</v>
      </c>
      <c r="H9170" s="3063"/>
      <c r="I9170" s="3030"/>
    </row>
    <row r="9171" spans="2:9">
      <c r="B9171" s="3192" t="s">
        <v>677</v>
      </c>
      <c r="C9171" s="3063"/>
      <c r="D9171" s="3064"/>
      <c r="E9171" s="3064"/>
      <c r="F9171" s="3064"/>
      <c r="G9171" s="3301" t="s">
        <v>677</v>
      </c>
      <c r="H9171" s="3063"/>
      <c r="I9171" s="3030"/>
    </row>
    <row r="9172" spans="2:9">
      <c r="B9172" s="3192" t="s">
        <v>678</v>
      </c>
      <c r="C9172" s="3063"/>
      <c r="D9172" s="3064"/>
      <c r="E9172" s="3064"/>
      <c r="F9172" s="3064"/>
      <c r="G9172" s="3301" t="s">
        <v>678</v>
      </c>
      <c r="H9172" s="3063"/>
      <c r="I9172" s="3030"/>
    </row>
    <row r="9173" spans="2:9">
      <c r="B9173" s="3192" t="s">
        <v>679</v>
      </c>
      <c r="C9173" s="3063">
        <v>1</v>
      </c>
      <c r="D9173" s="3064"/>
      <c r="E9173" s="3064"/>
      <c r="F9173" s="3064"/>
      <c r="G9173" s="3301" t="s">
        <v>679</v>
      </c>
      <c r="H9173" s="3063"/>
      <c r="I9173" s="3030"/>
    </row>
    <row r="9174" spans="2:9" ht="25.5">
      <c r="B9174" s="3230" t="s">
        <v>81</v>
      </c>
      <c r="C9174" s="3063"/>
      <c r="D9174" s="3064"/>
      <c r="E9174" s="3064"/>
      <c r="F9174" s="3064"/>
      <c r="G9174" s="3302" t="s">
        <v>81</v>
      </c>
      <c r="H9174" s="3063"/>
      <c r="I9174" s="3030"/>
    </row>
    <row r="9175" spans="2:9" ht="26.25" thickBot="1">
      <c r="B9175" s="3303" t="s">
        <v>81</v>
      </c>
      <c r="C9175" s="3068"/>
      <c r="D9175" s="3069"/>
      <c r="E9175" s="3069"/>
      <c r="F9175" s="3069"/>
      <c r="G9175" s="3304" t="s">
        <v>81</v>
      </c>
      <c r="H9175" s="3068"/>
      <c r="I9175" s="3070"/>
    </row>
    <row r="9176" spans="2:9" ht="38.25">
      <c r="B9176" s="4723">
        <v>3214</v>
      </c>
      <c r="C9176" s="3289"/>
      <c r="D9176" s="3290"/>
      <c r="E9176" s="3290"/>
      <c r="F9176" s="3290"/>
      <c r="G9176" s="4723">
        <v>3214</v>
      </c>
      <c r="H9176" s="3291" t="s">
        <v>687</v>
      </c>
      <c r="I9176" s="3292" t="s">
        <v>688</v>
      </c>
    </row>
    <row r="9177" spans="2:9">
      <c r="B9177" s="4724"/>
      <c r="C9177" s="4678" t="s">
        <v>686</v>
      </c>
      <c r="D9177" s="4725"/>
      <c r="E9177" s="4725"/>
      <c r="F9177" s="4726"/>
      <c r="G9177" s="4724"/>
      <c r="H9177" s="3293"/>
      <c r="I9177" s="3294"/>
    </row>
    <row r="9178" spans="2:9" ht="13.5" thickBot="1">
      <c r="B9178" s="4724"/>
      <c r="C9178" s="3215">
        <v>2013</v>
      </c>
      <c r="D9178" s="3215">
        <v>2014</v>
      </c>
      <c r="E9178" s="3215">
        <v>2015</v>
      </c>
      <c r="F9178" s="3215">
        <v>2016</v>
      </c>
      <c r="G9178" s="4724"/>
      <c r="H9178" s="3295" t="s">
        <v>390</v>
      </c>
      <c r="I9178" s="3296" t="s">
        <v>390</v>
      </c>
    </row>
    <row r="9179" spans="2:9">
      <c r="B9179" s="3217" t="s">
        <v>695</v>
      </c>
      <c r="C9179" s="3218"/>
      <c r="D9179" s="3219"/>
      <c r="E9179" s="3219"/>
      <c r="F9179" s="3219"/>
      <c r="G9179" s="3217" t="s">
        <v>695</v>
      </c>
      <c r="H9179" s="3297"/>
      <c r="I9179" s="3298"/>
    </row>
    <row r="9180" spans="2:9">
      <c r="B9180" s="3299" t="s">
        <v>64</v>
      </c>
      <c r="C9180" s="3063"/>
      <c r="D9180" s="3064"/>
      <c r="E9180" s="3064"/>
      <c r="F9180" s="3064">
        <v>7</v>
      </c>
      <c r="G9180" s="3300" t="s">
        <v>64</v>
      </c>
      <c r="H9180" s="3063">
        <v>0.80904774323376438</v>
      </c>
      <c r="I9180" s="3030"/>
    </row>
    <row r="9181" spans="2:9" ht="25.5">
      <c r="B9181" s="3192" t="s">
        <v>675</v>
      </c>
      <c r="C9181" s="3063">
        <v>13</v>
      </c>
      <c r="D9181" s="3064">
        <v>3</v>
      </c>
      <c r="E9181" s="3064"/>
      <c r="F9181" s="3064"/>
      <c r="G9181" s="3301" t="s">
        <v>675</v>
      </c>
      <c r="H9181" s="3063"/>
      <c r="I9181" s="3030">
        <v>1.4383070990822477</v>
      </c>
    </row>
    <row r="9182" spans="2:9" ht="25.5">
      <c r="B9182" s="3192" t="s">
        <v>676</v>
      </c>
      <c r="C9182" s="3063"/>
      <c r="D9182" s="3064"/>
      <c r="E9182" s="3064"/>
      <c r="F9182" s="3064"/>
      <c r="G9182" s="3301" t="s">
        <v>676</v>
      </c>
      <c r="H9182" s="3063"/>
      <c r="I9182" s="3030"/>
    </row>
    <row r="9183" spans="2:9">
      <c r="B9183" s="3192" t="s">
        <v>677</v>
      </c>
      <c r="C9183" s="3063"/>
      <c r="D9183" s="3064"/>
      <c r="E9183" s="3064"/>
      <c r="F9183" s="3064"/>
      <c r="G9183" s="3301" t="s">
        <v>677</v>
      </c>
      <c r="H9183" s="3063"/>
      <c r="I9183" s="3030"/>
    </row>
    <row r="9184" spans="2:9">
      <c r="B9184" s="3192" t="s">
        <v>678</v>
      </c>
      <c r="C9184" s="3063">
        <v>1</v>
      </c>
      <c r="D9184" s="3064">
        <v>2</v>
      </c>
      <c r="E9184" s="3064"/>
      <c r="F9184" s="3064"/>
      <c r="G9184" s="3301" t="s">
        <v>678</v>
      </c>
      <c r="H9184" s="3063"/>
      <c r="I9184" s="3030"/>
    </row>
    <row r="9185" spans="2:9">
      <c r="B9185" s="3192" t="s">
        <v>679</v>
      </c>
      <c r="C9185" s="3063">
        <v>1</v>
      </c>
      <c r="D9185" s="3064"/>
      <c r="E9185" s="3064"/>
      <c r="F9185" s="3064"/>
      <c r="G9185" s="3301" t="s">
        <v>679</v>
      </c>
      <c r="H9185" s="3063"/>
      <c r="I9185" s="3030"/>
    </row>
    <row r="9186" spans="2:9" ht="25.5">
      <c r="B9186" s="3192" t="s">
        <v>720</v>
      </c>
      <c r="C9186" s="3063"/>
      <c r="D9186" s="3064"/>
      <c r="E9186" s="3064"/>
      <c r="F9186" s="3064"/>
      <c r="G9186" s="3301" t="s">
        <v>720</v>
      </c>
      <c r="H9186" s="3063"/>
      <c r="I9186" s="3030"/>
    </row>
    <row r="9187" spans="2:9">
      <c r="B9187" s="3299" t="s">
        <v>65</v>
      </c>
      <c r="C9187" s="3063"/>
      <c r="D9187" s="3064"/>
      <c r="E9187" s="3064"/>
      <c r="F9187" s="3064"/>
      <c r="G9187" s="3300" t="s">
        <v>65</v>
      </c>
      <c r="H9187" s="3063">
        <v>1.1947318651771404</v>
      </c>
      <c r="I9187" s="3030"/>
    </row>
    <row r="9188" spans="2:9" ht="25.5">
      <c r="B9188" s="3192" t="s">
        <v>675</v>
      </c>
      <c r="C9188" s="3063">
        <v>2</v>
      </c>
      <c r="D9188" s="3064"/>
      <c r="E9188" s="3064"/>
      <c r="F9188" s="3064"/>
      <c r="G9188" s="3301" t="s">
        <v>675</v>
      </c>
      <c r="H9188" s="3063"/>
      <c r="I9188" s="3030"/>
    </row>
    <row r="9189" spans="2:9" ht="25.5">
      <c r="B9189" s="3192" t="s">
        <v>676</v>
      </c>
      <c r="C9189" s="3063"/>
      <c r="D9189" s="3064"/>
      <c r="E9189" s="3064"/>
      <c r="F9189" s="3064"/>
      <c r="G9189" s="3301" t="s">
        <v>676</v>
      </c>
      <c r="H9189" s="3063"/>
      <c r="I9189" s="3030"/>
    </row>
    <row r="9190" spans="2:9">
      <c r="B9190" s="3192" t="s">
        <v>677</v>
      </c>
      <c r="C9190" s="3063"/>
      <c r="D9190" s="3064"/>
      <c r="E9190" s="3064"/>
      <c r="F9190" s="3064"/>
      <c r="G9190" s="3301" t="s">
        <v>677</v>
      </c>
      <c r="H9190" s="3063"/>
      <c r="I9190" s="3030"/>
    </row>
    <row r="9191" spans="2:9">
      <c r="B9191" s="3192" t="s">
        <v>678</v>
      </c>
      <c r="C9191" s="3063"/>
      <c r="D9191" s="3064"/>
      <c r="E9191" s="3064"/>
      <c r="F9191" s="3064"/>
      <c r="G9191" s="3301" t="s">
        <v>678</v>
      </c>
      <c r="H9191" s="3063"/>
      <c r="I9191" s="3030"/>
    </row>
    <row r="9192" spans="2:9">
      <c r="B9192" s="3192" t="s">
        <v>679</v>
      </c>
      <c r="C9192" s="3063"/>
      <c r="D9192" s="3064"/>
      <c r="E9192" s="3064"/>
      <c r="F9192" s="3064"/>
      <c r="G9192" s="3301" t="s">
        <v>679</v>
      </c>
      <c r="H9192" s="3063"/>
      <c r="I9192" s="3030"/>
    </row>
    <row r="9193" spans="2:9" ht="25.5">
      <c r="B9193" s="3192" t="s">
        <v>720</v>
      </c>
      <c r="C9193" s="3063"/>
      <c r="D9193" s="3064"/>
      <c r="E9193" s="3064"/>
      <c r="F9193" s="3064"/>
      <c r="G9193" s="3301" t="s">
        <v>720</v>
      </c>
      <c r="H9193" s="3063"/>
      <c r="I9193" s="3030"/>
    </row>
    <row r="9194" spans="2:9">
      <c r="B9194" s="3299" t="s">
        <v>82</v>
      </c>
      <c r="C9194" s="3063"/>
      <c r="D9194" s="3064"/>
      <c r="E9194" s="3064"/>
      <c r="F9194" s="3064"/>
      <c r="G9194" s="3300" t="s">
        <v>82</v>
      </c>
      <c r="H9194" s="3063"/>
      <c r="I9194" s="3030"/>
    </row>
    <row r="9195" spans="2:9" ht="25.5">
      <c r="B9195" s="3192" t="s">
        <v>675</v>
      </c>
      <c r="C9195" s="3063"/>
      <c r="D9195" s="3064"/>
      <c r="E9195" s="3064"/>
      <c r="F9195" s="3064"/>
      <c r="G9195" s="3301" t="s">
        <v>675</v>
      </c>
      <c r="H9195" s="3063"/>
      <c r="I9195" s="3030"/>
    </row>
    <row r="9196" spans="2:9" ht="25.5">
      <c r="B9196" s="3192" t="s">
        <v>676</v>
      </c>
      <c r="C9196" s="3063"/>
      <c r="D9196" s="3064"/>
      <c r="E9196" s="3064"/>
      <c r="F9196" s="3064"/>
      <c r="G9196" s="3301" t="s">
        <v>676</v>
      </c>
      <c r="H9196" s="3063"/>
      <c r="I9196" s="3030"/>
    </row>
    <row r="9197" spans="2:9">
      <c r="B9197" s="3192" t="s">
        <v>677</v>
      </c>
      <c r="C9197" s="3063"/>
      <c r="D9197" s="3064"/>
      <c r="E9197" s="3064"/>
      <c r="F9197" s="3064"/>
      <c r="G9197" s="3301" t="s">
        <v>677</v>
      </c>
      <c r="H9197" s="3063"/>
      <c r="I9197" s="3030"/>
    </row>
    <row r="9198" spans="2:9">
      <c r="B9198" s="3192" t="s">
        <v>678</v>
      </c>
      <c r="C9198" s="3063"/>
      <c r="D9198" s="3064"/>
      <c r="E9198" s="3064"/>
      <c r="F9198" s="3064"/>
      <c r="G9198" s="3301" t="s">
        <v>678</v>
      </c>
      <c r="H9198" s="3063"/>
      <c r="I9198" s="3030"/>
    </row>
    <row r="9199" spans="2:9">
      <c r="B9199" s="3192" t="s">
        <v>679</v>
      </c>
      <c r="C9199" s="3063"/>
      <c r="D9199" s="3064"/>
      <c r="E9199" s="3064"/>
      <c r="F9199" s="3064"/>
      <c r="G9199" s="3301" t="s">
        <v>679</v>
      </c>
      <c r="H9199" s="3063"/>
      <c r="I9199" s="3030"/>
    </row>
    <row r="9200" spans="2:9" ht="25.5">
      <c r="B9200" s="3192" t="s">
        <v>720</v>
      </c>
      <c r="C9200" s="3063"/>
      <c r="D9200" s="3064"/>
      <c r="E9200" s="3064"/>
      <c r="F9200" s="3064"/>
      <c r="G9200" s="3301" t="s">
        <v>720</v>
      </c>
      <c r="H9200" s="3063"/>
      <c r="I9200" s="3030"/>
    </row>
    <row r="9201" spans="2:9" ht="38.25">
      <c r="B9201" s="3299" t="s">
        <v>680</v>
      </c>
      <c r="C9201" s="3063"/>
      <c r="D9201" s="3064"/>
      <c r="E9201" s="3064"/>
      <c r="F9201" s="3064"/>
      <c r="G9201" s="3300" t="s">
        <v>680</v>
      </c>
      <c r="H9201" s="3063"/>
      <c r="I9201" s="3030"/>
    </row>
    <row r="9202" spans="2:9" ht="25.5">
      <c r="B9202" s="3192" t="s">
        <v>675</v>
      </c>
      <c r="C9202" s="3063"/>
      <c r="D9202" s="3064"/>
      <c r="E9202" s="3064"/>
      <c r="F9202" s="3064"/>
      <c r="G9202" s="3301" t="s">
        <v>675</v>
      </c>
      <c r="H9202" s="3063"/>
      <c r="I9202" s="3030"/>
    </row>
    <row r="9203" spans="2:9" ht="25.5">
      <c r="B9203" s="3192" t="s">
        <v>676</v>
      </c>
      <c r="C9203" s="3063"/>
      <c r="D9203" s="3064"/>
      <c r="E9203" s="3064"/>
      <c r="F9203" s="3064"/>
      <c r="G9203" s="3301" t="s">
        <v>676</v>
      </c>
      <c r="H9203" s="3063"/>
      <c r="I9203" s="3030"/>
    </row>
    <row r="9204" spans="2:9">
      <c r="B9204" s="3192" t="s">
        <v>677</v>
      </c>
      <c r="C9204" s="3063"/>
      <c r="D9204" s="3064"/>
      <c r="E9204" s="3064"/>
      <c r="F9204" s="3064"/>
      <c r="G9204" s="3301" t="s">
        <v>677</v>
      </c>
      <c r="H9204" s="3063"/>
      <c r="I9204" s="3030"/>
    </row>
    <row r="9205" spans="2:9">
      <c r="B9205" s="3192" t="s">
        <v>678</v>
      </c>
      <c r="C9205" s="3063"/>
      <c r="D9205" s="3064"/>
      <c r="E9205" s="3064"/>
      <c r="F9205" s="3064"/>
      <c r="G9205" s="3301" t="s">
        <v>678</v>
      </c>
      <c r="H9205" s="3063"/>
      <c r="I9205" s="3030"/>
    </row>
    <row r="9206" spans="2:9">
      <c r="B9206" s="3192" t="s">
        <v>679</v>
      </c>
      <c r="C9206" s="3063"/>
      <c r="D9206" s="3064"/>
      <c r="E9206" s="3064"/>
      <c r="F9206" s="3064"/>
      <c r="G9206" s="3301" t="s">
        <v>679</v>
      </c>
      <c r="H9206" s="3063"/>
      <c r="I9206" s="3030"/>
    </row>
    <row r="9207" spans="2:9" ht="25.5">
      <c r="B9207" s="3192" t="s">
        <v>720</v>
      </c>
      <c r="C9207" s="3063"/>
      <c r="D9207" s="3064"/>
      <c r="E9207" s="3064"/>
      <c r="F9207" s="3064"/>
      <c r="G9207" s="3301" t="s">
        <v>720</v>
      </c>
      <c r="H9207" s="3063"/>
      <c r="I9207" s="3030"/>
    </row>
    <row r="9208" spans="2:9" ht="38.25">
      <c r="B9208" s="3299" t="s">
        <v>681</v>
      </c>
      <c r="C9208" s="3063"/>
      <c r="D9208" s="3064"/>
      <c r="E9208" s="3064"/>
      <c r="F9208" s="3064"/>
      <c r="G9208" s="3300" t="s">
        <v>681</v>
      </c>
      <c r="H9208" s="3063"/>
      <c r="I9208" s="3030"/>
    </row>
    <row r="9209" spans="2:9" ht="25.5">
      <c r="B9209" s="3192" t="s">
        <v>675</v>
      </c>
      <c r="C9209" s="3063"/>
      <c r="D9209" s="3064"/>
      <c r="E9209" s="3064"/>
      <c r="F9209" s="3064"/>
      <c r="G9209" s="3301" t="s">
        <v>675</v>
      </c>
      <c r="H9209" s="3063"/>
      <c r="I9209" s="3030"/>
    </row>
    <row r="9210" spans="2:9" ht="25.5">
      <c r="B9210" s="3192" t="s">
        <v>676</v>
      </c>
      <c r="C9210" s="3063"/>
      <c r="D9210" s="3064"/>
      <c r="E9210" s="3064"/>
      <c r="F9210" s="3064"/>
      <c r="G9210" s="3301" t="s">
        <v>676</v>
      </c>
      <c r="H9210" s="3063"/>
      <c r="I9210" s="3030"/>
    </row>
    <row r="9211" spans="2:9">
      <c r="B9211" s="3192" t="s">
        <v>677</v>
      </c>
      <c r="C9211" s="3063"/>
      <c r="D9211" s="3064"/>
      <c r="E9211" s="3064"/>
      <c r="F9211" s="3064"/>
      <c r="G9211" s="3301" t="s">
        <v>677</v>
      </c>
      <c r="H9211" s="3063"/>
      <c r="I9211" s="3030"/>
    </row>
    <row r="9212" spans="2:9">
      <c r="B9212" s="3192" t="s">
        <v>678</v>
      </c>
      <c r="C9212" s="3063"/>
      <c r="D9212" s="3064"/>
      <c r="E9212" s="3064"/>
      <c r="F9212" s="3064"/>
      <c r="G9212" s="3301" t="s">
        <v>678</v>
      </c>
      <c r="H9212" s="3063"/>
      <c r="I9212" s="3030"/>
    </row>
    <row r="9213" spans="2:9">
      <c r="B9213" s="3192" t="s">
        <v>679</v>
      </c>
      <c r="C9213" s="3063"/>
      <c r="D9213" s="3064"/>
      <c r="E9213" s="3064"/>
      <c r="F9213" s="3064"/>
      <c r="G9213" s="3301" t="s">
        <v>679</v>
      </c>
      <c r="H9213" s="3063"/>
      <c r="I9213" s="3030"/>
    </row>
    <row r="9214" spans="2:9" ht="25.5">
      <c r="B9214" s="3192" t="s">
        <v>720</v>
      </c>
      <c r="C9214" s="3063"/>
      <c r="D9214" s="3064"/>
      <c r="E9214" s="3064"/>
      <c r="F9214" s="3064"/>
      <c r="G9214" s="3301" t="s">
        <v>720</v>
      </c>
      <c r="H9214" s="3063"/>
      <c r="I9214" s="3030"/>
    </row>
    <row r="9215" spans="2:9" ht="25.5">
      <c r="B9215" s="3299" t="s">
        <v>682</v>
      </c>
      <c r="C9215" s="3063"/>
      <c r="D9215" s="3064"/>
      <c r="E9215" s="3064"/>
      <c r="F9215" s="3064"/>
      <c r="G9215" s="3300" t="s">
        <v>682</v>
      </c>
      <c r="H9215" s="3063"/>
      <c r="I9215" s="3030"/>
    </row>
    <row r="9216" spans="2:9" ht="25.5">
      <c r="B9216" s="3192" t="s">
        <v>675</v>
      </c>
      <c r="C9216" s="3063"/>
      <c r="D9216" s="3064"/>
      <c r="E9216" s="3064"/>
      <c r="F9216" s="3064"/>
      <c r="G9216" s="3301" t="s">
        <v>675</v>
      </c>
      <c r="H9216" s="3063"/>
      <c r="I9216" s="3030"/>
    </row>
    <row r="9217" spans="2:9" ht="25.5">
      <c r="B9217" s="3192" t="s">
        <v>676</v>
      </c>
      <c r="C9217" s="3063"/>
      <c r="D9217" s="3064"/>
      <c r="E9217" s="3064"/>
      <c r="F9217" s="3064"/>
      <c r="G9217" s="3301" t="s">
        <v>676</v>
      </c>
      <c r="H9217" s="3063"/>
      <c r="I9217" s="3030"/>
    </row>
    <row r="9218" spans="2:9">
      <c r="B9218" s="3192" t="s">
        <v>677</v>
      </c>
      <c r="C9218" s="3063"/>
      <c r="D9218" s="3064"/>
      <c r="E9218" s="3064"/>
      <c r="F9218" s="3064"/>
      <c r="G9218" s="3301" t="s">
        <v>677</v>
      </c>
      <c r="H9218" s="3063"/>
      <c r="I9218" s="3030"/>
    </row>
    <row r="9219" spans="2:9">
      <c r="B9219" s="3192" t="s">
        <v>678</v>
      </c>
      <c r="C9219" s="3063"/>
      <c r="D9219" s="3064"/>
      <c r="E9219" s="3064"/>
      <c r="F9219" s="3064"/>
      <c r="G9219" s="3301" t="s">
        <v>678</v>
      </c>
      <c r="H9219" s="3063"/>
      <c r="I9219" s="3030"/>
    </row>
    <row r="9220" spans="2:9">
      <c r="B9220" s="3192" t="s">
        <v>679</v>
      </c>
      <c r="C9220" s="3063"/>
      <c r="D9220" s="3064"/>
      <c r="E9220" s="3064"/>
      <c r="F9220" s="3064"/>
      <c r="G9220" s="3301" t="s">
        <v>679</v>
      </c>
      <c r="H9220" s="3063"/>
      <c r="I9220" s="3030"/>
    </row>
    <row r="9221" spans="2:9" ht="25.5">
      <c r="B9221" s="3192" t="s">
        <v>720</v>
      </c>
      <c r="C9221" s="3063"/>
      <c r="D9221" s="3064"/>
      <c r="E9221" s="3064"/>
      <c r="F9221" s="3064"/>
      <c r="G9221" s="3301" t="s">
        <v>720</v>
      </c>
      <c r="H9221" s="3063"/>
      <c r="I9221" s="3030"/>
    </row>
    <row r="9222" spans="2:9" ht="25.5">
      <c r="B9222" s="3299" t="s">
        <v>66</v>
      </c>
      <c r="C9222" s="3063"/>
      <c r="D9222" s="3064"/>
      <c r="E9222" s="3064"/>
      <c r="F9222" s="3064"/>
      <c r="G9222" s="3300" t="s">
        <v>66</v>
      </c>
      <c r="H9222" s="3063"/>
      <c r="I9222" s="3030"/>
    </row>
    <row r="9223" spans="2:9" ht="25.5">
      <c r="B9223" s="3192" t="s">
        <v>675</v>
      </c>
      <c r="C9223" s="3063"/>
      <c r="D9223" s="3064"/>
      <c r="E9223" s="3064"/>
      <c r="F9223" s="3064"/>
      <c r="G9223" s="3301" t="s">
        <v>675</v>
      </c>
      <c r="H9223" s="3063"/>
      <c r="I9223" s="3030"/>
    </row>
    <row r="9224" spans="2:9" ht="25.5">
      <c r="B9224" s="3192" t="s">
        <v>676</v>
      </c>
      <c r="C9224" s="3063"/>
      <c r="D9224" s="3064"/>
      <c r="E9224" s="3064"/>
      <c r="F9224" s="3064"/>
      <c r="G9224" s="3301" t="s">
        <v>676</v>
      </c>
      <c r="H9224" s="3063"/>
      <c r="I9224" s="3030"/>
    </row>
    <row r="9225" spans="2:9">
      <c r="B9225" s="3192" t="s">
        <v>677</v>
      </c>
      <c r="C9225" s="3063"/>
      <c r="D9225" s="3064"/>
      <c r="E9225" s="3064"/>
      <c r="F9225" s="3064"/>
      <c r="G9225" s="3301" t="s">
        <v>677</v>
      </c>
      <c r="H9225" s="3063"/>
      <c r="I9225" s="3030"/>
    </row>
    <row r="9226" spans="2:9">
      <c r="B9226" s="3192" t="s">
        <v>678</v>
      </c>
      <c r="C9226" s="3063"/>
      <c r="D9226" s="3064"/>
      <c r="E9226" s="3064"/>
      <c r="F9226" s="3064"/>
      <c r="G9226" s="3301" t="s">
        <v>678</v>
      </c>
      <c r="H9226" s="3063"/>
      <c r="I9226" s="3030"/>
    </row>
    <row r="9227" spans="2:9">
      <c r="B9227" s="3192" t="s">
        <v>679</v>
      </c>
      <c r="C9227" s="3063"/>
      <c r="D9227" s="3064"/>
      <c r="E9227" s="3064"/>
      <c r="F9227" s="3064"/>
      <c r="G9227" s="3301" t="s">
        <v>679</v>
      </c>
      <c r="H9227" s="3063"/>
      <c r="I9227" s="3030"/>
    </row>
    <row r="9228" spans="2:9" ht="25.5">
      <c r="B9228" s="3192" t="s">
        <v>720</v>
      </c>
      <c r="C9228" s="3063"/>
      <c r="D9228" s="3064"/>
      <c r="E9228" s="3064"/>
      <c r="F9228" s="3064"/>
      <c r="G9228" s="3301" t="s">
        <v>720</v>
      </c>
      <c r="H9228" s="3063"/>
      <c r="I9228" s="3030"/>
    </row>
    <row r="9229" spans="2:9">
      <c r="B9229" s="3299" t="s">
        <v>67</v>
      </c>
      <c r="C9229" s="3063"/>
      <c r="D9229" s="3064"/>
      <c r="E9229" s="3064"/>
      <c r="F9229" s="3064"/>
      <c r="G9229" s="3300" t="s">
        <v>67</v>
      </c>
      <c r="H9229" s="3063"/>
      <c r="I9229" s="3030"/>
    </row>
    <row r="9230" spans="2:9" ht="25.5">
      <c r="B9230" s="3192" t="s">
        <v>675</v>
      </c>
      <c r="C9230" s="3063"/>
      <c r="D9230" s="3064"/>
      <c r="E9230" s="3064"/>
      <c r="F9230" s="3064"/>
      <c r="G9230" s="3301" t="s">
        <v>675</v>
      </c>
      <c r="H9230" s="3063"/>
      <c r="I9230" s="3030"/>
    </row>
    <row r="9231" spans="2:9" ht="25.5">
      <c r="B9231" s="3192" t="s">
        <v>676</v>
      </c>
      <c r="C9231" s="3063"/>
      <c r="D9231" s="3064"/>
      <c r="E9231" s="3064"/>
      <c r="F9231" s="3064"/>
      <c r="G9231" s="3301" t="s">
        <v>676</v>
      </c>
      <c r="H9231" s="3063"/>
      <c r="I9231" s="3030"/>
    </row>
    <row r="9232" spans="2:9">
      <c r="B9232" s="3192" t="s">
        <v>677</v>
      </c>
      <c r="C9232" s="3063"/>
      <c r="D9232" s="3064"/>
      <c r="E9232" s="3064"/>
      <c r="F9232" s="3064"/>
      <c r="G9232" s="3301" t="s">
        <v>677</v>
      </c>
      <c r="H9232" s="3063"/>
      <c r="I9232" s="3030"/>
    </row>
    <row r="9233" spans="2:9">
      <c r="B9233" s="3192" t="s">
        <v>678</v>
      </c>
      <c r="C9233" s="3063"/>
      <c r="D9233" s="3064"/>
      <c r="E9233" s="3064"/>
      <c r="F9233" s="3064"/>
      <c r="G9233" s="3301" t="s">
        <v>678</v>
      </c>
      <c r="H9233" s="3063"/>
      <c r="I9233" s="3030"/>
    </row>
    <row r="9234" spans="2:9">
      <c r="B9234" s="3192" t="s">
        <v>679</v>
      </c>
      <c r="C9234" s="3063"/>
      <c r="D9234" s="3064"/>
      <c r="E9234" s="3064"/>
      <c r="F9234" s="3064"/>
      <c r="G9234" s="3301" t="s">
        <v>679</v>
      </c>
      <c r="H9234" s="3063"/>
      <c r="I9234" s="3030"/>
    </row>
    <row r="9235" spans="2:9" ht="25.5">
      <c r="B9235" s="3192" t="s">
        <v>720</v>
      </c>
      <c r="C9235" s="3063"/>
      <c r="D9235" s="3064"/>
      <c r="E9235" s="3064"/>
      <c r="F9235" s="3064"/>
      <c r="G9235" s="3301" t="s">
        <v>720</v>
      </c>
      <c r="H9235" s="3063"/>
      <c r="I9235" s="3030"/>
    </row>
    <row r="9236" spans="2:9" ht="25.5">
      <c r="B9236" s="3230" t="s">
        <v>81</v>
      </c>
      <c r="C9236" s="3063"/>
      <c r="D9236" s="3064"/>
      <c r="E9236" s="3064"/>
      <c r="F9236" s="3064"/>
      <c r="G9236" s="3302" t="s">
        <v>81</v>
      </c>
      <c r="H9236" s="3063"/>
      <c r="I9236" s="3030"/>
    </row>
    <row r="9237" spans="2:9" ht="26.25" thickBot="1">
      <c r="B9237" s="3303" t="s">
        <v>81</v>
      </c>
      <c r="C9237" s="3063"/>
      <c r="D9237" s="3064"/>
      <c r="E9237" s="3064"/>
      <c r="F9237" s="3064"/>
      <c r="G9237" s="3302" t="s">
        <v>81</v>
      </c>
      <c r="H9237" s="3063"/>
      <c r="I9237" s="3030"/>
    </row>
    <row r="9238" spans="2:9" ht="25.5">
      <c r="B9238" s="3217" t="s">
        <v>696</v>
      </c>
      <c r="C9238" s="3218"/>
      <c r="D9238" s="3219"/>
      <c r="E9238" s="3219"/>
      <c r="F9238" s="3219"/>
      <c r="G9238" s="3217" t="s">
        <v>696</v>
      </c>
      <c r="H9238" s="3297"/>
      <c r="I9238" s="3298"/>
    </row>
    <row r="9239" spans="2:9">
      <c r="B9239" s="3299" t="s">
        <v>64</v>
      </c>
      <c r="C9239" s="3063"/>
      <c r="D9239" s="3064"/>
      <c r="E9239" s="3064"/>
      <c r="F9239" s="3064"/>
      <c r="G9239" s="3300" t="s">
        <v>64</v>
      </c>
      <c r="H9239" s="3063"/>
      <c r="I9239" s="3030"/>
    </row>
    <row r="9240" spans="2:9" ht="25.5">
      <c r="B9240" s="3192" t="s">
        <v>675</v>
      </c>
      <c r="C9240" s="3063"/>
      <c r="D9240" s="3064"/>
      <c r="E9240" s="3064"/>
      <c r="F9240" s="3064"/>
      <c r="G9240" s="3301" t="s">
        <v>675</v>
      </c>
      <c r="H9240" s="3063"/>
      <c r="I9240" s="3030"/>
    </row>
    <row r="9241" spans="2:9" ht="25.5">
      <c r="B9241" s="3192" t="s">
        <v>676</v>
      </c>
      <c r="C9241" s="3063"/>
      <c r="D9241" s="3064"/>
      <c r="E9241" s="3064"/>
      <c r="F9241" s="3064"/>
      <c r="G9241" s="3301" t="s">
        <v>676</v>
      </c>
      <c r="H9241" s="3063"/>
      <c r="I9241" s="3030"/>
    </row>
    <row r="9242" spans="2:9">
      <c r="B9242" s="3192" t="s">
        <v>677</v>
      </c>
      <c r="C9242" s="3063"/>
      <c r="D9242" s="3064"/>
      <c r="E9242" s="3064"/>
      <c r="F9242" s="3064"/>
      <c r="G9242" s="3301" t="s">
        <v>677</v>
      </c>
      <c r="H9242" s="3063"/>
      <c r="I9242" s="3030"/>
    </row>
    <row r="9243" spans="2:9">
      <c r="B9243" s="3192" t="s">
        <v>678</v>
      </c>
      <c r="C9243" s="3063"/>
      <c r="D9243" s="3064"/>
      <c r="E9243" s="3064"/>
      <c r="F9243" s="3064"/>
      <c r="G9243" s="3301" t="s">
        <v>678</v>
      </c>
      <c r="H9243" s="3063"/>
      <c r="I9243" s="3030"/>
    </row>
    <row r="9244" spans="2:9">
      <c r="B9244" s="3192" t="s">
        <v>679</v>
      </c>
      <c r="C9244" s="3063"/>
      <c r="D9244" s="3064"/>
      <c r="E9244" s="3064"/>
      <c r="F9244" s="3064"/>
      <c r="G9244" s="3301" t="s">
        <v>679</v>
      </c>
      <c r="H9244" s="3063"/>
      <c r="I9244" s="3030"/>
    </row>
    <row r="9245" spans="2:9" ht="25.5">
      <c r="B9245" s="3192" t="s">
        <v>720</v>
      </c>
      <c r="C9245" s="3063"/>
      <c r="D9245" s="3064"/>
      <c r="E9245" s="3064"/>
      <c r="F9245" s="3064"/>
      <c r="G9245" s="3301" t="s">
        <v>720</v>
      </c>
      <c r="H9245" s="3063"/>
      <c r="I9245" s="3030"/>
    </row>
    <row r="9246" spans="2:9">
      <c r="B9246" s="3299" t="s">
        <v>65</v>
      </c>
      <c r="C9246" s="3063"/>
      <c r="D9246" s="3064"/>
      <c r="E9246" s="3064"/>
      <c r="F9246" s="3064"/>
      <c r="G9246" s="3300" t="s">
        <v>65</v>
      </c>
      <c r="H9246" s="3063"/>
      <c r="I9246" s="3030"/>
    </row>
    <row r="9247" spans="2:9" ht="25.5">
      <c r="B9247" s="3192" t="s">
        <v>675</v>
      </c>
      <c r="C9247" s="3063"/>
      <c r="D9247" s="3064"/>
      <c r="E9247" s="3064"/>
      <c r="F9247" s="3064"/>
      <c r="G9247" s="3301" t="s">
        <v>675</v>
      </c>
      <c r="H9247" s="3063"/>
      <c r="I9247" s="3030"/>
    </row>
    <row r="9248" spans="2:9" ht="25.5">
      <c r="B9248" s="3192" t="s">
        <v>676</v>
      </c>
      <c r="C9248" s="3063"/>
      <c r="D9248" s="3064"/>
      <c r="E9248" s="3064"/>
      <c r="F9248" s="3064"/>
      <c r="G9248" s="3301" t="s">
        <v>676</v>
      </c>
      <c r="H9248" s="3063"/>
      <c r="I9248" s="3030"/>
    </row>
    <row r="9249" spans="2:9">
      <c r="B9249" s="3192" t="s">
        <v>677</v>
      </c>
      <c r="C9249" s="3063"/>
      <c r="D9249" s="3064"/>
      <c r="E9249" s="3064"/>
      <c r="F9249" s="3064"/>
      <c r="G9249" s="3301" t="s">
        <v>677</v>
      </c>
      <c r="H9249" s="3063"/>
      <c r="I9249" s="3030"/>
    </row>
    <row r="9250" spans="2:9">
      <c r="B9250" s="3192" t="s">
        <v>678</v>
      </c>
      <c r="C9250" s="3063"/>
      <c r="D9250" s="3064"/>
      <c r="E9250" s="3064"/>
      <c r="F9250" s="3064"/>
      <c r="G9250" s="3301" t="s">
        <v>678</v>
      </c>
      <c r="H9250" s="3063"/>
      <c r="I9250" s="3030"/>
    </row>
    <row r="9251" spans="2:9">
      <c r="B9251" s="3192" t="s">
        <v>679</v>
      </c>
      <c r="C9251" s="3063"/>
      <c r="D9251" s="3064"/>
      <c r="E9251" s="3064"/>
      <c r="F9251" s="3064"/>
      <c r="G9251" s="3301" t="s">
        <v>679</v>
      </c>
      <c r="H9251" s="3063"/>
      <c r="I9251" s="3030"/>
    </row>
    <row r="9252" spans="2:9" ht="25.5">
      <c r="B9252" s="3192" t="s">
        <v>720</v>
      </c>
      <c r="C9252" s="3063"/>
      <c r="D9252" s="3064"/>
      <c r="E9252" s="3064"/>
      <c r="F9252" s="3064"/>
      <c r="G9252" s="3301" t="s">
        <v>720</v>
      </c>
      <c r="H9252" s="3063"/>
      <c r="I9252" s="3030"/>
    </row>
    <row r="9253" spans="2:9">
      <c r="B9253" s="3299" t="s">
        <v>82</v>
      </c>
      <c r="C9253" s="3063"/>
      <c r="D9253" s="3064"/>
      <c r="E9253" s="3064"/>
      <c r="F9253" s="3064"/>
      <c r="G9253" s="3300" t="s">
        <v>82</v>
      </c>
      <c r="H9253" s="3063"/>
      <c r="I9253" s="3030"/>
    </row>
    <row r="9254" spans="2:9" ht="25.5">
      <c r="B9254" s="3192" t="s">
        <v>675</v>
      </c>
      <c r="C9254" s="3063"/>
      <c r="D9254" s="3064"/>
      <c r="E9254" s="3064"/>
      <c r="F9254" s="3064"/>
      <c r="G9254" s="3301" t="s">
        <v>675</v>
      </c>
      <c r="H9254" s="3063"/>
      <c r="I9254" s="3030"/>
    </row>
    <row r="9255" spans="2:9" ht="25.5">
      <c r="B9255" s="3192" t="s">
        <v>676</v>
      </c>
      <c r="C9255" s="3063"/>
      <c r="D9255" s="3064"/>
      <c r="E9255" s="3064"/>
      <c r="F9255" s="3064"/>
      <c r="G9255" s="3301" t="s">
        <v>676</v>
      </c>
      <c r="H9255" s="3063"/>
      <c r="I9255" s="3030"/>
    </row>
    <row r="9256" spans="2:9">
      <c r="B9256" s="3192" t="s">
        <v>677</v>
      </c>
      <c r="C9256" s="3063"/>
      <c r="D9256" s="3064"/>
      <c r="E9256" s="3064"/>
      <c r="F9256" s="3064"/>
      <c r="G9256" s="3301" t="s">
        <v>677</v>
      </c>
      <c r="H9256" s="3063"/>
      <c r="I9256" s="3030"/>
    </row>
    <row r="9257" spans="2:9">
      <c r="B9257" s="3192" t="s">
        <v>678</v>
      </c>
      <c r="C9257" s="3063"/>
      <c r="D9257" s="3064"/>
      <c r="E9257" s="3064"/>
      <c r="F9257" s="3064"/>
      <c r="G9257" s="3301" t="s">
        <v>678</v>
      </c>
      <c r="H9257" s="3063"/>
      <c r="I9257" s="3030"/>
    </row>
    <row r="9258" spans="2:9">
      <c r="B9258" s="3192" t="s">
        <v>679</v>
      </c>
      <c r="C9258" s="3063"/>
      <c r="D9258" s="3064"/>
      <c r="E9258" s="3064"/>
      <c r="F9258" s="3064"/>
      <c r="G9258" s="3301" t="s">
        <v>679</v>
      </c>
      <c r="H9258" s="3063"/>
      <c r="I9258" s="3030"/>
    </row>
    <row r="9259" spans="2:9" ht="25.5">
      <c r="B9259" s="3192" t="s">
        <v>720</v>
      </c>
      <c r="C9259" s="3063"/>
      <c r="D9259" s="3064"/>
      <c r="E9259" s="3064"/>
      <c r="F9259" s="3064"/>
      <c r="G9259" s="3301" t="s">
        <v>720</v>
      </c>
      <c r="H9259" s="3063"/>
      <c r="I9259" s="3030"/>
    </row>
    <row r="9260" spans="2:9" ht="38.25">
      <c r="B9260" s="3299" t="s">
        <v>680</v>
      </c>
      <c r="C9260" s="3063"/>
      <c r="D9260" s="3064"/>
      <c r="E9260" s="3064"/>
      <c r="F9260" s="3064"/>
      <c r="G9260" s="3300" t="s">
        <v>680</v>
      </c>
      <c r="H9260" s="3063"/>
      <c r="I9260" s="3030"/>
    </row>
    <row r="9261" spans="2:9" ht="25.5">
      <c r="B9261" s="3192" t="s">
        <v>675</v>
      </c>
      <c r="C9261" s="3063"/>
      <c r="D9261" s="3064"/>
      <c r="E9261" s="3064"/>
      <c r="F9261" s="3064"/>
      <c r="G9261" s="3301" t="s">
        <v>675</v>
      </c>
      <c r="H9261" s="3063"/>
      <c r="I9261" s="3030"/>
    </row>
    <row r="9262" spans="2:9" ht="25.5">
      <c r="B9262" s="3192" t="s">
        <v>676</v>
      </c>
      <c r="C9262" s="3063"/>
      <c r="D9262" s="3064"/>
      <c r="E9262" s="3064"/>
      <c r="F9262" s="3064"/>
      <c r="G9262" s="3301" t="s">
        <v>676</v>
      </c>
      <c r="H9262" s="3063"/>
      <c r="I9262" s="3030"/>
    </row>
    <row r="9263" spans="2:9">
      <c r="B9263" s="3192" t="s">
        <v>677</v>
      </c>
      <c r="C9263" s="3063"/>
      <c r="D9263" s="3064"/>
      <c r="E9263" s="3064"/>
      <c r="F9263" s="3064"/>
      <c r="G9263" s="3301" t="s">
        <v>677</v>
      </c>
      <c r="H9263" s="3063"/>
      <c r="I9263" s="3030"/>
    </row>
    <row r="9264" spans="2:9">
      <c r="B9264" s="3192" t="s">
        <v>678</v>
      </c>
      <c r="C9264" s="3063"/>
      <c r="D9264" s="3064"/>
      <c r="E9264" s="3064"/>
      <c r="F9264" s="3064"/>
      <c r="G9264" s="3301" t="s">
        <v>678</v>
      </c>
      <c r="H9264" s="3063"/>
      <c r="I9264" s="3030"/>
    </row>
    <row r="9265" spans="2:9">
      <c r="B9265" s="3192" t="s">
        <v>679</v>
      </c>
      <c r="C9265" s="3063"/>
      <c r="D9265" s="3064"/>
      <c r="E9265" s="3064"/>
      <c r="F9265" s="3064"/>
      <c r="G9265" s="3301" t="s">
        <v>679</v>
      </c>
      <c r="H9265" s="3063"/>
      <c r="I9265" s="3030"/>
    </row>
    <row r="9266" spans="2:9" ht="25.5">
      <c r="B9266" s="3192" t="s">
        <v>720</v>
      </c>
      <c r="C9266" s="3063"/>
      <c r="D9266" s="3064"/>
      <c r="E9266" s="3064"/>
      <c r="F9266" s="3064"/>
      <c r="G9266" s="3301" t="s">
        <v>720</v>
      </c>
      <c r="H9266" s="3063"/>
      <c r="I9266" s="3030"/>
    </row>
    <row r="9267" spans="2:9" ht="38.25">
      <c r="B9267" s="3299" t="s">
        <v>681</v>
      </c>
      <c r="C9267" s="3063"/>
      <c r="D9267" s="3064"/>
      <c r="E9267" s="3064"/>
      <c r="F9267" s="3064"/>
      <c r="G9267" s="3300" t="s">
        <v>681</v>
      </c>
      <c r="H9267" s="3063"/>
      <c r="I9267" s="3030"/>
    </row>
    <row r="9268" spans="2:9" ht="25.5">
      <c r="B9268" s="3192" t="s">
        <v>675</v>
      </c>
      <c r="C9268" s="3063"/>
      <c r="D9268" s="3064"/>
      <c r="E9268" s="3064"/>
      <c r="F9268" s="3064"/>
      <c r="G9268" s="3301" t="s">
        <v>675</v>
      </c>
      <c r="H9268" s="3063"/>
      <c r="I9268" s="3030"/>
    </row>
    <row r="9269" spans="2:9" ht="25.5">
      <c r="B9269" s="3192" t="s">
        <v>676</v>
      </c>
      <c r="C9269" s="3063"/>
      <c r="D9269" s="3064"/>
      <c r="E9269" s="3064"/>
      <c r="F9269" s="3064"/>
      <c r="G9269" s="3301" t="s">
        <v>676</v>
      </c>
      <c r="H9269" s="3063"/>
      <c r="I9269" s="3030"/>
    </row>
    <row r="9270" spans="2:9">
      <c r="B9270" s="3192" t="s">
        <v>677</v>
      </c>
      <c r="C9270" s="3063"/>
      <c r="D9270" s="3064"/>
      <c r="E9270" s="3064"/>
      <c r="F9270" s="3064"/>
      <c r="G9270" s="3301" t="s">
        <v>677</v>
      </c>
      <c r="H9270" s="3063"/>
      <c r="I9270" s="3030"/>
    </row>
    <row r="9271" spans="2:9">
      <c r="B9271" s="3192" t="s">
        <v>678</v>
      </c>
      <c r="C9271" s="3063"/>
      <c r="D9271" s="3064"/>
      <c r="E9271" s="3064"/>
      <c r="F9271" s="3064"/>
      <c r="G9271" s="3301" t="s">
        <v>678</v>
      </c>
      <c r="H9271" s="3063"/>
      <c r="I9271" s="3030"/>
    </row>
    <row r="9272" spans="2:9">
      <c r="B9272" s="3192" t="s">
        <v>679</v>
      </c>
      <c r="C9272" s="3063"/>
      <c r="D9272" s="3064"/>
      <c r="E9272" s="3064"/>
      <c r="F9272" s="3064"/>
      <c r="G9272" s="3301" t="s">
        <v>679</v>
      </c>
      <c r="H9272" s="3063"/>
      <c r="I9272" s="3030"/>
    </row>
    <row r="9273" spans="2:9" ht="25.5">
      <c r="B9273" s="3192" t="s">
        <v>720</v>
      </c>
      <c r="C9273" s="3063"/>
      <c r="D9273" s="3064"/>
      <c r="E9273" s="3064"/>
      <c r="F9273" s="3064"/>
      <c r="G9273" s="3301" t="s">
        <v>720</v>
      </c>
      <c r="H9273" s="3063"/>
      <c r="I9273" s="3030"/>
    </row>
    <row r="9274" spans="2:9" ht="25.5">
      <c r="B9274" s="3299" t="s">
        <v>682</v>
      </c>
      <c r="C9274" s="3063"/>
      <c r="D9274" s="3064"/>
      <c r="E9274" s="3064"/>
      <c r="F9274" s="3064"/>
      <c r="G9274" s="3300" t="s">
        <v>682</v>
      </c>
      <c r="H9274" s="3063"/>
      <c r="I9274" s="3030"/>
    </row>
    <row r="9275" spans="2:9" ht="25.5">
      <c r="B9275" s="3192" t="s">
        <v>675</v>
      </c>
      <c r="C9275" s="3063"/>
      <c r="D9275" s="3064"/>
      <c r="E9275" s="3064"/>
      <c r="F9275" s="3064"/>
      <c r="G9275" s="3301" t="s">
        <v>675</v>
      </c>
      <c r="H9275" s="3063"/>
      <c r="I9275" s="3030"/>
    </row>
    <row r="9276" spans="2:9" ht="25.5">
      <c r="B9276" s="3192" t="s">
        <v>676</v>
      </c>
      <c r="C9276" s="3063"/>
      <c r="D9276" s="3064"/>
      <c r="E9276" s="3064"/>
      <c r="F9276" s="3064"/>
      <c r="G9276" s="3301" t="s">
        <v>676</v>
      </c>
      <c r="H9276" s="3063"/>
      <c r="I9276" s="3030"/>
    </row>
    <row r="9277" spans="2:9">
      <c r="B9277" s="3192" t="s">
        <v>677</v>
      </c>
      <c r="C9277" s="3063"/>
      <c r="D9277" s="3064"/>
      <c r="E9277" s="3064"/>
      <c r="F9277" s="3064"/>
      <c r="G9277" s="3301" t="s">
        <v>677</v>
      </c>
      <c r="H9277" s="3063"/>
      <c r="I9277" s="3030"/>
    </row>
    <row r="9278" spans="2:9">
      <c r="B9278" s="3192" t="s">
        <v>678</v>
      </c>
      <c r="C9278" s="3063"/>
      <c r="D9278" s="3064"/>
      <c r="E9278" s="3064"/>
      <c r="F9278" s="3064"/>
      <c r="G9278" s="3301" t="s">
        <v>678</v>
      </c>
      <c r="H9278" s="3063"/>
      <c r="I9278" s="3030"/>
    </row>
    <row r="9279" spans="2:9">
      <c r="B9279" s="3192" t="s">
        <v>679</v>
      </c>
      <c r="C9279" s="3063"/>
      <c r="D9279" s="3064"/>
      <c r="E9279" s="3064"/>
      <c r="F9279" s="3064"/>
      <c r="G9279" s="3301" t="s">
        <v>679</v>
      </c>
      <c r="H9279" s="3063"/>
      <c r="I9279" s="3030"/>
    </row>
    <row r="9280" spans="2:9" ht="25.5">
      <c r="B9280" s="3192" t="s">
        <v>720</v>
      </c>
      <c r="C9280" s="3063"/>
      <c r="D9280" s="3064"/>
      <c r="E9280" s="3064"/>
      <c r="F9280" s="3064"/>
      <c r="G9280" s="3301" t="s">
        <v>720</v>
      </c>
      <c r="H9280" s="3063"/>
      <c r="I9280" s="3030"/>
    </row>
    <row r="9281" spans="2:9" ht="25.5">
      <c r="B9281" s="3299" t="s">
        <v>66</v>
      </c>
      <c r="C9281" s="3063"/>
      <c r="D9281" s="3064"/>
      <c r="E9281" s="3064"/>
      <c r="F9281" s="3064"/>
      <c r="G9281" s="3300" t="s">
        <v>66</v>
      </c>
      <c r="H9281" s="3063"/>
      <c r="I9281" s="3030"/>
    </row>
    <row r="9282" spans="2:9" ht="25.5">
      <c r="B9282" s="3192" t="s">
        <v>675</v>
      </c>
      <c r="C9282" s="3063"/>
      <c r="D9282" s="3064"/>
      <c r="E9282" s="3064"/>
      <c r="F9282" s="3064"/>
      <c r="G9282" s="3301" t="s">
        <v>675</v>
      </c>
      <c r="H9282" s="3063"/>
      <c r="I9282" s="3030"/>
    </row>
    <row r="9283" spans="2:9" ht="25.5">
      <c r="B9283" s="3192" t="s">
        <v>676</v>
      </c>
      <c r="C9283" s="3063"/>
      <c r="D9283" s="3064"/>
      <c r="E9283" s="3064"/>
      <c r="F9283" s="3064"/>
      <c r="G9283" s="3301" t="s">
        <v>676</v>
      </c>
      <c r="H9283" s="3063"/>
      <c r="I9283" s="3030"/>
    </row>
    <row r="9284" spans="2:9">
      <c r="B9284" s="3192" t="s">
        <v>677</v>
      </c>
      <c r="C9284" s="3063"/>
      <c r="D9284" s="3064"/>
      <c r="E9284" s="3064"/>
      <c r="F9284" s="3064"/>
      <c r="G9284" s="3301" t="s">
        <v>677</v>
      </c>
      <c r="H9284" s="3063"/>
      <c r="I9284" s="3030"/>
    </row>
    <row r="9285" spans="2:9">
      <c r="B9285" s="3192" t="s">
        <v>678</v>
      </c>
      <c r="C9285" s="3063"/>
      <c r="D9285" s="3064"/>
      <c r="E9285" s="3064"/>
      <c r="F9285" s="3064"/>
      <c r="G9285" s="3301" t="s">
        <v>678</v>
      </c>
      <c r="H9285" s="3063"/>
      <c r="I9285" s="3030"/>
    </row>
    <row r="9286" spans="2:9">
      <c r="B9286" s="3192" t="s">
        <v>679</v>
      </c>
      <c r="C9286" s="3063"/>
      <c r="D9286" s="3064"/>
      <c r="E9286" s="3064"/>
      <c r="F9286" s="3064"/>
      <c r="G9286" s="3301" t="s">
        <v>679</v>
      </c>
      <c r="H9286" s="3063"/>
      <c r="I9286" s="3030"/>
    </row>
    <row r="9287" spans="2:9" ht="25.5">
      <c r="B9287" s="3192" t="s">
        <v>720</v>
      </c>
      <c r="C9287" s="3063"/>
      <c r="D9287" s="3064"/>
      <c r="E9287" s="3064"/>
      <c r="F9287" s="3064"/>
      <c r="G9287" s="3301" t="s">
        <v>720</v>
      </c>
      <c r="H9287" s="3063"/>
      <c r="I9287" s="3030"/>
    </row>
    <row r="9288" spans="2:9">
      <c r="B9288" s="3299" t="s">
        <v>67</v>
      </c>
      <c r="C9288" s="3063"/>
      <c r="D9288" s="3064"/>
      <c r="E9288" s="3064"/>
      <c r="F9288" s="3064"/>
      <c r="G9288" s="3300" t="s">
        <v>67</v>
      </c>
      <c r="H9288" s="3063"/>
      <c r="I9288" s="3030"/>
    </row>
    <row r="9289" spans="2:9" ht="25.5">
      <c r="B9289" s="3192" t="s">
        <v>675</v>
      </c>
      <c r="C9289" s="3063"/>
      <c r="D9289" s="3064"/>
      <c r="E9289" s="3064"/>
      <c r="F9289" s="3064"/>
      <c r="G9289" s="3301" t="s">
        <v>675</v>
      </c>
      <c r="H9289" s="3063"/>
      <c r="I9289" s="3030"/>
    </row>
    <row r="9290" spans="2:9" ht="25.5">
      <c r="B9290" s="3192" t="s">
        <v>676</v>
      </c>
      <c r="C9290" s="3063"/>
      <c r="D9290" s="3064"/>
      <c r="E9290" s="3064"/>
      <c r="F9290" s="3064"/>
      <c r="G9290" s="3301" t="s">
        <v>676</v>
      </c>
      <c r="H9290" s="3063"/>
      <c r="I9290" s="3030"/>
    </row>
    <row r="9291" spans="2:9">
      <c r="B9291" s="3192" t="s">
        <v>677</v>
      </c>
      <c r="C9291" s="3063"/>
      <c r="D9291" s="3064"/>
      <c r="E9291" s="3064"/>
      <c r="F9291" s="3064"/>
      <c r="G9291" s="3301" t="s">
        <v>677</v>
      </c>
      <c r="H9291" s="3063"/>
      <c r="I9291" s="3030"/>
    </row>
    <row r="9292" spans="2:9">
      <c r="B9292" s="3192" t="s">
        <v>678</v>
      </c>
      <c r="C9292" s="3063"/>
      <c r="D9292" s="3064"/>
      <c r="E9292" s="3064"/>
      <c r="F9292" s="3064"/>
      <c r="G9292" s="3301" t="s">
        <v>678</v>
      </c>
      <c r="H9292" s="3063"/>
      <c r="I9292" s="3030"/>
    </row>
    <row r="9293" spans="2:9">
      <c r="B9293" s="3192" t="s">
        <v>679</v>
      </c>
      <c r="C9293" s="3063"/>
      <c r="D9293" s="3064"/>
      <c r="E9293" s="3064"/>
      <c r="F9293" s="3064"/>
      <c r="G9293" s="3301" t="s">
        <v>679</v>
      </c>
      <c r="H9293" s="3063"/>
      <c r="I9293" s="3030"/>
    </row>
    <row r="9294" spans="2:9" ht="25.5">
      <c r="B9294" s="3230" t="s">
        <v>81</v>
      </c>
      <c r="C9294" s="3063"/>
      <c r="D9294" s="3064"/>
      <c r="E9294" s="3064"/>
      <c r="F9294" s="3064"/>
      <c r="G9294" s="3302" t="s">
        <v>81</v>
      </c>
      <c r="H9294" s="3063"/>
      <c r="I9294" s="3030"/>
    </row>
    <row r="9295" spans="2:9" ht="26.25" thickBot="1">
      <c r="B9295" s="3303" t="s">
        <v>81</v>
      </c>
      <c r="C9295" s="3063"/>
      <c r="D9295" s="3064"/>
      <c r="E9295" s="3064"/>
      <c r="F9295" s="3064"/>
      <c r="G9295" s="3302" t="s">
        <v>81</v>
      </c>
      <c r="H9295" s="3063"/>
      <c r="I9295" s="3030"/>
    </row>
    <row r="9296" spans="2:9">
      <c r="B9296" s="3217" t="s">
        <v>697</v>
      </c>
      <c r="C9296" s="3218"/>
      <c r="D9296" s="3219"/>
      <c r="E9296" s="3219"/>
      <c r="F9296" s="3219"/>
      <c r="G9296" s="3217" t="s">
        <v>697</v>
      </c>
      <c r="H9296" s="3297"/>
      <c r="I9296" s="3298"/>
    </row>
    <row r="9297" spans="2:9">
      <c r="B9297" s="3299" t="s">
        <v>64</v>
      </c>
      <c r="C9297" s="3063"/>
      <c r="D9297" s="3064"/>
      <c r="E9297" s="3064"/>
      <c r="F9297" s="3064"/>
      <c r="G9297" s="3300" t="s">
        <v>64</v>
      </c>
      <c r="H9297" s="3063"/>
      <c r="I9297" s="3030"/>
    </row>
    <row r="9298" spans="2:9" ht="25.5">
      <c r="B9298" s="3192" t="s">
        <v>675</v>
      </c>
      <c r="C9298" s="3063"/>
      <c r="D9298" s="3064"/>
      <c r="E9298" s="3064"/>
      <c r="F9298" s="3064"/>
      <c r="G9298" s="3301" t="s">
        <v>675</v>
      </c>
      <c r="H9298" s="3063"/>
      <c r="I9298" s="3030"/>
    </row>
    <row r="9299" spans="2:9" ht="25.5">
      <c r="B9299" s="3192" t="s">
        <v>676</v>
      </c>
      <c r="C9299" s="3063"/>
      <c r="D9299" s="3064"/>
      <c r="E9299" s="3064"/>
      <c r="F9299" s="3064"/>
      <c r="G9299" s="3301" t="s">
        <v>676</v>
      </c>
      <c r="H9299" s="3063"/>
      <c r="I9299" s="3030"/>
    </row>
    <row r="9300" spans="2:9">
      <c r="B9300" s="3192" t="s">
        <v>677</v>
      </c>
      <c r="C9300" s="3063"/>
      <c r="D9300" s="3064"/>
      <c r="E9300" s="3064"/>
      <c r="F9300" s="3064"/>
      <c r="G9300" s="3301" t="s">
        <v>677</v>
      </c>
      <c r="H9300" s="3063"/>
      <c r="I9300" s="3030"/>
    </row>
    <row r="9301" spans="2:9">
      <c r="B9301" s="3192" t="s">
        <v>678</v>
      </c>
      <c r="C9301" s="3063"/>
      <c r="D9301" s="3064"/>
      <c r="E9301" s="3064"/>
      <c r="F9301" s="3064"/>
      <c r="G9301" s="3301" t="s">
        <v>678</v>
      </c>
      <c r="H9301" s="3063"/>
      <c r="I9301" s="3030"/>
    </row>
    <row r="9302" spans="2:9">
      <c r="B9302" s="3192" t="s">
        <v>679</v>
      </c>
      <c r="C9302" s="3063"/>
      <c r="D9302" s="3064"/>
      <c r="E9302" s="3064"/>
      <c r="F9302" s="3064"/>
      <c r="G9302" s="3301" t="s">
        <v>679</v>
      </c>
      <c r="H9302" s="3063"/>
      <c r="I9302" s="3030"/>
    </row>
    <row r="9303" spans="2:9" ht="25.5">
      <c r="B9303" s="3192" t="s">
        <v>720</v>
      </c>
      <c r="C9303" s="3063"/>
      <c r="D9303" s="3064"/>
      <c r="E9303" s="3064"/>
      <c r="F9303" s="3064"/>
      <c r="G9303" s="3301" t="s">
        <v>720</v>
      </c>
      <c r="H9303" s="3063"/>
      <c r="I9303" s="3030"/>
    </row>
    <row r="9304" spans="2:9">
      <c r="B9304" s="3299" t="s">
        <v>65</v>
      </c>
      <c r="C9304" s="3063"/>
      <c r="D9304" s="3064"/>
      <c r="E9304" s="3064"/>
      <c r="F9304" s="3064"/>
      <c r="G9304" s="3300" t="s">
        <v>65</v>
      </c>
      <c r="H9304" s="3063"/>
      <c r="I9304" s="3030"/>
    </row>
    <row r="9305" spans="2:9" ht="25.5">
      <c r="B9305" s="3192" t="s">
        <v>675</v>
      </c>
      <c r="C9305" s="3063"/>
      <c r="D9305" s="3064"/>
      <c r="E9305" s="3064"/>
      <c r="F9305" s="3064"/>
      <c r="G9305" s="3301" t="s">
        <v>675</v>
      </c>
      <c r="H9305" s="3063"/>
      <c r="I9305" s="3030"/>
    </row>
    <row r="9306" spans="2:9" ht="25.5">
      <c r="B9306" s="3192" t="s">
        <v>676</v>
      </c>
      <c r="C9306" s="3063"/>
      <c r="D9306" s="3064"/>
      <c r="E9306" s="3064"/>
      <c r="F9306" s="3064"/>
      <c r="G9306" s="3301" t="s">
        <v>676</v>
      </c>
      <c r="H9306" s="3063"/>
      <c r="I9306" s="3030"/>
    </row>
    <row r="9307" spans="2:9">
      <c r="B9307" s="3192" t="s">
        <v>677</v>
      </c>
      <c r="C9307" s="3063"/>
      <c r="D9307" s="3064"/>
      <c r="E9307" s="3064"/>
      <c r="F9307" s="3064"/>
      <c r="G9307" s="3301" t="s">
        <v>677</v>
      </c>
      <c r="H9307" s="3063"/>
      <c r="I9307" s="3030"/>
    </row>
    <row r="9308" spans="2:9">
      <c r="B9308" s="3192" t="s">
        <v>678</v>
      </c>
      <c r="C9308" s="3063"/>
      <c r="D9308" s="3064"/>
      <c r="E9308" s="3064"/>
      <c r="F9308" s="3064"/>
      <c r="G9308" s="3301" t="s">
        <v>678</v>
      </c>
      <c r="H9308" s="3063"/>
      <c r="I9308" s="3030"/>
    </row>
    <row r="9309" spans="2:9">
      <c r="B9309" s="3192" t="s">
        <v>679</v>
      </c>
      <c r="C9309" s="3063"/>
      <c r="D9309" s="3064"/>
      <c r="E9309" s="3064"/>
      <c r="F9309" s="3064"/>
      <c r="G9309" s="3301" t="s">
        <v>679</v>
      </c>
      <c r="H9309" s="3063"/>
      <c r="I9309" s="3030"/>
    </row>
    <row r="9310" spans="2:9" ht="25.5">
      <c r="B9310" s="3192" t="s">
        <v>720</v>
      </c>
      <c r="C9310" s="3063"/>
      <c r="D9310" s="3064"/>
      <c r="E9310" s="3064"/>
      <c r="F9310" s="3064"/>
      <c r="G9310" s="3301" t="s">
        <v>720</v>
      </c>
      <c r="H9310" s="3063"/>
      <c r="I9310" s="3030"/>
    </row>
    <row r="9311" spans="2:9">
      <c r="B9311" s="3299" t="s">
        <v>82</v>
      </c>
      <c r="C9311" s="3063"/>
      <c r="D9311" s="3064"/>
      <c r="E9311" s="3064"/>
      <c r="F9311" s="3064"/>
      <c r="G9311" s="3300" t="s">
        <v>82</v>
      </c>
      <c r="H9311" s="3063"/>
      <c r="I9311" s="3030"/>
    </row>
    <row r="9312" spans="2:9" ht="25.5">
      <c r="B9312" s="3192" t="s">
        <v>675</v>
      </c>
      <c r="C9312" s="3063"/>
      <c r="D9312" s="3064"/>
      <c r="E9312" s="3064"/>
      <c r="F9312" s="3064"/>
      <c r="G9312" s="3301" t="s">
        <v>675</v>
      </c>
      <c r="H9312" s="3063"/>
      <c r="I9312" s="3030"/>
    </row>
    <row r="9313" spans="2:9" ht="25.5">
      <c r="B9313" s="3192" t="s">
        <v>676</v>
      </c>
      <c r="C9313" s="3063"/>
      <c r="D9313" s="3064"/>
      <c r="E9313" s="3064"/>
      <c r="F9313" s="3064"/>
      <c r="G9313" s="3301" t="s">
        <v>676</v>
      </c>
      <c r="H9313" s="3063"/>
      <c r="I9313" s="3030"/>
    </row>
    <row r="9314" spans="2:9">
      <c r="B9314" s="3192" t="s">
        <v>677</v>
      </c>
      <c r="C9314" s="3063"/>
      <c r="D9314" s="3064"/>
      <c r="E9314" s="3064"/>
      <c r="F9314" s="3064"/>
      <c r="G9314" s="3301" t="s">
        <v>677</v>
      </c>
      <c r="H9314" s="3063"/>
      <c r="I9314" s="3030"/>
    </row>
    <row r="9315" spans="2:9">
      <c r="B9315" s="3192" t="s">
        <v>678</v>
      </c>
      <c r="C9315" s="3063"/>
      <c r="D9315" s="3064"/>
      <c r="E9315" s="3064"/>
      <c r="F9315" s="3064"/>
      <c r="G9315" s="3301" t="s">
        <v>678</v>
      </c>
      <c r="H9315" s="3063"/>
      <c r="I9315" s="3030"/>
    </row>
    <row r="9316" spans="2:9">
      <c r="B9316" s="3192" t="s">
        <v>679</v>
      </c>
      <c r="C9316" s="3063"/>
      <c r="D9316" s="3064"/>
      <c r="E9316" s="3064"/>
      <c r="F9316" s="3064"/>
      <c r="G9316" s="3301" t="s">
        <v>679</v>
      </c>
      <c r="H9316" s="3063"/>
      <c r="I9316" s="3030"/>
    </row>
    <row r="9317" spans="2:9" ht="25.5">
      <c r="B9317" s="3192" t="s">
        <v>720</v>
      </c>
      <c r="C9317" s="3063"/>
      <c r="D9317" s="3064"/>
      <c r="E9317" s="3064"/>
      <c r="F9317" s="3064"/>
      <c r="G9317" s="3301" t="s">
        <v>720</v>
      </c>
      <c r="H9317" s="3063"/>
      <c r="I9317" s="3030"/>
    </row>
    <row r="9318" spans="2:9" ht="38.25">
      <c r="B9318" s="3299" t="s">
        <v>680</v>
      </c>
      <c r="C9318" s="3063"/>
      <c r="D9318" s="3064"/>
      <c r="E9318" s="3064"/>
      <c r="F9318" s="3064"/>
      <c r="G9318" s="3300" t="s">
        <v>680</v>
      </c>
      <c r="H9318" s="3063"/>
      <c r="I9318" s="3030"/>
    </row>
    <row r="9319" spans="2:9" ht="25.5">
      <c r="B9319" s="3192" t="s">
        <v>675</v>
      </c>
      <c r="C9319" s="3063"/>
      <c r="D9319" s="3064"/>
      <c r="E9319" s="3064"/>
      <c r="F9319" s="3064"/>
      <c r="G9319" s="3301" t="s">
        <v>675</v>
      </c>
      <c r="H9319" s="3063"/>
      <c r="I9319" s="3030"/>
    </row>
    <row r="9320" spans="2:9" ht="25.5">
      <c r="B9320" s="3192" t="s">
        <v>676</v>
      </c>
      <c r="C9320" s="3063"/>
      <c r="D9320" s="3064"/>
      <c r="E9320" s="3064"/>
      <c r="F9320" s="3064"/>
      <c r="G9320" s="3301" t="s">
        <v>676</v>
      </c>
      <c r="H9320" s="3063"/>
      <c r="I9320" s="3030"/>
    </row>
    <row r="9321" spans="2:9">
      <c r="B9321" s="3192" t="s">
        <v>677</v>
      </c>
      <c r="C9321" s="3063"/>
      <c r="D9321" s="3064"/>
      <c r="E9321" s="3064"/>
      <c r="F9321" s="3064"/>
      <c r="G9321" s="3301" t="s">
        <v>677</v>
      </c>
      <c r="H9321" s="3063"/>
      <c r="I9321" s="3030"/>
    </row>
    <row r="9322" spans="2:9">
      <c r="B9322" s="3192" t="s">
        <v>678</v>
      </c>
      <c r="C9322" s="3063"/>
      <c r="D9322" s="3064"/>
      <c r="E9322" s="3064"/>
      <c r="F9322" s="3064"/>
      <c r="G9322" s="3301" t="s">
        <v>678</v>
      </c>
      <c r="H9322" s="3063"/>
      <c r="I9322" s="3030"/>
    </row>
    <row r="9323" spans="2:9">
      <c r="B9323" s="3192" t="s">
        <v>679</v>
      </c>
      <c r="C9323" s="3063"/>
      <c r="D9323" s="3064"/>
      <c r="E9323" s="3064"/>
      <c r="F9323" s="3064"/>
      <c r="G9323" s="3301" t="s">
        <v>679</v>
      </c>
      <c r="H9323" s="3063"/>
      <c r="I9323" s="3030"/>
    </row>
    <row r="9324" spans="2:9" ht="25.5">
      <c r="B9324" s="3192" t="s">
        <v>720</v>
      </c>
      <c r="C9324" s="3063"/>
      <c r="D9324" s="3064"/>
      <c r="E9324" s="3064"/>
      <c r="F9324" s="3064"/>
      <c r="G9324" s="3301" t="s">
        <v>720</v>
      </c>
      <c r="H9324" s="3063"/>
      <c r="I9324" s="3030"/>
    </row>
    <row r="9325" spans="2:9" ht="38.25">
      <c r="B9325" s="3299" t="s">
        <v>681</v>
      </c>
      <c r="C9325" s="3063"/>
      <c r="D9325" s="3064"/>
      <c r="E9325" s="3064"/>
      <c r="F9325" s="3064">
        <v>7</v>
      </c>
      <c r="G9325" s="3300" t="s">
        <v>681</v>
      </c>
      <c r="H9325" s="3063">
        <v>2.7578605957710098E-2</v>
      </c>
      <c r="I9325" s="3030"/>
    </row>
    <row r="9326" spans="2:9" ht="25.5">
      <c r="B9326" s="3192" t="s">
        <v>675</v>
      </c>
      <c r="C9326" s="3063">
        <v>1</v>
      </c>
      <c r="D9326" s="3064">
        <v>1</v>
      </c>
      <c r="E9326" s="3064"/>
      <c r="F9326" s="3064"/>
      <c r="G9326" s="3301" t="s">
        <v>675</v>
      </c>
      <c r="H9326" s="3063"/>
      <c r="I9326" s="3030">
        <v>9.1928686525700326E-3</v>
      </c>
    </row>
    <row r="9327" spans="2:9" ht="25.5">
      <c r="B9327" s="3192" t="s">
        <v>676</v>
      </c>
      <c r="C9327" s="3063"/>
      <c r="D9327" s="3064"/>
      <c r="E9327" s="3064"/>
      <c r="F9327" s="3064"/>
      <c r="G9327" s="3301" t="s">
        <v>676</v>
      </c>
      <c r="H9327" s="3063"/>
      <c r="I9327" s="3030"/>
    </row>
    <row r="9328" spans="2:9">
      <c r="B9328" s="3192" t="s">
        <v>677</v>
      </c>
      <c r="C9328" s="3063"/>
      <c r="D9328" s="3064"/>
      <c r="E9328" s="3064"/>
      <c r="F9328" s="3064"/>
      <c r="G9328" s="3301" t="s">
        <v>677</v>
      </c>
      <c r="H9328" s="3063"/>
      <c r="I9328" s="3030"/>
    </row>
    <row r="9329" spans="2:9">
      <c r="B9329" s="3192" t="s">
        <v>678</v>
      </c>
      <c r="C9329" s="3063"/>
      <c r="D9329" s="3064"/>
      <c r="E9329" s="3064"/>
      <c r="F9329" s="3064"/>
      <c r="G9329" s="3301" t="s">
        <v>678</v>
      </c>
      <c r="H9329" s="3063"/>
      <c r="I9329" s="3030"/>
    </row>
    <row r="9330" spans="2:9">
      <c r="B9330" s="3192" t="s">
        <v>679</v>
      </c>
      <c r="C9330" s="3063"/>
      <c r="D9330" s="3064">
        <v>1</v>
      </c>
      <c r="E9330" s="3064"/>
      <c r="F9330" s="3064"/>
      <c r="G9330" s="3301" t="s">
        <v>679</v>
      </c>
      <c r="H9330" s="3063"/>
      <c r="I9330" s="3030"/>
    </row>
    <row r="9331" spans="2:9" ht="25.5">
      <c r="B9331" s="3192" t="s">
        <v>720</v>
      </c>
      <c r="C9331" s="3063"/>
      <c r="D9331" s="3064"/>
      <c r="E9331" s="3064"/>
      <c r="F9331" s="3064"/>
      <c r="G9331" s="3301" t="s">
        <v>720</v>
      </c>
      <c r="H9331" s="3063"/>
      <c r="I9331" s="3030"/>
    </row>
    <row r="9332" spans="2:9" ht="25.5">
      <c r="B9332" s="3299" t="s">
        <v>682</v>
      </c>
      <c r="C9332" s="3063"/>
      <c r="D9332" s="3064"/>
      <c r="E9332" s="3064"/>
      <c r="F9332" s="3064"/>
      <c r="G9332" s="3300" t="s">
        <v>682</v>
      </c>
      <c r="H9332" s="3063"/>
      <c r="I9332" s="3030"/>
    </row>
    <row r="9333" spans="2:9" ht="25.5">
      <c r="B9333" s="3192" t="s">
        <v>675</v>
      </c>
      <c r="C9333" s="3063"/>
      <c r="D9333" s="3064"/>
      <c r="E9333" s="3064"/>
      <c r="F9333" s="3064"/>
      <c r="G9333" s="3301" t="s">
        <v>675</v>
      </c>
      <c r="H9333" s="3063"/>
      <c r="I9333" s="3030"/>
    </row>
    <row r="9334" spans="2:9" ht="25.5">
      <c r="B9334" s="3192" t="s">
        <v>676</v>
      </c>
      <c r="C9334" s="3063"/>
      <c r="D9334" s="3064"/>
      <c r="E9334" s="3064"/>
      <c r="F9334" s="3064"/>
      <c r="G9334" s="3301" t="s">
        <v>676</v>
      </c>
      <c r="H9334" s="3063"/>
      <c r="I9334" s="3030"/>
    </row>
    <row r="9335" spans="2:9">
      <c r="B9335" s="3192" t="s">
        <v>677</v>
      </c>
      <c r="C9335" s="3063"/>
      <c r="D9335" s="3064"/>
      <c r="E9335" s="3064"/>
      <c r="F9335" s="3064"/>
      <c r="G9335" s="3301" t="s">
        <v>677</v>
      </c>
      <c r="H9335" s="3063"/>
      <c r="I9335" s="3030"/>
    </row>
    <row r="9336" spans="2:9">
      <c r="B9336" s="3192" t="s">
        <v>678</v>
      </c>
      <c r="C9336" s="3063"/>
      <c r="D9336" s="3064"/>
      <c r="E9336" s="3064"/>
      <c r="F9336" s="3064"/>
      <c r="G9336" s="3301" t="s">
        <v>678</v>
      </c>
      <c r="H9336" s="3063"/>
      <c r="I9336" s="3030"/>
    </row>
    <row r="9337" spans="2:9">
      <c r="B9337" s="3192" t="s">
        <v>679</v>
      </c>
      <c r="C9337" s="3063"/>
      <c r="D9337" s="3064"/>
      <c r="E9337" s="3064"/>
      <c r="F9337" s="3064"/>
      <c r="G9337" s="3301" t="s">
        <v>679</v>
      </c>
      <c r="H9337" s="3063"/>
      <c r="I9337" s="3030"/>
    </row>
    <row r="9338" spans="2:9" ht="25.5">
      <c r="B9338" s="3192" t="s">
        <v>720</v>
      </c>
      <c r="C9338" s="3063"/>
      <c r="D9338" s="3064"/>
      <c r="E9338" s="3064"/>
      <c r="F9338" s="3064"/>
      <c r="G9338" s="3301" t="s">
        <v>720</v>
      </c>
      <c r="H9338" s="3063"/>
      <c r="I9338" s="3030"/>
    </row>
    <row r="9339" spans="2:9" ht="25.5">
      <c r="B9339" s="3299" t="s">
        <v>66</v>
      </c>
      <c r="C9339" s="3063"/>
      <c r="D9339" s="3064"/>
      <c r="E9339" s="3064"/>
      <c r="F9339" s="3064"/>
      <c r="G9339" s="3300" t="s">
        <v>66</v>
      </c>
      <c r="H9339" s="3063"/>
      <c r="I9339" s="3030"/>
    </row>
    <row r="9340" spans="2:9" ht="25.5">
      <c r="B9340" s="3192" t="s">
        <v>675</v>
      </c>
      <c r="C9340" s="3063"/>
      <c r="D9340" s="3064"/>
      <c r="E9340" s="3064"/>
      <c r="F9340" s="3064"/>
      <c r="G9340" s="3301" t="s">
        <v>675</v>
      </c>
      <c r="H9340" s="3063"/>
      <c r="I9340" s="3030"/>
    </row>
    <row r="9341" spans="2:9" ht="25.5">
      <c r="B9341" s="3192" t="s">
        <v>676</v>
      </c>
      <c r="C9341" s="3063"/>
      <c r="D9341" s="3064"/>
      <c r="E9341" s="3064"/>
      <c r="F9341" s="3064"/>
      <c r="G9341" s="3301" t="s">
        <v>676</v>
      </c>
      <c r="H9341" s="3063"/>
      <c r="I9341" s="3030"/>
    </row>
    <row r="9342" spans="2:9">
      <c r="B9342" s="3192" t="s">
        <v>677</v>
      </c>
      <c r="C9342" s="3063"/>
      <c r="D9342" s="3064"/>
      <c r="E9342" s="3064"/>
      <c r="F9342" s="3064"/>
      <c r="G9342" s="3301" t="s">
        <v>677</v>
      </c>
      <c r="H9342" s="3063"/>
      <c r="I9342" s="3030"/>
    </row>
    <row r="9343" spans="2:9">
      <c r="B9343" s="3192" t="s">
        <v>678</v>
      </c>
      <c r="C9343" s="3063"/>
      <c r="D9343" s="3064"/>
      <c r="E9343" s="3064"/>
      <c r="F9343" s="3064"/>
      <c r="G9343" s="3301" t="s">
        <v>678</v>
      </c>
      <c r="H9343" s="3063"/>
      <c r="I9343" s="3030"/>
    </row>
    <row r="9344" spans="2:9">
      <c r="B9344" s="3192" t="s">
        <v>679</v>
      </c>
      <c r="C9344" s="3063"/>
      <c r="D9344" s="3064"/>
      <c r="E9344" s="3064"/>
      <c r="F9344" s="3064"/>
      <c r="G9344" s="3301" t="s">
        <v>679</v>
      </c>
      <c r="H9344" s="3063"/>
      <c r="I9344" s="3030"/>
    </row>
    <row r="9345" spans="2:9" ht="25.5">
      <c r="B9345" s="3192" t="s">
        <v>720</v>
      </c>
      <c r="C9345" s="3063"/>
      <c r="D9345" s="3064"/>
      <c r="E9345" s="3064"/>
      <c r="F9345" s="3064"/>
      <c r="G9345" s="3301" t="s">
        <v>720</v>
      </c>
      <c r="H9345" s="3063"/>
      <c r="I9345" s="3030"/>
    </row>
    <row r="9346" spans="2:9">
      <c r="B9346" s="3299" t="s">
        <v>67</v>
      </c>
      <c r="C9346" s="3063"/>
      <c r="D9346" s="3064"/>
      <c r="E9346" s="3064"/>
      <c r="F9346" s="3064">
        <v>2</v>
      </c>
      <c r="G9346" s="3300" t="s">
        <v>67</v>
      </c>
      <c r="H9346" s="3063"/>
      <c r="I9346" s="3030"/>
    </row>
    <row r="9347" spans="2:9" ht="25.5">
      <c r="B9347" s="3192" t="s">
        <v>675</v>
      </c>
      <c r="C9347" s="3063"/>
      <c r="D9347" s="3064"/>
      <c r="E9347" s="3064"/>
      <c r="F9347" s="3064"/>
      <c r="G9347" s="3301" t="s">
        <v>675</v>
      </c>
      <c r="H9347" s="3063"/>
      <c r="I9347" s="3030"/>
    </row>
    <row r="9348" spans="2:9" ht="25.5">
      <c r="B9348" s="3192" t="s">
        <v>676</v>
      </c>
      <c r="C9348" s="3063"/>
      <c r="D9348" s="3064"/>
      <c r="E9348" s="3064"/>
      <c r="F9348" s="3064"/>
      <c r="G9348" s="3301" t="s">
        <v>676</v>
      </c>
      <c r="H9348" s="3063"/>
      <c r="I9348" s="3030"/>
    </row>
    <row r="9349" spans="2:9">
      <c r="B9349" s="3192" t="s">
        <v>677</v>
      </c>
      <c r="C9349" s="3063"/>
      <c r="D9349" s="3064"/>
      <c r="E9349" s="3064"/>
      <c r="F9349" s="3064"/>
      <c r="G9349" s="3301" t="s">
        <v>677</v>
      </c>
      <c r="H9349" s="3063"/>
      <c r="I9349" s="3030"/>
    </row>
    <row r="9350" spans="2:9">
      <c r="B9350" s="3192" t="s">
        <v>678</v>
      </c>
      <c r="C9350" s="3063"/>
      <c r="D9350" s="3064"/>
      <c r="E9350" s="3064"/>
      <c r="F9350" s="3064"/>
      <c r="G9350" s="3301" t="s">
        <v>678</v>
      </c>
      <c r="H9350" s="3063"/>
      <c r="I9350" s="3030"/>
    </row>
    <row r="9351" spans="2:9">
      <c r="B9351" s="3192" t="s">
        <v>679</v>
      </c>
      <c r="C9351" s="3063"/>
      <c r="D9351" s="3064"/>
      <c r="E9351" s="3064"/>
      <c r="F9351" s="3064"/>
      <c r="G9351" s="3301" t="s">
        <v>679</v>
      </c>
      <c r="H9351" s="3063"/>
      <c r="I9351" s="3030"/>
    </row>
    <row r="9352" spans="2:9" ht="25.5">
      <c r="B9352" s="3230" t="s">
        <v>81</v>
      </c>
      <c r="C9352" s="3063"/>
      <c r="D9352" s="3064"/>
      <c r="E9352" s="3064"/>
      <c r="F9352" s="3064"/>
      <c r="G9352" s="3302" t="s">
        <v>81</v>
      </c>
      <c r="H9352" s="3063"/>
      <c r="I9352" s="3030"/>
    </row>
    <row r="9353" spans="2:9" ht="26.25" thickBot="1">
      <c r="B9353" s="3303" t="s">
        <v>81</v>
      </c>
      <c r="C9353" s="3068"/>
      <c r="D9353" s="3069"/>
      <c r="E9353" s="3069"/>
      <c r="F9353" s="3069"/>
      <c r="G9353" s="3304" t="s">
        <v>81</v>
      </c>
      <c r="H9353" s="3068"/>
      <c r="I9353" s="3070"/>
    </row>
    <row r="9354" spans="2:9" ht="38.25">
      <c r="B9354" s="4723">
        <v>3215</v>
      </c>
      <c r="C9354" s="3289"/>
      <c r="D9354" s="3290"/>
      <c r="E9354" s="3290"/>
      <c r="F9354" s="3290"/>
      <c r="G9354" s="4723">
        <v>3215</v>
      </c>
      <c r="H9354" s="3291" t="s">
        <v>687</v>
      </c>
      <c r="I9354" s="3292" t="s">
        <v>688</v>
      </c>
    </row>
    <row r="9355" spans="2:9">
      <c r="B9355" s="4724"/>
      <c r="C9355" s="4678" t="s">
        <v>686</v>
      </c>
      <c r="D9355" s="4725"/>
      <c r="E9355" s="4725"/>
      <c r="F9355" s="4726"/>
      <c r="G9355" s="4724"/>
      <c r="H9355" s="3293"/>
      <c r="I9355" s="3294"/>
    </row>
    <row r="9356" spans="2:9" ht="13.5" thickBot="1">
      <c r="B9356" s="4724"/>
      <c r="C9356" s="3215">
        <v>2013</v>
      </c>
      <c r="D9356" s="3215">
        <v>2014</v>
      </c>
      <c r="E9356" s="3215">
        <v>2015</v>
      </c>
      <c r="F9356" s="3215">
        <v>2016</v>
      </c>
      <c r="G9356" s="4724"/>
      <c r="H9356" s="3295" t="s">
        <v>390</v>
      </c>
      <c r="I9356" s="3296" t="s">
        <v>390</v>
      </c>
    </row>
    <row r="9357" spans="2:9">
      <c r="B9357" s="3217" t="s">
        <v>695</v>
      </c>
      <c r="C9357" s="3218"/>
      <c r="D9357" s="3219"/>
      <c r="E9357" s="3219"/>
      <c r="F9357" s="3219"/>
      <c r="G9357" s="3217" t="s">
        <v>695</v>
      </c>
      <c r="H9357" s="3297"/>
      <c r="I9357" s="3298"/>
    </row>
    <row r="9358" spans="2:9">
      <c r="B9358" s="3299" t="s">
        <v>64</v>
      </c>
      <c r="C9358" s="3063"/>
      <c r="D9358" s="3064"/>
      <c r="E9358" s="3064"/>
      <c r="F9358" s="3064">
        <v>30</v>
      </c>
      <c r="G9358" s="3300" t="s">
        <v>64</v>
      </c>
      <c r="H9358" s="3063">
        <v>0.54793077228916509</v>
      </c>
      <c r="I9358" s="3030"/>
    </row>
    <row r="9359" spans="2:9" ht="25.5">
      <c r="B9359" s="3192" t="s">
        <v>675</v>
      </c>
      <c r="C9359" s="3063">
        <v>12</v>
      </c>
      <c r="D9359" s="3064">
        <v>11</v>
      </c>
      <c r="E9359" s="3064"/>
      <c r="F9359" s="3064"/>
      <c r="G9359" s="3301" t="s">
        <v>675</v>
      </c>
      <c r="H9359" s="3063"/>
      <c r="I9359" s="3030">
        <v>0.60979392399923205</v>
      </c>
    </row>
    <row r="9360" spans="2:9" ht="25.5">
      <c r="B9360" s="3192" t="s">
        <v>676</v>
      </c>
      <c r="C9360" s="3063"/>
      <c r="D9360" s="3064"/>
      <c r="E9360" s="3064"/>
      <c r="F9360" s="3064"/>
      <c r="G9360" s="3301" t="s">
        <v>676</v>
      </c>
      <c r="H9360" s="3063"/>
      <c r="I9360" s="3030"/>
    </row>
    <row r="9361" spans="2:9">
      <c r="B9361" s="3192" t="s">
        <v>677</v>
      </c>
      <c r="C9361" s="3063"/>
      <c r="D9361" s="3064"/>
      <c r="E9361" s="3064"/>
      <c r="F9361" s="3064"/>
      <c r="G9361" s="3301" t="s">
        <v>677</v>
      </c>
      <c r="H9361" s="3063"/>
      <c r="I9361" s="3030"/>
    </row>
    <row r="9362" spans="2:9">
      <c r="B9362" s="3192" t="s">
        <v>678</v>
      </c>
      <c r="C9362" s="3063">
        <v>3</v>
      </c>
      <c r="D9362" s="3064">
        <v>5</v>
      </c>
      <c r="E9362" s="3064"/>
      <c r="F9362" s="3064"/>
      <c r="G9362" s="3301" t="s">
        <v>678</v>
      </c>
      <c r="H9362" s="3063"/>
      <c r="I9362" s="3030"/>
    </row>
    <row r="9363" spans="2:9">
      <c r="B9363" s="3192" t="s">
        <v>679</v>
      </c>
      <c r="C9363" s="3063">
        <v>1</v>
      </c>
      <c r="D9363" s="3064"/>
      <c r="E9363" s="3064"/>
      <c r="F9363" s="3064"/>
      <c r="G9363" s="3301" t="s">
        <v>679</v>
      </c>
      <c r="H9363" s="3063"/>
      <c r="I9363" s="3030"/>
    </row>
    <row r="9364" spans="2:9" ht="25.5">
      <c r="B9364" s="3192" t="s">
        <v>720</v>
      </c>
      <c r="C9364" s="3063"/>
      <c r="D9364" s="3064"/>
      <c r="E9364" s="3064"/>
      <c r="F9364" s="3064"/>
      <c r="G9364" s="3301" t="s">
        <v>720</v>
      </c>
      <c r="H9364" s="3063"/>
      <c r="I9364" s="3030"/>
    </row>
    <row r="9365" spans="2:9">
      <c r="B9365" s="3299" t="s">
        <v>65</v>
      </c>
      <c r="C9365" s="3063"/>
      <c r="D9365" s="3064"/>
      <c r="E9365" s="3064"/>
      <c r="F9365" s="3064"/>
      <c r="G9365" s="3300" t="s">
        <v>65</v>
      </c>
      <c r="H9365" s="3063"/>
      <c r="I9365" s="3030"/>
    </row>
    <row r="9366" spans="2:9" ht="25.5">
      <c r="B9366" s="3192" t="s">
        <v>675</v>
      </c>
      <c r="C9366" s="3063">
        <v>3</v>
      </c>
      <c r="D9366" s="3064"/>
      <c r="E9366" s="3064"/>
      <c r="F9366" s="3064"/>
      <c r="G9366" s="3301" t="s">
        <v>675</v>
      </c>
      <c r="H9366" s="3063"/>
      <c r="I9366" s="3030"/>
    </row>
    <row r="9367" spans="2:9" ht="25.5">
      <c r="B9367" s="3192" t="s">
        <v>676</v>
      </c>
      <c r="C9367" s="3063"/>
      <c r="D9367" s="3064"/>
      <c r="E9367" s="3064"/>
      <c r="F9367" s="3064"/>
      <c r="G9367" s="3301" t="s">
        <v>676</v>
      </c>
      <c r="H9367" s="3063"/>
      <c r="I9367" s="3030"/>
    </row>
    <row r="9368" spans="2:9">
      <c r="B9368" s="3192" t="s">
        <v>677</v>
      </c>
      <c r="C9368" s="3063"/>
      <c r="D9368" s="3064"/>
      <c r="E9368" s="3064"/>
      <c r="F9368" s="3064"/>
      <c r="G9368" s="3301" t="s">
        <v>677</v>
      </c>
      <c r="H9368" s="3063"/>
      <c r="I9368" s="3030"/>
    </row>
    <row r="9369" spans="2:9">
      <c r="B9369" s="3192" t="s">
        <v>678</v>
      </c>
      <c r="C9369" s="3063"/>
      <c r="D9369" s="3064"/>
      <c r="E9369" s="3064"/>
      <c r="F9369" s="3064"/>
      <c r="G9369" s="3301" t="s">
        <v>678</v>
      </c>
      <c r="H9369" s="3063"/>
      <c r="I9369" s="3030"/>
    </row>
    <row r="9370" spans="2:9">
      <c r="B9370" s="3192" t="s">
        <v>679</v>
      </c>
      <c r="C9370" s="3063"/>
      <c r="D9370" s="3064"/>
      <c r="E9370" s="3064"/>
      <c r="F9370" s="3064"/>
      <c r="G9370" s="3301" t="s">
        <v>679</v>
      </c>
      <c r="H9370" s="3063"/>
      <c r="I9370" s="3030"/>
    </row>
    <row r="9371" spans="2:9" ht="25.5">
      <c r="B9371" s="3192" t="s">
        <v>720</v>
      </c>
      <c r="C9371" s="3063"/>
      <c r="D9371" s="3064"/>
      <c r="E9371" s="3064"/>
      <c r="F9371" s="3064"/>
      <c r="G9371" s="3301" t="s">
        <v>720</v>
      </c>
      <c r="H9371" s="3063"/>
      <c r="I9371" s="3030"/>
    </row>
    <row r="9372" spans="2:9">
      <c r="B9372" s="3299" t="s">
        <v>82</v>
      </c>
      <c r="C9372" s="3063"/>
      <c r="D9372" s="3064"/>
      <c r="E9372" s="3064"/>
      <c r="F9372" s="3064"/>
      <c r="G9372" s="3300" t="s">
        <v>82</v>
      </c>
      <c r="H9372" s="3063"/>
      <c r="I9372" s="3030"/>
    </row>
    <row r="9373" spans="2:9" ht="25.5">
      <c r="B9373" s="3192" t="s">
        <v>675</v>
      </c>
      <c r="C9373" s="3063"/>
      <c r="D9373" s="3064"/>
      <c r="E9373" s="3064"/>
      <c r="F9373" s="3064"/>
      <c r="G9373" s="3301" t="s">
        <v>675</v>
      </c>
      <c r="H9373" s="3063"/>
      <c r="I9373" s="3030"/>
    </row>
    <row r="9374" spans="2:9" ht="25.5">
      <c r="B9374" s="3192" t="s">
        <v>676</v>
      </c>
      <c r="C9374" s="3063"/>
      <c r="D9374" s="3064"/>
      <c r="E9374" s="3064"/>
      <c r="F9374" s="3064"/>
      <c r="G9374" s="3301" t="s">
        <v>676</v>
      </c>
      <c r="H9374" s="3063"/>
      <c r="I9374" s="3030"/>
    </row>
    <row r="9375" spans="2:9">
      <c r="B9375" s="3192" t="s">
        <v>677</v>
      </c>
      <c r="C9375" s="3063"/>
      <c r="D9375" s="3064"/>
      <c r="E9375" s="3064"/>
      <c r="F9375" s="3064"/>
      <c r="G9375" s="3301" t="s">
        <v>677</v>
      </c>
      <c r="H9375" s="3063"/>
      <c r="I9375" s="3030"/>
    </row>
    <row r="9376" spans="2:9">
      <c r="B9376" s="3192" t="s">
        <v>678</v>
      </c>
      <c r="C9376" s="3063"/>
      <c r="D9376" s="3064"/>
      <c r="E9376" s="3064"/>
      <c r="F9376" s="3064"/>
      <c r="G9376" s="3301" t="s">
        <v>678</v>
      </c>
      <c r="H9376" s="3063"/>
      <c r="I9376" s="3030"/>
    </row>
    <row r="9377" spans="2:9">
      <c r="B9377" s="3192" t="s">
        <v>679</v>
      </c>
      <c r="C9377" s="3063"/>
      <c r="D9377" s="3064"/>
      <c r="E9377" s="3064"/>
      <c r="F9377" s="3064"/>
      <c r="G9377" s="3301" t="s">
        <v>679</v>
      </c>
      <c r="H9377" s="3063"/>
      <c r="I9377" s="3030"/>
    </row>
    <row r="9378" spans="2:9" ht="25.5">
      <c r="B9378" s="3192" t="s">
        <v>720</v>
      </c>
      <c r="C9378" s="3063"/>
      <c r="D9378" s="3064"/>
      <c r="E9378" s="3064"/>
      <c r="F9378" s="3064"/>
      <c r="G9378" s="3301" t="s">
        <v>720</v>
      </c>
      <c r="H9378" s="3063"/>
      <c r="I9378" s="3030"/>
    </row>
    <row r="9379" spans="2:9" ht="38.25">
      <c r="B9379" s="3299" t="s">
        <v>680</v>
      </c>
      <c r="C9379" s="3063"/>
      <c r="D9379" s="3064"/>
      <c r="E9379" s="3064"/>
      <c r="F9379" s="3064"/>
      <c r="G9379" s="3300" t="s">
        <v>680</v>
      </c>
      <c r="H9379" s="3063"/>
      <c r="I9379" s="3030"/>
    </row>
    <row r="9380" spans="2:9" ht="25.5">
      <c r="B9380" s="3192" t="s">
        <v>675</v>
      </c>
      <c r="C9380" s="3063"/>
      <c r="D9380" s="3064"/>
      <c r="E9380" s="3064"/>
      <c r="F9380" s="3064"/>
      <c r="G9380" s="3301" t="s">
        <v>675</v>
      </c>
      <c r="H9380" s="3063"/>
      <c r="I9380" s="3030"/>
    </row>
    <row r="9381" spans="2:9" ht="25.5">
      <c r="B9381" s="3192" t="s">
        <v>676</v>
      </c>
      <c r="C9381" s="3063"/>
      <c r="D9381" s="3064"/>
      <c r="E9381" s="3064"/>
      <c r="F9381" s="3064"/>
      <c r="G9381" s="3301" t="s">
        <v>676</v>
      </c>
      <c r="H9381" s="3063"/>
      <c r="I9381" s="3030"/>
    </row>
    <row r="9382" spans="2:9">
      <c r="B9382" s="3192" t="s">
        <v>677</v>
      </c>
      <c r="C9382" s="3063"/>
      <c r="D9382" s="3064"/>
      <c r="E9382" s="3064"/>
      <c r="F9382" s="3064"/>
      <c r="G9382" s="3301" t="s">
        <v>677</v>
      </c>
      <c r="H9382" s="3063"/>
      <c r="I9382" s="3030"/>
    </row>
    <row r="9383" spans="2:9">
      <c r="B9383" s="3192" t="s">
        <v>678</v>
      </c>
      <c r="C9383" s="3063"/>
      <c r="D9383" s="3064"/>
      <c r="E9383" s="3064"/>
      <c r="F9383" s="3064"/>
      <c r="G9383" s="3301" t="s">
        <v>678</v>
      </c>
      <c r="H9383" s="3063"/>
      <c r="I9383" s="3030"/>
    </row>
    <row r="9384" spans="2:9">
      <c r="B9384" s="3192" t="s">
        <v>679</v>
      </c>
      <c r="C9384" s="3063"/>
      <c r="D9384" s="3064"/>
      <c r="E9384" s="3064"/>
      <c r="F9384" s="3064"/>
      <c r="G9384" s="3301" t="s">
        <v>679</v>
      </c>
      <c r="H9384" s="3063"/>
      <c r="I9384" s="3030"/>
    </row>
    <row r="9385" spans="2:9" ht="25.5">
      <c r="B9385" s="3192" t="s">
        <v>720</v>
      </c>
      <c r="C9385" s="3063"/>
      <c r="D9385" s="3064"/>
      <c r="E9385" s="3064"/>
      <c r="F9385" s="3064"/>
      <c r="G9385" s="3301" t="s">
        <v>720</v>
      </c>
      <c r="H9385" s="3063"/>
      <c r="I9385" s="3030"/>
    </row>
    <row r="9386" spans="2:9" ht="38.25">
      <c r="B9386" s="3299" t="s">
        <v>681</v>
      </c>
      <c r="C9386" s="3063"/>
      <c r="D9386" s="3064"/>
      <c r="E9386" s="3064"/>
      <c r="F9386" s="3064"/>
      <c r="G9386" s="3300" t="s">
        <v>681</v>
      </c>
      <c r="H9386" s="3063"/>
      <c r="I9386" s="3030"/>
    </row>
    <row r="9387" spans="2:9" ht="25.5">
      <c r="B9387" s="3192" t="s">
        <v>675</v>
      </c>
      <c r="C9387" s="3063"/>
      <c r="D9387" s="3064"/>
      <c r="E9387" s="3064"/>
      <c r="F9387" s="3064"/>
      <c r="G9387" s="3301" t="s">
        <v>675</v>
      </c>
      <c r="H9387" s="3063"/>
      <c r="I9387" s="3030"/>
    </row>
    <row r="9388" spans="2:9" ht="25.5">
      <c r="B9388" s="3192" t="s">
        <v>676</v>
      </c>
      <c r="C9388" s="3063"/>
      <c r="D9388" s="3064"/>
      <c r="E9388" s="3064"/>
      <c r="F9388" s="3064"/>
      <c r="G9388" s="3301" t="s">
        <v>676</v>
      </c>
      <c r="H9388" s="3063"/>
      <c r="I9388" s="3030"/>
    </row>
    <row r="9389" spans="2:9">
      <c r="B9389" s="3192" t="s">
        <v>677</v>
      </c>
      <c r="C9389" s="3063"/>
      <c r="D9389" s="3064"/>
      <c r="E9389" s="3064"/>
      <c r="F9389" s="3064"/>
      <c r="G9389" s="3301" t="s">
        <v>677</v>
      </c>
      <c r="H9389" s="3063"/>
      <c r="I9389" s="3030"/>
    </row>
    <row r="9390" spans="2:9">
      <c r="B9390" s="3192" t="s">
        <v>678</v>
      </c>
      <c r="C9390" s="3063"/>
      <c r="D9390" s="3064"/>
      <c r="E9390" s="3064"/>
      <c r="F9390" s="3064"/>
      <c r="G9390" s="3301" t="s">
        <v>678</v>
      </c>
      <c r="H9390" s="3063"/>
      <c r="I9390" s="3030"/>
    </row>
    <row r="9391" spans="2:9">
      <c r="B9391" s="3192" t="s">
        <v>679</v>
      </c>
      <c r="C9391" s="3063"/>
      <c r="D9391" s="3064"/>
      <c r="E9391" s="3064"/>
      <c r="F9391" s="3064"/>
      <c r="G9391" s="3301" t="s">
        <v>679</v>
      </c>
      <c r="H9391" s="3063"/>
      <c r="I9391" s="3030"/>
    </row>
    <row r="9392" spans="2:9" ht="25.5">
      <c r="B9392" s="3192" t="s">
        <v>720</v>
      </c>
      <c r="C9392" s="3063"/>
      <c r="D9392" s="3064"/>
      <c r="E9392" s="3064"/>
      <c r="F9392" s="3064"/>
      <c r="G9392" s="3301" t="s">
        <v>720</v>
      </c>
      <c r="H9392" s="3063"/>
      <c r="I9392" s="3030"/>
    </row>
    <row r="9393" spans="2:9" ht="25.5">
      <c r="B9393" s="3299" t="s">
        <v>682</v>
      </c>
      <c r="C9393" s="3063"/>
      <c r="D9393" s="3064"/>
      <c r="E9393" s="3064"/>
      <c r="F9393" s="3064"/>
      <c r="G9393" s="3300" t="s">
        <v>682</v>
      </c>
      <c r="H9393" s="3063"/>
      <c r="I9393" s="3030"/>
    </row>
    <row r="9394" spans="2:9" ht="25.5">
      <c r="B9394" s="3192" t="s">
        <v>675</v>
      </c>
      <c r="C9394" s="3063"/>
      <c r="D9394" s="3064"/>
      <c r="E9394" s="3064"/>
      <c r="F9394" s="3064"/>
      <c r="G9394" s="3301" t="s">
        <v>675</v>
      </c>
      <c r="H9394" s="3063"/>
      <c r="I9394" s="3030"/>
    </row>
    <row r="9395" spans="2:9" ht="25.5">
      <c r="B9395" s="3192" t="s">
        <v>676</v>
      </c>
      <c r="C9395" s="3063"/>
      <c r="D9395" s="3064"/>
      <c r="E9395" s="3064"/>
      <c r="F9395" s="3064"/>
      <c r="G9395" s="3301" t="s">
        <v>676</v>
      </c>
      <c r="H9395" s="3063"/>
      <c r="I9395" s="3030"/>
    </row>
    <row r="9396" spans="2:9">
      <c r="B9396" s="3192" t="s">
        <v>677</v>
      </c>
      <c r="C9396" s="3063"/>
      <c r="D9396" s="3064"/>
      <c r="E9396" s="3064"/>
      <c r="F9396" s="3064"/>
      <c r="G9396" s="3301" t="s">
        <v>677</v>
      </c>
      <c r="H9396" s="3063"/>
      <c r="I9396" s="3030"/>
    </row>
    <row r="9397" spans="2:9">
      <c r="B9397" s="3192" t="s">
        <v>678</v>
      </c>
      <c r="C9397" s="3063"/>
      <c r="D9397" s="3064"/>
      <c r="E9397" s="3064"/>
      <c r="F9397" s="3064"/>
      <c r="G9397" s="3301" t="s">
        <v>678</v>
      </c>
      <c r="H9397" s="3063"/>
      <c r="I9397" s="3030"/>
    </row>
    <row r="9398" spans="2:9">
      <c r="B9398" s="3192" t="s">
        <v>679</v>
      </c>
      <c r="C9398" s="3063"/>
      <c r="D9398" s="3064"/>
      <c r="E9398" s="3064"/>
      <c r="F9398" s="3064"/>
      <c r="G9398" s="3301" t="s">
        <v>679</v>
      </c>
      <c r="H9398" s="3063"/>
      <c r="I9398" s="3030"/>
    </row>
    <row r="9399" spans="2:9" ht="25.5">
      <c r="B9399" s="3192" t="s">
        <v>720</v>
      </c>
      <c r="C9399" s="3063"/>
      <c r="D9399" s="3064"/>
      <c r="E9399" s="3064"/>
      <c r="F9399" s="3064"/>
      <c r="G9399" s="3301" t="s">
        <v>720</v>
      </c>
      <c r="H9399" s="3063"/>
      <c r="I9399" s="3030"/>
    </row>
    <row r="9400" spans="2:9" ht="25.5">
      <c r="B9400" s="3299" t="s">
        <v>66</v>
      </c>
      <c r="C9400" s="3063"/>
      <c r="D9400" s="3064"/>
      <c r="E9400" s="3064"/>
      <c r="F9400" s="3064">
        <v>3</v>
      </c>
      <c r="G9400" s="3300" t="s">
        <v>66</v>
      </c>
      <c r="H9400" s="3063">
        <v>1.7153593884683156</v>
      </c>
      <c r="I9400" s="3030"/>
    </row>
    <row r="9401" spans="2:9" ht="25.5">
      <c r="B9401" s="3192" t="s">
        <v>675</v>
      </c>
      <c r="C9401" s="3063">
        <v>1</v>
      </c>
      <c r="D9401" s="3064"/>
      <c r="E9401" s="3064"/>
      <c r="F9401" s="3064"/>
      <c r="G9401" s="3301" t="s">
        <v>675</v>
      </c>
      <c r="H9401" s="3063"/>
      <c r="I9401" s="3063">
        <f>1/AVERAGE(J813:L813)</f>
        <v>0.98847747874580927</v>
      </c>
    </row>
    <row r="9402" spans="2:9" ht="25.5">
      <c r="B9402" s="3192" t="s">
        <v>676</v>
      </c>
      <c r="C9402" s="3063"/>
      <c r="D9402" s="3064"/>
      <c r="E9402" s="3064"/>
      <c r="F9402" s="3064"/>
      <c r="G9402" s="3301" t="s">
        <v>676</v>
      </c>
      <c r="H9402" s="3063"/>
      <c r="I9402" s="3030"/>
    </row>
    <row r="9403" spans="2:9">
      <c r="B9403" s="3192" t="s">
        <v>677</v>
      </c>
      <c r="C9403" s="3063"/>
      <c r="D9403" s="3064"/>
      <c r="E9403" s="3064"/>
      <c r="F9403" s="3064"/>
      <c r="G9403" s="3301" t="s">
        <v>677</v>
      </c>
      <c r="H9403" s="3063"/>
      <c r="I9403" s="3030"/>
    </row>
    <row r="9404" spans="2:9">
      <c r="B9404" s="3192" t="s">
        <v>678</v>
      </c>
      <c r="C9404" s="3063"/>
      <c r="D9404" s="3064"/>
      <c r="E9404" s="3064"/>
      <c r="F9404" s="3064"/>
      <c r="G9404" s="3301" t="s">
        <v>678</v>
      </c>
      <c r="H9404" s="3063"/>
      <c r="I9404" s="3030"/>
    </row>
    <row r="9405" spans="2:9">
      <c r="B9405" s="3192" t="s">
        <v>679</v>
      </c>
      <c r="C9405" s="3063"/>
      <c r="D9405" s="3064"/>
      <c r="E9405" s="3064"/>
      <c r="F9405" s="3064"/>
      <c r="G9405" s="3301" t="s">
        <v>679</v>
      </c>
      <c r="H9405" s="3063"/>
      <c r="I9405" s="3030"/>
    </row>
    <row r="9406" spans="2:9" ht="25.5">
      <c r="B9406" s="3192" t="s">
        <v>720</v>
      </c>
      <c r="C9406" s="3063"/>
      <c r="D9406" s="3064"/>
      <c r="E9406" s="3064"/>
      <c r="F9406" s="3064"/>
      <c r="G9406" s="3301" t="s">
        <v>720</v>
      </c>
      <c r="H9406" s="3063"/>
      <c r="I9406" s="3030"/>
    </row>
    <row r="9407" spans="2:9">
      <c r="B9407" s="3299" t="s">
        <v>67</v>
      </c>
      <c r="C9407" s="3063"/>
      <c r="D9407" s="3064"/>
      <c r="E9407" s="3064"/>
      <c r="F9407" s="3064">
        <v>1</v>
      </c>
      <c r="G9407" s="3300" t="s">
        <v>67</v>
      </c>
      <c r="H9407" s="3063">
        <v>5.0432617055694101E-2</v>
      </c>
      <c r="I9407" s="3030"/>
    </row>
    <row r="9408" spans="2:9" ht="25.5">
      <c r="B9408" s="3192" t="s">
        <v>675</v>
      </c>
      <c r="C9408" s="3063"/>
      <c r="D9408" s="3064"/>
      <c r="E9408" s="3064"/>
      <c r="F9408" s="3064"/>
      <c r="G9408" s="3301" t="s">
        <v>675</v>
      </c>
      <c r="H9408" s="3063"/>
      <c r="I9408" s="3030"/>
    </row>
    <row r="9409" spans="2:9" ht="25.5">
      <c r="B9409" s="3192" t="s">
        <v>676</v>
      </c>
      <c r="C9409" s="3063"/>
      <c r="D9409" s="3064"/>
      <c r="E9409" s="3064"/>
      <c r="F9409" s="3064"/>
      <c r="G9409" s="3301" t="s">
        <v>676</v>
      </c>
      <c r="H9409" s="3063"/>
      <c r="I9409" s="3030"/>
    </row>
    <row r="9410" spans="2:9">
      <c r="B9410" s="3192" t="s">
        <v>677</v>
      </c>
      <c r="C9410" s="3063"/>
      <c r="D9410" s="3064"/>
      <c r="E9410" s="3064"/>
      <c r="F9410" s="3064"/>
      <c r="G9410" s="3301" t="s">
        <v>677</v>
      </c>
      <c r="H9410" s="3063"/>
      <c r="I9410" s="3030"/>
    </row>
    <row r="9411" spans="2:9">
      <c r="B9411" s="3192" t="s">
        <v>678</v>
      </c>
      <c r="C9411" s="3063"/>
      <c r="D9411" s="3064"/>
      <c r="E9411" s="3064"/>
      <c r="F9411" s="3064"/>
      <c r="G9411" s="3301" t="s">
        <v>678</v>
      </c>
      <c r="H9411" s="3063"/>
      <c r="I9411" s="3030"/>
    </row>
    <row r="9412" spans="2:9">
      <c r="B9412" s="3192" t="s">
        <v>679</v>
      </c>
      <c r="C9412" s="3063"/>
      <c r="D9412" s="3064"/>
      <c r="E9412" s="3064"/>
      <c r="F9412" s="3064"/>
      <c r="G9412" s="3301" t="s">
        <v>679</v>
      </c>
      <c r="H9412" s="3063"/>
      <c r="I9412" s="3030"/>
    </row>
    <row r="9413" spans="2:9" ht="25.5">
      <c r="B9413" s="3192" t="s">
        <v>720</v>
      </c>
      <c r="C9413" s="3063"/>
      <c r="D9413" s="3064"/>
      <c r="E9413" s="3064"/>
      <c r="F9413" s="3064"/>
      <c r="G9413" s="3301" t="s">
        <v>720</v>
      </c>
      <c r="H9413" s="3063"/>
      <c r="I9413" s="3030"/>
    </row>
    <row r="9414" spans="2:9" ht="25.5">
      <c r="B9414" s="3230" t="s">
        <v>81</v>
      </c>
      <c r="C9414" s="3063"/>
      <c r="D9414" s="3064"/>
      <c r="E9414" s="3064"/>
      <c r="F9414" s="3064"/>
      <c r="G9414" s="3302" t="s">
        <v>81</v>
      </c>
      <c r="H9414" s="3063"/>
      <c r="I9414" s="3030"/>
    </row>
    <row r="9415" spans="2:9" ht="26.25" thickBot="1">
      <c r="B9415" s="3303" t="s">
        <v>81</v>
      </c>
      <c r="C9415" s="3063"/>
      <c r="D9415" s="3064"/>
      <c r="E9415" s="3064"/>
      <c r="F9415" s="3064"/>
      <c r="G9415" s="3302" t="s">
        <v>81</v>
      </c>
      <c r="H9415" s="3063"/>
      <c r="I9415" s="3030"/>
    </row>
    <row r="9416" spans="2:9" ht="25.5">
      <c r="B9416" s="3217" t="s">
        <v>696</v>
      </c>
      <c r="C9416" s="3218"/>
      <c r="D9416" s="3219"/>
      <c r="E9416" s="3219"/>
      <c r="F9416" s="3219"/>
      <c r="G9416" s="3217" t="s">
        <v>696</v>
      </c>
      <c r="H9416" s="3297"/>
      <c r="I9416" s="3298"/>
    </row>
    <row r="9417" spans="2:9">
      <c r="B9417" s="3299" t="s">
        <v>64</v>
      </c>
      <c r="C9417" s="3063"/>
      <c r="D9417" s="3064"/>
      <c r="E9417" s="3064"/>
      <c r="F9417" s="3064"/>
      <c r="G9417" s="3300" t="s">
        <v>64</v>
      </c>
      <c r="H9417" s="3063"/>
      <c r="I9417" s="3030"/>
    </row>
    <row r="9418" spans="2:9" ht="25.5">
      <c r="B9418" s="3192" t="s">
        <v>675</v>
      </c>
      <c r="C9418" s="3063"/>
      <c r="D9418" s="3064"/>
      <c r="E9418" s="3064"/>
      <c r="F9418" s="3064"/>
      <c r="G9418" s="3301" t="s">
        <v>675</v>
      </c>
      <c r="H9418" s="3063"/>
      <c r="I9418" s="3030"/>
    </row>
    <row r="9419" spans="2:9" ht="25.5">
      <c r="B9419" s="3192" t="s">
        <v>676</v>
      </c>
      <c r="C9419" s="3063"/>
      <c r="D9419" s="3064"/>
      <c r="E9419" s="3064"/>
      <c r="F9419" s="3064"/>
      <c r="G9419" s="3301" t="s">
        <v>676</v>
      </c>
      <c r="H9419" s="3063"/>
      <c r="I9419" s="3030"/>
    </row>
    <row r="9420" spans="2:9">
      <c r="B9420" s="3192" t="s">
        <v>677</v>
      </c>
      <c r="C9420" s="3063"/>
      <c r="D9420" s="3064"/>
      <c r="E9420" s="3064"/>
      <c r="F9420" s="3064"/>
      <c r="G9420" s="3301" t="s">
        <v>677</v>
      </c>
      <c r="H9420" s="3063"/>
      <c r="I9420" s="3030"/>
    </row>
    <row r="9421" spans="2:9">
      <c r="B9421" s="3192" t="s">
        <v>678</v>
      </c>
      <c r="C9421" s="3063"/>
      <c r="D9421" s="3064"/>
      <c r="E9421" s="3064"/>
      <c r="F9421" s="3064"/>
      <c r="G9421" s="3301" t="s">
        <v>678</v>
      </c>
      <c r="H9421" s="3063"/>
      <c r="I9421" s="3030"/>
    </row>
    <row r="9422" spans="2:9">
      <c r="B9422" s="3192" t="s">
        <v>679</v>
      </c>
      <c r="C9422" s="3063"/>
      <c r="D9422" s="3064"/>
      <c r="E9422" s="3064"/>
      <c r="F9422" s="3064"/>
      <c r="G9422" s="3301" t="s">
        <v>679</v>
      </c>
      <c r="H9422" s="3063"/>
      <c r="I9422" s="3030"/>
    </row>
    <row r="9423" spans="2:9" ht="25.5">
      <c r="B9423" s="3192" t="s">
        <v>720</v>
      </c>
      <c r="C9423" s="3063"/>
      <c r="D9423" s="3064"/>
      <c r="E9423" s="3064"/>
      <c r="F9423" s="3064"/>
      <c r="G9423" s="3301" t="s">
        <v>720</v>
      </c>
      <c r="H9423" s="3063"/>
      <c r="I9423" s="3030"/>
    </row>
    <row r="9424" spans="2:9">
      <c r="B9424" s="3299" t="s">
        <v>65</v>
      </c>
      <c r="C9424" s="3063"/>
      <c r="D9424" s="3064"/>
      <c r="E9424" s="3064"/>
      <c r="F9424" s="3064"/>
      <c r="G9424" s="3300" t="s">
        <v>65</v>
      </c>
      <c r="H9424" s="3063"/>
      <c r="I9424" s="3030"/>
    </row>
    <row r="9425" spans="2:9" ht="25.5">
      <c r="B9425" s="3192" t="s">
        <v>675</v>
      </c>
      <c r="C9425" s="3063"/>
      <c r="D9425" s="3064"/>
      <c r="E9425" s="3064"/>
      <c r="F9425" s="3064"/>
      <c r="G9425" s="3301" t="s">
        <v>675</v>
      </c>
      <c r="H9425" s="3063"/>
      <c r="I9425" s="3030"/>
    </row>
    <row r="9426" spans="2:9" ht="25.5">
      <c r="B9426" s="3192" t="s">
        <v>676</v>
      </c>
      <c r="C9426" s="3063"/>
      <c r="D9426" s="3064"/>
      <c r="E9426" s="3064"/>
      <c r="F9426" s="3064"/>
      <c r="G9426" s="3301" t="s">
        <v>676</v>
      </c>
      <c r="H9426" s="3063"/>
      <c r="I9426" s="3030"/>
    </row>
    <row r="9427" spans="2:9">
      <c r="B9427" s="3192" t="s">
        <v>677</v>
      </c>
      <c r="C9427" s="3063"/>
      <c r="D9427" s="3064"/>
      <c r="E9427" s="3064"/>
      <c r="F9427" s="3064"/>
      <c r="G9427" s="3301" t="s">
        <v>677</v>
      </c>
      <c r="H9427" s="3063"/>
      <c r="I9427" s="3030"/>
    </row>
    <row r="9428" spans="2:9">
      <c r="B9428" s="3192" t="s">
        <v>678</v>
      </c>
      <c r="C9428" s="3063"/>
      <c r="D9428" s="3064"/>
      <c r="E9428" s="3064"/>
      <c r="F9428" s="3064"/>
      <c r="G9428" s="3301" t="s">
        <v>678</v>
      </c>
      <c r="H9428" s="3063"/>
      <c r="I9428" s="3030"/>
    </row>
    <row r="9429" spans="2:9">
      <c r="B9429" s="3192" t="s">
        <v>679</v>
      </c>
      <c r="C9429" s="3063"/>
      <c r="D9429" s="3064"/>
      <c r="E9429" s="3064"/>
      <c r="F9429" s="3064"/>
      <c r="G9429" s="3301" t="s">
        <v>679</v>
      </c>
      <c r="H9429" s="3063"/>
      <c r="I9429" s="3030"/>
    </row>
    <row r="9430" spans="2:9" ht="25.5">
      <c r="B9430" s="3192" t="s">
        <v>720</v>
      </c>
      <c r="C9430" s="3063"/>
      <c r="D9430" s="3064"/>
      <c r="E9430" s="3064"/>
      <c r="F9430" s="3064"/>
      <c r="G9430" s="3301" t="s">
        <v>720</v>
      </c>
      <c r="H9430" s="3063"/>
      <c r="I9430" s="3030"/>
    </row>
    <row r="9431" spans="2:9">
      <c r="B9431" s="3299" t="s">
        <v>82</v>
      </c>
      <c r="C9431" s="3063"/>
      <c r="D9431" s="3064"/>
      <c r="E9431" s="3064"/>
      <c r="F9431" s="3064"/>
      <c r="G9431" s="3300" t="s">
        <v>82</v>
      </c>
      <c r="H9431" s="3063"/>
      <c r="I9431" s="3030"/>
    </row>
    <row r="9432" spans="2:9" ht="25.5">
      <c r="B9432" s="3192" t="s">
        <v>675</v>
      </c>
      <c r="C9432" s="3063"/>
      <c r="D9432" s="3064"/>
      <c r="E9432" s="3064"/>
      <c r="F9432" s="3064"/>
      <c r="G9432" s="3301" t="s">
        <v>675</v>
      </c>
      <c r="H9432" s="3063"/>
      <c r="I9432" s="3030"/>
    </row>
    <row r="9433" spans="2:9" ht="25.5">
      <c r="B9433" s="3192" t="s">
        <v>676</v>
      </c>
      <c r="C9433" s="3063"/>
      <c r="D9433" s="3064"/>
      <c r="E9433" s="3064"/>
      <c r="F9433" s="3064"/>
      <c r="G9433" s="3301" t="s">
        <v>676</v>
      </c>
      <c r="H9433" s="3063"/>
      <c r="I9433" s="3030"/>
    </row>
    <row r="9434" spans="2:9">
      <c r="B9434" s="3192" t="s">
        <v>677</v>
      </c>
      <c r="C9434" s="3063"/>
      <c r="D9434" s="3064"/>
      <c r="E9434" s="3064"/>
      <c r="F9434" s="3064"/>
      <c r="G9434" s="3301" t="s">
        <v>677</v>
      </c>
      <c r="H9434" s="3063"/>
      <c r="I9434" s="3030"/>
    </row>
    <row r="9435" spans="2:9">
      <c r="B9435" s="3192" t="s">
        <v>678</v>
      </c>
      <c r="C9435" s="3063"/>
      <c r="D9435" s="3064"/>
      <c r="E9435" s="3064"/>
      <c r="F9435" s="3064"/>
      <c r="G9435" s="3301" t="s">
        <v>678</v>
      </c>
      <c r="H9435" s="3063"/>
      <c r="I9435" s="3030"/>
    </row>
    <row r="9436" spans="2:9">
      <c r="B9436" s="3192" t="s">
        <v>679</v>
      </c>
      <c r="C9436" s="3063"/>
      <c r="D9436" s="3064"/>
      <c r="E9436" s="3064"/>
      <c r="F9436" s="3064"/>
      <c r="G9436" s="3301" t="s">
        <v>679</v>
      </c>
      <c r="H9436" s="3063"/>
      <c r="I9436" s="3030"/>
    </row>
    <row r="9437" spans="2:9" ht="25.5">
      <c r="B9437" s="3192" t="s">
        <v>720</v>
      </c>
      <c r="C9437" s="3063"/>
      <c r="D9437" s="3064"/>
      <c r="E9437" s="3064"/>
      <c r="F9437" s="3064"/>
      <c r="G9437" s="3301" t="s">
        <v>720</v>
      </c>
      <c r="H9437" s="3063"/>
      <c r="I9437" s="3030"/>
    </row>
    <row r="9438" spans="2:9" ht="38.25">
      <c r="B9438" s="3299" t="s">
        <v>680</v>
      </c>
      <c r="C9438" s="3063"/>
      <c r="D9438" s="3064"/>
      <c r="E9438" s="3064"/>
      <c r="F9438" s="3064"/>
      <c r="G9438" s="3300" t="s">
        <v>680</v>
      </c>
      <c r="H9438" s="3063"/>
      <c r="I9438" s="3030"/>
    </row>
    <row r="9439" spans="2:9" ht="25.5">
      <c r="B9439" s="3192" t="s">
        <v>675</v>
      </c>
      <c r="C9439" s="3063"/>
      <c r="D9439" s="3064"/>
      <c r="E9439" s="3064"/>
      <c r="F9439" s="3064"/>
      <c r="G9439" s="3301" t="s">
        <v>675</v>
      </c>
      <c r="H9439" s="3063"/>
      <c r="I9439" s="3030"/>
    </row>
    <row r="9440" spans="2:9" ht="25.5">
      <c r="B9440" s="3192" t="s">
        <v>676</v>
      </c>
      <c r="C9440" s="3063"/>
      <c r="D9440" s="3064"/>
      <c r="E9440" s="3064"/>
      <c r="F9440" s="3064"/>
      <c r="G9440" s="3301" t="s">
        <v>676</v>
      </c>
      <c r="H9440" s="3063"/>
      <c r="I9440" s="3030"/>
    </row>
    <row r="9441" spans="2:9">
      <c r="B9441" s="3192" t="s">
        <v>677</v>
      </c>
      <c r="C9441" s="3063"/>
      <c r="D9441" s="3064"/>
      <c r="E9441" s="3064"/>
      <c r="F9441" s="3064"/>
      <c r="G9441" s="3301" t="s">
        <v>677</v>
      </c>
      <c r="H9441" s="3063"/>
      <c r="I9441" s="3030"/>
    </row>
    <row r="9442" spans="2:9">
      <c r="B9442" s="3192" t="s">
        <v>678</v>
      </c>
      <c r="C9442" s="3063"/>
      <c r="D9442" s="3064"/>
      <c r="E9442" s="3064"/>
      <c r="F9442" s="3064"/>
      <c r="G9442" s="3301" t="s">
        <v>678</v>
      </c>
      <c r="H9442" s="3063"/>
      <c r="I9442" s="3030"/>
    </row>
    <row r="9443" spans="2:9">
      <c r="B9443" s="3192" t="s">
        <v>679</v>
      </c>
      <c r="C9443" s="3063"/>
      <c r="D9443" s="3064"/>
      <c r="E9443" s="3064"/>
      <c r="F9443" s="3064"/>
      <c r="G9443" s="3301" t="s">
        <v>679</v>
      </c>
      <c r="H9443" s="3063"/>
      <c r="I9443" s="3030"/>
    </row>
    <row r="9444" spans="2:9" ht="25.5">
      <c r="B9444" s="3192" t="s">
        <v>720</v>
      </c>
      <c r="C9444" s="3063"/>
      <c r="D9444" s="3064"/>
      <c r="E9444" s="3064"/>
      <c r="F9444" s="3064"/>
      <c r="G9444" s="3301" t="s">
        <v>720</v>
      </c>
      <c r="H9444" s="3063"/>
      <c r="I9444" s="3030"/>
    </row>
    <row r="9445" spans="2:9" ht="38.25">
      <c r="B9445" s="3299" t="s">
        <v>681</v>
      </c>
      <c r="C9445" s="3063"/>
      <c r="D9445" s="3064"/>
      <c r="E9445" s="3064"/>
      <c r="F9445" s="3064"/>
      <c r="G9445" s="3300" t="s">
        <v>681</v>
      </c>
      <c r="H9445" s="3063"/>
      <c r="I9445" s="3030"/>
    </row>
    <row r="9446" spans="2:9" ht="25.5">
      <c r="B9446" s="3192" t="s">
        <v>675</v>
      </c>
      <c r="C9446" s="3063"/>
      <c r="D9446" s="3064"/>
      <c r="E9446" s="3064"/>
      <c r="F9446" s="3064"/>
      <c r="G9446" s="3301" t="s">
        <v>675</v>
      </c>
      <c r="H9446" s="3063"/>
      <c r="I9446" s="3030"/>
    </row>
    <row r="9447" spans="2:9" ht="25.5">
      <c r="B9447" s="3192" t="s">
        <v>676</v>
      </c>
      <c r="C9447" s="3063"/>
      <c r="D9447" s="3064"/>
      <c r="E9447" s="3064"/>
      <c r="F9447" s="3064"/>
      <c r="G9447" s="3301" t="s">
        <v>676</v>
      </c>
      <c r="H9447" s="3063"/>
      <c r="I9447" s="3030"/>
    </row>
    <row r="9448" spans="2:9">
      <c r="B9448" s="3192" t="s">
        <v>677</v>
      </c>
      <c r="C9448" s="3063"/>
      <c r="D9448" s="3064"/>
      <c r="E9448" s="3064"/>
      <c r="F9448" s="3064"/>
      <c r="G9448" s="3301" t="s">
        <v>677</v>
      </c>
      <c r="H9448" s="3063"/>
      <c r="I9448" s="3030"/>
    </row>
    <row r="9449" spans="2:9">
      <c r="B9449" s="3192" t="s">
        <v>678</v>
      </c>
      <c r="C9449" s="3063"/>
      <c r="D9449" s="3064"/>
      <c r="E9449" s="3064"/>
      <c r="F9449" s="3064"/>
      <c r="G9449" s="3301" t="s">
        <v>678</v>
      </c>
      <c r="H9449" s="3063"/>
      <c r="I9449" s="3030"/>
    </row>
    <row r="9450" spans="2:9">
      <c r="B9450" s="3192" t="s">
        <v>679</v>
      </c>
      <c r="C9450" s="3063"/>
      <c r="D9450" s="3064"/>
      <c r="E9450" s="3064"/>
      <c r="F9450" s="3064"/>
      <c r="G9450" s="3301" t="s">
        <v>679</v>
      </c>
      <c r="H9450" s="3063"/>
      <c r="I9450" s="3030"/>
    </row>
    <row r="9451" spans="2:9" ht="25.5">
      <c r="B9451" s="3192" t="s">
        <v>720</v>
      </c>
      <c r="C9451" s="3063"/>
      <c r="D9451" s="3064"/>
      <c r="E9451" s="3064"/>
      <c r="F9451" s="3064"/>
      <c r="G9451" s="3301" t="s">
        <v>720</v>
      </c>
      <c r="H9451" s="3063"/>
      <c r="I9451" s="3030"/>
    </row>
    <row r="9452" spans="2:9" ht="25.5">
      <c r="B9452" s="3299" t="s">
        <v>682</v>
      </c>
      <c r="C9452" s="3063"/>
      <c r="D9452" s="3064"/>
      <c r="E9452" s="3064"/>
      <c r="F9452" s="3064"/>
      <c r="G9452" s="3300" t="s">
        <v>682</v>
      </c>
      <c r="H9452" s="3063"/>
      <c r="I9452" s="3030"/>
    </row>
    <row r="9453" spans="2:9" ht="25.5">
      <c r="B9453" s="3192" t="s">
        <v>675</v>
      </c>
      <c r="C9453" s="3063"/>
      <c r="D9453" s="3064"/>
      <c r="E9453" s="3064"/>
      <c r="F9453" s="3064"/>
      <c r="G9453" s="3301" t="s">
        <v>675</v>
      </c>
      <c r="H9453" s="3063"/>
      <c r="I9453" s="3030"/>
    </row>
    <row r="9454" spans="2:9" ht="25.5">
      <c r="B9454" s="3192" t="s">
        <v>676</v>
      </c>
      <c r="C9454" s="3063"/>
      <c r="D9454" s="3064"/>
      <c r="E9454" s="3064"/>
      <c r="F9454" s="3064"/>
      <c r="G9454" s="3301" t="s">
        <v>676</v>
      </c>
      <c r="H9454" s="3063"/>
      <c r="I9454" s="3030"/>
    </row>
    <row r="9455" spans="2:9">
      <c r="B9455" s="3192" t="s">
        <v>677</v>
      </c>
      <c r="C9455" s="3063"/>
      <c r="D9455" s="3064"/>
      <c r="E9455" s="3064"/>
      <c r="F9455" s="3064"/>
      <c r="G9455" s="3301" t="s">
        <v>677</v>
      </c>
      <c r="H9455" s="3063"/>
      <c r="I9455" s="3030"/>
    </row>
    <row r="9456" spans="2:9">
      <c r="B9456" s="3192" t="s">
        <v>678</v>
      </c>
      <c r="C9456" s="3063"/>
      <c r="D9456" s="3064"/>
      <c r="E9456" s="3064"/>
      <c r="F9456" s="3064"/>
      <c r="G9456" s="3301" t="s">
        <v>678</v>
      </c>
      <c r="H9456" s="3063"/>
      <c r="I9456" s="3030"/>
    </row>
    <row r="9457" spans="2:9">
      <c r="B9457" s="3192" t="s">
        <v>679</v>
      </c>
      <c r="C9457" s="3063"/>
      <c r="D9457" s="3064"/>
      <c r="E9457" s="3064"/>
      <c r="F9457" s="3064"/>
      <c r="G9457" s="3301" t="s">
        <v>679</v>
      </c>
      <c r="H9457" s="3063"/>
      <c r="I9457" s="3030"/>
    </row>
    <row r="9458" spans="2:9" ht="25.5">
      <c r="B9458" s="3192" t="s">
        <v>720</v>
      </c>
      <c r="C9458" s="3063"/>
      <c r="D9458" s="3064"/>
      <c r="E9458" s="3064"/>
      <c r="F9458" s="3064"/>
      <c r="G9458" s="3301" t="s">
        <v>720</v>
      </c>
      <c r="H9458" s="3063"/>
      <c r="I9458" s="3030"/>
    </row>
    <row r="9459" spans="2:9" ht="25.5">
      <c r="B9459" s="3299" t="s">
        <v>66</v>
      </c>
      <c r="C9459" s="3063"/>
      <c r="D9459" s="3064"/>
      <c r="E9459" s="3064"/>
      <c r="F9459" s="3064"/>
      <c r="G9459" s="3300" t="s">
        <v>66</v>
      </c>
      <c r="H9459" s="3063"/>
      <c r="I9459" s="3030"/>
    </row>
    <row r="9460" spans="2:9" ht="25.5">
      <c r="B9460" s="3192" t="s">
        <v>675</v>
      </c>
      <c r="C9460" s="3063"/>
      <c r="D9460" s="3064"/>
      <c r="E9460" s="3064"/>
      <c r="F9460" s="3064"/>
      <c r="G9460" s="3301" t="s">
        <v>675</v>
      </c>
      <c r="H9460" s="3063"/>
      <c r="I9460" s="3030"/>
    </row>
    <row r="9461" spans="2:9" ht="25.5">
      <c r="B9461" s="3192" t="s">
        <v>676</v>
      </c>
      <c r="C9461" s="3063"/>
      <c r="D9461" s="3064"/>
      <c r="E9461" s="3064"/>
      <c r="F9461" s="3064"/>
      <c r="G9461" s="3301" t="s">
        <v>676</v>
      </c>
      <c r="H9461" s="3063"/>
      <c r="I9461" s="3030"/>
    </row>
    <row r="9462" spans="2:9">
      <c r="B9462" s="3192" t="s">
        <v>677</v>
      </c>
      <c r="C9462" s="3063"/>
      <c r="D9462" s="3064"/>
      <c r="E9462" s="3064"/>
      <c r="F9462" s="3064"/>
      <c r="G9462" s="3301" t="s">
        <v>677</v>
      </c>
      <c r="H9462" s="3063"/>
      <c r="I9462" s="3030"/>
    </row>
    <row r="9463" spans="2:9">
      <c r="B9463" s="3192" t="s">
        <v>678</v>
      </c>
      <c r="C9463" s="3063"/>
      <c r="D9463" s="3064"/>
      <c r="E9463" s="3064"/>
      <c r="F9463" s="3064"/>
      <c r="G9463" s="3301" t="s">
        <v>678</v>
      </c>
      <c r="H9463" s="3063"/>
      <c r="I9463" s="3030"/>
    </row>
    <row r="9464" spans="2:9">
      <c r="B9464" s="3192" t="s">
        <v>679</v>
      </c>
      <c r="C9464" s="3063"/>
      <c r="D9464" s="3064"/>
      <c r="E9464" s="3064"/>
      <c r="F9464" s="3064"/>
      <c r="G9464" s="3301" t="s">
        <v>679</v>
      </c>
      <c r="H9464" s="3063"/>
      <c r="I9464" s="3030"/>
    </row>
    <row r="9465" spans="2:9" ht="25.5">
      <c r="B9465" s="3192" t="s">
        <v>720</v>
      </c>
      <c r="C9465" s="3063"/>
      <c r="D9465" s="3064"/>
      <c r="E9465" s="3064"/>
      <c r="F9465" s="3064"/>
      <c r="G9465" s="3301" t="s">
        <v>720</v>
      </c>
      <c r="H9465" s="3063"/>
      <c r="I9465" s="3030"/>
    </row>
    <row r="9466" spans="2:9">
      <c r="B9466" s="3299" t="s">
        <v>67</v>
      </c>
      <c r="C9466" s="3063"/>
      <c r="D9466" s="3064"/>
      <c r="E9466" s="3064"/>
      <c r="F9466" s="3064"/>
      <c r="G9466" s="3300" t="s">
        <v>67</v>
      </c>
      <c r="H9466" s="3063"/>
      <c r="I9466" s="3030"/>
    </row>
    <row r="9467" spans="2:9" ht="25.5">
      <c r="B9467" s="3192" t="s">
        <v>675</v>
      </c>
      <c r="C9467" s="3063"/>
      <c r="D9467" s="3064"/>
      <c r="E9467" s="3064"/>
      <c r="F9467" s="3064"/>
      <c r="G9467" s="3301" t="s">
        <v>675</v>
      </c>
      <c r="H9467" s="3063"/>
      <c r="I9467" s="3030"/>
    </row>
    <row r="9468" spans="2:9" ht="25.5">
      <c r="B9468" s="3192" t="s">
        <v>676</v>
      </c>
      <c r="C9468" s="3063"/>
      <c r="D9468" s="3064"/>
      <c r="E9468" s="3064"/>
      <c r="F9468" s="3064"/>
      <c r="G9468" s="3301" t="s">
        <v>676</v>
      </c>
      <c r="H9468" s="3063"/>
      <c r="I9468" s="3030"/>
    </row>
    <row r="9469" spans="2:9">
      <c r="B9469" s="3192" t="s">
        <v>677</v>
      </c>
      <c r="C9469" s="3063"/>
      <c r="D9469" s="3064"/>
      <c r="E9469" s="3064"/>
      <c r="F9469" s="3064"/>
      <c r="G9469" s="3301" t="s">
        <v>677</v>
      </c>
      <c r="H9469" s="3063"/>
      <c r="I9469" s="3030"/>
    </row>
    <row r="9470" spans="2:9">
      <c r="B9470" s="3192" t="s">
        <v>678</v>
      </c>
      <c r="C9470" s="3063"/>
      <c r="D9470" s="3064"/>
      <c r="E9470" s="3064"/>
      <c r="F9470" s="3064"/>
      <c r="G9470" s="3301" t="s">
        <v>678</v>
      </c>
      <c r="H9470" s="3063"/>
      <c r="I9470" s="3030"/>
    </row>
    <row r="9471" spans="2:9">
      <c r="B9471" s="3192" t="s">
        <v>679</v>
      </c>
      <c r="C9471" s="3063"/>
      <c r="D9471" s="3064"/>
      <c r="E9471" s="3064"/>
      <c r="F9471" s="3064"/>
      <c r="G9471" s="3301" t="s">
        <v>679</v>
      </c>
      <c r="H9471" s="3063"/>
      <c r="I9471" s="3030"/>
    </row>
    <row r="9472" spans="2:9" ht="25.5">
      <c r="B9472" s="3230" t="s">
        <v>81</v>
      </c>
      <c r="C9472" s="3063"/>
      <c r="D9472" s="3064"/>
      <c r="E9472" s="3064"/>
      <c r="F9472" s="3064"/>
      <c r="G9472" s="3302" t="s">
        <v>81</v>
      </c>
      <c r="H9472" s="3063"/>
      <c r="I9472" s="3030"/>
    </row>
    <row r="9473" spans="2:9" ht="26.25" thickBot="1">
      <c r="B9473" s="3303" t="s">
        <v>81</v>
      </c>
      <c r="C9473" s="3063"/>
      <c r="D9473" s="3064"/>
      <c r="E9473" s="3064"/>
      <c r="F9473" s="3064"/>
      <c r="G9473" s="3302" t="s">
        <v>81</v>
      </c>
      <c r="H9473" s="3063"/>
      <c r="I9473" s="3030"/>
    </row>
    <row r="9474" spans="2:9">
      <c r="B9474" s="3217" t="s">
        <v>697</v>
      </c>
      <c r="C9474" s="3218"/>
      <c r="D9474" s="3219"/>
      <c r="E9474" s="3219"/>
      <c r="F9474" s="3219"/>
      <c r="G9474" s="3217" t="s">
        <v>697</v>
      </c>
      <c r="H9474" s="3297"/>
      <c r="I9474" s="3298"/>
    </row>
    <row r="9475" spans="2:9">
      <c r="B9475" s="3299" t="s">
        <v>64</v>
      </c>
      <c r="C9475" s="3063"/>
      <c r="D9475" s="3064"/>
      <c r="E9475" s="3064"/>
      <c r="F9475" s="3064"/>
      <c r="G9475" s="3300" t="s">
        <v>64</v>
      </c>
      <c r="H9475" s="3063"/>
      <c r="I9475" s="3030"/>
    </row>
    <row r="9476" spans="2:9" ht="25.5">
      <c r="B9476" s="3192" t="s">
        <v>675</v>
      </c>
      <c r="C9476" s="3063"/>
      <c r="D9476" s="3064"/>
      <c r="E9476" s="3064"/>
      <c r="F9476" s="3064"/>
      <c r="G9476" s="3301" t="s">
        <v>675</v>
      </c>
      <c r="H9476" s="3063"/>
      <c r="I9476" s="3030"/>
    </row>
    <row r="9477" spans="2:9" ht="25.5">
      <c r="B9477" s="3192" t="s">
        <v>676</v>
      </c>
      <c r="C9477" s="3063"/>
      <c r="D9477" s="3064"/>
      <c r="E9477" s="3064"/>
      <c r="F9477" s="3064"/>
      <c r="G9477" s="3301" t="s">
        <v>676</v>
      </c>
      <c r="H9477" s="3063"/>
      <c r="I9477" s="3030"/>
    </row>
    <row r="9478" spans="2:9">
      <c r="B9478" s="3192" t="s">
        <v>677</v>
      </c>
      <c r="C9478" s="3063"/>
      <c r="D9478" s="3064"/>
      <c r="E9478" s="3064"/>
      <c r="F9478" s="3064"/>
      <c r="G9478" s="3301" t="s">
        <v>677</v>
      </c>
      <c r="H9478" s="3063"/>
      <c r="I9478" s="3030"/>
    </row>
    <row r="9479" spans="2:9">
      <c r="B9479" s="3192" t="s">
        <v>678</v>
      </c>
      <c r="C9479" s="3063"/>
      <c r="D9479" s="3064"/>
      <c r="E9479" s="3064"/>
      <c r="F9479" s="3064"/>
      <c r="G9479" s="3301" t="s">
        <v>678</v>
      </c>
      <c r="H9479" s="3063"/>
      <c r="I9479" s="3030"/>
    </row>
    <row r="9480" spans="2:9">
      <c r="B9480" s="3192" t="s">
        <v>679</v>
      </c>
      <c r="C9480" s="3063"/>
      <c r="D9480" s="3064"/>
      <c r="E9480" s="3064"/>
      <c r="F9480" s="3064"/>
      <c r="G9480" s="3301" t="s">
        <v>679</v>
      </c>
      <c r="H9480" s="3063"/>
      <c r="I9480" s="3030"/>
    </row>
    <row r="9481" spans="2:9" ht="25.5">
      <c r="B9481" s="3192" t="s">
        <v>720</v>
      </c>
      <c r="C9481" s="3063"/>
      <c r="D9481" s="3064"/>
      <c r="E9481" s="3064"/>
      <c r="F9481" s="3064"/>
      <c r="G9481" s="3301" t="s">
        <v>720</v>
      </c>
      <c r="H9481" s="3063"/>
      <c r="I9481" s="3030"/>
    </row>
    <row r="9482" spans="2:9">
      <c r="B9482" s="3299" t="s">
        <v>65</v>
      </c>
      <c r="C9482" s="3063"/>
      <c r="D9482" s="3064"/>
      <c r="E9482" s="3064"/>
      <c r="F9482" s="3064"/>
      <c r="G9482" s="3300" t="s">
        <v>65</v>
      </c>
      <c r="H9482" s="3063"/>
      <c r="I9482" s="3030"/>
    </row>
    <row r="9483" spans="2:9" ht="25.5">
      <c r="B9483" s="3192" t="s">
        <v>675</v>
      </c>
      <c r="C9483" s="3063"/>
      <c r="D9483" s="3064"/>
      <c r="E9483" s="3064"/>
      <c r="F9483" s="3064"/>
      <c r="G9483" s="3301" t="s">
        <v>675</v>
      </c>
      <c r="H9483" s="3063"/>
      <c r="I9483" s="3030"/>
    </row>
    <row r="9484" spans="2:9" ht="25.5">
      <c r="B9484" s="3192" t="s">
        <v>676</v>
      </c>
      <c r="C9484" s="3063"/>
      <c r="D9484" s="3064"/>
      <c r="E9484" s="3064"/>
      <c r="F9484" s="3064"/>
      <c r="G9484" s="3301" t="s">
        <v>676</v>
      </c>
      <c r="H9484" s="3063"/>
      <c r="I9484" s="3030"/>
    </row>
    <row r="9485" spans="2:9">
      <c r="B9485" s="3192" t="s">
        <v>677</v>
      </c>
      <c r="C9485" s="3063"/>
      <c r="D9485" s="3064"/>
      <c r="E9485" s="3064"/>
      <c r="F9485" s="3064"/>
      <c r="G9485" s="3301" t="s">
        <v>677</v>
      </c>
      <c r="H9485" s="3063"/>
      <c r="I9485" s="3030"/>
    </row>
    <row r="9486" spans="2:9">
      <c r="B9486" s="3192" t="s">
        <v>678</v>
      </c>
      <c r="C9486" s="3063"/>
      <c r="D9486" s="3064"/>
      <c r="E9486" s="3064"/>
      <c r="F9486" s="3064"/>
      <c r="G9486" s="3301" t="s">
        <v>678</v>
      </c>
      <c r="H9486" s="3063"/>
      <c r="I9486" s="3030"/>
    </row>
    <row r="9487" spans="2:9">
      <c r="B9487" s="3192" t="s">
        <v>679</v>
      </c>
      <c r="C9487" s="3063"/>
      <c r="D9487" s="3064"/>
      <c r="E9487" s="3064"/>
      <c r="F9487" s="3064"/>
      <c r="G9487" s="3301" t="s">
        <v>679</v>
      </c>
      <c r="H9487" s="3063"/>
      <c r="I9487" s="3030"/>
    </row>
    <row r="9488" spans="2:9" ht="25.5">
      <c r="B9488" s="3192" t="s">
        <v>720</v>
      </c>
      <c r="C9488" s="3063"/>
      <c r="D9488" s="3064"/>
      <c r="E9488" s="3064"/>
      <c r="F9488" s="3064"/>
      <c r="G9488" s="3301" t="s">
        <v>720</v>
      </c>
      <c r="H9488" s="3063"/>
      <c r="I9488" s="3030"/>
    </row>
    <row r="9489" spans="2:9">
      <c r="B9489" s="3299" t="s">
        <v>82</v>
      </c>
      <c r="C9489" s="3063"/>
      <c r="D9489" s="3064"/>
      <c r="E9489" s="3064"/>
      <c r="F9489" s="3064"/>
      <c r="G9489" s="3300" t="s">
        <v>82</v>
      </c>
      <c r="H9489" s="3063"/>
      <c r="I9489" s="3030"/>
    </row>
    <row r="9490" spans="2:9" ht="25.5">
      <c r="B9490" s="3192" t="s">
        <v>675</v>
      </c>
      <c r="C9490" s="3063"/>
      <c r="D9490" s="3064"/>
      <c r="E9490" s="3064"/>
      <c r="F9490" s="3064"/>
      <c r="G9490" s="3301" t="s">
        <v>675</v>
      </c>
      <c r="H9490" s="3063"/>
      <c r="I9490" s="3030"/>
    </row>
    <row r="9491" spans="2:9" ht="25.5">
      <c r="B9491" s="3192" t="s">
        <v>676</v>
      </c>
      <c r="C9491" s="3063"/>
      <c r="D9491" s="3064"/>
      <c r="E9491" s="3064"/>
      <c r="F9491" s="3064"/>
      <c r="G9491" s="3301" t="s">
        <v>676</v>
      </c>
      <c r="H9491" s="3063"/>
      <c r="I9491" s="3030"/>
    </row>
    <row r="9492" spans="2:9">
      <c r="B9492" s="3192" t="s">
        <v>677</v>
      </c>
      <c r="C9492" s="3063"/>
      <c r="D9492" s="3064"/>
      <c r="E9492" s="3064"/>
      <c r="F9492" s="3064"/>
      <c r="G9492" s="3301" t="s">
        <v>677</v>
      </c>
      <c r="H9492" s="3063"/>
      <c r="I9492" s="3030"/>
    </row>
    <row r="9493" spans="2:9">
      <c r="B9493" s="3192" t="s">
        <v>678</v>
      </c>
      <c r="C9493" s="3063"/>
      <c r="D9493" s="3064"/>
      <c r="E9493" s="3064"/>
      <c r="F9493" s="3064"/>
      <c r="G9493" s="3301" t="s">
        <v>678</v>
      </c>
      <c r="H9493" s="3063"/>
      <c r="I9493" s="3030"/>
    </row>
    <row r="9494" spans="2:9">
      <c r="B9494" s="3192" t="s">
        <v>679</v>
      </c>
      <c r="C9494" s="3063"/>
      <c r="D9494" s="3064"/>
      <c r="E9494" s="3064"/>
      <c r="F9494" s="3064"/>
      <c r="G9494" s="3301" t="s">
        <v>679</v>
      </c>
      <c r="H9494" s="3063"/>
      <c r="I9494" s="3030"/>
    </row>
    <row r="9495" spans="2:9" ht="25.5">
      <c r="B9495" s="3192" t="s">
        <v>720</v>
      </c>
      <c r="C9495" s="3063"/>
      <c r="D9495" s="3064"/>
      <c r="E9495" s="3064"/>
      <c r="F9495" s="3064"/>
      <c r="G9495" s="3301" t="s">
        <v>720</v>
      </c>
      <c r="H9495" s="3063"/>
      <c r="I9495" s="3030"/>
    </row>
    <row r="9496" spans="2:9" ht="38.25">
      <c r="B9496" s="3299" t="s">
        <v>680</v>
      </c>
      <c r="C9496" s="3063"/>
      <c r="D9496" s="3064"/>
      <c r="E9496" s="3064"/>
      <c r="F9496" s="3064"/>
      <c r="G9496" s="3300" t="s">
        <v>680</v>
      </c>
      <c r="H9496" s="3063"/>
      <c r="I9496" s="3030"/>
    </row>
    <row r="9497" spans="2:9" ht="25.5">
      <c r="B9497" s="3192" t="s">
        <v>675</v>
      </c>
      <c r="C9497" s="3063"/>
      <c r="D9497" s="3064"/>
      <c r="E9497" s="3064"/>
      <c r="F9497" s="3064"/>
      <c r="G9497" s="3301" t="s">
        <v>675</v>
      </c>
      <c r="H9497" s="3063"/>
      <c r="I9497" s="3030"/>
    </row>
    <row r="9498" spans="2:9" ht="25.5">
      <c r="B9498" s="3192" t="s">
        <v>676</v>
      </c>
      <c r="C9498" s="3063"/>
      <c r="D9498" s="3064"/>
      <c r="E9498" s="3064"/>
      <c r="F9498" s="3064"/>
      <c r="G9498" s="3301" t="s">
        <v>676</v>
      </c>
      <c r="H9498" s="3063"/>
      <c r="I9498" s="3030"/>
    </row>
    <row r="9499" spans="2:9">
      <c r="B9499" s="3192" t="s">
        <v>677</v>
      </c>
      <c r="C9499" s="3063"/>
      <c r="D9499" s="3064"/>
      <c r="E9499" s="3064"/>
      <c r="F9499" s="3064"/>
      <c r="G9499" s="3301" t="s">
        <v>677</v>
      </c>
      <c r="H9499" s="3063"/>
      <c r="I9499" s="3030"/>
    </row>
    <row r="9500" spans="2:9">
      <c r="B9500" s="3192" t="s">
        <v>678</v>
      </c>
      <c r="C9500" s="3063"/>
      <c r="D9500" s="3064"/>
      <c r="E9500" s="3064"/>
      <c r="F9500" s="3064"/>
      <c r="G9500" s="3301" t="s">
        <v>678</v>
      </c>
      <c r="H9500" s="3063"/>
      <c r="I9500" s="3030"/>
    </row>
    <row r="9501" spans="2:9">
      <c r="B9501" s="3192" t="s">
        <v>679</v>
      </c>
      <c r="C9501" s="3063"/>
      <c r="D9501" s="3064"/>
      <c r="E9501" s="3064"/>
      <c r="F9501" s="3064"/>
      <c r="G9501" s="3301" t="s">
        <v>679</v>
      </c>
      <c r="H9501" s="3063"/>
      <c r="I9501" s="3030"/>
    </row>
    <row r="9502" spans="2:9" ht="25.5">
      <c r="B9502" s="3192" t="s">
        <v>720</v>
      </c>
      <c r="C9502" s="3063"/>
      <c r="D9502" s="3064"/>
      <c r="E9502" s="3064"/>
      <c r="F9502" s="3064"/>
      <c r="G9502" s="3301" t="s">
        <v>720</v>
      </c>
      <c r="H9502" s="3063"/>
      <c r="I9502" s="3030"/>
    </row>
    <row r="9503" spans="2:9" ht="38.25">
      <c r="B9503" s="3299" t="s">
        <v>681</v>
      </c>
      <c r="C9503" s="3063"/>
      <c r="D9503" s="3064"/>
      <c r="E9503" s="3064"/>
      <c r="F9503" s="3064"/>
      <c r="G9503" s="3300" t="s">
        <v>681</v>
      </c>
      <c r="H9503" s="3063">
        <v>2.3852858863561706E-2</v>
      </c>
      <c r="I9503" s="3030"/>
    </row>
    <row r="9504" spans="2:9" ht="25.5">
      <c r="B9504" s="3192" t="s">
        <v>675</v>
      </c>
      <c r="C9504" s="3063">
        <v>2</v>
      </c>
      <c r="D9504" s="3064"/>
      <c r="E9504" s="3064"/>
      <c r="F9504" s="3064"/>
      <c r="G9504" s="3301" t="s">
        <v>675</v>
      </c>
      <c r="H9504" s="3063"/>
      <c r="I9504" s="3030"/>
    </row>
    <row r="9505" spans="2:9" ht="25.5">
      <c r="B9505" s="3192" t="s">
        <v>676</v>
      </c>
      <c r="C9505" s="3063"/>
      <c r="D9505" s="3064"/>
      <c r="E9505" s="3064"/>
      <c r="F9505" s="3064"/>
      <c r="G9505" s="3301" t="s">
        <v>676</v>
      </c>
      <c r="H9505" s="3063"/>
      <c r="I9505" s="3030"/>
    </row>
    <row r="9506" spans="2:9">
      <c r="B9506" s="3192" t="s">
        <v>677</v>
      </c>
      <c r="C9506" s="3063"/>
      <c r="D9506" s="3064"/>
      <c r="E9506" s="3064"/>
      <c r="F9506" s="3064"/>
      <c r="G9506" s="3301" t="s">
        <v>677</v>
      </c>
      <c r="H9506" s="3063"/>
      <c r="I9506" s="3030"/>
    </row>
    <row r="9507" spans="2:9">
      <c r="B9507" s="3192" t="s">
        <v>678</v>
      </c>
      <c r="C9507" s="3063"/>
      <c r="D9507" s="3064"/>
      <c r="E9507" s="3064"/>
      <c r="F9507" s="3064"/>
      <c r="G9507" s="3301" t="s">
        <v>678</v>
      </c>
      <c r="H9507" s="3063"/>
      <c r="I9507" s="3030"/>
    </row>
    <row r="9508" spans="2:9">
      <c r="B9508" s="3192" t="s">
        <v>679</v>
      </c>
      <c r="C9508" s="3063"/>
      <c r="D9508" s="3064"/>
      <c r="E9508" s="3064"/>
      <c r="F9508" s="3064"/>
      <c r="G9508" s="3301" t="s">
        <v>679</v>
      </c>
      <c r="H9508" s="3063"/>
      <c r="I9508" s="3030"/>
    </row>
    <row r="9509" spans="2:9" ht="25.5">
      <c r="B9509" s="3192" t="s">
        <v>720</v>
      </c>
      <c r="C9509" s="3063"/>
      <c r="D9509" s="3064"/>
      <c r="E9509" s="3064"/>
      <c r="F9509" s="3064"/>
      <c r="G9509" s="3301" t="s">
        <v>720</v>
      </c>
      <c r="H9509" s="3063"/>
      <c r="I9509" s="3030"/>
    </row>
    <row r="9510" spans="2:9" ht="25.5">
      <c r="B9510" s="3299" t="s">
        <v>682</v>
      </c>
      <c r="C9510" s="3063"/>
      <c r="D9510" s="3064"/>
      <c r="E9510" s="3064"/>
      <c r="F9510" s="3064"/>
      <c r="G9510" s="3300" t="s">
        <v>682</v>
      </c>
      <c r="H9510" s="3063"/>
      <c r="I9510" s="3030"/>
    </row>
    <row r="9511" spans="2:9" ht="25.5">
      <c r="B9511" s="3192" t="s">
        <v>675</v>
      </c>
      <c r="C9511" s="3063"/>
      <c r="D9511" s="3064"/>
      <c r="E9511" s="3064"/>
      <c r="F9511" s="3064"/>
      <c r="G9511" s="3301" t="s">
        <v>675</v>
      </c>
      <c r="H9511" s="3063"/>
      <c r="I9511" s="3030"/>
    </row>
    <row r="9512" spans="2:9" ht="25.5">
      <c r="B9512" s="3192" t="s">
        <v>676</v>
      </c>
      <c r="C9512" s="3063"/>
      <c r="D9512" s="3064"/>
      <c r="E9512" s="3064"/>
      <c r="F9512" s="3064"/>
      <c r="G9512" s="3301" t="s">
        <v>676</v>
      </c>
      <c r="H9512" s="3063"/>
      <c r="I9512" s="3030"/>
    </row>
    <row r="9513" spans="2:9">
      <c r="B9513" s="3192" t="s">
        <v>677</v>
      </c>
      <c r="C9513" s="3063"/>
      <c r="D9513" s="3064"/>
      <c r="E9513" s="3064"/>
      <c r="F9513" s="3064"/>
      <c r="G9513" s="3301" t="s">
        <v>677</v>
      </c>
      <c r="H9513" s="3063"/>
      <c r="I9513" s="3030"/>
    </row>
    <row r="9514" spans="2:9">
      <c r="B9514" s="3192" t="s">
        <v>678</v>
      </c>
      <c r="C9514" s="3063"/>
      <c r="D9514" s="3064"/>
      <c r="E9514" s="3064"/>
      <c r="F9514" s="3064"/>
      <c r="G9514" s="3301" t="s">
        <v>678</v>
      </c>
      <c r="H9514" s="3063"/>
      <c r="I9514" s="3030"/>
    </row>
    <row r="9515" spans="2:9">
      <c r="B9515" s="3192" t="s">
        <v>679</v>
      </c>
      <c r="C9515" s="3063"/>
      <c r="D9515" s="3064"/>
      <c r="E9515" s="3064"/>
      <c r="F9515" s="3064"/>
      <c r="G9515" s="3301" t="s">
        <v>679</v>
      </c>
      <c r="H9515" s="3063"/>
      <c r="I9515" s="3030"/>
    </row>
    <row r="9516" spans="2:9" ht="25.5">
      <c r="B9516" s="3192" t="s">
        <v>720</v>
      </c>
      <c r="C9516" s="3063"/>
      <c r="D9516" s="3064"/>
      <c r="E9516" s="3064"/>
      <c r="F9516" s="3064"/>
      <c r="G9516" s="3301" t="s">
        <v>720</v>
      </c>
      <c r="H9516" s="3063"/>
      <c r="I9516" s="3030"/>
    </row>
    <row r="9517" spans="2:9" ht="25.5">
      <c r="B9517" s="3299" t="s">
        <v>66</v>
      </c>
      <c r="C9517" s="3063"/>
      <c r="D9517" s="3064"/>
      <c r="E9517" s="3064"/>
      <c r="F9517" s="3064"/>
      <c r="G9517" s="3300" t="s">
        <v>66</v>
      </c>
      <c r="H9517" s="3063"/>
      <c r="I9517" s="3030"/>
    </row>
    <row r="9518" spans="2:9" ht="25.5">
      <c r="B9518" s="3192" t="s">
        <v>675</v>
      </c>
      <c r="C9518" s="3063"/>
      <c r="D9518" s="3064"/>
      <c r="E9518" s="3064"/>
      <c r="F9518" s="3064"/>
      <c r="G9518" s="3301" t="s">
        <v>675</v>
      </c>
      <c r="H9518" s="3063"/>
      <c r="I9518" s="3030"/>
    </row>
    <row r="9519" spans="2:9" ht="25.5">
      <c r="B9519" s="3192" t="s">
        <v>676</v>
      </c>
      <c r="C9519" s="3063"/>
      <c r="D9519" s="3064"/>
      <c r="E9519" s="3064"/>
      <c r="F9519" s="3064"/>
      <c r="G9519" s="3301" t="s">
        <v>676</v>
      </c>
      <c r="H9519" s="3063"/>
      <c r="I9519" s="3030"/>
    </row>
    <row r="9520" spans="2:9">
      <c r="B9520" s="3192" t="s">
        <v>677</v>
      </c>
      <c r="C9520" s="3063"/>
      <c r="D9520" s="3064"/>
      <c r="E9520" s="3064"/>
      <c r="F9520" s="3064"/>
      <c r="G9520" s="3301" t="s">
        <v>677</v>
      </c>
      <c r="H9520" s="3063"/>
      <c r="I9520" s="3030"/>
    </row>
    <row r="9521" spans="2:9">
      <c r="B9521" s="3192" t="s">
        <v>678</v>
      </c>
      <c r="C9521" s="3063"/>
      <c r="D9521" s="3064"/>
      <c r="E9521" s="3064"/>
      <c r="F9521" s="3064"/>
      <c r="G9521" s="3301" t="s">
        <v>678</v>
      </c>
      <c r="H9521" s="3063"/>
      <c r="I9521" s="3030"/>
    </row>
    <row r="9522" spans="2:9">
      <c r="B9522" s="3192" t="s">
        <v>679</v>
      </c>
      <c r="C9522" s="3063"/>
      <c r="D9522" s="3064"/>
      <c r="E9522" s="3064"/>
      <c r="F9522" s="3064"/>
      <c r="G9522" s="3301" t="s">
        <v>679</v>
      </c>
      <c r="H9522" s="3063"/>
      <c r="I9522" s="3030"/>
    </row>
    <row r="9523" spans="2:9" ht="25.5">
      <c r="B9523" s="3192" t="s">
        <v>720</v>
      </c>
      <c r="C9523" s="3063"/>
      <c r="D9523" s="3064"/>
      <c r="E9523" s="3064"/>
      <c r="F9523" s="3064"/>
      <c r="G9523" s="3301" t="s">
        <v>720</v>
      </c>
      <c r="H9523" s="3063"/>
      <c r="I9523" s="3030"/>
    </row>
    <row r="9524" spans="2:9">
      <c r="B9524" s="3299" t="s">
        <v>67</v>
      </c>
      <c r="C9524" s="3063"/>
      <c r="D9524" s="3064"/>
      <c r="E9524" s="3064"/>
      <c r="F9524" s="3064">
        <v>1</v>
      </c>
      <c r="G9524" s="3300" t="s">
        <v>67</v>
      </c>
      <c r="H9524" s="3063">
        <v>5.0432617055694101E-2</v>
      </c>
      <c r="I9524" s="3030"/>
    </row>
    <row r="9525" spans="2:9" ht="25.5">
      <c r="B9525" s="3192" t="s">
        <v>675</v>
      </c>
      <c r="C9525" s="3063"/>
      <c r="D9525" s="3064"/>
      <c r="E9525" s="3064"/>
      <c r="F9525" s="3064"/>
      <c r="G9525" s="3301" t="s">
        <v>675</v>
      </c>
      <c r="H9525" s="3063"/>
      <c r="I9525" s="3030"/>
    </row>
    <row r="9526" spans="2:9" ht="25.5">
      <c r="B9526" s="3192" t="s">
        <v>676</v>
      </c>
      <c r="C9526" s="3063"/>
      <c r="D9526" s="3064"/>
      <c r="E9526" s="3064"/>
      <c r="F9526" s="3064"/>
      <c r="G9526" s="3301" t="s">
        <v>676</v>
      </c>
      <c r="H9526" s="3063"/>
      <c r="I9526" s="3030"/>
    </row>
    <row r="9527" spans="2:9">
      <c r="B9527" s="3192" t="s">
        <v>677</v>
      </c>
      <c r="C9527" s="3063"/>
      <c r="D9527" s="3064"/>
      <c r="E9527" s="3064"/>
      <c r="F9527" s="3064"/>
      <c r="G9527" s="3301" t="s">
        <v>677</v>
      </c>
      <c r="H9527" s="3063"/>
      <c r="I9527" s="3030"/>
    </row>
    <row r="9528" spans="2:9">
      <c r="B9528" s="3192" t="s">
        <v>678</v>
      </c>
      <c r="C9528" s="3063"/>
      <c r="D9528" s="3064"/>
      <c r="E9528" s="3064"/>
      <c r="F9528" s="3064"/>
      <c r="G9528" s="3301" t="s">
        <v>678</v>
      </c>
      <c r="H9528" s="3063"/>
      <c r="I9528" s="3030"/>
    </row>
    <row r="9529" spans="2:9">
      <c r="B9529" s="3192" t="s">
        <v>679</v>
      </c>
      <c r="C9529" s="3063"/>
      <c r="D9529" s="3064"/>
      <c r="E9529" s="3064"/>
      <c r="F9529" s="3064"/>
      <c r="G9529" s="3301" t="s">
        <v>679</v>
      </c>
      <c r="H9529" s="3063"/>
      <c r="I9529" s="3030"/>
    </row>
    <row r="9530" spans="2:9" ht="25.5">
      <c r="B9530" s="3230" t="s">
        <v>81</v>
      </c>
      <c r="C9530" s="3063"/>
      <c r="D9530" s="3064"/>
      <c r="E9530" s="3064"/>
      <c r="F9530" s="3064"/>
      <c r="G9530" s="3302" t="s">
        <v>81</v>
      </c>
      <c r="H9530" s="3063"/>
      <c r="I9530" s="3030"/>
    </row>
    <row r="9531" spans="2:9" ht="26.25" thickBot="1">
      <c r="B9531" s="3303" t="s">
        <v>81</v>
      </c>
      <c r="C9531" s="3068"/>
      <c r="D9531" s="3069"/>
      <c r="E9531" s="3069"/>
      <c r="F9531" s="3069"/>
      <c r="G9531" s="3304" t="s">
        <v>81</v>
      </c>
      <c r="H9531" s="3068"/>
      <c r="I9531" s="3070"/>
    </row>
    <row r="9532" spans="2:9" ht="38.25">
      <c r="B9532" s="4723">
        <v>3216</v>
      </c>
      <c r="C9532" s="3289"/>
      <c r="D9532" s="3290"/>
      <c r="E9532" s="3290"/>
      <c r="F9532" s="3290"/>
      <c r="G9532" s="4723">
        <v>3216</v>
      </c>
      <c r="H9532" s="3291" t="s">
        <v>687</v>
      </c>
      <c r="I9532" s="3292" t="s">
        <v>688</v>
      </c>
    </row>
    <row r="9533" spans="2:9">
      <c r="B9533" s="4724"/>
      <c r="C9533" s="4678" t="s">
        <v>686</v>
      </c>
      <c r="D9533" s="4725"/>
      <c r="E9533" s="4725"/>
      <c r="F9533" s="4726"/>
      <c r="G9533" s="4724"/>
      <c r="H9533" s="3293"/>
      <c r="I9533" s="3294"/>
    </row>
    <row r="9534" spans="2:9" ht="13.5" thickBot="1">
      <c r="B9534" s="4724"/>
      <c r="C9534" s="3215">
        <v>2013</v>
      </c>
      <c r="D9534" s="3215">
        <v>2014</v>
      </c>
      <c r="E9534" s="3215">
        <v>2015</v>
      </c>
      <c r="F9534" s="3215">
        <v>2016</v>
      </c>
      <c r="G9534" s="4724"/>
      <c r="H9534" s="3295" t="s">
        <v>390</v>
      </c>
      <c r="I9534" s="3296" t="s">
        <v>390</v>
      </c>
    </row>
    <row r="9535" spans="2:9">
      <c r="B9535" s="3217" t="s">
        <v>695</v>
      </c>
      <c r="C9535" s="3218"/>
      <c r="D9535" s="3219"/>
      <c r="E9535" s="3219"/>
      <c r="F9535" s="3219"/>
      <c r="G9535" s="3217" t="s">
        <v>695</v>
      </c>
      <c r="H9535" s="3297"/>
      <c r="I9535" s="3298"/>
    </row>
    <row r="9536" spans="2:9">
      <c r="B9536" s="3299" t="s">
        <v>64</v>
      </c>
      <c r="C9536" s="3063"/>
      <c r="D9536" s="3064"/>
      <c r="E9536" s="3064"/>
      <c r="F9536" s="3064">
        <v>2</v>
      </c>
      <c r="G9536" s="3300" t="s">
        <v>64</v>
      </c>
      <c r="H9536" s="3063">
        <v>0.4715312978898975</v>
      </c>
      <c r="I9536" s="3030"/>
    </row>
    <row r="9537" spans="2:9" ht="25.5">
      <c r="B9537" s="3192" t="s">
        <v>675</v>
      </c>
      <c r="C9537" s="3063">
        <v>1</v>
      </c>
      <c r="D9537" s="3064">
        <v>1</v>
      </c>
      <c r="E9537" s="3064"/>
      <c r="F9537" s="3064"/>
      <c r="G9537" s="3301" t="s">
        <v>675</v>
      </c>
      <c r="H9537" s="3063"/>
      <c r="I9537" s="3063">
        <v>0.35364847341742317</v>
      </c>
    </row>
    <row r="9538" spans="2:9" ht="25.5">
      <c r="B9538" s="3192" t="s">
        <v>676</v>
      </c>
      <c r="C9538" s="3063"/>
      <c r="D9538" s="3064"/>
      <c r="E9538" s="3064"/>
      <c r="F9538" s="3064"/>
      <c r="G9538" s="3301" t="s">
        <v>676</v>
      </c>
      <c r="H9538" s="3063"/>
      <c r="I9538" s="3030"/>
    </row>
    <row r="9539" spans="2:9">
      <c r="B9539" s="3192" t="s">
        <v>677</v>
      </c>
      <c r="C9539" s="3063"/>
      <c r="D9539" s="3064"/>
      <c r="E9539" s="3064"/>
      <c r="F9539" s="3064"/>
      <c r="G9539" s="3301" t="s">
        <v>677</v>
      </c>
      <c r="H9539" s="3063"/>
      <c r="I9539" s="3030"/>
    </row>
    <row r="9540" spans="2:9">
      <c r="B9540" s="3192" t="s">
        <v>678</v>
      </c>
      <c r="C9540" s="3063"/>
      <c r="D9540" s="3064"/>
      <c r="E9540" s="3064"/>
      <c r="F9540" s="3064"/>
      <c r="G9540" s="3301" t="s">
        <v>678</v>
      </c>
      <c r="H9540" s="3063"/>
      <c r="I9540" s="3030"/>
    </row>
    <row r="9541" spans="2:9">
      <c r="B9541" s="3192" t="s">
        <v>679</v>
      </c>
      <c r="C9541" s="3063"/>
      <c r="D9541" s="3064"/>
      <c r="E9541" s="3064"/>
      <c r="F9541" s="3064"/>
      <c r="G9541" s="3301" t="s">
        <v>679</v>
      </c>
      <c r="H9541" s="3063"/>
      <c r="I9541" s="3030"/>
    </row>
    <row r="9542" spans="2:9" ht="25.5">
      <c r="B9542" s="3192" t="s">
        <v>720</v>
      </c>
      <c r="C9542" s="3063"/>
      <c r="D9542" s="3064"/>
      <c r="E9542" s="3064"/>
      <c r="F9542" s="3064"/>
      <c r="G9542" s="3301" t="s">
        <v>720</v>
      </c>
      <c r="H9542" s="3063"/>
      <c r="I9542" s="3030"/>
    </row>
    <row r="9543" spans="2:9">
      <c r="B9543" s="3299" t="s">
        <v>65</v>
      </c>
      <c r="C9543" s="3063"/>
      <c r="D9543" s="3064"/>
      <c r="E9543" s="3064"/>
      <c r="F9543" s="3064"/>
      <c r="G9543" s="3300" t="s">
        <v>65</v>
      </c>
      <c r="H9543" s="3063">
        <v>0.16943409013893601</v>
      </c>
      <c r="I9543" s="3030"/>
    </row>
    <row r="9544" spans="2:9" ht="25.5">
      <c r="B9544" s="3192" t="s">
        <v>675</v>
      </c>
      <c r="C9544" s="3063"/>
      <c r="D9544" s="3064"/>
      <c r="E9544" s="3064"/>
      <c r="F9544" s="3064"/>
      <c r="G9544" s="3301" t="s">
        <v>675</v>
      </c>
      <c r="H9544" s="3063"/>
      <c r="I9544" s="3030"/>
    </row>
    <row r="9545" spans="2:9" ht="25.5">
      <c r="B9545" s="3192" t="s">
        <v>676</v>
      </c>
      <c r="C9545" s="3063"/>
      <c r="D9545" s="3064"/>
      <c r="E9545" s="3064"/>
      <c r="F9545" s="3064"/>
      <c r="G9545" s="3301" t="s">
        <v>676</v>
      </c>
      <c r="H9545" s="3063"/>
      <c r="I9545" s="3030"/>
    </row>
    <row r="9546" spans="2:9">
      <c r="B9546" s="3192" t="s">
        <v>677</v>
      </c>
      <c r="C9546" s="3063"/>
      <c r="D9546" s="3064"/>
      <c r="E9546" s="3064"/>
      <c r="F9546" s="3064"/>
      <c r="G9546" s="3301" t="s">
        <v>677</v>
      </c>
      <c r="H9546" s="3063"/>
      <c r="I9546" s="3030"/>
    </row>
    <row r="9547" spans="2:9">
      <c r="B9547" s="3192" t="s">
        <v>678</v>
      </c>
      <c r="C9547" s="3063"/>
      <c r="D9547" s="3064">
        <v>1</v>
      </c>
      <c r="E9547" s="3064"/>
      <c r="F9547" s="3064"/>
      <c r="G9547" s="3301" t="s">
        <v>678</v>
      </c>
      <c r="H9547" s="3063"/>
      <c r="I9547" s="3030"/>
    </row>
    <row r="9548" spans="2:9">
      <c r="B9548" s="3192" t="s">
        <v>679</v>
      </c>
      <c r="C9548" s="3063"/>
      <c r="D9548" s="3064">
        <v>1</v>
      </c>
      <c r="E9548" s="3064"/>
      <c r="F9548" s="3064"/>
      <c r="G9548" s="3301" t="s">
        <v>679</v>
      </c>
      <c r="H9548" s="3063"/>
      <c r="I9548" s="3030"/>
    </row>
    <row r="9549" spans="2:9" ht="25.5">
      <c r="B9549" s="3192" t="s">
        <v>720</v>
      </c>
      <c r="C9549" s="3063"/>
      <c r="D9549" s="3064"/>
      <c r="E9549" s="3064"/>
      <c r="F9549" s="3064"/>
      <c r="G9549" s="3301" t="s">
        <v>720</v>
      </c>
      <c r="H9549" s="3063"/>
      <c r="I9549" s="3030"/>
    </row>
    <row r="9550" spans="2:9">
      <c r="B9550" s="3299" t="s">
        <v>82</v>
      </c>
      <c r="C9550" s="3063"/>
      <c r="D9550" s="3064"/>
      <c r="E9550" s="3064"/>
      <c r="F9550" s="3064"/>
      <c r="G9550" s="3300" t="s">
        <v>82</v>
      </c>
      <c r="H9550" s="3063"/>
      <c r="I9550" s="3030"/>
    </row>
    <row r="9551" spans="2:9" ht="25.5">
      <c r="B9551" s="3192" t="s">
        <v>675</v>
      </c>
      <c r="C9551" s="3063"/>
      <c r="D9551" s="3064"/>
      <c r="E9551" s="3064"/>
      <c r="F9551" s="3064"/>
      <c r="G9551" s="3301" t="s">
        <v>675</v>
      </c>
      <c r="H9551" s="3063"/>
      <c r="I9551" s="3030"/>
    </row>
    <row r="9552" spans="2:9" ht="25.5">
      <c r="B9552" s="3192" t="s">
        <v>676</v>
      </c>
      <c r="C9552" s="3063"/>
      <c r="D9552" s="3064"/>
      <c r="E9552" s="3064"/>
      <c r="F9552" s="3064"/>
      <c r="G9552" s="3301" t="s">
        <v>676</v>
      </c>
      <c r="H9552" s="3063"/>
      <c r="I9552" s="3030"/>
    </row>
    <row r="9553" spans="2:9">
      <c r="B9553" s="3192" t="s">
        <v>677</v>
      </c>
      <c r="C9553" s="3063"/>
      <c r="D9553" s="3064"/>
      <c r="E9553" s="3064"/>
      <c r="F9553" s="3064"/>
      <c r="G9553" s="3301" t="s">
        <v>677</v>
      </c>
      <c r="H9553" s="3063"/>
      <c r="I9553" s="3030"/>
    </row>
    <row r="9554" spans="2:9">
      <c r="B9554" s="3192" t="s">
        <v>678</v>
      </c>
      <c r="C9554" s="3063"/>
      <c r="D9554" s="3064"/>
      <c r="E9554" s="3064"/>
      <c r="F9554" s="3064"/>
      <c r="G9554" s="3301" t="s">
        <v>678</v>
      </c>
      <c r="H9554" s="3063"/>
      <c r="I9554" s="3030"/>
    </row>
    <row r="9555" spans="2:9">
      <c r="B9555" s="3192" t="s">
        <v>679</v>
      </c>
      <c r="C9555" s="3063"/>
      <c r="D9555" s="3064"/>
      <c r="E9555" s="3064"/>
      <c r="F9555" s="3064"/>
      <c r="G9555" s="3301" t="s">
        <v>679</v>
      </c>
      <c r="H9555" s="3063"/>
      <c r="I9555" s="3030"/>
    </row>
    <row r="9556" spans="2:9" ht="25.5">
      <c r="B9556" s="3192" t="s">
        <v>720</v>
      </c>
      <c r="C9556" s="3063"/>
      <c r="D9556" s="3064"/>
      <c r="E9556" s="3064"/>
      <c r="F9556" s="3064"/>
      <c r="G9556" s="3301" t="s">
        <v>720</v>
      </c>
      <c r="H9556" s="3063"/>
      <c r="I9556" s="3030"/>
    </row>
    <row r="9557" spans="2:9" ht="38.25">
      <c r="B9557" s="3299" t="s">
        <v>680</v>
      </c>
      <c r="C9557" s="3063"/>
      <c r="D9557" s="3064"/>
      <c r="E9557" s="3064"/>
      <c r="F9557" s="3064"/>
      <c r="G9557" s="3300" t="s">
        <v>680</v>
      </c>
      <c r="H9557" s="3063"/>
      <c r="I9557" s="3030"/>
    </row>
    <row r="9558" spans="2:9" ht="25.5">
      <c r="B9558" s="3192" t="s">
        <v>675</v>
      </c>
      <c r="C9558" s="3063"/>
      <c r="D9558" s="3064"/>
      <c r="E9558" s="3064"/>
      <c r="F9558" s="3064"/>
      <c r="G9558" s="3301" t="s">
        <v>675</v>
      </c>
      <c r="H9558" s="3063"/>
      <c r="I9558" s="3030"/>
    </row>
    <row r="9559" spans="2:9" ht="25.5">
      <c r="B9559" s="3192" t="s">
        <v>676</v>
      </c>
      <c r="C9559" s="3063"/>
      <c r="D9559" s="3064"/>
      <c r="E9559" s="3064"/>
      <c r="F9559" s="3064"/>
      <c r="G9559" s="3301" t="s">
        <v>676</v>
      </c>
      <c r="H9559" s="3063"/>
      <c r="I9559" s="3030"/>
    </row>
    <row r="9560" spans="2:9">
      <c r="B9560" s="3192" t="s">
        <v>677</v>
      </c>
      <c r="C9560" s="3063"/>
      <c r="D9560" s="3064"/>
      <c r="E9560" s="3064"/>
      <c r="F9560" s="3064"/>
      <c r="G9560" s="3301" t="s">
        <v>677</v>
      </c>
      <c r="H9560" s="3063"/>
      <c r="I9560" s="3030"/>
    </row>
    <row r="9561" spans="2:9">
      <c r="B9561" s="3192" t="s">
        <v>678</v>
      </c>
      <c r="C9561" s="3063"/>
      <c r="D9561" s="3064"/>
      <c r="E9561" s="3064"/>
      <c r="F9561" s="3064"/>
      <c r="G9561" s="3301" t="s">
        <v>678</v>
      </c>
      <c r="H9561" s="3063"/>
      <c r="I9561" s="3030"/>
    </row>
    <row r="9562" spans="2:9">
      <c r="B9562" s="3192" t="s">
        <v>679</v>
      </c>
      <c r="C9562" s="3063"/>
      <c r="D9562" s="3064"/>
      <c r="E9562" s="3064"/>
      <c r="F9562" s="3064"/>
      <c r="G9562" s="3301" t="s">
        <v>679</v>
      </c>
      <c r="H9562" s="3063"/>
      <c r="I9562" s="3030"/>
    </row>
    <row r="9563" spans="2:9" ht="25.5">
      <c r="B9563" s="3192" t="s">
        <v>720</v>
      </c>
      <c r="C9563" s="3063"/>
      <c r="D9563" s="3064"/>
      <c r="E9563" s="3064"/>
      <c r="F9563" s="3064"/>
      <c r="G9563" s="3301" t="s">
        <v>720</v>
      </c>
      <c r="H9563" s="3063"/>
      <c r="I9563" s="3030"/>
    </row>
    <row r="9564" spans="2:9" ht="38.25">
      <c r="B9564" s="3299" t="s">
        <v>681</v>
      </c>
      <c r="C9564" s="3063"/>
      <c r="D9564" s="3064"/>
      <c r="E9564" s="3064"/>
      <c r="F9564" s="3064">
        <v>1</v>
      </c>
      <c r="G9564" s="3300" t="s">
        <v>681</v>
      </c>
      <c r="H9564" s="3063">
        <v>3.944477534228206E-3</v>
      </c>
      <c r="I9564" s="3030"/>
    </row>
    <row r="9565" spans="2:9" ht="25.5">
      <c r="B9565" s="3192" t="s">
        <v>675</v>
      </c>
      <c r="C9565" s="3063"/>
      <c r="D9565" s="3064"/>
      <c r="E9565" s="3064"/>
      <c r="F9565" s="3064"/>
      <c r="G9565" s="3301" t="s">
        <v>675</v>
      </c>
      <c r="H9565" s="3063"/>
      <c r="I9565" s="3030"/>
    </row>
    <row r="9566" spans="2:9" ht="25.5">
      <c r="B9566" s="3192" t="s">
        <v>676</v>
      </c>
      <c r="C9566" s="3063"/>
      <c r="D9566" s="3064"/>
      <c r="E9566" s="3064"/>
      <c r="F9566" s="3064"/>
      <c r="G9566" s="3301" t="s">
        <v>676</v>
      </c>
      <c r="H9566" s="3063"/>
      <c r="I9566" s="3030"/>
    </row>
    <row r="9567" spans="2:9">
      <c r="B9567" s="3192" t="s">
        <v>677</v>
      </c>
      <c r="C9567" s="3063"/>
      <c r="D9567" s="3064"/>
      <c r="E9567" s="3064"/>
      <c r="F9567" s="3064"/>
      <c r="G9567" s="3301" t="s">
        <v>677</v>
      </c>
      <c r="H9567" s="3063"/>
      <c r="I9567" s="3030"/>
    </row>
    <row r="9568" spans="2:9">
      <c r="B9568" s="3192" t="s">
        <v>678</v>
      </c>
      <c r="C9568" s="3063"/>
      <c r="D9568" s="3064"/>
      <c r="E9568" s="3064"/>
      <c r="F9568" s="3064"/>
      <c r="G9568" s="3301" t="s">
        <v>678</v>
      </c>
      <c r="H9568" s="3063"/>
      <c r="I9568" s="3030"/>
    </row>
    <row r="9569" spans="2:9">
      <c r="B9569" s="3192" t="s">
        <v>679</v>
      </c>
      <c r="C9569" s="3063"/>
      <c r="D9569" s="3064"/>
      <c r="E9569" s="3064"/>
      <c r="F9569" s="3064"/>
      <c r="G9569" s="3301" t="s">
        <v>679</v>
      </c>
      <c r="H9569" s="3063"/>
      <c r="I9569" s="3030"/>
    </row>
    <row r="9570" spans="2:9" ht="25.5">
      <c r="B9570" s="3192" t="s">
        <v>720</v>
      </c>
      <c r="C9570" s="3063"/>
      <c r="D9570" s="3064"/>
      <c r="E9570" s="3064"/>
      <c r="F9570" s="3064"/>
      <c r="G9570" s="3301" t="s">
        <v>720</v>
      </c>
      <c r="H9570" s="3063"/>
      <c r="I9570" s="3030"/>
    </row>
    <row r="9571" spans="2:9" ht="25.5">
      <c r="B9571" s="3299" t="s">
        <v>682</v>
      </c>
      <c r="C9571" s="3063"/>
      <c r="D9571" s="3064"/>
      <c r="E9571" s="3064"/>
      <c r="F9571" s="3064"/>
      <c r="G9571" s="3300" t="s">
        <v>682</v>
      </c>
      <c r="H9571" s="3063"/>
      <c r="I9571" s="3030"/>
    </row>
    <row r="9572" spans="2:9" ht="25.5">
      <c r="B9572" s="3192" t="s">
        <v>675</v>
      </c>
      <c r="C9572" s="3063"/>
      <c r="D9572" s="3064"/>
      <c r="E9572" s="3064"/>
      <c r="F9572" s="3064"/>
      <c r="G9572" s="3301" t="s">
        <v>675</v>
      </c>
      <c r="H9572" s="3063"/>
      <c r="I9572" s="3030"/>
    </row>
    <row r="9573" spans="2:9" ht="25.5">
      <c r="B9573" s="3192" t="s">
        <v>676</v>
      </c>
      <c r="C9573" s="3063"/>
      <c r="D9573" s="3064"/>
      <c r="E9573" s="3064"/>
      <c r="F9573" s="3064"/>
      <c r="G9573" s="3301" t="s">
        <v>676</v>
      </c>
      <c r="H9573" s="3063"/>
      <c r="I9573" s="3030"/>
    </row>
    <row r="9574" spans="2:9">
      <c r="B9574" s="3192" t="s">
        <v>677</v>
      </c>
      <c r="C9574" s="3063"/>
      <c r="D9574" s="3064"/>
      <c r="E9574" s="3064"/>
      <c r="F9574" s="3064"/>
      <c r="G9574" s="3301" t="s">
        <v>677</v>
      </c>
      <c r="H9574" s="3063"/>
      <c r="I9574" s="3030"/>
    </row>
    <row r="9575" spans="2:9">
      <c r="B9575" s="3192" t="s">
        <v>678</v>
      </c>
      <c r="C9575" s="3063"/>
      <c r="D9575" s="3064"/>
      <c r="E9575" s="3064"/>
      <c r="F9575" s="3064"/>
      <c r="G9575" s="3301" t="s">
        <v>678</v>
      </c>
      <c r="H9575" s="3063"/>
      <c r="I9575" s="3030"/>
    </row>
    <row r="9576" spans="2:9">
      <c r="B9576" s="3192" t="s">
        <v>679</v>
      </c>
      <c r="C9576" s="3063"/>
      <c r="D9576" s="3064"/>
      <c r="E9576" s="3064"/>
      <c r="F9576" s="3064"/>
      <c r="G9576" s="3301" t="s">
        <v>679</v>
      </c>
      <c r="H9576" s="3063"/>
      <c r="I9576" s="3030"/>
    </row>
    <row r="9577" spans="2:9" ht="25.5">
      <c r="B9577" s="3192" t="s">
        <v>720</v>
      </c>
      <c r="C9577" s="3063"/>
      <c r="D9577" s="3064"/>
      <c r="E9577" s="3064"/>
      <c r="F9577" s="3064"/>
      <c r="G9577" s="3301" t="s">
        <v>720</v>
      </c>
      <c r="H9577" s="3063"/>
      <c r="I9577" s="3030"/>
    </row>
    <row r="9578" spans="2:9" ht="25.5">
      <c r="B9578" s="3299" t="s">
        <v>66</v>
      </c>
      <c r="C9578" s="3063"/>
      <c r="D9578" s="3064"/>
      <c r="E9578" s="3064"/>
      <c r="F9578" s="3064"/>
      <c r="G9578" s="3300" t="s">
        <v>66</v>
      </c>
      <c r="H9578" s="3063">
        <v>0.67842605156037994</v>
      </c>
      <c r="I9578" s="3030"/>
    </row>
    <row r="9579" spans="2:9" ht="25.5">
      <c r="B9579" s="3192" t="s">
        <v>675</v>
      </c>
      <c r="C9579" s="3063"/>
      <c r="D9579" s="3064">
        <v>2</v>
      </c>
      <c r="E9579" s="3064"/>
      <c r="F9579" s="3064"/>
      <c r="G9579" s="3301" t="s">
        <v>675</v>
      </c>
      <c r="H9579" s="3063"/>
      <c r="I9579" s="3030">
        <v>0.67842605156037994</v>
      </c>
    </row>
    <row r="9580" spans="2:9" ht="25.5">
      <c r="B9580" s="3192" t="s">
        <v>676</v>
      </c>
      <c r="C9580" s="3063"/>
      <c r="D9580" s="3064"/>
      <c r="E9580" s="3064"/>
      <c r="F9580" s="3064"/>
      <c r="G9580" s="3301" t="s">
        <v>676</v>
      </c>
      <c r="H9580" s="3063"/>
      <c r="I9580" s="3030"/>
    </row>
    <row r="9581" spans="2:9">
      <c r="B9581" s="3192" t="s">
        <v>677</v>
      </c>
      <c r="C9581" s="3063"/>
      <c r="D9581" s="3064"/>
      <c r="E9581" s="3064"/>
      <c r="F9581" s="3064"/>
      <c r="G9581" s="3301" t="s">
        <v>677</v>
      </c>
      <c r="H9581" s="3063"/>
      <c r="I9581" s="3030"/>
    </row>
    <row r="9582" spans="2:9">
      <c r="B9582" s="3192" t="s">
        <v>678</v>
      </c>
      <c r="C9582" s="3063"/>
      <c r="D9582" s="3064"/>
      <c r="E9582" s="3064"/>
      <c r="F9582" s="3064"/>
      <c r="G9582" s="3301" t="s">
        <v>678</v>
      </c>
      <c r="H9582" s="3063"/>
      <c r="I9582" s="3030"/>
    </row>
    <row r="9583" spans="2:9">
      <c r="B9583" s="3192" t="s">
        <v>679</v>
      </c>
      <c r="C9583" s="3063"/>
      <c r="D9583" s="3064"/>
      <c r="E9583" s="3064"/>
      <c r="F9583" s="3064"/>
      <c r="G9583" s="3301" t="s">
        <v>679</v>
      </c>
      <c r="H9583" s="3063"/>
      <c r="I9583" s="3030"/>
    </row>
    <row r="9584" spans="2:9" ht="25.5">
      <c r="B9584" s="3192" t="s">
        <v>720</v>
      </c>
      <c r="C9584" s="3063"/>
      <c r="D9584" s="3064"/>
      <c r="E9584" s="3064"/>
      <c r="F9584" s="3064"/>
      <c r="G9584" s="3301" t="s">
        <v>720</v>
      </c>
      <c r="H9584" s="3063"/>
      <c r="I9584" s="3030"/>
    </row>
    <row r="9585" spans="2:9">
      <c r="B9585" s="3299" t="s">
        <v>67</v>
      </c>
      <c r="C9585" s="3063"/>
      <c r="D9585" s="3064"/>
      <c r="E9585" s="3064"/>
      <c r="F9585" s="3064"/>
      <c r="G9585" s="3300" t="s">
        <v>67</v>
      </c>
      <c r="H9585" s="3063"/>
      <c r="I9585" s="3030"/>
    </row>
    <row r="9586" spans="2:9" ht="25.5">
      <c r="B9586" s="3192" t="s">
        <v>675</v>
      </c>
      <c r="C9586" s="3063"/>
      <c r="D9586" s="3064"/>
      <c r="E9586" s="3064"/>
      <c r="F9586" s="3064"/>
      <c r="G9586" s="3301" t="s">
        <v>675</v>
      </c>
      <c r="H9586" s="3063"/>
      <c r="I9586" s="3030"/>
    </row>
    <row r="9587" spans="2:9" ht="25.5">
      <c r="B9587" s="3192" t="s">
        <v>676</v>
      </c>
      <c r="C9587" s="3063"/>
      <c r="D9587" s="3064"/>
      <c r="E9587" s="3064"/>
      <c r="F9587" s="3064"/>
      <c r="G9587" s="3301" t="s">
        <v>676</v>
      </c>
      <c r="H9587" s="3063"/>
      <c r="I9587" s="3030"/>
    </row>
    <row r="9588" spans="2:9">
      <c r="B9588" s="3192" t="s">
        <v>677</v>
      </c>
      <c r="C9588" s="3063"/>
      <c r="D9588" s="3064"/>
      <c r="E9588" s="3064"/>
      <c r="F9588" s="3064"/>
      <c r="G9588" s="3301" t="s">
        <v>677</v>
      </c>
      <c r="H9588" s="3063"/>
      <c r="I9588" s="3030"/>
    </row>
    <row r="9589" spans="2:9">
      <c r="B9589" s="3192" t="s">
        <v>678</v>
      </c>
      <c r="C9589" s="3063"/>
      <c r="D9589" s="3064"/>
      <c r="E9589" s="3064"/>
      <c r="F9589" s="3064"/>
      <c r="G9589" s="3301" t="s">
        <v>678</v>
      </c>
      <c r="H9589" s="3063"/>
      <c r="I9589" s="3030"/>
    </row>
    <row r="9590" spans="2:9">
      <c r="B9590" s="3192" t="s">
        <v>679</v>
      </c>
      <c r="C9590" s="3063"/>
      <c r="D9590" s="3064"/>
      <c r="E9590" s="3064"/>
      <c r="F9590" s="3064"/>
      <c r="G9590" s="3301" t="s">
        <v>679</v>
      </c>
      <c r="H9590" s="3063"/>
      <c r="I9590" s="3030"/>
    </row>
    <row r="9591" spans="2:9" ht="25.5">
      <c r="B9591" s="3192" t="s">
        <v>720</v>
      </c>
      <c r="C9591" s="3063"/>
      <c r="D9591" s="3064"/>
      <c r="E9591" s="3064"/>
      <c r="F9591" s="3064"/>
      <c r="G9591" s="3301" t="s">
        <v>720</v>
      </c>
      <c r="H9591" s="3063"/>
      <c r="I9591" s="3030"/>
    </row>
    <row r="9592" spans="2:9" ht="25.5">
      <c r="B9592" s="3230" t="s">
        <v>81</v>
      </c>
      <c r="C9592" s="3063"/>
      <c r="D9592" s="3064"/>
      <c r="E9592" s="3064"/>
      <c r="F9592" s="3064"/>
      <c r="G9592" s="3302" t="s">
        <v>81</v>
      </c>
      <c r="H9592" s="3063"/>
      <c r="I9592" s="3030"/>
    </row>
    <row r="9593" spans="2:9" ht="26.25" thickBot="1">
      <c r="B9593" s="3303" t="s">
        <v>81</v>
      </c>
      <c r="C9593" s="3063"/>
      <c r="D9593" s="3064"/>
      <c r="E9593" s="3064"/>
      <c r="F9593" s="3064"/>
      <c r="G9593" s="3302" t="s">
        <v>81</v>
      </c>
      <c r="H9593" s="3063"/>
      <c r="I9593" s="3030"/>
    </row>
    <row r="9594" spans="2:9" ht="25.5">
      <c r="B9594" s="3217" t="s">
        <v>696</v>
      </c>
      <c r="C9594" s="3218"/>
      <c r="D9594" s="3219"/>
      <c r="E9594" s="3219"/>
      <c r="F9594" s="3219"/>
      <c r="G9594" s="3217" t="s">
        <v>696</v>
      </c>
      <c r="H9594" s="3297"/>
      <c r="I9594" s="3298"/>
    </row>
    <row r="9595" spans="2:9">
      <c r="B9595" s="3299" t="s">
        <v>64</v>
      </c>
      <c r="C9595" s="3063"/>
      <c r="D9595" s="3064"/>
      <c r="E9595" s="3064"/>
      <c r="F9595" s="3064"/>
      <c r="G9595" s="3300" t="s">
        <v>64</v>
      </c>
      <c r="H9595" s="3063"/>
      <c r="I9595" s="3030"/>
    </row>
    <row r="9596" spans="2:9" ht="25.5">
      <c r="B9596" s="3192" t="s">
        <v>675</v>
      </c>
      <c r="C9596" s="3063"/>
      <c r="D9596" s="3064"/>
      <c r="E9596" s="3064"/>
      <c r="F9596" s="3064"/>
      <c r="G9596" s="3301" t="s">
        <v>675</v>
      </c>
      <c r="H9596" s="3063"/>
      <c r="I9596" s="3030"/>
    </row>
    <row r="9597" spans="2:9" ht="25.5">
      <c r="B9597" s="3192" t="s">
        <v>676</v>
      </c>
      <c r="C9597" s="3063"/>
      <c r="D9597" s="3064"/>
      <c r="E9597" s="3064"/>
      <c r="F9597" s="3064"/>
      <c r="G9597" s="3301" t="s">
        <v>676</v>
      </c>
      <c r="H9597" s="3063"/>
      <c r="I9597" s="3030"/>
    </row>
    <row r="9598" spans="2:9">
      <c r="B9598" s="3192" t="s">
        <v>677</v>
      </c>
      <c r="C9598" s="3063"/>
      <c r="D9598" s="3064"/>
      <c r="E9598" s="3064"/>
      <c r="F9598" s="3064"/>
      <c r="G9598" s="3301" t="s">
        <v>677</v>
      </c>
      <c r="H9598" s="3063"/>
      <c r="I9598" s="3030"/>
    </row>
    <row r="9599" spans="2:9">
      <c r="B9599" s="3192" t="s">
        <v>678</v>
      </c>
      <c r="C9599" s="3063"/>
      <c r="D9599" s="3064"/>
      <c r="E9599" s="3064"/>
      <c r="F9599" s="3064"/>
      <c r="G9599" s="3301" t="s">
        <v>678</v>
      </c>
      <c r="H9599" s="3063"/>
      <c r="I9599" s="3030"/>
    </row>
    <row r="9600" spans="2:9">
      <c r="B9600" s="3192" t="s">
        <v>679</v>
      </c>
      <c r="C9600" s="3063"/>
      <c r="D9600" s="3064"/>
      <c r="E9600" s="3064"/>
      <c r="F9600" s="3064"/>
      <c r="G9600" s="3301" t="s">
        <v>679</v>
      </c>
      <c r="H9600" s="3063"/>
      <c r="I9600" s="3030"/>
    </row>
    <row r="9601" spans="2:9" ht="25.5">
      <c r="B9601" s="3192" t="s">
        <v>720</v>
      </c>
      <c r="C9601" s="3063"/>
      <c r="D9601" s="3064"/>
      <c r="E9601" s="3064"/>
      <c r="F9601" s="3064"/>
      <c r="G9601" s="3301" t="s">
        <v>720</v>
      </c>
      <c r="H9601" s="3063"/>
      <c r="I9601" s="3030"/>
    </row>
    <row r="9602" spans="2:9">
      <c r="B9602" s="3299" t="s">
        <v>65</v>
      </c>
      <c r="C9602" s="3063"/>
      <c r="D9602" s="3064"/>
      <c r="E9602" s="3064"/>
      <c r="F9602" s="3064"/>
      <c r="G9602" s="3300" t="s">
        <v>65</v>
      </c>
      <c r="H9602" s="3063"/>
      <c r="I9602" s="3030"/>
    </row>
    <row r="9603" spans="2:9" ht="25.5">
      <c r="B9603" s="3192" t="s">
        <v>675</v>
      </c>
      <c r="C9603" s="3063"/>
      <c r="D9603" s="3064"/>
      <c r="E9603" s="3064"/>
      <c r="F9603" s="3064"/>
      <c r="G9603" s="3301" t="s">
        <v>675</v>
      </c>
      <c r="H9603" s="3063"/>
      <c r="I9603" s="3030"/>
    </row>
    <row r="9604" spans="2:9" ht="25.5">
      <c r="B9604" s="3192" t="s">
        <v>676</v>
      </c>
      <c r="C9604" s="3063"/>
      <c r="D9604" s="3064"/>
      <c r="E9604" s="3064"/>
      <c r="F9604" s="3064"/>
      <c r="G9604" s="3301" t="s">
        <v>676</v>
      </c>
      <c r="H9604" s="3063"/>
      <c r="I9604" s="3030"/>
    </row>
    <row r="9605" spans="2:9">
      <c r="B9605" s="3192" t="s">
        <v>677</v>
      </c>
      <c r="C9605" s="3063"/>
      <c r="D9605" s="3064"/>
      <c r="E9605" s="3064"/>
      <c r="F9605" s="3064"/>
      <c r="G9605" s="3301" t="s">
        <v>677</v>
      </c>
      <c r="H9605" s="3063"/>
      <c r="I9605" s="3030"/>
    </row>
    <row r="9606" spans="2:9">
      <c r="B9606" s="3192" t="s">
        <v>678</v>
      </c>
      <c r="C9606" s="3063"/>
      <c r="D9606" s="3064"/>
      <c r="E9606" s="3064"/>
      <c r="F9606" s="3064"/>
      <c r="G9606" s="3301" t="s">
        <v>678</v>
      </c>
      <c r="H9606" s="3063"/>
      <c r="I9606" s="3030"/>
    </row>
    <row r="9607" spans="2:9">
      <c r="B9607" s="3192" t="s">
        <v>679</v>
      </c>
      <c r="C9607" s="3063"/>
      <c r="D9607" s="3064"/>
      <c r="E9607" s="3064"/>
      <c r="F9607" s="3064"/>
      <c r="G9607" s="3301" t="s">
        <v>679</v>
      </c>
      <c r="H9607" s="3063"/>
      <c r="I9607" s="3030"/>
    </row>
    <row r="9608" spans="2:9" ht="25.5">
      <c r="B9608" s="3192" t="s">
        <v>720</v>
      </c>
      <c r="C9608" s="3063"/>
      <c r="D9608" s="3064"/>
      <c r="E9608" s="3064"/>
      <c r="F9608" s="3064"/>
      <c r="G9608" s="3301" t="s">
        <v>720</v>
      </c>
      <c r="H9608" s="3063"/>
      <c r="I9608" s="3030"/>
    </row>
    <row r="9609" spans="2:9">
      <c r="B9609" s="3299" t="s">
        <v>82</v>
      </c>
      <c r="C9609" s="3063"/>
      <c r="D9609" s="3064"/>
      <c r="E9609" s="3064"/>
      <c r="F9609" s="3064"/>
      <c r="G9609" s="3300" t="s">
        <v>82</v>
      </c>
      <c r="H9609" s="3063"/>
      <c r="I9609" s="3030"/>
    </row>
    <row r="9610" spans="2:9" ht="25.5">
      <c r="B9610" s="3192" t="s">
        <v>675</v>
      </c>
      <c r="C9610" s="3063"/>
      <c r="D9610" s="3064"/>
      <c r="E9610" s="3064"/>
      <c r="F9610" s="3064"/>
      <c r="G9610" s="3301" t="s">
        <v>675</v>
      </c>
      <c r="H9610" s="3063"/>
      <c r="I9610" s="3030"/>
    </row>
    <row r="9611" spans="2:9" ht="25.5">
      <c r="B9611" s="3192" t="s">
        <v>676</v>
      </c>
      <c r="C9611" s="3063"/>
      <c r="D9611" s="3064"/>
      <c r="E9611" s="3064"/>
      <c r="F9611" s="3064"/>
      <c r="G9611" s="3301" t="s">
        <v>676</v>
      </c>
      <c r="H9611" s="3063"/>
      <c r="I9611" s="3030"/>
    </row>
    <row r="9612" spans="2:9">
      <c r="B9612" s="3192" t="s">
        <v>677</v>
      </c>
      <c r="C9612" s="3063"/>
      <c r="D9612" s="3064"/>
      <c r="E9612" s="3064"/>
      <c r="F9612" s="3064"/>
      <c r="G9612" s="3301" t="s">
        <v>677</v>
      </c>
      <c r="H9612" s="3063"/>
      <c r="I9612" s="3030"/>
    </row>
    <row r="9613" spans="2:9">
      <c r="B9613" s="3192" t="s">
        <v>678</v>
      </c>
      <c r="C9613" s="3063"/>
      <c r="D9613" s="3064"/>
      <c r="E9613" s="3064"/>
      <c r="F9613" s="3064"/>
      <c r="G9613" s="3301" t="s">
        <v>678</v>
      </c>
      <c r="H9613" s="3063"/>
      <c r="I9613" s="3030"/>
    </row>
    <row r="9614" spans="2:9">
      <c r="B9614" s="3192" t="s">
        <v>679</v>
      </c>
      <c r="C9614" s="3063"/>
      <c r="D9614" s="3064"/>
      <c r="E9614" s="3064"/>
      <c r="F9614" s="3064"/>
      <c r="G9614" s="3301" t="s">
        <v>679</v>
      </c>
      <c r="H9614" s="3063"/>
      <c r="I9614" s="3030"/>
    </row>
    <row r="9615" spans="2:9" ht="25.5">
      <c r="B9615" s="3192" t="s">
        <v>720</v>
      </c>
      <c r="C9615" s="3063"/>
      <c r="D9615" s="3064"/>
      <c r="E9615" s="3064"/>
      <c r="F9615" s="3064"/>
      <c r="G9615" s="3301" t="s">
        <v>720</v>
      </c>
      <c r="H9615" s="3063"/>
      <c r="I9615" s="3030"/>
    </row>
    <row r="9616" spans="2:9" ht="38.25">
      <c r="B9616" s="3299" t="s">
        <v>680</v>
      </c>
      <c r="C9616" s="3063"/>
      <c r="D9616" s="3064"/>
      <c r="E9616" s="3064"/>
      <c r="F9616" s="3064"/>
      <c r="G9616" s="3300" t="s">
        <v>680</v>
      </c>
      <c r="H9616" s="3063"/>
      <c r="I9616" s="3030"/>
    </row>
    <row r="9617" spans="2:9" ht="25.5">
      <c r="B9617" s="3192" t="s">
        <v>675</v>
      </c>
      <c r="C9617" s="3063"/>
      <c r="D9617" s="3064"/>
      <c r="E9617" s="3064"/>
      <c r="F9617" s="3064"/>
      <c r="G9617" s="3301" t="s">
        <v>675</v>
      </c>
      <c r="H9617" s="3063"/>
      <c r="I9617" s="3030"/>
    </row>
    <row r="9618" spans="2:9" ht="25.5">
      <c r="B9618" s="3192" t="s">
        <v>676</v>
      </c>
      <c r="C9618" s="3063"/>
      <c r="D9618" s="3064"/>
      <c r="E9618" s="3064"/>
      <c r="F9618" s="3064"/>
      <c r="G9618" s="3301" t="s">
        <v>676</v>
      </c>
      <c r="H9618" s="3063"/>
      <c r="I9618" s="3030"/>
    </row>
    <row r="9619" spans="2:9">
      <c r="B9619" s="3192" t="s">
        <v>677</v>
      </c>
      <c r="C9619" s="3063"/>
      <c r="D9619" s="3064"/>
      <c r="E9619" s="3064"/>
      <c r="F9619" s="3064"/>
      <c r="G9619" s="3301" t="s">
        <v>677</v>
      </c>
      <c r="H9619" s="3063"/>
      <c r="I9619" s="3030"/>
    </row>
    <row r="9620" spans="2:9">
      <c r="B9620" s="3192" t="s">
        <v>678</v>
      </c>
      <c r="C9620" s="3063"/>
      <c r="D9620" s="3064"/>
      <c r="E9620" s="3064"/>
      <c r="F9620" s="3064"/>
      <c r="G9620" s="3301" t="s">
        <v>678</v>
      </c>
      <c r="H9620" s="3063"/>
      <c r="I9620" s="3030"/>
    </row>
    <row r="9621" spans="2:9">
      <c r="B9621" s="3192" t="s">
        <v>679</v>
      </c>
      <c r="C9621" s="3063"/>
      <c r="D9621" s="3064"/>
      <c r="E9621" s="3064"/>
      <c r="F9621" s="3064"/>
      <c r="G9621" s="3301" t="s">
        <v>679</v>
      </c>
      <c r="H9621" s="3063"/>
      <c r="I9621" s="3030"/>
    </row>
    <row r="9622" spans="2:9" ht="25.5">
      <c r="B9622" s="3192" t="s">
        <v>720</v>
      </c>
      <c r="C9622" s="3063"/>
      <c r="D9622" s="3064"/>
      <c r="E9622" s="3064"/>
      <c r="F9622" s="3064"/>
      <c r="G9622" s="3301" t="s">
        <v>720</v>
      </c>
      <c r="H9622" s="3063"/>
      <c r="I9622" s="3030"/>
    </row>
    <row r="9623" spans="2:9" ht="38.25">
      <c r="B9623" s="3299" t="s">
        <v>681</v>
      </c>
      <c r="C9623" s="3063"/>
      <c r="D9623" s="3064"/>
      <c r="E9623" s="3064"/>
      <c r="F9623" s="3064"/>
      <c r="G9623" s="3300" t="s">
        <v>681</v>
      </c>
      <c r="H9623" s="3063"/>
      <c r="I9623" s="3030"/>
    </row>
    <row r="9624" spans="2:9" ht="25.5">
      <c r="B9624" s="3192" t="s">
        <v>675</v>
      </c>
      <c r="C9624" s="3063"/>
      <c r="D9624" s="3064"/>
      <c r="E9624" s="3064"/>
      <c r="F9624" s="3064"/>
      <c r="G9624" s="3301" t="s">
        <v>675</v>
      </c>
      <c r="H9624" s="3063"/>
      <c r="I9624" s="3030"/>
    </row>
    <row r="9625" spans="2:9" ht="25.5">
      <c r="B9625" s="3192" t="s">
        <v>676</v>
      </c>
      <c r="C9625" s="3063"/>
      <c r="D9625" s="3064"/>
      <c r="E9625" s="3064"/>
      <c r="F9625" s="3064"/>
      <c r="G9625" s="3301" t="s">
        <v>676</v>
      </c>
      <c r="H9625" s="3063"/>
      <c r="I9625" s="3030"/>
    </row>
    <row r="9626" spans="2:9">
      <c r="B9626" s="3192" t="s">
        <v>677</v>
      </c>
      <c r="C9626" s="3063"/>
      <c r="D9626" s="3064"/>
      <c r="E9626" s="3064"/>
      <c r="F9626" s="3064"/>
      <c r="G9626" s="3301" t="s">
        <v>677</v>
      </c>
      <c r="H9626" s="3063"/>
      <c r="I9626" s="3030"/>
    </row>
    <row r="9627" spans="2:9">
      <c r="B9627" s="3192" t="s">
        <v>678</v>
      </c>
      <c r="C9627" s="3063"/>
      <c r="D9627" s="3064"/>
      <c r="E9627" s="3064"/>
      <c r="F9627" s="3064"/>
      <c r="G9627" s="3301" t="s">
        <v>678</v>
      </c>
      <c r="H9627" s="3063"/>
      <c r="I9627" s="3030"/>
    </row>
    <row r="9628" spans="2:9">
      <c r="B9628" s="3192" t="s">
        <v>679</v>
      </c>
      <c r="C9628" s="3063"/>
      <c r="D9628" s="3064"/>
      <c r="E9628" s="3064"/>
      <c r="F9628" s="3064"/>
      <c r="G9628" s="3301" t="s">
        <v>679</v>
      </c>
      <c r="H9628" s="3063"/>
      <c r="I9628" s="3030"/>
    </row>
    <row r="9629" spans="2:9" ht="25.5">
      <c r="B9629" s="3192" t="s">
        <v>720</v>
      </c>
      <c r="C9629" s="3063"/>
      <c r="D9629" s="3064"/>
      <c r="E9629" s="3064"/>
      <c r="F9629" s="3064"/>
      <c r="G9629" s="3301" t="s">
        <v>720</v>
      </c>
      <c r="H9629" s="3063"/>
      <c r="I9629" s="3030"/>
    </row>
    <row r="9630" spans="2:9" ht="25.5">
      <c r="B9630" s="3299" t="s">
        <v>682</v>
      </c>
      <c r="C9630" s="3063"/>
      <c r="D9630" s="3064"/>
      <c r="E9630" s="3064"/>
      <c r="F9630" s="3064"/>
      <c r="G9630" s="3300" t="s">
        <v>682</v>
      </c>
      <c r="H9630" s="3063"/>
      <c r="I9630" s="3030"/>
    </row>
    <row r="9631" spans="2:9" ht="25.5">
      <c r="B9631" s="3192" t="s">
        <v>675</v>
      </c>
      <c r="C9631" s="3063"/>
      <c r="D9631" s="3064"/>
      <c r="E9631" s="3064"/>
      <c r="F9631" s="3064"/>
      <c r="G9631" s="3301" t="s">
        <v>675</v>
      </c>
      <c r="H9631" s="3063"/>
      <c r="I9631" s="3030"/>
    </row>
    <row r="9632" spans="2:9" ht="25.5">
      <c r="B9632" s="3192" t="s">
        <v>676</v>
      </c>
      <c r="C9632" s="3063"/>
      <c r="D9632" s="3064"/>
      <c r="E9632" s="3064"/>
      <c r="F9632" s="3064"/>
      <c r="G9632" s="3301" t="s">
        <v>676</v>
      </c>
      <c r="H9632" s="3063"/>
      <c r="I9632" s="3030"/>
    </row>
    <row r="9633" spans="2:9">
      <c r="B9633" s="3192" t="s">
        <v>677</v>
      </c>
      <c r="C9633" s="3063"/>
      <c r="D9633" s="3064"/>
      <c r="E9633" s="3064"/>
      <c r="F9633" s="3064"/>
      <c r="G9633" s="3301" t="s">
        <v>677</v>
      </c>
      <c r="H9633" s="3063"/>
      <c r="I9633" s="3030"/>
    </row>
    <row r="9634" spans="2:9">
      <c r="B9634" s="3192" t="s">
        <v>678</v>
      </c>
      <c r="C9634" s="3063"/>
      <c r="D9634" s="3064"/>
      <c r="E9634" s="3064"/>
      <c r="F9634" s="3064"/>
      <c r="G9634" s="3301" t="s">
        <v>678</v>
      </c>
      <c r="H9634" s="3063"/>
      <c r="I9634" s="3030"/>
    </row>
    <row r="9635" spans="2:9">
      <c r="B9635" s="3192" t="s">
        <v>679</v>
      </c>
      <c r="C9635" s="3063"/>
      <c r="D9635" s="3064"/>
      <c r="E9635" s="3064"/>
      <c r="F9635" s="3064"/>
      <c r="G9635" s="3301" t="s">
        <v>679</v>
      </c>
      <c r="H9635" s="3063"/>
      <c r="I9635" s="3030"/>
    </row>
    <row r="9636" spans="2:9" ht="25.5">
      <c r="B9636" s="3192" t="s">
        <v>720</v>
      </c>
      <c r="C9636" s="3063"/>
      <c r="D9636" s="3064"/>
      <c r="E9636" s="3064"/>
      <c r="F9636" s="3064"/>
      <c r="G9636" s="3301" t="s">
        <v>720</v>
      </c>
      <c r="H9636" s="3063"/>
      <c r="I9636" s="3030"/>
    </row>
    <row r="9637" spans="2:9" ht="25.5">
      <c r="B9637" s="3299" t="s">
        <v>66</v>
      </c>
      <c r="C9637" s="3063"/>
      <c r="D9637" s="3064"/>
      <c r="E9637" s="3064"/>
      <c r="F9637" s="3064"/>
      <c r="G9637" s="3300" t="s">
        <v>66</v>
      </c>
      <c r="H9637" s="3063"/>
      <c r="I9637" s="3030"/>
    </row>
    <row r="9638" spans="2:9" ht="25.5">
      <c r="B9638" s="3192" t="s">
        <v>675</v>
      </c>
      <c r="C9638" s="3063"/>
      <c r="D9638" s="3064"/>
      <c r="E9638" s="3064"/>
      <c r="F9638" s="3064"/>
      <c r="G9638" s="3301" t="s">
        <v>675</v>
      </c>
      <c r="H9638" s="3063"/>
      <c r="I9638" s="3030"/>
    </row>
    <row r="9639" spans="2:9" ht="25.5">
      <c r="B9639" s="3192" t="s">
        <v>676</v>
      </c>
      <c r="C9639" s="3063"/>
      <c r="D9639" s="3064"/>
      <c r="E9639" s="3064"/>
      <c r="F9639" s="3064"/>
      <c r="G9639" s="3301" t="s">
        <v>676</v>
      </c>
      <c r="H9639" s="3063"/>
      <c r="I9639" s="3030"/>
    </row>
    <row r="9640" spans="2:9">
      <c r="B9640" s="3192" t="s">
        <v>677</v>
      </c>
      <c r="C9640" s="3063"/>
      <c r="D9640" s="3064"/>
      <c r="E9640" s="3064"/>
      <c r="F9640" s="3064"/>
      <c r="G9640" s="3301" t="s">
        <v>677</v>
      </c>
      <c r="H9640" s="3063"/>
      <c r="I9640" s="3030"/>
    </row>
    <row r="9641" spans="2:9">
      <c r="B9641" s="3192" t="s">
        <v>678</v>
      </c>
      <c r="C9641" s="3063"/>
      <c r="D9641" s="3064"/>
      <c r="E9641" s="3064"/>
      <c r="F9641" s="3064"/>
      <c r="G9641" s="3301" t="s">
        <v>678</v>
      </c>
      <c r="H9641" s="3063"/>
      <c r="I9641" s="3030"/>
    </row>
    <row r="9642" spans="2:9">
      <c r="B9642" s="3192" t="s">
        <v>679</v>
      </c>
      <c r="C9642" s="3063"/>
      <c r="D9642" s="3064"/>
      <c r="E9642" s="3064"/>
      <c r="F9642" s="3064"/>
      <c r="G9642" s="3301" t="s">
        <v>679</v>
      </c>
      <c r="H9642" s="3063"/>
      <c r="I9642" s="3030"/>
    </row>
    <row r="9643" spans="2:9" ht="25.5">
      <c r="B9643" s="3192" t="s">
        <v>720</v>
      </c>
      <c r="C9643" s="3063"/>
      <c r="D9643" s="3064"/>
      <c r="E9643" s="3064"/>
      <c r="F9643" s="3064"/>
      <c r="G9643" s="3301" t="s">
        <v>720</v>
      </c>
      <c r="H9643" s="3063"/>
      <c r="I9643" s="3030"/>
    </row>
    <row r="9644" spans="2:9">
      <c r="B9644" s="3299" t="s">
        <v>67</v>
      </c>
      <c r="C9644" s="3063"/>
      <c r="D9644" s="3064"/>
      <c r="E9644" s="3064"/>
      <c r="F9644" s="3064"/>
      <c r="G9644" s="3300" t="s">
        <v>67</v>
      </c>
      <c r="H9644" s="3063"/>
      <c r="I9644" s="3030"/>
    </row>
    <row r="9645" spans="2:9" ht="25.5">
      <c r="B9645" s="3192" t="s">
        <v>675</v>
      </c>
      <c r="C9645" s="3063"/>
      <c r="D9645" s="3064"/>
      <c r="E9645" s="3064"/>
      <c r="F9645" s="3064"/>
      <c r="G9645" s="3301" t="s">
        <v>675</v>
      </c>
      <c r="H9645" s="3063"/>
      <c r="I9645" s="3030"/>
    </row>
    <row r="9646" spans="2:9" ht="25.5">
      <c r="B9646" s="3192" t="s">
        <v>676</v>
      </c>
      <c r="C9646" s="3063"/>
      <c r="D9646" s="3064"/>
      <c r="E9646" s="3064"/>
      <c r="F9646" s="3064"/>
      <c r="G9646" s="3301" t="s">
        <v>676</v>
      </c>
      <c r="H9646" s="3063"/>
      <c r="I9646" s="3030"/>
    </row>
    <row r="9647" spans="2:9">
      <c r="B9647" s="3192" t="s">
        <v>677</v>
      </c>
      <c r="C9647" s="3063"/>
      <c r="D9647" s="3064"/>
      <c r="E9647" s="3064"/>
      <c r="F9647" s="3064"/>
      <c r="G9647" s="3301" t="s">
        <v>677</v>
      </c>
      <c r="H9647" s="3063"/>
      <c r="I9647" s="3030"/>
    </row>
    <row r="9648" spans="2:9">
      <c r="B9648" s="3192" t="s">
        <v>678</v>
      </c>
      <c r="C9648" s="3063"/>
      <c r="D9648" s="3064"/>
      <c r="E9648" s="3064"/>
      <c r="F9648" s="3064"/>
      <c r="G9648" s="3301" t="s">
        <v>678</v>
      </c>
      <c r="H9648" s="3063"/>
      <c r="I9648" s="3030"/>
    </row>
    <row r="9649" spans="2:9">
      <c r="B9649" s="3192" t="s">
        <v>679</v>
      </c>
      <c r="C9649" s="3063"/>
      <c r="D9649" s="3064"/>
      <c r="E9649" s="3064"/>
      <c r="F9649" s="3064"/>
      <c r="G9649" s="3301" t="s">
        <v>679</v>
      </c>
      <c r="H9649" s="3063"/>
      <c r="I9649" s="3030"/>
    </row>
    <row r="9650" spans="2:9" ht="25.5">
      <c r="B9650" s="3230" t="s">
        <v>81</v>
      </c>
      <c r="C9650" s="3063"/>
      <c r="D9650" s="3064"/>
      <c r="E9650" s="3064"/>
      <c r="F9650" s="3064"/>
      <c r="G9650" s="3302" t="s">
        <v>81</v>
      </c>
      <c r="H9650" s="3063"/>
      <c r="I9650" s="3030"/>
    </row>
    <row r="9651" spans="2:9" ht="26.25" thickBot="1">
      <c r="B9651" s="3303" t="s">
        <v>81</v>
      </c>
      <c r="C9651" s="3063"/>
      <c r="D9651" s="3064"/>
      <c r="E9651" s="3064"/>
      <c r="F9651" s="3064"/>
      <c r="G9651" s="3302" t="s">
        <v>81</v>
      </c>
      <c r="H9651" s="3063"/>
      <c r="I9651" s="3030"/>
    </row>
    <row r="9652" spans="2:9">
      <c r="B9652" s="3217" t="s">
        <v>697</v>
      </c>
      <c r="C9652" s="3218"/>
      <c r="D9652" s="3219"/>
      <c r="E9652" s="3219"/>
      <c r="F9652" s="3219"/>
      <c r="G9652" s="3217" t="s">
        <v>697</v>
      </c>
      <c r="H9652" s="3297"/>
      <c r="I9652" s="3298"/>
    </row>
    <row r="9653" spans="2:9">
      <c r="B9653" s="3299" t="s">
        <v>64</v>
      </c>
      <c r="C9653" s="3063"/>
      <c r="D9653" s="3064"/>
      <c r="E9653" s="3064"/>
      <c r="F9653" s="3064"/>
      <c r="G9653" s="3300" t="s">
        <v>64</v>
      </c>
      <c r="H9653" s="3063"/>
      <c r="I9653" s="3030"/>
    </row>
    <row r="9654" spans="2:9" ht="25.5">
      <c r="B9654" s="3192" t="s">
        <v>675</v>
      </c>
      <c r="C9654" s="3063"/>
      <c r="D9654" s="3064"/>
      <c r="E9654" s="3064"/>
      <c r="F9654" s="3064"/>
      <c r="G9654" s="3301" t="s">
        <v>675</v>
      </c>
      <c r="H9654" s="3063"/>
      <c r="I9654" s="3030"/>
    </row>
    <row r="9655" spans="2:9" ht="25.5">
      <c r="B9655" s="3192" t="s">
        <v>676</v>
      </c>
      <c r="C9655" s="3063"/>
      <c r="D9655" s="3064"/>
      <c r="E9655" s="3064"/>
      <c r="F9655" s="3064"/>
      <c r="G9655" s="3301" t="s">
        <v>676</v>
      </c>
      <c r="H9655" s="3063"/>
      <c r="I9655" s="3030"/>
    </row>
    <row r="9656" spans="2:9">
      <c r="B9656" s="3192" t="s">
        <v>677</v>
      </c>
      <c r="C9656" s="3063"/>
      <c r="D9656" s="3064"/>
      <c r="E9656" s="3064"/>
      <c r="F9656" s="3064"/>
      <c r="G9656" s="3301" t="s">
        <v>677</v>
      </c>
      <c r="H9656" s="3063"/>
      <c r="I9656" s="3030"/>
    </row>
    <row r="9657" spans="2:9">
      <c r="B9657" s="3192" t="s">
        <v>678</v>
      </c>
      <c r="C9657" s="3063"/>
      <c r="D9657" s="3064"/>
      <c r="E9657" s="3064"/>
      <c r="F9657" s="3064"/>
      <c r="G9657" s="3301" t="s">
        <v>678</v>
      </c>
      <c r="H9657" s="3063"/>
      <c r="I9657" s="3030"/>
    </row>
    <row r="9658" spans="2:9">
      <c r="B9658" s="3192" t="s">
        <v>679</v>
      </c>
      <c r="C9658" s="3063"/>
      <c r="D9658" s="3064"/>
      <c r="E9658" s="3064"/>
      <c r="F9658" s="3064"/>
      <c r="G9658" s="3301" t="s">
        <v>679</v>
      </c>
      <c r="H9658" s="3063"/>
      <c r="I9658" s="3030"/>
    </row>
    <row r="9659" spans="2:9" ht="25.5">
      <c r="B9659" s="3192" t="s">
        <v>720</v>
      </c>
      <c r="C9659" s="3063"/>
      <c r="D9659" s="3064"/>
      <c r="E9659" s="3064"/>
      <c r="F9659" s="3064"/>
      <c r="G9659" s="3301" t="s">
        <v>720</v>
      </c>
      <c r="H9659" s="3063"/>
      <c r="I9659" s="3030"/>
    </row>
    <row r="9660" spans="2:9">
      <c r="B9660" s="3299" t="s">
        <v>65</v>
      </c>
      <c r="C9660" s="3063"/>
      <c r="D9660" s="3064"/>
      <c r="E9660" s="3064"/>
      <c r="F9660" s="3064"/>
      <c r="G9660" s="3300" t="s">
        <v>65</v>
      </c>
      <c r="H9660" s="3063"/>
      <c r="I9660" s="3030"/>
    </row>
    <row r="9661" spans="2:9" ht="25.5">
      <c r="B9661" s="3192" t="s">
        <v>675</v>
      </c>
      <c r="C9661" s="3063"/>
      <c r="D9661" s="3064"/>
      <c r="E9661" s="3064"/>
      <c r="F9661" s="3064"/>
      <c r="G9661" s="3301" t="s">
        <v>675</v>
      </c>
      <c r="H9661" s="3063"/>
      <c r="I9661" s="3030"/>
    </row>
    <row r="9662" spans="2:9" ht="25.5">
      <c r="B9662" s="3192" t="s">
        <v>676</v>
      </c>
      <c r="C9662" s="3063"/>
      <c r="D9662" s="3064"/>
      <c r="E9662" s="3064"/>
      <c r="F9662" s="3064"/>
      <c r="G9662" s="3301" t="s">
        <v>676</v>
      </c>
      <c r="H9662" s="3063"/>
      <c r="I9662" s="3030"/>
    </row>
    <row r="9663" spans="2:9">
      <c r="B9663" s="3192" t="s">
        <v>677</v>
      </c>
      <c r="C9663" s="3063"/>
      <c r="D9663" s="3064"/>
      <c r="E9663" s="3064"/>
      <c r="F9663" s="3064"/>
      <c r="G9663" s="3301" t="s">
        <v>677</v>
      </c>
      <c r="H9663" s="3063"/>
      <c r="I9663" s="3030"/>
    </row>
    <row r="9664" spans="2:9">
      <c r="B9664" s="3192" t="s">
        <v>678</v>
      </c>
      <c r="C9664" s="3063"/>
      <c r="D9664" s="3064"/>
      <c r="E9664" s="3064"/>
      <c r="F9664" s="3064"/>
      <c r="G9664" s="3301" t="s">
        <v>678</v>
      </c>
      <c r="H9664" s="3063"/>
      <c r="I9664" s="3030"/>
    </row>
    <row r="9665" spans="2:9">
      <c r="B9665" s="3192" t="s">
        <v>679</v>
      </c>
      <c r="C9665" s="3063"/>
      <c r="D9665" s="3064"/>
      <c r="E9665" s="3064"/>
      <c r="F9665" s="3064"/>
      <c r="G9665" s="3301" t="s">
        <v>679</v>
      </c>
      <c r="H9665" s="3063"/>
      <c r="I9665" s="3030"/>
    </row>
    <row r="9666" spans="2:9" ht="25.5">
      <c r="B9666" s="3192" t="s">
        <v>720</v>
      </c>
      <c r="C9666" s="3063"/>
      <c r="D9666" s="3064"/>
      <c r="E9666" s="3064"/>
      <c r="F9666" s="3064"/>
      <c r="G9666" s="3301" t="s">
        <v>720</v>
      </c>
      <c r="H9666" s="3063"/>
      <c r="I9666" s="3030"/>
    </row>
    <row r="9667" spans="2:9">
      <c r="B9667" s="3299" t="s">
        <v>82</v>
      </c>
      <c r="C9667" s="3063"/>
      <c r="D9667" s="3064"/>
      <c r="E9667" s="3064"/>
      <c r="F9667" s="3064"/>
      <c r="G9667" s="3300" t="s">
        <v>82</v>
      </c>
      <c r="H9667" s="3063"/>
      <c r="I9667" s="3030"/>
    </row>
    <row r="9668" spans="2:9" ht="25.5">
      <c r="B9668" s="3192" t="s">
        <v>675</v>
      </c>
      <c r="C9668" s="3063"/>
      <c r="D9668" s="3064"/>
      <c r="E9668" s="3064"/>
      <c r="F9668" s="3064"/>
      <c r="G9668" s="3301" t="s">
        <v>675</v>
      </c>
      <c r="H9668" s="3063"/>
      <c r="I9668" s="3030"/>
    </row>
    <row r="9669" spans="2:9" ht="25.5">
      <c r="B9669" s="3192" t="s">
        <v>676</v>
      </c>
      <c r="C9669" s="3063"/>
      <c r="D9669" s="3064"/>
      <c r="E9669" s="3064"/>
      <c r="F9669" s="3064"/>
      <c r="G9669" s="3301" t="s">
        <v>676</v>
      </c>
      <c r="H9669" s="3063"/>
      <c r="I9669" s="3030"/>
    </row>
    <row r="9670" spans="2:9">
      <c r="B9670" s="3192" t="s">
        <v>677</v>
      </c>
      <c r="C9670" s="3063"/>
      <c r="D9670" s="3064"/>
      <c r="E9670" s="3064"/>
      <c r="F9670" s="3064"/>
      <c r="G9670" s="3301" t="s">
        <v>677</v>
      </c>
      <c r="H9670" s="3063"/>
      <c r="I9670" s="3030"/>
    </row>
    <row r="9671" spans="2:9">
      <c r="B9671" s="3192" t="s">
        <v>678</v>
      </c>
      <c r="C9671" s="3063"/>
      <c r="D9671" s="3064"/>
      <c r="E9671" s="3064"/>
      <c r="F9671" s="3064"/>
      <c r="G9671" s="3301" t="s">
        <v>678</v>
      </c>
      <c r="H9671" s="3063"/>
      <c r="I9671" s="3030"/>
    </row>
    <row r="9672" spans="2:9">
      <c r="B9672" s="3192" t="s">
        <v>679</v>
      </c>
      <c r="C9672" s="3063"/>
      <c r="D9672" s="3064"/>
      <c r="E9672" s="3064"/>
      <c r="F9672" s="3064"/>
      <c r="G9672" s="3301" t="s">
        <v>679</v>
      </c>
      <c r="H9672" s="3063"/>
      <c r="I9672" s="3030"/>
    </row>
    <row r="9673" spans="2:9" ht="25.5">
      <c r="B9673" s="3192" t="s">
        <v>720</v>
      </c>
      <c r="C9673" s="3063"/>
      <c r="D9673" s="3064"/>
      <c r="E9673" s="3064"/>
      <c r="F9673" s="3064"/>
      <c r="G9673" s="3301" t="s">
        <v>720</v>
      </c>
      <c r="H9673" s="3063"/>
      <c r="I9673" s="3030"/>
    </row>
    <row r="9674" spans="2:9" ht="38.25">
      <c r="B9674" s="3299" t="s">
        <v>680</v>
      </c>
      <c r="C9674" s="3063"/>
      <c r="D9674" s="3064"/>
      <c r="E9674" s="3064"/>
      <c r="F9674" s="3064"/>
      <c r="G9674" s="3300" t="s">
        <v>680</v>
      </c>
      <c r="H9674" s="3063"/>
      <c r="I9674" s="3030"/>
    </row>
    <row r="9675" spans="2:9" ht="25.5">
      <c r="B9675" s="3192" t="s">
        <v>675</v>
      </c>
      <c r="C9675" s="3063"/>
      <c r="D9675" s="3064"/>
      <c r="E9675" s="3064"/>
      <c r="F9675" s="3064"/>
      <c r="G9675" s="3301" t="s">
        <v>675</v>
      </c>
      <c r="H9675" s="3063"/>
      <c r="I9675" s="3030"/>
    </row>
    <row r="9676" spans="2:9" ht="25.5">
      <c r="B9676" s="3192" t="s">
        <v>676</v>
      </c>
      <c r="C9676" s="3063"/>
      <c r="D9676" s="3064"/>
      <c r="E9676" s="3064"/>
      <c r="F9676" s="3064"/>
      <c r="G9676" s="3301" t="s">
        <v>676</v>
      </c>
      <c r="H9676" s="3063"/>
      <c r="I9676" s="3030"/>
    </row>
    <row r="9677" spans="2:9">
      <c r="B9677" s="3192" t="s">
        <v>677</v>
      </c>
      <c r="C9677" s="3063"/>
      <c r="D9677" s="3064"/>
      <c r="E9677" s="3064"/>
      <c r="F9677" s="3064"/>
      <c r="G9677" s="3301" t="s">
        <v>677</v>
      </c>
      <c r="H9677" s="3063"/>
      <c r="I9677" s="3030"/>
    </row>
    <row r="9678" spans="2:9">
      <c r="B9678" s="3192" t="s">
        <v>678</v>
      </c>
      <c r="C9678" s="3063"/>
      <c r="D9678" s="3064"/>
      <c r="E9678" s="3064"/>
      <c r="F9678" s="3064"/>
      <c r="G9678" s="3301" t="s">
        <v>678</v>
      </c>
      <c r="H9678" s="3063"/>
      <c r="I9678" s="3030"/>
    </row>
    <row r="9679" spans="2:9">
      <c r="B9679" s="3192" t="s">
        <v>679</v>
      </c>
      <c r="C9679" s="3063"/>
      <c r="D9679" s="3064"/>
      <c r="E9679" s="3064"/>
      <c r="F9679" s="3064"/>
      <c r="G9679" s="3301" t="s">
        <v>679</v>
      </c>
      <c r="H9679" s="3063"/>
      <c r="I9679" s="3030"/>
    </row>
    <row r="9680" spans="2:9" ht="25.5">
      <c r="B9680" s="3192" t="s">
        <v>720</v>
      </c>
      <c r="C9680" s="3063"/>
      <c r="D9680" s="3064"/>
      <c r="E9680" s="3064"/>
      <c r="F9680" s="3064"/>
      <c r="G9680" s="3301" t="s">
        <v>720</v>
      </c>
      <c r="H9680" s="3063"/>
      <c r="I9680" s="3030"/>
    </row>
    <row r="9681" spans="2:9" ht="38.25">
      <c r="B9681" s="3299" t="s">
        <v>681</v>
      </c>
      <c r="C9681" s="3063"/>
      <c r="D9681" s="3064"/>
      <c r="E9681" s="3064"/>
      <c r="F9681" s="3064">
        <v>4</v>
      </c>
      <c r="G9681" s="3300" t="s">
        <v>681</v>
      </c>
      <c r="H9681" s="3063">
        <v>7.888955068456412E-3</v>
      </c>
      <c r="I9681" s="3030"/>
    </row>
    <row r="9682" spans="2:9" ht="25.5">
      <c r="B9682" s="3192" t="s">
        <v>675</v>
      </c>
      <c r="C9682" s="3063"/>
      <c r="D9682" s="3064">
        <v>1</v>
      </c>
      <c r="E9682" s="3064"/>
      <c r="F9682" s="3064"/>
      <c r="G9682" s="3301" t="s">
        <v>675</v>
      </c>
      <c r="H9682" s="3063"/>
      <c r="I9682" s="3030">
        <v>3.944477534228206E-3</v>
      </c>
    </row>
    <row r="9683" spans="2:9" ht="25.5">
      <c r="B9683" s="3192" t="s">
        <v>676</v>
      </c>
      <c r="C9683" s="3063"/>
      <c r="D9683" s="3064"/>
      <c r="E9683" s="3064"/>
      <c r="F9683" s="3064"/>
      <c r="G9683" s="3301" t="s">
        <v>676</v>
      </c>
      <c r="H9683" s="3063"/>
      <c r="I9683" s="3030"/>
    </row>
    <row r="9684" spans="2:9">
      <c r="B9684" s="3192" t="s">
        <v>677</v>
      </c>
      <c r="C9684" s="3063"/>
      <c r="D9684" s="3064"/>
      <c r="E9684" s="3064"/>
      <c r="F9684" s="3064"/>
      <c r="G9684" s="3301" t="s">
        <v>677</v>
      </c>
      <c r="H9684" s="3063"/>
      <c r="I9684" s="3030"/>
    </row>
    <row r="9685" spans="2:9">
      <c r="B9685" s="3192" t="s">
        <v>678</v>
      </c>
      <c r="C9685" s="3063"/>
      <c r="D9685" s="3064"/>
      <c r="E9685" s="3064"/>
      <c r="F9685" s="3064"/>
      <c r="G9685" s="3301" t="s">
        <v>678</v>
      </c>
      <c r="H9685" s="3063"/>
      <c r="I9685" s="3030"/>
    </row>
    <row r="9686" spans="2:9">
      <c r="B9686" s="3192" t="s">
        <v>679</v>
      </c>
      <c r="C9686" s="3063"/>
      <c r="D9686" s="3064">
        <v>1</v>
      </c>
      <c r="E9686" s="3064"/>
      <c r="F9686" s="3064"/>
      <c r="G9686" s="3301" t="s">
        <v>679</v>
      </c>
      <c r="H9686" s="3063"/>
      <c r="I9686" s="3030"/>
    </row>
    <row r="9687" spans="2:9" ht="25.5">
      <c r="B9687" s="3192" t="s">
        <v>720</v>
      </c>
      <c r="C9687" s="3063"/>
      <c r="D9687" s="3064"/>
      <c r="E9687" s="3064"/>
      <c r="F9687" s="3064"/>
      <c r="G9687" s="3301" t="s">
        <v>720</v>
      </c>
      <c r="H9687" s="3063"/>
      <c r="I9687" s="3030"/>
    </row>
    <row r="9688" spans="2:9" ht="25.5">
      <c r="B9688" s="3299" t="s">
        <v>682</v>
      </c>
      <c r="C9688" s="3063"/>
      <c r="D9688" s="3064"/>
      <c r="E9688" s="3064"/>
      <c r="F9688" s="3064"/>
      <c r="G9688" s="3300" t="s">
        <v>682</v>
      </c>
      <c r="H9688" s="3063"/>
      <c r="I9688" s="3030"/>
    </row>
    <row r="9689" spans="2:9" ht="25.5">
      <c r="B9689" s="3192" t="s">
        <v>675</v>
      </c>
      <c r="C9689" s="3063"/>
      <c r="D9689" s="3064"/>
      <c r="E9689" s="3064"/>
      <c r="F9689" s="3064"/>
      <c r="G9689" s="3301" t="s">
        <v>675</v>
      </c>
      <c r="H9689" s="3063"/>
      <c r="I9689" s="3030"/>
    </row>
    <row r="9690" spans="2:9" ht="25.5">
      <c r="B9690" s="3192" t="s">
        <v>676</v>
      </c>
      <c r="C9690" s="3063"/>
      <c r="D9690" s="3064"/>
      <c r="E9690" s="3064"/>
      <c r="F9690" s="3064"/>
      <c r="G9690" s="3301" t="s">
        <v>676</v>
      </c>
      <c r="H9690" s="3063"/>
      <c r="I9690" s="3030"/>
    </row>
    <row r="9691" spans="2:9">
      <c r="B9691" s="3192" t="s">
        <v>677</v>
      </c>
      <c r="C9691" s="3063"/>
      <c r="D9691" s="3064"/>
      <c r="E9691" s="3064"/>
      <c r="F9691" s="3064"/>
      <c r="G9691" s="3301" t="s">
        <v>677</v>
      </c>
      <c r="H9691" s="3063"/>
      <c r="I9691" s="3030"/>
    </row>
    <row r="9692" spans="2:9">
      <c r="B9692" s="3192" t="s">
        <v>678</v>
      </c>
      <c r="C9692" s="3063"/>
      <c r="D9692" s="3064"/>
      <c r="E9692" s="3064"/>
      <c r="F9692" s="3064"/>
      <c r="G9692" s="3301" t="s">
        <v>678</v>
      </c>
      <c r="H9692" s="3063"/>
      <c r="I9692" s="3030"/>
    </row>
    <row r="9693" spans="2:9">
      <c r="B9693" s="3192" t="s">
        <v>679</v>
      </c>
      <c r="C9693" s="3063"/>
      <c r="D9693" s="3064"/>
      <c r="E9693" s="3064"/>
      <c r="F9693" s="3064"/>
      <c r="G9693" s="3301" t="s">
        <v>679</v>
      </c>
      <c r="H9693" s="3063"/>
      <c r="I9693" s="3030"/>
    </row>
    <row r="9694" spans="2:9" ht="25.5">
      <c r="B9694" s="3192" t="s">
        <v>720</v>
      </c>
      <c r="C9694" s="3063"/>
      <c r="D9694" s="3064"/>
      <c r="E9694" s="3064"/>
      <c r="F9694" s="3064"/>
      <c r="G9694" s="3301" t="s">
        <v>720</v>
      </c>
      <c r="H9694" s="3063"/>
      <c r="I9694" s="3030"/>
    </row>
    <row r="9695" spans="2:9" ht="25.5">
      <c r="B9695" s="3299" t="s">
        <v>66</v>
      </c>
      <c r="C9695" s="3063"/>
      <c r="D9695" s="3064"/>
      <c r="E9695" s="3064"/>
      <c r="F9695" s="3064"/>
      <c r="G9695" s="3300" t="s">
        <v>66</v>
      </c>
      <c r="H9695" s="3063"/>
      <c r="I9695" s="3030"/>
    </row>
    <row r="9696" spans="2:9" ht="25.5">
      <c r="B9696" s="3192" t="s">
        <v>675</v>
      </c>
      <c r="C9696" s="3063"/>
      <c r="D9696" s="3064"/>
      <c r="E9696" s="3064"/>
      <c r="F9696" s="3064"/>
      <c r="G9696" s="3301" t="s">
        <v>675</v>
      </c>
      <c r="H9696" s="3063"/>
      <c r="I9696" s="3030"/>
    </row>
    <row r="9697" spans="2:9" ht="25.5">
      <c r="B9697" s="3192" t="s">
        <v>676</v>
      </c>
      <c r="C9697" s="3063"/>
      <c r="D9697" s="3064"/>
      <c r="E9697" s="3064"/>
      <c r="F9697" s="3064"/>
      <c r="G9697" s="3301" t="s">
        <v>676</v>
      </c>
      <c r="H9697" s="3063"/>
      <c r="I9697" s="3030"/>
    </row>
    <row r="9698" spans="2:9">
      <c r="B9698" s="3192" t="s">
        <v>677</v>
      </c>
      <c r="C9698" s="3063"/>
      <c r="D9698" s="3064"/>
      <c r="E9698" s="3064"/>
      <c r="F9698" s="3064"/>
      <c r="G9698" s="3301" t="s">
        <v>677</v>
      </c>
      <c r="H9698" s="3063"/>
      <c r="I9698" s="3030"/>
    </row>
    <row r="9699" spans="2:9">
      <c r="B9699" s="3192" t="s">
        <v>678</v>
      </c>
      <c r="C9699" s="3063"/>
      <c r="D9699" s="3064"/>
      <c r="E9699" s="3064"/>
      <c r="F9699" s="3064"/>
      <c r="G9699" s="3301" t="s">
        <v>678</v>
      </c>
      <c r="H9699" s="3063"/>
      <c r="I9699" s="3030"/>
    </row>
    <row r="9700" spans="2:9">
      <c r="B9700" s="3192" t="s">
        <v>679</v>
      </c>
      <c r="C9700" s="3063"/>
      <c r="D9700" s="3064"/>
      <c r="E9700" s="3064"/>
      <c r="F9700" s="3064"/>
      <c r="G9700" s="3301" t="s">
        <v>679</v>
      </c>
      <c r="H9700" s="3063"/>
      <c r="I9700" s="3030"/>
    </row>
    <row r="9701" spans="2:9" ht="25.5">
      <c r="B9701" s="3192" t="s">
        <v>720</v>
      </c>
      <c r="C9701" s="3063"/>
      <c r="D9701" s="3064"/>
      <c r="E9701" s="3064"/>
      <c r="F9701" s="3064"/>
      <c r="G9701" s="3301" t="s">
        <v>720</v>
      </c>
      <c r="H9701" s="3063"/>
      <c r="I9701" s="3030"/>
    </row>
    <row r="9702" spans="2:9">
      <c r="B9702" s="3299" t="s">
        <v>67</v>
      </c>
      <c r="C9702" s="3063"/>
      <c r="D9702" s="3064"/>
      <c r="E9702" s="3064"/>
      <c r="F9702" s="3064"/>
      <c r="G9702" s="3300" t="s">
        <v>67</v>
      </c>
      <c r="H9702" s="3063">
        <v>2.172858105122874E-2</v>
      </c>
      <c r="I9702" s="3030"/>
    </row>
    <row r="9703" spans="2:9" ht="25.5">
      <c r="B9703" s="3192" t="s">
        <v>675</v>
      </c>
      <c r="C9703" s="3063"/>
      <c r="D9703" s="3064"/>
      <c r="E9703" s="3064"/>
      <c r="F9703" s="3064"/>
      <c r="G9703" s="3301" t="s">
        <v>675</v>
      </c>
      <c r="H9703" s="3063"/>
      <c r="I9703" s="3030"/>
    </row>
    <row r="9704" spans="2:9" ht="25.5">
      <c r="B9704" s="3192" t="s">
        <v>676</v>
      </c>
      <c r="C9704" s="3063"/>
      <c r="D9704" s="3064"/>
      <c r="E9704" s="3064"/>
      <c r="F9704" s="3064"/>
      <c r="G9704" s="3301" t="s">
        <v>676</v>
      </c>
      <c r="H9704" s="3063"/>
      <c r="I9704" s="3030"/>
    </row>
    <row r="9705" spans="2:9">
      <c r="B9705" s="3192" t="s">
        <v>677</v>
      </c>
      <c r="C9705" s="3063"/>
      <c r="D9705" s="3064"/>
      <c r="E9705" s="3064"/>
      <c r="F9705" s="3064"/>
      <c r="G9705" s="3301" t="s">
        <v>677</v>
      </c>
      <c r="H9705" s="3063"/>
      <c r="I9705" s="3030"/>
    </row>
    <row r="9706" spans="2:9">
      <c r="B9706" s="3192" t="s">
        <v>678</v>
      </c>
      <c r="C9706" s="3063"/>
      <c r="D9706" s="3064"/>
      <c r="E9706" s="3064"/>
      <c r="F9706" s="3064"/>
      <c r="G9706" s="3301" t="s">
        <v>678</v>
      </c>
      <c r="H9706" s="3063"/>
      <c r="I9706" s="3030"/>
    </row>
    <row r="9707" spans="2:9">
      <c r="B9707" s="3192" t="s">
        <v>679</v>
      </c>
      <c r="C9707" s="3063"/>
      <c r="D9707" s="3064">
        <v>1</v>
      </c>
      <c r="E9707" s="3064"/>
      <c r="F9707" s="3064"/>
      <c r="G9707" s="3301" t="s">
        <v>679</v>
      </c>
      <c r="H9707" s="3063"/>
      <c r="I9707" s="3030"/>
    </row>
    <row r="9708" spans="2:9" ht="25.5">
      <c r="B9708" s="3230" t="s">
        <v>81</v>
      </c>
      <c r="C9708" s="3063"/>
      <c r="D9708" s="3064"/>
      <c r="E9708" s="3064"/>
      <c r="F9708" s="3064"/>
      <c r="G9708" s="3302" t="s">
        <v>81</v>
      </c>
      <c r="H9708" s="3063"/>
      <c r="I9708" s="3030"/>
    </row>
    <row r="9709" spans="2:9" ht="26.25" thickBot="1">
      <c r="B9709" s="3303" t="s">
        <v>81</v>
      </c>
      <c r="C9709" s="3068"/>
      <c r="D9709" s="3069"/>
      <c r="E9709" s="3069"/>
      <c r="F9709" s="3069"/>
      <c r="G9709" s="3304" t="s">
        <v>81</v>
      </c>
      <c r="H9709" s="3068"/>
      <c r="I9709" s="3070"/>
    </row>
    <row r="9710" spans="2:9" ht="38.25">
      <c r="B9710" s="4723">
        <v>3217</v>
      </c>
      <c r="C9710" s="3289"/>
      <c r="D9710" s="3290"/>
      <c r="E9710" s="3290"/>
      <c r="F9710" s="3290"/>
      <c r="G9710" s="4723">
        <v>3217</v>
      </c>
      <c r="H9710" s="3291" t="s">
        <v>687</v>
      </c>
      <c r="I9710" s="3292" t="s">
        <v>688</v>
      </c>
    </row>
    <row r="9711" spans="2:9">
      <c r="B9711" s="4724"/>
      <c r="C9711" s="4678" t="s">
        <v>686</v>
      </c>
      <c r="D9711" s="4725"/>
      <c r="E9711" s="4725"/>
      <c r="F9711" s="4726"/>
      <c r="G9711" s="4724"/>
      <c r="H9711" s="3293"/>
      <c r="I9711" s="3294"/>
    </row>
    <row r="9712" spans="2:9" ht="13.5" thickBot="1">
      <c r="B9712" s="4724"/>
      <c r="C9712" s="3215">
        <v>2013</v>
      </c>
      <c r="D9712" s="3215">
        <v>2014</v>
      </c>
      <c r="E9712" s="3215">
        <v>2015</v>
      </c>
      <c r="F9712" s="3215">
        <v>2016</v>
      </c>
      <c r="G9712" s="4724"/>
      <c r="H9712" s="3295" t="s">
        <v>390</v>
      </c>
      <c r="I9712" s="3296" t="s">
        <v>390</v>
      </c>
    </row>
    <row r="9713" spans="2:9">
      <c r="B9713" s="3217" t="s">
        <v>695</v>
      </c>
      <c r="C9713" s="3218"/>
      <c r="D9713" s="3219"/>
      <c r="E9713" s="3219"/>
      <c r="F9713" s="3219"/>
      <c r="G9713" s="3217" t="s">
        <v>695</v>
      </c>
      <c r="H9713" s="3297"/>
      <c r="I9713" s="3298"/>
    </row>
    <row r="9714" spans="2:9">
      <c r="B9714" s="3299" t="s">
        <v>64</v>
      </c>
      <c r="C9714" s="3063"/>
      <c r="D9714" s="3064"/>
      <c r="E9714" s="3064"/>
      <c r="F9714" s="3064"/>
      <c r="G9714" s="3300" t="s">
        <v>64</v>
      </c>
      <c r="H9714" s="3063"/>
      <c r="I9714" s="3030"/>
    </row>
    <row r="9715" spans="2:9" ht="25.5">
      <c r="B9715" s="3192" t="s">
        <v>675</v>
      </c>
      <c r="C9715" s="3063"/>
      <c r="D9715" s="3064"/>
      <c r="E9715" s="3064"/>
      <c r="F9715" s="3064"/>
      <c r="G9715" s="3301" t="s">
        <v>675</v>
      </c>
      <c r="H9715" s="3063"/>
      <c r="I9715" s="3030"/>
    </row>
    <row r="9716" spans="2:9" ht="25.5">
      <c r="B9716" s="3192" t="s">
        <v>676</v>
      </c>
      <c r="C9716" s="3063"/>
      <c r="D9716" s="3064"/>
      <c r="E9716" s="3064"/>
      <c r="F9716" s="3064"/>
      <c r="G9716" s="3301" t="s">
        <v>676</v>
      </c>
      <c r="H9716" s="3063"/>
      <c r="I9716" s="3030"/>
    </row>
    <row r="9717" spans="2:9">
      <c r="B9717" s="3192" t="s">
        <v>677</v>
      </c>
      <c r="C9717" s="3063"/>
      <c r="D9717" s="3064"/>
      <c r="E9717" s="3064"/>
      <c r="F9717" s="3064"/>
      <c r="G9717" s="3301" t="s">
        <v>677</v>
      </c>
      <c r="H9717" s="3063"/>
      <c r="I9717" s="3030"/>
    </row>
    <row r="9718" spans="2:9">
      <c r="B9718" s="3192" t="s">
        <v>678</v>
      </c>
      <c r="C9718" s="3063"/>
      <c r="D9718" s="3064"/>
      <c r="E9718" s="3064"/>
      <c r="F9718" s="3064"/>
      <c r="G9718" s="3301" t="s">
        <v>678</v>
      </c>
      <c r="H9718" s="3063"/>
      <c r="I9718" s="3030"/>
    </row>
    <row r="9719" spans="2:9">
      <c r="B9719" s="3192" t="s">
        <v>679</v>
      </c>
      <c r="C9719" s="3063"/>
      <c r="D9719" s="3064"/>
      <c r="E9719" s="3064"/>
      <c r="F9719" s="3064"/>
      <c r="G9719" s="3301" t="s">
        <v>679</v>
      </c>
      <c r="H9719" s="3063"/>
      <c r="I9719" s="3030"/>
    </row>
    <row r="9720" spans="2:9" ht="25.5">
      <c r="B9720" s="3192" t="s">
        <v>720</v>
      </c>
      <c r="C9720" s="3063"/>
      <c r="D9720" s="3064"/>
      <c r="E9720" s="3064"/>
      <c r="F9720" s="3064"/>
      <c r="G9720" s="3301" t="s">
        <v>720</v>
      </c>
      <c r="H9720" s="3063"/>
      <c r="I9720" s="3030"/>
    </row>
    <row r="9721" spans="2:9">
      <c r="B9721" s="3299" t="s">
        <v>65</v>
      </c>
      <c r="C9721" s="3063"/>
      <c r="D9721" s="3064"/>
      <c r="E9721" s="3064"/>
      <c r="F9721" s="3064"/>
      <c r="G9721" s="3300" t="s">
        <v>65</v>
      </c>
      <c r="H9721" s="3063"/>
      <c r="I9721" s="3030"/>
    </row>
    <row r="9722" spans="2:9" ht="25.5">
      <c r="B9722" s="3192" t="s">
        <v>675</v>
      </c>
      <c r="C9722" s="3063"/>
      <c r="D9722" s="3064"/>
      <c r="E9722" s="3064"/>
      <c r="F9722" s="3064"/>
      <c r="G9722" s="3301" t="s">
        <v>675</v>
      </c>
      <c r="H9722" s="3063"/>
      <c r="I9722" s="3030"/>
    </row>
    <row r="9723" spans="2:9" ht="25.5">
      <c r="B9723" s="3192" t="s">
        <v>676</v>
      </c>
      <c r="C9723" s="3063"/>
      <c r="D9723" s="3064"/>
      <c r="E9723" s="3064"/>
      <c r="F9723" s="3064"/>
      <c r="G9723" s="3301" t="s">
        <v>676</v>
      </c>
      <c r="H9723" s="3063"/>
      <c r="I9723" s="3030"/>
    </row>
    <row r="9724" spans="2:9">
      <c r="B9724" s="3192" t="s">
        <v>677</v>
      </c>
      <c r="C9724" s="3063"/>
      <c r="D9724" s="3064"/>
      <c r="E9724" s="3064"/>
      <c r="F9724" s="3064"/>
      <c r="G9724" s="3301" t="s">
        <v>677</v>
      </c>
      <c r="H9724" s="3063"/>
      <c r="I9724" s="3030"/>
    </row>
    <row r="9725" spans="2:9">
      <c r="B9725" s="3192" t="s">
        <v>678</v>
      </c>
      <c r="C9725" s="3063"/>
      <c r="D9725" s="3064"/>
      <c r="E9725" s="3064"/>
      <c r="F9725" s="3064"/>
      <c r="G9725" s="3301" t="s">
        <v>678</v>
      </c>
      <c r="H9725" s="3063"/>
      <c r="I9725" s="3030"/>
    </row>
    <row r="9726" spans="2:9">
      <c r="B9726" s="3192" t="s">
        <v>679</v>
      </c>
      <c r="C9726" s="3063"/>
      <c r="D9726" s="3064"/>
      <c r="E9726" s="3064"/>
      <c r="F9726" s="3064"/>
      <c r="G9726" s="3301" t="s">
        <v>679</v>
      </c>
      <c r="H9726" s="3063"/>
      <c r="I9726" s="3030"/>
    </row>
    <row r="9727" spans="2:9" ht="25.5">
      <c r="B9727" s="3192" t="s">
        <v>720</v>
      </c>
      <c r="C9727" s="3063"/>
      <c r="D9727" s="3064"/>
      <c r="E9727" s="3064"/>
      <c r="F9727" s="3064"/>
      <c r="G9727" s="3301" t="s">
        <v>720</v>
      </c>
      <c r="H9727" s="3063"/>
      <c r="I9727" s="3030"/>
    </row>
    <row r="9728" spans="2:9">
      <c r="B9728" s="3299" t="s">
        <v>82</v>
      </c>
      <c r="C9728" s="3063"/>
      <c r="D9728" s="3064"/>
      <c r="E9728" s="3064"/>
      <c r="F9728" s="3064"/>
      <c r="G9728" s="3300" t="s">
        <v>82</v>
      </c>
      <c r="H9728" s="3063"/>
      <c r="I9728" s="3030"/>
    </row>
    <row r="9729" spans="2:9" ht="25.5">
      <c r="B9729" s="3192" t="s">
        <v>675</v>
      </c>
      <c r="C9729" s="3063"/>
      <c r="D9729" s="3064"/>
      <c r="E9729" s="3064"/>
      <c r="F9729" s="3064"/>
      <c r="G9729" s="3301" t="s">
        <v>675</v>
      </c>
      <c r="H9729" s="3063"/>
      <c r="I9729" s="3030"/>
    </row>
    <row r="9730" spans="2:9" ht="25.5">
      <c r="B9730" s="3192" t="s">
        <v>676</v>
      </c>
      <c r="C9730" s="3063"/>
      <c r="D9730" s="3064"/>
      <c r="E9730" s="3064"/>
      <c r="F9730" s="3064"/>
      <c r="G9730" s="3301" t="s">
        <v>676</v>
      </c>
      <c r="H9730" s="3063"/>
      <c r="I9730" s="3030"/>
    </row>
    <row r="9731" spans="2:9">
      <c r="B9731" s="3192" t="s">
        <v>677</v>
      </c>
      <c r="C9731" s="3063"/>
      <c r="D9731" s="3064"/>
      <c r="E9731" s="3064"/>
      <c r="F9731" s="3064"/>
      <c r="G9731" s="3301" t="s">
        <v>677</v>
      </c>
      <c r="H9731" s="3063"/>
      <c r="I9731" s="3030"/>
    </row>
    <row r="9732" spans="2:9">
      <c r="B9732" s="3192" t="s">
        <v>678</v>
      </c>
      <c r="C9732" s="3063"/>
      <c r="D9732" s="3064"/>
      <c r="E9732" s="3064"/>
      <c r="F9732" s="3064"/>
      <c r="G9732" s="3301" t="s">
        <v>678</v>
      </c>
      <c r="H9732" s="3063"/>
      <c r="I9732" s="3030"/>
    </row>
    <row r="9733" spans="2:9">
      <c r="B9733" s="3192" t="s">
        <v>679</v>
      </c>
      <c r="C9733" s="3063"/>
      <c r="D9733" s="3064"/>
      <c r="E9733" s="3064"/>
      <c r="F9733" s="3064"/>
      <c r="G9733" s="3301" t="s">
        <v>679</v>
      </c>
      <c r="H9733" s="3063"/>
      <c r="I9733" s="3030"/>
    </row>
    <row r="9734" spans="2:9" ht="25.5">
      <c r="B9734" s="3192" t="s">
        <v>720</v>
      </c>
      <c r="C9734" s="3063"/>
      <c r="D9734" s="3064"/>
      <c r="E9734" s="3064"/>
      <c r="F9734" s="3064"/>
      <c r="G9734" s="3301" t="s">
        <v>720</v>
      </c>
      <c r="H9734" s="3063"/>
      <c r="I9734" s="3030"/>
    </row>
    <row r="9735" spans="2:9" ht="38.25">
      <c r="B9735" s="3299" t="s">
        <v>680</v>
      </c>
      <c r="C9735" s="3063"/>
      <c r="D9735" s="3064"/>
      <c r="E9735" s="3064"/>
      <c r="F9735" s="3064"/>
      <c r="G9735" s="3300" t="s">
        <v>680</v>
      </c>
      <c r="H9735" s="3063"/>
      <c r="I9735" s="3030"/>
    </row>
    <row r="9736" spans="2:9" ht="25.5">
      <c r="B9736" s="3192" t="s">
        <v>675</v>
      </c>
      <c r="C9736" s="3063"/>
      <c r="D9736" s="3064"/>
      <c r="E9736" s="3064"/>
      <c r="F9736" s="3064"/>
      <c r="G9736" s="3301" t="s">
        <v>675</v>
      </c>
      <c r="H9736" s="3063"/>
      <c r="I9736" s="3030"/>
    </row>
    <row r="9737" spans="2:9" ht="25.5">
      <c r="B9737" s="3192" t="s">
        <v>676</v>
      </c>
      <c r="C9737" s="3063"/>
      <c r="D9737" s="3064"/>
      <c r="E9737" s="3064"/>
      <c r="F9737" s="3064"/>
      <c r="G9737" s="3301" t="s">
        <v>676</v>
      </c>
      <c r="H9737" s="3063"/>
      <c r="I9737" s="3030"/>
    </row>
    <row r="9738" spans="2:9">
      <c r="B9738" s="3192" t="s">
        <v>677</v>
      </c>
      <c r="C9738" s="3063"/>
      <c r="D9738" s="3064"/>
      <c r="E9738" s="3064"/>
      <c r="F9738" s="3064"/>
      <c r="G9738" s="3301" t="s">
        <v>677</v>
      </c>
      <c r="H9738" s="3063"/>
      <c r="I9738" s="3030"/>
    </row>
    <row r="9739" spans="2:9">
      <c r="B9739" s="3192" t="s">
        <v>678</v>
      </c>
      <c r="C9739" s="3063"/>
      <c r="D9739" s="3064"/>
      <c r="E9739" s="3064"/>
      <c r="F9739" s="3064"/>
      <c r="G9739" s="3301" t="s">
        <v>678</v>
      </c>
      <c r="H9739" s="3063"/>
      <c r="I9739" s="3030"/>
    </row>
    <row r="9740" spans="2:9">
      <c r="B9740" s="3192" t="s">
        <v>679</v>
      </c>
      <c r="C9740" s="3063"/>
      <c r="D9740" s="3064"/>
      <c r="E9740" s="3064"/>
      <c r="F9740" s="3064"/>
      <c r="G9740" s="3301" t="s">
        <v>679</v>
      </c>
      <c r="H9740" s="3063"/>
      <c r="I9740" s="3030"/>
    </row>
    <row r="9741" spans="2:9" ht="25.5">
      <c r="B9741" s="3192" t="s">
        <v>720</v>
      </c>
      <c r="C9741" s="3063"/>
      <c r="D9741" s="3064"/>
      <c r="E9741" s="3064"/>
      <c r="F9741" s="3064"/>
      <c r="G9741" s="3301" t="s">
        <v>720</v>
      </c>
      <c r="H9741" s="3063"/>
      <c r="I9741" s="3030"/>
    </row>
    <row r="9742" spans="2:9" ht="38.25">
      <c r="B9742" s="3299" t="s">
        <v>681</v>
      </c>
      <c r="C9742" s="3063"/>
      <c r="D9742" s="3064"/>
      <c r="E9742" s="3064"/>
      <c r="F9742" s="3064"/>
      <c r="G9742" s="3300" t="s">
        <v>681</v>
      </c>
      <c r="H9742" s="3063"/>
      <c r="I9742" s="3030"/>
    </row>
    <row r="9743" spans="2:9" ht="25.5">
      <c r="B9743" s="3192" t="s">
        <v>675</v>
      </c>
      <c r="C9743" s="3063"/>
      <c r="D9743" s="3064"/>
      <c r="E9743" s="3064"/>
      <c r="F9743" s="3064"/>
      <c r="G9743" s="3301" t="s">
        <v>675</v>
      </c>
      <c r="H9743" s="3063"/>
      <c r="I9743" s="3030"/>
    </row>
    <row r="9744" spans="2:9" ht="25.5">
      <c r="B9744" s="3192" t="s">
        <v>676</v>
      </c>
      <c r="C9744" s="3063"/>
      <c r="D9744" s="3064"/>
      <c r="E9744" s="3064"/>
      <c r="F9744" s="3064"/>
      <c r="G9744" s="3301" t="s">
        <v>676</v>
      </c>
      <c r="H9744" s="3063"/>
      <c r="I9744" s="3030"/>
    </row>
    <row r="9745" spans="2:9">
      <c r="B9745" s="3192" t="s">
        <v>677</v>
      </c>
      <c r="C9745" s="3063"/>
      <c r="D9745" s="3064"/>
      <c r="E9745" s="3064"/>
      <c r="F9745" s="3064"/>
      <c r="G9745" s="3301" t="s">
        <v>677</v>
      </c>
      <c r="H9745" s="3063"/>
      <c r="I9745" s="3030"/>
    </row>
    <row r="9746" spans="2:9">
      <c r="B9746" s="3192" t="s">
        <v>678</v>
      </c>
      <c r="C9746" s="3063"/>
      <c r="D9746" s="3064"/>
      <c r="E9746" s="3064"/>
      <c r="F9746" s="3064"/>
      <c r="G9746" s="3301" t="s">
        <v>678</v>
      </c>
      <c r="H9746" s="3063"/>
      <c r="I9746" s="3030"/>
    </row>
    <row r="9747" spans="2:9">
      <c r="B9747" s="3192" t="s">
        <v>679</v>
      </c>
      <c r="C9747" s="3063"/>
      <c r="D9747" s="3064"/>
      <c r="E9747" s="3064"/>
      <c r="F9747" s="3064"/>
      <c r="G9747" s="3301" t="s">
        <v>679</v>
      </c>
      <c r="H9747" s="3063"/>
      <c r="I9747" s="3030"/>
    </row>
    <row r="9748" spans="2:9" ht="25.5">
      <c r="B9748" s="3192" t="s">
        <v>720</v>
      </c>
      <c r="C9748" s="3063"/>
      <c r="D9748" s="3064"/>
      <c r="E9748" s="3064"/>
      <c r="F9748" s="3064"/>
      <c r="G9748" s="3301" t="s">
        <v>720</v>
      </c>
      <c r="H9748" s="3063"/>
      <c r="I9748" s="3030"/>
    </row>
    <row r="9749" spans="2:9" ht="25.5">
      <c r="B9749" s="3299" t="s">
        <v>682</v>
      </c>
      <c r="C9749" s="3063"/>
      <c r="D9749" s="3064"/>
      <c r="E9749" s="3064"/>
      <c r="F9749" s="3064"/>
      <c r="G9749" s="3300" t="s">
        <v>682</v>
      </c>
      <c r="H9749" s="3063"/>
      <c r="I9749" s="3030"/>
    </row>
    <row r="9750" spans="2:9" ht="25.5">
      <c r="B9750" s="3192" t="s">
        <v>675</v>
      </c>
      <c r="C9750" s="3063"/>
      <c r="D9750" s="3064"/>
      <c r="E9750" s="3064"/>
      <c r="F9750" s="3064"/>
      <c r="G9750" s="3301" t="s">
        <v>675</v>
      </c>
      <c r="H9750" s="3063"/>
      <c r="I9750" s="3030"/>
    </row>
    <row r="9751" spans="2:9" ht="25.5">
      <c r="B9751" s="3192" t="s">
        <v>676</v>
      </c>
      <c r="C9751" s="3063"/>
      <c r="D9751" s="3064"/>
      <c r="E9751" s="3064"/>
      <c r="F9751" s="3064"/>
      <c r="G9751" s="3301" t="s">
        <v>676</v>
      </c>
      <c r="H9751" s="3063"/>
      <c r="I9751" s="3030"/>
    </row>
    <row r="9752" spans="2:9">
      <c r="B9752" s="3192" t="s">
        <v>677</v>
      </c>
      <c r="C9752" s="3063"/>
      <c r="D9752" s="3064"/>
      <c r="E9752" s="3064"/>
      <c r="F9752" s="3064"/>
      <c r="G9752" s="3301" t="s">
        <v>677</v>
      </c>
      <c r="H9752" s="3063"/>
      <c r="I9752" s="3030"/>
    </row>
    <row r="9753" spans="2:9">
      <c r="B9753" s="3192" t="s">
        <v>678</v>
      </c>
      <c r="C9753" s="3063"/>
      <c r="D9753" s="3064"/>
      <c r="E9753" s="3064"/>
      <c r="F9753" s="3064"/>
      <c r="G9753" s="3301" t="s">
        <v>678</v>
      </c>
      <c r="H9753" s="3063"/>
      <c r="I9753" s="3030"/>
    </row>
    <row r="9754" spans="2:9">
      <c r="B9754" s="3192" t="s">
        <v>679</v>
      </c>
      <c r="C9754" s="3063"/>
      <c r="D9754" s="3064"/>
      <c r="E9754" s="3064"/>
      <c r="F9754" s="3064"/>
      <c r="G9754" s="3301" t="s">
        <v>679</v>
      </c>
      <c r="H9754" s="3063"/>
      <c r="I9754" s="3030"/>
    </row>
    <row r="9755" spans="2:9" ht="25.5">
      <c r="B9755" s="3192" t="s">
        <v>720</v>
      </c>
      <c r="C9755" s="3063"/>
      <c r="D9755" s="3064"/>
      <c r="E9755" s="3064"/>
      <c r="F9755" s="3064"/>
      <c r="G9755" s="3301" t="s">
        <v>720</v>
      </c>
      <c r="H9755" s="3063"/>
      <c r="I9755" s="3030"/>
    </row>
    <row r="9756" spans="2:9" ht="25.5">
      <c r="B9756" s="3299" t="s">
        <v>66</v>
      </c>
      <c r="C9756" s="3063"/>
      <c r="D9756" s="3064"/>
      <c r="E9756" s="3064"/>
      <c r="F9756" s="3064"/>
      <c r="G9756" s="3300" t="s">
        <v>66</v>
      </c>
      <c r="H9756" s="3063"/>
      <c r="I9756" s="3030"/>
    </row>
    <row r="9757" spans="2:9" ht="25.5">
      <c r="B9757" s="3192" t="s">
        <v>675</v>
      </c>
      <c r="C9757" s="3063"/>
      <c r="D9757" s="3064"/>
      <c r="E9757" s="3064"/>
      <c r="F9757" s="3064"/>
      <c r="G9757" s="3301" t="s">
        <v>675</v>
      </c>
      <c r="H9757" s="3063"/>
      <c r="I9757" s="3030"/>
    </row>
    <row r="9758" spans="2:9" ht="25.5">
      <c r="B9758" s="3192" t="s">
        <v>676</v>
      </c>
      <c r="C9758" s="3063"/>
      <c r="D9758" s="3064"/>
      <c r="E9758" s="3064"/>
      <c r="F9758" s="3064"/>
      <c r="G9758" s="3301" t="s">
        <v>676</v>
      </c>
      <c r="H9758" s="3063"/>
      <c r="I9758" s="3030"/>
    </row>
    <row r="9759" spans="2:9">
      <c r="B9759" s="3192" t="s">
        <v>677</v>
      </c>
      <c r="C9759" s="3063"/>
      <c r="D9759" s="3064"/>
      <c r="E9759" s="3064"/>
      <c r="F9759" s="3064"/>
      <c r="G9759" s="3301" t="s">
        <v>677</v>
      </c>
      <c r="H9759" s="3063"/>
      <c r="I9759" s="3030"/>
    </row>
    <row r="9760" spans="2:9">
      <c r="B9760" s="3192" t="s">
        <v>678</v>
      </c>
      <c r="C9760" s="3063"/>
      <c r="D9760" s="3064"/>
      <c r="E9760" s="3064"/>
      <c r="F9760" s="3064"/>
      <c r="G9760" s="3301" t="s">
        <v>678</v>
      </c>
      <c r="H9760" s="3063"/>
      <c r="I9760" s="3030"/>
    </row>
    <row r="9761" spans="2:9">
      <c r="B9761" s="3192" t="s">
        <v>679</v>
      </c>
      <c r="C9761" s="3063"/>
      <c r="D9761" s="3064"/>
      <c r="E9761" s="3064"/>
      <c r="F9761" s="3064"/>
      <c r="G9761" s="3301" t="s">
        <v>679</v>
      </c>
      <c r="H9761" s="3063"/>
      <c r="I9761" s="3030"/>
    </row>
    <row r="9762" spans="2:9" ht="25.5">
      <c r="B9762" s="3192" t="s">
        <v>720</v>
      </c>
      <c r="C9762" s="3063"/>
      <c r="D9762" s="3064"/>
      <c r="E9762" s="3064"/>
      <c r="F9762" s="3064"/>
      <c r="G9762" s="3301" t="s">
        <v>720</v>
      </c>
      <c r="H9762" s="3063"/>
      <c r="I9762" s="3030"/>
    </row>
    <row r="9763" spans="2:9">
      <c r="B9763" s="3299" t="s">
        <v>67</v>
      </c>
      <c r="C9763" s="3063"/>
      <c r="D9763" s="3064"/>
      <c r="E9763" s="3064"/>
      <c r="F9763" s="3064"/>
      <c r="G9763" s="3300" t="s">
        <v>67</v>
      </c>
      <c r="H9763" s="3063"/>
      <c r="I9763" s="3030"/>
    </row>
    <row r="9764" spans="2:9" ht="25.5">
      <c r="B9764" s="3192" t="s">
        <v>675</v>
      </c>
      <c r="C9764" s="3063"/>
      <c r="D9764" s="3064"/>
      <c r="E9764" s="3064"/>
      <c r="F9764" s="3064"/>
      <c r="G9764" s="3301" t="s">
        <v>675</v>
      </c>
      <c r="H9764" s="3063"/>
      <c r="I9764" s="3030"/>
    </row>
    <row r="9765" spans="2:9" ht="25.5">
      <c r="B9765" s="3192" t="s">
        <v>676</v>
      </c>
      <c r="C9765" s="3063"/>
      <c r="D9765" s="3064"/>
      <c r="E9765" s="3064"/>
      <c r="F9765" s="3064"/>
      <c r="G9765" s="3301" t="s">
        <v>676</v>
      </c>
      <c r="H9765" s="3063"/>
      <c r="I9765" s="3030"/>
    </row>
    <row r="9766" spans="2:9">
      <c r="B9766" s="3192" t="s">
        <v>677</v>
      </c>
      <c r="C9766" s="3063"/>
      <c r="D9766" s="3064"/>
      <c r="E9766" s="3064"/>
      <c r="F9766" s="3064"/>
      <c r="G9766" s="3301" t="s">
        <v>677</v>
      </c>
      <c r="H9766" s="3063"/>
      <c r="I9766" s="3030"/>
    </row>
    <row r="9767" spans="2:9">
      <c r="B9767" s="3192" t="s">
        <v>678</v>
      </c>
      <c r="C9767" s="3063"/>
      <c r="D9767" s="3064"/>
      <c r="E9767" s="3064"/>
      <c r="F9767" s="3064"/>
      <c r="G9767" s="3301" t="s">
        <v>678</v>
      </c>
      <c r="H9767" s="3063"/>
      <c r="I9767" s="3030"/>
    </row>
    <row r="9768" spans="2:9">
      <c r="B9768" s="3192" t="s">
        <v>679</v>
      </c>
      <c r="C9768" s="3063"/>
      <c r="D9768" s="3064"/>
      <c r="E9768" s="3064"/>
      <c r="F9768" s="3064"/>
      <c r="G9768" s="3301" t="s">
        <v>679</v>
      </c>
      <c r="H9768" s="3063"/>
      <c r="I9768" s="3030"/>
    </row>
    <row r="9769" spans="2:9" ht="25.5">
      <c r="B9769" s="3192" t="s">
        <v>720</v>
      </c>
      <c r="C9769" s="3063"/>
      <c r="D9769" s="3064"/>
      <c r="E9769" s="3064"/>
      <c r="F9769" s="3064"/>
      <c r="G9769" s="3301" t="s">
        <v>720</v>
      </c>
      <c r="H9769" s="3063"/>
      <c r="I9769" s="3030"/>
    </row>
    <row r="9770" spans="2:9" ht="25.5">
      <c r="B9770" s="3230" t="s">
        <v>81</v>
      </c>
      <c r="C9770" s="3063"/>
      <c r="D9770" s="3064"/>
      <c r="E9770" s="3064"/>
      <c r="F9770" s="3064"/>
      <c r="G9770" s="3302" t="s">
        <v>81</v>
      </c>
      <c r="H9770" s="3063"/>
      <c r="I9770" s="3030"/>
    </row>
    <row r="9771" spans="2:9" ht="26.25" thickBot="1">
      <c r="B9771" s="3303" t="s">
        <v>81</v>
      </c>
      <c r="C9771" s="3063"/>
      <c r="D9771" s="3064"/>
      <c r="E9771" s="3064"/>
      <c r="F9771" s="3064"/>
      <c r="G9771" s="3302" t="s">
        <v>81</v>
      </c>
      <c r="H9771" s="3063"/>
      <c r="I9771" s="3030"/>
    </row>
    <row r="9772" spans="2:9" ht="25.5">
      <c r="B9772" s="3217" t="s">
        <v>696</v>
      </c>
      <c r="C9772" s="3218"/>
      <c r="D9772" s="3219"/>
      <c r="E9772" s="3219"/>
      <c r="F9772" s="3219"/>
      <c r="G9772" s="3217" t="s">
        <v>696</v>
      </c>
      <c r="H9772" s="3297"/>
      <c r="I9772" s="3298"/>
    </row>
    <row r="9773" spans="2:9">
      <c r="B9773" s="3299" t="s">
        <v>64</v>
      </c>
      <c r="C9773" s="3063"/>
      <c r="D9773" s="3064"/>
      <c r="E9773" s="3064"/>
      <c r="F9773" s="3064"/>
      <c r="G9773" s="3300" t="s">
        <v>64</v>
      </c>
      <c r="H9773" s="3063"/>
      <c r="I9773" s="3030"/>
    </row>
    <row r="9774" spans="2:9" ht="25.5">
      <c r="B9774" s="3192" t="s">
        <v>675</v>
      </c>
      <c r="C9774" s="3063"/>
      <c r="D9774" s="3064"/>
      <c r="E9774" s="3064"/>
      <c r="F9774" s="3064"/>
      <c r="G9774" s="3301" t="s">
        <v>675</v>
      </c>
      <c r="H9774" s="3063"/>
      <c r="I9774" s="3030"/>
    </row>
    <row r="9775" spans="2:9" ht="25.5">
      <c r="B9775" s="3192" t="s">
        <v>676</v>
      </c>
      <c r="C9775" s="3063"/>
      <c r="D9775" s="3064"/>
      <c r="E9775" s="3064"/>
      <c r="F9775" s="3064"/>
      <c r="G9775" s="3301" t="s">
        <v>676</v>
      </c>
      <c r="H9775" s="3063"/>
      <c r="I9775" s="3030"/>
    </row>
    <row r="9776" spans="2:9">
      <c r="B9776" s="3192" t="s">
        <v>677</v>
      </c>
      <c r="C9776" s="3063"/>
      <c r="D9776" s="3064"/>
      <c r="E9776" s="3064"/>
      <c r="F9776" s="3064"/>
      <c r="G9776" s="3301" t="s">
        <v>677</v>
      </c>
      <c r="H9776" s="3063"/>
      <c r="I9776" s="3030"/>
    </row>
    <row r="9777" spans="2:9">
      <c r="B9777" s="3192" t="s">
        <v>678</v>
      </c>
      <c r="C9777" s="3063"/>
      <c r="D9777" s="3064"/>
      <c r="E9777" s="3064"/>
      <c r="F9777" s="3064"/>
      <c r="G9777" s="3301" t="s">
        <v>678</v>
      </c>
      <c r="H9777" s="3063"/>
      <c r="I9777" s="3030"/>
    </row>
    <row r="9778" spans="2:9">
      <c r="B9778" s="3192" t="s">
        <v>679</v>
      </c>
      <c r="C9778" s="3063"/>
      <c r="D9778" s="3064"/>
      <c r="E9778" s="3064"/>
      <c r="F9778" s="3064"/>
      <c r="G9778" s="3301" t="s">
        <v>679</v>
      </c>
      <c r="H9778" s="3063"/>
      <c r="I9778" s="3030"/>
    </row>
    <row r="9779" spans="2:9" ht="25.5">
      <c r="B9779" s="3192" t="s">
        <v>720</v>
      </c>
      <c r="C9779" s="3063"/>
      <c r="D9779" s="3064"/>
      <c r="E9779" s="3064"/>
      <c r="F9779" s="3064"/>
      <c r="G9779" s="3301" t="s">
        <v>720</v>
      </c>
      <c r="H9779" s="3063"/>
      <c r="I9779" s="3030"/>
    </row>
    <row r="9780" spans="2:9">
      <c r="B9780" s="3299" t="s">
        <v>65</v>
      </c>
      <c r="C9780" s="3063"/>
      <c r="D9780" s="3064"/>
      <c r="E9780" s="3064"/>
      <c r="F9780" s="3064"/>
      <c r="G9780" s="3300" t="s">
        <v>65</v>
      </c>
      <c r="H9780" s="3063"/>
      <c r="I9780" s="3030"/>
    </row>
    <row r="9781" spans="2:9" ht="25.5">
      <c r="B9781" s="3192" t="s">
        <v>675</v>
      </c>
      <c r="C9781" s="3063"/>
      <c r="D9781" s="3064"/>
      <c r="E9781" s="3064"/>
      <c r="F9781" s="3064"/>
      <c r="G9781" s="3301" t="s">
        <v>675</v>
      </c>
      <c r="H9781" s="3063"/>
      <c r="I9781" s="3030"/>
    </row>
    <row r="9782" spans="2:9" ht="25.5">
      <c r="B9782" s="3192" t="s">
        <v>676</v>
      </c>
      <c r="C9782" s="3063"/>
      <c r="D9782" s="3064"/>
      <c r="E9782" s="3064"/>
      <c r="F9782" s="3064"/>
      <c r="G9782" s="3301" t="s">
        <v>676</v>
      </c>
      <c r="H9782" s="3063"/>
      <c r="I9782" s="3030"/>
    </row>
    <row r="9783" spans="2:9">
      <c r="B9783" s="3192" t="s">
        <v>677</v>
      </c>
      <c r="C9783" s="3063"/>
      <c r="D9783" s="3064"/>
      <c r="E9783" s="3064"/>
      <c r="F9783" s="3064"/>
      <c r="G9783" s="3301" t="s">
        <v>677</v>
      </c>
      <c r="H9783" s="3063"/>
      <c r="I9783" s="3030"/>
    </row>
    <row r="9784" spans="2:9">
      <c r="B9784" s="3192" t="s">
        <v>678</v>
      </c>
      <c r="C9784" s="3063"/>
      <c r="D9784" s="3064"/>
      <c r="E9784" s="3064"/>
      <c r="F9784" s="3064"/>
      <c r="G9784" s="3301" t="s">
        <v>678</v>
      </c>
      <c r="H9784" s="3063"/>
      <c r="I9784" s="3030"/>
    </row>
    <row r="9785" spans="2:9">
      <c r="B9785" s="3192" t="s">
        <v>679</v>
      </c>
      <c r="C9785" s="3063"/>
      <c r="D9785" s="3064"/>
      <c r="E9785" s="3064"/>
      <c r="F9785" s="3064"/>
      <c r="G9785" s="3301" t="s">
        <v>679</v>
      </c>
      <c r="H9785" s="3063"/>
      <c r="I9785" s="3030"/>
    </row>
    <row r="9786" spans="2:9" ht="25.5">
      <c r="B9786" s="3192" t="s">
        <v>720</v>
      </c>
      <c r="C9786" s="3063"/>
      <c r="D9786" s="3064"/>
      <c r="E9786" s="3064"/>
      <c r="F9786" s="3064"/>
      <c r="G9786" s="3301" t="s">
        <v>720</v>
      </c>
      <c r="H9786" s="3063"/>
      <c r="I9786" s="3030"/>
    </row>
    <row r="9787" spans="2:9">
      <c r="B9787" s="3299" t="s">
        <v>82</v>
      </c>
      <c r="C9787" s="3063"/>
      <c r="D9787" s="3064"/>
      <c r="E9787" s="3064"/>
      <c r="F9787" s="3064"/>
      <c r="G9787" s="3300" t="s">
        <v>82</v>
      </c>
      <c r="H9787" s="3063"/>
      <c r="I9787" s="3030"/>
    </row>
    <row r="9788" spans="2:9" ht="25.5">
      <c r="B9788" s="3192" t="s">
        <v>675</v>
      </c>
      <c r="C9788" s="3063"/>
      <c r="D9788" s="3064"/>
      <c r="E9788" s="3064"/>
      <c r="F9788" s="3064"/>
      <c r="G9788" s="3301" t="s">
        <v>675</v>
      </c>
      <c r="H9788" s="3063"/>
      <c r="I9788" s="3030"/>
    </row>
    <row r="9789" spans="2:9" ht="25.5">
      <c r="B9789" s="3192" t="s">
        <v>676</v>
      </c>
      <c r="C9789" s="3063"/>
      <c r="D9789" s="3064"/>
      <c r="E9789" s="3064"/>
      <c r="F9789" s="3064"/>
      <c r="G9789" s="3301" t="s">
        <v>676</v>
      </c>
      <c r="H9789" s="3063"/>
      <c r="I9789" s="3030"/>
    </row>
    <row r="9790" spans="2:9">
      <c r="B9790" s="3192" t="s">
        <v>677</v>
      </c>
      <c r="C9790" s="3063"/>
      <c r="D9790" s="3064"/>
      <c r="E9790" s="3064"/>
      <c r="F9790" s="3064"/>
      <c r="G9790" s="3301" t="s">
        <v>677</v>
      </c>
      <c r="H9790" s="3063"/>
      <c r="I9790" s="3030"/>
    </row>
    <row r="9791" spans="2:9">
      <c r="B9791" s="3192" t="s">
        <v>678</v>
      </c>
      <c r="C9791" s="3063"/>
      <c r="D9791" s="3064"/>
      <c r="E9791" s="3064"/>
      <c r="F9791" s="3064"/>
      <c r="G9791" s="3301" t="s">
        <v>678</v>
      </c>
      <c r="H9791" s="3063"/>
      <c r="I9791" s="3030"/>
    </row>
    <row r="9792" spans="2:9">
      <c r="B9792" s="3192" t="s">
        <v>679</v>
      </c>
      <c r="C9792" s="3063"/>
      <c r="D9792" s="3064"/>
      <c r="E9792" s="3064"/>
      <c r="F9792" s="3064"/>
      <c r="G9792" s="3301" t="s">
        <v>679</v>
      </c>
      <c r="H9792" s="3063"/>
      <c r="I9792" s="3030"/>
    </row>
    <row r="9793" spans="2:9" ht="25.5">
      <c r="B9793" s="3192" t="s">
        <v>720</v>
      </c>
      <c r="C9793" s="3063"/>
      <c r="D9793" s="3064"/>
      <c r="E9793" s="3064"/>
      <c r="F9793" s="3064"/>
      <c r="G9793" s="3301" t="s">
        <v>720</v>
      </c>
      <c r="H9793" s="3063"/>
      <c r="I9793" s="3030"/>
    </row>
    <row r="9794" spans="2:9" ht="38.25">
      <c r="B9794" s="3299" t="s">
        <v>680</v>
      </c>
      <c r="C9794" s="3063"/>
      <c r="D9794" s="3064"/>
      <c r="E9794" s="3064"/>
      <c r="F9794" s="3064"/>
      <c r="G9794" s="3300" t="s">
        <v>680</v>
      </c>
      <c r="H9794" s="3063"/>
      <c r="I9794" s="3030"/>
    </row>
    <row r="9795" spans="2:9" ht="25.5">
      <c r="B9795" s="3192" t="s">
        <v>675</v>
      </c>
      <c r="C9795" s="3063"/>
      <c r="D9795" s="3064"/>
      <c r="E9795" s="3064"/>
      <c r="F9795" s="3064"/>
      <c r="G9795" s="3301" t="s">
        <v>675</v>
      </c>
      <c r="H9795" s="3063"/>
      <c r="I9795" s="3030"/>
    </row>
    <row r="9796" spans="2:9" ht="25.5">
      <c r="B9796" s="3192" t="s">
        <v>676</v>
      </c>
      <c r="C9796" s="3063"/>
      <c r="D9796" s="3064"/>
      <c r="E9796" s="3064"/>
      <c r="F9796" s="3064"/>
      <c r="G9796" s="3301" t="s">
        <v>676</v>
      </c>
      <c r="H9796" s="3063"/>
      <c r="I9796" s="3030"/>
    </row>
    <row r="9797" spans="2:9">
      <c r="B9797" s="3192" t="s">
        <v>677</v>
      </c>
      <c r="C9797" s="3063"/>
      <c r="D9797" s="3064"/>
      <c r="E9797" s="3064"/>
      <c r="F9797" s="3064"/>
      <c r="G9797" s="3301" t="s">
        <v>677</v>
      </c>
      <c r="H9797" s="3063"/>
      <c r="I9797" s="3030"/>
    </row>
    <row r="9798" spans="2:9">
      <c r="B9798" s="3192" t="s">
        <v>678</v>
      </c>
      <c r="C9798" s="3063"/>
      <c r="D9798" s="3064"/>
      <c r="E9798" s="3064"/>
      <c r="F9798" s="3064"/>
      <c r="G9798" s="3301" t="s">
        <v>678</v>
      </c>
      <c r="H9798" s="3063"/>
      <c r="I9798" s="3030"/>
    </row>
    <row r="9799" spans="2:9">
      <c r="B9799" s="3192" t="s">
        <v>679</v>
      </c>
      <c r="C9799" s="3063"/>
      <c r="D9799" s="3064"/>
      <c r="E9799" s="3064"/>
      <c r="F9799" s="3064"/>
      <c r="G9799" s="3301" t="s">
        <v>679</v>
      </c>
      <c r="H9799" s="3063"/>
      <c r="I9799" s="3030"/>
    </row>
    <row r="9800" spans="2:9" ht="25.5">
      <c r="B9800" s="3192" t="s">
        <v>720</v>
      </c>
      <c r="C9800" s="3063"/>
      <c r="D9800" s="3064"/>
      <c r="E9800" s="3064"/>
      <c r="F9800" s="3064"/>
      <c r="G9800" s="3301" t="s">
        <v>720</v>
      </c>
      <c r="H9800" s="3063"/>
      <c r="I9800" s="3030"/>
    </row>
    <row r="9801" spans="2:9" ht="38.25">
      <c r="B9801" s="3299" t="s">
        <v>681</v>
      </c>
      <c r="C9801" s="3063"/>
      <c r="D9801" s="3064"/>
      <c r="E9801" s="3064"/>
      <c r="F9801" s="3064"/>
      <c r="G9801" s="3300" t="s">
        <v>681</v>
      </c>
      <c r="H9801" s="3063"/>
      <c r="I9801" s="3030"/>
    </row>
    <row r="9802" spans="2:9" ht="25.5">
      <c r="B9802" s="3192" t="s">
        <v>675</v>
      </c>
      <c r="C9802" s="3063"/>
      <c r="D9802" s="3064"/>
      <c r="E9802" s="3064"/>
      <c r="F9802" s="3064"/>
      <c r="G9802" s="3301" t="s">
        <v>675</v>
      </c>
      <c r="H9802" s="3063"/>
      <c r="I9802" s="3030"/>
    </row>
    <row r="9803" spans="2:9" ht="25.5">
      <c r="B9803" s="3192" t="s">
        <v>676</v>
      </c>
      <c r="C9803" s="3063"/>
      <c r="D9803" s="3064"/>
      <c r="E9803" s="3064"/>
      <c r="F9803" s="3064"/>
      <c r="G9803" s="3301" t="s">
        <v>676</v>
      </c>
      <c r="H9803" s="3063"/>
      <c r="I9803" s="3030"/>
    </row>
    <row r="9804" spans="2:9">
      <c r="B9804" s="3192" t="s">
        <v>677</v>
      </c>
      <c r="C9804" s="3063"/>
      <c r="D9804" s="3064"/>
      <c r="E9804" s="3064"/>
      <c r="F9804" s="3064"/>
      <c r="G9804" s="3301" t="s">
        <v>677</v>
      </c>
      <c r="H9804" s="3063"/>
      <c r="I9804" s="3030"/>
    </row>
    <row r="9805" spans="2:9">
      <c r="B9805" s="3192" t="s">
        <v>678</v>
      </c>
      <c r="C9805" s="3063"/>
      <c r="D9805" s="3064"/>
      <c r="E9805" s="3064"/>
      <c r="F9805" s="3064"/>
      <c r="G9805" s="3301" t="s">
        <v>678</v>
      </c>
      <c r="H9805" s="3063"/>
      <c r="I9805" s="3030"/>
    </row>
    <row r="9806" spans="2:9">
      <c r="B9806" s="3192" t="s">
        <v>679</v>
      </c>
      <c r="C9806" s="3063"/>
      <c r="D9806" s="3064"/>
      <c r="E9806" s="3064"/>
      <c r="F9806" s="3064"/>
      <c r="G9806" s="3301" t="s">
        <v>679</v>
      </c>
      <c r="H9806" s="3063"/>
      <c r="I9806" s="3030"/>
    </row>
    <row r="9807" spans="2:9" ht="25.5">
      <c r="B9807" s="3192" t="s">
        <v>720</v>
      </c>
      <c r="C9807" s="3063"/>
      <c r="D9807" s="3064"/>
      <c r="E9807" s="3064"/>
      <c r="F9807" s="3064"/>
      <c r="G9807" s="3301" t="s">
        <v>720</v>
      </c>
      <c r="H9807" s="3063"/>
      <c r="I9807" s="3030"/>
    </row>
    <row r="9808" spans="2:9" ht="25.5">
      <c r="B9808" s="3299" t="s">
        <v>682</v>
      </c>
      <c r="C9808" s="3063"/>
      <c r="D9808" s="3064"/>
      <c r="E9808" s="3064"/>
      <c r="F9808" s="3064"/>
      <c r="G9808" s="3300" t="s">
        <v>682</v>
      </c>
      <c r="H9808" s="3063"/>
      <c r="I9808" s="3030"/>
    </row>
    <row r="9809" spans="2:9" ht="25.5">
      <c r="B9809" s="3192" t="s">
        <v>675</v>
      </c>
      <c r="C9809" s="3063"/>
      <c r="D9809" s="3064"/>
      <c r="E9809" s="3064"/>
      <c r="F9809" s="3064"/>
      <c r="G9809" s="3301" t="s">
        <v>675</v>
      </c>
      <c r="H9809" s="3063"/>
      <c r="I9809" s="3030"/>
    </row>
    <row r="9810" spans="2:9" ht="25.5">
      <c r="B9810" s="3192" t="s">
        <v>676</v>
      </c>
      <c r="C9810" s="3063"/>
      <c r="D9810" s="3064"/>
      <c r="E9810" s="3064"/>
      <c r="F9810" s="3064"/>
      <c r="G9810" s="3301" t="s">
        <v>676</v>
      </c>
      <c r="H9810" s="3063"/>
      <c r="I9810" s="3030"/>
    </row>
    <row r="9811" spans="2:9">
      <c r="B9811" s="3192" t="s">
        <v>677</v>
      </c>
      <c r="C9811" s="3063"/>
      <c r="D9811" s="3064"/>
      <c r="E9811" s="3064"/>
      <c r="F9811" s="3064"/>
      <c r="G9811" s="3301" t="s">
        <v>677</v>
      </c>
      <c r="H9811" s="3063"/>
      <c r="I9811" s="3030"/>
    </row>
    <row r="9812" spans="2:9">
      <c r="B9812" s="3192" t="s">
        <v>678</v>
      </c>
      <c r="C9812" s="3063"/>
      <c r="D9812" s="3064"/>
      <c r="E9812" s="3064"/>
      <c r="F9812" s="3064"/>
      <c r="G9812" s="3301" t="s">
        <v>678</v>
      </c>
      <c r="H9812" s="3063"/>
      <c r="I9812" s="3030"/>
    </row>
    <row r="9813" spans="2:9">
      <c r="B9813" s="3192" t="s">
        <v>679</v>
      </c>
      <c r="C9813" s="3063"/>
      <c r="D9813" s="3064"/>
      <c r="E9813" s="3064"/>
      <c r="F9813" s="3064"/>
      <c r="G9813" s="3301" t="s">
        <v>679</v>
      </c>
      <c r="H9813" s="3063"/>
      <c r="I9813" s="3030"/>
    </row>
    <row r="9814" spans="2:9" ht="25.5">
      <c r="B9814" s="3192" t="s">
        <v>720</v>
      </c>
      <c r="C9814" s="3063"/>
      <c r="D9814" s="3064"/>
      <c r="E9814" s="3064"/>
      <c r="F9814" s="3064"/>
      <c r="G9814" s="3301" t="s">
        <v>720</v>
      </c>
      <c r="H9814" s="3063"/>
      <c r="I9814" s="3030"/>
    </row>
    <row r="9815" spans="2:9" ht="25.5">
      <c r="B9815" s="3299" t="s">
        <v>66</v>
      </c>
      <c r="C9815" s="3063"/>
      <c r="D9815" s="3064"/>
      <c r="E9815" s="3064"/>
      <c r="F9815" s="3064"/>
      <c r="G9815" s="3300" t="s">
        <v>66</v>
      </c>
      <c r="H9815" s="3063"/>
      <c r="I9815" s="3030"/>
    </row>
    <row r="9816" spans="2:9" ht="25.5">
      <c r="B9816" s="3192" t="s">
        <v>675</v>
      </c>
      <c r="C9816" s="3063"/>
      <c r="D9816" s="3064"/>
      <c r="E9816" s="3064"/>
      <c r="F9816" s="3064"/>
      <c r="G9816" s="3301" t="s">
        <v>675</v>
      </c>
      <c r="H9816" s="3063"/>
      <c r="I9816" s="3030"/>
    </row>
    <row r="9817" spans="2:9" ht="25.5">
      <c r="B9817" s="3192" t="s">
        <v>676</v>
      </c>
      <c r="C9817" s="3063"/>
      <c r="D9817" s="3064"/>
      <c r="E9817" s="3064"/>
      <c r="F9817" s="3064"/>
      <c r="G9817" s="3301" t="s">
        <v>676</v>
      </c>
      <c r="H9817" s="3063"/>
      <c r="I9817" s="3030"/>
    </row>
    <row r="9818" spans="2:9">
      <c r="B9818" s="3192" t="s">
        <v>677</v>
      </c>
      <c r="C9818" s="3063"/>
      <c r="D9818" s="3064"/>
      <c r="E9818" s="3064"/>
      <c r="F9818" s="3064"/>
      <c r="G9818" s="3301" t="s">
        <v>677</v>
      </c>
      <c r="H9818" s="3063"/>
      <c r="I9818" s="3030"/>
    </row>
    <row r="9819" spans="2:9">
      <c r="B9819" s="3192" t="s">
        <v>678</v>
      </c>
      <c r="C9819" s="3063"/>
      <c r="D9819" s="3064"/>
      <c r="E9819" s="3064"/>
      <c r="F9819" s="3064"/>
      <c r="G9819" s="3301" t="s">
        <v>678</v>
      </c>
      <c r="H9819" s="3063"/>
      <c r="I9819" s="3030"/>
    </row>
    <row r="9820" spans="2:9">
      <c r="B9820" s="3192" t="s">
        <v>679</v>
      </c>
      <c r="C9820" s="3063"/>
      <c r="D9820" s="3064"/>
      <c r="E9820" s="3064"/>
      <c r="F9820" s="3064"/>
      <c r="G9820" s="3301" t="s">
        <v>679</v>
      </c>
      <c r="H9820" s="3063"/>
      <c r="I9820" s="3030"/>
    </row>
    <row r="9821" spans="2:9" ht="25.5">
      <c r="B9821" s="3192" t="s">
        <v>720</v>
      </c>
      <c r="C9821" s="3063"/>
      <c r="D9821" s="3064"/>
      <c r="E9821" s="3064"/>
      <c r="F9821" s="3064"/>
      <c r="G9821" s="3301" t="s">
        <v>720</v>
      </c>
      <c r="H9821" s="3063"/>
      <c r="I9821" s="3030"/>
    </row>
    <row r="9822" spans="2:9">
      <c r="B9822" s="3299" t="s">
        <v>67</v>
      </c>
      <c r="C9822" s="3063"/>
      <c r="D9822" s="3064"/>
      <c r="E9822" s="3064"/>
      <c r="F9822" s="3064"/>
      <c r="G9822" s="3300" t="s">
        <v>67</v>
      </c>
      <c r="H9822" s="3063"/>
      <c r="I9822" s="3030"/>
    </row>
    <row r="9823" spans="2:9" ht="25.5">
      <c r="B9823" s="3192" t="s">
        <v>675</v>
      </c>
      <c r="C9823" s="3063"/>
      <c r="D9823" s="3064"/>
      <c r="E9823" s="3064"/>
      <c r="F9823" s="3064"/>
      <c r="G9823" s="3301" t="s">
        <v>675</v>
      </c>
      <c r="H9823" s="3063"/>
      <c r="I9823" s="3030"/>
    </row>
    <row r="9824" spans="2:9" ht="25.5">
      <c r="B9824" s="3192" t="s">
        <v>676</v>
      </c>
      <c r="C9824" s="3063"/>
      <c r="D9824" s="3064"/>
      <c r="E9824" s="3064"/>
      <c r="F9824" s="3064"/>
      <c r="G9824" s="3301" t="s">
        <v>676</v>
      </c>
      <c r="H9824" s="3063"/>
      <c r="I9824" s="3030"/>
    </row>
    <row r="9825" spans="2:9">
      <c r="B9825" s="3192" t="s">
        <v>677</v>
      </c>
      <c r="C9825" s="3063"/>
      <c r="D9825" s="3064"/>
      <c r="E9825" s="3064"/>
      <c r="F9825" s="3064"/>
      <c r="G9825" s="3301" t="s">
        <v>677</v>
      </c>
      <c r="H9825" s="3063"/>
      <c r="I9825" s="3030"/>
    </row>
    <row r="9826" spans="2:9">
      <c r="B9826" s="3192" t="s">
        <v>678</v>
      </c>
      <c r="C9826" s="3063"/>
      <c r="D9826" s="3064"/>
      <c r="E9826" s="3064"/>
      <c r="F9826" s="3064"/>
      <c r="G9826" s="3301" t="s">
        <v>678</v>
      </c>
      <c r="H9826" s="3063"/>
      <c r="I9826" s="3030"/>
    </row>
    <row r="9827" spans="2:9">
      <c r="B9827" s="3192" t="s">
        <v>679</v>
      </c>
      <c r="C9827" s="3063"/>
      <c r="D9827" s="3064"/>
      <c r="E9827" s="3064"/>
      <c r="F9827" s="3064"/>
      <c r="G9827" s="3301" t="s">
        <v>679</v>
      </c>
      <c r="H9827" s="3063"/>
      <c r="I9827" s="3030"/>
    </row>
    <row r="9828" spans="2:9" ht="25.5">
      <c r="B9828" s="3230" t="s">
        <v>81</v>
      </c>
      <c r="C9828" s="3063"/>
      <c r="D9828" s="3064"/>
      <c r="E9828" s="3064"/>
      <c r="F9828" s="3064"/>
      <c r="G9828" s="3302" t="s">
        <v>81</v>
      </c>
      <c r="H9828" s="3063"/>
      <c r="I9828" s="3030"/>
    </row>
    <row r="9829" spans="2:9" ht="26.25" thickBot="1">
      <c r="B9829" s="3303" t="s">
        <v>81</v>
      </c>
      <c r="C9829" s="3063"/>
      <c r="D9829" s="3064"/>
      <c r="E9829" s="3064"/>
      <c r="F9829" s="3064"/>
      <c r="G9829" s="3302" t="s">
        <v>81</v>
      </c>
      <c r="H9829" s="3063"/>
      <c r="I9829" s="3030"/>
    </row>
    <row r="9830" spans="2:9">
      <c r="B9830" s="3217" t="s">
        <v>697</v>
      </c>
      <c r="C9830" s="3218"/>
      <c r="D9830" s="3219"/>
      <c r="E9830" s="3219"/>
      <c r="F9830" s="3219"/>
      <c r="G9830" s="3217" t="s">
        <v>697</v>
      </c>
      <c r="H9830" s="3297"/>
      <c r="I9830" s="3298"/>
    </row>
    <row r="9831" spans="2:9">
      <c r="B9831" s="3299" t="s">
        <v>64</v>
      </c>
      <c r="C9831" s="3063"/>
      <c r="D9831" s="3064"/>
      <c r="E9831" s="3064"/>
      <c r="F9831" s="3064"/>
      <c r="G9831" s="3300" t="s">
        <v>64</v>
      </c>
      <c r="H9831" s="3063"/>
      <c r="I9831" s="3030"/>
    </row>
    <row r="9832" spans="2:9" ht="25.5">
      <c r="B9832" s="3192" t="s">
        <v>675</v>
      </c>
      <c r="C9832" s="3063"/>
      <c r="D9832" s="3064"/>
      <c r="E9832" s="3064"/>
      <c r="F9832" s="3064"/>
      <c r="G9832" s="3301" t="s">
        <v>675</v>
      </c>
      <c r="H9832" s="3063"/>
      <c r="I9832" s="3030"/>
    </row>
    <row r="9833" spans="2:9" ht="25.5">
      <c r="B9833" s="3192" t="s">
        <v>676</v>
      </c>
      <c r="C9833" s="3063"/>
      <c r="D9833" s="3064"/>
      <c r="E9833" s="3064"/>
      <c r="F9833" s="3064"/>
      <c r="G9833" s="3301" t="s">
        <v>676</v>
      </c>
      <c r="H9833" s="3063"/>
      <c r="I9833" s="3030"/>
    </row>
    <row r="9834" spans="2:9">
      <c r="B9834" s="3192" t="s">
        <v>677</v>
      </c>
      <c r="C9834" s="3063"/>
      <c r="D9834" s="3064"/>
      <c r="E9834" s="3064"/>
      <c r="F9834" s="3064"/>
      <c r="G9834" s="3301" t="s">
        <v>677</v>
      </c>
      <c r="H9834" s="3063"/>
      <c r="I9834" s="3030"/>
    </row>
    <row r="9835" spans="2:9">
      <c r="B9835" s="3192" t="s">
        <v>678</v>
      </c>
      <c r="C9835" s="3063"/>
      <c r="D9835" s="3064"/>
      <c r="E9835" s="3064"/>
      <c r="F9835" s="3064"/>
      <c r="G9835" s="3301" t="s">
        <v>678</v>
      </c>
      <c r="H9835" s="3063"/>
      <c r="I9835" s="3030"/>
    </row>
    <row r="9836" spans="2:9">
      <c r="B9836" s="3192" t="s">
        <v>679</v>
      </c>
      <c r="C9836" s="3063"/>
      <c r="D9836" s="3064"/>
      <c r="E9836" s="3064"/>
      <c r="F9836" s="3064"/>
      <c r="G9836" s="3301" t="s">
        <v>679</v>
      </c>
      <c r="H9836" s="3063"/>
      <c r="I9836" s="3030"/>
    </row>
    <row r="9837" spans="2:9" ht="25.5">
      <c r="B9837" s="3192" t="s">
        <v>720</v>
      </c>
      <c r="C9837" s="3063"/>
      <c r="D9837" s="3064"/>
      <c r="E9837" s="3064"/>
      <c r="F9837" s="3064"/>
      <c r="G9837" s="3301" t="s">
        <v>720</v>
      </c>
      <c r="H9837" s="3063"/>
      <c r="I9837" s="3030"/>
    </row>
    <row r="9838" spans="2:9">
      <c r="B9838" s="3299" t="s">
        <v>65</v>
      </c>
      <c r="C9838" s="3063"/>
      <c r="D9838" s="3064"/>
      <c r="E9838" s="3064"/>
      <c r="F9838" s="3064"/>
      <c r="G9838" s="3300" t="s">
        <v>65</v>
      </c>
      <c r="H9838" s="3063"/>
      <c r="I9838" s="3030"/>
    </row>
    <row r="9839" spans="2:9" ht="25.5">
      <c r="B9839" s="3192" t="s">
        <v>675</v>
      </c>
      <c r="C9839" s="3063"/>
      <c r="D9839" s="3064"/>
      <c r="E9839" s="3064"/>
      <c r="F9839" s="3064"/>
      <c r="G9839" s="3301" t="s">
        <v>675</v>
      </c>
      <c r="H9839" s="3063"/>
      <c r="I9839" s="3030"/>
    </row>
    <row r="9840" spans="2:9" ht="25.5">
      <c r="B9840" s="3192" t="s">
        <v>676</v>
      </c>
      <c r="C9840" s="3063"/>
      <c r="D9840" s="3064"/>
      <c r="E9840" s="3064"/>
      <c r="F9840" s="3064"/>
      <c r="G9840" s="3301" t="s">
        <v>676</v>
      </c>
      <c r="H9840" s="3063"/>
      <c r="I9840" s="3030"/>
    </row>
    <row r="9841" spans="2:9">
      <c r="B9841" s="3192" t="s">
        <v>677</v>
      </c>
      <c r="C9841" s="3063"/>
      <c r="D9841" s="3064"/>
      <c r="E9841" s="3064"/>
      <c r="F9841" s="3064"/>
      <c r="G9841" s="3301" t="s">
        <v>677</v>
      </c>
      <c r="H9841" s="3063"/>
      <c r="I9841" s="3030"/>
    </row>
    <row r="9842" spans="2:9">
      <c r="B9842" s="3192" t="s">
        <v>678</v>
      </c>
      <c r="C9842" s="3063"/>
      <c r="D9842" s="3064"/>
      <c r="E9842" s="3064"/>
      <c r="F9842" s="3064"/>
      <c r="G9842" s="3301" t="s">
        <v>678</v>
      </c>
      <c r="H9842" s="3063"/>
      <c r="I9842" s="3030"/>
    </row>
    <row r="9843" spans="2:9">
      <c r="B9843" s="3192" t="s">
        <v>679</v>
      </c>
      <c r="C9843" s="3063"/>
      <c r="D9843" s="3064"/>
      <c r="E9843" s="3064"/>
      <c r="F9843" s="3064"/>
      <c r="G9843" s="3301" t="s">
        <v>679</v>
      </c>
      <c r="H9843" s="3063"/>
      <c r="I9843" s="3030"/>
    </row>
    <row r="9844" spans="2:9" ht="25.5">
      <c r="B9844" s="3192" t="s">
        <v>720</v>
      </c>
      <c r="C9844" s="3063"/>
      <c r="D9844" s="3064"/>
      <c r="E9844" s="3064"/>
      <c r="F9844" s="3064"/>
      <c r="G9844" s="3301" t="s">
        <v>720</v>
      </c>
      <c r="H9844" s="3063"/>
      <c r="I9844" s="3030"/>
    </row>
    <row r="9845" spans="2:9">
      <c r="B9845" s="3299" t="s">
        <v>82</v>
      </c>
      <c r="C9845" s="3063"/>
      <c r="D9845" s="3064"/>
      <c r="E9845" s="3064"/>
      <c r="F9845" s="3064"/>
      <c r="G9845" s="3300" t="s">
        <v>82</v>
      </c>
      <c r="H9845" s="3063"/>
      <c r="I9845" s="3030"/>
    </row>
    <row r="9846" spans="2:9" ht="25.5">
      <c r="B9846" s="3192" t="s">
        <v>675</v>
      </c>
      <c r="C9846" s="3063"/>
      <c r="D9846" s="3064"/>
      <c r="E9846" s="3064"/>
      <c r="F9846" s="3064"/>
      <c r="G9846" s="3301" t="s">
        <v>675</v>
      </c>
      <c r="H9846" s="3063"/>
      <c r="I9846" s="3030"/>
    </row>
    <row r="9847" spans="2:9" ht="25.5">
      <c r="B9847" s="3192" t="s">
        <v>676</v>
      </c>
      <c r="C9847" s="3063"/>
      <c r="D9847" s="3064"/>
      <c r="E9847" s="3064"/>
      <c r="F9847" s="3064"/>
      <c r="G9847" s="3301" t="s">
        <v>676</v>
      </c>
      <c r="H9847" s="3063"/>
      <c r="I9847" s="3030"/>
    </row>
    <row r="9848" spans="2:9">
      <c r="B9848" s="3192" t="s">
        <v>677</v>
      </c>
      <c r="C9848" s="3063"/>
      <c r="D9848" s="3064"/>
      <c r="E9848" s="3064"/>
      <c r="F9848" s="3064"/>
      <c r="G9848" s="3301" t="s">
        <v>677</v>
      </c>
      <c r="H9848" s="3063"/>
      <c r="I9848" s="3030"/>
    </row>
    <row r="9849" spans="2:9">
      <c r="B9849" s="3192" t="s">
        <v>678</v>
      </c>
      <c r="C9849" s="3063"/>
      <c r="D9849" s="3064"/>
      <c r="E9849" s="3064"/>
      <c r="F9849" s="3064"/>
      <c r="G9849" s="3301" t="s">
        <v>678</v>
      </c>
      <c r="H9849" s="3063"/>
      <c r="I9849" s="3030"/>
    </row>
    <row r="9850" spans="2:9">
      <c r="B9850" s="3192" t="s">
        <v>679</v>
      </c>
      <c r="C9850" s="3063"/>
      <c r="D9850" s="3064"/>
      <c r="E9850" s="3064"/>
      <c r="F9850" s="3064"/>
      <c r="G9850" s="3301" t="s">
        <v>679</v>
      </c>
      <c r="H9850" s="3063"/>
      <c r="I9850" s="3030"/>
    </row>
    <row r="9851" spans="2:9" ht="25.5">
      <c r="B9851" s="3192" t="s">
        <v>720</v>
      </c>
      <c r="C9851" s="3063"/>
      <c r="D9851" s="3064"/>
      <c r="E9851" s="3064"/>
      <c r="F9851" s="3064"/>
      <c r="G9851" s="3301" t="s">
        <v>720</v>
      </c>
      <c r="H9851" s="3063"/>
      <c r="I9851" s="3030"/>
    </row>
    <row r="9852" spans="2:9" ht="38.25">
      <c r="B9852" s="3299" t="s">
        <v>680</v>
      </c>
      <c r="C9852" s="3063"/>
      <c r="D9852" s="3064"/>
      <c r="E9852" s="3064"/>
      <c r="F9852" s="3064"/>
      <c r="G9852" s="3300" t="s">
        <v>680</v>
      </c>
      <c r="H9852" s="3063"/>
      <c r="I9852" s="3030"/>
    </row>
    <row r="9853" spans="2:9" ht="25.5">
      <c r="B9853" s="3192" t="s">
        <v>675</v>
      </c>
      <c r="C9853" s="3063"/>
      <c r="D9853" s="3064"/>
      <c r="E9853" s="3064"/>
      <c r="F9853" s="3064"/>
      <c r="G9853" s="3301" t="s">
        <v>675</v>
      </c>
      <c r="H9853" s="3063"/>
      <c r="I9853" s="3030"/>
    </row>
    <row r="9854" spans="2:9" ht="25.5">
      <c r="B9854" s="3192" t="s">
        <v>676</v>
      </c>
      <c r="C9854" s="3063"/>
      <c r="D9854" s="3064"/>
      <c r="E9854" s="3064"/>
      <c r="F9854" s="3064"/>
      <c r="G9854" s="3301" t="s">
        <v>676</v>
      </c>
      <c r="H9854" s="3063"/>
      <c r="I9854" s="3030"/>
    </row>
    <row r="9855" spans="2:9">
      <c r="B9855" s="3192" t="s">
        <v>677</v>
      </c>
      <c r="C9855" s="3063"/>
      <c r="D9855" s="3064"/>
      <c r="E9855" s="3064"/>
      <c r="F9855" s="3064"/>
      <c r="G9855" s="3301" t="s">
        <v>677</v>
      </c>
      <c r="H9855" s="3063"/>
      <c r="I9855" s="3030"/>
    </row>
    <row r="9856" spans="2:9">
      <c r="B9856" s="3192" t="s">
        <v>678</v>
      </c>
      <c r="C9856" s="3063"/>
      <c r="D9856" s="3064"/>
      <c r="E9856" s="3064"/>
      <c r="F9856" s="3064"/>
      <c r="G9856" s="3301" t="s">
        <v>678</v>
      </c>
      <c r="H9856" s="3063"/>
      <c r="I9856" s="3030"/>
    </row>
    <row r="9857" spans="2:9">
      <c r="B9857" s="3192" t="s">
        <v>679</v>
      </c>
      <c r="C9857" s="3063"/>
      <c r="D9857" s="3064"/>
      <c r="E9857" s="3064"/>
      <c r="F9857" s="3064"/>
      <c r="G9857" s="3301" t="s">
        <v>679</v>
      </c>
      <c r="H9857" s="3063"/>
      <c r="I9857" s="3030"/>
    </row>
    <row r="9858" spans="2:9" ht="25.5">
      <c r="B9858" s="3192" t="s">
        <v>720</v>
      </c>
      <c r="C9858" s="3063"/>
      <c r="D9858" s="3064"/>
      <c r="E9858" s="3064"/>
      <c r="F9858" s="3064"/>
      <c r="G9858" s="3301" t="s">
        <v>720</v>
      </c>
      <c r="H9858" s="3063"/>
      <c r="I9858" s="3030"/>
    </row>
    <row r="9859" spans="2:9" ht="38.25">
      <c r="B9859" s="3299" t="s">
        <v>681</v>
      </c>
      <c r="C9859" s="3063"/>
      <c r="D9859" s="3064"/>
      <c r="E9859" s="3064"/>
      <c r="F9859" s="3064"/>
      <c r="G9859" s="3300" t="s">
        <v>681</v>
      </c>
      <c r="H9859" s="3063">
        <v>1.5569139225885795E-2</v>
      </c>
      <c r="I9859" s="3030"/>
    </row>
    <row r="9860" spans="2:9" ht="25.5">
      <c r="B9860" s="3192" t="s">
        <v>675</v>
      </c>
      <c r="C9860" s="3063"/>
      <c r="D9860" s="3064"/>
      <c r="E9860" s="3064"/>
      <c r="F9860" s="3064"/>
      <c r="G9860" s="3301" t="s">
        <v>675</v>
      </c>
      <c r="H9860" s="3063"/>
      <c r="I9860" s="3030"/>
    </row>
    <row r="9861" spans="2:9" ht="25.5">
      <c r="B9861" s="3192" t="s">
        <v>676</v>
      </c>
      <c r="C9861" s="3063"/>
      <c r="D9861" s="3064"/>
      <c r="E9861" s="3064"/>
      <c r="F9861" s="3064"/>
      <c r="G9861" s="3301" t="s">
        <v>676</v>
      </c>
      <c r="H9861" s="3063"/>
      <c r="I9861" s="3030"/>
    </row>
    <row r="9862" spans="2:9">
      <c r="B9862" s="3192" t="s">
        <v>677</v>
      </c>
      <c r="C9862" s="3063"/>
      <c r="D9862" s="3064"/>
      <c r="E9862" s="3064"/>
      <c r="F9862" s="3064"/>
      <c r="G9862" s="3301" t="s">
        <v>677</v>
      </c>
      <c r="H9862" s="3063"/>
      <c r="I9862" s="3030"/>
    </row>
    <row r="9863" spans="2:9">
      <c r="B9863" s="3192" t="s">
        <v>678</v>
      </c>
      <c r="C9863" s="3063"/>
      <c r="D9863" s="3064"/>
      <c r="E9863" s="3064"/>
      <c r="F9863" s="3064"/>
      <c r="G9863" s="3301" t="s">
        <v>678</v>
      </c>
      <c r="H9863" s="3063"/>
      <c r="I9863" s="3030"/>
    </row>
    <row r="9864" spans="2:9">
      <c r="B9864" s="3192" t="s">
        <v>679</v>
      </c>
      <c r="C9864" s="3063"/>
      <c r="D9864" s="3064">
        <v>1</v>
      </c>
      <c r="E9864" s="3064"/>
      <c r="F9864" s="3064"/>
      <c r="G9864" s="3301" t="s">
        <v>679</v>
      </c>
      <c r="H9864" s="3063"/>
      <c r="I9864" s="3030"/>
    </row>
    <row r="9865" spans="2:9" ht="25.5">
      <c r="B9865" s="3192" t="s">
        <v>720</v>
      </c>
      <c r="C9865" s="3063"/>
      <c r="D9865" s="3064"/>
      <c r="E9865" s="3064"/>
      <c r="F9865" s="3064"/>
      <c r="G9865" s="3301" t="s">
        <v>720</v>
      </c>
      <c r="H9865" s="3063"/>
      <c r="I9865" s="3030"/>
    </row>
    <row r="9866" spans="2:9" ht="25.5">
      <c r="B9866" s="3299" t="s">
        <v>682</v>
      </c>
      <c r="C9866" s="3063"/>
      <c r="D9866" s="3064"/>
      <c r="E9866" s="3064"/>
      <c r="F9866" s="3064"/>
      <c r="G9866" s="3300" t="s">
        <v>682</v>
      </c>
      <c r="H9866" s="3063"/>
      <c r="I9866" s="3030"/>
    </row>
    <row r="9867" spans="2:9" ht="25.5">
      <c r="B9867" s="3192" t="s">
        <v>675</v>
      </c>
      <c r="C9867" s="3063"/>
      <c r="D9867" s="3064"/>
      <c r="E9867" s="3064"/>
      <c r="F9867" s="3064"/>
      <c r="G9867" s="3301" t="s">
        <v>675</v>
      </c>
      <c r="H9867" s="3063"/>
      <c r="I9867" s="3030"/>
    </row>
    <row r="9868" spans="2:9" ht="25.5">
      <c r="B9868" s="3192" t="s">
        <v>676</v>
      </c>
      <c r="C9868" s="3063"/>
      <c r="D9868" s="3064"/>
      <c r="E9868" s="3064"/>
      <c r="F9868" s="3064"/>
      <c r="G9868" s="3301" t="s">
        <v>676</v>
      </c>
      <c r="H9868" s="3063"/>
      <c r="I9868" s="3030"/>
    </row>
    <row r="9869" spans="2:9">
      <c r="B9869" s="3192" t="s">
        <v>677</v>
      </c>
      <c r="C9869" s="3063"/>
      <c r="D9869" s="3064"/>
      <c r="E9869" s="3064"/>
      <c r="F9869" s="3064"/>
      <c r="G9869" s="3301" t="s">
        <v>677</v>
      </c>
      <c r="H9869" s="3063"/>
      <c r="I9869" s="3030"/>
    </row>
    <row r="9870" spans="2:9">
      <c r="B9870" s="3192" t="s">
        <v>678</v>
      </c>
      <c r="C9870" s="3063"/>
      <c r="D9870" s="3064"/>
      <c r="E9870" s="3064"/>
      <c r="F9870" s="3064"/>
      <c r="G9870" s="3301" t="s">
        <v>678</v>
      </c>
      <c r="H9870" s="3063"/>
      <c r="I9870" s="3030"/>
    </row>
    <row r="9871" spans="2:9">
      <c r="B9871" s="3192" t="s">
        <v>679</v>
      </c>
      <c r="C9871" s="3063"/>
      <c r="D9871" s="3064"/>
      <c r="E9871" s="3064"/>
      <c r="F9871" s="3064"/>
      <c r="G9871" s="3301" t="s">
        <v>679</v>
      </c>
      <c r="H9871" s="3063"/>
      <c r="I9871" s="3030"/>
    </row>
    <row r="9872" spans="2:9" ht="25.5">
      <c r="B9872" s="3192" t="s">
        <v>720</v>
      </c>
      <c r="C9872" s="3063"/>
      <c r="D9872" s="3064"/>
      <c r="E9872" s="3064"/>
      <c r="F9872" s="3064"/>
      <c r="G9872" s="3301" t="s">
        <v>720</v>
      </c>
      <c r="H9872" s="3063"/>
      <c r="I9872" s="3030"/>
    </row>
    <row r="9873" spans="2:9" ht="25.5">
      <c r="B9873" s="3299" t="s">
        <v>66</v>
      </c>
      <c r="C9873" s="3063"/>
      <c r="D9873" s="3064"/>
      <c r="E9873" s="3064"/>
      <c r="F9873" s="3064"/>
      <c r="G9873" s="3300" t="s">
        <v>66</v>
      </c>
      <c r="H9873" s="3063"/>
      <c r="I9873" s="3030"/>
    </row>
    <row r="9874" spans="2:9" ht="25.5">
      <c r="B9874" s="3192" t="s">
        <v>675</v>
      </c>
      <c r="C9874" s="3063"/>
      <c r="D9874" s="3064"/>
      <c r="E9874" s="3064"/>
      <c r="F9874" s="3064"/>
      <c r="G9874" s="3301" t="s">
        <v>675</v>
      </c>
      <c r="H9874" s="3063"/>
      <c r="I9874" s="3030"/>
    </row>
    <row r="9875" spans="2:9" ht="25.5">
      <c r="B9875" s="3192" t="s">
        <v>676</v>
      </c>
      <c r="C9875" s="3063"/>
      <c r="D9875" s="3064"/>
      <c r="E9875" s="3064"/>
      <c r="F9875" s="3064"/>
      <c r="G9875" s="3301" t="s">
        <v>676</v>
      </c>
      <c r="H9875" s="3063"/>
      <c r="I9875" s="3030"/>
    </row>
    <row r="9876" spans="2:9">
      <c r="B9876" s="3192" t="s">
        <v>677</v>
      </c>
      <c r="C9876" s="3063"/>
      <c r="D9876" s="3064"/>
      <c r="E9876" s="3064"/>
      <c r="F9876" s="3064"/>
      <c r="G9876" s="3301" t="s">
        <v>677</v>
      </c>
      <c r="H9876" s="3063"/>
      <c r="I9876" s="3030"/>
    </row>
    <row r="9877" spans="2:9">
      <c r="B9877" s="3192" t="s">
        <v>678</v>
      </c>
      <c r="C9877" s="3063"/>
      <c r="D9877" s="3064"/>
      <c r="E9877" s="3064"/>
      <c r="F9877" s="3064"/>
      <c r="G9877" s="3301" t="s">
        <v>678</v>
      </c>
      <c r="H9877" s="3063"/>
      <c r="I9877" s="3030"/>
    </row>
    <row r="9878" spans="2:9">
      <c r="B9878" s="3192" t="s">
        <v>679</v>
      </c>
      <c r="C9878" s="3063"/>
      <c r="D9878" s="3064"/>
      <c r="E9878" s="3064"/>
      <c r="F9878" s="3064"/>
      <c r="G9878" s="3301" t="s">
        <v>679</v>
      </c>
      <c r="H9878" s="3063"/>
      <c r="I9878" s="3030"/>
    </row>
    <row r="9879" spans="2:9" ht="25.5">
      <c r="B9879" s="3192" t="s">
        <v>720</v>
      </c>
      <c r="C9879" s="3063"/>
      <c r="D9879" s="3064"/>
      <c r="E9879" s="3064"/>
      <c r="F9879" s="3064"/>
      <c r="G9879" s="3301" t="s">
        <v>720</v>
      </c>
      <c r="H9879" s="3063"/>
      <c r="I9879" s="3030"/>
    </row>
    <row r="9880" spans="2:9">
      <c r="B9880" s="3299" t="s">
        <v>67</v>
      </c>
      <c r="C9880" s="3063"/>
      <c r="D9880" s="3064"/>
      <c r="E9880" s="3064"/>
      <c r="F9880" s="3064"/>
      <c r="G9880" s="3300" t="s">
        <v>67</v>
      </c>
      <c r="H9880" s="3063"/>
      <c r="I9880" s="3030"/>
    </row>
    <row r="9881" spans="2:9" ht="25.5">
      <c r="B9881" s="3192" t="s">
        <v>675</v>
      </c>
      <c r="C9881" s="3063"/>
      <c r="D9881" s="3064"/>
      <c r="E9881" s="3064"/>
      <c r="F9881" s="3064"/>
      <c r="G9881" s="3301" t="s">
        <v>675</v>
      </c>
      <c r="H9881" s="3063"/>
      <c r="I9881" s="3030"/>
    </row>
    <row r="9882" spans="2:9" ht="25.5">
      <c r="B9882" s="3192" t="s">
        <v>676</v>
      </c>
      <c r="C9882" s="3063"/>
      <c r="D9882" s="3064"/>
      <c r="E9882" s="3064"/>
      <c r="F9882" s="3064"/>
      <c r="G9882" s="3301" t="s">
        <v>676</v>
      </c>
      <c r="H9882" s="3063"/>
      <c r="I9882" s="3030"/>
    </row>
    <row r="9883" spans="2:9">
      <c r="B9883" s="3192" t="s">
        <v>677</v>
      </c>
      <c r="C9883" s="3063"/>
      <c r="D9883" s="3064"/>
      <c r="E9883" s="3064"/>
      <c r="F9883" s="3064"/>
      <c r="G9883" s="3301" t="s">
        <v>677</v>
      </c>
      <c r="H9883" s="3063"/>
      <c r="I9883" s="3030"/>
    </row>
    <row r="9884" spans="2:9">
      <c r="B9884" s="3192" t="s">
        <v>678</v>
      </c>
      <c r="C9884" s="3063"/>
      <c r="D9884" s="3064"/>
      <c r="E9884" s="3064"/>
      <c r="F9884" s="3064"/>
      <c r="G9884" s="3301" t="s">
        <v>678</v>
      </c>
      <c r="H9884" s="3063"/>
      <c r="I9884" s="3030"/>
    </row>
    <row r="9885" spans="2:9">
      <c r="B9885" s="3192" t="s">
        <v>679</v>
      </c>
      <c r="C9885" s="3063"/>
      <c r="D9885" s="3064"/>
      <c r="E9885" s="3064"/>
      <c r="F9885" s="3064"/>
      <c r="G9885" s="3301" t="s">
        <v>679</v>
      </c>
      <c r="H9885" s="3063"/>
      <c r="I9885" s="3030"/>
    </row>
    <row r="9886" spans="2:9" ht="25.5">
      <c r="B9886" s="3230" t="s">
        <v>81</v>
      </c>
      <c r="C9886" s="3063"/>
      <c r="D9886" s="3064"/>
      <c r="E9886" s="3064"/>
      <c r="F9886" s="3064"/>
      <c r="G9886" s="3302" t="s">
        <v>81</v>
      </c>
      <c r="H9886" s="3063"/>
      <c r="I9886" s="3030"/>
    </row>
    <row r="9887" spans="2:9" ht="26.25" thickBot="1">
      <c r="B9887" s="3303" t="s">
        <v>81</v>
      </c>
      <c r="C9887" s="3068"/>
      <c r="D9887" s="3069"/>
      <c r="E9887" s="3069"/>
      <c r="F9887" s="3069"/>
      <c r="G9887" s="3304" t="s">
        <v>81</v>
      </c>
      <c r="H9887" s="3068"/>
      <c r="I9887" s="3070"/>
    </row>
    <row r="9888" spans="2:9" ht="38.25">
      <c r="B9888" s="4723">
        <v>3218</v>
      </c>
      <c r="C9888" s="3289"/>
      <c r="D9888" s="3290"/>
      <c r="E9888" s="3290"/>
      <c r="F9888" s="3290"/>
      <c r="G9888" s="4723">
        <v>3218</v>
      </c>
      <c r="H9888" s="3291" t="s">
        <v>687</v>
      </c>
      <c r="I9888" s="3292" t="s">
        <v>688</v>
      </c>
    </row>
    <row r="9889" spans="2:9">
      <c r="B9889" s="4724"/>
      <c r="C9889" s="4678" t="s">
        <v>686</v>
      </c>
      <c r="D9889" s="4725"/>
      <c r="E9889" s="4725"/>
      <c r="F9889" s="4726"/>
      <c r="G9889" s="4724"/>
      <c r="H9889" s="3293"/>
      <c r="I9889" s="3294"/>
    </row>
    <row r="9890" spans="2:9" ht="13.5" thickBot="1">
      <c r="B9890" s="4724"/>
      <c r="C9890" s="3215">
        <v>2013</v>
      </c>
      <c r="D9890" s="3215">
        <v>2014</v>
      </c>
      <c r="E9890" s="3215">
        <v>2015</v>
      </c>
      <c r="F9890" s="3215">
        <v>2016</v>
      </c>
      <c r="G9890" s="4724"/>
      <c r="H9890" s="3295" t="s">
        <v>390</v>
      </c>
      <c r="I9890" s="3296" t="s">
        <v>390</v>
      </c>
    </row>
    <row r="9891" spans="2:9">
      <c r="B9891" s="3217" t="s">
        <v>695</v>
      </c>
      <c r="C9891" s="3218"/>
      <c r="D9891" s="3219"/>
      <c r="E9891" s="3219"/>
      <c r="F9891" s="3219"/>
      <c r="G9891" s="3217" t="s">
        <v>695</v>
      </c>
      <c r="H9891" s="3297"/>
      <c r="I9891" s="3298"/>
    </row>
    <row r="9892" spans="2:9">
      <c r="B9892" s="3299" t="s">
        <v>64</v>
      </c>
      <c r="C9892" s="3063"/>
      <c r="D9892" s="3064"/>
      <c r="E9892" s="3064"/>
      <c r="F9892" s="3064">
        <v>16</v>
      </c>
      <c r="G9892" s="3300" t="s">
        <v>64</v>
      </c>
      <c r="H9892" s="3063">
        <v>2.4222548236836432E-2</v>
      </c>
      <c r="I9892" s="3030"/>
    </row>
    <row r="9893" spans="2:9" ht="25.5">
      <c r="B9893" s="3192" t="s">
        <v>675</v>
      </c>
      <c r="C9893" s="3063">
        <v>3</v>
      </c>
      <c r="D9893" s="3064">
        <v>2</v>
      </c>
      <c r="E9893" s="3064"/>
      <c r="F9893" s="3064"/>
      <c r="G9893" s="3301" t="s">
        <v>675</v>
      </c>
      <c r="H9893" s="3063"/>
      <c r="I9893" s="3030">
        <v>0.21860734430743092</v>
      </c>
    </row>
    <row r="9894" spans="2:9" ht="25.5">
      <c r="B9894" s="3192" t="s">
        <v>676</v>
      </c>
      <c r="C9894" s="3063"/>
      <c r="D9894" s="3064"/>
      <c r="E9894" s="3064"/>
      <c r="F9894" s="3064"/>
      <c r="G9894" s="3301" t="s">
        <v>676</v>
      </c>
      <c r="H9894" s="3063"/>
      <c r="I9894" s="3030"/>
    </row>
    <row r="9895" spans="2:9">
      <c r="B9895" s="3192" t="s">
        <v>677</v>
      </c>
      <c r="C9895" s="3063"/>
      <c r="D9895" s="3064"/>
      <c r="E9895" s="3064"/>
      <c r="F9895" s="3064"/>
      <c r="G9895" s="3301" t="s">
        <v>677</v>
      </c>
      <c r="H9895" s="3063"/>
      <c r="I9895" s="3030"/>
    </row>
    <row r="9896" spans="2:9">
      <c r="B9896" s="3192" t="s">
        <v>678</v>
      </c>
      <c r="C9896" s="3063">
        <v>1</v>
      </c>
      <c r="D9896" s="3064">
        <v>5</v>
      </c>
      <c r="E9896" s="3064"/>
      <c r="F9896" s="3064"/>
      <c r="G9896" s="3301" t="s">
        <v>678</v>
      </c>
      <c r="H9896" s="3063"/>
      <c r="I9896" s="3030"/>
    </row>
    <row r="9897" spans="2:9">
      <c r="B9897" s="3192" t="s">
        <v>679</v>
      </c>
      <c r="C9897" s="3063"/>
      <c r="D9897" s="3064"/>
      <c r="E9897" s="3064"/>
      <c r="F9897" s="3064"/>
      <c r="G9897" s="3301" t="s">
        <v>679</v>
      </c>
      <c r="H9897" s="3063"/>
      <c r="I9897" s="3030"/>
    </row>
    <row r="9898" spans="2:9" ht="25.5">
      <c r="B9898" s="3192" t="s">
        <v>720</v>
      </c>
      <c r="C9898" s="3063"/>
      <c r="D9898" s="3064"/>
      <c r="E9898" s="3064"/>
      <c r="F9898" s="3064"/>
      <c r="G9898" s="3301" t="s">
        <v>720</v>
      </c>
      <c r="H9898" s="3063"/>
      <c r="I9898" s="3030"/>
    </row>
    <row r="9899" spans="2:9">
      <c r="B9899" s="3299" t="s">
        <v>65</v>
      </c>
      <c r="C9899" s="3063"/>
      <c r="D9899" s="3064"/>
      <c r="E9899" s="3064"/>
      <c r="F9899" s="3064">
        <v>1</v>
      </c>
      <c r="G9899" s="3300" t="s">
        <v>65</v>
      </c>
      <c r="H9899" s="3063">
        <v>6.564206430666697E-2</v>
      </c>
      <c r="I9899" s="3030"/>
    </row>
    <row r="9900" spans="2:9" ht="25.5">
      <c r="B9900" s="3192" t="s">
        <v>675</v>
      </c>
      <c r="C9900" s="3063"/>
      <c r="D9900" s="3064"/>
      <c r="E9900" s="3064"/>
      <c r="F9900" s="3064"/>
      <c r="G9900" s="3301" t="s">
        <v>675</v>
      </c>
      <c r="H9900" s="3063"/>
      <c r="I9900" s="3030">
        <v>6.564206430666697E-2</v>
      </c>
    </row>
    <row r="9901" spans="2:9" ht="25.5">
      <c r="B9901" s="3192" t="s">
        <v>676</v>
      </c>
      <c r="C9901" s="3063"/>
      <c r="D9901" s="3064"/>
      <c r="E9901" s="3064"/>
      <c r="F9901" s="3064"/>
      <c r="G9901" s="3301" t="s">
        <v>676</v>
      </c>
      <c r="H9901" s="3063"/>
      <c r="I9901" s="3030"/>
    </row>
    <row r="9902" spans="2:9">
      <c r="B9902" s="3192" t="s">
        <v>677</v>
      </c>
      <c r="C9902" s="3063"/>
      <c r="D9902" s="3064"/>
      <c r="E9902" s="3064"/>
      <c r="F9902" s="3064"/>
      <c r="G9902" s="3301" t="s">
        <v>677</v>
      </c>
      <c r="H9902" s="3063"/>
      <c r="I9902" s="3030"/>
    </row>
    <row r="9903" spans="2:9">
      <c r="B9903" s="3192" t="s">
        <v>678</v>
      </c>
      <c r="C9903" s="3063">
        <v>1</v>
      </c>
      <c r="D9903" s="3064"/>
      <c r="E9903" s="3064"/>
      <c r="F9903" s="3064"/>
      <c r="G9903" s="3301" t="s">
        <v>678</v>
      </c>
      <c r="H9903" s="3063"/>
      <c r="I9903" s="3030"/>
    </row>
    <row r="9904" spans="2:9">
      <c r="B9904" s="3192" t="s">
        <v>679</v>
      </c>
      <c r="C9904" s="3063"/>
      <c r="D9904" s="3064"/>
      <c r="E9904" s="3064"/>
      <c r="F9904" s="3064"/>
      <c r="G9904" s="3301" t="s">
        <v>679</v>
      </c>
      <c r="H9904" s="3063"/>
      <c r="I9904" s="3030"/>
    </row>
    <row r="9905" spans="2:9" ht="25.5">
      <c r="B9905" s="3192" t="s">
        <v>720</v>
      </c>
      <c r="C9905" s="3063"/>
      <c r="D9905" s="3064"/>
      <c r="E9905" s="3064"/>
      <c r="F9905" s="3064"/>
      <c r="G9905" s="3301" t="s">
        <v>720</v>
      </c>
      <c r="H9905" s="3063"/>
      <c r="I9905" s="3030"/>
    </row>
    <row r="9906" spans="2:9">
      <c r="B9906" s="3299" t="s">
        <v>82</v>
      </c>
      <c r="C9906" s="3063"/>
      <c r="D9906" s="3064"/>
      <c r="E9906" s="3064"/>
      <c r="F9906" s="3064"/>
      <c r="G9906" s="3300" t="s">
        <v>82</v>
      </c>
      <c r="H9906" s="3063"/>
      <c r="I9906" s="3030"/>
    </row>
    <row r="9907" spans="2:9" ht="25.5">
      <c r="B9907" s="3192" t="s">
        <v>675</v>
      </c>
      <c r="C9907" s="3063"/>
      <c r="D9907" s="3064"/>
      <c r="E9907" s="3064"/>
      <c r="F9907" s="3064"/>
      <c r="G9907" s="3301" t="s">
        <v>675</v>
      </c>
      <c r="H9907" s="3063"/>
      <c r="I9907" s="3030"/>
    </row>
    <row r="9908" spans="2:9" ht="25.5">
      <c r="B9908" s="3192" t="s">
        <v>676</v>
      </c>
      <c r="C9908" s="3063"/>
      <c r="D9908" s="3064"/>
      <c r="E9908" s="3064"/>
      <c r="F9908" s="3064"/>
      <c r="G9908" s="3301" t="s">
        <v>676</v>
      </c>
      <c r="H9908" s="3063"/>
      <c r="I9908" s="3030"/>
    </row>
    <row r="9909" spans="2:9">
      <c r="B9909" s="3192" t="s">
        <v>677</v>
      </c>
      <c r="C9909" s="3063"/>
      <c r="D9909" s="3064"/>
      <c r="E9909" s="3064"/>
      <c r="F9909" s="3064"/>
      <c r="G9909" s="3301" t="s">
        <v>677</v>
      </c>
      <c r="H9909" s="3063"/>
      <c r="I9909" s="3030"/>
    </row>
    <row r="9910" spans="2:9">
      <c r="B9910" s="3192" t="s">
        <v>678</v>
      </c>
      <c r="C9910" s="3063"/>
      <c r="D9910" s="3064"/>
      <c r="E9910" s="3064"/>
      <c r="F9910" s="3064"/>
      <c r="G9910" s="3301" t="s">
        <v>678</v>
      </c>
      <c r="H9910" s="3063"/>
      <c r="I9910" s="3030"/>
    </row>
    <row r="9911" spans="2:9">
      <c r="B9911" s="3192" t="s">
        <v>679</v>
      </c>
      <c r="C9911" s="3063"/>
      <c r="D9911" s="3064"/>
      <c r="E9911" s="3064"/>
      <c r="F9911" s="3064"/>
      <c r="G9911" s="3301" t="s">
        <v>679</v>
      </c>
      <c r="H9911" s="3063"/>
      <c r="I9911" s="3030"/>
    </row>
    <row r="9912" spans="2:9" ht="25.5">
      <c r="B9912" s="3192" t="s">
        <v>720</v>
      </c>
      <c r="C9912" s="3063"/>
      <c r="D9912" s="3064"/>
      <c r="E9912" s="3064"/>
      <c r="F9912" s="3064"/>
      <c r="G9912" s="3301" t="s">
        <v>720</v>
      </c>
      <c r="H9912" s="3063"/>
      <c r="I9912" s="3030"/>
    </row>
    <row r="9913" spans="2:9" ht="38.25">
      <c r="B9913" s="3299" t="s">
        <v>680</v>
      </c>
      <c r="C9913" s="3063"/>
      <c r="D9913" s="3064"/>
      <c r="E9913" s="3064"/>
      <c r="F9913" s="3064"/>
      <c r="G9913" s="3300" t="s">
        <v>680</v>
      </c>
      <c r="H9913" s="3063"/>
      <c r="I9913" s="3030"/>
    </row>
    <row r="9914" spans="2:9" ht="25.5">
      <c r="B9914" s="3192" t="s">
        <v>675</v>
      </c>
      <c r="C9914" s="3063"/>
      <c r="D9914" s="3064"/>
      <c r="E9914" s="3064"/>
      <c r="F9914" s="3064"/>
      <c r="G9914" s="3301" t="s">
        <v>675</v>
      </c>
      <c r="H9914" s="3063"/>
      <c r="I9914" s="3030"/>
    </row>
    <row r="9915" spans="2:9" ht="25.5">
      <c r="B9915" s="3192" t="s">
        <v>676</v>
      </c>
      <c r="C9915" s="3063"/>
      <c r="D9915" s="3064"/>
      <c r="E9915" s="3064"/>
      <c r="F9915" s="3064"/>
      <c r="G9915" s="3301" t="s">
        <v>676</v>
      </c>
      <c r="H9915" s="3063"/>
      <c r="I9915" s="3030"/>
    </row>
    <row r="9916" spans="2:9">
      <c r="B9916" s="3192" t="s">
        <v>677</v>
      </c>
      <c r="C9916" s="3063"/>
      <c r="D9916" s="3064"/>
      <c r="E9916" s="3064"/>
      <c r="F9916" s="3064"/>
      <c r="G9916" s="3301" t="s">
        <v>677</v>
      </c>
      <c r="H9916" s="3063"/>
      <c r="I9916" s="3030"/>
    </row>
    <row r="9917" spans="2:9">
      <c r="B9917" s="3192" t="s">
        <v>678</v>
      </c>
      <c r="C9917" s="3063"/>
      <c r="D9917" s="3064"/>
      <c r="E9917" s="3064"/>
      <c r="F9917" s="3064"/>
      <c r="G9917" s="3301" t="s">
        <v>678</v>
      </c>
      <c r="H9917" s="3063"/>
      <c r="I9917" s="3030"/>
    </row>
    <row r="9918" spans="2:9">
      <c r="B9918" s="3192" t="s">
        <v>679</v>
      </c>
      <c r="C9918" s="3063"/>
      <c r="D9918" s="3064"/>
      <c r="E9918" s="3064"/>
      <c r="F9918" s="3064"/>
      <c r="G9918" s="3301" t="s">
        <v>679</v>
      </c>
      <c r="H9918" s="3063"/>
      <c r="I9918" s="3030"/>
    </row>
    <row r="9919" spans="2:9" ht="25.5">
      <c r="B9919" s="3192" t="s">
        <v>720</v>
      </c>
      <c r="C9919" s="3063"/>
      <c r="D9919" s="3064"/>
      <c r="E9919" s="3064"/>
      <c r="F9919" s="3064"/>
      <c r="G9919" s="3301" t="s">
        <v>720</v>
      </c>
      <c r="H9919" s="3063"/>
      <c r="I9919" s="3030"/>
    </row>
    <row r="9920" spans="2:9" ht="38.25">
      <c r="B9920" s="3299" t="s">
        <v>681</v>
      </c>
      <c r="C9920" s="3063"/>
      <c r="D9920" s="3064"/>
      <c r="E9920" s="3064"/>
      <c r="F9920" s="3064"/>
      <c r="G9920" s="3300" t="s">
        <v>681</v>
      </c>
      <c r="H9920" s="3063"/>
      <c r="I9920" s="3030"/>
    </row>
    <row r="9921" spans="2:9" ht="25.5">
      <c r="B9921" s="3192" t="s">
        <v>675</v>
      </c>
      <c r="C9921" s="3063"/>
      <c r="D9921" s="3064"/>
      <c r="E9921" s="3064"/>
      <c r="F9921" s="3064"/>
      <c r="G9921" s="3301" t="s">
        <v>675</v>
      </c>
      <c r="H9921" s="3063"/>
      <c r="I9921" s="3030"/>
    </row>
    <row r="9922" spans="2:9" ht="25.5">
      <c r="B9922" s="3192" t="s">
        <v>676</v>
      </c>
      <c r="C9922" s="3063"/>
      <c r="D9922" s="3064"/>
      <c r="E9922" s="3064"/>
      <c r="F9922" s="3064"/>
      <c r="G9922" s="3301" t="s">
        <v>676</v>
      </c>
      <c r="H9922" s="3063"/>
      <c r="I9922" s="3030"/>
    </row>
    <row r="9923" spans="2:9">
      <c r="B9923" s="3192" t="s">
        <v>677</v>
      </c>
      <c r="C9923" s="3063"/>
      <c r="D9923" s="3064"/>
      <c r="E9923" s="3064"/>
      <c r="F9923" s="3064"/>
      <c r="G9923" s="3301" t="s">
        <v>677</v>
      </c>
      <c r="H9923" s="3063"/>
      <c r="I9923" s="3030"/>
    </row>
    <row r="9924" spans="2:9">
      <c r="B9924" s="3192" t="s">
        <v>678</v>
      </c>
      <c r="C9924" s="3063"/>
      <c r="D9924" s="3064"/>
      <c r="E9924" s="3064"/>
      <c r="F9924" s="3064"/>
      <c r="G9924" s="3301" t="s">
        <v>678</v>
      </c>
      <c r="H9924" s="3063"/>
      <c r="I9924" s="3030"/>
    </row>
    <row r="9925" spans="2:9">
      <c r="B9925" s="3192" t="s">
        <v>679</v>
      </c>
      <c r="C9925" s="3063"/>
      <c r="D9925" s="3064"/>
      <c r="E9925" s="3064"/>
      <c r="F9925" s="3064"/>
      <c r="G9925" s="3301" t="s">
        <v>679</v>
      </c>
      <c r="H9925" s="3063"/>
      <c r="I9925" s="3030"/>
    </row>
    <row r="9926" spans="2:9" ht="25.5">
      <c r="B9926" s="3192" t="s">
        <v>720</v>
      </c>
      <c r="C9926" s="3063"/>
      <c r="D9926" s="3064"/>
      <c r="E9926" s="3064"/>
      <c r="F9926" s="3064"/>
      <c r="G9926" s="3301" t="s">
        <v>720</v>
      </c>
      <c r="H9926" s="3063"/>
      <c r="I9926" s="3030"/>
    </row>
    <row r="9927" spans="2:9" ht="25.5">
      <c r="B9927" s="3299" t="s">
        <v>682</v>
      </c>
      <c r="C9927" s="3063"/>
      <c r="D9927" s="3064"/>
      <c r="E9927" s="3064"/>
      <c r="F9927" s="3064"/>
      <c r="G9927" s="3300" t="s">
        <v>682</v>
      </c>
      <c r="H9927" s="3063"/>
      <c r="I9927" s="3030"/>
    </row>
    <row r="9928" spans="2:9" ht="25.5">
      <c r="B9928" s="3192" t="s">
        <v>675</v>
      </c>
      <c r="C9928" s="3063"/>
      <c r="D9928" s="3064"/>
      <c r="E9928" s="3064"/>
      <c r="F9928" s="3064"/>
      <c r="G9928" s="3301" t="s">
        <v>675</v>
      </c>
      <c r="H9928" s="3063"/>
      <c r="I9928" s="3030"/>
    </row>
    <row r="9929" spans="2:9" ht="25.5">
      <c r="B9929" s="3192" t="s">
        <v>676</v>
      </c>
      <c r="C9929" s="3063"/>
      <c r="D9929" s="3064"/>
      <c r="E9929" s="3064"/>
      <c r="F9929" s="3064"/>
      <c r="G9929" s="3301" t="s">
        <v>676</v>
      </c>
      <c r="H9929" s="3063"/>
      <c r="I9929" s="3030"/>
    </row>
    <row r="9930" spans="2:9">
      <c r="B9930" s="3192" t="s">
        <v>677</v>
      </c>
      <c r="C9930" s="3063"/>
      <c r="D9930" s="3064"/>
      <c r="E9930" s="3064"/>
      <c r="F9930" s="3064"/>
      <c r="G9930" s="3301" t="s">
        <v>677</v>
      </c>
      <c r="H9930" s="3063"/>
      <c r="I9930" s="3030"/>
    </row>
    <row r="9931" spans="2:9">
      <c r="B9931" s="3192" t="s">
        <v>678</v>
      </c>
      <c r="C9931" s="3063"/>
      <c r="D9931" s="3064"/>
      <c r="E9931" s="3064"/>
      <c r="F9931" s="3064"/>
      <c r="G9931" s="3301" t="s">
        <v>678</v>
      </c>
      <c r="H9931" s="3063"/>
      <c r="I9931" s="3030"/>
    </row>
    <row r="9932" spans="2:9">
      <c r="B9932" s="3192" t="s">
        <v>679</v>
      </c>
      <c r="C9932" s="3063"/>
      <c r="D9932" s="3064"/>
      <c r="E9932" s="3064"/>
      <c r="F9932" s="3064"/>
      <c r="G9932" s="3301" t="s">
        <v>679</v>
      </c>
      <c r="H9932" s="3063"/>
      <c r="I9932" s="3030"/>
    </row>
    <row r="9933" spans="2:9" ht="25.5">
      <c r="B9933" s="3192" t="s">
        <v>720</v>
      </c>
      <c r="C9933" s="3063"/>
      <c r="D9933" s="3064"/>
      <c r="E9933" s="3064"/>
      <c r="F9933" s="3064"/>
      <c r="G9933" s="3301" t="s">
        <v>720</v>
      </c>
      <c r="H9933" s="3063"/>
      <c r="I9933" s="3030"/>
    </row>
    <row r="9934" spans="2:9" ht="25.5">
      <c r="B9934" s="3299" t="s">
        <v>66</v>
      </c>
      <c r="C9934" s="3063"/>
      <c r="D9934" s="3064"/>
      <c r="E9934" s="3064"/>
      <c r="F9934" s="3064">
        <v>2</v>
      </c>
      <c r="G9934" s="3300" t="s">
        <v>66</v>
      </c>
      <c r="H9934" s="3063"/>
      <c r="I9934" s="3030"/>
    </row>
    <row r="9935" spans="2:9" ht="25.5">
      <c r="B9935" s="3192" t="s">
        <v>675</v>
      </c>
      <c r="C9935" s="3063"/>
      <c r="D9935" s="3064"/>
      <c r="E9935" s="3064"/>
      <c r="F9935" s="3064"/>
      <c r="G9935" s="3301" t="s">
        <v>675</v>
      </c>
      <c r="H9935" s="3063"/>
      <c r="I9935" s="3030"/>
    </row>
    <row r="9936" spans="2:9" ht="25.5">
      <c r="B9936" s="3192" t="s">
        <v>676</v>
      </c>
      <c r="C9936" s="3063"/>
      <c r="D9936" s="3064"/>
      <c r="E9936" s="3064"/>
      <c r="F9936" s="3064"/>
      <c r="G9936" s="3301" t="s">
        <v>676</v>
      </c>
      <c r="H9936" s="3063"/>
      <c r="I9936" s="3030"/>
    </row>
    <row r="9937" spans="2:9">
      <c r="B9937" s="3192" t="s">
        <v>677</v>
      </c>
      <c r="C9937" s="3063"/>
      <c r="D9937" s="3064"/>
      <c r="E9937" s="3064"/>
      <c r="F9937" s="3064"/>
      <c r="G9937" s="3301" t="s">
        <v>677</v>
      </c>
      <c r="H9937" s="3063"/>
      <c r="I9937" s="3030"/>
    </row>
    <row r="9938" spans="2:9">
      <c r="B9938" s="3192" t="s">
        <v>678</v>
      </c>
      <c r="C9938" s="3063"/>
      <c r="D9938" s="3064"/>
      <c r="E9938" s="3064"/>
      <c r="F9938" s="3064"/>
      <c r="G9938" s="3301" t="s">
        <v>678</v>
      </c>
      <c r="H9938" s="3063"/>
      <c r="I9938" s="3030"/>
    </row>
    <row r="9939" spans="2:9">
      <c r="B9939" s="3192" t="s">
        <v>679</v>
      </c>
      <c r="C9939" s="3063"/>
      <c r="D9939" s="3064"/>
      <c r="E9939" s="3064"/>
      <c r="F9939" s="3064"/>
      <c r="G9939" s="3301" t="s">
        <v>679</v>
      </c>
      <c r="H9939" s="3063"/>
      <c r="I9939" s="3030"/>
    </row>
    <row r="9940" spans="2:9" ht="25.5">
      <c r="B9940" s="3192" t="s">
        <v>720</v>
      </c>
      <c r="C9940" s="3063"/>
      <c r="D9940" s="3064"/>
      <c r="E9940" s="3064"/>
      <c r="F9940" s="3064"/>
      <c r="G9940" s="3301" t="s">
        <v>720</v>
      </c>
      <c r="H9940" s="3063"/>
      <c r="I9940" s="3030"/>
    </row>
    <row r="9941" spans="2:9">
      <c r="B9941" s="3299" t="s">
        <v>67</v>
      </c>
      <c r="C9941" s="3063"/>
      <c r="D9941" s="3064"/>
      <c r="E9941" s="3064"/>
      <c r="F9941" s="3064"/>
      <c r="G9941" s="3300" t="s">
        <v>67</v>
      </c>
      <c r="H9941" s="3063">
        <v>9.7958454828956668E-2</v>
      </c>
      <c r="I9941" s="3030"/>
    </row>
    <row r="9942" spans="2:9" ht="25.5">
      <c r="B9942" s="3192" t="s">
        <v>675</v>
      </c>
      <c r="C9942" s="3063"/>
      <c r="D9942" s="3064"/>
      <c r="E9942" s="3064"/>
      <c r="F9942" s="3064"/>
      <c r="G9942" s="3301" t="s">
        <v>675</v>
      </c>
      <c r="H9942" s="3063"/>
      <c r="I9942" s="3030"/>
    </row>
    <row r="9943" spans="2:9" ht="25.5">
      <c r="B9943" s="3192" t="s">
        <v>676</v>
      </c>
      <c r="C9943" s="3063"/>
      <c r="D9943" s="3064"/>
      <c r="E9943" s="3064"/>
      <c r="F9943" s="3064"/>
      <c r="G9943" s="3301" t="s">
        <v>676</v>
      </c>
      <c r="H9943" s="3063"/>
      <c r="I9943" s="3030"/>
    </row>
    <row r="9944" spans="2:9">
      <c r="B9944" s="3192" t="s">
        <v>677</v>
      </c>
      <c r="C9944" s="3063"/>
      <c r="D9944" s="3064"/>
      <c r="E9944" s="3064"/>
      <c r="F9944" s="3064"/>
      <c r="G9944" s="3301" t="s">
        <v>677</v>
      </c>
      <c r="H9944" s="3063"/>
      <c r="I9944" s="3030"/>
    </row>
    <row r="9945" spans="2:9">
      <c r="B9945" s="3192" t="s">
        <v>678</v>
      </c>
      <c r="C9945" s="3063"/>
      <c r="D9945" s="3064">
        <v>1</v>
      </c>
      <c r="E9945" s="3064"/>
      <c r="F9945" s="3064"/>
      <c r="G9945" s="3301" t="s">
        <v>678</v>
      </c>
      <c r="H9945" s="3063"/>
      <c r="I9945" s="3030"/>
    </row>
    <row r="9946" spans="2:9">
      <c r="B9946" s="3192" t="s">
        <v>679</v>
      </c>
      <c r="C9946" s="3063"/>
      <c r="D9946" s="3064"/>
      <c r="E9946" s="3064"/>
      <c r="F9946" s="3064"/>
      <c r="G9946" s="3301" t="s">
        <v>679</v>
      </c>
      <c r="H9946" s="3063"/>
      <c r="I9946" s="3030"/>
    </row>
    <row r="9947" spans="2:9" ht="25.5">
      <c r="B9947" s="3192" t="s">
        <v>720</v>
      </c>
      <c r="C9947" s="3063"/>
      <c r="D9947" s="3064"/>
      <c r="E9947" s="3064"/>
      <c r="F9947" s="3064"/>
      <c r="G9947" s="3301" t="s">
        <v>720</v>
      </c>
      <c r="H9947" s="3063"/>
      <c r="I9947" s="3030"/>
    </row>
    <row r="9948" spans="2:9" ht="25.5">
      <c r="B9948" s="3230" t="s">
        <v>81</v>
      </c>
      <c r="C9948" s="3063"/>
      <c r="D9948" s="3064"/>
      <c r="E9948" s="3064"/>
      <c r="F9948" s="3064"/>
      <c r="G9948" s="3302" t="s">
        <v>81</v>
      </c>
      <c r="H9948" s="3063"/>
      <c r="I9948" s="3030"/>
    </row>
    <row r="9949" spans="2:9" ht="26.25" thickBot="1">
      <c r="B9949" s="3303" t="s">
        <v>81</v>
      </c>
      <c r="C9949" s="3063"/>
      <c r="D9949" s="3064"/>
      <c r="E9949" s="3064"/>
      <c r="F9949" s="3064"/>
      <c r="G9949" s="3302" t="s">
        <v>81</v>
      </c>
      <c r="H9949" s="3063"/>
      <c r="I9949" s="3030"/>
    </row>
    <row r="9950" spans="2:9" ht="25.5">
      <c r="B9950" s="3217" t="s">
        <v>696</v>
      </c>
      <c r="C9950" s="3218"/>
      <c r="D9950" s="3219"/>
      <c r="E9950" s="3219"/>
      <c r="F9950" s="3219"/>
      <c r="G9950" s="3217" t="s">
        <v>696</v>
      </c>
      <c r="H9950" s="3297"/>
      <c r="I9950" s="3298"/>
    </row>
    <row r="9951" spans="2:9">
      <c r="B9951" s="3299" t="s">
        <v>64</v>
      </c>
      <c r="C9951" s="3063"/>
      <c r="D9951" s="3064"/>
      <c r="E9951" s="3064"/>
      <c r="F9951" s="3064"/>
      <c r="G9951" s="3300" t="s">
        <v>64</v>
      </c>
      <c r="H9951" s="3063"/>
      <c r="I9951" s="3030"/>
    </row>
    <row r="9952" spans="2:9" ht="25.5">
      <c r="B9952" s="3192" t="s">
        <v>675</v>
      </c>
      <c r="C9952" s="3063"/>
      <c r="D9952" s="3064"/>
      <c r="E9952" s="3064"/>
      <c r="F9952" s="3064"/>
      <c r="G9952" s="3301" t="s">
        <v>675</v>
      </c>
      <c r="H9952" s="3063"/>
      <c r="I9952" s="3030"/>
    </row>
    <row r="9953" spans="2:9" ht="25.5">
      <c r="B9953" s="3192" t="s">
        <v>676</v>
      </c>
      <c r="C9953" s="3063"/>
      <c r="D9953" s="3064"/>
      <c r="E9953" s="3064"/>
      <c r="F9953" s="3064"/>
      <c r="G9953" s="3301" t="s">
        <v>676</v>
      </c>
      <c r="H9953" s="3063"/>
      <c r="I9953" s="3030"/>
    </row>
    <row r="9954" spans="2:9">
      <c r="B9954" s="3192" t="s">
        <v>677</v>
      </c>
      <c r="C9954" s="3063"/>
      <c r="D9954" s="3064"/>
      <c r="E9954" s="3064"/>
      <c r="F9954" s="3064"/>
      <c r="G9954" s="3301" t="s">
        <v>677</v>
      </c>
      <c r="H9954" s="3063"/>
      <c r="I9954" s="3030"/>
    </row>
    <row r="9955" spans="2:9">
      <c r="B9955" s="3192" t="s">
        <v>678</v>
      </c>
      <c r="C9955" s="3063"/>
      <c r="D9955" s="3064"/>
      <c r="E9955" s="3064"/>
      <c r="F9955" s="3064"/>
      <c r="G9955" s="3301" t="s">
        <v>678</v>
      </c>
      <c r="H9955" s="3063"/>
      <c r="I9955" s="3030"/>
    </row>
    <row r="9956" spans="2:9">
      <c r="B9956" s="3192" t="s">
        <v>679</v>
      </c>
      <c r="C9956" s="3063"/>
      <c r="D9956" s="3064"/>
      <c r="E9956" s="3064"/>
      <c r="F9956" s="3064"/>
      <c r="G9956" s="3301" t="s">
        <v>679</v>
      </c>
      <c r="H9956" s="3063"/>
      <c r="I9956" s="3030"/>
    </row>
    <row r="9957" spans="2:9" ht="25.5">
      <c r="B9957" s="3192" t="s">
        <v>720</v>
      </c>
      <c r="C9957" s="3063"/>
      <c r="D9957" s="3064"/>
      <c r="E9957" s="3064"/>
      <c r="F9957" s="3064"/>
      <c r="G9957" s="3301" t="s">
        <v>720</v>
      </c>
      <c r="H9957" s="3063"/>
      <c r="I9957" s="3030"/>
    </row>
    <row r="9958" spans="2:9">
      <c r="B9958" s="3299" t="s">
        <v>65</v>
      </c>
      <c r="C9958" s="3063"/>
      <c r="D9958" s="3064"/>
      <c r="E9958" s="3064"/>
      <c r="F9958" s="3064"/>
      <c r="G9958" s="3300" t="s">
        <v>65</v>
      </c>
      <c r="H9958" s="3063"/>
      <c r="I9958" s="3030"/>
    </row>
    <row r="9959" spans="2:9" ht="25.5">
      <c r="B9959" s="3192" t="s">
        <v>675</v>
      </c>
      <c r="C9959" s="3063"/>
      <c r="D9959" s="3064"/>
      <c r="E9959" s="3064"/>
      <c r="F9959" s="3064"/>
      <c r="G9959" s="3301" t="s">
        <v>675</v>
      </c>
      <c r="H9959" s="3063"/>
      <c r="I9959" s="3030"/>
    </row>
    <row r="9960" spans="2:9" ht="25.5">
      <c r="B9960" s="3192" t="s">
        <v>676</v>
      </c>
      <c r="C9960" s="3063"/>
      <c r="D9960" s="3064"/>
      <c r="E9960" s="3064"/>
      <c r="F9960" s="3064"/>
      <c r="G9960" s="3301" t="s">
        <v>676</v>
      </c>
      <c r="H9960" s="3063"/>
      <c r="I9960" s="3030"/>
    </row>
    <row r="9961" spans="2:9">
      <c r="B9961" s="3192" t="s">
        <v>677</v>
      </c>
      <c r="C9961" s="3063"/>
      <c r="D9961" s="3064"/>
      <c r="E9961" s="3064"/>
      <c r="F9961" s="3064"/>
      <c r="G9961" s="3301" t="s">
        <v>677</v>
      </c>
      <c r="H9961" s="3063"/>
      <c r="I9961" s="3030"/>
    </row>
    <row r="9962" spans="2:9">
      <c r="B9962" s="3192" t="s">
        <v>678</v>
      </c>
      <c r="C9962" s="3063"/>
      <c r="D9962" s="3064"/>
      <c r="E9962" s="3064"/>
      <c r="F9962" s="3064"/>
      <c r="G9962" s="3301" t="s">
        <v>678</v>
      </c>
      <c r="H9962" s="3063"/>
      <c r="I9962" s="3030"/>
    </row>
    <row r="9963" spans="2:9">
      <c r="B9963" s="3192" t="s">
        <v>679</v>
      </c>
      <c r="C9963" s="3063"/>
      <c r="D9963" s="3064"/>
      <c r="E9963" s="3064"/>
      <c r="F9963" s="3064"/>
      <c r="G9963" s="3301" t="s">
        <v>679</v>
      </c>
      <c r="H9963" s="3063"/>
      <c r="I9963" s="3030"/>
    </row>
    <row r="9964" spans="2:9" ht="25.5">
      <c r="B9964" s="3192" t="s">
        <v>720</v>
      </c>
      <c r="C9964" s="3063"/>
      <c r="D9964" s="3064"/>
      <c r="E9964" s="3064"/>
      <c r="F9964" s="3064"/>
      <c r="G9964" s="3301" t="s">
        <v>720</v>
      </c>
      <c r="H9964" s="3063"/>
      <c r="I9964" s="3030"/>
    </row>
    <row r="9965" spans="2:9">
      <c r="B9965" s="3299" t="s">
        <v>82</v>
      </c>
      <c r="C9965" s="3063"/>
      <c r="D9965" s="3064"/>
      <c r="E9965" s="3064"/>
      <c r="F9965" s="3064"/>
      <c r="G9965" s="3300" t="s">
        <v>82</v>
      </c>
      <c r="H9965" s="3063"/>
      <c r="I9965" s="3030"/>
    </row>
    <row r="9966" spans="2:9" ht="25.5">
      <c r="B9966" s="3192" t="s">
        <v>675</v>
      </c>
      <c r="C9966" s="3063"/>
      <c r="D9966" s="3064"/>
      <c r="E9966" s="3064"/>
      <c r="F9966" s="3064"/>
      <c r="G9966" s="3301" t="s">
        <v>675</v>
      </c>
      <c r="H9966" s="3063"/>
      <c r="I9966" s="3030"/>
    </row>
    <row r="9967" spans="2:9" ht="25.5">
      <c r="B9967" s="3192" t="s">
        <v>676</v>
      </c>
      <c r="C9967" s="3063"/>
      <c r="D9967" s="3064"/>
      <c r="E9967" s="3064"/>
      <c r="F9967" s="3064"/>
      <c r="G9967" s="3301" t="s">
        <v>676</v>
      </c>
      <c r="H9967" s="3063"/>
      <c r="I9967" s="3030"/>
    </row>
    <row r="9968" spans="2:9">
      <c r="B9968" s="3192" t="s">
        <v>677</v>
      </c>
      <c r="C9968" s="3063"/>
      <c r="D9968" s="3064"/>
      <c r="E9968" s="3064"/>
      <c r="F9968" s="3064"/>
      <c r="G9968" s="3301" t="s">
        <v>677</v>
      </c>
      <c r="H9968" s="3063"/>
      <c r="I9968" s="3030"/>
    </row>
    <row r="9969" spans="2:9">
      <c r="B9969" s="3192" t="s">
        <v>678</v>
      </c>
      <c r="C9969" s="3063"/>
      <c r="D9969" s="3064"/>
      <c r="E9969" s="3064"/>
      <c r="F9969" s="3064"/>
      <c r="G9969" s="3301" t="s">
        <v>678</v>
      </c>
      <c r="H9969" s="3063"/>
      <c r="I9969" s="3030"/>
    </row>
    <row r="9970" spans="2:9">
      <c r="B9970" s="3192" t="s">
        <v>679</v>
      </c>
      <c r="C9970" s="3063"/>
      <c r="D9970" s="3064"/>
      <c r="E9970" s="3064"/>
      <c r="F9970" s="3064"/>
      <c r="G9970" s="3301" t="s">
        <v>679</v>
      </c>
      <c r="H9970" s="3063"/>
      <c r="I9970" s="3030"/>
    </row>
    <row r="9971" spans="2:9" ht="25.5">
      <c r="B9971" s="3192" t="s">
        <v>720</v>
      </c>
      <c r="C9971" s="3063"/>
      <c r="D9971" s="3064"/>
      <c r="E9971" s="3064"/>
      <c r="F9971" s="3064"/>
      <c r="G9971" s="3301" t="s">
        <v>720</v>
      </c>
      <c r="H9971" s="3063"/>
      <c r="I9971" s="3030"/>
    </row>
    <row r="9972" spans="2:9" ht="38.25">
      <c r="B9972" s="3299" t="s">
        <v>680</v>
      </c>
      <c r="C9972" s="3063"/>
      <c r="D9972" s="3064"/>
      <c r="E9972" s="3064"/>
      <c r="F9972" s="3064"/>
      <c r="G9972" s="3300" t="s">
        <v>680</v>
      </c>
      <c r="H9972" s="3063"/>
      <c r="I9972" s="3030"/>
    </row>
    <row r="9973" spans="2:9" ht="25.5">
      <c r="B9973" s="3192" t="s">
        <v>675</v>
      </c>
      <c r="C9973" s="3063"/>
      <c r="D9973" s="3064"/>
      <c r="E9973" s="3064"/>
      <c r="F9973" s="3064"/>
      <c r="G9973" s="3301" t="s">
        <v>675</v>
      </c>
      <c r="H9973" s="3063"/>
      <c r="I9973" s="3030"/>
    </row>
    <row r="9974" spans="2:9" ht="25.5">
      <c r="B9974" s="3192" t="s">
        <v>676</v>
      </c>
      <c r="C9974" s="3063"/>
      <c r="D9974" s="3064"/>
      <c r="E9974" s="3064"/>
      <c r="F9974" s="3064"/>
      <c r="G9974" s="3301" t="s">
        <v>676</v>
      </c>
      <c r="H9974" s="3063"/>
      <c r="I9974" s="3030"/>
    </row>
    <row r="9975" spans="2:9">
      <c r="B9975" s="3192" t="s">
        <v>677</v>
      </c>
      <c r="C9975" s="3063"/>
      <c r="D9975" s="3064"/>
      <c r="E9975" s="3064"/>
      <c r="F9975" s="3064"/>
      <c r="G9975" s="3301" t="s">
        <v>677</v>
      </c>
      <c r="H9975" s="3063"/>
      <c r="I9975" s="3030"/>
    </row>
    <row r="9976" spans="2:9">
      <c r="B9976" s="3192" t="s">
        <v>678</v>
      </c>
      <c r="C9976" s="3063"/>
      <c r="D9976" s="3064"/>
      <c r="E9976" s="3064"/>
      <c r="F9976" s="3064"/>
      <c r="G9976" s="3301" t="s">
        <v>678</v>
      </c>
      <c r="H9976" s="3063"/>
      <c r="I9976" s="3030"/>
    </row>
    <row r="9977" spans="2:9">
      <c r="B9977" s="3192" t="s">
        <v>679</v>
      </c>
      <c r="C9977" s="3063"/>
      <c r="D9977" s="3064"/>
      <c r="E9977" s="3064"/>
      <c r="F9977" s="3064"/>
      <c r="G9977" s="3301" t="s">
        <v>679</v>
      </c>
      <c r="H9977" s="3063"/>
      <c r="I9977" s="3030"/>
    </row>
    <row r="9978" spans="2:9" ht="25.5">
      <c r="B9978" s="3192" t="s">
        <v>720</v>
      </c>
      <c r="C9978" s="3063"/>
      <c r="D9978" s="3064"/>
      <c r="E9978" s="3064"/>
      <c r="F9978" s="3064"/>
      <c r="G9978" s="3301" t="s">
        <v>720</v>
      </c>
      <c r="H9978" s="3063"/>
      <c r="I9978" s="3030"/>
    </row>
    <row r="9979" spans="2:9" ht="38.25">
      <c r="B9979" s="3299" t="s">
        <v>681</v>
      </c>
      <c r="C9979" s="3063"/>
      <c r="D9979" s="3064"/>
      <c r="E9979" s="3064"/>
      <c r="F9979" s="3064"/>
      <c r="G9979" s="3300" t="s">
        <v>681</v>
      </c>
      <c r="H9979" s="3063"/>
      <c r="I9979" s="3030"/>
    </row>
    <row r="9980" spans="2:9" ht="25.5">
      <c r="B9980" s="3192" t="s">
        <v>675</v>
      </c>
      <c r="C9980" s="3063"/>
      <c r="D9980" s="3064"/>
      <c r="E9980" s="3064"/>
      <c r="F9980" s="3064"/>
      <c r="G9980" s="3301" t="s">
        <v>675</v>
      </c>
      <c r="H9980" s="3063"/>
      <c r="I9980" s="3030"/>
    </row>
    <row r="9981" spans="2:9" ht="25.5">
      <c r="B9981" s="3192" t="s">
        <v>676</v>
      </c>
      <c r="C9981" s="3063"/>
      <c r="D9981" s="3064"/>
      <c r="E9981" s="3064"/>
      <c r="F9981" s="3064"/>
      <c r="G9981" s="3301" t="s">
        <v>676</v>
      </c>
      <c r="H9981" s="3063"/>
      <c r="I9981" s="3030"/>
    </row>
    <row r="9982" spans="2:9">
      <c r="B9982" s="3192" t="s">
        <v>677</v>
      </c>
      <c r="C9982" s="3063"/>
      <c r="D9982" s="3064"/>
      <c r="E9982" s="3064"/>
      <c r="F9982" s="3064"/>
      <c r="G9982" s="3301" t="s">
        <v>677</v>
      </c>
      <c r="H9982" s="3063"/>
      <c r="I9982" s="3030"/>
    </row>
    <row r="9983" spans="2:9">
      <c r="B9983" s="3192" t="s">
        <v>678</v>
      </c>
      <c r="C9983" s="3063"/>
      <c r="D9983" s="3064"/>
      <c r="E9983" s="3064"/>
      <c r="F9983" s="3064"/>
      <c r="G9983" s="3301" t="s">
        <v>678</v>
      </c>
      <c r="H9983" s="3063"/>
      <c r="I9983" s="3030"/>
    </row>
    <row r="9984" spans="2:9">
      <c r="B9984" s="3192" t="s">
        <v>679</v>
      </c>
      <c r="C9984" s="3063"/>
      <c r="D9984" s="3064"/>
      <c r="E9984" s="3064"/>
      <c r="F9984" s="3064"/>
      <c r="G9984" s="3301" t="s">
        <v>679</v>
      </c>
      <c r="H9984" s="3063"/>
      <c r="I9984" s="3030"/>
    </row>
    <row r="9985" spans="2:9" ht="25.5">
      <c r="B9985" s="3192" t="s">
        <v>720</v>
      </c>
      <c r="C9985" s="3063"/>
      <c r="D9985" s="3064"/>
      <c r="E9985" s="3064"/>
      <c r="F9985" s="3064"/>
      <c r="G9985" s="3301" t="s">
        <v>720</v>
      </c>
      <c r="H9985" s="3063"/>
      <c r="I9985" s="3030"/>
    </row>
    <row r="9986" spans="2:9" ht="25.5">
      <c r="B9986" s="3299" t="s">
        <v>682</v>
      </c>
      <c r="C9986" s="3063"/>
      <c r="D9986" s="3064"/>
      <c r="E9986" s="3064"/>
      <c r="F9986" s="3064"/>
      <c r="G9986" s="3300" t="s">
        <v>682</v>
      </c>
      <c r="H9986" s="3063"/>
      <c r="I9986" s="3030"/>
    </row>
    <row r="9987" spans="2:9" ht="25.5">
      <c r="B9987" s="3192" t="s">
        <v>675</v>
      </c>
      <c r="C9987" s="3063"/>
      <c r="D9987" s="3064"/>
      <c r="E9987" s="3064"/>
      <c r="F9987" s="3064"/>
      <c r="G9987" s="3301" t="s">
        <v>675</v>
      </c>
      <c r="H9987" s="3063"/>
      <c r="I9987" s="3030"/>
    </row>
    <row r="9988" spans="2:9" ht="25.5">
      <c r="B9988" s="3192" t="s">
        <v>676</v>
      </c>
      <c r="C9988" s="3063"/>
      <c r="D9988" s="3064"/>
      <c r="E9988" s="3064"/>
      <c r="F9988" s="3064"/>
      <c r="G9988" s="3301" t="s">
        <v>676</v>
      </c>
      <c r="H9988" s="3063"/>
      <c r="I9988" s="3030"/>
    </row>
    <row r="9989" spans="2:9">
      <c r="B9989" s="3192" t="s">
        <v>677</v>
      </c>
      <c r="C9989" s="3063"/>
      <c r="D9989" s="3064"/>
      <c r="E9989" s="3064"/>
      <c r="F9989" s="3064"/>
      <c r="G9989" s="3301" t="s">
        <v>677</v>
      </c>
      <c r="H9989" s="3063"/>
      <c r="I9989" s="3030"/>
    </row>
    <row r="9990" spans="2:9">
      <c r="B9990" s="3192" t="s">
        <v>678</v>
      </c>
      <c r="C9990" s="3063"/>
      <c r="D9990" s="3064"/>
      <c r="E9990" s="3064"/>
      <c r="F9990" s="3064"/>
      <c r="G9990" s="3301" t="s">
        <v>678</v>
      </c>
      <c r="H9990" s="3063"/>
      <c r="I9990" s="3030"/>
    </row>
    <row r="9991" spans="2:9">
      <c r="B9991" s="3192" t="s">
        <v>679</v>
      </c>
      <c r="C9991" s="3063"/>
      <c r="D9991" s="3064"/>
      <c r="E9991" s="3064"/>
      <c r="F9991" s="3064"/>
      <c r="G9991" s="3301" t="s">
        <v>679</v>
      </c>
      <c r="H9991" s="3063"/>
      <c r="I9991" s="3030"/>
    </row>
    <row r="9992" spans="2:9" ht="25.5">
      <c r="B9992" s="3192" t="s">
        <v>720</v>
      </c>
      <c r="C9992" s="3063"/>
      <c r="D9992" s="3064"/>
      <c r="E9992" s="3064"/>
      <c r="F9992" s="3064"/>
      <c r="G9992" s="3301" t="s">
        <v>720</v>
      </c>
      <c r="H9992" s="3063"/>
      <c r="I9992" s="3030"/>
    </row>
    <row r="9993" spans="2:9" ht="25.5">
      <c r="B9993" s="3299" t="s">
        <v>66</v>
      </c>
      <c r="C9993" s="3063"/>
      <c r="D9993" s="3064"/>
      <c r="E9993" s="3064"/>
      <c r="F9993" s="3064"/>
      <c r="G9993" s="3300" t="s">
        <v>66</v>
      </c>
      <c r="H9993" s="3063"/>
      <c r="I9993" s="3030"/>
    </row>
    <row r="9994" spans="2:9" ht="25.5">
      <c r="B9994" s="3192" t="s">
        <v>675</v>
      </c>
      <c r="C9994" s="3063"/>
      <c r="D9994" s="3064"/>
      <c r="E9994" s="3064"/>
      <c r="F9994" s="3064"/>
      <c r="G9994" s="3301" t="s">
        <v>675</v>
      </c>
      <c r="H9994" s="3063"/>
      <c r="I9994" s="3030"/>
    </row>
    <row r="9995" spans="2:9" ht="25.5">
      <c r="B9995" s="3192" t="s">
        <v>676</v>
      </c>
      <c r="C9995" s="3063"/>
      <c r="D9995" s="3064"/>
      <c r="E9995" s="3064"/>
      <c r="F9995" s="3064"/>
      <c r="G9995" s="3301" t="s">
        <v>676</v>
      </c>
      <c r="H9995" s="3063"/>
      <c r="I9995" s="3030"/>
    </row>
    <row r="9996" spans="2:9">
      <c r="B9996" s="3192" t="s">
        <v>677</v>
      </c>
      <c r="C9996" s="3063"/>
      <c r="D9996" s="3064"/>
      <c r="E9996" s="3064"/>
      <c r="F9996" s="3064"/>
      <c r="G9996" s="3301" t="s">
        <v>677</v>
      </c>
      <c r="H9996" s="3063"/>
      <c r="I9996" s="3030"/>
    </row>
    <row r="9997" spans="2:9">
      <c r="B9997" s="3192" t="s">
        <v>678</v>
      </c>
      <c r="C9997" s="3063"/>
      <c r="D9997" s="3064"/>
      <c r="E9997" s="3064"/>
      <c r="F9997" s="3064"/>
      <c r="G9997" s="3301" t="s">
        <v>678</v>
      </c>
      <c r="H9997" s="3063"/>
      <c r="I9997" s="3030"/>
    </row>
    <row r="9998" spans="2:9">
      <c r="B9998" s="3192" t="s">
        <v>679</v>
      </c>
      <c r="C9998" s="3063"/>
      <c r="D9998" s="3064"/>
      <c r="E9998" s="3064"/>
      <c r="F9998" s="3064"/>
      <c r="G9998" s="3301" t="s">
        <v>679</v>
      </c>
      <c r="H9998" s="3063"/>
      <c r="I9998" s="3030"/>
    </row>
    <row r="9999" spans="2:9" ht="25.5">
      <c r="B9999" s="3192" t="s">
        <v>720</v>
      </c>
      <c r="C9999" s="3063"/>
      <c r="D9999" s="3064"/>
      <c r="E9999" s="3064"/>
      <c r="F9999" s="3064"/>
      <c r="G9999" s="3301" t="s">
        <v>720</v>
      </c>
      <c r="H9999" s="3063"/>
      <c r="I9999" s="3030"/>
    </row>
    <row r="10000" spans="2:9">
      <c r="B10000" s="3299" t="s">
        <v>67</v>
      </c>
      <c r="C10000" s="3063"/>
      <c r="D10000" s="3064"/>
      <c r="E10000" s="3064"/>
      <c r="F10000" s="3064"/>
      <c r="G10000" s="3300" t="s">
        <v>67</v>
      </c>
      <c r="H10000" s="3063"/>
      <c r="I10000" s="3030"/>
    </row>
    <row r="10001" spans="2:9" ht="25.5">
      <c r="B10001" s="3192" t="s">
        <v>675</v>
      </c>
      <c r="C10001" s="3063"/>
      <c r="D10001" s="3064"/>
      <c r="E10001" s="3064"/>
      <c r="F10001" s="3064"/>
      <c r="G10001" s="3301" t="s">
        <v>675</v>
      </c>
      <c r="H10001" s="3063"/>
      <c r="I10001" s="3030"/>
    </row>
    <row r="10002" spans="2:9" ht="25.5">
      <c r="B10002" s="3192" t="s">
        <v>676</v>
      </c>
      <c r="C10002" s="3063"/>
      <c r="D10002" s="3064"/>
      <c r="E10002" s="3064"/>
      <c r="F10002" s="3064"/>
      <c r="G10002" s="3301" t="s">
        <v>676</v>
      </c>
      <c r="H10002" s="3063"/>
      <c r="I10002" s="3030"/>
    </row>
    <row r="10003" spans="2:9">
      <c r="B10003" s="3192" t="s">
        <v>677</v>
      </c>
      <c r="C10003" s="3063"/>
      <c r="D10003" s="3064"/>
      <c r="E10003" s="3064"/>
      <c r="F10003" s="3064"/>
      <c r="G10003" s="3301" t="s">
        <v>677</v>
      </c>
      <c r="H10003" s="3063"/>
      <c r="I10003" s="3030"/>
    </row>
    <row r="10004" spans="2:9">
      <c r="B10004" s="3192" t="s">
        <v>678</v>
      </c>
      <c r="C10004" s="3063"/>
      <c r="D10004" s="3064"/>
      <c r="E10004" s="3064"/>
      <c r="F10004" s="3064"/>
      <c r="G10004" s="3301" t="s">
        <v>678</v>
      </c>
      <c r="H10004" s="3063"/>
      <c r="I10004" s="3030"/>
    </row>
    <row r="10005" spans="2:9">
      <c r="B10005" s="3192" t="s">
        <v>679</v>
      </c>
      <c r="C10005" s="3063"/>
      <c r="D10005" s="3064"/>
      <c r="E10005" s="3064"/>
      <c r="F10005" s="3064"/>
      <c r="G10005" s="3301" t="s">
        <v>679</v>
      </c>
      <c r="H10005" s="3063"/>
      <c r="I10005" s="3030"/>
    </row>
    <row r="10006" spans="2:9" ht="25.5">
      <c r="B10006" s="3230" t="s">
        <v>81</v>
      </c>
      <c r="C10006" s="3063"/>
      <c r="D10006" s="3064"/>
      <c r="E10006" s="3064"/>
      <c r="F10006" s="3064"/>
      <c r="G10006" s="3302" t="s">
        <v>81</v>
      </c>
      <c r="H10006" s="3063"/>
      <c r="I10006" s="3030"/>
    </row>
    <row r="10007" spans="2:9" ht="26.25" thickBot="1">
      <c r="B10007" s="3303" t="s">
        <v>81</v>
      </c>
      <c r="C10007" s="3063"/>
      <c r="D10007" s="3064"/>
      <c r="E10007" s="3064"/>
      <c r="F10007" s="3064"/>
      <c r="G10007" s="3302" t="s">
        <v>81</v>
      </c>
      <c r="H10007" s="3063"/>
      <c r="I10007" s="3030"/>
    </row>
    <row r="10008" spans="2:9">
      <c r="B10008" s="3217" t="s">
        <v>697</v>
      </c>
      <c r="C10008" s="3218"/>
      <c r="D10008" s="3219"/>
      <c r="E10008" s="3219"/>
      <c r="F10008" s="3219"/>
      <c r="G10008" s="3217" t="s">
        <v>697</v>
      </c>
      <c r="H10008" s="3297"/>
      <c r="I10008" s="3298"/>
    </row>
    <row r="10009" spans="2:9">
      <c r="B10009" s="3299" t="s">
        <v>64</v>
      </c>
      <c r="C10009" s="3063"/>
      <c r="D10009" s="3064"/>
      <c r="E10009" s="3064"/>
      <c r="F10009" s="3064"/>
      <c r="G10009" s="3300" t="s">
        <v>64</v>
      </c>
      <c r="H10009" s="3063"/>
      <c r="I10009" s="3030"/>
    </row>
    <row r="10010" spans="2:9" ht="25.5">
      <c r="B10010" s="3192" t="s">
        <v>675</v>
      </c>
      <c r="C10010" s="3063"/>
      <c r="D10010" s="3064"/>
      <c r="E10010" s="3064"/>
      <c r="F10010" s="3064"/>
      <c r="G10010" s="3301" t="s">
        <v>675</v>
      </c>
      <c r="H10010" s="3063"/>
      <c r="I10010" s="3030"/>
    </row>
    <row r="10011" spans="2:9" ht="25.5">
      <c r="B10011" s="3192" t="s">
        <v>676</v>
      </c>
      <c r="C10011" s="3063"/>
      <c r="D10011" s="3064"/>
      <c r="E10011" s="3064"/>
      <c r="F10011" s="3064"/>
      <c r="G10011" s="3301" t="s">
        <v>676</v>
      </c>
      <c r="H10011" s="3063"/>
      <c r="I10011" s="3030"/>
    </row>
    <row r="10012" spans="2:9">
      <c r="B10012" s="3192" t="s">
        <v>677</v>
      </c>
      <c r="C10012" s="3063"/>
      <c r="D10012" s="3064"/>
      <c r="E10012" s="3064"/>
      <c r="F10012" s="3064"/>
      <c r="G10012" s="3301" t="s">
        <v>677</v>
      </c>
      <c r="H10012" s="3063"/>
      <c r="I10012" s="3030"/>
    </row>
    <row r="10013" spans="2:9">
      <c r="B10013" s="3192" t="s">
        <v>678</v>
      </c>
      <c r="C10013" s="3063"/>
      <c r="D10013" s="3064"/>
      <c r="E10013" s="3064"/>
      <c r="F10013" s="3064"/>
      <c r="G10013" s="3301" t="s">
        <v>678</v>
      </c>
      <c r="H10013" s="3063"/>
      <c r="I10013" s="3030"/>
    </row>
    <row r="10014" spans="2:9">
      <c r="B10014" s="3192" t="s">
        <v>679</v>
      </c>
      <c r="C10014" s="3063"/>
      <c r="D10014" s="3064"/>
      <c r="E10014" s="3064"/>
      <c r="F10014" s="3064"/>
      <c r="G10014" s="3301" t="s">
        <v>679</v>
      </c>
      <c r="H10014" s="3063"/>
      <c r="I10014" s="3030"/>
    </row>
    <row r="10015" spans="2:9" ht="25.5">
      <c r="B10015" s="3192" t="s">
        <v>720</v>
      </c>
      <c r="C10015" s="3063"/>
      <c r="D10015" s="3064"/>
      <c r="E10015" s="3064"/>
      <c r="F10015" s="3064"/>
      <c r="G10015" s="3301" t="s">
        <v>720</v>
      </c>
      <c r="H10015" s="3063"/>
      <c r="I10015" s="3030"/>
    </row>
    <row r="10016" spans="2:9">
      <c r="B10016" s="3299" t="s">
        <v>65</v>
      </c>
      <c r="C10016" s="3063"/>
      <c r="D10016" s="3064"/>
      <c r="E10016" s="3064"/>
      <c r="F10016" s="3064"/>
      <c r="G10016" s="3300" t="s">
        <v>65</v>
      </c>
      <c r="H10016" s="3063"/>
      <c r="I10016" s="3030"/>
    </row>
    <row r="10017" spans="2:9" ht="25.5">
      <c r="B10017" s="3192" t="s">
        <v>675</v>
      </c>
      <c r="C10017" s="3063"/>
      <c r="D10017" s="3064"/>
      <c r="E10017" s="3064"/>
      <c r="F10017" s="3064"/>
      <c r="G10017" s="3301" t="s">
        <v>675</v>
      </c>
      <c r="H10017" s="3063"/>
      <c r="I10017" s="3030"/>
    </row>
    <row r="10018" spans="2:9" ht="25.5">
      <c r="B10018" s="3192" t="s">
        <v>676</v>
      </c>
      <c r="C10018" s="3063"/>
      <c r="D10018" s="3064"/>
      <c r="E10018" s="3064"/>
      <c r="F10018" s="3064"/>
      <c r="G10018" s="3301" t="s">
        <v>676</v>
      </c>
      <c r="H10018" s="3063"/>
      <c r="I10018" s="3030"/>
    </row>
    <row r="10019" spans="2:9">
      <c r="B10019" s="3192" t="s">
        <v>677</v>
      </c>
      <c r="C10019" s="3063"/>
      <c r="D10019" s="3064"/>
      <c r="E10019" s="3064"/>
      <c r="F10019" s="3064"/>
      <c r="G10019" s="3301" t="s">
        <v>677</v>
      </c>
      <c r="H10019" s="3063"/>
      <c r="I10019" s="3030"/>
    </row>
    <row r="10020" spans="2:9">
      <c r="B10020" s="3192" t="s">
        <v>678</v>
      </c>
      <c r="C10020" s="3063"/>
      <c r="D10020" s="3064"/>
      <c r="E10020" s="3064"/>
      <c r="F10020" s="3064"/>
      <c r="G10020" s="3301" t="s">
        <v>678</v>
      </c>
      <c r="H10020" s="3063"/>
      <c r="I10020" s="3030"/>
    </row>
    <row r="10021" spans="2:9">
      <c r="B10021" s="3192" t="s">
        <v>679</v>
      </c>
      <c r="C10021" s="3063"/>
      <c r="D10021" s="3064"/>
      <c r="E10021" s="3064"/>
      <c r="F10021" s="3064"/>
      <c r="G10021" s="3301" t="s">
        <v>679</v>
      </c>
      <c r="H10021" s="3063"/>
      <c r="I10021" s="3030"/>
    </row>
    <row r="10022" spans="2:9" ht="25.5">
      <c r="B10022" s="3192" t="s">
        <v>720</v>
      </c>
      <c r="C10022" s="3063"/>
      <c r="D10022" s="3064"/>
      <c r="E10022" s="3064"/>
      <c r="F10022" s="3064"/>
      <c r="G10022" s="3301" t="s">
        <v>720</v>
      </c>
      <c r="H10022" s="3063"/>
      <c r="I10022" s="3030"/>
    </row>
    <row r="10023" spans="2:9">
      <c r="B10023" s="3299" t="s">
        <v>82</v>
      </c>
      <c r="C10023" s="3063"/>
      <c r="D10023" s="3064"/>
      <c r="E10023" s="3064"/>
      <c r="F10023" s="3064"/>
      <c r="G10023" s="3300" t="s">
        <v>82</v>
      </c>
      <c r="H10023" s="3063"/>
      <c r="I10023" s="3030"/>
    </row>
    <row r="10024" spans="2:9" ht="25.5">
      <c r="B10024" s="3192" t="s">
        <v>675</v>
      </c>
      <c r="C10024" s="3063"/>
      <c r="D10024" s="3064"/>
      <c r="E10024" s="3064"/>
      <c r="F10024" s="3064"/>
      <c r="G10024" s="3301" t="s">
        <v>675</v>
      </c>
      <c r="H10024" s="3063"/>
      <c r="I10024" s="3030"/>
    </row>
    <row r="10025" spans="2:9" ht="25.5">
      <c r="B10025" s="3192" t="s">
        <v>676</v>
      </c>
      <c r="C10025" s="3063"/>
      <c r="D10025" s="3064"/>
      <c r="E10025" s="3064"/>
      <c r="F10025" s="3064"/>
      <c r="G10025" s="3301" t="s">
        <v>676</v>
      </c>
      <c r="H10025" s="3063"/>
      <c r="I10025" s="3030"/>
    </row>
    <row r="10026" spans="2:9">
      <c r="B10026" s="3192" t="s">
        <v>677</v>
      </c>
      <c r="C10026" s="3063"/>
      <c r="D10026" s="3064"/>
      <c r="E10026" s="3064"/>
      <c r="F10026" s="3064"/>
      <c r="G10026" s="3301" t="s">
        <v>677</v>
      </c>
      <c r="H10026" s="3063"/>
      <c r="I10026" s="3030"/>
    </row>
    <row r="10027" spans="2:9">
      <c r="B10027" s="3192" t="s">
        <v>678</v>
      </c>
      <c r="C10027" s="3063"/>
      <c r="D10027" s="3064"/>
      <c r="E10027" s="3064"/>
      <c r="F10027" s="3064"/>
      <c r="G10027" s="3301" t="s">
        <v>678</v>
      </c>
      <c r="H10027" s="3063"/>
      <c r="I10027" s="3030"/>
    </row>
    <row r="10028" spans="2:9">
      <c r="B10028" s="3192" t="s">
        <v>679</v>
      </c>
      <c r="C10028" s="3063"/>
      <c r="D10028" s="3064"/>
      <c r="E10028" s="3064"/>
      <c r="F10028" s="3064"/>
      <c r="G10028" s="3301" t="s">
        <v>679</v>
      </c>
      <c r="H10028" s="3063"/>
      <c r="I10028" s="3030"/>
    </row>
    <row r="10029" spans="2:9" ht="25.5">
      <c r="B10029" s="3192" t="s">
        <v>720</v>
      </c>
      <c r="C10029" s="3063"/>
      <c r="D10029" s="3064"/>
      <c r="E10029" s="3064"/>
      <c r="F10029" s="3064"/>
      <c r="G10029" s="3301" t="s">
        <v>720</v>
      </c>
      <c r="H10029" s="3063"/>
      <c r="I10029" s="3030"/>
    </row>
    <row r="10030" spans="2:9" ht="38.25">
      <c r="B10030" s="3299" t="s">
        <v>680</v>
      </c>
      <c r="C10030" s="3063"/>
      <c r="D10030" s="3064"/>
      <c r="E10030" s="3064"/>
      <c r="F10030" s="3064"/>
      <c r="G10030" s="3300" t="s">
        <v>680</v>
      </c>
      <c r="H10030" s="3063"/>
      <c r="I10030" s="3030"/>
    </row>
    <row r="10031" spans="2:9" ht="25.5">
      <c r="B10031" s="3192" t="s">
        <v>675</v>
      </c>
      <c r="C10031" s="3063"/>
      <c r="D10031" s="3064"/>
      <c r="E10031" s="3064"/>
      <c r="F10031" s="3064"/>
      <c r="G10031" s="3301" t="s">
        <v>675</v>
      </c>
      <c r="H10031" s="3063"/>
      <c r="I10031" s="3030"/>
    </row>
    <row r="10032" spans="2:9" ht="25.5">
      <c r="B10032" s="3192" t="s">
        <v>676</v>
      </c>
      <c r="C10032" s="3063"/>
      <c r="D10032" s="3064"/>
      <c r="E10032" s="3064"/>
      <c r="F10032" s="3064"/>
      <c r="G10032" s="3301" t="s">
        <v>676</v>
      </c>
      <c r="H10032" s="3063"/>
      <c r="I10032" s="3030"/>
    </row>
    <row r="10033" spans="2:9">
      <c r="B10033" s="3192" t="s">
        <v>677</v>
      </c>
      <c r="C10033" s="3063"/>
      <c r="D10033" s="3064"/>
      <c r="E10033" s="3064"/>
      <c r="F10033" s="3064"/>
      <c r="G10033" s="3301" t="s">
        <v>677</v>
      </c>
      <c r="H10033" s="3063"/>
      <c r="I10033" s="3030"/>
    </row>
    <row r="10034" spans="2:9">
      <c r="B10034" s="3192" t="s">
        <v>678</v>
      </c>
      <c r="C10034" s="3063"/>
      <c r="D10034" s="3064"/>
      <c r="E10034" s="3064"/>
      <c r="F10034" s="3064"/>
      <c r="G10034" s="3301" t="s">
        <v>678</v>
      </c>
      <c r="H10034" s="3063"/>
      <c r="I10034" s="3030"/>
    </row>
    <row r="10035" spans="2:9">
      <c r="B10035" s="3192" t="s">
        <v>679</v>
      </c>
      <c r="C10035" s="3063"/>
      <c r="D10035" s="3064"/>
      <c r="E10035" s="3064"/>
      <c r="F10035" s="3064"/>
      <c r="G10035" s="3301" t="s">
        <v>679</v>
      </c>
      <c r="H10035" s="3063"/>
      <c r="I10035" s="3030"/>
    </row>
    <row r="10036" spans="2:9" ht="25.5">
      <c r="B10036" s="3192" t="s">
        <v>720</v>
      </c>
      <c r="C10036" s="3063"/>
      <c r="D10036" s="3064"/>
      <c r="E10036" s="3064"/>
      <c r="F10036" s="3064"/>
      <c r="G10036" s="3301" t="s">
        <v>720</v>
      </c>
      <c r="H10036" s="3063"/>
      <c r="I10036" s="3030"/>
    </row>
    <row r="10037" spans="2:9" ht="38.25">
      <c r="B10037" s="3299" t="s">
        <v>681</v>
      </c>
      <c r="C10037" s="3063"/>
      <c r="D10037" s="3064"/>
      <c r="E10037" s="3064"/>
      <c r="F10037" s="3064">
        <v>3</v>
      </c>
      <c r="G10037" s="3300" t="s">
        <v>681</v>
      </c>
      <c r="H10037" s="3063">
        <v>9.6019420012036255E-2</v>
      </c>
      <c r="I10037" s="3030"/>
    </row>
    <row r="10038" spans="2:9" ht="25.5">
      <c r="B10038" s="3192" t="s">
        <v>675</v>
      </c>
      <c r="C10038" s="3063"/>
      <c r="D10038" s="3064"/>
      <c r="E10038" s="3064"/>
      <c r="F10038" s="3064"/>
      <c r="G10038" s="3301" t="s">
        <v>675</v>
      </c>
      <c r="H10038" s="3063"/>
      <c r="I10038" s="3030"/>
    </row>
    <row r="10039" spans="2:9" ht="25.5">
      <c r="B10039" s="3192" t="s">
        <v>676</v>
      </c>
      <c r="C10039" s="3063"/>
      <c r="D10039" s="3064"/>
      <c r="E10039" s="3064"/>
      <c r="F10039" s="3064"/>
      <c r="G10039" s="3301" t="s">
        <v>676</v>
      </c>
      <c r="H10039" s="3063"/>
      <c r="I10039" s="3030"/>
    </row>
    <row r="10040" spans="2:9">
      <c r="B10040" s="3192" t="s">
        <v>677</v>
      </c>
      <c r="C10040" s="3063"/>
      <c r="D10040" s="3064"/>
      <c r="E10040" s="3064"/>
      <c r="F10040" s="3064"/>
      <c r="G10040" s="3301" t="s">
        <v>677</v>
      </c>
      <c r="H10040" s="3063"/>
      <c r="I10040" s="3030"/>
    </row>
    <row r="10041" spans="2:9">
      <c r="B10041" s="3192" t="s">
        <v>678</v>
      </c>
      <c r="C10041" s="3063"/>
      <c r="D10041" s="3064"/>
      <c r="E10041" s="3064"/>
      <c r="F10041" s="3064"/>
      <c r="G10041" s="3301" t="s">
        <v>678</v>
      </c>
      <c r="H10041" s="3063"/>
      <c r="I10041" s="3030"/>
    </row>
    <row r="10042" spans="2:9">
      <c r="B10042" s="3192" t="s">
        <v>679</v>
      </c>
      <c r="C10042" s="3063"/>
      <c r="D10042" s="3064"/>
      <c r="E10042" s="3064"/>
      <c r="F10042" s="3064"/>
      <c r="G10042" s="3301" t="s">
        <v>679</v>
      </c>
      <c r="H10042" s="3063"/>
      <c r="I10042" s="3030"/>
    </row>
    <row r="10043" spans="2:9" ht="25.5">
      <c r="B10043" s="3192" t="s">
        <v>720</v>
      </c>
      <c r="C10043" s="3063"/>
      <c r="D10043" s="3064"/>
      <c r="E10043" s="3064"/>
      <c r="F10043" s="3064"/>
      <c r="G10043" s="3301" t="s">
        <v>720</v>
      </c>
      <c r="H10043" s="3063"/>
      <c r="I10043" s="3030"/>
    </row>
    <row r="10044" spans="2:9" ht="25.5">
      <c r="B10044" s="3299" t="s">
        <v>682</v>
      </c>
      <c r="C10044" s="3063"/>
      <c r="D10044" s="3064"/>
      <c r="E10044" s="3064"/>
      <c r="F10044" s="3064"/>
      <c r="G10044" s="3300" t="s">
        <v>682</v>
      </c>
      <c r="H10044" s="3063"/>
      <c r="I10044" s="3030"/>
    </row>
    <row r="10045" spans="2:9" ht="25.5">
      <c r="B10045" s="3192" t="s">
        <v>675</v>
      </c>
      <c r="C10045" s="3063"/>
      <c r="D10045" s="3064"/>
      <c r="E10045" s="3064"/>
      <c r="F10045" s="3064"/>
      <c r="G10045" s="3301" t="s">
        <v>675</v>
      </c>
      <c r="H10045" s="3063"/>
      <c r="I10045" s="3030"/>
    </row>
    <row r="10046" spans="2:9" ht="25.5">
      <c r="B10046" s="3192" t="s">
        <v>676</v>
      </c>
      <c r="C10046" s="3063"/>
      <c r="D10046" s="3064"/>
      <c r="E10046" s="3064"/>
      <c r="F10046" s="3064"/>
      <c r="G10046" s="3301" t="s">
        <v>676</v>
      </c>
      <c r="H10046" s="3063"/>
      <c r="I10046" s="3030"/>
    </row>
    <row r="10047" spans="2:9">
      <c r="B10047" s="3192" t="s">
        <v>677</v>
      </c>
      <c r="C10047" s="3063"/>
      <c r="D10047" s="3064"/>
      <c r="E10047" s="3064"/>
      <c r="F10047" s="3064"/>
      <c r="G10047" s="3301" t="s">
        <v>677</v>
      </c>
      <c r="H10047" s="3063"/>
      <c r="I10047" s="3030"/>
    </row>
    <row r="10048" spans="2:9">
      <c r="B10048" s="3192" t="s">
        <v>678</v>
      </c>
      <c r="C10048" s="3063"/>
      <c r="D10048" s="3064"/>
      <c r="E10048" s="3064"/>
      <c r="F10048" s="3064"/>
      <c r="G10048" s="3301" t="s">
        <v>678</v>
      </c>
      <c r="H10048" s="3063"/>
      <c r="I10048" s="3030"/>
    </row>
    <row r="10049" spans="2:9">
      <c r="B10049" s="3192" t="s">
        <v>679</v>
      </c>
      <c r="C10049" s="3063"/>
      <c r="D10049" s="3064"/>
      <c r="E10049" s="3064"/>
      <c r="F10049" s="3064"/>
      <c r="G10049" s="3301" t="s">
        <v>679</v>
      </c>
      <c r="H10049" s="3063"/>
      <c r="I10049" s="3030"/>
    </row>
    <row r="10050" spans="2:9" ht="25.5">
      <c r="B10050" s="3192" t="s">
        <v>720</v>
      </c>
      <c r="C10050" s="3063"/>
      <c r="D10050" s="3064"/>
      <c r="E10050" s="3064"/>
      <c r="F10050" s="3064"/>
      <c r="G10050" s="3301" t="s">
        <v>720</v>
      </c>
      <c r="H10050" s="3063"/>
      <c r="I10050" s="3030"/>
    </row>
    <row r="10051" spans="2:9" ht="25.5">
      <c r="B10051" s="3299" t="s">
        <v>66</v>
      </c>
      <c r="C10051" s="3063"/>
      <c r="D10051" s="3064"/>
      <c r="E10051" s="3064"/>
      <c r="F10051" s="3064"/>
      <c r="G10051" s="3300" t="s">
        <v>66</v>
      </c>
      <c r="H10051" s="3063"/>
      <c r="I10051" s="3030"/>
    </row>
    <row r="10052" spans="2:9" ht="25.5">
      <c r="B10052" s="3192" t="s">
        <v>675</v>
      </c>
      <c r="C10052" s="3063"/>
      <c r="D10052" s="3064"/>
      <c r="E10052" s="3064"/>
      <c r="F10052" s="3064"/>
      <c r="G10052" s="3301" t="s">
        <v>675</v>
      </c>
      <c r="H10052" s="3063"/>
      <c r="I10052" s="3030"/>
    </row>
    <row r="10053" spans="2:9" ht="25.5">
      <c r="B10053" s="3192" t="s">
        <v>676</v>
      </c>
      <c r="C10053" s="3063"/>
      <c r="D10053" s="3064"/>
      <c r="E10053" s="3064"/>
      <c r="F10053" s="3064"/>
      <c r="G10053" s="3301" t="s">
        <v>676</v>
      </c>
      <c r="H10053" s="3063"/>
      <c r="I10053" s="3030"/>
    </row>
    <row r="10054" spans="2:9">
      <c r="B10054" s="3192" t="s">
        <v>677</v>
      </c>
      <c r="C10054" s="3063"/>
      <c r="D10054" s="3064"/>
      <c r="E10054" s="3064"/>
      <c r="F10054" s="3064"/>
      <c r="G10054" s="3301" t="s">
        <v>677</v>
      </c>
      <c r="H10054" s="3063"/>
      <c r="I10054" s="3030"/>
    </row>
    <row r="10055" spans="2:9">
      <c r="B10055" s="3192" t="s">
        <v>678</v>
      </c>
      <c r="C10055" s="3063"/>
      <c r="D10055" s="3064"/>
      <c r="E10055" s="3064"/>
      <c r="F10055" s="3064"/>
      <c r="G10055" s="3301" t="s">
        <v>678</v>
      </c>
      <c r="H10055" s="3063"/>
      <c r="I10055" s="3030"/>
    </row>
    <row r="10056" spans="2:9">
      <c r="B10056" s="3192" t="s">
        <v>679</v>
      </c>
      <c r="C10056" s="3063"/>
      <c r="D10056" s="3064"/>
      <c r="E10056" s="3064"/>
      <c r="F10056" s="3064"/>
      <c r="G10056" s="3301" t="s">
        <v>679</v>
      </c>
      <c r="H10056" s="3063"/>
      <c r="I10056" s="3030"/>
    </row>
    <row r="10057" spans="2:9" ht="25.5">
      <c r="B10057" s="3192" t="s">
        <v>720</v>
      </c>
      <c r="C10057" s="3063"/>
      <c r="D10057" s="3064"/>
      <c r="E10057" s="3064"/>
      <c r="F10057" s="3064"/>
      <c r="G10057" s="3301" t="s">
        <v>720</v>
      </c>
      <c r="H10057" s="3063"/>
      <c r="I10057" s="3030"/>
    </row>
    <row r="10058" spans="2:9">
      <c r="B10058" s="3299" t="s">
        <v>67</v>
      </c>
      <c r="C10058" s="3063"/>
      <c r="D10058" s="3064"/>
      <c r="E10058" s="3064"/>
      <c r="F10058" s="3064">
        <v>1</v>
      </c>
      <c r="G10058" s="3300" t="s">
        <v>67</v>
      </c>
      <c r="H10058" s="3063">
        <v>9.7958454828956668E-2</v>
      </c>
      <c r="I10058" s="3030"/>
    </row>
    <row r="10059" spans="2:9" ht="25.5">
      <c r="B10059" s="3192" t="s">
        <v>675</v>
      </c>
      <c r="C10059" s="3063"/>
      <c r="D10059" s="3064"/>
      <c r="E10059" s="3064"/>
      <c r="F10059" s="3064"/>
      <c r="G10059" s="3301" t="s">
        <v>675</v>
      </c>
      <c r="H10059" s="3063"/>
      <c r="I10059" s="3030"/>
    </row>
    <row r="10060" spans="2:9" ht="25.5">
      <c r="B10060" s="3192" t="s">
        <v>676</v>
      </c>
      <c r="C10060" s="3063"/>
      <c r="D10060" s="3064"/>
      <c r="E10060" s="3064"/>
      <c r="F10060" s="3064"/>
      <c r="G10060" s="3301" t="s">
        <v>676</v>
      </c>
      <c r="H10060" s="3063"/>
      <c r="I10060" s="3030"/>
    </row>
    <row r="10061" spans="2:9">
      <c r="B10061" s="3192" t="s">
        <v>677</v>
      </c>
      <c r="C10061" s="3063"/>
      <c r="D10061" s="3064"/>
      <c r="E10061" s="3064"/>
      <c r="F10061" s="3064"/>
      <c r="G10061" s="3301" t="s">
        <v>677</v>
      </c>
      <c r="H10061" s="3063"/>
      <c r="I10061" s="3030"/>
    </row>
    <row r="10062" spans="2:9">
      <c r="B10062" s="3192" t="s">
        <v>678</v>
      </c>
      <c r="C10062" s="3063"/>
      <c r="D10062" s="3064"/>
      <c r="E10062" s="3064"/>
      <c r="F10062" s="3064"/>
      <c r="G10062" s="3301" t="s">
        <v>678</v>
      </c>
      <c r="H10062" s="3063"/>
      <c r="I10062" s="3030"/>
    </row>
    <row r="10063" spans="2:9">
      <c r="B10063" s="3192" t="s">
        <v>679</v>
      </c>
      <c r="C10063" s="3063"/>
      <c r="D10063" s="3064"/>
      <c r="E10063" s="3064"/>
      <c r="F10063" s="3064"/>
      <c r="G10063" s="3301" t="s">
        <v>679</v>
      </c>
      <c r="H10063" s="3063"/>
      <c r="I10063" s="3030"/>
    </row>
    <row r="10064" spans="2:9" ht="25.5">
      <c r="B10064" s="3230" t="s">
        <v>81</v>
      </c>
      <c r="C10064" s="3063"/>
      <c r="D10064" s="3064"/>
      <c r="E10064" s="3064"/>
      <c r="F10064" s="3064"/>
      <c r="G10064" s="3302" t="s">
        <v>81</v>
      </c>
      <c r="H10064" s="3063"/>
      <c r="I10064" s="3030"/>
    </row>
    <row r="10065" spans="2:9" ht="26.25" thickBot="1">
      <c r="B10065" s="3303" t="s">
        <v>81</v>
      </c>
      <c r="C10065" s="3068"/>
      <c r="D10065" s="3069"/>
      <c r="E10065" s="3069"/>
      <c r="F10065" s="3069"/>
      <c r="G10065" s="3304" t="s">
        <v>81</v>
      </c>
      <c r="H10065" s="3068"/>
      <c r="I10065" s="3070"/>
    </row>
    <row r="10066" spans="2:9" ht="38.25">
      <c r="B10066" s="4723">
        <v>3219</v>
      </c>
      <c r="C10066" s="3289"/>
      <c r="D10066" s="3290"/>
      <c r="E10066" s="3290"/>
      <c r="F10066" s="3290"/>
      <c r="G10066" s="4723">
        <v>3219</v>
      </c>
      <c r="H10066" s="3291" t="s">
        <v>687</v>
      </c>
      <c r="I10066" s="3292" t="s">
        <v>688</v>
      </c>
    </row>
    <row r="10067" spans="2:9">
      <c r="B10067" s="4724"/>
      <c r="C10067" s="4678" t="s">
        <v>686</v>
      </c>
      <c r="D10067" s="4725"/>
      <c r="E10067" s="4725"/>
      <c r="F10067" s="4726"/>
      <c r="G10067" s="4724"/>
      <c r="H10067" s="3293"/>
      <c r="I10067" s="3294"/>
    </row>
    <row r="10068" spans="2:9" ht="13.5" thickBot="1">
      <c r="B10068" s="4724"/>
      <c r="C10068" s="3215">
        <v>2013</v>
      </c>
      <c r="D10068" s="3215">
        <v>2014</v>
      </c>
      <c r="E10068" s="3215">
        <v>2015</v>
      </c>
      <c r="F10068" s="3215">
        <v>2016</v>
      </c>
      <c r="G10068" s="4724"/>
      <c r="H10068" s="3295" t="s">
        <v>390</v>
      </c>
      <c r="I10068" s="3296" t="s">
        <v>390</v>
      </c>
    </row>
    <row r="10069" spans="2:9">
      <c r="B10069" s="3217" t="s">
        <v>695</v>
      </c>
      <c r="C10069" s="3218"/>
      <c r="D10069" s="3219"/>
      <c r="E10069" s="3219"/>
      <c r="F10069" s="3219"/>
      <c r="G10069" s="3217" t="s">
        <v>695</v>
      </c>
      <c r="H10069" s="3297"/>
      <c r="I10069" s="3298"/>
    </row>
    <row r="10070" spans="2:9">
      <c r="B10070" s="3299" t="s">
        <v>64</v>
      </c>
      <c r="C10070" s="3063"/>
      <c r="D10070" s="3064"/>
      <c r="E10070" s="3064"/>
      <c r="F10070" s="3064">
        <v>18</v>
      </c>
      <c r="G10070" s="3300" t="s">
        <v>64</v>
      </c>
      <c r="H10070" s="3063">
        <v>0.32579078308257325</v>
      </c>
      <c r="I10070" s="3030"/>
    </row>
    <row r="10071" spans="2:9" ht="25.5">
      <c r="B10071" s="3192" t="s">
        <v>675</v>
      </c>
      <c r="C10071" s="3063">
        <v>2</v>
      </c>
      <c r="D10071" s="3064">
        <v>1</v>
      </c>
      <c r="E10071" s="3064"/>
      <c r="F10071" s="3064"/>
      <c r="G10071" s="3301" t="s">
        <v>675</v>
      </c>
      <c r="H10071" s="3063"/>
      <c r="I10071" s="3030">
        <v>8.8852031749792712E-2</v>
      </c>
    </row>
    <row r="10072" spans="2:9" ht="25.5">
      <c r="B10072" s="3192" t="s">
        <v>676</v>
      </c>
      <c r="C10072" s="3063"/>
      <c r="D10072" s="3064"/>
      <c r="E10072" s="3064"/>
      <c r="F10072" s="3064"/>
      <c r="G10072" s="3301" t="s">
        <v>676</v>
      </c>
      <c r="H10072" s="3063"/>
      <c r="I10072" s="3030"/>
    </row>
    <row r="10073" spans="2:9">
      <c r="B10073" s="3192" t="s">
        <v>677</v>
      </c>
      <c r="C10073" s="3063"/>
      <c r="D10073" s="3064"/>
      <c r="E10073" s="3064"/>
      <c r="F10073" s="3064"/>
      <c r="G10073" s="3301" t="s">
        <v>677</v>
      </c>
      <c r="H10073" s="3063"/>
      <c r="I10073" s="3030"/>
    </row>
    <row r="10074" spans="2:9">
      <c r="B10074" s="3192" t="s">
        <v>678</v>
      </c>
      <c r="C10074" s="3063"/>
      <c r="D10074" s="3064">
        <v>1</v>
      </c>
      <c r="E10074" s="3064"/>
      <c r="F10074" s="3064"/>
      <c r="G10074" s="3301" t="s">
        <v>678</v>
      </c>
      <c r="H10074" s="3063"/>
      <c r="I10074" s="3030"/>
    </row>
    <row r="10075" spans="2:9">
      <c r="B10075" s="3192" t="s">
        <v>679</v>
      </c>
      <c r="C10075" s="3063"/>
      <c r="D10075" s="3064"/>
      <c r="E10075" s="3064"/>
      <c r="F10075" s="3064"/>
      <c r="G10075" s="3301" t="s">
        <v>679</v>
      </c>
      <c r="H10075" s="3063"/>
      <c r="I10075" s="3030"/>
    </row>
    <row r="10076" spans="2:9" ht="25.5">
      <c r="B10076" s="3192" t="s">
        <v>720</v>
      </c>
      <c r="C10076" s="3063"/>
      <c r="D10076" s="3064"/>
      <c r="E10076" s="3064"/>
      <c r="F10076" s="3064"/>
      <c r="G10076" s="3301" t="s">
        <v>720</v>
      </c>
      <c r="H10076" s="3063"/>
      <c r="I10076" s="3030"/>
    </row>
    <row r="10077" spans="2:9">
      <c r="B10077" s="3299" t="s">
        <v>65</v>
      </c>
      <c r="C10077" s="3063"/>
      <c r="D10077" s="3064"/>
      <c r="E10077" s="3064"/>
      <c r="F10077" s="3064"/>
      <c r="G10077" s="3300" t="s">
        <v>65</v>
      </c>
      <c r="H10077" s="3063"/>
      <c r="I10077" s="3030"/>
    </row>
    <row r="10078" spans="2:9" ht="25.5">
      <c r="B10078" s="3192" t="s">
        <v>675</v>
      </c>
      <c r="C10078" s="3063"/>
      <c r="D10078" s="3064"/>
      <c r="E10078" s="3064"/>
      <c r="F10078" s="3064"/>
      <c r="G10078" s="3301" t="s">
        <v>675</v>
      </c>
      <c r="H10078" s="3063"/>
      <c r="I10078" s="3030"/>
    </row>
    <row r="10079" spans="2:9" ht="25.5">
      <c r="B10079" s="3192" t="s">
        <v>676</v>
      </c>
      <c r="C10079" s="3063"/>
      <c r="D10079" s="3064"/>
      <c r="E10079" s="3064"/>
      <c r="F10079" s="3064"/>
      <c r="G10079" s="3301" t="s">
        <v>676</v>
      </c>
      <c r="H10079" s="3063"/>
      <c r="I10079" s="3030"/>
    </row>
    <row r="10080" spans="2:9">
      <c r="B10080" s="3192" t="s">
        <v>677</v>
      </c>
      <c r="C10080" s="3063"/>
      <c r="D10080" s="3064"/>
      <c r="E10080" s="3064"/>
      <c r="F10080" s="3064"/>
      <c r="G10080" s="3301" t="s">
        <v>677</v>
      </c>
      <c r="H10080" s="3063"/>
      <c r="I10080" s="3030"/>
    </row>
    <row r="10081" spans="2:9">
      <c r="B10081" s="3192" t="s">
        <v>678</v>
      </c>
      <c r="C10081" s="3063"/>
      <c r="D10081" s="3064"/>
      <c r="E10081" s="3064"/>
      <c r="F10081" s="3064"/>
      <c r="G10081" s="3301" t="s">
        <v>678</v>
      </c>
      <c r="H10081" s="3063"/>
      <c r="I10081" s="3030"/>
    </row>
    <row r="10082" spans="2:9">
      <c r="B10082" s="3192" t="s">
        <v>679</v>
      </c>
      <c r="C10082" s="3063"/>
      <c r="D10082" s="3064"/>
      <c r="E10082" s="3064"/>
      <c r="F10082" s="3064"/>
      <c r="G10082" s="3301" t="s">
        <v>679</v>
      </c>
      <c r="H10082" s="3063"/>
      <c r="I10082" s="3030"/>
    </row>
    <row r="10083" spans="2:9" ht="25.5">
      <c r="B10083" s="3192" t="s">
        <v>720</v>
      </c>
      <c r="C10083" s="3063"/>
      <c r="D10083" s="3064"/>
      <c r="E10083" s="3064"/>
      <c r="F10083" s="3064"/>
      <c r="G10083" s="3301" t="s">
        <v>720</v>
      </c>
      <c r="H10083" s="3063"/>
      <c r="I10083" s="3030"/>
    </row>
    <row r="10084" spans="2:9">
      <c r="B10084" s="3299" t="s">
        <v>82</v>
      </c>
      <c r="C10084" s="3063"/>
      <c r="D10084" s="3064"/>
      <c r="E10084" s="3064"/>
      <c r="F10084" s="3064"/>
      <c r="G10084" s="3300" t="s">
        <v>82</v>
      </c>
      <c r="H10084" s="3063"/>
      <c r="I10084" s="3030"/>
    </row>
    <row r="10085" spans="2:9" ht="25.5">
      <c r="B10085" s="3192" t="s">
        <v>675</v>
      </c>
      <c r="C10085" s="3063"/>
      <c r="D10085" s="3064"/>
      <c r="E10085" s="3064"/>
      <c r="F10085" s="3064"/>
      <c r="G10085" s="3301" t="s">
        <v>675</v>
      </c>
      <c r="H10085" s="3063"/>
      <c r="I10085" s="3030"/>
    </row>
    <row r="10086" spans="2:9" ht="25.5">
      <c r="B10086" s="3192" t="s">
        <v>676</v>
      </c>
      <c r="C10086" s="3063"/>
      <c r="D10086" s="3064"/>
      <c r="E10086" s="3064"/>
      <c r="F10086" s="3064"/>
      <c r="G10086" s="3301" t="s">
        <v>676</v>
      </c>
      <c r="H10086" s="3063"/>
      <c r="I10086" s="3030"/>
    </row>
    <row r="10087" spans="2:9">
      <c r="B10087" s="3192" t="s">
        <v>677</v>
      </c>
      <c r="C10087" s="3063"/>
      <c r="D10087" s="3064"/>
      <c r="E10087" s="3064"/>
      <c r="F10087" s="3064"/>
      <c r="G10087" s="3301" t="s">
        <v>677</v>
      </c>
      <c r="H10087" s="3063"/>
      <c r="I10087" s="3030"/>
    </row>
    <row r="10088" spans="2:9">
      <c r="B10088" s="3192" t="s">
        <v>678</v>
      </c>
      <c r="C10088" s="3063"/>
      <c r="D10088" s="3064"/>
      <c r="E10088" s="3064"/>
      <c r="F10088" s="3064"/>
      <c r="G10088" s="3301" t="s">
        <v>678</v>
      </c>
      <c r="H10088" s="3063"/>
      <c r="I10088" s="3030"/>
    </row>
    <row r="10089" spans="2:9">
      <c r="B10089" s="3192" t="s">
        <v>679</v>
      </c>
      <c r="C10089" s="3063"/>
      <c r="D10089" s="3064"/>
      <c r="E10089" s="3064"/>
      <c r="F10089" s="3064"/>
      <c r="G10089" s="3301" t="s">
        <v>679</v>
      </c>
      <c r="H10089" s="3063"/>
      <c r="I10089" s="3030"/>
    </row>
    <row r="10090" spans="2:9" ht="25.5">
      <c r="B10090" s="3192" t="s">
        <v>720</v>
      </c>
      <c r="C10090" s="3063"/>
      <c r="D10090" s="3064"/>
      <c r="E10090" s="3064"/>
      <c r="F10090" s="3064"/>
      <c r="G10090" s="3301" t="s">
        <v>720</v>
      </c>
      <c r="H10090" s="3063"/>
      <c r="I10090" s="3030"/>
    </row>
    <row r="10091" spans="2:9" ht="38.25">
      <c r="B10091" s="3299" t="s">
        <v>680</v>
      </c>
      <c r="C10091" s="3063"/>
      <c r="D10091" s="3064"/>
      <c r="E10091" s="3064"/>
      <c r="F10091" s="3064"/>
      <c r="G10091" s="3300" t="s">
        <v>680</v>
      </c>
      <c r="H10091" s="3063"/>
      <c r="I10091" s="3030"/>
    </row>
    <row r="10092" spans="2:9" ht="25.5">
      <c r="B10092" s="3192" t="s">
        <v>675</v>
      </c>
      <c r="C10092" s="3063"/>
      <c r="D10092" s="3064"/>
      <c r="E10092" s="3064"/>
      <c r="F10092" s="3064"/>
      <c r="G10092" s="3301" t="s">
        <v>675</v>
      </c>
      <c r="H10092" s="3063"/>
      <c r="I10092" s="3030"/>
    </row>
    <row r="10093" spans="2:9" ht="25.5">
      <c r="B10093" s="3192" t="s">
        <v>676</v>
      </c>
      <c r="C10093" s="3063"/>
      <c r="D10093" s="3064"/>
      <c r="E10093" s="3064"/>
      <c r="F10093" s="3064"/>
      <c r="G10093" s="3301" t="s">
        <v>676</v>
      </c>
      <c r="H10093" s="3063"/>
      <c r="I10093" s="3030"/>
    </row>
    <row r="10094" spans="2:9">
      <c r="B10094" s="3192" t="s">
        <v>677</v>
      </c>
      <c r="C10094" s="3063"/>
      <c r="D10094" s="3064"/>
      <c r="E10094" s="3064"/>
      <c r="F10094" s="3064"/>
      <c r="G10094" s="3301" t="s">
        <v>677</v>
      </c>
      <c r="H10094" s="3063"/>
      <c r="I10094" s="3030"/>
    </row>
    <row r="10095" spans="2:9">
      <c r="B10095" s="3192" t="s">
        <v>678</v>
      </c>
      <c r="C10095" s="3063"/>
      <c r="D10095" s="3064"/>
      <c r="E10095" s="3064"/>
      <c r="F10095" s="3064"/>
      <c r="G10095" s="3301" t="s">
        <v>678</v>
      </c>
      <c r="H10095" s="3063"/>
      <c r="I10095" s="3030"/>
    </row>
    <row r="10096" spans="2:9">
      <c r="B10096" s="3192" t="s">
        <v>679</v>
      </c>
      <c r="C10096" s="3063"/>
      <c r="D10096" s="3064"/>
      <c r="E10096" s="3064"/>
      <c r="F10096" s="3064"/>
      <c r="G10096" s="3301" t="s">
        <v>679</v>
      </c>
      <c r="H10096" s="3063"/>
      <c r="I10096" s="3030"/>
    </row>
    <row r="10097" spans="2:9" ht="25.5">
      <c r="B10097" s="3192" t="s">
        <v>720</v>
      </c>
      <c r="C10097" s="3063"/>
      <c r="D10097" s="3064"/>
      <c r="E10097" s="3064"/>
      <c r="F10097" s="3064"/>
      <c r="G10097" s="3301" t="s">
        <v>720</v>
      </c>
      <c r="H10097" s="3063"/>
      <c r="I10097" s="3030"/>
    </row>
    <row r="10098" spans="2:9" ht="38.25">
      <c r="B10098" s="3299" t="s">
        <v>681</v>
      </c>
      <c r="C10098" s="3063"/>
      <c r="D10098" s="3064"/>
      <c r="E10098" s="3064"/>
      <c r="F10098" s="3064"/>
      <c r="G10098" s="3300" t="s">
        <v>681</v>
      </c>
      <c r="H10098" s="3063"/>
      <c r="I10098" s="3030"/>
    </row>
    <row r="10099" spans="2:9" ht="25.5">
      <c r="B10099" s="3192" t="s">
        <v>675</v>
      </c>
      <c r="C10099" s="3063"/>
      <c r="D10099" s="3064"/>
      <c r="E10099" s="3064"/>
      <c r="F10099" s="3064"/>
      <c r="G10099" s="3301" t="s">
        <v>675</v>
      </c>
      <c r="H10099" s="3063"/>
      <c r="I10099" s="3030"/>
    </row>
    <row r="10100" spans="2:9" ht="25.5">
      <c r="B10100" s="3192" t="s">
        <v>676</v>
      </c>
      <c r="C10100" s="3063"/>
      <c r="D10100" s="3064"/>
      <c r="E10100" s="3064"/>
      <c r="F10100" s="3064"/>
      <c r="G10100" s="3301" t="s">
        <v>676</v>
      </c>
      <c r="H10100" s="3063"/>
      <c r="I10100" s="3030"/>
    </row>
    <row r="10101" spans="2:9">
      <c r="B10101" s="3192" t="s">
        <v>677</v>
      </c>
      <c r="C10101" s="3063"/>
      <c r="D10101" s="3064"/>
      <c r="E10101" s="3064"/>
      <c r="F10101" s="3064"/>
      <c r="G10101" s="3301" t="s">
        <v>677</v>
      </c>
      <c r="H10101" s="3063"/>
      <c r="I10101" s="3030"/>
    </row>
    <row r="10102" spans="2:9">
      <c r="B10102" s="3192" t="s">
        <v>678</v>
      </c>
      <c r="C10102" s="3063"/>
      <c r="D10102" s="3064"/>
      <c r="E10102" s="3064"/>
      <c r="F10102" s="3064"/>
      <c r="G10102" s="3301" t="s">
        <v>678</v>
      </c>
      <c r="H10102" s="3063"/>
      <c r="I10102" s="3030"/>
    </row>
    <row r="10103" spans="2:9">
      <c r="B10103" s="3192" t="s">
        <v>679</v>
      </c>
      <c r="C10103" s="3063"/>
      <c r="D10103" s="3064"/>
      <c r="E10103" s="3064"/>
      <c r="F10103" s="3064"/>
      <c r="G10103" s="3301" t="s">
        <v>679</v>
      </c>
      <c r="H10103" s="3063"/>
      <c r="I10103" s="3030"/>
    </row>
    <row r="10104" spans="2:9" ht="25.5">
      <c r="B10104" s="3192" t="s">
        <v>720</v>
      </c>
      <c r="C10104" s="3063"/>
      <c r="D10104" s="3064"/>
      <c r="E10104" s="3064"/>
      <c r="F10104" s="3064"/>
      <c r="G10104" s="3301" t="s">
        <v>720</v>
      </c>
      <c r="H10104" s="3063"/>
      <c r="I10104" s="3030"/>
    </row>
    <row r="10105" spans="2:9" ht="25.5">
      <c r="B10105" s="3299" t="s">
        <v>682</v>
      </c>
      <c r="C10105" s="3063"/>
      <c r="D10105" s="3064"/>
      <c r="E10105" s="3064"/>
      <c r="F10105" s="3064"/>
      <c r="G10105" s="3300" t="s">
        <v>682</v>
      </c>
      <c r="H10105" s="3063"/>
      <c r="I10105" s="3030"/>
    </row>
    <row r="10106" spans="2:9" ht="25.5">
      <c r="B10106" s="3192" t="s">
        <v>675</v>
      </c>
      <c r="C10106" s="3063"/>
      <c r="D10106" s="3064"/>
      <c r="E10106" s="3064"/>
      <c r="F10106" s="3064"/>
      <c r="G10106" s="3301" t="s">
        <v>675</v>
      </c>
      <c r="H10106" s="3063"/>
      <c r="I10106" s="3030"/>
    </row>
    <row r="10107" spans="2:9" ht="25.5">
      <c r="B10107" s="3192" t="s">
        <v>676</v>
      </c>
      <c r="C10107" s="3063"/>
      <c r="D10107" s="3064"/>
      <c r="E10107" s="3064"/>
      <c r="F10107" s="3064"/>
      <c r="G10107" s="3301" t="s">
        <v>676</v>
      </c>
      <c r="H10107" s="3063"/>
      <c r="I10107" s="3030"/>
    </row>
    <row r="10108" spans="2:9">
      <c r="B10108" s="3192" t="s">
        <v>677</v>
      </c>
      <c r="C10108" s="3063"/>
      <c r="D10108" s="3064"/>
      <c r="E10108" s="3064"/>
      <c r="F10108" s="3064"/>
      <c r="G10108" s="3301" t="s">
        <v>677</v>
      </c>
      <c r="H10108" s="3063"/>
      <c r="I10108" s="3030"/>
    </row>
    <row r="10109" spans="2:9">
      <c r="B10109" s="3192" t="s">
        <v>678</v>
      </c>
      <c r="C10109" s="3063"/>
      <c r="D10109" s="3064"/>
      <c r="E10109" s="3064"/>
      <c r="F10109" s="3064"/>
      <c r="G10109" s="3301" t="s">
        <v>678</v>
      </c>
      <c r="H10109" s="3063"/>
      <c r="I10109" s="3030"/>
    </row>
    <row r="10110" spans="2:9">
      <c r="B10110" s="3192" t="s">
        <v>679</v>
      </c>
      <c r="C10110" s="3063"/>
      <c r="D10110" s="3064"/>
      <c r="E10110" s="3064"/>
      <c r="F10110" s="3064"/>
      <c r="G10110" s="3301" t="s">
        <v>679</v>
      </c>
      <c r="H10110" s="3063"/>
      <c r="I10110" s="3030"/>
    </row>
    <row r="10111" spans="2:9" ht="25.5">
      <c r="B10111" s="3192" t="s">
        <v>720</v>
      </c>
      <c r="C10111" s="3063"/>
      <c r="D10111" s="3064"/>
      <c r="E10111" s="3064"/>
      <c r="F10111" s="3064"/>
      <c r="G10111" s="3301" t="s">
        <v>720</v>
      </c>
      <c r="H10111" s="3063"/>
      <c r="I10111" s="3030"/>
    </row>
    <row r="10112" spans="2:9" ht="25.5">
      <c r="B10112" s="3299" t="s">
        <v>66</v>
      </c>
      <c r="C10112" s="3063"/>
      <c r="D10112" s="3064"/>
      <c r="E10112" s="3064"/>
      <c r="F10112" s="3064"/>
      <c r="G10112" s="3300" t="s">
        <v>66</v>
      </c>
      <c r="H10112" s="3063"/>
      <c r="I10112" s="3030"/>
    </row>
    <row r="10113" spans="2:9" ht="25.5">
      <c r="B10113" s="3192" t="s">
        <v>675</v>
      </c>
      <c r="C10113" s="3063">
        <v>1</v>
      </c>
      <c r="D10113" s="3064"/>
      <c r="E10113" s="3064"/>
      <c r="F10113" s="3064"/>
      <c r="G10113" s="3301" t="s">
        <v>675</v>
      </c>
      <c r="H10113" s="3063"/>
      <c r="I10113" s="3030"/>
    </row>
    <row r="10114" spans="2:9" ht="25.5">
      <c r="B10114" s="3192" t="s">
        <v>676</v>
      </c>
      <c r="C10114" s="3063"/>
      <c r="D10114" s="3064"/>
      <c r="E10114" s="3064"/>
      <c r="F10114" s="3064"/>
      <c r="G10114" s="3301" t="s">
        <v>676</v>
      </c>
      <c r="H10114" s="3063"/>
      <c r="I10114" s="3030"/>
    </row>
    <row r="10115" spans="2:9">
      <c r="B10115" s="3192" t="s">
        <v>677</v>
      </c>
      <c r="C10115" s="3063"/>
      <c r="D10115" s="3064"/>
      <c r="E10115" s="3064"/>
      <c r="F10115" s="3064"/>
      <c r="G10115" s="3301" t="s">
        <v>677</v>
      </c>
      <c r="H10115" s="3063"/>
      <c r="I10115" s="3030"/>
    </row>
    <row r="10116" spans="2:9">
      <c r="B10116" s="3192" t="s">
        <v>678</v>
      </c>
      <c r="C10116" s="3063"/>
      <c r="D10116" s="3064"/>
      <c r="E10116" s="3064"/>
      <c r="F10116" s="3064"/>
      <c r="G10116" s="3301" t="s">
        <v>678</v>
      </c>
      <c r="H10116" s="3063"/>
      <c r="I10116" s="3030"/>
    </row>
    <row r="10117" spans="2:9">
      <c r="B10117" s="3192" t="s">
        <v>679</v>
      </c>
      <c r="C10117" s="3063"/>
      <c r="D10117" s="3064"/>
      <c r="E10117" s="3064"/>
      <c r="F10117" s="3064"/>
      <c r="G10117" s="3301" t="s">
        <v>679</v>
      </c>
      <c r="H10117" s="3063"/>
      <c r="I10117" s="3030"/>
    </row>
    <row r="10118" spans="2:9" ht="25.5">
      <c r="B10118" s="3192" t="s">
        <v>720</v>
      </c>
      <c r="C10118" s="3063"/>
      <c r="D10118" s="3064"/>
      <c r="E10118" s="3064"/>
      <c r="F10118" s="3064"/>
      <c r="G10118" s="3301" t="s">
        <v>720</v>
      </c>
      <c r="H10118" s="3063"/>
      <c r="I10118" s="3030"/>
    </row>
    <row r="10119" spans="2:9">
      <c r="B10119" s="3299" t="s">
        <v>67</v>
      </c>
      <c r="C10119" s="3063"/>
      <c r="D10119" s="3064"/>
      <c r="E10119" s="3064"/>
      <c r="F10119" s="3064"/>
      <c r="G10119" s="3300" t="s">
        <v>67</v>
      </c>
      <c r="H10119" s="3030">
        <f>3/AVERAGE(H870:J870)</f>
        <v>0.18389113644722316</v>
      </c>
      <c r="I10119" s="3030"/>
    </row>
    <row r="10120" spans="2:9" ht="25.5">
      <c r="B10120" s="3192" t="s">
        <v>675</v>
      </c>
      <c r="C10120" s="3063"/>
      <c r="D10120" s="3064"/>
      <c r="E10120" s="3064"/>
      <c r="F10120" s="3064"/>
      <c r="G10120" s="3301" t="s">
        <v>675</v>
      </c>
      <c r="H10120" s="3063"/>
      <c r="I10120" s="3030"/>
    </row>
    <row r="10121" spans="2:9" ht="25.5">
      <c r="B10121" s="3192" t="s">
        <v>676</v>
      </c>
      <c r="C10121" s="3063"/>
      <c r="D10121" s="3064"/>
      <c r="E10121" s="3064"/>
      <c r="F10121" s="3064"/>
      <c r="G10121" s="3301" t="s">
        <v>676</v>
      </c>
      <c r="H10121" s="3063"/>
      <c r="I10121" s="3030"/>
    </row>
    <row r="10122" spans="2:9">
      <c r="B10122" s="3192" t="s">
        <v>677</v>
      </c>
      <c r="C10122" s="3063"/>
      <c r="D10122" s="3064"/>
      <c r="E10122" s="3064"/>
      <c r="F10122" s="3064"/>
      <c r="G10122" s="3301" t="s">
        <v>677</v>
      </c>
      <c r="H10122" s="3063"/>
      <c r="I10122" s="3030"/>
    </row>
    <row r="10123" spans="2:9">
      <c r="B10123" s="3192" t="s">
        <v>678</v>
      </c>
      <c r="C10123" s="3063"/>
      <c r="D10123" s="3064">
        <v>3</v>
      </c>
      <c r="E10123" s="3064"/>
      <c r="F10123" s="3064"/>
      <c r="G10123" s="3301" t="s">
        <v>678</v>
      </c>
      <c r="H10123" s="3063"/>
      <c r="I10123" s="3030"/>
    </row>
    <row r="10124" spans="2:9">
      <c r="B10124" s="3192" t="s">
        <v>679</v>
      </c>
      <c r="C10124" s="3063"/>
      <c r="D10124" s="3064"/>
      <c r="E10124" s="3064"/>
      <c r="F10124" s="3064"/>
      <c r="G10124" s="3301" t="s">
        <v>679</v>
      </c>
      <c r="H10124" s="3063"/>
      <c r="I10124" s="3030"/>
    </row>
    <row r="10125" spans="2:9" ht="25.5">
      <c r="B10125" s="3192" t="s">
        <v>720</v>
      </c>
      <c r="C10125" s="3063"/>
      <c r="D10125" s="3064"/>
      <c r="E10125" s="3064"/>
      <c r="F10125" s="3064"/>
      <c r="G10125" s="3301" t="s">
        <v>720</v>
      </c>
      <c r="H10125" s="3063"/>
      <c r="I10125" s="3030"/>
    </row>
    <row r="10126" spans="2:9" ht="25.5">
      <c r="B10126" s="3230" t="s">
        <v>81</v>
      </c>
      <c r="C10126" s="3063"/>
      <c r="D10126" s="3064"/>
      <c r="E10126" s="3064"/>
      <c r="F10126" s="3064"/>
      <c r="G10126" s="3302" t="s">
        <v>81</v>
      </c>
      <c r="H10126" s="3063"/>
      <c r="I10126" s="3030"/>
    </row>
    <row r="10127" spans="2:9" ht="26.25" thickBot="1">
      <c r="B10127" s="3303" t="s">
        <v>81</v>
      </c>
      <c r="C10127" s="3063"/>
      <c r="D10127" s="3064"/>
      <c r="E10127" s="3064"/>
      <c r="F10127" s="3064"/>
      <c r="G10127" s="3302" t="s">
        <v>81</v>
      </c>
      <c r="H10127" s="3063"/>
      <c r="I10127" s="3030"/>
    </row>
    <row r="10128" spans="2:9" ht="25.5">
      <c r="B10128" s="3217" t="s">
        <v>696</v>
      </c>
      <c r="C10128" s="3218"/>
      <c r="D10128" s="3219"/>
      <c r="E10128" s="3219"/>
      <c r="F10128" s="3219"/>
      <c r="G10128" s="3217" t="s">
        <v>696</v>
      </c>
      <c r="H10128" s="3297"/>
      <c r="I10128" s="3298"/>
    </row>
    <row r="10129" spans="2:9">
      <c r="B10129" s="3299" t="s">
        <v>64</v>
      </c>
      <c r="C10129" s="3063"/>
      <c r="D10129" s="3064"/>
      <c r="E10129" s="3064"/>
      <c r="F10129" s="3064"/>
      <c r="G10129" s="3300" t="s">
        <v>64</v>
      </c>
      <c r="H10129" s="3063"/>
      <c r="I10129" s="3030"/>
    </row>
    <row r="10130" spans="2:9" ht="25.5">
      <c r="B10130" s="3192" t="s">
        <v>675</v>
      </c>
      <c r="C10130" s="3063"/>
      <c r="D10130" s="3064"/>
      <c r="E10130" s="3064"/>
      <c r="F10130" s="3064"/>
      <c r="G10130" s="3301" t="s">
        <v>675</v>
      </c>
      <c r="H10130" s="3063"/>
      <c r="I10130" s="3030"/>
    </row>
    <row r="10131" spans="2:9" ht="25.5">
      <c r="B10131" s="3192" t="s">
        <v>676</v>
      </c>
      <c r="C10131" s="3063"/>
      <c r="D10131" s="3064"/>
      <c r="E10131" s="3064"/>
      <c r="F10131" s="3064"/>
      <c r="G10131" s="3301" t="s">
        <v>676</v>
      </c>
      <c r="H10131" s="3063"/>
      <c r="I10131" s="3030"/>
    </row>
    <row r="10132" spans="2:9">
      <c r="B10132" s="3192" t="s">
        <v>677</v>
      </c>
      <c r="C10132" s="3063"/>
      <c r="D10132" s="3064"/>
      <c r="E10132" s="3064"/>
      <c r="F10132" s="3064"/>
      <c r="G10132" s="3301" t="s">
        <v>677</v>
      </c>
      <c r="H10132" s="3063"/>
      <c r="I10132" s="3030"/>
    </row>
    <row r="10133" spans="2:9">
      <c r="B10133" s="3192" t="s">
        <v>678</v>
      </c>
      <c r="C10133" s="3063"/>
      <c r="D10133" s="3064"/>
      <c r="E10133" s="3064"/>
      <c r="F10133" s="3064"/>
      <c r="G10133" s="3301" t="s">
        <v>678</v>
      </c>
      <c r="H10133" s="3063"/>
      <c r="I10133" s="3030"/>
    </row>
    <row r="10134" spans="2:9">
      <c r="B10134" s="3192" t="s">
        <v>679</v>
      </c>
      <c r="C10134" s="3063"/>
      <c r="D10134" s="3064"/>
      <c r="E10134" s="3064"/>
      <c r="F10134" s="3064"/>
      <c r="G10134" s="3301" t="s">
        <v>679</v>
      </c>
      <c r="H10134" s="3063"/>
      <c r="I10134" s="3030"/>
    </row>
    <row r="10135" spans="2:9" ht="25.5">
      <c r="B10135" s="3192" t="s">
        <v>720</v>
      </c>
      <c r="C10135" s="3063"/>
      <c r="D10135" s="3064"/>
      <c r="E10135" s="3064"/>
      <c r="F10135" s="3064"/>
      <c r="G10135" s="3301" t="s">
        <v>720</v>
      </c>
      <c r="H10135" s="3063"/>
      <c r="I10135" s="3030"/>
    </row>
    <row r="10136" spans="2:9">
      <c r="B10136" s="3299" t="s">
        <v>65</v>
      </c>
      <c r="C10136" s="3063"/>
      <c r="D10136" s="3064"/>
      <c r="E10136" s="3064"/>
      <c r="F10136" s="3064"/>
      <c r="G10136" s="3300" t="s">
        <v>65</v>
      </c>
      <c r="H10136" s="3063"/>
      <c r="I10136" s="3030"/>
    </row>
    <row r="10137" spans="2:9" ht="25.5">
      <c r="B10137" s="3192" t="s">
        <v>675</v>
      </c>
      <c r="C10137" s="3063"/>
      <c r="D10137" s="3064"/>
      <c r="E10137" s="3064"/>
      <c r="F10137" s="3064"/>
      <c r="G10137" s="3301" t="s">
        <v>675</v>
      </c>
      <c r="H10137" s="3063"/>
      <c r="I10137" s="3030"/>
    </row>
    <row r="10138" spans="2:9" ht="25.5">
      <c r="B10138" s="3192" t="s">
        <v>676</v>
      </c>
      <c r="C10138" s="3063"/>
      <c r="D10138" s="3064"/>
      <c r="E10138" s="3064"/>
      <c r="F10138" s="3064"/>
      <c r="G10138" s="3301" t="s">
        <v>676</v>
      </c>
      <c r="H10138" s="3063"/>
      <c r="I10138" s="3030"/>
    </row>
    <row r="10139" spans="2:9">
      <c r="B10139" s="3192" t="s">
        <v>677</v>
      </c>
      <c r="C10139" s="3063"/>
      <c r="D10139" s="3064"/>
      <c r="E10139" s="3064"/>
      <c r="F10139" s="3064"/>
      <c r="G10139" s="3301" t="s">
        <v>677</v>
      </c>
      <c r="H10139" s="3063"/>
      <c r="I10139" s="3030"/>
    </row>
    <row r="10140" spans="2:9">
      <c r="B10140" s="3192" t="s">
        <v>678</v>
      </c>
      <c r="C10140" s="3063"/>
      <c r="D10140" s="3064"/>
      <c r="E10140" s="3064"/>
      <c r="F10140" s="3064"/>
      <c r="G10140" s="3301" t="s">
        <v>678</v>
      </c>
      <c r="H10140" s="3063"/>
      <c r="I10140" s="3030"/>
    </row>
    <row r="10141" spans="2:9">
      <c r="B10141" s="3192" t="s">
        <v>679</v>
      </c>
      <c r="C10141" s="3063"/>
      <c r="D10141" s="3064"/>
      <c r="E10141" s="3064"/>
      <c r="F10141" s="3064"/>
      <c r="G10141" s="3301" t="s">
        <v>679</v>
      </c>
      <c r="H10141" s="3063"/>
      <c r="I10141" s="3030"/>
    </row>
    <row r="10142" spans="2:9" ht="25.5">
      <c r="B10142" s="3192" t="s">
        <v>720</v>
      </c>
      <c r="C10142" s="3063"/>
      <c r="D10142" s="3064"/>
      <c r="E10142" s="3064"/>
      <c r="F10142" s="3064"/>
      <c r="G10142" s="3301" t="s">
        <v>720</v>
      </c>
      <c r="H10142" s="3063"/>
      <c r="I10142" s="3030"/>
    </row>
    <row r="10143" spans="2:9">
      <c r="B10143" s="3299" t="s">
        <v>82</v>
      </c>
      <c r="C10143" s="3063"/>
      <c r="D10143" s="3064"/>
      <c r="E10143" s="3064"/>
      <c r="F10143" s="3064"/>
      <c r="G10143" s="3300" t="s">
        <v>82</v>
      </c>
      <c r="H10143" s="3063"/>
      <c r="I10143" s="3030"/>
    </row>
    <row r="10144" spans="2:9" ht="25.5">
      <c r="B10144" s="3192" t="s">
        <v>675</v>
      </c>
      <c r="C10144" s="3063"/>
      <c r="D10144" s="3064"/>
      <c r="E10144" s="3064"/>
      <c r="F10144" s="3064"/>
      <c r="G10144" s="3301" t="s">
        <v>675</v>
      </c>
      <c r="H10144" s="3063"/>
      <c r="I10144" s="3030"/>
    </row>
    <row r="10145" spans="2:9" ht="25.5">
      <c r="B10145" s="3192" t="s">
        <v>676</v>
      </c>
      <c r="C10145" s="3063"/>
      <c r="D10145" s="3064"/>
      <c r="E10145" s="3064"/>
      <c r="F10145" s="3064"/>
      <c r="G10145" s="3301" t="s">
        <v>676</v>
      </c>
      <c r="H10145" s="3063"/>
      <c r="I10145" s="3030"/>
    </row>
    <row r="10146" spans="2:9">
      <c r="B10146" s="3192" t="s">
        <v>677</v>
      </c>
      <c r="C10146" s="3063"/>
      <c r="D10146" s="3064"/>
      <c r="E10146" s="3064"/>
      <c r="F10146" s="3064"/>
      <c r="G10146" s="3301" t="s">
        <v>677</v>
      </c>
      <c r="H10146" s="3063"/>
      <c r="I10146" s="3030"/>
    </row>
    <row r="10147" spans="2:9">
      <c r="B10147" s="3192" t="s">
        <v>678</v>
      </c>
      <c r="C10147" s="3063"/>
      <c r="D10147" s="3064"/>
      <c r="E10147" s="3064"/>
      <c r="F10147" s="3064"/>
      <c r="G10147" s="3301" t="s">
        <v>678</v>
      </c>
      <c r="H10147" s="3063"/>
      <c r="I10147" s="3030"/>
    </row>
    <row r="10148" spans="2:9">
      <c r="B10148" s="3192" t="s">
        <v>679</v>
      </c>
      <c r="C10148" s="3063"/>
      <c r="D10148" s="3064"/>
      <c r="E10148" s="3064"/>
      <c r="F10148" s="3064"/>
      <c r="G10148" s="3301" t="s">
        <v>679</v>
      </c>
      <c r="H10148" s="3063"/>
      <c r="I10148" s="3030"/>
    </row>
    <row r="10149" spans="2:9" ht="25.5">
      <c r="B10149" s="3192" t="s">
        <v>720</v>
      </c>
      <c r="C10149" s="3063"/>
      <c r="D10149" s="3064"/>
      <c r="E10149" s="3064"/>
      <c r="F10149" s="3064"/>
      <c r="G10149" s="3301" t="s">
        <v>720</v>
      </c>
      <c r="H10149" s="3063"/>
      <c r="I10149" s="3030"/>
    </row>
    <row r="10150" spans="2:9" ht="38.25">
      <c r="B10150" s="3299" t="s">
        <v>680</v>
      </c>
      <c r="C10150" s="3063"/>
      <c r="D10150" s="3064"/>
      <c r="E10150" s="3064"/>
      <c r="F10150" s="3064"/>
      <c r="G10150" s="3300" t="s">
        <v>680</v>
      </c>
      <c r="H10150" s="3063"/>
      <c r="I10150" s="3030"/>
    </row>
    <row r="10151" spans="2:9" ht="25.5">
      <c r="B10151" s="3192" t="s">
        <v>675</v>
      </c>
      <c r="C10151" s="3063"/>
      <c r="D10151" s="3064"/>
      <c r="E10151" s="3064"/>
      <c r="F10151" s="3064"/>
      <c r="G10151" s="3301" t="s">
        <v>675</v>
      </c>
      <c r="H10151" s="3063"/>
      <c r="I10151" s="3030"/>
    </row>
    <row r="10152" spans="2:9" ht="25.5">
      <c r="B10152" s="3192" t="s">
        <v>676</v>
      </c>
      <c r="C10152" s="3063"/>
      <c r="D10152" s="3064"/>
      <c r="E10152" s="3064"/>
      <c r="F10152" s="3064"/>
      <c r="G10152" s="3301" t="s">
        <v>676</v>
      </c>
      <c r="H10152" s="3063"/>
      <c r="I10152" s="3030"/>
    </row>
    <row r="10153" spans="2:9">
      <c r="B10153" s="3192" t="s">
        <v>677</v>
      </c>
      <c r="C10153" s="3063"/>
      <c r="D10153" s="3064"/>
      <c r="E10153" s="3064"/>
      <c r="F10153" s="3064"/>
      <c r="G10153" s="3301" t="s">
        <v>677</v>
      </c>
      <c r="H10153" s="3063"/>
      <c r="I10153" s="3030"/>
    </row>
    <row r="10154" spans="2:9">
      <c r="B10154" s="3192" t="s">
        <v>678</v>
      </c>
      <c r="C10154" s="3063"/>
      <c r="D10154" s="3064"/>
      <c r="E10154" s="3064"/>
      <c r="F10154" s="3064"/>
      <c r="G10154" s="3301" t="s">
        <v>678</v>
      </c>
      <c r="H10154" s="3063"/>
      <c r="I10154" s="3030"/>
    </row>
    <row r="10155" spans="2:9">
      <c r="B10155" s="3192" t="s">
        <v>679</v>
      </c>
      <c r="C10155" s="3063"/>
      <c r="D10155" s="3064"/>
      <c r="E10155" s="3064"/>
      <c r="F10155" s="3064"/>
      <c r="G10155" s="3301" t="s">
        <v>679</v>
      </c>
      <c r="H10155" s="3063"/>
      <c r="I10155" s="3030"/>
    </row>
    <row r="10156" spans="2:9" ht="25.5">
      <c r="B10156" s="3192" t="s">
        <v>720</v>
      </c>
      <c r="C10156" s="3063"/>
      <c r="D10156" s="3064"/>
      <c r="E10156" s="3064"/>
      <c r="F10156" s="3064"/>
      <c r="G10156" s="3301" t="s">
        <v>720</v>
      </c>
      <c r="H10156" s="3063"/>
      <c r="I10156" s="3030"/>
    </row>
    <row r="10157" spans="2:9" ht="38.25">
      <c r="B10157" s="3299" t="s">
        <v>681</v>
      </c>
      <c r="C10157" s="3063"/>
      <c r="D10157" s="3064"/>
      <c r="E10157" s="3064"/>
      <c r="F10157" s="3064"/>
      <c r="G10157" s="3300" t="s">
        <v>681</v>
      </c>
      <c r="H10157" s="3063"/>
      <c r="I10157" s="3030"/>
    </row>
    <row r="10158" spans="2:9" ht="25.5">
      <c r="B10158" s="3192" t="s">
        <v>675</v>
      </c>
      <c r="C10158" s="3063"/>
      <c r="D10158" s="3064"/>
      <c r="E10158" s="3064"/>
      <c r="F10158" s="3064"/>
      <c r="G10158" s="3301" t="s">
        <v>675</v>
      </c>
      <c r="H10158" s="3063"/>
      <c r="I10158" s="3030"/>
    </row>
    <row r="10159" spans="2:9" ht="25.5">
      <c r="B10159" s="3192" t="s">
        <v>676</v>
      </c>
      <c r="C10159" s="3063"/>
      <c r="D10159" s="3064"/>
      <c r="E10159" s="3064"/>
      <c r="F10159" s="3064"/>
      <c r="G10159" s="3301" t="s">
        <v>676</v>
      </c>
      <c r="H10159" s="3063"/>
      <c r="I10159" s="3030"/>
    </row>
    <row r="10160" spans="2:9">
      <c r="B10160" s="3192" t="s">
        <v>677</v>
      </c>
      <c r="C10160" s="3063"/>
      <c r="D10160" s="3064"/>
      <c r="E10160" s="3064"/>
      <c r="F10160" s="3064"/>
      <c r="G10160" s="3301" t="s">
        <v>677</v>
      </c>
      <c r="H10160" s="3063"/>
      <c r="I10160" s="3030"/>
    </row>
    <row r="10161" spans="2:9">
      <c r="B10161" s="3192" t="s">
        <v>678</v>
      </c>
      <c r="C10161" s="3063"/>
      <c r="D10161" s="3064"/>
      <c r="E10161" s="3064"/>
      <c r="F10161" s="3064"/>
      <c r="G10161" s="3301" t="s">
        <v>678</v>
      </c>
      <c r="H10161" s="3063"/>
      <c r="I10161" s="3030"/>
    </row>
    <row r="10162" spans="2:9">
      <c r="B10162" s="3192" t="s">
        <v>679</v>
      </c>
      <c r="C10162" s="3063"/>
      <c r="D10162" s="3064"/>
      <c r="E10162" s="3064"/>
      <c r="F10162" s="3064"/>
      <c r="G10162" s="3301" t="s">
        <v>679</v>
      </c>
      <c r="H10162" s="3063"/>
      <c r="I10162" s="3030"/>
    </row>
    <row r="10163" spans="2:9" ht="25.5">
      <c r="B10163" s="3192" t="s">
        <v>720</v>
      </c>
      <c r="C10163" s="3063"/>
      <c r="D10163" s="3064"/>
      <c r="E10163" s="3064"/>
      <c r="F10163" s="3064"/>
      <c r="G10163" s="3301" t="s">
        <v>720</v>
      </c>
      <c r="H10163" s="3063"/>
      <c r="I10163" s="3030"/>
    </row>
    <row r="10164" spans="2:9" ht="25.5">
      <c r="B10164" s="3299" t="s">
        <v>682</v>
      </c>
      <c r="C10164" s="3063"/>
      <c r="D10164" s="3064"/>
      <c r="E10164" s="3064"/>
      <c r="F10164" s="3064"/>
      <c r="G10164" s="3300" t="s">
        <v>682</v>
      </c>
      <c r="H10164" s="3063"/>
      <c r="I10164" s="3030"/>
    </row>
    <row r="10165" spans="2:9" ht="25.5">
      <c r="B10165" s="3192" t="s">
        <v>675</v>
      </c>
      <c r="C10165" s="3063"/>
      <c r="D10165" s="3064"/>
      <c r="E10165" s="3064"/>
      <c r="F10165" s="3064"/>
      <c r="G10165" s="3301" t="s">
        <v>675</v>
      </c>
      <c r="H10165" s="3063"/>
      <c r="I10165" s="3030"/>
    </row>
    <row r="10166" spans="2:9" ht="25.5">
      <c r="B10166" s="3192" t="s">
        <v>676</v>
      </c>
      <c r="C10166" s="3063"/>
      <c r="D10166" s="3064"/>
      <c r="E10166" s="3064"/>
      <c r="F10166" s="3064"/>
      <c r="G10166" s="3301" t="s">
        <v>676</v>
      </c>
      <c r="H10166" s="3063"/>
      <c r="I10166" s="3030"/>
    </row>
    <row r="10167" spans="2:9">
      <c r="B10167" s="3192" t="s">
        <v>677</v>
      </c>
      <c r="C10167" s="3063"/>
      <c r="D10167" s="3064"/>
      <c r="E10167" s="3064"/>
      <c r="F10167" s="3064"/>
      <c r="G10167" s="3301" t="s">
        <v>677</v>
      </c>
      <c r="H10167" s="3063"/>
      <c r="I10167" s="3030"/>
    </row>
    <row r="10168" spans="2:9">
      <c r="B10168" s="3192" t="s">
        <v>678</v>
      </c>
      <c r="C10168" s="3063"/>
      <c r="D10168" s="3064"/>
      <c r="E10168" s="3064"/>
      <c r="F10168" s="3064"/>
      <c r="G10168" s="3301" t="s">
        <v>678</v>
      </c>
      <c r="H10168" s="3063"/>
      <c r="I10168" s="3030"/>
    </row>
    <row r="10169" spans="2:9">
      <c r="B10169" s="3192" t="s">
        <v>679</v>
      </c>
      <c r="C10169" s="3063"/>
      <c r="D10169" s="3064"/>
      <c r="E10169" s="3064"/>
      <c r="F10169" s="3064"/>
      <c r="G10169" s="3301" t="s">
        <v>679</v>
      </c>
      <c r="H10169" s="3063"/>
      <c r="I10169" s="3030"/>
    </row>
    <row r="10170" spans="2:9" ht="25.5">
      <c r="B10170" s="3192" t="s">
        <v>720</v>
      </c>
      <c r="C10170" s="3063"/>
      <c r="D10170" s="3064"/>
      <c r="E10170" s="3064"/>
      <c r="F10170" s="3064"/>
      <c r="G10170" s="3301" t="s">
        <v>720</v>
      </c>
      <c r="H10170" s="3063"/>
      <c r="I10170" s="3030"/>
    </row>
    <row r="10171" spans="2:9" ht="25.5">
      <c r="B10171" s="3299" t="s">
        <v>66</v>
      </c>
      <c r="C10171" s="3063"/>
      <c r="D10171" s="3064"/>
      <c r="E10171" s="3064"/>
      <c r="F10171" s="3064"/>
      <c r="G10171" s="3300" t="s">
        <v>66</v>
      </c>
      <c r="H10171" s="3063"/>
      <c r="I10171" s="3030"/>
    </row>
    <row r="10172" spans="2:9" ht="25.5">
      <c r="B10172" s="3192" t="s">
        <v>675</v>
      </c>
      <c r="C10172" s="3063"/>
      <c r="D10172" s="3064"/>
      <c r="E10172" s="3064"/>
      <c r="F10172" s="3064"/>
      <c r="G10172" s="3301" t="s">
        <v>675</v>
      </c>
      <c r="H10172" s="3063"/>
      <c r="I10172" s="3030"/>
    </row>
    <row r="10173" spans="2:9" ht="25.5">
      <c r="B10173" s="3192" t="s">
        <v>676</v>
      </c>
      <c r="C10173" s="3063"/>
      <c r="D10173" s="3064"/>
      <c r="E10173" s="3064"/>
      <c r="F10173" s="3064"/>
      <c r="G10173" s="3301" t="s">
        <v>676</v>
      </c>
      <c r="H10173" s="3063"/>
      <c r="I10173" s="3030"/>
    </row>
    <row r="10174" spans="2:9">
      <c r="B10174" s="3192" t="s">
        <v>677</v>
      </c>
      <c r="C10174" s="3063"/>
      <c r="D10174" s="3064"/>
      <c r="E10174" s="3064"/>
      <c r="F10174" s="3064"/>
      <c r="G10174" s="3301" t="s">
        <v>677</v>
      </c>
      <c r="H10174" s="3063"/>
      <c r="I10174" s="3030"/>
    </row>
    <row r="10175" spans="2:9">
      <c r="B10175" s="3192" t="s">
        <v>678</v>
      </c>
      <c r="C10175" s="3063"/>
      <c r="D10175" s="3064"/>
      <c r="E10175" s="3064"/>
      <c r="F10175" s="3064"/>
      <c r="G10175" s="3301" t="s">
        <v>678</v>
      </c>
      <c r="H10175" s="3063"/>
      <c r="I10175" s="3030"/>
    </row>
    <row r="10176" spans="2:9">
      <c r="B10176" s="3192" t="s">
        <v>679</v>
      </c>
      <c r="C10176" s="3063"/>
      <c r="D10176" s="3064"/>
      <c r="E10176" s="3064"/>
      <c r="F10176" s="3064"/>
      <c r="G10176" s="3301" t="s">
        <v>679</v>
      </c>
      <c r="H10176" s="3063"/>
      <c r="I10176" s="3030"/>
    </row>
    <row r="10177" spans="2:9" ht="25.5">
      <c r="B10177" s="3192" t="s">
        <v>720</v>
      </c>
      <c r="C10177" s="3063"/>
      <c r="D10177" s="3064"/>
      <c r="E10177" s="3064"/>
      <c r="F10177" s="3064"/>
      <c r="G10177" s="3301" t="s">
        <v>720</v>
      </c>
      <c r="H10177" s="3063"/>
      <c r="I10177" s="3030"/>
    </row>
    <row r="10178" spans="2:9">
      <c r="B10178" s="3299" t="s">
        <v>67</v>
      </c>
      <c r="C10178" s="3063"/>
      <c r="D10178" s="3064"/>
      <c r="E10178" s="3064"/>
      <c r="F10178" s="3064"/>
      <c r="G10178" s="3300" t="s">
        <v>67</v>
      </c>
      <c r="H10178" s="3063"/>
      <c r="I10178" s="3030"/>
    </row>
    <row r="10179" spans="2:9" ht="25.5">
      <c r="B10179" s="3192" t="s">
        <v>675</v>
      </c>
      <c r="C10179" s="3063"/>
      <c r="D10179" s="3064"/>
      <c r="E10179" s="3064"/>
      <c r="F10179" s="3064"/>
      <c r="G10179" s="3301" t="s">
        <v>675</v>
      </c>
      <c r="H10179" s="3063"/>
      <c r="I10179" s="3030"/>
    </row>
    <row r="10180" spans="2:9" ht="25.5">
      <c r="B10180" s="3192" t="s">
        <v>676</v>
      </c>
      <c r="C10180" s="3063"/>
      <c r="D10180" s="3064"/>
      <c r="E10180" s="3064"/>
      <c r="F10180" s="3064"/>
      <c r="G10180" s="3301" t="s">
        <v>676</v>
      </c>
      <c r="H10180" s="3063"/>
      <c r="I10180" s="3030"/>
    </row>
    <row r="10181" spans="2:9">
      <c r="B10181" s="3192" t="s">
        <v>677</v>
      </c>
      <c r="C10181" s="3063"/>
      <c r="D10181" s="3064"/>
      <c r="E10181" s="3064"/>
      <c r="F10181" s="3064"/>
      <c r="G10181" s="3301" t="s">
        <v>677</v>
      </c>
      <c r="H10181" s="3063"/>
      <c r="I10181" s="3030"/>
    </row>
    <row r="10182" spans="2:9">
      <c r="B10182" s="3192" t="s">
        <v>678</v>
      </c>
      <c r="C10182" s="3063"/>
      <c r="D10182" s="3064"/>
      <c r="E10182" s="3064"/>
      <c r="F10182" s="3064"/>
      <c r="G10182" s="3301" t="s">
        <v>678</v>
      </c>
      <c r="H10182" s="3063"/>
      <c r="I10182" s="3030"/>
    </row>
    <row r="10183" spans="2:9">
      <c r="B10183" s="3192" t="s">
        <v>679</v>
      </c>
      <c r="C10183" s="3063"/>
      <c r="D10183" s="3064"/>
      <c r="E10183" s="3064"/>
      <c r="F10183" s="3064"/>
      <c r="G10183" s="3301" t="s">
        <v>679</v>
      </c>
      <c r="H10183" s="3063"/>
      <c r="I10183" s="3030"/>
    </row>
    <row r="10184" spans="2:9" ht="25.5">
      <c r="B10184" s="3230" t="s">
        <v>81</v>
      </c>
      <c r="C10184" s="3063"/>
      <c r="D10184" s="3064"/>
      <c r="E10184" s="3064"/>
      <c r="F10184" s="3064"/>
      <c r="G10184" s="3302" t="s">
        <v>81</v>
      </c>
      <c r="H10184" s="3063"/>
      <c r="I10184" s="3030"/>
    </row>
    <row r="10185" spans="2:9" ht="26.25" thickBot="1">
      <c r="B10185" s="3303" t="s">
        <v>81</v>
      </c>
      <c r="C10185" s="3063"/>
      <c r="D10185" s="3064"/>
      <c r="E10185" s="3064"/>
      <c r="F10185" s="3064"/>
      <c r="G10185" s="3302" t="s">
        <v>81</v>
      </c>
      <c r="H10185" s="3063"/>
      <c r="I10185" s="3030"/>
    </row>
    <row r="10186" spans="2:9">
      <c r="B10186" s="3217" t="s">
        <v>697</v>
      </c>
      <c r="C10186" s="3218"/>
      <c r="D10186" s="3219"/>
      <c r="E10186" s="3219"/>
      <c r="F10186" s="3219"/>
      <c r="G10186" s="3217" t="s">
        <v>697</v>
      </c>
      <c r="H10186" s="3297"/>
      <c r="I10186" s="3298"/>
    </row>
    <row r="10187" spans="2:9">
      <c r="B10187" s="3299" t="s">
        <v>64</v>
      </c>
      <c r="C10187" s="3063"/>
      <c r="D10187" s="3064"/>
      <c r="E10187" s="3064"/>
      <c r="F10187" s="3064"/>
      <c r="G10187" s="3300" t="s">
        <v>64</v>
      </c>
      <c r="H10187" s="3063"/>
      <c r="I10187" s="3030"/>
    </row>
    <row r="10188" spans="2:9" ht="25.5">
      <c r="B10188" s="3192" t="s">
        <v>675</v>
      </c>
      <c r="C10188" s="3063"/>
      <c r="D10188" s="3064"/>
      <c r="E10188" s="3064"/>
      <c r="F10188" s="3064"/>
      <c r="G10188" s="3301" t="s">
        <v>675</v>
      </c>
      <c r="H10188" s="3063"/>
      <c r="I10188" s="3030"/>
    </row>
    <row r="10189" spans="2:9" ht="25.5">
      <c r="B10189" s="3192" t="s">
        <v>676</v>
      </c>
      <c r="C10189" s="3063"/>
      <c r="D10189" s="3064"/>
      <c r="E10189" s="3064"/>
      <c r="F10189" s="3064"/>
      <c r="G10189" s="3301" t="s">
        <v>676</v>
      </c>
      <c r="H10189" s="3063"/>
      <c r="I10189" s="3030"/>
    </row>
    <row r="10190" spans="2:9">
      <c r="B10190" s="3192" t="s">
        <v>677</v>
      </c>
      <c r="C10190" s="3063"/>
      <c r="D10190" s="3064"/>
      <c r="E10190" s="3064"/>
      <c r="F10190" s="3064"/>
      <c r="G10190" s="3301" t="s">
        <v>677</v>
      </c>
      <c r="H10190" s="3063"/>
      <c r="I10190" s="3030"/>
    </row>
    <row r="10191" spans="2:9">
      <c r="B10191" s="3192" t="s">
        <v>678</v>
      </c>
      <c r="C10191" s="3063"/>
      <c r="D10191" s="3064"/>
      <c r="E10191" s="3064"/>
      <c r="F10191" s="3064"/>
      <c r="G10191" s="3301" t="s">
        <v>678</v>
      </c>
      <c r="H10191" s="3063"/>
      <c r="I10191" s="3030"/>
    </row>
    <row r="10192" spans="2:9">
      <c r="B10192" s="3192" t="s">
        <v>679</v>
      </c>
      <c r="C10192" s="3063"/>
      <c r="D10192" s="3064"/>
      <c r="E10192" s="3064"/>
      <c r="F10192" s="3064"/>
      <c r="G10192" s="3301" t="s">
        <v>679</v>
      </c>
      <c r="H10192" s="3063"/>
      <c r="I10192" s="3030"/>
    </row>
    <row r="10193" spans="2:9" ht="25.5">
      <c r="B10193" s="3192" t="s">
        <v>720</v>
      </c>
      <c r="C10193" s="3063"/>
      <c r="D10193" s="3064"/>
      <c r="E10193" s="3064"/>
      <c r="F10193" s="3064"/>
      <c r="G10193" s="3301" t="s">
        <v>720</v>
      </c>
      <c r="H10193" s="3063"/>
      <c r="I10193" s="3030"/>
    </row>
    <row r="10194" spans="2:9">
      <c r="B10194" s="3299" t="s">
        <v>65</v>
      </c>
      <c r="C10194" s="3063"/>
      <c r="D10194" s="3064"/>
      <c r="E10194" s="3064"/>
      <c r="F10194" s="3064"/>
      <c r="G10194" s="3300" t="s">
        <v>65</v>
      </c>
      <c r="H10194" s="3063"/>
      <c r="I10194" s="3030"/>
    </row>
    <row r="10195" spans="2:9" ht="25.5">
      <c r="B10195" s="3192" t="s">
        <v>675</v>
      </c>
      <c r="C10195" s="3063"/>
      <c r="D10195" s="3064"/>
      <c r="E10195" s="3064"/>
      <c r="F10195" s="3064"/>
      <c r="G10195" s="3301" t="s">
        <v>675</v>
      </c>
      <c r="H10195" s="3063"/>
      <c r="I10195" s="3030"/>
    </row>
    <row r="10196" spans="2:9" ht="25.5">
      <c r="B10196" s="3192" t="s">
        <v>676</v>
      </c>
      <c r="C10196" s="3063"/>
      <c r="D10196" s="3064"/>
      <c r="E10196" s="3064"/>
      <c r="F10196" s="3064"/>
      <c r="G10196" s="3301" t="s">
        <v>676</v>
      </c>
      <c r="H10196" s="3063"/>
      <c r="I10196" s="3030"/>
    </row>
    <row r="10197" spans="2:9">
      <c r="B10197" s="3192" t="s">
        <v>677</v>
      </c>
      <c r="C10197" s="3063"/>
      <c r="D10197" s="3064"/>
      <c r="E10197" s="3064"/>
      <c r="F10197" s="3064"/>
      <c r="G10197" s="3301" t="s">
        <v>677</v>
      </c>
      <c r="H10197" s="3063"/>
      <c r="I10197" s="3030"/>
    </row>
    <row r="10198" spans="2:9">
      <c r="B10198" s="3192" t="s">
        <v>678</v>
      </c>
      <c r="C10198" s="3063"/>
      <c r="D10198" s="3064"/>
      <c r="E10198" s="3064"/>
      <c r="F10198" s="3064"/>
      <c r="G10198" s="3301" t="s">
        <v>678</v>
      </c>
      <c r="H10198" s="3063"/>
      <c r="I10198" s="3030"/>
    </row>
    <row r="10199" spans="2:9">
      <c r="B10199" s="3192" t="s">
        <v>679</v>
      </c>
      <c r="C10199" s="3063"/>
      <c r="D10199" s="3064"/>
      <c r="E10199" s="3064"/>
      <c r="F10199" s="3064"/>
      <c r="G10199" s="3301" t="s">
        <v>679</v>
      </c>
      <c r="H10199" s="3063"/>
      <c r="I10199" s="3030"/>
    </row>
    <row r="10200" spans="2:9" ht="25.5">
      <c r="B10200" s="3192" t="s">
        <v>720</v>
      </c>
      <c r="C10200" s="3063"/>
      <c r="D10200" s="3064"/>
      <c r="E10200" s="3064"/>
      <c r="F10200" s="3064"/>
      <c r="G10200" s="3301" t="s">
        <v>720</v>
      </c>
      <c r="H10200" s="3063"/>
      <c r="I10200" s="3030"/>
    </row>
    <row r="10201" spans="2:9">
      <c r="B10201" s="3299" t="s">
        <v>82</v>
      </c>
      <c r="C10201" s="3063"/>
      <c r="D10201" s="3064"/>
      <c r="E10201" s="3064"/>
      <c r="F10201" s="3064"/>
      <c r="G10201" s="3300" t="s">
        <v>82</v>
      </c>
      <c r="H10201" s="3063"/>
      <c r="I10201" s="3030"/>
    </row>
    <row r="10202" spans="2:9" ht="25.5">
      <c r="B10202" s="3192" t="s">
        <v>675</v>
      </c>
      <c r="C10202" s="3063"/>
      <c r="D10202" s="3064"/>
      <c r="E10202" s="3064"/>
      <c r="F10202" s="3064"/>
      <c r="G10202" s="3301" t="s">
        <v>675</v>
      </c>
      <c r="H10202" s="3063"/>
      <c r="I10202" s="3030"/>
    </row>
    <row r="10203" spans="2:9" ht="25.5">
      <c r="B10203" s="3192" t="s">
        <v>676</v>
      </c>
      <c r="C10203" s="3063"/>
      <c r="D10203" s="3064"/>
      <c r="E10203" s="3064"/>
      <c r="F10203" s="3064"/>
      <c r="G10203" s="3301" t="s">
        <v>676</v>
      </c>
      <c r="H10203" s="3063"/>
      <c r="I10203" s="3030"/>
    </row>
    <row r="10204" spans="2:9">
      <c r="B10204" s="3192" t="s">
        <v>677</v>
      </c>
      <c r="C10204" s="3063"/>
      <c r="D10204" s="3064"/>
      <c r="E10204" s="3064"/>
      <c r="F10204" s="3064"/>
      <c r="G10204" s="3301" t="s">
        <v>677</v>
      </c>
      <c r="H10204" s="3063"/>
      <c r="I10204" s="3030"/>
    </row>
    <row r="10205" spans="2:9">
      <c r="B10205" s="3192" t="s">
        <v>678</v>
      </c>
      <c r="C10205" s="3063"/>
      <c r="D10205" s="3064"/>
      <c r="E10205" s="3064"/>
      <c r="F10205" s="3064"/>
      <c r="G10205" s="3301" t="s">
        <v>678</v>
      </c>
      <c r="H10205" s="3063"/>
      <c r="I10205" s="3030"/>
    </row>
    <row r="10206" spans="2:9">
      <c r="B10206" s="3192" t="s">
        <v>679</v>
      </c>
      <c r="C10206" s="3063"/>
      <c r="D10206" s="3064"/>
      <c r="E10206" s="3064"/>
      <c r="F10206" s="3064"/>
      <c r="G10206" s="3301" t="s">
        <v>679</v>
      </c>
      <c r="H10206" s="3063"/>
      <c r="I10206" s="3030"/>
    </row>
    <row r="10207" spans="2:9" ht="25.5">
      <c r="B10207" s="3192" t="s">
        <v>720</v>
      </c>
      <c r="C10207" s="3063"/>
      <c r="D10207" s="3064"/>
      <c r="E10207" s="3064"/>
      <c r="F10207" s="3064"/>
      <c r="G10207" s="3301" t="s">
        <v>720</v>
      </c>
      <c r="H10207" s="3063"/>
      <c r="I10207" s="3030"/>
    </row>
    <row r="10208" spans="2:9" ht="38.25">
      <c r="B10208" s="3299" t="s">
        <v>680</v>
      </c>
      <c r="C10208" s="3063"/>
      <c r="D10208" s="3064"/>
      <c r="E10208" s="3064"/>
      <c r="F10208" s="3064"/>
      <c r="G10208" s="3300" t="s">
        <v>680</v>
      </c>
      <c r="H10208" s="3063"/>
      <c r="I10208" s="3030"/>
    </row>
    <row r="10209" spans="2:9" ht="25.5">
      <c r="B10209" s="3192" t="s">
        <v>675</v>
      </c>
      <c r="C10209" s="3063"/>
      <c r="D10209" s="3064"/>
      <c r="E10209" s="3064"/>
      <c r="F10209" s="3064"/>
      <c r="G10209" s="3301" t="s">
        <v>675</v>
      </c>
      <c r="H10209" s="3063"/>
      <c r="I10209" s="3030"/>
    </row>
    <row r="10210" spans="2:9" ht="25.5">
      <c r="B10210" s="3192" t="s">
        <v>676</v>
      </c>
      <c r="C10210" s="3063"/>
      <c r="D10210" s="3064"/>
      <c r="E10210" s="3064"/>
      <c r="F10210" s="3064"/>
      <c r="G10210" s="3301" t="s">
        <v>676</v>
      </c>
      <c r="H10210" s="3063"/>
      <c r="I10210" s="3030"/>
    </row>
    <row r="10211" spans="2:9">
      <c r="B10211" s="3192" t="s">
        <v>677</v>
      </c>
      <c r="C10211" s="3063"/>
      <c r="D10211" s="3064"/>
      <c r="E10211" s="3064"/>
      <c r="F10211" s="3064"/>
      <c r="G10211" s="3301" t="s">
        <v>677</v>
      </c>
      <c r="H10211" s="3063"/>
      <c r="I10211" s="3030"/>
    </row>
    <row r="10212" spans="2:9">
      <c r="B10212" s="3192" t="s">
        <v>678</v>
      </c>
      <c r="C10212" s="3063"/>
      <c r="D10212" s="3064"/>
      <c r="E10212" s="3064"/>
      <c r="F10212" s="3064"/>
      <c r="G10212" s="3301" t="s">
        <v>678</v>
      </c>
      <c r="H10212" s="3063"/>
      <c r="I10212" s="3030"/>
    </row>
    <row r="10213" spans="2:9">
      <c r="B10213" s="3192" t="s">
        <v>679</v>
      </c>
      <c r="C10213" s="3063"/>
      <c r="D10213" s="3064"/>
      <c r="E10213" s="3064"/>
      <c r="F10213" s="3064"/>
      <c r="G10213" s="3301" t="s">
        <v>679</v>
      </c>
      <c r="H10213" s="3063"/>
      <c r="I10213" s="3030"/>
    </row>
    <row r="10214" spans="2:9" ht="25.5">
      <c r="B10214" s="3192" t="s">
        <v>720</v>
      </c>
      <c r="C10214" s="3063"/>
      <c r="D10214" s="3064"/>
      <c r="E10214" s="3064"/>
      <c r="F10214" s="3064"/>
      <c r="G10214" s="3301" t="s">
        <v>720</v>
      </c>
      <c r="H10214" s="3063"/>
      <c r="I10214" s="3030"/>
    </row>
    <row r="10215" spans="2:9" ht="38.25">
      <c r="B10215" s="3299" t="s">
        <v>681</v>
      </c>
      <c r="C10215" s="3063"/>
      <c r="D10215" s="3064"/>
      <c r="E10215" s="3064"/>
      <c r="F10215" s="3064"/>
      <c r="G10215" s="3300" t="s">
        <v>681</v>
      </c>
      <c r="H10215" s="3063">
        <v>1.844360560193779E-2</v>
      </c>
      <c r="I10215" s="3030"/>
    </row>
    <row r="10216" spans="2:9" ht="25.5">
      <c r="B10216" s="3192" t="s">
        <v>675</v>
      </c>
      <c r="C10216" s="3063">
        <v>1</v>
      </c>
      <c r="D10216" s="3064"/>
      <c r="E10216" s="3064"/>
      <c r="F10216" s="3064"/>
      <c r="G10216" s="3301" t="s">
        <v>675</v>
      </c>
      <c r="H10216" s="3063"/>
      <c r="I10216" s="3030">
        <v>1.2295737067958527E-2</v>
      </c>
    </row>
    <row r="10217" spans="2:9" ht="25.5">
      <c r="B10217" s="3192" t="s">
        <v>676</v>
      </c>
      <c r="C10217" s="3063"/>
      <c r="D10217" s="3064"/>
      <c r="E10217" s="3064"/>
      <c r="F10217" s="3064"/>
      <c r="G10217" s="3301" t="s">
        <v>676</v>
      </c>
      <c r="H10217" s="3063"/>
      <c r="I10217" s="3030"/>
    </row>
    <row r="10218" spans="2:9">
      <c r="B10218" s="3192" t="s">
        <v>677</v>
      </c>
      <c r="C10218" s="3063"/>
      <c r="D10218" s="3064"/>
      <c r="E10218" s="3064"/>
      <c r="F10218" s="3064"/>
      <c r="G10218" s="3301" t="s">
        <v>677</v>
      </c>
      <c r="H10218" s="3063"/>
      <c r="I10218" s="3030"/>
    </row>
    <row r="10219" spans="2:9">
      <c r="B10219" s="3192" t="s">
        <v>678</v>
      </c>
      <c r="C10219" s="3063"/>
      <c r="D10219" s="3064"/>
      <c r="E10219" s="3064"/>
      <c r="F10219" s="3064"/>
      <c r="G10219" s="3301" t="s">
        <v>678</v>
      </c>
      <c r="H10219" s="3063"/>
      <c r="I10219" s="3030"/>
    </row>
    <row r="10220" spans="2:9">
      <c r="B10220" s="3192" t="s">
        <v>679</v>
      </c>
      <c r="C10220" s="3063"/>
      <c r="D10220" s="3064">
        <v>2</v>
      </c>
      <c r="E10220" s="3064"/>
      <c r="F10220" s="3064"/>
      <c r="G10220" s="3301" t="s">
        <v>679</v>
      </c>
      <c r="H10220" s="3063"/>
      <c r="I10220" s="3030"/>
    </row>
    <row r="10221" spans="2:9" ht="25.5">
      <c r="B10221" s="3192" t="s">
        <v>720</v>
      </c>
      <c r="C10221" s="3063"/>
      <c r="D10221" s="3064"/>
      <c r="E10221" s="3064"/>
      <c r="F10221" s="3064"/>
      <c r="G10221" s="3301" t="s">
        <v>720</v>
      </c>
      <c r="H10221" s="3063"/>
      <c r="I10221" s="3030"/>
    </row>
    <row r="10222" spans="2:9" ht="25.5">
      <c r="B10222" s="3299" t="s">
        <v>682</v>
      </c>
      <c r="C10222" s="3063"/>
      <c r="D10222" s="3064"/>
      <c r="E10222" s="3064"/>
      <c r="F10222" s="3064"/>
      <c r="G10222" s="3300" t="s">
        <v>682</v>
      </c>
      <c r="H10222" s="3063"/>
      <c r="I10222" s="3030"/>
    </row>
    <row r="10223" spans="2:9" ht="25.5">
      <c r="B10223" s="3192" t="s">
        <v>675</v>
      </c>
      <c r="C10223" s="3063"/>
      <c r="D10223" s="3064"/>
      <c r="E10223" s="3064"/>
      <c r="F10223" s="3064"/>
      <c r="G10223" s="3301" t="s">
        <v>675</v>
      </c>
      <c r="H10223" s="3063"/>
      <c r="I10223" s="3030"/>
    </row>
    <row r="10224" spans="2:9" ht="25.5">
      <c r="B10224" s="3192" t="s">
        <v>676</v>
      </c>
      <c r="C10224" s="3063"/>
      <c r="D10224" s="3064"/>
      <c r="E10224" s="3064"/>
      <c r="F10224" s="3064"/>
      <c r="G10224" s="3301" t="s">
        <v>676</v>
      </c>
      <c r="H10224" s="3063"/>
      <c r="I10224" s="3030"/>
    </row>
    <row r="10225" spans="2:9">
      <c r="B10225" s="3192" t="s">
        <v>677</v>
      </c>
      <c r="C10225" s="3063"/>
      <c r="D10225" s="3064"/>
      <c r="E10225" s="3064"/>
      <c r="F10225" s="3064"/>
      <c r="G10225" s="3301" t="s">
        <v>677</v>
      </c>
      <c r="H10225" s="3063"/>
      <c r="I10225" s="3030"/>
    </row>
    <row r="10226" spans="2:9">
      <c r="B10226" s="3192" t="s">
        <v>678</v>
      </c>
      <c r="C10226" s="3063"/>
      <c r="D10226" s="3064"/>
      <c r="E10226" s="3064"/>
      <c r="F10226" s="3064"/>
      <c r="G10226" s="3301" t="s">
        <v>678</v>
      </c>
      <c r="H10226" s="3063"/>
      <c r="I10226" s="3030"/>
    </row>
    <row r="10227" spans="2:9">
      <c r="B10227" s="3192" t="s">
        <v>679</v>
      </c>
      <c r="C10227" s="3063"/>
      <c r="D10227" s="3064"/>
      <c r="E10227" s="3064"/>
      <c r="F10227" s="3064"/>
      <c r="G10227" s="3301" t="s">
        <v>679</v>
      </c>
      <c r="H10227" s="3063"/>
      <c r="I10227" s="3030"/>
    </row>
    <row r="10228" spans="2:9" ht="25.5">
      <c r="B10228" s="3192" t="s">
        <v>720</v>
      </c>
      <c r="C10228" s="3063"/>
      <c r="D10228" s="3064"/>
      <c r="E10228" s="3064"/>
      <c r="F10228" s="3064"/>
      <c r="G10228" s="3301" t="s">
        <v>720</v>
      </c>
      <c r="H10228" s="3063"/>
      <c r="I10228" s="3030"/>
    </row>
    <row r="10229" spans="2:9" ht="25.5">
      <c r="B10229" s="3299" t="s">
        <v>66</v>
      </c>
      <c r="C10229" s="3063"/>
      <c r="D10229" s="3064"/>
      <c r="E10229" s="3064"/>
      <c r="F10229" s="3064"/>
      <c r="G10229" s="3300" t="s">
        <v>66</v>
      </c>
      <c r="H10229" s="3063"/>
      <c r="I10229" s="3030"/>
    </row>
    <row r="10230" spans="2:9" ht="25.5">
      <c r="B10230" s="3192" t="s">
        <v>675</v>
      </c>
      <c r="C10230" s="3063"/>
      <c r="D10230" s="3064"/>
      <c r="E10230" s="3064"/>
      <c r="F10230" s="3064"/>
      <c r="G10230" s="3301" t="s">
        <v>675</v>
      </c>
      <c r="H10230" s="3063"/>
      <c r="I10230" s="3030"/>
    </row>
    <row r="10231" spans="2:9" ht="25.5">
      <c r="B10231" s="3192" t="s">
        <v>676</v>
      </c>
      <c r="C10231" s="3063"/>
      <c r="D10231" s="3064"/>
      <c r="E10231" s="3064"/>
      <c r="F10231" s="3064"/>
      <c r="G10231" s="3301" t="s">
        <v>676</v>
      </c>
      <c r="H10231" s="3063"/>
      <c r="I10231" s="3030"/>
    </row>
    <row r="10232" spans="2:9">
      <c r="B10232" s="3192" t="s">
        <v>677</v>
      </c>
      <c r="C10232" s="3063"/>
      <c r="D10232" s="3064"/>
      <c r="E10232" s="3064"/>
      <c r="F10232" s="3064"/>
      <c r="G10232" s="3301" t="s">
        <v>677</v>
      </c>
      <c r="H10232" s="3063"/>
      <c r="I10232" s="3030"/>
    </row>
    <row r="10233" spans="2:9">
      <c r="B10233" s="3192" t="s">
        <v>678</v>
      </c>
      <c r="C10233" s="3063"/>
      <c r="D10233" s="3064"/>
      <c r="E10233" s="3064"/>
      <c r="F10233" s="3064"/>
      <c r="G10233" s="3301" t="s">
        <v>678</v>
      </c>
      <c r="H10233" s="3063"/>
      <c r="I10233" s="3030"/>
    </row>
    <row r="10234" spans="2:9">
      <c r="B10234" s="3192" t="s">
        <v>679</v>
      </c>
      <c r="C10234" s="3063"/>
      <c r="D10234" s="3064"/>
      <c r="E10234" s="3064"/>
      <c r="F10234" s="3064"/>
      <c r="G10234" s="3301" t="s">
        <v>679</v>
      </c>
      <c r="H10234" s="3063"/>
      <c r="I10234" s="3030"/>
    </row>
    <row r="10235" spans="2:9" ht="25.5">
      <c r="B10235" s="3192" t="s">
        <v>720</v>
      </c>
      <c r="C10235" s="3063"/>
      <c r="D10235" s="3064"/>
      <c r="E10235" s="3064"/>
      <c r="F10235" s="3064"/>
      <c r="G10235" s="3301" t="s">
        <v>720</v>
      </c>
      <c r="H10235" s="3063"/>
      <c r="I10235" s="3030"/>
    </row>
    <row r="10236" spans="2:9">
      <c r="B10236" s="3299" t="s">
        <v>67</v>
      </c>
      <c r="C10236" s="3063"/>
      <c r="D10236" s="3064"/>
      <c r="E10236" s="3064"/>
      <c r="F10236" s="3064"/>
      <c r="G10236" s="3300" t="s">
        <v>67</v>
      </c>
      <c r="H10236" s="3063"/>
      <c r="I10236" s="3030"/>
    </row>
    <row r="10237" spans="2:9" ht="25.5">
      <c r="B10237" s="3192" t="s">
        <v>675</v>
      </c>
      <c r="C10237" s="3063"/>
      <c r="D10237" s="3064"/>
      <c r="E10237" s="3064"/>
      <c r="F10237" s="3064"/>
      <c r="G10237" s="3301" t="s">
        <v>675</v>
      </c>
      <c r="H10237" s="3063"/>
      <c r="I10237" s="3030"/>
    </row>
    <row r="10238" spans="2:9" ht="25.5">
      <c r="B10238" s="3192" t="s">
        <v>676</v>
      </c>
      <c r="C10238" s="3063"/>
      <c r="D10238" s="3064"/>
      <c r="E10238" s="3064"/>
      <c r="F10238" s="3064"/>
      <c r="G10238" s="3301" t="s">
        <v>676</v>
      </c>
      <c r="H10238" s="3063"/>
      <c r="I10238" s="3030"/>
    </row>
    <row r="10239" spans="2:9">
      <c r="B10239" s="3192" t="s">
        <v>677</v>
      </c>
      <c r="C10239" s="3063"/>
      <c r="D10239" s="3064"/>
      <c r="E10239" s="3064"/>
      <c r="F10239" s="3064"/>
      <c r="G10239" s="3301" t="s">
        <v>677</v>
      </c>
      <c r="H10239" s="3063"/>
      <c r="I10239" s="3030"/>
    </row>
    <row r="10240" spans="2:9">
      <c r="B10240" s="3192" t="s">
        <v>678</v>
      </c>
      <c r="C10240" s="3063"/>
      <c r="D10240" s="3064"/>
      <c r="E10240" s="3064"/>
      <c r="F10240" s="3064"/>
      <c r="G10240" s="3301" t="s">
        <v>678</v>
      </c>
      <c r="H10240" s="3063"/>
      <c r="I10240" s="3030"/>
    </row>
    <row r="10241" spans="2:9">
      <c r="B10241" s="3192" t="s">
        <v>679</v>
      </c>
      <c r="C10241" s="3063"/>
      <c r="D10241" s="3064"/>
      <c r="E10241" s="3064"/>
      <c r="F10241" s="3064"/>
      <c r="G10241" s="3301" t="s">
        <v>679</v>
      </c>
      <c r="H10241" s="3063"/>
      <c r="I10241" s="3030"/>
    </row>
    <row r="10242" spans="2:9" ht="25.5">
      <c r="B10242" s="3230" t="s">
        <v>81</v>
      </c>
      <c r="C10242" s="3063"/>
      <c r="D10242" s="3064"/>
      <c r="E10242" s="3064"/>
      <c r="F10242" s="3064"/>
      <c r="G10242" s="3302" t="s">
        <v>81</v>
      </c>
      <c r="H10242" s="3063"/>
      <c r="I10242" s="3030"/>
    </row>
    <row r="10243" spans="2:9" ht="26.25" thickBot="1">
      <c r="B10243" s="3303" t="s">
        <v>81</v>
      </c>
      <c r="C10243" s="3068"/>
      <c r="D10243" s="3069"/>
      <c r="E10243" s="3069"/>
      <c r="F10243" s="3069"/>
      <c r="G10243" s="3304" t="s">
        <v>81</v>
      </c>
      <c r="H10243" s="3068"/>
      <c r="I10243" s="3070"/>
    </row>
    <row r="10244" spans="2:9" ht="38.25">
      <c r="B10244" s="4723">
        <v>3220</v>
      </c>
      <c r="C10244" s="3289"/>
      <c r="D10244" s="3290"/>
      <c r="E10244" s="3290"/>
      <c r="F10244" s="3290"/>
      <c r="G10244" s="4723">
        <v>3220</v>
      </c>
      <c r="H10244" s="3291" t="s">
        <v>687</v>
      </c>
      <c r="I10244" s="3292" t="s">
        <v>688</v>
      </c>
    </row>
    <row r="10245" spans="2:9">
      <c r="B10245" s="4724"/>
      <c r="C10245" s="4678" t="s">
        <v>686</v>
      </c>
      <c r="D10245" s="4725"/>
      <c r="E10245" s="4725"/>
      <c r="F10245" s="4726"/>
      <c r="G10245" s="4724"/>
      <c r="H10245" s="3293"/>
      <c r="I10245" s="3294"/>
    </row>
    <row r="10246" spans="2:9" ht="13.5" thickBot="1">
      <c r="B10246" s="4724"/>
      <c r="C10246" s="3215">
        <v>2013</v>
      </c>
      <c r="D10246" s="3215">
        <v>2014</v>
      </c>
      <c r="E10246" s="3215">
        <v>2015</v>
      </c>
      <c r="F10246" s="3215">
        <v>2016</v>
      </c>
      <c r="G10246" s="4724"/>
      <c r="H10246" s="3295" t="s">
        <v>390</v>
      </c>
      <c r="I10246" s="3296" t="s">
        <v>390</v>
      </c>
    </row>
    <row r="10247" spans="2:9">
      <c r="B10247" s="3217" t="s">
        <v>695</v>
      </c>
      <c r="C10247" s="3218"/>
      <c r="D10247" s="3219"/>
      <c r="E10247" s="3219"/>
      <c r="F10247" s="3219"/>
      <c r="G10247" s="3217" t="s">
        <v>695</v>
      </c>
      <c r="H10247" s="3297"/>
      <c r="I10247" s="3298"/>
    </row>
    <row r="10248" spans="2:9">
      <c r="B10248" s="3299" t="s">
        <v>64</v>
      </c>
      <c r="C10248" s="3063"/>
      <c r="D10248" s="3064"/>
      <c r="E10248" s="3064"/>
      <c r="F10248" s="3064">
        <v>14</v>
      </c>
      <c r="G10248" s="3300" t="s">
        <v>64</v>
      </c>
      <c r="H10248" s="3063">
        <v>0.15513676105768484</v>
      </c>
      <c r="I10248" s="3030"/>
    </row>
    <row r="10249" spans="2:9" ht="25.5">
      <c r="B10249" s="3192" t="s">
        <v>675</v>
      </c>
      <c r="C10249" s="3063">
        <v>1</v>
      </c>
      <c r="D10249" s="3064">
        <v>2</v>
      </c>
      <c r="E10249" s="3064"/>
      <c r="F10249" s="3064"/>
      <c r="G10249" s="3301" t="s">
        <v>675</v>
      </c>
      <c r="H10249" s="3063"/>
      <c r="I10249" s="3030">
        <v>6.6487183310436362E-2</v>
      </c>
    </row>
    <row r="10250" spans="2:9" ht="25.5">
      <c r="B10250" s="3192" t="s">
        <v>676</v>
      </c>
      <c r="C10250" s="3063"/>
      <c r="D10250" s="3064"/>
      <c r="E10250" s="3064"/>
      <c r="F10250" s="3064"/>
      <c r="G10250" s="3301" t="s">
        <v>676</v>
      </c>
      <c r="H10250" s="3063"/>
      <c r="I10250" s="3030"/>
    </row>
    <row r="10251" spans="2:9">
      <c r="B10251" s="3192" t="s">
        <v>677</v>
      </c>
      <c r="C10251" s="3063"/>
      <c r="D10251" s="3064"/>
      <c r="E10251" s="3064"/>
      <c r="F10251" s="3064"/>
      <c r="G10251" s="3301" t="s">
        <v>677</v>
      </c>
      <c r="H10251" s="3063"/>
      <c r="I10251" s="3030"/>
    </row>
    <row r="10252" spans="2:9">
      <c r="B10252" s="3192" t="s">
        <v>678</v>
      </c>
      <c r="C10252" s="3063">
        <v>2</v>
      </c>
      <c r="D10252" s="3064">
        <v>1</v>
      </c>
      <c r="E10252" s="3064"/>
      <c r="F10252" s="3064"/>
      <c r="G10252" s="3301" t="s">
        <v>678</v>
      </c>
      <c r="H10252" s="3063"/>
      <c r="I10252" s="3030"/>
    </row>
    <row r="10253" spans="2:9">
      <c r="B10253" s="3192" t="s">
        <v>679</v>
      </c>
      <c r="C10253" s="3063">
        <v>1</v>
      </c>
      <c r="D10253" s="3064"/>
      <c r="E10253" s="3064"/>
      <c r="F10253" s="3064"/>
      <c r="G10253" s="3301" t="s">
        <v>679</v>
      </c>
      <c r="H10253" s="3063"/>
      <c r="I10253" s="3030"/>
    </row>
    <row r="10254" spans="2:9" ht="25.5">
      <c r="B10254" s="3192" t="s">
        <v>720</v>
      </c>
      <c r="C10254" s="3063"/>
      <c r="D10254" s="3064"/>
      <c r="E10254" s="3064"/>
      <c r="F10254" s="3064"/>
      <c r="G10254" s="3301" t="s">
        <v>720</v>
      </c>
      <c r="H10254" s="3063"/>
      <c r="I10254" s="3030"/>
    </row>
    <row r="10255" spans="2:9">
      <c r="B10255" s="3299" t="s">
        <v>65</v>
      </c>
      <c r="C10255" s="3063"/>
      <c r="D10255" s="3064"/>
      <c r="E10255" s="3064"/>
      <c r="F10255" s="3064">
        <v>2</v>
      </c>
      <c r="G10255" s="3300" t="s">
        <v>65</v>
      </c>
      <c r="H10255" s="3063">
        <v>0.14179142483026203</v>
      </c>
      <c r="I10255" s="3030"/>
    </row>
    <row r="10256" spans="2:9" ht="25.5">
      <c r="B10256" s="3192" t="s">
        <v>675</v>
      </c>
      <c r="C10256" s="3063">
        <v>3</v>
      </c>
      <c r="D10256" s="3064"/>
      <c r="E10256" s="3064"/>
      <c r="F10256" s="3064"/>
      <c r="G10256" s="3301" t="s">
        <v>675</v>
      </c>
      <c r="H10256" s="3063"/>
      <c r="I10256" s="3030">
        <v>0.17014970979631444</v>
      </c>
    </row>
    <row r="10257" spans="2:9" ht="25.5">
      <c r="B10257" s="3192" t="s">
        <v>676</v>
      </c>
      <c r="C10257" s="3063"/>
      <c r="D10257" s="3064"/>
      <c r="E10257" s="3064"/>
      <c r="F10257" s="3064"/>
      <c r="G10257" s="3301" t="s">
        <v>676</v>
      </c>
      <c r="H10257" s="3063"/>
      <c r="I10257" s="3030"/>
    </row>
    <row r="10258" spans="2:9">
      <c r="B10258" s="3192" t="s">
        <v>677</v>
      </c>
      <c r="C10258" s="3063"/>
      <c r="D10258" s="3064"/>
      <c r="E10258" s="3064"/>
      <c r="F10258" s="3064"/>
      <c r="G10258" s="3301" t="s">
        <v>677</v>
      </c>
      <c r="H10258" s="3063"/>
      <c r="I10258" s="3030"/>
    </row>
    <row r="10259" spans="2:9">
      <c r="B10259" s="3192" t="s">
        <v>678</v>
      </c>
      <c r="C10259" s="3063"/>
      <c r="D10259" s="3064"/>
      <c r="E10259" s="3064"/>
      <c r="F10259" s="3064"/>
      <c r="G10259" s="3301" t="s">
        <v>678</v>
      </c>
      <c r="H10259" s="3063"/>
      <c r="I10259" s="3030"/>
    </row>
    <row r="10260" spans="2:9">
      <c r="B10260" s="3192" t="s">
        <v>679</v>
      </c>
      <c r="C10260" s="3063"/>
      <c r="D10260" s="3064"/>
      <c r="E10260" s="3064"/>
      <c r="F10260" s="3064"/>
      <c r="G10260" s="3301" t="s">
        <v>679</v>
      </c>
      <c r="H10260" s="3063"/>
      <c r="I10260" s="3030"/>
    </row>
    <row r="10261" spans="2:9" ht="25.5">
      <c r="B10261" s="3192" t="s">
        <v>720</v>
      </c>
      <c r="C10261" s="3063"/>
      <c r="D10261" s="3064"/>
      <c r="E10261" s="3064"/>
      <c r="F10261" s="3064"/>
      <c r="G10261" s="3301" t="s">
        <v>720</v>
      </c>
      <c r="H10261" s="3063"/>
      <c r="I10261" s="3030"/>
    </row>
    <row r="10262" spans="2:9">
      <c r="B10262" s="3299" t="s">
        <v>82</v>
      </c>
      <c r="C10262" s="3063"/>
      <c r="D10262" s="3064"/>
      <c r="E10262" s="3064"/>
      <c r="F10262" s="3064"/>
      <c r="G10262" s="3300" t="s">
        <v>82</v>
      </c>
      <c r="H10262" s="3063"/>
      <c r="I10262" s="3030"/>
    </row>
    <row r="10263" spans="2:9" ht="25.5">
      <c r="B10263" s="3192" t="s">
        <v>675</v>
      </c>
      <c r="C10263" s="3063"/>
      <c r="D10263" s="3064"/>
      <c r="E10263" s="3064"/>
      <c r="F10263" s="3064"/>
      <c r="G10263" s="3301" t="s">
        <v>675</v>
      </c>
      <c r="H10263" s="3063"/>
      <c r="I10263" s="3030"/>
    </row>
    <row r="10264" spans="2:9" ht="25.5">
      <c r="B10264" s="3192" t="s">
        <v>676</v>
      </c>
      <c r="C10264" s="3063"/>
      <c r="D10264" s="3064"/>
      <c r="E10264" s="3064"/>
      <c r="F10264" s="3064"/>
      <c r="G10264" s="3301" t="s">
        <v>676</v>
      </c>
      <c r="H10264" s="3063"/>
      <c r="I10264" s="3030"/>
    </row>
    <row r="10265" spans="2:9">
      <c r="B10265" s="3192" t="s">
        <v>677</v>
      </c>
      <c r="C10265" s="3063"/>
      <c r="D10265" s="3064"/>
      <c r="E10265" s="3064"/>
      <c r="F10265" s="3064"/>
      <c r="G10265" s="3301" t="s">
        <v>677</v>
      </c>
      <c r="H10265" s="3063"/>
      <c r="I10265" s="3030"/>
    </row>
    <row r="10266" spans="2:9">
      <c r="B10266" s="3192" t="s">
        <v>678</v>
      </c>
      <c r="C10266" s="3063"/>
      <c r="D10266" s="3064"/>
      <c r="E10266" s="3064"/>
      <c r="F10266" s="3064"/>
      <c r="G10266" s="3301" t="s">
        <v>678</v>
      </c>
      <c r="H10266" s="3063"/>
      <c r="I10266" s="3030"/>
    </row>
    <row r="10267" spans="2:9">
      <c r="B10267" s="3192" t="s">
        <v>679</v>
      </c>
      <c r="C10267" s="3063"/>
      <c r="D10267" s="3064"/>
      <c r="E10267" s="3064"/>
      <c r="F10267" s="3064"/>
      <c r="G10267" s="3301" t="s">
        <v>679</v>
      </c>
      <c r="H10267" s="3063"/>
      <c r="I10267" s="3030"/>
    </row>
    <row r="10268" spans="2:9" ht="25.5">
      <c r="B10268" s="3192" t="s">
        <v>720</v>
      </c>
      <c r="C10268" s="3063"/>
      <c r="D10268" s="3064"/>
      <c r="E10268" s="3064"/>
      <c r="F10268" s="3064"/>
      <c r="G10268" s="3301" t="s">
        <v>720</v>
      </c>
      <c r="H10268" s="3063"/>
      <c r="I10268" s="3030"/>
    </row>
    <row r="10269" spans="2:9" ht="38.25">
      <c r="B10269" s="3299" t="s">
        <v>680</v>
      </c>
      <c r="C10269" s="3063"/>
      <c r="D10269" s="3064"/>
      <c r="E10269" s="3064"/>
      <c r="F10269" s="3064"/>
      <c r="G10269" s="3300" t="s">
        <v>680</v>
      </c>
      <c r="H10269" s="3063"/>
      <c r="I10269" s="3030"/>
    </row>
    <row r="10270" spans="2:9" ht="25.5">
      <c r="B10270" s="3192" t="s">
        <v>675</v>
      </c>
      <c r="C10270" s="3063"/>
      <c r="D10270" s="3064"/>
      <c r="E10270" s="3064"/>
      <c r="F10270" s="3064"/>
      <c r="G10270" s="3301" t="s">
        <v>675</v>
      </c>
      <c r="H10270" s="3063"/>
      <c r="I10270" s="3030"/>
    </row>
    <row r="10271" spans="2:9" ht="25.5">
      <c r="B10271" s="3192" t="s">
        <v>676</v>
      </c>
      <c r="C10271" s="3063"/>
      <c r="D10271" s="3064"/>
      <c r="E10271" s="3064"/>
      <c r="F10271" s="3064"/>
      <c r="G10271" s="3301" t="s">
        <v>676</v>
      </c>
      <c r="H10271" s="3063"/>
      <c r="I10271" s="3030"/>
    </row>
    <row r="10272" spans="2:9">
      <c r="B10272" s="3192" t="s">
        <v>677</v>
      </c>
      <c r="C10272" s="3063"/>
      <c r="D10272" s="3064"/>
      <c r="E10272" s="3064"/>
      <c r="F10272" s="3064"/>
      <c r="G10272" s="3301" t="s">
        <v>677</v>
      </c>
      <c r="H10272" s="3063"/>
      <c r="I10272" s="3030"/>
    </row>
    <row r="10273" spans="2:9">
      <c r="B10273" s="3192" t="s">
        <v>678</v>
      </c>
      <c r="C10273" s="3063"/>
      <c r="D10273" s="3064"/>
      <c r="E10273" s="3064"/>
      <c r="F10273" s="3064"/>
      <c r="G10273" s="3301" t="s">
        <v>678</v>
      </c>
      <c r="H10273" s="3063"/>
      <c r="I10273" s="3030"/>
    </row>
    <row r="10274" spans="2:9">
      <c r="B10274" s="3192" t="s">
        <v>679</v>
      </c>
      <c r="C10274" s="3063"/>
      <c r="D10274" s="3064"/>
      <c r="E10274" s="3064"/>
      <c r="F10274" s="3064"/>
      <c r="G10274" s="3301" t="s">
        <v>679</v>
      </c>
      <c r="H10274" s="3063"/>
      <c r="I10274" s="3030"/>
    </row>
    <row r="10275" spans="2:9" ht="25.5">
      <c r="B10275" s="3192" t="s">
        <v>720</v>
      </c>
      <c r="C10275" s="3063"/>
      <c r="D10275" s="3064"/>
      <c r="E10275" s="3064"/>
      <c r="F10275" s="3064"/>
      <c r="G10275" s="3301" t="s">
        <v>720</v>
      </c>
      <c r="H10275" s="3063"/>
      <c r="I10275" s="3030"/>
    </row>
    <row r="10276" spans="2:9" ht="38.25">
      <c r="B10276" s="3299" t="s">
        <v>681</v>
      </c>
      <c r="C10276" s="3063"/>
      <c r="D10276" s="3064"/>
      <c r="E10276" s="3064"/>
      <c r="F10276" s="3064"/>
      <c r="G10276" s="3300" t="s">
        <v>681</v>
      </c>
      <c r="H10276" s="3063"/>
      <c r="I10276" s="3030"/>
    </row>
    <row r="10277" spans="2:9" ht="25.5">
      <c r="B10277" s="3192" t="s">
        <v>675</v>
      </c>
      <c r="C10277" s="3063"/>
      <c r="D10277" s="3064"/>
      <c r="E10277" s="3064"/>
      <c r="F10277" s="3064"/>
      <c r="G10277" s="3301" t="s">
        <v>675</v>
      </c>
      <c r="H10277" s="3063"/>
      <c r="I10277" s="3030"/>
    </row>
    <row r="10278" spans="2:9" ht="25.5">
      <c r="B10278" s="3192" t="s">
        <v>676</v>
      </c>
      <c r="C10278" s="3063"/>
      <c r="D10278" s="3064"/>
      <c r="E10278" s="3064"/>
      <c r="F10278" s="3064"/>
      <c r="G10278" s="3301" t="s">
        <v>676</v>
      </c>
      <c r="H10278" s="3063"/>
      <c r="I10278" s="3030"/>
    </row>
    <row r="10279" spans="2:9">
      <c r="B10279" s="3192" t="s">
        <v>677</v>
      </c>
      <c r="C10279" s="3063"/>
      <c r="D10279" s="3064"/>
      <c r="E10279" s="3064"/>
      <c r="F10279" s="3064"/>
      <c r="G10279" s="3301" t="s">
        <v>677</v>
      </c>
      <c r="H10279" s="3063"/>
      <c r="I10279" s="3030"/>
    </row>
    <row r="10280" spans="2:9">
      <c r="B10280" s="3192" t="s">
        <v>678</v>
      </c>
      <c r="C10280" s="3063"/>
      <c r="D10280" s="3064"/>
      <c r="E10280" s="3064"/>
      <c r="F10280" s="3064"/>
      <c r="G10280" s="3301" t="s">
        <v>678</v>
      </c>
      <c r="H10280" s="3063"/>
      <c r="I10280" s="3030"/>
    </row>
    <row r="10281" spans="2:9">
      <c r="B10281" s="3192" t="s">
        <v>679</v>
      </c>
      <c r="C10281" s="3063"/>
      <c r="D10281" s="3064"/>
      <c r="E10281" s="3064"/>
      <c r="F10281" s="3064"/>
      <c r="G10281" s="3301" t="s">
        <v>679</v>
      </c>
      <c r="H10281" s="3063"/>
      <c r="I10281" s="3030"/>
    </row>
    <row r="10282" spans="2:9" ht="25.5">
      <c r="B10282" s="3192" t="s">
        <v>720</v>
      </c>
      <c r="C10282" s="3063"/>
      <c r="D10282" s="3064"/>
      <c r="E10282" s="3064"/>
      <c r="F10282" s="3064"/>
      <c r="G10282" s="3301" t="s">
        <v>720</v>
      </c>
      <c r="H10282" s="3063"/>
      <c r="I10282" s="3030"/>
    </row>
    <row r="10283" spans="2:9" ht="25.5">
      <c r="B10283" s="3299" t="s">
        <v>682</v>
      </c>
      <c r="C10283" s="3063"/>
      <c r="D10283" s="3064"/>
      <c r="E10283" s="3064"/>
      <c r="F10283" s="3064"/>
      <c r="G10283" s="3300" t="s">
        <v>682</v>
      </c>
      <c r="H10283" s="3063"/>
      <c r="I10283" s="3030"/>
    </row>
    <row r="10284" spans="2:9" ht="25.5">
      <c r="B10284" s="3192" t="s">
        <v>675</v>
      </c>
      <c r="C10284" s="3063"/>
      <c r="D10284" s="3064"/>
      <c r="E10284" s="3064"/>
      <c r="F10284" s="3064"/>
      <c r="G10284" s="3301" t="s">
        <v>675</v>
      </c>
      <c r="H10284" s="3063"/>
      <c r="I10284" s="3030"/>
    </row>
    <row r="10285" spans="2:9" ht="25.5">
      <c r="B10285" s="3192" t="s">
        <v>676</v>
      </c>
      <c r="C10285" s="3063"/>
      <c r="D10285" s="3064"/>
      <c r="E10285" s="3064"/>
      <c r="F10285" s="3064"/>
      <c r="G10285" s="3301" t="s">
        <v>676</v>
      </c>
      <c r="H10285" s="3063"/>
      <c r="I10285" s="3030"/>
    </row>
    <row r="10286" spans="2:9">
      <c r="B10286" s="3192" t="s">
        <v>677</v>
      </c>
      <c r="C10286" s="3063"/>
      <c r="D10286" s="3064"/>
      <c r="E10286" s="3064"/>
      <c r="F10286" s="3064"/>
      <c r="G10286" s="3301" t="s">
        <v>677</v>
      </c>
      <c r="H10286" s="3063"/>
      <c r="I10286" s="3030"/>
    </row>
    <row r="10287" spans="2:9">
      <c r="B10287" s="3192" t="s">
        <v>678</v>
      </c>
      <c r="C10287" s="3063"/>
      <c r="D10287" s="3064"/>
      <c r="E10287" s="3064"/>
      <c r="F10287" s="3064"/>
      <c r="G10287" s="3301" t="s">
        <v>678</v>
      </c>
      <c r="H10287" s="3063"/>
      <c r="I10287" s="3030"/>
    </row>
    <row r="10288" spans="2:9">
      <c r="B10288" s="3192" t="s">
        <v>679</v>
      </c>
      <c r="C10288" s="3063"/>
      <c r="D10288" s="3064"/>
      <c r="E10288" s="3064"/>
      <c r="F10288" s="3064"/>
      <c r="G10288" s="3301" t="s">
        <v>679</v>
      </c>
      <c r="H10288" s="3063"/>
      <c r="I10288" s="3030"/>
    </row>
    <row r="10289" spans="2:9" ht="25.5">
      <c r="B10289" s="3192" t="s">
        <v>720</v>
      </c>
      <c r="C10289" s="3063"/>
      <c r="D10289" s="3064"/>
      <c r="E10289" s="3064"/>
      <c r="F10289" s="3064"/>
      <c r="G10289" s="3301" t="s">
        <v>720</v>
      </c>
      <c r="H10289" s="3063"/>
      <c r="I10289" s="3030"/>
    </row>
    <row r="10290" spans="2:9" ht="25.5">
      <c r="B10290" s="3299" t="s">
        <v>66</v>
      </c>
      <c r="C10290" s="3063"/>
      <c r="D10290" s="3064"/>
      <c r="E10290" s="3064"/>
      <c r="F10290" s="3064">
        <v>21</v>
      </c>
      <c r="G10290" s="3300" t="s">
        <v>66</v>
      </c>
      <c r="H10290" s="3063">
        <v>2.4075174748324</v>
      </c>
      <c r="I10290" s="3030"/>
    </row>
    <row r="10291" spans="2:9" ht="25.5">
      <c r="B10291" s="3192" t="s">
        <v>675</v>
      </c>
      <c r="C10291" s="3063"/>
      <c r="D10291" s="3064"/>
      <c r="E10291" s="3064"/>
      <c r="F10291" s="3064"/>
      <c r="G10291" s="3301" t="s">
        <v>675</v>
      </c>
      <c r="H10291" s="3063"/>
      <c r="I10291" s="3030"/>
    </row>
    <row r="10292" spans="2:9" ht="25.5">
      <c r="B10292" s="3192" t="s">
        <v>676</v>
      </c>
      <c r="C10292" s="3063"/>
      <c r="D10292" s="3064"/>
      <c r="E10292" s="3064"/>
      <c r="F10292" s="3064"/>
      <c r="G10292" s="3301" t="s">
        <v>676</v>
      </c>
      <c r="H10292" s="3063"/>
      <c r="I10292" s="3030"/>
    </row>
    <row r="10293" spans="2:9">
      <c r="B10293" s="3192" t="s">
        <v>677</v>
      </c>
      <c r="C10293" s="3063"/>
      <c r="D10293" s="3064"/>
      <c r="E10293" s="3064"/>
      <c r="F10293" s="3064"/>
      <c r="G10293" s="3301" t="s">
        <v>677</v>
      </c>
      <c r="H10293" s="3063"/>
      <c r="I10293" s="3030"/>
    </row>
    <row r="10294" spans="2:9">
      <c r="B10294" s="3192" t="s">
        <v>678</v>
      </c>
      <c r="C10294" s="3063"/>
      <c r="D10294" s="3064"/>
      <c r="E10294" s="3064"/>
      <c r="F10294" s="3064"/>
      <c r="G10294" s="3301" t="s">
        <v>678</v>
      </c>
      <c r="H10294" s="3063"/>
      <c r="I10294" s="3030"/>
    </row>
    <row r="10295" spans="2:9">
      <c r="B10295" s="3192" t="s">
        <v>679</v>
      </c>
      <c r="C10295" s="3063"/>
      <c r="D10295" s="3064"/>
      <c r="E10295" s="3064"/>
      <c r="F10295" s="3064"/>
      <c r="G10295" s="3301" t="s">
        <v>679</v>
      </c>
      <c r="H10295" s="3063"/>
      <c r="I10295" s="3030"/>
    </row>
    <row r="10296" spans="2:9" ht="25.5">
      <c r="B10296" s="3192" t="s">
        <v>720</v>
      </c>
      <c r="C10296" s="3063"/>
      <c r="D10296" s="3064"/>
      <c r="E10296" s="3064"/>
      <c r="F10296" s="3064"/>
      <c r="G10296" s="3301" t="s">
        <v>720</v>
      </c>
      <c r="H10296" s="3063"/>
      <c r="I10296" s="3030"/>
    </row>
    <row r="10297" spans="2:9">
      <c r="B10297" s="3299" t="s">
        <v>67</v>
      </c>
      <c r="C10297" s="3063"/>
      <c r="D10297" s="3064"/>
      <c r="E10297" s="3064"/>
      <c r="F10297" s="3064">
        <v>1</v>
      </c>
      <c r="G10297" s="3300" t="s">
        <v>67</v>
      </c>
      <c r="H10297" s="3063">
        <v>4.7310831093865857E-2</v>
      </c>
      <c r="I10297" s="3030"/>
    </row>
    <row r="10298" spans="2:9" ht="25.5">
      <c r="B10298" s="3192" t="s">
        <v>675</v>
      </c>
      <c r="C10298" s="3063"/>
      <c r="D10298" s="3064"/>
      <c r="E10298" s="3064"/>
      <c r="F10298" s="3064"/>
      <c r="G10298" s="3301" t="s">
        <v>675</v>
      </c>
      <c r="H10298" s="3063"/>
      <c r="I10298" s="3030"/>
    </row>
    <row r="10299" spans="2:9" ht="25.5">
      <c r="B10299" s="3192" t="s">
        <v>676</v>
      </c>
      <c r="C10299" s="3063"/>
      <c r="D10299" s="3064"/>
      <c r="E10299" s="3064"/>
      <c r="F10299" s="3064"/>
      <c r="G10299" s="3301" t="s">
        <v>676</v>
      </c>
      <c r="H10299" s="3063"/>
      <c r="I10299" s="3030"/>
    </row>
    <row r="10300" spans="2:9">
      <c r="B10300" s="3192" t="s">
        <v>677</v>
      </c>
      <c r="C10300" s="3063"/>
      <c r="D10300" s="3064"/>
      <c r="E10300" s="3064"/>
      <c r="F10300" s="3064"/>
      <c r="G10300" s="3301" t="s">
        <v>677</v>
      </c>
      <c r="H10300" s="3063"/>
      <c r="I10300" s="3030"/>
    </row>
    <row r="10301" spans="2:9">
      <c r="B10301" s="3192" t="s">
        <v>678</v>
      </c>
      <c r="C10301" s="3063"/>
      <c r="D10301" s="3064"/>
      <c r="E10301" s="3064"/>
      <c r="F10301" s="3064"/>
      <c r="G10301" s="3301" t="s">
        <v>678</v>
      </c>
      <c r="H10301" s="3063"/>
      <c r="I10301" s="3030"/>
    </row>
    <row r="10302" spans="2:9">
      <c r="B10302" s="3192" t="s">
        <v>679</v>
      </c>
      <c r="C10302" s="3063"/>
      <c r="D10302" s="3064"/>
      <c r="E10302" s="3064"/>
      <c r="F10302" s="3064"/>
      <c r="G10302" s="3301" t="s">
        <v>679</v>
      </c>
      <c r="H10302" s="3063"/>
      <c r="I10302" s="3030"/>
    </row>
    <row r="10303" spans="2:9" ht="25.5">
      <c r="B10303" s="3192" t="s">
        <v>720</v>
      </c>
      <c r="C10303" s="3063"/>
      <c r="D10303" s="3064"/>
      <c r="E10303" s="3064"/>
      <c r="F10303" s="3064"/>
      <c r="G10303" s="3301" t="s">
        <v>720</v>
      </c>
      <c r="H10303" s="3063"/>
      <c r="I10303" s="3030"/>
    </row>
    <row r="10304" spans="2:9" ht="25.5">
      <c r="B10304" s="3230" t="s">
        <v>81</v>
      </c>
      <c r="C10304" s="3063"/>
      <c r="D10304" s="3064"/>
      <c r="E10304" s="3064"/>
      <c r="F10304" s="3064"/>
      <c r="G10304" s="3302" t="s">
        <v>81</v>
      </c>
      <c r="H10304" s="3063"/>
      <c r="I10304" s="3030"/>
    </row>
    <row r="10305" spans="2:9" ht="26.25" thickBot="1">
      <c r="B10305" s="3303" t="s">
        <v>81</v>
      </c>
      <c r="C10305" s="3063"/>
      <c r="D10305" s="3064"/>
      <c r="E10305" s="3064"/>
      <c r="F10305" s="3064"/>
      <c r="G10305" s="3302" t="s">
        <v>81</v>
      </c>
      <c r="H10305" s="3063"/>
      <c r="I10305" s="3030"/>
    </row>
    <row r="10306" spans="2:9" ht="25.5">
      <c r="B10306" s="3217" t="s">
        <v>696</v>
      </c>
      <c r="C10306" s="3218"/>
      <c r="D10306" s="3219"/>
      <c r="E10306" s="3219"/>
      <c r="F10306" s="3219"/>
      <c r="G10306" s="3217" t="s">
        <v>696</v>
      </c>
      <c r="H10306" s="3297"/>
      <c r="I10306" s="3298"/>
    </row>
    <row r="10307" spans="2:9">
      <c r="B10307" s="3299" t="s">
        <v>64</v>
      </c>
      <c r="C10307" s="3063"/>
      <c r="D10307" s="3064"/>
      <c r="E10307" s="3064"/>
      <c r="F10307" s="3064"/>
      <c r="G10307" s="3300" t="s">
        <v>64</v>
      </c>
      <c r="H10307" s="3063"/>
      <c r="I10307" s="3030"/>
    </row>
    <row r="10308" spans="2:9" ht="25.5">
      <c r="B10308" s="3192" t="s">
        <v>675</v>
      </c>
      <c r="C10308" s="3063"/>
      <c r="D10308" s="3064"/>
      <c r="E10308" s="3064"/>
      <c r="F10308" s="3064"/>
      <c r="G10308" s="3301" t="s">
        <v>675</v>
      </c>
      <c r="H10308" s="3063"/>
      <c r="I10308" s="3030"/>
    </row>
    <row r="10309" spans="2:9" ht="25.5">
      <c r="B10309" s="3192" t="s">
        <v>676</v>
      </c>
      <c r="C10309" s="3063"/>
      <c r="D10309" s="3064"/>
      <c r="E10309" s="3064"/>
      <c r="F10309" s="3064"/>
      <c r="G10309" s="3301" t="s">
        <v>676</v>
      </c>
      <c r="H10309" s="3063"/>
      <c r="I10309" s="3030"/>
    </row>
    <row r="10310" spans="2:9">
      <c r="B10310" s="3192" t="s">
        <v>677</v>
      </c>
      <c r="C10310" s="3063"/>
      <c r="D10310" s="3064"/>
      <c r="E10310" s="3064"/>
      <c r="F10310" s="3064"/>
      <c r="G10310" s="3301" t="s">
        <v>677</v>
      </c>
      <c r="H10310" s="3063"/>
      <c r="I10310" s="3030"/>
    </row>
    <row r="10311" spans="2:9">
      <c r="B10311" s="3192" t="s">
        <v>678</v>
      </c>
      <c r="C10311" s="3063"/>
      <c r="D10311" s="3064"/>
      <c r="E10311" s="3064"/>
      <c r="F10311" s="3064"/>
      <c r="G10311" s="3301" t="s">
        <v>678</v>
      </c>
      <c r="H10311" s="3063"/>
      <c r="I10311" s="3030"/>
    </row>
    <row r="10312" spans="2:9">
      <c r="B10312" s="3192" t="s">
        <v>679</v>
      </c>
      <c r="C10312" s="3063"/>
      <c r="D10312" s="3064"/>
      <c r="E10312" s="3064"/>
      <c r="F10312" s="3064"/>
      <c r="G10312" s="3301" t="s">
        <v>679</v>
      </c>
      <c r="H10312" s="3063"/>
      <c r="I10312" s="3030"/>
    </row>
    <row r="10313" spans="2:9" ht="25.5">
      <c r="B10313" s="3192" t="s">
        <v>720</v>
      </c>
      <c r="C10313" s="3063"/>
      <c r="D10313" s="3064"/>
      <c r="E10313" s="3064"/>
      <c r="F10313" s="3064"/>
      <c r="G10313" s="3301" t="s">
        <v>720</v>
      </c>
      <c r="H10313" s="3063"/>
      <c r="I10313" s="3030"/>
    </row>
    <row r="10314" spans="2:9">
      <c r="B10314" s="3299" t="s">
        <v>65</v>
      </c>
      <c r="C10314" s="3063"/>
      <c r="D10314" s="3064"/>
      <c r="E10314" s="3064"/>
      <c r="F10314" s="3064"/>
      <c r="G10314" s="3300" t="s">
        <v>65</v>
      </c>
      <c r="H10314" s="3063"/>
      <c r="I10314" s="3030"/>
    </row>
    <row r="10315" spans="2:9" ht="25.5">
      <c r="B10315" s="3192" t="s">
        <v>675</v>
      </c>
      <c r="C10315" s="3063"/>
      <c r="D10315" s="3064"/>
      <c r="E10315" s="3064"/>
      <c r="F10315" s="3064"/>
      <c r="G10315" s="3301" t="s">
        <v>675</v>
      </c>
      <c r="H10315" s="3063"/>
      <c r="I10315" s="3030"/>
    </row>
    <row r="10316" spans="2:9" ht="25.5">
      <c r="B10316" s="3192" t="s">
        <v>676</v>
      </c>
      <c r="C10316" s="3063"/>
      <c r="D10316" s="3064"/>
      <c r="E10316" s="3064"/>
      <c r="F10316" s="3064"/>
      <c r="G10316" s="3301" t="s">
        <v>676</v>
      </c>
      <c r="H10316" s="3063"/>
      <c r="I10316" s="3030"/>
    </row>
    <row r="10317" spans="2:9">
      <c r="B10317" s="3192" t="s">
        <v>677</v>
      </c>
      <c r="C10317" s="3063"/>
      <c r="D10317" s="3064"/>
      <c r="E10317" s="3064"/>
      <c r="F10317" s="3064"/>
      <c r="G10317" s="3301" t="s">
        <v>677</v>
      </c>
      <c r="H10317" s="3063"/>
      <c r="I10317" s="3030"/>
    </row>
    <row r="10318" spans="2:9">
      <c r="B10318" s="3192" t="s">
        <v>678</v>
      </c>
      <c r="C10318" s="3063"/>
      <c r="D10318" s="3064"/>
      <c r="E10318" s="3064"/>
      <c r="F10318" s="3064"/>
      <c r="G10318" s="3301" t="s">
        <v>678</v>
      </c>
      <c r="H10318" s="3063"/>
      <c r="I10318" s="3030"/>
    </row>
    <row r="10319" spans="2:9">
      <c r="B10319" s="3192" t="s">
        <v>679</v>
      </c>
      <c r="C10319" s="3063"/>
      <c r="D10319" s="3064"/>
      <c r="E10319" s="3064"/>
      <c r="F10319" s="3064"/>
      <c r="G10319" s="3301" t="s">
        <v>679</v>
      </c>
      <c r="H10319" s="3063"/>
      <c r="I10319" s="3030"/>
    </row>
    <row r="10320" spans="2:9" ht="25.5">
      <c r="B10320" s="3192" t="s">
        <v>720</v>
      </c>
      <c r="C10320" s="3063"/>
      <c r="D10320" s="3064"/>
      <c r="E10320" s="3064"/>
      <c r="F10320" s="3064"/>
      <c r="G10320" s="3301" t="s">
        <v>720</v>
      </c>
      <c r="H10320" s="3063"/>
      <c r="I10320" s="3030"/>
    </row>
    <row r="10321" spans="2:9">
      <c r="B10321" s="3299" t="s">
        <v>82</v>
      </c>
      <c r="C10321" s="3063"/>
      <c r="D10321" s="3064"/>
      <c r="E10321" s="3064"/>
      <c r="F10321" s="3064"/>
      <c r="G10321" s="3300" t="s">
        <v>82</v>
      </c>
      <c r="H10321" s="3063"/>
      <c r="I10321" s="3030"/>
    </row>
    <row r="10322" spans="2:9" ht="25.5">
      <c r="B10322" s="3192" t="s">
        <v>675</v>
      </c>
      <c r="C10322" s="3063"/>
      <c r="D10322" s="3064"/>
      <c r="E10322" s="3064"/>
      <c r="F10322" s="3064"/>
      <c r="G10322" s="3301" t="s">
        <v>675</v>
      </c>
      <c r="H10322" s="3063"/>
      <c r="I10322" s="3030"/>
    </row>
    <row r="10323" spans="2:9" ht="25.5">
      <c r="B10323" s="3192" t="s">
        <v>676</v>
      </c>
      <c r="C10323" s="3063"/>
      <c r="D10323" s="3064"/>
      <c r="E10323" s="3064"/>
      <c r="F10323" s="3064"/>
      <c r="G10323" s="3301" t="s">
        <v>676</v>
      </c>
      <c r="H10323" s="3063"/>
      <c r="I10323" s="3030"/>
    </row>
    <row r="10324" spans="2:9">
      <c r="B10324" s="3192" t="s">
        <v>677</v>
      </c>
      <c r="C10324" s="3063"/>
      <c r="D10324" s="3064"/>
      <c r="E10324" s="3064"/>
      <c r="F10324" s="3064"/>
      <c r="G10324" s="3301" t="s">
        <v>677</v>
      </c>
      <c r="H10324" s="3063"/>
      <c r="I10324" s="3030"/>
    </row>
    <row r="10325" spans="2:9">
      <c r="B10325" s="3192" t="s">
        <v>678</v>
      </c>
      <c r="C10325" s="3063"/>
      <c r="D10325" s="3064"/>
      <c r="E10325" s="3064"/>
      <c r="F10325" s="3064"/>
      <c r="G10325" s="3301" t="s">
        <v>678</v>
      </c>
      <c r="H10325" s="3063"/>
      <c r="I10325" s="3030"/>
    </row>
    <row r="10326" spans="2:9">
      <c r="B10326" s="3192" t="s">
        <v>679</v>
      </c>
      <c r="C10326" s="3063"/>
      <c r="D10326" s="3064"/>
      <c r="E10326" s="3064"/>
      <c r="F10326" s="3064"/>
      <c r="G10326" s="3301" t="s">
        <v>679</v>
      </c>
      <c r="H10326" s="3063"/>
      <c r="I10326" s="3030"/>
    </row>
    <row r="10327" spans="2:9" ht="25.5">
      <c r="B10327" s="3192" t="s">
        <v>720</v>
      </c>
      <c r="C10327" s="3063"/>
      <c r="D10327" s="3064"/>
      <c r="E10327" s="3064"/>
      <c r="F10327" s="3064"/>
      <c r="G10327" s="3301" t="s">
        <v>720</v>
      </c>
      <c r="H10327" s="3063"/>
      <c r="I10327" s="3030"/>
    </row>
    <row r="10328" spans="2:9" ht="38.25">
      <c r="B10328" s="3299" t="s">
        <v>680</v>
      </c>
      <c r="C10328" s="3063"/>
      <c r="D10328" s="3064"/>
      <c r="E10328" s="3064"/>
      <c r="F10328" s="3064"/>
      <c r="G10328" s="3300" t="s">
        <v>680</v>
      </c>
      <c r="H10328" s="3063"/>
      <c r="I10328" s="3030"/>
    </row>
    <row r="10329" spans="2:9" ht="25.5">
      <c r="B10329" s="3192" t="s">
        <v>675</v>
      </c>
      <c r="C10329" s="3063"/>
      <c r="D10329" s="3064"/>
      <c r="E10329" s="3064"/>
      <c r="F10329" s="3064"/>
      <c r="G10329" s="3301" t="s">
        <v>675</v>
      </c>
      <c r="H10329" s="3063"/>
      <c r="I10329" s="3030"/>
    </row>
    <row r="10330" spans="2:9" ht="25.5">
      <c r="B10330" s="3192" t="s">
        <v>676</v>
      </c>
      <c r="C10330" s="3063"/>
      <c r="D10330" s="3064"/>
      <c r="E10330" s="3064"/>
      <c r="F10330" s="3064"/>
      <c r="G10330" s="3301" t="s">
        <v>676</v>
      </c>
      <c r="H10330" s="3063"/>
      <c r="I10330" s="3030"/>
    </row>
    <row r="10331" spans="2:9">
      <c r="B10331" s="3192" t="s">
        <v>677</v>
      </c>
      <c r="C10331" s="3063"/>
      <c r="D10331" s="3064"/>
      <c r="E10331" s="3064"/>
      <c r="F10331" s="3064"/>
      <c r="G10331" s="3301" t="s">
        <v>677</v>
      </c>
      <c r="H10331" s="3063"/>
      <c r="I10331" s="3030"/>
    </row>
    <row r="10332" spans="2:9">
      <c r="B10332" s="3192" t="s">
        <v>678</v>
      </c>
      <c r="C10332" s="3063"/>
      <c r="D10332" s="3064"/>
      <c r="E10332" s="3064"/>
      <c r="F10332" s="3064"/>
      <c r="G10332" s="3301" t="s">
        <v>678</v>
      </c>
      <c r="H10332" s="3063"/>
      <c r="I10332" s="3030"/>
    </row>
    <row r="10333" spans="2:9">
      <c r="B10333" s="3192" t="s">
        <v>679</v>
      </c>
      <c r="C10333" s="3063"/>
      <c r="D10333" s="3064"/>
      <c r="E10333" s="3064"/>
      <c r="F10333" s="3064"/>
      <c r="G10333" s="3301" t="s">
        <v>679</v>
      </c>
      <c r="H10333" s="3063"/>
      <c r="I10333" s="3030"/>
    </row>
    <row r="10334" spans="2:9" ht="25.5">
      <c r="B10334" s="3192" t="s">
        <v>720</v>
      </c>
      <c r="C10334" s="3063"/>
      <c r="D10334" s="3064"/>
      <c r="E10334" s="3064"/>
      <c r="F10334" s="3064"/>
      <c r="G10334" s="3301" t="s">
        <v>720</v>
      </c>
      <c r="H10334" s="3063"/>
      <c r="I10334" s="3030"/>
    </row>
    <row r="10335" spans="2:9" ht="38.25">
      <c r="B10335" s="3299" t="s">
        <v>681</v>
      </c>
      <c r="C10335" s="3063"/>
      <c r="D10335" s="3064"/>
      <c r="E10335" s="3064"/>
      <c r="F10335" s="3064"/>
      <c r="G10335" s="3300" t="s">
        <v>681</v>
      </c>
      <c r="H10335" s="3063"/>
      <c r="I10335" s="3030"/>
    </row>
    <row r="10336" spans="2:9" ht="25.5">
      <c r="B10336" s="3192" t="s">
        <v>675</v>
      </c>
      <c r="C10336" s="3063"/>
      <c r="D10336" s="3064"/>
      <c r="E10336" s="3064"/>
      <c r="F10336" s="3064"/>
      <c r="G10336" s="3301" t="s">
        <v>675</v>
      </c>
      <c r="H10336" s="3063"/>
      <c r="I10336" s="3030"/>
    </row>
    <row r="10337" spans="2:9" ht="25.5">
      <c r="B10337" s="3192" t="s">
        <v>676</v>
      </c>
      <c r="C10337" s="3063"/>
      <c r="D10337" s="3064"/>
      <c r="E10337" s="3064"/>
      <c r="F10337" s="3064"/>
      <c r="G10337" s="3301" t="s">
        <v>676</v>
      </c>
      <c r="H10337" s="3063"/>
      <c r="I10337" s="3030"/>
    </row>
    <row r="10338" spans="2:9">
      <c r="B10338" s="3192" t="s">
        <v>677</v>
      </c>
      <c r="C10338" s="3063"/>
      <c r="D10338" s="3064"/>
      <c r="E10338" s="3064"/>
      <c r="F10338" s="3064"/>
      <c r="G10338" s="3301" t="s">
        <v>677</v>
      </c>
      <c r="H10338" s="3063"/>
      <c r="I10338" s="3030"/>
    </row>
    <row r="10339" spans="2:9">
      <c r="B10339" s="3192" t="s">
        <v>678</v>
      </c>
      <c r="C10339" s="3063"/>
      <c r="D10339" s="3064"/>
      <c r="E10339" s="3064"/>
      <c r="F10339" s="3064"/>
      <c r="G10339" s="3301" t="s">
        <v>678</v>
      </c>
      <c r="H10339" s="3063"/>
      <c r="I10339" s="3030"/>
    </row>
    <row r="10340" spans="2:9">
      <c r="B10340" s="3192" t="s">
        <v>679</v>
      </c>
      <c r="C10340" s="3063"/>
      <c r="D10340" s="3064"/>
      <c r="E10340" s="3064"/>
      <c r="F10340" s="3064"/>
      <c r="G10340" s="3301" t="s">
        <v>679</v>
      </c>
      <c r="H10340" s="3063"/>
      <c r="I10340" s="3030"/>
    </row>
    <row r="10341" spans="2:9" ht="25.5">
      <c r="B10341" s="3192" t="s">
        <v>720</v>
      </c>
      <c r="C10341" s="3063"/>
      <c r="D10341" s="3064"/>
      <c r="E10341" s="3064"/>
      <c r="F10341" s="3064"/>
      <c r="G10341" s="3301" t="s">
        <v>720</v>
      </c>
      <c r="H10341" s="3063"/>
      <c r="I10341" s="3030"/>
    </row>
    <row r="10342" spans="2:9" ht="25.5">
      <c r="B10342" s="3299" t="s">
        <v>682</v>
      </c>
      <c r="C10342" s="3063"/>
      <c r="D10342" s="3064"/>
      <c r="E10342" s="3064"/>
      <c r="F10342" s="3064"/>
      <c r="G10342" s="3300" t="s">
        <v>682</v>
      </c>
      <c r="H10342" s="3063"/>
      <c r="I10342" s="3030"/>
    </row>
    <row r="10343" spans="2:9" ht="25.5">
      <c r="B10343" s="3192" t="s">
        <v>675</v>
      </c>
      <c r="C10343" s="3063"/>
      <c r="D10343" s="3064"/>
      <c r="E10343" s="3064"/>
      <c r="F10343" s="3064"/>
      <c r="G10343" s="3301" t="s">
        <v>675</v>
      </c>
      <c r="H10343" s="3063"/>
      <c r="I10343" s="3030"/>
    </row>
    <row r="10344" spans="2:9" ht="25.5">
      <c r="B10344" s="3192" t="s">
        <v>676</v>
      </c>
      <c r="C10344" s="3063"/>
      <c r="D10344" s="3064"/>
      <c r="E10344" s="3064"/>
      <c r="F10344" s="3064"/>
      <c r="G10344" s="3301" t="s">
        <v>676</v>
      </c>
      <c r="H10344" s="3063"/>
      <c r="I10344" s="3030"/>
    </row>
    <row r="10345" spans="2:9">
      <c r="B10345" s="3192" t="s">
        <v>677</v>
      </c>
      <c r="C10345" s="3063"/>
      <c r="D10345" s="3064"/>
      <c r="E10345" s="3064"/>
      <c r="F10345" s="3064"/>
      <c r="G10345" s="3301" t="s">
        <v>677</v>
      </c>
      <c r="H10345" s="3063"/>
      <c r="I10345" s="3030"/>
    </row>
    <row r="10346" spans="2:9">
      <c r="B10346" s="3192" t="s">
        <v>678</v>
      </c>
      <c r="C10346" s="3063"/>
      <c r="D10346" s="3064"/>
      <c r="E10346" s="3064"/>
      <c r="F10346" s="3064"/>
      <c r="G10346" s="3301" t="s">
        <v>678</v>
      </c>
      <c r="H10346" s="3063"/>
      <c r="I10346" s="3030"/>
    </row>
    <row r="10347" spans="2:9">
      <c r="B10347" s="3192" t="s">
        <v>679</v>
      </c>
      <c r="C10347" s="3063"/>
      <c r="D10347" s="3064"/>
      <c r="E10347" s="3064"/>
      <c r="F10347" s="3064"/>
      <c r="G10347" s="3301" t="s">
        <v>679</v>
      </c>
      <c r="H10347" s="3063"/>
      <c r="I10347" s="3030"/>
    </row>
    <row r="10348" spans="2:9" ht="25.5">
      <c r="B10348" s="3192" t="s">
        <v>720</v>
      </c>
      <c r="C10348" s="3063"/>
      <c r="D10348" s="3064"/>
      <c r="E10348" s="3064"/>
      <c r="F10348" s="3064"/>
      <c r="G10348" s="3301" t="s">
        <v>720</v>
      </c>
      <c r="H10348" s="3063"/>
      <c r="I10348" s="3030"/>
    </row>
    <row r="10349" spans="2:9" ht="25.5">
      <c r="B10349" s="3299" t="s">
        <v>66</v>
      </c>
      <c r="C10349" s="3063"/>
      <c r="D10349" s="3064"/>
      <c r="E10349" s="3064"/>
      <c r="F10349" s="3064"/>
      <c r="G10349" s="3300" t="s">
        <v>66</v>
      </c>
      <c r="H10349" s="3063"/>
      <c r="I10349" s="3030"/>
    </row>
    <row r="10350" spans="2:9" ht="25.5">
      <c r="B10350" s="3192" t="s">
        <v>675</v>
      </c>
      <c r="C10350" s="3063"/>
      <c r="D10350" s="3064"/>
      <c r="E10350" s="3064"/>
      <c r="F10350" s="3064"/>
      <c r="G10350" s="3301" t="s">
        <v>675</v>
      </c>
      <c r="H10350" s="3063"/>
      <c r="I10350" s="3030"/>
    </row>
    <row r="10351" spans="2:9" ht="25.5">
      <c r="B10351" s="3192" t="s">
        <v>676</v>
      </c>
      <c r="C10351" s="3063"/>
      <c r="D10351" s="3064"/>
      <c r="E10351" s="3064"/>
      <c r="F10351" s="3064"/>
      <c r="G10351" s="3301" t="s">
        <v>676</v>
      </c>
      <c r="H10351" s="3063"/>
      <c r="I10351" s="3030"/>
    </row>
    <row r="10352" spans="2:9">
      <c r="B10352" s="3192" t="s">
        <v>677</v>
      </c>
      <c r="C10352" s="3063"/>
      <c r="D10352" s="3064"/>
      <c r="E10352" s="3064"/>
      <c r="F10352" s="3064"/>
      <c r="G10352" s="3301" t="s">
        <v>677</v>
      </c>
      <c r="H10352" s="3063"/>
      <c r="I10352" s="3030"/>
    </row>
    <row r="10353" spans="2:9">
      <c r="B10353" s="3192" t="s">
        <v>678</v>
      </c>
      <c r="C10353" s="3063"/>
      <c r="D10353" s="3064"/>
      <c r="E10353" s="3064"/>
      <c r="F10353" s="3064"/>
      <c r="G10353" s="3301" t="s">
        <v>678</v>
      </c>
      <c r="H10353" s="3063"/>
      <c r="I10353" s="3030"/>
    </row>
    <row r="10354" spans="2:9">
      <c r="B10354" s="3192" t="s">
        <v>679</v>
      </c>
      <c r="C10354" s="3063"/>
      <c r="D10354" s="3064"/>
      <c r="E10354" s="3064"/>
      <c r="F10354" s="3064"/>
      <c r="G10354" s="3301" t="s">
        <v>679</v>
      </c>
      <c r="H10354" s="3063"/>
      <c r="I10354" s="3030"/>
    </row>
    <row r="10355" spans="2:9" ht="25.5">
      <c r="B10355" s="3192" t="s">
        <v>720</v>
      </c>
      <c r="C10355" s="3063"/>
      <c r="D10355" s="3064"/>
      <c r="E10355" s="3064"/>
      <c r="F10355" s="3064"/>
      <c r="G10355" s="3301" t="s">
        <v>720</v>
      </c>
      <c r="H10355" s="3063"/>
      <c r="I10355" s="3030"/>
    </row>
    <row r="10356" spans="2:9">
      <c r="B10356" s="3299" t="s">
        <v>67</v>
      </c>
      <c r="C10356" s="3063"/>
      <c r="D10356" s="3064"/>
      <c r="E10356" s="3064"/>
      <c r="F10356" s="3064"/>
      <c r="G10356" s="3300" t="s">
        <v>67</v>
      </c>
      <c r="H10356" s="3063"/>
      <c r="I10356" s="3030"/>
    </row>
    <row r="10357" spans="2:9" ht="25.5">
      <c r="B10357" s="3192" t="s">
        <v>675</v>
      </c>
      <c r="C10357" s="3063"/>
      <c r="D10357" s="3064"/>
      <c r="E10357" s="3064"/>
      <c r="F10357" s="3064"/>
      <c r="G10357" s="3301" t="s">
        <v>675</v>
      </c>
      <c r="H10357" s="3063"/>
      <c r="I10357" s="3030"/>
    </row>
    <row r="10358" spans="2:9" ht="25.5">
      <c r="B10358" s="3192" t="s">
        <v>676</v>
      </c>
      <c r="C10358" s="3063"/>
      <c r="D10358" s="3064"/>
      <c r="E10358" s="3064"/>
      <c r="F10358" s="3064"/>
      <c r="G10358" s="3301" t="s">
        <v>676</v>
      </c>
      <c r="H10358" s="3063"/>
      <c r="I10358" s="3030"/>
    </row>
    <row r="10359" spans="2:9">
      <c r="B10359" s="3192" t="s">
        <v>677</v>
      </c>
      <c r="C10359" s="3063"/>
      <c r="D10359" s="3064"/>
      <c r="E10359" s="3064"/>
      <c r="F10359" s="3064"/>
      <c r="G10359" s="3301" t="s">
        <v>677</v>
      </c>
      <c r="H10359" s="3063"/>
      <c r="I10359" s="3030"/>
    </row>
    <row r="10360" spans="2:9">
      <c r="B10360" s="3192" t="s">
        <v>678</v>
      </c>
      <c r="C10360" s="3063"/>
      <c r="D10360" s="3064"/>
      <c r="E10360" s="3064"/>
      <c r="F10360" s="3064"/>
      <c r="G10360" s="3301" t="s">
        <v>678</v>
      </c>
      <c r="H10360" s="3063"/>
      <c r="I10360" s="3030"/>
    </row>
    <row r="10361" spans="2:9">
      <c r="B10361" s="3192" t="s">
        <v>679</v>
      </c>
      <c r="C10361" s="3063"/>
      <c r="D10361" s="3064"/>
      <c r="E10361" s="3064"/>
      <c r="F10361" s="3064"/>
      <c r="G10361" s="3301" t="s">
        <v>679</v>
      </c>
      <c r="H10361" s="3063"/>
      <c r="I10361" s="3030"/>
    </row>
    <row r="10362" spans="2:9" ht="25.5">
      <c r="B10362" s="3230" t="s">
        <v>81</v>
      </c>
      <c r="C10362" s="3063"/>
      <c r="D10362" s="3064"/>
      <c r="E10362" s="3064"/>
      <c r="F10362" s="3064"/>
      <c r="G10362" s="3302" t="s">
        <v>81</v>
      </c>
      <c r="H10362" s="3063"/>
      <c r="I10362" s="3030"/>
    </row>
    <row r="10363" spans="2:9" ht="26.25" thickBot="1">
      <c r="B10363" s="3303" t="s">
        <v>81</v>
      </c>
      <c r="C10363" s="3063"/>
      <c r="D10363" s="3064"/>
      <c r="E10363" s="3064"/>
      <c r="F10363" s="3064"/>
      <c r="G10363" s="3302" t="s">
        <v>81</v>
      </c>
      <c r="H10363" s="3063"/>
      <c r="I10363" s="3030"/>
    </row>
    <row r="10364" spans="2:9">
      <c r="B10364" s="3217" t="s">
        <v>697</v>
      </c>
      <c r="C10364" s="3218"/>
      <c r="D10364" s="3219"/>
      <c r="E10364" s="3219"/>
      <c r="F10364" s="3219"/>
      <c r="G10364" s="3217" t="s">
        <v>697</v>
      </c>
      <c r="H10364" s="3297"/>
      <c r="I10364" s="3298"/>
    </row>
    <row r="10365" spans="2:9">
      <c r="B10365" s="3299" t="s">
        <v>64</v>
      </c>
      <c r="C10365" s="3063"/>
      <c r="D10365" s="3064"/>
      <c r="E10365" s="3064"/>
      <c r="F10365" s="3064"/>
      <c r="G10365" s="3300" t="s">
        <v>64</v>
      </c>
      <c r="H10365" s="3063"/>
      <c r="I10365" s="3030"/>
    </row>
    <row r="10366" spans="2:9" ht="25.5">
      <c r="B10366" s="3192" t="s">
        <v>675</v>
      </c>
      <c r="C10366" s="3063"/>
      <c r="D10366" s="3064"/>
      <c r="E10366" s="3064"/>
      <c r="F10366" s="3064"/>
      <c r="G10366" s="3301" t="s">
        <v>675</v>
      </c>
      <c r="H10366" s="3063"/>
      <c r="I10366" s="3030"/>
    </row>
    <row r="10367" spans="2:9" ht="25.5">
      <c r="B10367" s="3192" t="s">
        <v>676</v>
      </c>
      <c r="C10367" s="3063"/>
      <c r="D10367" s="3064"/>
      <c r="E10367" s="3064"/>
      <c r="F10367" s="3064"/>
      <c r="G10367" s="3301" t="s">
        <v>676</v>
      </c>
      <c r="H10367" s="3063"/>
      <c r="I10367" s="3030"/>
    </row>
    <row r="10368" spans="2:9">
      <c r="B10368" s="3192" t="s">
        <v>677</v>
      </c>
      <c r="C10368" s="3063"/>
      <c r="D10368" s="3064"/>
      <c r="E10368" s="3064"/>
      <c r="F10368" s="3064"/>
      <c r="G10368" s="3301" t="s">
        <v>677</v>
      </c>
      <c r="H10368" s="3063"/>
      <c r="I10368" s="3030"/>
    </row>
    <row r="10369" spans="2:9">
      <c r="B10369" s="3192" t="s">
        <v>678</v>
      </c>
      <c r="C10369" s="3063"/>
      <c r="D10369" s="3064"/>
      <c r="E10369" s="3064"/>
      <c r="F10369" s="3064"/>
      <c r="G10369" s="3301" t="s">
        <v>678</v>
      </c>
      <c r="H10369" s="3063"/>
      <c r="I10369" s="3030"/>
    </row>
    <row r="10370" spans="2:9">
      <c r="B10370" s="3192" t="s">
        <v>679</v>
      </c>
      <c r="C10370" s="3063"/>
      <c r="D10370" s="3064"/>
      <c r="E10370" s="3064"/>
      <c r="F10370" s="3064"/>
      <c r="G10370" s="3301" t="s">
        <v>679</v>
      </c>
      <c r="H10370" s="3063"/>
      <c r="I10370" s="3030"/>
    </row>
    <row r="10371" spans="2:9" ht="25.5">
      <c r="B10371" s="3192" t="s">
        <v>720</v>
      </c>
      <c r="C10371" s="3063"/>
      <c r="D10371" s="3064"/>
      <c r="E10371" s="3064"/>
      <c r="F10371" s="3064"/>
      <c r="G10371" s="3301" t="s">
        <v>720</v>
      </c>
      <c r="H10371" s="3063"/>
      <c r="I10371" s="3030"/>
    </row>
    <row r="10372" spans="2:9">
      <c r="B10372" s="3299" t="s">
        <v>65</v>
      </c>
      <c r="C10372" s="3063"/>
      <c r="D10372" s="3064"/>
      <c r="E10372" s="3064"/>
      <c r="F10372" s="3064"/>
      <c r="G10372" s="3300" t="s">
        <v>65</v>
      </c>
      <c r="H10372" s="3063"/>
      <c r="I10372" s="3030"/>
    </row>
    <row r="10373" spans="2:9" ht="25.5">
      <c r="B10373" s="3192" t="s">
        <v>675</v>
      </c>
      <c r="C10373" s="3063"/>
      <c r="D10373" s="3064"/>
      <c r="E10373" s="3064"/>
      <c r="F10373" s="3064"/>
      <c r="G10373" s="3301" t="s">
        <v>675</v>
      </c>
      <c r="H10373" s="3063"/>
      <c r="I10373" s="3030"/>
    </row>
    <row r="10374" spans="2:9" ht="25.5">
      <c r="B10374" s="3192" t="s">
        <v>676</v>
      </c>
      <c r="C10374" s="3063"/>
      <c r="D10374" s="3064"/>
      <c r="E10374" s="3064"/>
      <c r="F10374" s="3064"/>
      <c r="G10374" s="3301" t="s">
        <v>676</v>
      </c>
      <c r="H10374" s="3063"/>
      <c r="I10374" s="3030"/>
    </row>
    <row r="10375" spans="2:9">
      <c r="B10375" s="3192" t="s">
        <v>677</v>
      </c>
      <c r="C10375" s="3063"/>
      <c r="D10375" s="3064"/>
      <c r="E10375" s="3064"/>
      <c r="F10375" s="3064"/>
      <c r="G10375" s="3301" t="s">
        <v>677</v>
      </c>
      <c r="H10375" s="3063"/>
      <c r="I10375" s="3030"/>
    </row>
    <row r="10376" spans="2:9">
      <c r="B10376" s="3192" t="s">
        <v>678</v>
      </c>
      <c r="C10376" s="3063"/>
      <c r="D10376" s="3064"/>
      <c r="E10376" s="3064"/>
      <c r="F10376" s="3064"/>
      <c r="G10376" s="3301" t="s">
        <v>678</v>
      </c>
      <c r="H10376" s="3063"/>
      <c r="I10376" s="3030"/>
    </row>
    <row r="10377" spans="2:9">
      <c r="B10377" s="3192" t="s">
        <v>679</v>
      </c>
      <c r="C10377" s="3063"/>
      <c r="D10377" s="3064"/>
      <c r="E10377" s="3064"/>
      <c r="F10377" s="3064"/>
      <c r="G10377" s="3301" t="s">
        <v>679</v>
      </c>
      <c r="H10377" s="3063"/>
      <c r="I10377" s="3030"/>
    </row>
    <row r="10378" spans="2:9" ht="25.5">
      <c r="B10378" s="3192" t="s">
        <v>720</v>
      </c>
      <c r="C10378" s="3063"/>
      <c r="D10378" s="3064"/>
      <c r="E10378" s="3064"/>
      <c r="F10378" s="3064"/>
      <c r="G10378" s="3301" t="s">
        <v>720</v>
      </c>
      <c r="H10378" s="3063"/>
      <c r="I10378" s="3030"/>
    </row>
    <row r="10379" spans="2:9">
      <c r="B10379" s="3299" t="s">
        <v>82</v>
      </c>
      <c r="C10379" s="3063"/>
      <c r="D10379" s="3064"/>
      <c r="E10379" s="3064"/>
      <c r="F10379" s="3064"/>
      <c r="G10379" s="3300" t="s">
        <v>82</v>
      </c>
      <c r="H10379" s="3063"/>
      <c r="I10379" s="3030"/>
    </row>
    <row r="10380" spans="2:9" ht="25.5">
      <c r="B10380" s="3192" t="s">
        <v>675</v>
      </c>
      <c r="C10380" s="3063"/>
      <c r="D10380" s="3064"/>
      <c r="E10380" s="3064"/>
      <c r="F10380" s="3064"/>
      <c r="G10380" s="3301" t="s">
        <v>675</v>
      </c>
      <c r="H10380" s="3063"/>
      <c r="I10380" s="3030"/>
    </row>
    <row r="10381" spans="2:9" ht="25.5">
      <c r="B10381" s="3192" t="s">
        <v>676</v>
      </c>
      <c r="C10381" s="3063"/>
      <c r="D10381" s="3064"/>
      <c r="E10381" s="3064"/>
      <c r="F10381" s="3064"/>
      <c r="G10381" s="3301" t="s">
        <v>676</v>
      </c>
      <c r="H10381" s="3063"/>
      <c r="I10381" s="3030"/>
    </row>
    <row r="10382" spans="2:9">
      <c r="B10382" s="3192" t="s">
        <v>677</v>
      </c>
      <c r="C10382" s="3063"/>
      <c r="D10382" s="3064"/>
      <c r="E10382" s="3064"/>
      <c r="F10382" s="3064"/>
      <c r="G10382" s="3301" t="s">
        <v>677</v>
      </c>
      <c r="H10382" s="3063"/>
      <c r="I10382" s="3030"/>
    </row>
    <row r="10383" spans="2:9">
      <c r="B10383" s="3192" t="s">
        <v>678</v>
      </c>
      <c r="C10383" s="3063"/>
      <c r="D10383" s="3064"/>
      <c r="E10383" s="3064"/>
      <c r="F10383" s="3064"/>
      <c r="G10383" s="3301" t="s">
        <v>678</v>
      </c>
      <c r="H10383" s="3063"/>
      <c r="I10383" s="3030"/>
    </row>
    <row r="10384" spans="2:9">
      <c r="B10384" s="3192" t="s">
        <v>679</v>
      </c>
      <c r="C10384" s="3063"/>
      <c r="D10384" s="3064"/>
      <c r="E10384" s="3064"/>
      <c r="F10384" s="3064"/>
      <c r="G10384" s="3301" t="s">
        <v>679</v>
      </c>
      <c r="H10384" s="3063"/>
      <c r="I10384" s="3030"/>
    </row>
    <row r="10385" spans="2:9" ht="25.5">
      <c r="B10385" s="3192" t="s">
        <v>720</v>
      </c>
      <c r="C10385" s="3063"/>
      <c r="D10385" s="3064"/>
      <c r="E10385" s="3064"/>
      <c r="F10385" s="3064"/>
      <c r="G10385" s="3301" t="s">
        <v>720</v>
      </c>
      <c r="H10385" s="3063"/>
      <c r="I10385" s="3030"/>
    </row>
    <row r="10386" spans="2:9" ht="38.25">
      <c r="B10386" s="3299" t="s">
        <v>680</v>
      </c>
      <c r="C10386" s="3063"/>
      <c r="D10386" s="3064"/>
      <c r="E10386" s="3064"/>
      <c r="F10386" s="3064"/>
      <c r="G10386" s="3300" t="s">
        <v>680</v>
      </c>
      <c r="H10386" s="3063"/>
      <c r="I10386" s="3030"/>
    </row>
    <row r="10387" spans="2:9" ht="25.5">
      <c r="B10387" s="3192" t="s">
        <v>675</v>
      </c>
      <c r="C10387" s="3063"/>
      <c r="D10387" s="3064"/>
      <c r="E10387" s="3064"/>
      <c r="F10387" s="3064"/>
      <c r="G10387" s="3301" t="s">
        <v>675</v>
      </c>
      <c r="H10387" s="3063"/>
      <c r="I10387" s="3030"/>
    </row>
    <row r="10388" spans="2:9" ht="25.5">
      <c r="B10388" s="3192" t="s">
        <v>676</v>
      </c>
      <c r="C10388" s="3063"/>
      <c r="D10388" s="3064"/>
      <c r="E10388" s="3064"/>
      <c r="F10388" s="3064"/>
      <c r="G10388" s="3301" t="s">
        <v>676</v>
      </c>
      <c r="H10388" s="3063"/>
      <c r="I10388" s="3030"/>
    </row>
    <row r="10389" spans="2:9">
      <c r="B10389" s="3192" t="s">
        <v>677</v>
      </c>
      <c r="C10389" s="3063"/>
      <c r="D10389" s="3064"/>
      <c r="E10389" s="3064"/>
      <c r="F10389" s="3064"/>
      <c r="G10389" s="3301" t="s">
        <v>677</v>
      </c>
      <c r="H10389" s="3063"/>
      <c r="I10389" s="3030"/>
    </row>
    <row r="10390" spans="2:9">
      <c r="B10390" s="3192" t="s">
        <v>678</v>
      </c>
      <c r="C10390" s="3063"/>
      <c r="D10390" s="3064"/>
      <c r="E10390" s="3064"/>
      <c r="F10390" s="3064"/>
      <c r="G10390" s="3301" t="s">
        <v>678</v>
      </c>
      <c r="H10390" s="3063"/>
      <c r="I10390" s="3030"/>
    </row>
    <row r="10391" spans="2:9">
      <c r="B10391" s="3192" t="s">
        <v>679</v>
      </c>
      <c r="C10391" s="3063"/>
      <c r="D10391" s="3064"/>
      <c r="E10391" s="3064"/>
      <c r="F10391" s="3064"/>
      <c r="G10391" s="3301" t="s">
        <v>679</v>
      </c>
      <c r="H10391" s="3063"/>
      <c r="I10391" s="3030"/>
    </row>
    <row r="10392" spans="2:9" ht="25.5">
      <c r="B10392" s="3192" t="s">
        <v>720</v>
      </c>
      <c r="C10392" s="3063"/>
      <c r="D10392" s="3064"/>
      <c r="E10392" s="3064"/>
      <c r="F10392" s="3064"/>
      <c r="G10392" s="3301" t="s">
        <v>720</v>
      </c>
      <c r="H10392" s="3063"/>
      <c r="I10392" s="3030"/>
    </row>
    <row r="10393" spans="2:9" ht="38.25">
      <c r="B10393" s="3299" t="s">
        <v>681</v>
      </c>
      <c r="C10393" s="3063"/>
      <c r="D10393" s="3064"/>
      <c r="E10393" s="3064"/>
      <c r="F10393" s="3064"/>
      <c r="G10393" s="3300" t="s">
        <v>681</v>
      </c>
      <c r="H10393" s="3063"/>
      <c r="I10393" s="3030"/>
    </row>
    <row r="10394" spans="2:9" ht="25.5">
      <c r="B10394" s="3192" t="s">
        <v>675</v>
      </c>
      <c r="C10394" s="3063"/>
      <c r="D10394" s="3064"/>
      <c r="E10394" s="3064"/>
      <c r="F10394" s="3064"/>
      <c r="G10394" s="3301" t="s">
        <v>675</v>
      </c>
      <c r="H10394" s="3063"/>
      <c r="I10394" s="3030"/>
    </row>
    <row r="10395" spans="2:9" ht="25.5">
      <c r="B10395" s="3192" t="s">
        <v>676</v>
      </c>
      <c r="C10395" s="3063"/>
      <c r="D10395" s="3064"/>
      <c r="E10395" s="3064"/>
      <c r="F10395" s="3064"/>
      <c r="G10395" s="3301" t="s">
        <v>676</v>
      </c>
      <c r="H10395" s="3063"/>
      <c r="I10395" s="3030"/>
    </row>
    <row r="10396" spans="2:9">
      <c r="B10396" s="3192" t="s">
        <v>677</v>
      </c>
      <c r="C10396" s="3063"/>
      <c r="D10396" s="3064"/>
      <c r="E10396" s="3064"/>
      <c r="F10396" s="3064"/>
      <c r="G10396" s="3301" t="s">
        <v>677</v>
      </c>
      <c r="H10396" s="3063"/>
      <c r="I10396" s="3030"/>
    </row>
    <row r="10397" spans="2:9">
      <c r="B10397" s="3192" t="s">
        <v>678</v>
      </c>
      <c r="C10397" s="3063"/>
      <c r="D10397" s="3064"/>
      <c r="E10397" s="3064"/>
      <c r="F10397" s="3064"/>
      <c r="G10397" s="3301" t="s">
        <v>678</v>
      </c>
      <c r="H10397" s="3063"/>
      <c r="I10397" s="3030"/>
    </row>
    <row r="10398" spans="2:9">
      <c r="B10398" s="3192" t="s">
        <v>679</v>
      </c>
      <c r="C10398" s="3063"/>
      <c r="D10398" s="3064"/>
      <c r="E10398" s="3064"/>
      <c r="F10398" s="3064"/>
      <c r="G10398" s="3301" t="s">
        <v>679</v>
      </c>
      <c r="H10398" s="3063"/>
      <c r="I10398" s="3030"/>
    </row>
    <row r="10399" spans="2:9" ht="25.5">
      <c r="B10399" s="3192" t="s">
        <v>720</v>
      </c>
      <c r="C10399" s="3063"/>
      <c r="D10399" s="3064"/>
      <c r="E10399" s="3064"/>
      <c r="F10399" s="3064"/>
      <c r="G10399" s="3301" t="s">
        <v>720</v>
      </c>
      <c r="H10399" s="3063"/>
      <c r="I10399" s="3030"/>
    </row>
    <row r="10400" spans="2:9" ht="25.5">
      <c r="B10400" s="3299" t="s">
        <v>682</v>
      </c>
      <c r="C10400" s="3063"/>
      <c r="D10400" s="3064"/>
      <c r="E10400" s="3064"/>
      <c r="F10400" s="3064"/>
      <c r="G10400" s="3300" t="s">
        <v>682</v>
      </c>
      <c r="H10400" s="3063"/>
      <c r="I10400" s="3030"/>
    </row>
    <row r="10401" spans="2:9" ht="25.5">
      <c r="B10401" s="3192" t="s">
        <v>675</v>
      </c>
      <c r="C10401" s="3063"/>
      <c r="D10401" s="3064"/>
      <c r="E10401" s="3064"/>
      <c r="F10401" s="3064"/>
      <c r="G10401" s="3301" t="s">
        <v>675</v>
      </c>
      <c r="H10401" s="3063"/>
      <c r="I10401" s="3030"/>
    </row>
    <row r="10402" spans="2:9" ht="25.5">
      <c r="B10402" s="3192" t="s">
        <v>676</v>
      </c>
      <c r="C10402" s="3063"/>
      <c r="D10402" s="3064"/>
      <c r="E10402" s="3064"/>
      <c r="F10402" s="3064"/>
      <c r="G10402" s="3301" t="s">
        <v>676</v>
      </c>
      <c r="H10402" s="3063"/>
      <c r="I10402" s="3030"/>
    </row>
    <row r="10403" spans="2:9">
      <c r="B10403" s="3192" t="s">
        <v>677</v>
      </c>
      <c r="C10403" s="3063"/>
      <c r="D10403" s="3064"/>
      <c r="E10403" s="3064"/>
      <c r="F10403" s="3064"/>
      <c r="G10403" s="3301" t="s">
        <v>677</v>
      </c>
      <c r="H10403" s="3063"/>
      <c r="I10403" s="3030"/>
    </row>
    <row r="10404" spans="2:9">
      <c r="B10404" s="3192" t="s">
        <v>678</v>
      </c>
      <c r="C10404" s="3063"/>
      <c r="D10404" s="3064"/>
      <c r="E10404" s="3064"/>
      <c r="F10404" s="3064"/>
      <c r="G10404" s="3301" t="s">
        <v>678</v>
      </c>
      <c r="H10404" s="3063"/>
      <c r="I10404" s="3030"/>
    </row>
    <row r="10405" spans="2:9">
      <c r="B10405" s="3192" t="s">
        <v>679</v>
      </c>
      <c r="C10405" s="3063"/>
      <c r="D10405" s="3064"/>
      <c r="E10405" s="3064"/>
      <c r="F10405" s="3064"/>
      <c r="G10405" s="3301" t="s">
        <v>679</v>
      </c>
      <c r="H10405" s="3063"/>
      <c r="I10405" s="3030"/>
    </row>
    <row r="10406" spans="2:9" ht="25.5">
      <c r="B10406" s="3192" t="s">
        <v>720</v>
      </c>
      <c r="C10406" s="3063"/>
      <c r="D10406" s="3064"/>
      <c r="E10406" s="3064"/>
      <c r="F10406" s="3064"/>
      <c r="G10406" s="3301" t="s">
        <v>720</v>
      </c>
      <c r="H10406" s="3063"/>
      <c r="I10406" s="3030"/>
    </row>
    <row r="10407" spans="2:9" ht="25.5">
      <c r="B10407" s="3299" t="s">
        <v>66</v>
      </c>
      <c r="C10407" s="3063"/>
      <c r="D10407" s="3064"/>
      <c r="E10407" s="3064"/>
      <c r="F10407" s="3064"/>
      <c r="G10407" s="3300" t="s">
        <v>66</v>
      </c>
      <c r="H10407" s="3063"/>
      <c r="I10407" s="3030"/>
    </row>
    <row r="10408" spans="2:9" ht="25.5">
      <c r="B10408" s="3192" t="s">
        <v>675</v>
      </c>
      <c r="C10408" s="3063"/>
      <c r="D10408" s="3064"/>
      <c r="E10408" s="3064"/>
      <c r="F10408" s="3064"/>
      <c r="G10408" s="3301" t="s">
        <v>675</v>
      </c>
      <c r="H10408" s="3063"/>
      <c r="I10408" s="3030"/>
    </row>
    <row r="10409" spans="2:9" ht="25.5">
      <c r="B10409" s="3192" t="s">
        <v>676</v>
      </c>
      <c r="C10409" s="3063"/>
      <c r="D10409" s="3064"/>
      <c r="E10409" s="3064"/>
      <c r="F10409" s="3064"/>
      <c r="G10409" s="3301" t="s">
        <v>676</v>
      </c>
      <c r="H10409" s="3063"/>
      <c r="I10409" s="3030"/>
    </row>
    <row r="10410" spans="2:9">
      <c r="B10410" s="3192" t="s">
        <v>677</v>
      </c>
      <c r="C10410" s="3063"/>
      <c r="D10410" s="3064"/>
      <c r="E10410" s="3064"/>
      <c r="F10410" s="3064"/>
      <c r="G10410" s="3301" t="s">
        <v>677</v>
      </c>
      <c r="H10410" s="3063"/>
      <c r="I10410" s="3030"/>
    </row>
    <row r="10411" spans="2:9">
      <c r="B10411" s="3192" t="s">
        <v>678</v>
      </c>
      <c r="C10411" s="3063"/>
      <c r="D10411" s="3064"/>
      <c r="E10411" s="3064"/>
      <c r="F10411" s="3064"/>
      <c r="G10411" s="3301" t="s">
        <v>678</v>
      </c>
      <c r="H10411" s="3063"/>
      <c r="I10411" s="3030"/>
    </row>
    <row r="10412" spans="2:9">
      <c r="B10412" s="3192" t="s">
        <v>679</v>
      </c>
      <c r="C10412" s="3063"/>
      <c r="D10412" s="3064"/>
      <c r="E10412" s="3064"/>
      <c r="F10412" s="3064"/>
      <c r="G10412" s="3301" t="s">
        <v>679</v>
      </c>
      <c r="H10412" s="3063"/>
      <c r="I10412" s="3030"/>
    </row>
    <row r="10413" spans="2:9" ht="25.5">
      <c r="B10413" s="3192" t="s">
        <v>720</v>
      </c>
      <c r="C10413" s="3063"/>
      <c r="D10413" s="3064"/>
      <c r="E10413" s="3064"/>
      <c r="F10413" s="3064"/>
      <c r="G10413" s="3301" t="s">
        <v>720</v>
      </c>
      <c r="H10413" s="3063"/>
      <c r="I10413" s="3030"/>
    </row>
    <row r="10414" spans="2:9">
      <c r="B10414" s="3299" t="s">
        <v>67</v>
      </c>
      <c r="C10414" s="3063"/>
      <c r="D10414" s="3064"/>
      <c r="E10414" s="3064"/>
      <c r="F10414" s="3064">
        <v>1</v>
      </c>
      <c r="G10414" s="3300" t="s">
        <v>67</v>
      </c>
      <c r="H10414" s="3063">
        <v>4.7310831093865857E-2</v>
      </c>
      <c r="I10414" s="3030"/>
    </row>
    <row r="10415" spans="2:9" ht="25.5">
      <c r="B10415" s="3192" t="s">
        <v>675</v>
      </c>
      <c r="C10415" s="3063"/>
      <c r="D10415" s="3064"/>
      <c r="E10415" s="3064"/>
      <c r="F10415" s="3064"/>
      <c r="G10415" s="3301" t="s">
        <v>675</v>
      </c>
      <c r="H10415" s="3063"/>
      <c r="I10415" s="3030"/>
    </row>
    <row r="10416" spans="2:9" ht="25.5">
      <c r="B10416" s="3192" t="s">
        <v>676</v>
      </c>
      <c r="C10416" s="3063"/>
      <c r="D10416" s="3064"/>
      <c r="E10416" s="3064"/>
      <c r="F10416" s="3064"/>
      <c r="G10416" s="3301" t="s">
        <v>676</v>
      </c>
      <c r="H10416" s="3063"/>
      <c r="I10416" s="3030"/>
    </row>
    <row r="10417" spans="2:9">
      <c r="B10417" s="3192" t="s">
        <v>677</v>
      </c>
      <c r="C10417" s="3063"/>
      <c r="D10417" s="3064"/>
      <c r="E10417" s="3064"/>
      <c r="F10417" s="3064"/>
      <c r="G10417" s="3301" t="s">
        <v>677</v>
      </c>
      <c r="H10417" s="3063"/>
      <c r="I10417" s="3030"/>
    </row>
    <row r="10418" spans="2:9">
      <c r="B10418" s="3192" t="s">
        <v>678</v>
      </c>
      <c r="C10418" s="3063"/>
      <c r="D10418" s="3064"/>
      <c r="E10418" s="3064"/>
      <c r="F10418" s="3064"/>
      <c r="G10418" s="3301" t="s">
        <v>678</v>
      </c>
      <c r="H10418" s="3063"/>
      <c r="I10418" s="3030"/>
    </row>
    <row r="10419" spans="2:9">
      <c r="B10419" s="3192" t="s">
        <v>679</v>
      </c>
      <c r="C10419" s="3063"/>
      <c r="D10419" s="3064"/>
      <c r="E10419" s="3064"/>
      <c r="F10419" s="3064"/>
      <c r="G10419" s="3301" t="s">
        <v>679</v>
      </c>
      <c r="H10419" s="3063"/>
      <c r="I10419" s="3030"/>
    </row>
    <row r="10420" spans="2:9" ht="25.5">
      <c r="B10420" s="3230" t="s">
        <v>81</v>
      </c>
      <c r="C10420" s="3063"/>
      <c r="D10420" s="3064"/>
      <c r="E10420" s="3064"/>
      <c r="F10420" s="3064"/>
      <c r="G10420" s="3302" t="s">
        <v>81</v>
      </c>
      <c r="H10420" s="3063"/>
      <c r="I10420" s="3030"/>
    </row>
    <row r="10421" spans="2:9" ht="26.25" thickBot="1">
      <c r="B10421" s="3303" t="s">
        <v>81</v>
      </c>
      <c r="C10421" s="3068"/>
      <c r="D10421" s="3069"/>
      <c r="E10421" s="3069"/>
      <c r="F10421" s="3069"/>
      <c r="G10421" s="3304" t="s">
        <v>81</v>
      </c>
      <c r="H10421" s="3068"/>
      <c r="I10421" s="3070"/>
    </row>
    <row r="10422" spans="2:9" ht="38.25">
      <c r="B10422" s="4723">
        <v>3223</v>
      </c>
      <c r="C10422" s="3289"/>
      <c r="D10422" s="3290"/>
      <c r="E10422" s="3290"/>
      <c r="F10422" s="3290"/>
      <c r="G10422" s="4723">
        <v>3223</v>
      </c>
      <c r="H10422" s="3291" t="s">
        <v>687</v>
      </c>
      <c r="I10422" s="3292" t="s">
        <v>688</v>
      </c>
    </row>
    <row r="10423" spans="2:9">
      <c r="B10423" s="4724"/>
      <c r="C10423" s="4678" t="s">
        <v>686</v>
      </c>
      <c r="D10423" s="4725"/>
      <c r="E10423" s="4725"/>
      <c r="F10423" s="4726"/>
      <c r="G10423" s="4724"/>
      <c r="H10423" s="3293"/>
      <c r="I10423" s="3294"/>
    </row>
    <row r="10424" spans="2:9" ht="13.5" thickBot="1">
      <c r="B10424" s="4724"/>
      <c r="C10424" s="3215">
        <v>2013</v>
      </c>
      <c r="D10424" s="3215">
        <v>2014</v>
      </c>
      <c r="E10424" s="3215">
        <v>2015</v>
      </c>
      <c r="F10424" s="3215">
        <v>2016</v>
      </c>
      <c r="G10424" s="4724"/>
      <c r="H10424" s="3295" t="s">
        <v>390</v>
      </c>
      <c r="I10424" s="3296" t="s">
        <v>390</v>
      </c>
    </row>
    <row r="10425" spans="2:9">
      <c r="B10425" s="3217" t="s">
        <v>695</v>
      </c>
      <c r="C10425" s="3218"/>
      <c r="D10425" s="3219"/>
      <c r="E10425" s="3219"/>
      <c r="F10425" s="3219"/>
      <c r="G10425" s="3217" t="s">
        <v>695</v>
      </c>
      <c r="H10425" s="3297"/>
      <c r="I10425" s="3298"/>
    </row>
    <row r="10426" spans="2:9">
      <c r="B10426" s="3299" t="s">
        <v>64</v>
      </c>
      <c r="C10426" s="3063"/>
      <c r="D10426" s="3064"/>
      <c r="E10426" s="3064"/>
      <c r="F10426" s="3064"/>
      <c r="G10426" s="3300" t="s">
        <v>64</v>
      </c>
      <c r="H10426" s="3063"/>
      <c r="I10426" s="3030"/>
    </row>
    <row r="10427" spans="2:9" ht="25.5">
      <c r="B10427" s="3192" t="s">
        <v>675</v>
      </c>
      <c r="C10427" s="3063"/>
      <c r="D10427" s="3064"/>
      <c r="E10427" s="3064"/>
      <c r="F10427" s="3064"/>
      <c r="G10427" s="3301" t="s">
        <v>675</v>
      </c>
      <c r="H10427" s="3063"/>
      <c r="I10427" s="3030"/>
    </row>
    <row r="10428" spans="2:9" ht="25.5">
      <c r="B10428" s="3192" t="s">
        <v>676</v>
      </c>
      <c r="C10428" s="3063"/>
      <c r="D10428" s="3064"/>
      <c r="E10428" s="3064"/>
      <c r="F10428" s="3064"/>
      <c r="G10428" s="3301" t="s">
        <v>676</v>
      </c>
      <c r="H10428" s="3063"/>
      <c r="I10428" s="3030"/>
    </row>
    <row r="10429" spans="2:9">
      <c r="B10429" s="3192" t="s">
        <v>677</v>
      </c>
      <c r="C10429" s="3063"/>
      <c r="D10429" s="3064"/>
      <c r="E10429" s="3064"/>
      <c r="F10429" s="3064"/>
      <c r="G10429" s="3301" t="s">
        <v>677</v>
      </c>
      <c r="H10429" s="3063"/>
      <c r="I10429" s="3030"/>
    </row>
    <row r="10430" spans="2:9">
      <c r="B10430" s="3192" t="s">
        <v>678</v>
      </c>
      <c r="C10430" s="3063"/>
      <c r="D10430" s="3064"/>
      <c r="E10430" s="3064"/>
      <c r="F10430" s="3064"/>
      <c r="G10430" s="3301" t="s">
        <v>678</v>
      </c>
      <c r="H10430" s="3063"/>
      <c r="I10430" s="3030"/>
    </row>
    <row r="10431" spans="2:9">
      <c r="B10431" s="3192" t="s">
        <v>679</v>
      </c>
      <c r="C10431" s="3063"/>
      <c r="D10431" s="3064"/>
      <c r="E10431" s="3064"/>
      <c r="F10431" s="3064"/>
      <c r="G10431" s="3301" t="s">
        <v>679</v>
      </c>
      <c r="H10431" s="3063"/>
      <c r="I10431" s="3030"/>
    </row>
    <row r="10432" spans="2:9" ht="25.5">
      <c r="B10432" s="3192" t="s">
        <v>720</v>
      </c>
      <c r="C10432" s="3063"/>
      <c r="D10432" s="3064"/>
      <c r="E10432" s="3064"/>
      <c r="F10432" s="3064"/>
      <c r="G10432" s="3301" t="s">
        <v>720</v>
      </c>
      <c r="H10432" s="3063"/>
      <c r="I10432" s="3030"/>
    </row>
    <row r="10433" spans="2:9">
      <c r="B10433" s="3299" t="s">
        <v>65</v>
      </c>
      <c r="C10433" s="3063"/>
      <c r="D10433" s="3064"/>
      <c r="E10433" s="3064"/>
      <c r="F10433" s="3064"/>
      <c r="G10433" s="3300" t="s">
        <v>65</v>
      </c>
      <c r="H10433" s="3063"/>
      <c r="I10433" s="3030"/>
    </row>
    <row r="10434" spans="2:9" ht="25.5">
      <c r="B10434" s="3192" t="s">
        <v>675</v>
      </c>
      <c r="C10434" s="3063"/>
      <c r="D10434" s="3064"/>
      <c r="E10434" s="3064"/>
      <c r="F10434" s="3064"/>
      <c r="G10434" s="3301" t="s">
        <v>675</v>
      </c>
      <c r="H10434" s="3063"/>
      <c r="I10434" s="3030"/>
    </row>
    <row r="10435" spans="2:9" ht="25.5">
      <c r="B10435" s="3192" t="s">
        <v>676</v>
      </c>
      <c r="C10435" s="3063"/>
      <c r="D10435" s="3064"/>
      <c r="E10435" s="3064"/>
      <c r="F10435" s="3064"/>
      <c r="G10435" s="3301" t="s">
        <v>676</v>
      </c>
      <c r="H10435" s="3063"/>
      <c r="I10435" s="3030"/>
    </row>
    <row r="10436" spans="2:9">
      <c r="B10436" s="3192" t="s">
        <v>677</v>
      </c>
      <c r="C10436" s="3063"/>
      <c r="D10436" s="3064"/>
      <c r="E10436" s="3064"/>
      <c r="F10436" s="3064"/>
      <c r="G10436" s="3301" t="s">
        <v>677</v>
      </c>
      <c r="H10436" s="3063"/>
      <c r="I10436" s="3030"/>
    </row>
    <row r="10437" spans="2:9">
      <c r="B10437" s="3192" t="s">
        <v>678</v>
      </c>
      <c r="C10437" s="3063"/>
      <c r="D10437" s="3064"/>
      <c r="E10437" s="3064"/>
      <c r="F10437" s="3064"/>
      <c r="G10437" s="3301" t="s">
        <v>678</v>
      </c>
      <c r="H10437" s="3063"/>
      <c r="I10437" s="3030"/>
    </row>
    <row r="10438" spans="2:9">
      <c r="B10438" s="3192" t="s">
        <v>679</v>
      </c>
      <c r="C10438" s="3063"/>
      <c r="D10438" s="3064"/>
      <c r="E10438" s="3064"/>
      <c r="F10438" s="3064"/>
      <c r="G10438" s="3301" t="s">
        <v>679</v>
      </c>
      <c r="H10438" s="3063"/>
      <c r="I10438" s="3030"/>
    </row>
    <row r="10439" spans="2:9" ht="25.5">
      <c r="B10439" s="3192" t="s">
        <v>720</v>
      </c>
      <c r="C10439" s="3063"/>
      <c r="D10439" s="3064"/>
      <c r="E10439" s="3064"/>
      <c r="F10439" s="3064"/>
      <c r="G10439" s="3301" t="s">
        <v>720</v>
      </c>
      <c r="H10439" s="3063"/>
      <c r="I10439" s="3030"/>
    </row>
    <row r="10440" spans="2:9">
      <c r="B10440" s="3299" t="s">
        <v>82</v>
      </c>
      <c r="C10440" s="3063"/>
      <c r="D10440" s="3064"/>
      <c r="E10440" s="3064"/>
      <c r="F10440" s="3064"/>
      <c r="G10440" s="3300" t="s">
        <v>82</v>
      </c>
      <c r="H10440" s="3063"/>
      <c r="I10440" s="3030"/>
    </row>
    <row r="10441" spans="2:9" ht="25.5">
      <c r="B10441" s="3192" t="s">
        <v>675</v>
      </c>
      <c r="C10441" s="3063"/>
      <c r="D10441" s="3064"/>
      <c r="E10441" s="3064"/>
      <c r="F10441" s="3064"/>
      <c r="G10441" s="3301" t="s">
        <v>675</v>
      </c>
      <c r="H10441" s="3063"/>
      <c r="I10441" s="3030"/>
    </row>
    <row r="10442" spans="2:9" ht="25.5">
      <c r="B10442" s="3192" t="s">
        <v>676</v>
      </c>
      <c r="C10442" s="3063"/>
      <c r="D10442" s="3064"/>
      <c r="E10442" s="3064"/>
      <c r="F10442" s="3064"/>
      <c r="G10442" s="3301" t="s">
        <v>676</v>
      </c>
      <c r="H10442" s="3063"/>
      <c r="I10442" s="3030"/>
    </row>
    <row r="10443" spans="2:9">
      <c r="B10443" s="3192" t="s">
        <v>677</v>
      </c>
      <c r="C10443" s="3063"/>
      <c r="D10443" s="3064"/>
      <c r="E10443" s="3064"/>
      <c r="F10443" s="3064"/>
      <c r="G10443" s="3301" t="s">
        <v>677</v>
      </c>
      <c r="H10443" s="3063"/>
      <c r="I10443" s="3030"/>
    </row>
    <row r="10444" spans="2:9">
      <c r="B10444" s="3192" t="s">
        <v>678</v>
      </c>
      <c r="C10444" s="3063"/>
      <c r="D10444" s="3064"/>
      <c r="E10444" s="3064"/>
      <c r="F10444" s="3064"/>
      <c r="G10444" s="3301" t="s">
        <v>678</v>
      </c>
      <c r="H10444" s="3063"/>
      <c r="I10444" s="3030"/>
    </row>
    <row r="10445" spans="2:9">
      <c r="B10445" s="3192" t="s">
        <v>679</v>
      </c>
      <c r="C10445" s="3063"/>
      <c r="D10445" s="3064"/>
      <c r="E10445" s="3064"/>
      <c r="F10445" s="3064"/>
      <c r="G10445" s="3301" t="s">
        <v>679</v>
      </c>
      <c r="H10445" s="3063"/>
      <c r="I10445" s="3030"/>
    </row>
    <row r="10446" spans="2:9" ht="25.5">
      <c r="B10446" s="3192" t="s">
        <v>720</v>
      </c>
      <c r="C10446" s="3063"/>
      <c r="D10446" s="3064"/>
      <c r="E10446" s="3064"/>
      <c r="F10446" s="3064"/>
      <c r="G10446" s="3301" t="s">
        <v>720</v>
      </c>
      <c r="H10446" s="3063"/>
      <c r="I10446" s="3030"/>
    </row>
    <row r="10447" spans="2:9" ht="38.25">
      <c r="B10447" s="3299" t="s">
        <v>680</v>
      </c>
      <c r="C10447" s="3063"/>
      <c r="D10447" s="3064"/>
      <c r="E10447" s="3064"/>
      <c r="F10447" s="3064"/>
      <c r="G10447" s="3300" t="s">
        <v>680</v>
      </c>
      <c r="H10447" s="3063"/>
      <c r="I10447" s="3030"/>
    </row>
    <row r="10448" spans="2:9" ht="25.5">
      <c r="B10448" s="3192" t="s">
        <v>675</v>
      </c>
      <c r="C10448" s="3063"/>
      <c r="D10448" s="3064"/>
      <c r="E10448" s="3064"/>
      <c r="F10448" s="3064"/>
      <c r="G10448" s="3301" t="s">
        <v>675</v>
      </c>
      <c r="H10448" s="3063"/>
      <c r="I10448" s="3030"/>
    </row>
    <row r="10449" spans="2:9" ht="25.5">
      <c r="B10449" s="3192" t="s">
        <v>676</v>
      </c>
      <c r="C10449" s="3063"/>
      <c r="D10449" s="3064"/>
      <c r="E10449" s="3064"/>
      <c r="F10449" s="3064"/>
      <c r="G10449" s="3301" t="s">
        <v>676</v>
      </c>
      <c r="H10449" s="3063"/>
      <c r="I10449" s="3030"/>
    </row>
    <row r="10450" spans="2:9">
      <c r="B10450" s="3192" t="s">
        <v>677</v>
      </c>
      <c r="C10450" s="3063"/>
      <c r="D10450" s="3064"/>
      <c r="E10450" s="3064"/>
      <c r="F10450" s="3064"/>
      <c r="G10450" s="3301" t="s">
        <v>677</v>
      </c>
      <c r="H10450" s="3063"/>
      <c r="I10450" s="3030"/>
    </row>
    <row r="10451" spans="2:9">
      <c r="B10451" s="3192" t="s">
        <v>678</v>
      </c>
      <c r="C10451" s="3063"/>
      <c r="D10451" s="3064"/>
      <c r="E10451" s="3064"/>
      <c r="F10451" s="3064"/>
      <c r="G10451" s="3301" t="s">
        <v>678</v>
      </c>
      <c r="H10451" s="3063"/>
      <c r="I10451" s="3030"/>
    </row>
    <row r="10452" spans="2:9">
      <c r="B10452" s="3192" t="s">
        <v>679</v>
      </c>
      <c r="C10452" s="3063"/>
      <c r="D10452" s="3064"/>
      <c r="E10452" s="3064"/>
      <c r="F10452" s="3064"/>
      <c r="G10452" s="3301" t="s">
        <v>679</v>
      </c>
      <c r="H10452" s="3063"/>
      <c r="I10452" s="3030"/>
    </row>
    <row r="10453" spans="2:9" ht="25.5">
      <c r="B10453" s="3192" t="s">
        <v>720</v>
      </c>
      <c r="C10453" s="3063"/>
      <c r="D10453" s="3064"/>
      <c r="E10453" s="3064"/>
      <c r="F10453" s="3064"/>
      <c r="G10453" s="3301" t="s">
        <v>720</v>
      </c>
      <c r="H10453" s="3063"/>
      <c r="I10453" s="3030"/>
    </row>
    <row r="10454" spans="2:9" ht="38.25">
      <c r="B10454" s="3299" t="s">
        <v>681</v>
      </c>
      <c r="C10454" s="3063"/>
      <c r="D10454" s="3064"/>
      <c r="E10454" s="3064"/>
      <c r="F10454" s="3064"/>
      <c r="G10454" s="3300" t="s">
        <v>681</v>
      </c>
      <c r="H10454" s="3063"/>
      <c r="I10454" s="3030"/>
    </row>
    <row r="10455" spans="2:9" ht="25.5">
      <c r="B10455" s="3192" t="s">
        <v>675</v>
      </c>
      <c r="C10455" s="3063"/>
      <c r="D10455" s="3064"/>
      <c r="E10455" s="3064"/>
      <c r="F10455" s="3064"/>
      <c r="G10455" s="3301" t="s">
        <v>675</v>
      </c>
      <c r="H10455" s="3063"/>
      <c r="I10455" s="3030"/>
    </row>
    <row r="10456" spans="2:9" ht="25.5">
      <c r="B10456" s="3192" t="s">
        <v>676</v>
      </c>
      <c r="C10456" s="3063"/>
      <c r="D10456" s="3064"/>
      <c r="E10456" s="3064"/>
      <c r="F10456" s="3064"/>
      <c r="G10456" s="3301" t="s">
        <v>676</v>
      </c>
      <c r="H10456" s="3063"/>
      <c r="I10456" s="3030"/>
    </row>
    <row r="10457" spans="2:9">
      <c r="B10457" s="3192" t="s">
        <v>677</v>
      </c>
      <c r="C10457" s="3063"/>
      <c r="D10457" s="3064"/>
      <c r="E10457" s="3064"/>
      <c r="F10457" s="3064"/>
      <c r="G10457" s="3301" t="s">
        <v>677</v>
      </c>
      <c r="H10457" s="3063"/>
      <c r="I10457" s="3030"/>
    </row>
    <row r="10458" spans="2:9">
      <c r="B10458" s="3192" t="s">
        <v>678</v>
      </c>
      <c r="C10458" s="3063"/>
      <c r="D10458" s="3064"/>
      <c r="E10458" s="3064"/>
      <c r="F10458" s="3064"/>
      <c r="G10458" s="3301" t="s">
        <v>678</v>
      </c>
      <c r="H10458" s="3063"/>
      <c r="I10458" s="3030"/>
    </row>
    <row r="10459" spans="2:9">
      <c r="B10459" s="3192" t="s">
        <v>679</v>
      </c>
      <c r="C10459" s="3063"/>
      <c r="D10459" s="3064"/>
      <c r="E10459" s="3064"/>
      <c r="F10459" s="3064"/>
      <c r="G10459" s="3301" t="s">
        <v>679</v>
      </c>
      <c r="H10459" s="3063"/>
      <c r="I10459" s="3030"/>
    </row>
    <row r="10460" spans="2:9" ht="25.5">
      <c r="B10460" s="3192" t="s">
        <v>720</v>
      </c>
      <c r="C10460" s="3063"/>
      <c r="D10460" s="3064"/>
      <c r="E10460" s="3064"/>
      <c r="F10460" s="3064"/>
      <c r="G10460" s="3301" t="s">
        <v>720</v>
      </c>
      <c r="H10460" s="3063"/>
      <c r="I10460" s="3030"/>
    </row>
    <row r="10461" spans="2:9" ht="25.5">
      <c r="B10461" s="3299" t="s">
        <v>682</v>
      </c>
      <c r="C10461" s="3063"/>
      <c r="D10461" s="3064"/>
      <c r="E10461" s="3064"/>
      <c r="F10461" s="3064"/>
      <c r="G10461" s="3300" t="s">
        <v>682</v>
      </c>
      <c r="H10461" s="3063"/>
      <c r="I10461" s="3030"/>
    </row>
    <row r="10462" spans="2:9" ht="25.5">
      <c r="B10462" s="3192" t="s">
        <v>675</v>
      </c>
      <c r="C10462" s="3063"/>
      <c r="D10462" s="3064"/>
      <c r="E10462" s="3064"/>
      <c r="F10462" s="3064"/>
      <c r="G10462" s="3301" t="s">
        <v>675</v>
      </c>
      <c r="H10462" s="3063"/>
      <c r="I10462" s="3030"/>
    </row>
    <row r="10463" spans="2:9" ht="25.5">
      <c r="B10463" s="3192" t="s">
        <v>676</v>
      </c>
      <c r="C10463" s="3063"/>
      <c r="D10463" s="3064"/>
      <c r="E10463" s="3064"/>
      <c r="F10463" s="3064"/>
      <c r="G10463" s="3301" t="s">
        <v>676</v>
      </c>
      <c r="H10463" s="3063"/>
      <c r="I10463" s="3030"/>
    </row>
    <row r="10464" spans="2:9">
      <c r="B10464" s="3192" t="s">
        <v>677</v>
      </c>
      <c r="C10464" s="3063"/>
      <c r="D10464" s="3064"/>
      <c r="E10464" s="3064"/>
      <c r="F10464" s="3064"/>
      <c r="G10464" s="3301" t="s">
        <v>677</v>
      </c>
      <c r="H10464" s="3063"/>
      <c r="I10464" s="3030"/>
    </row>
    <row r="10465" spans="2:9">
      <c r="B10465" s="3192" t="s">
        <v>678</v>
      </c>
      <c r="C10465" s="3063"/>
      <c r="D10465" s="3064"/>
      <c r="E10465" s="3064"/>
      <c r="F10465" s="3064"/>
      <c r="G10465" s="3301" t="s">
        <v>678</v>
      </c>
      <c r="H10465" s="3063"/>
      <c r="I10465" s="3030"/>
    </row>
    <row r="10466" spans="2:9">
      <c r="B10466" s="3192" t="s">
        <v>679</v>
      </c>
      <c r="C10466" s="3063"/>
      <c r="D10466" s="3064"/>
      <c r="E10466" s="3064"/>
      <c r="F10466" s="3064"/>
      <c r="G10466" s="3301" t="s">
        <v>679</v>
      </c>
      <c r="H10466" s="3063"/>
      <c r="I10466" s="3030"/>
    </row>
    <row r="10467" spans="2:9" ht="25.5">
      <c r="B10467" s="3192" t="s">
        <v>720</v>
      </c>
      <c r="C10467" s="3063"/>
      <c r="D10467" s="3064"/>
      <c r="E10467" s="3064"/>
      <c r="F10467" s="3064"/>
      <c r="G10467" s="3301" t="s">
        <v>720</v>
      </c>
      <c r="H10467" s="3063"/>
      <c r="I10467" s="3030"/>
    </row>
    <row r="10468" spans="2:9" ht="25.5">
      <c r="B10468" s="3299" t="s">
        <v>66</v>
      </c>
      <c r="C10468" s="3063"/>
      <c r="D10468" s="3064"/>
      <c r="E10468" s="3064"/>
      <c r="F10468" s="3064"/>
      <c r="G10468" s="3300" t="s">
        <v>66</v>
      </c>
      <c r="H10468" s="3063"/>
      <c r="I10468" s="3030"/>
    </row>
    <row r="10469" spans="2:9" ht="25.5">
      <c r="B10469" s="3192" t="s">
        <v>675</v>
      </c>
      <c r="C10469" s="3063"/>
      <c r="D10469" s="3064"/>
      <c r="E10469" s="3064"/>
      <c r="F10469" s="3064"/>
      <c r="G10469" s="3301" t="s">
        <v>675</v>
      </c>
      <c r="H10469" s="3063"/>
      <c r="I10469" s="3030"/>
    </row>
    <row r="10470" spans="2:9" ht="25.5">
      <c r="B10470" s="3192" t="s">
        <v>676</v>
      </c>
      <c r="C10470" s="3063"/>
      <c r="D10470" s="3064"/>
      <c r="E10470" s="3064"/>
      <c r="F10470" s="3064"/>
      <c r="G10470" s="3301" t="s">
        <v>676</v>
      </c>
      <c r="H10470" s="3063"/>
      <c r="I10470" s="3030"/>
    </row>
    <row r="10471" spans="2:9">
      <c r="B10471" s="3192" t="s">
        <v>677</v>
      </c>
      <c r="C10471" s="3063"/>
      <c r="D10471" s="3064"/>
      <c r="E10471" s="3064"/>
      <c r="F10471" s="3064"/>
      <c r="G10471" s="3301" t="s">
        <v>677</v>
      </c>
      <c r="H10471" s="3063"/>
      <c r="I10471" s="3030"/>
    </row>
    <row r="10472" spans="2:9">
      <c r="B10472" s="3192" t="s">
        <v>678</v>
      </c>
      <c r="C10472" s="3063"/>
      <c r="D10472" s="3064"/>
      <c r="E10472" s="3064"/>
      <c r="F10472" s="3064"/>
      <c r="G10472" s="3301" t="s">
        <v>678</v>
      </c>
      <c r="H10472" s="3063"/>
      <c r="I10472" s="3030"/>
    </row>
    <row r="10473" spans="2:9">
      <c r="B10473" s="3192" t="s">
        <v>679</v>
      </c>
      <c r="C10473" s="3063"/>
      <c r="D10473" s="3064"/>
      <c r="E10473" s="3064"/>
      <c r="F10473" s="3064"/>
      <c r="G10473" s="3301" t="s">
        <v>679</v>
      </c>
      <c r="H10473" s="3063"/>
      <c r="I10473" s="3030"/>
    </row>
    <row r="10474" spans="2:9" ht="25.5">
      <c r="B10474" s="3192" t="s">
        <v>720</v>
      </c>
      <c r="C10474" s="3063"/>
      <c r="D10474" s="3064"/>
      <c r="E10474" s="3064"/>
      <c r="F10474" s="3064"/>
      <c r="G10474" s="3301" t="s">
        <v>720</v>
      </c>
      <c r="H10474" s="3063"/>
      <c r="I10474" s="3030"/>
    </row>
    <row r="10475" spans="2:9">
      <c r="B10475" s="3299" t="s">
        <v>67</v>
      </c>
      <c r="C10475" s="3063"/>
      <c r="D10475" s="3064"/>
      <c r="E10475" s="3064"/>
      <c r="F10475" s="3064"/>
      <c r="G10475" s="3300" t="s">
        <v>67</v>
      </c>
      <c r="H10475" s="3063"/>
      <c r="I10475" s="3030"/>
    </row>
    <row r="10476" spans="2:9" ht="25.5">
      <c r="B10476" s="3192" t="s">
        <v>675</v>
      </c>
      <c r="C10476" s="3063"/>
      <c r="D10476" s="3064"/>
      <c r="E10476" s="3064"/>
      <c r="F10476" s="3064"/>
      <c r="G10476" s="3301" t="s">
        <v>675</v>
      </c>
      <c r="H10476" s="3063"/>
      <c r="I10476" s="3030"/>
    </row>
    <row r="10477" spans="2:9" ht="25.5">
      <c r="B10477" s="3192" t="s">
        <v>676</v>
      </c>
      <c r="C10477" s="3063"/>
      <c r="D10477" s="3064"/>
      <c r="E10477" s="3064"/>
      <c r="F10477" s="3064"/>
      <c r="G10477" s="3301" t="s">
        <v>676</v>
      </c>
      <c r="H10477" s="3063"/>
      <c r="I10477" s="3030"/>
    </row>
    <row r="10478" spans="2:9">
      <c r="B10478" s="3192" t="s">
        <v>677</v>
      </c>
      <c r="C10478" s="3063"/>
      <c r="D10478" s="3064"/>
      <c r="E10478" s="3064"/>
      <c r="F10478" s="3064"/>
      <c r="G10478" s="3301" t="s">
        <v>677</v>
      </c>
      <c r="H10478" s="3063"/>
      <c r="I10478" s="3030"/>
    </row>
    <row r="10479" spans="2:9">
      <c r="B10479" s="3192" t="s">
        <v>678</v>
      </c>
      <c r="C10479" s="3063"/>
      <c r="D10479" s="3064"/>
      <c r="E10479" s="3064"/>
      <c r="F10479" s="3064"/>
      <c r="G10479" s="3301" t="s">
        <v>678</v>
      </c>
      <c r="H10479" s="3063"/>
      <c r="I10479" s="3030"/>
    </row>
    <row r="10480" spans="2:9">
      <c r="B10480" s="3192" t="s">
        <v>679</v>
      </c>
      <c r="C10480" s="3063"/>
      <c r="D10480" s="3064"/>
      <c r="E10480" s="3064"/>
      <c r="F10480" s="3064"/>
      <c r="G10480" s="3301" t="s">
        <v>679</v>
      </c>
      <c r="H10480" s="3063"/>
      <c r="I10480" s="3030"/>
    </row>
    <row r="10481" spans="2:9" ht="25.5">
      <c r="B10481" s="3192" t="s">
        <v>720</v>
      </c>
      <c r="C10481" s="3063"/>
      <c r="D10481" s="3064"/>
      <c r="E10481" s="3064"/>
      <c r="F10481" s="3064"/>
      <c r="G10481" s="3301" t="s">
        <v>720</v>
      </c>
      <c r="H10481" s="3063"/>
      <c r="I10481" s="3030"/>
    </row>
    <row r="10482" spans="2:9" ht="25.5">
      <c r="B10482" s="3230" t="s">
        <v>81</v>
      </c>
      <c r="C10482" s="3063"/>
      <c r="D10482" s="3064"/>
      <c r="E10482" s="3064"/>
      <c r="F10482" s="3064"/>
      <c r="G10482" s="3302" t="s">
        <v>81</v>
      </c>
      <c r="H10482" s="3063"/>
      <c r="I10482" s="3030"/>
    </row>
    <row r="10483" spans="2:9" ht="26.25" thickBot="1">
      <c r="B10483" s="3303" t="s">
        <v>81</v>
      </c>
      <c r="C10483" s="3063"/>
      <c r="D10483" s="3064"/>
      <c r="E10483" s="3064"/>
      <c r="F10483" s="3064"/>
      <c r="G10483" s="3302" t="s">
        <v>81</v>
      </c>
      <c r="H10483" s="3063"/>
      <c r="I10483" s="3030"/>
    </row>
    <row r="10484" spans="2:9" ht="25.5">
      <c r="B10484" s="3217" t="s">
        <v>696</v>
      </c>
      <c r="C10484" s="3218"/>
      <c r="D10484" s="3219"/>
      <c r="E10484" s="3219"/>
      <c r="F10484" s="3219"/>
      <c r="G10484" s="3217" t="s">
        <v>696</v>
      </c>
      <c r="H10484" s="3297"/>
      <c r="I10484" s="3298"/>
    </row>
    <row r="10485" spans="2:9">
      <c r="B10485" s="3299" t="s">
        <v>64</v>
      </c>
      <c r="C10485" s="3063"/>
      <c r="D10485" s="3064"/>
      <c r="E10485" s="3064"/>
      <c r="F10485" s="3064"/>
      <c r="G10485" s="3300" t="s">
        <v>64</v>
      </c>
      <c r="H10485" s="3063"/>
      <c r="I10485" s="3030"/>
    </row>
    <row r="10486" spans="2:9" ht="25.5">
      <c r="B10486" s="3192" t="s">
        <v>675</v>
      </c>
      <c r="C10486" s="3063"/>
      <c r="D10486" s="3064"/>
      <c r="E10486" s="3064"/>
      <c r="F10486" s="3064"/>
      <c r="G10486" s="3301" t="s">
        <v>675</v>
      </c>
      <c r="H10486" s="3063"/>
      <c r="I10486" s="3030"/>
    </row>
    <row r="10487" spans="2:9" ht="25.5">
      <c r="B10487" s="3192" t="s">
        <v>676</v>
      </c>
      <c r="C10487" s="3063"/>
      <c r="D10487" s="3064"/>
      <c r="E10487" s="3064"/>
      <c r="F10487" s="3064"/>
      <c r="G10487" s="3301" t="s">
        <v>676</v>
      </c>
      <c r="H10487" s="3063"/>
      <c r="I10487" s="3030"/>
    </row>
    <row r="10488" spans="2:9">
      <c r="B10488" s="3192" t="s">
        <v>677</v>
      </c>
      <c r="C10488" s="3063"/>
      <c r="D10488" s="3064"/>
      <c r="E10488" s="3064"/>
      <c r="F10488" s="3064"/>
      <c r="G10488" s="3301" t="s">
        <v>677</v>
      </c>
      <c r="H10488" s="3063"/>
      <c r="I10488" s="3030"/>
    </row>
    <row r="10489" spans="2:9">
      <c r="B10489" s="3192" t="s">
        <v>678</v>
      </c>
      <c r="C10489" s="3063"/>
      <c r="D10489" s="3064"/>
      <c r="E10489" s="3064"/>
      <c r="F10489" s="3064"/>
      <c r="G10489" s="3301" t="s">
        <v>678</v>
      </c>
      <c r="H10489" s="3063"/>
      <c r="I10489" s="3030"/>
    </row>
    <row r="10490" spans="2:9">
      <c r="B10490" s="3192" t="s">
        <v>679</v>
      </c>
      <c r="C10490" s="3063"/>
      <c r="D10490" s="3064"/>
      <c r="E10490" s="3064"/>
      <c r="F10490" s="3064"/>
      <c r="G10490" s="3301" t="s">
        <v>679</v>
      </c>
      <c r="H10490" s="3063"/>
      <c r="I10490" s="3030"/>
    </row>
    <row r="10491" spans="2:9" ht="25.5">
      <c r="B10491" s="3192" t="s">
        <v>720</v>
      </c>
      <c r="C10491" s="3063"/>
      <c r="D10491" s="3064"/>
      <c r="E10491" s="3064"/>
      <c r="F10491" s="3064"/>
      <c r="G10491" s="3301" t="s">
        <v>720</v>
      </c>
      <c r="H10491" s="3063"/>
      <c r="I10491" s="3030"/>
    </row>
    <row r="10492" spans="2:9">
      <c r="B10492" s="3299" t="s">
        <v>65</v>
      </c>
      <c r="C10492" s="3063"/>
      <c r="D10492" s="3064"/>
      <c r="E10492" s="3064"/>
      <c r="F10492" s="3064"/>
      <c r="G10492" s="3300" t="s">
        <v>65</v>
      </c>
      <c r="H10492" s="3063"/>
      <c r="I10492" s="3030"/>
    </row>
    <row r="10493" spans="2:9" ht="25.5">
      <c r="B10493" s="3192" t="s">
        <v>675</v>
      </c>
      <c r="C10493" s="3063"/>
      <c r="D10493" s="3064"/>
      <c r="E10493" s="3064"/>
      <c r="F10493" s="3064"/>
      <c r="G10493" s="3301" t="s">
        <v>675</v>
      </c>
      <c r="H10493" s="3063"/>
      <c r="I10493" s="3030"/>
    </row>
    <row r="10494" spans="2:9" ht="25.5">
      <c r="B10494" s="3192" t="s">
        <v>676</v>
      </c>
      <c r="C10494" s="3063"/>
      <c r="D10494" s="3064"/>
      <c r="E10494" s="3064"/>
      <c r="F10494" s="3064"/>
      <c r="G10494" s="3301" t="s">
        <v>676</v>
      </c>
      <c r="H10494" s="3063"/>
      <c r="I10494" s="3030"/>
    </row>
    <row r="10495" spans="2:9">
      <c r="B10495" s="3192" t="s">
        <v>677</v>
      </c>
      <c r="C10495" s="3063"/>
      <c r="D10495" s="3064"/>
      <c r="E10495" s="3064"/>
      <c r="F10495" s="3064"/>
      <c r="G10495" s="3301" t="s">
        <v>677</v>
      </c>
      <c r="H10495" s="3063"/>
      <c r="I10495" s="3030"/>
    </row>
    <row r="10496" spans="2:9">
      <c r="B10496" s="3192" t="s">
        <v>678</v>
      </c>
      <c r="C10496" s="3063"/>
      <c r="D10496" s="3064"/>
      <c r="E10496" s="3064"/>
      <c r="F10496" s="3064"/>
      <c r="G10496" s="3301" t="s">
        <v>678</v>
      </c>
      <c r="H10496" s="3063"/>
      <c r="I10496" s="3030"/>
    </row>
    <row r="10497" spans="2:9">
      <c r="B10497" s="3192" t="s">
        <v>679</v>
      </c>
      <c r="C10497" s="3063"/>
      <c r="D10497" s="3064"/>
      <c r="E10497" s="3064"/>
      <c r="F10497" s="3064"/>
      <c r="G10497" s="3301" t="s">
        <v>679</v>
      </c>
      <c r="H10497" s="3063"/>
      <c r="I10497" s="3030"/>
    </row>
    <row r="10498" spans="2:9" ht="25.5">
      <c r="B10498" s="3192" t="s">
        <v>720</v>
      </c>
      <c r="C10498" s="3063"/>
      <c r="D10498" s="3064"/>
      <c r="E10498" s="3064"/>
      <c r="F10498" s="3064"/>
      <c r="G10498" s="3301" t="s">
        <v>720</v>
      </c>
      <c r="H10498" s="3063"/>
      <c r="I10498" s="3030"/>
    </row>
    <row r="10499" spans="2:9">
      <c r="B10499" s="3299" t="s">
        <v>82</v>
      </c>
      <c r="C10499" s="3063"/>
      <c r="D10499" s="3064"/>
      <c r="E10499" s="3064"/>
      <c r="F10499" s="3064"/>
      <c r="G10499" s="3300" t="s">
        <v>82</v>
      </c>
      <c r="H10499" s="3063"/>
      <c r="I10499" s="3030"/>
    </row>
    <row r="10500" spans="2:9" ht="25.5">
      <c r="B10500" s="3192" t="s">
        <v>675</v>
      </c>
      <c r="C10500" s="3063"/>
      <c r="D10500" s="3064"/>
      <c r="E10500" s="3064"/>
      <c r="F10500" s="3064"/>
      <c r="G10500" s="3301" t="s">
        <v>675</v>
      </c>
      <c r="H10500" s="3063"/>
      <c r="I10500" s="3030"/>
    </row>
    <row r="10501" spans="2:9" ht="25.5">
      <c r="B10501" s="3192" t="s">
        <v>676</v>
      </c>
      <c r="C10501" s="3063"/>
      <c r="D10501" s="3064"/>
      <c r="E10501" s="3064"/>
      <c r="F10501" s="3064"/>
      <c r="G10501" s="3301" t="s">
        <v>676</v>
      </c>
      <c r="H10501" s="3063"/>
      <c r="I10501" s="3030"/>
    </row>
    <row r="10502" spans="2:9">
      <c r="B10502" s="3192" t="s">
        <v>677</v>
      </c>
      <c r="C10502" s="3063"/>
      <c r="D10502" s="3064"/>
      <c r="E10502" s="3064"/>
      <c r="F10502" s="3064"/>
      <c r="G10502" s="3301" t="s">
        <v>677</v>
      </c>
      <c r="H10502" s="3063"/>
      <c r="I10502" s="3030"/>
    </row>
    <row r="10503" spans="2:9">
      <c r="B10503" s="3192" t="s">
        <v>678</v>
      </c>
      <c r="C10503" s="3063"/>
      <c r="D10503" s="3064"/>
      <c r="E10503" s="3064"/>
      <c r="F10503" s="3064"/>
      <c r="G10503" s="3301" t="s">
        <v>678</v>
      </c>
      <c r="H10503" s="3063"/>
      <c r="I10503" s="3030"/>
    </row>
    <row r="10504" spans="2:9">
      <c r="B10504" s="3192" t="s">
        <v>679</v>
      </c>
      <c r="C10504" s="3063"/>
      <c r="D10504" s="3064"/>
      <c r="E10504" s="3064"/>
      <c r="F10504" s="3064"/>
      <c r="G10504" s="3301" t="s">
        <v>679</v>
      </c>
      <c r="H10504" s="3063"/>
      <c r="I10504" s="3030"/>
    </row>
    <row r="10505" spans="2:9" ht="25.5">
      <c r="B10505" s="3192" t="s">
        <v>720</v>
      </c>
      <c r="C10505" s="3063"/>
      <c r="D10505" s="3064"/>
      <c r="E10505" s="3064"/>
      <c r="F10505" s="3064"/>
      <c r="G10505" s="3301" t="s">
        <v>720</v>
      </c>
      <c r="H10505" s="3063"/>
      <c r="I10505" s="3030"/>
    </row>
    <row r="10506" spans="2:9" ht="38.25">
      <c r="B10506" s="3299" t="s">
        <v>680</v>
      </c>
      <c r="C10506" s="3063"/>
      <c r="D10506" s="3064"/>
      <c r="E10506" s="3064"/>
      <c r="F10506" s="3064"/>
      <c r="G10506" s="3300" t="s">
        <v>680</v>
      </c>
      <c r="H10506" s="3063"/>
      <c r="I10506" s="3030"/>
    </row>
    <row r="10507" spans="2:9" ht="25.5">
      <c r="B10507" s="3192" t="s">
        <v>675</v>
      </c>
      <c r="C10507" s="3063"/>
      <c r="D10507" s="3064"/>
      <c r="E10507" s="3064"/>
      <c r="F10507" s="3064"/>
      <c r="G10507" s="3301" t="s">
        <v>675</v>
      </c>
      <c r="H10507" s="3063"/>
      <c r="I10507" s="3030"/>
    </row>
    <row r="10508" spans="2:9" ht="25.5">
      <c r="B10508" s="3192" t="s">
        <v>676</v>
      </c>
      <c r="C10508" s="3063"/>
      <c r="D10508" s="3064"/>
      <c r="E10508" s="3064"/>
      <c r="F10508" s="3064"/>
      <c r="G10508" s="3301" t="s">
        <v>676</v>
      </c>
      <c r="H10508" s="3063"/>
      <c r="I10508" s="3030"/>
    </row>
    <row r="10509" spans="2:9">
      <c r="B10509" s="3192" t="s">
        <v>677</v>
      </c>
      <c r="C10509" s="3063"/>
      <c r="D10509" s="3064"/>
      <c r="E10509" s="3064"/>
      <c r="F10509" s="3064"/>
      <c r="G10509" s="3301" t="s">
        <v>677</v>
      </c>
      <c r="H10509" s="3063"/>
      <c r="I10509" s="3030"/>
    </row>
    <row r="10510" spans="2:9">
      <c r="B10510" s="3192" t="s">
        <v>678</v>
      </c>
      <c r="C10510" s="3063"/>
      <c r="D10510" s="3064"/>
      <c r="E10510" s="3064"/>
      <c r="F10510" s="3064"/>
      <c r="G10510" s="3301" t="s">
        <v>678</v>
      </c>
      <c r="H10510" s="3063"/>
      <c r="I10510" s="3030"/>
    </row>
    <row r="10511" spans="2:9">
      <c r="B10511" s="3192" t="s">
        <v>679</v>
      </c>
      <c r="C10511" s="3063"/>
      <c r="D10511" s="3064"/>
      <c r="E10511" s="3064"/>
      <c r="F10511" s="3064"/>
      <c r="G10511" s="3301" t="s">
        <v>679</v>
      </c>
      <c r="H10511" s="3063"/>
      <c r="I10511" s="3030"/>
    </row>
    <row r="10512" spans="2:9" ht="25.5">
      <c r="B10512" s="3192" t="s">
        <v>720</v>
      </c>
      <c r="C10512" s="3063"/>
      <c r="D10512" s="3064"/>
      <c r="E10512" s="3064"/>
      <c r="F10512" s="3064"/>
      <c r="G10512" s="3301" t="s">
        <v>720</v>
      </c>
      <c r="H10512" s="3063"/>
      <c r="I10512" s="3030"/>
    </row>
    <row r="10513" spans="2:9" ht="38.25">
      <c r="B10513" s="3299" t="s">
        <v>681</v>
      </c>
      <c r="C10513" s="3063"/>
      <c r="D10513" s="3064"/>
      <c r="E10513" s="3064"/>
      <c r="F10513" s="3064"/>
      <c r="G10513" s="3300" t="s">
        <v>681</v>
      </c>
      <c r="H10513" s="3063"/>
      <c r="I10513" s="3030"/>
    </row>
    <row r="10514" spans="2:9" ht="25.5">
      <c r="B10514" s="3192" t="s">
        <v>675</v>
      </c>
      <c r="C10514" s="3063"/>
      <c r="D10514" s="3064"/>
      <c r="E10514" s="3064"/>
      <c r="F10514" s="3064"/>
      <c r="G10514" s="3301" t="s">
        <v>675</v>
      </c>
      <c r="H10514" s="3063"/>
      <c r="I10514" s="3030"/>
    </row>
    <row r="10515" spans="2:9" ht="25.5">
      <c r="B10515" s="3192" t="s">
        <v>676</v>
      </c>
      <c r="C10515" s="3063"/>
      <c r="D10515" s="3064"/>
      <c r="E10515" s="3064"/>
      <c r="F10515" s="3064"/>
      <c r="G10515" s="3301" t="s">
        <v>676</v>
      </c>
      <c r="H10515" s="3063"/>
      <c r="I10515" s="3030"/>
    </row>
    <row r="10516" spans="2:9">
      <c r="B10516" s="3192" t="s">
        <v>677</v>
      </c>
      <c r="C10516" s="3063"/>
      <c r="D10516" s="3064"/>
      <c r="E10516" s="3064"/>
      <c r="F10516" s="3064"/>
      <c r="G10516" s="3301" t="s">
        <v>677</v>
      </c>
      <c r="H10516" s="3063"/>
      <c r="I10516" s="3030"/>
    </row>
    <row r="10517" spans="2:9">
      <c r="B10517" s="3192" t="s">
        <v>678</v>
      </c>
      <c r="C10517" s="3063"/>
      <c r="D10517" s="3064"/>
      <c r="E10517" s="3064"/>
      <c r="F10517" s="3064"/>
      <c r="G10517" s="3301" t="s">
        <v>678</v>
      </c>
      <c r="H10517" s="3063"/>
      <c r="I10517" s="3030"/>
    </row>
    <row r="10518" spans="2:9">
      <c r="B10518" s="3192" t="s">
        <v>679</v>
      </c>
      <c r="C10518" s="3063"/>
      <c r="D10518" s="3064"/>
      <c r="E10518" s="3064"/>
      <c r="F10518" s="3064"/>
      <c r="G10518" s="3301" t="s">
        <v>679</v>
      </c>
      <c r="H10518" s="3063"/>
      <c r="I10518" s="3030"/>
    </row>
    <row r="10519" spans="2:9" ht="25.5">
      <c r="B10519" s="3192" t="s">
        <v>720</v>
      </c>
      <c r="C10519" s="3063"/>
      <c r="D10519" s="3064"/>
      <c r="E10519" s="3064"/>
      <c r="F10519" s="3064"/>
      <c r="G10519" s="3301" t="s">
        <v>720</v>
      </c>
      <c r="H10519" s="3063"/>
      <c r="I10519" s="3030"/>
    </row>
    <row r="10520" spans="2:9" ht="25.5">
      <c r="B10520" s="3299" t="s">
        <v>682</v>
      </c>
      <c r="C10520" s="3063"/>
      <c r="D10520" s="3064"/>
      <c r="E10520" s="3064"/>
      <c r="F10520" s="3064"/>
      <c r="G10520" s="3300" t="s">
        <v>682</v>
      </c>
      <c r="H10520" s="3063"/>
      <c r="I10520" s="3030"/>
    </row>
    <row r="10521" spans="2:9" ht="25.5">
      <c r="B10521" s="3192" t="s">
        <v>675</v>
      </c>
      <c r="C10521" s="3063"/>
      <c r="D10521" s="3064"/>
      <c r="E10521" s="3064"/>
      <c r="F10521" s="3064"/>
      <c r="G10521" s="3301" t="s">
        <v>675</v>
      </c>
      <c r="H10521" s="3063"/>
      <c r="I10521" s="3030"/>
    </row>
    <row r="10522" spans="2:9" ht="25.5">
      <c r="B10522" s="3192" t="s">
        <v>676</v>
      </c>
      <c r="C10522" s="3063"/>
      <c r="D10522" s="3064"/>
      <c r="E10522" s="3064"/>
      <c r="F10522" s="3064"/>
      <c r="G10522" s="3301" t="s">
        <v>676</v>
      </c>
      <c r="H10522" s="3063"/>
      <c r="I10522" s="3030"/>
    </row>
    <row r="10523" spans="2:9">
      <c r="B10523" s="3192" t="s">
        <v>677</v>
      </c>
      <c r="C10523" s="3063"/>
      <c r="D10523" s="3064"/>
      <c r="E10523" s="3064"/>
      <c r="F10523" s="3064"/>
      <c r="G10523" s="3301" t="s">
        <v>677</v>
      </c>
      <c r="H10523" s="3063"/>
      <c r="I10523" s="3030"/>
    </row>
    <row r="10524" spans="2:9">
      <c r="B10524" s="3192" t="s">
        <v>678</v>
      </c>
      <c r="C10524" s="3063"/>
      <c r="D10524" s="3064"/>
      <c r="E10524" s="3064"/>
      <c r="F10524" s="3064"/>
      <c r="G10524" s="3301" t="s">
        <v>678</v>
      </c>
      <c r="H10524" s="3063"/>
      <c r="I10524" s="3030"/>
    </row>
    <row r="10525" spans="2:9">
      <c r="B10525" s="3192" t="s">
        <v>679</v>
      </c>
      <c r="C10525" s="3063"/>
      <c r="D10525" s="3064"/>
      <c r="E10525" s="3064"/>
      <c r="F10525" s="3064"/>
      <c r="G10525" s="3301" t="s">
        <v>679</v>
      </c>
      <c r="H10525" s="3063"/>
      <c r="I10525" s="3030"/>
    </row>
    <row r="10526" spans="2:9" ht="25.5">
      <c r="B10526" s="3192" t="s">
        <v>720</v>
      </c>
      <c r="C10526" s="3063"/>
      <c r="D10526" s="3064"/>
      <c r="E10526" s="3064"/>
      <c r="F10526" s="3064"/>
      <c r="G10526" s="3301" t="s">
        <v>720</v>
      </c>
      <c r="H10526" s="3063"/>
      <c r="I10526" s="3030"/>
    </row>
    <row r="10527" spans="2:9" ht="25.5">
      <c r="B10527" s="3299" t="s">
        <v>66</v>
      </c>
      <c r="C10527" s="3063"/>
      <c r="D10527" s="3064"/>
      <c r="E10527" s="3064"/>
      <c r="F10527" s="3064"/>
      <c r="G10527" s="3300" t="s">
        <v>66</v>
      </c>
      <c r="H10527" s="3063"/>
      <c r="I10527" s="3030"/>
    </row>
    <row r="10528" spans="2:9" ht="25.5">
      <c r="B10528" s="3192" t="s">
        <v>675</v>
      </c>
      <c r="C10528" s="3063"/>
      <c r="D10528" s="3064"/>
      <c r="E10528" s="3064"/>
      <c r="F10528" s="3064"/>
      <c r="G10528" s="3301" t="s">
        <v>675</v>
      </c>
      <c r="H10528" s="3063"/>
      <c r="I10528" s="3030"/>
    </row>
    <row r="10529" spans="2:9" ht="25.5">
      <c r="B10529" s="3192" t="s">
        <v>676</v>
      </c>
      <c r="C10529" s="3063"/>
      <c r="D10529" s="3064"/>
      <c r="E10529" s="3064"/>
      <c r="F10529" s="3064"/>
      <c r="G10529" s="3301" t="s">
        <v>676</v>
      </c>
      <c r="H10529" s="3063"/>
      <c r="I10529" s="3030"/>
    </row>
    <row r="10530" spans="2:9">
      <c r="B10530" s="3192" t="s">
        <v>677</v>
      </c>
      <c r="C10530" s="3063"/>
      <c r="D10530" s="3064"/>
      <c r="E10530" s="3064"/>
      <c r="F10530" s="3064"/>
      <c r="G10530" s="3301" t="s">
        <v>677</v>
      </c>
      <c r="H10530" s="3063"/>
      <c r="I10530" s="3030"/>
    </row>
    <row r="10531" spans="2:9">
      <c r="B10531" s="3192" t="s">
        <v>678</v>
      </c>
      <c r="C10531" s="3063"/>
      <c r="D10531" s="3064"/>
      <c r="E10531" s="3064"/>
      <c r="F10531" s="3064"/>
      <c r="G10531" s="3301" t="s">
        <v>678</v>
      </c>
      <c r="H10531" s="3063"/>
      <c r="I10531" s="3030"/>
    </row>
    <row r="10532" spans="2:9">
      <c r="B10532" s="3192" t="s">
        <v>679</v>
      </c>
      <c r="C10532" s="3063"/>
      <c r="D10532" s="3064"/>
      <c r="E10532" s="3064"/>
      <c r="F10532" s="3064"/>
      <c r="G10532" s="3301" t="s">
        <v>679</v>
      </c>
      <c r="H10532" s="3063"/>
      <c r="I10532" s="3030"/>
    </row>
    <row r="10533" spans="2:9" ht="25.5">
      <c r="B10533" s="3192" t="s">
        <v>720</v>
      </c>
      <c r="C10533" s="3063"/>
      <c r="D10533" s="3064"/>
      <c r="E10533" s="3064"/>
      <c r="F10533" s="3064"/>
      <c r="G10533" s="3301" t="s">
        <v>720</v>
      </c>
      <c r="H10533" s="3063"/>
      <c r="I10533" s="3030"/>
    </row>
    <row r="10534" spans="2:9">
      <c r="B10534" s="3299" t="s">
        <v>67</v>
      </c>
      <c r="C10534" s="3063"/>
      <c r="D10534" s="3064"/>
      <c r="E10534" s="3064"/>
      <c r="F10534" s="3064"/>
      <c r="G10534" s="3300" t="s">
        <v>67</v>
      </c>
      <c r="H10534" s="3063"/>
      <c r="I10534" s="3030"/>
    </row>
    <row r="10535" spans="2:9" ht="25.5">
      <c r="B10535" s="3192" t="s">
        <v>675</v>
      </c>
      <c r="C10535" s="3063"/>
      <c r="D10535" s="3064"/>
      <c r="E10535" s="3064"/>
      <c r="F10535" s="3064"/>
      <c r="G10535" s="3301" t="s">
        <v>675</v>
      </c>
      <c r="H10535" s="3063"/>
      <c r="I10535" s="3030"/>
    </row>
    <row r="10536" spans="2:9" ht="25.5">
      <c r="B10536" s="3192" t="s">
        <v>676</v>
      </c>
      <c r="C10536" s="3063"/>
      <c r="D10536" s="3064"/>
      <c r="E10536" s="3064"/>
      <c r="F10536" s="3064"/>
      <c r="G10536" s="3301" t="s">
        <v>676</v>
      </c>
      <c r="H10536" s="3063"/>
      <c r="I10536" s="3030"/>
    </row>
    <row r="10537" spans="2:9">
      <c r="B10537" s="3192" t="s">
        <v>677</v>
      </c>
      <c r="C10537" s="3063"/>
      <c r="D10537" s="3064"/>
      <c r="E10537" s="3064"/>
      <c r="F10537" s="3064"/>
      <c r="G10537" s="3301" t="s">
        <v>677</v>
      </c>
      <c r="H10537" s="3063"/>
      <c r="I10537" s="3030"/>
    </row>
    <row r="10538" spans="2:9">
      <c r="B10538" s="3192" t="s">
        <v>678</v>
      </c>
      <c r="C10538" s="3063"/>
      <c r="D10538" s="3064"/>
      <c r="E10538" s="3064"/>
      <c r="F10538" s="3064"/>
      <c r="G10538" s="3301" t="s">
        <v>678</v>
      </c>
      <c r="H10538" s="3063"/>
      <c r="I10538" s="3030"/>
    </row>
    <row r="10539" spans="2:9">
      <c r="B10539" s="3192" t="s">
        <v>679</v>
      </c>
      <c r="C10539" s="3063"/>
      <c r="D10539" s="3064"/>
      <c r="E10539" s="3064"/>
      <c r="F10539" s="3064"/>
      <c r="G10539" s="3301" t="s">
        <v>679</v>
      </c>
      <c r="H10539" s="3063"/>
      <c r="I10539" s="3030"/>
    </row>
    <row r="10540" spans="2:9" ht="25.5">
      <c r="B10540" s="3230" t="s">
        <v>81</v>
      </c>
      <c r="C10540" s="3063"/>
      <c r="D10540" s="3064"/>
      <c r="E10540" s="3064"/>
      <c r="F10540" s="3064"/>
      <c r="G10540" s="3302" t="s">
        <v>81</v>
      </c>
      <c r="H10540" s="3063"/>
      <c r="I10540" s="3030"/>
    </row>
    <row r="10541" spans="2:9" ht="26.25" thickBot="1">
      <c r="B10541" s="3303" t="s">
        <v>81</v>
      </c>
      <c r="C10541" s="3063"/>
      <c r="D10541" s="3064"/>
      <c r="E10541" s="3064"/>
      <c r="F10541" s="3064"/>
      <c r="G10541" s="3302" t="s">
        <v>81</v>
      </c>
      <c r="H10541" s="3063"/>
      <c r="I10541" s="3030"/>
    </row>
    <row r="10542" spans="2:9">
      <c r="B10542" s="3217" t="s">
        <v>697</v>
      </c>
      <c r="C10542" s="3218"/>
      <c r="D10542" s="3219"/>
      <c r="E10542" s="3219"/>
      <c r="F10542" s="3219"/>
      <c r="G10542" s="3217" t="s">
        <v>697</v>
      </c>
      <c r="H10542" s="3297"/>
      <c r="I10542" s="3298"/>
    </row>
    <row r="10543" spans="2:9">
      <c r="B10543" s="3299" t="s">
        <v>64</v>
      </c>
      <c r="C10543" s="3063"/>
      <c r="D10543" s="3064"/>
      <c r="E10543" s="3064"/>
      <c r="F10543" s="3064"/>
      <c r="G10543" s="3300" t="s">
        <v>64</v>
      </c>
      <c r="H10543" s="3063"/>
      <c r="I10543" s="3030"/>
    </row>
    <row r="10544" spans="2:9" ht="25.5">
      <c r="B10544" s="3192" t="s">
        <v>675</v>
      </c>
      <c r="C10544" s="3063"/>
      <c r="D10544" s="3064"/>
      <c r="E10544" s="3064"/>
      <c r="F10544" s="3064"/>
      <c r="G10544" s="3301" t="s">
        <v>675</v>
      </c>
      <c r="H10544" s="3063"/>
      <c r="I10544" s="3030"/>
    </row>
    <row r="10545" spans="2:9" ht="25.5">
      <c r="B10545" s="3192" t="s">
        <v>676</v>
      </c>
      <c r="C10545" s="3063"/>
      <c r="D10545" s="3064"/>
      <c r="E10545" s="3064"/>
      <c r="F10545" s="3064"/>
      <c r="G10545" s="3301" t="s">
        <v>676</v>
      </c>
      <c r="H10545" s="3063"/>
      <c r="I10545" s="3030"/>
    </row>
    <row r="10546" spans="2:9">
      <c r="B10546" s="3192" t="s">
        <v>677</v>
      </c>
      <c r="C10546" s="3063"/>
      <c r="D10546" s="3064"/>
      <c r="E10546" s="3064"/>
      <c r="F10546" s="3064"/>
      <c r="G10546" s="3301" t="s">
        <v>677</v>
      </c>
      <c r="H10546" s="3063"/>
      <c r="I10546" s="3030"/>
    </row>
    <row r="10547" spans="2:9">
      <c r="B10547" s="3192" t="s">
        <v>678</v>
      </c>
      <c r="C10547" s="3063"/>
      <c r="D10547" s="3064"/>
      <c r="E10547" s="3064"/>
      <c r="F10547" s="3064"/>
      <c r="G10547" s="3301" t="s">
        <v>678</v>
      </c>
      <c r="H10547" s="3063"/>
      <c r="I10547" s="3030"/>
    </row>
    <row r="10548" spans="2:9">
      <c r="B10548" s="3192" t="s">
        <v>679</v>
      </c>
      <c r="C10548" s="3063"/>
      <c r="D10548" s="3064"/>
      <c r="E10548" s="3064"/>
      <c r="F10548" s="3064"/>
      <c r="G10548" s="3301" t="s">
        <v>679</v>
      </c>
      <c r="H10548" s="3063"/>
      <c r="I10548" s="3030"/>
    </row>
    <row r="10549" spans="2:9" ht="25.5">
      <c r="B10549" s="3192" t="s">
        <v>720</v>
      </c>
      <c r="C10549" s="3063"/>
      <c r="D10549" s="3064"/>
      <c r="E10549" s="3064"/>
      <c r="F10549" s="3064"/>
      <c r="G10549" s="3301" t="s">
        <v>720</v>
      </c>
      <c r="H10549" s="3063"/>
      <c r="I10549" s="3030"/>
    </row>
    <row r="10550" spans="2:9">
      <c r="B10550" s="3299" t="s">
        <v>65</v>
      </c>
      <c r="C10550" s="3063"/>
      <c r="D10550" s="3064"/>
      <c r="E10550" s="3064"/>
      <c r="F10550" s="3064"/>
      <c r="G10550" s="3300" t="s">
        <v>65</v>
      </c>
      <c r="H10550" s="3063"/>
      <c r="I10550" s="3030"/>
    </row>
    <row r="10551" spans="2:9" ht="25.5">
      <c r="B10551" s="3192" t="s">
        <v>675</v>
      </c>
      <c r="C10551" s="3063"/>
      <c r="D10551" s="3064"/>
      <c r="E10551" s="3064"/>
      <c r="F10551" s="3064"/>
      <c r="G10551" s="3301" t="s">
        <v>675</v>
      </c>
      <c r="H10551" s="3063"/>
      <c r="I10551" s="3030"/>
    </row>
    <row r="10552" spans="2:9" ht="25.5">
      <c r="B10552" s="3192" t="s">
        <v>676</v>
      </c>
      <c r="C10552" s="3063"/>
      <c r="D10552" s="3064"/>
      <c r="E10552" s="3064"/>
      <c r="F10552" s="3064"/>
      <c r="G10552" s="3301" t="s">
        <v>676</v>
      </c>
      <c r="H10552" s="3063"/>
      <c r="I10552" s="3030"/>
    </row>
    <row r="10553" spans="2:9">
      <c r="B10553" s="3192" t="s">
        <v>677</v>
      </c>
      <c r="C10553" s="3063"/>
      <c r="D10553" s="3064"/>
      <c r="E10553" s="3064"/>
      <c r="F10553" s="3064"/>
      <c r="G10553" s="3301" t="s">
        <v>677</v>
      </c>
      <c r="H10553" s="3063"/>
      <c r="I10553" s="3030"/>
    </row>
    <row r="10554" spans="2:9">
      <c r="B10554" s="3192" t="s">
        <v>678</v>
      </c>
      <c r="C10554" s="3063"/>
      <c r="D10554" s="3064"/>
      <c r="E10554" s="3064"/>
      <c r="F10554" s="3064"/>
      <c r="G10554" s="3301" t="s">
        <v>678</v>
      </c>
      <c r="H10554" s="3063"/>
      <c r="I10554" s="3030"/>
    </row>
    <row r="10555" spans="2:9">
      <c r="B10555" s="3192" t="s">
        <v>679</v>
      </c>
      <c r="C10555" s="3063"/>
      <c r="D10555" s="3064"/>
      <c r="E10555" s="3064"/>
      <c r="F10555" s="3064"/>
      <c r="G10555" s="3301" t="s">
        <v>679</v>
      </c>
      <c r="H10555" s="3063"/>
      <c r="I10555" s="3030"/>
    </row>
    <row r="10556" spans="2:9" ht="25.5">
      <c r="B10556" s="3192" t="s">
        <v>720</v>
      </c>
      <c r="C10556" s="3063"/>
      <c r="D10556" s="3064"/>
      <c r="E10556" s="3064"/>
      <c r="F10556" s="3064"/>
      <c r="G10556" s="3301" t="s">
        <v>720</v>
      </c>
      <c r="H10556" s="3063"/>
      <c r="I10556" s="3030"/>
    </row>
    <row r="10557" spans="2:9">
      <c r="B10557" s="3299" t="s">
        <v>82</v>
      </c>
      <c r="C10557" s="3063"/>
      <c r="D10557" s="3064"/>
      <c r="E10557" s="3064"/>
      <c r="F10557" s="3064"/>
      <c r="G10557" s="3300" t="s">
        <v>82</v>
      </c>
      <c r="H10557" s="3063"/>
      <c r="I10557" s="3030"/>
    </row>
    <row r="10558" spans="2:9" ht="25.5">
      <c r="B10558" s="3192" t="s">
        <v>675</v>
      </c>
      <c r="C10558" s="3063"/>
      <c r="D10558" s="3064"/>
      <c r="E10558" s="3064"/>
      <c r="F10558" s="3064"/>
      <c r="G10558" s="3301" t="s">
        <v>675</v>
      </c>
      <c r="H10558" s="3063"/>
      <c r="I10558" s="3030"/>
    </row>
    <row r="10559" spans="2:9" ht="25.5">
      <c r="B10559" s="3192" t="s">
        <v>676</v>
      </c>
      <c r="C10559" s="3063"/>
      <c r="D10559" s="3064"/>
      <c r="E10559" s="3064"/>
      <c r="F10559" s="3064"/>
      <c r="G10559" s="3301" t="s">
        <v>676</v>
      </c>
      <c r="H10559" s="3063"/>
      <c r="I10559" s="3030"/>
    </row>
    <row r="10560" spans="2:9">
      <c r="B10560" s="3192" t="s">
        <v>677</v>
      </c>
      <c r="C10560" s="3063"/>
      <c r="D10560" s="3064"/>
      <c r="E10560" s="3064"/>
      <c r="F10560" s="3064"/>
      <c r="G10560" s="3301" t="s">
        <v>677</v>
      </c>
      <c r="H10560" s="3063"/>
      <c r="I10560" s="3030"/>
    </row>
    <row r="10561" spans="2:9">
      <c r="B10561" s="3192" t="s">
        <v>678</v>
      </c>
      <c r="C10561" s="3063"/>
      <c r="D10561" s="3064"/>
      <c r="E10561" s="3064"/>
      <c r="F10561" s="3064"/>
      <c r="G10561" s="3301" t="s">
        <v>678</v>
      </c>
      <c r="H10561" s="3063"/>
      <c r="I10561" s="3030"/>
    </row>
    <row r="10562" spans="2:9">
      <c r="B10562" s="3192" t="s">
        <v>679</v>
      </c>
      <c r="C10562" s="3063"/>
      <c r="D10562" s="3064"/>
      <c r="E10562" s="3064"/>
      <c r="F10562" s="3064"/>
      <c r="G10562" s="3301" t="s">
        <v>679</v>
      </c>
      <c r="H10562" s="3063"/>
      <c r="I10562" s="3030"/>
    </row>
    <row r="10563" spans="2:9" ht="25.5">
      <c r="B10563" s="3192" t="s">
        <v>720</v>
      </c>
      <c r="C10563" s="3063"/>
      <c r="D10563" s="3064"/>
      <c r="E10563" s="3064"/>
      <c r="F10563" s="3064"/>
      <c r="G10563" s="3301" t="s">
        <v>720</v>
      </c>
      <c r="H10563" s="3063"/>
      <c r="I10563" s="3030"/>
    </row>
    <row r="10564" spans="2:9" ht="38.25">
      <c r="B10564" s="3299" t="s">
        <v>680</v>
      </c>
      <c r="C10564" s="3063"/>
      <c r="D10564" s="3064"/>
      <c r="E10564" s="3064"/>
      <c r="F10564" s="3064"/>
      <c r="G10564" s="3300" t="s">
        <v>680</v>
      </c>
      <c r="H10564" s="3063"/>
      <c r="I10564" s="3030"/>
    </row>
    <row r="10565" spans="2:9" ht="25.5">
      <c r="B10565" s="3192" t="s">
        <v>675</v>
      </c>
      <c r="C10565" s="3063"/>
      <c r="D10565" s="3064"/>
      <c r="E10565" s="3064"/>
      <c r="F10565" s="3064"/>
      <c r="G10565" s="3301" t="s">
        <v>675</v>
      </c>
      <c r="H10565" s="3063"/>
      <c r="I10565" s="3030"/>
    </row>
    <row r="10566" spans="2:9" ht="25.5">
      <c r="B10566" s="3192" t="s">
        <v>676</v>
      </c>
      <c r="C10566" s="3063"/>
      <c r="D10566" s="3064"/>
      <c r="E10566" s="3064"/>
      <c r="F10566" s="3064"/>
      <c r="G10566" s="3301" t="s">
        <v>676</v>
      </c>
      <c r="H10566" s="3063"/>
      <c r="I10566" s="3030"/>
    </row>
    <row r="10567" spans="2:9">
      <c r="B10567" s="3192" t="s">
        <v>677</v>
      </c>
      <c r="C10567" s="3063"/>
      <c r="D10567" s="3064"/>
      <c r="E10567" s="3064"/>
      <c r="F10567" s="3064"/>
      <c r="G10567" s="3301" t="s">
        <v>677</v>
      </c>
      <c r="H10567" s="3063"/>
      <c r="I10567" s="3030"/>
    </row>
    <row r="10568" spans="2:9">
      <c r="B10568" s="3192" t="s">
        <v>678</v>
      </c>
      <c r="C10568" s="3063"/>
      <c r="D10568" s="3064"/>
      <c r="E10568" s="3064"/>
      <c r="F10568" s="3064"/>
      <c r="G10568" s="3301" t="s">
        <v>678</v>
      </c>
      <c r="H10568" s="3063"/>
      <c r="I10568" s="3030"/>
    </row>
    <row r="10569" spans="2:9">
      <c r="B10569" s="3192" t="s">
        <v>679</v>
      </c>
      <c r="C10569" s="3063"/>
      <c r="D10569" s="3064"/>
      <c r="E10569" s="3064"/>
      <c r="F10569" s="3064"/>
      <c r="G10569" s="3301" t="s">
        <v>679</v>
      </c>
      <c r="H10569" s="3063"/>
      <c r="I10569" s="3030"/>
    </row>
    <row r="10570" spans="2:9" ht="25.5">
      <c r="B10570" s="3192" t="s">
        <v>720</v>
      </c>
      <c r="C10570" s="3063"/>
      <c r="D10570" s="3064"/>
      <c r="E10570" s="3064"/>
      <c r="F10570" s="3064"/>
      <c r="G10570" s="3301" t="s">
        <v>720</v>
      </c>
      <c r="H10570" s="3063"/>
      <c r="I10570" s="3030"/>
    </row>
    <row r="10571" spans="2:9" ht="38.25">
      <c r="B10571" s="3299" t="s">
        <v>681</v>
      </c>
      <c r="C10571" s="3063"/>
      <c r="D10571" s="3064"/>
      <c r="E10571" s="3064"/>
      <c r="F10571" s="3064">
        <v>2</v>
      </c>
      <c r="G10571" s="3300" t="s">
        <v>681</v>
      </c>
      <c r="H10571" s="3063">
        <v>1.2030299512351825E-2</v>
      </c>
      <c r="I10571" s="3030"/>
    </row>
    <row r="10572" spans="2:9" ht="25.5">
      <c r="B10572" s="3192" t="s">
        <v>675</v>
      </c>
      <c r="C10572" s="3063"/>
      <c r="D10572" s="3064"/>
      <c r="E10572" s="3064"/>
      <c r="F10572" s="3064"/>
      <c r="G10572" s="3301" t="s">
        <v>675</v>
      </c>
      <c r="H10572" s="3063"/>
      <c r="I10572" s="3030"/>
    </row>
    <row r="10573" spans="2:9" ht="25.5">
      <c r="B10573" s="3192" t="s">
        <v>676</v>
      </c>
      <c r="C10573" s="3063"/>
      <c r="D10573" s="3064"/>
      <c r="E10573" s="3064"/>
      <c r="F10573" s="3064"/>
      <c r="G10573" s="3301" t="s">
        <v>676</v>
      </c>
      <c r="H10573" s="3063"/>
      <c r="I10573" s="3030"/>
    </row>
    <row r="10574" spans="2:9">
      <c r="B10574" s="3192" t="s">
        <v>677</v>
      </c>
      <c r="C10574" s="3063"/>
      <c r="D10574" s="3064"/>
      <c r="E10574" s="3064"/>
      <c r="F10574" s="3064"/>
      <c r="G10574" s="3301" t="s">
        <v>677</v>
      </c>
      <c r="H10574" s="3063"/>
      <c r="I10574" s="3030"/>
    </row>
    <row r="10575" spans="2:9">
      <c r="B10575" s="3192" t="s">
        <v>678</v>
      </c>
      <c r="C10575" s="3063"/>
      <c r="D10575" s="3064"/>
      <c r="E10575" s="3064"/>
      <c r="F10575" s="3064"/>
      <c r="G10575" s="3301" t="s">
        <v>678</v>
      </c>
      <c r="H10575" s="3063"/>
      <c r="I10575" s="3030"/>
    </row>
    <row r="10576" spans="2:9">
      <c r="B10576" s="3192" t="s">
        <v>679</v>
      </c>
      <c r="C10576" s="3063">
        <v>1</v>
      </c>
      <c r="D10576" s="3064">
        <v>1</v>
      </c>
      <c r="E10576" s="3064"/>
      <c r="F10576" s="3064"/>
      <c r="G10576" s="3301" t="s">
        <v>679</v>
      </c>
      <c r="H10576" s="3063"/>
      <c r="I10576" s="3030"/>
    </row>
    <row r="10577" spans="2:9" ht="25.5">
      <c r="B10577" s="3192" t="s">
        <v>720</v>
      </c>
      <c r="C10577" s="3063"/>
      <c r="D10577" s="3064"/>
      <c r="E10577" s="3064"/>
      <c r="F10577" s="3064"/>
      <c r="G10577" s="3301" t="s">
        <v>720</v>
      </c>
      <c r="H10577" s="3063"/>
      <c r="I10577" s="3030"/>
    </row>
    <row r="10578" spans="2:9" ht="25.5">
      <c r="B10578" s="3299" t="s">
        <v>682</v>
      </c>
      <c r="C10578" s="3063"/>
      <c r="D10578" s="3064"/>
      <c r="E10578" s="3064"/>
      <c r="F10578" s="3064"/>
      <c r="G10578" s="3300" t="s">
        <v>682</v>
      </c>
      <c r="H10578" s="3063"/>
      <c r="I10578" s="3030"/>
    </row>
    <row r="10579" spans="2:9" ht="25.5">
      <c r="B10579" s="3192" t="s">
        <v>675</v>
      </c>
      <c r="C10579" s="3063"/>
      <c r="D10579" s="3064"/>
      <c r="E10579" s="3064"/>
      <c r="F10579" s="3064"/>
      <c r="G10579" s="3301" t="s">
        <v>675</v>
      </c>
      <c r="H10579" s="3063"/>
      <c r="I10579" s="3030"/>
    </row>
    <row r="10580" spans="2:9" ht="25.5">
      <c r="B10580" s="3192" t="s">
        <v>676</v>
      </c>
      <c r="C10580" s="3063"/>
      <c r="D10580" s="3064"/>
      <c r="E10580" s="3064"/>
      <c r="F10580" s="3064"/>
      <c r="G10580" s="3301" t="s">
        <v>676</v>
      </c>
      <c r="H10580" s="3063"/>
      <c r="I10580" s="3030"/>
    </row>
    <row r="10581" spans="2:9">
      <c r="B10581" s="3192" t="s">
        <v>677</v>
      </c>
      <c r="C10581" s="3063"/>
      <c r="D10581" s="3064"/>
      <c r="E10581" s="3064"/>
      <c r="F10581" s="3064"/>
      <c r="G10581" s="3301" t="s">
        <v>677</v>
      </c>
      <c r="H10581" s="3063"/>
      <c r="I10581" s="3030"/>
    </row>
    <row r="10582" spans="2:9">
      <c r="B10582" s="3192" t="s">
        <v>678</v>
      </c>
      <c r="C10582" s="3063"/>
      <c r="D10582" s="3064"/>
      <c r="E10582" s="3064"/>
      <c r="F10582" s="3064"/>
      <c r="G10582" s="3301" t="s">
        <v>678</v>
      </c>
      <c r="H10582" s="3063"/>
      <c r="I10582" s="3030"/>
    </row>
    <row r="10583" spans="2:9">
      <c r="B10583" s="3192" t="s">
        <v>679</v>
      </c>
      <c r="C10583" s="3063"/>
      <c r="D10583" s="3064"/>
      <c r="E10583" s="3064"/>
      <c r="F10583" s="3064"/>
      <c r="G10583" s="3301" t="s">
        <v>679</v>
      </c>
      <c r="H10583" s="3063"/>
      <c r="I10583" s="3030"/>
    </row>
    <row r="10584" spans="2:9" ht="25.5">
      <c r="B10584" s="3192" t="s">
        <v>720</v>
      </c>
      <c r="C10584" s="3063"/>
      <c r="D10584" s="3064"/>
      <c r="E10584" s="3064"/>
      <c r="F10584" s="3064"/>
      <c r="G10584" s="3301" t="s">
        <v>720</v>
      </c>
      <c r="H10584" s="3063"/>
      <c r="I10584" s="3030"/>
    </row>
    <row r="10585" spans="2:9" ht="25.5">
      <c r="B10585" s="3299" t="s">
        <v>66</v>
      </c>
      <c r="C10585" s="3063"/>
      <c r="D10585" s="3064"/>
      <c r="E10585" s="3064"/>
      <c r="F10585" s="3064"/>
      <c r="G10585" s="3300" t="s">
        <v>66</v>
      </c>
      <c r="H10585" s="3063"/>
      <c r="I10585" s="3030"/>
    </row>
    <row r="10586" spans="2:9" ht="25.5">
      <c r="B10586" s="3192" t="s">
        <v>675</v>
      </c>
      <c r="C10586" s="3063"/>
      <c r="D10586" s="3064"/>
      <c r="E10586" s="3064"/>
      <c r="F10586" s="3064"/>
      <c r="G10586" s="3301" t="s">
        <v>675</v>
      </c>
      <c r="H10586" s="3063"/>
      <c r="I10586" s="3030"/>
    </row>
    <row r="10587" spans="2:9" ht="25.5">
      <c r="B10587" s="3192" t="s">
        <v>676</v>
      </c>
      <c r="C10587" s="3063"/>
      <c r="D10587" s="3064"/>
      <c r="E10587" s="3064"/>
      <c r="F10587" s="3064"/>
      <c r="G10587" s="3301" t="s">
        <v>676</v>
      </c>
      <c r="H10587" s="3063"/>
      <c r="I10587" s="3030"/>
    </row>
    <row r="10588" spans="2:9">
      <c r="B10588" s="3192" t="s">
        <v>677</v>
      </c>
      <c r="C10588" s="3063"/>
      <c r="D10588" s="3064"/>
      <c r="E10588" s="3064"/>
      <c r="F10588" s="3064"/>
      <c r="G10588" s="3301" t="s">
        <v>677</v>
      </c>
      <c r="H10588" s="3063"/>
      <c r="I10588" s="3030"/>
    </row>
    <row r="10589" spans="2:9">
      <c r="B10589" s="3192" t="s">
        <v>678</v>
      </c>
      <c r="C10589" s="3063"/>
      <c r="D10589" s="3064"/>
      <c r="E10589" s="3064"/>
      <c r="F10589" s="3064"/>
      <c r="G10589" s="3301" t="s">
        <v>678</v>
      </c>
      <c r="H10589" s="3063"/>
      <c r="I10589" s="3030"/>
    </row>
    <row r="10590" spans="2:9">
      <c r="B10590" s="3192" t="s">
        <v>679</v>
      </c>
      <c r="C10590" s="3063"/>
      <c r="D10590" s="3064"/>
      <c r="E10590" s="3064"/>
      <c r="F10590" s="3064"/>
      <c r="G10590" s="3301" t="s">
        <v>679</v>
      </c>
      <c r="H10590" s="3063"/>
      <c r="I10590" s="3030"/>
    </row>
    <row r="10591" spans="2:9" ht="25.5">
      <c r="B10591" s="3192" t="s">
        <v>720</v>
      </c>
      <c r="C10591" s="3063"/>
      <c r="D10591" s="3064"/>
      <c r="E10591" s="3064"/>
      <c r="F10591" s="3064"/>
      <c r="G10591" s="3301" t="s">
        <v>720</v>
      </c>
      <c r="H10591" s="3063"/>
      <c r="I10591" s="3030"/>
    </row>
    <row r="10592" spans="2:9">
      <c r="B10592" s="3299" t="s">
        <v>67</v>
      </c>
      <c r="C10592" s="3063"/>
      <c r="D10592" s="3064"/>
      <c r="E10592" s="3064"/>
      <c r="F10592" s="3064"/>
      <c r="G10592" s="3300" t="s">
        <v>67</v>
      </c>
      <c r="H10592" s="3063"/>
      <c r="I10592" s="3030"/>
    </row>
    <row r="10593" spans="2:9" ht="25.5">
      <c r="B10593" s="3192" t="s">
        <v>675</v>
      </c>
      <c r="C10593" s="3063"/>
      <c r="D10593" s="3064"/>
      <c r="E10593" s="3064"/>
      <c r="F10593" s="3064"/>
      <c r="G10593" s="3301" t="s">
        <v>675</v>
      </c>
      <c r="H10593" s="3063"/>
      <c r="I10593" s="3030"/>
    </row>
    <row r="10594" spans="2:9" ht="25.5">
      <c r="B10594" s="3192" t="s">
        <v>676</v>
      </c>
      <c r="C10594" s="3063"/>
      <c r="D10594" s="3064"/>
      <c r="E10594" s="3064"/>
      <c r="F10594" s="3064"/>
      <c r="G10594" s="3301" t="s">
        <v>676</v>
      </c>
      <c r="H10594" s="3063"/>
      <c r="I10594" s="3030"/>
    </row>
    <row r="10595" spans="2:9">
      <c r="B10595" s="3192" t="s">
        <v>677</v>
      </c>
      <c r="C10595" s="3063"/>
      <c r="D10595" s="3064"/>
      <c r="E10595" s="3064"/>
      <c r="F10595" s="3064"/>
      <c r="G10595" s="3301" t="s">
        <v>677</v>
      </c>
      <c r="H10595" s="3063"/>
      <c r="I10595" s="3030"/>
    </row>
    <row r="10596" spans="2:9">
      <c r="B10596" s="3192" t="s">
        <v>678</v>
      </c>
      <c r="C10596" s="3063"/>
      <c r="D10596" s="3064"/>
      <c r="E10596" s="3064"/>
      <c r="F10596" s="3064"/>
      <c r="G10596" s="3301" t="s">
        <v>678</v>
      </c>
      <c r="H10596" s="3063"/>
      <c r="I10596" s="3030"/>
    </row>
    <row r="10597" spans="2:9">
      <c r="B10597" s="3192" t="s">
        <v>679</v>
      </c>
      <c r="C10597" s="3063"/>
      <c r="D10597" s="3064"/>
      <c r="E10597" s="3064"/>
      <c r="F10597" s="3064"/>
      <c r="G10597" s="3301" t="s">
        <v>679</v>
      </c>
      <c r="H10597" s="3063"/>
      <c r="I10597" s="3030"/>
    </row>
    <row r="10598" spans="2:9" ht="25.5">
      <c r="B10598" s="3230" t="s">
        <v>81</v>
      </c>
      <c r="C10598" s="3063"/>
      <c r="D10598" s="3064"/>
      <c r="E10598" s="3064"/>
      <c r="F10598" s="3064"/>
      <c r="G10598" s="3302" t="s">
        <v>81</v>
      </c>
      <c r="H10598" s="3063"/>
      <c r="I10598" s="3030"/>
    </row>
    <row r="10599" spans="2:9" ht="26.25" thickBot="1">
      <c r="B10599" s="3303" t="s">
        <v>81</v>
      </c>
      <c r="C10599" s="3068"/>
      <c r="D10599" s="3069"/>
      <c r="E10599" s="3069"/>
      <c r="F10599" s="3069"/>
      <c r="G10599" s="3304" t="s">
        <v>81</v>
      </c>
      <c r="H10599" s="3068"/>
      <c r="I10599" s="3070"/>
    </row>
    <row r="10600" spans="2:9" ht="38.25">
      <c r="B10600" s="4723">
        <v>3224</v>
      </c>
      <c r="C10600" s="3289"/>
      <c r="D10600" s="3290"/>
      <c r="E10600" s="3290"/>
      <c r="F10600" s="3290"/>
      <c r="G10600" s="4723">
        <v>3224</v>
      </c>
      <c r="H10600" s="3291" t="s">
        <v>687</v>
      </c>
      <c r="I10600" s="3292" t="s">
        <v>688</v>
      </c>
    </row>
    <row r="10601" spans="2:9">
      <c r="B10601" s="4724"/>
      <c r="C10601" s="4678" t="s">
        <v>686</v>
      </c>
      <c r="D10601" s="4725"/>
      <c r="E10601" s="4725"/>
      <c r="F10601" s="4726"/>
      <c r="G10601" s="4724"/>
      <c r="H10601" s="3293"/>
      <c r="I10601" s="3294"/>
    </row>
    <row r="10602" spans="2:9" ht="13.5" thickBot="1">
      <c r="B10602" s="4724"/>
      <c r="C10602" s="3215">
        <v>2013</v>
      </c>
      <c r="D10602" s="3215">
        <v>2014</v>
      </c>
      <c r="E10602" s="3215">
        <v>2015</v>
      </c>
      <c r="F10602" s="3215">
        <v>2016</v>
      </c>
      <c r="G10602" s="4724"/>
      <c r="H10602" s="3295" t="s">
        <v>390</v>
      </c>
      <c r="I10602" s="3296" t="s">
        <v>390</v>
      </c>
    </row>
    <row r="10603" spans="2:9">
      <c r="B10603" s="3217" t="s">
        <v>695</v>
      </c>
      <c r="C10603" s="3218"/>
      <c r="D10603" s="3219"/>
      <c r="E10603" s="3219"/>
      <c r="F10603" s="3219"/>
      <c r="G10603" s="3217" t="s">
        <v>695</v>
      </c>
      <c r="H10603" s="3297"/>
      <c r="I10603" s="3298"/>
    </row>
    <row r="10604" spans="2:9">
      <c r="B10604" s="3299" t="s">
        <v>64</v>
      </c>
      <c r="C10604" s="3063"/>
      <c r="D10604" s="3064"/>
      <c r="E10604" s="3064"/>
      <c r="F10604" s="3064"/>
      <c r="G10604" s="3300" t="s">
        <v>64</v>
      </c>
      <c r="H10604" s="3063"/>
      <c r="I10604" s="3030"/>
    </row>
    <row r="10605" spans="2:9" ht="25.5">
      <c r="B10605" s="3192" t="s">
        <v>675</v>
      </c>
      <c r="C10605" s="3063"/>
      <c r="D10605" s="3064"/>
      <c r="E10605" s="3064"/>
      <c r="F10605" s="3064"/>
      <c r="G10605" s="3301" t="s">
        <v>675</v>
      </c>
      <c r="H10605" s="3063"/>
      <c r="I10605" s="3030"/>
    </row>
    <row r="10606" spans="2:9" ht="25.5">
      <c r="B10606" s="3192" t="s">
        <v>676</v>
      </c>
      <c r="C10606" s="3063"/>
      <c r="D10606" s="3064"/>
      <c r="E10606" s="3064"/>
      <c r="F10606" s="3064"/>
      <c r="G10606" s="3301" t="s">
        <v>676</v>
      </c>
      <c r="H10606" s="3063"/>
      <c r="I10606" s="3030"/>
    </row>
    <row r="10607" spans="2:9">
      <c r="B10607" s="3192" t="s">
        <v>677</v>
      </c>
      <c r="C10607" s="3063"/>
      <c r="D10607" s="3064"/>
      <c r="E10607" s="3064"/>
      <c r="F10607" s="3064"/>
      <c r="G10607" s="3301" t="s">
        <v>677</v>
      </c>
      <c r="H10607" s="3063"/>
      <c r="I10607" s="3030"/>
    </row>
    <row r="10608" spans="2:9">
      <c r="B10608" s="3192" t="s">
        <v>678</v>
      </c>
      <c r="C10608" s="3063"/>
      <c r="D10608" s="3064"/>
      <c r="E10608" s="3064"/>
      <c r="F10608" s="3064"/>
      <c r="G10608" s="3301" t="s">
        <v>678</v>
      </c>
      <c r="H10608" s="3063"/>
      <c r="I10608" s="3030"/>
    </row>
    <row r="10609" spans="2:9">
      <c r="B10609" s="3192" t="s">
        <v>679</v>
      </c>
      <c r="C10609" s="3063"/>
      <c r="D10609" s="3064"/>
      <c r="E10609" s="3064"/>
      <c r="F10609" s="3064"/>
      <c r="G10609" s="3301" t="s">
        <v>679</v>
      </c>
      <c r="H10609" s="3063"/>
      <c r="I10609" s="3030"/>
    </row>
    <row r="10610" spans="2:9" ht="25.5">
      <c r="B10610" s="3192" t="s">
        <v>720</v>
      </c>
      <c r="C10610" s="3063"/>
      <c r="D10610" s="3064"/>
      <c r="E10610" s="3064"/>
      <c r="F10610" s="3064"/>
      <c r="G10610" s="3301" t="s">
        <v>720</v>
      </c>
      <c r="H10610" s="3063"/>
      <c r="I10610" s="3030"/>
    </row>
    <row r="10611" spans="2:9">
      <c r="B10611" s="3299" t="s">
        <v>65</v>
      </c>
      <c r="C10611" s="3063"/>
      <c r="D10611" s="3064"/>
      <c r="E10611" s="3064"/>
      <c r="F10611" s="3064"/>
      <c r="G10611" s="3300" t="s">
        <v>65</v>
      </c>
      <c r="H10611" s="3063"/>
      <c r="I10611" s="3030"/>
    </row>
    <row r="10612" spans="2:9" ht="25.5">
      <c r="B10612" s="3192" t="s">
        <v>675</v>
      </c>
      <c r="C10612" s="3063"/>
      <c r="D10612" s="3064"/>
      <c r="E10612" s="3064"/>
      <c r="F10612" s="3064"/>
      <c r="G10612" s="3301" t="s">
        <v>675</v>
      </c>
      <c r="H10612" s="3063"/>
      <c r="I10612" s="3030"/>
    </row>
    <row r="10613" spans="2:9" ht="25.5">
      <c r="B10613" s="3192" t="s">
        <v>676</v>
      </c>
      <c r="C10613" s="3063"/>
      <c r="D10613" s="3064"/>
      <c r="E10613" s="3064"/>
      <c r="F10613" s="3064"/>
      <c r="G10613" s="3301" t="s">
        <v>676</v>
      </c>
      <c r="H10613" s="3063"/>
      <c r="I10613" s="3030"/>
    </row>
    <row r="10614" spans="2:9">
      <c r="B10614" s="3192" t="s">
        <v>677</v>
      </c>
      <c r="C10614" s="3063"/>
      <c r="D10614" s="3064"/>
      <c r="E10614" s="3064"/>
      <c r="F10614" s="3064"/>
      <c r="G10614" s="3301" t="s">
        <v>677</v>
      </c>
      <c r="H10614" s="3063"/>
      <c r="I10614" s="3030"/>
    </row>
    <row r="10615" spans="2:9">
      <c r="B10615" s="3192" t="s">
        <v>678</v>
      </c>
      <c r="C10615" s="3063"/>
      <c r="D10615" s="3064"/>
      <c r="E10615" s="3064"/>
      <c r="F10615" s="3064"/>
      <c r="G10615" s="3301" t="s">
        <v>678</v>
      </c>
      <c r="H10615" s="3063"/>
      <c r="I10615" s="3030"/>
    </row>
    <row r="10616" spans="2:9">
      <c r="B10616" s="3192" t="s">
        <v>679</v>
      </c>
      <c r="C10616" s="3063"/>
      <c r="D10616" s="3064"/>
      <c r="E10616" s="3064"/>
      <c r="F10616" s="3064"/>
      <c r="G10616" s="3301" t="s">
        <v>679</v>
      </c>
      <c r="H10616" s="3063"/>
      <c r="I10616" s="3030"/>
    </row>
    <row r="10617" spans="2:9" ht="25.5">
      <c r="B10617" s="3192" t="s">
        <v>720</v>
      </c>
      <c r="C10617" s="3063"/>
      <c r="D10617" s="3064"/>
      <c r="E10617" s="3064"/>
      <c r="F10617" s="3064"/>
      <c r="G10617" s="3301" t="s">
        <v>720</v>
      </c>
      <c r="H10617" s="3063"/>
      <c r="I10617" s="3030"/>
    </row>
    <row r="10618" spans="2:9">
      <c r="B10618" s="3299" t="s">
        <v>82</v>
      </c>
      <c r="C10618" s="3063"/>
      <c r="D10618" s="3064"/>
      <c r="E10618" s="3064"/>
      <c r="F10618" s="3064"/>
      <c r="G10618" s="3300" t="s">
        <v>82</v>
      </c>
      <c r="H10618" s="3063"/>
      <c r="I10618" s="3030"/>
    </row>
    <row r="10619" spans="2:9" ht="25.5">
      <c r="B10619" s="3192" t="s">
        <v>675</v>
      </c>
      <c r="C10619" s="3063"/>
      <c r="D10619" s="3064"/>
      <c r="E10619" s="3064"/>
      <c r="F10619" s="3064"/>
      <c r="G10619" s="3301" t="s">
        <v>675</v>
      </c>
      <c r="H10619" s="3063"/>
      <c r="I10619" s="3030"/>
    </row>
    <row r="10620" spans="2:9" ht="25.5">
      <c r="B10620" s="3192" t="s">
        <v>676</v>
      </c>
      <c r="C10620" s="3063"/>
      <c r="D10620" s="3064"/>
      <c r="E10620" s="3064"/>
      <c r="F10620" s="3064"/>
      <c r="G10620" s="3301" t="s">
        <v>676</v>
      </c>
      <c r="H10620" s="3063"/>
      <c r="I10620" s="3030"/>
    </row>
    <row r="10621" spans="2:9">
      <c r="B10621" s="3192" t="s">
        <v>677</v>
      </c>
      <c r="C10621" s="3063"/>
      <c r="D10621" s="3064"/>
      <c r="E10621" s="3064"/>
      <c r="F10621" s="3064"/>
      <c r="G10621" s="3301" t="s">
        <v>677</v>
      </c>
      <c r="H10621" s="3063"/>
      <c r="I10621" s="3030"/>
    </row>
    <row r="10622" spans="2:9">
      <c r="B10622" s="3192" t="s">
        <v>678</v>
      </c>
      <c r="C10622" s="3063"/>
      <c r="D10622" s="3064"/>
      <c r="E10622" s="3064"/>
      <c r="F10622" s="3064"/>
      <c r="G10622" s="3301" t="s">
        <v>678</v>
      </c>
      <c r="H10622" s="3063"/>
      <c r="I10622" s="3030"/>
    </row>
    <row r="10623" spans="2:9">
      <c r="B10623" s="3192" t="s">
        <v>679</v>
      </c>
      <c r="C10623" s="3063"/>
      <c r="D10623" s="3064"/>
      <c r="E10623" s="3064"/>
      <c r="F10623" s="3064"/>
      <c r="G10623" s="3301" t="s">
        <v>679</v>
      </c>
      <c r="H10623" s="3063"/>
      <c r="I10623" s="3030"/>
    </row>
    <row r="10624" spans="2:9" ht="25.5">
      <c r="B10624" s="3192" t="s">
        <v>720</v>
      </c>
      <c r="C10624" s="3063"/>
      <c r="D10624" s="3064"/>
      <c r="E10624" s="3064"/>
      <c r="F10624" s="3064"/>
      <c r="G10624" s="3301" t="s">
        <v>720</v>
      </c>
      <c r="H10624" s="3063"/>
      <c r="I10624" s="3030"/>
    </row>
    <row r="10625" spans="2:9" ht="38.25">
      <c r="B10625" s="3299" t="s">
        <v>680</v>
      </c>
      <c r="C10625" s="3063"/>
      <c r="D10625" s="3064"/>
      <c r="E10625" s="3064"/>
      <c r="F10625" s="3064"/>
      <c r="G10625" s="3300" t="s">
        <v>680</v>
      </c>
      <c r="H10625" s="3063"/>
      <c r="I10625" s="3030"/>
    </row>
    <row r="10626" spans="2:9" ht="25.5">
      <c r="B10626" s="3192" t="s">
        <v>675</v>
      </c>
      <c r="C10626" s="3063"/>
      <c r="D10626" s="3064"/>
      <c r="E10626" s="3064"/>
      <c r="F10626" s="3064"/>
      <c r="G10626" s="3301" t="s">
        <v>675</v>
      </c>
      <c r="H10626" s="3063"/>
      <c r="I10626" s="3030"/>
    </row>
    <row r="10627" spans="2:9" ht="25.5">
      <c r="B10627" s="3192" t="s">
        <v>676</v>
      </c>
      <c r="C10627" s="3063"/>
      <c r="D10627" s="3064"/>
      <c r="E10627" s="3064"/>
      <c r="F10627" s="3064"/>
      <c r="G10627" s="3301" t="s">
        <v>676</v>
      </c>
      <c r="H10627" s="3063"/>
      <c r="I10627" s="3030"/>
    </row>
    <row r="10628" spans="2:9">
      <c r="B10628" s="3192" t="s">
        <v>677</v>
      </c>
      <c r="C10628" s="3063"/>
      <c r="D10628" s="3064"/>
      <c r="E10628" s="3064"/>
      <c r="F10628" s="3064"/>
      <c r="G10628" s="3301" t="s">
        <v>677</v>
      </c>
      <c r="H10628" s="3063"/>
      <c r="I10628" s="3030"/>
    </row>
    <row r="10629" spans="2:9">
      <c r="B10629" s="3192" t="s">
        <v>678</v>
      </c>
      <c r="C10629" s="3063"/>
      <c r="D10629" s="3064"/>
      <c r="E10629" s="3064"/>
      <c r="F10629" s="3064"/>
      <c r="G10629" s="3301" t="s">
        <v>678</v>
      </c>
      <c r="H10629" s="3063"/>
      <c r="I10629" s="3030"/>
    </row>
    <row r="10630" spans="2:9">
      <c r="B10630" s="3192" t="s">
        <v>679</v>
      </c>
      <c r="C10630" s="3063"/>
      <c r="D10630" s="3064"/>
      <c r="E10630" s="3064"/>
      <c r="F10630" s="3064"/>
      <c r="G10630" s="3301" t="s">
        <v>679</v>
      </c>
      <c r="H10630" s="3063"/>
      <c r="I10630" s="3030"/>
    </row>
    <row r="10631" spans="2:9" ht="25.5">
      <c r="B10631" s="3192" t="s">
        <v>720</v>
      </c>
      <c r="C10631" s="3063"/>
      <c r="D10631" s="3064"/>
      <c r="E10631" s="3064"/>
      <c r="F10631" s="3064"/>
      <c r="G10631" s="3301" t="s">
        <v>720</v>
      </c>
      <c r="H10631" s="3063"/>
      <c r="I10631" s="3030"/>
    </row>
    <row r="10632" spans="2:9" ht="38.25">
      <c r="B10632" s="3299" t="s">
        <v>681</v>
      </c>
      <c r="C10632" s="3063"/>
      <c r="D10632" s="3064"/>
      <c r="E10632" s="3064"/>
      <c r="F10632" s="3064"/>
      <c r="G10632" s="3300" t="s">
        <v>681</v>
      </c>
      <c r="H10632" s="3063"/>
      <c r="I10632" s="3030"/>
    </row>
    <row r="10633" spans="2:9" ht="25.5">
      <c r="B10633" s="3192" t="s">
        <v>675</v>
      </c>
      <c r="C10633" s="3063"/>
      <c r="D10633" s="3064"/>
      <c r="E10633" s="3064"/>
      <c r="F10633" s="3064"/>
      <c r="G10633" s="3301" t="s">
        <v>675</v>
      </c>
      <c r="H10633" s="3063"/>
      <c r="I10633" s="3030"/>
    </row>
    <row r="10634" spans="2:9" ht="25.5">
      <c r="B10634" s="3192" t="s">
        <v>676</v>
      </c>
      <c r="C10634" s="3063"/>
      <c r="D10634" s="3064"/>
      <c r="E10634" s="3064"/>
      <c r="F10634" s="3064"/>
      <c r="G10634" s="3301" t="s">
        <v>676</v>
      </c>
      <c r="H10634" s="3063"/>
      <c r="I10634" s="3030"/>
    </row>
    <row r="10635" spans="2:9">
      <c r="B10635" s="3192" t="s">
        <v>677</v>
      </c>
      <c r="C10635" s="3063"/>
      <c r="D10635" s="3064"/>
      <c r="E10635" s="3064"/>
      <c r="F10635" s="3064"/>
      <c r="G10635" s="3301" t="s">
        <v>677</v>
      </c>
      <c r="H10635" s="3063"/>
      <c r="I10635" s="3030"/>
    </row>
    <row r="10636" spans="2:9">
      <c r="B10636" s="3192" t="s">
        <v>678</v>
      </c>
      <c r="C10636" s="3063"/>
      <c r="D10636" s="3064"/>
      <c r="E10636" s="3064"/>
      <c r="F10636" s="3064"/>
      <c r="G10636" s="3301" t="s">
        <v>678</v>
      </c>
      <c r="H10636" s="3063"/>
      <c r="I10636" s="3030"/>
    </row>
    <row r="10637" spans="2:9">
      <c r="B10637" s="3192" t="s">
        <v>679</v>
      </c>
      <c r="C10637" s="3063"/>
      <c r="D10637" s="3064"/>
      <c r="E10637" s="3064"/>
      <c r="F10637" s="3064"/>
      <c r="G10637" s="3301" t="s">
        <v>679</v>
      </c>
      <c r="H10637" s="3063"/>
      <c r="I10637" s="3030"/>
    </row>
    <row r="10638" spans="2:9" ht="25.5">
      <c r="B10638" s="3192" t="s">
        <v>720</v>
      </c>
      <c r="C10638" s="3063"/>
      <c r="D10638" s="3064"/>
      <c r="E10638" s="3064"/>
      <c r="F10638" s="3064"/>
      <c r="G10638" s="3301" t="s">
        <v>720</v>
      </c>
      <c r="H10638" s="3063"/>
      <c r="I10638" s="3030"/>
    </row>
    <row r="10639" spans="2:9" ht="25.5">
      <c r="B10639" s="3299" t="s">
        <v>682</v>
      </c>
      <c r="C10639" s="3063"/>
      <c r="D10639" s="3064"/>
      <c r="E10639" s="3064"/>
      <c r="F10639" s="3064"/>
      <c r="G10639" s="3300" t="s">
        <v>682</v>
      </c>
      <c r="H10639" s="3063"/>
      <c r="I10639" s="3030"/>
    </row>
    <row r="10640" spans="2:9" ht="25.5">
      <c r="B10640" s="3192" t="s">
        <v>675</v>
      </c>
      <c r="C10640" s="3063"/>
      <c r="D10640" s="3064"/>
      <c r="E10640" s="3064"/>
      <c r="F10640" s="3064"/>
      <c r="G10640" s="3301" t="s">
        <v>675</v>
      </c>
      <c r="H10640" s="3063"/>
      <c r="I10640" s="3030"/>
    </row>
    <row r="10641" spans="2:9" ht="25.5">
      <c r="B10641" s="3192" t="s">
        <v>676</v>
      </c>
      <c r="C10641" s="3063"/>
      <c r="D10641" s="3064"/>
      <c r="E10641" s="3064"/>
      <c r="F10641" s="3064"/>
      <c r="G10641" s="3301" t="s">
        <v>676</v>
      </c>
      <c r="H10641" s="3063"/>
      <c r="I10641" s="3030"/>
    </row>
    <row r="10642" spans="2:9">
      <c r="B10642" s="3192" t="s">
        <v>677</v>
      </c>
      <c r="C10642" s="3063"/>
      <c r="D10642" s="3064"/>
      <c r="E10642" s="3064"/>
      <c r="F10642" s="3064"/>
      <c r="G10642" s="3301" t="s">
        <v>677</v>
      </c>
      <c r="H10642" s="3063"/>
      <c r="I10642" s="3030"/>
    </row>
    <row r="10643" spans="2:9">
      <c r="B10643" s="3192" t="s">
        <v>678</v>
      </c>
      <c r="C10643" s="3063"/>
      <c r="D10643" s="3064"/>
      <c r="E10643" s="3064"/>
      <c r="F10643" s="3064"/>
      <c r="G10643" s="3301" t="s">
        <v>678</v>
      </c>
      <c r="H10643" s="3063"/>
      <c r="I10643" s="3030"/>
    </row>
    <row r="10644" spans="2:9">
      <c r="B10644" s="3192" t="s">
        <v>679</v>
      </c>
      <c r="C10644" s="3063"/>
      <c r="D10644" s="3064"/>
      <c r="E10644" s="3064"/>
      <c r="F10644" s="3064"/>
      <c r="G10644" s="3301" t="s">
        <v>679</v>
      </c>
      <c r="H10644" s="3063"/>
      <c r="I10644" s="3030"/>
    </row>
    <row r="10645" spans="2:9" ht="25.5">
      <c r="B10645" s="3192" t="s">
        <v>720</v>
      </c>
      <c r="C10645" s="3063"/>
      <c r="D10645" s="3064"/>
      <c r="E10645" s="3064"/>
      <c r="F10645" s="3064"/>
      <c r="G10645" s="3301" t="s">
        <v>720</v>
      </c>
      <c r="H10645" s="3063"/>
      <c r="I10645" s="3030"/>
    </row>
    <row r="10646" spans="2:9" ht="25.5">
      <c r="B10646" s="3299" t="s">
        <v>66</v>
      </c>
      <c r="C10646" s="3063"/>
      <c r="D10646" s="3064"/>
      <c r="E10646" s="3064"/>
      <c r="F10646" s="3064"/>
      <c r="G10646" s="3300" t="s">
        <v>66</v>
      </c>
      <c r="H10646" s="3063"/>
      <c r="I10646" s="3030"/>
    </row>
    <row r="10647" spans="2:9" ht="25.5">
      <c r="B10647" s="3192" t="s">
        <v>675</v>
      </c>
      <c r="C10647" s="3063"/>
      <c r="D10647" s="3064"/>
      <c r="E10647" s="3064"/>
      <c r="F10647" s="3064"/>
      <c r="G10647" s="3301" t="s">
        <v>675</v>
      </c>
      <c r="H10647" s="3063"/>
      <c r="I10647" s="3030"/>
    </row>
    <row r="10648" spans="2:9" ht="25.5">
      <c r="B10648" s="3192" t="s">
        <v>676</v>
      </c>
      <c r="C10648" s="3063"/>
      <c r="D10648" s="3064"/>
      <c r="E10648" s="3064"/>
      <c r="F10648" s="3064"/>
      <c r="G10648" s="3301" t="s">
        <v>676</v>
      </c>
      <c r="H10648" s="3063"/>
      <c r="I10648" s="3030"/>
    </row>
    <row r="10649" spans="2:9">
      <c r="B10649" s="3192" t="s">
        <v>677</v>
      </c>
      <c r="C10649" s="3063"/>
      <c r="D10649" s="3064"/>
      <c r="E10649" s="3064"/>
      <c r="F10649" s="3064"/>
      <c r="G10649" s="3301" t="s">
        <v>677</v>
      </c>
      <c r="H10649" s="3063"/>
      <c r="I10649" s="3030"/>
    </row>
    <row r="10650" spans="2:9">
      <c r="B10650" s="3192" t="s">
        <v>678</v>
      </c>
      <c r="C10650" s="3063"/>
      <c r="D10650" s="3064"/>
      <c r="E10650" s="3064"/>
      <c r="F10650" s="3064"/>
      <c r="G10650" s="3301" t="s">
        <v>678</v>
      </c>
      <c r="H10650" s="3063"/>
      <c r="I10650" s="3030"/>
    </row>
    <row r="10651" spans="2:9">
      <c r="B10651" s="3192" t="s">
        <v>679</v>
      </c>
      <c r="C10651" s="3063"/>
      <c r="D10651" s="3064"/>
      <c r="E10651" s="3064"/>
      <c r="F10651" s="3064"/>
      <c r="G10651" s="3301" t="s">
        <v>679</v>
      </c>
      <c r="H10651" s="3063"/>
      <c r="I10651" s="3030"/>
    </row>
    <row r="10652" spans="2:9" ht="25.5">
      <c r="B10652" s="3192" t="s">
        <v>720</v>
      </c>
      <c r="C10652" s="3063"/>
      <c r="D10652" s="3064"/>
      <c r="E10652" s="3064"/>
      <c r="F10652" s="3064"/>
      <c r="G10652" s="3301" t="s">
        <v>720</v>
      </c>
      <c r="H10652" s="3063"/>
      <c r="I10652" s="3030"/>
    </row>
    <row r="10653" spans="2:9">
      <c r="B10653" s="3299" t="s">
        <v>67</v>
      </c>
      <c r="C10653" s="3063"/>
      <c r="D10653" s="3064"/>
      <c r="E10653" s="3064"/>
      <c r="F10653" s="3064"/>
      <c r="G10653" s="3300" t="s">
        <v>67</v>
      </c>
      <c r="H10653" s="3063"/>
      <c r="I10653" s="3030"/>
    </row>
    <row r="10654" spans="2:9" ht="25.5">
      <c r="B10654" s="3192" t="s">
        <v>675</v>
      </c>
      <c r="C10654" s="3063"/>
      <c r="D10654" s="3064"/>
      <c r="E10654" s="3064"/>
      <c r="F10654" s="3064"/>
      <c r="G10654" s="3301" t="s">
        <v>675</v>
      </c>
      <c r="H10654" s="3063"/>
      <c r="I10654" s="3030"/>
    </row>
    <row r="10655" spans="2:9" ht="25.5">
      <c r="B10655" s="3192" t="s">
        <v>676</v>
      </c>
      <c r="C10655" s="3063"/>
      <c r="D10655" s="3064"/>
      <c r="E10655" s="3064"/>
      <c r="F10655" s="3064"/>
      <c r="G10655" s="3301" t="s">
        <v>676</v>
      </c>
      <c r="H10655" s="3063"/>
      <c r="I10655" s="3030"/>
    </row>
    <row r="10656" spans="2:9">
      <c r="B10656" s="3192" t="s">
        <v>677</v>
      </c>
      <c r="C10656" s="3063"/>
      <c r="D10656" s="3064"/>
      <c r="E10656" s="3064"/>
      <c r="F10656" s="3064"/>
      <c r="G10656" s="3301" t="s">
        <v>677</v>
      </c>
      <c r="H10656" s="3063"/>
      <c r="I10656" s="3030"/>
    </row>
    <row r="10657" spans="2:9">
      <c r="B10657" s="3192" t="s">
        <v>678</v>
      </c>
      <c r="C10657" s="3063"/>
      <c r="D10657" s="3064"/>
      <c r="E10657" s="3064"/>
      <c r="F10657" s="3064"/>
      <c r="G10657" s="3301" t="s">
        <v>678</v>
      </c>
      <c r="H10657" s="3063"/>
      <c r="I10657" s="3030"/>
    </row>
    <row r="10658" spans="2:9">
      <c r="B10658" s="3192" t="s">
        <v>679</v>
      </c>
      <c r="C10658" s="3063"/>
      <c r="D10658" s="3064"/>
      <c r="E10658" s="3064"/>
      <c r="F10658" s="3064"/>
      <c r="G10658" s="3301" t="s">
        <v>679</v>
      </c>
      <c r="H10658" s="3063"/>
      <c r="I10658" s="3030"/>
    </row>
    <row r="10659" spans="2:9" ht="25.5">
      <c r="B10659" s="3192" t="s">
        <v>720</v>
      </c>
      <c r="C10659" s="3063"/>
      <c r="D10659" s="3064"/>
      <c r="E10659" s="3064"/>
      <c r="F10659" s="3064"/>
      <c r="G10659" s="3301" t="s">
        <v>720</v>
      </c>
      <c r="H10659" s="3063"/>
      <c r="I10659" s="3030"/>
    </row>
    <row r="10660" spans="2:9" ht="25.5">
      <c r="B10660" s="3230" t="s">
        <v>81</v>
      </c>
      <c r="C10660" s="3063"/>
      <c r="D10660" s="3064"/>
      <c r="E10660" s="3064"/>
      <c r="F10660" s="3064"/>
      <c r="G10660" s="3302" t="s">
        <v>81</v>
      </c>
      <c r="H10660" s="3063"/>
      <c r="I10660" s="3030"/>
    </row>
    <row r="10661" spans="2:9" ht="26.25" thickBot="1">
      <c r="B10661" s="3303" t="s">
        <v>81</v>
      </c>
      <c r="C10661" s="3063"/>
      <c r="D10661" s="3064"/>
      <c r="E10661" s="3064"/>
      <c r="F10661" s="3064"/>
      <c r="G10661" s="3302" t="s">
        <v>81</v>
      </c>
      <c r="H10661" s="3063"/>
      <c r="I10661" s="3030"/>
    </row>
    <row r="10662" spans="2:9" ht="25.5">
      <c r="B10662" s="3217" t="s">
        <v>696</v>
      </c>
      <c r="C10662" s="3218"/>
      <c r="D10662" s="3219"/>
      <c r="E10662" s="3219"/>
      <c r="F10662" s="3219"/>
      <c r="G10662" s="3217" t="s">
        <v>696</v>
      </c>
      <c r="H10662" s="3297"/>
      <c r="I10662" s="3298"/>
    </row>
    <row r="10663" spans="2:9">
      <c r="B10663" s="3299" t="s">
        <v>64</v>
      </c>
      <c r="C10663" s="3063"/>
      <c r="D10663" s="3064"/>
      <c r="E10663" s="3064"/>
      <c r="F10663" s="3064"/>
      <c r="G10663" s="3300" t="s">
        <v>64</v>
      </c>
      <c r="H10663" s="3063"/>
      <c r="I10663" s="3030"/>
    </row>
    <row r="10664" spans="2:9" ht="25.5">
      <c r="B10664" s="3192" t="s">
        <v>675</v>
      </c>
      <c r="C10664" s="3063"/>
      <c r="D10664" s="3064"/>
      <c r="E10664" s="3064"/>
      <c r="F10664" s="3064"/>
      <c r="G10664" s="3301" t="s">
        <v>675</v>
      </c>
      <c r="H10664" s="3063"/>
      <c r="I10664" s="3030"/>
    </row>
    <row r="10665" spans="2:9" ht="25.5">
      <c r="B10665" s="3192" t="s">
        <v>676</v>
      </c>
      <c r="C10665" s="3063"/>
      <c r="D10665" s="3064"/>
      <c r="E10665" s="3064"/>
      <c r="F10665" s="3064"/>
      <c r="G10665" s="3301" t="s">
        <v>676</v>
      </c>
      <c r="H10665" s="3063"/>
      <c r="I10665" s="3030"/>
    </row>
    <row r="10666" spans="2:9">
      <c r="B10666" s="3192" t="s">
        <v>677</v>
      </c>
      <c r="C10666" s="3063"/>
      <c r="D10666" s="3064"/>
      <c r="E10666" s="3064"/>
      <c r="F10666" s="3064"/>
      <c r="G10666" s="3301" t="s">
        <v>677</v>
      </c>
      <c r="H10666" s="3063"/>
      <c r="I10666" s="3030"/>
    </row>
    <row r="10667" spans="2:9">
      <c r="B10667" s="3192" t="s">
        <v>678</v>
      </c>
      <c r="C10667" s="3063"/>
      <c r="D10667" s="3064"/>
      <c r="E10667" s="3064"/>
      <c r="F10667" s="3064"/>
      <c r="G10667" s="3301" t="s">
        <v>678</v>
      </c>
      <c r="H10667" s="3063"/>
      <c r="I10667" s="3030"/>
    </row>
    <row r="10668" spans="2:9">
      <c r="B10668" s="3192" t="s">
        <v>679</v>
      </c>
      <c r="C10668" s="3063"/>
      <c r="D10668" s="3064"/>
      <c r="E10668" s="3064"/>
      <c r="F10668" s="3064"/>
      <c r="G10668" s="3301" t="s">
        <v>679</v>
      </c>
      <c r="H10668" s="3063"/>
      <c r="I10668" s="3030"/>
    </row>
    <row r="10669" spans="2:9" ht="25.5">
      <c r="B10669" s="3192" t="s">
        <v>720</v>
      </c>
      <c r="C10669" s="3063"/>
      <c r="D10669" s="3064"/>
      <c r="E10669" s="3064"/>
      <c r="F10669" s="3064"/>
      <c r="G10669" s="3301" t="s">
        <v>720</v>
      </c>
      <c r="H10669" s="3063"/>
      <c r="I10669" s="3030"/>
    </row>
    <row r="10670" spans="2:9">
      <c r="B10670" s="3299" t="s">
        <v>65</v>
      </c>
      <c r="C10670" s="3063"/>
      <c r="D10670" s="3064"/>
      <c r="E10670" s="3064"/>
      <c r="F10670" s="3064"/>
      <c r="G10670" s="3300" t="s">
        <v>65</v>
      </c>
      <c r="H10670" s="3063"/>
      <c r="I10670" s="3030"/>
    </row>
    <row r="10671" spans="2:9" ht="25.5">
      <c r="B10671" s="3192" t="s">
        <v>675</v>
      </c>
      <c r="C10671" s="3063"/>
      <c r="D10671" s="3064"/>
      <c r="E10671" s="3064"/>
      <c r="F10671" s="3064"/>
      <c r="G10671" s="3301" t="s">
        <v>675</v>
      </c>
      <c r="H10671" s="3063"/>
      <c r="I10671" s="3030"/>
    </row>
    <row r="10672" spans="2:9" ht="25.5">
      <c r="B10672" s="3192" t="s">
        <v>676</v>
      </c>
      <c r="C10672" s="3063"/>
      <c r="D10672" s="3064"/>
      <c r="E10672" s="3064"/>
      <c r="F10672" s="3064"/>
      <c r="G10672" s="3301" t="s">
        <v>676</v>
      </c>
      <c r="H10672" s="3063"/>
      <c r="I10672" s="3030"/>
    </row>
    <row r="10673" spans="2:9">
      <c r="B10673" s="3192" t="s">
        <v>677</v>
      </c>
      <c r="C10673" s="3063"/>
      <c r="D10673" s="3064"/>
      <c r="E10673" s="3064"/>
      <c r="F10673" s="3064"/>
      <c r="G10673" s="3301" t="s">
        <v>677</v>
      </c>
      <c r="H10673" s="3063"/>
      <c r="I10673" s="3030"/>
    </row>
    <row r="10674" spans="2:9">
      <c r="B10674" s="3192" t="s">
        <v>678</v>
      </c>
      <c r="C10674" s="3063"/>
      <c r="D10674" s="3064"/>
      <c r="E10674" s="3064"/>
      <c r="F10674" s="3064"/>
      <c r="G10674" s="3301" t="s">
        <v>678</v>
      </c>
      <c r="H10674" s="3063"/>
      <c r="I10674" s="3030"/>
    </row>
    <row r="10675" spans="2:9">
      <c r="B10675" s="3192" t="s">
        <v>679</v>
      </c>
      <c r="C10675" s="3063"/>
      <c r="D10675" s="3064"/>
      <c r="E10675" s="3064"/>
      <c r="F10675" s="3064"/>
      <c r="G10675" s="3301" t="s">
        <v>679</v>
      </c>
      <c r="H10675" s="3063"/>
      <c r="I10675" s="3030"/>
    </row>
    <row r="10676" spans="2:9" ht="25.5">
      <c r="B10676" s="3192" t="s">
        <v>720</v>
      </c>
      <c r="C10676" s="3063"/>
      <c r="D10676" s="3064"/>
      <c r="E10676" s="3064"/>
      <c r="F10676" s="3064"/>
      <c r="G10676" s="3301" t="s">
        <v>720</v>
      </c>
      <c r="H10676" s="3063"/>
      <c r="I10676" s="3030"/>
    </row>
    <row r="10677" spans="2:9">
      <c r="B10677" s="3299" t="s">
        <v>82</v>
      </c>
      <c r="C10677" s="3063"/>
      <c r="D10677" s="3064"/>
      <c r="E10677" s="3064"/>
      <c r="F10677" s="3064"/>
      <c r="G10677" s="3300" t="s">
        <v>82</v>
      </c>
      <c r="H10677" s="3063"/>
      <c r="I10677" s="3030"/>
    </row>
    <row r="10678" spans="2:9" ht="25.5">
      <c r="B10678" s="3192" t="s">
        <v>675</v>
      </c>
      <c r="C10678" s="3063"/>
      <c r="D10678" s="3064"/>
      <c r="E10678" s="3064"/>
      <c r="F10678" s="3064"/>
      <c r="G10678" s="3301" t="s">
        <v>675</v>
      </c>
      <c r="H10678" s="3063"/>
      <c r="I10678" s="3030"/>
    </row>
    <row r="10679" spans="2:9" ht="25.5">
      <c r="B10679" s="3192" t="s">
        <v>676</v>
      </c>
      <c r="C10679" s="3063"/>
      <c r="D10679" s="3064"/>
      <c r="E10679" s="3064"/>
      <c r="F10679" s="3064"/>
      <c r="G10679" s="3301" t="s">
        <v>676</v>
      </c>
      <c r="H10679" s="3063"/>
      <c r="I10679" s="3030"/>
    </row>
    <row r="10680" spans="2:9">
      <c r="B10680" s="3192" t="s">
        <v>677</v>
      </c>
      <c r="C10680" s="3063"/>
      <c r="D10680" s="3064"/>
      <c r="E10680" s="3064"/>
      <c r="F10680" s="3064"/>
      <c r="G10680" s="3301" t="s">
        <v>677</v>
      </c>
      <c r="H10680" s="3063"/>
      <c r="I10680" s="3030"/>
    </row>
    <row r="10681" spans="2:9">
      <c r="B10681" s="3192" t="s">
        <v>678</v>
      </c>
      <c r="C10681" s="3063"/>
      <c r="D10681" s="3064"/>
      <c r="E10681" s="3064"/>
      <c r="F10681" s="3064"/>
      <c r="G10681" s="3301" t="s">
        <v>678</v>
      </c>
      <c r="H10681" s="3063"/>
      <c r="I10681" s="3030"/>
    </row>
    <row r="10682" spans="2:9">
      <c r="B10682" s="3192" t="s">
        <v>679</v>
      </c>
      <c r="C10682" s="3063"/>
      <c r="D10682" s="3064"/>
      <c r="E10682" s="3064"/>
      <c r="F10682" s="3064"/>
      <c r="G10682" s="3301" t="s">
        <v>679</v>
      </c>
      <c r="H10682" s="3063"/>
      <c r="I10682" s="3030"/>
    </row>
    <row r="10683" spans="2:9" ht="25.5">
      <c r="B10683" s="3192" t="s">
        <v>720</v>
      </c>
      <c r="C10683" s="3063"/>
      <c r="D10683" s="3064"/>
      <c r="E10683" s="3064"/>
      <c r="F10683" s="3064"/>
      <c r="G10683" s="3301" t="s">
        <v>720</v>
      </c>
      <c r="H10683" s="3063"/>
      <c r="I10683" s="3030"/>
    </row>
    <row r="10684" spans="2:9" ht="38.25">
      <c r="B10684" s="3299" t="s">
        <v>680</v>
      </c>
      <c r="C10684" s="3063"/>
      <c r="D10684" s="3064"/>
      <c r="E10684" s="3064"/>
      <c r="F10684" s="3064"/>
      <c r="G10684" s="3300" t="s">
        <v>680</v>
      </c>
      <c r="H10684" s="3063"/>
      <c r="I10684" s="3030"/>
    </row>
    <row r="10685" spans="2:9" ht="25.5">
      <c r="B10685" s="3192" t="s">
        <v>675</v>
      </c>
      <c r="C10685" s="3063"/>
      <c r="D10685" s="3064"/>
      <c r="E10685" s="3064"/>
      <c r="F10685" s="3064"/>
      <c r="G10685" s="3301" t="s">
        <v>675</v>
      </c>
      <c r="H10685" s="3063"/>
      <c r="I10685" s="3030"/>
    </row>
    <row r="10686" spans="2:9" ht="25.5">
      <c r="B10686" s="3192" t="s">
        <v>676</v>
      </c>
      <c r="C10686" s="3063"/>
      <c r="D10686" s="3064"/>
      <c r="E10686" s="3064"/>
      <c r="F10686" s="3064"/>
      <c r="G10686" s="3301" t="s">
        <v>676</v>
      </c>
      <c r="H10686" s="3063"/>
      <c r="I10686" s="3030"/>
    </row>
    <row r="10687" spans="2:9">
      <c r="B10687" s="3192" t="s">
        <v>677</v>
      </c>
      <c r="C10687" s="3063"/>
      <c r="D10687" s="3064"/>
      <c r="E10687" s="3064"/>
      <c r="F10687" s="3064"/>
      <c r="G10687" s="3301" t="s">
        <v>677</v>
      </c>
      <c r="H10687" s="3063"/>
      <c r="I10687" s="3030"/>
    </row>
    <row r="10688" spans="2:9">
      <c r="B10688" s="3192" t="s">
        <v>678</v>
      </c>
      <c r="C10688" s="3063"/>
      <c r="D10688" s="3064"/>
      <c r="E10688" s="3064"/>
      <c r="F10688" s="3064"/>
      <c r="G10688" s="3301" t="s">
        <v>678</v>
      </c>
      <c r="H10688" s="3063"/>
      <c r="I10688" s="3030"/>
    </row>
    <row r="10689" spans="2:9">
      <c r="B10689" s="3192" t="s">
        <v>679</v>
      </c>
      <c r="C10689" s="3063"/>
      <c r="D10689" s="3064"/>
      <c r="E10689" s="3064"/>
      <c r="F10689" s="3064"/>
      <c r="G10689" s="3301" t="s">
        <v>679</v>
      </c>
      <c r="H10689" s="3063"/>
      <c r="I10689" s="3030"/>
    </row>
    <row r="10690" spans="2:9" ht="25.5">
      <c r="B10690" s="3192" t="s">
        <v>720</v>
      </c>
      <c r="C10690" s="3063"/>
      <c r="D10690" s="3064"/>
      <c r="E10690" s="3064"/>
      <c r="F10690" s="3064"/>
      <c r="G10690" s="3301" t="s">
        <v>720</v>
      </c>
      <c r="H10690" s="3063"/>
      <c r="I10690" s="3030"/>
    </row>
    <row r="10691" spans="2:9" ht="38.25">
      <c r="B10691" s="3299" t="s">
        <v>681</v>
      </c>
      <c r="C10691" s="3063"/>
      <c r="D10691" s="3064"/>
      <c r="E10691" s="3064"/>
      <c r="F10691" s="3064"/>
      <c r="G10691" s="3300" t="s">
        <v>681</v>
      </c>
      <c r="H10691" s="3063"/>
      <c r="I10691" s="3030"/>
    </row>
    <row r="10692" spans="2:9" ht="25.5">
      <c r="B10692" s="3192" t="s">
        <v>675</v>
      </c>
      <c r="C10692" s="3063"/>
      <c r="D10692" s="3064"/>
      <c r="E10692" s="3064"/>
      <c r="F10692" s="3064"/>
      <c r="G10692" s="3301" t="s">
        <v>675</v>
      </c>
      <c r="H10692" s="3063"/>
      <c r="I10692" s="3030"/>
    </row>
    <row r="10693" spans="2:9" ht="25.5">
      <c r="B10693" s="3192" t="s">
        <v>676</v>
      </c>
      <c r="C10693" s="3063"/>
      <c r="D10693" s="3064"/>
      <c r="E10693" s="3064"/>
      <c r="F10693" s="3064"/>
      <c r="G10693" s="3301" t="s">
        <v>676</v>
      </c>
      <c r="H10693" s="3063"/>
      <c r="I10693" s="3030"/>
    </row>
    <row r="10694" spans="2:9">
      <c r="B10694" s="3192" t="s">
        <v>677</v>
      </c>
      <c r="C10694" s="3063"/>
      <c r="D10694" s="3064"/>
      <c r="E10694" s="3064"/>
      <c r="F10694" s="3064"/>
      <c r="G10694" s="3301" t="s">
        <v>677</v>
      </c>
      <c r="H10694" s="3063"/>
      <c r="I10694" s="3030"/>
    </row>
    <row r="10695" spans="2:9">
      <c r="B10695" s="3192" t="s">
        <v>678</v>
      </c>
      <c r="C10695" s="3063"/>
      <c r="D10695" s="3064"/>
      <c r="E10695" s="3064"/>
      <c r="F10695" s="3064"/>
      <c r="G10695" s="3301" t="s">
        <v>678</v>
      </c>
      <c r="H10695" s="3063"/>
      <c r="I10695" s="3030"/>
    </row>
    <row r="10696" spans="2:9">
      <c r="B10696" s="3192" t="s">
        <v>679</v>
      </c>
      <c r="C10696" s="3063"/>
      <c r="D10696" s="3064"/>
      <c r="E10696" s="3064"/>
      <c r="F10696" s="3064"/>
      <c r="G10696" s="3301" t="s">
        <v>679</v>
      </c>
      <c r="H10696" s="3063"/>
      <c r="I10696" s="3030"/>
    </row>
    <row r="10697" spans="2:9" ht="25.5">
      <c r="B10697" s="3192" t="s">
        <v>720</v>
      </c>
      <c r="C10697" s="3063"/>
      <c r="D10697" s="3064"/>
      <c r="E10697" s="3064"/>
      <c r="F10697" s="3064"/>
      <c r="G10697" s="3301" t="s">
        <v>720</v>
      </c>
      <c r="H10697" s="3063"/>
      <c r="I10697" s="3030"/>
    </row>
    <row r="10698" spans="2:9" ht="25.5">
      <c r="B10698" s="3299" t="s">
        <v>682</v>
      </c>
      <c r="C10698" s="3063"/>
      <c r="D10698" s="3064"/>
      <c r="E10698" s="3064"/>
      <c r="F10698" s="3064"/>
      <c r="G10698" s="3300" t="s">
        <v>682</v>
      </c>
      <c r="H10698" s="3063"/>
      <c r="I10698" s="3030"/>
    </row>
    <row r="10699" spans="2:9" ht="25.5">
      <c r="B10699" s="3192" t="s">
        <v>675</v>
      </c>
      <c r="C10699" s="3063"/>
      <c r="D10699" s="3064"/>
      <c r="E10699" s="3064"/>
      <c r="F10699" s="3064"/>
      <c r="G10699" s="3301" t="s">
        <v>675</v>
      </c>
      <c r="H10699" s="3063"/>
      <c r="I10699" s="3030"/>
    </row>
    <row r="10700" spans="2:9" ht="25.5">
      <c r="B10700" s="3192" t="s">
        <v>676</v>
      </c>
      <c r="C10700" s="3063"/>
      <c r="D10700" s="3064"/>
      <c r="E10700" s="3064"/>
      <c r="F10700" s="3064"/>
      <c r="G10700" s="3301" t="s">
        <v>676</v>
      </c>
      <c r="H10700" s="3063"/>
      <c r="I10700" s="3030"/>
    </row>
    <row r="10701" spans="2:9">
      <c r="B10701" s="3192" t="s">
        <v>677</v>
      </c>
      <c r="C10701" s="3063"/>
      <c r="D10701" s="3064"/>
      <c r="E10701" s="3064"/>
      <c r="F10701" s="3064"/>
      <c r="G10701" s="3301" t="s">
        <v>677</v>
      </c>
      <c r="H10701" s="3063"/>
      <c r="I10701" s="3030"/>
    </row>
    <row r="10702" spans="2:9">
      <c r="B10702" s="3192" t="s">
        <v>678</v>
      </c>
      <c r="C10702" s="3063"/>
      <c r="D10702" s="3064"/>
      <c r="E10702" s="3064"/>
      <c r="F10702" s="3064"/>
      <c r="G10702" s="3301" t="s">
        <v>678</v>
      </c>
      <c r="H10702" s="3063"/>
      <c r="I10702" s="3030"/>
    </row>
    <row r="10703" spans="2:9">
      <c r="B10703" s="3192" t="s">
        <v>679</v>
      </c>
      <c r="C10703" s="3063"/>
      <c r="D10703" s="3064"/>
      <c r="E10703" s="3064"/>
      <c r="F10703" s="3064"/>
      <c r="G10703" s="3301" t="s">
        <v>679</v>
      </c>
      <c r="H10703" s="3063"/>
      <c r="I10703" s="3030"/>
    </row>
    <row r="10704" spans="2:9" ht="25.5">
      <c r="B10704" s="3192" t="s">
        <v>720</v>
      </c>
      <c r="C10704" s="3063"/>
      <c r="D10704" s="3064"/>
      <c r="E10704" s="3064"/>
      <c r="F10704" s="3064"/>
      <c r="G10704" s="3301" t="s">
        <v>720</v>
      </c>
      <c r="H10704" s="3063"/>
      <c r="I10704" s="3030"/>
    </row>
    <row r="10705" spans="2:9" ht="25.5">
      <c r="B10705" s="3299" t="s">
        <v>66</v>
      </c>
      <c r="C10705" s="3063"/>
      <c r="D10705" s="3064"/>
      <c r="E10705" s="3064"/>
      <c r="F10705" s="3064"/>
      <c r="G10705" s="3300" t="s">
        <v>66</v>
      </c>
      <c r="H10705" s="3063"/>
      <c r="I10705" s="3030"/>
    </row>
    <row r="10706" spans="2:9" ht="25.5">
      <c r="B10706" s="3192" t="s">
        <v>675</v>
      </c>
      <c r="C10706" s="3063"/>
      <c r="D10706" s="3064"/>
      <c r="E10706" s="3064"/>
      <c r="F10706" s="3064"/>
      <c r="G10706" s="3301" t="s">
        <v>675</v>
      </c>
      <c r="H10706" s="3063"/>
      <c r="I10706" s="3030"/>
    </row>
    <row r="10707" spans="2:9" ht="25.5">
      <c r="B10707" s="3192" t="s">
        <v>676</v>
      </c>
      <c r="C10707" s="3063"/>
      <c r="D10707" s="3064"/>
      <c r="E10707" s="3064"/>
      <c r="F10707" s="3064"/>
      <c r="G10707" s="3301" t="s">
        <v>676</v>
      </c>
      <c r="H10707" s="3063"/>
      <c r="I10707" s="3030"/>
    </row>
    <row r="10708" spans="2:9">
      <c r="B10708" s="3192" t="s">
        <v>677</v>
      </c>
      <c r="C10708" s="3063"/>
      <c r="D10708" s="3064"/>
      <c r="E10708" s="3064"/>
      <c r="F10708" s="3064"/>
      <c r="G10708" s="3301" t="s">
        <v>677</v>
      </c>
      <c r="H10708" s="3063"/>
      <c r="I10708" s="3030"/>
    </row>
    <row r="10709" spans="2:9">
      <c r="B10709" s="3192" t="s">
        <v>678</v>
      </c>
      <c r="C10709" s="3063"/>
      <c r="D10709" s="3064"/>
      <c r="E10709" s="3064"/>
      <c r="F10709" s="3064"/>
      <c r="G10709" s="3301" t="s">
        <v>678</v>
      </c>
      <c r="H10709" s="3063"/>
      <c r="I10709" s="3030"/>
    </row>
    <row r="10710" spans="2:9">
      <c r="B10710" s="3192" t="s">
        <v>679</v>
      </c>
      <c r="C10710" s="3063"/>
      <c r="D10710" s="3064"/>
      <c r="E10710" s="3064"/>
      <c r="F10710" s="3064"/>
      <c r="G10710" s="3301" t="s">
        <v>679</v>
      </c>
      <c r="H10710" s="3063"/>
      <c r="I10710" s="3030"/>
    </row>
    <row r="10711" spans="2:9" ht="25.5">
      <c r="B10711" s="3192" t="s">
        <v>720</v>
      </c>
      <c r="C10711" s="3063"/>
      <c r="D10711" s="3064"/>
      <c r="E10711" s="3064"/>
      <c r="F10711" s="3064"/>
      <c r="G10711" s="3301" t="s">
        <v>720</v>
      </c>
      <c r="H10711" s="3063"/>
      <c r="I10711" s="3030"/>
    </row>
    <row r="10712" spans="2:9">
      <c r="B10712" s="3299" t="s">
        <v>67</v>
      </c>
      <c r="C10712" s="3063"/>
      <c r="D10712" s="3064"/>
      <c r="E10712" s="3064"/>
      <c r="F10712" s="3064"/>
      <c r="G10712" s="3300" t="s">
        <v>67</v>
      </c>
      <c r="H10712" s="3063"/>
      <c r="I10712" s="3030"/>
    </row>
    <row r="10713" spans="2:9" ht="25.5">
      <c r="B10713" s="3192" t="s">
        <v>675</v>
      </c>
      <c r="C10713" s="3063"/>
      <c r="D10713" s="3064"/>
      <c r="E10713" s="3064"/>
      <c r="F10713" s="3064"/>
      <c r="G10713" s="3301" t="s">
        <v>675</v>
      </c>
      <c r="H10713" s="3063"/>
      <c r="I10713" s="3030"/>
    </row>
    <row r="10714" spans="2:9" ht="25.5">
      <c r="B10714" s="3192" t="s">
        <v>676</v>
      </c>
      <c r="C10714" s="3063"/>
      <c r="D10714" s="3064"/>
      <c r="E10714" s="3064"/>
      <c r="F10714" s="3064"/>
      <c r="G10714" s="3301" t="s">
        <v>676</v>
      </c>
      <c r="H10714" s="3063"/>
      <c r="I10714" s="3030"/>
    </row>
    <row r="10715" spans="2:9">
      <c r="B10715" s="3192" t="s">
        <v>677</v>
      </c>
      <c r="C10715" s="3063"/>
      <c r="D10715" s="3064"/>
      <c r="E10715" s="3064"/>
      <c r="F10715" s="3064"/>
      <c r="G10715" s="3301" t="s">
        <v>677</v>
      </c>
      <c r="H10715" s="3063"/>
      <c r="I10715" s="3030"/>
    </row>
    <row r="10716" spans="2:9">
      <c r="B10716" s="3192" t="s">
        <v>678</v>
      </c>
      <c r="C10716" s="3063"/>
      <c r="D10716" s="3064"/>
      <c r="E10716" s="3064"/>
      <c r="F10716" s="3064"/>
      <c r="G10716" s="3301" t="s">
        <v>678</v>
      </c>
      <c r="H10716" s="3063"/>
      <c r="I10716" s="3030"/>
    </row>
    <row r="10717" spans="2:9">
      <c r="B10717" s="3192" t="s">
        <v>679</v>
      </c>
      <c r="C10717" s="3063"/>
      <c r="D10717" s="3064"/>
      <c r="E10717" s="3064"/>
      <c r="F10717" s="3064"/>
      <c r="G10717" s="3301" t="s">
        <v>679</v>
      </c>
      <c r="H10717" s="3063"/>
      <c r="I10717" s="3030"/>
    </row>
    <row r="10718" spans="2:9" ht="25.5">
      <c r="B10718" s="3230" t="s">
        <v>81</v>
      </c>
      <c r="C10718" s="3063"/>
      <c r="D10718" s="3064"/>
      <c r="E10718" s="3064"/>
      <c r="F10718" s="3064"/>
      <c r="G10718" s="3302" t="s">
        <v>81</v>
      </c>
      <c r="H10718" s="3063"/>
      <c r="I10718" s="3030"/>
    </row>
    <row r="10719" spans="2:9" ht="26.25" thickBot="1">
      <c r="B10719" s="3303" t="s">
        <v>81</v>
      </c>
      <c r="C10719" s="3063"/>
      <c r="D10719" s="3064"/>
      <c r="E10719" s="3064"/>
      <c r="F10719" s="3064"/>
      <c r="G10719" s="3302" t="s">
        <v>81</v>
      </c>
      <c r="H10719" s="3063"/>
      <c r="I10719" s="3030"/>
    </row>
    <row r="10720" spans="2:9">
      <c r="B10720" s="3217" t="s">
        <v>697</v>
      </c>
      <c r="C10720" s="3218"/>
      <c r="D10720" s="3219"/>
      <c r="E10720" s="3219"/>
      <c r="F10720" s="3219"/>
      <c r="G10720" s="3217" t="s">
        <v>697</v>
      </c>
      <c r="H10720" s="3297"/>
      <c r="I10720" s="3298"/>
    </row>
    <row r="10721" spans="2:9">
      <c r="B10721" s="3299" t="s">
        <v>64</v>
      </c>
      <c r="C10721" s="3063"/>
      <c r="D10721" s="3064"/>
      <c r="E10721" s="3064"/>
      <c r="F10721" s="3064"/>
      <c r="G10721" s="3300" t="s">
        <v>64</v>
      </c>
      <c r="H10721" s="3063"/>
      <c r="I10721" s="3030"/>
    </row>
    <row r="10722" spans="2:9" ht="25.5">
      <c r="B10722" s="3192" t="s">
        <v>675</v>
      </c>
      <c r="C10722" s="3063"/>
      <c r="D10722" s="3064"/>
      <c r="E10722" s="3064"/>
      <c r="F10722" s="3064"/>
      <c r="G10722" s="3301" t="s">
        <v>675</v>
      </c>
      <c r="H10722" s="3063"/>
      <c r="I10722" s="3030"/>
    </row>
    <row r="10723" spans="2:9" ht="25.5">
      <c r="B10723" s="3192" t="s">
        <v>676</v>
      </c>
      <c r="C10723" s="3063"/>
      <c r="D10723" s="3064"/>
      <c r="E10723" s="3064"/>
      <c r="F10723" s="3064"/>
      <c r="G10723" s="3301" t="s">
        <v>676</v>
      </c>
      <c r="H10723" s="3063"/>
      <c r="I10723" s="3030"/>
    </row>
    <row r="10724" spans="2:9">
      <c r="B10724" s="3192" t="s">
        <v>677</v>
      </c>
      <c r="C10724" s="3063"/>
      <c r="D10724" s="3064"/>
      <c r="E10724" s="3064"/>
      <c r="F10724" s="3064"/>
      <c r="G10724" s="3301" t="s">
        <v>677</v>
      </c>
      <c r="H10724" s="3063"/>
      <c r="I10724" s="3030"/>
    </row>
    <row r="10725" spans="2:9">
      <c r="B10725" s="3192" t="s">
        <v>678</v>
      </c>
      <c r="C10725" s="3063"/>
      <c r="D10725" s="3064"/>
      <c r="E10725" s="3064"/>
      <c r="F10725" s="3064"/>
      <c r="G10725" s="3301" t="s">
        <v>678</v>
      </c>
      <c r="H10725" s="3063"/>
      <c r="I10725" s="3030"/>
    </row>
    <row r="10726" spans="2:9">
      <c r="B10726" s="3192" t="s">
        <v>679</v>
      </c>
      <c r="C10726" s="3063"/>
      <c r="D10726" s="3064"/>
      <c r="E10726" s="3064"/>
      <c r="F10726" s="3064"/>
      <c r="G10726" s="3301" t="s">
        <v>679</v>
      </c>
      <c r="H10726" s="3063"/>
      <c r="I10726" s="3030"/>
    </row>
    <row r="10727" spans="2:9" ht="25.5">
      <c r="B10727" s="3192" t="s">
        <v>720</v>
      </c>
      <c r="C10727" s="3063"/>
      <c r="D10727" s="3064"/>
      <c r="E10727" s="3064"/>
      <c r="F10727" s="3064"/>
      <c r="G10727" s="3301" t="s">
        <v>720</v>
      </c>
      <c r="H10727" s="3063"/>
      <c r="I10727" s="3030"/>
    </row>
    <row r="10728" spans="2:9">
      <c r="B10728" s="3299" t="s">
        <v>65</v>
      </c>
      <c r="C10728" s="3063"/>
      <c r="D10728" s="3064"/>
      <c r="E10728" s="3064"/>
      <c r="F10728" s="3064"/>
      <c r="G10728" s="3300" t="s">
        <v>65</v>
      </c>
      <c r="H10728" s="3063"/>
      <c r="I10728" s="3030"/>
    </row>
    <row r="10729" spans="2:9" ht="25.5">
      <c r="B10729" s="3192" t="s">
        <v>675</v>
      </c>
      <c r="C10729" s="3063"/>
      <c r="D10729" s="3064"/>
      <c r="E10729" s="3064"/>
      <c r="F10729" s="3064"/>
      <c r="G10729" s="3301" t="s">
        <v>675</v>
      </c>
      <c r="H10729" s="3063"/>
      <c r="I10729" s="3030"/>
    </row>
    <row r="10730" spans="2:9" ht="25.5">
      <c r="B10730" s="3192" t="s">
        <v>676</v>
      </c>
      <c r="C10730" s="3063"/>
      <c r="D10730" s="3064"/>
      <c r="E10730" s="3064"/>
      <c r="F10730" s="3064"/>
      <c r="G10730" s="3301" t="s">
        <v>676</v>
      </c>
      <c r="H10730" s="3063"/>
      <c r="I10730" s="3030"/>
    </row>
    <row r="10731" spans="2:9">
      <c r="B10731" s="3192" t="s">
        <v>677</v>
      </c>
      <c r="C10731" s="3063"/>
      <c r="D10731" s="3064"/>
      <c r="E10731" s="3064"/>
      <c r="F10731" s="3064"/>
      <c r="G10731" s="3301" t="s">
        <v>677</v>
      </c>
      <c r="H10731" s="3063"/>
      <c r="I10731" s="3030"/>
    </row>
    <row r="10732" spans="2:9">
      <c r="B10732" s="3192" t="s">
        <v>678</v>
      </c>
      <c r="C10732" s="3063"/>
      <c r="D10732" s="3064"/>
      <c r="E10732" s="3064"/>
      <c r="F10732" s="3064"/>
      <c r="G10732" s="3301" t="s">
        <v>678</v>
      </c>
      <c r="H10732" s="3063"/>
      <c r="I10732" s="3030"/>
    </row>
    <row r="10733" spans="2:9">
      <c r="B10733" s="3192" t="s">
        <v>679</v>
      </c>
      <c r="C10733" s="3063"/>
      <c r="D10733" s="3064"/>
      <c r="E10733" s="3064"/>
      <c r="F10733" s="3064"/>
      <c r="G10733" s="3301" t="s">
        <v>679</v>
      </c>
      <c r="H10733" s="3063"/>
      <c r="I10733" s="3030"/>
    </row>
    <row r="10734" spans="2:9" ht="25.5">
      <c r="B10734" s="3192" t="s">
        <v>720</v>
      </c>
      <c r="C10734" s="3063"/>
      <c r="D10734" s="3064"/>
      <c r="E10734" s="3064"/>
      <c r="F10734" s="3064"/>
      <c r="G10734" s="3301" t="s">
        <v>720</v>
      </c>
      <c r="H10734" s="3063"/>
      <c r="I10734" s="3030"/>
    </row>
    <row r="10735" spans="2:9">
      <c r="B10735" s="3299" t="s">
        <v>82</v>
      </c>
      <c r="C10735" s="3063"/>
      <c r="D10735" s="3064"/>
      <c r="E10735" s="3064"/>
      <c r="F10735" s="3064"/>
      <c r="G10735" s="3300" t="s">
        <v>82</v>
      </c>
      <c r="H10735" s="3063"/>
      <c r="I10735" s="3030"/>
    </row>
    <row r="10736" spans="2:9" ht="25.5">
      <c r="B10736" s="3192" t="s">
        <v>675</v>
      </c>
      <c r="C10736" s="3063"/>
      <c r="D10736" s="3064"/>
      <c r="E10736" s="3064"/>
      <c r="F10736" s="3064"/>
      <c r="G10736" s="3301" t="s">
        <v>675</v>
      </c>
      <c r="H10736" s="3063"/>
      <c r="I10736" s="3030"/>
    </row>
    <row r="10737" spans="2:9" ht="25.5">
      <c r="B10737" s="3192" t="s">
        <v>676</v>
      </c>
      <c r="C10737" s="3063"/>
      <c r="D10737" s="3064"/>
      <c r="E10737" s="3064"/>
      <c r="F10737" s="3064"/>
      <c r="G10737" s="3301" t="s">
        <v>676</v>
      </c>
      <c r="H10737" s="3063"/>
      <c r="I10737" s="3030"/>
    </row>
    <row r="10738" spans="2:9">
      <c r="B10738" s="3192" t="s">
        <v>677</v>
      </c>
      <c r="C10738" s="3063"/>
      <c r="D10738" s="3064"/>
      <c r="E10738" s="3064"/>
      <c r="F10738" s="3064"/>
      <c r="G10738" s="3301" t="s">
        <v>677</v>
      </c>
      <c r="H10738" s="3063"/>
      <c r="I10738" s="3030"/>
    </row>
    <row r="10739" spans="2:9">
      <c r="B10739" s="3192" t="s">
        <v>678</v>
      </c>
      <c r="C10739" s="3063"/>
      <c r="D10739" s="3064"/>
      <c r="E10739" s="3064"/>
      <c r="F10739" s="3064"/>
      <c r="G10739" s="3301" t="s">
        <v>678</v>
      </c>
      <c r="H10739" s="3063"/>
      <c r="I10739" s="3030"/>
    </row>
    <row r="10740" spans="2:9">
      <c r="B10740" s="3192" t="s">
        <v>679</v>
      </c>
      <c r="C10740" s="3063"/>
      <c r="D10740" s="3064"/>
      <c r="E10740" s="3064"/>
      <c r="F10740" s="3064"/>
      <c r="G10740" s="3301" t="s">
        <v>679</v>
      </c>
      <c r="H10740" s="3063"/>
      <c r="I10740" s="3030"/>
    </row>
    <row r="10741" spans="2:9" ht="25.5">
      <c r="B10741" s="3192" t="s">
        <v>720</v>
      </c>
      <c r="C10741" s="3063"/>
      <c r="D10741" s="3064"/>
      <c r="E10741" s="3064"/>
      <c r="F10741" s="3064"/>
      <c r="G10741" s="3301" t="s">
        <v>720</v>
      </c>
      <c r="H10741" s="3063"/>
      <c r="I10741" s="3030"/>
    </row>
    <row r="10742" spans="2:9" ht="38.25">
      <c r="B10742" s="3299" t="s">
        <v>680</v>
      </c>
      <c r="C10742" s="3063"/>
      <c r="D10742" s="3064"/>
      <c r="E10742" s="3064"/>
      <c r="F10742" s="3064"/>
      <c r="G10742" s="3300" t="s">
        <v>680</v>
      </c>
      <c r="H10742" s="3063"/>
      <c r="I10742" s="3030"/>
    </row>
    <row r="10743" spans="2:9" ht="25.5">
      <c r="B10743" s="3192" t="s">
        <v>675</v>
      </c>
      <c r="C10743" s="3063"/>
      <c r="D10743" s="3064"/>
      <c r="E10743" s="3064"/>
      <c r="F10743" s="3064"/>
      <c r="G10743" s="3301" t="s">
        <v>675</v>
      </c>
      <c r="H10743" s="3063"/>
      <c r="I10743" s="3030"/>
    </row>
    <row r="10744" spans="2:9" ht="25.5">
      <c r="B10744" s="3192" t="s">
        <v>676</v>
      </c>
      <c r="C10744" s="3063"/>
      <c r="D10744" s="3064"/>
      <c r="E10744" s="3064"/>
      <c r="F10744" s="3064"/>
      <c r="G10744" s="3301" t="s">
        <v>676</v>
      </c>
      <c r="H10744" s="3063"/>
      <c r="I10744" s="3030"/>
    </row>
    <row r="10745" spans="2:9">
      <c r="B10745" s="3192" t="s">
        <v>677</v>
      </c>
      <c r="C10745" s="3063"/>
      <c r="D10745" s="3064"/>
      <c r="E10745" s="3064"/>
      <c r="F10745" s="3064"/>
      <c r="G10745" s="3301" t="s">
        <v>677</v>
      </c>
      <c r="H10745" s="3063"/>
      <c r="I10745" s="3030"/>
    </row>
    <row r="10746" spans="2:9">
      <c r="B10746" s="3192" t="s">
        <v>678</v>
      </c>
      <c r="C10746" s="3063"/>
      <c r="D10746" s="3064"/>
      <c r="E10746" s="3064"/>
      <c r="F10746" s="3064"/>
      <c r="G10746" s="3301" t="s">
        <v>678</v>
      </c>
      <c r="H10746" s="3063"/>
      <c r="I10746" s="3030"/>
    </row>
    <row r="10747" spans="2:9">
      <c r="B10747" s="3192" t="s">
        <v>679</v>
      </c>
      <c r="C10747" s="3063"/>
      <c r="D10747" s="3064"/>
      <c r="E10747" s="3064"/>
      <c r="F10747" s="3064"/>
      <c r="G10747" s="3301" t="s">
        <v>679</v>
      </c>
      <c r="H10747" s="3063"/>
      <c r="I10747" s="3030"/>
    </row>
    <row r="10748" spans="2:9" ht="25.5">
      <c r="B10748" s="3192" t="s">
        <v>720</v>
      </c>
      <c r="C10748" s="3063"/>
      <c r="D10748" s="3064"/>
      <c r="E10748" s="3064"/>
      <c r="F10748" s="3064"/>
      <c r="G10748" s="3301" t="s">
        <v>720</v>
      </c>
      <c r="H10748" s="3063"/>
      <c r="I10748" s="3030"/>
    </row>
    <row r="10749" spans="2:9" ht="38.25">
      <c r="B10749" s="3299" t="s">
        <v>681</v>
      </c>
      <c r="C10749" s="3063"/>
      <c r="D10749" s="3064"/>
      <c r="E10749" s="3064"/>
      <c r="F10749" s="3064">
        <v>3</v>
      </c>
      <c r="G10749" s="3300" t="s">
        <v>681</v>
      </c>
      <c r="H10749" s="3063">
        <v>4.4615083368240542E-2</v>
      </c>
      <c r="I10749" s="3030"/>
    </row>
    <row r="10750" spans="2:9" ht="25.5">
      <c r="B10750" s="3192" t="s">
        <v>675</v>
      </c>
      <c r="C10750" s="3063"/>
      <c r="D10750" s="3064"/>
      <c r="E10750" s="3064"/>
      <c r="F10750" s="3064"/>
      <c r="G10750" s="3301" t="s">
        <v>675</v>
      </c>
      <c r="H10750" s="3063"/>
      <c r="I10750" s="3030"/>
    </row>
    <row r="10751" spans="2:9" ht="25.5">
      <c r="B10751" s="3192" t="s">
        <v>676</v>
      </c>
      <c r="C10751" s="3063"/>
      <c r="D10751" s="3064"/>
      <c r="E10751" s="3064"/>
      <c r="F10751" s="3064"/>
      <c r="G10751" s="3301" t="s">
        <v>676</v>
      </c>
      <c r="H10751" s="3063"/>
      <c r="I10751" s="3030"/>
    </row>
    <row r="10752" spans="2:9">
      <c r="B10752" s="3192" t="s">
        <v>677</v>
      </c>
      <c r="C10752" s="3063"/>
      <c r="D10752" s="3064"/>
      <c r="E10752" s="3064"/>
      <c r="F10752" s="3064"/>
      <c r="G10752" s="3301" t="s">
        <v>677</v>
      </c>
      <c r="H10752" s="3063"/>
      <c r="I10752" s="3030"/>
    </row>
    <row r="10753" spans="2:9">
      <c r="B10753" s="3192" t="s">
        <v>678</v>
      </c>
      <c r="C10753" s="3063"/>
      <c r="D10753" s="3064"/>
      <c r="E10753" s="3064"/>
      <c r="F10753" s="3064"/>
      <c r="G10753" s="3301" t="s">
        <v>678</v>
      </c>
      <c r="H10753" s="3063"/>
      <c r="I10753" s="3030"/>
    </row>
    <row r="10754" spans="2:9">
      <c r="B10754" s="3192" t="s">
        <v>679</v>
      </c>
      <c r="C10754" s="3063"/>
      <c r="D10754" s="3064"/>
      <c r="E10754" s="3064"/>
      <c r="F10754" s="3064"/>
      <c r="G10754" s="3301" t="s">
        <v>679</v>
      </c>
      <c r="H10754" s="3063"/>
      <c r="I10754" s="3030"/>
    </row>
    <row r="10755" spans="2:9" ht="25.5">
      <c r="B10755" s="3192" t="s">
        <v>720</v>
      </c>
      <c r="C10755" s="3063"/>
      <c r="D10755" s="3064"/>
      <c r="E10755" s="3064"/>
      <c r="F10755" s="3064"/>
      <c r="G10755" s="3301" t="s">
        <v>720</v>
      </c>
      <c r="H10755" s="3063"/>
      <c r="I10755" s="3030"/>
    </row>
    <row r="10756" spans="2:9" ht="25.5">
      <c r="B10756" s="3299" t="s">
        <v>682</v>
      </c>
      <c r="C10756" s="3063"/>
      <c r="D10756" s="3064"/>
      <c r="E10756" s="3064"/>
      <c r="F10756" s="3064"/>
      <c r="G10756" s="3300" t="s">
        <v>682</v>
      </c>
      <c r="H10756" s="3063"/>
      <c r="I10756" s="3030"/>
    </row>
    <row r="10757" spans="2:9" ht="25.5">
      <c r="B10757" s="3192" t="s">
        <v>675</v>
      </c>
      <c r="C10757" s="3063"/>
      <c r="D10757" s="3064"/>
      <c r="E10757" s="3064"/>
      <c r="F10757" s="3064"/>
      <c r="G10757" s="3301" t="s">
        <v>675</v>
      </c>
      <c r="H10757" s="3063"/>
      <c r="I10757" s="3030"/>
    </row>
    <row r="10758" spans="2:9" ht="25.5">
      <c r="B10758" s="3192" t="s">
        <v>676</v>
      </c>
      <c r="C10758" s="3063"/>
      <c r="D10758" s="3064"/>
      <c r="E10758" s="3064"/>
      <c r="F10758" s="3064"/>
      <c r="G10758" s="3301" t="s">
        <v>676</v>
      </c>
      <c r="H10758" s="3063"/>
      <c r="I10758" s="3030"/>
    </row>
    <row r="10759" spans="2:9">
      <c r="B10759" s="3192" t="s">
        <v>677</v>
      </c>
      <c r="C10759" s="3063"/>
      <c r="D10759" s="3064"/>
      <c r="E10759" s="3064"/>
      <c r="F10759" s="3064"/>
      <c r="G10759" s="3301" t="s">
        <v>677</v>
      </c>
      <c r="H10759" s="3063"/>
      <c r="I10759" s="3030"/>
    </row>
    <row r="10760" spans="2:9">
      <c r="B10760" s="3192" t="s">
        <v>678</v>
      </c>
      <c r="C10760" s="3063"/>
      <c r="D10760" s="3064"/>
      <c r="E10760" s="3064"/>
      <c r="F10760" s="3064"/>
      <c r="G10760" s="3301" t="s">
        <v>678</v>
      </c>
      <c r="H10760" s="3063"/>
      <c r="I10760" s="3030"/>
    </row>
    <row r="10761" spans="2:9">
      <c r="B10761" s="3192" t="s">
        <v>679</v>
      </c>
      <c r="C10761" s="3063"/>
      <c r="D10761" s="3064"/>
      <c r="E10761" s="3064"/>
      <c r="F10761" s="3064"/>
      <c r="G10761" s="3301" t="s">
        <v>679</v>
      </c>
      <c r="H10761" s="3063"/>
      <c r="I10761" s="3030"/>
    </row>
    <row r="10762" spans="2:9" ht="25.5">
      <c r="B10762" s="3192" t="s">
        <v>720</v>
      </c>
      <c r="C10762" s="3063"/>
      <c r="D10762" s="3064"/>
      <c r="E10762" s="3064"/>
      <c r="F10762" s="3064"/>
      <c r="G10762" s="3301" t="s">
        <v>720</v>
      </c>
      <c r="H10762" s="3063"/>
      <c r="I10762" s="3030"/>
    </row>
    <row r="10763" spans="2:9" ht="25.5">
      <c r="B10763" s="3299" t="s">
        <v>66</v>
      </c>
      <c r="C10763" s="3063"/>
      <c r="D10763" s="3064"/>
      <c r="E10763" s="3064"/>
      <c r="F10763" s="3064"/>
      <c r="G10763" s="3300" t="s">
        <v>66</v>
      </c>
      <c r="H10763" s="3063"/>
      <c r="I10763" s="3030"/>
    </row>
    <row r="10764" spans="2:9" ht="25.5">
      <c r="B10764" s="3192" t="s">
        <v>675</v>
      </c>
      <c r="C10764" s="3063"/>
      <c r="D10764" s="3064"/>
      <c r="E10764" s="3064"/>
      <c r="F10764" s="3064"/>
      <c r="G10764" s="3301" t="s">
        <v>675</v>
      </c>
      <c r="H10764" s="3063"/>
      <c r="I10764" s="3030"/>
    </row>
    <row r="10765" spans="2:9" ht="25.5">
      <c r="B10765" s="3192" t="s">
        <v>676</v>
      </c>
      <c r="C10765" s="3063"/>
      <c r="D10765" s="3064"/>
      <c r="E10765" s="3064"/>
      <c r="F10765" s="3064"/>
      <c r="G10765" s="3301" t="s">
        <v>676</v>
      </c>
      <c r="H10765" s="3063"/>
      <c r="I10765" s="3030"/>
    </row>
    <row r="10766" spans="2:9">
      <c r="B10766" s="3192" t="s">
        <v>677</v>
      </c>
      <c r="C10766" s="3063"/>
      <c r="D10766" s="3064"/>
      <c r="E10766" s="3064"/>
      <c r="F10766" s="3064"/>
      <c r="G10766" s="3301" t="s">
        <v>677</v>
      </c>
      <c r="H10766" s="3063"/>
      <c r="I10766" s="3030"/>
    </row>
    <row r="10767" spans="2:9">
      <c r="B10767" s="3192" t="s">
        <v>678</v>
      </c>
      <c r="C10767" s="3063"/>
      <c r="D10767" s="3064"/>
      <c r="E10767" s="3064"/>
      <c r="F10767" s="3064"/>
      <c r="G10767" s="3301" t="s">
        <v>678</v>
      </c>
      <c r="H10767" s="3063"/>
      <c r="I10767" s="3030"/>
    </row>
    <row r="10768" spans="2:9">
      <c r="B10768" s="3192" t="s">
        <v>679</v>
      </c>
      <c r="C10768" s="3063"/>
      <c r="D10768" s="3064"/>
      <c r="E10768" s="3064"/>
      <c r="F10768" s="3064"/>
      <c r="G10768" s="3301" t="s">
        <v>679</v>
      </c>
      <c r="H10768" s="3063"/>
      <c r="I10768" s="3030"/>
    </row>
    <row r="10769" spans="2:9" ht="25.5">
      <c r="B10769" s="3192" t="s">
        <v>720</v>
      </c>
      <c r="C10769" s="3063"/>
      <c r="D10769" s="3064"/>
      <c r="E10769" s="3064"/>
      <c r="F10769" s="3064"/>
      <c r="G10769" s="3301" t="s">
        <v>720</v>
      </c>
      <c r="H10769" s="3063"/>
      <c r="I10769" s="3030"/>
    </row>
    <row r="10770" spans="2:9">
      <c r="B10770" s="3299" t="s">
        <v>67</v>
      </c>
      <c r="C10770" s="3063"/>
      <c r="D10770" s="3064"/>
      <c r="E10770" s="3064"/>
      <c r="F10770" s="3064"/>
      <c r="G10770" s="3300" t="s">
        <v>67</v>
      </c>
      <c r="H10770" s="3063"/>
      <c r="I10770" s="3030"/>
    </row>
    <row r="10771" spans="2:9" ht="25.5">
      <c r="B10771" s="3192" t="s">
        <v>675</v>
      </c>
      <c r="C10771" s="3063"/>
      <c r="D10771" s="3064"/>
      <c r="E10771" s="3064"/>
      <c r="F10771" s="3064"/>
      <c r="G10771" s="3301" t="s">
        <v>675</v>
      </c>
      <c r="H10771" s="3063"/>
      <c r="I10771" s="3030"/>
    </row>
    <row r="10772" spans="2:9" ht="25.5">
      <c r="B10772" s="3192" t="s">
        <v>676</v>
      </c>
      <c r="C10772" s="3063"/>
      <c r="D10772" s="3064"/>
      <c r="E10772" s="3064"/>
      <c r="F10772" s="3064"/>
      <c r="G10772" s="3301" t="s">
        <v>676</v>
      </c>
      <c r="H10772" s="3063"/>
      <c r="I10772" s="3030"/>
    </row>
    <row r="10773" spans="2:9">
      <c r="B10773" s="3192" t="s">
        <v>677</v>
      </c>
      <c r="C10773" s="3063"/>
      <c r="D10773" s="3064"/>
      <c r="E10773" s="3064"/>
      <c r="F10773" s="3064"/>
      <c r="G10773" s="3301" t="s">
        <v>677</v>
      </c>
      <c r="H10773" s="3063"/>
      <c r="I10773" s="3030"/>
    </row>
    <row r="10774" spans="2:9">
      <c r="B10774" s="3192" t="s">
        <v>678</v>
      </c>
      <c r="C10774" s="3063"/>
      <c r="D10774" s="3064"/>
      <c r="E10774" s="3064"/>
      <c r="F10774" s="3064"/>
      <c r="G10774" s="3301" t="s">
        <v>678</v>
      </c>
      <c r="H10774" s="3063"/>
      <c r="I10774" s="3030"/>
    </row>
    <row r="10775" spans="2:9">
      <c r="B10775" s="3192" t="s">
        <v>679</v>
      </c>
      <c r="C10775" s="3063"/>
      <c r="D10775" s="3064"/>
      <c r="E10775" s="3064"/>
      <c r="F10775" s="3064"/>
      <c r="G10775" s="3301" t="s">
        <v>679</v>
      </c>
      <c r="H10775" s="3063"/>
      <c r="I10775" s="3030"/>
    </row>
    <row r="10776" spans="2:9" ht="25.5">
      <c r="B10776" s="3230" t="s">
        <v>81</v>
      </c>
      <c r="C10776" s="3063"/>
      <c r="D10776" s="3064"/>
      <c r="E10776" s="3064"/>
      <c r="F10776" s="3064"/>
      <c r="G10776" s="3302" t="s">
        <v>81</v>
      </c>
      <c r="H10776" s="3063"/>
      <c r="I10776" s="3030"/>
    </row>
    <row r="10777" spans="2:9" ht="26.25" thickBot="1">
      <c r="B10777" s="3303" t="s">
        <v>81</v>
      </c>
      <c r="C10777" s="3068"/>
      <c r="D10777" s="3069"/>
      <c r="E10777" s="3069"/>
      <c r="F10777" s="3069"/>
      <c r="G10777" s="3304" t="s">
        <v>81</v>
      </c>
      <c r="H10777" s="3068"/>
      <c r="I10777" s="3070"/>
    </row>
    <row r="10778" spans="2:9" ht="38.25">
      <c r="B10778" s="4723">
        <v>3225</v>
      </c>
      <c r="C10778" s="3289"/>
      <c r="D10778" s="3290"/>
      <c r="E10778" s="3290"/>
      <c r="F10778" s="3290"/>
      <c r="G10778" s="4723">
        <v>3225</v>
      </c>
      <c r="H10778" s="3291" t="s">
        <v>687</v>
      </c>
      <c r="I10778" s="3292" t="s">
        <v>688</v>
      </c>
    </row>
    <row r="10779" spans="2:9">
      <c r="B10779" s="4724"/>
      <c r="C10779" s="4678" t="s">
        <v>686</v>
      </c>
      <c r="D10779" s="4725"/>
      <c r="E10779" s="4725"/>
      <c r="F10779" s="4726"/>
      <c r="G10779" s="4724"/>
      <c r="H10779" s="3293"/>
      <c r="I10779" s="3294"/>
    </row>
    <row r="10780" spans="2:9" ht="13.5" thickBot="1">
      <c r="B10780" s="4724"/>
      <c r="C10780" s="3215">
        <v>2013</v>
      </c>
      <c r="D10780" s="3215">
        <v>2014</v>
      </c>
      <c r="E10780" s="3215">
        <v>2015</v>
      </c>
      <c r="F10780" s="3215">
        <v>2016</v>
      </c>
      <c r="G10780" s="4724"/>
      <c r="H10780" s="3295" t="s">
        <v>390</v>
      </c>
      <c r="I10780" s="3296" t="s">
        <v>390</v>
      </c>
    </row>
    <row r="10781" spans="2:9">
      <c r="B10781" s="3217" t="s">
        <v>695</v>
      </c>
      <c r="C10781" s="3218"/>
      <c r="D10781" s="3219"/>
      <c r="E10781" s="3219"/>
      <c r="F10781" s="3219"/>
      <c r="G10781" s="3217" t="s">
        <v>695</v>
      </c>
      <c r="H10781" s="3297"/>
      <c r="I10781" s="3298"/>
    </row>
    <row r="10782" spans="2:9">
      <c r="B10782" s="3299" t="s">
        <v>64</v>
      </c>
      <c r="C10782" s="3063"/>
      <c r="D10782" s="3064"/>
      <c r="E10782" s="3064"/>
      <c r="F10782" s="3064"/>
      <c r="G10782" s="3300" t="s">
        <v>64</v>
      </c>
      <c r="H10782" s="3063"/>
      <c r="I10782" s="3030"/>
    </row>
    <row r="10783" spans="2:9" ht="25.5">
      <c r="B10783" s="3192" t="s">
        <v>675</v>
      </c>
      <c r="C10783" s="3063"/>
      <c r="D10783" s="3064"/>
      <c r="E10783" s="3064"/>
      <c r="F10783" s="3064"/>
      <c r="G10783" s="3301" t="s">
        <v>675</v>
      </c>
      <c r="H10783" s="3063"/>
      <c r="I10783" s="3030"/>
    </row>
    <row r="10784" spans="2:9" ht="25.5">
      <c r="B10784" s="3192" t="s">
        <v>676</v>
      </c>
      <c r="C10784" s="3063"/>
      <c r="D10784" s="3064"/>
      <c r="E10784" s="3064"/>
      <c r="F10784" s="3064"/>
      <c r="G10784" s="3301" t="s">
        <v>676</v>
      </c>
      <c r="H10784" s="3063"/>
      <c r="I10784" s="3030"/>
    </row>
    <row r="10785" spans="2:9">
      <c r="B10785" s="3192" t="s">
        <v>677</v>
      </c>
      <c r="C10785" s="3063"/>
      <c r="D10785" s="3064"/>
      <c r="E10785" s="3064"/>
      <c r="F10785" s="3064"/>
      <c r="G10785" s="3301" t="s">
        <v>677</v>
      </c>
      <c r="H10785" s="3063"/>
      <c r="I10785" s="3030"/>
    </row>
    <row r="10786" spans="2:9">
      <c r="B10786" s="3192" t="s">
        <v>678</v>
      </c>
      <c r="C10786" s="3063"/>
      <c r="D10786" s="3064"/>
      <c r="E10786" s="3064"/>
      <c r="F10786" s="3064"/>
      <c r="G10786" s="3301" t="s">
        <v>678</v>
      </c>
      <c r="H10786" s="3063"/>
      <c r="I10786" s="3030"/>
    </row>
    <row r="10787" spans="2:9">
      <c r="B10787" s="3192" t="s">
        <v>679</v>
      </c>
      <c r="C10787" s="3063"/>
      <c r="D10787" s="3064"/>
      <c r="E10787" s="3064"/>
      <c r="F10787" s="3064"/>
      <c r="G10787" s="3301" t="s">
        <v>679</v>
      </c>
      <c r="H10787" s="3063"/>
      <c r="I10787" s="3030"/>
    </row>
    <row r="10788" spans="2:9" ht="25.5">
      <c r="B10788" s="3192" t="s">
        <v>720</v>
      </c>
      <c r="C10788" s="3063"/>
      <c r="D10788" s="3064"/>
      <c r="E10788" s="3064"/>
      <c r="F10788" s="3064"/>
      <c r="G10788" s="3301" t="s">
        <v>720</v>
      </c>
      <c r="H10788" s="3063"/>
      <c r="I10788" s="3030"/>
    </row>
    <row r="10789" spans="2:9">
      <c r="B10789" s="3299" t="s">
        <v>65</v>
      </c>
      <c r="C10789" s="3063"/>
      <c r="D10789" s="3064"/>
      <c r="E10789" s="3064"/>
      <c r="F10789" s="3064"/>
      <c r="G10789" s="3300" t="s">
        <v>65</v>
      </c>
      <c r="H10789" s="3063"/>
      <c r="I10789" s="3030"/>
    </row>
    <row r="10790" spans="2:9" ht="25.5">
      <c r="B10790" s="3192" t="s">
        <v>675</v>
      </c>
      <c r="C10790" s="3063"/>
      <c r="D10790" s="3064"/>
      <c r="E10790" s="3064"/>
      <c r="F10790" s="3064"/>
      <c r="G10790" s="3301" t="s">
        <v>675</v>
      </c>
      <c r="H10790" s="3063"/>
      <c r="I10790" s="3030"/>
    </row>
    <row r="10791" spans="2:9" ht="25.5">
      <c r="B10791" s="3192" t="s">
        <v>676</v>
      </c>
      <c r="C10791" s="3063"/>
      <c r="D10791" s="3064"/>
      <c r="E10791" s="3064"/>
      <c r="F10791" s="3064"/>
      <c r="G10791" s="3301" t="s">
        <v>676</v>
      </c>
      <c r="H10791" s="3063"/>
      <c r="I10791" s="3030"/>
    </row>
    <row r="10792" spans="2:9">
      <c r="B10792" s="3192" t="s">
        <v>677</v>
      </c>
      <c r="C10792" s="3063"/>
      <c r="D10792" s="3064"/>
      <c r="E10792" s="3064"/>
      <c r="F10792" s="3064"/>
      <c r="G10792" s="3301" t="s">
        <v>677</v>
      </c>
      <c r="H10792" s="3063"/>
      <c r="I10792" s="3030"/>
    </row>
    <row r="10793" spans="2:9">
      <c r="B10793" s="3192" t="s">
        <v>678</v>
      </c>
      <c r="C10793" s="3063"/>
      <c r="D10793" s="3064"/>
      <c r="E10793" s="3064"/>
      <c r="F10793" s="3064"/>
      <c r="G10793" s="3301" t="s">
        <v>678</v>
      </c>
      <c r="H10793" s="3063"/>
      <c r="I10793" s="3030"/>
    </row>
    <row r="10794" spans="2:9">
      <c r="B10794" s="3192" t="s">
        <v>679</v>
      </c>
      <c r="C10794" s="3063"/>
      <c r="D10794" s="3064"/>
      <c r="E10794" s="3064"/>
      <c r="F10794" s="3064"/>
      <c r="G10794" s="3301" t="s">
        <v>679</v>
      </c>
      <c r="H10794" s="3063"/>
      <c r="I10794" s="3030"/>
    </row>
    <row r="10795" spans="2:9" ht="25.5">
      <c r="B10795" s="3192" t="s">
        <v>720</v>
      </c>
      <c r="C10795" s="3063"/>
      <c r="D10795" s="3064"/>
      <c r="E10795" s="3064"/>
      <c r="F10795" s="3064"/>
      <c r="G10795" s="3301" t="s">
        <v>720</v>
      </c>
      <c r="H10795" s="3063"/>
      <c r="I10795" s="3030"/>
    </row>
    <row r="10796" spans="2:9">
      <c r="B10796" s="3299" t="s">
        <v>82</v>
      </c>
      <c r="C10796" s="3063"/>
      <c r="D10796" s="3064"/>
      <c r="E10796" s="3064"/>
      <c r="F10796" s="3064"/>
      <c r="G10796" s="3300" t="s">
        <v>82</v>
      </c>
      <c r="H10796" s="3063"/>
      <c r="I10796" s="3030"/>
    </row>
    <row r="10797" spans="2:9" ht="25.5">
      <c r="B10797" s="3192" t="s">
        <v>675</v>
      </c>
      <c r="C10797" s="3063"/>
      <c r="D10797" s="3064"/>
      <c r="E10797" s="3064"/>
      <c r="F10797" s="3064"/>
      <c r="G10797" s="3301" t="s">
        <v>675</v>
      </c>
      <c r="H10797" s="3063"/>
      <c r="I10797" s="3030"/>
    </row>
    <row r="10798" spans="2:9" ht="25.5">
      <c r="B10798" s="3192" t="s">
        <v>676</v>
      </c>
      <c r="C10798" s="3063"/>
      <c r="D10798" s="3064"/>
      <c r="E10798" s="3064"/>
      <c r="F10798" s="3064"/>
      <c r="G10798" s="3301" t="s">
        <v>676</v>
      </c>
      <c r="H10798" s="3063"/>
      <c r="I10798" s="3030"/>
    </row>
    <row r="10799" spans="2:9">
      <c r="B10799" s="3192" t="s">
        <v>677</v>
      </c>
      <c r="C10799" s="3063"/>
      <c r="D10799" s="3064"/>
      <c r="E10799" s="3064"/>
      <c r="F10799" s="3064"/>
      <c r="G10799" s="3301" t="s">
        <v>677</v>
      </c>
      <c r="H10799" s="3063"/>
      <c r="I10799" s="3030"/>
    </row>
    <row r="10800" spans="2:9">
      <c r="B10800" s="3192" t="s">
        <v>678</v>
      </c>
      <c r="C10800" s="3063"/>
      <c r="D10800" s="3064"/>
      <c r="E10800" s="3064"/>
      <c r="F10800" s="3064"/>
      <c r="G10800" s="3301" t="s">
        <v>678</v>
      </c>
      <c r="H10800" s="3063"/>
      <c r="I10800" s="3030"/>
    </row>
    <row r="10801" spans="2:9">
      <c r="B10801" s="3192" t="s">
        <v>679</v>
      </c>
      <c r="C10801" s="3063"/>
      <c r="D10801" s="3064"/>
      <c r="E10801" s="3064"/>
      <c r="F10801" s="3064"/>
      <c r="G10801" s="3301" t="s">
        <v>679</v>
      </c>
      <c r="H10801" s="3063"/>
      <c r="I10801" s="3030"/>
    </row>
    <row r="10802" spans="2:9" ht="25.5">
      <c r="B10802" s="3192" t="s">
        <v>720</v>
      </c>
      <c r="C10802" s="3063"/>
      <c r="D10802" s="3064"/>
      <c r="E10802" s="3064"/>
      <c r="F10802" s="3064"/>
      <c r="G10802" s="3301" t="s">
        <v>720</v>
      </c>
      <c r="H10802" s="3063"/>
      <c r="I10802" s="3030"/>
    </row>
    <row r="10803" spans="2:9" ht="38.25">
      <c r="B10803" s="3299" t="s">
        <v>680</v>
      </c>
      <c r="C10803" s="3063"/>
      <c r="D10803" s="3064"/>
      <c r="E10803" s="3064"/>
      <c r="F10803" s="3064"/>
      <c r="G10803" s="3300" t="s">
        <v>680</v>
      </c>
      <c r="H10803" s="3063"/>
      <c r="I10803" s="3030"/>
    </row>
    <row r="10804" spans="2:9" ht="25.5">
      <c r="B10804" s="3192" t="s">
        <v>675</v>
      </c>
      <c r="C10804" s="3063"/>
      <c r="D10804" s="3064"/>
      <c r="E10804" s="3064"/>
      <c r="F10804" s="3064"/>
      <c r="G10804" s="3301" t="s">
        <v>675</v>
      </c>
      <c r="H10804" s="3063"/>
      <c r="I10804" s="3030"/>
    </row>
    <row r="10805" spans="2:9" ht="25.5">
      <c r="B10805" s="3192" t="s">
        <v>676</v>
      </c>
      <c r="C10805" s="3063"/>
      <c r="D10805" s="3064"/>
      <c r="E10805" s="3064"/>
      <c r="F10805" s="3064"/>
      <c r="G10805" s="3301" t="s">
        <v>676</v>
      </c>
      <c r="H10805" s="3063"/>
      <c r="I10805" s="3030"/>
    </row>
    <row r="10806" spans="2:9">
      <c r="B10806" s="3192" t="s">
        <v>677</v>
      </c>
      <c r="C10806" s="3063"/>
      <c r="D10806" s="3064"/>
      <c r="E10806" s="3064"/>
      <c r="F10806" s="3064"/>
      <c r="G10806" s="3301" t="s">
        <v>677</v>
      </c>
      <c r="H10806" s="3063"/>
      <c r="I10806" s="3030"/>
    </row>
    <row r="10807" spans="2:9">
      <c r="B10807" s="3192" t="s">
        <v>678</v>
      </c>
      <c r="C10807" s="3063"/>
      <c r="D10807" s="3064"/>
      <c r="E10807" s="3064"/>
      <c r="F10807" s="3064"/>
      <c r="G10807" s="3301" t="s">
        <v>678</v>
      </c>
      <c r="H10807" s="3063"/>
      <c r="I10807" s="3030"/>
    </row>
    <row r="10808" spans="2:9">
      <c r="B10808" s="3192" t="s">
        <v>679</v>
      </c>
      <c r="C10808" s="3063"/>
      <c r="D10808" s="3064"/>
      <c r="E10808" s="3064"/>
      <c r="F10808" s="3064"/>
      <c r="G10808" s="3301" t="s">
        <v>679</v>
      </c>
      <c r="H10808" s="3063"/>
      <c r="I10808" s="3030"/>
    </row>
    <row r="10809" spans="2:9" ht="25.5">
      <c r="B10809" s="3192" t="s">
        <v>720</v>
      </c>
      <c r="C10809" s="3063"/>
      <c r="D10809" s="3064"/>
      <c r="E10809" s="3064"/>
      <c r="F10809" s="3064"/>
      <c r="G10809" s="3301" t="s">
        <v>720</v>
      </c>
      <c r="H10809" s="3063"/>
      <c r="I10809" s="3030"/>
    </row>
    <row r="10810" spans="2:9" ht="38.25">
      <c r="B10810" s="3299" t="s">
        <v>681</v>
      </c>
      <c r="C10810" s="3063"/>
      <c r="D10810" s="3064"/>
      <c r="E10810" s="3064"/>
      <c r="F10810" s="3064"/>
      <c r="G10810" s="3300" t="s">
        <v>681</v>
      </c>
      <c r="H10810" s="3063"/>
      <c r="I10810" s="3030"/>
    </row>
    <row r="10811" spans="2:9" ht="25.5">
      <c r="B10811" s="3192" t="s">
        <v>675</v>
      </c>
      <c r="C10811" s="3063"/>
      <c r="D10811" s="3064"/>
      <c r="E10811" s="3064"/>
      <c r="F10811" s="3064"/>
      <c r="G10811" s="3301" t="s">
        <v>675</v>
      </c>
      <c r="H10811" s="3063"/>
      <c r="I10811" s="3030"/>
    </row>
    <row r="10812" spans="2:9" ht="25.5">
      <c r="B10812" s="3192" t="s">
        <v>676</v>
      </c>
      <c r="C10812" s="3063"/>
      <c r="D10812" s="3064"/>
      <c r="E10812" s="3064"/>
      <c r="F10812" s="3064"/>
      <c r="G10812" s="3301" t="s">
        <v>676</v>
      </c>
      <c r="H10812" s="3063"/>
      <c r="I10812" s="3030"/>
    </row>
    <row r="10813" spans="2:9">
      <c r="B10813" s="3192" t="s">
        <v>677</v>
      </c>
      <c r="C10813" s="3063"/>
      <c r="D10813" s="3064"/>
      <c r="E10813" s="3064"/>
      <c r="F10813" s="3064"/>
      <c r="G10813" s="3301" t="s">
        <v>677</v>
      </c>
      <c r="H10813" s="3063"/>
      <c r="I10813" s="3030"/>
    </row>
    <row r="10814" spans="2:9">
      <c r="B10814" s="3192" t="s">
        <v>678</v>
      </c>
      <c r="C10814" s="3063"/>
      <c r="D10814" s="3064"/>
      <c r="E10814" s="3064"/>
      <c r="F10814" s="3064"/>
      <c r="G10814" s="3301" t="s">
        <v>678</v>
      </c>
      <c r="H10814" s="3063"/>
      <c r="I10814" s="3030"/>
    </row>
    <row r="10815" spans="2:9">
      <c r="B10815" s="3192" t="s">
        <v>679</v>
      </c>
      <c r="C10815" s="3063"/>
      <c r="D10815" s="3064"/>
      <c r="E10815" s="3064"/>
      <c r="F10815" s="3064"/>
      <c r="G10815" s="3301" t="s">
        <v>679</v>
      </c>
      <c r="H10815" s="3063"/>
      <c r="I10815" s="3030"/>
    </row>
    <row r="10816" spans="2:9" ht="25.5">
      <c r="B10816" s="3192" t="s">
        <v>720</v>
      </c>
      <c r="C10816" s="3063"/>
      <c r="D10816" s="3064"/>
      <c r="E10816" s="3064"/>
      <c r="F10816" s="3064"/>
      <c r="G10816" s="3301" t="s">
        <v>720</v>
      </c>
      <c r="H10816" s="3063"/>
      <c r="I10816" s="3030"/>
    </row>
    <row r="10817" spans="2:9" ht="25.5">
      <c r="B10817" s="3299" t="s">
        <v>682</v>
      </c>
      <c r="C10817" s="3063"/>
      <c r="D10817" s="3064"/>
      <c r="E10817" s="3064"/>
      <c r="F10817" s="3064"/>
      <c r="G10817" s="3300" t="s">
        <v>682</v>
      </c>
      <c r="H10817" s="3063"/>
      <c r="I10817" s="3030"/>
    </row>
    <row r="10818" spans="2:9" ht="25.5">
      <c r="B10818" s="3192" t="s">
        <v>675</v>
      </c>
      <c r="C10818" s="3063"/>
      <c r="D10818" s="3064"/>
      <c r="E10818" s="3064"/>
      <c r="F10818" s="3064"/>
      <c r="G10818" s="3301" t="s">
        <v>675</v>
      </c>
      <c r="H10818" s="3063"/>
      <c r="I10818" s="3030"/>
    </row>
    <row r="10819" spans="2:9" ht="25.5">
      <c r="B10819" s="3192" t="s">
        <v>676</v>
      </c>
      <c r="C10819" s="3063"/>
      <c r="D10819" s="3064"/>
      <c r="E10819" s="3064"/>
      <c r="F10819" s="3064"/>
      <c r="G10819" s="3301" t="s">
        <v>676</v>
      </c>
      <c r="H10819" s="3063"/>
      <c r="I10819" s="3030"/>
    </row>
    <row r="10820" spans="2:9">
      <c r="B10820" s="3192" t="s">
        <v>677</v>
      </c>
      <c r="C10820" s="3063"/>
      <c r="D10820" s="3064"/>
      <c r="E10820" s="3064"/>
      <c r="F10820" s="3064"/>
      <c r="G10820" s="3301" t="s">
        <v>677</v>
      </c>
      <c r="H10820" s="3063"/>
      <c r="I10820" s="3030"/>
    </row>
    <row r="10821" spans="2:9">
      <c r="B10821" s="3192" t="s">
        <v>678</v>
      </c>
      <c r="C10821" s="3063"/>
      <c r="D10821" s="3064"/>
      <c r="E10821" s="3064"/>
      <c r="F10821" s="3064"/>
      <c r="G10821" s="3301" t="s">
        <v>678</v>
      </c>
      <c r="H10821" s="3063"/>
      <c r="I10821" s="3030"/>
    </row>
    <row r="10822" spans="2:9">
      <c r="B10822" s="3192" t="s">
        <v>679</v>
      </c>
      <c r="C10822" s="3063"/>
      <c r="D10822" s="3064"/>
      <c r="E10822" s="3064"/>
      <c r="F10822" s="3064"/>
      <c r="G10822" s="3301" t="s">
        <v>679</v>
      </c>
      <c r="H10822" s="3063"/>
      <c r="I10822" s="3030"/>
    </row>
    <row r="10823" spans="2:9" ht="25.5">
      <c r="B10823" s="3192" t="s">
        <v>720</v>
      </c>
      <c r="C10823" s="3063"/>
      <c r="D10823" s="3064"/>
      <c r="E10823" s="3064"/>
      <c r="F10823" s="3064"/>
      <c r="G10823" s="3301" t="s">
        <v>720</v>
      </c>
      <c r="H10823" s="3063"/>
      <c r="I10823" s="3030"/>
    </row>
    <row r="10824" spans="2:9" ht="25.5">
      <c r="B10824" s="3299" t="s">
        <v>66</v>
      </c>
      <c r="C10824" s="3063"/>
      <c r="D10824" s="3064"/>
      <c r="E10824" s="3064"/>
      <c r="F10824" s="3064"/>
      <c r="G10824" s="3300" t="s">
        <v>66</v>
      </c>
      <c r="H10824" s="3063"/>
      <c r="I10824" s="3030"/>
    </row>
    <row r="10825" spans="2:9" ht="25.5">
      <c r="B10825" s="3192" t="s">
        <v>675</v>
      </c>
      <c r="C10825" s="3063"/>
      <c r="D10825" s="3064"/>
      <c r="E10825" s="3064"/>
      <c r="F10825" s="3064"/>
      <c r="G10825" s="3301" t="s">
        <v>675</v>
      </c>
      <c r="H10825" s="3063"/>
      <c r="I10825" s="3030"/>
    </row>
    <row r="10826" spans="2:9" ht="25.5">
      <c r="B10826" s="3192" t="s">
        <v>676</v>
      </c>
      <c r="C10826" s="3063"/>
      <c r="D10826" s="3064"/>
      <c r="E10826" s="3064"/>
      <c r="F10826" s="3064"/>
      <c r="G10826" s="3301" t="s">
        <v>676</v>
      </c>
      <c r="H10826" s="3063"/>
      <c r="I10826" s="3030"/>
    </row>
    <row r="10827" spans="2:9">
      <c r="B10827" s="3192" t="s">
        <v>677</v>
      </c>
      <c r="C10827" s="3063"/>
      <c r="D10827" s="3064"/>
      <c r="E10827" s="3064"/>
      <c r="F10827" s="3064"/>
      <c r="G10827" s="3301" t="s">
        <v>677</v>
      </c>
      <c r="H10827" s="3063"/>
      <c r="I10827" s="3030"/>
    </row>
    <row r="10828" spans="2:9">
      <c r="B10828" s="3192" t="s">
        <v>678</v>
      </c>
      <c r="C10828" s="3063"/>
      <c r="D10828" s="3064"/>
      <c r="E10828" s="3064"/>
      <c r="F10828" s="3064"/>
      <c r="G10828" s="3301" t="s">
        <v>678</v>
      </c>
      <c r="H10828" s="3063"/>
      <c r="I10828" s="3030"/>
    </row>
    <row r="10829" spans="2:9">
      <c r="B10829" s="3192" t="s">
        <v>679</v>
      </c>
      <c r="C10829" s="3063"/>
      <c r="D10829" s="3064"/>
      <c r="E10829" s="3064"/>
      <c r="F10829" s="3064"/>
      <c r="G10829" s="3301" t="s">
        <v>679</v>
      </c>
      <c r="H10829" s="3063"/>
      <c r="I10829" s="3030"/>
    </row>
    <row r="10830" spans="2:9" ht="25.5">
      <c r="B10830" s="3192" t="s">
        <v>720</v>
      </c>
      <c r="C10830" s="3063"/>
      <c r="D10830" s="3064"/>
      <c r="E10830" s="3064"/>
      <c r="F10830" s="3064"/>
      <c r="G10830" s="3301" t="s">
        <v>720</v>
      </c>
      <c r="H10830" s="3063"/>
      <c r="I10830" s="3030"/>
    </row>
    <row r="10831" spans="2:9">
      <c r="B10831" s="3299" t="s">
        <v>67</v>
      </c>
      <c r="C10831" s="3063"/>
      <c r="D10831" s="3064"/>
      <c r="E10831" s="3064"/>
      <c r="F10831" s="3064"/>
      <c r="G10831" s="3300" t="s">
        <v>67</v>
      </c>
      <c r="H10831" s="3063"/>
      <c r="I10831" s="3030"/>
    </row>
    <row r="10832" spans="2:9" ht="25.5">
      <c r="B10832" s="3192" t="s">
        <v>675</v>
      </c>
      <c r="C10832" s="3063"/>
      <c r="D10832" s="3064"/>
      <c r="E10832" s="3064"/>
      <c r="F10832" s="3064"/>
      <c r="G10832" s="3301" t="s">
        <v>675</v>
      </c>
      <c r="H10832" s="3063"/>
      <c r="I10832" s="3030"/>
    </row>
    <row r="10833" spans="2:9" ht="25.5">
      <c r="B10833" s="3192" t="s">
        <v>676</v>
      </c>
      <c r="C10833" s="3063"/>
      <c r="D10833" s="3064"/>
      <c r="E10833" s="3064"/>
      <c r="F10833" s="3064"/>
      <c r="G10833" s="3301" t="s">
        <v>676</v>
      </c>
      <c r="H10833" s="3063"/>
      <c r="I10833" s="3030"/>
    </row>
    <row r="10834" spans="2:9">
      <c r="B10834" s="3192" t="s">
        <v>677</v>
      </c>
      <c r="C10834" s="3063"/>
      <c r="D10834" s="3064"/>
      <c r="E10834" s="3064"/>
      <c r="F10834" s="3064"/>
      <c r="G10834" s="3301" t="s">
        <v>677</v>
      </c>
      <c r="H10834" s="3063"/>
      <c r="I10834" s="3030"/>
    </row>
    <row r="10835" spans="2:9">
      <c r="B10835" s="3192" t="s">
        <v>678</v>
      </c>
      <c r="C10835" s="3063"/>
      <c r="D10835" s="3064"/>
      <c r="E10835" s="3064"/>
      <c r="F10835" s="3064"/>
      <c r="G10835" s="3301" t="s">
        <v>678</v>
      </c>
      <c r="H10835" s="3063"/>
      <c r="I10835" s="3030"/>
    </row>
    <row r="10836" spans="2:9">
      <c r="B10836" s="3192" t="s">
        <v>679</v>
      </c>
      <c r="C10836" s="3063"/>
      <c r="D10836" s="3064"/>
      <c r="E10836" s="3064"/>
      <c r="F10836" s="3064"/>
      <c r="G10836" s="3301" t="s">
        <v>679</v>
      </c>
      <c r="H10836" s="3063"/>
      <c r="I10836" s="3030"/>
    </row>
    <row r="10837" spans="2:9" ht="25.5">
      <c r="B10837" s="3192" t="s">
        <v>720</v>
      </c>
      <c r="C10837" s="3063"/>
      <c r="D10837" s="3064"/>
      <c r="E10837" s="3064"/>
      <c r="F10837" s="3064"/>
      <c r="G10837" s="3301" t="s">
        <v>720</v>
      </c>
      <c r="H10837" s="3063"/>
      <c r="I10837" s="3030"/>
    </row>
    <row r="10838" spans="2:9" ht="25.5">
      <c r="B10838" s="3230" t="s">
        <v>81</v>
      </c>
      <c r="C10838" s="3063"/>
      <c r="D10838" s="3064"/>
      <c r="E10838" s="3064"/>
      <c r="F10838" s="3064"/>
      <c r="G10838" s="3302" t="s">
        <v>81</v>
      </c>
      <c r="H10838" s="3063"/>
      <c r="I10838" s="3030"/>
    </row>
    <row r="10839" spans="2:9" ht="26.25" thickBot="1">
      <c r="B10839" s="3303" t="s">
        <v>81</v>
      </c>
      <c r="C10839" s="3063"/>
      <c r="D10839" s="3064"/>
      <c r="E10839" s="3064"/>
      <c r="F10839" s="3064"/>
      <c r="G10839" s="3302" t="s">
        <v>81</v>
      </c>
      <c r="H10839" s="3063"/>
      <c r="I10839" s="3030"/>
    </row>
    <row r="10840" spans="2:9" ht="25.5">
      <c r="B10840" s="3217" t="s">
        <v>696</v>
      </c>
      <c r="C10840" s="3218"/>
      <c r="D10840" s="3219"/>
      <c r="E10840" s="3219"/>
      <c r="F10840" s="3219"/>
      <c r="G10840" s="3217" t="s">
        <v>696</v>
      </c>
      <c r="H10840" s="3297"/>
      <c r="I10840" s="3298"/>
    </row>
    <row r="10841" spans="2:9">
      <c r="B10841" s="3299" t="s">
        <v>64</v>
      </c>
      <c r="C10841" s="3063"/>
      <c r="D10841" s="3064"/>
      <c r="E10841" s="3064"/>
      <c r="F10841" s="3064"/>
      <c r="G10841" s="3300" t="s">
        <v>64</v>
      </c>
      <c r="H10841" s="3063"/>
      <c r="I10841" s="3030"/>
    </row>
    <row r="10842" spans="2:9" ht="25.5">
      <c r="B10842" s="3192" t="s">
        <v>675</v>
      </c>
      <c r="C10842" s="3063"/>
      <c r="D10842" s="3064"/>
      <c r="E10842" s="3064"/>
      <c r="F10842" s="3064"/>
      <c r="G10842" s="3301" t="s">
        <v>675</v>
      </c>
      <c r="H10842" s="3063"/>
      <c r="I10842" s="3030"/>
    </row>
    <row r="10843" spans="2:9" ht="25.5">
      <c r="B10843" s="3192" t="s">
        <v>676</v>
      </c>
      <c r="C10843" s="3063"/>
      <c r="D10843" s="3064"/>
      <c r="E10843" s="3064"/>
      <c r="F10843" s="3064"/>
      <c r="G10843" s="3301" t="s">
        <v>676</v>
      </c>
      <c r="H10843" s="3063"/>
      <c r="I10843" s="3030"/>
    </row>
    <row r="10844" spans="2:9">
      <c r="B10844" s="3192" t="s">
        <v>677</v>
      </c>
      <c r="C10844" s="3063"/>
      <c r="D10844" s="3064"/>
      <c r="E10844" s="3064"/>
      <c r="F10844" s="3064"/>
      <c r="G10844" s="3301" t="s">
        <v>677</v>
      </c>
      <c r="H10844" s="3063"/>
      <c r="I10844" s="3030"/>
    </row>
    <row r="10845" spans="2:9">
      <c r="B10845" s="3192" t="s">
        <v>678</v>
      </c>
      <c r="C10845" s="3063"/>
      <c r="D10845" s="3064"/>
      <c r="E10845" s="3064"/>
      <c r="F10845" s="3064"/>
      <c r="G10845" s="3301" t="s">
        <v>678</v>
      </c>
      <c r="H10845" s="3063"/>
      <c r="I10845" s="3030"/>
    </row>
    <row r="10846" spans="2:9">
      <c r="B10846" s="3192" t="s">
        <v>679</v>
      </c>
      <c r="C10846" s="3063"/>
      <c r="D10846" s="3064"/>
      <c r="E10846" s="3064"/>
      <c r="F10846" s="3064"/>
      <c r="G10846" s="3301" t="s">
        <v>679</v>
      </c>
      <c r="H10846" s="3063"/>
      <c r="I10846" s="3030"/>
    </row>
    <row r="10847" spans="2:9" ht="25.5">
      <c r="B10847" s="3192" t="s">
        <v>720</v>
      </c>
      <c r="C10847" s="3063"/>
      <c r="D10847" s="3064"/>
      <c r="E10847" s="3064"/>
      <c r="F10847" s="3064"/>
      <c r="G10847" s="3301" t="s">
        <v>720</v>
      </c>
      <c r="H10847" s="3063"/>
      <c r="I10847" s="3030"/>
    </row>
    <row r="10848" spans="2:9">
      <c r="B10848" s="3299" t="s">
        <v>65</v>
      </c>
      <c r="C10848" s="3063"/>
      <c r="D10848" s="3064"/>
      <c r="E10848" s="3064"/>
      <c r="F10848" s="3064"/>
      <c r="G10848" s="3300" t="s">
        <v>65</v>
      </c>
      <c r="H10848" s="3063"/>
      <c r="I10848" s="3030"/>
    </row>
    <row r="10849" spans="2:9" ht="25.5">
      <c r="B10849" s="3192" t="s">
        <v>675</v>
      </c>
      <c r="C10849" s="3063"/>
      <c r="D10849" s="3064"/>
      <c r="E10849" s="3064"/>
      <c r="F10849" s="3064"/>
      <c r="G10849" s="3301" t="s">
        <v>675</v>
      </c>
      <c r="H10849" s="3063"/>
      <c r="I10849" s="3030"/>
    </row>
    <row r="10850" spans="2:9" ht="25.5">
      <c r="B10850" s="3192" t="s">
        <v>676</v>
      </c>
      <c r="C10850" s="3063"/>
      <c r="D10850" s="3064"/>
      <c r="E10850" s="3064"/>
      <c r="F10850" s="3064"/>
      <c r="G10850" s="3301" t="s">
        <v>676</v>
      </c>
      <c r="H10850" s="3063"/>
      <c r="I10850" s="3030"/>
    </row>
    <row r="10851" spans="2:9">
      <c r="B10851" s="3192" t="s">
        <v>677</v>
      </c>
      <c r="C10851" s="3063"/>
      <c r="D10851" s="3064"/>
      <c r="E10851" s="3064"/>
      <c r="F10851" s="3064"/>
      <c r="G10851" s="3301" t="s">
        <v>677</v>
      </c>
      <c r="H10851" s="3063"/>
      <c r="I10851" s="3030"/>
    </row>
    <row r="10852" spans="2:9">
      <c r="B10852" s="3192" t="s">
        <v>678</v>
      </c>
      <c r="C10852" s="3063"/>
      <c r="D10852" s="3064"/>
      <c r="E10852" s="3064"/>
      <c r="F10852" s="3064"/>
      <c r="G10852" s="3301" t="s">
        <v>678</v>
      </c>
      <c r="H10852" s="3063"/>
      <c r="I10852" s="3030"/>
    </row>
    <row r="10853" spans="2:9">
      <c r="B10853" s="3192" t="s">
        <v>679</v>
      </c>
      <c r="C10853" s="3063"/>
      <c r="D10853" s="3064"/>
      <c r="E10853" s="3064"/>
      <c r="F10853" s="3064"/>
      <c r="G10853" s="3301" t="s">
        <v>679</v>
      </c>
      <c r="H10853" s="3063"/>
      <c r="I10853" s="3030"/>
    </row>
    <row r="10854" spans="2:9" ht="25.5">
      <c r="B10854" s="3192" t="s">
        <v>720</v>
      </c>
      <c r="C10854" s="3063"/>
      <c r="D10854" s="3064"/>
      <c r="E10854" s="3064"/>
      <c r="F10854" s="3064"/>
      <c r="G10854" s="3301" t="s">
        <v>720</v>
      </c>
      <c r="H10854" s="3063"/>
      <c r="I10854" s="3030"/>
    </row>
    <row r="10855" spans="2:9">
      <c r="B10855" s="3299" t="s">
        <v>82</v>
      </c>
      <c r="C10855" s="3063"/>
      <c r="D10855" s="3064"/>
      <c r="E10855" s="3064"/>
      <c r="F10855" s="3064"/>
      <c r="G10855" s="3300" t="s">
        <v>82</v>
      </c>
      <c r="H10855" s="3063"/>
      <c r="I10855" s="3030"/>
    </row>
    <row r="10856" spans="2:9" ht="25.5">
      <c r="B10856" s="3192" t="s">
        <v>675</v>
      </c>
      <c r="C10856" s="3063"/>
      <c r="D10856" s="3064"/>
      <c r="E10856" s="3064"/>
      <c r="F10856" s="3064"/>
      <c r="G10856" s="3301" t="s">
        <v>675</v>
      </c>
      <c r="H10856" s="3063"/>
      <c r="I10856" s="3030"/>
    </row>
    <row r="10857" spans="2:9" ht="25.5">
      <c r="B10857" s="3192" t="s">
        <v>676</v>
      </c>
      <c r="C10857" s="3063"/>
      <c r="D10857" s="3064"/>
      <c r="E10857" s="3064"/>
      <c r="F10857" s="3064"/>
      <c r="G10857" s="3301" t="s">
        <v>676</v>
      </c>
      <c r="H10857" s="3063"/>
      <c r="I10857" s="3030"/>
    </row>
    <row r="10858" spans="2:9">
      <c r="B10858" s="3192" t="s">
        <v>677</v>
      </c>
      <c r="C10858" s="3063"/>
      <c r="D10858" s="3064"/>
      <c r="E10858" s="3064"/>
      <c r="F10858" s="3064"/>
      <c r="G10858" s="3301" t="s">
        <v>677</v>
      </c>
      <c r="H10858" s="3063"/>
      <c r="I10858" s="3030"/>
    </row>
    <row r="10859" spans="2:9">
      <c r="B10859" s="3192" t="s">
        <v>678</v>
      </c>
      <c r="C10859" s="3063"/>
      <c r="D10859" s="3064"/>
      <c r="E10859" s="3064"/>
      <c r="F10859" s="3064"/>
      <c r="G10859" s="3301" t="s">
        <v>678</v>
      </c>
      <c r="H10859" s="3063"/>
      <c r="I10859" s="3030"/>
    </row>
    <row r="10860" spans="2:9">
      <c r="B10860" s="3192" t="s">
        <v>679</v>
      </c>
      <c r="C10860" s="3063"/>
      <c r="D10860" s="3064"/>
      <c r="E10860" s="3064"/>
      <c r="F10860" s="3064"/>
      <c r="G10860" s="3301" t="s">
        <v>679</v>
      </c>
      <c r="H10860" s="3063"/>
      <c r="I10860" s="3030"/>
    </row>
    <row r="10861" spans="2:9" ht="25.5">
      <c r="B10861" s="3192" t="s">
        <v>720</v>
      </c>
      <c r="C10861" s="3063"/>
      <c r="D10861" s="3064"/>
      <c r="E10861" s="3064"/>
      <c r="F10861" s="3064"/>
      <c r="G10861" s="3301" t="s">
        <v>720</v>
      </c>
      <c r="H10861" s="3063"/>
      <c r="I10861" s="3030"/>
    </row>
    <row r="10862" spans="2:9" ht="38.25">
      <c r="B10862" s="3299" t="s">
        <v>680</v>
      </c>
      <c r="C10862" s="3063"/>
      <c r="D10862" s="3064"/>
      <c r="E10862" s="3064"/>
      <c r="F10862" s="3064"/>
      <c r="G10862" s="3300" t="s">
        <v>680</v>
      </c>
      <c r="H10862" s="3063"/>
      <c r="I10862" s="3030"/>
    </row>
    <row r="10863" spans="2:9" ht="25.5">
      <c r="B10863" s="3192" t="s">
        <v>675</v>
      </c>
      <c r="C10863" s="3063"/>
      <c r="D10863" s="3064"/>
      <c r="E10863" s="3064"/>
      <c r="F10863" s="3064"/>
      <c r="G10863" s="3301" t="s">
        <v>675</v>
      </c>
      <c r="H10863" s="3063"/>
      <c r="I10863" s="3030"/>
    </row>
    <row r="10864" spans="2:9" ht="25.5">
      <c r="B10864" s="3192" t="s">
        <v>676</v>
      </c>
      <c r="C10864" s="3063"/>
      <c r="D10864" s="3064"/>
      <c r="E10864" s="3064"/>
      <c r="F10864" s="3064"/>
      <c r="G10864" s="3301" t="s">
        <v>676</v>
      </c>
      <c r="H10864" s="3063"/>
      <c r="I10864" s="3030"/>
    </row>
    <row r="10865" spans="2:9">
      <c r="B10865" s="3192" t="s">
        <v>677</v>
      </c>
      <c r="C10865" s="3063"/>
      <c r="D10865" s="3064"/>
      <c r="E10865" s="3064"/>
      <c r="F10865" s="3064"/>
      <c r="G10865" s="3301" t="s">
        <v>677</v>
      </c>
      <c r="H10865" s="3063"/>
      <c r="I10865" s="3030"/>
    </row>
    <row r="10866" spans="2:9">
      <c r="B10866" s="3192" t="s">
        <v>678</v>
      </c>
      <c r="C10866" s="3063"/>
      <c r="D10866" s="3064"/>
      <c r="E10866" s="3064"/>
      <c r="F10866" s="3064"/>
      <c r="G10866" s="3301" t="s">
        <v>678</v>
      </c>
      <c r="H10866" s="3063"/>
      <c r="I10866" s="3030"/>
    </row>
    <row r="10867" spans="2:9">
      <c r="B10867" s="3192" t="s">
        <v>679</v>
      </c>
      <c r="C10867" s="3063"/>
      <c r="D10867" s="3064"/>
      <c r="E10867" s="3064"/>
      <c r="F10867" s="3064"/>
      <c r="G10867" s="3301" t="s">
        <v>679</v>
      </c>
      <c r="H10867" s="3063"/>
      <c r="I10867" s="3030"/>
    </row>
    <row r="10868" spans="2:9" ht="25.5">
      <c r="B10868" s="3192" t="s">
        <v>720</v>
      </c>
      <c r="C10868" s="3063"/>
      <c r="D10868" s="3064"/>
      <c r="E10868" s="3064"/>
      <c r="F10868" s="3064"/>
      <c r="G10868" s="3301" t="s">
        <v>720</v>
      </c>
      <c r="H10868" s="3063"/>
      <c r="I10868" s="3030"/>
    </row>
    <row r="10869" spans="2:9" ht="38.25">
      <c r="B10869" s="3299" t="s">
        <v>681</v>
      </c>
      <c r="C10869" s="3063"/>
      <c r="D10869" s="3064"/>
      <c r="E10869" s="3064"/>
      <c r="F10869" s="3064"/>
      <c r="G10869" s="3300" t="s">
        <v>681</v>
      </c>
      <c r="H10869" s="3063"/>
      <c r="I10869" s="3030"/>
    </row>
    <row r="10870" spans="2:9" ht="25.5">
      <c r="B10870" s="3192" t="s">
        <v>675</v>
      </c>
      <c r="C10870" s="3063"/>
      <c r="D10870" s="3064"/>
      <c r="E10870" s="3064"/>
      <c r="F10870" s="3064"/>
      <c r="G10870" s="3301" t="s">
        <v>675</v>
      </c>
      <c r="H10870" s="3063"/>
      <c r="I10870" s="3030"/>
    </row>
    <row r="10871" spans="2:9" ht="25.5">
      <c r="B10871" s="3192" t="s">
        <v>676</v>
      </c>
      <c r="C10871" s="3063"/>
      <c r="D10871" s="3064"/>
      <c r="E10871" s="3064"/>
      <c r="F10871" s="3064"/>
      <c r="G10871" s="3301" t="s">
        <v>676</v>
      </c>
      <c r="H10871" s="3063"/>
      <c r="I10871" s="3030"/>
    </row>
    <row r="10872" spans="2:9">
      <c r="B10872" s="3192" t="s">
        <v>677</v>
      </c>
      <c r="C10872" s="3063"/>
      <c r="D10872" s="3064"/>
      <c r="E10872" s="3064"/>
      <c r="F10872" s="3064"/>
      <c r="G10872" s="3301" t="s">
        <v>677</v>
      </c>
      <c r="H10872" s="3063"/>
      <c r="I10872" s="3030"/>
    </row>
    <row r="10873" spans="2:9">
      <c r="B10873" s="3192" t="s">
        <v>678</v>
      </c>
      <c r="C10873" s="3063"/>
      <c r="D10873" s="3064"/>
      <c r="E10873" s="3064"/>
      <c r="F10873" s="3064"/>
      <c r="G10873" s="3301" t="s">
        <v>678</v>
      </c>
      <c r="H10873" s="3063"/>
      <c r="I10873" s="3030"/>
    </row>
    <row r="10874" spans="2:9">
      <c r="B10874" s="3192" t="s">
        <v>679</v>
      </c>
      <c r="C10874" s="3063"/>
      <c r="D10874" s="3064"/>
      <c r="E10874" s="3064"/>
      <c r="F10874" s="3064"/>
      <c r="G10874" s="3301" t="s">
        <v>679</v>
      </c>
      <c r="H10874" s="3063"/>
      <c r="I10874" s="3030"/>
    </row>
    <row r="10875" spans="2:9" ht="25.5">
      <c r="B10875" s="3192" t="s">
        <v>720</v>
      </c>
      <c r="C10875" s="3063"/>
      <c r="D10875" s="3064"/>
      <c r="E10875" s="3064"/>
      <c r="F10875" s="3064"/>
      <c r="G10875" s="3301" t="s">
        <v>720</v>
      </c>
      <c r="H10875" s="3063"/>
      <c r="I10875" s="3030"/>
    </row>
    <row r="10876" spans="2:9" ht="25.5">
      <c r="B10876" s="3299" t="s">
        <v>682</v>
      </c>
      <c r="C10876" s="3063"/>
      <c r="D10876" s="3064"/>
      <c r="E10876" s="3064"/>
      <c r="F10876" s="3064"/>
      <c r="G10876" s="3300" t="s">
        <v>682</v>
      </c>
      <c r="H10876" s="3063"/>
      <c r="I10876" s="3030"/>
    </row>
    <row r="10877" spans="2:9" ht="25.5">
      <c r="B10877" s="3192" t="s">
        <v>675</v>
      </c>
      <c r="C10877" s="3063"/>
      <c r="D10877" s="3064"/>
      <c r="E10877" s="3064"/>
      <c r="F10877" s="3064"/>
      <c r="G10877" s="3301" t="s">
        <v>675</v>
      </c>
      <c r="H10877" s="3063"/>
      <c r="I10877" s="3030"/>
    </row>
    <row r="10878" spans="2:9" ht="25.5">
      <c r="B10878" s="3192" t="s">
        <v>676</v>
      </c>
      <c r="C10878" s="3063"/>
      <c r="D10878" s="3064"/>
      <c r="E10878" s="3064"/>
      <c r="F10878" s="3064"/>
      <c r="G10878" s="3301" t="s">
        <v>676</v>
      </c>
      <c r="H10878" s="3063"/>
      <c r="I10878" s="3030"/>
    </row>
    <row r="10879" spans="2:9">
      <c r="B10879" s="3192" t="s">
        <v>677</v>
      </c>
      <c r="C10879" s="3063"/>
      <c r="D10879" s="3064"/>
      <c r="E10879" s="3064"/>
      <c r="F10879" s="3064"/>
      <c r="G10879" s="3301" t="s">
        <v>677</v>
      </c>
      <c r="H10879" s="3063"/>
      <c r="I10879" s="3030"/>
    </row>
    <row r="10880" spans="2:9">
      <c r="B10880" s="3192" t="s">
        <v>678</v>
      </c>
      <c r="C10880" s="3063"/>
      <c r="D10880" s="3064"/>
      <c r="E10880" s="3064"/>
      <c r="F10880" s="3064"/>
      <c r="G10880" s="3301" t="s">
        <v>678</v>
      </c>
      <c r="H10880" s="3063"/>
      <c r="I10880" s="3030"/>
    </row>
    <row r="10881" spans="2:9">
      <c r="B10881" s="3192" t="s">
        <v>679</v>
      </c>
      <c r="C10881" s="3063"/>
      <c r="D10881" s="3064"/>
      <c r="E10881" s="3064"/>
      <c r="F10881" s="3064"/>
      <c r="G10881" s="3301" t="s">
        <v>679</v>
      </c>
      <c r="H10881" s="3063"/>
      <c r="I10881" s="3030"/>
    </row>
    <row r="10882" spans="2:9" ht="25.5">
      <c r="B10882" s="3192" t="s">
        <v>720</v>
      </c>
      <c r="C10882" s="3063"/>
      <c r="D10882" s="3064"/>
      <c r="E10882" s="3064"/>
      <c r="F10882" s="3064"/>
      <c r="G10882" s="3301" t="s">
        <v>720</v>
      </c>
      <c r="H10882" s="3063"/>
      <c r="I10882" s="3030"/>
    </row>
    <row r="10883" spans="2:9" ht="25.5">
      <c r="B10883" s="3299" t="s">
        <v>66</v>
      </c>
      <c r="C10883" s="3063"/>
      <c r="D10883" s="3064"/>
      <c r="E10883" s="3064"/>
      <c r="F10883" s="3064"/>
      <c r="G10883" s="3300" t="s">
        <v>66</v>
      </c>
      <c r="H10883" s="3063"/>
      <c r="I10883" s="3030"/>
    </row>
    <row r="10884" spans="2:9" ht="25.5">
      <c r="B10884" s="3192" t="s">
        <v>675</v>
      </c>
      <c r="C10884" s="3063"/>
      <c r="D10884" s="3064"/>
      <c r="E10884" s="3064"/>
      <c r="F10884" s="3064"/>
      <c r="G10884" s="3301" t="s">
        <v>675</v>
      </c>
      <c r="H10884" s="3063"/>
      <c r="I10884" s="3030"/>
    </row>
    <row r="10885" spans="2:9" ht="25.5">
      <c r="B10885" s="3192" t="s">
        <v>676</v>
      </c>
      <c r="C10885" s="3063"/>
      <c r="D10885" s="3064"/>
      <c r="E10885" s="3064"/>
      <c r="F10885" s="3064"/>
      <c r="G10885" s="3301" t="s">
        <v>676</v>
      </c>
      <c r="H10885" s="3063"/>
      <c r="I10885" s="3030"/>
    </row>
    <row r="10886" spans="2:9">
      <c r="B10886" s="3192" t="s">
        <v>677</v>
      </c>
      <c r="C10886" s="3063"/>
      <c r="D10886" s="3064"/>
      <c r="E10886" s="3064"/>
      <c r="F10886" s="3064"/>
      <c r="G10886" s="3301" t="s">
        <v>677</v>
      </c>
      <c r="H10886" s="3063"/>
      <c r="I10886" s="3030"/>
    </row>
    <row r="10887" spans="2:9">
      <c r="B10887" s="3192" t="s">
        <v>678</v>
      </c>
      <c r="C10887" s="3063"/>
      <c r="D10887" s="3064"/>
      <c r="E10887" s="3064"/>
      <c r="F10887" s="3064"/>
      <c r="G10887" s="3301" t="s">
        <v>678</v>
      </c>
      <c r="H10887" s="3063"/>
      <c r="I10887" s="3030"/>
    </row>
    <row r="10888" spans="2:9">
      <c r="B10888" s="3192" t="s">
        <v>679</v>
      </c>
      <c r="C10888" s="3063"/>
      <c r="D10888" s="3064"/>
      <c r="E10888" s="3064"/>
      <c r="F10888" s="3064"/>
      <c r="G10888" s="3301" t="s">
        <v>679</v>
      </c>
      <c r="H10888" s="3063"/>
      <c r="I10888" s="3030"/>
    </row>
    <row r="10889" spans="2:9" ht="25.5">
      <c r="B10889" s="3192" t="s">
        <v>720</v>
      </c>
      <c r="C10889" s="3063"/>
      <c r="D10889" s="3064"/>
      <c r="E10889" s="3064"/>
      <c r="F10889" s="3064"/>
      <c r="G10889" s="3301" t="s">
        <v>720</v>
      </c>
      <c r="H10889" s="3063"/>
      <c r="I10889" s="3030"/>
    </row>
    <row r="10890" spans="2:9">
      <c r="B10890" s="3299" t="s">
        <v>67</v>
      </c>
      <c r="C10890" s="3063"/>
      <c r="D10890" s="3064"/>
      <c r="E10890" s="3064"/>
      <c r="F10890" s="3064"/>
      <c r="G10890" s="3300" t="s">
        <v>67</v>
      </c>
      <c r="H10890" s="3063"/>
      <c r="I10890" s="3030"/>
    </row>
    <row r="10891" spans="2:9" ht="25.5">
      <c r="B10891" s="3192" t="s">
        <v>675</v>
      </c>
      <c r="C10891" s="3063"/>
      <c r="D10891" s="3064"/>
      <c r="E10891" s="3064"/>
      <c r="F10891" s="3064"/>
      <c r="G10891" s="3301" t="s">
        <v>675</v>
      </c>
      <c r="H10891" s="3063"/>
      <c r="I10891" s="3030"/>
    </row>
    <row r="10892" spans="2:9" ht="25.5">
      <c r="B10892" s="3192" t="s">
        <v>676</v>
      </c>
      <c r="C10892" s="3063"/>
      <c r="D10892" s="3064"/>
      <c r="E10892" s="3064"/>
      <c r="F10892" s="3064"/>
      <c r="G10892" s="3301" t="s">
        <v>676</v>
      </c>
      <c r="H10892" s="3063"/>
      <c r="I10892" s="3030"/>
    </row>
    <row r="10893" spans="2:9">
      <c r="B10893" s="3192" t="s">
        <v>677</v>
      </c>
      <c r="C10893" s="3063"/>
      <c r="D10893" s="3064"/>
      <c r="E10893" s="3064"/>
      <c r="F10893" s="3064"/>
      <c r="G10893" s="3301" t="s">
        <v>677</v>
      </c>
      <c r="H10893" s="3063"/>
      <c r="I10893" s="3030"/>
    </row>
    <row r="10894" spans="2:9">
      <c r="B10894" s="3192" t="s">
        <v>678</v>
      </c>
      <c r="C10894" s="3063"/>
      <c r="D10894" s="3064"/>
      <c r="E10894" s="3064"/>
      <c r="F10894" s="3064"/>
      <c r="G10894" s="3301" t="s">
        <v>678</v>
      </c>
      <c r="H10894" s="3063"/>
      <c r="I10894" s="3030"/>
    </row>
    <row r="10895" spans="2:9">
      <c r="B10895" s="3192" t="s">
        <v>679</v>
      </c>
      <c r="C10895" s="3063"/>
      <c r="D10895" s="3064"/>
      <c r="E10895" s="3064"/>
      <c r="F10895" s="3064"/>
      <c r="G10895" s="3301" t="s">
        <v>679</v>
      </c>
      <c r="H10895" s="3063"/>
      <c r="I10895" s="3030"/>
    </row>
    <row r="10896" spans="2:9" ht="25.5">
      <c r="B10896" s="3230" t="s">
        <v>81</v>
      </c>
      <c r="C10896" s="3063"/>
      <c r="D10896" s="3064"/>
      <c r="E10896" s="3064"/>
      <c r="F10896" s="3064"/>
      <c r="G10896" s="3302" t="s">
        <v>81</v>
      </c>
      <c r="H10896" s="3063"/>
      <c r="I10896" s="3030"/>
    </row>
    <row r="10897" spans="2:9" ht="26.25" thickBot="1">
      <c r="B10897" s="3303" t="s">
        <v>81</v>
      </c>
      <c r="C10897" s="3063"/>
      <c r="D10897" s="3064"/>
      <c r="E10897" s="3064"/>
      <c r="F10897" s="3064"/>
      <c r="G10897" s="3302" t="s">
        <v>81</v>
      </c>
      <c r="H10897" s="3063"/>
      <c r="I10897" s="3030"/>
    </row>
    <row r="10898" spans="2:9">
      <c r="B10898" s="3217" t="s">
        <v>697</v>
      </c>
      <c r="C10898" s="3218"/>
      <c r="D10898" s="3219"/>
      <c r="E10898" s="3219"/>
      <c r="F10898" s="3219"/>
      <c r="G10898" s="3217" t="s">
        <v>697</v>
      </c>
      <c r="H10898" s="3297"/>
      <c r="I10898" s="3298"/>
    </row>
    <row r="10899" spans="2:9">
      <c r="B10899" s="3299" t="s">
        <v>64</v>
      </c>
      <c r="C10899" s="3063"/>
      <c r="D10899" s="3064"/>
      <c r="E10899" s="3064"/>
      <c r="F10899" s="3064"/>
      <c r="G10899" s="3300" t="s">
        <v>64</v>
      </c>
      <c r="H10899" s="3063"/>
      <c r="I10899" s="3030"/>
    </row>
    <row r="10900" spans="2:9" ht="25.5">
      <c r="B10900" s="3192" t="s">
        <v>675</v>
      </c>
      <c r="C10900" s="3063"/>
      <c r="D10900" s="3064"/>
      <c r="E10900" s="3064"/>
      <c r="F10900" s="3064"/>
      <c r="G10900" s="3301" t="s">
        <v>675</v>
      </c>
      <c r="H10900" s="3063"/>
      <c r="I10900" s="3030"/>
    </row>
    <row r="10901" spans="2:9" ht="25.5">
      <c r="B10901" s="3192" t="s">
        <v>676</v>
      </c>
      <c r="C10901" s="3063"/>
      <c r="D10901" s="3064"/>
      <c r="E10901" s="3064"/>
      <c r="F10901" s="3064"/>
      <c r="G10901" s="3301" t="s">
        <v>676</v>
      </c>
      <c r="H10901" s="3063"/>
      <c r="I10901" s="3030"/>
    </row>
    <row r="10902" spans="2:9">
      <c r="B10902" s="3192" t="s">
        <v>677</v>
      </c>
      <c r="C10902" s="3063"/>
      <c r="D10902" s="3064"/>
      <c r="E10902" s="3064"/>
      <c r="F10902" s="3064"/>
      <c r="G10902" s="3301" t="s">
        <v>677</v>
      </c>
      <c r="H10902" s="3063"/>
      <c r="I10902" s="3030"/>
    </row>
    <row r="10903" spans="2:9">
      <c r="B10903" s="3192" t="s">
        <v>678</v>
      </c>
      <c r="C10903" s="3063"/>
      <c r="D10903" s="3064"/>
      <c r="E10903" s="3064"/>
      <c r="F10903" s="3064"/>
      <c r="G10903" s="3301" t="s">
        <v>678</v>
      </c>
      <c r="H10903" s="3063"/>
      <c r="I10903" s="3030"/>
    </row>
    <row r="10904" spans="2:9">
      <c r="B10904" s="3192" t="s">
        <v>679</v>
      </c>
      <c r="C10904" s="3063"/>
      <c r="D10904" s="3064"/>
      <c r="E10904" s="3064"/>
      <c r="F10904" s="3064"/>
      <c r="G10904" s="3301" t="s">
        <v>679</v>
      </c>
      <c r="H10904" s="3063"/>
      <c r="I10904" s="3030"/>
    </row>
    <row r="10905" spans="2:9" ht="25.5">
      <c r="B10905" s="3192" t="s">
        <v>720</v>
      </c>
      <c r="C10905" s="3063"/>
      <c r="D10905" s="3064"/>
      <c r="E10905" s="3064"/>
      <c r="F10905" s="3064"/>
      <c r="G10905" s="3301" t="s">
        <v>720</v>
      </c>
      <c r="H10905" s="3063"/>
      <c r="I10905" s="3030"/>
    </row>
    <row r="10906" spans="2:9">
      <c r="B10906" s="3299" t="s">
        <v>65</v>
      </c>
      <c r="C10906" s="3063"/>
      <c r="D10906" s="3064"/>
      <c r="E10906" s="3064"/>
      <c r="F10906" s="3064"/>
      <c r="G10906" s="3300" t="s">
        <v>65</v>
      </c>
      <c r="H10906" s="3063"/>
      <c r="I10906" s="3030"/>
    </row>
    <row r="10907" spans="2:9" ht="25.5">
      <c r="B10907" s="3192" t="s">
        <v>675</v>
      </c>
      <c r="C10907" s="3063"/>
      <c r="D10907" s="3064"/>
      <c r="E10907" s="3064"/>
      <c r="F10907" s="3064"/>
      <c r="G10907" s="3301" t="s">
        <v>675</v>
      </c>
      <c r="H10907" s="3063"/>
      <c r="I10907" s="3030"/>
    </row>
    <row r="10908" spans="2:9" ht="25.5">
      <c r="B10908" s="3192" t="s">
        <v>676</v>
      </c>
      <c r="C10908" s="3063"/>
      <c r="D10908" s="3064"/>
      <c r="E10908" s="3064"/>
      <c r="F10908" s="3064"/>
      <c r="G10908" s="3301" t="s">
        <v>676</v>
      </c>
      <c r="H10908" s="3063"/>
      <c r="I10908" s="3030"/>
    </row>
    <row r="10909" spans="2:9">
      <c r="B10909" s="3192" t="s">
        <v>677</v>
      </c>
      <c r="C10909" s="3063"/>
      <c r="D10909" s="3064"/>
      <c r="E10909" s="3064"/>
      <c r="F10909" s="3064"/>
      <c r="G10909" s="3301" t="s">
        <v>677</v>
      </c>
      <c r="H10909" s="3063"/>
      <c r="I10909" s="3030"/>
    </row>
    <row r="10910" spans="2:9">
      <c r="B10910" s="3192" t="s">
        <v>678</v>
      </c>
      <c r="C10910" s="3063"/>
      <c r="D10910" s="3064"/>
      <c r="E10910" s="3064"/>
      <c r="F10910" s="3064"/>
      <c r="G10910" s="3301" t="s">
        <v>678</v>
      </c>
      <c r="H10910" s="3063"/>
      <c r="I10910" s="3030"/>
    </row>
    <row r="10911" spans="2:9">
      <c r="B10911" s="3192" t="s">
        <v>679</v>
      </c>
      <c r="C10911" s="3063"/>
      <c r="D10911" s="3064"/>
      <c r="E10911" s="3064"/>
      <c r="F10911" s="3064"/>
      <c r="G10911" s="3301" t="s">
        <v>679</v>
      </c>
      <c r="H10911" s="3063"/>
      <c r="I10911" s="3030"/>
    </row>
    <row r="10912" spans="2:9" ht="25.5">
      <c r="B10912" s="3192" t="s">
        <v>720</v>
      </c>
      <c r="C10912" s="3063"/>
      <c r="D10912" s="3064"/>
      <c r="E10912" s="3064"/>
      <c r="F10912" s="3064"/>
      <c r="G10912" s="3301" t="s">
        <v>720</v>
      </c>
      <c r="H10912" s="3063"/>
      <c r="I10912" s="3030"/>
    </row>
    <row r="10913" spans="2:9">
      <c r="B10913" s="3299" t="s">
        <v>82</v>
      </c>
      <c r="C10913" s="3063"/>
      <c r="D10913" s="3064"/>
      <c r="E10913" s="3064"/>
      <c r="F10913" s="3064"/>
      <c r="G10913" s="3300" t="s">
        <v>82</v>
      </c>
      <c r="H10913" s="3063"/>
      <c r="I10913" s="3030"/>
    </row>
    <row r="10914" spans="2:9" ht="25.5">
      <c r="B10914" s="3192" t="s">
        <v>675</v>
      </c>
      <c r="C10914" s="3063"/>
      <c r="D10914" s="3064"/>
      <c r="E10914" s="3064"/>
      <c r="F10914" s="3064"/>
      <c r="G10914" s="3301" t="s">
        <v>675</v>
      </c>
      <c r="H10914" s="3063"/>
      <c r="I10914" s="3030"/>
    </row>
    <row r="10915" spans="2:9" ht="25.5">
      <c r="B10915" s="3192" t="s">
        <v>676</v>
      </c>
      <c r="C10915" s="3063"/>
      <c r="D10915" s="3064"/>
      <c r="E10915" s="3064"/>
      <c r="F10915" s="3064"/>
      <c r="G10915" s="3301" t="s">
        <v>676</v>
      </c>
      <c r="H10915" s="3063"/>
      <c r="I10915" s="3030"/>
    </row>
    <row r="10916" spans="2:9">
      <c r="B10916" s="3192" t="s">
        <v>677</v>
      </c>
      <c r="C10916" s="3063"/>
      <c r="D10916" s="3064"/>
      <c r="E10916" s="3064"/>
      <c r="F10916" s="3064"/>
      <c r="G10916" s="3301" t="s">
        <v>677</v>
      </c>
      <c r="H10916" s="3063"/>
      <c r="I10916" s="3030"/>
    </row>
    <row r="10917" spans="2:9">
      <c r="B10917" s="3192" t="s">
        <v>678</v>
      </c>
      <c r="C10917" s="3063"/>
      <c r="D10917" s="3064"/>
      <c r="E10917" s="3064"/>
      <c r="F10917" s="3064"/>
      <c r="G10917" s="3301" t="s">
        <v>678</v>
      </c>
      <c r="H10917" s="3063"/>
      <c r="I10917" s="3030"/>
    </row>
    <row r="10918" spans="2:9">
      <c r="B10918" s="3192" t="s">
        <v>679</v>
      </c>
      <c r="C10918" s="3063"/>
      <c r="D10918" s="3064"/>
      <c r="E10918" s="3064"/>
      <c r="F10918" s="3064"/>
      <c r="G10918" s="3301" t="s">
        <v>679</v>
      </c>
      <c r="H10918" s="3063"/>
      <c r="I10918" s="3030"/>
    </row>
    <row r="10919" spans="2:9" ht="25.5">
      <c r="B10919" s="3192" t="s">
        <v>720</v>
      </c>
      <c r="C10919" s="3063"/>
      <c r="D10919" s="3064"/>
      <c r="E10919" s="3064"/>
      <c r="F10919" s="3064"/>
      <c r="G10919" s="3301" t="s">
        <v>720</v>
      </c>
      <c r="H10919" s="3063"/>
      <c r="I10919" s="3030"/>
    </row>
    <row r="10920" spans="2:9" ht="38.25">
      <c r="B10920" s="3299" t="s">
        <v>680</v>
      </c>
      <c r="C10920" s="3063"/>
      <c r="D10920" s="3064"/>
      <c r="E10920" s="3064"/>
      <c r="F10920" s="3064"/>
      <c r="G10920" s="3300" t="s">
        <v>680</v>
      </c>
      <c r="H10920" s="3063"/>
      <c r="I10920" s="3030"/>
    </row>
    <row r="10921" spans="2:9" ht="25.5">
      <c r="B10921" s="3192" t="s">
        <v>675</v>
      </c>
      <c r="C10921" s="3063"/>
      <c r="D10921" s="3064"/>
      <c r="E10921" s="3064"/>
      <c r="F10921" s="3064"/>
      <c r="G10921" s="3301" t="s">
        <v>675</v>
      </c>
      <c r="H10921" s="3063"/>
      <c r="I10921" s="3030"/>
    </row>
    <row r="10922" spans="2:9" ht="25.5">
      <c r="B10922" s="3192" t="s">
        <v>676</v>
      </c>
      <c r="C10922" s="3063"/>
      <c r="D10922" s="3064"/>
      <c r="E10922" s="3064"/>
      <c r="F10922" s="3064"/>
      <c r="G10922" s="3301" t="s">
        <v>676</v>
      </c>
      <c r="H10922" s="3063"/>
      <c r="I10922" s="3030"/>
    </row>
    <row r="10923" spans="2:9">
      <c r="B10923" s="3192" t="s">
        <v>677</v>
      </c>
      <c r="C10923" s="3063"/>
      <c r="D10923" s="3064"/>
      <c r="E10923" s="3064"/>
      <c r="F10923" s="3064"/>
      <c r="G10923" s="3301" t="s">
        <v>677</v>
      </c>
      <c r="H10923" s="3063"/>
      <c r="I10923" s="3030"/>
    </row>
    <row r="10924" spans="2:9">
      <c r="B10924" s="3192" t="s">
        <v>678</v>
      </c>
      <c r="C10924" s="3063"/>
      <c r="D10924" s="3064"/>
      <c r="E10924" s="3064"/>
      <c r="F10924" s="3064"/>
      <c r="G10924" s="3301" t="s">
        <v>678</v>
      </c>
      <c r="H10924" s="3063"/>
      <c r="I10924" s="3030"/>
    </row>
    <row r="10925" spans="2:9">
      <c r="B10925" s="3192" t="s">
        <v>679</v>
      </c>
      <c r="C10925" s="3063"/>
      <c r="D10925" s="3064"/>
      <c r="E10925" s="3064"/>
      <c r="F10925" s="3064"/>
      <c r="G10925" s="3301" t="s">
        <v>679</v>
      </c>
      <c r="H10925" s="3063"/>
      <c r="I10925" s="3030"/>
    </row>
    <row r="10926" spans="2:9" ht="25.5">
      <c r="B10926" s="3192" t="s">
        <v>720</v>
      </c>
      <c r="C10926" s="3063"/>
      <c r="D10926" s="3064"/>
      <c r="E10926" s="3064"/>
      <c r="F10926" s="3064"/>
      <c r="G10926" s="3301" t="s">
        <v>720</v>
      </c>
      <c r="H10926" s="3063"/>
      <c r="I10926" s="3030"/>
    </row>
    <row r="10927" spans="2:9" ht="38.25">
      <c r="B10927" s="3299" t="s">
        <v>681</v>
      </c>
      <c r="C10927" s="3063"/>
      <c r="D10927" s="3064"/>
      <c r="E10927" s="3064"/>
      <c r="F10927" s="3064">
        <v>4</v>
      </c>
      <c r="G10927" s="3300" t="s">
        <v>681</v>
      </c>
      <c r="H10927" s="3030">
        <v>9.7318139160397527E-2</v>
      </c>
      <c r="I10927" s="3030"/>
    </row>
    <row r="10928" spans="2:9" ht="25.5">
      <c r="B10928" s="3192" t="s">
        <v>675</v>
      </c>
      <c r="C10928" s="3063"/>
      <c r="D10928" s="3064"/>
      <c r="E10928" s="3064"/>
      <c r="F10928" s="3064"/>
      <c r="G10928" s="3301" t="s">
        <v>675</v>
      </c>
      <c r="H10928" s="3063"/>
      <c r="I10928" s="3030"/>
    </row>
    <row r="10929" spans="2:9" ht="25.5">
      <c r="B10929" s="3192" t="s">
        <v>676</v>
      </c>
      <c r="C10929" s="3063"/>
      <c r="D10929" s="3064"/>
      <c r="E10929" s="3064"/>
      <c r="F10929" s="3064"/>
      <c r="G10929" s="3301" t="s">
        <v>676</v>
      </c>
      <c r="H10929" s="3063"/>
      <c r="I10929" s="3030"/>
    </row>
    <row r="10930" spans="2:9">
      <c r="B10930" s="3192" t="s">
        <v>677</v>
      </c>
      <c r="C10930" s="3063"/>
      <c r="D10930" s="3064"/>
      <c r="E10930" s="3064"/>
      <c r="F10930" s="3064"/>
      <c r="G10930" s="3301" t="s">
        <v>677</v>
      </c>
      <c r="H10930" s="3063"/>
      <c r="I10930" s="3030"/>
    </row>
    <row r="10931" spans="2:9">
      <c r="B10931" s="3192" t="s">
        <v>678</v>
      </c>
      <c r="C10931" s="3063"/>
      <c r="D10931" s="3064"/>
      <c r="E10931" s="3064"/>
      <c r="F10931" s="3064"/>
      <c r="G10931" s="3301" t="s">
        <v>678</v>
      </c>
      <c r="H10931" s="3063"/>
      <c r="I10931" s="3030"/>
    </row>
    <row r="10932" spans="2:9">
      <c r="B10932" s="3192" t="s">
        <v>679</v>
      </c>
      <c r="C10932" s="3063"/>
      <c r="D10932" s="3064"/>
      <c r="E10932" s="3064"/>
      <c r="F10932" s="3064"/>
      <c r="G10932" s="3301" t="s">
        <v>679</v>
      </c>
      <c r="H10932" s="3063"/>
      <c r="I10932" s="3030"/>
    </row>
    <row r="10933" spans="2:9" ht="25.5">
      <c r="B10933" s="3192" t="s">
        <v>720</v>
      </c>
      <c r="C10933" s="3063"/>
      <c r="D10933" s="3064"/>
      <c r="E10933" s="3064"/>
      <c r="F10933" s="3064"/>
      <c r="G10933" s="3301" t="s">
        <v>720</v>
      </c>
      <c r="H10933" s="3063"/>
      <c r="I10933" s="3030"/>
    </row>
    <row r="10934" spans="2:9" ht="25.5">
      <c r="B10934" s="3299" t="s">
        <v>682</v>
      </c>
      <c r="C10934" s="3063"/>
      <c r="D10934" s="3064"/>
      <c r="E10934" s="3064"/>
      <c r="F10934" s="3064"/>
      <c r="G10934" s="3300" t="s">
        <v>682</v>
      </c>
      <c r="H10934" s="3063"/>
      <c r="I10934" s="3030"/>
    </row>
    <row r="10935" spans="2:9" ht="25.5">
      <c r="B10935" s="3192" t="s">
        <v>675</v>
      </c>
      <c r="C10935" s="3063"/>
      <c r="D10935" s="3064"/>
      <c r="E10935" s="3064"/>
      <c r="F10935" s="3064"/>
      <c r="G10935" s="3301" t="s">
        <v>675</v>
      </c>
      <c r="H10935" s="3063"/>
      <c r="I10935" s="3030"/>
    </row>
    <row r="10936" spans="2:9" ht="25.5">
      <c r="B10936" s="3192" t="s">
        <v>676</v>
      </c>
      <c r="C10936" s="3063"/>
      <c r="D10936" s="3064"/>
      <c r="E10936" s="3064"/>
      <c r="F10936" s="3064"/>
      <c r="G10936" s="3301" t="s">
        <v>676</v>
      </c>
      <c r="H10936" s="3063"/>
      <c r="I10936" s="3030"/>
    </row>
    <row r="10937" spans="2:9">
      <c r="B10937" s="3192" t="s">
        <v>677</v>
      </c>
      <c r="C10937" s="3063"/>
      <c r="D10937" s="3064"/>
      <c r="E10937" s="3064"/>
      <c r="F10937" s="3064"/>
      <c r="G10937" s="3301" t="s">
        <v>677</v>
      </c>
      <c r="H10937" s="3063"/>
      <c r="I10937" s="3030"/>
    </row>
    <row r="10938" spans="2:9">
      <c r="B10938" s="3192" t="s">
        <v>678</v>
      </c>
      <c r="C10938" s="3063"/>
      <c r="D10938" s="3064"/>
      <c r="E10938" s="3064"/>
      <c r="F10938" s="3064"/>
      <c r="G10938" s="3301" t="s">
        <v>678</v>
      </c>
      <c r="H10938" s="3063"/>
      <c r="I10938" s="3030"/>
    </row>
    <row r="10939" spans="2:9">
      <c r="B10939" s="3192" t="s">
        <v>679</v>
      </c>
      <c r="C10939" s="3063"/>
      <c r="D10939" s="3064"/>
      <c r="E10939" s="3064"/>
      <c r="F10939" s="3064"/>
      <c r="G10939" s="3301" t="s">
        <v>679</v>
      </c>
      <c r="H10939" s="3063"/>
      <c r="I10939" s="3030"/>
    </row>
    <row r="10940" spans="2:9" ht="25.5">
      <c r="B10940" s="3192" t="s">
        <v>720</v>
      </c>
      <c r="C10940" s="3063"/>
      <c r="D10940" s="3064"/>
      <c r="E10940" s="3064"/>
      <c r="F10940" s="3064"/>
      <c r="G10940" s="3301" t="s">
        <v>720</v>
      </c>
      <c r="H10940" s="3063"/>
      <c r="I10940" s="3030"/>
    </row>
    <row r="10941" spans="2:9" ht="25.5">
      <c r="B10941" s="3299" t="s">
        <v>66</v>
      </c>
      <c r="C10941" s="3063"/>
      <c r="D10941" s="3064"/>
      <c r="E10941" s="3064"/>
      <c r="F10941" s="3064"/>
      <c r="G10941" s="3300" t="s">
        <v>66</v>
      </c>
      <c r="H10941" s="3063"/>
      <c r="I10941" s="3030"/>
    </row>
    <row r="10942" spans="2:9" ht="25.5">
      <c r="B10942" s="3192" t="s">
        <v>675</v>
      </c>
      <c r="C10942" s="3063"/>
      <c r="D10942" s="3064"/>
      <c r="E10942" s="3064"/>
      <c r="F10942" s="3064"/>
      <c r="G10942" s="3301" t="s">
        <v>675</v>
      </c>
      <c r="H10942" s="3063"/>
      <c r="I10942" s="3030"/>
    </row>
    <row r="10943" spans="2:9" ht="25.5">
      <c r="B10943" s="3192" t="s">
        <v>676</v>
      </c>
      <c r="C10943" s="3063"/>
      <c r="D10943" s="3064"/>
      <c r="E10943" s="3064"/>
      <c r="F10943" s="3064"/>
      <c r="G10943" s="3301" t="s">
        <v>676</v>
      </c>
      <c r="H10943" s="3063"/>
      <c r="I10943" s="3030"/>
    </row>
    <row r="10944" spans="2:9">
      <c r="B10944" s="3192" t="s">
        <v>677</v>
      </c>
      <c r="C10944" s="3063"/>
      <c r="D10944" s="3064"/>
      <c r="E10944" s="3064"/>
      <c r="F10944" s="3064"/>
      <c r="G10944" s="3301" t="s">
        <v>677</v>
      </c>
      <c r="H10944" s="3063"/>
      <c r="I10944" s="3030"/>
    </row>
    <row r="10945" spans="2:9">
      <c r="B10945" s="3192" t="s">
        <v>678</v>
      </c>
      <c r="C10945" s="3063"/>
      <c r="D10945" s="3064"/>
      <c r="E10945" s="3064"/>
      <c r="F10945" s="3064"/>
      <c r="G10945" s="3301" t="s">
        <v>678</v>
      </c>
      <c r="H10945" s="3063"/>
      <c r="I10945" s="3030"/>
    </row>
    <row r="10946" spans="2:9">
      <c r="B10946" s="3192" t="s">
        <v>679</v>
      </c>
      <c r="C10946" s="3063"/>
      <c r="D10946" s="3064"/>
      <c r="E10946" s="3064"/>
      <c r="F10946" s="3064"/>
      <c r="G10946" s="3301" t="s">
        <v>679</v>
      </c>
      <c r="H10946" s="3063"/>
      <c r="I10946" s="3030"/>
    </row>
    <row r="10947" spans="2:9" ht="25.5">
      <c r="B10947" s="3192" t="s">
        <v>720</v>
      </c>
      <c r="C10947" s="3063"/>
      <c r="D10947" s="3064"/>
      <c r="E10947" s="3064"/>
      <c r="F10947" s="3064"/>
      <c r="G10947" s="3301" t="s">
        <v>720</v>
      </c>
      <c r="H10947" s="3063"/>
      <c r="I10947" s="3030"/>
    </row>
    <row r="10948" spans="2:9">
      <c r="B10948" s="3299" t="s">
        <v>67</v>
      </c>
      <c r="C10948" s="3063"/>
      <c r="D10948" s="3064"/>
      <c r="E10948" s="3064"/>
      <c r="F10948" s="3064"/>
      <c r="G10948" s="3300" t="s">
        <v>67</v>
      </c>
      <c r="H10948" s="3063"/>
      <c r="I10948" s="3030"/>
    </row>
    <row r="10949" spans="2:9" ht="25.5">
      <c r="B10949" s="3192" t="s">
        <v>675</v>
      </c>
      <c r="C10949" s="3063"/>
      <c r="D10949" s="3064"/>
      <c r="E10949" s="3064"/>
      <c r="F10949" s="3064"/>
      <c r="G10949" s="3301" t="s">
        <v>675</v>
      </c>
      <c r="H10949" s="3063"/>
      <c r="I10949" s="3030"/>
    </row>
    <row r="10950" spans="2:9" ht="25.5">
      <c r="B10950" s="3192" t="s">
        <v>676</v>
      </c>
      <c r="C10950" s="3063"/>
      <c r="D10950" s="3064"/>
      <c r="E10950" s="3064"/>
      <c r="F10950" s="3064"/>
      <c r="G10950" s="3301" t="s">
        <v>676</v>
      </c>
      <c r="H10950" s="3063"/>
      <c r="I10950" s="3030"/>
    </row>
    <row r="10951" spans="2:9">
      <c r="B10951" s="3192" t="s">
        <v>677</v>
      </c>
      <c r="C10951" s="3063"/>
      <c r="D10951" s="3064"/>
      <c r="E10951" s="3064"/>
      <c r="F10951" s="3064"/>
      <c r="G10951" s="3301" t="s">
        <v>677</v>
      </c>
      <c r="H10951" s="3063"/>
      <c r="I10951" s="3030"/>
    </row>
    <row r="10952" spans="2:9">
      <c r="B10952" s="3192" t="s">
        <v>678</v>
      </c>
      <c r="C10952" s="3063"/>
      <c r="D10952" s="3064"/>
      <c r="E10952" s="3064"/>
      <c r="F10952" s="3064"/>
      <c r="G10952" s="3301" t="s">
        <v>678</v>
      </c>
      <c r="H10952" s="3063"/>
      <c r="I10952" s="3030"/>
    </row>
    <row r="10953" spans="2:9">
      <c r="B10953" s="3192" t="s">
        <v>679</v>
      </c>
      <c r="C10953" s="3063"/>
      <c r="D10953" s="3064"/>
      <c r="E10953" s="3064"/>
      <c r="F10953" s="3064"/>
      <c r="G10953" s="3301" t="s">
        <v>679</v>
      </c>
      <c r="H10953" s="3063"/>
      <c r="I10953" s="3030"/>
    </row>
    <row r="10954" spans="2:9" ht="25.5">
      <c r="B10954" s="3230" t="s">
        <v>81</v>
      </c>
      <c r="C10954" s="3063"/>
      <c r="D10954" s="3064"/>
      <c r="E10954" s="3064"/>
      <c r="F10954" s="3064"/>
      <c r="G10954" s="3302" t="s">
        <v>81</v>
      </c>
      <c r="H10954" s="3063"/>
      <c r="I10954" s="3030"/>
    </row>
    <row r="10955" spans="2:9" ht="26.25" thickBot="1">
      <c r="B10955" s="3303" t="s">
        <v>81</v>
      </c>
      <c r="C10955" s="3068"/>
      <c r="D10955" s="3069"/>
      <c r="E10955" s="3069"/>
      <c r="F10955" s="3069"/>
      <c r="G10955" s="3304" t="s">
        <v>81</v>
      </c>
      <c r="H10955" s="3068"/>
      <c r="I10955" s="3070"/>
    </row>
    <row r="10956" spans="2:9" ht="38.25">
      <c r="B10956" s="4723">
        <v>3226</v>
      </c>
      <c r="C10956" s="3289"/>
      <c r="D10956" s="3290"/>
      <c r="E10956" s="3290"/>
      <c r="F10956" s="3290"/>
      <c r="G10956" s="4723">
        <v>3226</v>
      </c>
      <c r="H10956" s="3291" t="s">
        <v>687</v>
      </c>
      <c r="I10956" s="3292" t="s">
        <v>688</v>
      </c>
    </row>
    <row r="10957" spans="2:9">
      <c r="B10957" s="4724"/>
      <c r="C10957" s="4678" t="s">
        <v>686</v>
      </c>
      <c r="D10957" s="4725"/>
      <c r="E10957" s="4725"/>
      <c r="F10957" s="4726"/>
      <c r="G10957" s="4724"/>
      <c r="H10957" s="3293"/>
      <c r="I10957" s="3294"/>
    </row>
    <row r="10958" spans="2:9" ht="13.5" thickBot="1">
      <c r="B10958" s="4724"/>
      <c r="C10958" s="3215">
        <v>2013</v>
      </c>
      <c r="D10958" s="3215">
        <v>2014</v>
      </c>
      <c r="E10958" s="3215">
        <v>2015</v>
      </c>
      <c r="F10958" s="3215">
        <v>2016</v>
      </c>
      <c r="G10958" s="4724"/>
      <c r="H10958" s="3295" t="s">
        <v>390</v>
      </c>
      <c r="I10958" s="3296" t="s">
        <v>390</v>
      </c>
    </row>
    <row r="10959" spans="2:9">
      <c r="B10959" s="3217" t="s">
        <v>695</v>
      </c>
      <c r="C10959" s="3218"/>
      <c r="D10959" s="3219"/>
      <c r="E10959" s="3219"/>
      <c r="F10959" s="3219"/>
      <c r="G10959" s="3217" t="s">
        <v>695</v>
      </c>
      <c r="H10959" s="3297"/>
      <c r="I10959" s="3298"/>
    </row>
    <row r="10960" spans="2:9">
      <c r="B10960" s="3299" t="s">
        <v>64</v>
      </c>
      <c r="C10960" s="3063"/>
      <c r="D10960" s="3064"/>
      <c r="E10960" s="3064"/>
      <c r="F10960" s="3064"/>
      <c r="G10960" s="3300" t="s">
        <v>64</v>
      </c>
      <c r="H10960" s="3063"/>
      <c r="I10960" s="3030"/>
    </row>
    <row r="10961" spans="2:9" ht="25.5">
      <c r="B10961" s="3192" t="s">
        <v>675</v>
      </c>
      <c r="C10961" s="3063"/>
      <c r="D10961" s="3064"/>
      <c r="E10961" s="3064"/>
      <c r="F10961" s="3064"/>
      <c r="G10961" s="3301" t="s">
        <v>675</v>
      </c>
      <c r="H10961" s="3063"/>
      <c r="I10961" s="3030"/>
    </row>
    <row r="10962" spans="2:9" ht="25.5">
      <c r="B10962" s="3192" t="s">
        <v>676</v>
      </c>
      <c r="C10962" s="3063"/>
      <c r="D10962" s="3064"/>
      <c r="E10962" s="3064"/>
      <c r="F10962" s="3064"/>
      <c r="G10962" s="3301" t="s">
        <v>676</v>
      </c>
      <c r="H10962" s="3063"/>
      <c r="I10962" s="3030"/>
    </row>
    <row r="10963" spans="2:9">
      <c r="B10963" s="3192" t="s">
        <v>677</v>
      </c>
      <c r="C10963" s="3063"/>
      <c r="D10963" s="3064"/>
      <c r="E10963" s="3064"/>
      <c r="F10963" s="3064"/>
      <c r="G10963" s="3301" t="s">
        <v>677</v>
      </c>
      <c r="H10963" s="3063"/>
      <c r="I10963" s="3030"/>
    </row>
    <row r="10964" spans="2:9">
      <c r="B10964" s="3192" t="s">
        <v>678</v>
      </c>
      <c r="C10964" s="3063"/>
      <c r="D10964" s="3064"/>
      <c r="E10964" s="3064"/>
      <c r="F10964" s="3064"/>
      <c r="G10964" s="3301" t="s">
        <v>678</v>
      </c>
      <c r="H10964" s="3063"/>
      <c r="I10964" s="3030"/>
    </row>
    <row r="10965" spans="2:9">
      <c r="B10965" s="3192" t="s">
        <v>679</v>
      </c>
      <c r="C10965" s="3063"/>
      <c r="D10965" s="3064"/>
      <c r="E10965" s="3064"/>
      <c r="F10965" s="3064"/>
      <c r="G10965" s="3301" t="s">
        <v>679</v>
      </c>
      <c r="H10965" s="3063"/>
      <c r="I10965" s="3030"/>
    </row>
    <row r="10966" spans="2:9" ht="25.5">
      <c r="B10966" s="3192" t="s">
        <v>720</v>
      </c>
      <c r="C10966" s="3063"/>
      <c r="D10966" s="3064"/>
      <c r="E10966" s="3064"/>
      <c r="F10966" s="3064"/>
      <c r="G10966" s="3301" t="s">
        <v>720</v>
      </c>
      <c r="H10966" s="3063"/>
      <c r="I10966" s="3030"/>
    </row>
    <row r="10967" spans="2:9">
      <c r="B10967" s="3299" t="s">
        <v>65</v>
      </c>
      <c r="C10967" s="3063"/>
      <c r="D10967" s="3064"/>
      <c r="E10967" s="3064"/>
      <c r="F10967" s="3064"/>
      <c r="G10967" s="3300" t="s">
        <v>65</v>
      </c>
      <c r="H10967" s="3063"/>
      <c r="I10967" s="3030"/>
    </row>
    <row r="10968" spans="2:9" ht="25.5">
      <c r="B10968" s="3192" t="s">
        <v>675</v>
      </c>
      <c r="C10968" s="3063"/>
      <c r="D10968" s="3064"/>
      <c r="E10968" s="3064"/>
      <c r="F10968" s="3064"/>
      <c r="G10968" s="3301" t="s">
        <v>675</v>
      </c>
      <c r="H10968" s="3063"/>
      <c r="I10968" s="3030"/>
    </row>
    <row r="10969" spans="2:9" ht="25.5">
      <c r="B10969" s="3192" t="s">
        <v>676</v>
      </c>
      <c r="C10969" s="3063"/>
      <c r="D10969" s="3064"/>
      <c r="E10969" s="3064"/>
      <c r="F10969" s="3064"/>
      <c r="G10969" s="3301" t="s">
        <v>676</v>
      </c>
      <c r="H10969" s="3063"/>
      <c r="I10969" s="3030"/>
    </row>
    <row r="10970" spans="2:9">
      <c r="B10970" s="3192" t="s">
        <v>677</v>
      </c>
      <c r="C10970" s="3063"/>
      <c r="D10970" s="3064"/>
      <c r="E10970" s="3064"/>
      <c r="F10970" s="3064"/>
      <c r="G10970" s="3301" t="s">
        <v>677</v>
      </c>
      <c r="H10970" s="3063"/>
      <c r="I10970" s="3030"/>
    </row>
    <row r="10971" spans="2:9">
      <c r="B10971" s="3192" t="s">
        <v>678</v>
      </c>
      <c r="C10971" s="3063"/>
      <c r="D10971" s="3064"/>
      <c r="E10971" s="3064"/>
      <c r="F10971" s="3064"/>
      <c r="G10971" s="3301" t="s">
        <v>678</v>
      </c>
      <c r="H10971" s="3063"/>
      <c r="I10971" s="3030"/>
    </row>
    <row r="10972" spans="2:9">
      <c r="B10972" s="3192" t="s">
        <v>679</v>
      </c>
      <c r="C10972" s="3063"/>
      <c r="D10972" s="3064"/>
      <c r="E10972" s="3064"/>
      <c r="F10972" s="3064"/>
      <c r="G10972" s="3301" t="s">
        <v>679</v>
      </c>
      <c r="H10972" s="3063"/>
      <c r="I10972" s="3030"/>
    </row>
    <row r="10973" spans="2:9" ht="25.5">
      <c r="B10973" s="3192" t="s">
        <v>720</v>
      </c>
      <c r="C10973" s="3063"/>
      <c r="D10973" s="3064"/>
      <c r="E10973" s="3064"/>
      <c r="F10973" s="3064"/>
      <c r="G10973" s="3301" t="s">
        <v>720</v>
      </c>
      <c r="H10973" s="3063"/>
      <c r="I10973" s="3030"/>
    </row>
    <row r="10974" spans="2:9">
      <c r="B10974" s="3299" t="s">
        <v>82</v>
      </c>
      <c r="C10974" s="3063"/>
      <c r="D10974" s="3064"/>
      <c r="E10974" s="3064"/>
      <c r="F10974" s="3064"/>
      <c r="G10974" s="3300" t="s">
        <v>82</v>
      </c>
      <c r="H10974" s="3063"/>
      <c r="I10974" s="3030"/>
    </row>
    <row r="10975" spans="2:9" ht="25.5">
      <c r="B10975" s="3192" t="s">
        <v>675</v>
      </c>
      <c r="C10975" s="3063"/>
      <c r="D10975" s="3064"/>
      <c r="E10975" s="3064"/>
      <c r="F10975" s="3064"/>
      <c r="G10975" s="3301" t="s">
        <v>675</v>
      </c>
      <c r="H10975" s="3063"/>
      <c r="I10975" s="3030"/>
    </row>
    <row r="10976" spans="2:9" ht="25.5">
      <c r="B10976" s="3192" t="s">
        <v>676</v>
      </c>
      <c r="C10976" s="3063"/>
      <c r="D10976" s="3064"/>
      <c r="E10976" s="3064"/>
      <c r="F10976" s="3064"/>
      <c r="G10976" s="3301" t="s">
        <v>676</v>
      </c>
      <c r="H10976" s="3063"/>
      <c r="I10976" s="3030"/>
    </row>
    <row r="10977" spans="2:9">
      <c r="B10977" s="3192" t="s">
        <v>677</v>
      </c>
      <c r="C10977" s="3063"/>
      <c r="D10977" s="3064"/>
      <c r="E10977" s="3064"/>
      <c r="F10977" s="3064"/>
      <c r="G10977" s="3301" t="s">
        <v>677</v>
      </c>
      <c r="H10977" s="3063"/>
      <c r="I10977" s="3030"/>
    </row>
    <row r="10978" spans="2:9">
      <c r="B10978" s="3192" t="s">
        <v>678</v>
      </c>
      <c r="C10978" s="3063"/>
      <c r="D10978" s="3064"/>
      <c r="E10978" s="3064"/>
      <c r="F10978" s="3064"/>
      <c r="G10978" s="3301" t="s">
        <v>678</v>
      </c>
      <c r="H10978" s="3063"/>
      <c r="I10978" s="3030"/>
    </row>
    <row r="10979" spans="2:9">
      <c r="B10979" s="3192" t="s">
        <v>679</v>
      </c>
      <c r="C10979" s="3063"/>
      <c r="D10979" s="3064"/>
      <c r="E10979" s="3064"/>
      <c r="F10979" s="3064"/>
      <c r="G10979" s="3301" t="s">
        <v>679</v>
      </c>
      <c r="H10979" s="3063"/>
      <c r="I10979" s="3030"/>
    </row>
    <row r="10980" spans="2:9" ht="25.5">
      <c r="B10980" s="3192" t="s">
        <v>720</v>
      </c>
      <c r="C10980" s="3063"/>
      <c r="D10980" s="3064"/>
      <c r="E10980" s="3064"/>
      <c r="F10980" s="3064"/>
      <c r="G10980" s="3301" t="s">
        <v>720</v>
      </c>
      <c r="H10980" s="3063"/>
      <c r="I10980" s="3030"/>
    </row>
    <row r="10981" spans="2:9" ht="38.25">
      <c r="B10981" s="3299" t="s">
        <v>680</v>
      </c>
      <c r="C10981" s="3063"/>
      <c r="D10981" s="3064"/>
      <c r="E10981" s="3064"/>
      <c r="F10981" s="3064"/>
      <c r="G10981" s="3300" t="s">
        <v>680</v>
      </c>
      <c r="H10981" s="3063"/>
      <c r="I10981" s="3030"/>
    </row>
    <row r="10982" spans="2:9" ht="25.5">
      <c r="B10982" s="3192" t="s">
        <v>675</v>
      </c>
      <c r="C10982" s="3063"/>
      <c r="D10982" s="3064"/>
      <c r="E10982" s="3064"/>
      <c r="F10982" s="3064"/>
      <c r="G10982" s="3301" t="s">
        <v>675</v>
      </c>
      <c r="H10982" s="3063"/>
      <c r="I10982" s="3030"/>
    </row>
    <row r="10983" spans="2:9" ht="25.5">
      <c r="B10983" s="3192" t="s">
        <v>676</v>
      </c>
      <c r="C10983" s="3063"/>
      <c r="D10983" s="3064"/>
      <c r="E10983" s="3064"/>
      <c r="F10983" s="3064"/>
      <c r="G10983" s="3301" t="s">
        <v>676</v>
      </c>
      <c r="H10983" s="3063"/>
      <c r="I10983" s="3030"/>
    </row>
    <row r="10984" spans="2:9">
      <c r="B10984" s="3192" t="s">
        <v>677</v>
      </c>
      <c r="C10984" s="3063"/>
      <c r="D10984" s="3064"/>
      <c r="E10984" s="3064"/>
      <c r="F10984" s="3064"/>
      <c r="G10984" s="3301" t="s">
        <v>677</v>
      </c>
      <c r="H10984" s="3063"/>
      <c r="I10984" s="3030"/>
    </row>
    <row r="10985" spans="2:9">
      <c r="B10985" s="3192" t="s">
        <v>678</v>
      </c>
      <c r="C10985" s="3063"/>
      <c r="D10985" s="3064"/>
      <c r="E10985" s="3064"/>
      <c r="F10985" s="3064"/>
      <c r="G10985" s="3301" t="s">
        <v>678</v>
      </c>
      <c r="H10985" s="3063"/>
      <c r="I10985" s="3030"/>
    </row>
    <row r="10986" spans="2:9">
      <c r="B10986" s="3192" t="s">
        <v>679</v>
      </c>
      <c r="C10986" s="3063"/>
      <c r="D10986" s="3064"/>
      <c r="E10986" s="3064"/>
      <c r="F10986" s="3064"/>
      <c r="G10986" s="3301" t="s">
        <v>679</v>
      </c>
      <c r="H10986" s="3063"/>
      <c r="I10986" s="3030"/>
    </row>
    <row r="10987" spans="2:9" ht="25.5">
      <c r="B10987" s="3192" t="s">
        <v>720</v>
      </c>
      <c r="C10987" s="3063"/>
      <c r="D10987" s="3064"/>
      <c r="E10987" s="3064"/>
      <c r="F10987" s="3064"/>
      <c r="G10987" s="3301" t="s">
        <v>720</v>
      </c>
      <c r="H10987" s="3063"/>
      <c r="I10987" s="3030"/>
    </row>
    <row r="10988" spans="2:9" ht="38.25">
      <c r="B10988" s="3299" t="s">
        <v>681</v>
      </c>
      <c r="C10988" s="3063"/>
      <c r="D10988" s="3064"/>
      <c r="E10988" s="3064"/>
      <c r="F10988" s="3064"/>
      <c r="G10988" s="3300" t="s">
        <v>681</v>
      </c>
      <c r="H10988" s="3063"/>
      <c r="I10988" s="3030"/>
    </row>
    <row r="10989" spans="2:9" ht="25.5">
      <c r="B10989" s="3192" t="s">
        <v>675</v>
      </c>
      <c r="C10989" s="3063"/>
      <c r="D10989" s="3064"/>
      <c r="E10989" s="3064"/>
      <c r="F10989" s="3064"/>
      <c r="G10989" s="3301" t="s">
        <v>675</v>
      </c>
      <c r="H10989" s="3063"/>
      <c r="I10989" s="3030"/>
    </row>
    <row r="10990" spans="2:9" ht="25.5">
      <c r="B10990" s="3192" t="s">
        <v>676</v>
      </c>
      <c r="C10990" s="3063"/>
      <c r="D10990" s="3064"/>
      <c r="E10990" s="3064"/>
      <c r="F10990" s="3064"/>
      <c r="G10990" s="3301" t="s">
        <v>676</v>
      </c>
      <c r="H10990" s="3063"/>
      <c r="I10990" s="3030"/>
    </row>
    <row r="10991" spans="2:9">
      <c r="B10991" s="3192" t="s">
        <v>677</v>
      </c>
      <c r="C10991" s="3063"/>
      <c r="D10991" s="3064"/>
      <c r="E10991" s="3064"/>
      <c r="F10991" s="3064"/>
      <c r="G10991" s="3301" t="s">
        <v>677</v>
      </c>
      <c r="H10991" s="3063"/>
      <c r="I10991" s="3030"/>
    </row>
    <row r="10992" spans="2:9">
      <c r="B10992" s="3192" t="s">
        <v>678</v>
      </c>
      <c r="C10992" s="3063"/>
      <c r="D10992" s="3064"/>
      <c r="E10992" s="3064"/>
      <c r="F10992" s="3064"/>
      <c r="G10992" s="3301" t="s">
        <v>678</v>
      </c>
      <c r="H10992" s="3063"/>
      <c r="I10992" s="3030"/>
    </row>
    <row r="10993" spans="2:9">
      <c r="B10993" s="3192" t="s">
        <v>679</v>
      </c>
      <c r="C10993" s="3063"/>
      <c r="D10993" s="3064"/>
      <c r="E10993" s="3064"/>
      <c r="F10993" s="3064"/>
      <c r="G10993" s="3301" t="s">
        <v>679</v>
      </c>
      <c r="H10993" s="3063"/>
      <c r="I10993" s="3030"/>
    </row>
    <row r="10994" spans="2:9" ht="25.5">
      <c r="B10994" s="3192" t="s">
        <v>720</v>
      </c>
      <c r="C10994" s="3063"/>
      <c r="D10994" s="3064"/>
      <c r="E10994" s="3064"/>
      <c r="F10994" s="3064"/>
      <c r="G10994" s="3301" t="s">
        <v>720</v>
      </c>
      <c r="H10994" s="3063"/>
      <c r="I10994" s="3030"/>
    </row>
    <row r="10995" spans="2:9" ht="25.5">
      <c r="B10995" s="3299" t="s">
        <v>682</v>
      </c>
      <c r="C10995" s="3063"/>
      <c r="D10995" s="3064"/>
      <c r="E10995" s="3064"/>
      <c r="F10995" s="3064"/>
      <c r="G10995" s="3300" t="s">
        <v>682</v>
      </c>
      <c r="H10995" s="3063"/>
      <c r="I10995" s="3030"/>
    </row>
    <row r="10996" spans="2:9" ht="25.5">
      <c r="B10996" s="3192" t="s">
        <v>675</v>
      </c>
      <c r="C10996" s="3063"/>
      <c r="D10996" s="3064"/>
      <c r="E10996" s="3064"/>
      <c r="F10996" s="3064"/>
      <c r="G10996" s="3301" t="s">
        <v>675</v>
      </c>
      <c r="H10996" s="3063"/>
      <c r="I10996" s="3030"/>
    </row>
    <row r="10997" spans="2:9" ht="25.5">
      <c r="B10997" s="3192" t="s">
        <v>676</v>
      </c>
      <c r="C10997" s="3063"/>
      <c r="D10997" s="3064"/>
      <c r="E10997" s="3064"/>
      <c r="F10997" s="3064"/>
      <c r="G10997" s="3301" t="s">
        <v>676</v>
      </c>
      <c r="H10997" s="3063"/>
      <c r="I10997" s="3030"/>
    </row>
    <row r="10998" spans="2:9">
      <c r="B10998" s="3192" t="s">
        <v>677</v>
      </c>
      <c r="C10998" s="3063"/>
      <c r="D10998" s="3064"/>
      <c r="E10998" s="3064"/>
      <c r="F10998" s="3064"/>
      <c r="G10998" s="3301" t="s">
        <v>677</v>
      </c>
      <c r="H10998" s="3063"/>
      <c r="I10998" s="3030"/>
    </row>
    <row r="10999" spans="2:9">
      <c r="B10999" s="3192" t="s">
        <v>678</v>
      </c>
      <c r="C10999" s="3063"/>
      <c r="D10999" s="3064"/>
      <c r="E10999" s="3064"/>
      <c r="F10999" s="3064"/>
      <c r="G10999" s="3301" t="s">
        <v>678</v>
      </c>
      <c r="H10999" s="3063"/>
      <c r="I10999" s="3030"/>
    </row>
    <row r="11000" spans="2:9">
      <c r="B11000" s="3192" t="s">
        <v>679</v>
      </c>
      <c r="C11000" s="3063"/>
      <c r="D11000" s="3064"/>
      <c r="E11000" s="3064"/>
      <c r="F11000" s="3064"/>
      <c r="G11000" s="3301" t="s">
        <v>679</v>
      </c>
      <c r="H11000" s="3063"/>
      <c r="I11000" s="3030"/>
    </row>
    <row r="11001" spans="2:9" ht="25.5">
      <c r="B11001" s="3192" t="s">
        <v>720</v>
      </c>
      <c r="C11001" s="3063"/>
      <c r="D11001" s="3064"/>
      <c r="E11001" s="3064"/>
      <c r="F11001" s="3064"/>
      <c r="G11001" s="3301" t="s">
        <v>720</v>
      </c>
      <c r="H11001" s="3063"/>
      <c r="I11001" s="3030"/>
    </row>
    <row r="11002" spans="2:9" ht="25.5">
      <c r="B11002" s="3299" t="s">
        <v>66</v>
      </c>
      <c r="C11002" s="3063"/>
      <c r="D11002" s="3064"/>
      <c r="E11002" s="3064"/>
      <c r="F11002" s="3064"/>
      <c r="G11002" s="3300" t="s">
        <v>66</v>
      </c>
      <c r="H11002" s="3063"/>
      <c r="I11002" s="3030"/>
    </row>
    <row r="11003" spans="2:9" ht="25.5">
      <c r="B11003" s="3192" t="s">
        <v>675</v>
      </c>
      <c r="C11003" s="3063"/>
      <c r="D11003" s="3064"/>
      <c r="E11003" s="3064"/>
      <c r="F11003" s="3064"/>
      <c r="G11003" s="3301" t="s">
        <v>675</v>
      </c>
      <c r="H11003" s="3063"/>
      <c r="I11003" s="3030"/>
    </row>
    <row r="11004" spans="2:9" ht="25.5">
      <c r="B11004" s="3192" t="s">
        <v>676</v>
      </c>
      <c r="C11004" s="3063"/>
      <c r="D11004" s="3064"/>
      <c r="E11004" s="3064"/>
      <c r="F11004" s="3064"/>
      <c r="G11004" s="3301" t="s">
        <v>676</v>
      </c>
      <c r="H11004" s="3063"/>
      <c r="I11004" s="3030"/>
    </row>
    <row r="11005" spans="2:9">
      <c r="B11005" s="3192" t="s">
        <v>677</v>
      </c>
      <c r="C11005" s="3063"/>
      <c r="D11005" s="3064"/>
      <c r="E11005" s="3064"/>
      <c r="F11005" s="3064"/>
      <c r="G11005" s="3301" t="s">
        <v>677</v>
      </c>
      <c r="H11005" s="3063"/>
      <c r="I11005" s="3030"/>
    </row>
    <row r="11006" spans="2:9">
      <c r="B11006" s="3192" t="s">
        <v>678</v>
      </c>
      <c r="C11006" s="3063"/>
      <c r="D11006" s="3064"/>
      <c r="E11006" s="3064"/>
      <c r="F11006" s="3064"/>
      <c r="G11006" s="3301" t="s">
        <v>678</v>
      </c>
      <c r="H11006" s="3063"/>
      <c r="I11006" s="3030"/>
    </row>
    <row r="11007" spans="2:9">
      <c r="B11007" s="3192" t="s">
        <v>679</v>
      </c>
      <c r="C11007" s="3063"/>
      <c r="D11007" s="3064"/>
      <c r="E11007" s="3064"/>
      <c r="F11007" s="3064"/>
      <c r="G11007" s="3301" t="s">
        <v>679</v>
      </c>
      <c r="H11007" s="3063"/>
      <c r="I11007" s="3030"/>
    </row>
    <row r="11008" spans="2:9" ht="25.5">
      <c r="B11008" s="3192" t="s">
        <v>720</v>
      </c>
      <c r="C11008" s="3063"/>
      <c r="D11008" s="3064"/>
      <c r="E11008" s="3064"/>
      <c r="F11008" s="3064"/>
      <c r="G11008" s="3301" t="s">
        <v>720</v>
      </c>
      <c r="H11008" s="3063"/>
      <c r="I11008" s="3030"/>
    </row>
    <row r="11009" spans="2:9">
      <c r="B11009" s="3299" t="s">
        <v>67</v>
      </c>
      <c r="C11009" s="3063"/>
      <c r="D11009" s="3064"/>
      <c r="E11009" s="3064"/>
      <c r="F11009" s="3064"/>
      <c r="G11009" s="3300" t="s">
        <v>67</v>
      </c>
      <c r="H11009" s="3063"/>
      <c r="I11009" s="3030"/>
    </row>
    <row r="11010" spans="2:9" ht="25.5">
      <c r="B11010" s="3192" t="s">
        <v>675</v>
      </c>
      <c r="C11010" s="3063"/>
      <c r="D11010" s="3064"/>
      <c r="E11010" s="3064"/>
      <c r="F11010" s="3064"/>
      <c r="G11010" s="3301" t="s">
        <v>675</v>
      </c>
      <c r="H11010" s="3063"/>
      <c r="I11010" s="3030"/>
    </row>
    <row r="11011" spans="2:9" ht="25.5">
      <c r="B11011" s="3192" t="s">
        <v>676</v>
      </c>
      <c r="C11011" s="3063"/>
      <c r="D11011" s="3064"/>
      <c r="E11011" s="3064"/>
      <c r="F11011" s="3064"/>
      <c r="G11011" s="3301" t="s">
        <v>676</v>
      </c>
      <c r="H11011" s="3063"/>
      <c r="I11011" s="3030"/>
    </row>
    <row r="11012" spans="2:9">
      <c r="B11012" s="3192" t="s">
        <v>677</v>
      </c>
      <c r="C11012" s="3063"/>
      <c r="D11012" s="3064"/>
      <c r="E11012" s="3064"/>
      <c r="F11012" s="3064"/>
      <c r="G11012" s="3301" t="s">
        <v>677</v>
      </c>
      <c r="H11012" s="3063"/>
      <c r="I11012" s="3030"/>
    </row>
    <row r="11013" spans="2:9">
      <c r="B11013" s="3192" t="s">
        <v>678</v>
      </c>
      <c r="C11013" s="3063"/>
      <c r="D11013" s="3064"/>
      <c r="E11013" s="3064"/>
      <c r="F11013" s="3064"/>
      <c r="G11013" s="3301" t="s">
        <v>678</v>
      </c>
      <c r="H11013" s="3063"/>
      <c r="I11013" s="3030"/>
    </row>
    <row r="11014" spans="2:9">
      <c r="B11014" s="3192" t="s">
        <v>679</v>
      </c>
      <c r="C11014" s="3063"/>
      <c r="D11014" s="3064"/>
      <c r="E11014" s="3064"/>
      <c r="F11014" s="3064"/>
      <c r="G11014" s="3301" t="s">
        <v>679</v>
      </c>
      <c r="H11014" s="3063"/>
      <c r="I11014" s="3030"/>
    </row>
    <row r="11015" spans="2:9" ht="25.5">
      <c r="B11015" s="3192" t="s">
        <v>720</v>
      </c>
      <c r="C11015" s="3063"/>
      <c r="D11015" s="3064"/>
      <c r="E11015" s="3064"/>
      <c r="F11015" s="3064"/>
      <c r="G11015" s="3301" t="s">
        <v>720</v>
      </c>
      <c r="H11015" s="3063"/>
      <c r="I11015" s="3030"/>
    </row>
    <row r="11016" spans="2:9" ht="25.5">
      <c r="B11016" s="3230" t="s">
        <v>81</v>
      </c>
      <c r="C11016" s="3063"/>
      <c r="D11016" s="3064"/>
      <c r="E11016" s="3064"/>
      <c r="F11016" s="3064"/>
      <c r="G11016" s="3302" t="s">
        <v>81</v>
      </c>
      <c r="H11016" s="3063"/>
      <c r="I11016" s="3030"/>
    </row>
    <row r="11017" spans="2:9" ht="26.25" thickBot="1">
      <c r="B11017" s="3303" t="s">
        <v>81</v>
      </c>
      <c r="C11017" s="3063"/>
      <c r="D11017" s="3064"/>
      <c r="E11017" s="3064"/>
      <c r="F11017" s="3064"/>
      <c r="G11017" s="3302" t="s">
        <v>81</v>
      </c>
      <c r="H11017" s="3063"/>
      <c r="I11017" s="3030"/>
    </row>
    <row r="11018" spans="2:9" ht="25.5">
      <c r="B11018" s="3217" t="s">
        <v>696</v>
      </c>
      <c r="C11018" s="3218"/>
      <c r="D11018" s="3219"/>
      <c r="E11018" s="3219"/>
      <c r="F11018" s="3219"/>
      <c r="G11018" s="3217" t="s">
        <v>696</v>
      </c>
      <c r="H11018" s="3297"/>
      <c r="I11018" s="3298"/>
    </row>
    <row r="11019" spans="2:9">
      <c r="B11019" s="3299" t="s">
        <v>64</v>
      </c>
      <c r="C11019" s="3063"/>
      <c r="D11019" s="3064"/>
      <c r="E11019" s="3064"/>
      <c r="F11019" s="3064"/>
      <c r="G11019" s="3300" t="s">
        <v>64</v>
      </c>
      <c r="H11019" s="3063"/>
      <c r="I11019" s="3030"/>
    </row>
    <row r="11020" spans="2:9" ht="25.5">
      <c r="B11020" s="3192" t="s">
        <v>675</v>
      </c>
      <c r="C11020" s="3063"/>
      <c r="D11020" s="3064"/>
      <c r="E11020" s="3064"/>
      <c r="F11020" s="3064"/>
      <c r="G11020" s="3301" t="s">
        <v>675</v>
      </c>
      <c r="H11020" s="3063"/>
      <c r="I11020" s="3030"/>
    </row>
    <row r="11021" spans="2:9" ht="25.5">
      <c r="B11021" s="3192" t="s">
        <v>676</v>
      </c>
      <c r="C11021" s="3063"/>
      <c r="D11021" s="3064"/>
      <c r="E11021" s="3064"/>
      <c r="F11021" s="3064"/>
      <c r="G11021" s="3301" t="s">
        <v>676</v>
      </c>
      <c r="H11021" s="3063"/>
      <c r="I11021" s="3030"/>
    </row>
    <row r="11022" spans="2:9">
      <c r="B11022" s="3192" t="s">
        <v>677</v>
      </c>
      <c r="C11022" s="3063"/>
      <c r="D11022" s="3064"/>
      <c r="E11022" s="3064"/>
      <c r="F11022" s="3064"/>
      <c r="G11022" s="3301" t="s">
        <v>677</v>
      </c>
      <c r="H11022" s="3063"/>
      <c r="I11022" s="3030"/>
    </row>
    <row r="11023" spans="2:9">
      <c r="B11023" s="3192" t="s">
        <v>678</v>
      </c>
      <c r="C11023" s="3063"/>
      <c r="D11023" s="3064"/>
      <c r="E11023" s="3064"/>
      <c r="F11023" s="3064"/>
      <c r="G11023" s="3301" t="s">
        <v>678</v>
      </c>
      <c r="H11023" s="3063"/>
      <c r="I11023" s="3030"/>
    </row>
    <row r="11024" spans="2:9">
      <c r="B11024" s="3192" t="s">
        <v>679</v>
      </c>
      <c r="C11024" s="3063"/>
      <c r="D11024" s="3064"/>
      <c r="E11024" s="3064"/>
      <c r="F11024" s="3064"/>
      <c r="G11024" s="3301" t="s">
        <v>679</v>
      </c>
      <c r="H11024" s="3063"/>
      <c r="I11024" s="3030"/>
    </row>
    <row r="11025" spans="2:9" ht="25.5">
      <c r="B11025" s="3192" t="s">
        <v>720</v>
      </c>
      <c r="C11025" s="3063"/>
      <c r="D11025" s="3064"/>
      <c r="E11025" s="3064"/>
      <c r="F11025" s="3064"/>
      <c r="G11025" s="3301" t="s">
        <v>720</v>
      </c>
      <c r="H11025" s="3063"/>
      <c r="I11025" s="3030"/>
    </row>
    <row r="11026" spans="2:9">
      <c r="B11026" s="3299" t="s">
        <v>65</v>
      </c>
      <c r="C11026" s="3063"/>
      <c r="D11026" s="3064"/>
      <c r="E11026" s="3064"/>
      <c r="F11026" s="3064"/>
      <c r="G11026" s="3300" t="s">
        <v>65</v>
      </c>
      <c r="H11026" s="3063"/>
      <c r="I11026" s="3030"/>
    </row>
    <row r="11027" spans="2:9" ht="25.5">
      <c r="B11027" s="3192" t="s">
        <v>675</v>
      </c>
      <c r="C11027" s="3063"/>
      <c r="D11027" s="3064"/>
      <c r="E11027" s="3064"/>
      <c r="F11027" s="3064"/>
      <c r="G11027" s="3301" t="s">
        <v>675</v>
      </c>
      <c r="H11027" s="3063"/>
      <c r="I11027" s="3030"/>
    </row>
    <row r="11028" spans="2:9" ht="25.5">
      <c r="B11028" s="3192" t="s">
        <v>676</v>
      </c>
      <c r="C11028" s="3063"/>
      <c r="D11028" s="3064"/>
      <c r="E11028" s="3064"/>
      <c r="F11028" s="3064"/>
      <c r="G11028" s="3301" t="s">
        <v>676</v>
      </c>
      <c r="H11028" s="3063"/>
      <c r="I11028" s="3030"/>
    </row>
    <row r="11029" spans="2:9">
      <c r="B11029" s="3192" t="s">
        <v>677</v>
      </c>
      <c r="C11029" s="3063"/>
      <c r="D11029" s="3064"/>
      <c r="E11029" s="3064"/>
      <c r="F11029" s="3064"/>
      <c r="G11029" s="3301" t="s">
        <v>677</v>
      </c>
      <c r="H11029" s="3063"/>
      <c r="I11029" s="3030"/>
    </row>
    <row r="11030" spans="2:9">
      <c r="B11030" s="3192" t="s">
        <v>678</v>
      </c>
      <c r="C11030" s="3063"/>
      <c r="D11030" s="3064"/>
      <c r="E11030" s="3064"/>
      <c r="F11030" s="3064"/>
      <c r="G11030" s="3301" t="s">
        <v>678</v>
      </c>
      <c r="H11030" s="3063"/>
      <c r="I11030" s="3030"/>
    </row>
    <row r="11031" spans="2:9">
      <c r="B11031" s="3192" t="s">
        <v>679</v>
      </c>
      <c r="C11031" s="3063"/>
      <c r="D11031" s="3064"/>
      <c r="E11031" s="3064"/>
      <c r="F11031" s="3064"/>
      <c r="G11031" s="3301" t="s">
        <v>679</v>
      </c>
      <c r="H11031" s="3063"/>
      <c r="I11031" s="3030"/>
    </row>
    <row r="11032" spans="2:9" ht="25.5">
      <c r="B11032" s="3192" t="s">
        <v>720</v>
      </c>
      <c r="C11032" s="3063"/>
      <c r="D11032" s="3064"/>
      <c r="E11032" s="3064"/>
      <c r="F11032" s="3064"/>
      <c r="G11032" s="3301" t="s">
        <v>720</v>
      </c>
      <c r="H11032" s="3063"/>
      <c r="I11032" s="3030"/>
    </row>
    <row r="11033" spans="2:9">
      <c r="B11033" s="3299" t="s">
        <v>82</v>
      </c>
      <c r="C11033" s="3063"/>
      <c r="D11033" s="3064"/>
      <c r="E11033" s="3064"/>
      <c r="F11033" s="3064"/>
      <c r="G11033" s="3300" t="s">
        <v>82</v>
      </c>
      <c r="H11033" s="3063"/>
      <c r="I11033" s="3030"/>
    </row>
    <row r="11034" spans="2:9" ht="25.5">
      <c r="B11034" s="3192" t="s">
        <v>675</v>
      </c>
      <c r="C11034" s="3063"/>
      <c r="D11034" s="3064"/>
      <c r="E11034" s="3064"/>
      <c r="F11034" s="3064"/>
      <c r="G11034" s="3301" t="s">
        <v>675</v>
      </c>
      <c r="H11034" s="3063"/>
      <c r="I11034" s="3030"/>
    </row>
    <row r="11035" spans="2:9" ht="25.5">
      <c r="B11035" s="3192" t="s">
        <v>676</v>
      </c>
      <c r="C11035" s="3063"/>
      <c r="D11035" s="3064"/>
      <c r="E11035" s="3064"/>
      <c r="F11035" s="3064"/>
      <c r="G11035" s="3301" t="s">
        <v>676</v>
      </c>
      <c r="H11035" s="3063"/>
      <c r="I11035" s="3030"/>
    </row>
    <row r="11036" spans="2:9">
      <c r="B11036" s="3192" t="s">
        <v>677</v>
      </c>
      <c r="C11036" s="3063"/>
      <c r="D11036" s="3064"/>
      <c r="E11036" s="3064"/>
      <c r="F11036" s="3064"/>
      <c r="G11036" s="3301" t="s">
        <v>677</v>
      </c>
      <c r="H11036" s="3063"/>
      <c r="I11036" s="3030"/>
    </row>
    <row r="11037" spans="2:9">
      <c r="B11037" s="3192" t="s">
        <v>678</v>
      </c>
      <c r="C11037" s="3063"/>
      <c r="D11037" s="3064"/>
      <c r="E11037" s="3064"/>
      <c r="F11037" s="3064"/>
      <c r="G11037" s="3301" t="s">
        <v>678</v>
      </c>
      <c r="H11037" s="3063"/>
      <c r="I11037" s="3030"/>
    </row>
    <row r="11038" spans="2:9">
      <c r="B11038" s="3192" t="s">
        <v>679</v>
      </c>
      <c r="C11038" s="3063"/>
      <c r="D11038" s="3064"/>
      <c r="E11038" s="3064"/>
      <c r="F11038" s="3064"/>
      <c r="G11038" s="3301" t="s">
        <v>679</v>
      </c>
      <c r="H11038" s="3063"/>
      <c r="I11038" s="3030"/>
    </row>
    <row r="11039" spans="2:9" ht="25.5">
      <c r="B11039" s="3192" t="s">
        <v>720</v>
      </c>
      <c r="C11039" s="3063"/>
      <c r="D11039" s="3064"/>
      <c r="E11039" s="3064"/>
      <c r="F11039" s="3064"/>
      <c r="G11039" s="3301" t="s">
        <v>720</v>
      </c>
      <c r="H11039" s="3063"/>
      <c r="I11039" s="3030"/>
    </row>
    <row r="11040" spans="2:9" ht="38.25">
      <c r="B11040" s="3299" t="s">
        <v>680</v>
      </c>
      <c r="C11040" s="3063"/>
      <c r="D11040" s="3064"/>
      <c r="E11040" s="3064"/>
      <c r="F11040" s="3064"/>
      <c r="G11040" s="3300" t="s">
        <v>680</v>
      </c>
      <c r="H11040" s="3063"/>
      <c r="I11040" s="3030"/>
    </row>
    <row r="11041" spans="2:9" ht="25.5">
      <c r="B11041" s="3192" t="s">
        <v>675</v>
      </c>
      <c r="C11041" s="3063"/>
      <c r="D11041" s="3064"/>
      <c r="E11041" s="3064"/>
      <c r="F11041" s="3064"/>
      <c r="G11041" s="3301" t="s">
        <v>675</v>
      </c>
      <c r="H11041" s="3063"/>
      <c r="I11041" s="3030"/>
    </row>
    <row r="11042" spans="2:9" ht="25.5">
      <c r="B11042" s="3192" t="s">
        <v>676</v>
      </c>
      <c r="C11042" s="3063"/>
      <c r="D11042" s="3064"/>
      <c r="E11042" s="3064"/>
      <c r="F11042" s="3064"/>
      <c r="G11042" s="3301" t="s">
        <v>676</v>
      </c>
      <c r="H11042" s="3063"/>
      <c r="I11042" s="3030"/>
    </row>
    <row r="11043" spans="2:9">
      <c r="B11043" s="3192" t="s">
        <v>677</v>
      </c>
      <c r="C11043" s="3063"/>
      <c r="D11043" s="3064"/>
      <c r="E11043" s="3064"/>
      <c r="F11043" s="3064"/>
      <c r="G11043" s="3301" t="s">
        <v>677</v>
      </c>
      <c r="H11043" s="3063"/>
      <c r="I11043" s="3030"/>
    </row>
    <row r="11044" spans="2:9">
      <c r="B11044" s="3192" t="s">
        <v>678</v>
      </c>
      <c r="C11044" s="3063"/>
      <c r="D11044" s="3064"/>
      <c r="E11044" s="3064"/>
      <c r="F11044" s="3064"/>
      <c r="G11044" s="3301" t="s">
        <v>678</v>
      </c>
      <c r="H11044" s="3063"/>
      <c r="I11044" s="3030"/>
    </row>
    <row r="11045" spans="2:9">
      <c r="B11045" s="3192" t="s">
        <v>679</v>
      </c>
      <c r="C11045" s="3063"/>
      <c r="D11045" s="3064"/>
      <c r="E11045" s="3064"/>
      <c r="F11045" s="3064"/>
      <c r="G11045" s="3301" t="s">
        <v>679</v>
      </c>
      <c r="H11045" s="3063"/>
      <c r="I11045" s="3030"/>
    </row>
    <row r="11046" spans="2:9" ht="25.5">
      <c r="B11046" s="3192" t="s">
        <v>720</v>
      </c>
      <c r="C11046" s="3063"/>
      <c r="D11046" s="3064"/>
      <c r="E11046" s="3064"/>
      <c r="F11046" s="3064"/>
      <c r="G11046" s="3301" t="s">
        <v>720</v>
      </c>
      <c r="H11046" s="3063"/>
      <c r="I11046" s="3030"/>
    </row>
    <row r="11047" spans="2:9" ht="38.25">
      <c r="B11047" s="3299" t="s">
        <v>681</v>
      </c>
      <c r="C11047" s="3063"/>
      <c r="D11047" s="3064"/>
      <c r="E11047" s="3064"/>
      <c r="F11047" s="3064"/>
      <c r="G11047" s="3300" t="s">
        <v>681</v>
      </c>
      <c r="H11047" s="3063"/>
      <c r="I11047" s="3030"/>
    </row>
    <row r="11048" spans="2:9" ht="25.5">
      <c r="B11048" s="3192" t="s">
        <v>675</v>
      </c>
      <c r="C11048" s="3063"/>
      <c r="D11048" s="3064"/>
      <c r="E11048" s="3064"/>
      <c r="F11048" s="3064"/>
      <c r="G11048" s="3301" t="s">
        <v>675</v>
      </c>
      <c r="H11048" s="3063"/>
      <c r="I11048" s="3030"/>
    </row>
    <row r="11049" spans="2:9" ht="25.5">
      <c r="B11049" s="3192" t="s">
        <v>676</v>
      </c>
      <c r="C11049" s="3063"/>
      <c r="D11049" s="3064"/>
      <c r="E11049" s="3064"/>
      <c r="F11049" s="3064"/>
      <c r="G11049" s="3301" t="s">
        <v>676</v>
      </c>
      <c r="H11049" s="3063"/>
      <c r="I11049" s="3030"/>
    </row>
    <row r="11050" spans="2:9">
      <c r="B11050" s="3192" t="s">
        <v>677</v>
      </c>
      <c r="C11050" s="3063"/>
      <c r="D11050" s="3064"/>
      <c r="E11050" s="3064"/>
      <c r="F11050" s="3064"/>
      <c r="G11050" s="3301" t="s">
        <v>677</v>
      </c>
      <c r="H11050" s="3063"/>
      <c r="I11050" s="3030"/>
    </row>
    <row r="11051" spans="2:9">
      <c r="B11051" s="3192" t="s">
        <v>678</v>
      </c>
      <c r="C11051" s="3063"/>
      <c r="D11051" s="3064"/>
      <c r="E11051" s="3064"/>
      <c r="F11051" s="3064"/>
      <c r="G11051" s="3301" t="s">
        <v>678</v>
      </c>
      <c r="H11051" s="3063"/>
      <c r="I11051" s="3030"/>
    </row>
    <row r="11052" spans="2:9">
      <c r="B11052" s="3192" t="s">
        <v>679</v>
      </c>
      <c r="C11052" s="3063"/>
      <c r="D11052" s="3064"/>
      <c r="E11052" s="3064"/>
      <c r="F11052" s="3064"/>
      <c r="G11052" s="3301" t="s">
        <v>679</v>
      </c>
      <c r="H11052" s="3063"/>
      <c r="I11052" s="3030"/>
    </row>
    <row r="11053" spans="2:9" ht="25.5">
      <c r="B11053" s="3192" t="s">
        <v>720</v>
      </c>
      <c r="C11053" s="3063"/>
      <c r="D11053" s="3064"/>
      <c r="E11053" s="3064"/>
      <c r="F11053" s="3064"/>
      <c r="G11053" s="3301" t="s">
        <v>720</v>
      </c>
      <c r="H11053" s="3063"/>
      <c r="I11053" s="3030"/>
    </row>
    <row r="11054" spans="2:9" ht="25.5">
      <c r="B11054" s="3299" t="s">
        <v>682</v>
      </c>
      <c r="C11054" s="3063"/>
      <c r="D11054" s="3064"/>
      <c r="E11054" s="3064"/>
      <c r="F11054" s="3064"/>
      <c r="G11054" s="3300" t="s">
        <v>682</v>
      </c>
      <c r="H11054" s="3063"/>
      <c r="I11054" s="3030"/>
    </row>
    <row r="11055" spans="2:9" ht="25.5">
      <c r="B11055" s="3192" t="s">
        <v>675</v>
      </c>
      <c r="C11055" s="3063"/>
      <c r="D11055" s="3064"/>
      <c r="E11055" s="3064"/>
      <c r="F11055" s="3064"/>
      <c r="G11055" s="3301" t="s">
        <v>675</v>
      </c>
      <c r="H11055" s="3063"/>
      <c r="I11055" s="3030"/>
    </row>
    <row r="11056" spans="2:9" ht="25.5">
      <c r="B11056" s="3192" t="s">
        <v>676</v>
      </c>
      <c r="C11056" s="3063"/>
      <c r="D11056" s="3064"/>
      <c r="E11056" s="3064"/>
      <c r="F11056" s="3064"/>
      <c r="G11056" s="3301" t="s">
        <v>676</v>
      </c>
      <c r="H11056" s="3063"/>
      <c r="I11056" s="3030"/>
    </row>
    <row r="11057" spans="2:9">
      <c r="B11057" s="3192" t="s">
        <v>677</v>
      </c>
      <c r="C11057" s="3063"/>
      <c r="D11057" s="3064"/>
      <c r="E11057" s="3064"/>
      <c r="F11057" s="3064"/>
      <c r="G11057" s="3301" t="s">
        <v>677</v>
      </c>
      <c r="H11057" s="3063"/>
      <c r="I11057" s="3030"/>
    </row>
    <row r="11058" spans="2:9">
      <c r="B11058" s="3192" t="s">
        <v>678</v>
      </c>
      <c r="C11058" s="3063"/>
      <c r="D11058" s="3064"/>
      <c r="E11058" s="3064"/>
      <c r="F11058" s="3064"/>
      <c r="G11058" s="3301" t="s">
        <v>678</v>
      </c>
      <c r="H11058" s="3063"/>
      <c r="I11058" s="3030"/>
    </row>
    <row r="11059" spans="2:9">
      <c r="B11059" s="3192" t="s">
        <v>679</v>
      </c>
      <c r="C11059" s="3063"/>
      <c r="D11059" s="3064"/>
      <c r="E11059" s="3064"/>
      <c r="F11059" s="3064"/>
      <c r="G11059" s="3301" t="s">
        <v>679</v>
      </c>
      <c r="H11059" s="3063"/>
      <c r="I11059" s="3030"/>
    </row>
    <row r="11060" spans="2:9" ht="25.5">
      <c r="B11060" s="3192" t="s">
        <v>720</v>
      </c>
      <c r="C11060" s="3063"/>
      <c r="D11060" s="3064"/>
      <c r="E11060" s="3064"/>
      <c r="F11060" s="3064"/>
      <c r="G11060" s="3301" t="s">
        <v>720</v>
      </c>
      <c r="H11060" s="3063"/>
      <c r="I11060" s="3030"/>
    </row>
    <row r="11061" spans="2:9" ht="25.5">
      <c r="B11061" s="3299" t="s">
        <v>66</v>
      </c>
      <c r="C11061" s="3063"/>
      <c r="D11061" s="3064"/>
      <c r="E11061" s="3064"/>
      <c r="F11061" s="3064"/>
      <c r="G11061" s="3300" t="s">
        <v>66</v>
      </c>
      <c r="H11061" s="3063"/>
      <c r="I11061" s="3030"/>
    </row>
    <row r="11062" spans="2:9" ht="25.5">
      <c r="B11062" s="3192" t="s">
        <v>675</v>
      </c>
      <c r="C11062" s="3063"/>
      <c r="D11062" s="3064"/>
      <c r="E11062" s="3064"/>
      <c r="F11062" s="3064"/>
      <c r="G11062" s="3301" t="s">
        <v>675</v>
      </c>
      <c r="H11062" s="3063"/>
      <c r="I11062" s="3030"/>
    </row>
    <row r="11063" spans="2:9" ht="25.5">
      <c r="B11063" s="3192" t="s">
        <v>676</v>
      </c>
      <c r="C11063" s="3063"/>
      <c r="D11063" s="3064"/>
      <c r="E11063" s="3064"/>
      <c r="F11063" s="3064"/>
      <c r="G11063" s="3301" t="s">
        <v>676</v>
      </c>
      <c r="H11063" s="3063"/>
      <c r="I11063" s="3030"/>
    </row>
    <row r="11064" spans="2:9">
      <c r="B11064" s="3192" t="s">
        <v>677</v>
      </c>
      <c r="C11064" s="3063"/>
      <c r="D11064" s="3064"/>
      <c r="E11064" s="3064"/>
      <c r="F11064" s="3064"/>
      <c r="G11064" s="3301" t="s">
        <v>677</v>
      </c>
      <c r="H11064" s="3063"/>
      <c r="I11064" s="3030"/>
    </row>
    <row r="11065" spans="2:9">
      <c r="B11065" s="3192" t="s">
        <v>678</v>
      </c>
      <c r="C11065" s="3063"/>
      <c r="D11065" s="3064"/>
      <c r="E11065" s="3064"/>
      <c r="F11065" s="3064"/>
      <c r="G11065" s="3301" t="s">
        <v>678</v>
      </c>
      <c r="H11065" s="3063"/>
      <c r="I11065" s="3030"/>
    </row>
    <row r="11066" spans="2:9">
      <c r="B11066" s="3192" t="s">
        <v>679</v>
      </c>
      <c r="C11066" s="3063"/>
      <c r="D11066" s="3064"/>
      <c r="E11066" s="3064"/>
      <c r="F11066" s="3064"/>
      <c r="G11066" s="3301" t="s">
        <v>679</v>
      </c>
      <c r="H11066" s="3063"/>
      <c r="I11066" s="3030"/>
    </row>
    <row r="11067" spans="2:9" ht="25.5">
      <c r="B11067" s="3192" t="s">
        <v>720</v>
      </c>
      <c r="C11067" s="3063"/>
      <c r="D11067" s="3064"/>
      <c r="E11067" s="3064"/>
      <c r="F11067" s="3064"/>
      <c r="G11067" s="3301" t="s">
        <v>720</v>
      </c>
      <c r="H11067" s="3063"/>
      <c r="I11067" s="3030"/>
    </row>
    <row r="11068" spans="2:9">
      <c r="B11068" s="3299" t="s">
        <v>67</v>
      </c>
      <c r="C11068" s="3063"/>
      <c r="D11068" s="3064"/>
      <c r="E11068" s="3064"/>
      <c r="F11068" s="3064"/>
      <c r="G11068" s="3300" t="s">
        <v>67</v>
      </c>
      <c r="H11068" s="3063"/>
      <c r="I11068" s="3030"/>
    </row>
    <row r="11069" spans="2:9" ht="25.5">
      <c r="B11069" s="3192" t="s">
        <v>675</v>
      </c>
      <c r="C11069" s="3063"/>
      <c r="D11069" s="3064"/>
      <c r="E11069" s="3064"/>
      <c r="F11069" s="3064"/>
      <c r="G11069" s="3301" t="s">
        <v>675</v>
      </c>
      <c r="H11069" s="3063"/>
      <c r="I11069" s="3030"/>
    </row>
    <row r="11070" spans="2:9" ht="25.5">
      <c r="B11070" s="3192" t="s">
        <v>676</v>
      </c>
      <c r="C11070" s="3063"/>
      <c r="D11070" s="3064"/>
      <c r="E11070" s="3064"/>
      <c r="F11070" s="3064"/>
      <c r="G11070" s="3301" t="s">
        <v>676</v>
      </c>
      <c r="H11070" s="3063"/>
      <c r="I11070" s="3030"/>
    </row>
    <row r="11071" spans="2:9">
      <c r="B11071" s="3192" t="s">
        <v>677</v>
      </c>
      <c r="C11071" s="3063"/>
      <c r="D11071" s="3064"/>
      <c r="E11071" s="3064"/>
      <c r="F11071" s="3064"/>
      <c r="G11071" s="3301" t="s">
        <v>677</v>
      </c>
      <c r="H11071" s="3063"/>
      <c r="I11071" s="3030"/>
    </row>
    <row r="11072" spans="2:9">
      <c r="B11072" s="3192" t="s">
        <v>678</v>
      </c>
      <c r="C11072" s="3063"/>
      <c r="D11072" s="3064"/>
      <c r="E11072" s="3064"/>
      <c r="F11072" s="3064"/>
      <c r="G11072" s="3301" t="s">
        <v>678</v>
      </c>
      <c r="H11072" s="3063"/>
      <c r="I11072" s="3030"/>
    </row>
    <row r="11073" spans="2:9">
      <c r="B11073" s="3192" t="s">
        <v>679</v>
      </c>
      <c r="C11073" s="3063"/>
      <c r="D11073" s="3064"/>
      <c r="E11073" s="3064"/>
      <c r="F11073" s="3064"/>
      <c r="G11073" s="3301" t="s">
        <v>679</v>
      </c>
      <c r="H11073" s="3063"/>
      <c r="I11073" s="3030"/>
    </row>
    <row r="11074" spans="2:9" ht="25.5">
      <c r="B11074" s="3230" t="s">
        <v>81</v>
      </c>
      <c r="C11074" s="3063"/>
      <c r="D11074" s="3064"/>
      <c r="E11074" s="3064"/>
      <c r="F11074" s="3064"/>
      <c r="G11074" s="3302" t="s">
        <v>81</v>
      </c>
      <c r="H11074" s="3063"/>
      <c r="I11074" s="3030"/>
    </row>
    <row r="11075" spans="2:9" ht="26.25" thickBot="1">
      <c r="B11075" s="3303" t="s">
        <v>81</v>
      </c>
      <c r="C11075" s="3063"/>
      <c r="D11075" s="3064"/>
      <c r="E11075" s="3064"/>
      <c r="F11075" s="3064"/>
      <c r="G11075" s="3302" t="s">
        <v>81</v>
      </c>
      <c r="H11075" s="3063"/>
      <c r="I11075" s="3030"/>
    </row>
    <row r="11076" spans="2:9">
      <c r="B11076" s="3217" t="s">
        <v>697</v>
      </c>
      <c r="C11076" s="3218"/>
      <c r="D11076" s="3219"/>
      <c r="E11076" s="3219"/>
      <c r="F11076" s="3219"/>
      <c r="G11076" s="3217" t="s">
        <v>697</v>
      </c>
      <c r="H11076" s="3297"/>
      <c r="I11076" s="3298"/>
    </row>
    <row r="11077" spans="2:9">
      <c r="B11077" s="3299" t="s">
        <v>64</v>
      </c>
      <c r="C11077" s="3063"/>
      <c r="D11077" s="3064"/>
      <c r="E11077" s="3064"/>
      <c r="F11077" s="3064"/>
      <c r="G11077" s="3300" t="s">
        <v>64</v>
      </c>
      <c r="H11077" s="3063"/>
      <c r="I11077" s="3030"/>
    </row>
    <row r="11078" spans="2:9" ht="25.5">
      <c r="B11078" s="3192" t="s">
        <v>675</v>
      </c>
      <c r="C11078" s="3063"/>
      <c r="D11078" s="3064"/>
      <c r="E11078" s="3064"/>
      <c r="F11078" s="3064"/>
      <c r="G11078" s="3301" t="s">
        <v>675</v>
      </c>
      <c r="H11078" s="3063"/>
      <c r="I11078" s="3030"/>
    </row>
    <row r="11079" spans="2:9" ht="25.5">
      <c r="B11079" s="3192" t="s">
        <v>676</v>
      </c>
      <c r="C11079" s="3063"/>
      <c r="D11079" s="3064"/>
      <c r="E11079" s="3064"/>
      <c r="F11079" s="3064"/>
      <c r="G11079" s="3301" t="s">
        <v>676</v>
      </c>
      <c r="H11079" s="3063"/>
      <c r="I11079" s="3030"/>
    </row>
    <row r="11080" spans="2:9">
      <c r="B11080" s="3192" t="s">
        <v>677</v>
      </c>
      <c r="C11080" s="3063"/>
      <c r="D11080" s="3064"/>
      <c r="E11080" s="3064"/>
      <c r="F11080" s="3064"/>
      <c r="G11080" s="3301" t="s">
        <v>677</v>
      </c>
      <c r="H11080" s="3063"/>
      <c r="I11080" s="3030"/>
    </row>
    <row r="11081" spans="2:9">
      <c r="B11081" s="3192" t="s">
        <v>678</v>
      </c>
      <c r="C11081" s="3063"/>
      <c r="D11081" s="3064"/>
      <c r="E11081" s="3064"/>
      <c r="F11081" s="3064"/>
      <c r="G11081" s="3301" t="s">
        <v>678</v>
      </c>
      <c r="H11081" s="3063"/>
      <c r="I11081" s="3030"/>
    </row>
    <row r="11082" spans="2:9">
      <c r="B11082" s="3192" t="s">
        <v>679</v>
      </c>
      <c r="C11082" s="3063"/>
      <c r="D11082" s="3064"/>
      <c r="E11082" s="3064"/>
      <c r="F11082" s="3064"/>
      <c r="G11082" s="3301" t="s">
        <v>679</v>
      </c>
      <c r="H11082" s="3063"/>
      <c r="I11082" s="3030"/>
    </row>
    <row r="11083" spans="2:9" ht="25.5">
      <c r="B11083" s="3192" t="s">
        <v>720</v>
      </c>
      <c r="C11083" s="3063"/>
      <c r="D11083" s="3064"/>
      <c r="E11083" s="3064"/>
      <c r="F11083" s="3064"/>
      <c r="G11083" s="3301" t="s">
        <v>720</v>
      </c>
      <c r="H11083" s="3063"/>
      <c r="I11083" s="3030"/>
    </row>
    <row r="11084" spans="2:9">
      <c r="B11084" s="3299" t="s">
        <v>65</v>
      </c>
      <c r="C11084" s="3063"/>
      <c r="D11084" s="3064"/>
      <c r="E11084" s="3064"/>
      <c r="F11084" s="3064"/>
      <c r="G11084" s="3300" t="s">
        <v>65</v>
      </c>
      <c r="H11084" s="3063"/>
      <c r="I11084" s="3030"/>
    </row>
    <row r="11085" spans="2:9" ht="25.5">
      <c r="B11085" s="3192" t="s">
        <v>675</v>
      </c>
      <c r="C11085" s="3063"/>
      <c r="D11085" s="3064"/>
      <c r="E11085" s="3064"/>
      <c r="F11085" s="3064"/>
      <c r="G11085" s="3301" t="s">
        <v>675</v>
      </c>
      <c r="H11085" s="3063"/>
      <c r="I11085" s="3030"/>
    </row>
    <row r="11086" spans="2:9" ht="25.5">
      <c r="B11086" s="3192" t="s">
        <v>676</v>
      </c>
      <c r="C11086" s="3063"/>
      <c r="D11086" s="3064"/>
      <c r="E11086" s="3064"/>
      <c r="F11086" s="3064"/>
      <c r="G11086" s="3301" t="s">
        <v>676</v>
      </c>
      <c r="H11086" s="3063"/>
      <c r="I11086" s="3030"/>
    </row>
    <row r="11087" spans="2:9">
      <c r="B11087" s="3192" t="s">
        <v>677</v>
      </c>
      <c r="C11087" s="3063"/>
      <c r="D11087" s="3064"/>
      <c r="E11087" s="3064"/>
      <c r="F11087" s="3064"/>
      <c r="G11087" s="3301" t="s">
        <v>677</v>
      </c>
      <c r="H11087" s="3063"/>
      <c r="I11087" s="3030"/>
    </row>
    <row r="11088" spans="2:9">
      <c r="B11088" s="3192" t="s">
        <v>678</v>
      </c>
      <c r="C11088" s="3063"/>
      <c r="D11088" s="3064"/>
      <c r="E11088" s="3064"/>
      <c r="F11088" s="3064"/>
      <c r="G11088" s="3301" t="s">
        <v>678</v>
      </c>
      <c r="H11088" s="3063"/>
      <c r="I11088" s="3030"/>
    </row>
    <row r="11089" spans="2:9">
      <c r="B11089" s="3192" t="s">
        <v>679</v>
      </c>
      <c r="C11089" s="3063"/>
      <c r="D11089" s="3064"/>
      <c r="E11089" s="3064"/>
      <c r="F11089" s="3064"/>
      <c r="G11089" s="3301" t="s">
        <v>679</v>
      </c>
      <c r="H11089" s="3063"/>
      <c r="I11089" s="3030"/>
    </row>
    <row r="11090" spans="2:9" ht="25.5">
      <c r="B11090" s="3192" t="s">
        <v>720</v>
      </c>
      <c r="C11090" s="3063"/>
      <c r="D11090" s="3064"/>
      <c r="E11090" s="3064"/>
      <c r="F11090" s="3064"/>
      <c r="G11090" s="3301" t="s">
        <v>720</v>
      </c>
      <c r="H11090" s="3063"/>
      <c r="I11090" s="3030"/>
    </row>
    <row r="11091" spans="2:9">
      <c r="B11091" s="3299" t="s">
        <v>82</v>
      </c>
      <c r="C11091" s="3063"/>
      <c r="D11091" s="3064"/>
      <c r="E11091" s="3064"/>
      <c r="F11091" s="3064"/>
      <c r="G11091" s="3300" t="s">
        <v>82</v>
      </c>
      <c r="H11091" s="3063"/>
      <c r="I11091" s="3030"/>
    </row>
    <row r="11092" spans="2:9" ht="25.5">
      <c r="B11092" s="3192" t="s">
        <v>675</v>
      </c>
      <c r="C11092" s="3063"/>
      <c r="D11092" s="3064"/>
      <c r="E11092" s="3064"/>
      <c r="F11092" s="3064"/>
      <c r="G11092" s="3301" t="s">
        <v>675</v>
      </c>
      <c r="H11092" s="3063"/>
      <c r="I11092" s="3030"/>
    </row>
    <row r="11093" spans="2:9" ht="25.5">
      <c r="B11093" s="3192" t="s">
        <v>676</v>
      </c>
      <c r="C11093" s="3063"/>
      <c r="D11093" s="3064"/>
      <c r="E11093" s="3064"/>
      <c r="F11093" s="3064"/>
      <c r="G11093" s="3301" t="s">
        <v>676</v>
      </c>
      <c r="H11093" s="3063"/>
      <c r="I11093" s="3030"/>
    </row>
    <row r="11094" spans="2:9">
      <c r="B11094" s="3192" t="s">
        <v>677</v>
      </c>
      <c r="C11094" s="3063"/>
      <c r="D11094" s="3064"/>
      <c r="E11094" s="3064"/>
      <c r="F11094" s="3064"/>
      <c r="G11094" s="3301" t="s">
        <v>677</v>
      </c>
      <c r="H11094" s="3063"/>
      <c r="I11094" s="3030"/>
    </row>
    <row r="11095" spans="2:9">
      <c r="B11095" s="3192" t="s">
        <v>678</v>
      </c>
      <c r="C11095" s="3063"/>
      <c r="D11095" s="3064"/>
      <c r="E11095" s="3064"/>
      <c r="F11095" s="3064"/>
      <c r="G11095" s="3301" t="s">
        <v>678</v>
      </c>
      <c r="H11095" s="3063"/>
      <c r="I11095" s="3030"/>
    </row>
    <row r="11096" spans="2:9">
      <c r="B11096" s="3192" t="s">
        <v>679</v>
      </c>
      <c r="C11096" s="3063"/>
      <c r="D11096" s="3064"/>
      <c r="E11096" s="3064"/>
      <c r="F11096" s="3064"/>
      <c r="G11096" s="3301" t="s">
        <v>679</v>
      </c>
      <c r="H11096" s="3063"/>
      <c r="I11096" s="3030"/>
    </row>
    <row r="11097" spans="2:9" ht="25.5">
      <c r="B11097" s="3192" t="s">
        <v>720</v>
      </c>
      <c r="C11097" s="3063"/>
      <c r="D11097" s="3064"/>
      <c r="E11097" s="3064"/>
      <c r="F11097" s="3064"/>
      <c r="G11097" s="3301" t="s">
        <v>720</v>
      </c>
      <c r="H11097" s="3063"/>
      <c r="I11097" s="3030"/>
    </row>
    <row r="11098" spans="2:9" ht="38.25">
      <c r="B11098" s="3299" t="s">
        <v>680</v>
      </c>
      <c r="C11098" s="3063"/>
      <c r="D11098" s="3064"/>
      <c r="E11098" s="3064"/>
      <c r="F11098" s="3064"/>
      <c r="G11098" s="3300" t="s">
        <v>680</v>
      </c>
      <c r="H11098" s="3063"/>
      <c r="I11098" s="3030"/>
    </row>
    <row r="11099" spans="2:9" ht="25.5">
      <c r="B11099" s="3192" t="s">
        <v>675</v>
      </c>
      <c r="C11099" s="3063"/>
      <c r="D11099" s="3064"/>
      <c r="E11099" s="3064"/>
      <c r="F11099" s="3064"/>
      <c r="G11099" s="3301" t="s">
        <v>675</v>
      </c>
      <c r="H11099" s="3063"/>
      <c r="I11099" s="3030"/>
    </row>
    <row r="11100" spans="2:9" ht="25.5">
      <c r="B11100" s="3192" t="s">
        <v>676</v>
      </c>
      <c r="C11100" s="3063"/>
      <c r="D11100" s="3064"/>
      <c r="E11100" s="3064"/>
      <c r="F11100" s="3064"/>
      <c r="G11100" s="3301" t="s">
        <v>676</v>
      </c>
      <c r="H11100" s="3063"/>
      <c r="I11100" s="3030"/>
    </row>
    <row r="11101" spans="2:9">
      <c r="B11101" s="3192" t="s">
        <v>677</v>
      </c>
      <c r="C11101" s="3063"/>
      <c r="D11101" s="3064"/>
      <c r="E11101" s="3064"/>
      <c r="F11101" s="3064"/>
      <c r="G11101" s="3301" t="s">
        <v>677</v>
      </c>
      <c r="H11101" s="3063"/>
      <c r="I11101" s="3030"/>
    </row>
    <row r="11102" spans="2:9">
      <c r="B11102" s="3192" t="s">
        <v>678</v>
      </c>
      <c r="C11102" s="3063"/>
      <c r="D11102" s="3064"/>
      <c r="E11102" s="3064"/>
      <c r="F11102" s="3064"/>
      <c r="G11102" s="3301" t="s">
        <v>678</v>
      </c>
      <c r="H11102" s="3063"/>
      <c r="I11102" s="3030"/>
    </row>
    <row r="11103" spans="2:9">
      <c r="B11103" s="3192" t="s">
        <v>679</v>
      </c>
      <c r="C11103" s="3063"/>
      <c r="D11103" s="3064"/>
      <c r="E11103" s="3064"/>
      <c r="F11103" s="3064"/>
      <c r="G11103" s="3301" t="s">
        <v>679</v>
      </c>
      <c r="H11103" s="3063"/>
      <c r="I11103" s="3030"/>
    </row>
    <row r="11104" spans="2:9" ht="25.5">
      <c r="B11104" s="3192" t="s">
        <v>720</v>
      </c>
      <c r="C11104" s="3063"/>
      <c r="D11104" s="3064"/>
      <c r="E11104" s="3064"/>
      <c r="F11104" s="3064"/>
      <c r="G11104" s="3301" t="s">
        <v>720</v>
      </c>
      <c r="H11104" s="3063"/>
      <c r="I11104" s="3030"/>
    </row>
    <row r="11105" spans="2:9" ht="38.25">
      <c r="B11105" s="3299" t="s">
        <v>681</v>
      </c>
      <c r="C11105" s="3063"/>
      <c r="D11105" s="3064"/>
      <c r="E11105" s="3064"/>
      <c r="F11105" s="3064">
        <v>7</v>
      </c>
      <c r="G11105" s="3300" t="s">
        <v>681</v>
      </c>
      <c r="H11105" s="3063">
        <v>7.2983137072409776E-2</v>
      </c>
      <c r="I11105" s="3030"/>
    </row>
    <row r="11106" spans="2:9" ht="25.5">
      <c r="B11106" s="3192" t="s">
        <v>675</v>
      </c>
      <c r="C11106" s="3063"/>
      <c r="D11106" s="3064"/>
      <c r="E11106" s="3064"/>
      <c r="F11106" s="3064"/>
      <c r="G11106" s="3301" t="s">
        <v>675</v>
      </c>
      <c r="H11106" s="3063"/>
      <c r="I11106" s="3030"/>
    </row>
    <row r="11107" spans="2:9" ht="25.5">
      <c r="B11107" s="3192" t="s">
        <v>676</v>
      </c>
      <c r="C11107" s="3063"/>
      <c r="D11107" s="3064"/>
      <c r="E11107" s="3064"/>
      <c r="F11107" s="3064"/>
      <c r="G11107" s="3301" t="s">
        <v>676</v>
      </c>
      <c r="H11107" s="3063"/>
      <c r="I11107" s="3030"/>
    </row>
    <row r="11108" spans="2:9">
      <c r="B11108" s="3192" t="s">
        <v>677</v>
      </c>
      <c r="C11108" s="3063"/>
      <c r="D11108" s="3064"/>
      <c r="E11108" s="3064"/>
      <c r="F11108" s="3064"/>
      <c r="G11108" s="3301" t="s">
        <v>677</v>
      </c>
      <c r="H11108" s="3063"/>
      <c r="I11108" s="3030"/>
    </row>
    <row r="11109" spans="2:9">
      <c r="B11109" s="3192" t="s">
        <v>678</v>
      </c>
      <c r="C11109" s="3063"/>
      <c r="D11109" s="3064"/>
      <c r="E11109" s="3064"/>
      <c r="F11109" s="3064"/>
      <c r="G11109" s="3301" t="s">
        <v>678</v>
      </c>
      <c r="H11109" s="3063"/>
      <c r="I11109" s="3030"/>
    </row>
    <row r="11110" spans="2:9">
      <c r="B11110" s="3192" t="s">
        <v>679</v>
      </c>
      <c r="C11110" s="3063"/>
      <c r="D11110" s="3064"/>
      <c r="E11110" s="3064"/>
      <c r="F11110" s="3064"/>
      <c r="G11110" s="3301" t="s">
        <v>679</v>
      </c>
      <c r="H11110" s="3063"/>
      <c r="I11110" s="3030"/>
    </row>
    <row r="11111" spans="2:9" ht="25.5">
      <c r="B11111" s="3192" t="s">
        <v>720</v>
      </c>
      <c r="C11111" s="3063"/>
      <c r="D11111" s="3064"/>
      <c r="E11111" s="3064"/>
      <c r="F11111" s="3064"/>
      <c r="G11111" s="3301" t="s">
        <v>720</v>
      </c>
      <c r="H11111" s="3063"/>
      <c r="I11111" s="3030"/>
    </row>
    <row r="11112" spans="2:9" ht="25.5">
      <c r="B11112" s="3299" t="s">
        <v>682</v>
      </c>
      <c r="C11112" s="3063"/>
      <c r="D11112" s="3064"/>
      <c r="E11112" s="3064"/>
      <c r="F11112" s="3064"/>
      <c r="G11112" s="3300" t="s">
        <v>682</v>
      </c>
      <c r="H11112" s="3063"/>
      <c r="I11112" s="3030"/>
    </row>
    <row r="11113" spans="2:9" ht="25.5">
      <c r="B11113" s="3192" t="s">
        <v>675</v>
      </c>
      <c r="C11113" s="3063"/>
      <c r="D11113" s="3064"/>
      <c r="E11113" s="3064"/>
      <c r="F11113" s="3064"/>
      <c r="G11113" s="3301" t="s">
        <v>675</v>
      </c>
      <c r="H11113" s="3063"/>
      <c r="I11113" s="3030"/>
    </row>
    <row r="11114" spans="2:9" ht="25.5">
      <c r="B11114" s="3192" t="s">
        <v>676</v>
      </c>
      <c r="C11114" s="3063"/>
      <c r="D11114" s="3064"/>
      <c r="E11114" s="3064"/>
      <c r="F11114" s="3064"/>
      <c r="G11114" s="3301" t="s">
        <v>676</v>
      </c>
      <c r="H11114" s="3063"/>
      <c r="I11114" s="3030"/>
    </row>
    <row r="11115" spans="2:9">
      <c r="B11115" s="3192" t="s">
        <v>677</v>
      </c>
      <c r="C11115" s="3063"/>
      <c r="D11115" s="3064"/>
      <c r="E11115" s="3064"/>
      <c r="F11115" s="3064"/>
      <c r="G11115" s="3301" t="s">
        <v>677</v>
      </c>
      <c r="H11115" s="3063"/>
      <c r="I11115" s="3030"/>
    </row>
    <row r="11116" spans="2:9">
      <c r="B11116" s="3192" t="s">
        <v>678</v>
      </c>
      <c r="C11116" s="3063"/>
      <c r="D11116" s="3064"/>
      <c r="E11116" s="3064"/>
      <c r="F11116" s="3064"/>
      <c r="G11116" s="3301" t="s">
        <v>678</v>
      </c>
      <c r="H11116" s="3063"/>
      <c r="I11116" s="3030"/>
    </row>
    <row r="11117" spans="2:9">
      <c r="B11117" s="3192" t="s">
        <v>679</v>
      </c>
      <c r="C11117" s="3063"/>
      <c r="D11117" s="3064"/>
      <c r="E11117" s="3064"/>
      <c r="F11117" s="3064"/>
      <c r="G11117" s="3301" t="s">
        <v>679</v>
      </c>
      <c r="H11117" s="3063"/>
      <c r="I11117" s="3030"/>
    </row>
    <row r="11118" spans="2:9" ht="25.5">
      <c r="B11118" s="3192" t="s">
        <v>720</v>
      </c>
      <c r="C11118" s="3063"/>
      <c r="D11118" s="3064"/>
      <c r="E11118" s="3064"/>
      <c r="F11118" s="3064"/>
      <c r="G11118" s="3301" t="s">
        <v>720</v>
      </c>
      <c r="H11118" s="3063"/>
      <c r="I11118" s="3030"/>
    </row>
    <row r="11119" spans="2:9" ht="25.5">
      <c r="B11119" s="3299" t="s">
        <v>66</v>
      </c>
      <c r="C11119" s="3063"/>
      <c r="D11119" s="3064"/>
      <c r="E11119" s="3064"/>
      <c r="F11119" s="3064"/>
      <c r="G11119" s="3300" t="s">
        <v>66</v>
      </c>
      <c r="H11119" s="3063"/>
      <c r="I11119" s="3030"/>
    </row>
    <row r="11120" spans="2:9" ht="25.5">
      <c r="B11120" s="3192" t="s">
        <v>675</v>
      </c>
      <c r="C11120" s="3063"/>
      <c r="D11120" s="3064"/>
      <c r="E11120" s="3064"/>
      <c r="F11120" s="3064"/>
      <c r="G11120" s="3301" t="s">
        <v>675</v>
      </c>
      <c r="H11120" s="3063"/>
      <c r="I11120" s="3030"/>
    </row>
    <row r="11121" spans="2:9" ht="25.5">
      <c r="B11121" s="3192" t="s">
        <v>676</v>
      </c>
      <c r="C11121" s="3063"/>
      <c r="D11121" s="3064"/>
      <c r="E11121" s="3064"/>
      <c r="F11121" s="3064"/>
      <c r="G11121" s="3301" t="s">
        <v>676</v>
      </c>
      <c r="H11121" s="3063"/>
      <c r="I11121" s="3030"/>
    </row>
    <row r="11122" spans="2:9">
      <c r="B11122" s="3192" t="s">
        <v>677</v>
      </c>
      <c r="C11122" s="3063"/>
      <c r="D11122" s="3064"/>
      <c r="E11122" s="3064"/>
      <c r="F11122" s="3064"/>
      <c r="G11122" s="3301" t="s">
        <v>677</v>
      </c>
      <c r="H11122" s="3063"/>
      <c r="I11122" s="3030"/>
    </row>
    <row r="11123" spans="2:9">
      <c r="B11123" s="3192" t="s">
        <v>678</v>
      </c>
      <c r="C11123" s="3063"/>
      <c r="D11123" s="3064"/>
      <c r="E11123" s="3064"/>
      <c r="F11123" s="3064"/>
      <c r="G11123" s="3301" t="s">
        <v>678</v>
      </c>
      <c r="H11123" s="3063"/>
      <c r="I11123" s="3030"/>
    </row>
    <row r="11124" spans="2:9">
      <c r="B11124" s="3192" t="s">
        <v>679</v>
      </c>
      <c r="C11124" s="3063"/>
      <c r="D11124" s="3064"/>
      <c r="E11124" s="3064"/>
      <c r="F11124" s="3064"/>
      <c r="G11124" s="3301" t="s">
        <v>679</v>
      </c>
      <c r="H11124" s="3063"/>
      <c r="I11124" s="3030"/>
    </row>
    <row r="11125" spans="2:9" ht="25.5">
      <c r="B11125" s="3192" t="s">
        <v>720</v>
      </c>
      <c r="C11125" s="3063"/>
      <c r="D11125" s="3064"/>
      <c r="E11125" s="3064"/>
      <c r="F11125" s="3064"/>
      <c r="G11125" s="3301" t="s">
        <v>720</v>
      </c>
      <c r="H11125" s="3063"/>
      <c r="I11125" s="3030"/>
    </row>
    <row r="11126" spans="2:9">
      <c r="B11126" s="3299" t="s">
        <v>67</v>
      </c>
      <c r="C11126" s="3063"/>
      <c r="D11126" s="3064"/>
      <c r="E11126" s="3064"/>
      <c r="F11126" s="3064"/>
      <c r="G11126" s="3300" t="s">
        <v>67</v>
      </c>
      <c r="H11126" s="3063"/>
      <c r="I11126" s="3030"/>
    </row>
    <row r="11127" spans="2:9" ht="25.5">
      <c r="B11127" s="3192" t="s">
        <v>675</v>
      </c>
      <c r="C11127" s="3063"/>
      <c r="D11127" s="3064"/>
      <c r="E11127" s="3064"/>
      <c r="F11127" s="3064"/>
      <c r="G11127" s="3301" t="s">
        <v>675</v>
      </c>
      <c r="H11127" s="3063"/>
      <c r="I11127" s="3030"/>
    </row>
    <row r="11128" spans="2:9" ht="25.5">
      <c r="B11128" s="3192" t="s">
        <v>676</v>
      </c>
      <c r="C11128" s="3063"/>
      <c r="D11128" s="3064"/>
      <c r="E11128" s="3064"/>
      <c r="F11128" s="3064"/>
      <c r="G11128" s="3301" t="s">
        <v>676</v>
      </c>
      <c r="H11128" s="3063"/>
      <c r="I11128" s="3030"/>
    </row>
    <row r="11129" spans="2:9">
      <c r="B11129" s="3192" t="s">
        <v>677</v>
      </c>
      <c r="C11129" s="3063"/>
      <c r="D11129" s="3064"/>
      <c r="E11129" s="3064"/>
      <c r="F11129" s="3064"/>
      <c r="G11129" s="3301" t="s">
        <v>677</v>
      </c>
      <c r="H11129" s="3063"/>
      <c r="I11129" s="3030"/>
    </row>
    <row r="11130" spans="2:9">
      <c r="B11130" s="3192" t="s">
        <v>678</v>
      </c>
      <c r="C11130" s="3063"/>
      <c r="D11130" s="3064"/>
      <c r="E11130" s="3064"/>
      <c r="F11130" s="3064"/>
      <c r="G11130" s="3301" t="s">
        <v>678</v>
      </c>
      <c r="H11130" s="3063"/>
      <c r="I11130" s="3030"/>
    </row>
    <row r="11131" spans="2:9">
      <c r="B11131" s="3192" t="s">
        <v>679</v>
      </c>
      <c r="C11131" s="3063"/>
      <c r="D11131" s="3064"/>
      <c r="E11131" s="3064"/>
      <c r="F11131" s="3064"/>
      <c r="G11131" s="3301" t="s">
        <v>679</v>
      </c>
      <c r="H11131" s="3063"/>
      <c r="I11131" s="3030"/>
    </row>
    <row r="11132" spans="2:9" ht="25.5">
      <c r="B11132" s="3230" t="s">
        <v>81</v>
      </c>
      <c r="C11132" s="3063"/>
      <c r="D11132" s="3064"/>
      <c r="E11132" s="3064"/>
      <c r="F11132" s="3064"/>
      <c r="G11132" s="3302" t="s">
        <v>81</v>
      </c>
      <c r="H11132" s="3063"/>
      <c r="I11132" s="3030"/>
    </row>
    <row r="11133" spans="2:9" ht="26.25" thickBot="1">
      <c r="B11133" s="3303" t="s">
        <v>81</v>
      </c>
      <c r="C11133" s="3068"/>
      <c r="D11133" s="3069"/>
      <c r="E11133" s="3069"/>
      <c r="F11133" s="3069"/>
      <c r="G11133" s="3304" t="s">
        <v>81</v>
      </c>
      <c r="H11133" s="3068"/>
      <c r="I11133" s="3070"/>
    </row>
    <row r="11134" spans="2:9" ht="38.25">
      <c r="B11134" s="4723">
        <v>3227</v>
      </c>
      <c r="C11134" s="3289"/>
      <c r="D11134" s="3290"/>
      <c r="E11134" s="3290"/>
      <c r="F11134" s="3290"/>
      <c r="G11134" s="4723">
        <v>3227</v>
      </c>
      <c r="H11134" s="3291" t="s">
        <v>687</v>
      </c>
      <c r="I11134" s="3292" t="s">
        <v>688</v>
      </c>
    </row>
    <row r="11135" spans="2:9">
      <c r="B11135" s="4724"/>
      <c r="C11135" s="4678" t="s">
        <v>686</v>
      </c>
      <c r="D11135" s="4725"/>
      <c r="E11135" s="4725"/>
      <c r="F11135" s="4726"/>
      <c r="G11135" s="4724"/>
      <c r="H11135" s="3293"/>
      <c r="I11135" s="3294"/>
    </row>
    <row r="11136" spans="2:9" ht="13.5" thickBot="1">
      <c r="B11136" s="4724"/>
      <c r="C11136" s="3215">
        <v>2013</v>
      </c>
      <c r="D11136" s="3215">
        <v>2014</v>
      </c>
      <c r="E11136" s="3215">
        <v>2015</v>
      </c>
      <c r="F11136" s="3215">
        <v>2016</v>
      </c>
      <c r="G11136" s="4724"/>
      <c r="H11136" s="3295" t="s">
        <v>390</v>
      </c>
      <c r="I11136" s="3296" t="s">
        <v>390</v>
      </c>
    </row>
    <row r="11137" spans="2:9">
      <c r="B11137" s="3217" t="s">
        <v>695</v>
      </c>
      <c r="C11137" s="3218"/>
      <c r="D11137" s="3219"/>
      <c r="E11137" s="3219"/>
      <c r="F11137" s="3219"/>
      <c r="G11137" s="3217" t="s">
        <v>695</v>
      </c>
      <c r="H11137" s="3297"/>
      <c r="I11137" s="3298"/>
    </row>
    <row r="11138" spans="2:9">
      <c r="B11138" s="3299" t="s">
        <v>64</v>
      </c>
      <c r="C11138" s="3063"/>
      <c r="D11138" s="3064"/>
      <c r="E11138" s="3064"/>
      <c r="F11138" s="3064"/>
      <c r="G11138" s="3300" t="s">
        <v>64</v>
      </c>
      <c r="H11138" s="3063"/>
      <c r="I11138" s="3030"/>
    </row>
    <row r="11139" spans="2:9" ht="25.5">
      <c r="B11139" s="3192" t="s">
        <v>675</v>
      </c>
      <c r="C11139" s="3063"/>
      <c r="D11139" s="3064"/>
      <c r="E11139" s="3064"/>
      <c r="F11139" s="3064"/>
      <c r="G11139" s="3301" t="s">
        <v>675</v>
      </c>
      <c r="H11139" s="3063"/>
      <c r="I11139" s="3030"/>
    </row>
    <row r="11140" spans="2:9" ht="25.5">
      <c r="B11140" s="3192" t="s">
        <v>676</v>
      </c>
      <c r="C11140" s="3063"/>
      <c r="D11140" s="3064"/>
      <c r="E11140" s="3064"/>
      <c r="F11140" s="3064"/>
      <c r="G11140" s="3301" t="s">
        <v>676</v>
      </c>
      <c r="H11140" s="3063"/>
      <c r="I11140" s="3030"/>
    </row>
    <row r="11141" spans="2:9">
      <c r="B11141" s="3192" t="s">
        <v>677</v>
      </c>
      <c r="C11141" s="3063"/>
      <c r="D11141" s="3064"/>
      <c r="E11141" s="3064"/>
      <c r="F11141" s="3064"/>
      <c r="G11141" s="3301" t="s">
        <v>677</v>
      </c>
      <c r="H11141" s="3063"/>
      <c r="I11141" s="3030"/>
    </row>
    <row r="11142" spans="2:9">
      <c r="B11142" s="3192" t="s">
        <v>678</v>
      </c>
      <c r="C11142" s="3063"/>
      <c r="D11142" s="3064"/>
      <c r="E11142" s="3064"/>
      <c r="F11142" s="3064"/>
      <c r="G11142" s="3301" t="s">
        <v>678</v>
      </c>
      <c r="H11142" s="3063"/>
      <c r="I11142" s="3030"/>
    </row>
    <row r="11143" spans="2:9">
      <c r="B11143" s="3192" t="s">
        <v>679</v>
      </c>
      <c r="C11143" s="3063"/>
      <c r="D11143" s="3064"/>
      <c r="E11143" s="3064"/>
      <c r="F11143" s="3064"/>
      <c r="G11143" s="3301" t="s">
        <v>679</v>
      </c>
      <c r="H11143" s="3063"/>
      <c r="I11143" s="3030"/>
    </row>
    <row r="11144" spans="2:9" ht="25.5">
      <c r="B11144" s="3192" t="s">
        <v>720</v>
      </c>
      <c r="C11144" s="3063"/>
      <c r="D11144" s="3064"/>
      <c r="E11144" s="3064"/>
      <c r="F11144" s="3064"/>
      <c r="G11144" s="3301" t="s">
        <v>720</v>
      </c>
      <c r="H11144" s="3063"/>
      <c r="I11144" s="3030"/>
    </row>
    <row r="11145" spans="2:9">
      <c r="B11145" s="3299" t="s">
        <v>65</v>
      </c>
      <c r="C11145" s="3063"/>
      <c r="D11145" s="3064"/>
      <c r="E11145" s="3064"/>
      <c r="F11145" s="3064"/>
      <c r="G11145" s="3300" t="s">
        <v>65</v>
      </c>
      <c r="H11145" s="3063"/>
      <c r="I11145" s="3030"/>
    </row>
    <row r="11146" spans="2:9" ht="25.5">
      <c r="B11146" s="3192" t="s">
        <v>675</v>
      </c>
      <c r="C11146" s="3063"/>
      <c r="D11146" s="3064"/>
      <c r="E11146" s="3064"/>
      <c r="F11146" s="3064"/>
      <c r="G11146" s="3301" t="s">
        <v>675</v>
      </c>
      <c r="H11146" s="3063"/>
      <c r="I11146" s="3030"/>
    </row>
    <row r="11147" spans="2:9" ht="25.5">
      <c r="B11147" s="3192" t="s">
        <v>676</v>
      </c>
      <c r="C11147" s="3063"/>
      <c r="D11147" s="3064"/>
      <c r="E11147" s="3064"/>
      <c r="F11147" s="3064"/>
      <c r="G11147" s="3301" t="s">
        <v>676</v>
      </c>
      <c r="H11147" s="3063"/>
      <c r="I11147" s="3030"/>
    </row>
    <row r="11148" spans="2:9">
      <c r="B11148" s="3192" t="s">
        <v>677</v>
      </c>
      <c r="C11148" s="3063"/>
      <c r="D11148" s="3064"/>
      <c r="E11148" s="3064"/>
      <c r="F11148" s="3064"/>
      <c r="G11148" s="3301" t="s">
        <v>677</v>
      </c>
      <c r="H11148" s="3063"/>
      <c r="I11148" s="3030"/>
    </row>
    <row r="11149" spans="2:9">
      <c r="B11149" s="3192" t="s">
        <v>678</v>
      </c>
      <c r="C11149" s="3063"/>
      <c r="D11149" s="3064"/>
      <c r="E11149" s="3064"/>
      <c r="F11149" s="3064"/>
      <c r="G11149" s="3301" t="s">
        <v>678</v>
      </c>
      <c r="H11149" s="3063"/>
      <c r="I11149" s="3030"/>
    </row>
    <row r="11150" spans="2:9">
      <c r="B11150" s="3192" t="s">
        <v>679</v>
      </c>
      <c r="C11150" s="3063"/>
      <c r="D11150" s="3064"/>
      <c r="E11150" s="3064"/>
      <c r="F11150" s="3064"/>
      <c r="G11150" s="3301" t="s">
        <v>679</v>
      </c>
      <c r="H11150" s="3063"/>
      <c r="I11150" s="3030"/>
    </row>
    <row r="11151" spans="2:9" ht="25.5">
      <c r="B11151" s="3192" t="s">
        <v>720</v>
      </c>
      <c r="C11151" s="3063"/>
      <c r="D11151" s="3064"/>
      <c r="E11151" s="3064"/>
      <c r="F11151" s="3064"/>
      <c r="G11151" s="3301" t="s">
        <v>720</v>
      </c>
      <c r="H11151" s="3063"/>
      <c r="I11151" s="3030"/>
    </row>
    <row r="11152" spans="2:9">
      <c r="B11152" s="3299" t="s">
        <v>82</v>
      </c>
      <c r="C11152" s="3063"/>
      <c r="D11152" s="3064"/>
      <c r="E11152" s="3064"/>
      <c r="F11152" s="3064"/>
      <c r="G11152" s="3300" t="s">
        <v>82</v>
      </c>
      <c r="H11152" s="3063"/>
      <c r="I11152" s="3030"/>
    </row>
    <row r="11153" spans="2:9" ht="25.5">
      <c r="B11153" s="3192" t="s">
        <v>675</v>
      </c>
      <c r="C11153" s="3063"/>
      <c r="D11153" s="3064"/>
      <c r="E11153" s="3064"/>
      <c r="F11153" s="3064"/>
      <c r="G11153" s="3301" t="s">
        <v>675</v>
      </c>
      <c r="H11153" s="3063"/>
      <c r="I11153" s="3030"/>
    </row>
    <row r="11154" spans="2:9" ht="25.5">
      <c r="B11154" s="3192" t="s">
        <v>676</v>
      </c>
      <c r="C11154" s="3063"/>
      <c r="D11154" s="3064"/>
      <c r="E11154" s="3064"/>
      <c r="F11154" s="3064"/>
      <c r="G11154" s="3301" t="s">
        <v>676</v>
      </c>
      <c r="H11154" s="3063"/>
      <c r="I11154" s="3030"/>
    </row>
    <row r="11155" spans="2:9">
      <c r="B11155" s="3192" t="s">
        <v>677</v>
      </c>
      <c r="C11155" s="3063"/>
      <c r="D11155" s="3064"/>
      <c r="E11155" s="3064"/>
      <c r="F11155" s="3064"/>
      <c r="G11155" s="3301" t="s">
        <v>677</v>
      </c>
      <c r="H11155" s="3063"/>
      <c r="I11155" s="3030"/>
    </row>
    <row r="11156" spans="2:9">
      <c r="B11156" s="3192" t="s">
        <v>678</v>
      </c>
      <c r="C11156" s="3063"/>
      <c r="D11156" s="3064"/>
      <c r="E11156" s="3064"/>
      <c r="F11156" s="3064"/>
      <c r="G11156" s="3301" t="s">
        <v>678</v>
      </c>
      <c r="H11156" s="3063"/>
      <c r="I11156" s="3030"/>
    </row>
    <row r="11157" spans="2:9">
      <c r="B11157" s="3192" t="s">
        <v>679</v>
      </c>
      <c r="C11157" s="3063"/>
      <c r="D11157" s="3064"/>
      <c r="E11157" s="3064"/>
      <c r="F11157" s="3064"/>
      <c r="G11157" s="3301" t="s">
        <v>679</v>
      </c>
      <c r="H11157" s="3063"/>
      <c r="I11157" s="3030"/>
    </row>
    <row r="11158" spans="2:9" ht="25.5">
      <c r="B11158" s="3192" t="s">
        <v>720</v>
      </c>
      <c r="C11158" s="3063"/>
      <c r="D11158" s="3064"/>
      <c r="E11158" s="3064"/>
      <c r="F11158" s="3064"/>
      <c r="G11158" s="3301" t="s">
        <v>720</v>
      </c>
      <c r="H11158" s="3063"/>
      <c r="I11158" s="3030"/>
    </row>
    <row r="11159" spans="2:9" ht="38.25">
      <c r="B11159" s="3299" t="s">
        <v>680</v>
      </c>
      <c r="C11159" s="3063"/>
      <c r="D11159" s="3064"/>
      <c r="E11159" s="3064"/>
      <c r="F11159" s="3064"/>
      <c r="G11159" s="3300" t="s">
        <v>680</v>
      </c>
      <c r="H11159" s="3063"/>
      <c r="I11159" s="3030"/>
    </row>
    <row r="11160" spans="2:9" ht="25.5">
      <c r="B11160" s="3192" t="s">
        <v>675</v>
      </c>
      <c r="C11160" s="3063"/>
      <c r="D11160" s="3064"/>
      <c r="E11160" s="3064"/>
      <c r="F11160" s="3064"/>
      <c r="G11160" s="3301" t="s">
        <v>675</v>
      </c>
      <c r="H11160" s="3063"/>
      <c r="I11160" s="3030"/>
    </row>
    <row r="11161" spans="2:9" ht="25.5">
      <c r="B11161" s="3192" t="s">
        <v>676</v>
      </c>
      <c r="C11161" s="3063"/>
      <c r="D11161" s="3064"/>
      <c r="E11161" s="3064"/>
      <c r="F11161" s="3064"/>
      <c r="G11161" s="3301" t="s">
        <v>676</v>
      </c>
      <c r="H11161" s="3063"/>
      <c r="I11161" s="3030"/>
    </row>
    <row r="11162" spans="2:9">
      <c r="B11162" s="3192" t="s">
        <v>677</v>
      </c>
      <c r="C11162" s="3063"/>
      <c r="D11162" s="3064"/>
      <c r="E11162" s="3064"/>
      <c r="F11162" s="3064"/>
      <c r="G11162" s="3301" t="s">
        <v>677</v>
      </c>
      <c r="H11162" s="3063"/>
      <c r="I11162" s="3030"/>
    </row>
    <row r="11163" spans="2:9">
      <c r="B11163" s="3192" t="s">
        <v>678</v>
      </c>
      <c r="C11163" s="3063"/>
      <c r="D11163" s="3064"/>
      <c r="E11163" s="3064"/>
      <c r="F11163" s="3064"/>
      <c r="G11163" s="3301" t="s">
        <v>678</v>
      </c>
      <c r="H11163" s="3063"/>
      <c r="I11163" s="3030"/>
    </row>
    <row r="11164" spans="2:9">
      <c r="B11164" s="3192" t="s">
        <v>679</v>
      </c>
      <c r="C11164" s="3063"/>
      <c r="D11164" s="3064"/>
      <c r="E11164" s="3064"/>
      <c r="F11164" s="3064"/>
      <c r="G11164" s="3301" t="s">
        <v>679</v>
      </c>
      <c r="H11164" s="3063"/>
      <c r="I11164" s="3030"/>
    </row>
    <row r="11165" spans="2:9" ht="25.5">
      <c r="B11165" s="3192" t="s">
        <v>720</v>
      </c>
      <c r="C11165" s="3063"/>
      <c r="D11165" s="3064"/>
      <c r="E11165" s="3064"/>
      <c r="F11165" s="3064"/>
      <c r="G11165" s="3301" t="s">
        <v>720</v>
      </c>
      <c r="H11165" s="3063"/>
      <c r="I11165" s="3030"/>
    </row>
    <row r="11166" spans="2:9" ht="38.25">
      <c r="B11166" s="3299" t="s">
        <v>681</v>
      </c>
      <c r="C11166" s="3063"/>
      <c r="D11166" s="3064"/>
      <c r="E11166" s="3064"/>
      <c r="F11166" s="3064"/>
      <c r="G11166" s="3300" t="s">
        <v>681</v>
      </c>
      <c r="H11166" s="3063"/>
      <c r="I11166" s="3030"/>
    </row>
    <row r="11167" spans="2:9" ht="25.5">
      <c r="B11167" s="3192" t="s">
        <v>675</v>
      </c>
      <c r="C11167" s="3063"/>
      <c r="D11167" s="3064"/>
      <c r="E11167" s="3064"/>
      <c r="F11167" s="3064"/>
      <c r="G11167" s="3301" t="s">
        <v>675</v>
      </c>
      <c r="H11167" s="3063"/>
      <c r="I11167" s="3030"/>
    </row>
    <row r="11168" spans="2:9" ht="25.5">
      <c r="B11168" s="3192" t="s">
        <v>676</v>
      </c>
      <c r="C11168" s="3063"/>
      <c r="D11168" s="3064"/>
      <c r="E11168" s="3064"/>
      <c r="F11168" s="3064"/>
      <c r="G11168" s="3301" t="s">
        <v>676</v>
      </c>
      <c r="H11168" s="3063"/>
      <c r="I11168" s="3030"/>
    </row>
    <row r="11169" spans="2:9">
      <c r="B11169" s="3192" t="s">
        <v>677</v>
      </c>
      <c r="C11169" s="3063"/>
      <c r="D11169" s="3064"/>
      <c r="E11169" s="3064"/>
      <c r="F11169" s="3064"/>
      <c r="G11169" s="3301" t="s">
        <v>677</v>
      </c>
      <c r="H11169" s="3063"/>
      <c r="I11169" s="3030"/>
    </row>
    <row r="11170" spans="2:9">
      <c r="B11170" s="3192" t="s">
        <v>678</v>
      </c>
      <c r="C11170" s="3063"/>
      <c r="D11170" s="3064"/>
      <c r="E11170" s="3064"/>
      <c r="F11170" s="3064"/>
      <c r="G11170" s="3301" t="s">
        <v>678</v>
      </c>
      <c r="H11170" s="3063"/>
      <c r="I11170" s="3030"/>
    </row>
    <row r="11171" spans="2:9">
      <c r="B11171" s="3192" t="s">
        <v>679</v>
      </c>
      <c r="C11171" s="3063"/>
      <c r="D11171" s="3064"/>
      <c r="E11171" s="3064"/>
      <c r="F11171" s="3064"/>
      <c r="G11171" s="3301" t="s">
        <v>679</v>
      </c>
      <c r="H11171" s="3063"/>
      <c r="I11171" s="3030"/>
    </row>
    <row r="11172" spans="2:9" ht="25.5">
      <c r="B11172" s="3192" t="s">
        <v>720</v>
      </c>
      <c r="C11172" s="3063"/>
      <c r="D11172" s="3064"/>
      <c r="E11172" s="3064"/>
      <c r="F11172" s="3064"/>
      <c r="G11172" s="3301" t="s">
        <v>720</v>
      </c>
      <c r="H11172" s="3063"/>
      <c r="I11172" s="3030"/>
    </row>
    <row r="11173" spans="2:9" ht="25.5">
      <c r="B11173" s="3299" t="s">
        <v>682</v>
      </c>
      <c r="C11173" s="3063"/>
      <c r="D11173" s="3064"/>
      <c r="E11173" s="3064"/>
      <c r="F11173" s="3064"/>
      <c r="G11173" s="3300" t="s">
        <v>682</v>
      </c>
      <c r="H11173" s="3063"/>
      <c r="I11173" s="3030"/>
    </row>
    <row r="11174" spans="2:9" ht="25.5">
      <c r="B11174" s="3192" t="s">
        <v>675</v>
      </c>
      <c r="C11174" s="3063"/>
      <c r="D11174" s="3064"/>
      <c r="E11174" s="3064"/>
      <c r="F11174" s="3064"/>
      <c r="G11174" s="3301" t="s">
        <v>675</v>
      </c>
      <c r="H11174" s="3063"/>
      <c r="I11174" s="3030"/>
    </row>
    <row r="11175" spans="2:9" ht="25.5">
      <c r="B11175" s="3192" t="s">
        <v>676</v>
      </c>
      <c r="C11175" s="3063"/>
      <c r="D11175" s="3064"/>
      <c r="E11175" s="3064"/>
      <c r="F11175" s="3064"/>
      <c r="G11175" s="3301" t="s">
        <v>676</v>
      </c>
      <c r="H11175" s="3063"/>
      <c r="I11175" s="3030"/>
    </row>
    <row r="11176" spans="2:9">
      <c r="B11176" s="3192" t="s">
        <v>677</v>
      </c>
      <c r="C11176" s="3063"/>
      <c r="D11176" s="3064"/>
      <c r="E11176" s="3064"/>
      <c r="F11176" s="3064"/>
      <c r="G11176" s="3301" t="s">
        <v>677</v>
      </c>
      <c r="H11176" s="3063"/>
      <c r="I11176" s="3030"/>
    </row>
    <row r="11177" spans="2:9">
      <c r="B11177" s="3192" t="s">
        <v>678</v>
      </c>
      <c r="C11177" s="3063"/>
      <c r="D11177" s="3064"/>
      <c r="E11177" s="3064"/>
      <c r="F11177" s="3064"/>
      <c r="G11177" s="3301" t="s">
        <v>678</v>
      </c>
      <c r="H11177" s="3063"/>
      <c r="I11177" s="3030"/>
    </row>
    <row r="11178" spans="2:9">
      <c r="B11178" s="3192" t="s">
        <v>679</v>
      </c>
      <c r="C11178" s="3063"/>
      <c r="D11178" s="3064"/>
      <c r="E11178" s="3064"/>
      <c r="F11178" s="3064"/>
      <c r="G11178" s="3301" t="s">
        <v>679</v>
      </c>
      <c r="H11178" s="3063"/>
      <c r="I11178" s="3030"/>
    </row>
    <row r="11179" spans="2:9" ht="25.5">
      <c r="B11179" s="3192" t="s">
        <v>720</v>
      </c>
      <c r="C11179" s="3063"/>
      <c r="D11179" s="3064"/>
      <c r="E11179" s="3064"/>
      <c r="F11179" s="3064"/>
      <c r="G11179" s="3301" t="s">
        <v>720</v>
      </c>
      <c r="H11179" s="3063"/>
      <c r="I11179" s="3030"/>
    </row>
    <row r="11180" spans="2:9" ht="25.5">
      <c r="B11180" s="3299" t="s">
        <v>66</v>
      </c>
      <c r="C11180" s="3063"/>
      <c r="D11180" s="3064"/>
      <c r="E11180" s="3064"/>
      <c r="F11180" s="3064"/>
      <c r="G11180" s="3300" t="s">
        <v>66</v>
      </c>
      <c r="H11180" s="3063"/>
      <c r="I11180" s="3030"/>
    </row>
    <row r="11181" spans="2:9" ht="25.5">
      <c r="B11181" s="3192" t="s">
        <v>675</v>
      </c>
      <c r="C11181" s="3063"/>
      <c r="D11181" s="3064"/>
      <c r="E11181" s="3064"/>
      <c r="F11181" s="3064"/>
      <c r="G11181" s="3301" t="s">
        <v>675</v>
      </c>
      <c r="H11181" s="3063"/>
      <c r="I11181" s="3030"/>
    </row>
    <row r="11182" spans="2:9" ht="25.5">
      <c r="B11182" s="3192" t="s">
        <v>676</v>
      </c>
      <c r="C11182" s="3063"/>
      <c r="D11182" s="3064"/>
      <c r="E11182" s="3064"/>
      <c r="F11182" s="3064"/>
      <c r="G11182" s="3301" t="s">
        <v>676</v>
      </c>
      <c r="H11182" s="3063"/>
      <c r="I11182" s="3030"/>
    </row>
    <row r="11183" spans="2:9">
      <c r="B11183" s="3192" t="s">
        <v>677</v>
      </c>
      <c r="C11183" s="3063"/>
      <c r="D11183" s="3064"/>
      <c r="E11183" s="3064"/>
      <c r="F11183" s="3064"/>
      <c r="G11183" s="3301" t="s">
        <v>677</v>
      </c>
      <c r="H11183" s="3063"/>
      <c r="I11183" s="3030"/>
    </row>
    <row r="11184" spans="2:9">
      <c r="B11184" s="3192" t="s">
        <v>678</v>
      </c>
      <c r="C11184" s="3063"/>
      <c r="D11184" s="3064"/>
      <c r="E11184" s="3064"/>
      <c r="F11184" s="3064"/>
      <c r="G11184" s="3301" t="s">
        <v>678</v>
      </c>
      <c r="H11184" s="3063"/>
      <c r="I11184" s="3030"/>
    </row>
    <row r="11185" spans="2:9">
      <c r="B11185" s="3192" t="s">
        <v>679</v>
      </c>
      <c r="C11185" s="3063"/>
      <c r="D11185" s="3064"/>
      <c r="E11185" s="3064"/>
      <c r="F11185" s="3064"/>
      <c r="G11185" s="3301" t="s">
        <v>679</v>
      </c>
      <c r="H11185" s="3063"/>
      <c r="I11185" s="3030"/>
    </row>
    <row r="11186" spans="2:9" ht="25.5">
      <c r="B11186" s="3192" t="s">
        <v>720</v>
      </c>
      <c r="C11186" s="3063"/>
      <c r="D11186" s="3064"/>
      <c r="E11186" s="3064"/>
      <c r="F11186" s="3064"/>
      <c r="G11186" s="3301" t="s">
        <v>720</v>
      </c>
      <c r="H11186" s="3063"/>
      <c r="I11186" s="3030"/>
    </row>
    <row r="11187" spans="2:9">
      <c r="B11187" s="3299" t="s">
        <v>67</v>
      </c>
      <c r="C11187" s="3063"/>
      <c r="D11187" s="3064"/>
      <c r="E11187" s="3064"/>
      <c r="F11187" s="3064"/>
      <c r="G11187" s="3300" t="s">
        <v>67</v>
      </c>
      <c r="H11187" s="3063"/>
      <c r="I11187" s="3030"/>
    </row>
    <row r="11188" spans="2:9" ht="25.5">
      <c r="B11188" s="3192" t="s">
        <v>675</v>
      </c>
      <c r="C11188" s="3063"/>
      <c r="D11188" s="3064"/>
      <c r="E11188" s="3064"/>
      <c r="F11188" s="3064"/>
      <c r="G11188" s="3301" t="s">
        <v>675</v>
      </c>
      <c r="H11188" s="3063"/>
      <c r="I11188" s="3030"/>
    </row>
    <row r="11189" spans="2:9" ht="25.5">
      <c r="B11189" s="3192" t="s">
        <v>676</v>
      </c>
      <c r="C11189" s="3063"/>
      <c r="D11189" s="3064"/>
      <c r="E11189" s="3064"/>
      <c r="F11189" s="3064"/>
      <c r="G11189" s="3301" t="s">
        <v>676</v>
      </c>
      <c r="H11189" s="3063"/>
      <c r="I11189" s="3030"/>
    </row>
    <row r="11190" spans="2:9">
      <c r="B11190" s="3192" t="s">
        <v>677</v>
      </c>
      <c r="C11190" s="3063"/>
      <c r="D11190" s="3064"/>
      <c r="E11190" s="3064"/>
      <c r="F11190" s="3064"/>
      <c r="G11190" s="3301" t="s">
        <v>677</v>
      </c>
      <c r="H11190" s="3063"/>
      <c r="I11190" s="3030"/>
    </row>
    <row r="11191" spans="2:9">
      <c r="B11191" s="3192" t="s">
        <v>678</v>
      </c>
      <c r="C11191" s="3063"/>
      <c r="D11191" s="3064"/>
      <c r="E11191" s="3064"/>
      <c r="F11191" s="3064"/>
      <c r="G11191" s="3301" t="s">
        <v>678</v>
      </c>
      <c r="H11191" s="3063"/>
      <c r="I11191" s="3030"/>
    </row>
    <row r="11192" spans="2:9">
      <c r="B11192" s="3192" t="s">
        <v>679</v>
      </c>
      <c r="C11192" s="3063"/>
      <c r="D11192" s="3064"/>
      <c r="E11192" s="3064"/>
      <c r="F11192" s="3064"/>
      <c r="G11192" s="3301" t="s">
        <v>679</v>
      </c>
      <c r="H11192" s="3063"/>
      <c r="I11192" s="3030"/>
    </row>
    <row r="11193" spans="2:9" ht="25.5">
      <c r="B11193" s="3192" t="s">
        <v>720</v>
      </c>
      <c r="C11193" s="3063"/>
      <c r="D11193" s="3064"/>
      <c r="E11193" s="3064"/>
      <c r="F11193" s="3064"/>
      <c r="G11193" s="3301" t="s">
        <v>720</v>
      </c>
      <c r="H11193" s="3063"/>
      <c r="I11193" s="3030"/>
    </row>
    <row r="11194" spans="2:9" ht="25.5">
      <c r="B11194" s="3230" t="s">
        <v>81</v>
      </c>
      <c r="C11194" s="3063"/>
      <c r="D11194" s="3064"/>
      <c r="E11194" s="3064"/>
      <c r="F11194" s="3064"/>
      <c r="G11194" s="3302" t="s">
        <v>81</v>
      </c>
      <c r="H11194" s="3063"/>
      <c r="I11194" s="3030"/>
    </row>
    <row r="11195" spans="2:9" ht="26.25" thickBot="1">
      <c r="B11195" s="3303" t="s">
        <v>81</v>
      </c>
      <c r="C11195" s="3063"/>
      <c r="D11195" s="3064"/>
      <c r="E11195" s="3064"/>
      <c r="F11195" s="3064"/>
      <c r="G11195" s="3302" t="s">
        <v>81</v>
      </c>
      <c r="H11195" s="3063"/>
      <c r="I11195" s="3030"/>
    </row>
    <row r="11196" spans="2:9" ht="25.5">
      <c r="B11196" s="3217" t="s">
        <v>696</v>
      </c>
      <c r="C11196" s="3218"/>
      <c r="D11196" s="3219"/>
      <c r="E11196" s="3219"/>
      <c r="F11196" s="3219"/>
      <c r="G11196" s="3217" t="s">
        <v>696</v>
      </c>
      <c r="H11196" s="3297"/>
      <c r="I11196" s="3298"/>
    </row>
    <row r="11197" spans="2:9">
      <c r="B11197" s="3299" t="s">
        <v>64</v>
      </c>
      <c r="C11197" s="3063"/>
      <c r="D11197" s="3064"/>
      <c r="E11197" s="3064"/>
      <c r="F11197" s="3064"/>
      <c r="G11197" s="3300" t="s">
        <v>64</v>
      </c>
      <c r="H11197" s="3063"/>
      <c r="I11197" s="3030"/>
    </row>
    <row r="11198" spans="2:9" ht="25.5">
      <c r="B11198" s="3192" t="s">
        <v>675</v>
      </c>
      <c r="C11198" s="3063"/>
      <c r="D11198" s="3064"/>
      <c r="E11198" s="3064"/>
      <c r="F11198" s="3064"/>
      <c r="G11198" s="3301" t="s">
        <v>675</v>
      </c>
      <c r="H11198" s="3063"/>
      <c r="I11198" s="3030"/>
    </row>
    <row r="11199" spans="2:9" ht="25.5">
      <c r="B11199" s="3192" t="s">
        <v>676</v>
      </c>
      <c r="C11199" s="3063"/>
      <c r="D11199" s="3064"/>
      <c r="E11199" s="3064"/>
      <c r="F11199" s="3064"/>
      <c r="G11199" s="3301" t="s">
        <v>676</v>
      </c>
      <c r="H11199" s="3063"/>
      <c r="I11199" s="3030"/>
    </row>
    <row r="11200" spans="2:9">
      <c r="B11200" s="3192" t="s">
        <v>677</v>
      </c>
      <c r="C11200" s="3063"/>
      <c r="D11200" s="3064"/>
      <c r="E11200" s="3064"/>
      <c r="F11200" s="3064"/>
      <c r="G11200" s="3301" t="s">
        <v>677</v>
      </c>
      <c r="H11200" s="3063"/>
      <c r="I11200" s="3030"/>
    </row>
    <row r="11201" spans="2:9">
      <c r="B11201" s="3192" t="s">
        <v>678</v>
      </c>
      <c r="C11201" s="3063"/>
      <c r="D11201" s="3064"/>
      <c r="E11201" s="3064"/>
      <c r="F11201" s="3064"/>
      <c r="G11201" s="3301" t="s">
        <v>678</v>
      </c>
      <c r="H11201" s="3063"/>
      <c r="I11201" s="3030"/>
    </row>
    <row r="11202" spans="2:9">
      <c r="B11202" s="3192" t="s">
        <v>679</v>
      </c>
      <c r="C11202" s="3063"/>
      <c r="D11202" s="3064"/>
      <c r="E11202" s="3064"/>
      <c r="F11202" s="3064"/>
      <c r="G11202" s="3301" t="s">
        <v>679</v>
      </c>
      <c r="H11202" s="3063"/>
      <c r="I11202" s="3030"/>
    </row>
    <row r="11203" spans="2:9" ht="25.5">
      <c r="B11203" s="3192" t="s">
        <v>720</v>
      </c>
      <c r="C11203" s="3063"/>
      <c r="D11203" s="3064"/>
      <c r="E11203" s="3064"/>
      <c r="F11203" s="3064"/>
      <c r="G11203" s="3301" t="s">
        <v>720</v>
      </c>
      <c r="H11203" s="3063"/>
      <c r="I11203" s="3030"/>
    </row>
    <row r="11204" spans="2:9">
      <c r="B11204" s="3299" t="s">
        <v>65</v>
      </c>
      <c r="C11204" s="3063"/>
      <c r="D11204" s="3064"/>
      <c r="E11204" s="3064"/>
      <c r="F11204" s="3064"/>
      <c r="G11204" s="3300" t="s">
        <v>65</v>
      </c>
      <c r="H11204" s="3063"/>
      <c r="I11204" s="3030"/>
    </row>
    <row r="11205" spans="2:9" ht="25.5">
      <c r="B11205" s="3192" t="s">
        <v>675</v>
      </c>
      <c r="C11205" s="3063"/>
      <c r="D11205" s="3064"/>
      <c r="E11205" s="3064"/>
      <c r="F11205" s="3064"/>
      <c r="G11205" s="3301" t="s">
        <v>675</v>
      </c>
      <c r="H11205" s="3063"/>
      <c r="I11205" s="3030"/>
    </row>
    <row r="11206" spans="2:9" ht="25.5">
      <c r="B11206" s="3192" t="s">
        <v>676</v>
      </c>
      <c r="C11206" s="3063"/>
      <c r="D11206" s="3064"/>
      <c r="E11206" s="3064"/>
      <c r="F11206" s="3064"/>
      <c r="G11206" s="3301" t="s">
        <v>676</v>
      </c>
      <c r="H11206" s="3063"/>
      <c r="I11206" s="3030"/>
    </row>
    <row r="11207" spans="2:9">
      <c r="B11207" s="3192" t="s">
        <v>677</v>
      </c>
      <c r="C11207" s="3063"/>
      <c r="D11207" s="3064"/>
      <c r="E11207" s="3064"/>
      <c r="F11207" s="3064"/>
      <c r="G11207" s="3301" t="s">
        <v>677</v>
      </c>
      <c r="H11207" s="3063"/>
      <c r="I11207" s="3030"/>
    </row>
    <row r="11208" spans="2:9">
      <c r="B11208" s="3192" t="s">
        <v>678</v>
      </c>
      <c r="C11208" s="3063"/>
      <c r="D11208" s="3064"/>
      <c r="E11208" s="3064"/>
      <c r="F11208" s="3064"/>
      <c r="G11208" s="3301" t="s">
        <v>678</v>
      </c>
      <c r="H11208" s="3063"/>
      <c r="I11208" s="3030"/>
    </row>
    <row r="11209" spans="2:9">
      <c r="B11209" s="3192" t="s">
        <v>679</v>
      </c>
      <c r="C11209" s="3063"/>
      <c r="D11209" s="3064"/>
      <c r="E11209" s="3064"/>
      <c r="F11209" s="3064"/>
      <c r="G11209" s="3301" t="s">
        <v>679</v>
      </c>
      <c r="H11209" s="3063"/>
      <c r="I11209" s="3030"/>
    </row>
    <row r="11210" spans="2:9" ht="25.5">
      <c r="B11210" s="3192" t="s">
        <v>720</v>
      </c>
      <c r="C11210" s="3063"/>
      <c r="D11210" s="3064"/>
      <c r="E11210" s="3064"/>
      <c r="F11210" s="3064"/>
      <c r="G11210" s="3301" t="s">
        <v>720</v>
      </c>
      <c r="H11210" s="3063"/>
      <c r="I11210" s="3030"/>
    </row>
    <row r="11211" spans="2:9">
      <c r="B11211" s="3299" t="s">
        <v>82</v>
      </c>
      <c r="C11211" s="3063"/>
      <c r="D11211" s="3064"/>
      <c r="E11211" s="3064"/>
      <c r="F11211" s="3064"/>
      <c r="G11211" s="3300" t="s">
        <v>82</v>
      </c>
      <c r="H11211" s="3063"/>
      <c r="I11211" s="3030"/>
    </row>
    <row r="11212" spans="2:9" ht="25.5">
      <c r="B11212" s="3192" t="s">
        <v>675</v>
      </c>
      <c r="C11212" s="3063"/>
      <c r="D11212" s="3064"/>
      <c r="E11212" s="3064"/>
      <c r="F11212" s="3064"/>
      <c r="G11212" s="3301" t="s">
        <v>675</v>
      </c>
      <c r="H11212" s="3063"/>
      <c r="I11212" s="3030"/>
    </row>
    <row r="11213" spans="2:9" ht="25.5">
      <c r="B11213" s="3192" t="s">
        <v>676</v>
      </c>
      <c r="C11213" s="3063"/>
      <c r="D11213" s="3064"/>
      <c r="E11213" s="3064"/>
      <c r="F11213" s="3064"/>
      <c r="G11213" s="3301" t="s">
        <v>676</v>
      </c>
      <c r="H11213" s="3063"/>
      <c r="I11213" s="3030"/>
    </row>
    <row r="11214" spans="2:9">
      <c r="B11214" s="3192" t="s">
        <v>677</v>
      </c>
      <c r="C11214" s="3063"/>
      <c r="D11214" s="3064"/>
      <c r="E11214" s="3064"/>
      <c r="F11214" s="3064"/>
      <c r="G11214" s="3301" t="s">
        <v>677</v>
      </c>
      <c r="H11214" s="3063"/>
      <c r="I11214" s="3030"/>
    </row>
    <row r="11215" spans="2:9">
      <c r="B11215" s="3192" t="s">
        <v>678</v>
      </c>
      <c r="C11215" s="3063"/>
      <c r="D11215" s="3064"/>
      <c r="E11215" s="3064"/>
      <c r="F11215" s="3064"/>
      <c r="G11215" s="3301" t="s">
        <v>678</v>
      </c>
      <c r="H11215" s="3063"/>
      <c r="I11215" s="3030"/>
    </row>
    <row r="11216" spans="2:9">
      <c r="B11216" s="3192" t="s">
        <v>679</v>
      </c>
      <c r="C11216" s="3063"/>
      <c r="D11216" s="3064"/>
      <c r="E11216" s="3064"/>
      <c r="F11216" s="3064"/>
      <c r="G11216" s="3301" t="s">
        <v>679</v>
      </c>
      <c r="H11216" s="3063"/>
      <c r="I11216" s="3030"/>
    </row>
    <row r="11217" spans="2:9" ht="25.5">
      <c r="B11217" s="3192" t="s">
        <v>720</v>
      </c>
      <c r="C11217" s="3063"/>
      <c r="D11217" s="3064"/>
      <c r="E11217" s="3064"/>
      <c r="F11217" s="3064"/>
      <c r="G11217" s="3301" t="s">
        <v>720</v>
      </c>
      <c r="H11217" s="3063"/>
      <c r="I11217" s="3030"/>
    </row>
    <row r="11218" spans="2:9" ht="38.25">
      <c r="B11218" s="3299" t="s">
        <v>680</v>
      </c>
      <c r="C11218" s="3063"/>
      <c r="D11218" s="3064"/>
      <c r="E11218" s="3064"/>
      <c r="F11218" s="3064"/>
      <c r="G11218" s="3300" t="s">
        <v>680</v>
      </c>
      <c r="H11218" s="3063"/>
      <c r="I11218" s="3030"/>
    </row>
    <row r="11219" spans="2:9" ht="25.5">
      <c r="B11219" s="3192" t="s">
        <v>675</v>
      </c>
      <c r="C11219" s="3063"/>
      <c r="D11219" s="3064"/>
      <c r="E11219" s="3064"/>
      <c r="F11219" s="3064"/>
      <c r="G11219" s="3301" t="s">
        <v>675</v>
      </c>
      <c r="H11219" s="3063"/>
      <c r="I11219" s="3030"/>
    </row>
    <row r="11220" spans="2:9" ht="25.5">
      <c r="B11220" s="3192" t="s">
        <v>676</v>
      </c>
      <c r="C11220" s="3063"/>
      <c r="D11220" s="3064"/>
      <c r="E11220" s="3064"/>
      <c r="F11220" s="3064"/>
      <c r="G11220" s="3301" t="s">
        <v>676</v>
      </c>
      <c r="H11220" s="3063"/>
      <c r="I11220" s="3030"/>
    </row>
    <row r="11221" spans="2:9">
      <c r="B11221" s="3192" t="s">
        <v>677</v>
      </c>
      <c r="C11221" s="3063"/>
      <c r="D11221" s="3064"/>
      <c r="E11221" s="3064"/>
      <c r="F11221" s="3064"/>
      <c r="G11221" s="3301" t="s">
        <v>677</v>
      </c>
      <c r="H11221" s="3063"/>
      <c r="I11221" s="3030"/>
    </row>
    <row r="11222" spans="2:9">
      <c r="B11222" s="3192" t="s">
        <v>678</v>
      </c>
      <c r="C11222" s="3063"/>
      <c r="D11222" s="3064"/>
      <c r="E11222" s="3064"/>
      <c r="F11222" s="3064"/>
      <c r="G11222" s="3301" t="s">
        <v>678</v>
      </c>
      <c r="H11222" s="3063"/>
      <c r="I11222" s="3030"/>
    </row>
    <row r="11223" spans="2:9">
      <c r="B11223" s="3192" t="s">
        <v>679</v>
      </c>
      <c r="C11223" s="3063"/>
      <c r="D11223" s="3064"/>
      <c r="E11223" s="3064"/>
      <c r="F11223" s="3064"/>
      <c r="G11223" s="3301" t="s">
        <v>679</v>
      </c>
      <c r="H11223" s="3063"/>
      <c r="I11223" s="3030"/>
    </row>
    <row r="11224" spans="2:9" ht="25.5">
      <c r="B11224" s="3192" t="s">
        <v>720</v>
      </c>
      <c r="C11224" s="3063"/>
      <c r="D11224" s="3064"/>
      <c r="E11224" s="3064"/>
      <c r="F11224" s="3064"/>
      <c r="G11224" s="3301" t="s">
        <v>720</v>
      </c>
      <c r="H11224" s="3063"/>
      <c r="I11224" s="3030"/>
    </row>
    <row r="11225" spans="2:9" ht="38.25">
      <c r="B11225" s="3299" t="s">
        <v>681</v>
      </c>
      <c r="C11225" s="3063"/>
      <c r="D11225" s="3064"/>
      <c r="E11225" s="3064"/>
      <c r="F11225" s="3064"/>
      <c r="G11225" s="3300" t="s">
        <v>681</v>
      </c>
      <c r="H11225" s="3063"/>
      <c r="I11225" s="3030"/>
    </row>
    <row r="11226" spans="2:9" ht="25.5">
      <c r="B11226" s="3192" t="s">
        <v>675</v>
      </c>
      <c r="C11226" s="3063"/>
      <c r="D11226" s="3064"/>
      <c r="E11226" s="3064"/>
      <c r="F11226" s="3064"/>
      <c r="G11226" s="3301" t="s">
        <v>675</v>
      </c>
      <c r="H11226" s="3063"/>
      <c r="I11226" s="3030"/>
    </row>
    <row r="11227" spans="2:9" ht="25.5">
      <c r="B11227" s="3192" t="s">
        <v>676</v>
      </c>
      <c r="C11227" s="3063"/>
      <c r="D11227" s="3064"/>
      <c r="E11227" s="3064"/>
      <c r="F11227" s="3064"/>
      <c r="G11227" s="3301" t="s">
        <v>676</v>
      </c>
      <c r="H11227" s="3063"/>
      <c r="I11227" s="3030"/>
    </row>
    <row r="11228" spans="2:9">
      <c r="B11228" s="3192" t="s">
        <v>677</v>
      </c>
      <c r="C11228" s="3063"/>
      <c r="D11228" s="3064"/>
      <c r="E11228" s="3064"/>
      <c r="F11228" s="3064"/>
      <c r="G11228" s="3301" t="s">
        <v>677</v>
      </c>
      <c r="H11228" s="3063"/>
      <c r="I11228" s="3030"/>
    </row>
    <row r="11229" spans="2:9">
      <c r="B11229" s="3192" t="s">
        <v>678</v>
      </c>
      <c r="C11229" s="3063"/>
      <c r="D11229" s="3064"/>
      <c r="E11229" s="3064"/>
      <c r="F11229" s="3064"/>
      <c r="G11229" s="3301" t="s">
        <v>678</v>
      </c>
      <c r="H11229" s="3063"/>
      <c r="I11229" s="3030"/>
    </row>
    <row r="11230" spans="2:9">
      <c r="B11230" s="3192" t="s">
        <v>679</v>
      </c>
      <c r="C11230" s="3063"/>
      <c r="D11230" s="3064"/>
      <c r="E11230" s="3064"/>
      <c r="F11230" s="3064"/>
      <c r="G11230" s="3301" t="s">
        <v>679</v>
      </c>
      <c r="H11230" s="3063"/>
      <c r="I11230" s="3030"/>
    </row>
    <row r="11231" spans="2:9" ht="25.5">
      <c r="B11231" s="3192" t="s">
        <v>720</v>
      </c>
      <c r="C11231" s="3063"/>
      <c r="D11231" s="3064"/>
      <c r="E11231" s="3064"/>
      <c r="F11231" s="3064"/>
      <c r="G11231" s="3301" t="s">
        <v>720</v>
      </c>
      <c r="H11231" s="3063"/>
      <c r="I11231" s="3030"/>
    </row>
    <row r="11232" spans="2:9" ht="25.5">
      <c r="B11232" s="3299" t="s">
        <v>682</v>
      </c>
      <c r="C11232" s="3063"/>
      <c r="D11232" s="3064"/>
      <c r="E11232" s="3064"/>
      <c r="F11232" s="3064"/>
      <c r="G11232" s="3300" t="s">
        <v>682</v>
      </c>
      <c r="H11232" s="3063"/>
      <c r="I11232" s="3030"/>
    </row>
    <row r="11233" spans="2:9" ht="25.5">
      <c r="B11233" s="3192" t="s">
        <v>675</v>
      </c>
      <c r="C11233" s="3063"/>
      <c r="D11233" s="3064"/>
      <c r="E11233" s="3064"/>
      <c r="F11233" s="3064"/>
      <c r="G11233" s="3301" t="s">
        <v>675</v>
      </c>
      <c r="H11233" s="3063"/>
      <c r="I11233" s="3030"/>
    </row>
    <row r="11234" spans="2:9" ht="25.5">
      <c r="B11234" s="3192" t="s">
        <v>676</v>
      </c>
      <c r="C11234" s="3063"/>
      <c r="D11234" s="3064"/>
      <c r="E11234" s="3064"/>
      <c r="F11234" s="3064"/>
      <c r="G11234" s="3301" t="s">
        <v>676</v>
      </c>
      <c r="H11234" s="3063"/>
      <c r="I11234" s="3030"/>
    </row>
    <row r="11235" spans="2:9">
      <c r="B11235" s="3192" t="s">
        <v>677</v>
      </c>
      <c r="C11235" s="3063"/>
      <c r="D11235" s="3064"/>
      <c r="E11235" s="3064"/>
      <c r="F11235" s="3064"/>
      <c r="G11235" s="3301" t="s">
        <v>677</v>
      </c>
      <c r="H11235" s="3063"/>
      <c r="I11235" s="3030"/>
    </row>
    <row r="11236" spans="2:9">
      <c r="B11236" s="3192" t="s">
        <v>678</v>
      </c>
      <c r="C11236" s="3063"/>
      <c r="D11236" s="3064"/>
      <c r="E11236" s="3064"/>
      <c r="F11236" s="3064"/>
      <c r="G11236" s="3301" t="s">
        <v>678</v>
      </c>
      <c r="H11236" s="3063"/>
      <c r="I11236" s="3030"/>
    </row>
    <row r="11237" spans="2:9">
      <c r="B11237" s="3192" t="s">
        <v>679</v>
      </c>
      <c r="C11237" s="3063"/>
      <c r="D11237" s="3064"/>
      <c r="E11237" s="3064"/>
      <c r="F11237" s="3064"/>
      <c r="G11237" s="3301" t="s">
        <v>679</v>
      </c>
      <c r="H11237" s="3063"/>
      <c r="I11237" s="3030"/>
    </row>
    <row r="11238" spans="2:9" ht="25.5">
      <c r="B11238" s="3192" t="s">
        <v>720</v>
      </c>
      <c r="C11238" s="3063"/>
      <c r="D11238" s="3064"/>
      <c r="E11238" s="3064"/>
      <c r="F11238" s="3064"/>
      <c r="G11238" s="3301" t="s">
        <v>720</v>
      </c>
      <c r="H11238" s="3063"/>
      <c r="I11238" s="3030"/>
    </row>
    <row r="11239" spans="2:9" ht="25.5">
      <c r="B11239" s="3299" t="s">
        <v>66</v>
      </c>
      <c r="C11239" s="3063"/>
      <c r="D11239" s="3064"/>
      <c r="E11239" s="3064"/>
      <c r="F11239" s="3064"/>
      <c r="G11239" s="3300" t="s">
        <v>66</v>
      </c>
      <c r="H11239" s="3063"/>
      <c r="I11239" s="3030"/>
    </row>
    <row r="11240" spans="2:9" ht="25.5">
      <c r="B11240" s="3192" t="s">
        <v>675</v>
      </c>
      <c r="C11240" s="3063"/>
      <c r="D11240" s="3064"/>
      <c r="E11240" s="3064"/>
      <c r="F11240" s="3064"/>
      <c r="G11240" s="3301" t="s">
        <v>675</v>
      </c>
      <c r="H11240" s="3063"/>
      <c r="I11240" s="3030"/>
    </row>
    <row r="11241" spans="2:9" ht="25.5">
      <c r="B11241" s="3192" t="s">
        <v>676</v>
      </c>
      <c r="C11241" s="3063"/>
      <c r="D11241" s="3064"/>
      <c r="E11241" s="3064"/>
      <c r="F11241" s="3064"/>
      <c r="G11241" s="3301" t="s">
        <v>676</v>
      </c>
      <c r="H11241" s="3063"/>
      <c r="I11241" s="3030"/>
    </row>
    <row r="11242" spans="2:9">
      <c r="B11242" s="3192" t="s">
        <v>677</v>
      </c>
      <c r="C11242" s="3063"/>
      <c r="D11242" s="3064"/>
      <c r="E11242" s="3064"/>
      <c r="F11242" s="3064"/>
      <c r="G11242" s="3301" t="s">
        <v>677</v>
      </c>
      <c r="H11242" s="3063"/>
      <c r="I11242" s="3030"/>
    </row>
    <row r="11243" spans="2:9">
      <c r="B11243" s="3192" t="s">
        <v>678</v>
      </c>
      <c r="C11243" s="3063"/>
      <c r="D11243" s="3064"/>
      <c r="E11243" s="3064"/>
      <c r="F11243" s="3064"/>
      <c r="G11243" s="3301" t="s">
        <v>678</v>
      </c>
      <c r="H11243" s="3063"/>
      <c r="I11243" s="3030"/>
    </row>
    <row r="11244" spans="2:9">
      <c r="B11244" s="3192" t="s">
        <v>679</v>
      </c>
      <c r="C11244" s="3063"/>
      <c r="D11244" s="3064"/>
      <c r="E11244" s="3064"/>
      <c r="F11244" s="3064"/>
      <c r="G11244" s="3301" t="s">
        <v>679</v>
      </c>
      <c r="H11244" s="3063"/>
      <c r="I11244" s="3030"/>
    </row>
    <row r="11245" spans="2:9" ht="25.5">
      <c r="B11245" s="3192" t="s">
        <v>720</v>
      </c>
      <c r="C11245" s="3063"/>
      <c r="D11245" s="3064"/>
      <c r="E11245" s="3064"/>
      <c r="F11245" s="3064"/>
      <c r="G11245" s="3301" t="s">
        <v>720</v>
      </c>
      <c r="H11245" s="3063"/>
      <c r="I11245" s="3030"/>
    </row>
    <row r="11246" spans="2:9">
      <c r="B11246" s="3299" t="s">
        <v>67</v>
      </c>
      <c r="C11246" s="3063"/>
      <c r="D11246" s="3064"/>
      <c r="E11246" s="3064"/>
      <c r="F11246" s="3064"/>
      <c r="G11246" s="3300" t="s">
        <v>67</v>
      </c>
      <c r="H11246" s="3063"/>
      <c r="I11246" s="3030"/>
    </row>
    <row r="11247" spans="2:9" ht="25.5">
      <c r="B11247" s="3192" t="s">
        <v>675</v>
      </c>
      <c r="C11247" s="3063"/>
      <c r="D11247" s="3064"/>
      <c r="E11247" s="3064"/>
      <c r="F11247" s="3064"/>
      <c r="G11247" s="3301" t="s">
        <v>675</v>
      </c>
      <c r="H11247" s="3063"/>
      <c r="I11247" s="3030"/>
    </row>
    <row r="11248" spans="2:9" ht="25.5">
      <c r="B11248" s="3192" t="s">
        <v>676</v>
      </c>
      <c r="C11248" s="3063"/>
      <c r="D11248" s="3064"/>
      <c r="E11248" s="3064"/>
      <c r="F11248" s="3064"/>
      <c r="G11248" s="3301" t="s">
        <v>676</v>
      </c>
      <c r="H11248" s="3063"/>
      <c r="I11248" s="3030"/>
    </row>
    <row r="11249" spans="2:9">
      <c r="B11249" s="3192" t="s">
        <v>677</v>
      </c>
      <c r="C11249" s="3063"/>
      <c r="D11249" s="3064"/>
      <c r="E11249" s="3064"/>
      <c r="F11249" s="3064"/>
      <c r="G11249" s="3301" t="s">
        <v>677</v>
      </c>
      <c r="H11249" s="3063"/>
      <c r="I11249" s="3030"/>
    </row>
    <row r="11250" spans="2:9">
      <c r="B11250" s="3192" t="s">
        <v>678</v>
      </c>
      <c r="C11250" s="3063"/>
      <c r="D11250" s="3064"/>
      <c r="E11250" s="3064"/>
      <c r="F11250" s="3064"/>
      <c r="G11250" s="3301" t="s">
        <v>678</v>
      </c>
      <c r="H11250" s="3063"/>
      <c r="I11250" s="3030"/>
    </row>
    <row r="11251" spans="2:9">
      <c r="B11251" s="3192" t="s">
        <v>679</v>
      </c>
      <c r="C11251" s="3063"/>
      <c r="D11251" s="3064"/>
      <c r="E11251" s="3064"/>
      <c r="F11251" s="3064"/>
      <c r="G11251" s="3301" t="s">
        <v>679</v>
      </c>
      <c r="H11251" s="3063"/>
      <c r="I11251" s="3030"/>
    </row>
    <row r="11252" spans="2:9" ht="25.5">
      <c r="B11252" s="3230" t="s">
        <v>81</v>
      </c>
      <c r="C11252" s="3063"/>
      <c r="D11252" s="3064"/>
      <c r="E11252" s="3064"/>
      <c r="F11252" s="3064"/>
      <c r="G11252" s="3302" t="s">
        <v>81</v>
      </c>
      <c r="H11252" s="3063"/>
      <c r="I11252" s="3030"/>
    </row>
    <row r="11253" spans="2:9" ht="26.25" thickBot="1">
      <c r="B11253" s="3303" t="s">
        <v>81</v>
      </c>
      <c r="C11253" s="3063"/>
      <c r="D11253" s="3064"/>
      <c r="E11253" s="3064"/>
      <c r="F11253" s="3064"/>
      <c r="G11253" s="3302" t="s">
        <v>81</v>
      </c>
      <c r="H11253" s="3063"/>
      <c r="I11253" s="3030"/>
    </row>
    <row r="11254" spans="2:9">
      <c r="B11254" s="3217" t="s">
        <v>697</v>
      </c>
      <c r="C11254" s="3218"/>
      <c r="D11254" s="3219"/>
      <c r="E11254" s="3219"/>
      <c r="F11254" s="3219"/>
      <c r="G11254" s="3217" t="s">
        <v>697</v>
      </c>
      <c r="H11254" s="3297"/>
      <c r="I11254" s="3298"/>
    </row>
    <row r="11255" spans="2:9">
      <c r="B11255" s="3299" t="s">
        <v>64</v>
      </c>
      <c r="C11255" s="3063"/>
      <c r="D11255" s="3064"/>
      <c r="E11255" s="3064"/>
      <c r="F11255" s="3064"/>
      <c r="G11255" s="3300" t="s">
        <v>64</v>
      </c>
      <c r="H11255" s="3063"/>
      <c r="I11255" s="3030"/>
    </row>
    <row r="11256" spans="2:9" ht="25.5">
      <c r="B11256" s="3192" t="s">
        <v>675</v>
      </c>
      <c r="C11256" s="3063"/>
      <c r="D11256" s="3064"/>
      <c r="E11256" s="3064"/>
      <c r="F11256" s="3064"/>
      <c r="G11256" s="3301" t="s">
        <v>675</v>
      </c>
      <c r="H11256" s="3063"/>
      <c r="I11256" s="3030"/>
    </row>
    <row r="11257" spans="2:9" ht="25.5">
      <c r="B11257" s="3192" t="s">
        <v>676</v>
      </c>
      <c r="C11257" s="3063"/>
      <c r="D11257" s="3064"/>
      <c r="E11257" s="3064"/>
      <c r="F11257" s="3064"/>
      <c r="G11257" s="3301" t="s">
        <v>676</v>
      </c>
      <c r="H11257" s="3063"/>
      <c r="I11257" s="3030"/>
    </row>
    <row r="11258" spans="2:9">
      <c r="B11258" s="3192" t="s">
        <v>677</v>
      </c>
      <c r="C11258" s="3063"/>
      <c r="D11258" s="3064"/>
      <c r="E11258" s="3064"/>
      <c r="F11258" s="3064"/>
      <c r="G11258" s="3301" t="s">
        <v>677</v>
      </c>
      <c r="H11258" s="3063"/>
      <c r="I11258" s="3030"/>
    </row>
    <row r="11259" spans="2:9">
      <c r="B11259" s="3192" t="s">
        <v>678</v>
      </c>
      <c r="C11259" s="3063"/>
      <c r="D11259" s="3064"/>
      <c r="E11259" s="3064"/>
      <c r="F11259" s="3064"/>
      <c r="G11259" s="3301" t="s">
        <v>678</v>
      </c>
      <c r="H11259" s="3063"/>
      <c r="I11259" s="3030"/>
    </row>
    <row r="11260" spans="2:9">
      <c r="B11260" s="3192" t="s">
        <v>679</v>
      </c>
      <c r="C11260" s="3063"/>
      <c r="D11260" s="3064"/>
      <c r="E11260" s="3064"/>
      <c r="F11260" s="3064"/>
      <c r="G11260" s="3301" t="s">
        <v>679</v>
      </c>
      <c r="H11260" s="3063"/>
      <c r="I11260" s="3030"/>
    </row>
    <row r="11261" spans="2:9" ht="25.5">
      <c r="B11261" s="3192" t="s">
        <v>720</v>
      </c>
      <c r="C11261" s="3063"/>
      <c r="D11261" s="3064"/>
      <c r="E11261" s="3064"/>
      <c r="F11261" s="3064"/>
      <c r="G11261" s="3301" t="s">
        <v>720</v>
      </c>
      <c r="H11261" s="3063"/>
      <c r="I11261" s="3030"/>
    </row>
    <row r="11262" spans="2:9">
      <c r="B11262" s="3299" t="s">
        <v>65</v>
      </c>
      <c r="C11262" s="3063"/>
      <c r="D11262" s="3064"/>
      <c r="E11262" s="3064"/>
      <c r="F11262" s="3064"/>
      <c r="G11262" s="3300" t="s">
        <v>65</v>
      </c>
      <c r="H11262" s="3063"/>
      <c r="I11262" s="3030"/>
    </row>
    <row r="11263" spans="2:9" ht="25.5">
      <c r="B11263" s="3192" t="s">
        <v>675</v>
      </c>
      <c r="C11263" s="3063"/>
      <c r="D11263" s="3064"/>
      <c r="E11263" s="3064"/>
      <c r="F11263" s="3064"/>
      <c r="G11263" s="3301" t="s">
        <v>675</v>
      </c>
      <c r="H11263" s="3063"/>
      <c r="I11263" s="3030"/>
    </row>
    <row r="11264" spans="2:9" ht="25.5">
      <c r="B11264" s="3192" t="s">
        <v>676</v>
      </c>
      <c r="C11264" s="3063"/>
      <c r="D11264" s="3064"/>
      <c r="E11264" s="3064"/>
      <c r="F11264" s="3064"/>
      <c r="G11264" s="3301" t="s">
        <v>676</v>
      </c>
      <c r="H11264" s="3063"/>
      <c r="I11264" s="3030"/>
    </row>
    <row r="11265" spans="2:9">
      <c r="B11265" s="3192" t="s">
        <v>677</v>
      </c>
      <c r="C11265" s="3063"/>
      <c r="D11265" s="3064"/>
      <c r="E11265" s="3064"/>
      <c r="F11265" s="3064"/>
      <c r="G11265" s="3301" t="s">
        <v>677</v>
      </c>
      <c r="H11265" s="3063"/>
      <c r="I11265" s="3030"/>
    </row>
    <row r="11266" spans="2:9">
      <c r="B11266" s="3192" t="s">
        <v>678</v>
      </c>
      <c r="C11266" s="3063"/>
      <c r="D11266" s="3064"/>
      <c r="E11266" s="3064"/>
      <c r="F11266" s="3064"/>
      <c r="G11266" s="3301" t="s">
        <v>678</v>
      </c>
      <c r="H11266" s="3063"/>
      <c r="I11266" s="3030"/>
    </row>
    <row r="11267" spans="2:9">
      <c r="B11267" s="3192" t="s">
        <v>679</v>
      </c>
      <c r="C11267" s="3063"/>
      <c r="D11267" s="3064"/>
      <c r="E11267" s="3064"/>
      <c r="F11267" s="3064"/>
      <c r="G11267" s="3301" t="s">
        <v>679</v>
      </c>
      <c r="H11267" s="3063"/>
      <c r="I11267" s="3030"/>
    </row>
    <row r="11268" spans="2:9" ht="25.5">
      <c r="B11268" s="3192" t="s">
        <v>720</v>
      </c>
      <c r="C11268" s="3063"/>
      <c r="D11268" s="3064"/>
      <c r="E11268" s="3064"/>
      <c r="F11268" s="3064"/>
      <c r="G11268" s="3301" t="s">
        <v>720</v>
      </c>
      <c r="H11268" s="3063"/>
      <c r="I11268" s="3030"/>
    </row>
    <row r="11269" spans="2:9">
      <c r="B11269" s="3299" t="s">
        <v>82</v>
      </c>
      <c r="C11269" s="3063"/>
      <c r="D11269" s="3064"/>
      <c r="E11269" s="3064"/>
      <c r="F11269" s="3064"/>
      <c r="G11269" s="3300" t="s">
        <v>82</v>
      </c>
      <c r="H11269" s="3063"/>
      <c r="I11269" s="3030"/>
    </row>
    <row r="11270" spans="2:9" ht="25.5">
      <c r="B11270" s="3192" t="s">
        <v>675</v>
      </c>
      <c r="C11270" s="3063"/>
      <c r="D11270" s="3064"/>
      <c r="E11270" s="3064"/>
      <c r="F11270" s="3064"/>
      <c r="G11270" s="3301" t="s">
        <v>675</v>
      </c>
      <c r="H11270" s="3063"/>
      <c r="I11270" s="3030"/>
    </row>
    <row r="11271" spans="2:9" ht="25.5">
      <c r="B11271" s="3192" t="s">
        <v>676</v>
      </c>
      <c r="C11271" s="3063"/>
      <c r="D11271" s="3064"/>
      <c r="E11271" s="3064"/>
      <c r="F11271" s="3064"/>
      <c r="G11271" s="3301" t="s">
        <v>676</v>
      </c>
      <c r="H11271" s="3063"/>
      <c r="I11271" s="3030"/>
    </row>
    <row r="11272" spans="2:9">
      <c r="B11272" s="3192" t="s">
        <v>677</v>
      </c>
      <c r="C11272" s="3063"/>
      <c r="D11272" s="3064"/>
      <c r="E11272" s="3064"/>
      <c r="F11272" s="3064"/>
      <c r="G11272" s="3301" t="s">
        <v>677</v>
      </c>
      <c r="H11272" s="3063"/>
      <c r="I11272" s="3030"/>
    </row>
    <row r="11273" spans="2:9">
      <c r="B11273" s="3192" t="s">
        <v>678</v>
      </c>
      <c r="C11273" s="3063"/>
      <c r="D11273" s="3064"/>
      <c r="E11273" s="3064"/>
      <c r="F11273" s="3064"/>
      <c r="G11273" s="3301" t="s">
        <v>678</v>
      </c>
      <c r="H11273" s="3063"/>
      <c r="I11273" s="3030"/>
    </row>
    <row r="11274" spans="2:9">
      <c r="B11274" s="3192" t="s">
        <v>679</v>
      </c>
      <c r="C11274" s="3063"/>
      <c r="D11274" s="3064"/>
      <c r="E11274" s="3064"/>
      <c r="F11274" s="3064"/>
      <c r="G11274" s="3301" t="s">
        <v>679</v>
      </c>
      <c r="H11274" s="3063"/>
      <c r="I11274" s="3030"/>
    </row>
    <row r="11275" spans="2:9" ht="25.5">
      <c r="B11275" s="3192" t="s">
        <v>720</v>
      </c>
      <c r="C11275" s="3063"/>
      <c r="D11275" s="3064"/>
      <c r="E11275" s="3064"/>
      <c r="F11275" s="3064"/>
      <c r="G11275" s="3301" t="s">
        <v>720</v>
      </c>
      <c r="H11275" s="3063"/>
      <c r="I11275" s="3030"/>
    </row>
    <row r="11276" spans="2:9" ht="38.25">
      <c r="B11276" s="3299" t="s">
        <v>680</v>
      </c>
      <c r="C11276" s="3063"/>
      <c r="D11276" s="3064"/>
      <c r="E11276" s="3064"/>
      <c r="F11276" s="3064"/>
      <c r="G11276" s="3300" t="s">
        <v>680</v>
      </c>
      <c r="H11276" s="3063"/>
      <c r="I11276" s="3030"/>
    </row>
    <row r="11277" spans="2:9" ht="25.5">
      <c r="B11277" s="3192" t="s">
        <v>675</v>
      </c>
      <c r="C11277" s="3063"/>
      <c r="D11277" s="3064"/>
      <c r="E11277" s="3064"/>
      <c r="F11277" s="3064"/>
      <c r="G11277" s="3301" t="s">
        <v>675</v>
      </c>
      <c r="H11277" s="3063"/>
      <c r="I11277" s="3030"/>
    </row>
    <row r="11278" spans="2:9" ht="25.5">
      <c r="B11278" s="3192" t="s">
        <v>676</v>
      </c>
      <c r="C11278" s="3063"/>
      <c r="D11278" s="3064"/>
      <c r="E11278" s="3064"/>
      <c r="F11278" s="3064"/>
      <c r="G11278" s="3301" t="s">
        <v>676</v>
      </c>
      <c r="H11278" s="3063"/>
      <c r="I11278" s="3030"/>
    </row>
    <row r="11279" spans="2:9">
      <c r="B11279" s="3192" t="s">
        <v>677</v>
      </c>
      <c r="C11279" s="3063"/>
      <c r="D11279" s="3064"/>
      <c r="E11279" s="3064"/>
      <c r="F11279" s="3064"/>
      <c r="G11279" s="3301" t="s">
        <v>677</v>
      </c>
      <c r="H11279" s="3063"/>
      <c r="I11279" s="3030"/>
    </row>
    <row r="11280" spans="2:9">
      <c r="B11280" s="3192" t="s">
        <v>678</v>
      </c>
      <c r="C11280" s="3063"/>
      <c r="D11280" s="3064"/>
      <c r="E11280" s="3064"/>
      <c r="F11280" s="3064"/>
      <c r="G11280" s="3301" t="s">
        <v>678</v>
      </c>
      <c r="H11280" s="3063"/>
      <c r="I11280" s="3030"/>
    </row>
    <row r="11281" spans="2:9">
      <c r="B11281" s="3192" t="s">
        <v>679</v>
      </c>
      <c r="C11281" s="3063"/>
      <c r="D11281" s="3064"/>
      <c r="E11281" s="3064"/>
      <c r="F11281" s="3064"/>
      <c r="G11281" s="3301" t="s">
        <v>679</v>
      </c>
      <c r="H11281" s="3063"/>
      <c r="I11281" s="3030"/>
    </row>
    <row r="11282" spans="2:9" ht="25.5">
      <c r="B11282" s="3192" t="s">
        <v>720</v>
      </c>
      <c r="C11282" s="3063"/>
      <c r="D11282" s="3064"/>
      <c r="E11282" s="3064"/>
      <c r="F11282" s="3064"/>
      <c r="G11282" s="3301" t="s">
        <v>720</v>
      </c>
      <c r="H11282" s="3063"/>
      <c r="I11282" s="3030"/>
    </row>
    <row r="11283" spans="2:9" ht="38.25">
      <c r="B11283" s="3299" t="s">
        <v>681</v>
      </c>
      <c r="C11283" s="3063"/>
      <c r="D11283" s="3064"/>
      <c r="E11283" s="3064"/>
      <c r="F11283" s="3064">
        <v>4</v>
      </c>
      <c r="G11283" s="3300" t="s">
        <v>681</v>
      </c>
      <c r="H11283" s="3063"/>
      <c r="I11283" s="3030">
        <f>(7/3)/AVERAGE(I965:K965)</f>
        <v>5.0328573688221689E-2</v>
      </c>
    </row>
    <row r="11284" spans="2:9" ht="25.5">
      <c r="B11284" s="3192" t="s">
        <v>675</v>
      </c>
      <c r="C11284" s="3063"/>
      <c r="D11284" s="3064"/>
      <c r="E11284" s="3064"/>
      <c r="F11284" s="3064"/>
      <c r="G11284" s="3301" t="s">
        <v>675</v>
      </c>
      <c r="H11284" s="3063"/>
      <c r="I11284" s="3030"/>
    </row>
    <row r="11285" spans="2:9" ht="25.5">
      <c r="B11285" s="3192" t="s">
        <v>676</v>
      </c>
      <c r="C11285" s="3063"/>
      <c r="D11285" s="3064"/>
      <c r="E11285" s="3064"/>
      <c r="F11285" s="3064"/>
      <c r="G11285" s="3301" t="s">
        <v>676</v>
      </c>
      <c r="H11285" s="3063"/>
      <c r="I11285" s="3030"/>
    </row>
    <row r="11286" spans="2:9">
      <c r="B11286" s="3192" t="s">
        <v>677</v>
      </c>
      <c r="C11286" s="3063"/>
      <c r="D11286" s="3064"/>
      <c r="E11286" s="3064"/>
      <c r="F11286" s="3064"/>
      <c r="G11286" s="3301" t="s">
        <v>677</v>
      </c>
      <c r="H11286" s="3063"/>
      <c r="I11286" s="3030"/>
    </row>
    <row r="11287" spans="2:9">
      <c r="B11287" s="3192" t="s">
        <v>678</v>
      </c>
      <c r="C11287" s="3063"/>
      <c r="D11287" s="3064"/>
      <c r="E11287" s="3064"/>
      <c r="F11287" s="3064"/>
      <c r="G11287" s="3301" t="s">
        <v>678</v>
      </c>
      <c r="H11287" s="3063"/>
      <c r="I11287" s="3030"/>
    </row>
    <row r="11288" spans="2:9">
      <c r="B11288" s="3192" t="s">
        <v>679</v>
      </c>
      <c r="C11288" s="3063">
        <v>2</v>
      </c>
      <c r="D11288" s="3064">
        <v>1</v>
      </c>
      <c r="E11288" s="3064"/>
      <c r="F11288" s="3064"/>
      <c r="G11288" s="3301" t="s">
        <v>679</v>
      </c>
      <c r="H11288" s="3063"/>
      <c r="I11288" s="3030"/>
    </row>
    <row r="11289" spans="2:9" ht="25.5">
      <c r="B11289" s="3192" t="s">
        <v>720</v>
      </c>
      <c r="C11289" s="3063"/>
      <c r="D11289" s="3064"/>
      <c r="E11289" s="3064"/>
      <c r="F11289" s="3064"/>
      <c r="G11289" s="3301" t="s">
        <v>720</v>
      </c>
      <c r="H11289" s="3063"/>
      <c r="I11289" s="3030"/>
    </row>
    <row r="11290" spans="2:9" ht="25.5">
      <c r="B11290" s="3299" t="s">
        <v>682</v>
      </c>
      <c r="C11290" s="3063"/>
      <c r="D11290" s="3064"/>
      <c r="E11290" s="3064"/>
      <c r="F11290" s="3064"/>
      <c r="G11290" s="3300" t="s">
        <v>682</v>
      </c>
      <c r="H11290" s="3063"/>
      <c r="I11290" s="3030"/>
    </row>
    <row r="11291" spans="2:9" ht="25.5">
      <c r="B11291" s="3192" t="s">
        <v>675</v>
      </c>
      <c r="C11291" s="3063"/>
      <c r="D11291" s="3064"/>
      <c r="E11291" s="3064"/>
      <c r="F11291" s="3064"/>
      <c r="G11291" s="3301" t="s">
        <v>675</v>
      </c>
      <c r="H11291" s="3063"/>
      <c r="I11291" s="3030"/>
    </row>
    <row r="11292" spans="2:9" ht="25.5">
      <c r="B11292" s="3192" t="s">
        <v>676</v>
      </c>
      <c r="C11292" s="3063"/>
      <c r="D11292" s="3064"/>
      <c r="E11292" s="3064"/>
      <c r="F11292" s="3064"/>
      <c r="G11292" s="3301" t="s">
        <v>676</v>
      </c>
      <c r="H11292" s="3063"/>
      <c r="I11292" s="3030"/>
    </row>
    <row r="11293" spans="2:9">
      <c r="B11293" s="3192" t="s">
        <v>677</v>
      </c>
      <c r="C11293" s="3063"/>
      <c r="D11293" s="3064"/>
      <c r="E11293" s="3064"/>
      <c r="F11293" s="3064"/>
      <c r="G11293" s="3301" t="s">
        <v>677</v>
      </c>
      <c r="H11293" s="3063"/>
      <c r="I11293" s="3030"/>
    </row>
    <row r="11294" spans="2:9">
      <c r="B11294" s="3192" t="s">
        <v>678</v>
      </c>
      <c r="C11294" s="3063"/>
      <c r="D11294" s="3064"/>
      <c r="E11294" s="3064"/>
      <c r="F11294" s="3064"/>
      <c r="G11294" s="3301" t="s">
        <v>678</v>
      </c>
      <c r="H11294" s="3063"/>
      <c r="I11294" s="3030"/>
    </row>
    <row r="11295" spans="2:9">
      <c r="B11295" s="3192" t="s">
        <v>679</v>
      </c>
      <c r="C11295" s="3063"/>
      <c r="D11295" s="3064"/>
      <c r="E11295" s="3064"/>
      <c r="F11295" s="3064"/>
      <c r="G11295" s="3301" t="s">
        <v>679</v>
      </c>
      <c r="H11295" s="3063"/>
      <c r="I11295" s="3030"/>
    </row>
    <row r="11296" spans="2:9" ht="25.5">
      <c r="B11296" s="3192" t="s">
        <v>720</v>
      </c>
      <c r="C11296" s="3063"/>
      <c r="D11296" s="3064"/>
      <c r="E11296" s="3064"/>
      <c r="F11296" s="3064"/>
      <c r="G11296" s="3301" t="s">
        <v>720</v>
      </c>
      <c r="H11296" s="3063"/>
      <c r="I11296" s="3030"/>
    </row>
    <row r="11297" spans="2:9" ht="25.5">
      <c r="B11297" s="3299" t="s">
        <v>66</v>
      </c>
      <c r="C11297" s="3063"/>
      <c r="D11297" s="3064"/>
      <c r="E11297" s="3064"/>
      <c r="F11297" s="3064"/>
      <c r="G11297" s="3300" t="s">
        <v>66</v>
      </c>
      <c r="H11297" s="3063"/>
      <c r="I11297" s="3030"/>
    </row>
    <row r="11298" spans="2:9" ht="25.5">
      <c r="B11298" s="3192" t="s">
        <v>675</v>
      </c>
      <c r="C11298" s="3063"/>
      <c r="D11298" s="3064"/>
      <c r="E11298" s="3064"/>
      <c r="F11298" s="3064"/>
      <c r="G11298" s="3301" t="s">
        <v>675</v>
      </c>
      <c r="H11298" s="3063"/>
      <c r="I11298" s="3030"/>
    </row>
    <row r="11299" spans="2:9" ht="25.5">
      <c r="B11299" s="3192" t="s">
        <v>676</v>
      </c>
      <c r="C11299" s="3063"/>
      <c r="D11299" s="3064"/>
      <c r="E11299" s="3064"/>
      <c r="F11299" s="3064"/>
      <c r="G11299" s="3301" t="s">
        <v>676</v>
      </c>
      <c r="H11299" s="3063"/>
      <c r="I11299" s="3030"/>
    </row>
    <row r="11300" spans="2:9">
      <c r="B11300" s="3192" t="s">
        <v>677</v>
      </c>
      <c r="C11300" s="3063"/>
      <c r="D11300" s="3064"/>
      <c r="E11300" s="3064"/>
      <c r="F11300" s="3064"/>
      <c r="G11300" s="3301" t="s">
        <v>677</v>
      </c>
      <c r="H11300" s="3063"/>
      <c r="I11300" s="3030"/>
    </row>
    <row r="11301" spans="2:9">
      <c r="B11301" s="3192" t="s">
        <v>678</v>
      </c>
      <c r="C11301" s="3063"/>
      <c r="D11301" s="3064"/>
      <c r="E11301" s="3064"/>
      <c r="F11301" s="3064"/>
      <c r="G11301" s="3301" t="s">
        <v>678</v>
      </c>
      <c r="H11301" s="3063"/>
      <c r="I11301" s="3030"/>
    </row>
    <row r="11302" spans="2:9">
      <c r="B11302" s="3192" t="s">
        <v>679</v>
      </c>
      <c r="C11302" s="3063"/>
      <c r="D11302" s="3064"/>
      <c r="E11302" s="3064"/>
      <c r="F11302" s="3064"/>
      <c r="G11302" s="3301" t="s">
        <v>679</v>
      </c>
      <c r="H11302" s="3063"/>
      <c r="I11302" s="3030"/>
    </row>
    <row r="11303" spans="2:9" ht="25.5">
      <c r="B11303" s="3192" t="s">
        <v>720</v>
      </c>
      <c r="C11303" s="3063"/>
      <c r="D11303" s="3064"/>
      <c r="E11303" s="3064"/>
      <c r="F11303" s="3064"/>
      <c r="G11303" s="3301" t="s">
        <v>720</v>
      </c>
      <c r="H11303" s="3063"/>
      <c r="I11303" s="3030"/>
    </row>
    <row r="11304" spans="2:9">
      <c r="B11304" s="3299" t="s">
        <v>67</v>
      </c>
      <c r="C11304" s="3063"/>
      <c r="D11304" s="3064"/>
      <c r="E11304" s="3064"/>
      <c r="F11304" s="3064"/>
      <c r="G11304" s="3300" t="s">
        <v>67</v>
      </c>
      <c r="H11304" s="3063"/>
      <c r="I11304" s="3030"/>
    </row>
    <row r="11305" spans="2:9" ht="25.5">
      <c r="B11305" s="3192" t="s">
        <v>675</v>
      </c>
      <c r="C11305" s="3063"/>
      <c r="D11305" s="3064"/>
      <c r="E11305" s="3064"/>
      <c r="F11305" s="3064"/>
      <c r="G11305" s="3301" t="s">
        <v>675</v>
      </c>
      <c r="H11305" s="3063"/>
      <c r="I11305" s="3030"/>
    </row>
    <row r="11306" spans="2:9" ht="25.5">
      <c r="B11306" s="3192" t="s">
        <v>676</v>
      </c>
      <c r="C11306" s="3063"/>
      <c r="D11306" s="3064"/>
      <c r="E11306" s="3064"/>
      <c r="F11306" s="3064"/>
      <c r="G11306" s="3301" t="s">
        <v>676</v>
      </c>
      <c r="H11306" s="3063"/>
      <c r="I11306" s="3030"/>
    </row>
    <row r="11307" spans="2:9">
      <c r="B11307" s="3192" t="s">
        <v>677</v>
      </c>
      <c r="C11307" s="3063"/>
      <c r="D11307" s="3064"/>
      <c r="E11307" s="3064"/>
      <c r="F11307" s="3064"/>
      <c r="G11307" s="3301" t="s">
        <v>677</v>
      </c>
      <c r="H11307" s="3063"/>
      <c r="I11307" s="3030"/>
    </row>
    <row r="11308" spans="2:9">
      <c r="B11308" s="3192" t="s">
        <v>678</v>
      </c>
      <c r="C11308" s="3063"/>
      <c r="D11308" s="3064"/>
      <c r="E11308" s="3064"/>
      <c r="F11308" s="3064"/>
      <c r="G11308" s="3301" t="s">
        <v>678</v>
      </c>
      <c r="H11308" s="3063"/>
      <c r="I11308" s="3030"/>
    </row>
    <row r="11309" spans="2:9">
      <c r="B11309" s="3192" t="s">
        <v>679</v>
      </c>
      <c r="C11309" s="3063"/>
      <c r="D11309" s="3064"/>
      <c r="E11309" s="3064"/>
      <c r="F11309" s="3064"/>
      <c r="G11309" s="3301" t="s">
        <v>679</v>
      </c>
      <c r="H11309" s="3063"/>
      <c r="I11309" s="3030"/>
    </row>
    <row r="11310" spans="2:9" ht="25.5">
      <c r="B11310" s="3230" t="s">
        <v>81</v>
      </c>
      <c r="C11310" s="3063"/>
      <c r="D11310" s="3064"/>
      <c r="E11310" s="3064"/>
      <c r="F11310" s="3064"/>
      <c r="G11310" s="3302" t="s">
        <v>81</v>
      </c>
      <c r="H11310" s="3063"/>
      <c r="I11310" s="3030"/>
    </row>
    <row r="11311" spans="2:9" ht="26.25" thickBot="1">
      <c r="B11311" s="3303" t="s">
        <v>81</v>
      </c>
      <c r="C11311" s="3068"/>
      <c r="D11311" s="3069"/>
      <c r="E11311" s="3069"/>
      <c r="F11311" s="3069"/>
      <c r="G11311" s="3304" t="s">
        <v>81</v>
      </c>
      <c r="H11311" s="3068"/>
      <c r="I11311" s="3070"/>
    </row>
    <row r="11312" spans="2:9" ht="38.25">
      <c r="B11312" s="4723">
        <v>3228</v>
      </c>
      <c r="C11312" s="3289"/>
      <c r="D11312" s="3290"/>
      <c r="E11312" s="3290"/>
      <c r="F11312" s="3290"/>
      <c r="G11312" s="4723">
        <v>3228</v>
      </c>
      <c r="H11312" s="3291" t="s">
        <v>687</v>
      </c>
      <c r="I11312" s="3292" t="s">
        <v>688</v>
      </c>
    </row>
    <row r="11313" spans="2:9">
      <c r="B11313" s="4724"/>
      <c r="C11313" s="4678" t="s">
        <v>686</v>
      </c>
      <c r="D11313" s="4725"/>
      <c r="E11313" s="4725"/>
      <c r="F11313" s="4726"/>
      <c r="G11313" s="4724"/>
      <c r="H11313" s="3293"/>
      <c r="I11313" s="3294"/>
    </row>
    <row r="11314" spans="2:9" ht="13.5" thickBot="1">
      <c r="B11314" s="4724"/>
      <c r="C11314" s="3215">
        <v>2013</v>
      </c>
      <c r="D11314" s="3215">
        <v>2014</v>
      </c>
      <c r="E11314" s="3215">
        <v>2015</v>
      </c>
      <c r="F11314" s="3215">
        <v>2016</v>
      </c>
      <c r="G11314" s="4724"/>
      <c r="H11314" s="3295" t="s">
        <v>390</v>
      </c>
      <c r="I11314" s="3296" t="s">
        <v>390</v>
      </c>
    </row>
    <row r="11315" spans="2:9">
      <c r="B11315" s="3217" t="s">
        <v>695</v>
      </c>
      <c r="C11315" s="3218"/>
      <c r="D11315" s="3219"/>
      <c r="E11315" s="3219"/>
      <c r="F11315" s="3219"/>
      <c r="G11315" s="3217" t="s">
        <v>695</v>
      </c>
      <c r="H11315" s="3297"/>
      <c r="I11315" s="3298"/>
    </row>
    <row r="11316" spans="2:9">
      <c r="B11316" s="3299" t="s">
        <v>64</v>
      </c>
      <c r="C11316" s="3063"/>
      <c r="D11316" s="3064"/>
      <c r="E11316" s="3064"/>
      <c r="F11316" s="3064"/>
      <c r="G11316" s="3300" t="s">
        <v>64</v>
      </c>
      <c r="H11316" s="3063"/>
      <c r="I11316" s="3030"/>
    </row>
    <row r="11317" spans="2:9" ht="25.5">
      <c r="B11317" s="3192" t="s">
        <v>675</v>
      </c>
      <c r="C11317" s="3063"/>
      <c r="D11317" s="3064"/>
      <c r="E11317" s="3064"/>
      <c r="F11317" s="3064"/>
      <c r="G11317" s="3301" t="s">
        <v>675</v>
      </c>
      <c r="H11317" s="3063"/>
      <c r="I11317" s="3030"/>
    </row>
    <row r="11318" spans="2:9" ht="25.5">
      <c r="B11318" s="3192" t="s">
        <v>676</v>
      </c>
      <c r="C11318" s="3063"/>
      <c r="D11318" s="3064"/>
      <c r="E11318" s="3064"/>
      <c r="F11318" s="3064"/>
      <c r="G11318" s="3301" t="s">
        <v>676</v>
      </c>
      <c r="H11318" s="3063"/>
      <c r="I11318" s="3030"/>
    </row>
    <row r="11319" spans="2:9">
      <c r="B11319" s="3192" t="s">
        <v>677</v>
      </c>
      <c r="C11319" s="3063"/>
      <c r="D11319" s="3064"/>
      <c r="E11319" s="3064"/>
      <c r="F11319" s="3064"/>
      <c r="G11319" s="3301" t="s">
        <v>677</v>
      </c>
      <c r="H11319" s="3063"/>
      <c r="I11319" s="3030"/>
    </row>
    <row r="11320" spans="2:9">
      <c r="B11320" s="3192" t="s">
        <v>678</v>
      </c>
      <c r="C11320" s="3063"/>
      <c r="D11320" s="3064"/>
      <c r="E11320" s="3064"/>
      <c r="F11320" s="3064"/>
      <c r="G11320" s="3301" t="s">
        <v>678</v>
      </c>
      <c r="H11320" s="3063"/>
      <c r="I11320" s="3030"/>
    </row>
    <row r="11321" spans="2:9">
      <c r="B11321" s="3192" t="s">
        <v>679</v>
      </c>
      <c r="C11321" s="3063"/>
      <c r="D11321" s="3064"/>
      <c r="E11321" s="3064"/>
      <c r="F11321" s="3064"/>
      <c r="G11321" s="3301" t="s">
        <v>679</v>
      </c>
      <c r="H11321" s="3063"/>
      <c r="I11321" s="3030"/>
    </row>
    <row r="11322" spans="2:9" ht="25.5">
      <c r="B11322" s="3192" t="s">
        <v>720</v>
      </c>
      <c r="C11322" s="3063"/>
      <c r="D11322" s="3064"/>
      <c r="E11322" s="3064"/>
      <c r="F11322" s="3064"/>
      <c r="G11322" s="3301" t="s">
        <v>720</v>
      </c>
      <c r="H11322" s="3063"/>
      <c r="I11322" s="3030"/>
    </row>
    <row r="11323" spans="2:9">
      <c r="B11323" s="3299" t="s">
        <v>65</v>
      </c>
      <c r="C11323" s="3063"/>
      <c r="D11323" s="3064"/>
      <c r="E11323" s="3064"/>
      <c r="F11323" s="3064"/>
      <c r="G11323" s="3300" t="s">
        <v>65</v>
      </c>
      <c r="H11323" s="3063"/>
      <c r="I11323" s="3030"/>
    </row>
    <row r="11324" spans="2:9" ht="25.5">
      <c r="B11324" s="3192" t="s">
        <v>675</v>
      </c>
      <c r="C11324" s="3063"/>
      <c r="D11324" s="3064"/>
      <c r="E11324" s="3064"/>
      <c r="F11324" s="3064"/>
      <c r="G11324" s="3301" t="s">
        <v>675</v>
      </c>
      <c r="H11324" s="3063"/>
      <c r="I11324" s="3030"/>
    </row>
    <row r="11325" spans="2:9" ht="25.5">
      <c r="B11325" s="3192" t="s">
        <v>676</v>
      </c>
      <c r="C11325" s="3063"/>
      <c r="D11325" s="3064"/>
      <c r="E11325" s="3064"/>
      <c r="F11325" s="3064"/>
      <c r="G11325" s="3301" t="s">
        <v>676</v>
      </c>
      <c r="H11325" s="3063"/>
      <c r="I11325" s="3030"/>
    </row>
    <row r="11326" spans="2:9">
      <c r="B11326" s="3192" t="s">
        <v>677</v>
      </c>
      <c r="C11326" s="3063"/>
      <c r="D11326" s="3064"/>
      <c r="E11326" s="3064"/>
      <c r="F11326" s="3064"/>
      <c r="G11326" s="3301" t="s">
        <v>677</v>
      </c>
      <c r="H11326" s="3063"/>
      <c r="I11326" s="3030"/>
    </row>
    <row r="11327" spans="2:9">
      <c r="B11327" s="3192" t="s">
        <v>678</v>
      </c>
      <c r="C11327" s="3063"/>
      <c r="D11327" s="3064"/>
      <c r="E11327" s="3064"/>
      <c r="F11327" s="3064"/>
      <c r="G11327" s="3301" t="s">
        <v>678</v>
      </c>
      <c r="H11327" s="3063"/>
      <c r="I11327" s="3030"/>
    </row>
    <row r="11328" spans="2:9">
      <c r="B11328" s="3192" t="s">
        <v>679</v>
      </c>
      <c r="C11328" s="3063"/>
      <c r="D11328" s="3064"/>
      <c r="E11328" s="3064"/>
      <c r="F11328" s="3064"/>
      <c r="G11328" s="3301" t="s">
        <v>679</v>
      </c>
      <c r="H11328" s="3063"/>
      <c r="I11328" s="3030"/>
    </row>
    <row r="11329" spans="2:9" ht="25.5">
      <c r="B11329" s="3192" t="s">
        <v>720</v>
      </c>
      <c r="C11329" s="3063"/>
      <c r="D11329" s="3064"/>
      <c r="E11329" s="3064"/>
      <c r="F11329" s="3064"/>
      <c r="G11329" s="3301" t="s">
        <v>720</v>
      </c>
      <c r="H11329" s="3063"/>
      <c r="I11329" s="3030"/>
    </row>
    <row r="11330" spans="2:9">
      <c r="B11330" s="3299" t="s">
        <v>82</v>
      </c>
      <c r="C11330" s="3063"/>
      <c r="D11330" s="3064"/>
      <c r="E11330" s="3064"/>
      <c r="F11330" s="3064"/>
      <c r="G11330" s="3300" t="s">
        <v>82</v>
      </c>
      <c r="H11330" s="3063"/>
      <c r="I11330" s="3030"/>
    </row>
    <row r="11331" spans="2:9" ht="25.5">
      <c r="B11331" s="3192" t="s">
        <v>675</v>
      </c>
      <c r="C11331" s="3063"/>
      <c r="D11331" s="3064"/>
      <c r="E11331" s="3064"/>
      <c r="F11331" s="3064"/>
      <c r="G11331" s="3301" t="s">
        <v>675</v>
      </c>
      <c r="H11331" s="3063"/>
      <c r="I11331" s="3030"/>
    </row>
    <row r="11332" spans="2:9" ht="25.5">
      <c r="B11332" s="3192" t="s">
        <v>676</v>
      </c>
      <c r="C11332" s="3063"/>
      <c r="D11332" s="3064"/>
      <c r="E11332" s="3064"/>
      <c r="F11332" s="3064"/>
      <c r="G11332" s="3301" t="s">
        <v>676</v>
      </c>
      <c r="H11332" s="3063"/>
      <c r="I11332" s="3030"/>
    </row>
    <row r="11333" spans="2:9">
      <c r="B11333" s="3192" t="s">
        <v>677</v>
      </c>
      <c r="C11333" s="3063"/>
      <c r="D11333" s="3064"/>
      <c r="E11333" s="3064"/>
      <c r="F11333" s="3064"/>
      <c r="G11333" s="3301" t="s">
        <v>677</v>
      </c>
      <c r="H11333" s="3063"/>
      <c r="I11333" s="3030"/>
    </row>
    <row r="11334" spans="2:9">
      <c r="B11334" s="3192" t="s">
        <v>678</v>
      </c>
      <c r="C11334" s="3063"/>
      <c r="D11334" s="3064"/>
      <c r="E11334" s="3064"/>
      <c r="F11334" s="3064"/>
      <c r="G11334" s="3301" t="s">
        <v>678</v>
      </c>
      <c r="H11334" s="3063"/>
      <c r="I11334" s="3030"/>
    </row>
    <row r="11335" spans="2:9">
      <c r="B11335" s="3192" t="s">
        <v>679</v>
      </c>
      <c r="C11335" s="3063"/>
      <c r="D11335" s="3064"/>
      <c r="E11335" s="3064"/>
      <c r="F11335" s="3064"/>
      <c r="G11335" s="3301" t="s">
        <v>679</v>
      </c>
      <c r="H11335" s="3063"/>
      <c r="I11335" s="3030"/>
    </row>
    <row r="11336" spans="2:9" ht="25.5">
      <c r="B11336" s="3192" t="s">
        <v>720</v>
      </c>
      <c r="C11336" s="3063"/>
      <c r="D11336" s="3064"/>
      <c r="E11336" s="3064"/>
      <c r="F11336" s="3064"/>
      <c r="G11336" s="3301" t="s">
        <v>720</v>
      </c>
      <c r="H11336" s="3063"/>
      <c r="I11336" s="3030"/>
    </row>
    <row r="11337" spans="2:9" ht="38.25">
      <c r="B11337" s="3299" t="s">
        <v>680</v>
      </c>
      <c r="C11337" s="3063"/>
      <c r="D11337" s="3064"/>
      <c r="E11337" s="3064"/>
      <c r="F11337" s="3064"/>
      <c r="G11337" s="3300" t="s">
        <v>680</v>
      </c>
      <c r="H11337" s="3063"/>
      <c r="I11337" s="3030"/>
    </row>
    <row r="11338" spans="2:9" ht="25.5">
      <c r="B11338" s="3192" t="s">
        <v>675</v>
      </c>
      <c r="C11338" s="3063"/>
      <c r="D11338" s="3064"/>
      <c r="E11338" s="3064"/>
      <c r="F11338" s="3064"/>
      <c r="G11338" s="3301" t="s">
        <v>675</v>
      </c>
      <c r="H11338" s="3063"/>
      <c r="I11338" s="3030"/>
    </row>
    <row r="11339" spans="2:9" ht="25.5">
      <c r="B11339" s="3192" t="s">
        <v>676</v>
      </c>
      <c r="C11339" s="3063"/>
      <c r="D11339" s="3064"/>
      <c r="E11339" s="3064"/>
      <c r="F11339" s="3064"/>
      <c r="G11339" s="3301" t="s">
        <v>676</v>
      </c>
      <c r="H11339" s="3063"/>
      <c r="I11339" s="3030"/>
    </row>
    <row r="11340" spans="2:9">
      <c r="B11340" s="3192" t="s">
        <v>677</v>
      </c>
      <c r="C11340" s="3063"/>
      <c r="D11340" s="3064"/>
      <c r="E11340" s="3064"/>
      <c r="F11340" s="3064"/>
      <c r="G11340" s="3301" t="s">
        <v>677</v>
      </c>
      <c r="H11340" s="3063"/>
      <c r="I11340" s="3030"/>
    </row>
    <row r="11341" spans="2:9">
      <c r="B11341" s="3192" t="s">
        <v>678</v>
      </c>
      <c r="C11341" s="3063"/>
      <c r="D11341" s="3064"/>
      <c r="E11341" s="3064"/>
      <c r="F11341" s="3064"/>
      <c r="G11341" s="3301" t="s">
        <v>678</v>
      </c>
      <c r="H11341" s="3063"/>
      <c r="I11341" s="3030"/>
    </row>
    <row r="11342" spans="2:9">
      <c r="B11342" s="3192" t="s">
        <v>679</v>
      </c>
      <c r="C11342" s="3063"/>
      <c r="D11342" s="3064"/>
      <c r="E11342" s="3064"/>
      <c r="F11342" s="3064"/>
      <c r="G11342" s="3301" t="s">
        <v>679</v>
      </c>
      <c r="H11342" s="3063"/>
      <c r="I11342" s="3030"/>
    </row>
    <row r="11343" spans="2:9" ht="25.5">
      <c r="B11343" s="3192" t="s">
        <v>720</v>
      </c>
      <c r="C11343" s="3063"/>
      <c r="D11343" s="3064"/>
      <c r="E11343" s="3064"/>
      <c r="F11343" s="3064"/>
      <c r="G11343" s="3301" t="s">
        <v>720</v>
      </c>
      <c r="H11343" s="3063"/>
      <c r="I11343" s="3030"/>
    </row>
    <row r="11344" spans="2:9" ht="38.25">
      <c r="B11344" s="3299" t="s">
        <v>681</v>
      </c>
      <c r="C11344" s="3063"/>
      <c r="D11344" s="3064"/>
      <c r="E11344" s="3064"/>
      <c r="F11344" s="3064"/>
      <c r="G11344" s="3300" t="s">
        <v>681</v>
      </c>
      <c r="H11344" s="3063"/>
      <c r="I11344" s="3030"/>
    </row>
    <row r="11345" spans="2:9" ht="25.5">
      <c r="B11345" s="3192" t="s">
        <v>675</v>
      </c>
      <c r="C11345" s="3063"/>
      <c r="D11345" s="3064"/>
      <c r="E11345" s="3064"/>
      <c r="F11345" s="3064"/>
      <c r="G11345" s="3301" t="s">
        <v>675</v>
      </c>
      <c r="H11345" s="3063"/>
      <c r="I11345" s="3030"/>
    </row>
    <row r="11346" spans="2:9" ht="25.5">
      <c r="B11346" s="3192" t="s">
        <v>676</v>
      </c>
      <c r="C11346" s="3063"/>
      <c r="D11346" s="3064"/>
      <c r="E11346" s="3064"/>
      <c r="F11346" s="3064"/>
      <c r="G11346" s="3301" t="s">
        <v>676</v>
      </c>
      <c r="H11346" s="3063"/>
      <c r="I11346" s="3030"/>
    </row>
    <row r="11347" spans="2:9">
      <c r="B11347" s="3192" t="s">
        <v>677</v>
      </c>
      <c r="C11347" s="3063"/>
      <c r="D11347" s="3064"/>
      <c r="E11347" s="3064"/>
      <c r="F11347" s="3064"/>
      <c r="G11347" s="3301" t="s">
        <v>677</v>
      </c>
      <c r="H11347" s="3063"/>
      <c r="I11347" s="3030"/>
    </row>
    <row r="11348" spans="2:9">
      <c r="B11348" s="3192" t="s">
        <v>678</v>
      </c>
      <c r="C11348" s="3063"/>
      <c r="D11348" s="3064"/>
      <c r="E11348" s="3064"/>
      <c r="F11348" s="3064"/>
      <c r="G11348" s="3301" t="s">
        <v>678</v>
      </c>
      <c r="H11348" s="3063"/>
      <c r="I11348" s="3030"/>
    </row>
    <row r="11349" spans="2:9">
      <c r="B11349" s="3192" t="s">
        <v>679</v>
      </c>
      <c r="C11349" s="3063"/>
      <c r="D11349" s="3064"/>
      <c r="E11349" s="3064"/>
      <c r="F11349" s="3064"/>
      <c r="G11349" s="3301" t="s">
        <v>679</v>
      </c>
      <c r="H11349" s="3063"/>
      <c r="I11349" s="3030"/>
    </row>
    <row r="11350" spans="2:9" ht="25.5">
      <c r="B11350" s="3192" t="s">
        <v>720</v>
      </c>
      <c r="C11350" s="3063"/>
      <c r="D11350" s="3064"/>
      <c r="E11350" s="3064"/>
      <c r="F11350" s="3064"/>
      <c r="G11350" s="3301" t="s">
        <v>720</v>
      </c>
      <c r="H11350" s="3063"/>
      <c r="I11350" s="3030"/>
    </row>
    <row r="11351" spans="2:9" ht="25.5">
      <c r="B11351" s="3299" t="s">
        <v>682</v>
      </c>
      <c r="C11351" s="3063"/>
      <c r="D11351" s="3064"/>
      <c r="E11351" s="3064"/>
      <c r="F11351" s="3064"/>
      <c r="G11351" s="3300" t="s">
        <v>682</v>
      </c>
      <c r="H11351" s="3063"/>
      <c r="I11351" s="3030"/>
    </row>
    <row r="11352" spans="2:9" ht="25.5">
      <c r="B11352" s="3192" t="s">
        <v>675</v>
      </c>
      <c r="C11352" s="3063"/>
      <c r="D11352" s="3064"/>
      <c r="E11352" s="3064"/>
      <c r="F11352" s="3064"/>
      <c r="G11352" s="3301" t="s">
        <v>675</v>
      </c>
      <c r="H11352" s="3063"/>
      <c r="I11352" s="3030"/>
    </row>
    <row r="11353" spans="2:9" ht="25.5">
      <c r="B11353" s="3192" t="s">
        <v>676</v>
      </c>
      <c r="C11353" s="3063"/>
      <c r="D11353" s="3064"/>
      <c r="E11353" s="3064"/>
      <c r="F11353" s="3064"/>
      <c r="G11353" s="3301" t="s">
        <v>676</v>
      </c>
      <c r="H11353" s="3063"/>
      <c r="I11353" s="3030"/>
    </row>
    <row r="11354" spans="2:9">
      <c r="B11354" s="3192" t="s">
        <v>677</v>
      </c>
      <c r="C11354" s="3063"/>
      <c r="D11354" s="3064"/>
      <c r="E11354" s="3064"/>
      <c r="F11354" s="3064"/>
      <c r="G11354" s="3301" t="s">
        <v>677</v>
      </c>
      <c r="H11354" s="3063"/>
      <c r="I11354" s="3030"/>
    </row>
    <row r="11355" spans="2:9">
      <c r="B11355" s="3192" t="s">
        <v>678</v>
      </c>
      <c r="C11355" s="3063"/>
      <c r="D11355" s="3064"/>
      <c r="E11355" s="3064"/>
      <c r="F11355" s="3064"/>
      <c r="G11355" s="3301" t="s">
        <v>678</v>
      </c>
      <c r="H11355" s="3063"/>
      <c r="I11355" s="3030"/>
    </row>
    <row r="11356" spans="2:9">
      <c r="B11356" s="3192" t="s">
        <v>679</v>
      </c>
      <c r="C11356" s="3063"/>
      <c r="D11356" s="3064"/>
      <c r="E11356" s="3064"/>
      <c r="F11356" s="3064"/>
      <c r="G11356" s="3301" t="s">
        <v>679</v>
      </c>
      <c r="H11356" s="3063"/>
      <c r="I11356" s="3030"/>
    </row>
    <row r="11357" spans="2:9" ht="25.5">
      <c r="B11357" s="3192" t="s">
        <v>720</v>
      </c>
      <c r="C11357" s="3063"/>
      <c r="D11357" s="3064"/>
      <c r="E11357" s="3064"/>
      <c r="F11357" s="3064"/>
      <c r="G11357" s="3301" t="s">
        <v>720</v>
      </c>
      <c r="H11357" s="3063"/>
      <c r="I11357" s="3030"/>
    </row>
    <row r="11358" spans="2:9" ht="25.5">
      <c r="B11358" s="3299" t="s">
        <v>66</v>
      </c>
      <c r="C11358" s="3063"/>
      <c r="D11358" s="3064"/>
      <c r="E11358" s="3064"/>
      <c r="F11358" s="3064"/>
      <c r="G11358" s="3300" t="s">
        <v>66</v>
      </c>
      <c r="H11358" s="3063"/>
      <c r="I11358" s="3030"/>
    </row>
    <row r="11359" spans="2:9" ht="25.5">
      <c r="B11359" s="3192" t="s">
        <v>675</v>
      </c>
      <c r="C11359" s="3063"/>
      <c r="D11359" s="3064"/>
      <c r="E11359" s="3064"/>
      <c r="F11359" s="3064"/>
      <c r="G11359" s="3301" t="s">
        <v>675</v>
      </c>
      <c r="H11359" s="3063"/>
      <c r="I11359" s="3030"/>
    </row>
    <row r="11360" spans="2:9" ht="25.5">
      <c r="B11360" s="3192" t="s">
        <v>676</v>
      </c>
      <c r="C11360" s="3063"/>
      <c r="D11360" s="3064"/>
      <c r="E11360" s="3064"/>
      <c r="F11360" s="3064"/>
      <c r="G11360" s="3301" t="s">
        <v>676</v>
      </c>
      <c r="H11360" s="3063"/>
      <c r="I11360" s="3030"/>
    </row>
    <row r="11361" spans="2:9">
      <c r="B11361" s="3192" t="s">
        <v>677</v>
      </c>
      <c r="C11361" s="3063"/>
      <c r="D11361" s="3064"/>
      <c r="E11361" s="3064"/>
      <c r="F11361" s="3064"/>
      <c r="G11361" s="3301" t="s">
        <v>677</v>
      </c>
      <c r="H11361" s="3063"/>
      <c r="I11361" s="3030"/>
    </row>
    <row r="11362" spans="2:9">
      <c r="B11362" s="3192" t="s">
        <v>678</v>
      </c>
      <c r="C11362" s="3063"/>
      <c r="D11362" s="3064"/>
      <c r="E11362" s="3064"/>
      <c r="F11362" s="3064"/>
      <c r="G11362" s="3301" t="s">
        <v>678</v>
      </c>
      <c r="H11362" s="3063"/>
      <c r="I11362" s="3030"/>
    </row>
    <row r="11363" spans="2:9">
      <c r="B11363" s="3192" t="s">
        <v>679</v>
      </c>
      <c r="C11363" s="3063"/>
      <c r="D11363" s="3064"/>
      <c r="E11363" s="3064"/>
      <c r="F11363" s="3064"/>
      <c r="G11363" s="3301" t="s">
        <v>679</v>
      </c>
      <c r="H11363" s="3063"/>
      <c r="I11363" s="3030"/>
    </row>
    <row r="11364" spans="2:9" ht="25.5">
      <c r="B11364" s="3192" t="s">
        <v>720</v>
      </c>
      <c r="C11364" s="3063"/>
      <c r="D11364" s="3064"/>
      <c r="E11364" s="3064"/>
      <c r="F11364" s="3064"/>
      <c r="G11364" s="3301" t="s">
        <v>720</v>
      </c>
      <c r="H11364" s="3063"/>
      <c r="I11364" s="3030"/>
    </row>
    <row r="11365" spans="2:9">
      <c r="B11365" s="3299" t="s">
        <v>67</v>
      </c>
      <c r="C11365" s="3063"/>
      <c r="D11365" s="3064"/>
      <c r="E11365" s="3064"/>
      <c r="F11365" s="3064"/>
      <c r="G11365" s="3300" t="s">
        <v>67</v>
      </c>
      <c r="H11365" s="3063"/>
      <c r="I11365" s="3030"/>
    </row>
    <row r="11366" spans="2:9" ht="25.5">
      <c r="B11366" s="3192" t="s">
        <v>675</v>
      </c>
      <c r="C11366" s="3063"/>
      <c r="D11366" s="3064"/>
      <c r="E11366" s="3064"/>
      <c r="F11366" s="3064"/>
      <c r="G11366" s="3301" t="s">
        <v>675</v>
      </c>
      <c r="H11366" s="3063"/>
      <c r="I11366" s="3030"/>
    </row>
    <row r="11367" spans="2:9" ht="25.5">
      <c r="B11367" s="3192" t="s">
        <v>676</v>
      </c>
      <c r="C11367" s="3063"/>
      <c r="D11367" s="3064"/>
      <c r="E11367" s="3064"/>
      <c r="F11367" s="3064"/>
      <c r="G11367" s="3301" t="s">
        <v>676</v>
      </c>
      <c r="H11367" s="3063"/>
      <c r="I11367" s="3030"/>
    </row>
    <row r="11368" spans="2:9">
      <c r="B11368" s="3192" t="s">
        <v>677</v>
      </c>
      <c r="C11368" s="3063"/>
      <c r="D11368" s="3064"/>
      <c r="E11368" s="3064"/>
      <c r="F11368" s="3064"/>
      <c r="G11368" s="3301" t="s">
        <v>677</v>
      </c>
      <c r="H11368" s="3063"/>
      <c r="I11368" s="3030"/>
    </row>
    <row r="11369" spans="2:9">
      <c r="B11369" s="3192" t="s">
        <v>678</v>
      </c>
      <c r="C11369" s="3063"/>
      <c r="D11369" s="3064"/>
      <c r="E11369" s="3064"/>
      <c r="F11369" s="3064"/>
      <c r="G11369" s="3301" t="s">
        <v>678</v>
      </c>
      <c r="H11369" s="3063"/>
      <c r="I11369" s="3030"/>
    </row>
    <row r="11370" spans="2:9">
      <c r="B11370" s="3192" t="s">
        <v>679</v>
      </c>
      <c r="C11370" s="3063"/>
      <c r="D11370" s="3064"/>
      <c r="E11370" s="3064"/>
      <c r="F11370" s="3064"/>
      <c r="G11370" s="3301" t="s">
        <v>679</v>
      </c>
      <c r="H11370" s="3063"/>
      <c r="I11370" s="3030"/>
    </row>
    <row r="11371" spans="2:9" ht="25.5">
      <c r="B11371" s="3192" t="s">
        <v>720</v>
      </c>
      <c r="C11371" s="3063"/>
      <c r="D11371" s="3064"/>
      <c r="E11371" s="3064"/>
      <c r="F11371" s="3064"/>
      <c r="G11371" s="3301" t="s">
        <v>720</v>
      </c>
      <c r="H11371" s="3063"/>
      <c r="I11371" s="3030"/>
    </row>
    <row r="11372" spans="2:9" ht="25.5">
      <c r="B11372" s="3230" t="s">
        <v>81</v>
      </c>
      <c r="C11372" s="3063"/>
      <c r="D11372" s="3064"/>
      <c r="E11372" s="3064"/>
      <c r="F11372" s="3064"/>
      <c r="G11372" s="3302" t="s">
        <v>81</v>
      </c>
      <c r="H11372" s="3063"/>
      <c r="I11372" s="3030"/>
    </row>
    <row r="11373" spans="2:9" ht="26.25" thickBot="1">
      <c r="B11373" s="3303" t="s">
        <v>81</v>
      </c>
      <c r="C11373" s="3063"/>
      <c r="D11373" s="3064"/>
      <c r="E11373" s="3064"/>
      <c r="F11373" s="3064"/>
      <c r="G11373" s="3302" t="s">
        <v>81</v>
      </c>
      <c r="H11373" s="3063"/>
      <c r="I11373" s="3030"/>
    </row>
    <row r="11374" spans="2:9" ht="25.5">
      <c r="B11374" s="3217" t="s">
        <v>696</v>
      </c>
      <c r="C11374" s="3218"/>
      <c r="D11374" s="3219"/>
      <c r="E11374" s="3219"/>
      <c r="F11374" s="3219"/>
      <c r="G11374" s="3217" t="s">
        <v>696</v>
      </c>
      <c r="H11374" s="3297"/>
      <c r="I11374" s="3298"/>
    </row>
    <row r="11375" spans="2:9">
      <c r="B11375" s="3299" t="s">
        <v>64</v>
      </c>
      <c r="C11375" s="3063"/>
      <c r="D11375" s="3064"/>
      <c r="E11375" s="3064"/>
      <c r="F11375" s="3064"/>
      <c r="G11375" s="3300" t="s">
        <v>64</v>
      </c>
      <c r="H11375" s="3063"/>
      <c r="I11375" s="3030"/>
    </row>
    <row r="11376" spans="2:9" ht="25.5">
      <c r="B11376" s="3192" t="s">
        <v>675</v>
      </c>
      <c r="C11376" s="3063"/>
      <c r="D11376" s="3064"/>
      <c r="E11376" s="3064"/>
      <c r="F11376" s="3064"/>
      <c r="G11376" s="3301" t="s">
        <v>675</v>
      </c>
      <c r="H11376" s="3063"/>
      <c r="I11376" s="3030"/>
    </row>
    <row r="11377" spans="2:9" ht="25.5">
      <c r="B11377" s="3192" t="s">
        <v>676</v>
      </c>
      <c r="C11377" s="3063"/>
      <c r="D11377" s="3064"/>
      <c r="E11377" s="3064"/>
      <c r="F11377" s="3064"/>
      <c r="G11377" s="3301" t="s">
        <v>676</v>
      </c>
      <c r="H11377" s="3063"/>
      <c r="I11377" s="3030"/>
    </row>
    <row r="11378" spans="2:9">
      <c r="B11378" s="3192" t="s">
        <v>677</v>
      </c>
      <c r="C11378" s="3063"/>
      <c r="D11378" s="3064"/>
      <c r="E11378" s="3064"/>
      <c r="F11378" s="3064"/>
      <c r="G11378" s="3301" t="s">
        <v>677</v>
      </c>
      <c r="H11378" s="3063"/>
      <c r="I11378" s="3030"/>
    </row>
    <row r="11379" spans="2:9">
      <c r="B11379" s="3192" t="s">
        <v>678</v>
      </c>
      <c r="C11379" s="3063"/>
      <c r="D11379" s="3064"/>
      <c r="E11379" s="3064"/>
      <c r="F11379" s="3064"/>
      <c r="G11379" s="3301" t="s">
        <v>678</v>
      </c>
      <c r="H11379" s="3063"/>
      <c r="I11379" s="3030"/>
    </row>
    <row r="11380" spans="2:9">
      <c r="B11380" s="3192" t="s">
        <v>679</v>
      </c>
      <c r="C11380" s="3063"/>
      <c r="D11380" s="3064"/>
      <c r="E11380" s="3064"/>
      <c r="F11380" s="3064"/>
      <c r="G11380" s="3301" t="s">
        <v>679</v>
      </c>
      <c r="H11380" s="3063"/>
      <c r="I11380" s="3030"/>
    </row>
    <row r="11381" spans="2:9" ht="25.5">
      <c r="B11381" s="3192" t="s">
        <v>720</v>
      </c>
      <c r="C11381" s="3063"/>
      <c r="D11381" s="3064"/>
      <c r="E11381" s="3064"/>
      <c r="F11381" s="3064"/>
      <c r="G11381" s="3301" t="s">
        <v>720</v>
      </c>
      <c r="H11381" s="3063"/>
      <c r="I11381" s="3030"/>
    </row>
    <row r="11382" spans="2:9">
      <c r="B11382" s="3299" t="s">
        <v>65</v>
      </c>
      <c r="C11382" s="3063"/>
      <c r="D11382" s="3064"/>
      <c r="E11382" s="3064"/>
      <c r="F11382" s="3064"/>
      <c r="G11382" s="3300" t="s">
        <v>65</v>
      </c>
      <c r="H11382" s="3063"/>
      <c r="I11382" s="3030"/>
    </row>
    <row r="11383" spans="2:9" ht="25.5">
      <c r="B11383" s="3192" t="s">
        <v>675</v>
      </c>
      <c r="C11383" s="3063"/>
      <c r="D11383" s="3064"/>
      <c r="E11383" s="3064"/>
      <c r="F11383" s="3064"/>
      <c r="G11383" s="3301" t="s">
        <v>675</v>
      </c>
      <c r="H11383" s="3063"/>
      <c r="I11383" s="3030"/>
    </row>
    <row r="11384" spans="2:9" ht="25.5">
      <c r="B11384" s="3192" t="s">
        <v>676</v>
      </c>
      <c r="C11384" s="3063"/>
      <c r="D11384" s="3064"/>
      <c r="E11384" s="3064"/>
      <c r="F11384" s="3064"/>
      <c r="G11384" s="3301" t="s">
        <v>676</v>
      </c>
      <c r="H11384" s="3063"/>
      <c r="I11384" s="3030"/>
    </row>
    <row r="11385" spans="2:9">
      <c r="B11385" s="3192" t="s">
        <v>677</v>
      </c>
      <c r="C11385" s="3063"/>
      <c r="D11385" s="3064"/>
      <c r="E11385" s="3064"/>
      <c r="F11385" s="3064"/>
      <c r="G11385" s="3301" t="s">
        <v>677</v>
      </c>
      <c r="H11385" s="3063"/>
      <c r="I11385" s="3030"/>
    </row>
    <row r="11386" spans="2:9">
      <c r="B11386" s="3192" t="s">
        <v>678</v>
      </c>
      <c r="C11386" s="3063"/>
      <c r="D11386" s="3064"/>
      <c r="E11386" s="3064"/>
      <c r="F11386" s="3064"/>
      <c r="G11386" s="3301" t="s">
        <v>678</v>
      </c>
      <c r="H11386" s="3063"/>
      <c r="I11386" s="3030"/>
    </row>
    <row r="11387" spans="2:9">
      <c r="B11387" s="3192" t="s">
        <v>679</v>
      </c>
      <c r="C11387" s="3063"/>
      <c r="D11387" s="3064"/>
      <c r="E11387" s="3064"/>
      <c r="F11387" s="3064"/>
      <c r="G11387" s="3301" t="s">
        <v>679</v>
      </c>
      <c r="H11387" s="3063"/>
      <c r="I11387" s="3030"/>
    </row>
    <row r="11388" spans="2:9" ht="25.5">
      <c r="B11388" s="3192" t="s">
        <v>720</v>
      </c>
      <c r="C11388" s="3063"/>
      <c r="D11388" s="3064"/>
      <c r="E11388" s="3064"/>
      <c r="F11388" s="3064"/>
      <c r="G11388" s="3301" t="s">
        <v>720</v>
      </c>
      <c r="H11388" s="3063"/>
      <c r="I11388" s="3030"/>
    </row>
    <row r="11389" spans="2:9">
      <c r="B11389" s="3299" t="s">
        <v>82</v>
      </c>
      <c r="C11389" s="3063"/>
      <c r="D11389" s="3064"/>
      <c r="E11389" s="3064"/>
      <c r="F11389" s="3064"/>
      <c r="G11389" s="3300" t="s">
        <v>82</v>
      </c>
      <c r="H11389" s="3063"/>
      <c r="I11389" s="3030"/>
    </row>
    <row r="11390" spans="2:9" ht="25.5">
      <c r="B11390" s="3192" t="s">
        <v>675</v>
      </c>
      <c r="C11390" s="3063"/>
      <c r="D11390" s="3064"/>
      <c r="E11390" s="3064"/>
      <c r="F11390" s="3064"/>
      <c r="G11390" s="3301" t="s">
        <v>675</v>
      </c>
      <c r="H11390" s="3063"/>
      <c r="I11390" s="3030"/>
    </row>
    <row r="11391" spans="2:9" ht="25.5">
      <c r="B11391" s="3192" t="s">
        <v>676</v>
      </c>
      <c r="C11391" s="3063"/>
      <c r="D11391" s="3064"/>
      <c r="E11391" s="3064"/>
      <c r="F11391" s="3064"/>
      <c r="G11391" s="3301" t="s">
        <v>676</v>
      </c>
      <c r="H11391" s="3063"/>
      <c r="I11391" s="3030"/>
    </row>
    <row r="11392" spans="2:9">
      <c r="B11392" s="3192" t="s">
        <v>677</v>
      </c>
      <c r="C11392" s="3063"/>
      <c r="D11392" s="3064"/>
      <c r="E11392" s="3064"/>
      <c r="F11392" s="3064"/>
      <c r="G11392" s="3301" t="s">
        <v>677</v>
      </c>
      <c r="H11392" s="3063"/>
      <c r="I11392" s="3030"/>
    </row>
    <row r="11393" spans="2:9">
      <c r="B11393" s="3192" t="s">
        <v>678</v>
      </c>
      <c r="C11393" s="3063"/>
      <c r="D11393" s="3064"/>
      <c r="E11393" s="3064"/>
      <c r="F11393" s="3064"/>
      <c r="G11393" s="3301" t="s">
        <v>678</v>
      </c>
      <c r="H11393" s="3063"/>
      <c r="I11393" s="3030"/>
    </row>
    <row r="11394" spans="2:9">
      <c r="B11394" s="3192" t="s">
        <v>679</v>
      </c>
      <c r="C11394" s="3063"/>
      <c r="D11394" s="3064"/>
      <c r="E11394" s="3064"/>
      <c r="F11394" s="3064"/>
      <c r="G11394" s="3301" t="s">
        <v>679</v>
      </c>
      <c r="H11394" s="3063"/>
      <c r="I11394" s="3030"/>
    </row>
    <row r="11395" spans="2:9" ht="25.5">
      <c r="B11395" s="3192" t="s">
        <v>720</v>
      </c>
      <c r="C11395" s="3063"/>
      <c r="D11395" s="3064"/>
      <c r="E11395" s="3064"/>
      <c r="F11395" s="3064"/>
      <c r="G11395" s="3301" t="s">
        <v>720</v>
      </c>
      <c r="H11395" s="3063"/>
      <c r="I11395" s="3030"/>
    </row>
    <row r="11396" spans="2:9" ht="38.25">
      <c r="B11396" s="3299" t="s">
        <v>680</v>
      </c>
      <c r="C11396" s="3063"/>
      <c r="D11396" s="3064"/>
      <c r="E11396" s="3064"/>
      <c r="F11396" s="3064"/>
      <c r="G11396" s="3300" t="s">
        <v>680</v>
      </c>
      <c r="H11396" s="3063"/>
      <c r="I11396" s="3030"/>
    </row>
    <row r="11397" spans="2:9" ht="25.5">
      <c r="B11397" s="3192" t="s">
        <v>675</v>
      </c>
      <c r="C11397" s="3063"/>
      <c r="D11397" s="3064"/>
      <c r="E11397" s="3064"/>
      <c r="F11397" s="3064"/>
      <c r="G11397" s="3301" t="s">
        <v>675</v>
      </c>
      <c r="H11397" s="3063"/>
      <c r="I11397" s="3030"/>
    </row>
    <row r="11398" spans="2:9" ht="25.5">
      <c r="B11398" s="3192" t="s">
        <v>676</v>
      </c>
      <c r="C11398" s="3063"/>
      <c r="D11398" s="3064"/>
      <c r="E11398" s="3064"/>
      <c r="F11398" s="3064"/>
      <c r="G11398" s="3301" t="s">
        <v>676</v>
      </c>
      <c r="H11398" s="3063"/>
      <c r="I11398" s="3030"/>
    </row>
    <row r="11399" spans="2:9">
      <c r="B11399" s="3192" t="s">
        <v>677</v>
      </c>
      <c r="C11399" s="3063"/>
      <c r="D11399" s="3064"/>
      <c r="E11399" s="3064"/>
      <c r="F11399" s="3064"/>
      <c r="G11399" s="3301" t="s">
        <v>677</v>
      </c>
      <c r="H11399" s="3063"/>
      <c r="I11399" s="3030"/>
    </row>
    <row r="11400" spans="2:9">
      <c r="B11400" s="3192" t="s">
        <v>678</v>
      </c>
      <c r="C11400" s="3063"/>
      <c r="D11400" s="3064"/>
      <c r="E11400" s="3064"/>
      <c r="F11400" s="3064"/>
      <c r="G11400" s="3301" t="s">
        <v>678</v>
      </c>
      <c r="H11400" s="3063"/>
      <c r="I11400" s="3030"/>
    </row>
    <row r="11401" spans="2:9">
      <c r="B11401" s="3192" t="s">
        <v>679</v>
      </c>
      <c r="C11401" s="3063"/>
      <c r="D11401" s="3064"/>
      <c r="E11401" s="3064"/>
      <c r="F11401" s="3064"/>
      <c r="G11401" s="3301" t="s">
        <v>679</v>
      </c>
      <c r="H11401" s="3063"/>
      <c r="I11401" s="3030"/>
    </row>
    <row r="11402" spans="2:9" ht="25.5">
      <c r="B11402" s="3192" t="s">
        <v>720</v>
      </c>
      <c r="C11402" s="3063"/>
      <c r="D11402" s="3064"/>
      <c r="E11402" s="3064"/>
      <c r="F11402" s="3064"/>
      <c r="G11402" s="3301" t="s">
        <v>720</v>
      </c>
      <c r="H11402" s="3063"/>
      <c r="I11402" s="3030"/>
    </row>
    <row r="11403" spans="2:9" ht="38.25">
      <c r="B11403" s="3299" t="s">
        <v>681</v>
      </c>
      <c r="C11403" s="3063"/>
      <c r="D11403" s="3064"/>
      <c r="E11403" s="3064"/>
      <c r="F11403" s="3064"/>
      <c r="G11403" s="3300" t="s">
        <v>681</v>
      </c>
      <c r="H11403" s="3063"/>
      <c r="I11403" s="3030"/>
    </row>
    <row r="11404" spans="2:9" ht="25.5">
      <c r="B11404" s="3192" t="s">
        <v>675</v>
      </c>
      <c r="C11404" s="3063"/>
      <c r="D11404" s="3064"/>
      <c r="E11404" s="3064"/>
      <c r="F11404" s="3064"/>
      <c r="G11404" s="3301" t="s">
        <v>675</v>
      </c>
      <c r="H11404" s="3063"/>
      <c r="I11404" s="3030"/>
    </row>
    <row r="11405" spans="2:9" ht="25.5">
      <c r="B11405" s="3192" t="s">
        <v>676</v>
      </c>
      <c r="C11405" s="3063"/>
      <c r="D11405" s="3064"/>
      <c r="E11405" s="3064"/>
      <c r="F11405" s="3064"/>
      <c r="G11405" s="3301" t="s">
        <v>676</v>
      </c>
      <c r="H11405" s="3063"/>
      <c r="I11405" s="3030"/>
    </row>
    <row r="11406" spans="2:9">
      <c r="B11406" s="3192" t="s">
        <v>677</v>
      </c>
      <c r="C11406" s="3063"/>
      <c r="D11406" s="3064"/>
      <c r="E11406" s="3064"/>
      <c r="F11406" s="3064"/>
      <c r="G11406" s="3301" t="s">
        <v>677</v>
      </c>
      <c r="H11406" s="3063"/>
      <c r="I11406" s="3030"/>
    </row>
    <row r="11407" spans="2:9">
      <c r="B11407" s="3192" t="s">
        <v>678</v>
      </c>
      <c r="C11407" s="3063"/>
      <c r="D11407" s="3064"/>
      <c r="E11407" s="3064"/>
      <c r="F11407" s="3064"/>
      <c r="G11407" s="3301" t="s">
        <v>678</v>
      </c>
      <c r="H11407" s="3063"/>
      <c r="I11407" s="3030"/>
    </row>
    <row r="11408" spans="2:9">
      <c r="B11408" s="3192" t="s">
        <v>679</v>
      </c>
      <c r="C11408" s="3063"/>
      <c r="D11408" s="3064"/>
      <c r="E11408" s="3064"/>
      <c r="F11408" s="3064"/>
      <c r="G11408" s="3301" t="s">
        <v>679</v>
      </c>
      <c r="H11408" s="3063"/>
      <c r="I11408" s="3030"/>
    </row>
    <row r="11409" spans="2:9" ht="25.5">
      <c r="B11409" s="3192" t="s">
        <v>720</v>
      </c>
      <c r="C11409" s="3063"/>
      <c r="D11409" s="3064"/>
      <c r="E11409" s="3064"/>
      <c r="F11409" s="3064"/>
      <c r="G11409" s="3301" t="s">
        <v>720</v>
      </c>
      <c r="H11409" s="3063"/>
      <c r="I11409" s="3030"/>
    </row>
    <row r="11410" spans="2:9" ht="25.5">
      <c r="B11410" s="3299" t="s">
        <v>682</v>
      </c>
      <c r="C11410" s="3063"/>
      <c r="D11410" s="3064"/>
      <c r="E11410" s="3064"/>
      <c r="F11410" s="3064"/>
      <c r="G11410" s="3300" t="s">
        <v>682</v>
      </c>
      <c r="H11410" s="3063"/>
      <c r="I11410" s="3030"/>
    </row>
    <row r="11411" spans="2:9" ht="25.5">
      <c r="B11411" s="3192" t="s">
        <v>675</v>
      </c>
      <c r="C11411" s="3063"/>
      <c r="D11411" s="3064"/>
      <c r="E11411" s="3064"/>
      <c r="F11411" s="3064"/>
      <c r="G11411" s="3301" t="s">
        <v>675</v>
      </c>
      <c r="H11411" s="3063"/>
      <c r="I11411" s="3030"/>
    </row>
    <row r="11412" spans="2:9" ht="25.5">
      <c r="B11412" s="3192" t="s">
        <v>676</v>
      </c>
      <c r="C11412" s="3063"/>
      <c r="D11412" s="3064"/>
      <c r="E11412" s="3064"/>
      <c r="F11412" s="3064"/>
      <c r="G11412" s="3301" t="s">
        <v>676</v>
      </c>
      <c r="H11412" s="3063"/>
      <c r="I11412" s="3030"/>
    </row>
    <row r="11413" spans="2:9">
      <c r="B11413" s="3192" t="s">
        <v>677</v>
      </c>
      <c r="C11413" s="3063"/>
      <c r="D11413" s="3064"/>
      <c r="E11413" s="3064"/>
      <c r="F11413" s="3064"/>
      <c r="G11413" s="3301" t="s">
        <v>677</v>
      </c>
      <c r="H11413" s="3063"/>
      <c r="I11413" s="3030"/>
    </row>
    <row r="11414" spans="2:9">
      <c r="B11414" s="3192" t="s">
        <v>678</v>
      </c>
      <c r="C11414" s="3063"/>
      <c r="D11414" s="3064"/>
      <c r="E11414" s="3064"/>
      <c r="F11414" s="3064"/>
      <c r="G11414" s="3301" t="s">
        <v>678</v>
      </c>
      <c r="H11414" s="3063"/>
      <c r="I11414" s="3030"/>
    </row>
    <row r="11415" spans="2:9">
      <c r="B11415" s="3192" t="s">
        <v>679</v>
      </c>
      <c r="C11415" s="3063"/>
      <c r="D11415" s="3064"/>
      <c r="E11415" s="3064"/>
      <c r="F11415" s="3064"/>
      <c r="G11415" s="3301" t="s">
        <v>679</v>
      </c>
      <c r="H11415" s="3063"/>
      <c r="I11415" s="3030"/>
    </row>
    <row r="11416" spans="2:9" ht="25.5">
      <c r="B11416" s="3192" t="s">
        <v>720</v>
      </c>
      <c r="C11416" s="3063"/>
      <c r="D11416" s="3064"/>
      <c r="E11416" s="3064"/>
      <c r="F11416" s="3064"/>
      <c r="G11416" s="3301" t="s">
        <v>720</v>
      </c>
      <c r="H11416" s="3063"/>
      <c r="I11416" s="3030"/>
    </row>
    <row r="11417" spans="2:9" ht="25.5">
      <c r="B11417" s="3299" t="s">
        <v>66</v>
      </c>
      <c r="C11417" s="3063"/>
      <c r="D11417" s="3064"/>
      <c r="E11417" s="3064"/>
      <c r="F11417" s="3064"/>
      <c r="G11417" s="3300" t="s">
        <v>66</v>
      </c>
      <c r="H11417" s="3063"/>
      <c r="I11417" s="3030"/>
    </row>
    <row r="11418" spans="2:9" ht="25.5">
      <c r="B11418" s="3192" t="s">
        <v>675</v>
      </c>
      <c r="C11418" s="3063"/>
      <c r="D11418" s="3064"/>
      <c r="E11418" s="3064"/>
      <c r="F11418" s="3064"/>
      <c r="G11418" s="3301" t="s">
        <v>675</v>
      </c>
      <c r="H11418" s="3063"/>
      <c r="I11418" s="3030"/>
    </row>
    <row r="11419" spans="2:9" ht="25.5">
      <c r="B11419" s="3192" t="s">
        <v>676</v>
      </c>
      <c r="C11419" s="3063"/>
      <c r="D11419" s="3064"/>
      <c r="E11419" s="3064"/>
      <c r="F11419" s="3064"/>
      <c r="G11419" s="3301" t="s">
        <v>676</v>
      </c>
      <c r="H11419" s="3063"/>
      <c r="I11419" s="3030"/>
    </row>
    <row r="11420" spans="2:9">
      <c r="B11420" s="3192" t="s">
        <v>677</v>
      </c>
      <c r="C11420" s="3063"/>
      <c r="D11420" s="3064"/>
      <c r="E11420" s="3064"/>
      <c r="F11420" s="3064"/>
      <c r="G11420" s="3301" t="s">
        <v>677</v>
      </c>
      <c r="H11420" s="3063"/>
      <c r="I11420" s="3030"/>
    </row>
    <row r="11421" spans="2:9">
      <c r="B11421" s="3192" t="s">
        <v>678</v>
      </c>
      <c r="C11421" s="3063"/>
      <c r="D11421" s="3064"/>
      <c r="E11421" s="3064"/>
      <c r="F11421" s="3064"/>
      <c r="G11421" s="3301" t="s">
        <v>678</v>
      </c>
      <c r="H11421" s="3063"/>
      <c r="I11421" s="3030"/>
    </row>
    <row r="11422" spans="2:9">
      <c r="B11422" s="3192" t="s">
        <v>679</v>
      </c>
      <c r="C11422" s="3063"/>
      <c r="D11422" s="3064"/>
      <c r="E11422" s="3064"/>
      <c r="F11422" s="3064"/>
      <c r="G11422" s="3301" t="s">
        <v>679</v>
      </c>
      <c r="H11422" s="3063"/>
      <c r="I11422" s="3030"/>
    </row>
    <row r="11423" spans="2:9" ht="25.5">
      <c r="B11423" s="3192" t="s">
        <v>720</v>
      </c>
      <c r="C11423" s="3063"/>
      <c r="D11423" s="3064"/>
      <c r="E11423" s="3064"/>
      <c r="F11423" s="3064"/>
      <c r="G11423" s="3301" t="s">
        <v>720</v>
      </c>
      <c r="H11423" s="3063"/>
      <c r="I11423" s="3030"/>
    </row>
    <row r="11424" spans="2:9">
      <c r="B11424" s="3299" t="s">
        <v>67</v>
      </c>
      <c r="C11424" s="3063"/>
      <c r="D11424" s="3064"/>
      <c r="E11424" s="3064"/>
      <c r="F11424" s="3064"/>
      <c r="G11424" s="3300" t="s">
        <v>67</v>
      </c>
      <c r="H11424" s="3063"/>
      <c r="I11424" s="3030"/>
    </row>
    <row r="11425" spans="2:9" ht="25.5">
      <c r="B11425" s="3192" t="s">
        <v>675</v>
      </c>
      <c r="C11425" s="3063"/>
      <c r="D11425" s="3064"/>
      <c r="E11425" s="3064"/>
      <c r="F11425" s="3064"/>
      <c r="G11425" s="3301" t="s">
        <v>675</v>
      </c>
      <c r="H11425" s="3063"/>
      <c r="I11425" s="3030"/>
    </row>
    <row r="11426" spans="2:9" ht="25.5">
      <c r="B11426" s="3192" t="s">
        <v>676</v>
      </c>
      <c r="C11426" s="3063"/>
      <c r="D11426" s="3064"/>
      <c r="E11426" s="3064"/>
      <c r="F11426" s="3064"/>
      <c r="G11426" s="3301" t="s">
        <v>676</v>
      </c>
      <c r="H11426" s="3063"/>
      <c r="I11426" s="3030"/>
    </row>
    <row r="11427" spans="2:9">
      <c r="B11427" s="3192" t="s">
        <v>677</v>
      </c>
      <c r="C11427" s="3063"/>
      <c r="D11427" s="3064"/>
      <c r="E11427" s="3064"/>
      <c r="F11427" s="3064"/>
      <c r="G11427" s="3301" t="s">
        <v>677</v>
      </c>
      <c r="H11427" s="3063"/>
      <c r="I11427" s="3030"/>
    </row>
    <row r="11428" spans="2:9">
      <c r="B11428" s="3192" t="s">
        <v>678</v>
      </c>
      <c r="C11428" s="3063"/>
      <c r="D11428" s="3064"/>
      <c r="E11428" s="3064"/>
      <c r="F11428" s="3064"/>
      <c r="G11428" s="3301" t="s">
        <v>678</v>
      </c>
      <c r="H11428" s="3063"/>
      <c r="I11428" s="3030"/>
    </row>
    <row r="11429" spans="2:9">
      <c r="B11429" s="3192" t="s">
        <v>679</v>
      </c>
      <c r="C11429" s="3063"/>
      <c r="D11429" s="3064"/>
      <c r="E11429" s="3064"/>
      <c r="F11429" s="3064"/>
      <c r="G11429" s="3301" t="s">
        <v>679</v>
      </c>
      <c r="H11429" s="3063"/>
      <c r="I11429" s="3030"/>
    </row>
    <row r="11430" spans="2:9" ht="25.5">
      <c r="B11430" s="3230" t="s">
        <v>81</v>
      </c>
      <c r="C11430" s="3063"/>
      <c r="D11430" s="3064"/>
      <c r="E11430" s="3064"/>
      <c r="F11430" s="3064"/>
      <c r="G11430" s="3302" t="s">
        <v>81</v>
      </c>
      <c r="H11430" s="3063"/>
      <c r="I11430" s="3030"/>
    </row>
    <row r="11431" spans="2:9" ht="26.25" thickBot="1">
      <c r="B11431" s="3303" t="s">
        <v>81</v>
      </c>
      <c r="C11431" s="3063"/>
      <c r="D11431" s="3064"/>
      <c r="E11431" s="3064"/>
      <c r="F11431" s="3064"/>
      <c r="G11431" s="3302" t="s">
        <v>81</v>
      </c>
      <c r="H11431" s="3063"/>
      <c r="I11431" s="3030"/>
    </row>
    <row r="11432" spans="2:9">
      <c r="B11432" s="3217" t="s">
        <v>697</v>
      </c>
      <c r="C11432" s="3218"/>
      <c r="D11432" s="3219"/>
      <c r="E11432" s="3219"/>
      <c r="F11432" s="3219"/>
      <c r="G11432" s="3217" t="s">
        <v>697</v>
      </c>
      <c r="H11432" s="3297"/>
      <c r="I11432" s="3298"/>
    </row>
    <row r="11433" spans="2:9">
      <c r="B11433" s="3299" t="s">
        <v>64</v>
      </c>
      <c r="C11433" s="3063"/>
      <c r="D11433" s="3064"/>
      <c r="E11433" s="3064"/>
      <c r="F11433" s="3064"/>
      <c r="G11433" s="3300" t="s">
        <v>64</v>
      </c>
      <c r="H11433" s="3063"/>
      <c r="I11433" s="3030"/>
    </row>
    <row r="11434" spans="2:9" ht="25.5">
      <c r="B11434" s="3192" t="s">
        <v>675</v>
      </c>
      <c r="C11434" s="3063"/>
      <c r="D11434" s="3064"/>
      <c r="E11434" s="3064"/>
      <c r="F11434" s="3064"/>
      <c r="G11434" s="3301" t="s">
        <v>675</v>
      </c>
      <c r="H11434" s="3063"/>
      <c r="I11434" s="3030"/>
    </row>
    <row r="11435" spans="2:9" ht="25.5">
      <c r="B11435" s="3192" t="s">
        <v>676</v>
      </c>
      <c r="C11435" s="3063"/>
      <c r="D11435" s="3064"/>
      <c r="E11435" s="3064"/>
      <c r="F11435" s="3064"/>
      <c r="G11435" s="3301" t="s">
        <v>676</v>
      </c>
      <c r="H11435" s="3063"/>
      <c r="I11435" s="3030"/>
    </row>
    <row r="11436" spans="2:9">
      <c r="B11436" s="3192" t="s">
        <v>677</v>
      </c>
      <c r="C11436" s="3063"/>
      <c r="D11436" s="3064"/>
      <c r="E11436" s="3064"/>
      <c r="F11436" s="3064"/>
      <c r="G11436" s="3301" t="s">
        <v>677</v>
      </c>
      <c r="H11436" s="3063"/>
      <c r="I11436" s="3030"/>
    </row>
    <row r="11437" spans="2:9">
      <c r="B11437" s="3192" t="s">
        <v>678</v>
      </c>
      <c r="C11437" s="3063"/>
      <c r="D11437" s="3064"/>
      <c r="E11437" s="3064"/>
      <c r="F11437" s="3064"/>
      <c r="G11437" s="3301" t="s">
        <v>678</v>
      </c>
      <c r="H11437" s="3063"/>
      <c r="I11437" s="3030"/>
    </row>
    <row r="11438" spans="2:9">
      <c r="B11438" s="3192" t="s">
        <v>679</v>
      </c>
      <c r="C11438" s="3063"/>
      <c r="D11438" s="3064"/>
      <c r="E11438" s="3064"/>
      <c r="F11438" s="3064"/>
      <c r="G11438" s="3301" t="s">
        <v>679</v>
      </c>
      <c r="H11438" s="3063"/>
      <c r="I11438" s="3030"/>
    </row>
    <row r="11439" spans="2:9" ht="25.5">
      <c r="B11439" s="3192" t="s">
        <v>720</v>
      </c>
      <c r="C11439" s="3063"/>
      <c r="D11439" s="3064"/>
      <c r="E11439" s="3064"/>
      <c r="F11439" s="3064"/>
      <c r="G11439" s="3301" t="s">
        <v>720</v>
      </c>
      <c r="H11439" s="3063"/>
      <c r="I11439" s="3030"/>
    </row>
    <row r="11440" spans="2:9">
      <c r="B11440" s="3299" t="s">
        <v>65</v>
      </c>
      <c r="C11440" s="3063"/>
      <c r="D11440" s="3064"/>
      <c r="E11440" s="3064"/>
      <c r="F11440" s="3064"/>
      <c r="G11440" s="3300" t="s">
        <v>65</v>
      </c>
      <c r="H11440" s="3063"/>
      <c r="I11440" s="3030"/>
    </row>
    <row r="11441" spans="2:9" ht="25.5">
      <c r="B11441" s="3192" t="s">
        <v>675</v>
      </c>
      <c r="C11441" s="3063"/>
      <c r="D11441" s="3064"/>
      <c r="E11441" s="3064"/>
      <c r="F11441" s="3064"/>
      <c r="G11441" s="3301" t="s">
        <v>675</v>
      </c>
      <c r="H11441" s="3063"/>
      <c r="I11441" s="3030"/>
    </row>
    <row r="11442" spans="2:9" ht="25.5">
      <c r="B11442" s="3192" t="s">
        <v>676</v>
      </c>
      <c r="C11442" s="3063"/>
      <c r="D11442" s="3064"/>
      <c r="E11442" s="3064"/>
      <c r="F11442" s="3064"/>
      <c r="G11442" s="3301" t="s">
        <v>676</v>
      </c>
      <c r="H11442" s="3063"/>
      <c r="I11442" s="3030"/>
    </row>
    <row r="11443" spans="2:9">
      <c r="B11443" s="3192" t="s">
        <v>677</v>
      </c>
      <c r="C11443" s="3063"/>
      <c r="D11443" s="3064"/>
      <c r="E11443" s="3064"/>
      <c r="F11443" s="3064"/>
      <c r="G11443" s="3301" t="s">
        <v>677</v>
      </c>
      <c r="H11443" s="3063"/>
      <c r="I11443" s="3030"/>
    </row>
    <row r="11444" spans="2:9">
      <c r="B11444" s="3192" t="s">
        <v>678</v>
      </c>
      <c r="C11444" s="3063"/>
      <c r="D11444" s="3064"/>
      <c r="E11444" s="3064"/>
      <c r="F11444" s="3064"/>
      <c r="G11444" s="3301" t="s">
        <v>678</v>
      </c>
      <c r="H11444" s="3063"/>
      <c r="I11444" s="3030"/>
    </row>
    <row r="11445" spans="2:9">
      <c r="B11445" s="3192" t="s">
        <v>679</v>
      </c>
      <c r="C11445" s="3063"/>
      <c r="D11445" s="3064"/>
      <c r="E11445" s="3064"/>
      <c r="F11445" s="3064"/>
      <c r="G11445" s="3301" t="s">
        <v>679</v>
      </c>
      <c r="H11445" s="3063"/>
      <c r="I11445" s="3030"/>
    </row>
    <row r="11446" spans="2:9" ht="25.5">
      <c r="B11446" s="3192" t="s">
        <v>720</v>
      </c>
      <c r="C11446" s="3063"/>
      <c r="D11446" s="3064"/>
      <c r="E11446" s="3064"/>
      <c r="F11446" s="3064"/>
      <c r="G11446" s="3301" t="s">
        <v>720</v>
      </c>
      <c r="H11446" s="3063"/>
      <c r="I11446" s="3030"/>
    </row>
    <row r="11447" spans="2:9">
      <c r="B11447" s="3299" t="s">
        <v>82</v>
      </c>
      <c r="C11447" s="3063"/>
      <c r="D11447" s="3064"/>
      <c r="E11447" s="3064"/>
      <c r="F11447" s="3064"/>
      <c r="G11447" s="3300" t="s">
        <v>82</v>
      </c>
      <c r="H11447" s="3063"/>
      <c r="I11447" s="3030"/>
    </row>
    <row r="11448" spans="2:9" ht="25.5">
      <c r="B11448" s="3192" t="s">
        <v>675</v>
      </c>
      <c r="C11448" s="3063"/>
      <c r="D11448" s="3064"/>
      <c r="E11448" s="3064"/>
      <c r="F11448" s="3064"/>
      <c r="G11448" s="3301" t="s">
        <v>675</v>
      </c>
      <c r="H11448" s="3063"/>
      <c r="I11448" s="3030"/>
    </row>
    <row r="11449" spans="2:9" ht="25.5">
      <c r="B11449" s="3192" t="s">
        <v>676</v>
      </c>
      <c r="C11449" s="3063"/>
      <c r="D11449" s="3064"/>
      <c r="E11449" s="3064"/>
      <c r="F11449" s="3064"/>
      <c r="G11449" s="3301" t="s">
        <v>676</v>
      </c>
      <c r="H11449" s="3063"/>
      <c r="I11449" s="3030"/>
    </row>
    <row r="11450" spans="2:9">
      <c r="B11450" s="3192" t="s">
        <v>677</v>
      </c>
      <c r="C11450" s="3063"/>
      <c r="D11450" s="3064"/>
      <c r="E11450" s="3064"/>
      <c r="F11450" s="3064"/>
      <c r="G11450" s="3301" t="s">
        <v>677</v>
      </c>
      <c r="H11450" s="3063"/>
      <c r="I11450" s="3030"/>
    </row>
    <row r="11451" spans="2:9">
      <c r="B11451" s="3192" t="s">
        <v>678</v>
      </c>
      <c r="C11451" s="3063"/>
      <c r="D11451" s="3064"/>
      <c r="E11451" s="3064"/>
      <c r="F11451" s="3064"/>
      <c r="G11451" s="3301" t="s">
        <v>678</v>
      </c>
      <c r="H11451" s="3063"/>
      <c r="I11451" s="3030"/>
    </row>
    <row r="11452" spans="2:9">
      <c r="B11452" s="3192" t="s">
        <v>679</v>
      </c>
      <c r="C11452" s="3063"/>
      <c r="D11452" s="3064"/>
      <c r="E11452" s="3064"/>
      <c r="F11452" s="3064"/>
      <c r="G11452" s="3301" t="s">
        <v>679</v>
      </c>
      <c r="H11452" s="3063"/>
      <c r="I11452" s="3030"/>
    </row>
    <row r="11453" spans="2:9" ht="25.5">
      <c r="B11453" s="3192" t="s">
        <v>720</v>
      </c>
      <c r="C11453" s="3063"/>
      <c r="D11453" s="3064"/>
      <c r="E11453" s="3064"/>
      <c r="F11453" s="3064"/>
      <c r="G11453" s="3301" t="s">
        <v>720</v>
      </c>
      <c r="H11453" s="3063"/>
      <c r="I11453" s="3030"/>
    </row>
    <row r="11454" spans="2:9" ht="38.25">
      <c r="B11454" s="3299" t="s">
        <v>680</v>
      </c>
      <c r="C11454" s="3063"/>
      <c r="D11454" s="3064"/>
      <c r="E11454" s="3064"/>
      <c r="F11454" s="3064"/>
      <c r="G11454" s="3300" t="s">
        <v>680</v>
      </c>
      <c r="H11454" s="3063"/>
      <c r="I11454" s="3030"/>
    </row>
    <row r="11455" spans="2:9" ht="25.5">
      <c r="B11455" s="3192" t="s">
        <v>675</v>
      </c>
      <c r="C11455" s="3063"/>
      <c r="D11455" s="3064"/>
      <c r="E11455" s="3064"/>
      <c r="F11455" s="3064"/>
      <c r="G11455" s="3301" t="s">
        <v>675</v>
      </c>
      <c r="H11455" s="3063"/>
      <c r="I11455" s="3030"/>
    </row>
    <row r="11456" spans="2:9" ht="25.5">
      <c r="B11456" s="3192" t="s">
        <v>676</v>
      </c>
      <c r="C11456" s="3063"/>
      <c r="D11456" s="3064"/>
      <c r="E11456" s="3064"/>
      <c r="F11456" s="3064"/>
      <c r="G11456" s="3301" t="s">
        <v>676</v>
      </c>
      <c r="H11456" s="3063"/>
      <c r="I11456" s="3030"/>
    </row>
    <row r="11457" spans="2:9">
      <c r="B11457" s="3192" t="s">
        <v>677</v>
      </c>
      <c r="C11457" s="3063"/>
      <c r="D11457" s="3064"/>
      <c r="E11457" s="3064"/>
      <c r="F11457" s="3064"/>
      <c r="G11457" s="3301" t="s">
        <v>677</v>
      </c>
      <c r="H11457" s="3063"/>
      <c r="I11457" s="3030"/>
    </row>
    <row r="11458" spans="2:9">
      <c r="B11458" s="3192" t="s">
        <v>678</v>
      </c>
      <c r="C11458" s="3063"/>
      <c r="D11458" s="3064"/>
      <c r="E11458" s="3064"/>
      <c r="F11458" s="3064"/>
      <c r="G11458" s="3301" t="s">
        <v>678</v>
      </c>
      <c r="H11458" s="3063"/>
      <c r="I11458" s="3030"/>
    </row>
    <row r="11459" spans="2:9">
      <c r="B11459" s="3192" t="s">
        <v>679</v>
      </c>
      <c r="C11459" s="3063"/>
      <c r="D11459" s="3064"/>
      <c r="E11459" s="3064"/>
      <c r="F11459" s="3064"/>
      <c r="G11459" s="3301" t="s">
        <v>679</v>
      </c>
      <c r="H11459" s="3063"/>
      <c r="I11459" s="3030"/>
    </row>
    <row r="11460" spans="2:9" ht="25.5">
      <c r="B11460" s="3192" t="s">
        <v>720</v>
      </c>
      <c r="C11460" s="3063"/>
      <c r="D11460" s="3064"/>
      <c r="E11460" s="3064"/>
      <c r="F11460" s="3064"/>
      <c r="G11460" s="3301" t="s">
        <v>720</v>
      </c>
      <c r="H11460" s="3063"/>
      <c r="I11460" s="3030"/>
    </row>
    <row r="11461" spans="2:9" ht="38.25">
      <c r="B11461" s="3299" t="s">
        <v>681</v>
      </c>
      <c r="C11461" s="3063"/>
      <c r="D11461" s="3064"/>
      <c r="E11461" s="3064"/>
      <c r="F11461" s="3064">
        <v>5</v>
      </c>
      <c r="G11461" s="3300" t="s">
        <v>681</v>
      </c>
      <c r="H11461" s="3063">
        <v>1.9998729080766883E-2</v>
      </c>
      <c r="I11461" s="3030"/>
    </row>
    <row r="11462" spans="2:9" ht="25.5">
      <c r="B11462" s="3192" t="s">
        <v>675</v>
      </c>
      <c r="C11462" s="3063">
        <v>2</v>
      </c>
      <c r="D11462" s="3064">
        <v>1</v>
      </c>
      <c r="E11462" s="3064"/>
      <c r="F11462" s="3064"/>
      <c r="G11462" s="3301" t="s">
        <v>675</v>
      </c>
      <c r="H11462" s="3063"/>
      <c r="I11462" s="3030">
        <v>1.1249285107931373E-2</v>
      </c>
    </row>
    <row r="11463" spans="2:9" ht="25.5">
      <c r="B11463" s="3192" t="s">
        <v>676</v>
      </c>
      <c r="C11463" s="3063"/>
      <c r="D11463" s="3064"/>
      <c r="E11463" s="3064"/>
      <c r="F11463" s="3064"/>
      <c r="G11463" s="3301" t="s">
        <v>676</v>
      </c>
      <c r="H11463" s="3063"/>
      <c r="I11463" s="3030"/>
    </row>
    <row r="11464" spans="2:9">
      <c r="B11464" s="3192" t="s">
        <v>677</v>
      </c>
      <c r="C11464" s="3063"/>
      <c r="D11464" s="3064"/>
      <c r="E11464" s="3064"/>
      <c r="F11464" s="3064"/>
      <c r="G11464" s="3301" t="s">
        <v>677</v>
      </c>
      <c r="H11464" s="3063"/>
      <c r="I11464" s="3030"/>
    </row>
    <row r="11465" spans="2:9">
      <c r="B11465" s="3192" t="s">
        <v>678</v>
      </c>
      <c r="C11465" s="3063"/>
      <c r="D11465" s="3064"/>
      <c r="E11465" s="3064"/>
      <c r="F11465" s="3064"/>
      <c r="G11465" s="3301" t="s">
        <v>678</v>
      </c>
      <c r="H11465" s="3063"/>
      <c r="I11465" s="3030"/>
    </row>
    <row r="11466" spans="2:9">
      <c r="B11466" s="3192" t="s">
        <v>679</v>
      </c>
      <c r="C11466" s="3063"/>
      <c r="D11466" s="3064"/>
      <c r="E11466" s="3064"/>
      <c r="F11466" s="3064"/>
      <c r="G11466" s="3301" t="s">
        <v>679</v>
      </c>
      <c r="H11466" s="3063"/>
      <c r="I11466" s="3030"/>
    </row>
    <row r="11467" spans="2:9" ht="25.5">
      <c r="B11467" s="3192" t="s">
        <v>720</v>
      </c>
      <c r="C11467" s="3063"/>
      <c r="D11467" s="3064"/>
      <c r="E11467" s="3064"/>
      <c r="F11467" s="3064"/>
      <c r="G11467" s="3301" t="s">
        <v>720</v>
      </c>
      <c r="H11467" s="3063"/>
      <c r="I11467" s="3030"/>
    </row>
    <row r="11468" spans="2:9" ht="25.5">
      <c r="B11468" s="3299" t="s">
        <v>682</v>
      </c>
      <c r="C11468" s="3063"/>
      <c r="D11468" s="3064"/>
      <c r="E11468" s="3064"/>
      <c r="F11468" s="3064"/>
      <c r="G11468" s="3300" t="s">
        <v>682</v>
      </c>
      <c r="H11468" s="3063"/>
      <c r="I11468" s="3030"/>
    </row>
    <row r="11469" spans="2:9" ht="25.5">
      <c r="B11469" s="3192" t="s">
        <v>675</v>
      </c>
      <c r="C11469" s="3063"/>
      <c r="D11469" s="3064"/>
      <c r="E11469" s="3064"/>
      <c r="F11469" s="3064"/>
      <c r="G11469" s="3301" t="s">
        <v>675</v>
      </c>
      <c r="H11469" s="3063"/>
      <c r="I11469" s="3030"/>
    </row>
    <row r="11470" spans="2:9" ht="25.5">
      <c r="B11470" s="3192" t="s">
        <v>676</v>
      </c>
      <c r="C11470" s="3063"/>
      <c r="D11470" s="3064"/>
      <c r="E11470" s="3064"/>
      <c r="F11470" s="3064"/>
      <c r="G11470" s="3301" t="s">
        <v>676</v>
      </c>
      <c r="H11470" s="3063"/>
      <c r="I11470" s="3030"/>
    </row>
    <row r="11471" spans="2:9">
      <c r="B11471" s="3192" t="s">
        <v>677</v>
      </c>
      <c r="C11471" s="3063"/>
      <c r="D11471" s="3064"/>
      <c r="E11471" s="3064"/>
      <c r="F11471" s="3064"/>
      <c r="G11471" s="3301" t="s">
        <v>677</v>
      </c>
      <c r="H11471" s="3063"/>
      <c r="I11471" s="3030"/>
    </row>
    <row r="11472" spans="2:9">
      <c r="B11472" s="3192" t="s">
        <v>678</v>
      </c>
      <c r="C11472" s="3063"/>
      <c r="D11472" s="3064"/>
      <c r="E11472" s="3064"/>
      <c r="F11472" s="3064"/>
      <c r="G11472" s="3301" t="s">
        <v>678</v>
      </c>
      <c r="H11472" s="3063"/>
      <c r="I11472" s="3030"/>
    </row>
    <row r="11473" spans="2:9">
      <c r="B11473" s="3192" t="s">
        <v>679</v>
      </c>
      <c r="C11473" s="3063"/>
      <c r="D11473" s="3064"/>
      <c r="E11473" s="3064"/>
      <c r="F11473" s="3064"/>
      <c r="G11473" s="3301" t="s">
        <v>679</v>
      </c>
      <c r="H11473" s="3063"/>
      <c r="I11473" s="3030"/>
    </row>
    <row r="11474" spans="2:9" ht="25.5">
      <c r="B11474" s="3192" t="s">
        <v>720</v>
      </c>
      <c r="C11474" s="3063"/>
      <c r="D11474" s="3064"/>
      <c r="E11474" s="3064"/>
      <c r="F11474" s="3064"/>
      <c r="G11474" s="3301" t="s">
        <v>720</v>
      </c>
      <c r="H11474" s="3063"/>
      <c r="I11474" s="3030"/>
    </row>
    <row r="11475" spans="2:9" ht="25.5">
      <c r="B11475" s="3299" t="s">
        <v>66</v>
      </c>
      <c r="C11475" s="3063"/>
      <c r="D11475" s="3064"/>
      <c r="E11475" s="3064"/>
      <c r="F11475" s="3064"/>
      <c r="G11475" s="3300" t="s">
        <v>66</v>
      </c>
      <c r="H11475" s="3063"/>
      <c r="I11475" s="3030"/>
    </row>
    <row r="11476" spans="2:9" ht="25.5">
      <c r="B11476" s="3192" t="s">
        <v>675</v>
      </c>
      <c r="C11476" s="3063"/>
      <c r="D11476" s="3064"/>
      <c r="E11476" s="3064"/>
      <c r="F11476" s="3064"/>
      <c r="G11476" s="3301" t="s">
        <v>675</v>
      </c>
      <c r="H11476" s="3063"/>
      <c r="I11476" s="3030"/>
    </row>
    <row r="11477" spans="2:9" ht="25.5">
      <c r="B11477" s="3192" t="s">
        <v>676</v>
      </c>
      <c r="C11477" s="3063"/>
      <c r="D11477" s="3064"/>
      <c r="E11477" s="3064"/>
      <c r="F11477" s="3064"/>
      <c r="G11477" s="3301" t="s">
        <v>676</v>
      </c>
      <c r="H11477" s="3063"/>
      <c r="I11477" s="3030"/>
    </row>
    <row r="11478" spans="2:9">
      <c r="B11478" s="3192" t="s">
        <v>677</v>
      </c>
      <c r="C11478" s="3063"/>
      <c r="D11478" s="3064"/>
      <c r="E11478" s="3064"/>
      <c r="F11478" s="3064"/>
      <c r="G11478" s="3301" t="s">
        <v>677</v>
      </c>
      <c r="H11478" s="3063"/>
      <c r="I11478" s="3030"/>
    </row>
    <row r="11479" spans="2:9">
      <c r="B11479" s="3192" t="s">
        <v>678</v>
      </c>
      <c r="C11479" s="3063"/>
      <c r="D11479" s="3064"/>
      <c r="E11479" s="3064"/>
      <c r="F11479" s="3064"/>
      <c r="G11479" s="3301" t="s">
        <v>678</v>
      </c>
      <c r="H11479" s="3063"/>
      <c r="I11479" s="3030"/>
    </row>
    <row r="11480" spans="2:9">
      <c r="B11480" s="3192" t="s">
        <v>679</v>
      </c>
      <c r="C11480" s="3063"/>
      <c r="D11480" s="3064"/>
      <c r="E11480" s="3064"/>
      <c r="F11480" s="3064"/>
      <c r="G11480" s="3301" t="s">
        <v>679</v>
      </c>
      <c r="H11480" s="3063"/>
      <c r="I11480" s="3030"/>
    </row>
    <row r="11481" spans="2:9" ht="25.5">
      <c r="B11481" s="3192" t="s">
        <v>720</v>
      </c>
      <c r="C11481" s="3063"/>
      <c r="D11481" s="3064"/>
      <c r="E11481" s="3064"/>
      <c r="F11481" s="3064"/>
      <c r="G11481" s="3301" t="s">
        <v>720</v>
      </c>
      <c r="H11481" s="3063"/>
      <c r="I11481" s="3030"/>
    </row>
    <row r="11482" spans="2:9">
      <c r="B11482" s="3299" t="s">
        <v>67</v>
      </c>
      <c r="C11482" s="3063"/>
      <c r="D11482" s="3064"/>
      <c r="E11482" s="3064"/>
      <c r="F11482" s="3064"/>
      <c r="G11482" s="3300" t="s">
        <v>67</v>
      </c>
      <c r="H11482" s="3063"/>
      <c r="I11482" s="3030"/>
    </row>
    <row r="11483" spans="2:9" ht="25.5">
      <c r="B11483" s="3192" t="s">
        <v>675</v>
      </c>
      <c r="C11483" s="3063"/>
      <c r="D11483" s="3064"/>
      <c r="E11483" s="3064"/>
      <c r="F11483" s="3064"/>
      <c r="G11483" s="3301" t="s">
        <v>675</v>
      </c>
      <c r="H11483" s="3063"/>
      <c r="I11483" s="3030"/>
    </row>
    <row r="11484" spans="2:9" ht="25.5">
      <c r="B11484" s="3192" t="s">
        <v>676</v>
      </c>
      <c r="C11484" s="3063"/>
      <c r="D11484" s="3064"/>
      <c r="E11484" s="3064"/>
      <c r="F11484" s="3064"/>
      <c r="G11484" s="3301" t="s">
        <v>676</v>
      </c>
      <c r="H11484" s="3063"/>
      <c r="I11484" s="3030"/>
    </row>
    <row r="11485" spans="2:9">
      <c r="B11485" s="3192" t="s">
        <v>677</v>
      </c>
      <c r="C11485" s="3063"/>
      <c r="D11485" s="3064"/>
      <c r="E11485" s="3064"/>
      <c r="F11485" s="3064"/>
      <c r="G11485" s="3301" t="s">
        <v>677</v>
      </c>
      <c r="H11485" s="3063"/>
      <c r="I11485" s="3030"/>
    </row>
    <row r="11486" spans="2:9">
      <c r="B11486" s="3192" t="s">
        <v>678</v>
      </c>
      <c r="C11486" s="3063"/>
      <c r="D11486" s="3064"/>
      <c r="E11486" s="3064"/>
      <c r="F11486" s="3064"/>
      <c r="G11486" s="3301" t="s">
        <v>678</v>
      </c>
      <c r="H11486" s="3063"/>
      <c r="I11486" s="3030"/>
    </row>
    <row r="11487" spans="2:9">
      <c r="B11487" s="3192" t="s">
        <v>679</v>
      </c>
      <c r="C11487" s="3063"/>
      <c r="D11487" s="3064"/>
      <c r="E11487" s="3064"/>
      <c r="F11487" s="3064"/>
      <c r="G11487" s="3301" t="s">
        <v>679</v>
      </c>
      <c r="H11487" s="3063"/>
      <c r="I11487" s="3030"/>
    </row>
    <row r="11488" spans="2:9" ht="25.5">
      <c r="B11488" s="3230" t="s">
        <v>81</v>
      </c>
      <c r="C11488" s="3063"/>
      <c r="D11488" s="3064"/>
      <c r="E11488" s="3064"/>
      <c r="F11488" s="3064"/>
      <c r="G11488" s="3302" t="s">
        <v>81</v>
      </c>
      <c r="H11488" s="3063"/>
      <c r="I11488" s="3030"/>
    </row>
    <row r="11489" spans="2:9" ht="26.25" thickBot="1">
      <c r="B11489" s="3303" t="s">
        <v>81</v>
      </c>
      <c r="C11489" s="3068"/>
      <c r="D11489" s="3069"/>
      <c r="E11489" s="3069"/>
      <c r="F11489" s="3069"/>
      <c r="G11489" s="3304" t="s">
        <v>81</v>
      </c>
      <c r="H11489" s="3068"/>
      <c r="I11489" s="3070"/>
    </row>
    <row r="11490" spans="2:9" ht="38.25">
      <c r="B11490" s="4723">
        <v>3250</v>
      </c>
      <c r="C11490" s="3289"/>
      <c r="D11490" s="3290"/>
      <c r="E11490" s="3290"/>
      <c r="F11490" s="3290"/>
      <c r="G11490" s="4723">
        <v>3250</v>
      </c>
      <c r="H11490" s="3291" t="s">
        <v>687</v>
      </c>
      <c r="I11490" s="3292" t="s">
        <v>688</v>
      </c>
    </row>
    <row r="11491" spans="2:9">
      <c r="B11491" s="4724"/>
      <c r="C11491" s="4678" t="s">
        <v>686</v>
      </c>
      <c r="D11491" s="4725"/>
      <c r="E11491" s="4725"/>
      <c r="F11491" s="4726"/>
      <c r="G11491" s="4724"/>
      <c r="H11491" s="3293"/>
      <c r="I11491" s="3294"/>
    </row>
    <row r="11492" spans="2:9" ht="13.5" thickBot="1">
      <c r="B11492" s="4724"/>
      <c r="C11492" s="3215">
        <v>2013</v>
      </c>
      <c r="D11492" s="3215">
        <v>2014</v>
      </c>
      <c r="E11492" s="3215">
        <v>2015</v>
      </c>
      <c r="F11492" s="3215">
        <v>2016</v>
      </c>
      <c r="G11492" s="4724"/>
      <c r="H11492" s="3295" t="s">
        <v>390</v>
      </c>
      <c r="I11492" s="3296" t="s">
        <v>390</v>
      </c>
    </row>
    <row r="11493" spans="2:9">
      <c r="B11493" s="3217" t="s">
        <v>695</v>
      </c>
      <c r="C11493" s="3218"/>
      <c r="D11493" s="3219"/>
      <c r="E11493" s="3219"/>
      <c r="F11493" s="3219"/>
      <c r="G11493" s="3217" t="s">
        <v>695</v>
      </c>
      <c r="H11493" s="3297"/>
      <c r="I11493" s="3298"/>
    </row>
    <row r="11494" spans="2:9">
      <c r="B11494" s="3299" t="s">
        <v>64</v>
      </c>
      <c r="C11494" s="3063"/>
      <c r="D11494" s="3064"/>
      <c r="E11494" s="3064"/>
      <c r="F11494" s="3064">
        <v>4</v>
      </c>
      <c r="G11494" s="3300" t="s">
        <v>64</v>
      </c>
      <c r="H11494" s="3063">
        <v>0.39142007202129336</v>
      </c>
      <c r="I11494" s="3030"/>
    </row>
    <row r="11495" spans="2:9" ht="25.5">
      <c r="B11495" s="3192" t="s">
        <v>675</v>
      </c>
      <c r="C11495" s="3063"/>
      <c r="D11495" s="3064">
        <v>1</v>
      </c>
      <c r="E11495" s="3064"/>
      <c r="F11495" s="3064"/>
      <c r="G11495" s="3301" t="s">
        <v>675</v>
      </c>
      <c r="H11495" s="3063"/>
      <c r="I11495" s="3030">
        <v>0.15656802880851736</v>
      </c>
    </row>
    <row r="11496" spans="2:9" ht="25.5">
      <c r="B11496" s="3192" t="s">
        <v>676</v>
      </c>
      <c r="C11496" s="3063"/>
      <c r="D11496" s="3064"/>
      <c r="E11496" s="3064"/>
      <c r="F11496" s="3064"/>
      <c r="G11496" s="3301" t="s">
        <v>676</v>
      </c>
      <c r="H11496" s="3063"/>
      <c r="I11496" s="3030"/>
    </row>
    <row r="11497" spans="2:9">
      <c r="B11497" s="3192" t="s">
        <v>677</v>
      </c>
      <c r="C11497" s="3063"/>
      <c r="D11497" s="3064"/>
      <c r="E11497" s="3064"/>
      <c r="F11497" s="3064"/>
      <c r="G11497" s="3301" t="s">
        <v>677</v>
      </c>
      <c r="H11497" s="3063"/>
      <c r="I11497" s="3030"/>
    </row>
    <row r="11498" spans="2:9">
      <c r="B11498" s="3192" t="s">
        <v>678</v>
      </c>
      <c r="C11498" s="3063"/>
      <c r="D11498" s="3064"/>
      <c r="E11498" s="3064"/>
      <c r="F11498" s="3064"/>
      <c r="G11498" s="3301" t="s">
        <v>678</v>
      </c>
      <c r="H11498" s="3063"/>
      <c r="I11498" s="3030"/>
    </row>
    <row r="11499" spans="2:9">
      <c r="B11499" s="3192" t="s">
        <v>679</v>
      </c>
      <c r="C11499" s="3063"/>
      <c r="D11499" s="3064"/>
      <c r="E11499" s="3064"/>
      <c r="F11499" s="3064"/>
      <c r="G11499" s="3301" t="s">
        <v>679</v>
      </c>
      <c r="H11499" s="3063"/>
      <c r="I11499" s="3030"/>
    </row>
    <row r="11500" spans="2:9" ht="25.5">
      <c r="B11500" s="3192" t="s">
        <v>720</v>
      </c>
      <c r="C11500" s="3063"/>
      <c r="D11500" s="3064"/>
      <c r="E11500" s="3064"/>
      <c r="F11500" s="3064"/>
      <c r="G11500" s="3301" t="s">
        <v>720</v>
      </c>
      <c r="H11500" s="3063"/>
      <c r="I11500" s="3030"/>
    </row>
    <row r="11501" spans="2:9">
      <c r="B11501" s="3299" t="s">
        <v>65</v>
      </c>
      <c r="C11501" s="3063"/>
      <c r="D11501" s="3064"/>
      <c r="E11501" s="3064"/>
      <c r="F11501" s="3064">
        <v>4</v>
      </c>
      <c r="G11501" s="3300" t="s">
        <v>65</v>
      </c>
      <c r="H11501" s="3063">
        <v>6.0432089439492388E-2</v>
      </c>
      <c r="I11501" s="3030"/>
    </row>
    <row r="11502" spans="2:9" ht="25.5">
      <c r="B11502" s="3192" t="s">
        <v>675</v>
      </c>
      <c r="C11502" s="3063"/>
      <c r="D11502" s="3064"/>
      <c r="E11502" s="3064"/>
      <c r="F11502" s="3064"/>
      <c r="G11502" s="3301" t="s">
        <v>675</v>
      </c>
      <c r="H11502" s="3063"/>
      <c r="I11502" s="3030"/>
    </row>
    <row r="11503" spans="2:9" ht="25.5">
      <c r="B11503" s="3192" t="s">
        <v>676</v>
      </c>
      <c r="C11503" s="3063"/>
      <c r="D11503" s="3064"/>
      <c r="E11503" s="3064"/>
      <c r="F11503" s="3064"/>
      <c r="G11503" s="3301" t="s">
        <v>676</v>
      </c>
      <c r="H11503" s="3063"/>
      <c r="I11503" s="3030"/>
    </row>
    <row r="11504" spans="2:9">
      <c r="B11504" s="3192" t="s">
        <v>677</v>
      </c>
      <c r="C11504" s="3063"/>
      <c r="D11504" s="3064"/>
      <c r="E11504" s="3064"/>
      <c r="F11504" s="3064"/>
      <c r="G11504" s="3301" t="s">
        <v>677</v>
      </c>
      <c r="H11504" s="3063"/>
      <c r="I11504" s="3030"/>
    </row>
    <row r="11505" spans="2:9">
      <c r="B11505" s="3192" t="s">
        <v>678</v>
      </c>
      <c r="C11505" s="3063"/>
      <c r="D11505" s="3064"/>
      <c r="E11505" s="3064"/>
      <c r="F11505" s="3064"/>
      <c r="G11505" s="3301" t="s">
        <v>678</v>
      </c>
      <c r="H11505" s="3063"/>
      <c r="I11505" s="3030"/>
    </row>
    <row r="11506" spans="2:9">
      <c r="B11506" s="3192" t="s">
        <v>679</v>
      </c>
      <c r="C11506" s="3063">
        <v>1</v>
      </c>
      <c r="D11506" s="3064">
        <v>1</v>
      </c>
      <c r="E11506" s="3064"/>
      <c r="F11506" s="3064"/>
      <c r="G11506" s="3301" t="s">
        <v>679</v>
      </c>
      <c r="H11506" s="3063"/>
      <c r="I11506" s="3030"/>
    </row>
    <row r="11507" spans="2:9" ht="25.5">
      <c r="B11507" s="3192" t="s">
        <v>720</v>
      </c>
      <c r="C11507" s="3063"/>
      <c r="D11507" s="3064"/>
      <c r="E11507" s="3064"/>
      <c r="F11507" s="3064"/>
      <c r="G11507" s="3301" t="s">
        <v>720</v>
      </c>
      <c r="H11507" s="3063"/>
      <c r="I11507" s="3030"/>
    </row>
    <row r="11508" spans="2:9">
      <c r="B11508" s="3299" t="s">
        <v>82</v>
      </c>
      <c r="C11508" s="3063"/>
      <c r="D11508" s="3064"/>
      <c r="E11508" s="3064"/>
      <c r="F11508" s="3064"/>
      <c r="G11508" s="3300" t="s">
        <v>82</v>
      </c>
      <c r="H11508" s="3063"/>
      <c r="I11508" s="3030"/>
    </row>
    <row r="11509" spans="2:9" ht="25.5">
      <c r="B11509" s="3192" t="s">
        <v>675</v>
      </c>
      <c r="C11509" s="3063"/>
      <c r="D11509" s="3064"/>
      <c r="E11509" s="3064"/>
      <c r="F11509" s="3064"/>
      <c r="G11509" s="3301" t="s">
        <v>675</v>
      </c>
      <c r="H11509" s="3063"/>
      <c r="I11509" s="3030"/>
    </row>
    <row r="11510" spans="2:9" ht="25.5">
      <c r="B11510" s="3192" t="s">
        <v>676</v>
      </c>
      <c r="C11510" s="3063"/>
      <c r="D11510" s="3064"/>
      <c r="E11510" s="3064"/>
      <c r="F11510" s="3064"/>
      <c r="G11510" s="3301" t="s">
        <v>676</v>
      </c>
      <c r="H11510" s="3063"/>
      <c r="I11510" s="3030"/>
    </row>
    <row r="11511" spans="2:9">
      <c r="B11511" s="3192" t="s">
        <v>677</v>
      </c>
      <c r="C11511" s="3063"/>
      <c r="D11511" s="3064"/>
      <c r="E11511" s="3064"/>
      <c r="F11511" s="3064"/>
      <c r="G11511" s="3301" t="s">
        <v>677</v>
      </c>
      <c r="H11511" s="3063"/>
      <c r="I11511" s="3030"/>
    </row>
    <row r="11512" spans="2:9">
      <c r="B11512" s="3192" t="s">
        <v>678</v>
      </c>
      <c r="C11512" s="3063"/>
      <c r="D11512" s="3064"/>
      <c r="E11512" s="3064"/>
      <c r="F11512" s="3064"/>
      <c r="G11512" s="3301" t="s">
        <v>678</v>
      </c>
      <c r="H11512" s="3063"/>
      <c r="I11512" s="3030"/>
    </row>
    <row r="11513" spans="2:9">
      <c r="B11513" s="3192" t="s">
        <v>679</v>
      </c>
      <c r="C11513" s="3063"/>
      <c r="D11513" s="3064"/>
      <c r="E11513" s="3064"/>
      <c r="F11513" s="3064"/>
      <c r="G11513" s="3301" t="s">
        <v>679</v>
      </c>
      <c r="H11513" s="3063"/>
      <c r="I11513" s="3030"/>
    </row>
    <row r="11514" spans="2:9" ht="25.5">
      <c r="B11514" s="3192" t="s">
        <v>720</v>
      </c>
      <c r="C11514" s="3063"/>
      <c r="D11514" s="3064"/>
      <c r="E11514" s="3064"/>
      <c r="F11514" s="3064"/>
      <c r="G11514" s="3301" t="s">
        <v>720</v>
      </c>
      <c r="H11514" s="3063"/>
      <c r="I11514" s="3030"/>
    </row>
    <row r="11515" spans="2:9" ht="38.25">
      <c r="B11515" s="3299" t="s">
        <v>680</v>
      </c>
      <c r="C11515" s="3063"/>
      <c r="D11515" s="3064"/>
      <c r="E11515" s="3064"/>
      <c r="F11515" s="3064"/>
      <c r="G11515" s="3300" t="s">
        <v>680</v>
      </c>
      <c r="H11515" s="3063"/>
      <c r="I11515" s="3030"/>
    </row>
    <row r="11516" spans="2:9" ht="25.5">
      <c r="B11516" s="3192" t="s">
        <v>675</v>
      </c>
      <c r="C11516" s="3063"/>
      <c r="D11516" s="3064"/>
      <c r="E11516" s="3064"/>
      <c r="F11516" s="3064"/>
      <c r="G11516" s="3301" t="s">
        <v>675</v>
      </c>
      <c r="H11516" s="3063"/>
      <c r="I11516" s="3030"/>
    </row>
    <row r="11517" spans="2:9" ht="25.5">
      <c r="B11517" s="3192" t="s">
        <v>676</v>
      </c>
      <c r="C11517" s="3063"/>
      <c r="D11517" s="3064"/>
      <c r="E11517" s="3064"/>
      <c r="F11517" s="3064"/>
      <c r="G11517" s="3301" t="s">
        <v>676</v>
      </c>
      <c r="H11517" s="3063"/>
      <c r="I11517" s="3030"/>
    </row>
    <row r="11518" spans="2:9">
      <c r="B11518" s="3192" t="s">
        <v>677</v>
      </c>
      <c r="C11518" s="3063"/>
      <c r="D11518" s="3064"/>
      <c r="E11518" s="3064"/>
      <c r="F11518" s="3064"/>
      <c r="G11518" s="3301" t="s">
        <v>677</v>
      </c>
      <c r="H11518" s="3063"/>
      <c r="I11518" s="3030"/>
    </row>
    <row r="11519" spans="2:9">
      <c r="B11519" s="3192" t="s">
        <v>678</v>
      </c>
      <c r="C11519" s="3063"/>
      <c r="D11519" s="3064"/>
      <c r="E11519" s="3064"/>
      <c r="F11519" s="3064"/>
      <c r="G11519" s="3301" t="s">
        <v>678</v>
      </c>
      <c r="H11519" s="3063"/>
      <c r="I11519" s="3030"/>
    </row>
    <row r="11520" spans="2:9">
      <c r="B11520" s="3192" t="s">
        <v>679</v>
      </c>
      <c r="C11520" s="3063"/>
      <c r="D11520" s="3064"/>
      <c r="E11520" s="3064"/>
      <c r="F11520" s="3064"/>
      <c r="G11520" s="3301" t="s">
        <v>679</v>
      </c>
      <c r="H11520" s="3063"/>
      <c r="I11520" s="3030"/>
    </row>
    <row r="11521" spans="2:9" ht="25.5">
      <c r="B11521" s="3192" t="s">
        <v>720</v>
      </c>
      <c r="C11521" s="3063"/>
      <c r="D11521" s="3064"/>
      <c r="E11521" s="3064"/>
      <c r="F11521" s="3064"/>
      <c r="G11521" s="3301" t="s">
        <v>720</v>
      </c>
      <c r="H11521" s="3063"/>
      <c r="I11521" s="3030"/>
    </row>
    <row r="11522" spans="2:9" ht="38.25">
      <c r="B11522" s="3299" t="s">
        <v>681</v>
      </c>
      <c r="C11522" s="3063"/>
      <c r="D11522" s="3064"/>
      <c r="E11522" s="3064"/>
      <c r="F11522" s="3064"/>
      <c r="G11522" s="3300" t="s">
        <v>681</v>
      </c>
      <c r="H11522" s="3063"/>
      <c r="I11522" s="3030"/>
    </row>
    <row r="11523" spans="2:9" ht="25.5">
      <c r="B11523" s="3192" t="s">
        <v>675</v>
      </c>
      <c r="C11523" s="3063"/>
      <c r="D11523" s="3064"/>
      <c r="E11523" s="3064"/>
      <c r="F11523" s="3064"/>
      <c r="G11523" s="3301" t="s">
        <v>675</v>
      </c>
      <c r="H11523" s="3063"/>
      <c r="I11523" s="3030"/>
    </row>
    <row r="11524" spans="2:9" ht="25.5">
      <c r="B11524" s="3192" t="s">
        <v>676</v>
      </c>
      <c r="C11524" s="3063"/>
      <c r="D11524" s="3064"/>
      <c r="E11524" s="3064"/>
      <c r="F11524" s="3064"/>
      <c r="G11524" s="3301" t="s">
        <v>676</v>
      </c>
      <c r="H11524" s="3063"/>
      <c r="I11524" s="3030"/>
    </row>
    <row r="11525" spans="2:9">
      <c r="B11525" s="3192" t="s">
        <v>677</v>
      </c>
      <c r="C11525" s="3063"/>
      <c r="D11525" s="3064"/>
      <c r="E11525" s="3064"/>
      <c r="F11525" s="3064"/>
      <c r="G11525" s="3301" t="s">
        <v>677</v>
      </c>
      <c r="H11525" s="3063"/>
      <c r="I11525" s="3030"/>
    </row>
    <row r="11526" spans="2:9">
      <c r="B11526" s="3192" t="s">
        <v>678</v>
      </c>
      <c r="C11526" s="3063"/>
      <c r="D11526" s="3064"/>
      <c r="E11526" s="3064"/>
      <c r="F11526" s="3064"/>
      <c r="G11526" s="3301" t="s">
        <v>678</v>
      </c>
      <c r="H11526" s="3063"/>
      <c r="I11526" s="3030"/>
    </row>
    <row r="11527" spans="2:9">
      <c r="B11527" s="3192" t="s">
        <v>679</v>
      </c>
      <c r="C11527" s="3063"/>
      <c r="D11527" s="3064"/>
      <c r="E11527" s="3064"/>
      <c r="F11527" s="3064"/>
      <c r="G11527" s="3301" t="s">
        <v>679</v>
      </c>
      <c r="H11527" s="3063"/>
      <c r="I11527" s="3030"/>
    </row>
    <row r="11528" spans="2:9" ht="25.5">
      <c r="B11528" s="3192" t="s">
        <v>720</v>
      </c>
      <c r="C11528" s="3063"/>
      <c r="D11528" s="3064"/>
      <c r="E11528" s="3064"/>
      <c r="F11528" s="3064"/>
      <c r="G11528" s="3301" t="s">
        <v>720</v>
      </c>
      <c r="H11528" s="3063"/>
      <c r="I11528" s="3030"/>
    </row>
    <row r="11529" spans="2:9" ht="25.5">
      <c r="B11529" s="3299" t="s">
        <v>682</v>
      </c>
      <c r="C11529" s="3063"/>
      <c r="D11529" s="3064"/>
      <c r="E11529" s="3064"/>
      <c r="F11529" s="3064"/>
      <c r="G11529" s="3300" t="s">
        <v>682</v>
      </c>
      <c r="H11529" s="3063"/>
      <c r="I11529" s="3030"/>
    </row>
    <row r="11530" spans="2:9" ht="25.5">
      <c r="B11530" s="3192" t="s">
        <v>675</v>
      </c>
      <c r="C11530" s="3063"/>
      <c r="D11530" s="3064"/>
      <c r="E11530" s="3064"/>
      <c r="F11530" s="3064"/>
      <c r="G11530" s="3301" t="s">
        <v>675</v>
      </c>
      <c r="H11530" s="3063"/>
      <c r="I11530" s="3030"/>
    </row>
    <row r="11531" spans="2:9" ht="25.5">
      <c r="B11531" s="3192" t="s">
        <v>676</v>
      </c>
      <c r="C11531" s="3063"/>
      <c r="D11531" s="3064"/>
      <c r="E11531" s="3064"/>
      <c r="F11531" s="3064"/>
      <c r="G11531" s="3301" t="s">
        <v>676</v>
      </c>
      <c r="H11531" s="3063"/>
      <c r="I11531" s="3030"/>
    </row>
    <row r="11532" spans="2:9">
      <c r="B11532" s="3192" t="s">
        <v>677</v>
      </c>
      <c r="C11532" s="3063"/>
      <c r="D11532" s="3064"/>
      <c r="E11532" s="3064"/>
      <c r="F11532" s="3064"/>
      <c r="G11532" s="3301" t="s">
        <v>677</v>
      </c>
      <c r="H11532" s="3063"/>
      <c r="I11532" s="3030"/>
    </row>
    <row r="11533" spans="2:9">
      <c r="B11533" s="3192" t="s">
        <v>678</v>
      </c>
      <c r="C11533" s="3063"/>
      <c r="D11533" s="3064"/>
      <c r="E11533" s="3064"/>
      <c r="F11533" s="3064"/>
      <c r="G11533" s="3301" t="s">
        <v>678</v>
      </c>
      <c r="H11533" s="3063"/>
      <c r="I11533" s="3030"/>
    </row>
    <row r="11534" spans="2:9">
      <c r="B11534" s="3192" t="s">
        <v>679</v>
      </c>
      <c r="C11534" s="3063"/>
      <c r="D11534" s="3064"/>
      <c r="E11534" s="3064"/>
      <c r="F11534" s="3064"/>
      <c r="G11534" s="3301" t="s">
        <v>679</v>
      </c>
      <c r="H11534" s="3063"/>
      <c r="I11534" s="3030"/>
    </row>
    <row r="11535" spans="2:9" ht="25.5">
      <c r="B11535" s="3192" t="s">
        <v>720</v>
      </c>
      <c r="C11535" s="3063"/>
      <c r="D11535" s="3064"/>
      <c r="E11535" s="3064"/>
      <c r="F11535" s="3064"/>
      <c r="G11535" s="3301" t="s">
        <v>720</v>
      </c>
      <c r="H11535" s="3063"/>
      <c r="I11535" s="3030"/>
    </row>
    <row r="11536" spans="2:9" ht="25.5">
      <c r="B11536" s="3299" t="s">
        <v>66</v>
      </c>
      <c r="C11536" s="3063"/>
      <c r="D11536" s="3064"/>
      <c r="E11536" s="3064"/>
      <c r="F11536" s="3064">
        <v>3</v>
      </c>
      <c r="G11536" s="3300" t="s">
        <v>66</v>
      </c>
      <c r="H11536" s="3063">
        <v>0.72762551540140696</v>
      </c>
      <c r="I11536" s="3030"/>
    </row>
    <row r="11537" spans="2:9" ht="25.5">
      <c r="B11537" s="3192" t="s">
        <v>675</v>
      </c>
      <c r="C11537" s="3063"/>
      <c r="D11537" s="3064"/>
      <c r="E11537" s="3064"/>
      <c r="F11537" s="3064"/>
      <c r="G11537" s="3301" t="s">
        <v>675</v>
      </c>
      <c r="H11537" s="3063"/>
      <c r="I11537" s="3030"/>
    </row>
    <row r="11538" spans="2:9" ht="25.5">
      <c r="B11538" s="3192" t="s">
        <v>676</v>
      </c>
      <c r="C11538" s="3063"/>
      <c r="D11538" s="3064"/>
      <c r="E11538" s="3064"/>
      <c r="F11538" s="3064"/>
      <c r="G11538" s="3301" t="s">
        <v>676</v>
      </c>
      <c r="H11538" s="3063"/>
      <c r="I11538" s="3030"/>
    </row>
    <row r="11539" spans="2:9">
      <c r="B11539" s="3192" t="s">
        <v>677</v>
      </c>
      <c r="C11539" s="3063"/>
      <c r="D11539" s="3064"/>
      <c r="E11539" s="3064"/>
      <c r="F11539" s="3064"/>
      <c r="G11539" s="3301" t="s">
        <v>677</v>
      </c>
      <c r="H11539" s="3063"/>
      <c r="I11539" s="3030"/>
    </row>
    <row r="11540" spans="2:9">
      <c r="B11540" s="3192" t="s">
        <v>678</v>
      </c>
      <c r="C11540" s="3063"/>
      <c r="D11540" s="3064"/>
      <c r="E11540" s="3064"/>
      <c r="F11540" s="3064"/>
      <c r="G11540" s="3301" t="s">
        <v>678</v>
      </c>
      <c r="H11540" s="3063"/>
      <c r="I11540" s="3030"/>
    </row>
    <row r="11541" spans="2:9">
      <c r="B11541" s="3192" t="s">
        <v>679</v>
      </c>
      <c r="C11541" s="3063"/>
      <c r="D11541" s="3064"/>
      <c r="E11541" s="3064"/>
      <c r="F11541" s="3064"/>
      <c r="G11541" s="3301" t="s">
        <v>679</v>
      </c>
      <c r="H11541" s="3063"/>
      <c r="I11541" s="3030"/>
    </row>
    <row r="11542" spans="2:9" ht="25.5">
      <c r="B11542" s="3192" t="s">
        <v>720</v>
      </c>
      <c r="C11542" s="3063"/>
      <c r="D11542" s="3064"/>
      <c r="E11542" s="3064"/>
      <c r="F11542" s="3064"/>
      <c r="G11542" s="3301" t="s">
        <v>720</v>
      </c>
      <c r="H11542" s="3063"/>
      <c r="I11542" s="3030"/>
    </row>
    <row r="11543" spans="2:9">
      <c r="B11543" s="3299" t="s">
        <v>67</v>
      </c>
      <c r="C11543" s="3063"/>
      <c r="D11543" s="3064"/>
      <c r="E11543" s="3064"/>
      <c r="F11543" s="3064"/>
      <c r="G11543" s="3300" t="s">
        <v>67</v>
      </c>
      <c r="H11543" s="3063"/>
      <c r="I11543" s="3030"/>
    </row>
    <row r="11544" spans="2:9" ht="25.5">
      <c r="B11544" s="3192" t="s">
        <v>675</v>
      </c>
      <c r="C11544" s="3063"/>
      <c r="D11544" s="3064"/>
      <c r="E11544" s="3064"/>
      <c r="F11544" s="3064"/>
      <c r="G11544" s="3301" t="s">
        <v>675</v>
      </c>
      <c r="H11544" s="3063"/>
      <c r="I11544" s="3030"/>
    </row>
    <row r="11545" spans="2:9" ht="25.5">
      <c r="B11545" s="3192" t="s">
        <v>676</v>
      </c>
      <c r="C11545" s="3063"/>
      <c r="D11545" s="3064"/>
      <c r="E11545" s="3064"/>
      <c r="F11545" s="3064"/>
      <c r="G11545" s="3301" t="s">
        <v>676</v>
      </c>
      <c r="H11545" s="3063"/>
      <c r="I11545" s="3030"/>
    </row>
    <row r="11546" spans="2:9">
      <c r="B11546" s="3192" t="s">
        <v>677</v>
      </c>
      <c r="C11546" s="3063"/>
      <c r="D11546" s="3064"/>
      <c r="E11546" s="3064"/>
      <c r="F11546" s="3064"/>
      <c r="G11546" s="3301" t="s">
        <v>677</v>
      </c>
      <c r="H11546" s="3063"/>
      <c r="I11546" s="3030"/>
    </row>
    <row r="11547" spans="2:9">
      <c r="B11547" s="3192" t="s">
        <v>678</v>
      </c>
      <c r="C11547" s="3063"/>
      <c r="D11547" s="3064"/>
      <c r="E11547" s="3064"/>
      <c r="F11547" s="3064"/>
      <c r="G11547" s="3301" t="s">
        <v>678</v>
      </c>
      <c r="H11547" s="3063"/>
      <c r="I11547" s="3030"/>
    </row>
    <row r="11548" spans="2:9">
      <c r="B11548" s="3192" t="s">
        <v>679</v>
      </c>
      <c r="C11548" s="3063"/>
      <c r="D11548" s="3064"/>
      <c r="E11548" s="3064"/>
      <c r="F11548" s="3064"/>
      <c r="G11548" s="3301" t="s">
        <v>679</v>
      </c>
      <c r="H11548" s="3063"/>
      <c r="I11548" s="3030"/>
    </row>
    <row r="11549" spans="2:9" ht="25.5">
      <c r="B11549" s="3192" t="s">
        <v>720</v>
      </c>
      <c r="C11549" s="3063"/>
      <c r="D11549" s="3064"/>
      <c r="E11549" s="3064"/>
      <c r="F11549" s="3064"/>
      <c r="G11549" s="3301" t="s">
        <v>720</v>
      </c>
      <c r="H11549" s="3063"/>
      <c r="I11549" s="3030"/>
    </row>
    <row r="11550" spans="2:9" ht="25.5">
      <c r="B11550" s="3230" t="s">
        <v>81</v>
      </c>
      <c r="C11550" s="3063"/>
      <c r="D11550" s="3064"/>
      <c r="E11550" s="3064"/>
      <c r="F11550" s="3064"/>
      <c r="G11550" s="3302" t="s">
        <v>81</v>
      </c>
      <c r="H11550" s="3063"/>
      <c r="I11550" s="3030"/>
    </row>
    <row r="11551" spans="2:9" ht="26.25" thickBot="1">
      <c r="B11551" s="3303" t="s">
        <v>81</v>
      </c>
      <c r="C11551" s="3063"/>
      <c r="D11551" s="3064"/>
      <c r="E11551" s="3064"/>
      <c r="F11551" s="3064"/>
      <c r="G11551" s="3302" t="s">
        <v>81</v>
      </c>
      <c r="H11551" s="3063"/>
      <c r="I11551" s="3030"/>
    </row>
    <row r="11552" spans="2:9" ht="25.5">
      <c r="B11552" s="3217" t="s">
        <v>696</v>
      </c>
      <c r="C11552" s="3218"/>
      <c r="D11552" s="3219"/>
      <c r="E11552" s="3219"/>
      <c r="F11552" s="3219"/>
      <c r="G11552" s="3217" t="s">
        <v>696</v>
      </c>
      <c r="H11552" s="3297"/>
      <c r="I11552" s="3298"/>
    </row>
    <row r="11553" spans="2:9">
      <c r="B11553" s="3299" t="s">
        <v>64</v>
      </c>
      <c r="C11553" s="3063"/>
      <c r="D11553" s="3064"/>
      <c r="E11553" s="3064"/>
      <c r="F11553" s="3064"/>
      <c r="G11553" s="3300" t="s">
        <v>64</v>
      </c>
      <c r="H11553" s="3063"/>
      <c r="I11553" s="3030"/>
    </row>
    <row r="11554" spans="2:9" ht="25.5">
      <c r="B11554" s="3192" t="s">
        <v>675</v>
      </c>
      <c r="C11554" s="3063"/>
      <c r="D11554" s="3064"/>
      <c r="E11554" s="3064"/>
      <c r="F11554" s="3064"/>
      <c r="G11554" s="3301" t="s">
        <v>675</v>
      </c>
      <c r="H11554" s="3063"/>
      <c r="I11554" s="3030"/>
    </row>
    <row r="11555" spans="2:9" ht="25.5">
      <c r="B11555" s="3192" t="s">
        <v>676</v>
      </c>
      <c r="C11555" s="3063"/>
      <c r="D11555" s="3064"/>
      <c r="E11555" s="3064"/>
      <c r="F11555" s="3064"/>
      <c r="G11555" s="3301" t="s">
        <v>676</v>
      </c>
      <c r="H11555" s="3063"/>
      <c r="I11555" s="3030"/>
    </row>
    <row r="11556" spans="2:9">
      <c r="B11556" s="3192" t="s">
        <v>677</v>
      </c>
      <c r="C11556" s="3063"/>
      <c r="D11556" s="3064"/>
      <c r="E11556" s="3064"/>
      <c r="F11556" s="3064"/>
      <c r="G11556" s="3301" t="s">
        <v>677</v>
      </c>
      <c r="H11556" s="3063"/>
      <c r="I11556" s="3030"/>
    </row>
    <row r="11557" spans="2:9">
      <c r="B11557" s="3192" t="s">
        <v>678</v>
      </c>
      <c r="C11557" s="3063"/>
      <c r="D11557" s="3064"/>
      <c r="E11557" s="3064"/>
      <c r="F11557" s="3064"/>
      <c r="G11557" s="3301" t="s">
        <v>678</v>
      </c>
      <c r="H11557" s="3063"/>
      <c r="I11557" s="3030"/>
    </row>
    <row r="11558" spans="2:9">
      <c r="B11558" s="3192" t="s">
        <v>679</v>
      </c>
      <c r="C11558" s="3063"/>
      <c r="D11558" s="3064"/>
      <c r="E11558" s="3064"/>
      <c r="F11558" s="3064"/>
      <c r="G11558" s="3301" t="s">
        <v>679</v>
      </c>
      <c r="H11558" s="3063"/>
      <c r="I11558" s="3030"/>
    </row>
    <row r="11559" spans="2:9" ht="25.5">
      <c r="B11559" s="3192" t="s">
        <v>720</v>
      </c>
      <c r="C11559" s="3063"/>
      <c r="D11559" s="3064"/>
      <c r="E11559" s="3064"/>
      <c r="F11559" s="3064"/>
      <c r="G11559" s="3301" t="s">
        <v>720</v>
      </c>
      <c r="H11559" s="3063"/>
      <c r="I11559" s="3030"/>
    </row>
    <row r="11560" spans="2:9">
      <c r="B11560" s="3299" t="s">
        <v>65</v>
      </c>
      <c r="C11560" s="3063"/>
      <c r="D11560" s="3064"/>
      <c r="E11560" s="3064"/>
      <c r="F11560" s="3064"/>
      <c r="G11560" s="3300" t="s">
        <v>65</v>
      </c>
      <c r="H11560" s="3063"/>
      <c r="I11560" s="3030"/>
    </row>
    <row r="11561" spans="2:9" ht="25.5">
      <c r="B11561" s="3192" t="s">
        <v>675</v>
      </c>
      <c r="C11561" s="3063"/>
      <c r="D11561" s="3064"/>
      <c r="E11561" s="3064"/>
      <c r="F11561" s="3064"/>
      <c r="G11561" s="3301" t="s">
        <v>675</v>
      </c>
      <c r="H11561" s="3063"/>
      <c r="I11561" s="3030"/>
    </row>
    <row r="11562" spans="2:9" ht="25.5">
      <c r="B11562" s="3192" t="s">
        <v>676</v>
      </c>
      <c r="C11562" s="3063"/>
      <c r="D11562" s="3064"/>
      <c r="E11562" s="3064"/>
      <c r="F11562" s="3064"/>
      <c r="G11562" s="3301" t="s">
        <v>676</v>
      </c>
      <c r="H11562" s="3063"/>
      <c r="I11562" s="3030"/>
    </row>
    <row r="11563" spans="2:9">
      <c r="B11563" s="3192" t="s">
        <v>677</v>
      </c>
      <c r="C11563" s="3063"/>
      <c r="D11563" s="3064"/>
      <c r="E11563" s="3064"/>
      <c r="F11563" s="3064"/>
      <c r="G11563" s="3301" t="s">
        <v>677</v>
      </c>
      <c r="H11563" s="3063"/>
      <c r="I11563" s="3030"/>
    </row>
    <row r="11564" spans="2:9">
      <c r="B11564" s="3192" t="s">
        <v>678</v>
      </c>
      <c r="C11564" s="3063"/>
      <c r="D11564" s="3064"/>
      <c r="E11564" s="3064"/>
      <c r="F11564" s="3064"/>
      <c r="G11564" s="3301" t="s">
        <v>678</v>
      </c>
      <c r="H11564" s="3063"/>
      <c r="I11564" s="3030"/>
    </row>
    <row r="11565" spans="2:9">
      <c r="B11565" s="3192" t="s">
        <v>679</v>
      </c>
      <c r="C11565" s="3063"/>
      <c r="D11565" s="3064"/>
      <c r="E11565" s="3064"/>
      <c r="F11565" s="3064"/>
      <c r="G11565" s="3301" t="s">
        <v>679</v>
      </c>
      <c r="H11565" s="3063"/>
      <c r="I11565" s="3030"/>
    </row>
    <row r="11566" spans="2:9" ht="25.5">
      <c r="B11566" s="3192" t="s">
        <v>720</v>
      </c>
      <c r="C11566" s="3063"/>
      <c r="D11566" s="3064"/>
      <c r="E11566" s="3064"/>
      <c r="F11566" s="3064"/>
      <c r="G11566" s="3301" t="s">
        <v>720</v>
      </c>
      <c r="H11566" s="3063"/>
      <c r="I11566" s="3030"/>
    </row>
    <row r="11567" spans="2:9">
      <c r="B11567" s="3299" t="s">
        <v>82</v>
      </c>
      <c r="C11567" s="3063"/>
      <c r="D11567" s="3064"/>
      <c r="E11567" s="3064"/>
      <c r="F11567" s="3064"/>
      <c r="G11567" s="3300" t="s">
        <v>82</v>
      </c>
      <c r="H11567" s="3063"/>
      <c r="I11567" s="3030"/>
    </row>
    <row r="11568" spans="2:9" ht="25.5">
      <c r="B11568" s="3192" t="s">
        <v>675</v>
      </c>
      <c r="C11568" s="3063"/>
      <c r="D11568" s="3064"/>
      <c r="E11568" s="3064"/>
      <c r="F11568" s="3064"/>
      <c r="G11568" s="3301" t="s">
        <v>675</v>
      </c>
      <c r="H11568" s="3063"/>
      <c r="I11568" s="3030"/>
    </row>
    <row r="11569" spans="2:9" ht="25.5">
      <c r="B11569" s="3192" t="s">
        <v>676</v>
      </c>
      <c r="C11569" s="3063"/>
      <c r="D11569" s="3064"/>
      <c r="E11569" s="3064"/>
      <c r="F11569" s="3064"/>
      <c r="G11569" s="3301" t="s">
        <v>676</v>
      </c>
      <c r="H11569" s="3063"/>
      <c r="I11569" s="3030"/>
    </row>
    <row r="11570" spans="2:9">
      <c r="B11570" s="3192" t="s">
        <v>677</v>
      </c>
      <c r="C11570" s="3063"/>
      <c r="D11570" s="3064"/>
      <c r="E11570" s="3064"/>
      <c r="F11570" s="3064"/>
      <c r="G11570" s="3301" t="s">
        <v>677</v>
      </c>
      <c r="H11570" s="3063"/>
      <c r="I11570" s="3030"/>
    </row>
    <row r="11571" spans="2:9">
      <c r="B11571" s="3192" t="s">
        <v>678</v>
      </c>
      <c r="C11571" s="3063"/>
      <c r="D11571" s="3064"/>
      <c r="E11571" s="3064"/>
      <c r="F11571" s="3064"/>
      <c r="G11571" s="3301" t="s">
        <v>678</v>
      </c>
      <c r="H11571" s="3063"/>
      <c r="I11571" s="3030"/>
    </row>
    <row r="11572" spans="2:9">
      <c r="B11572" s="3192" t="s">
        <v>679</v>
      </c>
      <c r="C11572" s="3063"/>
      <c r="D11572" s="3064"/>
      <c r="E11572" s="3064"/>
      <c r="F11572" s="3064"/>
      <c r="G11572" s="3301" t="s">
        <v>679</v>
      </c>
      <c r="H11572" s="3063"/>
      <c r="I11572" s="3030"/>
    </row>
    <row r="11573" spans="2:9" ht="25.5">
      <c r="B11573" s="3192" t="s">
        <v>720</v>
      </c>
      <c r="C11573" s="3063"/>
      <c r="D11573" s="3064"/>
      <c r="E11573" s="3064"/>
      <c r="F11573" s="3064"/>
      <c r="G11573" s="3301" t="s">
        <v>720</v>
      </c>
      <c r="H11573" s="3063"/>
      <c r="I11573" s="3030"/>
    </row>
    <row r="11574" spans="2:9" ht="38.25">
      <c r="B11574" s="3299" t="s">
        <v>680</v>
      </c>
      <c r="C11574" s="3063"/>
      <c r="D11574" s="3064"/>
      <c r="E11574" s="3064"/>
      <c r="F11574" s="3064"/>
      <c r="G11574" s="3300" t="s">
        <v>680</v>
      </c>
      <c r="H11574" s="3063"/>
      <c r="I11574" s="3030"/>
    </row>
    <row r="11575" spans="2:9" ht="25.5">
      <c r="B11575" s="3192" t="s">
        <v>675</v>
      </c>
      <c r="C11575" s="3063"/>
      <c r="D11575" s="3064"/>
      <c r="E11575" s="3064"/>
      <c r="F11575" s="3064"/>
      <c r="G11575" s="3301" t="s">
        <v>675</v>
      </c>
      <c r="H11575" s="3063"/>
      <c r="I11575" s="3030"/>
    </row>
    <row r="11576" spans="2:9" ht="25.5">
      <c r="B11576" s="3192" t="s">
        <v>676</v>
      </c>
      <c r="C11576" s="3063"/>
      <c r="D11576" s="3064"/>
      <c r="E11576" s="3064"/>
      <c r="F11576" s="3064"/>
      <c r="G11576" s="3301" t="s">
        <v>676</v>
      </c>
      <c r="H11576" s="3063"/>
      <c r="I11576" s="3030"/>
    </row>
    <row r="11577" spans="2:9">
      <c r="B11577" s="3192" t="s">
        <v>677</v>
      </c>
      <c r="C11577" s="3063"/>
      <c r="D11577" s="3064"/>
      <c r="E11577" s="3064"/>
      <c r="F11577" s="3064"/>
      <c r="G11577" s="3301" t="s">
        <v>677</v>
      </c>
      <c r="H11577" s="3063"/>
      <c r="I11577" s="3030"/>
    </row>
    <row r="11578" spans="2:9">
      <c r="B11578" s="3192" t="s">
        <v>678</v>
      </c>
      <c r="C11578" s="3063"/>
      <c r="D11578" s="3064"/>
      <c r="E11578" s="3064"/>
      <c r="F11578" s="3064"/>
      <c r="G11578" s="3301" t="s">
        <v>678</v>
      </c>
      <c r="H11578" s="3063"/>
      <c r="I11578" s="3030"/>
    </row>
    <row r="11579" spans="2:9">
      <c r="B11579" s="3192" t="s">
        <v>679</v>
      </c>
      <c r="C11579" s="3063"/>
      <c r="D11579" s="3064"/>
      <c r="E11579" s="3064"/>
      <c r="F11579" s="3064"/>
      <c r="G11579" s="3301" t="s">
        <v>679</v>
      </c>
      <c r="H11579" s="3063"/>
      <c r="I11579" s="3030"/>
    </row>
    <row r="11580" spans="2:9" ht="25.5">
      <c r="B11580" s="3192" t="s">
        <v>720</v>
      </c>
      <c r="C11580" s="3063"/>
      <c r="D11580" s="3064"/>
      <c r="E11580" s="3064"/>
      <c r="F11580" s="3064"/>
      <c r="G11580" s="3301" t="s">
        <v>720</v>
      </c>
      <c r="H11580" s="3063"/>
      <c r="I11580" s="3030"/>
    </row>
    <row r="11581" spans="2:9" ht="38.25">
      <c r="B11581" s="3299" t="s">
        <v>681</v>
      </c>
      <c r="C11581" s="3063"/>
      <c r="D11581" s="3064"/>
      <c r="E11581" s="3064"/>
      <c r="F11581" s="3064"/>
      <c r="G11581" s="3300" t="s">
        <v>681</v>
      </c>
      <c r="H11581" s="3063"/>
      <c r="I11581" s="3030"/>
    </row>
    <row r="11582" spans="2:9" ht="25.5">
      <c r="B11582" s="3192" t="s">
        <v>675</v>
      </c>
      <c r="C11582" s="3063"/>
      <c r="D11582" s="3064"/>
      <c r="E11582" s="3064"/>
      <c r="F11582" s="3064"/>
      <c r="G11582" s="3301" t="s">
        <v>675</v>
      </c>
      <c r="H11582" s="3063"/>
      <c r="I11582" s="3030"/>
    </row>
    <row r="11583" spans="2:9" ht="25.5">
      <c r="B11583" s="3192" t="s">
        <v>676</v>
      </c>
      <c r="C11583" s="3063"/>
      <c r="D11583" s="3064"/>
      <c r="E11583" s="3064"/>
      <c r="F11583" s="3064"/>
      <c r="G11583" s="3301" t="s">
        <v>676</v>
      </c>
      <c r="H11583" s="3063"/>
      <c r="I11583" s="3030"/>
    </row>
    <row r="11584" spans="2:9">
      <c r="B11584" s="3192" t="s">
        <v>677</v>
      </c>
      <c r="C11584" s="3063"/>
      <c r="D11584" s="3064"/>
      <c r="E11584" s="3064"/>
      <c r="F11584" s="3064"/>
      <c r="G11584" s="3301" t="s">
        <v>677</v>
      </c>
      <c r="H11584" s="3063"/>
      <c r="I11584" s="3030"/>
    </row>
    <row r="11585" spans="2:9">
      <c r="B11585" s="3192" t="s">
        <v>678</v>
      </c>
      <c r="C11585" s="3063"/>
      <c r="D11585" s="3064"/>
      <c r="E11585" s="3064"/>
      <c r="F11585" s="3064"/>
      <c r="G11585" s="3301" t="s">
        <v>678</v>
      </c>
      <c r="H11585" s="3063"/>
      <c r="I11585" s="3030"/>
    </row>
    <row r="11586" spans="2:9">
      <c r="B11586" s="3192" t="s">
        <v>679</v>
      </c>
      <c r="C11586" s="3063"/>
      <c r="D11586" s="3064"/>
      <c r="E11586" s="3064"/>
      <c r="F11586" s="3064"/>
      <c r="G11586" s="3301" t="s">
        <v>679</v>
      </c>
      <c r="H11586" s="3063"/>
      <c r="I11586" s="3030"/>
    </row>
    <row r="11587" spans="2:9" ht="25.5">
      <c r="B11587" s="3192" t="s">
        <v>720</v>
      </c>
      <c r="C11587" s="3063"/>
      <c r="D11587" s="3064"/>
      <c r="E11587" s="3064"/>
      <c r="F11587" s="3064"/>
      <c r="G11587" s="3301" t="s">
        <v>720</v>
      </c>
      <c r="H11587" s="3063"/>
      <c r="I11587" s="3030"/>
    </row>
    <row r="11588" spans="2:9" ht="25.5">
      <c r="B11588" s="3299" t="s">
        <v>682</v>
      </c>
      <c r="C11588" s="3063"/>
      <c r="D11588" s="3064"/>
      <c r="E11588" s="3064"/>
      <c r="F11588" s="3064"/>
      <c r="G11588" s="3300" t="s">
        <v>682</v>
      </c>
      <c r="H11588" s="3063"/>
      <c r="I11588" s="3030"/>
    </row>
    <row r="11589" spans="2:9" ht="25.5">
      <c r="B11589" s="3192" t="s">
        <v>675</v>
      </c>
      <c r="C11589" s="3063"/>
      <c r="D11589" s="3064"/>
      <c r="E11589" s="3064"/>
      <c r="F11589" s="3064"/>
      <c r="G11589" s="3301" t="s">
        <v>675</v>
      </c>
      <c r="H11589" s="3063"/>
      <c r="I11589" s="3030"/>
    </row>
    <row r="11590" spans="2:9" ht="25.5">
      <c r="B11590" s="3192" t="s">
        <v>676</v>
      </c>
      <c r="C11590" s="3063"/>
      <c r="D11590" s="3064"/>
      <c r="E11590" s="3064"/>
      <c r="F11590" s="3064"/>
      <c r="G11590" s="3301" t="s">
        <v>676</v>
      </c>
      <c r="H11590" s="3063"/>
      <c r="I11590" s="3030"/>
    </row>
    <row r="11591" spans="2:9">
      <c r="B11591" s="3192" t="s">
        <v>677</v>
      </c>
      <c r="C11591" s="3063"/>
      <c r="D11591" s="3064"/>
      <c r="E11591" s="3064"/>
      <c r="F11591" s="3064"/>
      <c r="G11591" s="3301" t="s">
        <v>677</v>
      </c>
      <c r="H11591" s="3063"/>
      <c r="I11591" s="3030"/>
    </row>
    <row r="11592" spans="2:9">
      <c r="B11592" s="3192" t="s">
        <v>678</v>
      </c>
      <c r="C11592" s="3063"/>
      <c r="D11592" s="3064"/>
      <c r="E11592" s="3064"/>
      <c r="F11592" s="3064"/>
      <c r="G11592" s="3301" t="s">
        <v>678</v>
      </c>
      <c r="H11592" s="3063"/>
      <c r="I11592" s="3030"/>
    </row>
    <row r="11593" spans="2:9">
      <c r="B11593" s="3192" t="s">
        <v>679</v>
      </c>
      <c r="C11593" s="3063"/>
      <c r="D11593" s="3064"/>
      <c r="E11593" s="3064"/>
      <c r="F11593" s="3064"/>
      <c r="G11593" s="3301" t="s">
        <v>679</v>
      </c>
      <c r="H11593" s="3063"/>
      <c r="I11593" s="3030"/>
    </row>
    <row r="11594" spans="2:9" ht="25.5">
      <c r="B11594" s="3192" t="s">
        <v>720</v>
      </c>
      <c r="C11594" s="3063"/>
      <c r="D11594" s="3064"/>
      <c r="E11594" s="3064"/>
      <c r="F11594" s="3064"/>
      <c r="G11594" s="3301" t="s">
        <v>720</v>
      </c>
      <c r="H11594" s="3063"/>
      <c r="I11594" s="3030"/>
    </row>
    <row r="11595" spans="2:9" ht="25.5">
      <c r="B11595" s="3299" t="s">
        <v>66</v>
      </c>
      <c r="C11595" s="3063"/>
      <c r="D11595" s="3064"/>
      <c r="E11595" s="3064"/>
      <c r="F11595" s="3064"/>
      <c r="G11595" s="3300" t="s">
        <v>66</v>
      </c>
      <c r="H11595" s="3063"/>
      <c r="I11595" s="3030"/>
    </row>
    <row r="11596" spans="2:9" ht="25.5">
      <c r="B11596" s="3192" t="s">
        <v>675</v>
      </c>
      <c r="C11596" s="3063"/>
      <c r="D11596" s="3064"/>
      <c r="E11596" s="3064"/>
      <c r="F11596" s="3064"/>
      <c r="G11596" s="3301" t="s">
        <v>675</v>
      </c>
      <c r="H11596" s="3063"/>
      <c r="I11596" s="3030"/>
    </row>
    <row r="11597" spans="2:9" ht="25.5">
      <c r="B11597" s="3192" t="s">
        <v>676</v>
      </c>
      <c r="C11597" s="3063"/>
      <c r="D11597" s="3064"/>
      <c r="E11597" s="3064"/>
      <c r="F11597" s="3064"/>
      <c r="G11597" s="3301" t="s">
        <v>676</v>
      </c>
      <c r="H11597" s="3063"/>
      <c r="I11597" s="3030"/>
    </row>
    <row r="11598" spans="2:9">
      <c r="B11598" s="3192" t="s">
        <v>677</v>
      </c>
      <c r="C11598" s="3063"/>
      <c r="D11598" s="3064"/>
      <c r="E11598" s="3064"/>
      <c r="F11598" s="3064"/>
      <c r="G11598" s="3301" t="s">
        <v>677</v>
      </c>
      <c r="H11598" s="3063"/>
      <c r="I11598" s="3030"/>
    </row>
    <row r="11599" spans="2:9">
      <c r="B11599" s="3192" t="s">
        <v>678</v>
      </c>
      <c r="C11599" s="3063"/>
      <c r="D11599" s="3064"/>
      <c r="E11599" s="3064"/>
      <c r="F11599" s="3064"/>
      <c r="G11599" s="3301" t="s">
        <v>678</v>
      </c>
      <c r="H11599" s="3063"/>
      <c r="I11599" s="3030"/>
    </row>
    <row r="11600" spans="2:9">
      <c r="B11600" s="3192" t="s">
        <v>679</v>
      </c>
      <c r="C11600" s="3063"/>
      <c r="D11600" s="3064"/>
      <c r="E11600" s="3064"/>
      <c r="F11600" s="3064"/>
      <c r="G11600" s="3301" t="s">
        <v>679</v>
      </c>
      <c r="H11600" s="3063"/>
      <c r="I11600" s="3030"/>
    </row>
    <row r="11601" spans="2:9" ht="25.5">
      <c r="B11601" s="3192" t="s">
        <v>720</v>
      </c>
      <c r="C11601" s="3063"/>
      <c r="D11601" s="3064"/>
      <c r="E11601" s="3064"/>
      <c r="F11601" s="3064"/>
      <c r="G11601" s="3301" t="s">
        <v>720</v>
      </c>
      <c r="H11601" s="3063"/>
      <c r="I11601" s="3030"/>
    </row>
    <row r="11602" spans="2:9">
      <c r="B11602" s="3299" t="s">
        <v>67</v>
      </c>
      <c r="C11602" s="3063"/>
      <c r="D11602" s="3064"/>
      <c r="E11602" s="3064"/>
      <c r="F11602" s="3064"/>
      <c r="G11602" s="3300" t="s">
        <v>67</v>
      </c>
      <c r="H11602" s="3063"/>
      <c r="I11602" s="3030"/>
    </row>
    <row r="11603" spans="2:9" ht="25.5">
      <c r="B11603" s="3192" t="s">
        <v>675</v>
      </c>
      <c r="C11603" s="3063"/>
      <c r="D11603" s="3064"/>
      <c r="E11603" s="3064"/>
      <c r="F11603" s="3064"/>
      <c r="G11603" s="3301" t="s">
        <v>675</v>
      </c>
      <c r="H11603" s="3063"/>
      <c r="I11603" s="3030"/>
    </row>
    <row r="11604" spans="2:9" ht="25.5">
      <c r="B11604" s="3192" t="s">
        <v>676</v>
      </c>
      <c r="C11604" s="3063"/>
      <c r="D11604" s="3064"/>
      <c r="E11604" s="3064"/>
      <c r="F11604" s="3064"/>
      <c r="G11604" s="3301" t="s">
        <v>676</v>
      </c>
      <c r="H11604" s="3063"/>
      <c r="I11604" s="3030"/>
    </row>
    <row r="11605" spans="2:9">
      <c r="B11605" s="3192" t="s">
        <v>677</v>
      </c>
      <c r="C11605" s="3063"/>
      <c r="D11605" s="3064"/>
      <c r="E11605" s="3064"/>
      <c r="F11605" s="3064"/>
      <c r="G11605" s="3301" t="s">
        <v>677</v>
      </c>
      <c r="H11605" s="3063"/>
      <c r="I11605" s="3030"/>
    </row>
    <row r="11606" spans="2:9">
      <c r="B11606" s="3192" t="s">
        <v>678</v>
      </c>
      <c r="C11606" s="3063"/>
      <c r="D11606" s="3064"/>
      <c r="E11606" s="3064"/>
      <c r="F11606" s="3064"/>
      <c r="G11606" s="3301" t="s">
        <v>678</v>
      </c>
      <c r="H11606" s="3063"/>
      <c r="I11606" s="3030"/>
    </row>
    <row r="11607" spans="2:9">
      <c r="B11607" s="3192" t="s">
        <v>679</v>
      </c>
      <c r="C11607" s="3063"/>
      <c r="D11607" s="3064"/>
      <c r="E11607" s="3064"/>
      <c r="F11607" s="3064"/>
      <c r="G11607" s="3301" t="s">
        <v>679</v>
      </c>
      <c r="H11607" s="3063"/>
      <c r="I11607" s="3030"/>
    </row>
    <row r="11608" spans="2:9" ht="25.5">
      <c r="B11608" s="3230" t="s">
        <v>81</v>
      </c>
      <c r="C11608" s="3063"/>
      <c r="D11608" s="3064"/>
      <c r="E11608" s="3064"/>
      <c r="F11608" s="3064"/>
      <c r="G11608" s="3302" t="s">
        <v>81</v>
      </c>
      <c r="H11608" s="3063"/>
      <c r="I11608" s="3030"/>
    </row>
    <row r="11609" spans="2:9" ht="26.25" thickBot="1">
      <c r="B11609" s="3303" t="s">
        <v>81</v>
      </c>
      <c r="C11609" s="3063"/>
      <c r="D11609" s="3064"/>
      <c r="E11609" s="3064"/>
      <c r="F11609" s="3064"/>
      <c r="G11609" s="3302" t="s">
        <v>81</v>
      </c>
      <c r="H11609" s="3063"/>
      <c r="I11609" s="3030"/>
    </row>
    <row r="11610" spans="2:9">
      <c r="B11610" s="3217" t="s">
        <v>697</v>
      </c>
      <c r="C11610" s="3218"/>
      <c r="D11610" s="3219"/>
      <c r="E11610" s="3219"/>
      <c r="F11610" s="3219"/>
      <c r="G11610" s="3217" t="s">
        <v>697</v>
      </c>
      <c r="H11610" s="3297"/>
      <c r="I11610" s="3298"/>
    </row>
    <row r="11611" spans="2:9">
      <c r="B11611" s="3299" t="s">
        <v>64</v>
      </c>
      <c r="C11611" s="3063"/>
      <c r="D11611" s="3064"/>
      <c r="E11611" s="3064"/>
      <c r="F11611" s="3064"/>
      <c r="G11611" s="3300" t="s">
        <v>64</v>
      </c>
      <c r="H11611" s="3063"/>
      <c r="I11611" s="3030"/>
    </row>
    <row r="11612" spans="2:9" ht="25.5">
      <c r="B11612" s="3192" t="s">
        <v>675</v>
      </c>
      <c r="C11612" s="3063"/>
      <c r="D11612" s="3064"/>
      <c r="E11612" s="3064"/>
      <c r="F11612" s="3064"/>
      <c r="G11612" s="3301" t="s">
        <v>675</v>
      </c>
      <c r="H11612" s="3063"/>
      <c r="I11612" s="3030"/>
    </row>
    <row r="11613" spans="2:9" ht="25.5">
      <c r="B11613" s="3192" t="s">
        <v>676</v>
      </c>
      <c r="C11613" s="3063"/>
      <c r="D11613" s="3064"/>
      <c r="E11613" s="3064"/>
      <c r="F11613" s="3064"/>
      <c r="G11613" s="3301" t="s">
        <v>676</v>
      </c>
      <c r="H11613" s="3063"/>
      <c r="I11613" s="3030"/>
    </row>
    <row r="11614" spans="2:9">
      <c r="B11614" s="3192" t="s">
        <v>677</v>
      </c>
      <c r="C11614" s="3063"/>
      <c r="D11614" s="3064"/>
      <c r="E11614" s="3064"/>
      <c r="F11614" s="3064"/>
      <c r="G11614" s="3301" t="s">
        <v>677</v>
      </c>
      <c r="H11614" s="3063"/>
      <c r="I11614" s="3030"/>
    </row>
    <row r="11615" spans="2:9">
      <c r="B11615" s="3192" t="s">
        <v>678</v>
      </c>
      <c r="C11615" s="3063"/>
      <c r="D11615" s="3064"/>
      <c r="E11615" s="3064"/>
      <c r="F11615" s="3064"/>
      <c r="G11615" s="3301" t="s">
        <v>678</v>
      </c>
      <c r="H11615" s="3063"/>
      <c r="I11615" s="3030"/>
    </row>
    <row r="11616" spans="2:9">
      <c r="B11616" s="3192" t="s">
        <v>679</v>
      </c>
      <c r="C11616" s="3063"/>
      <c r="D11616" s="3064"/>
      <c r="E11616" s="3064"/>
      <c r="F11616" s="3064"/>
      <c r="G11616" s="3301" t="s">
        <v>679</v>
      </c>
      <c r="H11616" s="3063"/>
      <c r="I11616" s="3030"/>
    </row>
    <row r="11617" spans="2:9" ht="25.5">
      <c r="B11617" s="3192" t="s">
        <v>720</v>
      </c>
      <c r="C11617" s="3063"/>
      <c r="D11617" s="3064"/>
      <c r="E11617" s="3064"/>
      <c r="F11617" s="3064"/>
      <c r="G11617" s="3301" t="s">
        <v>720</v>
      </c>
      <c r="H11617" s="3063"/>
      <c r="I11617" s="3030"/>
    </row>
    <row r="11618" spans="2:9">
      <c r="B11618" s="3299" t="s">
        <v>65</v>
      </c>
      <c r="C11618" s="3063"/>
      <c r="D11618" s="3064"/>
      <c r="E11618" s="3064"/>
      <c r="F11618" s="3064"/>
      <c r="G11618" s="3300" t="s">
        <v>65</v>
      </c>
      <c r="H11618" s="3063"/>
      <c r="I11618" s="3030"/>
    </row>
    <row r="11619" spans="2:9" ht="25.5">
      <c r="B11619" s="3192" t="s">
        <v>675</v>
      </c>
      <c r="C11619" s="3063"/>
      <c r="D11619" s="3064"/>
      <c r="E11619" s="3064"/>
      <c r="F11619" s="3064"/>
      <c r="G11619" s="3301" t="s">
        <v>675</v>
      </c>
      <c r="H11619" s="3063"/>
      <c r="I11619" s="3030"/>
    </row>
    <row r="11620" spans="2:9" ht="25.5">
      <c r="B11620" s="3192" t="s">
        <v>676</v>
      </c>
      <c r="C11620" s="3063"/>
      <c r="D11620" s="3064"/>
      <c r="E11620" s="3064"/>
      <c r="F11620" s="3064"/>
      <c r="G11620" s="3301" t="s">
        <v>676</v>
      </c>
      <c r="H11620" s="3063"/>
      <c r="I11620" s="3030"/>
    </row>
    <row r="11621" spans="2:9">
      <c r="B11621" s="3192" t="s">
        <v>677</v>
      </c>
      <c r="C11621" s="3063"/>
      <c r="D11621" s="3064"/>
      <c r="E11621" s="3064"/>
      <c r="F11621" s="3064"/>
      <c r="G11621" s="3301" t="s">
        <v>677</v>
      </c>
      <c r="H11621" s="3063"/>
      <c r="I11621" s="3030"/>
    </row>
    <row r="11622" spans="2:9">
      <c r="B11622" s="3192" t="s">
        <v>678</v>
      </c>
      <c r="C11622" s="3063"/>
      <c r="D11622" s="3064"/>
      <c r="E11622" s="3064"/>
      <c r="F11622" s="3064"/>
      <c r="G11622" s="3301" t="s">
        <v>678</v>
      </c>
      <c r="H11622" s="3063"/>
      <c r="I11622" s="3030"/>
    </row>
    <row r="11623" spans="2:9">
      <c r="B11623" s="3192" t="s">
        <v>679</v>
      </c>
      <c r="C11623" s="3063"/>
      <c r="D11623" s="3064"/>
      <c r="E11623" s="3064"/>
      <c r="F11623" s="3064"/>
      <c r="G11623" s="3301" t="s">
        <v>679</v>
      </c>
      <c r="H11623" s="3063"/>
      <c r="I11623" s="3030"/>
    </row>
    <row r="11624" spans="2:9" ht="25.5">
      <c r="B11624" s="3192" t="s">
        <v>720</v>
      </c>
      <c r="C11624" s="3063"/>
      <c r="D11624" s="3064"/>
      <c r="E11624" s="3064"/>
      <c r="F11624" s="3064"/>
      <c r="G11624" s="3301" t="s">
        <v>720</v>
      </c>
      <c r="H11624" s="3063"/>
      <c r="I11624" s="3030"/>
    </row>
    <row r="11625" spans="2:9">
      <c r="B11625" s="3299" t="s">
        <v>82</v>
      </c>
      <c r="C11625" s="3063"/>
      <c r="D11625" s="3064"/>
      <c r="E11625" s="3064"/>
      <c r="F11625" s="3064"/>
      <c r="G11625" s="3300" t="s">
        <v>82</v>
      </c>
      <c r="H11625" s="3063"/>
      <c r="I11625" s="3030"/>
    </row>
    <row r="11626" spans="2:9" ht="25.5">
      <c r="B11626" s="3192" t="s">
        <v>675</v>
      </c>
      <c r="C11626" s="3063"/>
      <c r="D11626" s="3064"/>
      <c r="E11626" s="3064"/>
      <c r="F11626" s="3064"/>
      <c r="G11626" s="3301" t="s">
        <v>675</v>
      </c>
      <c r="H11626" s="3063"/>
      <c r="I11626" s="3030"/>
    </row>
    <row r="11627" spans="2:9" ht="25.5">
      <c r="B11627" s="3192" t="s">
        <v>676</v>
      </c>
      <c r="C11627" s="3063"/>
      <c r="D11627" s="3064"/>
      <c r="E11627" s="3064"/>
      <c r="F11627" s="3064"/>
      <c r="G11627" s="3301" t="s">
        <v>676</v>
      </c>
      <c r="H11627" s="3063"/>
      <c r="I11627" s="3030"/>
    </row>
    <row r="11628" spans="2:9">
      <c r="B11628" s="3192" t="s">
        <v>677</v>
      </c>
      <c r="C11628" s="3063"/>
      <c r="D11628" s="3064"/>
      <c r="E11628" s="3064"/>
      <c r="F11628" s="3064"/>
      <c r="G11628" s="3301" t="s">
        <v>677</v>
      </c>
      <c r="H11628" s="3063"/>
      <c r="I11628" s="3030"/>
    </row>
    <row r="11629" spans="2:9">
      <c r="B11629" s="3192" t="s">
        <v>678</v>
      </c>
      <c r="C11629" s="3063"/>
      <c r="D11629" s="3064"/>
      <c r="E11629" s="3064"/>
      <c r="F11629" s="3064"/>
      <c r="G11629" s="3301" t="s">
        <v>678</v>
      </c>
      <c r="H11629" s="3063"/>
      <c r="I11629" s="3030"/>
    </row>
    <row r="11630" spans="2:9">
      <c r="B11630" s="3192" t="s">
        <v>679</v>
      </c>
      <c r="C11630" s="3063"/>
      <c r="D11630" s="3064"/>
      <c r="E11630" s="3064"/>
      <c r="F11630" s="3064"/>
      <c r="G11630" s="3301" t="s">
        <v>679</v>
      </c>
      <c r="H11630" s="3063"/>
      <c r="I11630" s="3030"/>
    </row>
    <row r="11631" spans="2:9" ht="25.5">
      <c r="B11631" s="3192" t="s">
        <v>720</v>
      </c>
      <c r="C11631" s="3063"/>
      <c r="D11631" s="3064"/>
      <c r="E11631" s="3064"/>
      <c r="F11631" s="3064"/>
      <c r="G11631" s="3301" t="s">
        <v>720</v>
      </c>
      <c r="H11631" s="3063"/>
      <c r="I11631" s="3030"/>
    </row>
    <row r="11632" spans="2:9" ht="38.25">
      <c r="B11632" s="3299" t="s">
        <v>680</v>
      </c>
      <c r="C11632" s="3063"/>
      <c r="D11632" s="3064"/>
      <c r="E11632" s="3064"/>
      <c r="F11632" s="3064"/>
      <c r="G11632" s="3300" t="s">
        <v>680</v>
      </c>
      <c r="H11632" s="3063"/>
      <c r="I11632" s="3030"/>
    </row>
    <row r="11633" spans="2:9" ht="25.5">
      <c r="B11633" s="3192" t="s">
        <v>675</v>
      </c>
      <c r="C11633" s="3063"/>
      <c r="D11633" s="3064"/>
      <c r="E11633" s="3064"/>
      <c r="F11633" s="3064"/>
      <c r="G11633" s="3301" t="s">
        <v>675</v>
      </c>
      <c r="H11633" s="3063"/>
      <c r="I11633" s="3030"/>
    </row>
    <row r="11634" spans="2:9" ht="25.5">
      <c r="B11634" s="3192" t="s">
        <v>676</v>
      </c>
      <c r="C11634" s="3063"/>
      <c r="D11634" s="3064"/>
      <c r="E11634" s="3064"/>
      <c r="F11634" s="3064"/>
      <c r="G11634" s="3301" t="s">
        <v>676</v>
      </c>
      <c r="H11634" s="3063"/>
      <c r="I11634" s="3030"/>
    </row>
    <row r="11635" spans="2:9">
      <c r="B11635" s="3192" t="s">
        <v>677</v>
      </c>
      <c r="C11635" s="3063"/>
      <c r="D11635" s="3064"/>
      <c r="E11635" s="3064"/>
      <c r="F11635" s="3064"/>
      <c r="G11635" s="3301" t="s">
        <v>677</v>
      </c>
      <c r="H11635" s="3063"/>
      <c r="I11635" s="3030"/>
    </row>
    <row r="11636" spans="2:9">
      <c r="B11636" s="3192" t="s">
        <v>678</v>
      </c>
      <c r="C11636" s="3063"/>
      <c r="D11636" s="3064"/>
      <c r="E11636" s="3064"/>
      <c r="F11636" s="3064"/>
      <c r="G11636" s="3301" t="s">
        <v>678</v>
      </c>
      <c r="H11636" s="3063"/>
      <c r="I11636" s="3030"/>
    </row>
    <row r="11637" spans="2:9">
      <c r="B11637" s="3192" t="s">
        <v>679</v>
      </c>
      <c r="C11637" s="3063"/>
      <c r="D11637" s="3064"/>
      <c r="E11637" s="3064"/>
      <c r="F11637" s="3064"/>
      <c r="G11637" s="3301" t="s">
        <v>679</v>
      </c>
      <c r="H11637" s="3063"/>
      <c r="I11637" s="3030"/>
    </row>
    <row r="11638" spans="2:9" ht="25.5">
      <c r="B11638" s="3192" t="s">
        <v>720</v>
      </c>
      <c r="C11638" s="3063"/>
      <c r="D11638" s="3064"/>
      <c r="E11638" s="3064"/>
      <c r="F11638" s="3064"/>
      <c r="G11638" s="3301" t="s">
        <v>720</v>
      </c>
      <c r="H11638" s="3063"/>
      <c r="I11638" s="3030"/>
    </row>
    <row r="11639" spans="2:9" ht="38.25">
      <c r="B11639" s="3299" t="s">
        <v>681</v>
      </c>
      <c r="C11639" s="3063"/>
      <c r="D11639" s="3064"/>
      <c r="E11639" s="3064"/>
      <c r="F11639" s="3064"/>
      <c r="G11639" s="3300" t="s">
        <v>681</v>
      </c>
      <c r="H11639" s="3063"/>
      <c r="I11639" s="3030"/>
    </row>
    <row r="11640" spans="2:9" ht="25.5">
      <c r="B11640" s="3192" t="s">
        <v>675</v>
      </c>
      <c r="C11640" s="3063"/>
      <c r="D11640" s="3064"/>
      <c r="E11640" s="3064"/>
      <c r="F11640" s="3064"/>
      <c r="G11640" s="3301" t="s">
        <v>675</v>
      </c>
      <c r="H11640" s="3063"/>
      <c r="I11640" s="3030"/>
    </row>
    <row r="11641" spans="2:9" ht="25.5">
      <c r="B11641" s="3192" t="s">
        <v>676</v>
      </c>
      <c r="C11641" s="3063"/>
      <c r="D11641" s="3064"/>
      <c r="E11641" s="3064"/>
      <c r="F11641" s="3064"/>
      <c r="G11641" s="3301" t="s">
        <v>676</v>
      </c>
      <c r="H11641" s="3063"/>
      <c r="I11641" s="3030"/>
    </row>
    <row r="11642" spans="2:9">
      <c r="B11642" s="3192" t="s">
        <v>677</v>
      </c>
      <c r="C11642" s="3063"/>
      <c r="D11642" s="3064"/>
      <c r="E11642" s="3064"/>
      <c r="F11642" s="3064"/>
      <c r="G11642" s="3301" t="s">
        <v>677</v>
      </c>
      <c r="H11642" s="3063"/>
      <c r="I11642" s="3030"/>
    </row>
    <row r="11643" spans="2:9">
      <c r="B11643" s="3192" t="s">
        <v>678</v>
      </c>
      <c r="C11643" s="3063"/>
      <c r="D11643" s="3064"/>
      <c r="E11643" s="3064"/>
      <c r="F11643" s="3064"/>
      <c r="G11643" s="3301" t="s">
        <v>678</v>
      </c>
      <c r="H11643" s="3063"/>
      <c r="I11643" s="3030"/>
    </row>
    <row r="11644" spans="2:9">
      <c r="B11644" s="3192" t="s">
        <v>679</v>
      </c>
      <c r="C11644" s="3063"/>
      <c r="D11644" s="3064"/>
      <c r="E11644" s="3064"/>
      <c r="F11644" s="3064"/>
      <c r="G11644" s="3301" t="s">
        <v>679</v>
      </c>
      <c r="H11644" s="3063"/>
      <c r="I11644" s="3030"/>
    </row>
    <row r="11645" spans="2:9" ht="25.5">
      <c r="B11645" s="3192" t="s">
        <v>720</v>
      </c>
      <c r="C11645" s="3063"/>
      <c r="D11645" s="3064"/>
      <c r="E11645" s="3064"/>
      <c r="F11645" s="3064"/>
      <c r="G11645" s="3301" t="s">
        <v>720</v>
      </c>
      <c r="H11645" s="3063"/>
      <c r="I11645" s="3030"/>
    </row>
    <row r="11646" spans="2:9" ht="25.5">
      <c r="B11646" s="3299" t="s">
        <v>682</v>
      </c>
      <c r="C11646" s="3063"/>
      <c r="D11646" s="3064"/>
      <c r="E11646" s="3064"/>
      <c r="F11646" s="3064"/>
      <c r="G11646" s="3300" t="s">
        <v>682</v>
      </c>
      <c r="H11646" s="3063"/>
      <c r="I11646" s="3030"/>
    </row>
    <row r="11647" spans="2:9" ht="25.5">
      <c r="B11647" s="3192" t="s">
        <v>675</v>
      </c>
      <c r="C11647" s="3063"/>
      <c r="D11647" s="3064"/>
      <c r="E11647" s="3064"/>
      <c r="F11647" s="3064"/>
      <c r="G11647" s="3301" t="s">
        <v>675</v>
      </c>
      <c r="H11647" s="3063"/>
      <c r="I11647" s="3030"/>
    </row>
    <row r="11648" spans="2:9" ht="25.5">
      <c r="B11648" s="3192" t="s">
        <v>676</v>
      </c>
      <c r="C11648" s="3063"/>
      <c r="D11648" s="3064"/>
      <c r="E11648" s="3064"/>
      <c r="F11648" s="3064"/>
      <c r="G11648" s="3301" t="s">
        <v>676</v>
      </c>
      <c r="H11648" s="3063"/>
      <c r="I11648" s="3030"/>
    </row>
    <row r="11649" spans="2:9">
      <c r="B11649" s="3192" t="s">
        <v>677</v>
      </c>
      <c r="C11649" s="3063"/>
      <c r="D11649" s="3064"/>
      <c r="E11649" s="3064"/>
      <c r="F11649" s="3064"/>
      <c r="G11649" s="3301" t="s">
        <v>677</v>
      </c>
      <c r="H11649" s="3063"/>
      <c r="I11649" s="3030"/>
    </row>
    <row r="11650" spans="2:9">
      <c r="B11650" s="3192" t="s">
        <v>678</v>
      </c>
      <c r="C11650" s="3063"/>
      <c r="D11650" s="3064"/>
      <c r="E11650" s="3064"/>
      <c r="F11650" s="3064"/>
      <c r="G11650" s="3301" t="s">
        <v>678</v>
      </c>
      <c r="H11650" s="3063"/>
      <c r="I11650" s="3030"/>
    </row>
    <row r="11651" spans="2:9">
      <c r="B11651" s="3192" t="s">
        <v>679</v>
      </c>
      <c r="C11651" s="3063"/>
      <c r="D11651" s="3064"/>
      <c r="E11651" s="3064"/>
      <c r="F11651" s="3064"/>
      <c r="G11651" s="3301" t="s">
        <v>679</v>
      </c>
      <c r="H11651" s="3063"/>
      <c r="I11651" s="3030"/>
    </row>
    <row r="11652" spans="2:9" ht="25.5">
      <c r="B11652" s="3192" t="s">
        <v>720</v>
      </c>
      <c r="C11652" s="3063"/>
      <c r="D11652" s="3064"/>
      <c r="E11652" s="3064"/>
      <c r="F11652" s="3064"/>
      <c r="G11652" s="3301" t="s">
        <v>720</v>
      </c>
      <c r="H11652" s="3063"/>
      <c r="I11652" s="3030"/>
    </row>
    <row r="11653" spans="2:9" ht="25.5">
      <c r="B11653" s="3299" t="s">
        <v>66</v>
      </c>
      <c r="C11653" s="3063"/>
      <c r="D11653" s="3064"/>
      <c r="E11653" s="3064"/>
      <c r="F11653" s="3064"/>
      <c r="G11653" s="3300" t="s">
        <v>66</v>
      </c>
      <c r="H11653" s="3063"/>
      <c r="I11653" s="3030"/>
    </row>
    <row r="11654" spans="2:9" ht="25.5">
      <c r="B11654" s="3192" t="s">
        <v>675</v>
      </c>
      <c r="C11654" s="3063"/>
      <c r="D11654" s="3064"/>
      <c r="E11654" s="3064"/>
      <c r="F11654" s="3064"/>
      <c r="G11654" s="3301" t="s">
        <v>675</v>
      </c>
      <c r="H11654" s="3063"/>
      <c r="I11654" s="3030"/>
    </row>
    <row r="11655" spans="2:9" ht="25.5">
      <c r="B11655" s="3192" t="s">
        <v>676</v>
      </c>
      <c r="C11655" s="3063"/>
      <c r="D11655" s="3064"/>
      <c r="E11655" s="3064"/>
      <c r="F11655" s="3064"/>
      <c r="G11655" s="3301" t="s">
        <v>676</v>
      </c>
      <c r="H11655" s="3063"/>
      <c r="I11655" s="3030"/>
    </row>
    <row r="11656" spans="2:9">
      <c r="B11656" s="3192" t="s">
        <v>677</v>
      </c>
      <c r="C11656" s="3063"/>
      <c r="D11656" s="3064"/>
      <c r="E11656" s="3064"/>
      <c r="F11656" s="3064"/>
      <c r="G11656" s="3301" t="s">
        <v>677</v>
      </c>
      <c r="H11656" s="3063"/>
      <c r="I11656" s="3030"/>
    </row>
    <row r="11657" spans="2:9">
      <c r="B11657" s="3192" t="s">
        <v>678</v>
      </c>
      <c r="C11657" s="3063"/>
      <c r="D11657" s="3064"/>
      <c r="E11657" s="3064"/>
      <c r="F11657" s="3064"/>
      <c r="G11657" s="3301" t="s">
        <v>678</v>
      </c>
      <c r="H11657" s="3063"/>
      <c r="I11657" s="3030"/>
    </row>
    <row r="11658" spans="2:9">
      <c r="B11658" s="3192" t="s">
        <v>679</v>
      </c>
      <c r="C11658" s="3063"/>
      <c r="D11658" s="3064"/>
      <c r="E11658" s="3064"/>
      <c r="F11658" s="3064"/>
      <c r="G11658" s="3301" t="s">
        <v>679</v>
      </c>
      <c r="H11658" s="3063"/>
      <c r="I11658" s="3030"/>
    </row>
    <row r="11659" spans="2:9" ht="25.5">
      <c r="B11659" s="3192" t="s">
        <v>720</v>
      </c>
      <c r="C11659" s="3063"/>
      <c r="D11659" s="3064"/>
      <c r="E11659" s="3064"/>
      <c r="F11659" s="3064"/>
      <c r="G11659" s="3301" t="s">
        <v>720</v>
      </c>
      <c r="H11659" s="3063"/>
      <c r="I11659" s="3030"/>
    </row>
    <row r="11660" spans="2:9">
      <c r="B11660" s="3299" t="s">
        <v>67</v>
      </c>
      <c r="C11660" s="3063"/>
      <c r="D11660" s="3064"/>
      <c r="E11660" s="3064"/>
      <c r="F11660" s="3064"/>
      <c r="G11660" s="3300" t="s">
        <v>67</v>
      </c>
      <c r="H11660" s="3063"/>
      <c r="I11660" s="3030"/>
    </row>
    <row r="11661" spans="2:9" ht="25.5">
      <c r="B11661" s="3192" t="s">
        <v>675</v>
      </c>
      <c r="C11661" s="3063"/>
      <c r="D11661" s="3064"/>
      <c r="E11661" s="3064"/>
      <c r="F11661" s="3064"/>
      <c r="G11661" s="3301" t="s">
        <v>675</v>
      </c>
      <c r="H11661" s="3063"/>
      <c r="I11661" s="3030"/>
    </row>
    <row r="11662" spans="2:9" ht="25.5">
      <c r="B11662" s="3192" t="s">
        <v>676</v>
      </c>
      <c r="C11662" s="3063"/>
      <c r="D11662" s="3064"/>
      <c r="E11662" s="3064"/>
      <c r="F11662" s="3064"/>
      <c r="G11662" s="3301" t="s">
        <v>676</v>
      </c>
      <c r="H11662" s="3063"/>
      <c r="I11662" s="3030"/>
    </row>
    <row r="11663" spans="2:9">
      <c r="B11663" s="3192" t="s">
        <v>677</v>
      </c>
      <c r="C11663" s="3063"/>
      <c r="D11663" s="3064"/>
      <c r="E11663" s="3064"/>
      <c r="F11663" s="3064"/>
      <c r="G11663" s="3301" t="s">
        <v>677</v>
      </c>
      <c r="H11663" s="3063"/>
      <c r="I11663" s="3030"/>
    </row>
    <row r="11664" spans="2:9">
      <c r="B11664" s="3192" t="s">
        <v>678</v>
      </c>
      <c r="C11664" s="3063"/>
      <c r="D11664" s="3064"/>
      <c r="E11664" s="3064"/>
      <c r="F11664" s="3064"/>
      <c r="G11664" s="3301" t="s">
        <v>678</v>
      </c>
      <c r="H11664" s="3063"/>
      <c r="I11664" s="3030"/>
    </row>
    <row r="11665" spans="2:9">
      <c r="B11665" s="3192" t="s">
        <v>679</v>
      </c>
      <c r="C11665" s="3063"/>
      <c r="D11665" s="3064"/>
      <c r="E11665" s="3064"/>
      <c r="F11665" s="3064"/>
      <c r="G11665" s="3301" t="s">
        <v>679</v>
      </c>
      <c r="H11665" s="3063"/>
      <c r="I11665" s="3030"/>
    </row>
    <row r="11666" spans="2:9" ht="25.5">
      <c r="B11666" s="3230" t="s">
        <v>81</v>
      </c>
      <c r="C11666" s="3063"/>
      <c r="D11666" s="3064"/>
      <c r="E11666" s="3064"/>
      <c r="F11666" s="3064"/>
      <c r="G11666" s="3302" t="s">
        <v>81</v>
      </c>
      <c r="H11666" s="3063"/>
      <c r="I11666" s="3030"/>
    </row>
    <row r="11667" spans="2:9" ht="26.25" thickBot="1">
      <c r="B11667" s="3303" t="s">
        <v>81</v>
      </c>
      <c r="C11667" s="3068"/>
      <c r="D11667" s="3069"/>
      <c r="E11667" s="3069"/>
      <c r="F11667" s="3069"/>
      <c r="G11667" s="3304" t="s">
        <v>81</v>
      </c>
      <c r="H11667" s="3068"/>
      <c r="I11667" s="3070"/>
    </row>
    <row r="11668" spans="2:9" ht="38.25">
      <c r="B11668" s="4723">
        <v>3280</v>
      </c>
      <c r="C11668" s="3289"/>
      <c r="D11668" s="3290"/>
      <c r="E11668" s="3290"/>
      <c r="F11668" s="3290"/>
      <c r="G11668" s="4723">
        <v>3280</v>
      </c>
      <c r="H11668" s="3291" t="s">
        <v>687</v>
      </c>
      <c r="I11668" s="3292" t="s">
        <v>688</v>
      </c>
    </row>
    <row r="11669" spans="2:9">
      <c r="B11669" s="4724"/>
      <c r="C11669" s="4678" t="s">
        <v>686</v>
      </c>
      <c r="D11669" s="4725"/>
      <c r="E11669" s="4725"/>
      <c r="F11669" s="4726"/>
      <c r="G11669" s="4724"/>
      <c r="H11669" s="3293"/>
      <c r="I11669" s="3294"/>
    </row>
    <row r="11670" spans="2:9" ht="13.5" thickBot="1">
      <c r="B11670" s="4724"/>
      <c r="C11670" s="3215">
        <v>2013</v>
      </c>
      <c r="D11670" s="3215">
        <v>2014</v>
      </c>
      <c r="E11670" s="3215">
        <v>2015</v>
      </c>
      <c r="F11670" s="3215">
        <v>2016</v>
      </c>
      <c r="G11670" s="4724"/>
      <c r="H11670" s="3295" t="s">
        <v>390</v>
      </c>
      <c r="I11670" s="3296" t="s">
        <v>390</v>
      </c>
    </row>
    <row r="11671" spans="2:9">
      <c r="B11671" s="3217" t="s">
        <v>695</v>
      </c>
      <c r="C11671" s="3218"/>
      <c r="D11671" s="3219"/>
      <c r="E11671" s="3219"/>
      <c r="F11671" s="3219"/>
      <c r="G11671" s="3217" t="s">
        <v>695</v>
      </c>
      <c r="H11671" s="3297"/>
      <c r="I11671" s="3298"/>
    </row>
    <row r="11672" spans="2:9">
      <c r="B11672" s="3299" t="s">
        <v>64</v>
      </c>
      <c r="C11672" s="3063"/>
      <c r="D11672" s="3064"/>
      <c r="E11672" s="3064"/>
      <c r="F11672" s="3064">
        <v>7</v>
      </c>
      <c r="G11672" s="3300" t="s">
        <v>64</v>
      </c>
      <c r="H11672" s="3063">
        <v>0.24637161798960766</v>
      </c>
      <c r="I11672" s="3030"/>
    </row>
    <row r="11673" spans="2:9" ht="25.5">
      <c r="B11673" s="3192" t="s">
        <v>675</v>
      </c>
      <c r="C11673" s="3063"/>
      <c r="D11673" s="3064">
        <v>4</v>
      </c>
      <c r="E11673" s="3064"/>
      <c r="F11673" s="3064"/>
      <c r="G11673" s="3301" t="s">
        <v>675</v>
      </c>
      <c r="H11673" s="3063"/>
      <c r="I11673" s="3030">
        <v>0.17917935853789649</v>
      </c>
    </row>
    <row r="11674" spans="2:9" ht="25.5">
      <c r="B11674" s="3192" t="s">
        <v>676</v>
      </c>
      <c r="C11674" s="3063"/>
      <c r="D11674" s="3064"/>
      <c r="E11674" s="3064"/>
      <c r="F11674" s="3064"/>
      <c r="G11674" s="3301" t="s">
        <v>676</v>
      </c>
      <c r="H11674" s="3063"/>
      <c r="I11674" s="3030"/>
    </row>
    <row r="11675" spans="2:9">
      <c r="B11675" s="3192" t="s">
        <v>677</v>
      </c>
      <c r="C11675" s="3063"/>
      <c r="D11675" s="3064"/>
      <c r="E11675" s="3064"/>
      <c r="F11675" s="3064"/>
      <c r="G11675" s="3301" t="s">
        <v>677</v>
      </c>
      <c r="H11675" s="3063"/>
      <c r="I11675" s="3030"/>
    </row>
    <row r="11676" spans="2:9">
      <c r="B11676" s="3192" t="s">
        <v>678</v>
      </c>
      <c r="C11676" s="3063"/>
      <c r="D11676" s="3064"/>
      <c r="E11676" s="3064"/>
      <c r="F11676" s="3064"/>
      <c r="G11676" s="3301" t="s">
        <v>678</v>
      </c>
      <c r="H11676" s="3063"/>
      <c r="I11676" s="3030"/>
    </row>
    <row r="11677" spans="2:9">
      <c r="B11677" s="3192" t="s">
        <v>679</v>
      </c>
      <c r="C11677" s="3063"/>
      <c r="D11677" s="3064"/>
      <c r="E11677" s="3064"/>
      <c r="F11677" s="3064"/>
      <c r="G11677" s="3301" t="s">
        <v>679</v>
      </c>
      <c r="H11677" s="3063"/>
      <c r="I11677" s="3030"/>
    </row>
    <row r="11678" spans="2:9" ht="25.5">
      <c r="B11678" s="3192" t="s">
        <v>720</v>
      </c>
      <c r="C11678" s="3063"/>
      <c r="D11678" s="3064"/>
      <c r="E11678" s="3064"/>
      <c r="F11678" s="3064"/>
      <c r="G11678" s="3301" t="s">
        <v>720</v>
      </c>
      <c r="H11678" s="3063"/>
      <c r="I11678" s="3030"/>
    </row>
    <row r="11679" spans="2:9">
      <c r="B11679" s="3299" t="s">
        <v>65</v>
      </c>
      <c r="C11679" s="3063"/>
      <c r="D11679" s="3064"/>
      <c r="E11679" s="3064"/>
      <c r="F11679" s="3064">
        <v>4</v>
      </c>
      <c r="G11679" s="3300" t="s">
        <v>65</v>
      </c>
      <c r="H11679" s="3063">
        <v>0.1033600633941722</v>
      </c>
      <c r="I11679" s="3030"/>
    </row>
    <row r="11680" spans="2:9" ht="25.5">
      <c r="B11680" s="3192" t="s">
        <v>675</v>
      </c>
      <c r="C11680" s="3063"/>
      <c r="D11680" s="3064"/>
      <c r="E11680" s="3064"/>
      <c r="F11680" s="3064"/>
      <c r="G11680" s="3301" t="s">
        <v>675</v>
      </c>
      <c r="H11680" s="3063"/>
      <c r="I11680" s="3030"/>
    </row>
    <row r="11681" spans="2:9" ht="25.5">
      <c r="B11681" s="3192" t="s">
        <v>676</v>
      </c>
      <c r="C11681" s="3063"/>
      <c r="D11681" s="3064"/>
      <c r="E11681" s="3064"/>
      <c r="F11681" s="3064"/>
      <c r="G11681" s="3301" t="s">
        <v>676</v>
      </c>
      <c r="H11681" s="3063"/>
      <c r="I11681" s="3030"/>
    </row>
    <row r="11682" spans="2:9">
      <c r="B11682" s="3192" t="s">
        <v>677</v>
      </c>
      <c r="C11682" s="3063"/>
      <c r="D11682" s="3064"/>
      <c r="E11682" s="3064"/>
      <c r="F11682" s="3064"/>
      <c r="G11682" s="3301" t="s">
        <v>677</v>
      </c>
      <c r="H11682" s="3063"/>
      <c r="I11682" s="3030"/>
    </row>
    <row r="11683" spans="2:9">
      <c r="B11683" s="3192" t="s">
        <v>678</v>
      </c>
      <c r="C11683" s="3063"/>
      <c r="D11683" s="3064"/>
      <c r="E11683" s="3064"/>
      <c r="F11683" s="3064"/>
      <c r="G11683" s="3301" t="s">
        <v>678</v>
      </c>
      <c r="H11683" s="3063"/>
      <c r="I11683" s="3030"/>
    </row>
    <row r="11684" spans="2:9">
      <c r="B11684" s="3192" t="s">
        <v>679</v>
      </c>
      <c r="C11684" s="3063"/>
      <c r="D11684" s="3064"/>
      <c r="E11684" s="3064"/>
      <c r="F11684" s="3064"/>
      <c r="G11684" s="3301" t="s">
        <v>679</v>
      </c>
      <c r="H11684" s="3063"/>
      <c r="I11684" s="3030"/>
    </row>
    <row r="11685" spans="2:9" ht="25.5">
      <c r="B11685" s="3192" t="s">
        <v>720</v>
      </c>
      <c r="C11685" s="3063"/>
      <c r="D11685" s="3064"/>
      <c r="E11685" s="3064"/>
      <c r="F11685" s="3064"/>
      <c r="G11685" s="3301" t="s">
        <v>720</v>
      </c>
      <c r="H11685" s="3063"/>
      <c r="I11685" s="3030"/>
    </row>
    <row r="11686" spans="2:9">
      <c r="B11686" s="3299" t="s">
        <v>82</v>
      </c>
      <c r="C11686" s="3063"/>
      <c r="D11686" s="3064"/>
      <c r="E11686" s="3064"/>
      <c r="F11686" s="3064"/>
      <c r="G11686" s="3300" t="s">
        <v>82</v>
      </c>
      <c r="H11686" s="3063"/>
      <c r="I11686" s="3030"/>
    </row>
    <row r="11687" spans="2:9" ht="25.5">
      <c r="B11687" s="3192" t="s">
        <v>675</v>
      </c>
      <c r="C11687" s="3063"/>
      <c r="D11687" s="3064"/>
      <c r="E11687" s="3064"/>
      <c r="F11687" s="3064"/>
      <c r="G11687" s="3301" t="s">
        <v>675</v>
      </c>
      <c r="H11687" s="3063"/>
      <c r="I11687" s="3030"/>
    </row>
    <row r="11688" spans="2:9" ht="25.5">
      <c r="B11688" s="3192" t="s">
        <v>676</v>
      </c>
      <c r="C11688" s="3063"/>
      <c r="D11688" s="3064"/>
      <c r="E11688" s="3064"/>
      <c r="F11688" s="3064"/>
      <c r="G11688" s="3301" t="s">
        <v>676</v>
      </c>
      <c r="H11688" s="3063"/>
      <c r="I11688" s="3030"/>
    </row>
    <row r="11689" spans="2:9">
      <c r="B11689" s="3192" t="s">
        <v>677</v>
      </c>
      <c r="C11689" s="3063"/>
      <c r="D11689" s="3064"/>
      <c r="E11689" s="3064"/>
      <c r="F11689" s="3064"/>
      <c r="G11689" s="3301" t="s">
        <v>677</v>
      </c>
      <c r="H11689" s="3063"/>
      <c r="I11689" s="3030"/>
    </row>
    <row r="11690" spans="2:9">
      <c r="B11690" s="3192" t="s">
        <v>678</v>
      </c>
      <c r="C11690" s="3063"/>
      <c r="D11690" s="3064"/>
      <c r="E11690" s="3064"/>
      <c r="F11690" s="3064"/>
      <c r="G11690" s="3301" t="s">
        <v>678</v>
      </c>
      <c r="H11690" s="3063"/>
      <c r="I11690" s="3030"/>
    </row>
    <row r="11691" spans="2:9">
      <c r="B11691" s="3192" t="s">
        <v>679</v>
      </c>
      <c r="C11691" s="3063"/>
      <c r="D11691" s="3064"/>
      <c r="E11691" s="3064"/>
      <c r="F11691" s="3064"/>
      <c r="G11691" s="3301" t="s">
        <v>679</v>
      </c>
      <c r="H11691" s="3063"/>
      <c r="I11691" s="3030"/>
    </row>
    <row r="11692" spans="2:9" ht="25.5">
      <c r="B11692" s="3192" t="s">
        <v>720</v>
      </c>
      <c r="C11692" s="3063"/>
      <c r="D11692" s="3064"/>
      <c r="E11692" s="3064"/>
      <c r="F11692" s="3064"/>
      <c r="G11692" s="3301" t="s">
        <v>720</v>
      </c>
      <c r="H11692" s="3063"/>
      <c r="I11692" s="3030"/>
    </row>
    <row r="11693" spans="2:9" ht="38.25">
      <c r="B11693" s="3299" t="s">
        <v>680</v>
      </c>
      <c r="C11693" s="3063"/>
      <c r="D11693" s="3064"/>
      <c r="E11693" s="3064"/>
      <c r="F11693" s="3064"/>
      <c r="G11693" s="3300" t="s">
        <v>680</v>
      </c>
      <c r="H11693" s="3063"/>
      <c r="I11693" s="3030"/>
    </row>
    <row r="11694" spans="2:9" ht="25.5">
      <c r="B11694" s="3192" t="s">
        <v>675</v>
      </c>
      <c r="C11694" s="3063"/>
      <c r="D11694" s="3064"/>
      <c r="E11694" s="3064"/>
      <c r="F11694" s="3064"/>
      <c r="G11694" s="3301" t="s">
        <v>675</v>
      </c>
      <c r="H11694" s="3063"/>
      <c r="I11694" s="3030"/>
    </row>
    <row r="11695" spans="2:9" ht="25.5">
      <c r="B11695" s="3192" t="s">
        <v>676</v>
      </c>
      <c r="C11695" s="3063"/>
      <c r="D11695" s="3064"/>
      <c r="E11695" s="3064"/>
      <c r="F11695" s="3064"/>
      <c r="G11695" s="3301" t="s">
        <v>676</v>
      </c>
      <c r="H11695" s="3063"/>
      <c r="I11695" s="3030"/>
    </row>
    <row r="11696" spans="2:9">
      <c r="B11696" s="3192" t="s">
        <v>677</v>
      </c>
      <c r="C11696" s="3063"/>
      <c r="D11696" s="3064"/>
      <c r="E11696" s="3064"/>
      <c r="F11696" s="3064"/>
      <c r="G11696" s="3301" t="s">
        <v>677</v>
      </c>
      <c r="H11696" s="3063"/>
      <c r="I11696" s="3030"/>
    </row>
    <row r="11697" spans="2:9">
      <c r="B11697" s="3192" t="s">
        <v>678</v>
      </c>
      <c r="C11697" s="3063"/>
      <c r="D11697" s="3064"/>
      <c r="E11697" s="3064"/>
      <c r="F11697" s="3064"/>
      <c r="G11697" s="3301" t="s">
        <v>678</v>
      </c>
      <c r="H11697" s="3063"/>
      <c r="I11697" s="3030"/>
    </row>
    <row r="11698" spans="2:9">
      <c r="B11698" s="3192" t="s">
        <v>679</v>
      </c>
      <c r="C11698" s="3063"/>
      <c r="D11698" s="3064"/>
      <c r="E11698" s="3064"/>
      <c r="F11698" s="3064"/>
      <c r="G11698" s="3301" t="s">
        <v>679</v>
      </c>
      <c r="H11698" s="3063"/>
      <c r="I11698" s="3030"/>
    </row>
    <row r="11699" spans="2:9" ht="25.5">
      <c r="B11699" s="3192" t="s">
        <v>720</v>
      </c>
      <c r="C11699" s="3063"/>
      <c r="D11699" s="3064"/>
      <c r="E11699" s="3064"/>
      <c r="F11699" s="3064"/>
      <c r="G11699" s="3301" t="s">
        <v>720</v>
      </c>
      <c r="H11699" s="3063"/>
      <c r="I11699" s="3030"/>
    </row>
    <row r="11700" spans="2:9" ht="38.25">
      <c r="B11700" s="3299" t="s">
        <v>681</v>
      </c>
      <c r="C11700" s="3063"/>
      <c r="D11700" s="3064"/>
      <c r="E11700" s="3064"/>
      <c r="F11700" s="3064"/>
      <c r="G11700" s="3300" t="s">
        <v>681</v>
      </c>
      <c r="H11700" s="3063">
        <v>1.0776133020586009E-2</v>
      </c>
      <c r="I11700" s="3030"/>
    </row>
    <row r="11701" spans="2:9" ht="25.5">
      <c r="B11701" s="3192" t="s">
        <v>675</v>
      </c>
      <c r="C11701" s="3063"/>
      <c r="D11701" s="3064"/>
      <c r="E11701" s="3064"/>
      <c r="F11701" s="3064"/>
      <c r="G11701" s="3301" t="s">
        <v>675</v>
      </c>
      <c r="H11701" s="3063"/>
      <c r="I11701" s="3030"/>
    </row>
    <row r="11702" spans="2:9" ht="25.5">
      <c r="B11702" s="3192" t="s">
        <v>676</v>
      </c>
      <c r="C11702" s="3063"/>
      <c r="D11702" s="3064"/>
      <c r="E11702" s="3064"/>
      <c r="F11702" s="3064"/>
      <c r="G11702" s="3301" t="s">
        <v>676</v>
      </c>
      <c r="H11702" s="3063"/>
      <c r="I11702" s="3030"/>
    </row>
    <row r="11703" spans="2:9">
      <c r="B11703" s="3192" t="s">
        <v>677</v>
      </c>
      <c r="C11703" s="3063"/>
      <c r="D11703" s="3064"/>
      <c r="E11703" s="3064"/>
      <c r="F11703" s="3064"/>
      <c r="G11703" s="3301" t="s">
        <v>677</v>
      </c>
      <c r="H11703" s="3063"/>
      <c r="I11703" s="3030"/>
    </row>
    <row r="11704" spans="2:9">
      <c r="B11704" s="3192" t="s">
        <v>678</v>
      </c>
      <c r="C11704" s="3063"/>
      <c r="D11704" s="3064"/>
      <c r="E11704" s="3064"/>
      <c r="F11704" s="3064"/>
      <c r="G11704" s="3301" t="s">
        <v>678</v>
      </c>
      <c r="H11704" s="3063"/>
      <c r="I11704" s="3030"/>
    </row>
    <row r="11705" spans="2:9">
      <c r="B11705" s="3192" t="s">
        <v>679</v>
      </c>
      <c r="C11705" s="3063">
        <v>1</v>
      </c>
      <c r="D11705" s="3064"/>
      <c r="E11705" s="3064"/>
      <c r="F11705" s="3064"/>
      <c r="G11705" s="3301" t="s">
        <v>679</v>
      </c>
      <c r="H11705" s="3063"/>
      <c r="I11705" s="3030"/>
    </row>
    <row r="11706" spans="2:9" ht="25.5">
      <c r="B11706" s="3192" t="s">
        <v>720</v>
      </c>
      <c r="C11706" s="3063"/>
      <c r="D11706" s="3064"/>
      <c r="E11706" s="3064"/>
      <c r="F11706" s="3064"/>
      <c r="G11706" s="3301" t="s">
        <v>720</v>
      </c>
      <c r="H11706" s="3063"/>
      <c r="I11706" s="3030"/>
    </row>
    <row r="11707" spans="2:9" ht="25.5">
      <c r="B11707" s="3299" t="s">
        <v>682</v>
      </c>
      <c r="C11707" s="3063"/>
      <c r="D11707" s="3064"/>
      <c r="E11707" s="3064"/>
      <c r="F11707" s="3064"/>
      <c r="G11707" s="3300" t="s">
        <v>682</v>
      </c>
      <c r="H11707" s="3063"/>
      <c r="I11707" s="3030"/>
    </row>
    <row r="11708" spans="2:9" ht="25.5">
      <c r="B11708" s="3192" t="s">
        <v>675</v>
      </c>
      <c r="C11708" s="3063"/>
      <c r="D11708" s="3064"/>
      <c r="E11708" s="3064"/>
      <c r="F11708" s="3064"/>
      <c r="G11708" s="3301" t="s">
        <v>675</v>
      </c>
      <c r="H11708" s="3063"/>
      <c r="I11708" s="3030"/>
    </row>
    <row r="11709" spans="2:9" ht="25.5">
      <c r="B11709" s="3192" t="s">
        <v>676</v>
      </c>
      <c r="C11709" s="3063"/>
      <c r="D11709" s="3064"/>
      <c r="E11709" s="3064"/>
      <c r="F11709" s="3064"/>
      <c r="G11709" s="3301" t="s">
        <v>676</v>
      </c>
      <c r="H11709" s="3063"/>
      <c r="I11709" s="3030"/>
    </row>
    <row r="11710" spans="2:9">
      <c r="B11710" s="3192" t="s">
        <v>677</v>
      </c>
      <c r="C11710" s="3063"/>
      <c r="D11710" s="3064"/>
      <c r="E11710" s="3064"/>
      <c r="F11710" s="3064"/>
      <c r="G11710" s="3301" t="s">
        <v>677</v>
      </c>
      <c r="H11710" s="3063"/>
      <c r="I11710" s="3030"/>
    </row>
    <row r="11711" spans="2:9">
      <c r="B11711" s="3192" t="s">
        <v>678</v>
      </c>
      <c r="C11711" s="3063"/>
      <c r="D11711" s="3064"/>
      <c r="E11711" s="3064"/>
      <c r="F11711" s="3064"/>
      <c r="G11711" s="3301" t="s">
        <v>678</v>
      </c>
      <c r="H11711" s="3063"/>
      <c r="I11711" s="3030"/>
    </row>
    <row r="11712" spans="2:9">
      <c r="B11712" s="3192" t="s">
        <v>679</v>
      </c>
      <c r="C11712" s="3063"/>
      <c r="D11712" s="3064"/>
      <c r="E11712" s="3064"/>
      <c r="F11712" s="3064"/>
      <c r="G11712" s="3301" t="s">
        <v>679</v>
      </c>
      <c r="H11712" s="3063"/>
      <c r="I11712" s="3030"/>
    </row>
    <row r="11713" spans="2:9" ht="25.5">
      <c r="B11713" s="3192" t="s">
        <v>720</v>
      </c>
      <c r="C11713" s="3063"/>
      <c r="D11713" s="3064"/>
      <c r="E11713" s="3064"/>
      <c r="F11713" s="3064"/>
      <c r="G11713" s="3301" t="s">
        <v>720</v>
      </c>
      <c r="H11713" s="3063"/>
      <c r="I11713" s="3030"/>
    </row>
    <row r="11714" spans="2:9" ht="25.5">
      <c r="B11714" s="3299" t="s">
        <v>66</v>
      </c>
      <c r="C11714" s="3063"/>
      <c r="D11714" s="3064"/>
      <c r="E11714" s="3064"/>
      <c r="F11714" s="3064">
        <v>1</v>
      </c>
      <c r="G11714" s="3300" t="s">
        <v>66</v>
      </c>
      <c r="H11714" s="3063">
        <v>7.4757039621231008E-2</v>
      </c>
      <c r="I11714" s="3030"/>
    </row>
    <row r="11715" spans="2:9" ht="25.5">
      <c r="B11715" s="3192" t="s">
        <v>675</v>
      </c>
      <c r="C11715" s="3063"/>
      <c r="D11715" s="3064">
        <v>2</v>
      </c>
      <c r="E11715" s="3064"/>
      <c r="F11715" s="3064"/>
      <c r="G11715" s="3301" t="s">
        <v>675</v>
      </c>
      <c r="H11715" s="3063"/>
      <c r="I11715" s="3030">
        <v>9.9676052828308007E-2</v>
      </c>
    </row>
    <row r="11716" spans="2:9" ht="25.5">
      <c r="B11716" s="3192" t="s">
        <v>676</v>
      </c>
      <c r="C11716" s="3063"/>
      <c r="D11716" s="3064"/>
      <c r="E11716" s="3064"/>
      <c r="F11716" s="3064"/>
      <c r="G11716" s="3301" t="s">
        <v>676</v>
      </c>
      <c r="H11716" s="3063"/>
      <c r="I11716" s="3030"/>
    </row>
    <row r="11717" spans="2:9">
      <c r="B11717" s="3192" t="s">
        <v>677</v>
      </c>
      <c r="C11717" s="3063"/>
      <c r="D11717" s="3064"/>
      <c r="E11717" s="3064"/>
      <c r="F11717" s="3064"/>
      <c r="G11717" s="3301" t="s">
        <v>677</v>
      </c>
      <c r="H11717" s="3063"/>
      <c r="I11717" s="3030"/>
    </row>
    <row r="11718" spans="2:9">
      <c r="B11718" s="3192" t="s">
        <v>678</v>
      </c>
      <c r="C11718" s="3063"/>
      <c r="D11718" s="3064"/>
      <c r="E11718" s="3064"/>
      <c r="F11718" s="3064"/>
      <c r="G11718" s="3301" t="s">
        <v>678</v>
      </c>
      <c r="H11718" s="3063"/>
      <c r="I11718" s="3030"/>
    </row>
    <row r="11719" spans="2:9">
      <c r="B11719" s="3192" t="s">
        <v>679</v>
      </c>
      <c r="C11719" s="3063"/>
      <c r="D11719" s="3064"/>
      <c r="E11719" s="3064"/>
      <c r="F11719" s="3064"/>
      <c r="G11719" s="3301" t="s">
        <v>679</v>
      </c>
      <c r="H11719" s="3063"/>
      <c r="I11719" s="3030"/>
    </row>
    <row r="11720" spans="2:9" ht="25.5">
      <c r="B11720" s="3192" t="s">
        <v>720</v>
      </c>
      <c r="C11720" s="3063"/>
      <c r="D11720" s="3064"/>
      <c r="E11720" s="3064"/>
      <c r="F11720" s="3064"/>
      <c r="G11720" s="3301" t="s">
        <v>720</v>
      </c>
      <c r="H11720" s="3063"/>
      <c r="I11720" s="3030"/>
    </row>
    <row r="11721" spans="2:9">
      <c r="B11721" s="3299" t="s">
        <v>67</v>
      </c>
      <c r="C11721" s="3063"/>
      <c r="D11721" s="3064"/>
      <c r="E11721" s="3064"/>
      <c r="F11721" s="3064"/>
      <c r="G11721" s="3300" t="s">
        <v>67</v>
      </c>
      <c r="H11721" s="3063"/>
      <c r="I11721" s="3030"/>
    </row>
    <row r="11722" spans="2:9" ht="25.5">
      <c r="B11722" s="3192" t="s">
        <v>675</v>
      </c>
      <c r="C11722" s="3063"/>
      <c r="D11722" s="3064"/>
      <c r="E11722" s="3064"/>
      <c r="F11722" s="3064"/>
      <c r="G11722" s="3301" t="s">
        <v>675</v>
      </c>
      <c r="H11722" s="3063"/>
      <c r="I11722" s="3030"/>
    </row>
    <row r="11723" spans="2:9" ht="25.5">
      <c r="B11723" s="3192" t="s">
        <v>676</v>
      </c>
      <c r="C11723" s="3063"/>
      <c r="D11723" s="3064"/>
      <c r="E11723" s="3064"/>
      <c r="F11723" s="3064"/>
      <c r="G11723" s="3301" t="s">
        <v>676</v>
      </c>
      <c r="H11723" s="3063"/>
      <c r="I11723" s="3030"/>
    </row>
    <row r="11724" spans="2:9">
      <c r="B11724" s="3192" t="s">
        <v>677</v>
      </c>
      <c r="C11724" s="3063"/>
      <c r="D11724" s="3064"/>
      <c r="E11724" s="3064"/>
      <c r="F11724" s="3064"/>
      <c r="G11724" s="3301" t="s">
        <v>677</v>
      </c>
      <c r="H11724" s="3063"/>
      <c r="I11724" s="3030"/>
    </row>
    <row r="11725" spans="2:9">
      <c r="B11725" s="3192" t="s">
        <v>678</v>
      </c>
      <c r="C11725" s="3063"/>
      <c r="D11725" s="3064"/>
      <c r="E11725" s="3064"/>
      <c r="F11725" s="3064"/>
      <c r="G11725" s="3301" t="s">
        <v>678</v>
      </c>
      <c r="H11725" s="3063"/>
      <c r="I11725" s="3030"/>
    </row>
    <row r="11726" spans="2:9">
      <c r="B11726" s="3192" t="s">
        <v>679</v>
      </c>
      <c r="C11726" s="3063"/>
      <c r="D11726" s="3064"/>
      <c r="E11726" s="3064"/>
      <c r="F11726" s="3064"/>
      <c r="G11726" s="3301" t="s">
        <v>679</v>
      </c>
      <c r="H11726" s="3063"/>
      <c r="I11726" s="3030"/>
    </row>
    <row r="11727" spans="2:9" ht="25.5">
      <c r="B11727" s="3192" t="s">
        <v>720</v>
      </c>
      <c r="C11727" s="3063"/>
      <c r="D11727" s="3064"/>
      <c r="E11727" s="3064"/>
      <c r="F11727" s="3064"/>
      <c r="G11727" s="3301" t="s">
        <v>720</v>
      </c>
      <c r="H11727" s="3063"/>
      <c r="I11727" s="3030"/>
    </row>
    <row r="11728" spans="2:9" ht="25.5">
      <c r="B11728" s="3230" t="s">
        <v>81</v>
      </c>
      <c r="C11728" s="3063"/>
      <c r="D11728" s="3064"/>
      <c r="E11728" s="3064"/>
      <c r="F11728" s="3064"/>
      <c r="G11728" s="3302" t="s">
        <v>81</v>
      </c>
      <c r="H11728" s="3063"/>
      <c r="I11728" s="3030"/>
    </row>
    <row r="11729" spans="2:9" ht="26.25" thickBot="1">
      <c r="B11729" s="3303" t="s">
        <v>81</v>
      </c>
      <c r="C11729" s="3063"/>
      <c r="D11729" s="3064"/>
      <c r="E11729" s="3064"/>
      <c r="F11729" s="3064"/>
      <c r="G11729" s="3302" t="s">
        <v>81</v>
      </c>
      <c r="H11729" s="3063"/>
      <c r="I11729" s="3030"/>
    </row>
    <row r="11730" spans="2:9" ht="25.5">
      <c r="B11730" s="3217" t="s">
        <v>696</v>
      </c>
      <c r="C11730" s="3218"/>
      <c r="D11730" s="3219"/>
      <c r="E11730" s="3219"/>
      <c r="F11730" s="3219"/>
      <c r="G11730" s="3217" t="s">
        <v>696</v>
      </c>
      <c r="H11730" s="3297"/>
      <c r="I11730" s="3298"/>
    </row>
    <row r="11731" spans="2:9">
      <c r="B11731" s="3299" t="s">
        <v>64</v>
      </c>
      <c r="C11731" s="3063"/>
      <c r="D11731" s="3064"/>
      <c r="E11731" s="3064"/>
      <c r="F11731" s="3064"/>
      <c r="G11731" s="3300" t="s">
        <v>64</v>
      </c>
      <c r="H11731" s="3063"/>
      <c r="I11731" s="3030"/>
    </row>
    <row r="11732" spans="2:9" ht="25.5">
      <c r="B11732" s="3192" t="s">
        <v>675</v>
      </c>
      <c r="C11732" s="3063"/>
      <c r="D11732" s="3064"/>
      <c r="E11732" s="3064"/>
      <c r="F11732" s="3064"/>
      <c r="G11732" s="3301" t="s">
        <v>675</v>
      </c>
      <c r="H11732" s="3063"/>
      <c r="I11732" s="3030"/>
    </row>
    <row r="11733" spans="2:9" ht="25.5">
      <c r="B11733" s="3192" t="s">
        <v>676</v>
      </c>
      <c r="C11733" s="3063"/>
      <c r="D11733" s="3064"/>
      <c r="E11733" s="3064"/>
      <c r="F11733" s="3064"/>
      <c r="G11733" s="3301" t="s">
        <v>676</v>
      </c>
      <c r="H11733" s="3063"/>
      <c r="I11733" s="3030"/>
    </row>
    <row r="11734" spans="2:9">
      <c r="B11734" s="3192" t="s">
        <v>677</v>
      </c>
      <c r="C11734" s="3063"/>
      <c r="D11734" s="3064"/>
      <c r="E11734" s="3064"/>
      <c r="F11734" s="3064"/>
      <c r="G11734" s="3301" t="s">
        <v>677</v>
      </c>
      <c r="H11734" s="3063"/>
      <c r="I11734" s="3030"/>
    </row>
    <row r="11735" spans="2:9">
      <c r="B11735" s="3192" t="s">
        <v>678</v>
      </c>
      <c r="C11735" s="3063"/>
      <c r="D11735" s="3064"/>
      <c r="E11735" s="3064"/>
      <c r="F11735" s="3064"/>
      <c r="G11735" s="3301" t="s">
        <v>678</v>
      </c>
      <c r="H11735" s="3063"/>
      <c r="I11735" s="3030"/>
    </row>
    <row r="11736" spans="2:9">
      <c r="B11736" s="3192" t="s">
        <v>679</v>
      </c>
      <c r="C11736" s="3063"/>
      <c r="D11736" s="3064"/>
      <c r="E11736" s="3064"/>
      <c r="F11736" s="3064"/>
      <c r="G11736" s="3301" t="s">
        <v>679</v>
      </c>
      <c r="H11736" s="3063"/>
      <c r="I11736" s="3030"/>
    </row>
    <row r="11737" spans="2:9" ht="25.5">
      <c r="B11737" s="3192" t="s">
        <v>720</v>
      </c>
      <c r="C11737" s="3063"/>
      <c r="D11737" s="3064"/>
      <c r="E11737" s="3064"/>
      <c r="F11737" s="3064"/>
      <c r="G11737" s="3301" t="s">
        <v>720</v>
      </c>
      <c r="H11737" s="3063"/>
      <c r="I11737" s="3030"/>
    </row>
    <row r="11738" spans="2:9">
      <c r="B11738" s="3299" t="s">
        <v>65</v>
      </c>
      <c r="C11738" s="3063"/>
      <c r="D11738" s="3064"/>
      <c r="E11738" s="3064"/>
      <c r="F11738" s="3064"/>
      <c r="G11738" s="3300" t="s">
        <v>65</v>
      </c>
      <c r="H11738" s="3063"/>
      <c r="I11738" s="3030"/>
    </row>
    <row r="11739" spans="2:9" ht="25.5">
      <c r="B11739" s="3192" t="s">
        <v>675</v>
      </c>
      <c r="C11739" s="3063"/>
      <c r="D11739" s="3064"/>
      <c r="E11739" s="3064"/>
      <c r="F11739" s="3064"/>
      <c r="G11739" s="3301" t="s">
        <v>675</v>
      </c>
      <c r="H11739" s="3063"/>
      <c r="I11739" s="3030"/>
    </row>
    <row r="11740" spans="2:9" ht="25.5">
      <c r="B11740" s="3192" t="s">
        <v>676</v>
      </c>
      <c r="C11740" s="3063"/>
      <c r="D11740" s="3064"/>
      <c r="E11740" s="3064"/>
      <c r="F11740" s="3064"/>
      <c r="G11740" s="3301" t="s">
        <v>676</v>
      </c>
      <c r="H11740" s="3063"/>
      <c r="I11740" s="3030"/>
    </row>
    <row r="11741" spans="2:9">
      <c r="B11741" s="3192" t="s">
        <v>677</v>
      </c>
      <c r="C11741" s="3063"/>
      <c r="D11741" s="3064"/>
      <c r="E11741" s="3064"/>
      <c r="F11741" s="3064"/>
      <c r="G11741" s="3301" t="s">
        <v>677</v>
      </c>
      <c r="H11741" s="3063"/>
      <c r="I11741" s="3030"/>
    </row>
    <row r="11742" spans="2:9">
      <c r="B11742" s="3192" t="s">
        <v>678</v>
      </c>
      <c r="C11742" s="3063"/>
      <c r="D11742" s="3064"/>
      <c r="E11742" s="3064"/>
      <c r="F11742" s="3064"/>
      <c r="G11742" s="3301" t="s">
        <v>678</v>
      </c>
      <c r="H11742" s="3063"/>
      <c r="I11742" s="3030"/>
    </row>
    <row r="11743" spans="2:9">
      <c r="B11743" s="3192" t="s">
        <v>679</v>
      </c>
      <c r="C11743" s="3063"/>
      <c r="D11743" s="3064"/>
      <c r="E11743" s="3064"/>
      <c r="F11743" s="3064"/>
      <c r="G11743" s="3301" t="s">
        <v>679</v>
      </c>
      <c r="H11743" s="3063"/>
      <c r="I11743" s="3030"/>
    </row>
    <row r="11744" spans="2:9" ht="25.5">
      <c r="B11744" s="3192" t="s">
        <v>720</v>
      </c>
      <c r="C11744" s="3063"/>
      <c r="D11744" s="3064"/>
      <c r="E11744" s="3064"/>
      <c r="F11744" s="3064"/>
      <c r="G11744" s="3301" t="s">
        <v>720</v>
      </c>
      <c r="H11744" s="3063"/>
      <c r="I11744" s="3030"/>
    </row>
    <row r="11745" spans="2:9">
      <c r="B11745" s="3299" t="s">
        <v>82</v>
      </c>
      <c r="C11745" s="3063"/>
      <c r="D11745" s="3064"/>
      <c r="E11745" s="3064"/>
      <c r="F11745" s="3064"/>
      <c r="G11745" s="3300" t="s">
        <v>82</v>
      </c>
      <c r="H11745" s="3063"/>
      <c r="I11745" s="3030"/>
    </row>
    <row r="11746" spans="2:9" ht="25.5">
      <c r="B11746" s="3192" t="s">
        <v>675</v>
      </c>
      <c r="C11746" s="3063"/>
      <c r="D11746" s="3064"/>
      <c r="E11746" s="3064"/>
      <c r="F11746" s="3064"/>
      <c r="G11746" s="3301" t="s">
        <v>675</v>
      </c>
      <c r="H11746" s="3063"/>
      <c r="I11746" s="3030"/>
    </row>
    <row r="11747" spans="2:9" ht="25.5">
      <c r="B11747" s="3192" t="s">
        <v>676</v>
      </c>
      <c r="C11747" s="3063"/>
      <c r="D11747" s="3064"/>
      <c r="E11747" s="3064"/>
      <c r="F11747" s="3064"/>
      <c r="G11747" s="3301" t="s">
        <v>676</v>
      </c>
      <c r="H11747" s="3063"/>
      <c r="I11747" s="3030"/>
    </row>
    <row r="11748" spans="2:9">
      <c r="B11748" s="3192" t="s">
        <v>677</v>
      </c>
      <c r="C11748" s="3063"/>
      <c r="D11748" s="3064"/>
      <c r="E11748" s="3064"/>
      <c r="F11748" s="3064"/>
      <c r="G11748" s="3301" t="s">
        <v>677</v>
      </c>
      <c r="H11748" s="3063"/>
      <c r="I11748" s="3030"/>
    </row>
    <row r="11749" spans="2:9">
      <c r="B11749" s="3192" t="s">
        <v>678</v>
      </c>
      <c r="C11749" s="3063"/>
      <c r="D11749" s="3064"/>
      <c r="E11749" s="3064"/>
      <c r="F11749" s="3064"/>
      <c r="G11749" s="3301" t="s">
        <v>678</v>
      </c>
      <c r="H11749" s="3063"/>
      <c r="I11749" s="3030"/>
    </row>
    <row r="11750" spans="2:9">
      <c r="B11750" s="3192" t="s">
        <v>679</v>
      </c>
      <c r="C11750" s="3063"/>
      <c r="D11750" s="3064"/>
      <c r="E11750" s="3064"/>
      <c r="F11750" s="3064"/>
      <c r="G11750" s="3301" t="s">
        <v>679</v>
      </c>
      <c r="H11750" s="3063"/>
      <c r="I11750" s="3030"/>
    </row>
    <row r="11751" spans="2:9" ht="25.5">
      <c r="B11751" s="3192" t="s">
        <v>720</v>
      </c>
      <c r="C11751" s="3063"/>
      <c r="D11751" s="3064"/>
      <c r="E11751" s="3064"/>
      <c r="F11751" s="3064"/>
      <c r="G11751" s="3301" t="s">
        <v>720</v>
      </c>
      <c r="H11751" s="3063"/>
      <c r="I11751" s="3030"/>
    </row>
    <row r="11752" spans="2:9" ht="38.25">
      <c r="B11752" s="3299" t="s">
        <v>680</v>
      </c>
      <c r="C11752" s="3063"/>
      <c r="D11752" s="3064"/>
      <c r="E11752" s="3064"/>
      <c r="F11752" s="3064"/>
      <c r="G11752" s="3300" t="s">
        <v>680</v>
      </c>
      <c r="H11752" s="3063"/>
      <c r="I11752" s="3030"/>
    </row>
    <row r="11753" spans="2:9" ht="25.5">
      <c r="B11753" s="3192" t="s">
        <v>675</v>
      </c>
      <c r="C11753" s="3063"/>
      <c r="D11753" s="3064"/>
      <c r="E11753" s="3064"/>
      <c r="F11753" s="3064"/>
      <c r="G11753" s="3301" t="s">
        <v>675</v>
      </c>
      <c r="H11753" s="3063"/>
      <c r="I11753" s="3030"/>
    </row>
    <row r="11754" spans="2:9" ht="25.5">
      <c r="B11754" s="3192" t="s">
        <v>676</v>
      </c>
      <c r="C11754" s="3063"/>
      <c r="D11754" s="3064"/>
      <c r="E11754" s="3064"/>
      <c r="F11754" s="3064"/>
      <c r="G11754" s="3301" t="s">
        <v>676</v>
      </c>
      <c r="H11754" s="3063"/>
      <c r="I11754" s="3030"/>
    </row>
    <row r="11755" spans="2:9">
      <c r="B11755" s="3192" t="s">
        <v>677</v>
      </c>
      <c r="C11755" s="3063"/>
      <c r="D11755" s="3064"/>
      <c r="E11755" s="3064"/>
      <c r="F11755" s="3064"/>
      <c r="G11755" s="3301" t="s">
        <v>677</v>
      </c>
      <c r="H11755" s="3063"/>
      <c r="I11755" s="3030"/>
    </row>
    <row r="11756" spans="2:9">
      <c r="B11756" s="3192" t="s">
        <v>678</v>
      </c>
      <c r="C11756" s="3063"/>
      <c r="D11756" s="3064"/>
      <c r="E11756" s="3064"/>
      <c r="F11756" s="3064"/>
      <c r="G11756" s="3301" t="s">
        <v>678</v>
      </c>
      <c r="H11756" s="3063"/>
      <c r="I11756" s="3030"/>
    </row>
    <row r="11757" spans="2:9">
      <c r="B11757" s="3192" t="s">
        <v>679</v>
      </c>
      <c r="C11757" s="3063"/>
      <c r="D11757" s="3064"/>
      <c r="E11757" s="3064"/>
      <c r="F11757" s="3064"/>
      <c r="G11757" s="3301" t="s">
        <v>679</v>
      </c>
      <c r="H11757" s="3063"/>
      <c r="I11757" s="3030"/>
    </row>
    <row r="11758" spans="2:9" ht="25.5">
      <c r="B11758" s="3192" t="s">
        <v>720</v>
      </c>
      <c r="C11758" s="3063"/>
      <c r="D11758" s="3064"/>
      <c r="E11758" s="3064"/>
      <c r="F11758" s="3064"/>
      <c r="G11758" s="3301" t="s">
        <v>720</v>
      </c>
      <c r="H11758" s="3063"/>
      <c r="I11758" s="3030"/>
    </row>
    <row r="11759" spans="2:9" ht="38.25">
      <c r="B11759" s="3299" t="s">
        <v>681</v>
      </c>
      <c r="C11759" s="3063"/>
      <c r="D11759" s="3064"/>
      <c r="E11759" s="3064"/>
      <c r="F11759" s="3064"/>
      <c r="G11759" s="3300" t="s">
        <v>681</v>
      </c>
      <c r="H11759" s="3063"/>
      <c r="I11759" s="3030"/>
    </row>
    <row r="11760" spans="2:9" ht="25.5">
      <c r="B11760" s="3192" t="s">
        <v>675</v>
      </c>
      <c r="C11760" s="3063"/>
      <c r="D11760" s="3064"/>
      <c r="E11760" s="3064"/>
      <c r="F11760" s="3064"/>
      <c r="G11760" s="3301" t="s">
        <v>675</v>
      </c>
      <c r="H11760" s="3063"/>
      <c r="I11760" s="3030"/>
    </row>
    <row r="11761" spans="2:9" ht="25.5">
      <c r="B11761" s="3192" t="s">
        <v>676</v>
      </c>
      <c r="C11761" s="3063"/>
      <c r="D11761" s="3064"/>
      <c r="E11761" s="3064"/>
      <c r="F11761" s="3064"/>
      <c r="G11761" s="3301" t="s">
        <v>676</v>
      </c>
      <c r="H11761" s="3063"/>
      <c r="I11761" s="3030"/>
    </row>
    <row r="11762" spans="2:9">
      <c r="B11762" s="3192" t="s">
        <v>677</v>
      </c>
      <c r="C11762" s="3063"/>
      <c r="D11762" s="3064"/>
      <c r="E11762" s="3064"/>
      <c r="F11762" s="3064"/>
      <c r="G11762" s="3301" t="s">
        <v>677</v>
      </c>
      <c r="H11762" s="3063"/>
      <c r="I11762" s="3030"/>
    </row>
    <row r="11763" spans="2:9">
      <c r="B11763" s="3192" t="s">
        <v>678</v>
      </c>
      <c r="C11763" s="3063"/>
      <c r="D11763" s="3064"/>
      <c r="E11763" s="3064"/>
      <c r="F11763" s="3064"/>
      <c r="G11763" s="3301" t="s">
        <v>678</v>
      </c>
      <c r="H11763" s="3063"/>
      <c r="I11763" s="3030"/>
    </row>
    <row r="11764" spans="2:9">
      <c r="B11764" s="3192" t="s">
        <v>679</v>
      </c>
      <c r="C11764" s="3063"/>
      <c r="D11764" s="3064"/>
      <c r="E11764" s="3064"/>
      <c r="F11764" s="3064"/>
      <c r="G11764" s="3301" t="s">
        <v>679</v>
      </c>
      <c r="H11764" s="3063"/>
      <c r="I11764" s="3030"/>
    </row>
    <row r="11765" spans="2:9" ht="25.5">
      <c r="B11765" s="3192" t="s">
        <v>720</v>
      </c>
      <c r="C11765" s="3063"/>
      <c r="D11765" s="3064"/>
      <c r="E11765" s="3064"/>
      <c r="F11765" s="3064"/>
      <c r="G11765" s="3301" t="s">
        <v>720</v>
      </c>
      <c r="H11765" s="3063"/>
      <c r="I11765" s="3030"/>
    </row>
    <row r="11766" spans="2:9" ht="25.5">
      <c r="B11766" s="3299" t="s">
        <v>682</v>
      </c>
      <c r="C11766" s="3063"/>
      <c r="D11766" s="3064"/>
      <c r="E11766" s="3064"/>
      <c r="F11766" s="3064"/>
      <c r="G11766" s="3300" t="s">
        <v>682</v>
      </c>
      <c r="H11766" s="3063"/>
      <c r="I11766" s="3030"/>
    </row>
    <row r="11767" spans="2:9" ht="25.5">
      <c r="B11767" s="3192" t="s">
        <v>675</v>
      </c>
      <c r="C11767" s="3063"/>
      <c r="D11767" s="3064"/>
      <c r="E11767" s="3064"/>
      <c r="F11767" s="3064"/>
      <c r="G11767" s="3301" t="s">
        <v>675</v>
      </c>
      <c r="H11767" s="3063"/>
      <c r="I11767" s="3030"/>
    </row>
    <row r="11768" spans="2:9" ht="25.5">
      <c r="B11768" s="3192" t="s">
        <v>676</v>
      </c>
      <c r="C11768" s="3063"/>
      <c r="D11768" s="3064"/>
      <c r="E11768" s="3064"/>
      <c r="F11768" s="3064"/>
      <c r="G11768" s="3301" t="s">
        <v>676</v>
      </c>
      <c r="H11768" s="3063"/>
      <c r="I11768" s="3030"/>
    </row>
    <row r="11769" spans="2:9">
      <c r="B11769" s="3192" t="s">
        <v>677</v>
      </c>
      <c r="C11769" s="3063"/>
      <c r="D11769" s="3064"/>
      <c r="E11769" s="3064"/>
      <c r="F11769" s="3064"/>
      <c r="G11769" s="3301" t="s">
        <v>677</v>
      </c>
      <c r="H11769" s="3063"/>
      <c r="I11769" s="3030"/>
    </row>
    <row r="11770" spans="2:9">
      <c r="B11770" s="3192" t="s">
        <v>678</v>
      </c>
      <c r="C11770" s="3063"/>
      <c r="D11770" s="3064"/>
      <c r="E11770" s="3064"/>
      <c r="F11770" s="3064"/>
      <c r="G11770" s="3301" t="s">
        <v>678</v>
      </c>
      <c r="H11770" s="3063"/>
      <c r="I11770" s="3030"/>
    </row>
    <row r="11771" spans="2:9">
      <c r="B11771" s="3192" t="s">
        <v>679</v>
      </c>
      <c r="C11771" s="3063"/>
      <c r="D11771" s="3064"/>
      <c r="E11771" s="3064"/>
      <c r="F11771" s="3064"/>
      <c r="G11771" s="3301" t="s">
        <v>679</v>
      </c>
      <c r="H11771" s="3063"/>
      <c r="I11771" s="3030"/>
    </row>
    <row r="11772" spans="2:9" ht="25.5">
      <c r="B11772" s="3192" t="s">
        <v>720</v>
      </c>
      <c r="C11772" s="3063"/>
      <c r="D11772" s="3064"/>
      <c r="E11772" s="3064"/>
      <c r="F11772" s="3064"/>
      <c r="G11772" s="3301" t="s">
        <v>720</v>
      </c>
      <c r="H11772" s="3063"/>
      <c r="I11772" s="3030"/>
    </row>
    <row r="11773" spans="2:9" ht="25.5">
      <c r="B11773" s="3299" t="s">
        <v>66</v>
      </c>
      <c r="C11773" s="3063"/>
      <c r="D11773" s="3064"/>
      <c r="E11773" s="3064"/>
      <c r="F11773" s="3064"/>
      <c r="G11773" s="3300" t="s">
        <v>66</v>
      </c>
      <c r="H11773" s="3063"/>
      <c r="I11773" s="3030"/>
    </row>
    <row r="11774" spans="2:9" ht="25.5">
      <c r="B11774" s="3192" t="s">
        <v>675</v>
      </c>
      <c r="C11774" s="3063"/>
      <c r="D11774" s="3064"/>
      <c r="E11774" s="3064"/>
      <c r="F11774" s="3064"/>
      <c r="G11774" s="3301" t="s">
        <v>675</v>
      </c>
      <c r="H11774" s="3063"/>
      <c r="I11774" s="3030"/>
    </row>
    <row r="11775" spans="2:9" ht="25.5">
      <c r="B11775" s="3192" t="s">
        <v>676</v>
      </c>
      <c r="C11775" s="3063"/>
      <c r="D11775" s="3064"/>
      <c r="E11775" s="3064"/>
      <c r="F11775" s="3064"/>
      <c r="G11775" s="3301" t="s">
        <v>676</v>
      </c>
      <c r="H11775" s="3063"/>
      <c r="I11775" s="3030"/>
    </row>
    <row r="11776" spans="2:9">
      <c r="B11776" s="3192" t="s">
        <v>677</v>
      </c>
      <c r="C11776" s="3063"/>
      <c r="D11776" s="3064"/>
      <c r="E11776" s="3064"/>
      <c r="F11776" s="3064"/>
      <c r="G11776" s="3301" t="s">
        <v>677</v>
      </c>
      <c r="H11776" s="3063"/>
      <c r="I11776" s="3030"/>
    </row>
    <row r="11777" spans="2:9">
      <c r="B11777" s="3192" t="s">
        <v>678</v>
      </c>
      <c r="C11777" s="3063"/>
      <c r="D11777" s="3064"/>
      <c r="E11777" s="3064"/>
      <c r="F11777" s="3064"/>
      <c r="G11777" s="3301" t="s">
        <v>678</v>
      </c>
      <c r="H11777" s="3063"/>
      <c r="I11777" s="3030"/>
    </row>
    <row r="11778" spans="2:9">
      <c r="B11778" s="3192" t="s">
        <v>679</v>
      </c>
      <c r="C11778" s="3063"/>
      <c r="D11778" s="3064"/>
      <c r="E11778" s="3064"/>
      <c r="F11778" s="3064"/>
      <c r="G11778" s="3301" t="s">
        <v>679</v>
      </c>
      <c r="H11778" s="3063"/>
      <c r="I11778" s="3030"/>
    </row>
    <row r="11779" spans="2:9" ht="25.5">
      <c r="B11779" s="3192" t="s">
        <v>720</v>
      </c>
      <c r="C11779" s="3063"/>
      <c r="D11779" s="3064"/>
      <c r="E11779" s="3064"/>
      <c r="F11779" s="3064"/>
      <c r="G11779" s="3301" t="s">
        <v>720</v>
      </c>
      <c r="H11779" s="3063"/>
      <c r="I11779" s="3030"/>
    </row>
    <row r="11780" spans="2:9">
      <c r="B11780" s="3299" t="s">
        <v>67</v>
      </c>
      <c r="C11780" s="3063"/>
      <c r="D11780" s="3064"/>
      <c r="E11780" s="3064"/>
      <c r="F11780" s="3064"/>
      <c r="G11780" s="3300" t="s">
        <v>67</v>
      </c>
      <c r="H11780" s="3063"/>
      <c r="I11780" s="3030"/>
    </row>
    <row r="11781" spans="2:9" ht="25.5">
      <c r="B11781" s="3192" t="s">
        <v>675</v>
      </c>
      <c r="C11781" s="3063"/>
      <c r="D11781" s="3064"/>
      <c r="E11781" s="3064"/>
      <c r="F11781" s="3064"/>
      <c r="G11781" s="3301" t="s">
        <v>675</v>
      </c>
      <c r="H11781" s="3063"/>
      <c r="I11781" s="3030"/>
    </row>
    <row r="11782" spans="2:9" ht="25.5">
      <c r="B11782" s="3192" t="s">
        <v>676</v>
      </c>
      <c r="C11782" s="3063"/>
      <c r="D11782" s="3064"/>
      <c r="E11782" s="3064"/>
      <c r="F11782" s="3064"/>
      <c r="G11782" s="3301" t="s">
        <v>676</v>
      </c>
      <c r="H11782" s="3063"/>
      <c r="I11782" s="3030"/>
    </row>
    <row r="11783" spans="2:9">
      <c r="B11783" s="3192" t="s">
        <v>677</v>
      </c>
      <c r="C11783" s="3063"/>
      <c r="D11783" s="3064"/>
      <c r="E11783" s="3064"/>
      <c r="F11783" s="3064"/>
      <c r="G11783" s="3301" t="s">
        <v>677</v>
      </c>
      <c r="H11783" s="3063"/>
      <c r="I11783" s="3030"/>
    </row>
    <row r="11784" spans="2:9">
      <c r="B11784" s="3192" t="s">
        <v>678</v>
      </c>
      <c r="C11784" s="3063"/>
      <c r="D11784" s="3064"/>
      <c r="E11784" s="3064"/>
      <c r="F11784" s="3064"/>
      <c r="G11784" s="3301" t="s">
        <v>678</v>
      </c>
      <c r="H11784" s="3063"/>
      <c r="I11784" s="3030"/>
    </row>
    <row r="11785" spans="2:9">
      <c r="B11785" s="3192" t="s">
        <v>679</v>
      </c>
      <c r="C11785" s="3063"/>
      <c r="D11785" s="3064"/>
      <c r="E11785" s="3064"/>
      <c r="F11785" s="3064"/>
      <c r="G11785" s="3301" t="s">
        <v>679</v>
      </c>
      <c r="H11785" s="3063"/>
      <c r="I11785" s="3030"/>
    </row>
    <row r="11786" spans="2:9" ht="25.5">
      <c r="B11786" s="3230" t="s">
        <v>81</v>
      </c>
      <c r="C11786" s="3063"/>
      <c r="D11786" s="3064"/>
      <c r="E11786" s="3064"/>
      <c r="F11786" s="3064"/>
      <c r="G11786" s="3302" t="s">
        <v>81</v>
      </c>
      <c r="H11786" s="3063"/>
      <c r="I11786" s="3030"/>
    </row>
    <row r="11787" spans="2:9" ht="26.25" thickBot="1">
      <c r="B11787" s="3303" t="s">
        <v>81</v>
      </c>
      <c r="C11787" s="3063"/>
      <c r="D11787" s="3064"/>
      <c r="E11787" s="3064"/>
      <c r="F11787" s="3064"/>
      <c r="G11787" s="3302" t="s">
        <v>81</v>
      </c>
      <c r="H11787" s="3063"/>
      <c r="I11787" s="3030"/>
    </row>
    <row r="11788" spans="2:9">
      <c r="B11788" s="3217" t="s">
        <v>697</v>
      </c>
      <c r="C11788" s="3218"/>
      <c r="D11788" s="3219"/>
      <c r="E11788" s="3219"/>
      <c r="F11788" s="3219"/>
      <c r="G11788" s="3217" t="s">
        <v>697</v>
      </c>
      <c r="H11788" s="3297"/>
      <c r="I11788" s="3298"/>
    </row>
    <row r="11789" spans="2:9">
      <c r="B11789" s="3299" t="s">
        <v>64</v>
      </c>
      <c r="C11789" s="3063"/>
      <c r="D11789" s="3064"/>
      <c r="E11789" s="3064"/>
      <c r="F11789" s="3064"/>
      <c r="G11789" s="3300" t="s">
        <v>64</v>
      </c>
      <c r="H11789" s="3063"/>
      <c r="I11789" s="3030"/>
    </row>
    <row r="11790" spans="2:9" ht="25.5">
      <c r="B11790" s="3192" t="s">
        <v>675</v>
      </c>
      <c r="C11790" s="3063"/>
      <c r="D11790" s="3064"/>
      <c r="E11790" s="3064"/>
      <c r="F11790" s="3064"/>
      <c r="G11790" s="3301" t="s">
        <v>675</v>
      </c>
      <c r="H11790" s="3063"/>
      <c r="I11790" s="3030"/>
    </row>
    <row r="11791" spans="2:9" ht="25.5">
      <c r="B11791" s="3192" t="s">
        <v>676</v>
      </c>
      <c r="C11791" s="3063"/>
      <c r="D11791" s="3064"/>
      <c r="E11791" s="3064"/>
      <c r="F11791" s="3064"/>
      <c r="G11791" s="3301" t="s">
        <v>676</v>
      </c>
      <c r="H11791" s="3063"/>
      <c r="I11791" s="3030"/>
    </row>
    <row r="11792" spans="2:9">
      <c r="B11792" s="3192" t="s">
        <v>677</v>
      </c>
      <c r="C11792" s="3063"/>
      <c r="D11792" s="3064"/>
      <c r="E11792" s="3064"/>
      <c r="F11792" s="3064"/>
      <c r="G11792" s="3301" t="s">
        <v>677</v>
      </c>
      <c r="H11792" s="3063"/>
      <c r="I11792" s="3030"/>
    </row>
    <row r="11793" spans="2:9">
      <c r="B11793" s="3192" t="s">
        <v>678</v>
      </c>
      <c r="C11793" s="3063"/>
      <c r="D11793" s="3064"/>
      <c r="E11793" s="3064"/>
      <c r="F11793" s="3064"/>
      <c r="G11793" s="3301" t="s">
        <v>678</v>
      </c>
      <c r="H11793" s="3063"/>
      <c r="I11793" s="3030"/>
    </row>
    <row r="11794" spans="2:9">
      <c r="B11794" s="3192" t="s">
        <v>679</v>
      </c>
      <c r="C11794" s="3063"/>
      <c r="D11794" s="3064"/>
      <c r="E11794" s="3064"/>
      <c r="F11794" s="3064"/>
      <c r="G11794" s="3301" t="s">
        <v>679</v>
      </c>
      <c r="H11794" s="3063"/>
      <c r="I11794" s="3030"/>
    </row>
    <row r="11795" spans="2:9" ht="25.5">
      <c r="B11795" s="3192" t="s">
        <v>720</v>
      </c>
      <c r="C11795" s="3063"/>
      <c r="D11795" s="3064"/>
      <c r="E11795" s="3064"/>
      <c r="F11795" s="3064"/>
      <c r="G11795" s="3301" t="s">
        <v>720</v>
      </c>
      <c r="H11795" s="3063"/>
      <c r="I11795" s="3030"/>
    </row>
    <row r="11796" spans="2:9">
      <c r="B11796" s="3299" t="s">
        <v>65</v>
      </c>
      <c r="C11796" s="3063"/>
      <c r="D11796" s="3064"/>
      <c r="E11796" s="3064"/>
      <c r="F11796" s="3064"/>
      <c r="G11796" s="3300" t="s">
        <v>65</v>
      </c>
      <c r="H11796" s="3063"/>
      <c r="I11796" s="3030"/>
    </row>
    <row r="11797" spans="2:9" ht="25.5">
      <c r="B11797" s="3192" t="s">
        <v>675</v>
      </c>
      <c r="C11797" s="3063"/>
      <c r="D11797" s="3064"/>
      <c r="E11797" s="3064"/>
      <c r="F11797" s="3064"/>
      <c r="G11797" s="3301" t="s">
        <v>675</v>
      </c>
      <c r="H11797" s="3063"/>
      <c r="I11797" s="3030"/>
    </row>
    <row r="11798" spans="2:9" ht="25.5">
      <c r="B11798" s="3192" t="s">
        <v>676</v>
      </c>
      <c r="C11798" s="3063"/>
      <c r="D11798" s="3064"/>
      <c r="E11798" s="3064"/>
      <c r="F11798" s="3064"/>
      <c r="G11798" s="3301" t="s">
        <v>676</v>
      </c>
      <c r="H11798" s="3063"/>
      <c r="I11798" s="3030"/>
    </row>
    <row r="11799" spans="2:9">
      <c r="B11799" s="3192" t="s">
        <v>677</v>
      </c>
      <c r="C11799" s="3063"/>
      <c r="D11799" s="3064"/>
      <c r="E11799" s="3064"/>
      <c r="F11799" s="3064"/>
      <c r="G11799" s="3301" t="s">
        <v>677</v>
      </c>
      <c r="H11799" s="3063"/>
      <c r="I11799" s="3030"/>
    </row>
    <row r="11800" spans="2:9">
      <c r="B11800" s="3192" t="s">
        <v>678</v>
      </c>
      <c r="C11800" s="3063"/>
      <c r="D11800" s="3064"/>
      <c r="E11800" s="3064"/>
      <c r="F11800" s="3064"/>
      <c r="G11800" s="3301" t="s">
        <v>678</v>
      </c>
      <c r="H11800" s="3063"/>
      <c r="I11800" s="3030"/>
    </row>
    <row r="11801" spans="2:9">
      <c r="B11801" s="3192" t="s">
        <v>679</v>
      </c>
      <c r="C11801" s="3063"/>
      <c r="D11801" s="3064"/>
      <c r="E11801" s="3064"/>
      <c r="F11801" s="3064"/>
      <c r="G11801" s="3301" t="s">
        <v>679</v>
      </c>
      <c r="H11801" s="3063"/>
      <c r="I11801" s="3030"/>
    </row>
    <row r="11802" spans="2:9" ht="25.5">
      <c r="B11802" s="3192" t="s">
        <v>720</v>
      </c>
      <c r="C11802" s="3063"/>
      <c r="D11802" s="3064"/>
      <c r="E11802" s="3064"/>
      <c r="F11802" s="3064"/>
      <c r="G11802" s="3301" t="s">
        <v>720</v>
      </c>
      <c r="H11802" s="3063"/>
      <c r="I11802" s="3030"/>
    </row>
    <row r="11803" spans="2:9">
      <c r="B11803" s="3299" t="s">
        <v>82</v>
      </c>
      <c r="C11803" s="3063"/>
      <c r="D11803" s="3064"/>
      <c r="E11803" s="3064"/>
      <c r="F11803" s="3064"/>
      <c r="G11803" s="3300" t="s">
        <v>82</v>
      </c>
      <c r="H11803" s="3063"/>
      <c r="I11803" s="3030"/>
    </row>
    <row r="11804" spans="2:9" ht="25.5">
      <c r="B11804" s="3192" t="s">
        <v>675</v>
      </c>
      <c r="C11804" s="3063"/>
      <c r="D11804" s="3064"/>
      <c r="E11804" s="3064"/>
      <c r="F11804" s="3064"/>
      <c r="G11804" s="3301" t="s">
        <v>675</v>
      </c>
      <c r="H11804" s="3063"/>
      <c r="I11804" s="3030"/>
    </row>
    <row r="11805" spans="2:9" ht="25.5">
      <c r="B11805" s="3192" t="s">
        <v>676</v>
      </c>
      <c r="C11805" s="3063"/>
      <c r="D11805" s="3064"/>
      <c r="E11805" s="3064"/>
      <c r="F11805" s="3064"/>
      <c r="G11805" s="3301" t="s">
        <v>676</v>
      </c>
      <c r="H11805" s="3063"/>
      <c r="I11805" s="3030"/>
    </row>
    <row r="11806" spans="2:9">
      <c r="B11806" s="3192" t="s">
        <v>677</v>
      </c>
      <c r="C11806" s="3063"/>
      <c r="D11806" s="3064"/>
      <c r="E11806" s="3064"/>
      <c r="F11806" s="3064"/>
      <c r="G11806" s="3301" t="s">
        <v>677</v>
      </c>
      <c r="H11806" s="3063"/>
      <c r="I11806" s="3030"/>
    </row>
    <row r="11807" spans="2:9">
      <c r="B11807" s="3192" t="s">
        <v>678</v>
      </c>
      <c r="C11807" s="3063"/>
      <c r="D11807" s="3064"/>
      <c r="E11807" s="3064"/>
      <c r="F11807" s="3064"/>
      <c r="G11807" s="3301" t="s">
        <v>678</v>
      </c>
      <c r="H11807" s="3063"/>
      <c r="I11807" s="3030"/>
    </row>
    <row r="11808" spans="2:9">
      <c r="B11808" s="3192" t="s">
        <v>679</v>
      </c>
      <c r="C11808" s="3063"/>
      <c r="D11808" s="3064"/>
      <c r="E11808" s="3064"/>
      <c r="F11808" s="3064"/>
      <c r="G11808" s="3301" t="s">
        <v>679</v>
      </c>
      <c r="H11808" s="3063"/>
      <c r="I11808" s="3030"/>
    </row>
    <row r="11809" spans="2:9" ht="25.5">
      <c r="B11809" s="3192" t="s">
        <v>720</v>
      </c>
      <c r="C11809" s="3063"/>
      <c r="D11809" s="3064"/>
      <c r="E11809" s="3064"/>
      <c r="F11809" s="3064"/>
      <c r="G11809" s="3301" t="s">
        <v>720</v>
      </c>
      <c r="H11809" s="3063"/>
      <c r="I11809" s="3030"/>
    </row>
    <row r="11810" spans="2:9" ht="38.25">
      <c r="B11810" s="3299" t="s">
        <v>680</v>
      </c>
      <c r="C11810" s="3063"/>
      <c r="D11810" s="3064"/>
      <c r="E11810" s="3064"/>
      <c r="F11810" s="3064"/>
      <c r="G11810" s="3300" t="s">
        <v>680</v>
      </c>
      <c r="H11810" s="3063"/>
      <c r="I11810" s="3030"/>
    </row>
    <row r="11811" spans="2:9" ht="25.5">
      <c r="B11811" s="3192" t="s">
        <v>675</v>
      </c>
      <c r="C11811" s="3063"/>
      <c r="D11811" s="3064"/>
      <c r="E11811" s="3064"/>
      <c r="F11811" s="3064"/>
      <c r="G11811" s="3301" t="s">
        <v>675</v>
      </c>
      <c r="H11811" s="3063"/>
      <c r="I11811" s="3030"/>
    </row>
    <row r="11812" spans="2:9" ht="25.5">
      <c r="B11812" s="3192" t="s">
        <v>676</v>
      </c>
      <c r="C11812" s="3063"/>
      <c r="D11812" s="3064"/>
      <c r="E11812" s="3064"/>
      <c r="F11812" s="3064"/>
      <c r="G11812" s="3301" t="s">
        <v>676</v>
      </c>
      <c r="H11812" s="3063"/>
      <c r="I11812" s="3030"/>
    </row>
    <row r="11813" spans="2:9">
      <c r="B11813" s="3192" t="s">
        <v>677</v>
      </c>
      <c r="C11813" s="3063"/>
      <c r="D11813" s="3064"/>
      <c r="E11813" s="3064"/>
      <c r="F11813" s="3064"/>
      <c r="G11813" s="3301" t="s">
        <v>677</v>
      </c>
      <c r="H11813" s="3063"/>
      <c r="I11813" s="3030"/>
    </row>
    <row r="11814" spans="2:9">
      <c r="B11814" s="3192" t="s">
        <v>678</v>
      </c>
      <c r="C11814" s="3063"/>
      <c r="D11814" s="3064"/>
      <c r="E11814" s="3064"/>
      <c r="F11814" s="3064"/>
      <c r="G11814" s="3301" t="s">
        <v>678</v>
      </c>
      <c r="H11814" s="3063"/>
      <c r="I11814" s="3030"/>
    </row>
    <row r="11815" spans="2:9">
      <c r="B11815" s="3192" t="s">
        <v>679</v>
      </c>
      <c r="C11815" s="3063"/>
      <c r="D11815" s="3064"/>
      <c r="E11815" s="3064"/>
      <c r="F11815" s="3064"/>
      <c r="G11815" s="3301" t="s">
        <v>679</v>
      </c>
      <c r="H11815" s="3063"/>
      <c r="I11815" s="3030"/>
    </row>
    <row r="11816" spans="2:9" ht="25.5">
      <c r="B11816" s="3192" t="s">
        <v>720</v>
      </c>
      <c r="C11816" s="3063"/>
      <c r="D11816" s="3064"/>
      <c r="E11816" s="3064"/>
      <c r="F11816" s="3064"/>
      <c r="G11816" s="3301" t="s">
        <v>720</v>
      </c>
      <c r="H11816" s="3063"/>
      <c r="I11816" s="3030"/>
    </row>
    <row r="11817" spans="2:9" ht="38.25">
      <c r="B11817" s="3299" t="s">
        <v>681</v>
      </c>
      <c r="C11817" s="3063"/>
      <c r="D11817" s="3064"/>
      <c r="E11817" s="3064"/>
      <c r="F11817" s="3064"/>
      <c r="G11817" s="3300" t="s">
        <v>681</v>
      </c>
      <c r="H11817" s="3063">
        <v>1.0776133020586009E-2</v>
      </c>
      <c r="I11817" s="3030"/>
    </row>
    <row r="11818" spans="2:9" ht="25.5">
      <c r="B11818" s="3192" t="s">
        <v>675</v>
      </c>
      <c r="C11818" s="3063"/>
      <c r="D11818" s="3064"/>
      <c r="E11818" s="3064"/>
      <c r="F11818" s="3064"/>
      <c r="G11818" s="3301" t="s">
        <v>675</v>
      </c>
      <c r="H11818" s="3063"/>
      <c r="I11818" s="3030"/>
    </row>
    <row r="11819" spans="2:9" ht="25.5">
      <c r="B11819" s="3192" t="s">
        <v>676</v>
      </c>
      <c r="C11819" s="3063"/>
      <c r="D11819" s="3064"/>
      <c r="E11819" s="3064"/>
      <c r="F11819" s="3064"/>
      <c r="G11819" s="3301" t="s">
        <v>676</v>
      </c>
      <c r="H11819" s="3063"/>
      <c r="I11819" s="3030"/>
    </row>
    <row r="11820" spans="2:9">
      <c r="B11820" s="3192" t="s">
        <v>677</v>
      </c>
      <c r="C11820" s="3063"/>
      <c r="D11820" s="3064"/>
      <c r="E11820" s="3064"/>
      <c r="F11820" s="3064"/>
      <c r="G11820" s="3301" t="s">
        <v>677</v>
      </c>
      <c r="H11820" s="3063"/>
      <c r="I11820" s="3030"/>
    </row>
    <row r="11821" spans="2:9">
      <c r="B11821" s="3192" t="s">
        <v>678</v>
      </c>
      <c r="C11821" s="3063"/>
      <c r="D11821" s="3064"/>
      <c r="E11821" s="3064"/>
      <c r="F11821" s="3064"/>
      <c r="G11821" s="3301" t="s">
        <v>678</v>
      </c>
      <c r="H11821" s="3063"/>
      <c r="I11821" s="3030"/>
    </row>
    <row r="11822" spans="2:9">
      <c r="B11822" s="3192" t="s">
        <v>679</v>
      </c>
      <c r="C11822" s="3063"/>
      <c r="D11822" s="3064">
        <v>1</v>
      </c>
      <c r="E11822" s="3064"/>
      <c r="F11822" s="3064"/>
      <c r="G11822" s="3301" t="s">
        <v>679</v>
      </c>
      <c r="H11822" s="3063"/>
      <c r="I11822" s="3030"/>
    </row>
    <row r="11823" spans="2:9" ht="25.5">
      <c r="B11823" s="3192" t="s">
        <v>720</v>
      </c>
      <c r="C11823" s="3063"/>
      <c r="D11823" s="3064"/>
      <c r="E11823" s="3064"/>
      <c r="F11823" s="3064"/>
      <c r="G11823" s="3301" t="s">
        <v>720</v>
      </c>
      <c r="H11823" s="3063"/>
      <c r="I11823" s="3030"/>
    </row>
    <row r="11824" spans="2:9" ht="25.5">
      <c r="B11824" s="3299" t="s">
        <v>682</v>
      </c>
      <c r="C11824" s="3063"/>
      <c r="D11824" s="3064"/>
      <c r="E11824" s="3064"/>
      <c r="F11824" s="3064"/>
      <c r="G11824" s="3300" t="s">
        <v>682</v>
      </c>
      <c r="H11824" s="3063"/>
      <c r="I11824" s="3030"/>
    </row>
    <row r="11825" spans="2:9" ht="25.5">
      <c r="B11825" s="3192" t="s">
        <v>675</v>
      </c>
      <c r="C11825" s="3063"/>
      <c r="D11825" s="3064"/>
      <c r="E11825" s="3064"/>
      <c r="F11825" s="3064"/>
      <c r="G11825" s="3301" t="s">
        <v>675</v>
      </c>
      <c r="H11825" s="3063"/>
      <c r="I11825" s="3030"/>
    </row>
    <row r="11826" spans="2:9" ht="25.5">
      <c r="B11826" s="3192" t="s">
        <v>676</v>
      </c>
      <c r="C11826" s="3063"/>
      <c r="D11826" s="3064"/>
      <c r="E11826" s="3064"/>
      <c r="F11826" s="3064"/>
      <c r="G11826" s="3301" t="s">
        <v>676</v>
      </c>
      <c r="H11826" s="3063"/>
      <c r="I11826" s="3030"/>
    </row>
    <row r="11827" spans="2:9">
      <c r="B11827" s="3192" t="s">
        <v>677</v>
      </c>
      <c r="C11827" s="3063"/>
      <c r="D11827" s="3064"/>
      <c r="E11827" s="3064"/>
      <c r="F11827" s="3064"/>
      <c r="G11827" s="3301" t="s">
        <v>677</v>
      </c>
      <c r="H11827" s="3063"/>
      <c r="I11827" s="3030"/>
    </row>
    <row r="11828" spans="2:9">
      <c r="B11828" s="3192" t="s">
        <v>678</v>
      </c>
      <c r="C11828" s="3063"/>
      <c r="D11828" s="3064"/>
      <c r="E11828" s="3064"/>
      <c r="F11828" s="3064"/>
      <c r="G11828" s="3301" t="s">
        <v>678</v>
      </c>
      <c r="H11828" s="3063"/>
      <c r="I11828" s="3030"/>
    </row>
    <row r="11829" spans="2:9">
      <c r="B11829" s="3192" t="s">
        <v>679</v>
      </c>
      <c r="C11829" s="3063"/>
      <c r="D11829" s="3064"/>
      <c r="E11829" s="3064"/>
      <c r="F11829" s="3064"/>
      <c r="G11829" s="3301" t="s">
        <v>679</v>
      </c>
      <c r="H11829" s="3063"/>
      <c r="I11829" s="3030"/>
    </row>
    <row r="11830" spans="2:9" ht="25.5">
      <c r="B11830" s="3192" t="s">
        <v>720</v>
      </c>
      <c r="C11830" s="3063"/>
      <c r="D11830" s="3064"/>
      <c r="E11830" s="3064"/>
      <c r="F11830" s="3064"/>
      <c r="G11830" s="3301" t="s">
        <v>720</v>
      </c>
      <c r="H11830" s="3063"/>
      <c r="I11830" s="3030"/>
    </row>
    <row r="11831" spans="2:9" ht="25.5">
      <c r="B11831" s="3299" t="s">
        <v>66</v>
      </c>
      <c r="C11831" s="3063"/>
      <c r="D11831" s="3064"/>
      <c r="E11831" s="3064"/>
      <c r="F11831" s="3064"/>
      <c r="G11831" s="3300" t="s">
        <v>66</v>
      </c>
      <c r="H11831" s="3063"/>
      <c r="I11831" s="3030"/>
    </row>
    <row r="11832" spans="2:9" ht="25.5">
      <c r="B11832" s="3192" t="s">
        <v>675</v>
      </c>
      <c r="C11832" s="3063"/>
      <c r="D11832" s="3064"/>
      <c r="E11832" s="3064"/>
      <c r="F11832" s="3064"/>
      <c r="G11832" s="3301" t="s">
        <v>675</v>
      </c>
      <c r="H11832" s="3063"/>
      <c r="I11832" s="3030"/>
    </row>
    <row r="11833" spans="2:9" ht="25.5">
      <c r="B11833" s="3192" t="s">
        <v>676</v>
      </c>
      <c r="C11833" s="3063"/>
      <c r="D11833" s="3064"/>
      <c r="E11833" s="3064"/>
      <c r="F11833" s="3064"/>
      <c r="G11833" s="3301" t="s">
        <v>676</v>
      </c>
      <c r="H11833" s="3063"/>
      <c r="I11833" s="3030"/>
    </row>
    <row r="11834" spans="2:9">
      <c r="B11834" s="3192" t="s">
        <v>677</v>
      </c>
      <c r="C11834" s="3063"/>
      <c r="D11834" s="3064"/>
      <c r="E11834" s="3064"/>
      <c r="F11834" s="3064"/>
      <c r="G11834" s="3301" t="s">
        <v>677</v>
      </c>
      <c r="H11834" s="3063"/>
      <c r="I11834" s="3030"/>
    </row>
    <row r="11835" spans="2:9">
      <c r="B11835" s="3192" t="s">
        <v>678</v>
      </c>
      <c r="C11835" s="3063"/>
      <c r="D11835" s="3064"/>
      <c r="E11835" s="3064"/>
      <c r="F11835" s="3064"/>
      <c r="G11835" s="3301" t="s">
        <v>678</v>
      </c>
      <c r="H11835" s="3063"/>
      <c r="I11835" s="3030"/>
    </row>
    <row r="11836" spans="2:9">
      <c r="B11836" s="3192" t="s">
        <v>679</v>
      </c>
      <c r="C11836" s="3063"/>
      <c r="D11836" s="3064"/>
      <c r="E11836" s="3064"/>
      <c r="F11836" s="3064"/>
      <c r="G11836" s="3301" t="s">
        <v>679</v>
      </c>
      <c r="H11836" s="3063"/>
      <c r="I11836" s="3030"/>
    </row>
    <row r="11837" spans="2:9" ht="25.5">
      <c r="B11837" s="3192" t="s">
        <v>720</v>
      </c>
      <c r="C11837" s="3063"/>
      <c r="D11837" s="3064"/>
      <c r="E11837" s="3064"/>
      <c r="F11837" s="3064"/>
      <c r="G11837" s="3301" t="s">
        <v>720</v>
      </c>
      <c r="H11837" s="3063"/>
      <c r="I11837" s="3030"/>
    </row>
    <row r="11838" spans="2:9">
      <c r="B11838" s="3299" t="s">
        <v>67</v>
      </c>
      <c r="C11838" s="3063"/>
      <c r="D11838" s="3064"/>
      <c r="E11838" s="3064"/>
      <c r="F11838" s="3064">
        <v>2</v>
      </c>
      <c r="G11838" s="3300" t="s">
        <v>67</v>
      </c>
      <c r="H11838" s="3063">
        <v>2.0402438091351918E-2</v>
      </c>
      <c r="I11838" s="3030"/>
    </row>
    <row r="11839" spans="2:9" ht="25.5">
      <c r="B11839" s="3192" t="s">
        <v>675</v>
      </c>
      <c r="C11839" s="3063"/>
      <c r="D11839" s="3064">
        <v>1</v>
      </c>
      <c r="E11839" s="3064"/>
      <c r="F11839" s="3064"/>
      <c r="G11839" s="3301" t="s">
        <v>675</v>
      </c>
      <c r="H11839" s="3063"/>
      <c r="I11839" s="3030"/>
    </row>
    <row r="11840" spans="2:9" ht="25.5">
      <c r="B11840" s="3192" t="s">
        <v>676</v>
      </c>
      <c r="C11840" s="3063"/>
      <c r="D11840" s="3064"/>
      <c r="E11840" s="3064"/>
      <c r="F11840" s="3064"/>
      <c r="G11840" s="3301" t="s">
        <v>676</v>
      </c>
      <c r="H11840" s="3063"/>
      <c r="I11840" s="3030"/>
    </row>
    <row r="11841" spans="2:9">
      <c r="B11841" s="3192" t="s">
        <v>677</v>
      </c>
      <c r="C11841" s="3063"/>
      <c r="D11841" s="3064"/>
      <c r="E11841" s="3064"/>
      <c r="F11841" s="3064"/>
      <c r="G11841" s="3301" t="s">
        <v>677</v>
      </c>
      <c r="H11841" s="3063"/>
      <c r="I11841" s="3030"/>
    </row>
    <row r="11842" spans="2:9">
      <c r="B11842" s="3192" t="s">
        <v>678</v>
      </c>
      <c r="C11842" s="3063"/>
      <c r="D11842" s="3064"/>
      <c r="E11842" s="3064"/>
      <c r="F11842" s="3064"/>
      <c r="G11842" s="3301" t="s">
        <v>678</v>
      </c>
      <c r="H11842" s="3063"/>
      <c r="I11842" s="3030"/>
    </row>
    <row r="11843" spans="2:9">
      <c r="B11843" s="3192" t="s">
        <v>679</v>
      </c>
      <c r="C11843" s="3063"/>
      <c r="D11843" s="3064">
        <v>1</v>
      </c>
      <c r="E11843" s="3064"/>
      <c r="F11843" s="3064"/>
      <c r="G11843" s="3301" t="s">
        <v>679</v>
      </c>
      <c r="H11843" s="3063"/>
      <c r="I11843" s="3030"/>
    </row>
    <row r="11844" spans="2:9" ht="25.5">
      <c r="B11844" s="3230" t="s">
        <v>81</v>
      </c>
      <c r="C11844" s="3063"/>
      <c r="D11844" s="3064"/>
      <c r="E11844" s="3064"/>
      <c r="F11844" s="3064"/>
      <c r="G11844" s="3302" t="s">
        <v>81</v>
      </c>
      <c r="H11844" s="3063"/>
      <c r="I11844" s="3030"/>
    </row>
    <row r="11845" spans="2:9" ht="26.25" thickBot="1">
      <c r="B11845" s="3303" t="s">
        <v>81</v>
      </c>
      <c r="C11845" s="3068"/>
      <c r="D11845" s="3069"/>
      <c r="E11845" s="3069"/>
      <c r="F11845" s="3069"/>
      <c r="G11845" s="3304" t="s">
        <v>81</v>
      </c>
      <c r="H11845" s="3068"/>
      <c r="I11845" s="3070"/>
    </row>
    <row r="11846" spans="2:9" ht="38.25">
      <c r="B11846" s="4723">
        <v>3282</v>
      </c>
      <c r="C11846" s="3289"/>
      <c r="D11846" s="3290"/>
      <c r="E11846" s="3290"/>
      <c r="F11846" s="3290"/>
      <c r="G11846" s="4723">
        <v>3282</v>
      </c>
      <c r="H11846" s="3291" t="s">
        <v>687</v>
      </c>
      <c r="I11846" s="3292" t="s">
        <v>688</v>
      </c>
    </row>
    <row r="11847" spans="2:9">
      <c r="B11847" s="4724"/>
      <c r="C11847" s="4678" t="s">
        <v>686</v>
      </c>
      <c r="D11847" s="4725"/>
      <c r="E11847" s="4725"/>
      <c r="F11847" s="4726"/>
      <c r="G11847" s="4724"/>
      <c r="H11847" s="3293"/>
      <c r="I11847" s="3294"/>
    </row>
    <row r="11848" spans="2:9" ht="13.5" thickBot="1">
      <c r="B11848" s="4724"/>
      <c r="C11848" s="3215">
        <v>2013</v>
      </c>
      <c r="D11848" s="3215">
        <v>2014</v>
      </c>
      <c r="E11848" s="3215">
        <v>2015</v>
      </c>
      <c r="F11848" s="3215">
        <v>2016</v>
      </c>
      <c r="G11848" s="4724"/>
      <c r="H11848" s="3295" t="s">
        <v>390</v>
      </c>
      <c r="I11848" s="3296" t="s">
        <v>390</v>
      </c>
    </row>
    <row r="11849" spans="2:9">
      <c r="B11849" s="3217" t="s">
        <v>695</v>
      </c>
      <c r="C11849" s="3218"/>
      <c r="D11849" s="3219"/>
      <c r="E11849" s="3219"/>
      <c r="F11849" s="3219"/>
      <c r="G11849" s="3217" t="s">
        <v>695</v>
      </c>
      <c r="H11849" s="3297"/>
      <c r="I11849" s="3298"/>
    </row>
    <row r="11850" spans="2:9">
      <c r="B11850" s="3299" t="s">
        <v>64</v>
      </c>
      <c r="C11850" s="3063"/>
      <c r="D11850" s="3064"/>
      <c r="E11850" s="3064"/>
      <c r="F11850" s="3064"/>
      <c r="G11850" s="3300" t="s">
        <v>64</v>
      </c>
      <c r="H11850" s="3063"/>
      <c r="I11850" s="3030"/>
    </row>
    <row r="11851" spans="2:9" ht="25.5">
      <c r="B11851" s="3192" t="s">
        <v>675</v>
      </c>
      <c r="C11851" s="3063"/>
      <c r="D11851" s="3064"/>
      <c r="E11851" s="3064"/>
      <c r="F11851" s="3064"/>
      <c r="G11851" s="3301" t="s">
        <v>675</v>
      </c>
      <c r="H11851" s="3063"/>
      <c r="I11851" s="3030"/>
    </row>
    <row r="11852" spans="2:9" ht="25.5">
      <c r="B11852" s="3192" t="s">
        <v>676</v>
      </c>
      <c r="C11852" s="3063"/>
      <c r="D11852" s="3064"/>
      <c r="E11852" s="3064"/>
      <c r="F11852" s="3064"/>
      <c r="G11852" s="3301" t="s">
        <v>676</v>
      </c>
      <c r="H11852" s="3063"/>
      <c r="I11852" s="3030"/>
    </row>
    <row r="11853" spans="2:9">
      <c r="B11853" s="3192" t="s">
        <v>677</v>
      </c>
      <c r="C11853" s="3063"/>
      <c r="D11853" s="3064"/>
      <c r="E11853" s="3064"/>
      <c r="F11853" s="3064"/>
      <c r="G11853" s="3301" t="s">
        <v>677</v>
      </c>
      <c r="H11853" s="3063"/>
      <c r="I11853" s="3030"/>
    </row>
    <row r="11854" spans="2:9">
      <c r="B11854" s="3192" t="s">
        <v>678</v>
      </c>
      <c r="C11854" s="3063"/>
      <c r="D11854" s="3064"/>
      <c r="E11854" s="3064"/>
      <c r="F11854" s="3064"/>
      <c r="G11854" s="3301" t="s">
        <v>678</v>
      </c>
      <c r="H11854" s="3063"/>
      <c r="I11854" s="3030"/>
    </row>
    <row r="11855" spans="2:9">
      <c r="B11855" s="3192" t="s">
        <v>679</v>
      </c>
      <c r="C11855" s="3063"/>
      <c r="D11855" s="3064"/>
      <c r="E11855" s="3064"/>
      <c r="F11855" s="3064"/>
      <c r="G11855" s="3301" t="s">
        <v>679</v>
      </c>
      <c r="H11855" s="3063"/>
      <c r="I11855" s="3030"/>
    </row>
    <row r="11856" spans="2:9" ht="25.5">
      <c r="B11856" s="3192" t="s">
        <v>720</v>
      </c>
      <c r="C11856" s="3063"/>
      <c r="D11856" s="3064"/>
      <c r="E11856" s="3064"/>
      <c r="F11856" s="3064"/>
      <c r="G11856" s="3301" t="s">
        <v>720</v>
      </c>
      <c r="H11856" s="3063"/>
      <c r="I11856" s="3030"/>
    </row>
    <row r="11857" spans="2:9">
      <c r="B11857" s="3299" t="s">
        <v>65</v>
      </c>
      <c r="C11857" s="3063"/>
      <c r="D11857" s="3064"/>
      <c r="E11857" s="3064"/>
      <c r="F11857" s="3064"/>
      <c r="G11857" s="3300" t="s">
        <v>65</v>
      </c>
      <c r="H11857" s="3063"/>
      <c r="I11857" s="3030"/>
    </row>
    <row r="11858" spans="2:9" ht="25.5">
      <c r="B11858" s="3192" t="s">
        <v>675</v>
      </c>
      <c r="C11858" s="3063"/>
      <c r="D11858" s="3064"/>
      <c r="E11858" s="3064"/>
      <c r="F11858" s="3064"/>
      <c r="G11858" s="3301" t="s">
        <v>675</v>
      </c>
      <c r="H11858" s="3063"/>
      <c r="I11858" s="3030"/>
    </row>
    <row r="11859" spans="2:9" ht="25.5">
      <c r="B11859" s="3192" t="s">
        <v>676</v>
      </c>
      <c r="C11859" s="3063"/>
      <c r="D11859" s="3064"/>
      <c r="E11859" s="3064"/>
      <c r="F11859" s="3064"/>
      <c r="G11859" s="3301" t="s">
        <v>676</v>
      </c>
      <c r="H11859" s="3063"/>
      <c r="I11859" s="3030"/>
    </row>
    <row r="11860" spans="2:9">
      <c r="B11860" s="3192" t="s">
        <v>677</v>
      </c>
      <c r="C11860" s="3063"/>
      <c r="D11860" s="3064"/>
      <c r="E11860" s="3064"/>
      <c r="F11860" s="3064"/>
      <c r="G11860" s="3301" t="s">
        <v>677</v>
      </c>
      <c r="H11860" s="3063"/>
      <c r="I11860" s="3030"/>
    </row>
    <row r="11861" spans="2:9">
      <c r="B11861" s="3192" t="s">
        <v>678</v>
      </c>
      <c r="C11861" s="3063"/>
      <c r="D11861" s="3064"/>
      <c r="E11861" s="3064"/>
      <c r="F11861" s="3064"/>
      <c r="G11861" s="3301" t="s">
        <v>678</v>
      </c>
      <c r="H11861" s="3063"/>
      <c r="I11861" s="3030"/>
    </row>
    <row r="11862" spans="2:9">
      <c r="B11862" s="3192" t="s">
        <v>679</v>
      </c>
      <c r="C11862" s="3063"/>
      <c r="D11862" s="3064"/>
      <c r="E11862" s="3064"/>
      <c r="F11862" s="3064"/>
      <c r="G11862" s="3301" t="s">
        <v>679</v>
      </c>
      <c r="H11862" s="3063"/>
      <c r="I11862" s="3030"/>
    </row>
    <row r="11863" spans="2:9" ht="25.5">
      <c r="B11863" s="3192" t="s">
        <v>720</v>
      </c>
      <c r="C11863" s="3063"/>
      <c r="D11863" s="3064"/>
      <c r="E11863" s="3064"/>
      <c r="F11863" s="3064"/>
      <c r="G11863" s="3301" t="s">
        <v>720</v>
      </c>
      <c r="H11863" s="3063"/>
      <c r="I11863" s="3030"/>
    </row>
    <row r="11864" spans="2:9">
      <c r="B11864" s="3299" t="s">
        <v>82</v>
      </c>
      <c r="C11864" s="3063"/>
      <c r="D11864" s="3064"/>
      <c r="E11864" s="3064"/>
      <c r="F11864" s="3064"/>
      <c r="G11864" s="3300" t="s">
        <v>82</v>
      </c>
      <c r="H11864" s="3063"/>
      <c r="I11864" s="3030"/>
    </row>
    <row r="11865" spans="2:9" ht="25.5">
      <c r="B11865" s="3192" t="s">
        <v>675</v>
      </c>
      <c r="C11865" s="3063"/>
      <c r="D11865" s="3064"/>
      <c r="E11865" s="3064"/>
      <c r="F11865" s="3064"/>
      <c r="G11865" s="3301" t="s">
        <v>675</v>
      </c>
      <c r="H11865" s="3063"/>
      <c r="I11865" s="3030"/>
    </row>
    <row r="11866" spans="2:9" ht="25.5">
      <c r="B11866" s="3192" t="s">
        <v>676</v>
      </c>
      <c r="C11866" s="3063"/>
      <c r="D11866" s="3064"/>
      <c r="E11866" s="3064"/>
      <c r="F11866" s="3064"/>
      <c r="G11866" s="3301" t="s">
        <v>676</v>
      </c>
      <c r="H11866" s="3063"/>
      <c r="I11866" s="3030"/>
    </row>
    <row r="11867" spans="2:9">
      <c r="B11867" s="3192" t="s">
        <v>677</v>
      </c>
      <c r="C11867" s="3063"/>
      <c r="D11867" s="3064"/>
      <c r="E11867" s="3064"/>
      <c r="F11867" s="3064"/>
      <c r="G11867" s="3301" t="s">
        <v>677</v>
      </c>
      <c r="H11867" s="3063"/>
      <c r="I11867" s="3030"/>
    </row>
    <row r="11868" spans="2:9">
      <c r="B11868" s="3192" t="s">
        <v>678</v>
      </c>
      <c r="C11868" s="3063"/>
      <c r="D11868" s="3064"/>
      <c r="E11868" s="3064"/>
      <c r="F11868" s="3064"/>
      <c r="G11868" s="3301" t="s">
        <v>678</v>
      </c>
      <c r="H11868" s="3063"/>
      <c r="I11868" s="3030"/>
    </row>
    <row r="11869" spans="2:9">
      <c r="B11869" s="3192" t="s">
        <v>679</v>
      </c>
      <c r="C11869" s="3063"/>
      <c r="D11869" s="3064"/>
      <c r="E11869" s="3064"/>
      <c r="F11869" s="3064"/>
      <c r="G11869" s="3301" t="s">
        <v>679</v>
      </c>
      <c r="H11869" s="3063"/>
      <c r="I11869" s="3030"/>
    </row>
    <row r="11870" spans="2:9" ht="25.5">
      <c r="B11870" s="3192" t="s">
        <v>720</v>
      </c>
      <c r="C11870" s="3063"/>
      <c r="D11870" s="3064"/>
      <c r="E11870" s="3064"/>
      <c r="F11870" s="3064"/>
      <c r="G11870" s="3301" t="s">
        <v>720</v>
      </c>
      <c r="H11870" s="3063"/>
      <c r="I11870" s="3030"/>
    </row>
    <row r="11871" spans="2:9" ht="38.25">
      <c r="B11871" s="3299" t="s">
        <v>680</v>
      </c>
      <c r="C11871" s="3063"/>
      <c r="D11871" s="3064"/>
      <c r="E11871" s="3064"/>
      <c r="F11871" s="3064"/>
      <c r="G11871" s="3300" t="s">
        <v>680</v>
      </c>
      <c r="H11871" s="3063"/>
      <c r="I11871" s="3030"/>
    </row>
    <row r="11872" spans="2:9" ht="25.5">
      <c r="B11872" s="3192" t="s">
        <v>675</v>
      </c>
      <c r="C11872" s="3063"/>
      <c r="D11872" s="3064"/>
      <c r="E11872" s="3064"/>
      <c r="F11872" s="3064"/>
      <c r="G11872" s="3301" t="s">
        <v>675</v>
      </c>
      <c r="H11872" s="3063"/>
      <c r="I11872" s="3030"/>
    </row>
    <row r="11873" spans="2:9" ht="25.5">
      <c r="B11873" s="3192" t="s">
        <v>676</v>
      </c>
      <c r="C11873" s="3063"/>
      <c r="D11873" s="3064"/>
      <c r="E11873" s="3064"/>
      <c r="F11873" s="3064"/>
      <c r="G11873" s="3301" t="s">
        <v>676</v>
      </c>
      <c r="H11873" s="3063"/>
      <c r="I11873" s="3030"/>
    </row>
    <row r="11874" spans="2:9">
      <c r="B11874" s="3192" t="s">
        <v>677</v>
      </c>
      <c r="C11874" s="3063"/>
      <c r="D11874" s="3064"/>
      <c r="E11874" s="3064"/>
      <c r="F11874" s="3064"/>
      <c r="G11874" s="3301" t="s">
        <v>677</v>
      </c>
      <c r="H11874" s="3063"/>
      <c r="I11874" s="3030"/>
    </row>
    <row r="11875" spans="2:9">
      <c r="B11875" s="3192" t="s">
        <v>678</v>
      </c>
      <c r="C11875" s="3063"/>
      <c r="D11875" s="3064"/>
      <c r="E11875" s="3064"/>
      <c r="F11875" s="3064"/>
      <c r="G11875" s="3301" t="s">
        <v>678</v>
      </c>
      <c r="H11875" s="3063"/>
      <c r="I11875" s="3030"/>
    </row>
    <row r="11876" spans="2:9">
      <c r="B11876" s="3192" t="s">
        <v>679</v>
      </c>
      <c r="C11876" s="3063"/>
      <c r="D11876" s="3064"/>
      <c r="E11876" s="3064"/>
      <c r="F11876" s="3064"/>
      <c r="G11876" s="3301" t="s">
        <v>679</v>
      </c>
      <c r="H11876" s="3063"/>
      <c r="I11876" s="3030"/>
    </row>
    <row r="11877" spans="2:9" ht="25.5">
      <c r="B11877" s="3192" t="s">
        <v>720</v>
      </c>
      <c r="C11877" s="3063"/>
      <c r="D11877" s="3064"/>
      <c r="E11877" s="3064"/>
      <c r="F11877" s="3064"/>
      <c r="G11877" s="3301" t="s">
        <v>720</v>
      </c>
      <c r="H11877" s="3063"/>
      <c r="I11877" s="3030"/>
    </row>
    <row r="11878" spans="2:9" ht="38.25">
      <c r="B11878" s="3299" t="s">
        <v>681</v>
      </c>
      <c r="C11878" s="3063"/>
      <c r="D11878" s="3064"/>
      <c r="E11878" s="3064"/>
      <c r="F11878" s="3064"/>
      <c r="G11878" s="3300" t="s">
        <v>681</v>
      </c>
      <c r="H11878" s="3063"/>
      <c r="I11878" s="3030"/>
    </row>
    <row r="11879" spans="2:9" ht="25.5">
      <c r="B11879" s="3192" t="s">
        <v>675</v>
      </c>
      <c r="C11879" s="3063"/>
      <c r="D11879" s="3064"/>
      <c r="E11879" s="3064"/>
      <c r="F11879" s="3064"/>
      <c r="G11879" s="3301" t="s">
        <v>675</v>
      </c>
      <c r="H11879" s="3063"/>
      <c r="I11879" s="3030"/>
    </row>
    <row r="11880" spans="2:9" ht="25.5">
      <c r="B11880" s="3192" t="s">
        <v>676</v>
      </c>
      <c r="C11880" s="3063"/>
      <c r="D11880" s="3064"/>
      <c r="E11880" s="3064"/>
      <c r="F11880" s="3064"/>
      <c r="G11880" s="3301" t="s">
        <v>676</v>
      </c>
      <c r="H11880" s="3063"/>
      <c r="I11880" s="3030"/>
    </row>
    <row r="11881" spans="2:9">
      <c r="B11881" s="3192" t="s">
        <v>677</v>
      </c>
      <c r="C11881" s="3063"/>
      <c r="D11881" s="3064"/>
      <c r="E11881" s="3064"/>
      <c r="F11881" s="3064"/>
      <c r="G11881" s="3301" t="s">
        <v>677</v>
      </c>
      <c r="H11881" s="3063"/>
      <c r="I11881" s="3030"/>
    </row>
    <row r="11882" spans="2:9">
      <c r="B11882" s="3192" t="s">
        <v>678</v>
      </c>
      <c r="C11882" s="3063"/>
      <c r="D11882" s="3064"/>
      <c r="E11882" s="3064"/>
      <c r="F11882" s="3064"/>
      <c r="G11882" s="3301" t="s">
        <v>678</v>
      </c>
      <c r="H11882" s="3063"/>
      <c r="I11882" s="3030"/>
    </row>
    <row r="11883" spans="2:9">
      <c r="B11883" s="3192" t="s">
        <v>679</v>
      </c>
      <c r="C11883" s="3063"/>
      <c r="D11883" s="3064"/>
      <c r="E11883" s="3064"/>
      <c r="F11883" s="3064"/>
      <c r="G11883" s="3301" t="s">
        <v>679</v>
      </c>
      <c r="H11883" s="3063"/>
      <c r="I11883" s="3030"/>
    </row>
    <row r="11884" spans="2:9" ht="25.5">
      <c r="B11884" s="3192" t="s">
        <v>720</v>
      </c>
      <c r="C11884" s="3063"/>
      <c r="D11884" s="3064"/>
      <c r="E11884" s="3064"/>
      <c r="F11884" s="3064"/>
      <c r="G11884" s="3301" t="s">
        <v>720</v>
      </c>
      <c r="H11884" s="3063"/>
      <c r="I11884" s="3030"/>
    </row>
    <row r="11885" spans="2:9" ht="25.5">
      <c r="B11885" s="3299" t="s">
        <v>682</v>
      </c>
      <c r="C11885" s="3063"/>
      <c r="D11885" s="3064"/>
      <c r="E11885" s="3064"/>
      <c r="F11885" s="3064"/>
      <c r="G11885" s="3300" t="s">
        <v>682</v>
      </c>
      <c r="H11885" s="3063"/>
      <c r="I11885" s="3030"/>
    </row>
    <row r="11886" spans="2:9" ht="25.5">
      <c r="B11886" s="3192" t="s">
        <v>675</v>
      </c>
      <c r="C11886" s="3063"/>
      <c r="D11886" s="3064"/>
      <c r="E11886" s="3064"/>
      <c r="F11886" s="3064"/>
      <c r="G11886" s="3301" t="s">
        <v>675</v>
      </c>
      <c r="H11886" s="3063"/>
      <c r="I11886" s="3030"/>
    </row>
    <row r="11887" spans="2:9" ht="25.5">
      <c r="B11887" s="3192" t="s">
        <v>676</v>
      </c>
      <c r="C11887" s="3063"/>
      <c r="D11887" s="3064"/>
      <c r="E11887" s="3064"/>
      <c r="F11887" s="3064"/>
      <c r="G11887" s="3301" t="s">
        <v>676</v>
      </c>
      <c r="H11887" s="3063"/>
      <c r="I11887" s="3030"/>
    </row>
    <row r="11888" spans="2:9">
      <c r="B11888" s="3192" t="s">
        <v>677</v>
      </c>
      <c r="C11888" s="3063"/>
      <c r="D11888" s="3064"/>
      <c r="E11888" s="3064"/>
      <c r="F11888" s="3064"/>
      <c r="G11888" s="3301" t="s">
        <v>677</v>
      </c>
      <c r="H11888" s="3063"/>
      <c r="I11888" s="3030"/>
    </row>
    <row r="11889" spans="2:9">
      <c r="B11889" s="3192" t="s">
        <v>678</v>
      </c>
      <c r="C11889" s="3063"/>
      <c r="D11889" s="3064"/>
      <c r="E11889" s="3064"/>
      <c r="F11889" s="3064"/>
      <c r="G11889" s="3301" t="s">
        <v>678</v>
      </c>
      <c r="H11889" s="3063"/>
      <c r="I11889" s="3030"/>
    </row>
    <row r="11890" spans="2:9">
      <c r="B11890" s="3192" t="s">
        <v>679</v>
      </c>
      <c r="C11890" s="3063"/>
      <c r="D11890" s="3064"/>
      <c r="E11890" s="3064"/>
      <c r="F11890" s="3064"/>
      <c r="G11890" s="3301" t="s">
        <v>679</v>
      </c>
      <c r="H11890" s="3063"/>
      <c r="I11890" s="3030"/>
    </row>
    <row r="11891" spans="2:9" ht="25.5">
      <c r="B11891" s="3192" t="s">
        <v>720</v>
      </c>
      <c r="C11891" s="3063"/>
      <c r="D11891" s="3064"/>
      <c r="E11891" s="3064"/>
      <c r="F11891" s="3064"/>
      <c r="G11891" s="3301" t="s">
        <v>720</v>
      </c>
      <c r="H11891" s="3063"/>
      <c r="I11891" s="3030"/>
    </row>
    <row r="11892" spans="2:9" ht="25.5">
      <c r="B11892" s="3299" t="s">
        <v>66</v>
      </c>
      <c r="C11892" s="3063"/>
      <c r="D11892" s="3064"/>
      <c r="E11892" s="3064"/>
      <c r="F11892" s="3064"/>
      <c r="G11892" s="3300" t="s">
        <v>66</v>
      </c>
      <c r="H11892" s="3063"/>
      <c r="I11892" s="3030"/>
    </row>
    <row r="11893" spans="2:9" ht="25.5">
      <c r="B11893" s="3192" t="s">
        <v>675</v>
      </c>
      <c r="C11893" s="3063"/>
      <c r="D11893" s="3064"/>
      <c r="E11893" s="3064"/>
      <c r="F11893" s="3064"/>
      <c r="G11893" s="3301" t="s">
        <v>675</v>
      </c>
      <c r="H11893" s="3063"/>
      <c r="I11893" s="3030"/>
    </row>
    <row r="11894" spans="2:9" ht="25.5">
      <c r="B11894" s="3192" t="s">
        <v>676</v>
      </c>
      <c r="C11894" s="3063"/>
      <c r="D11894" s="3064"/>
      <c r="E11894" s="3064"/>
      <c r="F11894" s="3064"/>
      <c r="G11894" s="3301" t="s">
        <v>676</v>
      </c>
      <c r="H11894" s="3063"/>
      <c r="I11894" s="3030"/>
    </row>
    <row r="11895" spans="2:9">
      <c r="B11895" s="3192" t="s">
        <v>677</v>
      </c>
      <c r="C11895" s="3063"/>
      <c r="D11895" s="3064"/>
      <c r="E11895" s="3064"/>
      <c r="F11895" s="3064"/>
      <c r="G11895" s="3301" t="s">
        <v>677</v>
      </c>
      <c r="H11895" s="3063"/>
      <c r="I11895" s="3030"/>
    </row>
    <row r="11896" spans="2:9">
      <c r="B11896" s="3192" t="s">
        <v>678</v>
      </c>
      <c r="C11896" s="3063"/>
      <c r="D11896" s="3064"/>
      <c r="E11896" s="3064"/>
      <c r="F11896" s="3064"/>
      <c r="G11896" s="3301" t="s">
        <v>678</v>
      </c>
      <c r="H11896" s="3063"/>
      <c r="I11896" s="3030"/>
    </row>
    <row r="11897" spans="2:9">
      <c r="B11897" s="3192" t="s">
        <v>679</v>
      </c>
      <c r="C11897" s="3063"/>
      <c r="D11897" s="3064"/>
      <c r="E11897" s="3064"/>
      <c r="F11897" s="3064"/>
      <c r="G11897" s="3301" t="s">
        <v>679</v>
      </c>
      <c r="H11897" s="3063"/>
      <c r="I11897" s="3030"/>
    </row>
    <row r="11898" spans="2:9" ht="25.5">
      <c r="B11898" s="3192" t="s">
        <v>720</v>
      </c>
      <c r="C11898" s="3063"/>
      <c r="D11898" s="3064"/>
      <c r="E11898" s="3064"/>
      <c r="F11898" s="3064"/>
      <c r="G11898" s="3301" t="s">
        <v>720</v>
      </c>
      <c r="H11898" s="3063"/>
      <c r="I11898" s="3030"/>
    </row>
    <row r="11899" spans="2:9">
      <c r="B11899" s="3299" t="s">
        <v>67</v>
      </c>
      <c r="C11899" s="3063"/>
      <c r="D11899" s="3064"/>
      <c r="E11899" s="3064"/>
      <c r="F11899" s="3064"/>
      <c r="G11899" s="3300" t="s">
        <v>67</v>
      </c>
      <c r="H11899" s="3063"/>
      <c r="I11899" s="3030"/>
    </row>
    <row r="11900" spans="2:9" ht="25.5">
      <c r="B11900" s="3192" t="s">
        <v>675</v>
      </c>
      <c r="C11900" s="3063"/>
      <c r="D11900" s="3064"/>
      <c r="E11900" s="3064"/>
      <c r="F11900" s="3064"/>
      <c r="G11900" s="3301" t="s">
        <v>675</v>
      </c>
      <c r="H11900" s="3063"/>
      <c r="I11900" s="3030"/>
    </row>
    <row r="11901" spans="2:9" ht="25.5">
      <c r="B11901" s="3192" t="s">
        <v>676</v>
      </c>
      <c r="C11901" s="3063"/>
      <c r="D11901" s="3064"/>
      <c r="E11901" s="3064"/>
      <c r="F11901" s="3064"/>
      <c r="G11901" s="3301" t="s">
        <v>676</v>
      </c>
      <c r="H11901" s="3063"/>
      <c r="I11901" s="3030"/>
    </row>
    <row r="11902" spans="2:9">
      <c r="B11902" s="3192" t="s">
        <v>677</v>
      </c>
      <c r="C11902" s="3063"/>
      <c r="D11902" s="3064"/>
      <c r="E11902" s="3064"/>
      <c r="F11902" s="3064"/>
      <c r="G11902" s="3301" t="s">
        <v>677</v>
      </c>
      <c r="H11902" s="3063"/>
      <c r="I11902" s="3030"/>
    </row>
    <row r="11903" spans="2:9">
      <c r="B11903" s="3192" t="s">
        <v>678</v>
      </c>
      <c r="C11903" s="3063"/>
      <c r="D11903" s="3064"/>
      <c r="E11903" s="3064"/>
      <c r="F11903" s="3064"/>
      <c r="G11903" s="3301" t="s">
        <v>678</v>
      </c>
      <c r="H11903" s="3063"/>
      <c r="I11903" s="3030"/>
    </row>
    <row r="11904" spans="2:9">
      <c r="B11904" s="3192" t="s">
        <v>679</v>
      </c>
      <c r="C11904" s="3063"/>
      <c r="D11904" s="3064"/>
      <c r="E11904" s="3064"/>
      <c r="F11904" s="3064"/>
      <c r="G11904" s="3301" t="s">
        <v>679</v>
      </c>
      <c r="H11904" s="3063"/>
      <c r="I11904" s="3030"/>
    </row>
    <row r="11905" spans="2:9" ht="25.5">
      <c r="B11905" s="3192" t="s">
        <v>720</v>
      </c>
      <c r="C11905" s="3063"/>
      <c r="D11905" s="3064"/>
      <c r="E11905" s="3064"/>
      <c r="F11905" s="3064"/>
      <c r="G11905" s="3301" t="s">
        <v>720</v>
      </c>
      <c r="H11905" s="3063"/>
      <c r="I11905" s="3030"/>
    </row>
    <row r="11906" spans="2:9" ht="25.5">
      <c r="B11906" s="3230" t="s">
        <v>81</v>
      </c>
      <c r="C11906" s="3063"/>
      <c r="D11906" s="3064"/>
      <c r="E11906" s="3064"/>
      <c r="F11906" s="3064"/>
      <c r="G11906" s="3302" t="s">
        <v>81</v>
      </c>
      <c r="H11906" s="3063"/>
      <c r="I11906" s="3030"/>
    </row>
    <row r="11907" spans="2:9" ht="26.25" thickBot="1">
      <c r="B11907" s="3303" t="s">
        <v>81</v>
      </c>
      <c r="C11907" s="3063"/>
      <c r="D11907" s="3064"/>
      <c r="E11907" s="3064"/>
      <c r="F11907" s="3064"/>
      <c r="G11907" s="3302" t="s">
        <v>81</v>
      </c>
      <c r="H11907" s="3063"/>
      <c r="I11907" s="3030"/>
    </row>
    <row r="11908" spans="2:9" ht="25.5">
      <c r="B11908" s="3217" t="s">
        <v>696</v>
      </c>
      <c r="C11908" s="3218"/>
      <c r="D11908" s="3219"/>
      <c r="E11908" s="3219"/>
      <c r="F11908" s="3219"/>
      <c r="G11908" s="3217" t="s">
        <v>696</v>
      </c>
      <c r="H11908" s="3297"/>
      <c r="I11908" s="3298"/>
    </row>
    <row r="11909" spans="2:9">
      <c r="B11909" s="3299" t="s">
        <v>64</v>
      </c>
      <c r="C11909" s="3063"/>
      <c r="D11909" s="3064"/>
      <c r="E11909" s="3064"/>
      <c r="F11909" s="3064"/>
      <c r="G11909" s="3300" t="s">
        <v>64</v>
      </c>
      <c r="H11909" s="3063"/>
      <c r="I11909" s="3030"/>
    </row>
    <row r="11910" spans="2:9" ht="25.5">
      <c r="B11910" s="3192" t="s">
        <v>675</v>
      </c>
      <c r="C11910" s="3063"/>
      <c r="D11910" s="3064"/>
      <c r="E11910" s="3064"/>
      <c r="F11910" s="3064"/>
      <c r="G11910" s="3301" t="s">
        <v>675</v>
      </c>
      <c r="H11910" s="3063"/>
      <c r="I11910" s="3030"/>
    </row>
    <row r="11911" spans="2:9" ht="25.5">
      <c r="B11911" s="3192" t="s">
        <v>676</v>
      </c>
      <c r="C11911" s="3063"/>
      <c r="D11911" s="3064"/>
      <c r="E11911" s="3064"/>
      <c r="F11911" s="3064"/>
      <c r="G11911" s="3301" t="s">
        <v>676</v>
      </c>
      <c r="H11911" s="3063"/>
      <c r="I11911" s="3030"/>
    </row>
    <row r="11912" spans="2:9">
      <c r="B11912" s="3192" t="s">
        <v>677</v>
      </c>
      <c r="C11912" s="3063"/>
      <c r="D11912" s="3064"/>
      <c r="E11912" s="3064"/>
      <c r="F11912" s="3064"/>
      <c r="G11912" s="3301" t="s">
        <v>677</v>
      </c>
      <c r="H11912" s="3063"/>
      <c r="I11912" s="3030"/>
    </row>
    <row r="11913" spans="2:9">
      <c r="B11913" s="3192" t="s">
        <v>678</v>
      </c>
      <c r="C11913" s="3063"/>
      <c r="D11913" s="3064"/>
      <c r="E11913" s="3064"/>
      <c r="F11913" s="3064"/>
      <c r="G11913" s="3301" t="s">
        <v>678</v>
      </c>
      <c r="H11913" s="3063"/>
      <c r="I11913" s="3030"/>
    </row>
    <row r="11914" spans="2:9">
      <c r="B11914" s="3192" t="s">
        <v>679</v>
      </c>
      <c r="C11914" s="3063"/>
      <c r="D11914" s="3064"/>
      <c r="E11914" s="3064"/>
      <c r="F11914" s="3064"/>
      <c r="G11914" s="3301" t="s">
        <v>679</v>
      </c>
      <c r="H11914" s="3063"/>
      <c r="I11914" s="3030"/>
    </row>
    <row r="11915" spans="2:9" ht="25.5">
      <c r="B11915" s="3192" t="s">
        <v>720</v>
      </c>
      <c r="C11915" s="3063"/>
      <c r="D11915" s="3064"/>
      <c r="E11915" s="3064"/>
      <c r="F11915" s="3064"/>
      <c r="G11915" s="3301" t="s">
        <v>720</v>
      </c>
      <c r="H11915" s="3063"/>
      <c r="I11915" s="3030"/>
    </row>
    <row r="11916" spans="2:9">
      <c r="B11916" s="3299" t="s">
        <v>65</v>
      </c>
      <c r="C11916" s="3063"/>
      <c r="D11916" s="3064"/>
      <c r="E11916" s="3064"/>
      <c r="F11916" s="3064"/>
      <c r="G11916" s="3300" t="s">
        <v>65</v>
      </c>
      <c r="H11916" s="3063"/>
      <c r="I11916" s="3030"/>
    </row>
    <row r="11917" spans="2:9" ht="25.5">
      <c r="B11917" s="3192" t="s">
        <v>675</v>
      </c>
      <c r="C11917" s="3063"/>
      <c r="D11917" s="3064"/>
      <c r="E11917" s="3064"/>
      <c r="F11917" s="3064"/>
      <c r="G11917" s="3301" t="s">
        <v>675</v>
      </c>
      <c r="H11917" s="3063"/>
      <c r="I11917" s="3030"/>
    </row>
    <row r="11918" spans="2:9" ht="25.5">
      <c r="B11918" s="3192" t="s">
        <v>676</v>
      </c>
      <c r="C11918" s="3063"/>
      <c r="D11918" s="3064"/>
      <c r="E11918" s="3064"/>
      <c r="F11918" s="3064"/>
      <c r="G11918" s="3301" t="s">
        <v>676</v>
      </c>
      <c r="H11918" s="3063"/>
      <c r="I11918" s="3030"/>
    </row>
    <row r="11919" spans="2:9">
      <c r="B11919" s="3192" t="s">
        <v>677</v>
      </c>
      <c r="C11919" s="3063"/>
      <c r="D11919" s="3064"/>
      <c r="E11919" s="3064"/>
      <c r="F11919" s="3064"/>
      <c r="G11919" s="3301" t="s">
        <v>677</v>
      </c>
      <c r="H11919" s="3063"/>
      <c r="I11919" s="3030"/>
    </row>
    <row r="11920" spans="2:9">
      <c r="B11920" s="3192" t="s">
        <v>678</v>
      </c>
      <c r="C11920" s="3063"/>
      <c r="D11920" s="3064"/>
      <c r="E11920" s="3064"/>
      <c r="F11920" s="3064"/>
      <c r="G11920" s="3301" t="s">
        <v>678</v>
      </c>
      <c r="H11920" s="3063"/>
      <c r="I11920" s="3030"/>
    </row>
    <row r="11921" spans="2:9">
      <c r="B11921" s="3192" t="s">
        <v>679</v>
      </c>
      <c r="C11921" s="3063"/>
      <c r="D11921" s="3064"/>
      <c r="E11921" s="3064"/>
      <c r="F11921" s="3064"/>
      <c r="G11921" s="3301" t="s">
        <v>679</v>
      </c>
      <c r="H11921" s="3063"/>
      <c r="I11921" s="3030"/>
    </row>
    <row r="11922" spans="2:9" ht="25.5">
      <c r="B11922" s="3192" t="s">
        <v>720</v>
      </c>
      <c r="C11922" s="3063"/>
      <c r="D11922" s="3064"/>
      <c r="E11922" s="3064"/>
      <c r="F11922" s="3064"/>
      <c r="G11922" s="3301" t="s">
        <v>720</v>
      </c>
      <c r="H11922" s="3063"/>
      <c r="I11922" s="3030"/>
    </row>
    <row r="11923" spans="2:9">
      <c r="B11923" s="3299" t="s">
        <v>82</v>
      </c>
      <c r="C11923" s="3063"/>
      <c r="D11923" s="3064"/>
      <c r="E11923" s="3064"/>
      <c r="F11923" s="3064"/>
      <c r="G11923" s="3300" t="s">
        <v>82</v>
      </c>
      <c r="H11923" s="3063"/>
      <c r="I11923" s="3030"/>
    </row>
    <row r="11924" spans="2:9" ht="25.5">
      <c r="B11924" s="3192" t="s">
        <v>675</v>
      </c>
      <c r="C11924" s="3063"/>
      <c r="D11924" s="3064"/>
      <c r="E11924" s="3064"/>
      <c r="F11924" s="3064"/>
      <c r="G11924" s="3301" t="s">
        <v>675</v>
      </c>
      <c r="H11924" s="3063"/>
      <c r="I11924" s="3030"/>
    </row>
    <row r="11925" spans="2:9" ht="25.5">
      <c r="B11925" s="3192" t="s">
        <v>676</v>
      </c>
      <c r="C11925" s="3063"/>
      <c r="D11925" s="3064"/>
      <c r="E11925" s="3064"/>
      <c r="F11925" s="3064"/>
      <c r="G11925" s="3301" t="s">
        <v>676</v>
      </c>
      <c r="H11925" s="3063"/>
      <c r="I11925" s="3030"/>
    </row>
    <row r="11926" spans="2:9">
      <c r="B11926" s="3192" t="s">
        <v>677</v>
      </c>
      <c r="C11926" s="3063"/>
      <c r="D11926" s="3064"/>
      <c r="E11926" s="3064"/>
      <c r="F11926" s="3064"/>
      <c r="G11926" s="3301" t="s">
        <v>677</v>
      </c>
      <c r="H11926" s="3063"/>
      <c r="I11926" s="3030"/>
    </row>
    <row r="11927" spans="2:9">
      <c r="B11927" s="3192" t="s">
        <v>678</v>
      </c>
      <c r="C11927" s="3063"/>
      <c r="D11927" s="3064"/>
      <c r="E11927" s="3064"/>
      <c r="F11927" s="3064"/>
      <c r="G11927" s="3301" t="s">
        <v>678</v>
      </c>
      <c r="H11927" s="3063"/>
      <c r="I11927" s="3030"/>
    </row>
    <row r="11928" spans="2:9">
      <c r="B11928" s="3192" t="s">
        <v>679</v>
      </c>
      <c r="C11928" s="3063"/>
      <c r="D11928" s="3064"/>
      <c r="E11928" s="3064"/>
      <c r="F11928" s="3064"/>
      <c r="G11928" s="3301" t="s">
        <v>679</v>
      </c>
      <c r="H11928" s="3063"/>
      <c r="I11928" s="3030"/>
    </row>
    <row r="11929" spans="2:9" ht="25.5">
      <c r="B11929" s="3192" t="s">
        <v>720</v>
      </c>
      <c r="C11929" s="3063"/>
      <c r="D11929" s="3064"/>
      <c r="E11929" s="3064"/>
      <c r="F11929" s="3064"/>
      <c r="G11929" s="3301" t="s">
        <v>720</v>
      </c>
      <c r="H11929" s="3063"/>
      <c r="I11929" s="3030"/>
    </row>
    <row r="11930" spans="2:9" ht="38.25">
      <c r="B11930" s="3299" t="s">
        <v>680</v>
      </c>
      <c r="C11930" s="3063"/>
      <c r="D11930" s="3064"/>
      <c r="E11930" s="3064"/>
      <c r="F11930" s="3064"/>
      <c r="G11930" s="3300" t="s">
        <v>680</v>
      </c>
      <c r="H11930" s="3063"/>
      <c r="I11930" s="3030"/>
    </row>
    <row r="11931" spans="2:9" ht="25.5">
      <c r="B11931" s="3192" t="s">
        <v>675</v>
      </c>
      <c r="C11931" s="3063"/>
      <c r="D11931" s="3064"/>
      <c r="E11931" s="3064"/>
      <c r="F11931" s="3064"/>
      <c r="G11931" s="3301" t="s">
        <v>675</v>
      </c>
      <c r="H11931" s="3063"/>
      <c r="I11931" s="3030"/>
    </row>
    <row r="11932" spans="2:9" ht="25.5">
      <c r="B11932" s="3192" t="s">
        <v>676</v>
      </c>
      <c r="C11932" s="3063"/>
      <c r="D11932" s="3064"/>
      <c r="E11932" s="3064"/>
      <c r="F11932" s="3064"/>
      <c r="G11932" s="3301" t="s">
        <v>676</v>
      </c>
      <c r="H11932" s="3063"/>
      <c r="I11932" s="3030"/>
    </row>
    <row r="11933" spans="2:9">
      <c r="B11933" s="3192" t="s">
        <v>677</v>
      </c>
      <c r="C11933" s="3063"/>
      <c r="D11933" s="3064"/>
      <c r="E11933" s="3064"/>
      <c r="F11933" s="3064"/>
      <c r="G11933" s="3301" t="s">
        <v>677</v>
      </c>
      <c r="H11933" s="3063"/>
      <c r="I11933" s="3030"/>
    </row>
    <row r="11934" spans="2:9">
      <c r="B11934" s="3192" t="s">
        <v>678</v>
      </c>
      <c r="C11934" s="3063"/>
      <c r="D11934" s="3064"/>
      <c r="E11934" s="3064"/>
      <c r="F11934" s="3064"/>
      <c r="G11934" s="3301" t="s">
        <v>678</v>
      </c>
      <c r="H11934" s="3063"/>
      <c r="I11934" s="3030"/>
    </row>
    <row r="11935" spans="2:9">
      <c r="B11935" s="3192" t="s">
        <v>679</v>
      </c>
      <c r="C11935" s="3063"/>
      <c r="D11935" s="3064"/>
      <c r="E11935" s="3064"/>
      <c r="F11935" s="3064"/>
      <c r="G11935" s="3301" t="s">
        <v>679</v>
      </c>
      <c r="H11935" s="3063"/>
      <c r="I11935" s="3030"/>
    </row>
    <row r="11936" spans="2:9" ht="25.5">
      <c r="B11936" s="3192" t="s">
        <v>720</v>
      </c>
      <c r="C11936" s="3063"/>
      <c r="D11936" s="3064"/>
      <c r="E11936" s="3064"/>
      <c r="F11936" s="3064"/>
      <c r="G11936" s="3301" t="s">
        <v>720</v>
      </c>
      <c r="H11936" s="3063"/>
      <c r="I11936" s="3030"/>
    </row>
    <row r="11937" spans="2:9" ht="38.25">
      <c r="B11937" s="3299" t="s">
        <v>681</v>
      </c>
      <c r="C11937" s="3063"/>
      <c r="D11937" s="3064"/>
      <c r="E11937" s="3064"/>
      <c r="F11937" s="3064"/>
      <c r="G11937" s="3300" t="s">
        <v>681</v>
      </c>
      <c r="H11937" s="3063"/>
      <c r="I11937" s="3030"/>
    </row>
    <row r="11938" spans="2:9" ht="25.5">
      <c r="B11938" s="3192" t="s">
        <v>675</v>
      </c>
      <c r="C11938" s="3063"/>
      <c r="D11938" s="3064"/>
      <c r="E11938" s="3064"/>
      <c r="F11938" s="3064"/>
      <c r="G11938" s="3301" t="s">
        <v>675</v>
      </c>
      <c r="H11938" s="3063"/>
      <c r="I11938" s="3030"/>
    </row>
    <row r="11939" spans="2:9" ht="25.5">
      <c r="B11939" s="3192" t="s">
        <v>676</v>
      </c>
      <c r="C11939" s="3063"/>
      <c r="D11939" s="3064"/>
      <c r="E11939" s="3064"/>
      <c r="F11939" s="3064"/>
      <c r="G11939" s="3301" t="s">
        <v>676</v>
      </c>
      <c r="H11939" s="3063"/>
      <c r="I11939" s="3030"/>
    </row>
    <row r="11940" spans="2:9">
      <c r="B11940" s="3192" t="s">
        <v>677</v>
      </c>
      <c r="C11940" s="3063"/>
      <c r="D11940" s="3064"/>
      <c r="E11940" s="3064"/>
      <c r="F11940" s="3064"/>
      <c r="G11940" s="3301" t="s">
        <v>677</v>
      </c>
      <c r="H11940" s="3063"/>
      <c r="I11940" s="3030"/>
    </row>
    <row r="11941" spans="2:9">
      <c r="B11941" s="3192" t="s">
        <v>678</v>
      </c>
      <c r="C11941" s="3063"/>
      <c r="D11941" s="3064"/>
      <c r="E11941" s="3064"/>
      <c r="F11941" s="3064"/>
      <c r="G11941" s="3301" t="s">
        <v>678</v>
      </c>
      <c r="H11941" s="3063"/>
      <c r="I11941" s="3030"/>
    </row>
    <row r="11942" spans="2:9">
      <c r="B11942" s="3192" t="s">
        <v>679</v>
      </c>
      <c r="C11942" s="3063"/>
      <c r="D11942" s="3064"/>
      <c r="E11942" s="3064"/>
      <c r="F11942" s="3064"/>
      <c r="G11942" s="3301" t="s">
        <v>679</v>
      </c>
      <c r="H11942" s="3063"/>
      <c r="I11942" s="3030"/>
    </row>
    <row r="11943" spans="2:9" ht="25.5">
      <c r="B11943" s="3192" t="s">
        <v>720</v>
      </c>
      <c r="C11943" s="3063"/>
      <c r="D11943" s="3064"/>
      <c r="E11943" s="3064"/>
      <c r="F11943" s="3064"/>
      <c r="G11943" s="3301" t="s">
        <v>720</v>
      </c>
      <c r="H11943" s="3063"/>
      <c r="I11943" s="3030"/>
    </row>
    <row r="11944" spans="2:9" ht="25.5">
      <c r="B11944" s="3299" t="s">
        <v>682</v>
      </c>
      <c r="C11944" s="3063"/>
      <c r="D11944" s="3064"/>
      <c r="E11944" s="3064"/>
      <c r="F11944" s="3064"/>
      <c r="G11944" s="3300" t="s">
        <v>682</v>
      </c>
      <c r="H11944" s="3063"/>
      <c r="I11944" s="3030"/>
    </row>
    <row r="11945" spans="2:9" ht="25.5">
      <c r="B11945" s="3192" t="s">
        <v>675</v>
      </c>
      <c r="C11945" s="3063"/>
      <c r="D11945" s="3064"/>
      <c r="E11945" s="3064"/>
      <c r="F11945" s="3064"/>
      <c r="G11945" s="3301" t="s">
        <v>675</v>
      </c>
      <c r="H11945" s="3063"/>
      <c r="I11945" s="3030"/>
    </row>
    <row r="11946" spans="2:9" ht="25.5">
      <c r="B11946" s="3192" t="s">
        <v>676</v>
      </c>
      <c r="C11946" s="3063"/>
      <c r="D11946" s="3064"/>
      <c r="E11946" s="3064"/>
      <c r="F11946" s="3064"/>
      <c r="G11946" s="3301" t="s">
        <v>676</v>
      </c>
      <c r="H11946" s="3063"/>
      <c r="I11946" s="3030"/>
    </row>
    <row r="11947" spans="2:9">
      <c r="B11947" s="3192" t="s">
        <v>677</v>
      </c>
      <c r="C11947" s="3063"/>
      <c r="D11947" s="3064"/>
      <c r="E11947" s="3064"/>
      <c r="F11947" s="3064"/>
      <c r="G11947" s="3301" t="s">
        <v>677</v>
      </c>
      <c r="H11947" s="3063"/>
      <c r="I11947" s="3030"/>
    </row>
    <row r="11948" spans="2:9">
      <c r="B11948" s="3192" t="s">
        <v>678</v>
      </c>
      <c r="C11948" s="3063"/>
      <c r="D11948" s="3064"/>
      <c r="E11948" s="3064"/>
      <c r="F11948" s="3064"/>
      <c r="G11948" s="3301" t="s">
        <v>678</v>
      </c>
      <c r="H11948" s="3063"/>
      <c r="I11948" s="3030"/>
    </row>
    <row r="11949" spans="2:9">
      <c r="B11949" s="3192" t="s">
        <v>679</v>
      </c>
      <c r="C11949" s="3063"/>
      <c r="D11949" s="3064"/>
      <c r="E11949" s="3064"/>
      <c r="F11949" s="3064"/>
      <c r="G11949" s="3301" t="s">
        <v>679</v>
      </c>
      <c r="H11949" s="3063"/>
      <c r="I11949" s="3030"/>
    </row>
    <row r="11950" spans="2:9" ht="25.5">
      <c r="B11950" s="3192" t="s">
        <v>720</v>
      </c>
      <c r="C11950" s="3063"/>
      <c r="D11950" s="3064"/>
      <c r="E11950" s="3064"/>
      <c r="F11950" s="3064"/>
      <c r="G11950" s="3301" t="s">
        <v>720</v>
      </c>
      <c r="H11950" s="3063"/>
      <c r="I11950" s="3030"/>
    </row>
    <row r="11951" spans="2:9" ht="25.5">
      <c r="B11951" s="3299" t="s">
        <v>66</v>
      </c>
      <c r="C11951" s="3063"/>
      <c r="D11951" s="3064"/>
      <c r="E11951" s="3064"/>
      <c r="F11951" s="3064"/>
      <c r="G11951" s="3300" t="s">
        <v>66</v>
      </c>
      <c r="H11951" s="3063"/>
      <c r="I11951" s="3030"/>
    </row>
    <row r="11952" spans="2:9" ht="25.5">
      <c r="B11952" s="3192" t="s">
        <v>675</v>
      </c>
      <c r="C11952" s="3063"/>
      <c r="D11952" s="3064"/>
      <c r="E11952" s="3064"/>
      <c r="F11952" s="3064"/>
      <c r="G11952" s="3301" t="s">
        <v>675</v>
      </c>
      <c r="H11952" s="3063"/>
      <c r="I11952" s="3030"/>
    </row>
    <row r="11953" spans="2:9" ht="25.5">
      <c r="B11953" s="3192" t="s">
        <v>676</v>
      </c>
      <c r="C11953" s="3063"/>
      <c r="D11953" s="3064"/>
      <c r="E11953" s="3064"/>
      <c r="F11953" s="3064"/>
      <c r="G11953" s="3301" t="s">
        <v>676</v>
      </c>
      <c r="H11953" s="3063"/>
      <c r="I11953" s="3030"/>
    </row>
    <row r="11954" spans="2:9">
      <c r="B11954" s="3192" t="s">
        <v>677</v>
      </c>
      <c r="C11954" s="3063"/>
      <c r="D11954" s="3064"/>
      <c r="E11954" s="3064"/>
      <c r="F11954" s="3064"/>
      <c r="G11954" s="3301" t="s">
        <v>677</v>
      </c>
      <c r="H11954" s="3063"/>
      <c r="I11954" s="3030"/>
    </row>
    <row r="11955" spans="2:9">
      <c r="B11955" s="3192" t="s">
        <v>678</v>
      </c>
      <c r="C11955" s="3063"/>
      <c r="D11955" s="3064"/>
      <c r="E11955" s="3064"/>
      <c r="F11955" s="3064"/>
      <c r="G11955" s="3301" t="s">
        <v>678</v>
      </c>
      <c r="H11955" s="3063"/>
      <c r="I11955" s="3030"/>
    </row>
    <row r="11956" spans="2:9">
      <c r="B11956" s="3192" t="s">
        <v>679</v>
      </c>
      <c r="C11956" s="3063"/>
      <c r="D11956" s="3064"/>
      <c r="E11956" s="3064"/>
      <c r="F11956" s="3064"/>
      <c r="G11956" s="3301" t="s">
        <v>679</v>
      </c>
      <c r="H11956" s="3063"/>
      <c r="I11956" s="3030"/>
    </row>
    <row r="11957" spans="2:9" ht="25.5">
      <c r="B11957" s="3192" t="s">
        <v>720</v>
      </c>
      <c r="C11957" s="3063"/>
      <c r="D11957" s="3064"/>
      <c r="E11957" s="3064"/>
      <c r="F11957" s="3064"/>
      <c r="G11957" s="3301" t="s">
        <v>720</v>
      </c>
      <c r="H11957" s="3063"/>
      <c r="I11957" s="3030"/>
    </row>
    <row r="11958" spans="2:9">
      <c r="B11958" s="3299" t="s">
        <v>67</v>
      </c>
      <c r="C11958" s="3063"/>
      <c r="D11958" s="3064"/>
      <c r="E11958" s="3064"/>
      <c r="F11958" s="3064"/>
      <c r="G11958" s="3300" t="s">
        <v>67</v>
      </c>
      <c r="H11958" s="3063"/>
      <c r="I11958" s="3030"/>
    </row>
    <row r="11959" spans="2:9" ht="25.5">
      <c r="B11959" s="3192" t="s">
        <v>675</v>
      </c>
      <c r="C11959" s="3063"/>
      <c r="D11959" s="3064"/>
      <c r="E11959" s="3064"/>
      <c r="F11959" s="3064"/>
      <c r="G11959" s="3301" t="s">
        <v>675</v>
      </c>
      <c r="H11959" s="3063"/>
      <c r="I11959" s="3030"/>
    </row>
    <row r="11960" spans="2:9" ht="25.5">
      <c r="B11960" s="3192" t="s">
        <v>676</v>
      </c>
      <c r="C11960" s="3063"/>
      <c r="D11960" s="3064"/>
      <c r="E11960" s="3064"/>
      <c r="F11960" s="3064"/>
      <c r="G11960" s="3301" t="s">
        <v>676</v>
      </c>
      <c r="H11960" s="3063"/>
      <c r="I11960" s="3030"/>
    </row>
    <row r="11961" spans="2:9">
      <c r="B11961" s="3192" t="s">
        <v>677</v>
      </c>
      <c r="C11961" s="3063"/>
      <c r="D11961" s="3064"/>
      <c r="E11961" s="3064"/>
      <c r="F11961" s="3064"/>
      <c r="G11961" s="3301" t="s">
        <v>677</v>
      </c>
      <c r="H11961" s="3063"/>
      <c r="I11961" s="3030"/>
    </row>
    <row r="11962" spans="2:9">
      <c r="B11962" s="3192" t="s">
        <v>678</v>
      </c>
      <c r="C11962" s="3063"/>
      <c r="D11962" s="3064"/>
      <c r="E11962" s="3064"/>
      <c r="F11962" s="3064"/>
      <c r="G11962" s="3301" t="s">
        <v>678</v>
      </c>
      <c r="H11962" s="3063"/>
      <c r="I11962" s="3030"/>
    </row>
    <row r="11963" spans="2:9">
      <c r="B11963" s="3192" t="s">
        <v>679</v>
      </c>
      <c r="C11963" s="3063"/>
      <c r="D11963" s="3064"/>
      <c r="E11963" s="3064"/>
      <c r="F11963" s="3064"/>
      <c r="G11963" s="3301" t="s">
        <v>679</v>
      </c>
      <c r="H11963" s="3063"/>
      <c r="I11963" s="3030"/>
    </row>
    <row r="11964" spans="2:9" ht="25.5">
      <c r="B11964" s="3230" t="s">
        <v>81</v>
      </c>
      <c r="C11964" s="3063"/>
      <c r="D11964" s="3064"/>
      <c r="E11964" s="3064"/>
      <c r="F11964" s="3064"/>
      <c r="G11964" s="3302" t="s">
        <v>81</v>
      </c>
      <c r="H11964" s="3063"/>
      <c r="I11964" s="3030"/>
    </row>
    <row r="11965" spans="2:9" ht="26.25" thickBot="1">
      <c r="B11965" s="3303" t="s">
        <v>81</v>
      </c>
      <c r="C11965" s="3063"/>
      <c r="D11965" s="3064"/>
      <c r="E11965" s="3064"/>
      <c r="F11965" s="3064"/>
      <c r="G11965" s="3302" t="s">
        <v>81</v>
      </c>
      <c r="H11965" s="3063"/>
      <c r="I11965" s="3030"/>
    </row>
    <row r="11966" spans="2:9">
      <c r="B11966" s="3217" t="s">
        <v>697</v>
      </c>
      <c r="C11966" s="3218"/>
      <c r="D11966" s="3219"/>
      <c r="E11966" s="3219"/>
      <c r="F11966" s="3219"/>
      <c r="G11966" s="3217" t="s">
        <v>697</v>
      </c>
      <c r="H11966" s="3297"/>
      <c r="I11966" s="3298"/>
    </row>
    <row r="11967" spans="2:9">
      <c r="B11967" s="3299" t="s">
        <v>64</v>
      </c>
      <c r="C11967" s="3063"/>
      <c r="D11967" s="3064"/>
      <c r="E11967" s="3064"/>
      <c r="F11967" s="3064"/>
      <c r="G11967" s="3300" t="s">
        <v>64</v>
      </c>
      <c r="H11967" s="3063"/>
      <c r="I11967" s="3030"/>
    </row>
    <row r="11968" spans="2:9" ht="25.5">
      <c r="B11968" s="3192" t="s">
        <v>675</v>
      </c>
      <c r="C11968" s="3063"/>
      <c r="D11968" s="3064"/>
      <c r="E11968" s="3064"/>
      <c r="F11968" s="3064"/>
      <c r="G11968" s="3301" t="s">
        <v>675</v>
      </c>
      <c r="H11968" s="3063"/>
      <c r="I11968" s="3030"/>
    </row>
    <row r="11969" spans="2:9" ht="25.5">
      <c r="B11969" s="3192" t="s">
        <v>676</v>
      </c>
      <c r="C11969" s="3063"/>
      <c r="D11969" s="3064"/>
      <c r="E11969" s="3064"/>
      <c r="F11969" s="3064"/>
      <c r="G11969" s="3301" t="s">
        <v>676</v>
      </c>
      <c r="H11969" s="3063"/>
      <c r="I11969" s="3030"/>
    </row>
    <row r="11970" spans="2:9">
      <c r="B11970" s="3192" t="s">
        <v>677</v>
      </c>
      <c r="C11970" s="3063"/>
      <c r="D11970" s="3064"/>
      <c r="E11970" s="3064"/>
      <c r="F11970" s="3064"/>
      <c r="G11970" s="3301" t="s">
        <v>677</v>
      </c>
      <c r="H11970" s="3063"/>
      <c r="I11970" s="3030"/>
    </row>
    <row r="11971" spans="2:9">
      <c r="B11971" s="3192" t="s">
        <v>678</v>
      </c>
      <c r="C11971" s="3063"/>
      <c r="D11971" s="3064"/>
      <c r="E11971" s="3064"/>
      <c r="F11971" s="3064"/>
      <c r="G11971" s="3301" t="s">
        <v>678</v>
      </c>
      <c r="H11971" s="3063"/>
      <c r="I11971" s="3030"/>
    </row>
    <row r="11972" spans="2:9">
      <c r="B11972" s="3192" t="s">
        <v>679</v>
      </c>
      <c r="C11972" s="3063"/>
      <c r="D11972" s="3064"/>
      <c r="E11972" s="3064"/>
      <c r="F11972" s="3064"/>
      <c r="G11972" s="3301" t="s">
        <v>679</v>
      </c>
      <c r="H11972" s="3063"/>
      <c r="I11972" s="3030"/>
    </row>
    <row r="11973" spans="2:9" ht="25.5">
      <c r="B11973" s="3192" t="s">
        <v>720</v>
      </c>
      <c r="C11973" s="3063"/>
      <c r="D11973" s="3064"/>
      <c r="E11973" s="3064"/>
      <c r="F11973" s="3064"/>
      <c r="G11973" s="3301" t="s">
        <v>720</v>
      </c>
      <c r="H11973" s="3063"/>
      <c r="I11973" s="3030"/>
    </row>
    <row r="11974" spans="2:9">
      <c r="B11974" s="3299" t="s">
        <v>65</v>
      </c>
      <c r="C11974" s="3063"/>
      <c r="D11974" s="3064"/>
      <c r="E11974" s="3064"/>
      <c r="F11974" s="3064"/>
      <c r="G11974" s="3300" t="s">
        <v>65</v>
      </c>
      <c r="H11974" s="3063"/>
      <c r="I11974" s="3030"/>
    </row>
    <row r="11975" spans="2:9" ht="25.5">
      <c r="B11975" s="3192" t="s">
        <v>675</v>
      </c>
      <c r="C11975" s="3063"/>
      <c r="D11975" s="3064"/>
      <c r="E11975" s="3064"/>
      <c r="F11975" s="3064"/>
      <c r="G11975" s="3301" t="s">
        <v>675</v>
      </c>
      <c r="H11975" s="3063"/>
      <c r="I11975" s="3030"/>
    </row>
    <row r="11976" spans="2:9" ht="25.5">
      <c r="B11976" s="3192" t="s">
        <v>676</v>
      </c>
      <c r="C11976" s="3063"/>
      <c r="D11976" s="3064"/>
      <c r="E11976" s="3064"/>
      <c r="F11976" s="3064"/>
      <c r="G11976" s="3301" t="s">
        <v>676</v>
      </c>
      <c r="H11976" s="3063"/>
      <c r="I11976" s="3030"/>
    </row>
    <row r="11977" spans="2:9">
      <c r="B11977" s="3192" t="s">
        <v>677</v>
      </c>
      <c r="C11977" s="3063"/>
      <c r="D11977" s="3064"/>
      <c r="E11977" s="3064"/>
      <c r="F11977" s="3064"/>
      <c r="G11977" s="3301" t="s">
        <v>677</v>
      </c>
      <c r="H11977" s="3063"/>
      <c r="I11977" s="3030"/>
    </row>
    <row r="11978" spans="2:9">
      <c r="B11978" s="3192" t="s">
        <v>678</v>
      </c>
      <c r="C11978" s="3063"/>
      <c r="D11978" s="3064"/>
      <c r="E11978" s="3064"/>
      <c r="F11978" s="3064"/>
      <c r="G11978" s="3301" t="s">
        <v>678</v>
      </c>
      <c r="H11978" s="3063"/>
      <c r="I11978" s="3030"/>
    </row>
    <row r="11979" spans="2:9">
      <c r="B11979" s="3192" t="s">
        <v>679</v>
      </c>
      <c r="C11979" s="3063"/>
      <c r="D11979" s="3064"/>
      <c r="E11979" s="3064"/>
      <c r="F11979" s="3064"/>
      <c r="G11979" s="3301" t="s">
        <v>679</v>
      </c>
      <c r="H11979" s="3063"/>
      <c r="I11979" s="3030"/>
    </row>
    <row r="11980" spans="2:9" ht="25.5">
      <c r="B11980" s="3192" t="s">
        <v>720</v>
      </c>
      <c r="C11980" s="3063"/>
      <c r="D11980" s="3064"/>
      <c r="E11980" s="3064"/>
      <c r="F11980" s="3064"/>
      <c r="G11980" s="3301" t="s">
        <v>720</v>
      </c>
      <c r="H11980" s="3063"/>
      <c r="I11980" s="3030"/>
    </row>
    <row r="11981" spans="2:9">
      <c r="B11981" s="3299" t="s">
        <v>82</v>
      </c>
      <c r="C11981" s="3063"/>
      <c r="D11981" s="3064"/>
      <c r="E11981" s="3064"/>
      <c r="F11981" s="3064"/>
      <c r="G11981" s="3300" t="s">
        <v>82</v>
      </c>
      <c r="H11981" s="3063"/>
      <c r="I11981" s="3030"/>
    </row>
    <row r="11982" spans="2:9" ht="25.5">
      <c r="B11982" s="3192" t="s">
        <v>675</v>
      </c>
      <c r="C11982" s="3063"/>
      <c r="D11982" s="3064"/>
      <c r="E11982" s="3064"/>
      <c r="F11982" s="3064"/>
      <c r="G11982" s="3301" t="s">
        <v>675</v>
      </c>
      <c r="H11982" s="3063"/>
      <c r="I11982" s="3030"/>
    </row>
    <row r="11983" spans="2:9" ht="25.5">
      <c r="B11983" s="3192" t="s">
        <v>676</v>
      </c>
      <c r="C11983" s="3063"/>
      <c r="D11983" s="3064"/>
      <c r="E11983" s="3064"/>
      <c r="F11983" s="3064"/>
      <c r="G11983" s="3301" t="s">
        <v>676</v>
      </c>
      <c r="H11983" s="3063"/>
      <c r="I11983" s="3030"/>
    </row>
    <row r="11984" spans="2:9">
      <c r="B11984" s="3192" t="s">
        <v>677</v>
      </c>
      <c r="C11984" s="3063"/>
      <c r="D11984" s="3064"/>
      <c r="E11984" s="3064"/>
      <c r="F11984" s="3064"/>
      <c r="G11984" s="3301" t="s">
        <v>677</v>
      </c>
      <c r="H11984" s="3063"/>
      <c r="I11984" s="3030"/>
    </row>
    <row r="11985" spans="2:9">
      <c r="B11985" s="3192" t="s">
        <v>678</v>
      </c>
      <c r="C11985" s="3063"/>
      <c r="D11985" s="3064"/>
      <c r="E11985" s="3064"/>
      <c r="F11985" s="3064"/>
      <c r="G11985" s="3301" t="s">
        <v>678</v>
      </c>
      <c r="H11985" s="3063"/>
      <c r="I11985" s="3030"/>
    </row>
    <row r="11986" spans="2:9">
      <c r="B11986" s="3192" t="s">
        <v>679</v>
      </c>
      <c r="C11986" s="3063"/>
      <c r="D11986" s="3064"/>
      <c r="E11986" s="3064"/>
      <c r="F11986" s="3064"/>
      <c r="G11986" s="3301" t="s">
        <v>679</v>
      </c>
      <c r="H11986" s="3063"/>
      <c r="I11986" s="3030"/>
    </row>
    <row r="11987" spans="2:9" ht="25.5">
      <c r="B11987" s="3192" t="s">
        <v>720</v>
      </c>
      <c r="C11987" s="3063"/>
      <c r="D11987" s="3064"/>
      <c r="E11987" s="3064"/>
      <c r="F11987" s="3064"/>
      <c r="G11987" s="3301" t="s">
        <v>720</v>
      </c>
      <c r="H11987" s="3063"/>
      <c r="I11987" s="3030"/>
    </row>
    <row r="11988" spans="2:9" ht="38.25">
      <c r="B11988" s="3299" t="s">
        <v>680</v>
      </c>
      <c r="C11988" s="3063"/>
      <c r="D11988" s="3064"/>
      <c r="E11988" s="3064"/>
      <c r="F11988" s="3064"/>
      <c r="G11988" s="3300" t="s">
        <v>680</v>
      </c>
      <c r="H11988" s="3063"/>
      <c r="I11988" s="3030"/>
    </row>
    <row r="11989" spans="2:9" ht="25.5">
      <c r="B11989" s="3192" t="s">
        <v>675</v>
      </c>
      <c r="C11989" s="3063"/>
      <c r="D11989" s="3064"/>
      <c r="E11989" s="3064"/>
      <c r="F11989" s="3064"/>
      <c r="G11989" s="3301" t="s">
        <v>675</v>
      </c>
      <c r="H11989" s="3063"/>
      <c r="I11989" s="3030"/>
    </row>
    <row r="11990" spans="2:9" ht="25.5">
      <c r="B11990" s="3192" t="s">
        <v>676</v>
      </c>
      <c r="C11990" s="3063"/>
      <c r="D11990" s="3064"/>
      <c r="E11990" s="3064"/>
      <c r="F11990" s="3064"/>
      <c r="G11990" s="3301" t="s">
        <v>676</v>
      </c>
      <c r="H11990" s="3063"/>
      <c r="I11990" s="3030"/>
    </row>
    <row r="11991" spans="2:9">
      <c r="B11991" s="3192" t="s">
        <v>677</v>
      </c>
      <c r="C11991" s="3063"/>
      <c r="D11991" s="3064"/>
      <c r="E11991" s="3064"/>
      <c r="F11991" s="3064"/>
      <c r="G11991" s="3301" t="s">
        <v>677</v>
      </c>
      <c r="H11991" s="3063"/>
      <c r="I11991" s="3030"/>
    </row>
    <row r="11992" spans="2:9">
      <c r="B11992" s="3192" t="s">
        <v>678</v>
      </c>
      <c r="C11992" s="3063"/>
      <c r="D11992" s="3064"/>
      <c r="E11992" s="3064"/>
      <c r="F11992" s="3064"/>
      <c r="G11992" s="3301" t="s">
        <v>678</v>
      </c>
      <c r="H11992" s="3063"/>
      <c r="I11992" s="3030"/>
    </row>
    <row r="11993" spans="2:9">
      <c r="B11993" s="3192" t="s">
        <v>679</v>
      </c>
      <c r="C11993" s="3063"/>
      <c r="D11993" s="3064"/>
      <c r="E11993" s="3064"/>
      <c r="F11993" s="3064"/>
      <c r="G11993" s="3301" t="s">
        <v>679</v>
      </c>
      <c r="H11993" s="3063"/>
      <c r="I11993" s="3030"/>
    </row>
    <row r="11994" spans="2:9" ht="25.5">
      <c r="B11994" s="3192" t="s">
        <v>720</v>
      </c>
      <c r="C11994" s="3063"/>
      <c r="D11994" s="3064"/>
      <c r="E11994" s="3064"/>
      <c r="F11994" s="3064"/>
      <c r="G11994" s="3301" t="s">
        <v>720</v>
      </c>
      <c r="H11994" s="3063"/>
      <c r="I11994" s="3030"/>
    </row>
    <row r="11995" spans="2:9" ht="38.25">
      <c r="B11995" s="3299" t="s">
        <v>681</v>
      </c>
      <c r="C11995" s="3063"/>
      <c r="D11995" s="3064"/>
      <c r="E11995" s="3064"/>
      <c r="F11995" s="3064"/>
      <c r="G11995" s="3300" t="s">
        <v>681</v>
      </c>
      <c r="H11995" s="3063">
        <v>6.7499156260546742E-2</v>
      </c>
      <c r="I11995" s="3030"/>
    </row>
    <row r="11996" spans="2:9" ht="25.5">
      <c r="B11996" s="3192" t="s">
        <v>675</v>
      </c>
      <c r="C11996" s="3063"/>
      <c r="D11996" s="3064"/>
      <c r="E11996" s="3064"/>
      <c r="F11996" s="3064"/>
      <c r="G11996" s="3301" t="s">
        <v>675</v>
      </c>
      <c r="H11996" s="3063"/>
      <c r="I11996" s="3030"/>
    </row>
    <row r="11997" spans="2:9" ht="25.5">
      <c r="B11997" s="3192" t="s">
        <v>676</v>
      </c>
      <c r="C11997" s="3063"/>
      <c r="D11997" s="3064"/>
      <c r="E11997" s="3064"/>
      <c r="F11997" s="3064"/>
      <c r="G11997" s="3301" t="s">
        <v>676</v>
      </c>
      <c r="H11997" s="3063"/>
      <c r="I11997" s="3030"/>
    </row>
    <row r="11998" spans="2:9">
      <c r="B11998" s="3192" t="s">
        <v>677</v>
      </c>
      <c r="C11998" s="3063"/>
      <c r="D11998" s="3064"/>
      <c r="E11998" s="3064"/>
      <c r="F11998" s="3064"/>
      <c r="G11998" s="3301" t="s">
        <v>677</v>
      </c>
      <c r="H11998" s="3063"/>
      <c r="I11998" s="3030"/>
    </row>
    <row r="11999" spans="2:9">
      <c r="B11999" s="3192" t="s">
        <v>678</v>
      </c>
      <c r="C11999" s="3063"/>
      <c r="D11999" s="3064"/>
      <c r="E11999" s="3064"/>
      <c r="F11999" s="3064"/>
      <c r="G11999" s="3301" t="s">
        <v>678</v>
      </c>
      <c r="H11999" s="3063"/>
      <c r="I11999" s="3030"/>
    </row>
    <row r="12000" spans="2:9">
      <c r="B12000" s="3192" t="s">
        <v>679</v>
      </c>
      <c r="C12000" s="3063"/>
      <c r="D12000" s="3064">
        <v>1</v>
      </c>
      <c r="E12000" s="3064"/>
      <c r="F12000" s="3064"/>
      <c r="G12000" s="3301" t="s">
        <v>679</v>
      </c>
      <c r="H12000" s="3063"/>
      <c r="I12000" s="3030"/>
    </row>
    <row r="12001" spans="2:9" ht="25.5">
      <c r="B12001" s="3192" t="s">
        <v>720</v>
      </c>
      <c r="C12001" s="3063"/>
      <c r="D12001" s="3064"/>
      <c r="E12001" s="3064"/>
      <c r="F12001" s="3064"/>
      <c r="G12001" s="3301" t="s">
        <v>720</v>
      </c>
      <c r="H12001" s="3063"/>
      <c r="I12001" s="3030"/>
    </row>
    <row r="12002" spans="2:9" ht="25.5">
      <c r="B12002" s="3299" t="s">
        <v>682</v>
      </c>
      <c r="C12002" s="3063"/>
      <c r="D12002" s="3064"/>
      <c r="E12002" s="3064"/>
      <c r="F12002" s="3064"/>
      <c r="G12002" s="3300" t="s">
        <v>682</v>
      </c>
      <c r="H12002" s="3063"/>
      <c r="I12002" s="3030"/>
    </row>
    <row r="12003" spans="2:9" ht="25.5">
      <c r="B12003" s="3192" t="s">
        <v>675</v>
      </c>
      <c r="C12003" s="3063"/>
      <c r="D12003" s="3064"/>
      <c r="E12003" s="3064"/>
      <c r="F12003" s="3064"/>
      <c r="G12003" s="3301" t="s">
        <v>675</v>
      </c>
      <c r="H12003" s="3063"/>
      <c r="I12003" s="3030"/>
    </row>
    <row r="12004" spans="2:9" ht="25.5">
      <c r="B12004" s="3192" t="s">
        <v>676</v>
      </c>
      <c r="C12004" s="3063"/>
      <c r="D12004" s="3064"/>
      <c r="E12004" s="3064"/>
      <c r="F12004" s="3064"/>
      <c r="G12004" s="3301" t="s">
        <v>676</v>
      </c>
      <c r="H12004" s="3063"/>
      <c r="I12004" s="3030"/>
    </row>
    <row r="12005" spans="2:9">
      <c r="B12005" s="3192" t="s">
        <v>677</v>
      </c>
      <c r="C12005" s="3063"/>
      <c r="D12005" s="3064"/>
      <c r="E12005" s="3064"/>
      <c r="F12005" s="3064"/>
      <c r="G12005" s="3301" t="s">
        <v>677</v>
      </c>
      <c r="H12005" s="3063"/>
      <c r="I12005" s="3030"/>
    </row>
    <row r="12006" spans="2:9">
      <c r="B12006" s="3192" t="s">
        <v>678</v>
      </c>
      <c r="C12006" s="3063"/>
      <c r="D12006" s="3064"/>
      <c r="E12006" s="3064"/>
      <c r="F12006" s="3064"/>
      <c r="G12006" s="3301" t="s">
        <v>678</v>
      </c>
      <c r="H12006" s="3063"/>
      <c r="I12006" s="3030"/>
    </row>
    <row r="12007" spans="2:9">
      <c r="B12007" s="3192" t="s">
        <v>679</v>
      </c>
      <c r="C12007" s="3063"/>
      <c r="D12007" s="3064"/>
      <c r="E12007" s="3064"/>
      <c r="F12007" s="3064"/>
      <c r="G12007" s="3301" t="s">
        <v>679</v>
      </c>
      <c r="H12007" s="3063"/>
      <c r="I12007" s="3030"/>
    </row>
    <row r="12008" spans="2:9" ht="25.5">
      <c r="B12008" s="3192" t="s">
        <v>720</v>
      </c>
      <c r="C12008" s="3063"/>
      <c r="D12008" s="3064"/>
      <c r="E12008" s="3064"/>
      <c r="F12008" s="3064"/>
      <c r="G12008" s="3301" t="s">
        <v>720</v>
      </c>
      <c r="H12008" s="3063"/>
      <c r="I12008" s="3030"/>
    </row>
    <row r="12009" spans="2:9" ht="25.5">
      <c r="B12009" s="3299" t="s">
        <v>66</v>
      </c>
      <c r="C12009" s="3063"/>
      <c r="D12009" s="3064"/>
      <c r="E12009" s="3064"/>
      <c r="F12009" s="3064"/>
      <c r="G12009" s="3300" t="s">
        <v>66</v>
      </c>
      <c r="H12009" s="3063"/>
      <c r="I12009" s="3030"/>
    </row>
    <row r="12010" spans="2:9" ht="25.5">
      <c r="B12010" s="3192" t="s">
        <v>675</v>
      </c>
      <c r="C12010" s="3063"/>
      <c r="D12010" s="3064"/>
      <c r="E12010" s="3064"/>
      <c r="F12010" s="3064"/>
      <c r="G12010" s="3301" t="s">
        <v>675</v>
      </c>
      <c r="H12010" s="3063"/>
      <c r="I12010" s="3030"/>
    </row>
    <row r="12011" spans="2:9" ht="25.5">
      <c r="B12011" s="3192" t="s">
        <v>676</v>
      </c>
      <c r="C12011" s="3063"/>
      <c r="D12011" s="3064"/>
      <c r="E12011" s="3064"/>
      <c r="F12011" s="3064"/>
      <c r="G12011" s="3301" t="s">
        <v>676</v>
      </c>
      <c r="H12011" s="3063"/>
      <c r="I12011" s="3030"/>
    </row>
    <row r="12012" spans="2:9">
      <c r="B12012" s="3192" t="s">
        <v>677</v>
      </c>
      <c r="C12012" s="3063"/>
      <c r="D12012" s="3064"/>
      <c r="E12012" s="3064"/>
      <c r="F12012" s="3064"/>
      <c r="G12012" s="3301" t="s">
        <v>677</v>
      </c>
      <c r="H12012" s="3063"/>
      <c r="I12012" s="3030"/>
    </row>
    <row r="12013" spans="2:9">
      <c r="B12013" s="3192" t="s">
        <v>678</v>
      </c>
      <c r="C12013" s="3063"/>
      <c r="D12013" s="3064"/>
      <c r="E12013" s="3064"/>
      <c r="F12013" s="3064"/>
      <c r="G12013" s="3301" t="s">
        <v>678</v>
      </c>
      <c r="H12013" s="3063"/>
      <c r="I12013" s="3030"/>
    </row>
    <row r="12014" spans="2:9">
      <c r="B12014" s="3192" t="s">
        <v>679</v>
      </c>
      <c r="C12014" s="3063"/>
      <c r="D12014" s="3064"/>
      <c r="E12014" s="3064"/>
      <c r="F12014" s="3064"/>
      <c r="G12014" s="3301" t="s">
        <v>679</v>
      </c>
      <c r="H12014" s="3063"/>
      <c r="I12014" s="3030"/>
    </row>
    <row r="12015" spans="2:9" ht="25.5">
      <c r="B12015" s="3192" t="s">
        <v>720</v>
      </c>
      <c r="C12015" s="3063"/>
      <c r="D12015" s="3064"/>
      <c r="E12015" s="3064"/>
      <c r="F12015" s="3064"/>
      <c r="G12015" s="3301" t="s">
        <v>720</v>
      </c>
      <c r="H12015" s="3063"/>
      <c r="I12015" s="3030"/>
    </row>
    <row r="12016" spans="2:9">
      <c r="B12016" s="3299" t="s">
        <v>67</v>
      </c>
      <c r="C12016" s="3063"/>
      <c r="D12016" s="3064"/>
      <c r="E12016" s="3064"/>
      <c r="F12016" s="3064"/>
      <c r="G12016" s="3300" t="s">
        <v>67</v>
      </c>
      <c r="H12016" s="3063"/>
      <c r="I12016" s="3030"/>
    </row>
    <row r="12017" spans="2:9" ht="25.5">
      <c r="B12017" s="3192" t="s">
        <v>675</v>
      </c>
      <c r="C12017" s="3063"/>
      <c r="D12017" s="3064"/>
      <c r="E12017" s="3064"/>
      <c r="F12017" s="3064"/>
      <c r="G12017" s="3301" t="s">
        <v>675</v>
      </c>
      <c r="H12017" s="3063"/>
      <c r="I12017" s="3030"/>
    </row>
    <row r="12018" spans="2:9" ht="25.5">
      <c r="B12018" s="3192" t="s">
        <v>676</v>
      </c>
      <c r="C12018" s="3063"/>
      <c r="D12018" s="3064"/>
      <c r="E12018" s="3064"/>
      <c r="F12018" s="3064"/>
      <c r="G12018" s="3301" t="s">
        <v>676</v>
      </c>
      <c r="H12018" s="3063"/>
      <c r="I12018" s="3030"/>
    </row>
    <row r="12019" spans="2:9">
      <c r="B12019" s="3192" t="s">
        <v>677</v>
      </c>
      <c r="C12019" s="3063"/>
      <c r="D12019" s="3064"/>
      <c r="E12019" s="3064"/>
      <c r="F12019" s="3064"/>
      <c r="G12019" s="3301" t="s">
        <v>677</v>
      </c>
      <c r="H12019" s="3063"/>
      <c r="I12019" s="3030"/>
    </row>
    <row r="12020" spans="2:9">
      <c r="B12020" s="3192" t="s">
        <v>678</v>
      </c>
      <c r="C12020" s="3063"/>
      <c r="D12020" s="3064"/>
      <c r="E12020" s="3064"/>
      <c r="F12020" s="3064"/>
      <c r="G12020" s="3301" t="s">
        <v>678</v>
      </c>
      <c r="H12020" s="3063"/>
      <c r="I12020" s="3030"/>
    </row>
    <row r="12021" spans="2:9">
      <c r="B12021" s="3192" t="s">
        <v>679</v>
      </c>
      <c r="C12021" s="3063"/>
      <c r="D12021" s="3064"/>
      <c r="E12021" s="3064"/>
      <c r="F12021" s="3064"/>
      <c r="G12021" s="3301" t="s">
        <v>679</v>
      </c>
      <c r="H12021" s="3063"/>
      <c r="I12021" s="3030"/>
    </row>
    <row r="12022" spans="2:9" ht="25.5">
      <c r="B12022" s="3230" t="s">
        <v>81</v>
      </c>
      <c r="C12022" s="3063"/>
      <c r="D12022" s="3064"/>
      <c r="E12022" s="3064"/>
      <c r="F12022" s="3064"/>
      <c r="G12022" s="3302" t="s">
        <v>81</v>
      </c>
      <c r="H12022" s="3063"/>
      <c r="I12022" s="3030"/>
    </row>
    <row r="12023" spans="2:9" ht="26.25" thickBot="1">
      <c r="B12023" s="3303" t="s">
        <v>81</v>
      </c>
      <c r="C12023" s="3068"/>
      <c r="D12023" s="3069"/>
      <c r="E12023" s="3069"/>
      <c r="F12023" s="3069"/>
      <c r="G12023" s="3304" t="s">
        <v>81</v>
      </c>
      <c r="H12023" s="3068"/>
      <c r="I12023" s="3070"/>
    </row>
    <row r="12024" spans="2:9" ht="38.25">
      <c r="B12024" s="4723">
        <v>3284</v>
      </c>
      <c r="C12024" s="3289"/>
      <c r="D12024" s="3290"/>
      <c r="E12024" s="3290"/>
      <c r="F12024" s="3290"/>
      <c r="G12024" s="4723">
        <v>3284</v>
      </c>
      <c r="H12024" s="3291" t="s">
        <v>687</v>
      </c>
      <c r="I12024" s="3292" t="s">
        <v>688</v>
      </c>
    </row>
    <row r="12025" spans="2:9">
      <c r="B12025" s="4724"/>
      <c r="C12025" s="4678" t="s">
        <v>686</v>
      </c>
      <c r="D12025" s="4725"/>
      <c r="E12025" s="4725"/>
      <c r="F12025" s="4726"/>
      <c r="G12025" s="4724"/>
      <c r="H12025" s="3293"/>
      <c r="I12025" s="3294"/>
    </row>
    <row r="12026" spans="2:9" ht="13.5" thickBot="1">
      <c r="B12026" s="4724"/>
      <c r="C12026" s="3215">
        <v>2013</v>
      </c>
      <c r="D12026" s="3215">
        <v>2014</v>
      </c>
      <c r="E12026" s="3215">
        <v>2015</v>
      </c>
      <c r="F12026" s="3215">
        <v>2016</v>
      </c>
      <c r="G12026" s="4724"/>
      <c r="H12026" s="3295" t="s">
        <v>390</v>
      </c>
      <c r="I12026" s="3296" t="s">
        <v>390</v>
      </c>
    </row>
    <row r="12027" spans="2:9">
      <c r="B12027" s="3217" t="s">
        <v>695</v>
      </c>
      <c r="C12027" s="3218"/>
      <c r="D12027" s="3219"/>
      <c r="E12027" s="3219"/>
      <c r="F12027" s="3219"/>
      <c r="G12027" s="3217" t="s">
        <v>695</v>
      </c>
      <c r="H12027" s="3297"/>
      <c r="I12027" s="3298"/>
    </row>
    <row r="12028" spans="2:9">
      <c r="B12028" s="3299" t="s">
        <v>64</v>
      </c>
      <c r="C12028" s="3063"/>
      <c r="D12028" s="3064"/>
      <c r="E12028" s="3064"/>
      <c r="F12028" s="3064"/>
      <c r="G12028" s="3300" t="s">
        <v>64</v>
      </c>
      <c r="H12028" s="3063"/>
      <c r="I12028" s="3030"/>
    </row>
    <row r="12029" spans="2:9" ht="25.5">
      <c r="B12029" s="3192" t="s">
        <v>675</v>
      </c>
      <c r="C12029" s="3063"/>
      <c r="D12029" s="3064"/>
      <c r="E12029" s="3064"/>
      <c r="F12029" s="3064"/>
      <c r="G12029" s="3301" t="s">
        <v>675</v>
      </c>
      <c r="H12029" s="3063"/>
      <c r="I12029" s="3030"/>
    </row>
    <row r="12030" spans="2:9" ht="25.5">
      <c r="B12030" s="3192" t="s">
        <v>676</v>
      </c>
      <c r="C12030" s="3063"/>
      <c r="D12030" s="3064"/>
      <c r="E12030" s="3064"/>
      <c r="F12030" s="3064"/>
      <c r="G12030" s="3301" t="s">
        <v>676</v>
      </c>
      <c r="H12030" s="3063"/>
      <c r="I12030" s="3030"/>
    </row>
    <row r="12031" spans="2:9">
      <c r="B12031" s="3192" t="s">
        <v>677</v>
      </c>
      <c r="C12031" s="3063"/>
      <c r="D12031" s="3064"/>
      <c r="E12031" s="3064"/>
      <c r="F12031" s="3064"/>
      <c r="G12031" s="3301" t="s">
        <v>677</v>
      </c>
      <c r="H12031" s="3063"/>
      <c r="I12031" s="3030"/>
    </row>
    <row r="12032" spans="2:9">
      <c r="B12032" s="3192" t="s">
        <v>678</v>
      </c>
      <c r="C12032" s="3063"/>
      <c r="D12032" s="3064"/>
      <c r="E12032" s="3064"/>
      <c r="F12032" s="3064"/>
      <c r="G12032" s="3301" t="s">
        <v>678</v>
      </c>
      <c r="H12032" s="3063"/>
      <c r="I12032" s="3030"/>
    </row>
    <row r="12033" spans="2:9">
      <c r="B12033" s="3192" t="s">
        <v>679</v>
      </c>
      <c r="C12033" s="3063"/>
      <c r="D12033" s="3064"/>
      <c r="E12033" s="3064"/>
      <c r="F12033" s="3064"/>
      <c r="G12033" s="3301" t="s">
        <v>679</v>
      </c>
      <c r="H12033" s="3063"/>
      <c r="I12033" s="3030"/>
    </row>
    <row r="12034" spans="2:9" ht="25.5">
      <c r="B12034" s="3192" t="s">
        <v>720</v>
      </c>
      <c r="C12034" s="3063"/>
      <c r="D12034" s="3064"/>
      <c r="E12034" s="3064"/>
      <c r="F12034" s="3064"/>
      <c r="G12034" s="3301" t="s">
        <v>720</v>
      </c>
      <c r="H12034" s="3063"/>
      <c r="I12034" s="3030"/>
    </row>
    <row r="12035" spans="2:9">
      <c r="B12035" s="3299" t="s">
        <v>65</v>
      </c>
      <c r="C12035" s="3063"/>
      <c r="D12035" s="3064"/>
      <c r="E12035" s="3064"/>
      <c r="F12035" s="3064"/>
      <c r="G12035" s="3300" t="s">
        <v>65</v>
      </c>
      <c r="H12035" s="3063"/>
      <c r="I12035" s="3030"/>
    </row>
    <row r="12036" spans="2:9" ht="25.5">
      <c r="B12036" s="3192" t="s">
        <v>675</v>
      </c>
      <c r="C12036" s="3063"/>
      <c r="D12036" s="3064"/>
      <c r="E12036" s="3064"/>
      <c r="F12036" s="3064"/>
      <c r="G12036" s="3301" t="s">
        <v>675</v>
      </c>
      <c r="H12036" s="3063"/>
      <c r="I12036" s="3030"/>
    </row>
    <row r="12037" spans="2:9" ht="25.5">
      <c r="B12037" s="3192" t="s">
        <v>676</v>
      </c>
      <c r="C12037" s="3063"/>
      <c r="D12037" s="3064"/>
      <c r="E12037" s="3064"/>
      <c r="F12037" s="3064"/>
      <c r="G12037" s="3301" t="s">
        <v>676</v>
      </c>
      <c r="H12037" s="3063"/>
      <c r="I12037" s="3030"/>
    </row>
    <row r="12038" spans="2:9">
      <c r="B12038" s="3192" t="s">
        <v>677</v>
      </c>
      <c r="C12038" s="3063"/>
      <c r="D12038" s="3064"/>
      <c r="E12038" s="3064"/>
      <c r="F12038" s="3064"/>
      <c r="G12038" s="3301" t="s">
        <v>677</v>
      </c>
      <c r="H12038" s="3063"/>
      <c r="I12038" s="3030"/>
    </row>
    <row r="12039" spans="2:9">
      <c r="B12039" s="3192" t="s">
        <v>678</v>
      </c>
      <c r="C12039" s="3063"/>
      <c r="D12039" s="3064"/>
      <c r="E12039" s="3064"/>
      <c r="F12039" s="3064"/>
      <c r="G12039" s="3301" t="s">
        <v>678</v>
      </c>
      <c r="H12039" s="3063"/>
      <c r="I12039" s="3030"/>
    </row>
    <row r="12040" spans="2:9">
      <c r="B12040" s="3192" t="s">
        <v>679</v>
      </c>
      <c r="C12040" s="3063"/>
      <c r="D12040" s="3064"/>
      <c r="E12040" s="3064"/>
      <c r="F12040" s="3064"/>
      <c r="G12040" s="3301" t="s">
        <v>679</v>
      </c>
      <c r="H12040" s="3063"/>
      <c r="I12040" s="3030"/>
    </row>
    <row r="12041" spans="2:9" ht="25.5">
      <c r="B12041" s="3192" t="s">
        <v>720</v>
      </c>
      <c r="C12041" s="3063"/>
      <c r="D12041" s="3064"/>
      <c r="E12041" s="3064"/>
      <c r="F12041" s="3064"/>
      <c r="G12041" s="3301" t="s">
        <v>720</v>
      </c>
      <c r="H12041" s="3063"/>
      <c r="I12041" s="3030"/>
    </row>
    <row r="12042" spans="2:9">
      <c r="B12042" s="3299" t="s">
        <v>82</v>
      </c>
      <c r="C12042" s="3063"/>
      <c r="D12042" s="3064"/>
      <c r="E12042" s="3064"/>
      <c r="F12042" s="3064"/>
      <c r="G12042" s="3300" t="s">
        <v>82</v>
      </c>
      <c r="H12042" s="3063"/>
      <c r="I12042" s="3030"/>
    </row>
    <row r="12043" spans="2:9" ht="25.5">
      <c r="B12043" s="3192" t="s">
        <v>675</v>
      </c>
      <c r="C12043" s="3063"/>
      <c r="D12043" s="3064"/>
      <c r="E12043" s="3064"/>
      <c r="F12043" s="3064"/>
      <c r="G12043" s="3301" t="s">
        <v>675</v>
      </c>
      <c r="H12043" s="3063"/>
      <c r="I12043" s="3030"/>
    </row>
    <row r="12044" spans="2:9" ht="25.5">
      <c r="B12044" s="3192" t="s">
        <v>676</v>
      </c>
      <c r="C12044" s="3063"/>
      <c r="D12044" s="3064"/>
      <c r="E12044" s="3064"/>
      <c r="F12044" s="3064"/>
      <c r="G12044" s="3301" t="s">
        <v>676</v>
      </c>
      <c r="H12044" s="3063"/>
      <c r="I12044" s="3030"/>
    </row>
    <row r="12045" spans="2:9">
      <c r="B12045" s="3192" t="s">
        <v>677</v>
      </c>
      <c r="C12045" s="3063"/>
      <c r="D12045" s="3064"/>
      <c r="E12045" s="3064"/>
      <c r="F12045" s="3064"/>
      <c r="G12045" s="3301" t="s">
        <v>677</v>
      </c>
      <c r="H12045" s="3063"/>
      <c r="I12045" s="3030"/>
    </row>
    <row r="12046" spans="2:9">
      <c r="B12046" s="3192" t="s">
        <v>678</v>
      </c>
      <c r="C12046" s="3063"/>
      <c r="D12046" s="3064"/>
      <c r="E12046" s="3064"/>
      <c r="F12046" s="3064"/>
      <c r="G12046" s="3301" t="s">
        <v>678</v>
      </c>
      <c r="H12046" s="3063"/>
      <c r="I12046" s="3030"/>
    </row>
    <row r="12047" spans="2:9">
      <c r="B12047" s="3192" t="s">
        <v>679</v>
      </c>
      <c r="C12047" s="3063"/>
      <c r="D12047" s="3064"/>
      <c r="E12047" s="3064"/>
      <c r="F12047" s="3064"/>
      <c r="G12047" s="3301" t="s">
        <v>679</v>
      </c>
      <c r="H12047" s="3063"/>
      <c r="I12047" s="3030"/>
    </row>
    <row r="12048" spans="2:9" ht="25.5">
      <c r="B12048" s="3192" t="s">
        <v>720</v>
      </c>
      <c r="C12048" s="3063"/>
      <c r="D12048" s="3064"/>
      <c r="E12048" s="3064"/>
      <c r="F12048" s="3064"/>
      <c r="G12048" s="3301" t="s">
        <v>720</v>
      </c>
      <c r="H12048" s="3063"/>
      <c r="I12048" s="3030"/>
    </row>
    <row r="12049" spans="2:9" ht="38.25">
      <c r="B12049" s="3299" t="s">
        <v>680</v>
      </c>
      <c r="C12049" s="3063"/>
      <c r="D12049" s="3064"/>
      <c r="E12049" s="3064"/>
      <c r="F12049" s="3064"/>
      <c r="G12049" s="3300" t="s">
        <v>680</v>
      </c>
      <c r="H12049" s="3063"/>
      <c r="I12049" s="3030"/>
    </row>
    <row r="12050" spans="2:9" ht="25.5">
      <c r="B12050" s="3192" t="s">
        <v>675</v>
      </c>
      <c r="C12050" s="3063"/>
      <c r="D12050" s="3064"/>
      <c r="E12050" s="3064"/>
      <c r="F12050" s="3064"/>
      <c r="G12050" s="3301" t="s">
        <v>675</v>
      </c>
      <c r="H12050" s="3063"/>
      <c r="I12050" s="3030"/>
    </row>
    <row r="12051" spans="2:9" ht="25.5">
      <c r="B12051" s="3192" t="s">
        <v>676</v>
      </c>
      <c r="C12051" s="3063"/>
      <c r="D12051" s="3064"/>
      <c r="E12051" s="3064"/>
      <c r="F12051" s="3064"/>
      <c r="G12051" s="3301" t="s">
        <v>676</v>
      </c>
      <c r="H12051" s="3063"/>
      <c r="I12051" s="3030"/>
    </row>
    <row r="12052" spans="2:9">
      <c r="B12052" s="3192" t="s">
        <v>677</v>
      </c>
      <c r="C12052" s="3063"/>
      <c r="D12052" s="3064"/>
      <c r="E12052" s="3064"/>
      <c r="F12052" s="3064"/>
      <c r="G12052" s="3301" t="s">
        <v>677</v>
      </c>
      <c r="H12052" s="3063"/>
      <c r="I12052" s="3030"/>
    </row>
    <row r="12053" spans="2:9">
      <c r="B12053" s="3192" t="s">
        <v>678</v>
      </c>
      <c r="C12053" s="3063"/>
      <c r="D12053" s="3064"/>
      <c r="E12053" s="3064"/>
      <c r="F12053" s="3064"/>
      <c r="G12053" s="3301" t="s">
        <v>678</v>
      </c>
      <c r="H12053" s="3063"/>
      <c r="I12053" s="3030"/>
    </row>
    <row r="12054" spans="2:9">
      <c r="B12054" s="3192" t="s">
        <v>679</v>
      </c>
      <c r="C12054" s="3063"/>
      <c r="D12054" s="3064"/>
      <c r="E12054" s="3064"/>
      <c r="F12054" s="3064"/>
      <c r="G12054" s="3301" t="s">
        <v>679</v>
      </c>
      <c r="H12054" s="3063"/>
      <c r="I12054" s="3030"/>
    </row>
    <row r="12055" spans="2:9" ht="25.5">
      <c r="B12055" s="3192" t="s">
        <v>720</v>
      </c>
      <c r="C12055" s="3063"/>
      <c r="D12055" s="3064"/>
      <c r="E12055" s="3064"/>
      <c r="F12055" s="3064"/>
      <c r="G12055" s="3301" t="s">
        <v>720</v>
      </c>
      <c r="H12055" s="3063"/>
      <c r="I12055" s="3030"/>
    </row>
    <row r="12056" spans="2:9" ht="38.25">
      <c r="B12056" s="3299" t="s">
        <v>681</v>
      </c>
      <c r="C12056" s="3063"/>
      <c r="D12056" s="3064"/>
      <c r="E12056" s="3064"/>
      <c r="F12056" s="3064"/>
      <c r="G12056" s="3300" t="s">
        <v>681</v>
      </c>
      <c r="H12056" s="3063"/>
      <c r="I12056" s="3030"/>
    </row>
    <row r="12057" spans="2:9" ht="25.5">
      <c r="B12057" s="3192" t="s">
        <v>675</v>
      </c>
      <c r="C12057" s="3063"/>
      <c r="D12057" s="3064"/>
      <c r="E12057" s="3064"/>
      <c r="F12057" s="3064"/>
      <c r="G12057" s="3301" t="s">
        <v>675</v>
      </c>
      <c r="H12057" s="3063"/>
      <c r="I12057" s="3030"/>
    </row>
    <row r="12058" spans="2:9" ht="25.5">
      <c r="B12058" s="3192" t="s">
        <v>676</v>
      </c>
      <c r="C12058" s="3063"/>
      <c r="D12058" s="3064"/>
      <c r="E12058" s="3064"/>
      <c r="F12058" s="3064"/>
      <c r="G12058" s="3301" t="s">
        <v>676</v>
      </c>
      <c r="H12058" s="3063"/>
      <c r="I12058" s="3030"/>
    </row>
    <row r="12059" spans="2:9">
      <c r="B12059" s="3192" t="s">
        <v>677</v>
      </c>
      <c r="C12059" s="3063"/>
      <c r="D12059" s="3064"/>
      <c r="E12059" s="3064"/>
      <c r="F12059" s="3064"/>
      <c r="G12059" s="3301" t="s">
        <v>677</v>
      </c>
      <c r="H12059" s="3063"/>
      <c r="I12059" s="3030"/>
    </row>
    <row r="12060" spans="2:9">
      <c r="B12060" s="3192" t="s">
        <v>678</v>
      </c>
      <c r="C12060" s="3063"/>
      <c r="D12060" s="3064"/>
      <c r="E12060" s="3064"/>
      <c r="F12060" s="3064"/>
      <c r="G12060" s="3301" t="s">
        <v>678</v>
      </c>
      <c r="H12060" s="3063"/>
      <c r="I12060" s="3030"/>
    </row>
    <row r="12061" spans="2:9">
      <c r="B12061" s="3192" t="s">
        <v>679</v>
      </c>
      <c r="C12061" s="3063"/>
      <c r="D12061" s="3064"/>
      <c r="E12061" s="3064"/>
      <c r="F12061" s="3064"/>
      <c r="G12061" s="3301" t="s">
        <v>679</v>
      </c>
      <c r="H12061" s="3063"/>
      <c r="I12061" s="3030"/>
    </row>
    <row r="12062" spans="2:9" ht="25.5">
      <c r="B12062" s="3192" t="s">
        <v>720</v>
      </c>
      <c r="C12062" s="3063"/>
      <c r="D12062" s="3064"/>
      <c r="E12062" s="3064"/>
      <c r="F12062" s="3064"/>
      <c r="G12062" s="3301" t="s">
        <v>720</v>
      </c>
      <c r="H12062" s="3063"/>
      <c r="I12062" s="3030"/>
    </row>
    <row r="12063" spans="2:9" ht="25.5">
      <c r="B12063" s="3299" t="s">
        <v>682</v>
      </c>
      <c r="C12063" s="3063"/>
      <c r="D12063" s="3064"/>
      <c r="E12063" s="3064"/>
      <c r="F12063" s="3064"/>
      <c r="G12063" s="3300" t="s">
        <v>682</v>
      </c>
      <c r="H12063" s="3063"/>
      <c r="I12063" s="3030"/>
    </row>
    <row r="12064" spans="2:9" ht="25.5">
      <c r="B12064" s="3192" t="s">
        <v>675</v>
      </c>
      <c r="C12064" s="3063"/>
      <c r="D12064" s="3064"/>
      <c r="E12064" s="3064"/>
      <c r="F12064" s="3064"/>
      <c r="G12064" s="3301" t="s">
        <v>675</v>
      </c>
      <c r="H12064" s="3063"/>
      <c r="I12064" s="3030"/>
    </row>
    <row r="12065" spans="2:9" ht="25.5">
      <c r="B12065" s="3192" t="s">
        <v>676</v>
      </c>
      <c r="C12065" s="3063"/>
      <c r="D12065" s="3064"/>
      <c r="E12065" s="3064"/>
      <c r="F12065" s="3064"/>
      <c r="G12065" s="3301" t="s">
        <v>676</v>
      </c>
      <c r="H12065" s="3063"/>
      <c r="I12065" s="3030"/>
    </row>
    <row r="12066" spans="2:9">
      <c r="B12066" s="3192" t="s">
        <v>677</v>
      </c>
      <c r="C12066" s="3063"/>
      <c r="D12066" s="3064"/>
      <c r="E12066" s="3064"/>
      <c r="F12066" s="3064"/>
      <c r="G12066" s="3301" t="s">
        <v>677</v>
      </c>
      <c r="H12066" s="3063"/>
      <c r="I12066" s="3030"/>
    </row>
    <row r="12067" spans="2:9">
      <c r="B12067" s="3192" t="s">
        <v>678</v>
      </c>
      <c r="C12067" s="3063"/>
      <c r="D12067" s="3064"/>
      <c r="E12067" s="3064"/>
      <c r="F12067" s="3064"/>
      <c r="G12067" s="3301" t="s">
        <v>678</v>
      </c>
      <c r="H12067" s="3063"/>
      <c r="I12067" s="3030"/>
    </row>
    <row r="12068" spans="2:9">
      <c r="B12068" s="3192" t="s">
        <v>679</v>
      </c>
      <c r="C12068" s="3063"/>
      <c r="D12068" s="3064"/>
      <c r="E12068" s="3064"/>
      <c r="F12068" s="3064"/>
      <c r="G12068" s="3301" t="s">
        <v>679</v>
      </c>
      <c r="H12068" s="3063"/>
      <c r="I12068" s="3030"/>
    </row>
    <row r="12069" spans="2:9" ht="25.5">
      <c r="B12069" s="3192" t="s">
        <v>720</v>
      </c>
      <c r="C12069" s="3063"/>
      <c r="D12069" s="3064"/>
      <c r="E12069" s="3064"/>
      <c r="F12069" s="3064"/>
      <c r="G12069" s="3301" t="s">
        <v>720</v>
      </c>
      <c r="H12069" s="3063"/>
      <c r="I12069" s="3030"/>
    </row>
    <row r="12070" spans="2:9" ht="25.5">
      <c r="B12070" s="3299" t="s">
        <v>66</v>
      </c>
      <c r="C12070" s="3063"/>
      <c r="D12070" s="3064"/>
      <c r="E12070" s="3064"/>
      <c r="F12070" s="3064"/>
      <c r="G12070" s="3300" t="s">
        <v>66</v>
      </c>
      <c r="H12070" s="3063"/>
      <c r="I12070" s="3030"/>
    </row>
    <row r="12071" spans="2:9" ht="25.5">
      <c r="B12071" s="3192" t="s">
        <v>675</v>
      </c>
      <c r="C12071" s="3063"/>
      <c r="D12071" s="3064"/>
      <c r="E12071" s="3064"/>
      <c r="F12071" s="3064"/>
      <c r="G12071" s="3301" t="s">
        <v>675</v>
      </c>
      <c r="H12071" s="3063"/>
      <c r="I12071" s="3030"/>
    </row>
    <row r="12072" spans="2:9" ht="25.5">
      <c r="B12072" s="3192" t="s">
        <v>676</v>
      </c>
      <c r="C12072" s="3063"/>
      <c r="D12072" s="3064"/>
      <c r="E12072" s="3064"/>
      <c r="F12072" s="3064"/>
      <c r="G12072" s="3301" t="s">
        <v>676</v>
      </c>
      <c r="H12072" s="3063"/>
      <c r="I12072" s="3030"/>
    </row>
    <row r="12073" spans="2:9">
      <c r="B12073" s="3192" t="s">
        <v>677</v>
      </c>
      <c r="C12073" s="3063"/>
      <c r="D12073" s="3064"/>
      <c r="E12073" s="3064"/>
      <c r="F12073" s="3064"/>
      <c r="G12073" s="3301" t="s">
        <v>677</v>
      </c>
      <c r="H12073" s="3063"/>
      <c r="I12073" s="3030"/>
    </row>
    <row r="12074" spans="2:9">
      <c r="B12074" s="3192" t="s">
        <v>678</v>
      </c>
      <c r="C12074" s="3063"/>
      <c r="D12074" s="3064"/>
      <c r="E12074" s="3064"/>
      <c r="F12074" s="3064"/>
      <c r="G12074" s="3301" t="s">
        <v>678</v>
      </c>
      <c r="H12074" s="3063"/>
      <c r="I12074" s="3030"/>
    </row>
    <row r="12075" spans="2:9">
      <c r="B12075" s="3192" t="s">
        <v>679</v>
      </c>
      <c r="C12075" s="3063"/>
      <c r="D12075" s="3064"/>
      <c r="E12075" s="3064"/>
      <c r="F12075" s="3064"/>
      <c r="G12075" s="3301" t="s">
        <v>679</v>
      </c>
      <c r="H12075" s="3063"/>
      <c r="I12075" s="3030"/>
    </row>
    <row r="12076" spans="2:9" ht="25.5">
      <c r="B12076" s="3192" t="s">
        <v>720</v>
      </c>
      <c r="C12076" s="3063"/>
      <c r="D12076" s="3064"/>
      <c r="E12076" s="3064"/>
      <c r="F12076" s="3064"/>
      <c r="G12076" s="3301" t="s">
        <v>720</v>
      </c>
      <c r="H12076" s="3063"/>
      <c r="I12076" s="3030"/>
    </row>
    <row r="12077" spans="2:9">
      <c r="B12077" s="3299" t="s">
        <v>67</v>
      </c>
      <c r="C12077" s="3063"/>
      <c r="D12077" s="3064"/>
      <c r="E12077" s="3064"/>
      <c r="F12077" s="3064"/>
      <c r="G12077" s="3300" t="s">
        <v>67</v>
      </c>
      <c r="H12077" s="3063"/>
      <c r="I12077" s="3030"/>
    </row>
    <row r="12078" spans="2:9" ht="25.5">
      <c r="B12078" s="3192" t="s">
        <v>675</v>
      </c>
      <c r="C12078" s="3063"/>
      <c r="D12078" s="3064"/>
      <c r="E12078" s="3064"/>
      <c r="F12078" s="3064"/>
      <c r="G12078" s="3301" t="s">
        <v>675</v>
      </c>
      <c r="H12078" s="3063"/>
      <c r="I12078" s="3030"/>
    </row>
    <row r="12079" spans="2:9" ht="25.5">
      <c r="B12079" s="3192" t="s">
        <v>676</v>
      </c>
      <c r="C12079" s="3063"/>
      <c r="D12079" s="3064"/>
      <c r="E12079" s="3064"/>
      <c r="F12079" s="3064"/>
      <c r="G12079" s="3301" t="s">
        <v>676</v>
      </c>
      <c r="H12079" s="3063"/>
      <c r="I12079" s="3030"/>
    </row>
    <row r="12080" spans="2:9">
      <c r="B12080" s="3192" t="s">
        <v>677</v>
      </c>
      <c r="C12080" s="3063"/>
      <c r="D12080" s="3064"/>
      <c r="E12080" s="3064"/>
      <c r="F12080" s="3064"/>
      <c r="G12080" s="3301" t="s">
        <v>677</v>
      </c>
      <c r="H12080" s="3063"/>
      <c r="I12080" s="3030"/>
    </row>
    <row r="12081" spans="2:9">
      <c r="B12081" s="3192" t="s">
        <v>678</v>
      </c>
      <c r="C12081" s="3063"/>
      <c r="D12081" s="3064"/>
      <c r="E12081" s="3064"/>
      <c r="F12081" s="3064"/>
      <c r="G12081" s="3301" t="s">
        <v>678</v>
      </c>
      <c r="H12081" s="3063"/>
      <c r="I12081" s="3030"/>
    </row>
    <row r="12082" spans="2:9">
      <c r="B12082" s="3192" t="s">
        <v>679</v>
      </c>
      <c r="C12082" s="3063"/>
      <c r="D12082" s="3064"/>
      <c r="E12082" s="3064"/>
      <c r="F12082" s="3064"/>
      <c r="G12082" s="3301" t="s">
        <v>679</v>
      </c>
      <c r="H12082" s="3063"/>
      <c r="I12082" s="3030"/>
    </row>
    <row r="12083" spans="2:9" ht="25.5">
      <c r="B12083" s="3192" t="s">
        <v>720</v>
      </c>
      <c r="C12083" s="3063"/>
      <c r="D12083" s="3064"/>
      <c r="E12083" s="3064"/>
      <c r="F12083" s="3064"/>
      <c r="G12083" s="3301" t="s">
        <v>720</v>
      </c>
      <c r="H12083" s="3063"/>
      <c r="I12083" s="3030"/>
    </row>
    <row r="12084" spans="2:9" ht="25.5">
      <c r="B12084" s="3230" t="s">
        <v>81</v>
      </c>
      <c r="C12084" s="3063"/>
      <c r="D12084" s="3064"/>
      <c r="E12084" s="3064"/>
      <c r="F12084" s="3064"/>
      <c r="G12084" s="3302" t="s">
        <v>81</v>
      </c>
      <c r="H12084" s="3063"/>
      <c r="I12084" s="3030"/>
    </row>
    <row r="12085" spans="2:9" ht="26.25" thickBot="1">
      <c r="B12085" s="3303" t="s">
        <v>81</v>
      </c>
      <c r="C12085" s="3063"/>
      <c r="D12085" s="3064"/>
      <c r="E12085" s="3064"/>
      <c r="F12085" s="3064"/>
      <c r="G12085" s="3302" t="s">
        <v>81</v>
      </c>
      <c r="H12085" s="3063"/>
      <c r="I12085" s="3030"/>
    </row>
    <row r="12086" spans="2:9" ht="25.5">
      <c r="B12086" s="3217" t="s">
        <v>696</v>
      </c>
      <c r="C12086" s="3218"/>
      <c r="D12086" s="3219"/>
      <c r="E12086" s="3219"/>
      <c r="F12086" s="3219"/>
      <c r="G12086" s="3217" t="s">
        <v>696</v>
      </c>
      <c r="H12086" s="3297"/>
      <c r="I12086" s="3298"/>
    </row>
    <row r="12087" spans="2:9">
      <c r="B12087" s="3299" t="s">
        <v>64</v>
      </c>
      <c r="C12087" s="3063"/>
      <c r="D12087" s="3064"/>
      <c r="E12087" s="3064"/>
      <c r="F12087" s="3064"/>
      <c r="G12087" s="3300" t="s">
        <v>64</v>
      </c>
      <c r="H12087" s="3063"/>
      <c r="I12087" s="3030"/>
    </row>
    <row r="12088" spans="2:9" ht="25.5">
      <c r="B12088" s="3192" t="s">
        <v>675</v>
      </c>
      <c r="C12088" s="3063"/>
      <c r="D12088" s="3064"/>
      <c r="E12088" s="3064"/>
      <c r="F12088" s="3064"/>
      <c r="G12088" s="3301" t="s">
        <v>675</v>
      </c>
      <c r="H12088" s="3063"/>
      <c r="I12088" s="3030"/>
    </row>
    <row r="12089" spans="2:9" ht="25.5">
      <c r="B12089" s="3192" t="s">
        <v>676</v>
      </c>
      <c r="C12089" s="3063"/>
      <c r="D12089" s="3064"/>
      <c r="E12089" s="3064"/>
      <c r="F12089" s="3064"/>
      <c r="G12089" s="3301" t="s">
        <v>676</v>
      </c>
      <c r="H12089" s="3063"/>
      <c r="I12089" s="3030"/>
    </row>
    <row r="12090" spans="2:9">
      <c r="B12090" s="3192" t="s">
        <v>677</v>
      </c>
      <c r="C12090" s="3063"/>
      <c r="D12090" s="3064"/>
      <c r="E12090" s="3064"/>
      <c r="F12090" s="3064"/>
      <c r="G12090" s="3301" t="s">
        <v>677</v>
      </c>
      <c r="H12090" s="3063"/>
      <c r="I12090" s="3030"/>
    </row>
    <row r="12091" spans="2:9">
      <c r="B12091" s="3192" t="s">
        <v>678</v>
      </c>
      <c r="C12091" s="3063"/>
      <c r="D12091" s="3064"/>
      <c r="E12091" s="3064"/>
      <c r="F12091" s="3064"/>
      <c r="G12091" s="3301" t="s">
        <v>678</v>
      </c>
      <c r="H12091" s="3063"/>
      <c r="I12091" s="3030"/>
    </row>
    <row r="12092" spans="2:9">
      <c r="B12092" s="3192" t="s">
        <v>679</v>
      </c>
      <c r="C12092" s="3063"/>
      <c r="D12092" s="3064"/>
      <c r="E12092" s="3064"/>
      <c r="F12092" s="3064"/>
      <c r="G12092" s="3301" t="s">
        <v>679</v>
      </c>
      <c r="H12092" s="3063"/>
      <c r="I12092" s="3030"/>
    </row>
    <row r="12093" spans="2:9" ht="25.5">
      <c r="B12093" s="3192" t="s">
        <v>720</v>
      </c>
      <c r="C12093" s="3063"/>
      <c r="D12093" s="3064"/>
      <c r="E12093" s="3064"/>
      <c r="F12093" s="3064"/>
      <c r="G12093" s="3301" t="s">
        <v>720</v>
      </c>
      <c r="H12093" s="3063"/>
      <c r="I12093" s="3030"/>
    </row>
    <row r="12094" spans="2:9">
      <c r="B12094" s="3299" t="s">
        <v>65</v>
      </c>
      <c r="C12094" s="3063"/>
      <c r="D12094" s="3064"/>
      <c r="E12094" s="3064"/>
      <c r="F12094" s="3064"/>
      <c r="G12094" s="3300" t="s">
        <v>65</v>
      </c>
      <c r="H12094" s="3063"/>
      <c r="I12094" s="3030"/>
    </row>
    <row r="12095" spans="2:9" ht="25.5">
      <c r="B12095" s="3192" t="s">
        <v>675</v>
      </c>
      <c r="C12095" s="3063"/>
      <c r="D12095" s="3064"/>
      <c r="E12095" s="3064"/>
      <c r="F12095" s="3064"/>
      <c r="G12095" s="3301" t="s">
        <v>675</v>
      </c>
      <c r="H12095" s="3063"/>
      <c r="I12095" s="3030"/>
    </row>
    <row r="12096" spans="2:9" ht="25.5">
      <c r="B12096" s="3192" t="s">
        <v>676</v>
      </c>
      <c r="C12096" s="3063"/>
      <c r="D12096" s="3064"/>
      <c r="E12096" s="3064"/>
      <c r="F12096" s="3064"/>
      <c r="G12096" s="3301" t="s">
        <v>676</v>
      </c>
      <c r="H12096" s="3063"/>
      <c r="I12096" s="3030"/>
    </row>
    <row r="12097" spans="2:9">
      <c r="B12097" s="3192" t="s">
        <v>677</v>
      </c>
      <c r="C12097" s="3063"/>
      <c r="D12097" s="3064"/>
      <c r="E12097" s="3064"/>
      <c r="F12097" s="3064"/>
      <c r="G12097" s="3301" t="s">
        <v>677</v>
      </c>
      <c r="H12097" s="3063"/>
      <c r="I12097" s="3030"/>
    </row>
    <row r="12098" spans="2:9">
      <c r="B12098" s="3192" t="s">
        <v>678</v>
      </c>
      <c r="C12098" s="3063"/>
      <c r="D12098" s="3064"/>
      <c r="E12098" s="3064"/>
      <c r="F12098" s="3064"/>
      <c r="G12098" s="3301" t="s">
        <v>678</v>
      </c>
      <c r="H12098" s="3063"/>
      <c r="I12098" s="3030"/>
    </row>
    <row r="12099" spans="2:9">
      <c r="B12099" s="3192" t="s">
        <v>679</v>
      </c>
      <c r="C12099" s="3063"/>
      <c r="D12099" s="3064"/>
      <c r="E12099" s="3064"/>
      <c r="F12099" s="3064"/>
      <c r="G12099" s="3301" t="s">
        <v>679</v>
      </c>
      <c r="H12099" s="3063"/>
      <c r="I12099" s="3030"/>
    </row>
    <row r="12100" spans="2:9" ht="25.5">
      <c r="B12100" s="3192" t="s">
        <v>720</v>
      </c>
      <c r="C12100" s="3063"/>
      <c r="D12100" s="3064"/>
      <c r="E12100" s="3064"/>
      <c r="F12100" s="3064"/>
      <c r="G12100" s="3301" t="s">
        <v>720</v>
      </c>
      <c r="H12100" s="3063"/>
      <c r="I12100" s="3030"/>
    </row>
    <row r="12101" spans="2:9">
      <c r="B12101" s="3299" t="s">
        <v>82</v>
      </c>
      <c r="C12101" s="3063"/>
      <c r="D12101" s="3064"/>
      <c r="E12101" s="3064"/>
      <c r="F12101" s="3064"/>
      <c r="G12101" s="3300" t="s">
        <v>82</v>
      </c>
      <c r="H12101" s="3063"/>
      <c r="I12101" s="3030"/>
    </row>
    <row r="12102" spans="2:9" ht="25.5">
      <c r="B12102" s="3192" t="s">
        <v>675</v>
      </c>
      <c r="C12102" s="3063"/>
      <c r="D12102" s="3064"/>
      <c r="E12102" s="3064"/>
      <c r="F12102" s="3064"/>
      <c r="G12102" s="3301" t="s">
        <v>675</v>
      </c>
      <c r="H12102" s="3063"/>
      <c r="I12102" s="3030"/>
    </row>
    <row r="12103" spans="2:9" ht="25.5">
      <c r="B12103" s="3192" t="s">
        <v>676</v>
      </c>
      <c r="C12103" s="3063"/>
      <c r="D12103" s="3064"/>
      <c r="E12103" s="3064"/>
      <c r="F12103" s="3064"/>
      <c r="G12103" s="3301" t="s">
        <v>676</v>
      </c>
      <c r="H12103" s="3063"/>
      <c r="I12103" s="3030"/>
    </row>
    <row r="12104" spans="2:9">
      <c r="B12104" s="3192" t="s">
        <v>677</v>
      </c>
      <c r="C12104" s="3063"/>
      <c r="D12104" s="3064"/>
      <c r="E12104" s="3064"/>
      <c r="F12104" s="3064"/>
      <c r="G12104" s="3301" t="s">
        <v>677</v>
      </c>
      <c r="H12104" s="3063"/>
      <c r="I12104" s="3030"/>
    </row>
    <row r="12105" spans="2:9">
      <c r="B12105" s="3192" t="s">
        <v>678</v>
      </c>
      <c r="C12105" s="3063"/>
      <c r="D12105" s="3064"/>
      <c r="E12105" s="3064"/>
      <c r="F12105" s="3064"/>
      <c r="G12105" s="3301" t="s">
        <v>678</v>
      </c>
      <c r="H12105" s="3063"/>
      <c r="I12105" s="3030"/>
    </row>
    <row r="12106" spans="2:9">
      <c r="B12106" s="3192" t="s">
        <v>679</v>
      </c>
      <c r="C12106" s="3063"/>
      <c r="D12106" s="3064"/>
      <c r="E12106" s="3064"/>
      <c r="F12106" s="3064"/>
      <c r="G12106" s="3301" t="s">
        <v>679</v>
      </c>
      <c r="H12106" s="3063"/>
      <c r="I12106" s="3030"/>
    </row>
    <row r="12107" spans="2:9" ht="25.5">
      <c r="B12107" s="3192" t="s">
        <v>720</v>
      </c>
      <c r="C12107" s="3063"/>
      <c r="D12107" s="3064"/>
      <c r="E12107" s="3064"/>
      <c r="F12107" s="3064"/>
      <c r="G12107" s="3301" t="s">
        <v>720</v>
      </c>
      <c r="H12107" s="3063"/>
      <c r="I12107" s="3030"/>
    </row>
    <row r="12108" spans="2:9" ht="38.25">
      <c r="B12108" s="3299" t="s">
        <v>680</v>
      </c>
      <c r="C12108" s="3063"/>
      <c r="D12108" s="3064"/>
      <c r="E12108" s="3064"/>
      <c r="F12108" s="3064"/>
      <c r="G12108" s="3300" t="s">
        <v>680</v>
      </c>
      <c r="H12108" s="3063"/>
      <c r="I12108" s="3030"/>
    </row>
    <row r="12109" spans="2:9" ht="25.5">
      <c r="B12109" s="3192" t="s">
        <v>675</v>
      </c>
      <c r="C12109" s="3063"/>
      <c r="D12109" s="3064"/>
      <c r="E12109" s="3064"/>
      <c r="F12109" s="3064"/>
      <c r="G12109" s="3301" t="s">
        <v>675</v>
      </c>
      <c r="H12109" s="3063"/>
      <c r="I12109" s="3030"/>
    </row>
    <row r="12110" spans="2:9" ht="25.5">
      <c r="B12110" s="3192" t="s">
        <v>676</v>
      </c>
      <c r="C12110" s="3063"/>
      <c r="D12110" s="3064"/>
      <c r="E12110" s="3064"/>
      <c r="F12110" s="3064"/>
      <c r="G12110" s="3301" t="s">
        <v>676</v>
      </c>
      <c r="H12110" s="3063"/>
      <c r="I12110" s="3030"/>
    </row>
    <row r="12111" spans="2:9">
      <c r="B12111" s="3192" t="s">
        <v>677</v>
      </c>
      <c r="C12111" s="3063"/>
      <c r="D12111" s="3064"/>
      <c r="E12111" s="3064"/>
      <c r="F12111" s="3064"/>
      <c r="G12111" s="3301" t="s">
        <v>677</v>
      </c>
      <c r="H12111" s="3063"/>
      <c r="I12111" s="3030"/>
    </row>
    <row r="12112" spans="2:9">
      <c r="B12112" s="3192" t="s">
        <v>678</v>
      </c>
      <c r="C12112" s="3063"/>
      <c r="D12112" s="3064"/>
      <c r="E12112" s="3064"/>
      <c r="F12112" s="3064"/>
      <c r="G12112" s="3301" t="s">
        <v>678</v>
      </c>
      <c r="H12112" s="3063"/>
      <c r="I12112" s="3030"/>
    </row>
    <row r="12113" spans="2:9">
      <c r="B12113" s="3192" t="s">
        <v>679</v>
      </c>
      <c r="C12113" s="3063"/>
      <c r="D12113" s="3064"/>
      <c r="E12113" s="3064"/>
      <c r="F12113" s="3064"/>
      <c r="G12113" s="3301" t="s">
        <v>679</v>
      </c>
      <c r="H12113" s="3063"/>
      <c r="I12113" s="3030"/>
    </row>
    <row r="12114" spans="2:9" ht="25.5">
      <c r="B12114" s="3192" t="s">
        <v>720</v>
      </c>
      <c r="C12114" s="3063"/>
      <c r="D12114" s="3064"/>
      <c r="E12114" s="3064"/>
      <c r="F12114" s="3064"/>
      <c r="G12114" s="3301" t="s">
        <v>720</v>
      </c>
      <c r="H12114" s="3063"/>
      <c r="I12114" s="3030"/>
    </row>
    <row r="12115" spans="2:9" ht="38.25">
      <c r="B12115" s="3299" t="s">
        <v>681</v>
      </c>
      <c r="C12115" s="3063"/>
      <c r="D12115" s="3064"/>
      <c r="E12115" s="3064"/>
      <c r="F12115" s="3064"/>
      <c r="G12115" s="3300" t="s">
        <v>681</v>
      </c>
      <c r="H12115" s="3063"/>
      <c r="I12115" s="3030"/>
    </row>
    <row r="12116" spans="2:9" ht="25.5">
      <c r="B12116" s="3192" t="s">
        <v>675</v>
      </c>
      <c r="C12116" s="3063"/>
      <c r="D12116" s="3064"/>
      <c r="E12116" s="3064"/>
      <c r="F12116" s="3064"/>
      <c r="G12116" s="3301" t="s">
        <v>675</v>
      </c>
      <c r="H12116" s="3063"/>
      <c r="I12116" s="3030"/>
    </row>
    <row r="12117" spans="2:9" ht="25.5">
      <c r="B12117" s="3192" t="s">
        <v>676</v>
      </c>
      <c r="C12117" s="3063"/>
      <c r="D12117" s="3064"/>
      <c r="E12117" s="3064"/>
      <c r="F12117" s="3064"/>
      <c r="G12117" s="3301" t="s">
        <v>676</v>
      </c>
      <c r="H12117" s="3063"/>
      <c r="I12117" s="3030"/>
    </row>
    <row r="12118" spans="2:9">
      <c r="B12118" s="3192" t="s">
        <v>677</v>
      </c>
      <c r="C12118" s="3063"/>
      <c r="D12118" s="3064"/>
      <c r="E12118" s="3064"/>
      <c r="F12118" s="3064"/>
      <c r="G12118" s="3301" t="s">
        <v>677</v>
      </c>
      <c r="H12118" s="3063"/>
      <c r="I12118" s="3030"/>
    </row>
    <row r="12119" spans="2:9">
      <c r="B12119" s="3192" t="s">
        <v>678</v>
      </c>
      <c r="C12119" s="3063"/>
      <c r="D12119" s="3064"/>
      <c r="E12119" s="3064"/>
      <c r="F12119" s="3064"/>
      <c r="G12119" s="3301" t="s">
        <v>678</v>
      </c>
      <c r="H12119" s="3063"/>
      <c r="I12119" s="3030"/>
    </row>
    <row r="12120" spans="2:9">
      <c r="B12120" s="3192" t="s">
        <v>679</v>
      </c>
      <c r="C12120" s="3063"/>
      <c r="D12120" s="3064"/>
      <c r="E12120" s="3064"/>
      <c r="F12120" s="3064"/>
      <c r="G12120" s="3301" t="s">
        <v>679</v>
      </c>
      <c r="H12120" s="3063"/>
      <c r="I12120" s="3030"/>
    </row>
    <row r="12121" spans="2:9" ht="25.5">
      <c r="B12121" s="3192" t="s">
        <v>720</v>
      </c>
      <c r="C12121" s="3063"/>
      <c r="D12121" s="3064"/>
      <c r="E12121" s="3064"/>
      <c r="F12121" s="3064"/>
      <c r="G12121" s="3301" t="s">
        <v>720</v>
      </c>
      <c r="H12121" s="3063"/>
      <c r="I12121" s="3030"/>
    </row>
    <row r="12122" spans="2:9" ht="25.5">
      <c r="B12122" s="3299" t="s">
        <v>682</v>
      </c>
      <c r="C12122" s="3063"/>
      <c r="D12122" s="3064"/>
      <c r="E12122" s="3064"/>
      <c r="F12122" s="3064"/>
      <c r="G12122" s="3300" t="s">
        <v>682</v>
      </c>
      <c r="H12122" s="3063"/>
      <c r="I12122" s="3030"/>
    </row>
    <row r="12123" spans="2:9" ht="25.5">
      <c r="B12123" s="3192" t="s">
        <v>675</v>
      </c>
      <c r="C12123" s="3063"/>
      <c r="D12123" s="3064"/>
      <c r="E12123" s="3064"/>
      <c r="F12123" s="3064"/>
      <c r="G12123" s="3301" t="s">
        <v>675</v>
      </c>
      <c r="H12123" s="3063"/>
      <c r="I12123" s="3030"/>
    </row>
    <row r="12124" spans="2:9" ht="25.5">
      <c r="B12124" s="3192" t="s">
        <v>676</v>
      </c>
      <c r="C12124" s="3063"/>
      <c r="D12124" s="3064"/>
      <c r="E12124" s="3064"/>
      <c r="F12124" s="3064"/>
      <c r="G12124" s="3301" t="s">
        <v>676</v>
      </c>
      <c r="H12124" s="3063"/>
      <c r="I12124" s="3030"/>
    </row>
    <row r="12125" spans="2:9">
      <c r="B12125" s="3192" t="s">
        <v>677</v>
      </c>
      <c r="C12125" s="3063"/>
      <c r="D12125" s="3064"/>
      <c r="E12125" s="3064"/>
      <c r="F12125" s="3064"/>
      <c r="G12125" s="3301" t="s">
        <v>677</v>
      </c>
      <c r="H12125" s="3063"/>
      <c r="I12125" s="3030"/>
    </row>
    <row r="12126" spans="2:9">
      <c r="B12126" s="3192" t="s">
        <v>678</v>
      </c>
      <c r="C12126" s="3063"/>
      <c r="D12126" s="3064"/>
      <c r="E12126" s="3064"/>
      <c r="F12126" s="3064"/>
      <c r="G12126" s="3301" t="s">
        <v>678</v>
      </c>
      <c r="H12126" s="3063"/>
      <c r="I12126" s="3030"/>
    </row>
    <row r="12127" spans="2:9">
      <c r="B12127" s="3192" t="s">
        <v>679</v>
      </c>
      <c r="C12127" s="3063"/>
      <c r="D12127" s="3064"/>
      <c r="E12127" s="3064"/>
      <c r="F12127" s="3064"/>
      <c r="G12127" s="3301" t="s">
        <v>679</v>
      </c>
      <c r="H12127" s="3063"/>
      <c r="I12127" s="3030"/>
    </row>
    <row r="12128" spans="2:9" ht="25.5">
      <c r="B12128" s="3192" t="s">
        <v>720</v>
      </c>
      <c r="C12128" s="3063"/>
      <c r="D12128" s="3064"/>
      <c r="E12128" s="3064"/>
      <c r="F12128" s="3064"/>
      <c r="G12128" s="3301" t="s">
        <v>720</v>
      </c>
      <c r="H12128" s="3063"/>
      <c r="I12128" s="3030"/>
    </row>
    <row r="12129" spans="2:9" ht="25.5">
      <c r="B12129" s="3299" t="s">
        <v>66</v>
      </c>
      <c r="C12129" s="3063"/>
      <c r="D12129" s="3064"/>
      <c r="E12129" s="3064"/>
      <c r="F12129" s="3064"/>
      <c r="G12129" s="3300" t="s">
        <v>66</v>
      </c>
      <c r="H12129" s="3063"/>
      <c r="I12129" s="3030"/>
    </row>
    <row r="12130" spans="2:9" ht="25.5">
      <c r="B12130" s="3192" t="s">
        <v>675</v>
      </c>
      <c r="C12130" s="3063"/>
      <c r="D12130" s="3064"/>
      <c r="E12130" s="3064"/>
      <c r="F12130" s="3064"/>
      <c r="G12130" s="3301" t="s">
        <v>675</v>
      </c>
      <c r="H12130" s="3063"/>
      <c r="I12130" s="3030"/>
    </row>
    <row r="12131" spans="2:9" ht="25.5">
      <c r="B12131" s="3192" t="s">
        <v>676</v>
      </c>
      <c r="C12131" s="3063"/>
      <c r="D12131" s="3064"/>
      <c r="E12131" s="3064"/>
      <c r="F12131" s="3064"/>
      <c r="G12131" s="3301" t="s">
        <v>676</v>
      </c>
      <c r="H12131" s="3063"/>
      <c r="I12131" s="3030"/>
    </row>
    <row r="12132" spans="2:9">
      <c r="B12132" s="3192" t="s">
        <v>677</v>
      </c>
      <c r="C12132" s="3063"/>
      <c r="D12132" s="3064"/>
      <c r="E12132" s="3064"/>
      <c r="F12132" s="3064"/>
      <c r="G12132" s="3301" t="s">
        <v>677</v>
      </c>
      <c r="H12132" s="3063"/>
      <c r="I12132" s="3030"/>
    </row>
    <row r="12133" spans="2:9">
      <c r="B12133" s="3192" t="s">
        <v>678</v>
      </c>
      <c r="C12133" s="3063"/>
      <c r="D12133" s="3064"/>
      <c r="E12133" s="3064"/>
      <c r="F12133" s="3064"/>
      <c r="G12133" s="3301" t="s">
        <v>678</v>
      </c>
      <c r="H12133" s="3063"/>
      <c r="I12133" s="3030"/>
    </row>
    <row r="12134" spans="2:9">
      <c r="B12134" s="3192" t="s">
        <v>679</v>
      </c>
      <c r="C12134" s="3063"/>
      <c r="D12134" s="3064"/>
      <c r="E12134" s="3064"/>
      <c r="F12134" s="3064"/>
      <c r="G12134" s="3301" t="s">
        <v>679</v>
      </c>
      <c r="H12134" s="3063"/>
      <c r="I12134" s="3030"/>
    </row>
    <row r="12135" spans="2:9" ht="25.5">
      <c r="B12135" s="3192" t="s">
        <v>720</v>
      </c>
      <c r="C12135" s="3063"/>
      <c r="D12135" s="3064"/>
      <c r="E12135" s="3064"/>
      <c r="F12135" s="3064"/>
      <c r="G12135" s="3301" t="s">
        <v>720</v>
      </c>
      <c r="H12135" s="3063"/>
      <c r="I12135" s="3030"/>
    </row>
    <row r="12136" spans="2:9">
      <c r="B12136" s="3299" t="s">
        <v>67</v>
      </c>
      <c r="C12136" s="3063"/>
      <c r="D12136" s="3064"/>
      <c r="E12136" s="3064"/>
      <c r="F12136" s="3064"/>
      <c r="G12136" s="3300" t="s">
        <v>67</v>
      </c>
      <c r="H12136" s="3063"/>
      <c r="I12136" s="3030"/>
    </row>
    <row r="12137" spans="2:9" ht="25.5">
      <c r="B12137" s="3192" t="s">
        <v>675</v>
      </c>
      <c r="C12137" s="3063"/>
      <c r="D12137" s="3064"/>
      <c r="E12137" s="3064"/>
      <c r="F12137" s="3064"/>
      <c r="G12137" s="3301" t="s">
        <v>675</v>
      </c>
      <c r="H12137" s="3063"/>
      <c r="I12137" s="3030"/>
    </row>
    <row r="12138" spans="2:9" ht="25.5">
      <c r="B12138" s="3192" t="s">
        <v>676</v>
      </c>
      <c r="C12138" s="3063"/>
      <c r="D12138" s="3064"/>
      <c r="E12138" s="3064"/>
      <c r="F12138" s="3064"/>
      <c r="G12138" s="3301" t="s">
        <v>676</v>
      </c>
      <c r="H12138" s="3063"/>
      <c r="I12138" s="3030"/>
    </row>
    <row r="12139" spans="2:9">
      <c r="B12139" s="3192" t="s">
        <v>677</v>
      </c>
      <c r="C12139" s="3063"/>
      <c r="D12139" s="3064"/>
      <c r="E12139" s="3064"/>
      <c r="F12139" s="3064"/>
      <c r="G12139" s="3301" t="s">
        <v>677</v>
      </c>
      <c r="H12139" s="3063"/>
      <c r="I12139" s="3030"/>
    </row>
    <row r="12140" spans="2:9">
      <c r="B12140" s="3192" t="s">
        <v>678</v>
      </c>
      <c r="C12140" s="3063"/>
      <c r="D12140" s="3064"/>
      <c r="E12140" s="3064"/>
      <c r="F12140" s="3064"/>
      <c r="G12140" s="3301" t="s">
        <v>678</v>
      </c>
      <c r="H12140" s="3063"/>
      <c r="I12140" s="3030"/>
    </row>
    <row r="12141" spans="2:9">
      <c r="B12141" s="3192" t="s">
        <v>679</v>
      </c>
      <c r="C12141" s="3063"/>
      <c r="D12141" s="3064"/>
      <c r="E12141" s="3064"/>
      <c r="F12141" s="3064"/>
      <c r="G12141" s="3301" t="s">
        <v>679</v>
      </c>
      <c r="H12141" s="3063"/>
      <c r="I12141" s="3030"/>
    </row>
    <row r="12142" spans="2:9" ht="25.5">
      <c r="B12142" s="3230" t="s">
        <v>81</v>
      </c>
      <c r="C12142" s="3063"/>
      <c r="D12142" s="3064"/>
      <c r="E12142" s="3064"/>
      <c r="F12142" s="3064"/>
      <c r="G12142" s="3302" t="s">
        <v>81</v>
      </c>
      <c r="H12142" s="3063"/>
      <c r="I12142" s="3030"/>
    </row>
    <row r="12143" spans="2:9" ht="26.25" thickBot="1">
      <c r="B12143" s="3303" t="s">
        <v>81</v>
      </c>
      <c r="C12143" s="3063"/>
      <c r="D12143" s="3064"/>
      <c r="E12143" s="3064"/>
      <c r="F12143" s="3064"/>
      <c r="G12143" s="3302" t="s">
        <v>81</v>
      </c>
      <c r="H12143" s="3063"/>
      <c r="I12143" s="3030"/>
    </row>
    <row r="12144" spans="2:9">
      <c r="B12144" s="3217" t="s">
        <v>697</v>
      </c>
      <c r="C12144" s="3218"/>
      <c r="D12144" s="3219"/>
      <c r="E12144" s="3219"/>
      <c r="F12144" s="3219"/>
      <c r="G12144" s="3217" t="s">
        <v>697</v>
      </c>
      <c r="H12144" s="3297"/>
      <c r="I12144" s="3298"/>
    </row>
    <row r="12145" spans="2:9">
      <c r="B12145" s="3299" t="s">
        <v>64</v>
      </c>
      <c r="C12145" s="3063"/>
      <c r="D12145" s="3064"/>
      <c r="E12145" s="3064"/>
      <c r="F12145" s="3064"/>
      <c r="G12145" s="3300" t="s">
        <v>64</v>
      </c>
      <c r="H12145" s="3063"/>
      <c r="I12145" s="3030"/>
    </row>
    <row r="12146" spans="2:9" ht="25.5">
      <c r="B12146" s="3192" t="s">
        <v>675</v>
      </c>
      <c r="C12146" s="3063"/>
      <c r="D12146" s="3064"/>
      <c r="E12146" s="3064"/>
      <c r="F12146" s="3064"/>
      <c r="G12146" s="3301" t="s">
        <v>675</v>
      </c>
      <c r="H12146" s="3063"/>
      <c r="I12146" s="3030"/>
    </row>
    <row r="12147" spans="2:9" ht="25.5">
      <c r="B12147" s="3192" t="s">
        <v>676</v>
      </c>
      <c r="C12147" s="3063"/>
      <c r="D12147" s="3064"/>
      <c r="E12147" s="3064"/>
      <c r="F12147" s="3064"/>
      <c r="G12147" s="3301" t="s">
        <v>676</v>
      </c>
      <c r="H12147" s="3063"/>
      <c r="I12147" s="3030"/>
    </row>
    <row r="12148" spans="2:9">
      <c r="B12148" s="3192" t="s">
        <v>677</v>
      </c>
      <c r="C12148" s="3063"/>
      <c r="D12148" s="3064"/>
      <c r="E12148" s="3064"/>
      <c r="F12148" s="3064"/>
      <c r="G12148" s="3301" t="s">
        <v>677</v>
      </c>
      <c r="H12148" s="3063"/>
      <c r="I12148" s="3030"/>
    </row>
    <row r="12149" spans="2:9">
      <c r="B12149" s="3192" t="s">
        <v>678</v>
      </c>
      <c r="C12149" s="3063"/>
      <c r="D12149" s="3064"/>
      <c r="E12149" s="3064"/>
      <c r="F12149" s="3064"/>
      <c r="G12149" s="3301" t="s">
        <v>678</v>
      </c>
      <c r="H12149" s="3063"/>
      <c r="I12149" s="3030"/>
    </row>
    <row r="12150" spans="2:9">
      <c r="B12150" s="3192" t="s">
        <v>679</v>
      </c>
      <c r="C12150" s="3063"/>
      <c r="D12150" s="3064"/>
      <c r="E12150" s="3064"/>
      <c r="F12150" s="3064"/>
      <c r="G12150" s="3301" t="s">
        <v>679</v>
      </c>
      <c r="H12150" s="3063"/>
      <c r="I12150" s="3030"/>
    </row>
    <row r="12151" spans="2:9" ht="25.5">
      <c r="B12151" s="3192" t="s">
        <v>720</v>
      </c>
      <c r="C12151" s="3063"/>
      <c r="D12151" s="3064"/>
      <c r="E12151" s="3064"/>
      <c r="F12151" s="3064"/>
      <c r="G12151" s="3301" t="s">
        <v>720</v>
      </c>
      <c r="H12151" s="3063"/>
      <c r="I12151" s="3030"/>
    </row>
    <row r="12152" spans="2:9">
      <c r="B12152" s="3299" t="s">
        <v>65</v>
      </c>
      <c r="C12152" s="3063"/>
      <c r="D12152" s="3064"/>
      <c r="E12152" s="3064"/>
      <c r="F12152" s="3064"/>
      <c r="G12152" s="3300" t="s">
        <v>65</v>
      </c>
      <c r="H12152" s="3063"/>
      <c r="I12152" s="3030"/>
    </row>
    <row r="12153" spans="2:9" ht="25.5">
      <c r="B12153" s="3192" t="s">
        <v>675</v>
      </c>
      <c r="C12153" s="3063"/>
      <c r="D12153" s="3064"/>
      <c r="E12153" s="3064"/>
      <c r="F12153" s="3064"/>
      <c r="G12153" s="3301" t="s">
        <v>675</v>
      </c>
      <c r="H12153" s="3063"/>
      <c r="I12153" s="3030"/>
    </row>
    <row r="12154" spans="2:9" ht="25.5">
      <c r="B12154" s="3192" t="s">
        <v>676</v>
      </c>
      <c r="C12154" s="3063"/>
      <c r="D12154" s="3064"/>
      <c r="E12154" s="3064"/>
      <c r="F12154" s="3064"/>
      <c r="G12154" s="3301" t="s">
        <v>676</v>
      </c>
      <c r="H12154" s="3063"/>
      <c r="I12154" s="3030"/>
    </row>
    <row r="12155" spans="2:9">
      <c r="B12155" s="3192" t="s">
        <v>677</v>
      </c>
      <c r="C12155" s="3063"/>
      <c r="D12155" s="3064"/>
      <c r="E12155" s="3064"/>
      <c r="F12155" s="3064"/>
      <c r="G12155" s="3301" t="s">
        <v>677</v>
      </c>
      <c r="H12155" s="3063"/>
      <c r="I12155" s="3030"/>
    </row>
    <row r="12156" spans="2:9">
      <c r="B12156" s="3192" t="s">
        <v>678</v>
      </c>
      <c r="C12156" s="3063"/>
      <c r="D12156" s="3064"/>
      <c r="E12156" s="3064"/>
      <c r="F12156" s="3064"/>
      <c r="G12156" s="3301" t="s">
        <v>678</v>
      </c>
      <c r="H12156" s="3063"/>
      <c r="I12156" s="3030"/>
    </row>
    <row r="12157" spans="2:9">
      <c r="B12157" s="3192" t="s">
        <v>679</v>
      </c>
      <c r="C12157" s="3063"/>
      <c r="D12157" s="3064"/>
      <c r="E12157" s="3064"/>
      <c r="F12157" s="3064"/>
      <c r="G12157" s="3301" t="s">
        <v>679</v>
      </c>
      <c r="H12157" s="3063"/>
      <c r="I12157" s="3030"/>
    </row>
    <row r="12158" spans="2:9" ht="25.5">
      <c r="B12158" s="3192" t="s">
        <v>720</v>
      </c>
      <c r="C12158" s="3063"/>
      <c r="D12158" s="3064"/>
      <c r="E12158" s="3064"/>
      <c r="F12158" s="3064"/>
      <c r="G12158" s="3301" t="s">
        <v>720</v>
      </c>
      <c r="H12158" s="3063"/>
      <c r="I12158" s="3030"/>
    </row>
    <row r="12159" spans="2:9">
      <c r="B12159" s="3299" t="s">
        <v>82</v>
      </c>
      <c r="C12159" s="3063"/>
      <c r="D12159" s="3064"/>
      <c r="E12159" s="3064"/>
      <c r="F12159" s="3064"/>
      <c r="G12159" s="3300" t="s">
        <v>82</v>
      </c>
      <c r="H12159" s="3063"/>
      <c r="I12159" s="3030"/>
    </row>
    <row r="12160" spans="2:9" ht="25.5">
      <c r="B12160" s="3192" t="s">
        <v>675</v>
      </c>
      <c r="C12160" s="3063"/>
      <c r="D12160" s="3064"/>
      <c r="E12160" s="3064"/>
      <c r="F12160" s="3064"/>
      <c r="G12160" s="3301" t="s">
        <v>675</v>
      </c>
      <c r="H12160" s="3063"/>
      <c r="I12160" s="3030"/>
    </row>
    <row r="12161" spans="2:9" ht="25.5">
      <c r="B12161" s="3192" t="s">
        <v>676</v>
      </c>
      <c r="C12161" s="3063"/>
      <c r="D12161" s="3064"/>
      <c r="E12161" s="3064"/>
      <c r="F12161" s="3064"/>
      <c r="G12161" s="3301" t="s">
        <v>676</v>
      </c>
      <c r="H12161" s="3063"/>
      <c r="I12161" s="3030"/>
    </row>
    <row r="12162" spans="2:9">
      <c r="B12162" s="3192" t="s">
        <v>677</v>
      </c>
      <c r="C12162" s="3063"/>
      <c r="D12162" s="3064"/>
      <c r="E12162" s="3064"/>
      <c r="F12162" s="3064"/>
      <c r="G12162" s="3301" t="s">
        <v>677</v>
      </c>
      <c r="H12162" s="3063"/>
      <c r="I12162" s="3030"/>
    </row>
    <row r="12163" spans="2:9">
      <c r="B12163" s="3192" t="s">
        <v>678</v>
      </c>
      <c r="C12163" s="3063"/>
      <c r="D12163" s="3064"/>
      <c r="E12163" s="3064"/>
      <c r="F12163" s="3064"/>
      <c r="G12163" s="3301" t="s">
        <v>678</v>
      </c>
      <c r="H12163" s="3063"/>
      <c r="I12163" s="3030"/>
    </row>
    <row r="12164" spans="2:9">
      <c r="B12164" s="3192" t="s">
        <v>679</v>
      </c>
      <c r="C12164" s="3063"/>
      <c r="D12164" s="3064"/>
      <c r="E12164" s="3064"/>
      <c r="F12164" s="3064"/>
      <c r="G12164" s="3301" t="s">
        <v>679</v>
      </c>
      <c r="H12164" s="3063"/>
      <c r="I12164" s="3030"/>
    </row>
    <row r="12165" spans="2:9" ht="25.5">
      <c r="B12165" s="3192" t="s">
        <v>720</v>
      </c>
      <c r="C12165" s="3063"/>
      <c r="D12165" s="3064"/>
      <c r="E12165" s="3064"/>
      <c r="F12165" s="3064"/>
      <c r="G12165" s="3301" t="s">
        <v>720</v>
      </c>
      <c r="H12165" s="3063"/>
      <c r="I12165" s="3030"/>
    </row>
    <row r="12166" spans="2:9" ht="38.25">
      <c r="B12166" s="3299" t="s">
        <v>680</v>
      </c>
      <c r="C12166" s="3063"/>
      <c r="D12166" s="3064"/>
      <c r="E12166" s="3064"/>
      <c r="F12166" s="3064"/>
      <c r="G12166" s="3300" t="s">
        <v>680</v>
      </c>
      <c r="H12166" s="3063"/>
      <c r="I12166" s="3030"/>
    </row>
    <row r="12167" spans="2:9" ht="25.5">
      <c r="B12167" s="3192" t="s">
        <v>675</v>
      </c>
      <c r="C12167" s="3063"/>
      <c r="D12167" s="3064"/>
      <c r="E12167" s="3064"/>
      <c r="F12167" s="3064"/>
      <c r="G12167" s="3301" t="s">
        <v>675</v>
      </c>
      <c r="H12167" s="3063"/>
      <c r="I12167" s="3030"/>
    </row>
    <row r="12168" spans="2:9" ht="25.5">
      <c r="B12168" s="3192" t="s">
        <v>676</v>
      </c>
      <c r="C12168" s="3063"/>
      <c r="D12168" s="3064"/>
      <c r="E12168" s="3064"/>
      <c r="F12168" s="3064"/>
      <c r="G12168" s="3301" t="s">
        <v>676</v>
      </c>
      <c r="H12168" s="3063"/>
      <c r="I12168" s="3030"/>
    </row>
    <row r="12169" spans="2:9">
      <c r="B12169" s="3192" t="s">
        <v>677</v>
      </c>
      <c r="C12169" s="3063"/>
      <c r="D12169" s="3064"/>
      <c r="E12169" s="3064"/>
      <c r="F12169" s="3064"/>
      <c r="G12169" s="3301" t="s">
        <v>677</v>
      </c>
      <c r="H12169" s="3063"/>
      <c r="I12169" s="3030"/>
    </row>
    <row r="12170" spans="2:9">
      <c r="B12170" s="3192" t="s">
        <v>678</v>
      </c>
      <c r="C12170" s="3063"/>
      <c r="D12170" s="3064"/>
      <c r="E12170" s="3064"/>
      <c r="F12170" s="3064"/>
      <c r="G12170" s="3301" t="s">
        <v>678</v>
      </c>
      <c r="H12170" s="3063"/>
      <c r="I12170" s="3030"/>
    </row>
    <row r="12171" spans="2:9">
      <c r="B12171" s="3192" t="s">
        <v>679</v>
      </c>
      <c r="C12171" s="3063"/>
      <c r="D12171" s="3064"/>
      <c r="E12171" s="3064"/>
      <c r="F12171" s="3064"/>
      <c r="G12171" s="3301" t="s">
        <v>679</v>
      </c>
      <c r="H12171" s="3063"/>
      <c r="I12171" s="3030"/>
    </row>
    <row r="12172" spans="2:9" ht="25.5">
      <c r="B12172" s="3192" t="s">
        <v>720</v>
      </c>
      <c r="C12172" s="3063"/>
      <c r="D12172" s="3064"/>
      <c r="E12172" s="3064"/>
      <c r="F12172" s="3064"/>
      <c r="G12172" s="3301" t="s">
        <v>720</v>
      </c>
      <c r="H12172" s="3063"/>
      <c r="I12172" s="3030"/>
    </row>
    <row r="12173" spans="2:9" ht="38.25">
      <c r="B12173" s="3299" t="s">
        <v>681</v>
      </c>
      <c r="C12173" s="3063"/>
      <c r="D12173" s="3064"/>
      <c r="E12173" s="3064"/>
      <c r="F12173" s="3064"/>
      <c r="G12173" s="3300" t="s">
        <v>681</v>
      </c>
      <c r="H12173" s="3063">
        <v>3.2006145179874525E-2</v>
      </c>
      <c r="I12173" s="3030"/>
    </row>
    <row r="12174" spans="2:9" ht="25.5">
      <c r="B12174" s="3192" t="s">
        <v>675</v>
      </c>
      <c r="C12174" s="3063"/>
      <c r="D12174" s="3064"/>
      <c r="E12174" s="3064"/>
      <c r="F12174" s="3064"/>
      <c r="G12174" s="3301" t="s">
        <v>675</v>
      </c>
      <c r="H12174" s="3063"/>
      <c r="I12174" s="3030"/>
    </row>
    <row r="12175" spans="2:9" ht="25.5">
      <c r="B12175" s="3192" t="s">
        <v>676</v>
      </c>
      <c r="C12175" s="3063"/>
      <c r="D12175" s="3064"/>
      <c r="E12175" s="3064"/>
      <c r="F12175" s="3064"/>
      <c r="G12175" s="3301" t="s">
        <v>676</v>
      </c>
      <c r="H12175" s="3063"/>
      <c r="I12175" s="3030"/>
    </row>
    <row r="12176" spans="2:9">
      <c r="B12176" s="3192" t="s">
        <v>677</v>
      </c>
      <c r="C12176" s="3063"/>
      <c r="D12176" s="3064"/>
      <c r="E12176" s="3064"/>
      <c r="F12176" s="3064"/>
      <c r="G12176" s="3301" t="s">
        <v>677</v>
      </c>
      <c r="H12176" s="3063"/>
      <c r="I12176" s="3030"/>
    </row>
    <row r="12177" spans="2:9">
      <c r="B12177" s="3192" t="s">
        <v>678</v>
      </c>
      <c r="C12177" s="3063"/>
      <c r="D12177" s="3064"/>
      <c r="E12177" s="3064"/>
      <c r="F12177" s="3064"/>
      <c r="G12177" s="3301" t="s">
        <v>678</v>
      </c>
      <c r="H12177" s="3063"/>
      <c r="I12177" s="3030"/>
    </row>
    <row r="12178" spans="2:9">
      <c r="B12178" s="3192" t="s">
        <v>679</v>
      </c>
      <c r="C12178" s="3063"/>
      <c r="D12178" s="3064">
        <v>1</v>
      </c>
      <c r="E12178" s="3064"/>
      <c r="F12178" s="3064"/>
      <c r="G12178" s="3301" t="s">
        <v>679</v>
      </c>
      <c r="H12178" s="3063"/>
      <c r="I12178" s="3030"/>
    </row>
    <row r="12179" spans="2:9" ht="25.5">
      <c r="B12179" s="3192" t="s">
        <v>720</v>
      </c>
      <c r="C12179" s="3063"/>
      <c r="D12179" s="3064"/>
      <c r="E12179" s="3064"/>
      <c r="F12179" s="3064"/>
      <c r="G12179" s="3301" t="s">
        <v>720</v>
      </c>
      <c r="H12179" s="3063"/>
      <c r="I12179" s="3030"/>
    </row>
    <row r="12180" spans="2:9" ht="25.5">
      <c r="B12180" s="3299" t="s">
        <v>682</v>
      </c>
      <c r="C12180" s="3063"/>
      <c r="D12180" s="3064"/>
      <c r="E12180" s="3064"/>
      <c r="F12180" s="3064"/>
      <c r="G12180" s="3300" t="s">
        <v>682</v>
      </c>
      <c r="H12180" s="3063"/>
      <c r="I12180" s="3030"/>
    </row>
    <row r="12181" spans="2:9" ht="25.5">
      <c r="B12181" s="3192" t="s">
        <v>675</v>
      </c>
      <c r="C12181" s="3063"/>
      <c r="D12181" s="3064"/>
      <c r="E12181" s="3064"/>
      <c r="F12181" s="3064"/>
      <c r="G12181" s="3301" t="s">
        <v>675</v>
      </c>
      <c r="H12181" s="3063"/>
      <c r="I12181" s="3030"/>
    </row>
    <row r="12182" spans="2:9" ht="25.5">
      <c r="B12182" s="3192" t="s">
        <v>676</v>
      </c>
      <c r="C12182" s="3063"/>
      <c r="D12182" s="3064"/>
      <c r="E12182" s="3064"/>
      <c r="F12182" s="3064"/>
      <c r="G12182" s="3301" t="s">
        <v>676</v>
      </c>
      <c r="H12182" s="3063"/>
      <c r="I12182" s="3030"/>
    </row>
    <row r="12183" spans="2:9">
      <c r="B12183" s="3192" t="s">
        <v>677</v>
      </c>
      <c r="C12183" s="3063"/>
      <c r="D12183" s="3064"/>
      <c r="E12183" s="3064"/>
      <c r="F12183" s="3064"/>
      <c r="G12183" s="3301" t="s">
        <v>677</v>
      </c>
      <c r="H12183" s="3063"/>
      <c r="I12183" s="3030"/>
    </row>
    <row r="12184" spans="2:9">
      <c r="B12184" s="3192" t="s">
        <v>678</v>
      </c>
      <c r="C12184" s="3063"/>
      <c r="D12184" s="3064"/>
      <c r="E12184" s="3064"/>
      <c r="F12184" s="3064"/>
      <c r="G12184" s="3301" t="s">
        <v>678</v>
      </c>
      <c r="H12184" s="3063"/>
      <c r="I12184" s="3030"/>
    </row>
    <row r="12185" spans="2:9">
      <c r="B12185" s="3192" t="s">
        <v>679</v>
      </c>
      <c r="C12185" s="3063"/>
      <c r="D12185" s="3064"/>
      <c r="E12185" s="3064"/>
      <c r="F12185" s="3064"/>
      <c r="G12185" s="3301" t="s">
        <v>679</v>
      </c>
      <c r="H12185" s="3063"/>
      <c r="I12185" s="3030"/>
    </row>
    <row r="12186" spans="2:9" ht="25.5">
      <c r="B12186" s="3192" t="s">
        <v>720</v>
      </c>
      <c r="C12186" s="3063"/>
      <c r="D12186" s="3064"/>
      <c r="E12186" s="3064"/>
      <c r="F12186" s="3064"/>
      <c r="G12186" s="3301" t="s">
        <v>720</v>
      </c>
      <c r="H12186" s="3063"/>
      <c r="I12186" s="3030"/>
    </row>
    <row r="12187" spans="2:9" ht="25.5">
      <c r="B12187" s="3299" t="s">
        <v>66</v>
      </c>
      <c r="C12187" s="3063"/>
      <c r="D12187" s="3064"/>
      <c r="E12187" s="3064"/>
      <c r="F12187" s="3064"/>
      <c r="G12187" s="3300" t="s">
        <v>66</v>
      </c>
      <c r="H12187" s="3063"/>
      <c r="I12187" s="3030"/>
    </row>
    <row r="12188" spans="2:9" ht="25.5">
      <c r="B12188" s="3192" t="s">
        <v>675</v>
      </c>
      <c r="C12188" s="3063"/>
      <c r="D12188" s="3064"/>
      <c r="E12188" s="3064"/>
      <c r="F12188" s="3064"/>
      <c r="G12188" s="3301" t="s">
        <v>675</v>
      </c>
      <c r="H12188" s="3063"/>
      <c r="I12188" s="3030"/>
    </row>
    <row r="12189" spans="2:9" ht="25.5">
      <c r="B12189" s="3192" t="s">
        <v>676</v>
      </c>
      <c r="C12189" s="3063"/>
      <c r="D12189" s="3064"/>
      <c r="E12189" s="3064"/>
      <c r="F12189" s="3064"/>
      <c r="G12189" s="3301" t="s">
        <v>676</v>
      </c>
      <c r="H12189" s="3063"/>
      <c r="I12189" s="3030"/>
    </row>
    <row r="12190" spans="2:9">
      <c r="B12190" s="3192" t="s">
        <v>677</v>
      </c>
      <c r="C12190" s="3063"/>
      <c r="D12190" s="3064"/>
      <c r="E12190" s="3064"/>
      <c r="F12190" s="3064"/>
      <c r="G12190" s="3301" t="s">
        <v>677</v>
      </c>
      <c r="H12190" s="3063"/>
      <c r="I12190" s="3030"/>
    </row>
    <row r="12191" spans="2:9">
      <c r="B12191" s="3192" t="s">
        <v>678</v>
      </c>
      <c r="C12191" s="3063"/>
      <c r="D12191" s="3064"/>
      <c r="E12191" s="3064"/>
      <c r="F12191" s="3064"/>
      <c r="G12191" s="3301" t="s">
        <v>678</v>
      </c>
      <c r="H12191" s="3063"/>
      <c r="I12191" s="3030"/>
    </row>
    <row r="12192" spans="2:9">
      <c r="B12192" s="3192" t="s">
        <v>679</v>
      </c>
      <c r="C12192" s="3063"/>
      <c r="D12192" s="3064"/>
      <c r="E12192" s="3064"/>
      <c r="F12192" s="3064"/>
      <c r="G12192" s="3301" t="s">
        <v>679</v>
      </c>
      <c r="H12192" s="3063"/>
      <c r="I12192" s="3030"/>
    </row>
    <row r="12193" spans="2:9" ht="25.5">
      <c r="B12193" s="3192" t="s">
        <v>720</v>
      </c>
      <c r="C12193" s="3063"/>
      <c r="D12193" s="3064"/>
      <c r="E12193" s="3064"/>
      <c r="F12193" s="3064"/>
      <c r="G12193" s="3301" t="s">
        <v>720</v>
      </c>
      <c r="H12193" s="3063"/>
      <c r="I12193" s="3030"/>
    </row>
    <row r="12194" spans="2:9">
      <c r="B12194" s="3299" t="s">
        <v>67</v>
      </c>
      <c r="C12194" s="3063"/>
      <c r="D12194" s="3064"/>
      <c r="E12194" s="3064"/>
      <c r="F12194" s="3064"/>
      <c r="G12194" s="3300" t="s">
        <v>67</v>
      </c>
      <c r="H12194" s="3063"/>
      <c r="I12194" s="3030"/>
    </row>
    <row r="12195" spans="2:9" ht="25.5">
      <c r="B12195" s="3192" t="s">
        <v>675</v>
      </c>
      <c r="C12195" s="3063"/>
      <c r="D12195" s="3064"/>
      <c r="E12195" s="3064"/>
      <c r="F12195" s="3064"/>
      <c r="G12195" s="3301" t="s">
        <v>675</v>
      </c>
      <c r="H12195" s="3063"/>
      <c r="I12195" s="3030"/>
    </row>
    <row r="12196" spans="2:9" ht="25.5">
      <c r="B12196" s="3192" t="s">
        <v>676</v>
      </c>
      <c r="C12196" s="3063"/>
      <c r="D12196" s="3064"/>
      <c r="E12196" s="3064"/>
      <c r="F12196" s="3064"/>
      <c r="G12196" s="3301" t="s">
        <v>676</v>
      </c>
      <c r="H12196" s="3063"/>
      <c r="I12196" s="3030"/>
    </row>
    <row r="12197" spans="2:9">
      <c r="B12197" s="3192" t="s">
        <v>677</v>
      </c>
      <c r="C12197" s="3063"/>
      <c r="D12197" s="3064"/>
      <c r="E12197" s="3064"/>
      <c r="F12197" s="3064"/>
      <c r="G12197" s="3301" t="s">
        <v>677</v>
      </c>
      <c r="H12197" s="3063"/>
      <c r="I12197" s="3030"/>
    </row>
    <row r="12198" spans="2:9">
      <c r="B12198" s="3192" t="s">
        <v>678</v>
      </c>
      <c r="C12198" s="3063"/>
      <c r="D12198" s="3064"/>
      <c r="E12198" s="3064"/>
      <c r="F12198" s="3064"/>
      <c r="G12198" s="3301" t="s">
        <v>678</v>
      </c>
      <c r="H12198" s="3063"/>
      <c r="I12198" s="3030"/>
    </row>
    <row r="12199" spans="2:9">
      <c r="B12199" s="3192" t="s">
        <v>679</v>
      </c>
      <c r="C12199" s="3063"/>
      <c r="D12199" s="3064"/>
      <c r="E12199" s="3064"/>
      <c r="F12199" s="3064"/>
      <c r="G12199" s="3301" t="s">
        <v>679</v>
      </c>
      <c r="H12199" s="3063"/>
      <c r="I12199" s="3030"/>
    </row>
    <row r="12200" spans="2:9" ht="25.5">
      <c r="B12200" s="3230" t="s">
        <v>81</v>
      </c>
      <c r="C12200" s="3063"/>
      <c r="D12200" s="3064"/>
      <c r="E12200" s="3064"/>
      <c r="F12200" s="3064"/>
      <c r="G12200" s="3302" t="s">
        <v>81</v>
      </c>
      <c r="H12200" s="3063"/>
      <c r="I12200" s="3030"/>
    </row>
    <row r="12201" spans="2:9" ht="26.25" thickBot="1">
      <c r="B12201" s="3303" t="s">
        <v>81</v>
      </c>
      <c r="C12201" s="3068"/>
      <c r="D12201" s="3069"/>
      <c r="E12201" s="3069"/>
      <c r="F12201" s="3069"/>
      <c r="G12201" s="3304" t="s">
        <v>81</v>
      </c>
      <c r="H12201" s="3068"/>
      <c r="I12201" s="3070"/>
    </row>
    <row r="12202" spans="2:9" ht="38.25">
      <c r="B12202" s="4723">
        <v>3300</v>
      </c>
      <c r="C12202" s="3289"/>
      <c r="D12202" s="3290"/>
      <c r="E12202" s="3290"/>
      <c r="F12202" s="3290"/>
      <c r="G12202" s="4723">
        <v>3300</v>
      </c>
      <c r="H12202" s="3291" t="s">
        <v>687</v>
      </c>
      <c r="I12202" s="3292" t="s">
        <v>688</v>
      </c>
    </row>
    <row r="12203" spans="2:9">
      <c r="B12203" s="4724"/>
      <c r="C12203" s="4678" t="s">
        <v>686</v>
      </c>
      <c r="D12203" s="4725"/>
      <c r="E12203" s="4725"/>
      <c r="F12203" s="4726"/>
      <c r="G12203" s="4724"/>
      <c r="H12203" s="3293"/>
      <c r="I12203" s="3294"/>
    </row>
    <row r="12204" spans="2:9" ht="13.5" thickBot="1">
      <c r="B12204" s="4724"/>
      <c r="C12204" s="3215">
        <v>2013</v>
      </c>
      <c r="D12204" s="3215">
        <v>2014</v>
      </c>
      <c r="E12204" s="3215">
        <v>2015</v>
      </c>
      <c r="F12204" s="3215">
        <v>2016</v>
      </c>
      <c r="G12204" s="4724"/>
      <c r="H12204" s="3295" t="s">
        <v>390</v>
      </c>
      <c r="I12204" s="3296" t="s">
        <v>390</v>
      </c>
    </row>
    <row r="12205" spans="2:9">
      <c r="B12205" s="3217" t="s">
        <v>695</v>
      </c>
      <c r="C12205" s="3218"/>
      <c r="D12205" s="3219"/>
      <c r="E12205" s="3219"/>
      <c r="F12205" s="3219"/>
      <c r="G12205" s="3217" t="s">
        <v>695</v>
      </c>
      <c r="H12205" s="3297"/>
      <c r="I12205" s="3298"/>
    </row>
    <row r="12206" spans="2:9">
      <c r="B12206" s="3299" t="s">
        <v>64</v>
      </c>
      <c r="C12206" s="3063"/>
      <c r="D12206" s="3064"/>
      <c r="E12206" s="3064"/>
      <c r="F12206" s="3064">
        <v>1</v>
      </c>
      <c r="G12206" s="3300" t="s">
        <v>64</v>
      </c>
      <c r="H12206" s="3063">
        <v>1.20918984280532</v>
      </c>
      <c r="I12206" s="3030"/>
    </row>
    <row r="12207" spans="2:9" ht="25.5">
      <c r="B12207" s="3192" t="s">
        <v>675</v>
      </c>
      <c r="C12207" s="3063"/>
      <c r="D12207" s="3064"/>
      <c r="E12207" s="3064"/>
      <c r="F12207" s="3064"/>
      <c r="G12207" s="3301" t="s">
        <v>675</v>
      </c>
      <c r="H12207" s="3063"/>
      <c r="I12207" s="3030"/>
    </row>
    <row r="12208" spans="2:9" ht="25.5">
      <c r="B12208" s="3192" t="s">
        <v>676</v>
      </c>
      <c r="C12208" s="3063"/>
      <c r="D12208" s="3064"/>
      <c r="E12208" s="3064"/>
      <c r="F12208" s="3064"/>
      <c r="G12208" s="3301" t="s">
        <v>676</v>
      </c>
      <c r="H12208" s="3063"/>
      <c r="I12208" s="3030"/>
    </row>
    <row r="12209" spans="2:9">
      <c r="B12209" s="3192" t="s">
        <v>677</v>
      </c>
      <c r="C12209" s="3063"/>
      <c r="D12209" s="3064"/>
      <c r="E12209" s="3064"/>
      <c r="F12209" s="3064"/>
      <c r="G12209" s="3301" t="s">
        <v>677</v>
      </c>
      <c r="H12209" s="3063"/>
      <c r="I12209" s="3030"/>
    </row>
    <row r="12210" spans="2:9">
      <c r="B12210" s="3192" t="s">
        <v>678</v>
      </c>
      <c r="C12210" s="3063"/>
      <c r="D12210" s="3064"/>
      <c r="E12210" s="3064"/>
      <c r="F12210" s="3064"/>
      <c r="G12210" s="3301" t="s">
        <v>678</v>
      </c>
      <c r="H12210" s="3063"/>
      <c r="I12210" s="3030"/>
    </row>
    <row r="12211" spans="2:9">
      <c r="B12211" s="3192" t="s">
        <v>679</v>
      </c>
      <c r="C12211" s="3063"/>
      <c r="D12211" s="3064"/>
      <c r="E12211" s="3064"/>
      <c r="F12211" s="3064"/>
      <c r="G12211" s="3301" t="s">
        <v>679</v>
      </c>
      <c r="H12211" s="3063"/>
      <c r="I12211" s="3030"/>
    </row>
    <row r="12212" spans="2:9" ht="25.5">
      <c r="B12212" s="3192" t="s">
        <v>720</v>
      </c>
      <c r="C12212" s="3063"/>
      <c r="D12212" s="3064"/>
      <c r="E12212" s="3064"/>
      <c r="F12212" s="3064"/>
      <c r="G12212" s="3301" t="s">
        <v>720</v>
      </c>
      <c r="H12212" s="3063"/>
      <c r="I12212" s="3030"/>
    </row>
    <row r="12213" spans="2:9">
      <c r="B12213" s="3299" t="s">
        <v>65</v>
      </c>
      <c r="C12213" s="3063"/>
      <c r="D12213" s="3064"/>
      <c r="E12213" s="3064"/>
      <c r="F12213" s="3064">
        <v>2</v>
      </c>
      <c r="G12213" s="3300" t="s">
        <v>65</v>
      </c>
      <c r="H12213" s="3063">
        <v>8.672274737663685E-2</v>
      </c>
      <c r="I12213" s="3030"/>
    </row>
    <row r="12214" spans="2:9" ht="25.5">
      <c r="B12214" s="3192" t="s">
        <v>675</v>
      </c>
      <c r="C12214" s="3063"/>
      <c r="D12214" s="3064"/>
      <c r="E12214" s="3064"/>
      <c r="F12214" s="3064"/>
      <c r="G12214" s="3301" t="s">
        <v>675</v>
      </c>
      <c r="H12214" s="3063"/>
      <c r="I12214" s="3030"/>
    </row>
    <row r="12215" spans="2:9" ht="25.5">
      <c r="B12215" s="3192" t="s">
        <v>676</v>
      </c>
      <c r="C12215" s="3063"/>
      <c r="D12215" s="3064"/>
      <c r="E12215" s="3064"/>
      <c r="F12215" s="3064"/>
      <c r="G12215" s="3301" t="s">
        <v>676</v>
      </c>
      <c r="H12215" s="3063"/>
      <c r="I12215" s="3030"/>
    </row>
    <row r="12216" spans="2:9">
      <c r="B12216" s="3192" t="s">
        <v>677</v>
      </c>
      <c r="C12216" s="3063"/>
      <c r="D12216" s="3064"/>
      <c r="E12216" s="3064"/>
      <c r="F12216" s="3064"/>
      <c r="G12216" s="3301" t="s">
        <v>677</v>
      </c>
      <c r="H12216" s="3063"/>
      <c r="I12216" s="3030"/>
    </row>
    <row r="12217" spans="2:9">
      <c r="B12217" s="3192" t="s">
        <v>678</v>
      </c>
      <c r="C12217" s="3063"/>
      <c r="D12217" s="3064"/>
      <c r="E12217" s="3064"/>
      <c r="F12217" s="3064"/>
      <c r="G12217" s="3301" t="s">
        <v>678</v>
      </c>
      <c r="H12217" s="3063"/>
      <c r="I12217" s="3030"/>
    </row>
    <row r="12218" spans="2:9">
      <c r="B12218" s="3192" t="s">
        <v>679</v>
      </c>
      <c r="C12218" s="3063"/>
      <c r="D12218" s="3064"/>
      <c r="E12218" s="3064"/>
      <c r="F12218" s="3064"/>
      <c r="G12218" s="3301" t="s">
        <v>679</v>
      </c>
      <c r="H12218" s="3063"/>
      <c r="I12218" s="3030"/>
    </row>
    <row r="12219" spans="2:9" ht="25.5">
      <c r="B12219" s="3192" t="s">
        <v>720</v>
      </c>
      <c r="C12219" s="3063"/>
      <c r="D12219" s="3064"/>
      <c r="E12219" s="3064"/>
      <c r="F12219" s="3064"/>
      <c r="G12219" s="3301" t="s">
        <v>720</v>
      </c>
      <c r="H12219" s="3063"/>
      <c r="I12219" s="3030"/>
    </row>
    <row r="12220" spans="2:9">
      <c r="B12220" s="3299" t="s">
        <v>82</v>
      </c>
      <c r="C12220" s="3063"/>
      <c r="D12220" s="3064"/>
      <c r="E12220" s="3064"/>
      <c r="F12220" s="3064"/>
      <c r="G12220" s="3300" t="s">
        <v>82</v>
      </c>
      <c r="H12220" s="3063"/>
      <c r="I12220" s="3030"/>
    </row>
    <row r="12221" spans="2:9" ht="25.5">
      <c r="B12221" s="3192" t="s">
        <v>675</v>
      </c>
      <c r="C12221" s="3063"/>
      <c r="D12221" s="3064"/>
      <c r="E12221" s="3064"/>
      <c r="F12221" s="3064"/>
      <c r="G12221" s="3301" t="s">
        <v>675</v>
      </c>
      <c r="H12221" s="3063"/>
      <c r="I12221" s="3030"/>
    </row>
    <row r="12222" spans="2:9" ht="25.5">
      <c r="B12222" s="3192" t="s">
        <v>676</v>
      </c>
      <c r="C12222" s="3063"/>
      <c r="D12222" s="3064"/>
      <c r="E12222" s="3064"/>
      <c r="F12222" s="3064"/>
      <c r="G12222" s="3301" t="s">
        <v>676</v>
      </c>
      <c r="H12222" s="3063"/>
      <c r="I12222" s="3030"/>
    </row>
    <row r="12223" spans="2:9">
      <c r="B12223" s="3192" t="s">
        <v>677</v>
      </c>
      <c r="C12223" s="3063"/>
      <c r="D12223" s="3064"/>
      <c r="E12223" s="3064"/>
      <c r="F12223" s="3064"/>
      <c r="G12223" s="3301" t="s">
        <v>677</v>
      </c>
      <c r="H12223" s="3063"/>
      <c r="I12223" s="3030"/>
    </row>
    <row r="12224" spans="2:9">
      <c r="B12224" s="3192" t="s">
        <v>678</v>
      </c>
      <c r="C12224" s="3063"/>
      <c r="D12224" s="3064"/>
      <c r="E12224" s="3064"/>
      <c r="F12224" s="3064"/>
      <c r="G12224" s="3301" t="s">
        <v>678</v>
      </c>
      <c r="H12224" s="3063"/>
      <c r="I12224" s="3030"/>
    </row>
    <row r="12225" spans="2:9">
      <c r="B12225" s="3192" t="s">
        <v>679</v>
      </c>
      <c r="C12225" s="3063"/>
      <c r="D12225" s="3064"/>
      <c r="E12225" s="3064"/>
      <c r="F12225" s="3064"/>
      <c r="G12225" s="3301" t="s">
        <v>679</v>
      </c>
      <c r="H12225" s="3063"/>
      <c r="I12225" s="3030"/>
    </row>
    <row r="12226" spans="2:9" ht="25.5">
      <c r="B12226" s="3192" t="s">
        <v>720</v>
      </c>
      <c r="C12226" s="3063"/>
      <c r="D12226" s="3064"/>
      <c r="E12226" s="3064"/>
      <c r="F12226" s="3064"/>
      <c r="G12226" s="3301" t="s">
        <v>720</v>
      </c>
      <c r="H12226" s="3063"/>
      <c r="I12226" s="3030"/>
    </row>
    <row r="12227" spans="2:9" ht="38.25">
      <c r="B12227" s="3299" t="s">
        <v>680</v>
      </c>
      <c r="C12227" s="3063"/>
      <c r="D12227" s="3064"/>
      <c r="E12227" s="3064"/>
      <c r="F12227" s="3064"/>
      <c r="G12227" s="3300" t="s">
        <v>680</v>
      </c>
      <c r="H12227" s="3063"/>
      <c r="I12227" s="3030"/>
    </row>
    <row r="12228" spans="2:9" ht="25.5">
      <c r="B12228" s="3192" t="s">
        <v>675</v>
      </c>
      <c r="C12228" s="3063"/>
      <c r="D12228" s="3064"/>
      <c r="E12228" s="3064"/>
      <c r="F12228" s="3064"/>
      <c r="G12228" s="3301" t="s">
        <v>675</v>
      </c>
      <c r="H12228" s="3063"/>
      <c r="I12228" s="3030"/>
    </row>
    <row r="12229" spans="2:9" ht="25.5">
      <c r="B12229" s="3192" t="s">
        <v>676</v>
      </c>
      <c r="C12229" s="3063"/>
      <c r="D12229" s="3064"/>
      <c r="E12229" s="3064"/>
      <c r="F12229" s="3064"/>
      <c r="G12229" s="3301" t="s">
        <v>676</v>
      </c>
      <c r="H12229" s="3063"/>
      <c r="I12229" s="3030"/>
    </row>
    <row r="12230" spans="2:9">
      <c r="B12230" s="3192" t="s">
        <v>677</v>
      </c>
      <c r="C12230" s="3063"/>
      <c r="D12230" s="3064"/>
      <c r="E12230" s="3064"/>
      <c r="F12230" s="3064"/>
      <c r="G12230" s="3301" t="s">
        <v>677</v>
      </c>
      <c r="H12230" s="3063"/>
      <c r="I12230" s="3030"/>
    </row>
    <row r="12231" spans="2:9">
      <c r="B12231" s="3192" t="s">
        <v>678</v>
      </c>
      <c r="C12231" s="3063"/>
      <c r="D12231" s="3064"/>
      <c r="E12231" s="3064"/>
      <c r="F12231" s="3064"/>
      <c r="G12231" s="3301" t="s">
        <v>678</v>
      </c>
      <c r="H12231" s="3063"/>
      <c r="I12231" s="3030"/>
    </row>
    <row r="12232" spans="2:9">
      <c r="B12232" s="3192" t="s">
        <v>679</v>
      </c>
      <c r="C12232" s="3063"/>
      <c r="D12232" s="3064"/>
      <c r="E12232" s="3064"/>
      <c r="F12232" s="3064"/>
      <c r="G12232" s="3301" t="s">
        <v>679</v>
      </c>
      <c r="H12232" s="3063"/>
      <c r="I12232" s="3030"/>
    </row>
    <row r="12233" spans="2:9" ht="25.5">
      <c r="B12233" s="3192" t="s">
        <v>720</v>
      </c>
      <c r="C12233" s="3063"/>
      <c r="D12233" s="3064"/>
      <c r="E12233" s="3064"/>
      <c r="F12233" s="3064"/>
      <c r="G12233" s="3301" t="s">
        <v>720</v>
      </c>
      <c r="H12233" s="3063"/>
      <c r="I12233" s="3030"/>
    </row>
    <row r="12234" spans="2:9" ht="38.25">
      <c r="B12234" s="3299" t="s">
        <v>681</v>
      </c>
      <c r="C12234" s="3063"/>
      <c r="D12234" s="3064"/>
      <c r="E12234" s="3064"/>
      <c r="F12234" s="3064"/>
      <c r="G12234" s="3300" t="s">
        <v>681</v>
      </c>
      <c r="H12234" s="3063"/>
      <c r="I12234" s="3030"/>
    </row>
    <row r="12235" spans="2:9" ht="25.5">
      <c r="B12235" s="3192" t="s">
        <v>675</v>
      </c>
      <c r="C12235" s="3063"/>
      <c r="D12235" s="3064"/>
      <c r="E12235" s="3064"/>
      <c r="F12235" s="3064"/>
      <c r="G12235" s="3301" t="s">
        <v>675</v>
      </c>
      <c r="H12235" s="3063"/>
      <c r="I12235" s="3030"/>
    </row>
    <row r="12236" spans="2:9" ht="25.5">
      <c r="B12236" s="3192" t="s">
        <v>676</v>
      </c>
      <c r="C12236" s="3063"/>
      <c r="D12236" s="3064"/>
      <c r="E12236" s="3064"/>
      <c r="F12236" s="3064"/>
      <c r="G12236" s="3301" t="s">
        <v>676</v>
      </c>
      <c r="H12236" s="3063"/>
      <c r="I12236" s="3030"/>
    </row>
    <row r="12237" spans="2:9">
      <c r="B12237" s="3192" t="s">
        <v>677</v>
      </c>
      <c r="C12237" s="3063"/>
      <c r="D12237" s="3064"/>
      <c r="E12237" s="3064"/>
      <c r="F12237" s="3064"/>
      <c r="G12237" s="3301" t="s">
        <v>677</v>
      </c>
      <c r="H12237" s="3063"/>
      <c r="I12237" s="3030"/>
    </row>
    <row r="12238" spans="2:9">
      <c r="B12238" s="3192" t="s">
        <v>678</v>
      </c>
      <c r="C12238" s="3063"/>
      <c r="D12238" s="3064"/>
      <c r="E12238" s="3064"/>
      <c r="F12238" s="3064"/>
      <c r="G12238" s="3301" t="s">
        <v>678</v>
      </c>
      <c r="H12238" s="3063"/>
      <c r="I12238" s="3030"/>
    </row>
    <row r="12239" spans="2:9">
      <c r="B12239" s="3192" t="s">
        <v>679</v>
      </c>
      <c r="C12239" s="3063"/>
      <c r="D12239" s="3064"/>
      <c r="E12239" s="3064"/>
      <c r="F12239" s="3064"/>
      <c r="G12239" s="3301" t="s">
        <v>679</v>
      </c>
      <c r="H12239" s="3063"/>
      <c r="I12239" s="3030"/>
    </row>
    <row r="12240" spans="2:9" ht="25.5">
      <c r="B12240" s="3192" t="s">
        <v>720</v>
      </c>
      <c r="C12240" s="3063"/>
      <c r="D12240" s="3064"/>
      <c r="E12240" s="3064"/>
      <c r="F12240" s="3064"/>
      <c r="G12240" s="3301" t="s">
        <v>720</v>
      </c>
      <c r="H12240" s="3063"/>
      <c r="I12240" s="3030"/>
    </row>
    <row r="12241" spans="2:9" ht="25.5">
      <c r="B12241" s="3299" t="s">
        <v>682</v>
      </c>
      <c r="C12241" s="3063"/>
      <c r="D12241" s="3064"/>
      <c r="E12241" s="3064"/>
      <c r="F12241" s="3064"/>
      <c r="G12241" s="3300" t="s">
        <v>682</v>
      </c>
      <c r="H12241" s="3063"/>
      <c r="I12241" s="3030"/>
    </row>
    <row r="12242" spans="2:9" ht="25.5">
      <c r="B12242" s="3192" t="s">
        <v>675</v>
      </c>
      <c r="C12242" s="3063"/>
      <c r="D12242" s="3064"/>
      <c r="E12242" s="3064"/>
      <c r="F12242" s="3064"/>
      <c r="G12242" s="3301" t="s">
        <v>675</v>
      </c>
      <c r="H12242" s="3063"/>
      <c r="I12242" s="3030"/>
    </row>
    <row r="12243" spans="2:9" ht="25.5">
      <c r="B12243" s="3192" t="s">
        <v>676</v>
      </c>
      <c r="C12243" s="3063"/>
      <c r="D12243" s="3064"/>
      <c r="E12243" s="3064"/>
      <c r="F12243" s="3064"/>
      <c r="G12243" s="3301" t="s">
        <v>676</v>
      </c>
      <c r="H12243" s="3063"/>
      <c r="I12243" s="3030"/>
    </row>
    <row r="12244" spans="2:9">
      <c r="B12244" s="3192" t="s">
        <v>677</v>
      </c>
      <c r="C12244" s="3063"/>
      <c r="D12244" s="3064"/>
      <c r="E12244" s="3064"/>
      <c r="F12244" s="3064"/>
      <c r="G12244" s="3301" t="s">
        <v>677</v>
      </c>
      <c r="H12244" s="3063"/>
      <c r="I12244" s="3030"/>
    </row>
    <row r="12245" spans="2:9">
      <c r="B12245" s="3192" t="s">
        <v>678</v>
      </c>
      <c r="C12245" s="3063"/>
      <c r="D12245" s="3064"/>
      <c r="E12245" s="3064"/>
      <c r="F12245" s="3064"/>
      <c r="G12245" s="3301" t="s">
        <v>678</v>
      </c>
      <c r="H12245" s="3063"/>
      <c r="I12245" s="3030"/>
    </row>
    <row r="12246" spans="2:9">
      <c r="B12246" s="3192" t="s">
        <v>679</v>
      </c>
      <c r="C12246" s="3063"/>
      <c r="D12246" s="3064"/>
      <c r="E12246" s="3064"/>
      <c r="F12246" s="3064"/>
      <c r="G12246" s="3301" t="s">
        <v>679</v>
      </c>
      <c r="H12246" s="3063"/>
      <c r="I12246" s="3030"/>
    </row>
    <row r="12247" spans="2:9" ht="25.5">
      <c r="B12247" s="3192" t="s">
        <v>720</v>
      </c>
      <c r="C12247" s="3063"/>
      <c r="D12247" s="3064"/>
      <c r="E12247" s="3064"/>
      <c r="F12247" s="3064"/>
      <c r="G12247" s="3301" t="s">
        <v>720</v>
      </c>
      <c r="H12247" s="3063"/>
      <c r="I12247" s="3030"/>
    </row>
    <row r="12248" spans="2:9" ht="25.5">
      <c r="B12248" s="3299" t="s">
        <v>66</v>
      </c>
      <c r="C12248" s="3063"/>
      <c r="D12248" s="3064"/>
      <c r="E12248" s="3064"/>
      <c r="F12248" s="3064"/>
      <c r="G12248" s="3300" t="s">
        <v>66</v>
      </c>
      <c r="H12248" s="3063"/>
      <c r="I12248" s="3030"/>
    </row>
    <row r="12249" spans="2:9" ht="25.5">
      <c r="B12249" s="3192" t="s">
        <v>675</v>
      </c>
      <c r="C12249" s="3063"/>
      <c r="D12249" s="3064"/>
      <c r="E12249" s="3064"/>
      <c r="F12249" s="3064"/>
      <c r="G12249" s="3301" t="s">
        <v>675</v>
      </c>
      <c r="H12249" s="3063"/>
      <c r="I12249" s="3030"/>
    </row>
    <row r="12250" spans="2:9" ht="25.5">
      <c r="B12250" s="3192" t="s">
        <v>676</v>
      </c>
      <c r="C12250" s="3063"/>
      <c r="D12250" s="3064"/>
      <c r="E12250" s="3064"/>
      <c r="F12250" s="3064"/>
      <c r="G12250" s="3301" t="s">
        <v>676</v>
      </c>
      <c r="H12250" s="3063"/>
      <c r="I12250" s="3030"/>
    </row>
    <row r="12251" spans="2:9">
      <c r="B12251" s="3192" t="s">
        <v>677</v>
      </c>
      <c r="C12251" s="3063"/>
      <c r="D12251" s="3064"/>
      <c r="E12251" s="3064"/>
      <c r="F12251" s="3064"/>
      <c r="G12251" s="3301" t="s">
        <v>677</v>
      </c>
      <c r="H12251" s="3063"/>
      <c r="I12251" s="3030"/>
    </row>
    <row r="12252" spans="2:9">
      <c r="B12252" s="3192" t="s">
        <v>678</v>
      </c>
      <c r="C12252" s="3063"/>
      <c r="D12252" s="3064"/>
      <c r="E12252" s="3064"/>
      <c r="F12252" s="3064"/>
      <c r="G12252" s="3301" t="s">
        <v>678</v>
      </c>
      <c r="H12252" s="3063"/>
      <c r="I12252" s="3030"/>
    </row>
    <row r="12253" spans="2:9">
      <c r="B12253" s="3192" t="s">
        <v>679</v>
      </c>
      <c r="C12253" s="3063"/>
      <c r="D12253" s="3064"/>
      <c r="E12253" s="3064"/>
      <c r="F12253" s="3064"/>
      <c r="G12253" s="3301" t="s">
        <v>679</v>
      </c>
      <c r="H12253" s="3063"/>
      <c r="I12253" s="3030"/>
    </row>
    <row r="12254" spans="2:9" ht="25.5">
      <c r="B12254" s="3192" t="s">
        <v>720</v>
      </c>
      <c r="C12254" s="3063"/>
      <c r="D12254" s="3064"/>
      <c r="E12254" s="3064"/>
      <c r="F12254" s="3064"/>
      <c r="G12254" s="3301" t="s">
        <v>720</v>
      </c>
      <c r="H12254" s="3063"/>
      <c r="I12254" s="3030"/>
    </row>
    <row r="12255" spans="2:9">
      <c r="B12255" s="3299" t="s">
        <v>67</v>
      </c>
      <c r="C12255" s="3063"/>
      <c r="D12255" s="3064"/>
      <c r="E12255" s="3064"/>
      <c r="F12255" s="3064"/>
      <c r="G12255" s="3300" t="s">
        <v>67</v>
      </c>
      <c r="H12255" s="3063"/>
      <c r="I12255" s="3030"/>
    </row>
    <row r="12256" spans="2:9" ht="25.5">
      <c r="B12256" s="3192" t="s">
        <v>675</v>
      </c>
      <c r="C12256" s="3063"/>
      <c r="D12256" s="3064"/>
      <c r="E12256" s="3064"/>
      <c r="F12256" s="3064"/>
      <c r="G12256" s="3301" t="s">
        <v>675</v>
      </c>
      <c r="H12256" s="3063"/>
      <c r="I12256" s="3030"/>
    </row>
    <row r="12257" spans="2:9" ht="25.5">
      <c r="B12257" s="3192" t="s">
        <v>676</v>
      </c>
      <c r="C12257" s="3063"/>
      <c r="D12257" s="3064"/>
      <c r="E12257" s="3064"/>
      <c r="F12257" s="3064"/>
      <c r="G12257" s="3301" t="s">
        <v>676</v>
      </c>
      <c r="H12257" s="3063"/>
      <c r="I12257" s="3030"/>
    </row>
    <row r="12258" spans="2:9">
      <c r="B12258" s="3192" t="s">
        <v>677</v>
      </c>
      <c r="C12258" s="3063"/>
      <c r="D12258" s="3064"/>
      <c r="E12258" s="3064"/>
      <c r="F12258" s="3064"/>
      <c r="G12258" s="3301" t="s">
        <v>677</v>
      </c>
      <c r="H12258" s="3063"/>
      <c r="I12258" s="3030"/>
    </row>
    <row r="12259" spans="2:9">
      <c r="B12259" s="3192" t="s">
        <v>678</v>
      </c>
      <c r="C12259" s="3063"/>
      <c r="D12259" s="3064"/>
      <c r="E12259" s="3064"/>
      <c r="F12259" s="3064"/>
      <c r="G12259" s="3301" t="s">
        <v>678</v>
      </c>
      <c r="H12259" s="3063"/>
      <c r="I12259" s="3030"/>
    </row>
    <row r="12260" spans="2:9">
      <c r="B12260" s="3192" t="s">
        <v>679</v>
      </c>
      <c r="C12260" s="3063"/>
      <c r="D12260" s="3064"/>
      <c r="E12260" s="3064"/>
      <c r="F12260" s="3064"/>
      <c r="G12260" s="3301" t="s">
        <v>679</v>
      </c>
      <c r="H12260" s="3063"/>
      <c r="I12260" s="3030"/>
    </row>
    <row r="12261" spans="2:9" ht="25.5">
      <c r="B12261" s="3192" t="s">
        <v>720</v>
      </c>
      <c r="C12261" s="3063"/>
      <c r="D12261" s="3064"/>
      <c r="E12261" s="3064"/>
      <c r="F12261" s="3064"/>
      <c r="G12261" s="3301" t="s">
        <v>720</v>
      </c>
      <c r="H12261" s="3063"/>
      <c r="I12261" s="3030"/>
    </row>
    <row r="12262" spans="2:9" ht="25.5">
      <c r="B12262" s="3230" t="s">
        <v>81</v>
      </c>
      <c r="C12262" s="3063"/>
      <c r="D12262" s="3064"/>
      <c r="E12262" s="3064"/>
      <c r="F12262" s="3064"/>
      <c r="G12262" s="3302" t="s">
        <v>81</v>
      </c>
      <c r="H12262" s="3063"/>
      <c r="I12262" s="3030"/>
    </row>
    <row r="12263" spans="2:9" ht="26.25" thickBot="1">
      <c r="B12263" s="3303" t="s">
        <v>81</v>
      </c>
      <c r="C12263" s="3063"/>
      <c r="D12263" s="3064"/>
      <c r="E12263" s="3064"/>
      <c r="F12263" s="3064"/>
      <c r="G12263" s="3302" t="s">
        <v>81</v>
      </c>
      <c r="H12263" s="3063"/>
      <c r="I12263" s="3030"/>
    </row>
    <row r="12264" spans="2:9" ht="25.5">
      <c r="B12264" s="3217" t="s">
        <v>696</v>
      </c>
      <c r="C12264" s="3218"/>
      <c r="D12264" s="3219"/>
      <c r="E12264" s="3219"/>
      <c r="F12264" s="3219"/>
      <c r="G12264" s="3217" t="s">
        <v>696</v>
      </c>
      <c r="H12264" s="3297"/>
      <c r="I12264" s="3298"/>
    </row>
    <row r="12265" spans="2:9">
      <c r="B12265" s="3299" t="s">
        <v>64</v>
      </c>
      <c r="C12265" s="3063"/>
      <c r="D12265" s="3064"/>
      <c r="E12265" s="3064"/>
      <c r="F12265" s="3064"/>
      <c r="G12265" s="3300" t="s">
        <v>64</v>
      </c>
      <c r="H12265" s="3063"/>
      <c r="I12265" s="3030"/>
    </row>
    <row r="12266" spans="2:9" ht="25.5">
      <c r="B12266" s="3192" t="s">
        <v>675</v>
      </c>
      <c r="C12266" s="3063"/>
      <c r="D12266" s="3064"/>
      <c r="E12266" s="3064"/>
      <c r="F12266" s="3064"/>
      <c r="G12266" s="3301" t="s">
        <v>675</v>
      </c>
      <c r="H12266" s="3063"/>
      <c r="I12266" s="3030"/>
    </row>
    <row r="12267" spans="2:9" ht="25.5">
      <c r="B12267" s="3192" t="s">
        <v>676</v>
      </c>
      <c r="C12267" s="3063"/>
      <c r="D12267" s="3064"/>
      <c r="E12267" s="3064"/>
      <c r="F12267" s="3064"/>
      <c r="G12267" s="3301" t="s">
        <v>676</v>
      </c>
      <c r="H12267" s="3063"/>
      <c r="I12267" s="3030"/>
    </row>
    <row r="12268" spans="2:9">
      <c r="B12268" s="3192" t="s">
        <v>677</v>
      </c>
      <c r="C12268" s="3063"/>
      <c r="D12268" s="3064"/>
      <c r="E12268" s="3064"/>
      <c r="F12268" s="3064"/>
      <c r="G12268" s="3301" t="s">
        <v>677</v>
      </c>
      <c r="H12268" s="3063"/>
      <c r="I12268" s="3030"/>
    </row>
    <row r="12269" spans="2:9">
      <c r="B12269" s="3192" t="s">
        <v>678</v>
      </c>
      <c r="C12269" s="3063"/>
      <c r="D12269" s="3064"/>
      <c r="E12269" s="3064"/>
      <c r="F12269" s="3064"/>
      <c r="G12269" s="3301" t="s">
        <v>678</v>
      </c>
      <c r="H12269" s="3063"/>
      <c r="I12269" s="3030"/>
    </row>
    <row r="12270" spans="2:9">
      <c r="B12270" s="3192" t="s">
        <v>679</v>
      </c>
      <c r="C12270" s="3063"/>
      <c r="D12270" s="3064"/>
      <c r="E12270" s="3064"/>
      <c r="F12270" s="3064"/>
      <c r="G12270" s="3301" t="s">
        <v>679</v>
      </c>
      <c r="H12270" s="3063"/>
      <c r="I12270" s="3030"/>
    </row>
    <row r="12271" spans="2:9" ht="25.5">
      <c r="B12271" s="3192" t="s">
        <v>720</v>
      </c>
      <c r="C12271" s="3063"/>
      <c r="D12271" s="3064"/>
      <c r="E12271" s="3064"/>
      <c r="F12271" s="3064"/>
      <c r="G12271" s="3301" t="s">
        <v>720</v>
      </c>
      <c r="H12271" s="3063"/>
      <c r="I12271" s="3030"/>
    </row>
    <row r="12272" spans="2:9">
      <c r="B12272" s="3299" t="s">
        <v>65</v>
      </c>
      <c r="C12272" s="3063"/>
      <c r="D12272" s="3064"/>
      <c r="E12272" s="3064"/>
      <c r="F12272" s="3064"/>
      <c r="G12272" s="3300" t="s">
        <v>65</v>
      </c>
      <c r="H12272" s="3063"/>
      <c r="I12272" s="3030"/>
    </row>
    <row r="12273" spans="2:9" ht="25.5">
      <c r="B12273" s="3192" t="s">
        <v>675</v>
      </c>
      <c r="C12273" s="3063"/>
      <c r="D12273" s="3064"/>
      <c r="E12273" s="3064"/>
      <c r="F12273" s="3064"/>
      <c r="G12273" s="3301" t="s">
        <v>675</v>
      </c>
      <c r="H12273" s="3063"/>
      <c r="I12273" s="3030"/>
    </row>
    <row r="12274" spans="2:9" ht="25.5">
      <c r="B12274" s="3192" t="s">
        <v>676</v>
      </c>
      <c r="C12274" s="3063"/>
      <c r="D12274" s="3064"/>
      <c r="E12274" s="3064"/>
      <c r="F12274" s="3064"/>
      <c r="G12274" s="3301" t="s">
        <v>676</v>
      </c>
      <c r="H12274" s="3063"/>
      <c r="I12274" s="3030"/>
    </row>
    <row r="12275" spans="2:9">
      <c r="B12275" s="3192" t="s">
        <v>677</v>
      </c>
      <c r="C12275" s="3063"/>
      <c r="D12275" s="3064"/>
      <c r="E12275" s="3064"/>
      <c r="F12275" s="3064"/>
      <c r="G12275" s="3301" t="s">
        <v>677</v>
      </c>
      <c r="H12275" s="3063"/>
      <c r="I12275" s="3030"/>
    </row>
    <row r="12276" spans="2:9">
      <c r="B12276" s="3192" t="s">
        <v>678</v>
      </c>
      <c r="C12276" s="3063"/>
      <c r="D12276" s="3064"/>
      <c r="E12276" s="3064"/>
      <c r="F12276" s="3064"/>
      <c r="G12276" s="3301" t="s">
        <v>678</v>
      </c>
      <c r="H12276" s="3063"/>
      <c r="I12276" s="3030"/>
    </row>
    <row r="12277" spans="2:9">
      <c r="B12277" s="3192" t="s">
        <v>679</v>
      </c>
      <c r="C12277" s="3063"/>
      <c r="D12277" s="3064"/>
      <c r="E12277" s="3064"/>
      <c r="F12277" s="3064"/>
      <c r="G12277" s="3301" t="s">
        <v>679</v>
      </c>
      <c r="H12277" s="3063"/>
      <c r="I12277" s="3030"/>
    </row>
    <row r="12278" spans="2:9" ht="25.5">
      <c r="B12278" s="3192" t="s">
        <v>720</v>
      </c>
      <c r="C12278" s="3063"/>
      <c r="D12278" s="3064"/>
      <c r="E12278" s="3064"/>
      <c r="F12278" s="3064"/>
      <c r="G12278" s="3301" t="s">
        <v>720</v>
      </c>
      <c r="H12278" s="3063"/>
      <c r="I12278" s="3030"/>
    </row>
    <row r="12279" spans="2:9">
      <c r="B12279" s="3299" t="s">
        <v>82</v>
      </c>
      <c r="C12279" s="3063"/>
      <c r="D12279" s="3064"/>
      <c r="E12279" s="3064"/>
      <c r="F12279" s="3064"/>
      <c r="G12279" s="3300" t="s">
        <v>82</v>
      </c>
      <c r="H12279" s="3063"/>
      <c r="I12279" s="3030"/>
    </row>
    <row r="12280" spans="2:9" ht="25.5">
      <c r="B12280" s="3192" t="s">
        <v>675</v>
      </c>
      <c r="C12280" s="3063"/>
      <c r="D12280" s="3064"/>
      <c r="E12280" s="3064"/>
      <c r="F12280" s="3064"/>
      <c r="G12280" s="3301" t="s">
        <v>675</v>
      </c>
      <c r="H12280" s="3063"/>
      <c r="I12280" s="3030"/>
    </row>
    <row r="12281" spans="2:9" ht="25.5">
      <c r="B12281" s="3192" t="s">
        <v>676</v>
      </c>
      <c r="C12281" s="3063"/>
      <c r="D12281" s="3064"/>
      <c r="E12281" s="3064"/>
      <c r="F12281" s="3064"/>
      <c r="G12281" s="3301" t="s">
        <v>676</v>
      </c>
      <c r="H12281" s="3063"/>
      <c r="I12281" s="3030"/>
    </row>
    <row r="12282" spans="2:9">
      <c r="B12282" s="3192" t="s">
        <v>677</v>
      </c>
      <c r="C12282" s="3063"/>
      <c r="D12282" s="3064"/>
      <c r="E12282" s="3064"/>
      <c r="F12282" s="3064"/>
      <c r="G12282" s="3301" t="s">
        <v>677</v>
      </c>
      <c r="H12282" s="3063"/>
      <c r="I12282" s="3030"/>
    </row>
    <row r="12283" spans="2:9">
      <c r="B12283" s="3192" t="s">
        <v>678</v>
      </c>
      <c r="C12283" s="3063"/>
      <c r="D12283" s="3064"/>
      <c r="E12283" s="3064"/>
      <c r="F12283" s="3064"/>
      <c r="G12283" s="3301" t="s">
        <v>678</v>
      </c>
      <c r="H12283" s="3063"/>
      <c r="I12283" s="3030"/>
    </row>
    <row r="12284" spans="2:9">
      <c r="B12284" s="3192" t="s">
        <v>679</v>
      </c>
      <c r="C12284" s="3063"/>
      <c r="D12284" s="3064"/>
      <c r="E12284" s="3064"/>
      <c r="F12284" s="3064"/>
      <c r="G12284" s="3301" t="s">
        <v>679</v>
      </c>
      <c r="H12284" s="3063"/>
      <c r="I12284" s="3030"/>
    </row>
    <row r="12285" spans="2:9" ht="25.5">
      <c r="B12285" s="3192" t="s">
        <v>720</v>
      </c>
      <c r="C12285" s="3063"/>
      <c r="D12285" s="3064"/>
      <c r="E12285" s="3064"/>
      <c r="F12285" s="3064"/>
      <c r="G12285" s="3301" t="s">
        <v>720</v>
      </c>
      <c r="H12285" s="3063"/>
      <c r="I12285" s="3030"/>
    </row>
    <row r="12286" spans="2:9" ht="38.25">
      <c r="B12286" s="3299" t="s">
        <v>680</v>
      </c>
      <c r="C12286" s="3063"/>
      <c r="D12286" s="3064"/>
      <c r="E12286" s="3064"/>
      <c r="F12286" s="3064"/>
      <c r="G12286" s="3300" t="s">
        <v>680</v>
      </c>
      <c r="H12286" s="3063"/>
      <c r="I12286" s="3030"/>
    </row>
    <row r="12287" spans="2:9" ht="25.5">
      <c r="B12287" s="3192" t="s">
        <v>675</v>
      </c>
      <c r="C12287" s="3063"/>
      <c r="D12287" s="3064"/>
      <c r="E12287" s="3064"/>
      <c r="F12287" s="3064"/>
      <c r="G12287" s="3301" t="s">
        <v>675</v>
      </c>
      <c r="H12287" s="3063"/>
      <c r="I12287" s="3030"/>
    </row>
    <row r="12288" spans="2:9" ht="25.5">
      <c r="B12288" s="3192" t="s">
        <v>676</v>
      </c>
      <c r="C12288" s="3063"/>
      <c r="D12288" s="3064"/>
      <c r="E12288" s="3064"/>
      <c r="F12288" s="3064"/>
      <c r="G12288" s="3301" t="s">
        <v>676</v>
      </c>
      <c r="H12288" s="3063"/>
      <c r="I12288" s="3030"/>
    </row>
    <row r="12289" spans="2:9">
      <c r="B12289" s="3192" t="s">
        <v>677</v>
      </c>
      <c r="C12289" s="3063"/>
      <c r="D12289" s="3064"/>
      <c r="E12289" s="3064"/>
      <c r="F12289" s="3064"/>
      <c r="G12289" s="3301" t="s">
        <v>677</v>
      </c>
      <c r="H12289" s="3063"/>
      <c r="I12289" s="3030"/>
    </row>
    <row r="12290" spans="2:9">
      <c r="B12290" s="3192" t="s">
        <v>678</v>
      </c>
      <c r="C12290" s="3063"/>
      <c r="D12290" s="3064"/>
      <c r="E12290" s="3064"/>
      <c r="F12290" s="3064"/>
      <c r="G12290" s="3301" t="s">
        <v>678</v>
      </c>
      <c r="H12290" s="3063"/>
      <c r="I12290" s="3030"/>
    </row>
    <row r="12291" spans="2:9">
      <c r="B12291" s="3192" t="s">
        <v>679</v>
      </c>
      <c r="C12291" s="3063"/>
      <c r="D12291" s="3064"/>
      <c r="E12291" s="3064"/>
      <c r="F12291" s="3064"/>
      <c r="G12291" s="3301" t="s">
        <v>679</v>
      </c>
      <c r="H12291" s="3063"/>
      <c r="I12291" s="3030"/>
    </row>
    <row r="12292" spans="2:9" ht="25.5">
      <c r="B12292" s="3192" t="s">
        <v>720</v>
      </c>
      <c r="C12292" s="3063"/>
      <c r="D12292" s="3064"/>
      <c r="E12292" s="3064"/>
      <c r="F12292" s="3064"/>
      <c r="G12292" s="3301" t="s">
        <v>720</v>
      </c>
      <c r="H12292" s="3063"/>
      <c r="I12292" s="3030"/>
    </row>
    <row r="12293" spans="2:9" ht="38.25">
      <c r="B12293" s="3299" t="s">
        <v>681</v>
      </c>
      <c r="C12293" s="3063"/>
      <c r="D12293" s="3064"/>
      <c r="E12293" s="3064"/>
      <c r="F12293" s="3064"/>
      <c r="G12293" s="3300" t="s">
        <v>681</v>
      </c>
      <c r="H12293" s="3063"/>
      <c r="I12293" s="3030"/>
    </row>
    <row r="12294" spans="2:9" ht="25.5">
      <c r="B12294" s="3192" t="s">
        <v>675</v>
      </c>
      <c r="C12294" s="3063"/>
      <c r="D12294" s="3064"/>
      <c r="E12294" s="3064"/>
      <c r="F12294" s="3064"/>
      <c r="G12294" s="3301" t="s">
        <v>675</v>
      </c>
      <c r="H12294" s="3063"/>
      <c r="I12294" s="3030"/>
    </row>
    <row r="12295" spans="2:9" ht="25.5">
      <c r="B12295" s="3192" t="s">
        <v>676</v>
      </c>
      <c r="C12295" s="3063"/>
      <c r="D12295" s="3064"/>
      <c r="E12295" s="3064"/>
      <c r="F12295" s="3064"/>
      <c r="G12295" s="3301" t="s">
        <v>676</v>
      </c>
      <c r="H12295" s="3063"/>
      <c r="I12295" s="3030"/>
    </row>
    <row r="12296" spans="2:9">
      <c r="B12296" s="3192" t="s">
        <v>677</v>
      </c>
      <c r="C12296" s="3063"/>
      <c r="D12296" s="3064"/>
      <c r="E12296" s="3064"/>
      <c r="F12296" s="3064"/>
      <c r="G12296" s="3301" t="s">
        <v>677</v>
      </c>
      <c r="H12296" s="3063"/>
      <c r="I12296" s="3030"/>
    </row>
    <row r="12297" spans="2:9">
      <c r="B12297" s="3192" t="s">
        <v>678</v>
      </c>
      <c r="C12297" s="3063"/>
      <c r="D12297" s="3064"/>
      <c r="E12297" s="3064"/>
      <c r="F12297" s="3064"/>
      <c r="G12297" s="3301" t="s">
        <v>678</v>
      </c>
      <c r="H12297" s="3063"/>
      <c r="I12297" s="3030"/>
    </row>
    <row r="12298" spans="2:9">
      <c r="B12298" s="3192" t="s">
        <v>679</v>
      </c>
      <c r="C12298" s="3063"/>
      <c r="D12298" s="3064"/>
      <c r="E12298" s="3064"/>
      <c r="F12298" s="3064"/>
      <c r="G12298" s="3301" t="s">
        <v>679</v>
      </c>
      <c r="H12298" s="3063"/>
      <c r="I12298" s="3030"/>
    </row>
    <row r="12299" spans="2:9" ht="25.5">
      <c r="B12299" s="3192" t="s">
        <v>720</v>
      </c>
      <c r="C12299" s="3063"/>
      <c r="D12299" s="3064"/>
      <c r="E12299" s="3064"/>
      <c r="F12299" s="3064"/>
      <c r="G12299" s="3301" t="s">
        <v>720</v>
      </c>
      <c r="H12299" s="3063"/>
      <c r="I12299" s="3030"/>
    </row>
    <row r="12300" spans="2:9" ht="25.5">
      <c r="B12300" s="3299" t="s">
        <v>682</v>
      </c>
      <c r="C12300" s="3063"/>
      <c r="D12300" s="3064"/>
      <c r="E12300" s="3064"/>
      <c r="F12300" s="3064"/>
      <c r="G12300" s="3300" t="s">
        <v>682</v>
      </c>
      <c r="H12300" s="3063"/>
      <c r="I12300" s="3030"/>
    </row>
    <row r="12301" spans="2:9" ht="25.5">
      <c r="B12301" s="3192" t="s">
        <v>675</v>
      </c>
      <c r="C12301" s="3063"/>
      <c r="D12301" s="3064"/>
      <c r="E12301" s="3064"/>
      <c r="F12301" s="3064"/>
      <c r="G12301" s="3301" t="s">
        <v>675</v>
      </c>
      <c r="H12301" s="3063"/>
      <c r="I12301" s="3030"/>
    </row>
    <row r="12302" spans="2:9" ht="25.5">
      <c r="B12302" s="3192" t="s">
        <v>676</v>
      </c>
      <c r="C12302" s="3063"/>
      <c r="D12302" s="3064"/>
      <c r="E12302" s="3064"/>
      <c r="F12302" s="3064"/>
      <c r="G12302" s="3301" t="s">
        <v>676</v>
      </c>
      <c r="H12302" s="3063"/>
      <c r="I12302" s="3030"/>
    </row>
    <row r="12303" spans="2:9">
      <c r="B12303" s="3192" t="s">
        <v>677</v>
      </c>
      <c r="C12303" s="3063"/>
      <c r="D12303" s="3064"/>
      <c r="E12303" s="3064"/>
      <c r="F12303" s="3064"/>
      <c r="G12303" s="3301" t="s">
        <v>677</v>
      </c>
      <c r="H12303" s="3063"/>
      <c r="I12303" s="3030"/>
    </row>
    <row r="12304" spans="2:9">
      <c r="B12304" s="3192" t="s">
        <v>678</v>
      </c>
      <c r="C12304" s="3063"/>
      <c r="D12304" s="3064"/>
      <c r="E12304" s="3064"/>
      <c r="F12304" s="3064"/>
      <c r="G12304" s="3301" t="s">
        <v>678</v>
      </c>
      <c r="H12304" s="3063"/>
      <c r="I12304" s="3030"/>
    </row>
    <row r="12305" spans="2:9">
      <c r="B12305" s="3192" t="s">
        <v>679</v>
      </c>
      <c r="C12305" s="3063"/>
      <c r="D12305" s="3064"/>
      <c r="E12305" s="3064"/>
      <c r="F12305" s="3064"/>
      <c r="G12305" s="3301" t="s">
        <v>679</v>
      </c>
      <c r="H12305" s="3063"/>
      <c r="I12305" s="3030"/>
    </row>
    <row r="12306" spans="2:9" ht="25.5">
      <c r="B12306" s="3192" t="s">
        <v>720</v>
      </c>
      <c r="C12306" s="3063"/>
      <c r="D12306" s="3064"/>
      <c r="E12306" s="3064"/>
      <c r="F12306" s="3064"/>
      <c r="G12306" s="3301" t="s">
        <v>720</v>
      </c>
      <c r="H12306" s="3063"/>
      <c r="I12306" s="3030"/>
    </row>
    <row r="12307" spans="2:9" ht="25.5">
      <c r="B12307" s="3299" t="s">
        <v>66</v>
      </c>
      <c r="C12307" s="3063"/>
      <c r="D12307" s="3064"/>
      <c r="E12307" s="3064"/>
      <c r="F12307" s="3064"/>
      <c r="G12307" s="3300" t="s">
        <v>66</v>
      </c>
      <c r="H12307" s="3063"/>
      <c r="I12307" s="3030"/>
    </row>
    <row r="12308" spans="2:9" ht="25.5">
      <c r="B12308" s="3192" t="s">
        <v>675</v>
      </c>
      <c r="C12308" s="3063"/>
      <c r="D12308" s="3064"/>
      <c r="E12308" s="3064"/>
      <c r="F12308" s="3064"/>
      <c r="G12308" s="3301" t="s">
        <v>675</v>
      </c>
      <c r="H12308" s="3063"/>
      <c r="I12308" s="3030"/>
    </row>
    <row r="12309" spans="2:9" ht="25.5">
      <c r="B12309" s="3192" t="s">
        <v>676</v>
      </c>
      <c r="C12309" s="3063"/>
      <c r="D12309" s="3064"/>
      <c r="E12309" s="3064"/>
      <c r="F12309" s="3064"/>
      <c r="G12309" s="3301" t="s">
        <v>676</v>
      </c>
      <c r="H12309" s="3063"/>
      <c r="I12309" s="3030"/>
    </row>
    <row r="12310" spans="2:9">
      <c r="B12310" s="3192" t="s">
        <v>677</v>
      </c>
      <c r="C12310" s="3063"/>
      <c r="D12310" s="3064"/>
      <c r="E12310" s="3064"/>
      <c r="F12310" s="3064"/>
      <c r="G12310" s="3301" t="s">
        <v>677</v>
      </c>
      <c r="H12310" s="3063"/>
      <c r="I12310" s="3030"/>
    </row>
    <row r="12311" spans="2:9">
      <c r="B12311" s="3192" t="s">
        <v>678</v>
      </c>
      <c r="C12311" s="3063"/>
      <c r="D12311" s="3064"/>
      <c r="E12311" s="3064"/>
      <c r="F12311" s="3064"/>
      <c r="G12311" s="3301" t="s">
        <v>678</v>
      </c>
      <c r="H12311" s="3063"/>
      <c r="I12311" s="3030"/>
    </row>
    <row r="12312" spans="2:9">
      <c r="B12312" s="3192" t="s">
        <v>679</v>
      </c>
      <c r="C12312" s="3063"/>
      <c r="D12312" s="3064"/>
      <c r="E12312" s="3064"/>
      <c r="F12312" s="3064"/>
      <c r="G12312" s="3301" t="s">
        <v>679</v>
      </c>
      <c r="H12312" s="3063"/>
      <c r="I12312" s="3030"/>
    </row>
    <row r="12313" spans="2:9" ht="25.5">
      <c r="B12313" s="3192" t="s">
        <v>720</v>
      </c>
      <c r="C12313" s="3063"/>
      <c r="D12313" s="3064"/>
      <c r="E12313" s="3064"/>
      <c r="F12313" s="3064"/>
      <c r="G12313" s="3301" t="s">
        <v>720</v>
      </c>
      <c r="H12313" s="3063"/>
      <c r="I12313" s="3030"/>
    </row>
    <row r="12314" spans="2:9">
      <c r="B12314" s="3299" t="s">
        <v>67</v>
      </c>
      <c r="C12314" s="3063"/>
      <c r="D12314" s="3064"/>
      <c r="E12314" s="3064"/>
      <c r="F12314" s="3064"/>
      <c r="G12314" s="3300" t="s">
        <v>67</v>
      </c>
      <c r="H12314" s="3063"/>
      <c r="I12314" s="3030"/>
    </row>
    <row r="12315" spans="2:9" ht="25.5">
      <c r="B12315" s="3192" t="s">
        <v>675</v>
      </c>
      <c r="C12315" s="3063"/>
      <c r="D12315" s="3064"/>
      <c r="E12315" s="3064"/>
      <c r="F12315" s="3064"/>
      <c r="G12315" s="3301" t="s">
        <v>675</v>
      </c>
      <c r="H12315" s="3063"/>
      <c r="I12315" s="3030"/>
    </row>
    <row r="12316" spans="2:9" ht="25.5">
      <c r="B12316" s="3192" t="s">
        <v>676</v>
      </c>
      <c r="C12316" s="3063"/>
      <c r="D12316" s="3064"/>
      <c r="E12316" s="3064"/>
      <c r="F12316" s="3064"/>
      <c r="G12316" s="3301" t="s">
        <v>676</v>
      </c>
      <c r="H12316" s="3063"/>
      <c r="I12316" s="3030"/>
    </row>
    <row r="12317" spans="2:9">
      <c r="B12317" s="3192" t="s">
        <v>677</v>
      </c>
      <c r="C12317" s="3063"/>
      <c r="D12317" s="3064"/>
      <c r="E12317" s="3064"/>
      <c r="F12317" s="3064"/>
      <c r="G12317" s="3301" t="s">
        <v>677</v>
      </c>
      <c r="H12317" s="3063"/>
      <c r="I12317" s="3030"/>
    </row>
    <row r="12318" spans="2:9">
      <c r="B12318" s="3192" t="s">
        <v>678</v>
      </c>
      <c r="C12318" s="3063"/>
      <c r="D12318" s="3064"/>
      <c r="E12318" s="3064"/>
      <c r="F12318" s="3064"/>
      <c r="G12318" s="3301" t="s">
        <v>678</v>
      </c>
      <c r="H12318" s="3063"/>
      <c r="I12318" s="3030"/>
    </row>
    <row r="12319" spans="2:9">
      <c r="B12319" s="3192" t="s">
        <v>679</v>
      </c>
      <c r="C12319" s="3063"/>
      <c r="D12319" s="3064"/>
      <c r="E12319" s="3064"/>
      <c r="F12319" s="3064"/>
      <c r="G12319" s="3301" t="s">
        <v>679</v>
      </c>
      <c r="H12319" s="3063"/>
      <c r="I12319" s="3030"/>
    </row>
    <row r="12320" spans="2:9" ht="25.5">
      <c r="B12320" s="3230" t="s">
        <v>81</v>
      </c>
      <c r="C12320" s="3063"/>
      <c r="D12320" s="3064"/>
      <c r="E12320" s="3064"/>
      <c r="F12320" s="3064"/>
      <c r="G12320" s="3302" t="s">
        <v>81</v>
      </c>
      <c r="H12320" s="3063"/>
      <c r="I12320" s="3030"/>
    </row>
    <row r="12321" spans="2:9" ht="26.25" thickBot="1">
      <c r="B12321" s="3303" t="s">
        <v>81</v>
      </c>
      <c r="C12321" s="3063"/>
      <c r="D12321" s="3064"/>
      <c r="E12321" s="3064"/>
      <c r="F12321" s="3064"/>
      <c r="G12321" s="3302" t="s">
        <v>81</v>
      </c>
      <c r="H12321" s="3063"/>
      <c r="I12321" s="3030"/>
    </row>
    <row r="12322" spans="2:9">
      <c r="B12322" s="3217" t="s">
        <v>697</v>
      </c>
      <c r="C12322" s="3218"/>
      <c r="D12322" s="3219"/>
      <c r="E12322" s="3219"/>
      <c r="F12322" s="3219"/>
      <c r="G12322" s="3217" t="s">
        <v>697</v>
      </c>
      <c r="H12322" s="3297"/>
      <c r="I12322" s="3298"/>
    </row>
    <row r="12323" spans="2:9">
      <c r="B12323" s="3299" t="s">
        <v>64</v>
      </c>
      <c r="C12323" s="3063"/>
      <c r="D12323" s="3064"/>
      <c r="E12323" s="3064"/>
      <c r="F12323" s="3064"/>
      <c r="G12323" s="3300" t="s">
        <v>64</v>
      </c>
      <c r="H12323" s="3063"/>
      <c r="I12323" s="3030"/>
    </row>
    <row r="12324" spans="2:9" ht="25.5">
      <c r="B12324" s="3192" t="s">
        <v>675</v>
      </c>
      <c r="C12324" s="3063"/>
      <c r="D12324" s="3064"/>
      <c r="E12324" s="3064"/>
      <c r="F12324" s="3064"/>
      <c r="G12324" s="3301" t="s">
        <v>675</v>
      </c>
      <c r="H12324" s="3063"/>
      <c r="I12324" s="3030"/>
    </row>
    <row r="12325" spans="2:9" ht="25.5">
      <c r="B12325" s="3192" t="s">
        <v>676</v>
      </c>
      <c r="C12325" s="3063"/>
      <c r="D12325" s="3064"/>
      <c r="E12325" s="3064"/>
      <c r="F12325" s="3064"/>
      <c r="G12325" s="3301" t="s">
        <v>676</v>
      </c>
      <c r="H12325" s="3063"/>
      <c r="I12325" s="3030"/>
    </row>
    <row r="12326" spans="2:9">
      <c r="B12326" s="3192" t="s">
        <v>677</v>
      </c>
      <c r="C12326" s="3063"/>
      <c r="D12326" s="3064"/>
      <c r="E12326" s="3064"/>
      <c r="F12326" s="3064"/>
      <c r="G12326" s="3301" t="s">
        <v>677</v>
      </c>
      <c r="H12326" s="3063"/>
      <c r="I12326" s="3030"/>
    </row>
    <row r="12327" spans="2:9">
      <c r="B12327" s="3192" t="s">
        <v>678</v>
      </c>
      <c r="C12327" s="3063"/>
      <c r="D12327" s="3064"/>
      <c r="E12327" s="3064"/>
      <c r="F12327" s="3064"/>
      <c r="G12327" s="3301" t="s">
        <v>678</v>
      </c>
      <c r="H12327" s="3063"/>
      <c r="I12327" s="3030"/>
    </row>
    <row r="12328" spans="2:9">
      <c r="B12328" s="3192" t="s">
        <v>679</v>
      </c>
      <c r="C12328" s="3063"/>
      <c r="D12328" s="3064"/>
      <c r="E12328" s="3064"/>
      <c r="F12328" s="3064"/>
      <c r="G12328" s="3301" t="s">
        <v>679</v>
      </c>
      <c r="H12328" s="3063"/>
      <c r="I12328" s="3030"/>
    </row>
    <row r="12329" spans="2:9" ht="25.5">
      <c r="B12329" s="3192" t="s">
        <v>720</v>
      </c>
      <c r="C12329" s="3063"/>
      <c r="D12329" s="3064"/>
      <c r="E12329" s="3064"/>
      <c r="F12329" s="3064"/>
      <c r="G12329" s="3301" t="s">
        <v>720</v>
      </c>
      <c r="H12329" s="3063"/>
      <c r="I12329" s="3030"/>
    </row>
    <row r="12330" spans="2:9">
      <c r="B12330" s="3299" t="s">
        <v>65</v>
      </c>
      <c r="C12330" s="3063"/>
      <c r="D12330" s="3064"/>
      <c r="E12330" s="3064"/>
      <c r="F12330" s="3064"/>
      <c r="G12330" s="3300" t="s">
        <v>65</v>
      </c>
      <c r="H12330" s="3063"/>
      <c r="I12330" s="3030"/>
    </row>
    <row r="12331" spans="2:9" ht="25.5">
      <c r="B12331" s="3192" t="s">
        <v>675</v>
      </c>
      <c r="C12331" s="3063"/>
      <c r="D12331" s="3064"/>
      <c r="E12331" s="3064"/>
      <c r="F12331" s="3064"/>
      <c r="G12331" s="3301" t="s">
        <v>675</v>
      </c>
      <c r="H12331" s="3063"/>
      <c r="I12331" s="3030"/>
    </row>
    <row r="12332" spans="2:9" ht="25.5">
      <c r="B12332" s="3192" t="s">
        <v>676</v>
      </c>
      <c r="C12332" s="3063"/>
      <c r="D12332" s="3064"/>
      <c r="E12332" s="3064"/>
      <c r="F12332" s="3064"/>
      <c r="G12332" s="3301" t="s">
        <v>676</v>
      </c>
      <c r="H12332" s="3063"/>
      <c r="I12332" s="3030"/>
    </row>
    <row r="12333" spans="2:9">
      <c r="B12333" s="3192" t="s">
        <v>677</v>
      </c>
      <c r="C12333" s="3063"/>
      <c r="D12333" s="3064"/>
      <c r="E12333" s="3064"/>
      <c r="F12333" s="3064"/>
      <c r="G12333" s="3301" t="s">
        <v>677</v>
      </c>
      <c r="H12333" s="3063"/>
      <c r="I12333" s="3030"/>
    </row>
    <row r="12334" spans="2:9">
      <c r="B12334" s="3192" t="s">
        <v>678</v>
      </c>
      <c r="C12334" s="3063"/>
      <c r="D12334" s="3064"/>
      <c r="E12334" s="3064"/>
      <c r="F12334" s="3064"/>
      <c r="G12334" s="3301" t="s">
        <v>678</v>
      </c>
      <c r="H12334" s="3063"/>
      <c r="I12334" s="3030"/>
    </row>
    <row r="12335" spans="2:9">
      <c r="B12335" s="3192" t="s">
        <v>679</v>
      </c>
      <c r="C12335" s="3063"/>
      <c r="D12335" s="3064"/>
      <c r="E12335" s="3064"/>
      <c r="F12335" s="3064"/>
      <c r="G12335" s="3301" t="s">
        <v>679</v>
      </c>
      <c r="H12335" s="3063"/>
      <c r="I12335" s="3030"/>
    </row>
    <row r="12336" spans="2:9" ht="25.5">
      <c r="B12336" s="3192" t="s">
        <v>720</v>
      </c>
      <c r="C12336" s="3063"/>
      <c r="D12336" s="3064"/>
      <c r="E12336" s="3064"/>
      <c r="F12336" s="3064"/>
      <c r="G12336" s="3301" t="s">
        <v>720</v>
      </c>
      <c r="H12336" s="3063"/>
      <c r="I12336" s="3030"/>
    </row>
    <row r="12337" spans="2:9">
      <c r="B12337" s="3299" t="s">
        <v>82</v>
      </c>
      <c r="C12337" s="3063"/>
      <c r="D12337" s="3064"/>
      <c r="E12337" s="3064"/>
      <c r="F12337" s="3064"/>
      <c r="G12337" s="3300" t="s">
        <v>82</v>
      </c>
      <c r="H12337" s="3063"/>
      <c r="I12337" s="3030"/>
    </row>
    <row r="12338" spans="2:9" ht="25.5">
      <c r="B12338" s="3192" t="s">
        <v>675</v>
      </c>
      <c r="C12338" s="3063"/>
      <c r="D12338" s="3064"/>
      <c r="E12338" s="3064"/>
      <c r="F12338" s="3064"/>
      <c r="G12338" s="3301" t="s">
        <v>675</v>
      </c>
      <c r="H12338" s="3063"/>
      <c r="I12338" s="3030"/>
    </row>
    <row r="12339" spans="2:9" ht="25.5">
      <c r="B12339" s="3192" t="s">
        <v>676</v>
      </c>
      <c r="C12339" s="3063"/>
      <c r="D12339" s="3064"/>
      <c r="E12339" s="3064"/>
      <c r="F12339" s="3064"/>
      <c r="G12339" s="3301" t="s">
        <v>676</v>
      </c>
      <c r="H12339" s="3063"/>
      <c r="I12339" s="3030"/>
    </row>
    <row r="12340" spans="2:9">
      <c r="B12340" s="3192" t="s">
        <v>677</v>
      </c>
      <c r="C12340" s="3063"/>
      <c r="D12340" s="3064"/>
      <c r="E12340" s="3064"/>
      <c r="F12340" s="3064"/>
      <c r="G12340" s="3301" t="s">
        <v>677</v>
      </c>
      <c r="H12340" s="3063"/>
      <c r="I12340" s="3030"/>
    </row>
    <row r="12341" spans="2:9">
      <c r="B12341" s="3192" t="s">
        <v>678</v>
      </c>
      <c r="C12341" s="3063"/>
      <c r="D12341" s="3064"/>
      <c r="E12341" s="3064"/>
      <c r="F12341" s="3064"/>
      <c r="G12341" s="3301" t="s">
        <v>678</v>
      </c>
      <c r="H12341" s="3063"/>
      <c r="I12341" s="3030"/>
    </row>
    <row r="12342" spans="2:9">
      <c r="B12342" s="3192" t="s">
        <v>679</v>
      </c>
      <c r="C12342" s="3063"/>
      <c r="D12342" s="3064"/>
      <c r="E12342" s="3064"/>
      <c r="F12342" s="3064"/>
      <c r="G12342" s="3301" t="s">
        <v>679</v>
      </c>
      <c r="H12342" s="3063"/>
      <c r="I12342" s="3030"/>
    </row>
    <row r="12343" spans="2:9" ht="25.5">
      <c r="B12343" s="3192" t="s">
        <v>720</v>
      </c>
      <c r="C12343" s="3063"/>
      <c r="D12343" s="3064"/>
      <c r="E12343" s="3064"/>
      <c r="F12343" s="3064"/>
      <c r="G12343" s="3301" t="s">
        <v>720</v>
      </c>
      <c r="H12343" s="3063"/>
      <c r="I12343" s="3030"/>
    </row>
    <row r="12344" spans="2:9" ht="38.25">
      <c r="B12344" s="3299" t="s">
        <v>680</v>
      </c>
      <c r="C12344" s="3063"/>
      <c r="D12344" s="3064"/>
      <c r="E12344" s="3064"/>
      <c r="F12344" s="3064"/>
      <c r="G12344" s="3300" t="s">
        <v>680</v>
      </c>
      <c r="H12344" s="3063"/>
      <c r="I12344" s="3030"/>
    </row>
    <row r="12345" spans="2:9" ht="25.5">
      <c r="B12345" s="3192" t="s">
        <v>675</v>
      </c>
      <c r="C12345" s="3063"/>
      <c r="D12345" s="3064"/>
      <c r="E12345" s="3064"/>
      <c r="F12345" s="3064"/>
      <c r="G12345" s="3301" t="s">
        <v>675</v>
      </c>
      <c r="H12345" s="3063"/>
      <c r="I12345" s="3030"/>
    </row>
    <row r="12346" spans="2:9" ht="25.5">
      <c r="B12346" s="3192" t="s">
        <v>676</v>
      </c>
      <c r="C12346" s="3063"/>
      <c r="D12346" s="3064"/>
      <c r="E12346" s="3064"/>
      <c r="F12346" s="3064"/>
      <c r="G12346" s="3301" t="s">
        <v>676</v>
      </c>
      <c r="H12346" s="3063"/>
      <c r="I12346" s="3030"/>
    </row>
    <row r="12347" spans="2:9">
      <c r="B12347" s="3192" t="s">
        <v>677</v>
      </c>
      <c r="C12347" s="3063"/>
      <c r="D12347" s="3064"/>
      <c r="E12347" s="3064"/>
      <c r="F12347" s="3064"/>
      <c r="G12347" s="3301" t="s">
        <v>677</v>
      </c>
      <c r="H12347" s="3063"/>
      <c r="I12347" s="3030"/>
    </row>
    <row r="12348" spans="2:9">
      <c r="B12348" s="3192" t="s">
        <v>678</v>
      </c>
      <c r="C12348" s="3063"/>
      <c r="D12348" s="3064"/>
      <c r="E12348" s="3064"/>
      <c r="F12348" s="3064"/>
      <c r="G12348" s="3301" t="s">
        <v>678</v>
      </c>
      <c r="H12348" s="3063"/>
      <c r="I12348" s="3030"/>
    </row>
    <row r="12349" spans="2:9">
      <c r="B12349" s="3192" t="s">
        <v>679</v>
      </c>
      <c r="C12349" s="3063"/>
      <c r="D12349" s="3064"/>
      <c r="E12349" s="3064"/>
      <c r="F12349" s="3064"/>
      <c r="G12349" s="3301" t="s">
        <v>679</v>
      </c>
      <c r="H12349" s="3063"/>
      <c r="I12349" s="3030"/>
    </row>
    <row r="12350" spans="2:9" ht="25.5">
      <c r="B12350" s="3192" t="s">
        <v>720</v>
      </c>
      <c r="C12350" s="3063"/>
      <c r="D12350" s="3064"/>
      <c r="E12350" s="3064"/>
      <c r="F12350" s="3064"/>
      <c r="G12350" s="3301" t="s">
        <v>720</v>
      </c>
      <c r="H12350" s="3063"/>
      <c r="I12350" s="3030"/>
    </row>
    <row r="12351" spans="2:9" ht="38.25">
      <c r="B12351" s="3299" t="s">
        <v>681</v>
      </c>
      <c r="C12351" s="3063"/>
      <c r="D12351" s="3064"/>
      <c r="E12351" s="3064"/>
      <c r="F12351" s="3064"/>
      <c r="G12351" s="3300" t="s">
        <v>681</v>
      </c>
      <c r="H12351" s="3063">
        <v>0.13476281744130331</v>
      </c>
      <c r="I12351" s="3030"/>
    </row>
    <row r="12352" spans="2:9" ht="25.5">
      <c r="B12352" s="3192" t="s">
        <v>675</v>
      </c>
      <c r="C12352" s="3063"/>
      <c r="D12352" s="3064"/>
      <c r="E12352" s="3064"/>
      <c r="F12352" s="3064"/>
      <c r="G12352" s="3301" t="s">
        <v>675</v>
      </c>
      <c r="H12352" s="3063"/>
      <c r="I12352" s="3030"/>
    </row>
    <row r="12353" spans="2:9" ht="25.5">
      <c r="B12353" s="3192" t="s">
        <v>676</v>
      </c>
      <c r="C12353" s="3063"/>
      <c r="D12353" s="3064"/>
      <c r="E12353" s="3064"/>
      <c r="F12353" s="3064"/>
      <c r="G12353" s="3301" t="s">
        <v>676</v>
      </c>
      <c r="H12353" s="3063"/>
      <c r="I12353" s="3030"/>
    </row>
    <row r="12354" spans="2:9">
      <c r="B12354" s="3192" t="s">
        <v>677</v>
      </c>
      <c r="C12354" s="3063"/>
      <c r="D12354" s="3064"/>
      <c r="E12354" s="3064"/>
      <c r="F12354" s="3064"/>
      <c r="G12354" s="3301" t="s">
        <v>677</v>
      </c>
      <c r="H12354" s="3063"/>
      <c r="I12354" s="3030"/>
    </row>
    <row r="12355" spans="2:9">
      <c r="B12355" s="3192" t="s">
        <v>678</v>
      </c>
      <c r="C12355" s="3063"/>
      <c r="D12355" s="3064"/>
      <c r="E12355" s="3064"/>
      <c r="F12355" s="3064"/>
      <c r="G12355" s="3301" t="s">
        <v>678</v>
      </c>
      <c r="H12355" s="3063"/>
      <c r="I12355" s="3030"/>
    </row>
    <row r="12356" spans="2:9">
      <c r="B12356" s="3192" t="s">
        <v>679</v>
      </c>
      <c r="C12356" s="3063"/>
      <c r="D12356" s="3064">
        <v>1</v>
      </c>
      <c r="E12356" s="3064"/>
      <c r="F12356" s="3064"/>
      <c r="G12356" s="3301" t="s">
        <v>679</v>
      </c>
      <c r="H12356" s="3063"/>
      <c r="I12356" s="3030"/>
    </row>
    <row r="12357" spans="2:9" ht="25.5">
      <c r="B12357" s="3192" t="s">
        <v>720</v>
      </c>
      <c r="C12357" s="3063"/>
      <c r="D12357" s="3064"/>
      <c r="E12357" s="3064"/>
      <c r="F12357" s="3064"/>
      <c r="G12357" s="3301" t="s">
        <v>720</v>
      </c>
      <c r="H12357" s="3063"/>
      <c r="I12357" s="3030"/>
    </row>
    <row r="12358" spans="2:9" ht="25.5">
      <c r="B12358" s="3299" t="s">
        <v>682</v>
      </c>
      <c r="C12358" s="3063"/>
      <c r="D12358" s="3064"/>
      <c r="E12358" s="3064"/>
      <c r="F12358" s="3064"/>
      <c r="G12358" s="3300" t="s">
        <v>682</v>
      </c>
      <c r="H12358" s="3063"/>
      <c r="I12358" s="3030"/>
    </row>
    <row r="12359" spans="2:9" ht="25.5">
      <c r="B12359" s="3192" t="s">
        <v>675</v>
      </c>
      <c r="C12359" s="3063"/>
      <c r="D12359" s="3064"/>
      <c r="E12359" s="3064"/>
      <c r="F12359" s="3064"/>
      <c r="G12359" s="3301" t="s">
        <v>675</v>
      </c>
      <c r="H12359" s="3063"/>
      <c r="I12359" s="3030"/>
    </row>
    <row r="12360" spans="2:9" ht="25.5">
      <c r="B12360" s="3192" t="s">
        <v>676</v>
      </c>
      <c r="C12360" s="3063"/>
      <c r="D12360" s="3064"/>
      <c r="E12360" s="3064"/>
      <c r="F12360" s="3064"/>
      <c r="G12360" s="3301" t="s">
        <v>676</v>
      </c>
      <c r="H12360" s="3063"/>
      <c r="I12360" s="3030"/>
    </row>
    <row r="12361" spans="2:9">
      <c r="B12361" s="3192" t="s">
        <v>677</v>
      </c>
      <c r="C12361" s="3063"/>
      <c r="D12361" s="3064"/>
      <c r="E12361" s="3064"/>
      <c r="F12361" s="3064"/>
      <c r="G12361" s="3301" t="s">
        <v>677</v>
      </c>
      <c r="H12361" s="3063"/>
      <c r="I12361" s="3030"/>
    </row>
    <row r="12362" spans="2:9">
      <c r="B12362" s="3192" t="s">
        <v>678</v>
      </c>
      <c r="C12362" s="3063"/>
      <c r="D12362" s="3064"/>
      <c r="E12362" s="3064"/>
      <c r="F12362" s="3064"/>
      <c r="G12362" s="3301" t="s">
        <v>678</v>
      </c>
      <c r="H12362" s="3063"/>
      <c r="I12362" s="3030"/>
    </row>
    <row r="12363" spans="2:9">
      <c r="B12363" s="3192" t="s">
        <v>679</v>
      </c>
      <c r="C12363" s="3063"/>
      <c r="D12363" s="3064"/>
      <c r="E12363" s="3064"/>
      <c r="F12363" s="3064"/>
      <c r="G12363" s="3301" t="s">
        <v>679</v>
      </c>
      <c r="H12363" s="3063"/>
      <c r="I12363" s="3030"/>
    </row>
    <row r="12364" spans="2:9" ht="25.5">
      <c r="B12364" s="3192" t="s">
        <v>720</v>
      </c>
      <c r="C12364" s="3063"/>
      <c r="D12364" s="3064"/>
      <c r="E12364" s="3064"/>
      <c r="F12364" s="3064"/>
      <c r="G12364" s="3301" t="s">
        <v>720</v>
      </c>
      <c r="H12364" s="3063"/>
      <c r="I12364" s="3030"/>
    </row>
    <row r="12365" spans="2:9" ht="25.5">
      <c r="B12365" s="3299" t="s">
        <v>66</v>
      </c>
      <c r="C12365" s="3063"/>
      <c r="D12365" s="3064"/>
      <c r="E12365" s="3064"/>
      <c r="F12365" s="3064"/>
      <c r="G12365" s="3300" t="s">
        <v>66</v>
      </c>
      <c r="H12365" s="3063"/>
      <c r="I12365" s="3030"/>
    </row>
    <row r="12366" spans="2:9" ht="25.5">
      <c r="B12366" s="3192" t="s">
        <v>675</v>
      </c>
      <c r="C12366" s="3063"/>
      <c r="D12366" s="3064"/>
      <c r="E12366" s="3064"/>
      <c r="F12366" s="3064"/>
      <c r="G12366" s="3301" t="s">
        <v>675</v>
      </c>
      <c r="H12366" s="3063"/>
      <c r="I12366" s="3030"/>
    </row>
    <row r="12367" spans="2:9" ht="25.5">
      <c r="B12367" s="3192" t="s">
        <v>676</v>
      </c>
      <c r="C12367" s="3063"/>
      <c r="D12367" s="3064"/>
      <c r="E12367" s="3064"/>
      <c r="F12367" s="3064"/>
      <c r="G12367" s="3301" t="s">
        <v>676</v>
      </c>
      <c r="H12367" s="3063"/>
      <c r="I12367" s="3030"/>
    </row>
    <row r="12368" spans="2:9">
      <c r="B12368" s="3192" t="s">
        <v>677</v>
      </c>
      <c r="C12368" s="3063"/>
      <c r="D12368" s="3064"/>
      <c r="E12368" s="3064"/>
      <c r="F12368" s="3064"/>
      <c r="G12368" s="3301" t="s">
        <v>677</v>
      </c>
      <c r="H12368" s="3063"/>
      <c r="I12368" s="3030"/>
    </row>
    <row r="12369" spans="2:9">
      <c r="B12369" s="3192" t="s">
        <v>678</v>
      </c>
      <c r="C12369" s="3063"/>
      <c r="D12369" s="3064"/>
      <c r="E12369" s="3064"/>
      <c r="F12369" s="3064"/>
      <c r="G12369" s="3301" t="s">
        <v>678</v>
      </c>
      <c r="H12369" s="3063"/>
      <c r="I12369" s="3030"/>
    </row>
    <row r="12370" spans="2:9">
      <c r="B12370" s="3192" t="s">
        <v>679</v>
      </c>
      <c r="C12370" s="3063"/>
      <c r="D12370" s="3064"/>
      <c r="E12370" s="3064"/>
      <c r="F12370" s="3064"/>
      <c r="G12370" s="3301" t="s">
        <v>679</v>
      </c>
      <c r="H12370" s="3063"/>
      <c r="I12370" s="3030"/>
    </row>
    <row r="12371" spans="2:9" ht="25.5">
      <c r="B12371" s="3192" t="s">
        <v>720</v>
      </c>
      <c r="C12371" s="3063"/>
      <c r="D12371" s="3064"/>
      <c r="E12371" s="3064"/>
      <c r="F12371" s="3064"/>
      <c r="G12371" s="3301" t="s">
        <v>720</v>
      </c>
      <c r="H12371" s="3063"/>
      <c r="I12371" s="3030"/>
    </row>
    <row r="12372" spans="2:9">
      <c r="B12372" s="3299" t="s">
        <v>67</v>
      </c>
      <c r="C12372" s="3063"/>
      <c r="D12372" s="3064"/>
      <c r="E12372" s="3064"/>
      <c r="F12372" s="3064">
        <v>7</v>
      </c>
      <c r="G12372" s="3300" t="s">
        <v>67</v>
      </c>
      <c r="H12372" s="3063">
        <v>0.14775101842666261</v>
      </c>
      <c r="I12372" s="3030"/>
    </row>
    <row r="12373" spans="2:9" ht="25.5">
      <c r="B12373" s="3192" t="s">
        <v>675</v>
      </c>
      <c r="C12373" s="3063"/>
      <c r="D12373" s="3064"/>
      <c r="E12373" s="3064"/>
      <c r="F12373" s="3064"/>
      <c r="G12373" s="3301" t="s">
        <v>675</v>
      </c>
      <c r="H12373" s="3063"/>
      <c r="I12373" s="3030"/>
    </row>
    <row r="12374" spans="2:9" ht="25.5">
      <c r="B12374" s="3192" t="s">
        <v>676</v>
      </c>
      <c r="C12374" s="3063"/>
      <c r="D12374" s="3064"/>
      <c r="E12374" s="3064"/>
      <c r="F12374" s="3064"/>
      <c r="G12374" s="3301" t="s">
        <v>676</v>
      </c>
      <c r="H12374" s="3063"/>
      <c r="I12374" s="3030"/>
    </row>
    <row r="12375" spans="2:9">
      <c r="B12375" s="3192" t="s">
        <v>677</v>
      </c>
      <c r="C12375" s="3063"/>
      <c r="D12375" s="3064"/>
      <c r="E12375" s="3064"/>
      <c r="F12375" s="3064"/>
      <c r="G12375" s="3301" t="s">
        <v>677</v>
      </c>
      <c r="H12375" s="3063"/>
      <c r="I12375" s="3030"/>
    </row>
    <row r="12376" spans="2:9">
      <c r="B12376" s="3192" t="s">
        <v>678</v>
      </c>
      <c r="C12376" s="3063"/>
      <c r="D12376" s="3064"/>
      <c r="E12376" s="3064"/>
      <c r="F12376" s="3064"/>
      <c r="G12376" s="3301" t="s">
        <v>678</v>
      </c>
      <c r="H12376" s="3063"/>
      <c r="I12376" s="3030"/>
    </row>
    <row r="12377" spans="2:9">
      <c r="B12377" s="3192" t="s">
        <v>679</v>
      </c>
      <c r="C12377" s="3063"/>
      <c r="D12377" s="3064"/>
      <c r="E12377" s="3064"/>
      <c r="F12377" s="3064"/>
      <c r="G12377" s="3301" t="s">
        <v>679</v>
      </c>
      <c r="H12377" s="3063"/>
      <c r="I12377" s="3030"/>
    </row>
    <row r="12378" spans="2:9" ht="25.5">
      <c r="B12378" s="3230" t="s">
        <v>81</v>
      </c>
      <c r="C12378" s="3063"/>
      <c r="D12378" s="3064"/>
      <c r="E12378" s="3064"/>
      <c r="F12378" s="3064"/>
      <c r="G12378" s="3302" t="s">
        <v>81</v>
      </c>
      <c r="H12378" s="3063"/>
      <c r="I12378" s="3030"/>
    </row>
    <row r="12379" spans="2:9" ht="26.25" thickBot="1">
      <c r="B12379" s="3303" t="s">
        <v>81</v>
      </c>
      <c r="C12379" s="3068"/>
      <c r="D12379" s="3069"/>
      <c r="E12379" s="3069"/>
      <c r="F12379" s="3069"/>
      <c r="G12379" s="3304" t="s">
        <v>81</v>
      </c>
      <c r="H12379" s="3068"/>
      <c r="I12379" s="3070"/>
    </row>
    <row r="12380" spans="2:9" ht="38.25">
      <c r="B12380" s="4723">
        <v>3305</v>
      </c>
      <c r="C12380" s="3289"/>
      <c r="D12380" s="3290"/>
      <c r="E12380" s="3290"/>
      <c r="F12380" s="3290"/>
      <c r="G12380" s="4723">
        <v>3305</v>
      </c>
      <c r="H12380" s="3291" t="s">
        <v>687</v>
      </c>
      <c r="I12380" s="3292" t="s">
        <v>688</v>
      </c>
    </row>
    <row r="12381" spans="2:9">
      <c r="B12381" s="4724"/>
      <c r="C12381" s="4678" t="s">
        <v>686</v>
      </c>
      <c r="D12381" s="4725"/>
      <c r="E12381" s="4725"/>
      <c r="F12381" s="4726"/>
      <c r="G12381" s="4724"/>
      <c r="H12381" s="3293"/>
      <c r="I12381" s="3294"/>
    </row>
    <row r="12382" spans="2:9" ht="13.5" thickBot="1">
      <c r="B12382" s="4724"/>
      <c r="C12382" s="3215">
        <v>2013</v>
      </c>
      <c r="D12382" s="3215">
        <v>2014</v>
      </c>
      <c r="E12382" s="3215">
        <v>2015</v>
      </c>
      <c r="F12382" s="3215">
        <v>2016</v>
      </c>
      <c r="G12382" s="4724"/>
      <c r="H12382" s="3295" t="s">
        <v>390</v>
      </c>
      <c r="I12382" s="3296" t="s">
        <v>390</v>
      </c>
    </row>
    <row r="12383" spans="2:9">
      <c r="B12383" s="3217" t="s">
        <v>695</v>
      </c>
      <c r="C12383" s="3218"/>
      <c r="D12383" s="3219"/>
      <c r="E12383" s="3219"/>
      <c r="F12383" s="3219"/>
      <c r="G12383" s="3217" t="s">
        <v>695</v>
      </c>
      <c r="H12383" s="3297"/>
      <c r="I12383" s="3298"/>
    </row>
    <row r="12384" spans="2:9">
      <c r="B12384" s="3299" t="s">
        <v>64</v>
      </c>
      <c r="C12384" s="3063"/>
      <c r="D12384" s="3064"/>
      <c r="E12384" s="3064"/>
      <c r="F12384" s="3064">
        <v>2</v>
      </c>
      <c r="G12384" s="3300" t="s">
        <v>64</v>
      </c>
      <c r="H12384" s="3063">
        <v>0.35190615835777128</v>
      </c>
      <c r="I12384" s="3030"/>
    </row>
    <row r="12385" spans="2:9" ht="25.5">
      <c r="B12385" s="3192" t="s">
        <v>675</v>
      </c>
      <c r="C12385" s="3063"/>
      <c r="D12385" s="3064">
        <v>2</v>
      </c>
      <c r="E12385" s="3064"/>
      <c r="F12385" s="3064"/>
      <c r="G12385" s="3301" t="s">
        <v>675</v>
      </c>
      <c r="H12385" s="3063"/>
      <c r="I12385" s="3030">
        <v>0.35190615835777128</v>
      </c>
    </row>
    <row r="12386" spans="2:9" ht="25.5">
      <c r="B12386" s="3192" t="s">
        <v>676</v>
      </c>
      <c r="C12386" s="3063"/>
      <c r="D12386" s="3064"/>
      <c r="E12386" s="3064"/>
      <c r="F12386" s="3064"/>
      <c r="G12386" s="3301" t="s">
        <v>676</v>
      </c>
      <c r="H12386" s="3063"/>
      <c r="I12386" s="3030"/>
    </row>
    <row r="12387" spans="2:9">
      <c r="B12387" s="3192" t="s">
        <v>677</v>
      </c>
      <c r="C12387" s="3063"/>
      <c r="D12387" s="3064"/>
      <c r="E12387" s="3064"/>
      <c r="F12387" s="3064"/>
      <c r="G12387" s="3301" t="s">
        <v>677</v>
      </c>
      <c r="H12387" s="3063"/>
      <c r="I12387" s="3030"/>
    </row>
    <row r="12388" spans="2:9">
      <c r="B12388" s="3192" t="s">
        <v>678</v>
      </c>
      <c r="C12388" s="3063"/>
      <c r="D12388" s="3064"/>
      <c r="E12388" s="3064"/>
      <c r="F12388" s="3064"/>
      <c r="G12388" s="3301" t="s">
        <v>678</v>
      </c>
      <c r="H12388" s="3063"/>
      <c r="I12388" s="3030"/>
    </row>
    <row r="12389" spans="2:9">
      <c r="B12389" s="3192" t="s">
        <v>679</v>
      </c>
      <c r="C12389" s="3063"/>
      <c r="D12389" s="3064"/>
      <c r="E12389" s="3064"/>
      <c r="F12389" s="3064"/>
      <c r="G12389" s="3301" t="s">
        <v>679</v>
      </c>
      <c r="H12389" s="3063"/>
      <c r="I12389" s="3030"/>
    </row>
    <row r="12390" spans="2:9" ht="25.5">
      <c r="B12390" s="3192" t="s">
        <v>720</v>
      </c>
      <c r="C12390" s="3063"/>
      <c r="D12390" s="3064"/>
      <c r="E12390" s="3064"/>
      <c r="F12390" s="3064"/>
      <c r="G12390" s="3301" t="s">
        <v>720</v>
      </c>
      <c r="H12390" s="3063"/>
      <c r="I12390" s="3030"/>
    </row>
    <row r="12391" spans="2:9">
      <c r="B12391" s="3299" t="s">
        <v>65</v>
      </c>
      <c r="C12391" s="3063"/>
      <c r="D12391" s="3064"/>
      <c r="E12391" s="3064"/>
      <c r="F12391" s="3064">
        <v>1</v>
      </c>
      <c r="G12391" s="3300" t="s">
        <v>65</v>
      </c>
      <c r="H12391" s="3063">
        <v>8.1059173196433368E-2</v>
      </c>
      <c r="I12391" s="3030"/>
    </row>
    <row r="12392" spans="2:9" ht="25.5">
      <c r="B12392" s="3192" t="s">
        <v>675</v>
      </c>
      <c r="C12392" s="3063"/>
      <c r="D12392" s="3064">
        <v>2</v>
      </c>
      <c r="E12392" s="3064"/>
      <c r="F12392" s="3064"/>
      <c r="G12392" s="3301" t="s">
        <v>675</v>
      </c>
      <c r="H12392" s="3063"/>
      <c r="I12392" s="3030">
        <v>0.1080788975952445</v>
      </c>
    </row>
    <row r="12393" spans="2:9" ht="25.5">
      <c r="B12393" s="3192" t="s">
        <v>676</v>
      </c>
      <c r="C12393" s="3063"/>
      <c r="D12393" s="3064"/>
      <c r="E12393" s="3064"/>
      <c r="F12393" s="3064"/>
      <c r="G12393" s="3301" t="s">
        <v>676</v>
      </c>
      <c r="H12393" s="3063"/>
      <c r="I12393" s="3030"/>
    </row>
    <row r="12394" spans="2:9">
      <c r="B12394" s="3192" t="s">
        <v>677</v>
      </c>
      <c r="C12394" s="3063"/>
      <c r="D12394" s="3064"/>
      <c r="E12394" s="3064"/>
      <c r="F12394" s="3064"/>
      <c r="G12394" s="3301" t="s">
        <v>677</v>
      </c>
      <c r="H12394" s="3063"/>
      <c r="I12394" s="3030"/>
    </row>
    <row r="12395" spans="2:9">
      <c r="B12395" s="3192" t="s">
        <v>678</v>
      </c>
      <c r="C12395" s="3063"/>
      <c r="D12395" s="3064"/>
      <c r="E12395" s="3064"/>
      <c r="F12395" s="3064"/>
      <c r="G12395" s="3301" t="s">
        <v>678</v>
      </c>
      <c r="H12395" s="3063"/>
      <c r="I12395" s="3030"/>
    </row>
    <row r="12396" spans="2:9">
      <c r="B12396" s="3192" t="s">
        <v>679</v>
      </c>
      <c r="C12396" s="3063"/>
      <c r="D12396" s="3064"/>
      <c r="E12396" s="3064"/>
      <c r="F12396" s="3064"/>
      <c r="G12396" s="3301" t="s">
        <v>679</v>
      </c>
      <c r="H12396" s="3063"/>
      <c r="I12396" s="3030"/>
    </row>
    <row r="12397" spans="2:9" ht="25.5">
      <c r="B12397" s="3192" t="s">
        <v>720</v>
      </c>
      <c r="C12397" s="3063"/>
      <c r="D12397" s="3064"/>
      <c r="E12397" s="3064"/>
      <c r="F12397" s="3064"/>
      <c r="G12397" s="3301" t="s">
        <v>720</v>
      </c>
      <c r="H12397" s="3063"/>
      <c r="I12397" s="3030"/>
    </row>
    <row r="12398" spans="2:9">
      <c r="B12398" s="3299" t="s">
        <v>82</v>
      </c>
      <c r="C12398" s="3063"/>
      <c r="D12398" s="3064"/>
      <c r="E12398" s="3064"/>
      <c r="F12398" s="3064"/>
      <c r="G12398" s="3300" t="s">
        <v>82</v>
      </c>
      <c r="H12398" s="3063"/>
      <c r="I12398" s="3030"/>
    </row>
    <row r="12399" spans="2:9" ht="25.5">
      <c r="B12399" s="3192" t="s">
        <v>675</v>
      </c>
      <c r="C12399" s="3063"/>
      <c r="D12399" s="3064"/>
      <c r="E12399" s="3064"/>
      <c r="F12399" s="3064"/>
      <c r="G12399" s="3301" t="s">
        <v>675</v>
      </c>
      <c r="H12399" s="3063"/>
      <c r="I12399" s="3030"/>
    </row>
    <row r="12400" spans="2:9" ht="25.5">
      <c r="B12400" s="3192" t="s">
        <v>676</v>
      </c>
      <c r="C12400" s="3063"/>
      <c r="D12400" s="3064"/>
      <c r="E12400" s="3064"/>
      <c r="F12400" s="3064"/>
      <c r="G12400" s="3301" t="s">
        <v>676</v>
      </c>
      <c r="H12400" s="3063"/>
      <c r="I12400" s="3030"/>
    </row>
    <row r="12401" spans="2:9">
      <c r="B12401" s="3192" t="s">
        <v>677</v>
      </c>
      <c r="C12401" s="3063"/>
      <c r="D12401" s="3064"/>
      <c r="E12401" s="3064"/>
      <c r="F12401" s="3064"/>
      <c r="G12401" s="3301" t="s">
        <v>677</v>
      </c>
      <c r="H12401" s="3063"/>
      <c r="I12401" s="3030"/>
    </row>
    <row r="12402" spans="2:9">
      <c r="B12402" s="3192" t="s">
        <v>678</v>
      </c>
      <c r="C12402" s="3063"/>
      <c r="D12402" s="3064"/>
      <c r="E12402" s="3064"/>
      <c r="F12402" s="3064"/>
      <c r="G12402" s="3301" t="s">
        <v>678</v>
      </c>
      <c r="H12402" s="3063"/>
      <c r="I12402" s="3030"/>
    </row>
    <row r="12403" spans="2:9">
      <c r="B12403" s="3192" t="s">
        <v>679</v>
      </c>
      <c r="C12403" s="3063"/>
      <c r="D12403" s="3064"/>
      <c r="E12403" s="3064"/>
      <c r="F12403" s="3064"/>
      <c r="G12403" s="3301" t="s">
        <v>679</v>
      </c>
      <c r="H12403" s="3063"/>
      <c r="I12403" s="3030"/>
    </row>
    <row r="12404" spans="2:9" ht="25.5">
      <c r="B12404" s="3192" t="s">
        <v>720</v>
      </c>
      <c r="C12404" s="3063"/>
      <c r="D12404" s="3064"/>
      <c r="E12404" s="3064"/>
      <c r="F12404" s="3064"/>
      <c r="G12404" s="3301" t="s">
        <v>720</v>
      </c>
      <c r="H12404" s="3063"/>
      <c r="I12404" s="3030"/>
    </row>
    <row r="12405" spans="2:9" ht="38.25">
      <c r="B12405" s="3299" t="s">
        <v>680</v>
      </c>
      <c r="C12405" s="3063"/>
      <c r="D12405" s="3064"/>
      <c r="E12405" s="3064"/>
      <c r="F12405" s="3064"/>
      <c r="G12405" s="3300" t="s">
        <v>680</v>
      </c>
      <c r="H12405" s="3063"/>
      <c r="I12405" s="3030"/>
    </row>
    <row r="12406" spans="2:9" ht="25.5">
      <c r="B12406" s="3192" t="s">
        <v>675</v>
      </c>
      <c r="C12406" s="3063"/>
      <c r="D12406" s="3064"/>
      <c r="E12406" s="3064"/>
      <c r="F12406" s="3064"/>
      <c r="G12406" s="3301" t="s">
        <v>675</v>
      </c>
      <c r="H12406" s="3063"/>
      <c r="I12406" s="3030"/>
    </row>
    <row r="12407" spans="2:9" ht="25.5">
      <c r="B12407" s="3192" t="s">
        <v>676</v>
      </c>
      <c r="C12407" s="3063"/>
      <c r="D12407" s="3064"/>
      <c r="E12407" s="3064"/>
      <c r="F12407" s="3064"/>
      <c r="G12407" s="3301" t="s">
        <v>676</v>
      </c>
      <c r="H12407" s="3063"/>
      <c r="I12407" s="3030"/>
    </row>
    <row r="12408" spans="2:9">
      <c r="B12408" s="3192" t="s">
        <v>677</v>
      </c>
      <c r="C12408" s="3063"/>
      <c r="D12408" s="3064"/>
      <c r="E12408" s="3064"/>
      <c r="F12408" s="3064"/>
      <c r="G12408" s="3301" t="s">
        <v>677</v>
      </c>
      <c r="H12408" s="3063"/>
      <c r="I12408" s="3030"/>
    </row>
    <row r="12409" spans="2:9">
      <c r="B12409" s="3192" t="s">
        <v>678</v>
      </c>
      <c r="C12409" s="3063"/>
      <c r="D12409" s="3064"/>
      <c r="E12409" s="3064"/>
      <c r="F12409" s="3064"/>
      <c r="G12409" s="3301" t="s">
        <v>678</v>
      </c>
      <c r="H12409" s="3063"/>
      <c r="I12409" s="3030"/>
    </row>
    <row r="12410" spans="2:9">
      <c r="B12410" s="3192" t="s">
        <v>679</v>
      </c>
      <c r="C12410" s="3063"/>
      <c r="D12410" s="3064"/>
      <c r="E12410" s="3064"/>
      <c r="F12410" s="3064"/>
      <c r="G12410" s="3301" t="s">
        <v>679</v>
      </c>
      <c r="H12410" s="3063"/>
      <c r="I12410" s="3030"/>
    </row>
    <row r="12411" spans="2:9" ht="25.5">
      <c r="B12411" s="3192" t="s">
        <v>720</v>
      </c>
      <c r="C12411" s="3063"/>
      <c r="D12411" s="3064"/>
      <c r="E12411" s="3064"/>
      <c r="F12411" s="3064"/>
      <c r="G12411" s="3301" t="s">
        <v>720</v>
      </c>
      <c r="H12411" s="3063"/>
      <c r="I12411" s="3030"/>
    </row>
    <row r="12412" spans="2:9" ht="38.25">
      <c r="B12412" s="3299" t="s">
        <v>681</v>
      </c>
      <c r="C12412" s="3063"/>
      <c r="D12412" s="3064"/>
      <c r="E12412" s="3064"/>
      <c r="F12412" s="3064"/>
      <c r="G12412" s="3300" t="s">
        <v>681</v>
      </c>
      <c r="H12412" s="3063"/>
      <c r="I12412" s="3030"/>
    </row>
    <row r="12413" spans="2:9" ht="25.5">
      <c r="B12413" s="3192" t="s">
        <v>675</v>
      </c>
      <c r="C12413" s="3063"/>
      <c r="D12413" s="3064"/>
      <c r="E12413" s="3064"/>
      <c r="F12413" s="3064"/>
      <c r="G12413" s="3301" t="s">
        <v>675</v>
      </c>
      <c r="H12413" s="3063"/>
      <c r="I12413" s="3030"/>
    </row>
    <row r="12414" spans="2:9" ht="25.5">
      <c r="B12414" s="3192" t="s">
        <v>676</v>
      </c>
      <c r="C12414" s="3063"/>
      <c r="D12414" s="3064"/>
      <c r="E12414" s="3064"/>
      <c r="F12414" s="3064"/>
      <c r="G12414" s="3301" t="s">
        <v>676</v>
      </c>
      <c r="H12414" s="3063"/>
      <c r="I12414" s="3030"/>
    </row>
    <row r="12415" spans="2:9">
      <c r="B12415" s="3192" t="s">
        <v>677</v>
      </c>
      <c r="C12415" s="3063"/>
      <c r="D12415" s="3064"/>
      <c r="E12415" s="3064"/>
      <c r="F12415" s="3064"/>
      <c r="G12415" s="3301" t="s">
        <v>677</v>
      </c>
      <c r="H12415" s="3063"/>
      <c r="I12415" s="3030"/>
    </row>
    <row r="12416" spans="2:9">
      <c r="B12416" s="3192" t="s">
        <v>678</v>
      </c>
      <c r="C12416" s="3063"/>
      <c r="D12416" s="3064"/>
      <c r="E12416" s="3064"/>
      <c r="F12416" s="3064"/>
      <c r="G12416" s="3301" t="s">
        <v>678</v>
      </c>
      <c r="H12416" s="3063"/>
      <c r="I12416" s="3030"/>
    </row>
    <row r="12417" spans="2:9">
      <c r="B12417" s="3192" t="s">
        <v>679</v>
      </c>
      <c r="C12417" s="3063"/>
      <c r="D12417" s="3064"/>
      <c r="E12417" s="3064"/>
      <c r="F12417" s="3064"/>
      <c r="G12417" s="3301" t="s">
        <v>679</v>
      </c>
      <c r="H12417" s="3063"/>
      <c r="I12417" s="3030"/>
    </row>
    <row r="12418" spans="2:9" ht="25.5">
      <c r="B12418" s="3192" t="s">
        <v>720</v>
      </c>
      <c r="C12418" s="3063"/>
      <c r="D12418" s="3064"/>
      <c r="E12418" s="3064"/>
      <c r="F12418" s="3064"/>
      <c r="G12418" s="3301" t="s">
        <v>720</v>
      </c>
      <c r="H12418" s="3063"/>
      <c r="I12418" s="3030"/>
    </row>
    <row r="12419" spans="2:9" ht="25.5">
      <c r="B12419" s="3299" t="s">
        <v>682</v>
      </c>
      <c r="C12419" s="3063"/>
      <c r="D12419" s="3064"/>
      <c r="E12419" s="3064"/>
      <c r="F12419" s="3064"/>
      <c r="G12419" s="3300" t="s">
        <v>682</v>
      </c>
      <c r="H12419" s="3063"/>
      <c r="I12419" s="3030"/>
    </row>
    <row r="12420" spans="2:9" ht="25.5">
      <c r="B12420" s="3192" t="s">
        <v>675</v>
      </c>
      <c r="C12420" s="3063"/>
      <c r="D12420" s="3064"/>
      <c r="E12420" s="3064"/>
      <c r="F12420" s="3064"/>
      <c r="G12420" s="3301" t="s">
        <v>675</v>
      </c>
      <c r="H12420" s="3063"/>
      <c r="I12420" s="3030"/>
    </row>
    <row r="12421" spans="2:9" ht="25.5">
      <c r="B12421" s="3192" t="s">
        <v>676</v>
      </c>
      <c r="C12421" s="3063"/>
      <c r="D12421" s="3064"/>
      <c r="E12421" s="3064"/>
      <c r="F12421" s="3064"/>
      <c r="G12421" s="3301" t="s">
        <v>676</v>
      </c>
      <c r="H12421" s="3063"/>
      <c r="I12421" s="3030"/>
    </row>
    <row r="12422" spans="2:9">
      <c r="B12422" s="3192" t="s">
        <v>677</v>
      </c>
      <c r="C12422" s="3063"/>
      <c r="D12422" s="3064"/>
      <c r="E12422" s="3064"/>
      <c r="F12422" s="3064"/>
      <c r="G12422" s="3301" t="s">
        <v>677</v>
      </c>
      <c r="H12422" s="3063"/>
      <c r="I12422" s="3030"/>
    </row>
    <row r="12423" spans="2:9">
      <c r="B12423" s="3192" t="s">
        <v>678</v>
      </c>
      <c r="C12423" s="3063"/>
      <c r="D12423" s="3064"/>
      <c r="E12423" s="3064"/>
      <c r="F12423" s="3064"/>
      <c r="G12423" s="3301" t="s">
        <v>678</v>
      </c>
      <c r="H12423" s="3063"/>
      <c r="I12423" s="3030"/>
    </row>
    <row r="12424" spans="2:9">
      <c r="B12424" s="3192" t="s">
        <v>679</v>
      </c>
      <c r="C12424" s="3063"/>
      <c r="D12424" s="3064"/>
      <c r="E12424" s="3064"/>
      <c r="F12424" s="3064"/>
      <c r="G12424" s="3301" t="s">
        <v>679</v>
      </c>
      <c r="H12424" s="3063"/>
      <c r="I12424" s="3030"/>
    </row>
    <row r="12425" spans="2:9" ht="25.5">
      <c r="B12425" s="3192" t="s">
        <v>720</v>
      </c>
      <c r="C12425" s="3063"/>
      <c r="D12425" s="3064"/>
      <c r="E12425" s="3064"/>
      <c r="F12425" s="3064"/>
      <c r="G12425" s="3301" t="s">
        <v>720</v>
      </c>
      <c r="H12425" s="3063"/>
      <c r="I12425" s="3030"/>
    </row>
    <row r="12426" spans="2:9" ht="25.5">
      <c r="B12426" s="3299" t="s">
        <v>66</v>
      </c>
      <c r="C12426" s="3063"/>
      <c r="D12426" s="3064"/>
      <c r="E12426" s="3064"/>
      <c r="F12426" s="3064"/>
      <c r="G12426" s="3300" t="s">
        <v>66</v>
      </c>
      <c r="H12426" s="3063"/>
      <c r="I12426" s="3030"/>
    </row>
    <row r="12427" spans="2:9" ht="25.5">
      <c r="B12427" s="3192" t="s">
        <v>675</v>
      </c>
      <c r="C12427" s="3063"/>
      <c r="D12427" s="3064"/>
      <c r="E12427" s="3064"/>
      <c r="F12427" s="3064"/>
      <c r="G12427" s="3301" t="s">
        <v>675</v>
      </c>
      <c r="H12427" s="3063"/>
      <c r="I12427" s="3030"/>
    </row>
    <row r="12428" spans="2:9" ht="25.5">
      <c r="B12428" s="3192" t="s">
        <v>676</v>
      </c>
      <c r="C12428" s="3063"/>
      <c r="D12428" s="3064"/>
      <c r="E12428" s="3064"/>
      <c r="F12428" s="3064"/>
      <c r="G12428" s="3301" t="s">
        <v>676</v>
      </c>
      <c r="H12428" s="3063"/>
      <c r="I12428" s="3030"/>
    </row>
    <row r="12429" spans="2:9">
      <c r="B12429" s="3192" t="s">
        <v>677</v>
      </c>
      <c r="C12429" s="3063"/>
      <c r="D12429" s="3064"/>
      <c r="E12429" s="3064"/>
      <c r="F12429" s="3064"/>
      <c r="G12429" s="3301" t="s">
        <v>677</v>
      </c>
      <c r="H12429" s="3063"/>
      <c r="I12429" s="3030"/>
    </row>
    <row r="12430" spans="2:9">
      <c r="B12430" s="3192" t="s">
        <v>678</v>
      </c>
      <c r="C12430" s="3063"/>
      <c r="D12430" s="3064"/>
      <c r="E12430" s="3064"/>
      <c r="F12430" s="3064"/>
      <c r="G12430" s="3301" t="s">
        <v>678</v>
      </c>
      <c r="H12430" s="3063"/>
      <c r="I12430" s="3030"/>
    </row>
    <row r="12431" spans="2:9">
      <c r="B12431" s="3192" t="s">
        <v>679</v>
      </c>
      <c r="C12431" s="3063"/>
      <c r="D12431" s="3064"/>
      <c r="E12431" s="3064"/>
      <c r="F12431" s="3064"/>
      <c r="G12431" s="3301" t="s">
        <v>679</v>
      </c>
      <c r="H12431" s="3063"/>
      <c r="I12431" s="3030"/>
    </row>
    <row r="12432" spans="2:9" ht="25.5">
      <c r="B12432" s="3192" t="s">
        <v>720</v>
      </c>
      <c r="C12432" s="3063"/>
      <c r="D12432" s="3064"/>
      <c r="E12432" s="3064"/>
      <c r="F12432" s="3064"/>
      <c r="G12432" s="3301" t="s">
        <v>720</v>
      </c>
      <c r="H12432" s="3063"/>
      <c r="I12432" s="3030"/>
    </row>
    <row r="12433" spans="2:9">
      <c r="B12433" s="3299" t="s">
        <v>67</v>
      </c>
      <c r="C12433" s="3063"/>
      <c r="D12433" s="3064"/>
      <c r="E12433" s="3064"/>
      <c r="F12433" s="3064"/>
      <c r="G12433" s="3300" t="s">
        <v>67</v>
      </c>
      <c r="H12433" s="3063"/>
      <c r="I12433" s="3030"/>
    </row>
    <row r="12434" spans="2:9" ht="25.5">
      <c r="B12434" s="3192" t="s">
        <v>675</v>
      </c>
      <c r="C12434" s="3063"/>
      <c r="D12434" s="3064"/>
      <c r="E12434" s="3064"/>
      <c r="F12434" s="3064"/>
      <c r="G12434" s="3301" t="s">
        <v>675</v>
      </c>
      <c r="H12434" s="3063"/>
      <c r="I12434" s="3030"/>
    </row>
    <row r="12435" spans="2:9" ht="25.5">
      <c r="B12435" s="3192" t="s">
        <v>676</v>
      </c>
      <c r="C12435" s="3063"/>
      <c r="D12435" s="3064"/>
      <c r="E12435" s="3064"/>
      <c r="F12435" s="3064"/>
      <c r="G12435" s="3301" t="s">
        <v>676</v>
      </c>
      <c r="H12435" s="3063"/>
      <c r="I12435" s="3030"/>
    </row>
    <row r="12436" spans="2:9">
      <c r="B12436" s="3192" t="s">
        <v>677</v>
      </c>
      <c r="C12436" s="3063"/>
      <c r="D12436" s="3064"/>
      <c r="E12436" s="3064"/>
      <c r="F12436" s="3064"/>
      <c r="G12436" s="3301" t="s">
        <v>677</v>
      </c>
      <c r="H12436" s="3063"/>
      <c r="I12436" s="3030"/>
    </row>
    <row r="12437" spans="2:9">
      <c r="B12437" s="3192" t="s">
        <v>678</v>
      </c>
      <c r="C12437" s="3063"/>
      <c r="D12437" s="3064"/>
      <c r="E12437" s="3064"/>
      <c r="F12437" s="3064"/>
      <c r="G12437" s="3301" t="s">
        <v>678</v>
      </c>
      <c r="H12437" s="3063"/>
      <c r="I12437" s="3030"/>
    </row>
    <row r="12438" spans="2:9">
      <c r="B12438" s="3192" t="s">
        <v>679</v>
      </c>
      <c r="C12438" s="3063"/>
      <c r="D12438" s="3064"/>
      <c r="E12438" s="3064"/>
      <c r="F12438" s="3064"/>
      <c r="G12438" s="3301" t="s">
        <v>679</v>
      </c>
      <c r="H12438" s="3063"/>
      <c r="I12438" s="3030"/>
    </row>
    <row r="12439" spans="2:9" ht="25.5">
      <c r="B12439" s="3192" t="s">
        <v>720</v>
      </c>
      <c r="C12439" s="3063"/>
      <c r="D12439" s="3064"/>
      <c r="E12439" s="3064"/>
      <c r="F12439" s="3064"/>
      <c r="G12439" s="3301" t="s">
        <v>720</v>
      </c>
      <c r="H12439" s="3063"/>
      <c r="I12439" s="3030"/>
    </row>
    <row r="12440" spans="2:9" ht="25.5">
      <c r="B12440" s="3230" t="s">
        <v>81</v>
      </c>
      <c r="C12440" s="3063"/>
      <c r="D12440" s="3064"/>
      <c r="E12440" s="3064"/>
      <c r="F12440" s="3064"/>
      <c r="G12440" s="3302" t="s">
        <v>81</v>
      </c>
      <c r="H12440" s="3063"/>
      <c r="I12440" s="3030"/>
    </row>
    <row r="12441" spans="2:9" ht="26.25" thickBot="1">
      <c r="B12441" s="3303" t="s">
        <v>81</v>
      </c>
      <c r="C12441" s="3063"/>
      <c r="D12441" s="3064"/>
      <c r="E12441" s="3064"/>
      <c r="F12441" s="3064"/>
      <c r="G12441" s="3302" t="s">
        <v>81</v>
      </c>
      <c r="H12441" s="3063"/>
      <c r="I12441" s="3030"/>
    </row>
    <row r="12442" spans="2:9" ht="25.5">
      <c r="B12442" s="3217" t="s">
        <v>696</v>
      </c>
      <c r="C12442" s="3218"/>
      <c r="D12442" s="3219"/>
      <c r="E12442" s="3219"/>
      <c r="F12442" s="3219"/>
      <c r="G12442" s="3217" t="s">
        <v>696</v>
      </c>
      <c r="H12442" s="3297"/>
      <c r="I12442" s="3298"/>
    </row>
    <row r="12443" spans="2:9">
      <c r="B12443" s="3299" t="s">
        <v>64</v>
      </c>
      <c r="C12443" s="3063"/>
      <c r="D12443" s="3064"/>
      <c r="E12443" s="3064"/>
      <c r="F12443" s="3064"/>
      <c r="G12443" s="3300" t="s">
        <v>64</v>
      </c>
      <c r="H12443" s="3063"/>
      <c r="I12443" s="3030"/>
    </row>
    <row r="12444" spans="2:9" ht="25.5">
      <c r="B12444" s="3192" t="s">
        <v>675</v>
      </c>
      <c r="C12444" s="3063"/>
      <c r="D12444" s="3064"/>
      <c r="E12444" s="3064"/>
      <c r="F12444" s="3064"/>
      <c r="G12444" s="3301" t="s">
        <v>675</v>
      </c>
      <c r="H12444" s="3063"/>
      <c r="I12444" s="3030"/>
    </row>
    <row r="12445" spans="2:9" ht="25.5">
      <c r="B12445" s="3192" t="s">
        <v>676</v>
      </c>
      <c r="C12445" s="3063"/>
      <c r="D12445" s="3064"/>
      <c r="E12445" s="3064"/>
      <c r="F12445" s="3064"/>
      <c r="G12445" s="3301" t="s">
        <v>676</v>
      </c>
      <c r="H12445" s="3063"/>
      <c r="I12445" s="3030"/>
    </row>
    <row r="12446" spans="2:9">
      <c r="B12446" s="3192" t="s">
        <v>677</v>
      </c>
      <c r="C12446" s="3063"/>
      <c r="D12446" s="3064"/>
      <c r="E12446" s="3064"/>
      <c r="F12446" s="3064"/>
      <c r="G12446" s="3301" t="s">
        <v>677</v>
      </c>
      <c r="H12446" s="3063"/>
      <c r="I12446" s="3030"/>
    </row>
    <row r="12447" spans="2:9">
      <c r="B12447" s="3192" t="s">
        <v>678</v>
      </c>
      <c r="C12447" s="3063"/>
      <c r="D12447" s="3064"/>
      <c r="E12447" s="3064"/>
      <c r="F12447" s="3064"/>
      <c r="G12447" s="3301" t="s">
        <v>678</v>
      </c>
      <c r="H12447" s="3063"/>
      <c r="I12447" s="3030"/>
    </row>
    <row r="12448" spans="2:9">
      <c r="B12448" s="3192" t="s">
        <v>679</v>
      </c>
      <c r="C12448" s="3063"/>
      <c r="D12448" s="3064"/>
      <c r="E12448" s="3064"/>
      <c r="F12448" s="3064"/>
      <c r="G12448" s="3301" t="s">
        <v>679</v>
      </c>
      <c r="H12448" s="3063"/>
      <c r="I12448" s="3030"/>
    </row>
    <row r="12449" spans="2:9" ht="25.5">
      <c r="B12449" s="3192" t="s">
        <v>720</v>
      </c>
      <c r="C12449" s="3063"/>
      <c r="D12449" s="3064"/>
      <c r="E12449" s="3064"/>
      <c r="F12449" s="3064"/>
      <c r="G12449" s="3301" t="s">
        <v>720</v>
      </c>
      <c r="H12449" s="3063"/>
      <c r="I12449" s="3030"/>
    </row>
    <row r="12450" spans="2:9">
      <c r="B12450" s="3299" t="s">
        <v>65</v>
      </c>
      <c r="C12450" s="3063"/>
      <c r="D12450" s="3064"/>
      <c r="E12450" s="3064"/>
      <c r="F12450" s="3064"/>
      <c r="G12450" s="3300" t="s">
        <v>65</v>
      </c>
      <c r="H12450" s="3063"/>
      <c r="I12450" s="3030"/>
    </row>
    <row r="12451" spans="2:9" ht="25.5">
      <c r="B12451" s="3192" t="s">
        <v>675</v>
      </c>
      <c r="C12451" s="3063"/>
      <c r="D12451" s="3064"/>
      <c r="E12451" s="3064"/>
      <c r="F12451" s="3064"/>
      <c r="G12451" s="3301" t="s">
        <v>675</v>
      </c>
      <c r="H12451" s="3063"/>
      <c r="I12451" s="3030"/>
    </row>
    <row r="12452" spans="2:9" ht="25.5">
      <c r="B12452" s="3192" t="s">
        <v>676</v>
      </c>
      <c r="C12452" s="3063"/>
      <c r="D12452" s="3064"/>
      <c r="E12452" s="3064"/>
      <c r="F12452" s="3064"/>
      <c r="G12452" s="3301" t="s">
        <v>676</v>
      </c>
      <c r="H12452" s="3063"/>
      <c r="I12452" s="3030"/>
    </row>
    <row r="12453" spans="2:9">
      <c r="B12453" s="3192" t="s">
        <v>677</v>
      </c>
      <c r="C12453" s="3063"/>
      <c r="D12453" s="3064"/>
      <c r="E12453" s="3064"/>
      <c r="F12453" s="3064"/>
      <c r="G12453" s="3301" t="s">
        <v>677</v>
      </c>
      <c r="H12453" s="3063"/>
      <c r="I12453" s="3030"/>
    </row>
    <row r="12454" spans="2:9">
      <c r="B12454" s="3192" t="s">
        <v>678</v>
      </c>
      <c r="C12454" s="3063"/>
      <c r="D12454" s="3064"/>
      <c r="E12454" s="3064"/>
      <c r="F12454" s="3064"/>
      <c r="G12454" s="3301" t="s">
        <v>678</v>
      </c>
      <c r="H12454" s="3063"/>
      <c r="I12454" s="3030"/>
    </row>
    <row r="12455" spans="2:9">
      <c r="B12455" s="3192" t="s">
        <v>679</v>
      </c>
      <c r="C12455" s="3063"/>
      <c r="D12455" s="3064"/>
      <c r="E12455" s="3064"/>
      <c r="F12455" s="3064"/>
      <c r="G12455" s="3301" t="s">
        <v>679</v>
      </c>
      <c r="H12455" s="3063"/>
      <c r="I12455" s="3030"/>
    </row>
    <row r="12456" spans="2:9" ht="25.5">
      <c r="B12456" s="3192" t="s">
        <v>720</v>
      </c>
      <c r="C12456" s="3063"/>
      <c r="D12456" s="3064"/>
      <c r="E12456" s="3064"/>
      <c r="F12456" s="3064"/>
      <c r="G12456" s="3301" t="s">
        <v>720</v>
      </c>
      <c r="H12456" s="3063"/>
      <c r="I12456" s="3030"/>
    </row>
    <row r="12457" spans="2:9">
      <c r="B12457" s="3299" t="s">
        <v>82</v>
      </c>
      <c r="C12457" s="3063"/>
      <c r="D12457" s="3064"/>
      <c r="E12457" s="3064"/>
      <c r="F12457" s="3064"/>
      <c r="G12457" s="3300" t="s">
        <v>82</v>
      </c>
      <c r="H12457" s="3063"/>
      <c r="I12457" s="3030"/>
    </row>
    <row r="12458" spans="2:9" ht="25.5">
      <c r="B12458" s="3192" t="s">
        <v>675</v>
      </c>
      <c r="C12458" s="3063"/>
      <c r="D12458" s="3064"/>
      <c r="E12458" s="3064"/>
      <c r="F12458" s="3064"/>
      <c r="G12458" s="3301" t="s">
        <v>675</v>
      </c>
      <c r="H12458" s="3063"/>
      <c r="I12458" s="3030"/>
    </row>
    <row r="12459" spans="2:9" ht="25.5">
      <c r="B12459" s="3192" t="s">
        <v>676</v>
      </c>
      <c r="C12459" s="3063"/>
      <c r="D12459" s="3064"/>
      <c r="E12459" s="3064"/>
      <c r="F12459" s="3064"/>
      <c r="G12459" s="3301" t="s">
        <v>676</v>
      </c>
      <c r="H12459" s="3063"/>
      <c r="I12459" s="3030"/>
    </row>
    <row r="12460" spans="2:9">
      <c r="B12460" s="3192" t="s">
        <v>677</v>
      </c>
      <c r="C12460" s="3063"/>
      <c r="D12460" s="3064"/>
      <c r="E12460" s="3064"/>
      <c r="F12460" s="3064"/>
      <c r="G12460" s="3301" t="s">
        <v>677</v>
      </c>
      <c r="H12460" s="3063"/>
      <c r="I12460" s="3030"/>
    </row>
    <row r="12461" spans="2:9">
      <c r="B12461" s="3192" t="s">
        <v>678</v>
      </c>
      <c r="C12461" s="3063"/>
      <c r="D12461" s="3064"/>
      <c r="E12461" s="3064"/>
      <c r="F12461" s="3064"/>
      <c r="G12461" s="3301" t="s">
        <v>678</v>
      </c>
      <c r="H12461" s="3063"/>
      <c r="I12461" s="3030"/>
    </row>
    <row r="12462" spans="2:9">
      <c r="B12462" s="3192" t="s">
        <v>679</v>
      </c>
      <c r="C12462" s="3063"/>
      <c r="D12462" s="3064"/>
      <c r="E12462" s="3064"/>
      <c r="F12462" s="3064"/>
      <c r="G12462" s="3301" t="s">
        <v>679</v>
      </c>
      <c r="H12462" s="3063"/>
      <c r="I12462" s="3030"/>
    </row>
    <row r="12463" spans="2:9" ht="25.5">
      <c r="B12463" s="3192" t="s">
        <v>720</v>
      </c>
      <c r="C12463" s="3063"/>
      <c r="D12463" s="3064"/>
      <c r="E12463" s="3064"/>
      <c r="F12463" s="3064"/>
      <c r="G12463" s="3301" t="s">
        <v>720</v>
      </c>
      <c r="H12463" s="3063"/>
      <c r="I12463" s="3030"/>
    </row>
    <row r="12464" spans="2:9" ht="38.25">
      <c r="B12464" s="3299" t="s">
        <v>680</v>
      </c>
      <c r="C12464" s="3063"/>
      <c r="D12464" s="3064"/>
      <c r="E12464" s="3064"/>
      <c r="F12464" s="3064"/>
      <c r="G12464" s="3300" t="s">
        <v>680</v>
      </c>
      <c r="H12464" s="3063"/>
      <c r="I12464" s="3030"/>
    </row>
    <row r="12465" spans="2:9" ht="25.5">
      <c r="B12465" s="3192" t="s">
        <v>675</v>
      </c>
      <c r="C12465" s="3063"/>
      <c r="D12465" s="3064"/>
      <c r="E12465" s="3064"/>
      <c r="F12465" s="3064"/>
      <c r="G12465" s="3301" t="s">
        <v>675</v>
      </c>
      <c r="H12465" s="3063"/>
      <c r="I12465" s="3030"/>
    </row>
    <row r="12466" spans="2:9" ht="25.5">
      <c r="B12466" s="3192" t="s">
        <v>676</v>
      </c>
      <c r="C12466" s="3063"/>
      <c r="D12466" s="3064"/>
      <c r="E12466" s="3064"/>
      <c r="F12466" s="3064"/>
      <c r="G12466" s="3301" t="s">
        <v>676</v>
      </c>
      <c r="H12466" s="3063"/>
      <c r="I12466" s="3030"/>
    </row>
    <row r="12467" spans="2:9">
      <c r="B12467" s="3192" t="s">
        <v>677</v>
      </c>
      <c r="C12467" s="3063"/>
      <c r="D12467" s="3064"/>
      <c r="E12467" s="3064"/>
      <c r="F12467" s="3064"/>
      <c r="G12467" s="3301" t="s">
        <v>677</v>
      </c>
      <c r="H12467" s="3063"/>
      <c r="I12467" s="3030"/>
    </row>
    <row r="12468" spans="2:9">
      <c r="B12468" s="3192" t="s">
        <v>678</v>
      </c>
      <c r="C12468" s="3063"/>
      <c r="D12468" s="3064"/>
      <c r="E12468" s="3064"/>
      <c r="F12468" s="3064"/>
      <c r="G12468" s="3301" t="s">
        <v>678</v>
      </c>
      <c r="H12468" s="3063"/>
      <c r="I12468" s="3030"/>
    </row>
    <row r="12469" spans="2:9">
      <c r="B12469" s="3192" t="s">
        <v>679</v>
      </c>
      <c r="C12469" s="3063"/>
      <c r="D12469" s="3064"/>
      <c r="E12469" s="3064"/>
      <c r="F12469" s="3064"/>
      <c r="G12469" s="3301" t="s">
        <v>679</v>
      </c>
      <c r="H12469" s="3063"/>
      <c r="I12469" s="3030"/>
    </row>
    <row r="12470" spans="2:9" ht="25.5">
      <c r="B12470" s="3192" t="s">
        <v>720</v>
      </c>
      <c r="C12470" s="3063"/>
      <c r="D12470" s="3064"/>
      <c r="E12470" s="3064"/>
      <c r="F12470" s="3064"/>
      <c r="G12470" s="3301" t="s">
        <v>720</v>
      </c>
      <c r="H12470" s="3063"/>
      <c r="I12470" s="3030"/>
    </row>
    <row r="12471" spans="2:9" ht="38.25">
      <c r="B12471" s="3299" t="s">
        <v>681</v>
      </c>
      <c r="C12471" s="3063"/>
      <c r="D12471" s="3064"/>
      <c r="E12471" s="3064"/>
      <c r="F12471" s="3064"/>
      <c r="G12471" s="3300" t="s">
        <v>681</v>
      </c>
      <c r="H12471" s="3063"/>
      <c r="I12471" s="3030"/>
    </row>
    <row r="12472" spans="2:9" ht="25.5">
      <c r="B12472" s="3192" t="s">
        <v>675</v>
      </c>
      <c r="C12472" s="3063"/>
      <c r="D12472" s="3064"/>
      <c r="E12472" s="3064"/>
      <c r="F12472" s="3064"/>
      <c r="G12472" s="3301" t="s">
        <v>675</v>
      </c>
      <c r="H12472" s="3063"/>
      <c r="I12472" s="3030"/>
    </row>
    <row r="12473" spans="2:9" ht="25.5">
      <c r="B12473" s="3192" t="s">
        <v>676</v>
      </c>
      <c r="C12473" s="3063"/>
      <c r="D12473" s="3064"/>
      <c r="E12473" s="3064"/>
      <c r="F12473" s="3064"/>
      <c r="G12473" s="3301" t="s">
        <v>676</v>
      </c>
      <c r="H12473" s="3063"/>
      <c r="I12473" s="3030"/>
    </row>
    <row r="12474" spans="2:9">
      <c r="B12474" s="3192" t="s">
        <v>677</v>
      </c>
      <c r="C12474" s="3063"/>
      <c r="D12474" s="3064"/>
      <c r="E12474" s="3064"/>
      <c r="F12474" s="3064"/>
      <c r="G12474" s="3301" t="s">
        <v>677</v>
      </c>
      <c r="H12474" s="3063"/>
      <c r="I12474" s="3030"/>
    </row>
    <row r="12475" spans="2:9">
      <c r="B12475" s="3192" t="s">
        <v>678</v>
      </c>
      <c r="C12475" s="3063"/>
      <c r="D12475" s="3064"/>
      <c r="E12475" s="3064"/>
      <c r="F12475" s="3064"/>
      <c r="G12475" s="3301" t="s">
        <v>678</v>
      </c>
      <c r="H12475" s="3063"/>
      <c r="I12475" s="3030"/>
    </row>
    <row r="12476" spans="2:9">
      <c r="B12476" s="3192" t="s">
        <v>679</v>
      </c>
      <c r="C12476" s="3063"/>
      <c r="D12476" s="3064"/>
      <c r="E12476" s="3064"/>
      <c r="F12476" s="3064"/>
      <c r="G12476" s="3301" t="s">
        <v>679</v>
      </c>
      <c r="H12476" s="3063"/>
      <c r="I12476" s="3030"/>
    </row>
    <row r="12477" spans="2:9" ht="25.5">
      <c r="B12477" s="3192" t="s">
        <v>720</v>
      </c>
      <c r="C12477" s="3063"/>
      <c r="D12477" s="3064"/>
      <c r="E12477" s="3064"/>
      <c r="F12477" s="3064"/>
      <c r="G12477" s="3301" t="s">
        <v>720</v>
      </c>
      <c r="H12477" s="3063"/>
      <c r="I12477" s="3030"/>
    </row>
    <row r="12478" spans="2:9" ht="25.5">
      <c r="B12478" s="3299" t="s">
        <v>682</v>
      </c>
      <c r="C12478" s="3063"/>
      <c r="D12478" s="3064"/>
      <c r="E12478" s="3064"/>
      <c r="F12478" s="3064"/>
      <c r="G12478" s="3300" t="s">
        <v>682</v>
      </c>
      <c r="H12478" s="3063"/>
      <c r="I12478" s="3030"/>
    </row>
    <row r="12479" spans="2:9" ht="25.5">
      <c r="B12479" s="3192" t="s">
        <v>675</v>
      </c>
      <c r="C12479" s="3063"/>
      <c r="D12479" s="3064"/>
      <c r="E12479" s="3064"/>
      <c r="F12479" s="3064"/>
      <c r="G12479" s="3301" t="s">
        <v>675</v>
      </c>
      <c r="H12479" s="3063"/>
      <c r="I12479" s="3030"/>
    </row>
    <row r="12480" spans="2:9" ht="25.5">
      <c r="B12480" s="3192" t="s">
        <v>676</v>
      </c>
      <c r="C12480" s="3063"/>
      <c r="D12480" s="3064"/>
      <c r="E12480" s="3064"/>
      <c r="F12480" s="3064"/>
      <c r="G12480" s="3301" t="s">
        <v>676</v>
      </c>
      <c r="H12480" s="3063"/>
      <c r="I12480" s="3030"/>
    </row>
    <row r="12481" spans="2:9">
      <c r="B12481" s="3192" t="s">
        <v>677</v>
      </c>
      <c r="C12481" s="3063"/>
      <c r="D12481" s="3064"/>
      <c r="E12481" s="3064"/>
      <c r="F12481" s="3064"/>
      <c r="G12481" s="3301" t="s">
        <v>677</v>
      </c>
      <c r="H12481" s="3063"/>
      <c r="I12481" s="3030"/>
    </row>
    <row r="12482" spans="2:9">
      <c r="B12482" s="3192" t="s">
        <v>678</v>
      </c>
      <c r="C12482" s="3063"/>
      <c r="D12482" s="3064"/>
      <c r="E12482" s="3064"/>
      <c r="F12482" s="3064"/>
      <c r="G12482" s="3301" t="s">
        <v>678</v>
      </c>
      <c r="H12482" s="3063"/>
      <c r="I12482" s="3030"/>
    </row>
    <row r="12483" spans="2:9">
      <c r="B12483" s="3192" t="s">
        <v>679</v>
      </c>
      <c r="C12483" s="3063"/>
      <c r="D12483" s="3064"/>
      <c r="E12483" s="3064"/>
      <c r="F12483" s="3064"/>
      <c r="G12483" s="3301" t="s">
        <v>679</v>
      </c>
      <c r="H12483" s="3063"/>
      <c r="I12483" s="3030"/>
    </row>
    <row r="12484" spans="2:9" ht="25.5">
      <c r="B12484" s="3192" t="s">
        <v>720</v>
      </c>
      <c r="C12484" s="3063"/>
      <c r="D12484" s="3064"/>
      <c r="E12484" s="3064"/>
      <c r="F12484" s="3064"/>
      <c r="G12484" s="3301" t="s">
        <v>720</v>
      </c>
      <c r="H12484" s="3063"/>
      <c r="I12484" s="3030"/>
    </row>
    <row r="12485" spans="2:9" ht="25.5">
      <c r="B12485" s="3299" t="s">
        <v>66</v>
      </c>
      <c r="C12485" s="3063"/>
      <c r="D12485" s="3064"/>
      <c r="E12485" s="3064"/>
      <c r="F12485" s="3064"/>
      <c r="G12485" s="3300" t="s">
        <v>66</v>
      </c>
      <c r="H12485" s="3063"/>
      <c r="I12485" s="3030"/>
    </row>
    <row r="12486" spans="2:9" ht="25.5">
      <c r="B12486" s="3192" t="s">
        <v>675</v>
      </c>
      <c r="C12486" s="3063"/>
      <c r="D12486" s="3064"/>
      <c r="E12486" s="3064"/>
      <c r="F12486" s="3064"/>
      <c r="G12486" s="3301" t="s">
        <v>675</v>
      </c>
      <c r="H12486" s="3063"/>
      <c r="I12486" s="3030"/>
    </row>
    <row r="12487" spans="2:9" ht="25.5">
      <c r="B12487" s="3192" t="s">
        <v>676</v>
      </c>
      <c r="C12487" s="3063"/>
      <c r="D12487" s="3064"/>
      <c r="E12487" s="3064"/>
      <c r="F12487" s="3064"/>
      <c r="G12487" s="3301" t="s">
        <v>676</v>
      </c>
      <c r="H12487" s="3063"/>
      <c r="I12487" s="3030"/>
    </row>
    <row r="12488" spans="2:9">
      <c r="B12488" s="3192" t="s">
        <v>677</v>
      </c>
      <c r="C12488" s="3063"/>
      <c r="D12488" s="3064"/>
      <c r="E12488" s="3064"/>
      <c r="F12488" s="3064"/>
      <c r="G12488" s="3301" t="s">
        <v>677</v>
      </c>
      <c r="H12488" s="3063"/>
      <c r="I12488" s="3030"/>
    </row>
    <row r="12489" spans="2:9">
      <c r="B12489" s="3192" t="s">
        <v>678</v>
      </c>
      <c r="C12489" s="3063"/>
      <c r="D12489" s="3064"/>
      <c r="E12489" s="3064"/>
      <c r="F12489" s="3064"/>
      <c r="G12489" s="3301" t="s">
        <v>678</v>
      </c>
      <c r="H12489" s="3063"/>
      <c r="I12489" s="3030"/>
    </row>
    <row r="12490" spans="2:9">
      <c r="B12490" s="3192" t="s">
        <v>679</v>
      </c>
      <c r="C12490" s="3063"/>
      <c r="D12490" s="3064"/>
      <c r="E12490" s="3064"/>
      <c r="F12490" s="3064"/>
      <c r="G12490" s="3301" t="s">
        <v>679</v>
      </c>
      <c r="H12490" s="3063"/>
      <c r="I12490" s="3030"/>
    </row>
    <row r="12491" spans="2:9" ht="25.5">
      <c r="B12491" s="3192" t="s">
        <v>720</v>
      </c>
      <c r="C12491" s="3063"/>
      <c r="D12491" s="3064"/>
      <c r="E12491" s="3064"/>
      <c r="F12491" s="3064"/>
      <c r="G12491" s="3301" t="s">
        <v>720</v>
      </c>
      <c r="H12491" s="3063"/>
      <c r="I12491" s="3030"/>
    </row>
    <row r="12492" spans="2:9">
      <c r="B12492" s="3299" t="s">
        <v>67</v>
      </c>
      <c r="C12492" s="3063"/>
      <c r="D12492" s="3064"/>
      <c r="E12492" s="3064"/>
      <c r="F12492" s="3064"/>
      <c r="G12492" s="3300" t="s">
        <v>67</v>
      </c>
      <c r="H12492" s="3063"/>
      <c r="I12492" s="3030"/>
    </row>
    <row r="12493" spans="2:9" ht="25.5">
      <c r="B12493" s="3192" t="s">
        <v>675</v>
      </c>
      <c r="C12493" s="3063"/>
      <c r="D12493" s="3064"/>
      <c r="E12493" s="3064"/>
      <c r="F12493" s="3064"/>
      <c r="G12493" s="3301" t="s">
        <v>675</v>
      </c>
      <c r="H12493" s="3063"/>
      <c r="I12493" s="3030"/>
    </row>
    <row r="12494" spans="2:9" ht="25.5">
      <c r="B12494" s="3192" t="s">
        <v>676</v>
      </c>
      <c r="C12494" s="3063"/>
      <c r="D12494" s="3064"/>
      <c r="E12494" s="3064"/>
      <c r="F12494" s="3064"/>
      <c r="G12494" s="3301" t="s">
        <v>676</v>
      </c>
      <c r="H12494" s="3063"/>
      <c r="I12494" s="3030"/>
    </row>
    <row r="12495" spans="2:9">
      <c r="B12495" s="3192" t="s">
        <v>677</v>
      </c>
      <c r="C12495" s="3063"/>
      <c r="D12495" s="3064"/>
      <c r="E12495" s="3064"/>
      <c r="F12495" s="3064"/>
      <c r="G12495" s="3301" t="s">
        <v>677</v>
      </c>
      <c r="H12495" s="3063"/>
      <c r="I12495" s="3030"/>
    </row>
    <row r="12496" spans="2:9">
      <c r="B12496" s="3192" t="s">
        <v>678</v>
      </c>
      <c r="C12496" s="3063"/>
      <c r="D12496" s="3064"/>
      <c r="E12496" s="3064"/>
      <c r="F12496" s="3064"/>
      <c r="G12496" s="3301" t="s">
        <v>678</v>
      </c>
      <c r="H12496" s="3063"/>
      <c r="I12496" s="3030"/>
    </row>
    <row r="12497" spans="2:9">
      <c r="B12497" s="3192" t="s">
        <v>679</v>
      </c>
      <c r="C12497" s="3063"/>
      <c r="D12497" s="3064"/>
      <c r="E12497" s="3064"/>
      <c r="F12497" s="3064"/>
      <c r="G12497" s="3301" t="s">
        <v>679</v>
      </c>
      <c r="H12497" s="3063"/>
      <c r="I12497" s="3030"/>
    </row>
    <row r="12498" spans="2:9" ht="25.5">
      <c r="B12498" s="3230" t="s">
        <v>81</v>
      </c>
      <c r="C12498" s="3063"/>
      <c r="D12498" s="3064"/>
      <c r="E12498" s="3064"/>
      <c r="F12498" s="3064"/>
      <c r="G12498" s="3302" t="s">
        <v>81</v>
      </c>
      <c r="H12498" s="3063"/>
      <c r="I12498" s="3030"/>
    </row>
    <row r="12499" spans="2:9" ht="26.25" thickBot="1">
      <c r="B12499" s="3303" t="s">
        <v>81</v>
      </c>
      <c r="C12499" s="3063"/>
      <c r="D12499" s="3064"/>
      <c r="E12499" s="3064"/>
      <c r="F12499" s="3064"/>
      <c r="G12499" s="3302" t="s">
        <v>81</v>
      </c>
      <c r="H12499" s="3063"/>
      <c r="I12499" s="3030"/>
    </row>
    <row r="12500" spans="2:9">
      <c r="B12500" s="3217" t="s">
        <v>697</v>
      </c>
      <c r="C12500" s="3218"/>
      <c r="D12500" s="3219"/>
      <c r="E12500" s="3219"/>
      <c r="F12500" s="3219"/>
      <c r="G12500" s="3217" t="s">
        <v>697</v>
      </c>
      <c r="H12500" s="3297"/>
      <c r="I12500" s="3298"/>
    </row>
    <row r="12501" spans="2:9">
      <c r="B12501" s="3299" t="s">
        <v>64</v>
      </c>
      <c r="C12501" s="3063"/>
      <c r="D12501" s="3064"/>
      <c r="E12501" s="3064"/>
      <c r="F12501" s="3064"/>
      <c r="G12501" s="3300" t="s">
        <v>64</v>
      </c>
      <c r="H12501" s="3063"/>
      <c r="I12501" s="3030"/>
    </row>
    <row r="12502" spans="2:9" ht="25.5">
      <c r="B12502" s="3192" t="s">
        <v>675</v>
      </c>
      <c r="C12502" s="3063"/>
      <c r="D12502" s="3064"/>
      <c r="E12502" s="3064"/>
      <c r="F12502" s="3064"/>
      <c r="G12502" s="3301" t="s">
        <v>675</v>
      </c>
      <c r="H12502" s="3063"/>
      <c r="I12502" s="3030"/>
    </row>
    <row r="12503" spans="2:9" ht="25.5">
      <c r="B12503" s="3192" t="s">
        <v>676</v>
      </c>
      <c r="C12503" s="3063"/>
      <c r="D12503" s="3064"/>
      <c r="E12503" s="3064"/>
      <c r="F12503" s="3064"/>
      <c r="G12503" s="3301" t="s">
        <v>676</v>
      </c>
      <c r="H12503" s="3063"/>
      <c r="I12503" s="3030"/>
    </row>
    <row r="12504" spans="2:9">
      <c r="B12504" s="3192" t="s">
        <v>677</v>
      </c>
      <c r="C12504" s="3063"/>
      <c r="D12504" s="3064"/>
      <c r="E12504" s="3064"/>
      <c r="F12504" s="3064"/>
      <c r="G12504" s="3301" t="s">
        <v>677</v>
      </c>
      <c r="H12504" s="3063"/>
      <c r="I12504" s="3030"/>
    </row>
    <row r="12505" spans="2:9">
      <c r="B12505" s="3192" t="s">
        <v>678</v>
      </c>
      <c r="C12505" s="3063"/>
      <c r="D12505" s="3064"/>
      <c r="E12505" s="3064"/>
      <c r="F12505" s="3064"/>
      <c r="G12505" s="3301" t="s">
        <v>678</v>
      </c>
      <c r="H12505" s="3063"/>
      <c r="I12505" s="3030"/>
    </row>
    <row r="12506" spans="2:9">
      <c r="B12506" s="3192" t="s">
        <v>679</v>
      </c>
      <c r="C12506" s="3063"/>
      <c r="D12506" s="3064"/>
      <c r="E12506" s="3064"/>
      <c r="F12506" s="3064"/>
      <c r="G12506" s="3301" t="s">
        <v>679</v>
      </c>
      <c r="H12506" s="3063"/>
      <c r="I12506" s="3030"/>
    </row>
    <row r="12507" spans="2:9" ht="25.5">
      <c r="B12507" s="3192" t="s">
        <v>720</v>
      </c>
      <c r="C12507" s="3063"/>
      <c r="D12507" s="3064"/>
      <c r="E12507" s="3064"/>
      <c r="F12507" s="3064"/>
      <c r="G12507" s="3301" t="s">
        <v>720</v>
      </c>
      <c r="H12507" s="3063"/>
      <c r="I12507" s="3030"/>
    </row>
    <row r="12508" spans="2:9">
      <c r="B12508" s="3299" t="s">
        <v>65</v>
      </c>
      <c r="C12508" s="3063"/>
      <c r="D12508" s="3064"/>
      <c r="E12508" s="3064"/>
      <c r="F12508" s="3064"/>
      <c r="G12508" s="3300" t="s">
        <v>65</v>
      </c>
      <c r="H12508" s="3063"/>
      <c r="I12508" s="3030"/>
    </row>
    <row r="12509" spans="2:9" ht="25.5">
      <c r="B12509" s="3192" t="s">
        <v>675</v>
      </c>
      <c r="C12509" s="3063"/>
      <c r="D12509" s="3064"/>
      <c r="E12509" s="3064"/>
      <c r="F12509" s="3064"/>
      <c r="G12509" s="3301" t="s">
        <v>675</v>
      </c>
      <c r="H12509" s="3063"/>
      <c r="I12509" s="3030"/>
    </row>
    <row r="12510" spans="2:9" ht="25.5">
      <c r="B12510" s="3192" t="s">
        <v>676</v>
      </c>
      <c r="C12510" s="3063"/>
      <c r="D12510" s="3064"/>
      <c r="E12510" s="3064"/>
      <c r="F12510" s="3064"/>
      <c r="G12510" s="3301" t="s">
        <v>676</v>
      </c>
      <c r="H12510" s="3063"/>
      <c r="I12510" s="3030"/>
    </row>
    <row r="12511" spans="2:9">
      <c r="B12511" s="3192" t="s">
        <v>677</v>
      </c>
      <c r="C12511" s="3063"/>
      <c r="D12511" s="3064"/>
      <c r="E12511" s="3064"/>
      <c r="F12511" s="3064"/>
      <c r="G12511" s="3301" t="s">
        <v>677</v>
      </c>
      <c r="H12511" s="3063"/>
      <c r="I12511" s="3030"/>
    </row>
    <row r="12512" spans="2:9">
      <c r="B12512" s="3192" t="s">
        <v>678</v>
      </c>
      <c r="C12512" s="3063"/>
      <c r="D12512" s="3064"/>
      <c r="E12512" s="3064"/>
      <c r="F12512" s="3064"/>
      <c r="G12512" s="3301" t="s">
        <v>678</v>
      </c>
      <c r="H12512" s="3063"/>
      <c r="I12512" s="3030"/>
    </row>
    <row r="12513" spans="2:9">
      <c r="B12513" s="3192" t="s">
        <v>679</v>
      </c>
      <c r="C12513" s="3063"/>
      <c r="D12513" s="3064"/>
      <c r="E12513" s="3064"/>
      <c r="F12513" s="3064"/>
      <c r="G12513" s="3301" t="s">
        <v>679</v>
      </c>
      <c r="H12513" s="3063"/>
      <c r="I12513" s="3030"/>
    </row>
    <row r="12514" spans="2:9" ht="25.5">
      <c r="B12514" s="3192" t="s">
        <v>720</v>
      </c>
      <c r="C12514" s="3063"/>
      <c r="D12514" s="3064"/>
      <c r="E12514" s="3064"/>
      <c r="F12514" s="3064"/>
      <c r="G12514" s="3301" t="s">
        <v>720</v>
      </c>
      <c r="H12514" s="3063"/>
      <c r="I12514" s="3030"/>
    </row>
    <row r="12515" spans="2:9">
      <c r="B12515" s="3299" t="s">
        <v>82</v>
      </c>
      <c r="C12515" s="3063"/>
      <c r="D12515" s="3064"/>
      <c r="E12515" s="3064"/>
      <c r="F12515" s="3064"/>
      <c r="G12515" s="3300" t="s">
        <v>82</v>
      </c>
      <c r="H12515" s="3063"/>
      <c r="I12515" s="3030"/>
    </row>
    <row r="12516" spans="2:9" ht="25.5">
      <c r="B12516" s="3192" t="s">
        <v>675</v>
      </c>
      <c r="C12516" s="3063"/>
      <c r="D12516" s="3064"/>
      <c r="E12516" s="3064"/>
      <c r="F12516" s="3064"/>
      <c r="G12516" s="3301" t="s">
        <v>675</v>
      </c>
      <c r="H12516" s="3063"/>
      <c r="I12516" s="3030"/>
    </row>
    <row r="12517" spans="2:9" ht="25.5">
      <c r="B12517" s="3192" t="s">
        <v>676</v>
      </c>
      <c r="C12517" s="3063"/>
      <c r="D12517" s="3064"/>
      <c r="E12517" s="3064"/>
      <c r="F12517" s="3064"/>
      <c r="G12517" s="3301" t="s">
        <v>676</v>
      </c>
      <c r="H12517" s="3063"/>
      <c r="I12517" s="3030"/>
    </row>
    <row r="12518" spans="2:9">
      <c r="B12518" s="3192" t="s">
        <v>677</v>
      </c>
      <c r="C12518" s="3063"/>
      <c r="D12518" s="3064"/>
      <c r="E12518" s="3064"/>
      <c r="F12518" s="3064"/>
      <c r="G12518" s="3301" t="s">
        <v>677</v>
      </c>
      <c r="H12518" s="3063"/>
      <c r="I12518" s="3030"/>
    </row>
    <row r="12519" spans="2:9">
      <c r="B12519" s="3192" t="s">
        <v>678</v>
      </c>
      <c r="C12519" s="3063"/>
      <c r="D12519" s="3064"/>
      <c r="E12519" s="3064"/>
      <c r="F12519" s="3064"/>
      <c r="G12519" s="3301" t="s">
        <v>678</v>
      </c>
      <c r="H12519" s="3063"/>
      <c r="I12519" s="3030"/>
    </row>
    <row r="12520" spans="2:9">
      <c r="B12520" s="3192" t="s">
        <v>679</v>
      </c>
      <c r="C12520" s="3063"/>
      <c r="D12520" s="3064"/>
      <c r="E12520" s="3064"/>
      <c r="F12520" s="3064"/>
      <c r="G12520" s="3301" t="s">
        <v>679</v>
      </c>
      <c r="H12520" s="3063"/>
      <c r="I12520" s="3030"/>
    </row>
    <row r="12521" spans="2:9" ht="25.5">
      <c r="B12521" s="3192" t="s">
        <v>720</v>
      </c>
      <c r="C12521" s="3063"/>
      <c r="D12521" s="3064"/>
      <c r="E12521" s="3064"/>
      <c r="F12521" s="3064"/>
      <c r="G12521" s="3301" t="s">
        <v>720</v>
      </c>
      <c r="H12521" s="3063"/>
      <c r="I12521" s="3030"/>
    </row>
    <row r="12522" spans="2:9" ht="38.25">
      <c r="B12522" s="3299" t="s">
        <v>680</v>
      </c>
      <c r="C12522" s="3063"/>
      <c r="D12522" s="3064"/>
      <c r="E12522" s="3064"/>
      <c r="F12522" s="3064"/>
      <c r="G12522" s="3300" t="s">
        <v>680</v>
      </c>
      <c r="H12522" s="3063"/>
      <c r="I12522" s="3030"/>
    </row>
    <row r="12523" spans="2:9" ht="25.5">
      <c r="B12523" s="3192" t="s">
        <v>675</v>
      </c>
      <c r="C12523" s="3063"/>
      <c r="D12523" s="3064"/>
      <c r="E12523" s="3064"/>
      <c r="F12523" s="3064"/>
      <c r="G12523" s="3301" t="s">
        <v>675</v>
      </c>
      <c r="H12523" s="3063"/>
      <c r="I12523" s="3030"/>
    </row>
    <row r="12524" spans="2:9" ht="25.5">
      <c r="B12524" s="3192" t="s">
        <v>676</v>
      </c>
      <c r="C12524" s="3063"/>
      <c r="D12524" s="3064"/>
      <c r="E12524" s="3064"/>
      <c r="F12524" s="3064"/>
      <c r="G12524" s="3301" t="s">
        <v>676</v>
      </c>
      <c r="H12524" s="3063"/>
      <c r="I12524" s="3030"/>
    </row>
    <row r="12525" spans="2:9">
      <c r="B12525" s="3192" t="s">
        <v>677</v>
      </c>
      <c r="C12525" s="3063"/>
      <c r="D12525" s="3064"/>
      <c r="E12525" s="3064"/>
      <c r="F12525" s="3064"/>
      <c r="G12525" s="3301" t="s">
        <v>677</v>
      </c>
      <c r="H12525" s="3063"/>
      <c r="I12525" s="3030"/>
    </row>
    <row r="12526" spans="2:9">
      <c r="B12526" s="3192" t="s">
        <v>678</v>
      </c>
      <c r="C12526" s="3063"/>
      <c r="D12526" s="3064"/>
      <c r="E12526" s="3064"/>
      <c r="F12526" s="3064"/>
      <c r="G12526" s="3301" t="s">
        <v>678</v>
      </c>
      <c r="H12526" s="3063"/>
      <c r="I12526" s="3030"/>
    </row>
    <row r="12527" spans="2:9">
      <c r="B12527" s="3192" t="s">
        <v>679</v>
      </c>
      <c r="C12527" s="3063"/>
      <c r="D12527" s="3064"/>
      <c r="E12527" s="3064"/>
      <c r="F12527" s="3064"/>
      <c r="G12527" s="3301" t="s">
        <v>679</v>
      </c>
      <c r="H12527" s="3063"/>
      <c r="I12527" s="3030"/>
    </row>
    <row r="12528" spans="2:9" ht="25.5">
      <c r="B12528" s="3192" t="s">
        <v>720</v>
      </c>
      <c r="C12528" s="3063"/>
      <c r="D12528" s="3064"/>
      <c r="E12528" s="3064"/>
      <c r="F12528" s="3064"/>
      <c r="G12528" s="3301" t="s">
        <v>720</v>
      </c>
      <c r="H12528" s="3063"/>
      <c r="I12528" s="3030"/>
    </row>
    <row r="12529" spans="2:9" ht="38.25">
      <c r="B12529" s="3299" t="s">
        <v>681</v>
      </c>
      <c r="C12529" s="3063"/>
      <c r="D12529" s="3064"/>
      <c r="E12529" s="3064"/>
      <c r="F12529" s="3064"/>
      <c r="G12529" s="3300" t="s">
        <v>681</v>
      </c>
      <c r="H12529" s="3063">
        <v>6.3490719773126481E-2</v>
      </c>
      <c r="I12529" s="3030"/>
    </row>
    <row r="12530" spans="2:9" ht="25.5">
      <c r="B12530" s="3192" t="s">
        <v>675</v>
      </c>
      <c r="C12530" s="3063"/>
      <c r="D12530" s="3064">
        <v>1</v>
      </c>
      <c r="E12530" s="3064"/>
      <c r="F12530" s="3064"/>
      <c r="G12530" s="3301" t="s">
        <v>675</v>
      </c>
      <c r="H12530" s="3063"/>
      <c r="I12530" s="3030">
        <v>6.3490719773126481E-2</v>
      </c>
    </row>
    <row r="12531" spans="2:9" ht="25.5">
      <c r="B12531" s="3192" t="s">
        <v>676</v>
      </c>
      <c r="C12531" s="3063"/>
      <c r="D12531" s="3064"/>
      <c r="E12531" s="3064"/>
      <c r="F12531" s="3064"/>
      <c r="G12531" s="3301" t="s">
        <v>676</v>
      </c>
      <c r="H12531" s="3063"/>
      <c r="I12531" s="3030"/>
    </row>
    <row r="12532" spans="2:9">
      <c r="B12532" s="3192" t="s">
        <v>677</v>
      </c>
      <c r="C12532" s="3063"/>
      <c r="D12532" s="3064"/>
      <c r="E12532" s="3064"/>
      <c r="F12532" s="3064"/>
      <c r="G12532" s="3301" t="s">
        <v>677</v>
      </c>
      <c r="H12532" s="3063"/>
      <c r="I12532" s="3030"/>
    </row>
    <row r="12533" spans="2:9">
      <c r="B12533" s="3192" t="s">
        <v>678</v>
      </c>
      <c r="C12533" s="3063"/>
      <c r="D12533" s="3064"/>
      <c r="E12533" s="3064"/>
      <c r="F12533" s="3064"/>
      <c r="G12533" s="3301" t="s">
        <v>678</v>
      </c>
      <c r="H12533" s="3063"/>
      <c r="I12533" s="3030"/>
    </row>
    <row r="12534" spans="2:9">
      <c r="B12534" s="3192" t="s">
        <v>679</v>
      </c>
      <c r="C12534" s="3063"/>
      <c r="D12534" s="3064"/>
      <c r="E12534" s="3064"/>
      <c r="F12534" s="3064"/>
      <c r="G12534" s="3301" t="s">
        <v>679</v>
      </c>
      <c r="H12534" s="3063"/>
      <c r="I12534" s="3030"/>
    </row>
    <row r="12535" spans="2:9" ht="25.5">
      <c r="B12535" s="3192" t="s">
        <v>720</v>
      </c>
      <c r="C12535" s="3063"/>
      <c r="D12535" s="3064"/>
      <c r="E12535" s="3064"/>
      <c r="F12535" s="3064"/>
      <c r="G12535" s="3301" t="s">
        <v>720</v>
      </c>
      <c r="H12535" s="3063"/>
      <c r="I12535" s="3030"/>
    </row>
    <row r="12536" spans="2:9" ht="25.5">
      <c r="B12536" s="3299" t="s">
        <v>682</v>
      </c>
      <c r="C12536" s="3063"/>
      <c r="D12536" s="3064"/>
      <c r="E12536" s="3064"/>
      <c r="F12536" s="3064"/>
      <c r="G12536" s="3300" t="s">
        <v>682</v>
      </c>
      <c r="H12536" s="3063"/>
      <c r="I12536" s="3030"/>
    </row>
    <row r="12537" spans="2:9" ht="25.5">
      <c r="B12537" s="3192" t="s">
        <v>675</v>
      </c>
      <c r="C12537" s="3063"/>
      <c r="D12537" s="3064"/>
      <c r="E12537" s="3064"/>
      <c r="F12537" s="3064"/>
      <c r="G12537" s="3301" t="s">
        <v>675</v>
      </c>
      <c r="H12537" s="3063"/>
      <c r="I12537" s="3030"/>
    </row>
    <row r="12538" spans="2:9" ht="25.5">
      <c r="B12538" s="3192" t="s">
        <v>676</v>
      </c>
      <c r="C12538" s="3063"/>
      <c r="D12538" s="3064"/>
      <c r="E12538" s="3064"/>
      <c r="F12538" s="3064"/>
      <c r="G12538" s="3301" t="s">
        <v>676</v>
      </c>
      <c r="H12538" s="3063"/>
      <c r="I12538" s="3030"/>
    </row>
    <row r="12539" spans="2:9">
      <c r="B12539" s="3192" t="s">
        <v>677</v>
      </c>
      <c r="C12539" s="3063"/>
      <c r="D12539" s="3064"/>
      <c r="E12539" s="3064"/>
      <c r="F12539" s="3064"/>
      <c r="G12539" s="3301" t="s">
        <v>677</v>
      </c>
      <c r="H12539" s="3063"/>
      <c r="I12539" s="3030"/>
    </row>
    <row r="12540" spans="2:9">
      <c r="B12540" s="3192" t="s">
        <v>678</v>
      </c>
      <c r="C12540" s="3063"/>
      <c r="D12540" s="3064"/>
      <c r="E12540" s="3064"/>
      <c r="F12540" s="3064"/>
      <c r="G12540" s="3301" t="s">
        <v>678</v>
      </c>
      <c r="H12540" s="3063"/>
      <c r="I12540" s="3030"/>
    </row>
    <row r="12541" spans="2:9">
      <c r="B12541" s="3192" t="s">
        <v>679</v>
      </c>
      <c r="C12541" s="3063"/>
      <c r="D12541" s="3064"/>
      <c r="E12541" s="3064"/>
      <c r="F12541" s="3064"/>
      <c r="G12541" s="3301" t="s">
        <v>679</v>
      </c>
      <c r="H12541" s="3063"/>
      <c r="I12541" s="3030"/>
    </row>
    <row r="12542" spans="2:9" ht="25.5">
      <c r="B12542" s="3192" t="s">
        <v>720</v>
      </c>
      <c r="C12542" s="3063"/>
      <c r="D12542" s="3064"/>
      <c r="E12542" s="3064"/>
      <c r="F12542" s="3064"/>
      <c r="G12542" s="3301" t="s">
        <v>720</v>
      </c>
      <c r="H12542" s="3063"/>
      <c r="I12542" s="3030"/>
    </row>
    <row r="12543" spans="2:9" ht="25.5">
      <c r="B12543" s="3299" t="s">
        <v>66</v>
      </c>
      <c r="C12543" s="3063"/>
      <c r="D12543" s="3064"/>
      <c r="E12543" s="3064"/>
      <c r="F12543" s="3064"/>
      <c r="G12543" s="3300" t="s">
        <v>66</v>
      </c>
      <c r="H12543" s="3063"/>
      <c r="I12543" s="3030"/>
    </row>
    <row r="12544" spans="2:9" ht="25.5">
      <c r="B12544" s="3192" t="s">
        <v>675</v>
      </c>
      <c r="C12544" s="3063"/>
      <c r="D12544" s="3064"/>
      <c r="E12544" s="3064"/>
      <c r="F12544" s="3064"/>
      <c r="G12544" s="3301" t="s">
        <v>675</v>
      </c>
      <c r="H12544" s="3063"/>
      <c r="I12544" s="3030"/>
    </row>
    <row r="12545" spans="2:9" ht="25.5">
      <c r="B12545" s="3192" t="s">
        <v>676</v>
      </c>
      <c r="C12545" s="3063"/>
      <c r="D12545" s="3064"/>
      <c r="E12545" s="3064"/>
      <c r="F12545" s="3064"/>
      <c r="G12545" s="3301" t="s">
        <v>676</v>
      </c>
      <c r="H12545" s="3063"/>
      <c r="I12545" s="3030"/>
    </row>
    <row r="12546" spans="2:9">
      <c r="B12546" s="3192" t="s">
        <v>677</v>
      </c>
      <c r="C12546" s="3063"/>
      <c r="D12546" s="3064"/>
      <c r="E12546" s="3064"/>
      <c r="F12546" s="3064"/>
      <c r="G12546" s="3301" t="s">
        <v>677</v>
      </c>
      <c r="H12546" s="3063"/>
      <c r="I12546" s="3030"/>
    </row>
    <row r="12547" spans="2:9">
      <c r="B12547" s="3192" t="s">
        <v>678</v>
      </c>
      <c r="C12547" s="3063"/>
      <c r="D12547" s="3064"/>
      <c r="E12547" s="3064"/>
      <c r="F12547" s="3064"/>
      <c r="G12547" s="3301" t="s">
        <v>678</v>
      </c>
      <c r="H12547" s="3063"/>
      <c r="I12547" s="3030"/>
    </row>
    <row r="12548" spans="2:9">
      <c r="B12548" s="3192" t="s">
        <v>679</v>
      </c>
      <c r="C12548" s="3063"/>
      <c r="D12548" s="3064"/>
      <c r="E12548" s="3064"/>
      <c r="F12548" s="3064"/>
      <c r="G12548" s="3301" t="s">
        <v>679</v>
      </c>
      <c r="H12548" s="3063"/>
      <c r="I12548" s="3030"/>
    </row>
    <row r="12549" spans="2:9" ht="25.5">
      <c r="B12549" s="3192" t="s">
        <v>720</v>
      </c>
      <c r="C12549" s="3063"/>
      <c r="D12549" s="3064"/>
      <c r="E12549" s="3064"/>
      <c r="F12549" s="3064"/>
      <c r="G12549" s="3301" t="s">
        <v>720</v>
      </c>
      <c r="H12549" s="3063"/>
      <c r="I12549" s="3030"/>
    </row>
    <row r="12550" spans="2:9">
      <c r="B12550" s="3299" t="s">
        <v>67</v>
      </c>
      <c r="C12550" s="3063"/>
      <c r="D12550" s="3064"/>
      <c r="E12550" s="3064"/>
      <c r="F12550" s="3064"/>
      <c r="G12550" s="3300" t="s">
        <v>67</v>
      </c>
      <c r="H12550" s="3063"/>
      <c r="I12550" s="3030"/>
    </row>
    <row r="12551" spans="2:9" ht="25.5">
      <c r="B12551" s="3192" t="s">
        <v>675</v>
      </c>
      <c r="C12551" s="3063"/>
      <c r="D12551" s="3064"/>
      <c r="E12551" s="3064"/>
      <c r="F12551" s="3064"/>
      <c r="G12551" s="3301" t="s">
        <v>675</v>
      </c>
      <c r="H12551" s="3063"/>
      <c r="I12551" s="3030"/>
    </row>
    <row r="12552" spans="2:9" ht="25.5">
      <c r="B12552" s="3192" t="s">
        <v>676</v>
      </c>
      <c r="C12552" s="3063"/>
      <c r="D12552" s="3064"/>
      <c r="E12552" s="3064"/>
      <c r="F12552" s="3064"/>
      <c r="G12552" s="3301" t="s">
        <v>676</v>
      </c>
      <c r="H12552" s="3063"/>
      <c r="I12552" s="3030"/>
    </row>
    <row r="12553" spans="2:9">
      <c r="B12553" s="3192" t="s">
        <v>677</v>
      </c>
      <c r="C12553" s="3063"/>
      <c r="D12553" s="3064"/>
      <c r="E12553" s="3064"/>
      <c r="F12553" s="3064"/>
      <c r="G12553" s="3301" t="s">
        <v>677</v>
      </c>
      <c r="H12553" s="3063"/>
      <c r="I12553" s="3030"/>
    </row>
    <row r="12554" spans="2:9">
      <c r="B12554" s="3192" t="s">
        <v>678</v>
      </c>
      <c r="C12554" s="3063"/>
      <c r="D12554" s="3064"/>
      <c r="E12554" s="3064"/>
      <c r="F12554" s="3064"/>
      <c r="G12554" s="3301" t="s">
        <v>678</v>
      </c>
      <c r="H12554" s="3063"/>
      <c r="I12554" s="3030"/>
    </row>
    <row r="12555" spans="2:9">
      <c r="B12555" s="3192" t="s">
        <v>679</v>
      </c>
      <c r="C12555" s="3063"/>
      <c r="D12555" s="3064"/>
      <c r="E12555" s="3064"/>
      <c r="F12555" s="3064"/>
      <c r="G12555" s="3301" t="s">
        <v>679</v>
      </c>
      <c r="H12555" s="3063"/>
      <c r="I12555" s="3030"/>
    </row>
    <row r="12556" spans="2:9" ht="25.5">
      <c r="B12556" s="3230" t="s">
        <v>81</v>
      </c>
      <c r="C12556" s="3063"/>
      <c r="D12556" s="3064"/>
      <c r="E12556" s="3064"/>
      <c r="F12556" s="3064"/>
      <c r="G12556" s="3302" t="s">
        <v>81</v>
      </c>
      <c r="H12556" s="3063"/>
      <c r="I12556" s="3030"/>
    </row>
    <row r="12557" spans="2:9" ht="26.25" thickBot="1">
      <c r="B12557" s="3303" t="s">
        <v>81</v>
      </c>
      <c r="C12557" s="3068"/>
      <c r="D12557" s="3069"/>
      <c r="E12557" s="3069"/>
      <c r="F12557" s="3069"/>
      <c r="G12557" s="3304" t="s">
        <v>81</v>
      </c>
      <c r="H12557" s="3068"/>
      <c r="I12557" s="3070"/>
    </row>
    <row r="12558" spans="2:9" ht="38.25">
      <c r="B12558" s="4723">
        <v>3335</v>
      </c>
      <c r="C12558" s="3289"/>
      <c r="D12558" s="3290"/>
      <c r="E12558" s="3290"/>
      <c r="F12558" s="3290"/>
      <c r="G12558" s="4723">
        <v>3335</v>
      </c>
      <c r="H12558" s="3291" t="s">
        <v>687</v>
      </c>
      <c r="I12558" s="3292" t="s">
        <v>688</v>
      </c>
    </row>
    <row r="12559" spans="2:9">
      <c r="B12559" s="4724"/>
      <c r="C12559" s="4678" t="s">
        <v>686</v>
      </c>
      <c r="D12559" s="4725"/>
      <c r="E12559" s="4725"/>
      <c r="F12559" s="4726"/>
      <c r="G12559" s="4724"/>
      <c r="H12559" s="3293"/>
      <c r="I12559" s="3294"/>
    </row>
    <row r="12560" spans="2:9" ht="13.5" thickBot="1">
      <c r="B12560" s="4724"/>
      <c r="C12560" s="3215">
        <v>2013</v>
      </c>
      <c r="D12560" s="3215">
        <v>2014</v>
      </c>
      <c r="E12560" s="3215">
        <v>2015</v>
      </c>
      <c r="F12560" s="3215">
        <v>2016</v>
      </c>
      <c r="G12560" s="4724"/>
      <c r="H12560" s="3295" t="s">
        <v>390</v>
      </c>
      <c r="I12560" s="3296" t="s">
        <v>390</v>
      </c>
    </row>
    <row r="12561" spans="2:9">
      <c r="B12561" s="3217" t="s">
        <v>695</v>
      </c>
      <c r="C12561" s="3218"/>
      <c r="D12561" s="3219"/>
      <c r="E12561" s="3219"/>
      <c r="F12561" s="3219"/>
      <c r="G12561" s="3217" t="s">
        <v>695</v>
      </c>
      <c r="H12561" s="3297"/>
      <c r="I12561" s="3298"/>
    </row>
    <row r="12562" spans="2:9">
      <c r="B12562" s="3299" t="s">
        <v>64</v>
      </c>
      <c r="C12562" s="3063"/>
      <c r="D12562" s="3064"/>
      <c r="E12562" s="3064"/>
      <c r="F12562" s="3064"/>
      <c r="G12562" s="3300" t="s">
        <v>64</v>
      </c>
      <c r="H12562" s="3063"/>
      <c r="I12562" s="3030"/>
    </row>
    <row r="12563" spans="2:9" ht="25.5">
      <c r="B12563" s="3192" t="s">
        <v>675</v>
      </c>
      <c r="C12563" s="3063"/>
      <c r="D12563" s="3064"/>
      <c r="E12563" s="3064"/>
      <c r="F12563" s="3064"/>
      <c r="G12563" s="3301" t="s">
        <v>675</v>
      </c>
      <c r="H12563" s="3063"/>
      <c r="I12563" s="3030"/>
    </row>
    <row r="12564" spans="2:9" ht="25.5">
      <c r="B12564" s="3192" t="s">
        <v>676</v>
      </c>
      <c r="C12564" s="3063"/>
      <c r="D12564" s="3064"/>
      <c r="E12564" s="3064"/>
      <c r="F12564" s="3064"/>
      <c r="G12564" s="3301" t="s">
        <v>676</v>
      </c>
      <c r="H12564" s="3063"/>
      <c r="I12564" s="3030"/>
    </row>
    <row r="12565" spans="2:9">
      <c r="B12565" s="3192" t="s">
        <v>677</v>
      </c>
      <c r="C12565" s="3063"/>
      <c r="D12565" s="3064"/>
      <c r="E12565" s="3064"/>
      <c r="F12565" s="3064"/>
      <c r="G12565" s="3301" t="s">
        <v>677</v>
      </c>
      <c r="H12565" s="3063"/>
      <c r="I12565" s="3030"/>
    </row>
    <row r="12566" spans="2:9">
      <c r="B12566" s="3192" t="s">
        <v>678</v>
      </c>
      <c r="C12566" s="3063"/>
      <c r="D12566" s="3064"/>
      <c r="E12566" s="3064"/>
      <c r="F12566" s="3064"/>
      <c r="G12566" s="3301" t="s">
        <v>678</v>
      </c>
      <c r="H12566" s="3063"/>
      <c r="I12566" s="3030"/>
    </row>
    <row r="12567" spans="2:9">
      <c r="B12567" s="3192" t="s">
        <v>679</v>
      </c>
      <c r="C12567" s="3063"/>
      <c r="D12567" s="3064"/>
      <c r="E12567" s="3064"/>
      <c r="F12567" s="3064"/>
      <c r="G12567" s="3301" t="s">
        <v>679</v>
      </c>
      <c r="H12567" s="3063"/>
      <c r="I12567" s="3030"/>
    </row>
    <row r="12568" spans="2:9" ht="25.5">
      <c r="B12568" s="3192" t="s">
        <v>720</v>
      </c>
      <c r="C12568" s="3063"/>
      <c r="D12568" s="3064"/>
      <c r="E12568" s="3064"/>
      <c r="F12568" s="3064"/>
      <c r="G12568" s="3301" t="s">
        <v>720</v>
      </c>
      <c r="H12568" s="3063"/>
      <c r="I12568" s="3030"/>
    </row>
    <row r="12569" spans="2:9">
      <c r="B12569" s="3299" t="s">
        <v>65</v>
      </c>
      <c r="C12569" s="3063"/>
      <c r="D12569" s="3064"/>
      <c r="E12569" s="3064"/>
      <c r="F12569" s="3064"/>
      <c r="G12569" s="3300" t="s">
        <v>65</v>
      </c>
      <c r="H12569" s="3063"/>
      <c r="I12569" s="3030"/>
    </row>
    <row r="12570" spans="2:9" ht="25.5">
      <c r="B12570" s="3192" t="s">
        <v>675</v>
      </c>
      <c r="C12570" s="3063"/>
      <c r="D12570" s="3064"/>
      <c r="E12570" s="3064"/>
      <c r="F12570" s="3064"/>
      <c r="G12570" s="3301" t="s">
        <v>675</v>
      </c>
      <c r="H12570" s="3063"/>
      <c r="I12570" s="3030"/>
    </row>
    <row r="12571" spans="2:9" ht="25.5">
      <c r="B12571" s="3192" t="s">
        <v>676</v>
      </c>
      <c r="C12571" s="3063"/>
      <c r="D12571" s="3064"/>
      <c r="E12571" s="3064"/>
      <c r="F12571" s="3064"/>
      <c r="G12571" s="3301" t="s">
        <v>676</v>
      </c>
      <c r="H12571" s="3063"/>
      <c r="I12571" s="3030"/>
    </row>
    <row r="12572" spans="2:9">
      <c r="B12572" s="3192" t="s">
        <v>677</v>
      </c>
      <c r="C12572" s="3063"/>
      <c r="D12572" s="3064"/>
      <c r="E12572" s="3064"/>
      <c r="F12572" s="3064"/>
      <c r="G12572" s="3301" t="s">
        <v>677</v>
      </c>
      <c r="H12572" s="3063"/>
      <c r="I12572" s="3030"/>
    </row>
    <row r="12573" spans="2:9">
      <c r="B12573" s="3192" t="s">
        <v>678</v>
      </c>
      <c r="C12573" s="3063"/>
      <c r="D12573" s="3064"/>
      <c r="E12573" s="3064"/>
      <c r="F12573" s="3064"/>
      <c r="G12573" s="3301" t="s">
        <v>678</v>
      </c>
      <c r="H12573" s="3063"/>
      <c r="I12573" s="3030"/>
    </row>
    <row r="12574" spans="2:9">
      <c r="B12574" s="3192" t="s">
        <v>679</v>
      </c>
      <c r="C12574" s="3063"/>
      <c r="D12574" s="3064"/>
      <c r="E12574" s="3064"/>
      <c r="F12574" s="3064"/>
      <c r="G12574" s="3301" t="s">
        <v>679</v>
      </c>
      <c r="H12574" s="3063"/>
      <c r="I12574" s="3030"/>
    </row>
    <row r="12575" spans="2:9" ht="25.5">
      <c r="B12575" s="3192" t="s">
        <v>720</v>
      </c>
      <c r="C12575" s="3063"/>
      <c r="D12575" s="3064"/>
      <c r="E12575" s="3064"/>
      <c r="F12575" s="3064"/>
      <c r="G12575" s="3301" t="s">
        <v>720</v>
      </c>
      <c r="H12575" s="3063"/>
      <c r="I12575" s="3030"/>
    </row>
    <row r="12576" spans="2:9">
      <c r="B12576" s="3299" t="s">
        <v>82</v>
      </c>
      <c r="C12576" s="3063"/>
      <c r="D12576" s="3064"/>
      <c r="E12576" s="3064"/>
      <c r="F12576" s="3064"/>
      <c r="G12576" s="3300" t="s">
        <v>82</v>
      </c>
      <c r="H12576" s="3063"/>
      <c r="I12576" s="3030"/>
    </row>
    <row r="12577" spans="2:9" ht="25.5">
      <c r="B12577" s="3192" t="s">
        <v>675</v>
      </c>
      <c r="C12577" s="3063"/>
      <c r="D12577" s="3064"/>
      <c r="E12577" s="3064"/>
      <c r="F12577" s="3064"/>
      <c r="G12577" s="3301" t="s">
        <v>675</v>
      </c>
      <c r="H12577" s="3063"/>
      <c r="I12577" s="3030"/>
    </row>
    <row r="12578" spans="2:9" ht="25.5">
      <c r="B12578" s="3192" t="s">
        <v>676</v>
      </c>
      <c r="C12578" s="3063"/>
      <c r="D12578" s="3064"/>
      <c r="E12578" s="3064"/>
      <c r="F12578" s="3064"/>
      <c r="G12578" s="3301" t="s">
        <v>676</v>
      </c>
      <c r="H12578" s="3063"/>
      <c r="I12578" s="3030"/>
    </row>
    <row r="12579" spans="2:9">
      <c r="B12579" s="3192" t="s">
        <v>677</v>
      </c>
      <c r="C12579" s="3063"/>
      <c r="D12579" s="3064"/>
      <c r="E12579" s="3064"/>
      <c r="F12579" s="3064"/>
      <c r="G12579" s="3301" t="s">
        <v>677</v>
      </c>
      <c r="H12579" s="3063"/>
      <c r="I12579" s="3030"/>
    </row>
    <row r="12580" spans="2:9">
      <c r="B12580" s="3192" t="s">
        <v>678</v>
      </c>
      <c r="C12580" s="3063"/>
      <c r="D12580" s="3064"/>
      <c r="E12580" s="3064"/>
      <c r="F12580" s="3064"/>
      <c r="G12580" s="3301" t="s">
        <v>678</v>
      </c>
      <c r="H12580" s="3063"/>
      <c r="I12580" s="3030"/>
    </row>
    <row r="12581" spans="2:9">
      <c r="B12581" s="3192" t="s">
        <v>679</v>
      </c>
      <c r="C12581" s="3063"/>
      <c r="D12581" s="3064"/>
      <c r="E12581" s="3064"/>
      <c r="F12581" s="3064"/>
      <c r="G12581" s="3301" t="s">
        <v>679</v>
      </c>
      <c r="H12581" s="3063"/>
      <c r="I12581" s="3030"/>
    </row>
    <row r="12582" spans="2:9" ht="25.5">
      <c r="B12582" s="3192" t="s">
        <v>720</v>
      </c>
      <c r="C12582" s="3063"/>
      <c r="D12582" s="3064"/>
      <c r="E12582" s="3064"/>
      <c r="F12582" s="3064"/>
      <c r="G12582" s="3301" t="s">
        <v>720</v>
      </c>
      <c r="H12582" s="3063"/>
      <c r="I12582" s="3030"/>
    </row>
    <row r="12583" spans="2:9" ht="38.25">
      <c r="B12583" s="3299" t="s">
        <v>680</v>
      </c>
      <c r="C12583" s="3063"/>
      <c r="D12583" s="3064"/>
      <c r="E12583" s="3064"/>
      <c r="F12583" s="3064"/>
      <c r="G12583" s="3300" t="s">
        <v>680</v>
      </c>
      <c r="H12583" s="3063"/>
      <c r="I12583" s="3030"/>
    </row>
    <row r="12584" spans="2:9" ht="25.5">
      <c r="B12584" s="3192" t="s">
        <v>675</v>
      </c>
      <c r="C12584" s="3063"/>
      <c r="D12584" s="3064"/>
      <c r="E12584" s="3064"/>
      <c r="F12584" s="3064"/>
      <c r="G12584" s="3301" t="s">
        <v>675</v>
      </c>
      <c r="H12584" s="3063"/>
      <c r="I12584" s="3030"/>
    </row>
    <row r="12585" spans="2:9" ht="25.5">
      <c r="B12585" s="3192" t="s">
        <v>676</v>
      </c>
      <c r="C12585" s="3063"/>
      <c r="D12585" s="3064"/>
      <c r="E12585" s="3064"/>
      <c r="F12585" s="3064"/>
      <c r="G12585" s="3301" t="s">
        <v>676</v>
      </c>
      <c r="H12585" s="3063"/>
      <c r="I12585" s="3030"/>
    </row>
    <row r="12586" spans="2:9">
      <c r="B12586" s="3192" t="s">
        <v>677</v>
      </c>
      <c r="C12586" s="3063"/>
      <c r="D12586" s="3064"/>
      <c r="E12586" s="3064"/>
      <c r="F12586" s="3064"/>
      <c r="G12586" s="3301" t="s">
        <v>677</v>
      </c>
      <c r="H12586" s="3063"/>
      <c r="I12586" s="3030"/>
    </row>
    <row r="12587" spans="2:9">
      <c r="B12587" s="3192" t="s">
        <v>678</v>
      </c>
      <c r="C12587" s="3063"/>
      <c r="D12587" s="3064"/>
      <c r="E12587" s="3064"/>
      <c r="F12587" s="3064"/>
      <c r="G12587" s="3301" t="s">
        <v>678</v>
      </c>
      <c r="H12587" s="3063"/>
      <c r="I12587" s="3030"/>
    </row>
    <row r="12588" spans="2:9">
      <c r="B12588" s="3192" t="s">
        <v>679</v>
      </c>
      <c r="C12588" s="3063"/>
      <c r="D12588" s="3064"/>
      <c r="E12588" s="3064"/>
      <c r="F12588" s="3064"/>
      <c r="G12588" s="3301" t="s">
        <v>679</v>
      </c>
      <c r="H12588" s="3063"/>
      <c r="I12588" s="3030"/>
    </row>
    <row r="12589" spans="2:9" ht="25.5">
      <c r="B12589" s="3192" t="s">
        <v>720</v>
      </c>
      <c r="C12589" s="3063"/>
      <c r="D12589" s="3064"/>
      <c r="E12589" s="3064"/>
      <c r="F12589" s="3064"/>
      <c r="G12589" s="3301" t="s">
        <v>720</v>
      </c>
      <c r="H12589" s="3063"/>
      <c r="I12589" s="3030"/>
    </row>
    <row r="12590" spans="2:9" ht="38.25">
      <c r="B12590" s="3299" t="s">
        <v>681</v>
      </c>
      <c r="C12590" s="3063"/>
      <c r="D12590" s="3064"/>
      <c r="E12590" s="3064"/>
      <c r="F12590" s="3064"/>
      <c r="G12590" s="3300" t="s">
        <v>681</v>
      </c>
      <c r="H12590" s="3063"/>
      <c r="I12590" s="3030"/>
    </row>
    <row r="12591" spans="2:9" ht="25.5">
      <c r="B12591" s="3192" t="s">
        <v>675</v>
      </c>
      <c r="C12591" s="3063"/>
      <c r="D12591" s="3064"/>
      <c r="E12591" s="3064"/>
      <c r="F12591" s="3064"/>
      <c r="G12591" s="3301" t="s">
        <v>675</v>
      </c>
      <c r="H12591" s="3063"/>
      <c r="I12591" s="3030"/>
    </row>
    <row r="12592" spans="2:9" ht="25.5">
      <c r="B12592" s="3192" t="s">
        <v>676</v>
      </c>
      <c r="C12592" s="3063"/>
      <c r="D12592" s="3064"/>
      <c r="E12592" s="3064"/>
      <c r="F12592" s="3064"/>
      <c r="G12592" s="3301" t="s">
        <v>676</v>
      </c>
      <c r="H12592" s="3063"/>
      <c r="I12592" s="3030"/>
    </row>
    <row r="12593" spans="2:9">
      <c r="B12593" s="3192" t="s">
        <v>677</v>
      </c>
      <c r="C12593" s="3063"/>
      <c r="D12593" s="3064"/>
      <c r="E12593" s="3064"/>
      <c r="F12593" s="3064"/>
      <c r="G12593" s="3301" t="s">
        <v>677</v>
      </c>
      <c r="H12593" s="3063"/>
      <c r="I12593" s="3030"/>
    </row>
    <row r="12594" spans="2:9">
      <c r="B12594" s="3192" t="s">
        <v>678</v>
      </c>
      <c r="C12594" s="3063"/>
      <c r="D12594" s="3064"/>
      <c r="E12594" s="3064"/>
      <c r="F12594" s="3064"/>
      <c r="G12594" s="3301" t="s">
        <v>678</v>
      </c>
      <c r="H12594" s="3063"/>
      <c r="I12594" s="3030"/>
    </row>
    <row r="12595" spans="2:9">
      <c r="B12595" s="3192" t="s">
        <v>679</v>
      </c>
      <c r="C12595" s="3063"/>
      <c r="D12595" s="3064"/>
      <c r="E12595" s="3064"/>
      <c r="F12595" s="3064"/>
      <c r="G12595" s="3301" t="s">
        <v>679</v>
      </c>
      <c r="H12595" s="3063"/>
      <c r="I12595" s="3030"/>
    </row>
    <row r="12596" spans="2:9" ht="25.5">
      <c r="B12596" s="3192" t="s">
        <v>720</v>
      </c>
      <c r="C12596" s="3063"/>
      <c r="D12596" s="3064"/>
      <c r="E12596" s="3064"/>
      <c r="F12596" s="3064"/>
      <c r="G12596" s="3301" t="s">
        <v>720</v>
      </c>
      <c r="H12596" s="3063"/>
      <c r="I12596" s="3030"/>
    </row>
    <row r="12597" spans="2:9" ht="25.5">
      <c r="B12597" s="3299" t="s">
        <v>682</v>
      </c>
      <c r="C12597" s="3063"/>
      <c r="D12597" s="3064"/>
      <c r="E12597" s="3064"/>
      <c r="F12597" s="3064"/>
      <c r="G12597" s="3300" t="s">
        <v>682</v>
      </c>
      <c r="H12597" s="3063"/>
      <c r="I12597" s="3030"/>
    </row>
    <row r="12598" spans="2:9" ht="25.5">
      <c r="B12598" s="3192" t="s">
        <v>675</v>
      </c>
      <c r="C12598" s="3063"/>
      <c r="D12598" s="3064"/>
      <c r="E12598" s="3064"/>
      <c r="F12598" s="3064"/>
      <c r="G12598" s="3301" t="s">
        <v>675</v>
      </c>
      <c r="H12598" s="3063"/>
      <c r="I12598" s="3030"/>
    </row>
    <row r="12599" spans="2:9" ht="25.5">
      <c r="B12599" s="3192" t="s">
        <v>676</v>
      </c>
      <c r="C12599" s="3063"/>
      <c r="D12599" s="3064"/>
      <c r="E12599" s="3064"/>
      <c r="F12599" s="3064"/>
      <c r="G12599" s="3301" t="s">
        <v>676</v>
      </c>
      <c r="H12599" s="3063"/>
      <c r="I12599" s="3030"/>
    </row>
    <row r="12600" spans="2:9">
      <c r="B12600" s="3192" t="s">
        <v>677</v>
      </c>
      <c r="C12600" s="3063"/>
      <c r="D12600" s="3064"/>
      <c r="E12600" s="3064"/>
      <c r="F12600" s="3064"/>
      <c r="G12600" s="3301" t="s">
        <v>677</v>
      </c>
      <c r="H12600" s="3063"/>
      <c r="I12600" s="3030"/>
    </row>
    <row r="12601" spans="2:9">
      <c r="B12601" s="3192" t="s">
        <v>678</v>
      </c>
      <c r="C12601" s="3063"/>
      <c r="D12601" s="3064"/>
      <c r="E12601" s="3064"/>
      <c r="F12601" s="3064"/>
      <c r="G12601" s="3301" t="s">
        <v>678</v>
      </c>
      <c r="H12601" s="3063"/>
      <c r="I12601" s="3030"/>
    </row>
    <row r="12602" spans="2:9">
      <c r="B12602" s="3192" t="s">
        <v>679</v>
      </c>
      <c r="C12602" s="3063"/>
      <c r="D12602" s="3064"/>
      <c r="E12602" s="3064"/>
      <c r="F12602" s="3064"/>
      <c r="G12602" s="3301" t="s">
        <v>679</v>
      </c>
      <c r="H12602" s="3063"/>
      <c r="I12602" s="3030"/>
    </row>
    <row r="12603" spans="2:9" ht="25.5">
      <c r="B12603" s="3192" t="s">
        <v>720</v>
      </c>
      <c r="C12603" s="3063"/>
      <c r="D12603" s="3064"/>
      <c r="E12603" s="3064"/>
      <c r="F12603" s="3064"/>
      <c r="G12603" s="3301" t="s">
        <v>720</v>
      </c>
      <c r="H12603" s="3063"/>
      <c r="I12603" s="3030"/>
    </row>
    <row r="12604" spans="2:9" ht="25.5">
      <c r="B12604" s="3299" t="s">
        <v>66</v>
      </c>
      <c r="C12604" s="3063"/>
      <c r="D12604" s="3064"/>
      <c r="E12604" s="3064"/>
      <c r="F12604" s="3064"/>
      <c r="G12604" s="3300" t="s">
        <v>66</v>
      </c>
      <c r="H12604" s="3063"/>
      <c r="I12604" s="3030"/>
    </row>
    <row r="12605" spans="2:9" ht="25.5">
      <c r="B12605" s="3192" t="s">
        <v>675</v>
      </c>
      <c r="C12605" s="3063"/>
      <c r="D12605" s="3064"/>
      <c r="E12605" s="3064"/>
      <c r="F12605" s="3064"/>
      <c r="G12605" s="3301" t="s">
        <v>675</v>
      </c>
      <c r="H12605" s="3063"/>
      <c r="I12605" s="3030"/>
    </row>
    <row r="12606" spans="2:9" ht="25.5">
      <c r="B12606" s="3192" t="s">
        <v>676</v>
      </c>
      <c r="C12606" s="3063"/>
      <c r="D12606" s="3064"/>
      <c r="E12606" s="3064"/>
      <c r="F12606" s="3064"/>
      <c r="G12606" s="3301" t="s">
        <v>676</v>
      </c>
      <c r="H12606" s="3063"/>
      <c r="I12606" s="3030"/>
    </row>
    <row r="12607" spans="2:9">
      <c r="B12607" s="3192" t="s">
        <v>677</v>
      </c>
      <c r="C12607" s="3063"/>
      <c r="D12607" s="3064"/>
      <c r="E12607" s="3064"/>
      <c r="F12607" s="3064"/>
      <c r="G12607" s="3301" t="s">
        <v>677</v>
      </c>
      <c r="H12607" s="3063"/>
      <c r="I12607" s="3030"/>
    </row>
    <row r="12608" spans="2:9">
      <c r="B12608" s="3192" t="s">
        <v>678</v>
      </c>
      <c r="C12608" s="3063"/>
      <c r="D12608" s="3064"/>
      <c r="E12608" s="3064"/>
      <c r="F12608" s="3064"/>
      <c r="G12608" s="3301" t="s">
        <v>678</v>
      </c>
      <c r="H12608" s="3063"/>
      <c r="I12608" s="3030"/>
    </row>
    <row r="12609" spans="2:9">
      <c r="B12609" s="3192" t="s">
        <v>679</v>
      </c>
      <c r="C12609" s="3063"/>
      <c r="D12609" s="3064"/>
      <c r="E12609" s="3064"/>
      <c r="F12609" s="3064"/>
      <c r="G12609" s="3301" t="s">
        <v>679</v>
      </c>
      <c r="H12609" s="3063"/>
      <c r="I12609" s="3030"/>
    </row>
    <row r="12610" spans="2:9" ht="25.5">
      <c r="B12610" s="3192" t="s">
        <v>720</v>
      </c>
      <c r="C12610" s="3063"/>
      <c r="D12610" s="3064"/>
      <c r="E12610" s="3064"/>
      <c r="F12610" s="3064"/>
      <c r="G12610" s="3301" t="s">
        <v>720</v>
      </c>
      <c r="H12610" s="3063"/>
      <c r="I12610" s="3030"/>
    </row>
    <row r="12611" spans="2:9">
      <c r="B12611" s="3299" t="s">
        <v>67</v>
      </c>
      <c r="C12611" s="3063"/>
      <c r="D12611" s="3064"/>
      <c r="E12611" s="3064"/>
      <c r="F12611" s="3064"/>
      <c r="G12611" s="3300" t="s">
        <v>67</v>
      </c>
      <c r="H12611" s="3063"/>
      <c r="I12611" s="3030"/>
    </row>
    <row r="12612" spans="2:9" ht="25.5">
      <c r="B12612" s="3192" t="s">
        <v>675</v>
      </c>
      <c r="C12612" s="3063"/>
      <c r="D12612" s="3064"/>
      <c r="E12612" s="3064"/>
      <c r="F12612" s="3064"/>
      <c r="G12612" s="3301" t="s">
        <v>675</v>
      </c>
      <c r="H12612" s="3063"/>
      <c r="I12612" s="3030"/>
    </row>
    <row r="12613" spans="2:9" ht="25.5">
      <c r="B12613" s="3192" t="s">
        <v>676</v>
      </c>
      <c r="C12613" s="3063"/>
      <c r="D12613" s="3064"/>
      <c r="E12613" s="3064"/>
      <c r="F12613" s="3064"/>
      <c r="G12613" s="3301" t="s">
        <v>676</v>
      </c>
      <c r="H12613" s="3063"/>
      <c r="I12613" s="3030"/>
    </row>
    <row r="12614" spans="2:9">
      <c r="B12614" s="3192" t="s">
        <v>677</v>
      </c>
      <c r="C12614" s="3063"/>
      <c r="D12614" s="3064"/>
      <c r="E12614" s="3064"/>
      <c r="F12614" s="3064"/>
      <c r="G12614" s="3301" t="s">
        <v>677</v>
      </c>
      <c r="H12614" s="3063"/>
      <c r="I12614" s="3030"/>
    </row>
    <row r="12615" spans="2:9">
      <c r="B12615" s="3192" t="s">
        <v>678</v>
      </c>
      <c r="C12615" s="3063"/>
      <c r="D12615" s="3064"/>
      <c r="E12615" s="3064"/>
      <c r="F12615" s="3064"/>
      <c r="G12615" s="3301" t="s">
        <v>678</v>
      </c>
      <c r="H12615" s="3063"/>
      <c r="I12615" s="3030"/>
    </row>
    <row r="12616" spans="2:9">
      <c r="B12616" s="3192" t="s">
        <v>679</v>
      </c>
      <c r="C12616" s="3063"/>
      <c r="D12616" s="3064"/>
      <c r="E12616" s="3064"/>
      <c r="F12616" s="3064"/>
      <c r="G12616" s="3301" t="s">
        <v>679</v>
      </c>
      <c r="H12616" s="3063"/>
      <c r="I12616" s="3030"/>
    </row>
    <row r="12617" spans="2:9" ht="25.5">
      <c r="B12617" s="3192" t="s">
        <v>720</v>
      </c>
      <c r="C12617" s="3063"/>
      <c r="D12617" s="3064"/>
      <c r="E12617" s="3064"/>
      <c r="F12617" s="3064"/>
      <c r="G12617" s="3301" t="s">
        <v>720</v>
      </c>
      <c r="H12617" s="3063"/>
      <c r="I12617" s="3030"/>
    </row>
    <row r="12618" spans="2:9" ht="25.5">
      <c r="B12618" s="3230" t="s">
        <v>81</v>
      </c>
      <c r="C12618" s="3063"/>
      <c r="D12618" s="3064"/>
      <c r="E12618" s="3064"/>
      <c r="F12618" s="3064"/>
      <c r="G12618" s="3302" t="s">
        <v>81</v>
      </c>
      <c r="H12618" s="3063"/>
      <c r="I12618" s="3030"/>
    </row>
    <row r="12619" spans="2:9" ht="26.25" thickBot="1">
      <c r="B12619" s="3303" t="s">
        <v>81</v>
      </c>
      <c r="C12619" s="3063"/>
      <c r="D12619" s="3064"/>
      <c r="E12619" s="3064"/>
      <c r="F12619" s="3064"/>
      <c r="G12619" s="3302" t="s">
        <v>81</v>
      </c>
      <c r="H12619" s="3063"/>
      <c r="I12619" s="3030"/>
    </row>
    <row r="12620" spans="2:9" ht="25.5">
      <c r="B12620" s="3217" t="s">
        <v>696</v>
      </c>
      <c r="C12620" s="3218"/>
      <c r="D12620" s="3219"/>
      <c r="E12620" s="3219"/>
      <c r="F12620" s="3219"/>
      <c r="G12620" s="3217" t="s">
        <v>696</v>
      </c>
      <c r="H12620" s="3297"/>
      <c r="I12620" s="3298"/>
    </row>
    <row r="12621" spans="2:9">
      <c r="B12621" s="3299" t="s">
        <v>64</v>
      </c>
      <c r="C12621" s="3063"/>
      <c r="D12621" s="3064"/>
      <c r="E12621" s="3064"/>
      <c r="F12621" s="3064"/>
      <c r="G12621" s="3300" t="s">
        <v>64</v>
      </c>
      <c r="H12621" s="3063"/>
      <c r="I12621" s="3030"/>
    </row>
    <row r="12622" spans="2:9" ht="25.5">
      <c r="B12622" s="3192" t="s">
        <v>675</v>
      </c>
      <c r="C12622" s="3063"/>
      <c r="D12622" s="3064"/>
      <c r="E12622" s="3064"/>
      <c r="F12622" s="3064"/>
      <c r="G12622" s="3301" t="s">
        <v>675</v>
      </c>
      <c r="H12622" s="3063"/>
      <c r="I12622" s="3030"/>
    </row>
    <row r="12623" spans="2:9" ht="25.5">
      <c r="B12623" s="3192" t="s">
        <v>676</v>
      </c>
      <c r="C12623" s="3063"/>
      <c r="D12623" s="3064"/>
      <c r="E12623" s="3064"/>
      <c r="F12623" s="3064"/>
      <c r="G12623" s="3301" t="s">
        <v>676</v>
      </c>
      <c r="H12623" s="3063"/>
      <c r="I12623" s="3030"/>
    </row>
    <row r="12624" spans="2:9">
      <c r="B12624" s="3192" t="s">
        <v>677</v>
      </c>
      <c r="C12624" s="3063"/>
      <c r="D12624" s="3064"/>
      <c r="E12624" s="3064"/>
      <c r="F12624" s="3064"/>
      <c r="G12624" s="3301" t="s">
        <v>677</v>
      </c>
      <c r="H12624" s="3063"/>
      <c r="I12624" s="3030"/>
    </row>
    <row r="12625" spans="2:9">
      <c r="B12625" s="3192" t="s">
        <v>678</v>
      </c>
      <c r="C12625" s="3063"/>
      <c r="D12625" s="3064"/>
      <c r="E12625" s="3064"/>
      <c r="F12625" s="3064"/>
      <c r="G12625" s="3301" t="s">
        <v>678</v>
      </c>
      <c r="H12625" s="3063"/>
      <c r="I12625" s="3030"/>
    </row>
    <row r="12626" spans="2:9">
      <c r="B12626" s="3192" t="s">
        <v>679</v>
      </c>
      <c r="C12626" s="3063"/>
      <c r="D12626" s="3064"/>
      <c r="E12626" s="3064"/>
      <c r="F12626" s="3064"/>
      <c r="G12626" s="3301" t="s">
        <v>679</v>
      </c>
      <c r="H12626" s="3063"/>
      <c r="I12626" s="3030"/>
    </row>
    <row r="12627" spans="2:9" ht="25.5">
      <c r="B12627" s="3192" t="s">
        <v>720</v>
      </c>
      <c r="C12627" s="3063"/>
      <c r="D12627" s="3064"/>
      <c r="E12627" s="3064"/>
      <c r="F12627" s="3064"/>
      <c r="G12627" s="3301" t="s">
        <v>720</v>
      </c>
      <c r="H12627" s="3063"/>
      <c r="I12627" s="3030"/>
    </row>
    <row r="12628" spans="2:9">
      <c r="B12628" s="3299" t="s">
        <v>65</v>
      </c>
      <c r="C12628" s="3063"/>
      <c r="D12628" s="3064"/>
      <c r="E12628" s="3064"/>
      <c r="F12628" s="3064"/>
      <c r="G12628" s="3300" t="s">
        <v>65</v>
      </c>
      <c r="H12628" s="3063"/>
      <c r="I12628" s="3030"/>
    </row>
    <row r="12629" spans="2:9" ht="25.5">
      <c r="B12629" s="3192" t="s">
        <v>675</v>
      </c>
      <c r="C12629" s="3063"/>
      <c r="D12629" s="3064"/>
      <c r="E12629" s="3064"/>
      <c r="F12629" s="3064"/>
      <c r="G12629" s="3301" t="s">
        <v>675</v>
      </c>
      <c r="H12629" s="3063"/>
      <c r="I12629" s="3030"/>
    </row>
    <row r="12630" spans="2:9" ht="25.5">
      <c r="B12630" s="3192" t="s">
        <v>676</v>
      </c>
      <c r="C12630" s="3063"/>
      <c r="D12630" s="3064"/>
      <c r="E12630" s="3064"/>
      <c r="F12630" s="3064"/>
      <c r="G12630" s="3301" t="s">
        <v>676</v>
      </c>
      <c r="H12630" s="3063"/>
      <c r="I12630" s="3030"/>
    </row>
    <row r="12631" spans="2:9">
      <c r="B12631" s="3192" t="s">
        <v>677</v>
      </c>
      <c r="C12631" s="3063"/>
      <c r="D12631" s="3064"/>
      <c r="E12631" s="3064"/>
      <c r="F12631" s="3064"/>
      <c r="G12631" s="3301" t="s">
        <v>677</v>
      </c>
      <c r="H12631" s="3063"/>
      <c r="I12631" s="3030"/>
    </row>
    <row r="12632" spans="2:9">
      <c r="B12632" s="3192" t="s">
        <v>678</v>
      </c>
      <c r="C12632" s="3063"/>
      <c r="D12632" s="3064"/>
      <c r="E12632" s="3064"/>
      <c r="F12632" s="3064"/>
      <c r="G12632" s="3301" t="s">
        <v>678</v>
      </c>
      <c r="H12632" s="3063"/>
      <c r="I12632" s="3030"/>
    </row>
    <row r="12633" spans="2:9">
      <c r="B12633" s="3192" t="s">
        <v>679</v>
      </c>
      <c r="C12633" s="3063"/>
      <c r="D12633" s="3064"/>
      <c r="E12633" s="3064"/>
      <c r="F12633" s="3064"/>
      <c r="G12633" s="3301" t="s">
        <v>679</v>
      </c>
      <c r="H12633" s="3063"/>
      <c r="I12633" s="3030"/>
    </row>
    <row r="12634" spans="2:9" ht="25.5">
      <c r="B12634" s="3192" t="s">
        <v>720</v>
      </c>
      <c r="C12634" s="3063"/>
      <c r="D12634" s="3064"/>
      <c r="E12634" s="3064"/>
      <c r="F12634" s="3064"/>
      <c r="G12634" s="3301" t="s">
        <v>720</v>
      </c>
      <c r="H12634" s="3063"/>
      <c r="I12634" s="3030"/>
    </row>
    <row r="12635" spans="2:9">
      <c r="B12635" s="3299" t="s">
        <v>82</v>
      </c>
      <c r="C12635" s="3063"/>
      <c r="D12635" s="3064"/>
      <c r="E12635" s="3064"/>
      <c r="F12635" s="3064"/>
      <c r="G12635" s="3300" t="s">
        <v>82</v>
      </c>
      <c r="H12635" s="3063"/>
      <c r="I12635" s="3030"/>
    </row>
    <row r="12636" spans="2:9" ht="25.5">
      <c r="B12636" s="3192" t="s">
        <v>675</v>
      </c>
      <c r="C12636" s="3063"/>
      <c r="D12636" s="3064"/>
      <c r="E12636" s="3064"/>
      <c r="F12636" s="3064"/>
      <c r="G12636" s="3301" t="s">
        <v>675</v>
      </c>
      <c r="H12636" s="3063"/>
      <c r="I12636" s="3030"/>
    </row>
    <row r="12637" spans="2:9" ht="25.5">
      <c r="B12637" s="3192" t="s">
        <v>676</v>
      </c>
      <c r="C12637" s="3063"/>
      <c r="D12637" s="3064"/>
      <c r="E12637" s="3064"/>
      <c r="F12637" s="3064"/>
      <c r="G12637" s="3301" t="s">
        <v>676</v>
      </c>
      <c r="H12637" s="3063"/>
      <c r="I12637" s="3030"/>
    </row>
    <row r="12638" spans="2:9">
      <c r="B12638" s="3192" t="s">
        <v>677</v>
      </c>
      <c r="C12638" s="3063"/>
      <c r="D12638" s="3064"/>
      <c r="E12638" s="3064"/>
      <c r="F12638" s="3064"/>
      <c r="G12638" s="3301" t="s">
        <v>677</v>
      </c>
      <c r="H12638" s="3063"/>
      <c r="I12638" s="3030"/>
    </row>
    <row r="12639" spans="2:9">
      <c r="B12639" s="3192" t="s">
        <v>678</v>
      </c>
      <c r="C12639" s="3063"/>
      <c r="D12639" s="3064"/>
      <c r="E12639" s="3064"/>
      <c r="F12639" s="3064"/>
      <c r="G12639" s="3301" t="s">
        <v>678</v>
      </c>
      <c r="H12639" s="3063"/>
      <c r="I12639" s="3030"/>
    </row>
    <row r="12640" spans="2:9">
      <c r="B12640" s="3192" t="s">
        <v>679</v>
      </c>
      <c r="C12640" s="3063"/>
      <c r="D12640" s="3064"/>
      <c r="E12640" s="3064"/>
      <c r="F12640" s="3064"/>
      <c r="G12640" s="3301" t="s">
        <v>679</v>
      </c>
      <c r="H12640" s="3063"/>
      <c r="I12640" s="3030"/>
    </row>
    <row r="12641" spans="2:9" ht="25.5">
      <c r="B12641" s="3192" t="s">
        <v>720</v>
      </c>
      <c r="C12641" s="3063"/>
      <c r="D12641" s="3064"/>
      <c r="E12641" s="3064"/>
      <c r="F12641" s="3064"/>
      <c r="G12641" s="3301" t="s">
        <v>720</v>
      </c>
      <c r="H12641" s="3063"/>
      <c r="I12641" s="3030"/>
    </row>
    <row r="12642" spans="2:9" ht="38.25">
      <c r="B12642" s="3299" t="s">
        <v>680</v>
      </c>
      <c r="C12642" s="3063"/>
      <c r="D12642" s="3064"/>
      <c r="E12642" s="3064"/>
      <c r="F12642" s="3064"/>
      <c r="G12642" s="3300" t="s">
        <v>680</v>
      </c>
      <c r="H12642" s="3063"/>
      <c r="I12642" s="3030"/>
    </row>
    <row r="12643" spans="2:9" ht="25.5">
      <c r="B12643" s="3192" t="s">
        <v>675</v>
      </c>
      <c r="C12643" s="3063"/>
      <c r="D12643" s="3064"/>
      <c r="E12643" s="3064"/>
      <c r="F12643" s="3064"/>
      <c r="G12643" s="3301" t="s">
        <v>675</v>
      </c>
      <c r="H12643" s="3063"/>
      <c r="I12643" s="3030"/>
    </row>
    <row r="12644" spans="2:9" ht="25.5">
      <c r="B12644" s="3192" t="s">
        <v>676</v>
      </c>
      <c r="C12644" s="3063"/>
      <c r="D12644" s="3064"/>
      <c r="E12644" s="3064"/>
      <c r="F12644" s="3064"/>
      <c r="G12644" s="3301" t="s">
        <v>676</v>
      </c>
      <c r="H12644" s="3063"/>
      <c r="I12644" s="3030"/>
    </row>
    <row r="12645" spans="2:9">
      <c r="B12645" s="3192" t="s">
        <v>677</v>
      </c>
      <c r="C12645" s="3063"/>
      <c r="D12645" s="3064"/>
      <c r="E12645" s="3064"/>
      <c r="F12645" s="3064"/>
      <c r="G12645" s="3301" t="s">
        <v>677</v>
      </c>
      <c r="H12645" s="3063"/>
      <c r="I12645" s="3030"/>
    </row>
    <row r="12646" spans="2:9">
      <c r="B12646" s="3192" t="s">
        <v>678</v>
      </c>
      <c r="C12646" s="3063"/>
      <c r="D12646" s="3064"/>
      <c r="E12646" s="3064"/>
      <c r="F12646" s="3064"/>
      <c r="G12646" s="3301" t="s">
        <v>678</v>
      </c>
      <c r="H12646" s="3063"/>
      <c r="I12646" s="3030"/>
    </row>
    <row r="12647" spans="2:9">
      <c r="B12647" s="3192" t="s">
        <v>679</v>
      </c>
      <c r="C12647" s="3063"/>
      <c r="D12647" s="3064"/>
      <c r="E12647" s="3064"/>
      <c r="F12647" s="3064"/>
      <c r="G12647" s="3301" t="s">
        <v>679</v>
      </c>
      <c r="H12647" s="3063"/>
      <c r="I12647" s="3030"/>
    </row>
    <row r="12648" spans="2:9" ht="25.5">
      <c r="B12648" s="3192" t="s">
        <v>720</v>
      </c>
      <c r="C12648" s="3063"/>
      <c r="D12648" s="3064"/>
      <c r="E12648" s="3064"/>
      <c r="F12648" s="3064"/>
      <c r="G12648" s="3301" t="s">
        <v>720</v>
      </c>
      <c r="H12648" s="3063"/>
      <c r="I12648" s="3030"/>
    </row>
    <row r="12649" spans="2:9" ht="38.25">
      <c r="B12649" s="3299" t="s">
        <v>681</v>
      </c>
      <c r="C12649" s="3063"/>
      <c r="D12649" s="3064"/>
      <c r="E12649" s="3064"/>
      <c r="F12649" s="3064"/>
      <c r="G12649" s="3300" t="s">
        <v>681</v>
      </c>
      <c r="H12649" s="3063"/>
      <c r="I12649" s="3030"/>
    </row>
    <row r="12650" spans="2:9" ht="25.5">
      <c r="B12650" s="3192" t="s">
        <v>675</v>
      </c>
      <c r="C12650" s="3063"/>
      <c r="D12650" s="3064"/>
      <c r="E12650" s="3064"/>
      <c r="F12650" s="3064"/>
      <c r="G12650" s="3301" t="s">
        <v>675</v>
      </c>
      <c r="H12650" s="3063"/>
      <c r="I12650" s="3030"/>
    </row>
    <row r="12651" spans="2:9" ht="25.5">
      <c r="B12651" s="3192" t="s">
        <v>676</v>
      </c>
      <c r="C12651" s="3063"/>
      <c r="D12651" s="3064"/>
      <c r="E12651" s="3064"/>
      <c r="F12651" s="3064"/>
      <c r="G12651" s="3301" t="s">
        <v>676</v>
      </c>
      <c r="H12651" s="3063"/>
      <c r="I12651" s="3030"/>
    </row>
    <row r="12652" spans="2:9">
      <c r="B12652" s="3192" t="s">
        <v>677</v>
      </c>
      <c r="C12652" s="3063"/>
      <c r="D12652" s="3064"/>
      <c r="E12652" s="3064"/>
      <c r="F12652" s="3064"/>
      <c r="G12652" s="3301" t="s">
        <v>677</v>
      </c>
      <c r="H12652" s="3063"/>
      <c r="I12652" s="3030"/>
    </row>
    <row r="12653" spans="2:9">
      <c r="B12653" s="3192" t="s">
        <v>678</v>
      </c>
      <c r="C12653" s="3063"/>
      <c r="D12653" s="3064"/>
      <c r="E12653" s="3064"/>
      <c r="F12653" s="3064"/>
      <c r="G12653" s="3301" t="s">
        <v>678</v>
      </c>
      <c r="H12653" s="3063"/>
      <c r="I12653" s="3030"/>
    </row>
    <row r="12654" spans="2:9">
      <c r="B12654" s="3192" t="s">
        <v>679</v>
      </c>
      <c r="C12654" s="3063"/>
      <c r="D12654" s="3064"/>
      <c r="E12654" s="3064"/>
      <c r="F12654" s="3064"/>
      <c r="G12654" s="3301" t="s">
        <v>679</v>
      </c>
      <c r="H12654" s="3063"/>
      <c r="I12654" s="3030"/>
    </row>
    <row r="12655" spans="2:9" ht="25.5">
      <c r="B12655" s="3192" t="s">
        <v>720</v>
      </c>
      <c r="C12655" s="3063"/>
      <c r="D12655" s="3064"/>
      <c r="E12655" s="3064"/>
      <c r="F12655" s="3064"/>
      <c r="G12655" s="3301" t="s">
        <v>720</v>
      </c>
      <c r="H12655" s="3063"/>
      <c r="I12655" s="3030"/>
    </row>
    <row r="12656" spans="2:9" ht="25.5">
      <c r="B12656" s="3299" t="s">
        <v>682</v>
      </c>
      <c r="C12656" s="3063"/>
      <c r="D12656" s="3064"/>
      <c r="E12656" s="3064"/>
      <c r="F12656" s="3064"/>
      <c r="G12656" s="3300" t="s">
        <v>682</v>
      </c>
      <c r="H12656" s="3063"/>
      <c r="I12656" s="3030"/>
    </row>
    <row r="12657" spans="2:9" ht="25.5">
      <c r="B12657" s="3192" t="s">
        <v>675</v>
      </c>
      <c r="C12657" s="3063"/>
      <c r="D12657" s="3064"/>
      <c r="E12657" s="3064"/>
      <c r="F12657" s="3064"/>
      <c r="G12657" s="3301" t="s">
        <v>675</v>
      </c>
      <c r="H12657" s="3063"/>
      <c r="I12657" s="3030"/>
    </row>
    <row r="12658" spans="2:9" ht="25.5">
      <c r="B12658" s="3192" t="s">
        <v>676</v>
      </c>
      <c r="C12658" s="3063"/>
      <c r="D12658" s="3064"/>
      <c r="E12658" s="3064"/>
      <c r="F12658" s="3064"/>
      <c r="G12658" s="3301" t="s">
        <v>676</v>
      </c>
      <c r="H12658" s="3063"/>
      <c r="I12658" s="3030"/>
    </row>
    <row r="12659" spans="2:9">
      <c r="B12659" s="3192" t="s">
        <v>677</v>
      </c>
      <c r="C12659" s="3063"/>
      <c r="D12659" s="3064"/>
      <c r="E12659" s="3064"/>
      <c r="F12659" s="3064"/>
      <c r="G12659" s="3301" t="s">
        <v>677</v>
      </c>
      <c r="H12659" s="3063"/>
      <c r="I12659" s="3030"/>
    </row>
    <row r="12660" spans="2:9">
      <c r="B12660" s="3192" t="s">
        <v>678</v>
      </c>
      <c r="C12660" s="3063"/>
      <c r="D12660" s="3064"/>
      <c r="E12660" s="3064"/>
      <c r="F12660" s="3064"/>
      <c r="G12660" s="3301" t="s">
        <v>678</v>
      </c>
      <c r="H12660" s="3063"/>
      <c r="I12660" s="3030"/>
    </row>
    <row r="12661" spans="2:9">
      <c r="B12661" s="3192" t="s">
        <v>679</v>
      </c>
      <c r="C12661" s="3063"/>
      <c r="D12661" s="3064"/>
      <c r="E12661" s="3064"/>
      <c r="F12661" s="3064"/>
      <c r="G12661" s="3301" t="s">
        <v>679</v>
      </c>
      <c r="H12661" s="3063"/>
      <c r="I12661" s="3030"/>
    </row>
    <row r="12662" spans="2:9" ht="25.5">
      <c r="B12662" s="3192" t="s">
        <v>720</v>
      </c>
      <c r="C12662" s="3063"/>
      <c r="D12662" s="3064"/>
      <c r="E12662" s="3064"/>
      <c r="F12662" s="3064"/>
      <c r="G12662" s="3301" t="s">
        <v>720</v>
      </c>
      <c r="H12662" s="3063"/>
      <c r="I12662" s="3030"/>
    </row>
    <row r="12663" spans="2:9" ht="25.5">
      <c r="B12663" s="3299" t="s">
        <v>66</v>
      </c>
      <c r="C12663" s="3063"/>
      <c r="D12663" s="3064"/>
      <c r="E12663" s="3064"/>
      <c r="F12663" s="3064"/>
      <c r="G12663" s="3300" t="s">
        <v>66</v>
      </c>
      <c r="H12663" s="3063"/>
      <c r="I12663" s="3030"/>
    </row>
    <row r="12664" spans="2:9" ht="25.5">
      <c r="B12664" s="3192" t="s">
        <v>675</v>
      </c>
      <c r="C12664" s="3063"/>
      <c r="D12664" s="3064"/>
      <c r="E12664" s="3064"/>
      <c r="F12664" s="3064"/>
      <c r="G12664" s="3301" t="s">
        <v>675</v>
      </c>
      <c r="H12664" s="3063"/>
      <c r="I12664" s="3030"/>
    </row>
    <row r="12665" spans="2:9" ht="25.5">
      <c r="B12665" s="3192" t="s">
        <v>676</v>
      </c>
      <c r="C12665" s="3063"/>
      <c r="D12665" s="3064"/>
      <c r="E12665" s="3064"/>
      <c r="F12665" s="3064"/>
      <c r="G12665" s="3301" t="s">
        <v>676</v>
      </c>
      <c r="H12665" s="3063"/>
      <c r="I12665" s="3030"/>
    </row>
    <row r="12666" spans="2:9">
      <c r="B12666" s="3192" t="s">
        <v>677</v>
      </c>
      <c r="C12666" s="3063"/>
      <c r="D12666" s="3064"/>
      <c r="E12666" s="3064"/>
      <c r="F12666" s="3064"/>
      <c r="G12666" s="3301" t="s">
        <v>677</v>
      </c>
      <c r="H12666" s="3063"/>
      <c r="I12666" s="3030"/>
    </row>
    <row r="12667" spans="2:9">
      <c r="B12667" s="3192" t="s">
        <v>678</v>
      </c>
      <c r="C12667" s="3063"/>
      <c r="D12667" s="3064"/>
      <c r="E12667" s="3064"/>
      <c r="F12667" s="3064"/>
      <c r="G12667" s="3301" t="s">
        <v>678</v>
      </c>
      <c r="H12667" s="3063"/>
      <c r="I12667" s="3030"/>
    </row>
    <row r="12668" spans="2:9">
      <c r="B12668" s="3192" t="s">
        <v>679</v>
      </c>
      <c r="C12668" s="3063"/>
      <c r="D12668" s="3064"/>
      <c r="E12668" s="3064"/>
      <c r="F12668" s="3064"/>
      <c r="G12668" s="3301" t="s">
        <v>679</v>
      </c>
      <c r="H12668" s="3063"/>
      <c r="I12668" s="3030"/>
    </row>
    <row r="12669" spans="2:9" ht="25.5">
      <c r="B12669" s="3192" t="s">
        <v>720</v>
      </c>
      <c r="C12669" s="3063"/>
      <c r="D12669" s="3064"/>
      <c r="E12669" s="3064"/>
      <c r="F12669" s="3064"/>
      <c r="G12669" s="3301" t="s">
        <v>720</v>
      </c>
      <c r="H12669" s="3063"/>
      <c r="I12669" s="3030"/>
    </row>
    <row r="12670" spans="2:9">
      <c r="B12670" s="3299" t="s">
        <v>67</v>
      </c>
      <c r="C12670" s="3063"/>
      <c r="D12670" s="3064"/>
      <c r="E12670" s="3064"/>
      <c r="F12670" s="3064"/>
      <c r="G12670" s="3300" t="s">
        <v>67</v>
      </c>
      <c r="H12670" s="3063"/>
      <c r="I12670" s="3030"/>
    </row>
    <row r="12671" spans="2:9" ht="25.5">
      <c r="B12671" s="3192" t="s">
        <v>675</v>
      </c>
      <c r="C12671" s="3063"/>
      <c r="D12671" s="3064"/>
      <c r="E12671" s="3064"/>
      <c r="F12671" s="3064"/>
      <c r="G12671" s="3301" t="s">
        <v>675</v>
      </c>
      <c r="H12671" s="3063"/>
      <c r="I12671" s="3030"/>
    </row>
    <row r="12672" spans="2:9" ht="25.5">
      <c r="B12672" s="3192" t="s">
        <v>676</v>
      </c>
      <c r="C12672" s="3063"/>
      <c r="D12672" s="3064"/>
      <c r="E12672" s="3064"/>
      <c r="F12672" s="3064"/>
      <c r="G12672" s="3301" t="s">
        <v>676</v>
      </c>
      <c r="H12672" s="3063"/>
      <c r="I12672" s="3030"/>
    </row>
    <row r="12673" spans="2:9">
      <c r="B12673" s="3192" t="s">
        <v>677</v>
      </c>
      <c r="C12673" s="3063"/>
      <c r="D12673" s="3064"/>
      <c r="E12673" s="3064"/>
      <c r="F12673" s="3064"/>
      <c r="G12673" s="3301" t="s">
        <v>677</v>
      </c>
      <c r="H12673" s="3063"/>
      <c r="I12673" s="3030"/>
    </row>
    <row r="12674" spans="2:9">
      <c r="B12674" s="3192" t="s">
        <v>678</v>
      </c>
      <c r="C12674" s="3063"/>
      <c r="D12674" s="3064"/>
      <c r="E12674" s="3064"/>
      <c r="F12674" s="3064"/>
      <c r="G12674" s="3301" t="s">
        <v>678</v>
      </c>
      <c r="H12674" s="3063"/>
      <c r="I12674" s="3030"/>
    </row>
    <row r="12675" spans="2:9">
      <c r="B12675" s="3192" t="s">
        <v>679</v>
      </c>
      <c r="C12675" s="3063"/>
      <c r="D12675" s="3064"/>
      <c r="E12675" s="3064"/>
      <c r="F12675" s="3064"/>
      <c r="G12675" s="3301" t="s">
        <v>679</v>
      </c>
      <c r="H12675" s="3063"/>
      <c r="I12675" s="3030"/>
    </row>
    <row r="12676" spans="2:9" ht="25.5">
      <c r="B12676" s="3230" t="s">
        <v>81</v>
      </c>
      <c r="C12676" s="3063"/>
      <c r="D12676" s="3064"/>
      <c r="E12676" s="3064"/>
      <c r="F12676" s="3064"/>
      <c r="G12676" s="3302" t="s">
        <v>81</v>
      </c>
      <c r="H12676" s="3063"/>
      <c r="I12676" s="3030"/>
    </row>
    <row r="12677" spans="2:9" ht="26.25" thickBot="1">
      <c r="B12677" s="3303" t="s">
        <v>81</v>
      </c>
      <c r="C12677" s="3063"/>
      <c r="D12677" s="3064"/>
      <c r="E12677" s="3064"/>
      <c r="F12677" s="3064"/>
      <c r="G12677" s="3302" t="s">
        <v>81</v>
      </c>
      <c r="H12677" s="3063"/>
      <c r="I12677" s="3030"/>
    </row>
    <row r="12678" spans="2:9">
      <c r="B12678" s="3217" t="s">
        <v>697</v>
      </c>
      <c r="C12678" s="3218"/>
      <c r="D12678" s="3219"/>
      <c r="E12678" s="3219"/>
      <c r="F12678" s="3219"/>
      <c r="G12678" s="3217" t="s">
        <v>697</v>
      </c>
      <c r="H12678" s="3297"/>
      <c r="I12678" s="3298"/>
    </row>
    <row r="12679" spans="2:9">
      <c r="B12679" s="3299" t="s">
        <v>64</v>
      </c>
      <c r="C12679" s="3063"/>
      <c r="D12679" s="3064"/>
      <c r="E12679" s="3064"/>
      <c r="F12679" s="3064"/>
      <c r="G12679" s="3300" t="s">
        <v>64</v>
      </c>
      <c r="H12679" s="3063"/>
      <c r="I12679" s="3030"/>
    </row>
    <row r="12680" spans="2:9" ht="25.5">
      <c r="B12680" s="3192" t="s">
        <v>675</v>
      </c>
      <c r="C12680" s="3063"/>
      <c r="D12680" s="3064"/>
      <c r="E12680" s="3064"/>
      <c r="F12680" s="3064"/>
      <c r="G12680" s="3301" t="s">
        <v>675</v>
      </c>
      <c r="H12680" s="3063"/>
      <c r="I12680" s="3030"/>
    </row>
    <row r="12681" spans="2:9" ht="25.5">
      <c r="B12681" s="3192" t="s">
        <v>676</v>
      </c>
      <c r="C12681" s="3063"/>
      <c r="D12681" s="3064"/>
      <c r="E12681" s="3064"/>
      <c r="F12681" s="3064"/>
      <c r="G12681" s="3301" t="s">
        <v>676</v>
      </c>
      <c r="H12681" s="3063"/>
      <c r="I12681" s="3030"/>
    </row>
    <row r="12682" spans="2:9">
      <c r="B12682" s="3192" t="s">
        <v>677</v>
      </c>
      <c r="C12682" s="3063"/>
      <c r="D12682" s="3064"/>
      <c r="E12682" s="3064"/>
      <c r="F12682" s="3064"/>
      <c r="G12682" s="3301" t="s">
        <v>677</v>
      </c>
      <c r="H12682" s="3063"/>
      <c r="I12682" s="3030"/>
    </row>
    <row r="12683" spans="2:9">
      <c r="B12683" s="3192" t="s">
        <v>678</v>
      </c>
      <c r="C12683" s="3063"/>
      <c r="D12683" s="3064"/>
      <c r="E12683" s="3064"/>
      <c r="F12683" s="3064"/>
      <c r="G12683" s="3301" t="s">
        <v>678</v>
      </c>
      <c r="H12683" s="3063"/>
      <c r="I12683" s="3030"/>
    </row>
    <row r="12684" spans="2:9">
      <c r="B12684" s="3192" t="s">
        <v>679</v>
      </c>
      <c r="C12684" s="3063"/>
      <c r="D12684" s="3064"/>
      <c r="E12684" s="3064"/>
      <c r="F12684" s="3064"/>
      <c r="G12684" s="3301" t="s">
        <v>679</v>
      </c>
      <c r="H12684" s="3063"/>
      <c r="I12684" s="3030"/>
    </row>
    <row r="12685" spans="2:9" ht="25.5">
      <c r="B12685" s="3192" t="s">
        <v>720</v>
      </c>
      <c r="C12685" s="3063"/>
      <c r="D12685" s="3064"/>
      <c r="E12685" s="3064"/>
      <c r="F12685" s="3064"/>
      <c r="G12685" s="3301" t="s">
        <v>720</v>
      </c>
      <c r="H12685" s="3063"/>
      <c r="I12685" s="3030"/>
    </row>
    <row r="12686" spans="2:9">
      <c r="B12686" s="3299" t="s">
        <v>65</v>
      </c>
      <c r="C12686" s="3063"/>
      <c r="D12686" s="3064"/>
      <c r="E12686" s="3064"/>
      <c r="F12686" s="3064"/>
      <c r="G12686" s="3300" t="s">
        <v>65</v>
      </c>
      <c r="H12686" s="3063"/>
      <c r="I12686" s="3030"/>
    </row>
    <row r="12687" spans="2:9" ht="25.5">
      <c r="B12687" s="3192" t="s">
        <v>675</v>
      </c>
      <c r="C12687" s="3063"/>
      <c r="D12687" s="3064"/>
      <c r="E12687" s="3064"/>
      <c r="F12687" s="3064"/>
      <c r="G12687" s="3301" t="s">
        <v>675</v>
      </c>
      <c r="H12687" s="3063"/>
      <c r="I12687" s="3030"/>
    </row>
    <row r="12688" spans="2:9" ht="25.5">
      <c r="B12688" s="3192" t="s">
        <v>676</v>
      </c>
      <c r="C12688" s="3063"/>
      <c r="D12688" s="3064"/>
      <c r="E12688" s="3064"/>
      <c r="F12688" s="3064"/>
      <c r="G12688" s="3301" t="s">
        <v>676</v>
      </c>
      <c r="H12688" s="3063"/>
      <c r="I12688" s="3030"/>
    </row>
    <row r="12689" spans="2:9">
      <c r="B12689" s="3192" t="s">
        <v>677</v>
      </c>
      <c r="C12689" s="3063"/>
      <c r="D12689" s="3064"/>
      <c r="E12689" s="3064"/>
      <c r="F12689" s="3064"/>
      <c r="G12689" s="3301" t="s">
        <v>677</v>
      </c>
      <c r="H12689" s="3063"/>
      <c r="I12689" s="3030"/>
    </row>
    <row r="12690" spans="2:9">
      <c r="B12690" s="3192" t="s">
        <v>678</v>
      </c>
      <c r="C12690" s="3063"/>
      <c r="D12690" s="3064"/>
      <c r="E12690" s="3064"/>
      <c r="F12690" s="3064"/>
      <c r="G12690" s="3301" t="s">
        <v>678</v>
      </c>
      <c r="H12690" s="3063"/>
      <c r="I12690" s="3030"/>
    </row>
    <row r="12691" spans="2:9">
      <c r="B12691" s="3192" t="s">
        <v>679</v>
      </c>
      <c r="C12691" s="3063"/>
      <c r="D12691" s="3064"/>
      <c r="E12691" s="3064"/>
      <c r="F12691" s="3064"/>
      <c r="G12691" s="3301" t="s">
        <v>679</v>
      </c>
      <c r="H12691" s="3063"/>
      <c r="I12691" s="3030"/>
    </row>
    <row r="12692" spans="2:9" ht="25.5">
      <c r="B12692" s="3192" t="s">
        <v>720</v>
      </c>
      <c r="C12692" s="3063"/>
      <c r="D12692" s="3064"/>
      <c r="E12692" s="3064"/>
      <c r="F12692" s="3064"/>
      <c r="G12692" s="3301" t="s">
        <v>720</v>
      </c>
      <c r="H12692" s="3063"/>
      <c r="I12692" s="3030"/>
    </row>
    <row r="12693" spans="2:9">
      <c r="B12693" s="3299" t="s">
        <v>82</v>
      </c>
      <c r="C12693" s="3063"/>
      <c r="D12693" s="3064"/>
      <c r="E12693" s="3064"/>
      <c r="F12693" s="3064"/>
      <c r="G12693" s="3300" t="s">
        <v>82</v>
      </c>
      <c r="H12693" s="3063"/>
      <c r="I12693" s="3030"/>
    </row>
    <row r="12694" spans="2:9" ht="25.5">
      <c r="B12694" s="3192" t="s">
        <v>675</v>
      </c>
      <c r="C12694" s="3063"/>
      <c r="D12694" s="3064"/>
      <c r="E12694" s="3064"/>
      <c r="F12694" s="3064"/>
      <c r="G12694" s="3301" t="s">
        <v>675</v>
      </c>
      <c r="H12694" s="3063"/>
      <c r="I12694" s="3030"/>
    </row>
    <row r="12695" spans="2:9" ht="25.5">
      <c r="B12695" s="3192" t="s">
        <v>676</v>
      </c>
      <c r="C12695" s="3063"/>
      <c r="D12695" s="3064"/>
      <c r="E12695" s="3064"/>
      <c r="F12695" s="3064"/>
      <c r="G12695" s="3301" t="s">
        <v>676</v>
      </c>
      <c r="H12695" s="3063"/>
      <c r="I12695" s="3030"/>
    </row>
    <row r="12696" spans="2:9">
      <c r="B12696" s="3192" t="s">
        <v>677</v>
      </c>
      <c r="C12696" s="3063"/>
      <c r="D12696" s="3064"/>
      <c r="E12696" s="3064"/>
      <c r="F12696" s="3064"/>
      <c r="G12696" s="3301" t="s">
        <v>677</v>
      </c>
      <c r="H12696" s="3063"/>
      <c r="I12696" s="3030"/>
    </row>
    <row r="12697" spans="2:9">
      <c r="B12697" s="3192" t="s">
        <v>678</v>
      </c>
      <c r="C12697" s="3063"/>
      <c r="D12697" s="3064"/>
      <c r="E12697" s="3064"/>
      <c r="F12697" s="3064"/>
      <c r="G12697" s="3301" t="s">
        <v>678</v>
      </c>
      <c r="H12697" s="3063"/>
      <c r="I12697" s="3030"/>
    </row>
    <row r="12698" spans="2:9">
      <c r="B12698" s="3192" t="s">
        <v>679</v>
      </c>
      <c r="C12698" s="3063"/>
      <c r="D12698" s="3064"/>
      <c r="E12698" s="3064"/>
      <c r="F12698" s="3064"/>
      <c r="G12698" s="3301" t="s">
        <v>679</v>
      </c>
      <c r="H12698" s="3063"/>
      <c r="I12698" s="3030"/>
    </row>
    <row r="12699" spans="2:9" ht="25.5">
      <c r="B12699" s="3192" t="s">
        <v>720</v>
      </c>
      <c r="C12699" s="3063"/>
      <c r="D12699" s="3064"/>
      <c r="E12699" s="3064"/>
      <c r="F12699" s="3064"/>
      <c r="G12699" s="3301" t="s">
        <v>720</v>
      </c>
      <c r="H12699" s="3063"/>
      <c r="I12699" s="3030"/>
    </row>
    <row r="12700" spans="2:9" ht="38.25">
      <c r="B12700" s="3299" t="s">
        <v>680</v>
      </c>
      <c r="C12700" s="3063"/>
      <c r="D12700" s="3064"/>
      <c r="E12700" s="3064"/>
      <c r="F12700" s="3064"/>
      <c r="G12700" s="3300" t="s">
        <v>680</v>
      </c>
      <c r="H12700" s="3063"/>
      <c r="I12700" s="3030"/>
    </row>
    <row r="12701" spans="2:9" ht="25.5">
      <c r="B12701" s="3192" t="s">
        <v>675</v>
      </c>
      <c r="C12701" s="3063"/>
      <c r="D12701" s="3064"/>
      <c r="E12701" s="3064"/>
      <c r="F12701" s="3064"/>
      <c r="G12701" s="3301" t="s">
        <v>675</v>
      </c>
      <c r="H12701" s="3063"/>
      <c r="I12701" s="3030"/>
    </row>
    <row r="12702" spans="2:9" ht="25.5">
      <c r="B12702" s="3192" t="s">
        <v>676</v>
      </c>
      <c r="C12702" s="3063"/>
      <c r="D12702" s="3064"/>
      <c r="E12702" s="3064"/>
      <c r="F12702" s="3064"/>
      <c r="G12702" s="3301" t="s">
        <v>676</v>
      </c>
      <c r="H12702" s="3063"/>
      <c r="I12702" s="3030"/>
    </row>
    <row r="12703" spans="2:9">
      <c r="B12703" s="3192" t="s">
        <v>677</v>
      </c>
      <c r="C12703" s="3063"/>
      <c r="D12703" s="3064"/>
      <c r="E12703" s="3064"/>
      <c r="F12703" s="3064"/>
      <c r="G12703" s="3301" t="s">
        <v>677</v>
      </c>
      <c r="H12703" s="3063"/>
      <c r="I12703" s="3030"/>
    </row>
    <row r="12704" spans="2:9">
      <c r="B12704" s="3192" t="s">
        <v>678</v>
      </c>
      <c r="C12704" s="3063"/>
      <c r="D12704" s="3064"/>
      <c r="E12704" s="3064"/>
      <c r="F12704" s="3064"/>
      <c r="G12704" s="3301" t="s">
        <v>678</v>
      </c>
      <c r="H12704" s="3063"/>
      <c r="I12704" s="3030"/>
    </row>
    <row r="12705" spans="2:9">
      <c r="B12705" s="3192" t="s">
        <v>679</v>
      </c>
      <c r="C12705" s="3063"/>
      <c r="D12705" s="3064"/>
      <c r="E12705" s="3064"/>
      <c r="F12705" s="3064"/>
      <c r="G12705" s="3301" t="s">
        <v>679</v>
      </c>
      <c r="H12705" s="3063"/>
      <c r="I12705" s="3030"/>
    </row>
    <row r="12706" spans="2:9" ht="25.5">
      <c r="B12706" s="3192" t="s">
        <v>720</v>
      </c>
      <c r="C12706" s="3063"/>
      <c r="D12706" s="3064"/>
      <c r="E12706" s="3064"/>
      <c r="F12706" s="3064"/>
      <c r="G12706" s="3301" t="s">
        <v>720</v>
      </c>
      <c r="H12706" s="3063"/>
      <c r="I12706" s="3030"/>
    </row>
    <row r="12707" spans="2:9" ht="38.25">
      <c r="B12707" s="3299" t="s">
        <v>681</v>
      </c>
      <c r="C12707" s="3063"/>
      <c r="D12707" s="3064"/>
      <c r="E12707" s="3064"/>
      <c r="F12707" s="3064"/>
      <c r="G12707" s="3300" t="s">
        <v>681</v>
      </c>
      <c r="H12707" s="3063">
        <v>5.508676716696468E-2</v>
      </c>
      <c r="I12707" s="3030"/>
    </row>
    <row r="12708" spans="2:9" ht="25.5">
      <c r="B12708" s="3192" t="s">
        <v>675</v>
      </c>
      <c r="C12708" s="3063"/>
      <c r="D12708" s="3064"/>
      <c r="E12708" s="3064"/>
      <c r="F12708" s="3064"/>
      <c r="G12708" s="3301" t="s">
        <v>675</v>
      </c>
      <c r="H12708" s="3063"/>
      <c r="I12708" s="3030"/>
    </row>
    <row r="12709" spans="2:9" ht="25.5">
      <c r="B12709" s="3192" t="s">
        <v>676</v>
      </c>
      <c r="C12709" s="3063"/>
      <c r="D12709" s="3064"/>
      <c r="E12709" s="3064"/>
      <c r="F12709" s="3064"/>
      <c r="G12709" s="3301" t="s">
        <v>676</v>
      </c>
      <c r="H12709" s="3063"/>
      <c r="I12709" s="3030"/>
    </row>
    <row r="12710" spans="2:9">
      <c r="B12710" s="3192" t="s">
        <v>677</v>
      </c>
      <c r="C12710" s="3063"/>
      <c r="D12710" s="3064"/>
      <c r="E12710" s="3064"/>
      <c r="F12710" s="3064"/>
      <c r="G12710" s="3301" t="s">
        <v>677</v>
      </c>
      <c r="H12710" s="3063"/>
      <c r="I12710" s="3030"/>
    </row>
    <row r="12711" spans="2:9">
      <c r="B12711" s="3192" t="s">
        <v>678</v>
      </c>
      <c r="C12711" s="3063"/>
      <c r="D12711" s="3064"/>
      <c r="E12711" s="3064"/>
      <c r="F12711" s="3064"/>
      <c r="G12711" s="3301" t="s">
        <v>678</v>
      </c>
      <c r="H12711" s="3063"/>
      <c r="I12711" s="3030"/>
    </row>
    <row r="12712" spans="2:9">
      <c r="B12712" s="3192" t="s">
        <v>679</v>
      </c>
      <c r="C12712" s="3063"/>
      <c r="D12712" s="3064">
        <v>1</v>
      </c>
      <c r="E12712" s="3064"/>
      <c r="F12712" s="3064"/>
      <c r="G12712" s="3301" t="s">
        <v>679</v>
      </c>
      <c r="H12712" s="3063"/>
      <c r="I12712" s="3030"/>
    </row>
    <row r="12713" spans="2:9" ht="25.5">
      <c r="B12713" s="3192" t="s">
        <v>720</v>
      </c>
      <c r="C12713" s="3063"/>
      <c r="D12713" s="3064"/>
      <c r="E12713" s="3064"/>
      <c r="F12713" s="3064"/>
      <c r="G12713" s="3301" t="s">
        <v>720</v>
      </c>
      <c r="H12713" s="3063"/>
      <c r="I12713" s="3030"/>
    </row>
    <row r="12714" spans="2:9" ht="25.5">
      <c r="B12714" s="3299" t="s">
        <v>682</v>
      </c>
      <c r="C12714" s="3063"/>
      <c r="D12714" s="3064"/>
      <c r="E12714" s="3064"/>
      <c r="F12714" s="3064"/>
      <c r="G12714" s="3300" t="s">
        <v>682</v>
      </c>
      <c r="H12714" s="3063"/>
      <c r="I12714" s="3030"/>
    </row>
    <row r="12715" spans="2:9" ht="25.5">
      <c r="B12715" s="3192" t="s">
        <v>675</v>
      </c>
      <c r="C12715" s="3063"/>
      <c r="D12715" s="3064"/>
      <c r="E12715" s="3064"/>
      <c r="F12715" s="3064"/>
      <c r="G12715" s="3301" t="s">
        <v>675</v>
      </c>
      <c r="H12715" s="3063"/>
      <c r="I12715" s="3030"/>
    </row>
    <row r="12716" spans="2:9" ht="25.5">
      <c r="B12716" s="3192" t="s">
        <v>676</v>
      </c>
      <c r="C12716" s="3063"/>
      <c r="D12716" s="3064"/>
      <c r="E12716" s="3064"/>
      <c r="F12716" s="3064"/>
      <c r="G12716" s="3301" t="s">
        <v>676</v>
      </c>
      <c r="H12716" s="3063"/>
      <c r="I12716" s="3030"/>
    </row>
    <row r="12717" spans="2:9">
      <c r="B12717" s="3192" t="s">
        <v>677</v>
      </c>
      <c r="C12717" s="3063"/>
      <c r="D12717" s="3064"/>
      <c r="E12717" s="3064"/>
      <c r="F12717" s="3064"/>
      <c r="G12717" s="3301" t="s">
        <v>677</v>
      </c>
      <c r="H12717" s="3063"/>
      <c r="I12717" s="3030"/>
    </row>
    <row r="12718" spans="2:9">
      <c r="B12718" s="3192" t="s">
        <v>678</v>
      </c>
      <c r="C12718" s="3063"/>
      <c r="D12718" s="3064"/>
      <c r="E12718" s="3064"/>
      <c r="F12718" s="3064"/>
      <c r="G12718" s="3301" t="s">
        <v>678</v>
      </c>
      <c r="H12718" s="3063"/>
      <c r="I12718" s="3030"/>
    </row>
    <row r="12719" spans="2:9">
      <c r="B12719" s="3192" t="s">
        <v>679</v>
      </c>
      <c r="C12719" s="3063"/>
      <c r="D12719" s="3064"/>
      <c r="E12719" s="3064"/>
      <c r="F12719" s="3064"/>
      <c r="G12719" s="3301" t="s">
        <v>679</v>
      </c>
      <c r="H12719" s="3063"/>
      <c r="I12719" s="3030"/>
    </row>
    <row r="12720" spans="2:9" ht="25.5">
      <c r="B12720" s="3192" t="s">
        <v>720</v>
      </c>
      <c r="C12720" s="3063"/>
      <c r="D12720" s="3064"/>
      <c r="E12720" s="3064"/>
      <c r="F12720" s="3064"/>
      <c r="G12720" s="3301" t="s">
        <v>720</v>
      </c>
      <c r="H12720" s="3063"/>
      <c r="I12720" s="3030"/>
    </row>
    <row r="12721" spans="2:9" ht="25.5">
      <c r="B12721" s="3299" t="s">
        <v>66</v>
      </c>
      <c r="C12721" s="3063"/>
      <c r="D12721" s="3064"/>
      <c r="E12721" s="3064"/>
      <c r="F12721" s="3064"/>
      <c r="G12721" s="3300" t="s">
        <v>66</v>
      </c>
      <c r="H12721" s="3063"/>
      <c r="I12721" s="3030"/>
    </row>
    <row r="12722" spans="2:9" ht="25.5">
      <c r="B12722" s="3192" t="s">
        <v>675</v>
      </c>
      <c r="C12722" s="3063"/>
      <c r="D12722" s="3064"/>
      <c r="E12722" s="3064"/>
      <c r="F12722" s="3064"/>
      <c r="G12722" s="3301" t="s">
        <v>675</v>
      </c>
      <c r="H12722" s="3063"/>
      <c r="I12722" s="3030"/>
    </row>
    <row r="12723" spans="2:9" ht="25.5">
      <c r="B12723" s="3192" t="s">
        <v>676</v>
      </c>
      <c r="C12723" s="3063"/>
      <c r="D12723" s="3064"/>
      <c r="E12723" s="3064"/>
      <c r="F12723" s="3064"/>
      <c r="G12723" s="3301" t="s">
        <v>676</v>
      </c>
      <c r="H12723" s="3063"/>
      <c r="I12723" s="3030"/>
    </row>
    <row r="12724" spans="2:9">
      <c r="B12724" s="3192" t="s">
        <v>677</v>
      </c>
      <c r="C12724" s="3063"/>
      <c r="D12724" s="3064"/>
      <c r="E12724" s="3064"/>
      <c r="F12724" s="3064"/>
      <c r="G12724" s="3301" t="s">
        <v>677</v>
      </c>
      <c r="H12724" s="3063"/>
      <c r="I12724" s="3030"/>
    </row>
    <row r="12725" spans="2:9">
      <c r="B12725" s="3192" t="s">
        <v>678</v>
      </c>
      <c r="C12725" s="3063"/>
      <c r="D12725" s="3064"/>
      <c r="E12725" s="3064"/>
      <c r="F12725" s="3064"/>
      <c r="G12725" s="3301" t="s">
        <v>678</v>
      </c>
      <c r="H12725" s="3063"/>
      <c r="I12725" s="3030"/>
    </row>
    <row r="12726" spans="2:9">
      <c r="B12726" s="3192" t="s">
        <v>679</v>
      </c>
      <c r="C12726" s="3063"/>
      <c r="D12726" s="3064"/>
      <c r="E12726" s="3064"/>
      <c r="F12726" s="3064"/>
      <c r="G12726" s="3301" t="s">
        <v>679</v>
      </c>
      <c r="H12726" s="3063"/>
      <c r="I12726" s="3030"/>
    </row>
    <row r="12727" spans="2:9" ht="25.5">
      <c r="B12727" s="3192" t="s">
        <v>720</v>
      </c>
      <c r="C12727" s="3063"/>
      <c r="D12727" s="3064"/>
      <c r="E12727" s="3064"/>
      <c r="F12727" s="3064"/>
      <c r="G12727" s="3301" t="s">
        <v>720</v>
      </c>
      <c r="H12727" s="3063"/>
      <c r="I12727" s="3030"/>
    </row>
    <row r="12728" spans="2:9">
      <c r="B12728" s="3299" t="s">
        <v>67</v>
      </c>
      <c r="C12728" s="3063"/>
      <c r="D12728" s="3064"/>
      <c r="E12728" s="3064"/>
      <c r="F12728" s="3064"/>
      <c r="G12728" s="3300" t="s">
        <v>67</v>
      </c>
      <c r="H12728" s="3063"/>
      <c r="I12728" s="3030"/>
    </row>
    <row r="12729" spans="2:9" ht="25.5">
      <c r="B12729" s="3192" t="s">
        <v>675</v>
      </c>
      <c r="C12729" s="3063"/>
      <c r="D12729" s="3064"/>
      <c r="E12729" s="3064"/>
      <c r="F12729" s="3064"/>
      <c r="G12729" s="3301" t="s">
        <v>675</v>
      </c>
      <c r="H12729" s="3063"/>
      <c r="I12729" s="3030"/>
    </row>
    <row r="12730" spans="2:9" ht="25.5">
      <c r="B12730" s="3192" t="s">
        <v>676</v>
      </c>
      <c r="C12730" s="3063"/>
      <c r="D12730" s="3064"/>
      <c r="E12730" s="3064"/>
      <c r="F12730" s="3064"/>
      <c r="G12730" s="3301" t="s">
        <v>676</v>
      </c>
      <c r="H12730" s="3063"/>
      <c r="I12730" s="3030"/>
    </row>
    <row r="12731" spans="2:9">
      <c r="B12731" s="3192" t="s">
        <v>677</v>
      </c>
      <c r="C12731" s="3063"/>
      <c r="D12731" s="3064"/>
      <c r="E12731" s="3064"/>
      <c r="F12731" s="3064"/>
      <c r="G12731" s="3301" t="s">
        <v>677</v>
      </c>
      <c r="H12731" s="3063"/>
      <c r="I12731" s="3030"/>
    </row>
    <row r="12732" spans="2:9">
      <c r="B12732" s="3192" t="s">
        <v>678</v>
      </c>
      <c r="C12732" s="3063"/>
      <c r="D12732" s="3064"/>
      <c r="E12732" s="3064"/>
      <c r="F12732" s="3064"/>
      <c r="G12732" s="3301" t="s">
        <v>678</v>
      </c>
      <c r="H12732" s="3063"/>
      <c r="I12732" s="3030"/>
    </row>
    <row r="12733" spans="2:9">
      <c r="B12733" s="3192" t="s">
        <v>679</v>
      </c>
      <c r="C12733" s="3063"/>
      <c r="D12733" s="3064"/>
      <c r="E12733" s="3064"/>
      <c r="F12733" s="3064"/>
      <c r="G12733" s="3301" t="s">
        <v>679</v>
      </c>
      <c r="H12733" s="3063"/>
      <c r="I12733" s="3030"/>
    </row>
    <row r="12734" spans="2:9" ht="25.5">
      <c r="B12734" s="3230" t="s">
        <v>81</v>
      </c>
      <c r="C12734" s="3063"/>
      <c r="D12734" s="3064"/>
      <c r="E12734" s="3064"/>
      <c r="F12734" s="3064"/>
      <c r="G12734" s="3302" t="s">
        <v>81</v>
      </c>
      <c r="H12734" s="3063"/>
      <c r="I12734" s="3030"/>
    </row>
    <row r="12735" spans="2:9" ht="26.25" thickBot="1">
      <c r="B12735" s="3303" t="s">
        <v>81</v>
      </c>
      <c r="C12735" s="3068"/>
      <c r="D12735" s="3069"/>
      <c r="E12735" s="3069"/>
      <c r="F12735" s="3069"/>
      <c r="G12735" s="3304" t="s">
        <v>81</v>
      </c>
      <c r="H12735" s="3068"/>
      <c r="I12735" s="3070"/>
    </row>
    <row r="12736" spans="2:9" ht="38.25">
      <c r="B12736" s="4723">
        <v>3337</v>
      </c>
      <c r="C12736" s="3289"/>
      <c r="D12736" s="3290"/>
      <c r="E12736" s="3290"/>
      <c r="F12736" s="3290"/>
      <c r="G12736" s="4723">
        <v>3337</v>
      </c>
      <c r="H12736" s="3291" t="s">
        <v>687</v>
      </c>
      <c r="I12736" s="3292" t="s">
        <v>688</v>
      </c>
    </row>
    <row r="12737" spans="2:9">
      <c r="B12737" s="4724"/>
      <c r="C12737" s="4678" t="s">
        <v>686</v>
      </c>
      <c r="D12737" s="4725"/>
      <c r="E12737" s="4725"/>
      <c r="F12737" s="4726"/>
      <c r="G12737" s="4724"/>
      <c r="H12737" s="3293"/>
      <c r="I12737" s="3294"/>
    </row>
    <row r="12738" spans="2:9" ht="13.5" thickBot="1">
      <c r="B12738" s="4724"/>
      <c r="C12738" s="3215">
        <v>2013</v>
      </c>
      <c r="D12738" s="3215">
        <v>2014</v>
      </c>
      <c r="E12738" s="3215">
        <v>2015</v>
      </c>
      <c r="F12738" s="3215">
        <v>2016</v>
      </c>
      <c r="G12738" s="4724"/>
      <c r="H12738" s="3295" t="s">
        <v>390</v>
      </c>
      <c r="I12738" s="3296" t="s">
        <v>390</v>
      </c>
    </row>
    <row r="12739" spans="2:9">
      <c r="B12739" s="3217" t="s">
        <v>695</v>
      </c>
      <c r="C12739" s="3218"/>
      <c r="D12739" s="3219"/>
      <c r="E12739" s="3219"/>
      <c r="F12739" s="3219"/>
      <c r="G12739" s="3217" t="s">
        <v>695</v>
      </c>
      <c r="H12739" s="3297"/>
      <c r="I12739" s="3298"/>
    </row>
    <row r="12740" spans="2:9">
      <c r="B12740" s="3299" t="s">
        <v>64</v>
      </c>
      <c r="C12740" s="3063"/>
      <c r="D12740" s="3064"/>
      <c r="E12740" s="3064"/>
      <c r="F12740" s="3064"/>
      <c r="G12740" s="3300" t="s">
        <v>64</v>
      </c>
      <c r="H12740" s="3063"/>
      <c r="I12740" s="3030"/>
    </row>
    <row r="12741" spans="2:9" ht="25.5">
      <c r="B12741" s="3192" t="s">
        <v>675</v>
      </c>
      <c r="C12741" s="3063"/>
      <c r="D12741" s="3064"/>
      <c r="E12741" s="3064"/>
      <c r="F12741" s="3064"/>
      <c r="G12741" s="3301" t="s">
        <v>675</v>
      </c>
      <c r="H12741" s="3063"/>
      <c r="I12741" s="3030"/>
    </row>
    <row r="12742" spans="2:9" ht="25.5">
      <c r="B12742" s="3192" t="s">
        <v>676</v>
      </c>
      <c r="C12742" s="3063"/>
      <c r="D12742" s="3064"/>
      <c r="E12742" s="3064"/>
      <c r="F12742" s="3064"/>
      <c r="G12742" s="3301" t="s">
        <v>676</v>
      </c>
      <c r="H12742" s="3063"/>
      <c r="I12742" s="3030"/>
    </row>
    <row r="12743" spans="2:9">
      <c r="B12743" s="3192" t="s">
        <v>677</v>
      </c>
      <c r="C12743" s="3063"/>
      <c r="D12743" s="3064"/>
      <c r="E12743" s="3064"/>
      <c r="F12743" s="3064"/>
      <c r="G12743" s="3301" t="s">
        <v>677</v>
      </c>
      <c r="H12743" s="3063"/>
      <c r="I12743" s="3030"/>
    </row>
    <row r="12744" spans="2:9">
      <c r="B12744" s="3192" t="s">
        <v>678</v>
      </c>
      <c r="C12744" s="3063"/>
      <c r="D12744" s="3064"/>
      <c r="E12744" s="3064"/>
      <c r="F12744" s="3064"/>
      <c r="G12744" s="3301" t="s">
        <v>678</v>
      </c>
      <c r="H12744" s="3063"/>
      <c r="I12744" s="3030"/>
    </row>
    <row r="12745" spans="2:9">
      <c r="B12745" s="3192" t="s">
        <v>679</v>
      </c>
      <c r="C12745" s="3063"/>
      <c r="D12745" s="3064"/>
      <c r="E12745" s="3064"/>
      <c r="F12745" s="3064"/>
      <c r="G12745" s="3301" t="s">
        <v>679</v>
      </c>
      <c r="H12745" s="3063"/>
      <c r="I12745" s="3030"/>
    </row>
    <row r="12746" spans="2:9" ht="25.5">
      <c r="B12746" s="3192" t="s">
        <v>720</v>
      </c>
      <c r="C12746" s="3063"/>
      <c r="D12746" s="3064"/>
      <c r="E12746" s="3064"/>
      <c r="F12746" s="3064"/>
      <c r="G12746" s="3301" t="s">
        <v>720</v>
      </c>
      <c r="H12746" s="3063"/>
      <c r="I12746" s="3030"/>
    </row>
    <row r="12747" spans="2:9">
      <c r="B12747" s="3299" t="s">
        <v>65</v>
      </c>
      <c r="C12747" s="3063"/>
      <c r="D12747" s="3064"/>
      <c r="E12747" s="3064"/>
      <c r="F12747" s="3064"/>
      <c r="G12747" s="3300" t="s">
        <v>65</v>
      </c>
      <c r="H12747" s="3063"/>
      <c r="I12747" s="3030"/>
    </row>
    <row r="12748" spans="2:9" ht="25.5">
      <c r="B12748" s="3192" t="s">
        <v>675</v>
      </c>
      <c r="C12748" s="3063"/>
      <c r="D12748" s="3064"/>
      <c r="E12748" s="3064"/>
      <c r="F12748" s="3064"/>
      <c r="G12748" s="3301" t="s">
        <v>675</v>
      </c>
      <c r="H12748" s="3063"/>
      <c r="I12748" s="3030"/>
    </row>
    <row r="12749" spans="2:9" ht="25.5">
      <c r="B12749" s="3192" t="s">
        <v>676</v>
      </c>
      <c r="C12749" s="3063"/>
      <c r="D12749" s="3064"/>
      <c r="E12749" s="3064"/>
      <c r="F12749" s="3064"/>
      <c r="G12749" s="3301" t="s">
        <v>676</v>
      </c>
      <c r="H12749" s="3063"/>
      <c r="I12749" s="3030"/>
    </row>
    <row r="12750" spans="2:9">
      <c r="B12750" s="3192" t="s">
        <v>677</v>
      </c>
      <c r="C12750" s="3063"/>
      <c r="D12750" s="3064"/>
      <c r="E12750" s="3064"/>
      <c r="F12750" s="3064"/>
      <c r="G12750" s="3301" t="s">
        <v>677</v>
      </c>
      <c r="H12750" s="3063"/>
      <c r="I12750" s="3030"/>
    </row>
    <row r="12751" spans="2:9">
      <c r="B12751" s="3192" t="s">
        <v>678</v>
      </c>
      <c r="C12751" s="3063"/>
      <c r="D12751" s="3064"/>
      <c r="E12751" s="3064"/>
      <c r="F12751" s="3064"/>
      <c r="G12751" s="3301" t="s">
        <v>678</v>
      </c>
      <c r="H12751" s="3063"/>
      <c r="I12751" s="3030"/>
    </row>
    <row r="12752" spans="2:9">
      <c r="B12752" s="3192" t="s">
        <v>679</v>
      </c>
      <c r="C12752" s="3063"/>
      <c r="D12752" s="3064"/>
      <c r="E12752" s="3064"/>
      <c r="F12752" s="3064"/>
      <c r="G12752" s="3301" t="s">
        <v>679</v>
      </c>
      <c r="H12752" s="3063"/>
      <c r="I12752" s="3030"/>
    </row>
    <row r="12753" spans="2:9" ht="25.5">
      <c r="B12753" s="3192" t="s">
        <v>720</v>
      </c>
      <c r="C12753" s="3063"/>
      <c r="D12753" s="3064"/>
      <c r="E12753" s="3064"/>
      <c r="F12753" s="3064"/>
      <c r="G12753" s="3301" t="s">
        <v>720</v>
      </c>
      <c r="H12753" s="3063"/>
      <c r="I12753" s="3030"/>
    </row>
    <row r="12754" spans="2:9">
      <c r="B12754" s="3299" t="s">
        <v>82</v>
      </c>
      <c r="C12754" s="3063"/>
      <c r="D12754" s="3064"/>
      <c r="E12754" s="3064"/>
      <c r="F12754" s="3064"/>
      <c r="G12754" s="3300" t="s">
        <v>82</v>
      </c>
      <c r="H12754" s="3063"/>
      <c r="I12754" s="3030"/>
    </row>
    <row r="12755" spans="2:9" ht="25.5">
      <c r="B12755" s="3192" t="s">
        <v>675</v>
      </c>
      <c r="C12755" s="3063"/>
      <c r="D12755" s="3064"/>
      <c r="E12755" s="3064"/>
      <c r="F12755" s="3064"/>
      <c r="G12755" s="3301" t="s">
        <v>675</v>
      </c>
      <c r="H12755" s="3063"/>
      <c r="I12755" s="3030"/>
    </row>
    <row r="12756" spans="2:9" ht="25.5">
      <c r="B12756" s="3192" t="s">
        <v>676</v>
      </c>
      <c r="C12756" s="3063"/>
      <c r="D12756" s="3064"/>
      <c r="E12756" s="3064"/>
      <c r="F12756" s="3064"/>
      <c r="G12756" s="3301" t="s">
        <v>676</v>
      </c>
      <c r="H12756" s="3063"/>
      <c r="I12756" s="3030"/>
    </row>
    <row r="12757" spans="2:9">
      <c r="B12757" s="3192" t="s">
        <v>677</v>
      </c>
      <c r="C12757" s="3063"/>
      <c r="D12757" s="3064"/>
      <c r="E12757" s="3064"/>
      <c r="F12757" s="3064"/>
      <c r="G12757" s="3301" t="s">
        <v>677</v>
      </c>
      <c r="H12757" s="3063"/>
      <c r="I12757" s="3030"/>
    </row>
    <row r="12758" spans="2:9">
      <c r="B12758" s="3192" t="s">
        <v>678</v>
      </c>
      <c r="C12758" s="3063"/>
      <c r="D12758" s="3064"/>
      <c r="E12758" s="3064"/>
      <c r="F12758" s="3064"/>
      <c r="G12758" s="3301" t="s">
        <v>678</v>
      </c>
      <c r="H12758" s="3063"/>
      <c r="I12758" s="3030"/>
    </row>
    <row r="12759" spans="2:9">
      <c r="B12759" s="3192" t="s">
        <v>679</v>
      </c>
      <c r="C12759" s="3063"/>
      <c r="D12759" s="3064"/>
      <c r="E12759" s="3064"/>
      <c r="F12759" s="3064"/>
      <c r="G12759" s="3301" t="s">
        <v>679</v>
      </c>
      <c r="H12759" s="3063"/>
      <c r="I12759" s="3030"/>
    </row>
    <row r="12760" spans="2:9" ht="25.5">
      <c r="B12760" s="3192" t="s">
        <v>720</v>
      </c>
      <c r="C12760" s="3063"/>
      <c r="D12760" s="3064"/>
      <c r="E12760" s="3064"/>
      <c r="F12760" s="3064"/>
      <c r="G12760" s="3301" t="s">
        <v>720</v>
      </c>
      <c r="H12760" s="3063"/>
      <c r="I12760" s="3030"/>
    </row>
    <row r="12761" spans="2:9" ht="38.25">
      <c r="B12761" s="3299" t="s">
        <v>680</v>
      </c>
      <c r="C12761" s="3063"/>
      <c r="D12761" s="3064"/>
      <c r="E12761" s="3064"/>
      <c r="F12761" s="3064"/>
      <c r="G12761" s="3300" t="s">
        <v>680</v>
      </c>
      <c r="H12761" s="3063"/>
      <c r="I12761" s="3030"/>
    </row>
    <row r="12762" spans="2:9" ht="25.5">
      <c r="B12762" s="3192" t="s">
        <v>675</v>
      </c>
      <c r="C12762" s="3063"/>
      <c r="D12762" s="3064"/>
      <c r="E12762" s="3064"/>
      <c r="F12762" s="3064"/>
      <c r="G12762" s="3301" t="s">
        <v>675</v>
      </c>
      <c r="H12762" s="3063"/>
      <c r="I12762" s="3030"/>
    </row>
    <row r="12763" spans="2:9" ht="25.5">
      <c r="B12763" s="3192" t="s">
        <v>676</v>
      </c>
      <c r="C12763" s="3063"/>
      <c r="D12763" s="3064"/>
      <c r="E12763" s="3064"/>
      <c r="F12763" s="3064"/>
      <c r="G12763" s="3301" t="s">
        <v>676</v>
      </c>
      <c r="H12763" s="3063"/>
      <c r="I12763" s="3030"/>
    </row>
    <row r="12764" spans="2:9">
      <c r="B12764" s="3192" t="s">
        <v>677</v>
      </c>
      <c r="C12764" s="3063"/>
      <c r="D12764" s="3064"/>
      <c r="E12764" s="3064"/>
      <c r="F12764" s="3064"/>
      <c r="G12764" s="3301" t="s">
        <v>677</v>
      </c>
      <c r="H12764" s="3063"/>
      <c r="I12764" s="3030"/>
    </row>
    <row r="12765" spans="2:9">
      <c r="B12765" s="3192" t="s">
        <v>678</v>
      </c>
      <c r="C12765" s="3063"/>
      <c r="D12765" s="3064"/>
      <c r="E12765" s="3064"/>
      <c r="F12765" s="3064"/>
      <c r="G12765" s="3301" t="s">
        <v>678</v>
      </c>
      <c r="H12765" s="3063"/>
      <c r="I12765" s="3030"/>
    </row>
    <row r="12766" spans="2:9">
      <c r="B12766" s="3192" t="s">
        <v>679</v>
      </c>
      <c r="C12766" s="3063"/>
      <c r="D12766" s="3064"/>
      <c r="E12766" s="3064"/>
      <c r="F12766" s="3064"/>
      <c r="G12766" s="3301" t="s">
        <v>679</v>
      </c>
      <c r="H12766" s="3063"/>
      <c r="I12766" s="3030"/>
    </row>
    <row r="12767" spans="2:9" ht="25.5">
      <c r="B12767" s="3192" t="s">
        <v>720</v>
      </c>
      <c r="C12767" s="3063"/>
      <c r="D12767" s="3064"/>
      <c r="E12767" s="3064"/>
      <c r="F12767" s="3064"/>
      <c r="G12767" s="3301" t="s">
        <v>720</v>
      </c>
      <c r="H12767" s="3063"/>
      <c r="I12767" s="3030"/>
    </row>
    <row r="12768" spans="2:9" ht="38.25">
      <c r="B12768" s="3299" t="s">
        <v>681</v>
      </c>
      <c r="C12768" s="3063"/>
      <c r="D12768" s="3064"/>
      <c r="E12768" s="3064"/>
      <c r="F12768" s="3064"/>
      <c r="G12768" s="3300" t="s">
        <v>681</v>
      </c>
      <c r="H12768" s="3063"/>
      <c r="I12768" s="3030"/>
    </row>
    <row r="12769" spans="2:9" ht="25.5">
      <c r="B12769" s="3192" t="s">
        <v>675</v>
      </c>
      <c r="C12769" s="3063"/>
      <c r="D12769" s="3064"/>
      <c r="E12769" s="3064"/>
      <c r="F12769" s="3064"/>
      <c r="G12769" s="3301" t="s">
        <v>675</v>
      </c>
      <c r="H12769" s="3063"/>
      <c r="I12769" s="3030"/>
    </row>
    <row r="12770" spans="2:9" ht="25.5">
      <c r="B12770" s="3192" t="s">
        <v>676</v>
      </c>
      <c r="C12770" s="3063"/>
      <c r="D12770" s="3064"/>
      <c r="E12770" s="3064"/>
      <c r="F12770" s="3064"/>
      <c r="G12770" s="3301" t="s">
        <v>676</v>
      </c>
      <c r="H12770" s="3063"/>
      <c r="I12770" s="3030"/>
    </row>
    <row r="12771" spans="2:9">
      <c r="B12771" s="3192" t="s">
        <v>677</v>
      </c>
      <c r="C12771" s="3063"/>
      <c r="D12771" s="3064"/>
      <c r="E12771" s="3064"/>
      <c r="F12771" s="3064"/>
      <c r="G12771" s="3301" t="s">
        <v>677</v>
      </c>
      <c r="H12771" s="3063"/>
      <c r="I12771" s="3030"/>
    </row>
    <row r="12772" spans="2:9">
      <c r="B12772" s="3192" t="s">
        <v>678</v>
      </c>
      <c r="C12772" s="3063"/>
      <c r="D12772" s="3064"/>
      <c r="E12772" s="3064"/>
      <c r="F12772" s="3064"/>
      <c r="G12772" s="3301" t="s">
        <v>678</v>
      </c>
      <c r="H12772" s="3063"/>
      <c r="I12772" s="3030"/>
    </row>
    <row r="12773" spans="2:9">
      <c r="B12773" s="3192" t="s">
        <v>679</v>
      </c>
      <c r="C12773" s="3063"/>
      <c r="D12773" s="3064"/>
      <c r="E12773" s="3064"/>
      <c r="F12773" s="3064"/>
      <c r="G12773" s="3301" t="s">
        <v>679</v>
      </c>
      <c r="H12773" s="3063"/>
      <c r="I12773" s="3030"/>
    </row>
    <row r="12774" spans="2:9" ht="25.5">
      <c r="B12774" s="3192" t="s">
        <v>720</v>
      </c>
      <c r="C12774" s="3063"/>
      <c r="D12774" s="3064"/>
      <c r="E12774" s="3064"/>
      <c r="F12774" s="3064"/>
      <c r="G12774" s="3301" t="s">
        <v>720</v>
      </c>
      <c r="H12774" s="3063"/>
      <c r="I12774" s="3030"/>
    </row>
    <row r="12775" spans="2:9" ht="25.5">
      <c r="B12775" s="3299" t="s">
        <v>682</v>
      </c>
      <c r="C12775" s="3063"/>
      <c r="D12775" s="3064"/>
      <c r="E12775" s="3064"/>
      <c r="F12775" s="3064"/>
      <c r="G12775" s="3300" t="s">
        <v>682</v>
      </c>
      <c r="H12775" s="3063"/>
      <c r="I12775" s="3030"/>
    </row>
    <row r="12776" spans="2:9" ht="25.5">
      <c r="B12776" s="3192" t="s">
        <v>675</v>
      </c>
      <c r="C12776" s="3063"/>
      <c r="D12776" s="3064"/>
      <c r="E12776" s="3064"/>
      <c r="F12776" s="3064"/>
      <c r="G12776" s="3301" t="s">
        <v>675</v>
      </c>
      <c r="H12776" s="3063"/>
      <c r="I12776" s="3030"/>
    </row>
    <row r="12777" spans="2:9" ht="25.5">
      <c r="B12777" s="3192" t="s">
        <v>676</v>
      </c>
      <c r="C12777" s="3063"/>
      <c r="D12777" s="3064"/>
      <c r="E12777" s="3064"/>
      <c r="F12777" s="3064"/>
      <c r="G12777" s="3301" t="s">
        <v>676</v>
      </c>
      <c r="H12777" s="3063"/>
      <c r="I12777" s="3030"/>
    </row>
    <row r="12778" spans="2:9">
      <c r="B12778" s="3192" t="s">
        <v>677</v>
      </c>
      <c r="C12778" s="3063"/>
      <c r="D12778" s="3064"/>
      <c r="E12778" s="3064"/>
      <c r="F12778" s="3064"/>
      <c r="G12778" s="3301" t="s">
        <v>677</v>
      </c>
      <c r="H12778" s="3063"/>
      <c r="I12778" s="3030"/>
    </row>
    <row r="12779" spans="2:9">
      <c r="B12779" s="3192" t="s">
        <v>678</v>
      </c>
      <c r="C12779" s="3063"/>
      <c r="D12779" s="3064"/>
      <c r="E12779" s="3064"/>
      <c r="F12779" s="3064"/>
      <c r="G12779" s="3301" t="s">
        <v>678</v>
      </c>
      <c r="H12779" s="3063"/>
      <c r="I12779" s="3030"/>
    </row>
    <row r="12780" spans="2:9">
      <c r="B12780" s="3192" t="s">
        <v>679</v>
      </c>
      <c r="C12780" s="3063"/>
      <c r="D12780" s="3064"/>
      <c r="E12780" s="3064"/>
      <c r="F12780" s="3064"/>
      <c r="G12780" s="3301" t="s">
        <v>679</v>
      </c>
      <c r="H12780" s="3063"/>
      <c r="I12780" s="3030"/>
    </row>
    <row r="12781" spans="2:9" ht="25.5">
      <c r="B12781" s="3192" t="s">
        <v>720</v>
      </c>
      <c r="C12781" s="3063"/>
      <c r="D12781" s="3064"/>
      <c r="E12781" s="3064"/>
      <c r="F12781" s="3064"/>
      <c r="G12781" s="3301" t="s">
        <v>720</v>
      </c>
      <c r="H12781" s="3063"/>
      <c r="I12781" s="3030"/>
    </row>
    <row r="12782" spans="2:9" ht="25.5">
      <c r="B12782" s="3299" t="s">
        <v>66</v>
      </c>
      <c r="C12782" s="3063"/>
      <c r="D12782" s="3064"/>
      <c r="E12782" s="3064"/>
      <c r="F12782" s="3064"/>
      <c r="G12782" s="3300" t="s">
        <v>66</v>
      </c>
      <c r="H12782" s="3063"/>
      <c r="I12782" s="3030"/>
    </row>
    <row r="12783" spans="2:9" ht="25.5">
      <c r="B12783" s="3192" t="s">
        <v>675</v>
      </c>
      <c r="C12783" s="3063"/>
      <c r="D12783" s="3064"/>
      <c r="E12783" s="3064"/>
      <c r="F12783" s="3064"/>
      <c r="G12783" s="3301" t="s">
        <v>675</v>
      </c>
      <c r="H12783" s="3063"/>
      <c r="I12783" s="3030"/>
    </row>
    <row r="12784" spans="2:9" ht="25.5">
      <c r="B12784" s="3192" t="s">
        <v>676</v>
      </c>
      <c r="C12784" s="3063"/>
      <c r="D12784" s="3064"/>
      <c r="E12784" s="3064"/>
      <c r="F12784" s="3064"/>
      <c r="G12784" s="3301" t="s">
        <v>676</v>
      </c>
      <c r="H12784" s="3063"/>
      <c r="I12784" s="3030"/>
    </row>
    <row r="12785" spans="2:9">
      <c r="B12785" s="3192" t="s">
        <v>677</v>
      </c>
      <c r="C12785" s="3063"/>
      <c r="D12785" s="3064"/>
      <c r="E12785" s="3064"/>
      <c r="F12785" s="3064"/>
      <c r="G12785" s="3301" t="s">
        <v>677</v>
      </c>
      <c r="H12785" s="3063"/>
      <c r="I12785" s="3030"/>
    </row>
    <row r="12786" spans="2:9">
      <c r="B12786" s="3192" t="s">
        <v>678</v>
      </c>
      <c r="C12786" s="3063"/>
      <c r="D12786" s="3064"/>
      <c r="E12786" s="3064"/>
      <c r="F12786" s="3064"/>
      <c r="G12786" s="3301" t="s">
        <v>678</v>
      </c>
      <c r="H12786" s="3063"/>
      <c r="I12786" s="3030"/>
    </row>
    <row r="12787" spans="2:9">
      <c r="B12787" s="3192" t="s">
        <v>679</v>
      </c>
      <c r="C12787" s="3063"/>
      <c r="D12787" s="3064"/>
      <c r="E12787" s="3064"/>
      <c r="F12787" s="3064"/>
      <c r="G12787" s="3301" t="s">
        <v>679</v>
      </c>
      <c r="H12787" s="3063"/>
      <c r="I12787" s="3030"/>
    </row>
    <row r="12788" spans="2:9" ht="25.5">
      <c r="B12788" s="3192" t="s">
        <v>720</v>
      </c>
      <c r="C12788" s="3063"/>
      <c r="D12788" s="3064"/>
      <c r="E12788" s="3064"/>
      <c r="F12788" s="3064"/>
      <c r="G12788" s="3301" t="s">
        <v>720</v>
      </c>
      <c r="H12788" s="3063"/>
      <c r="I12788" s="3030"/>
    </row>
    <row r="12789" spans="2:9">
      <c r="B12789" s="3299" t="s">
        <v>67</v>
      </c>
      <c r="C12789" s="3063"/>
      <c r="D12789" s="3064"/>
      <c r="E12789" s="3064"/>
      <c r="F12789" s="3064"/>
      <c r="G12789" s="3300" t="s">
        <v>67</v>
      </c>
      <c r="H12789" s="3063"/>
      <c r="I12789" s="3030"/>
    </row>
    <row r="12790" spans="2:9" ht="25.5">
      <c r="B12790" s="3192" t="s">
        <v>675</v>
      </c>
      <c r="C12790" s="3063"/>
      <c r="D12790" s="3064"/>
      <c r="E12790" s="3064"/>
      <c r="F12790" s="3064"/>
      <c r="G12790" s="3301" t="s">
        <v>675</v>
      </c>
      <c r="H12790" s="3063"/>
      <c r="I12790" s="3030"/>
    </row>
    <row r="12791" spans="2:9" ht="25.5">
      <c r="B12791" s="3192" t="s">
        <v>676</v>
      </c>
      <c r="C12791" s="3063"/>
      <c r="D12791" s="3064"/>
      <c r="E12791" s="3064"/>
      <c r="F12791" s="3064"/>
      <c r="G12791" s="3301" t="s">
        <v>676</v>
      </c>
      <c r="H12791" s="3063"/>
      <c r="I12791" s="3030"/>
    </row>
    <row r="12792" spans="2:9">
      <c r="B12792" s="3192" t="s">
        <v>677</v>
      </c>
      <c r="C12792" s="3063"/>
      <c r="D12792" s="3064"/>
      <c r="E12792" s="3064"/>
      <c r="F12792" s="3064"/>
      <c r="G12792" s="3301" t="s">
        <v>677</v>
      </c>
      <c r="H12792" s="3063"/>
      <c r="I12792" s="3030"/>
    </row>
    <row r="12793" spans="2:9">
      <c r="B12793" s="3192" t="s">
        <v>678</v>
      </c>
      <c r="C12793" s="3063"/>
      <c r="D12793" s="3064"/>
      <c r="E12793" s="3064"/>
      <c r="F12793" s="3064"/>
      <c r="G12793" s="3301" t="s">
        <v>678</v>
      </c>
      <c r="H12793" s="3063"/>
      <c r="I12793" s="3030"/>
    </row>
    <row r="12794" spans="2:9">
      <c r="B12794" s="3192" t="s">
        <v>679</v>
      </c>
      <c r="C12794" s="3063"/>
      <c r="D12794" s="3064"/>
      <c r="E12794" s="3064"/>
      <c r="F12794" s="3064"/>
      <c r="G12794" s="3301" t="s">
        <v>679</v>
      </c>
      <c r="H12794" s="3063"/>
      <c r="I12794" s="3030"/>
    </row>
    <row r="12795" spans="2:9" ht="25.5">
      <c r="B12795" s="3192" t="s">
        <v>720</v>
      </c>
      <c r="C12795" s="3063"/>
      <c r="D12795" s="3064"/>
      <c r="E12795" s="3064"/>
      <c r="F12795" s="3064"/>
      <c r="G12795" s="3301" t="s">
        <v>720</v>
      </c>
      <c r="H12795" s="3063"/>
      <c r="I12795" s="3030"/>
    </row>
    <row r="12796" spans="2:9" ht="25.5">
      <c r="B12796" s="3230" t="s">
        <v>81</v>
      </c>
      <c r="C12796" s="3063"/>
      <c r="D12796" s="3064"/>
      <c r="E12796" s="3064"/>
      <c r="F12796" s="3064"/>
      <c r="G12796" s="3302" t="s">
        <v>81</v>
      </c>
      <c r="H12796" s="3063"/>
      <c r="I12796" s="3030"/>
    </row>
    <row r="12797" spans="2:9" ht="26.25" thickBot="1">
      <c r="B12797" s="3303" t="s">
        <v>81</v>
      </c>
      <c r="C12797" s="3063"/>
      <c r="D12797" s="3064"/>
      <c r="E12797" s="3064"/>
      <c r="F12797" s="3064"/>
      <c r="G12797" s="3302" t="s">
        <v>81</v>
      </c>
      <c r="H12797" s="3063"/>
      <c r="I12797" s="3030"/>
    </row>
    <row r="12798" spans="2:9" ht="25.5">
      <c r="B12798" s="3217" t="s">
        <v>696</v>
      </c>
      <c r="C12798" s="3218"/>
      <c r="D12798" s="3219"/>
      <c r="E12798" s="3219"/>
      <c r="F12798" s="3219"/>
      <c r="G12798" s="3217" t="s">
        <v>696</v>
      </c>
      <c r="H12798" s="3297"/>
      <c r="I12798" s="3298"/>
    </row>
    <row r="12799" spans="2:9">
      <c r="B12799" s="3299" t="s">
        <v>64</v>
      </c>
      <c r="C12799" s="3063"/>
      <c r="D12799" s="3064"/>
      <c r="E12799" s="3064"/>
      <c r="F12799" s="3064"/>
      <c r="G12799" s="3300" t="s">
        <v>64</v>
      </c>
      <c r="H12799" s="3063"/>
      <c r="I12799" s="3030"/>
    </row>
    <row r="12800" spans="2:9" ht="25.5">
      <c r="B12800" s="3192" t="s">
        <v>675</v>
      </c>
      <c r="C12800" s="3063"/>
      <c r="D12800" s="3064"/>
      <c r="E12800" s="3064"/>
      <c r="F12800" s="3064"/>
      <c r="G12800" s="3301" t="s">
        <v>675</v>
      </c>
      <c r="H12800" s="3063"/>
      <c r="I12800" s="3030"/>
    </row>
    <row r="12801" spans="2:9" ht="25.5">
      <c r="B12801" s="3192" t="s">
        <v>676</v>
      </c>
      <c r="C12801" s="3063"/>
      <c r="D12801" s="3064"/>
      <c r="E12801" s="3064"/>
      <c r="F12801" s="3064"/>
      <c r="G12801" s="3301" t="s">
        <v>676</v>
      </c>
      <c r="H12801" s="3063"/>
      <c r="I12801" s="3030"/>
    </row>
    <row r="12802" spans="2:9">
      <c r="B12802" s="3192" t="s">
        <v>677</v>
      </c>
      <c r="C12802" s="3063"/>
      <c r="D12802" s="3064"/>
      <c r="E12802" s="3064"/>
      <c r="F12802" s="3064"/>
      <c r="G12802" s="3301" t="s">
        <v>677</v>
      </c>
      <c r="H12802" s="3063"/>
      <c r="I12802" s="3030"/>
    </row>
    <row r="12803" spans="2:9">
      <c r="B12803" s="3192" t="s">
        <v>678</v>
      </c>
      <c r="C12803" s="3063"/>
      <c r="D12803" s="3064"/>
      <c r="E12803" s="3064"/>
      <c r="F12803" s="3064"/>
      <c r="G12803" s="3301" t="s">
        <v>678</v>
      </c>
      <c r="H12803" s="3063"/>
      <c r="I12803" s="3030"/>
    </row>
    <row r="12804" spans="2:9">
      <c r="B12804" s="3192" t="s">
        <v>679</v>
      </c>
      <c r="C12804" s="3063"/>
      <c r="D12804" s="3064"/>
      <c r="E12804" s="3064"/>
      <c r="F12804" s="3064"/>
      <c r="G12804" s="3301" t="s">
        <v>679</v>
      </c>
      <c r="H12804" s="3063"/>
      <c r="I12804" s="3030"/>
    </row>
    <row r="12805" spans="2:9" ht="25.5">
      <c r="B12805" s="3192" t="s">
        <v>720</v>
      </c>
      <c r="C12805" s="3063"/>
      <c r="D12805" s="3064"/>
      <c r="E12805" s="3064"/>
      <c r="F12805" s="3064"/>
      <c r="G12805" s="3301" t="s">
        <v>720</v>
      </c>
      <c r="H12805" s="3063"/>
      <c r="I12805" s="3030"/>
    </row>
    <row r="12806" spans="2:9">
      <c r="B12806" s="3299" t="s">
        <v>65</v>
      </c>
      <c r="C12806" s="3063"/>
      <c r="D12806" s="3064"/>
      <c r="E12806" s="3064"/>
      <c r="F12806" s="3064"/>
      <c r="G12806" s="3300" t="s">
        <v>65</v>
      </c>
      <c r="H12806" s="3063"/>
      <c r="I12806" s="3030"/>
    </row>
    <row r="12807" spans="2:9" ht="25.5">
      <c r="B12807" s="3192" t="s">
        <v>675</v>
      </c>
      <c r="C12807" s="3063"/>
      <c r="D12807" s="3064"/>
      <c r="E12807" s="3064"/>
      <c r="F12807" s="3064"/>
      <c r="G12807" s="3301" t="s">
        <v>675</v>
      </c>
      <c r="H12807" s="3063"/>
      <c r="I12807" s="3030"/>
    </row>
    <row r="12808" spans="2:9" ht="25.5">
      <c r="B12808" s="3192" t="s">
        <v>676</v>
      </c>
      <c r="C12808" s="3063"/>
      <c r="D12808" s="3064"/>
      <c r="E12808" s="3064"/>
      <c r="F12808" s="3064"/>
      <c r="G12808" s="3301" t="s">
        <v>676</v>
      </c>
      <c r="H12808" s="3063"/>
      <c r="I12808" s="3030"/>
    </row>
    <row r="12809" spans="2:9">
      <c r="B12809" s="3192" t="s">
        <v>677</v>
      </c>
      <c r="C12809" s="3063"/>
      <c r="D12809" s="3064"/>
      <c r="E12809" s="3064"/>
      <c r="F12809" s="3064"/>
      <c r="G12809" s="3301" t="s">
        <v>677</v>
      </c>
      <c r="H12809" s="3063"/>
      <c r="I12809" s="3030"/>
    </row>
    <row r="12810" spans="2:9">
      <c r="B12810" s="3192" t="s">
        <v>678</v>
      </c>
      <c r="C12810" s="3063"/>
      <c r="D12810" s="3064"/>
      <c r="E12810" s="3064"/>
      <c r="F12810" s="3064"/>
      <c r="G12810" s="3301" t="s">
        <v>678</v>
      </c>
      <c r="H12810" s="3063"/>
      <c r="I12810" s="3030"/>
    </row>
    <row r="12811" spans="2:9">
      <c r="B12811" s="3192" t="s">
        <v>679</v>
      </c>
      <c r="C12811" s="3063"/>
      <c r="D12811" s="3064"/>
      <c r="E12811" s="3064"/>
      <c r="F12811" s="3064"/>
      <c r="G12811" s="3301" t="s">
        <v>679</v>
      </c>
      <c r="H12811" s="3063"/>
      <c r="I12811" s="3030"/>
    </row>
    <row r="12812" spans="2:9" ht="25.5">
      <c r="B12812" s="3192" t="s">
        <v>720</v>
      </c>
      <c r="C12812" s="3063"/>
      <c r="D12812" s="3064"/>
      <c r="E12812" s="3064"/>
      <c r="F12812" s="3064"/>
      <c r="G12812" s="3301" t="s">
        <v>720</v>
      </c>
      <c r="H12812" s="3063"/>
      <c r="I12812" s="3030"/>
    </row>
    <row r="12813" spans="2:9">
      <c r="B12813" s="3299" t="s">
        <v>82</v>
      </c>
      <c r="C12813" s="3063"/>
      <c r="D12813" s="3064"/>
      <c r="E12813" s="3064"/>
      <c r="F12813" s="3064"/>
      <c r="G12813" s="3300" t="s">
        <v>82</v>
      </c>
      <c r="H12813" s="3063"/>
      <c r="I12813" s="3030"/>
    </row>
    <row r="12814" spans="2:9" ht="25.5">
      <c r="B12814" s="3192" t="s">
        <v>675</v>
      </c>
      <c r="C12814" s="3063"/>
      <c r="D12814" s="3064"/>
      <c r="E12814" s="3064"/>
      <c r="F12814" s="3064"/>
      <c r="G12814" s="3301" t="s">
        <v>675</v>
      </c>
      <c r="H12814" s="3063"/>
      <c r="I12814" s="3030"/>
    </row>
    <row r="12815" spans="2:9" ht="25.5">
      <c r="B12815" s="3192" t="s">
        <v>676</v>
      </c>
      <c r="C12815" s="3063"/>
      <c r="D12815" s="3064"/>
      <c r="E12815" s="3064"/>
      <c r="F12815" s="3064"/>
      <c r="G12815" s="3301" t="s">
        <v>676</v>
      </c>
      <c r="H12815" s="3063"/>
      <c r="I12815" s="3030"/>
    </row>
    <row r="12816" spans="2:9">
      <c r="B12816" s="3192" t="s">
        <v>677</v>
      </c>
      <c r="C12816" s="3063"/>
      <c r="D12816" s="3064"/>
      <c r="E12816" s="3064"/>
      <c r="F12816" s="3064"/>
      <c r="G12816" s="3301" t="s">
        <v>677</v>
      </c>
      <c r="H12816" s="3063"/>
      <c r="I12816" s="3030"/>
    </row>
    <row r="12817" spans="2:9">
      <c r="B12817" s="3192" t="s">
        <v>678</v>
      </c>
      <c r="C12817" s="3063"/>
      <c r="D12817" s="3064"/>
      <c r="E12817" s="3064"/>
      <c r="F12817" s="3064"/>
      <c r="G12817" s="3301" t="s">
        <v>678</v>
      </c>
      <c r="H12817" s="3063"/>
      <c r="I12817" s="3030"/>
    </row>
    <row r="12818" spans="2:9">
      <c r="B12818" s="3192" t="s">
        <v>679</v>
      </c>
      <c r="C12818" s="3063"/>
      <c r="D12818" s="3064"/>
      <c r="E12818" s="3064"/>
      <c r="F12818" s="3064"/>
      <c r="G12818" s="3301" t="s">
        <v>679</v>
      </c>
      <c r="H12818" s="3063"/>
      <c r="I12818" s="3030"/>
    </row>
    <row r="12819" spans="2:9" ht="25.5">
      <c r="B12819" s="3192" t="s">
        <v>720</v>
      </c>
      <c r="C12819" s="3063"/>
      <c r="D12819" s="3064"/>
      <c r="E12819" s="3064"/>
      <c r="F12819" s="3064"/>
      <c r="G12819" s="3301" t="s">
        <v>720</v>
      </c>
      <c r="H12819" s="3063"/>
      <c r="I12819" s="3030"/>
    </row>
    <row r="12820" spans="2:9" ht="38.25">
      <c r="B12820" s="3299" t="s">
        <v>680</v>
      </c>
      <c r="C12820" s="3063"/>
      <c r="D12820" s="3064"/>
      <c r="E12820" s="3064"/>
      <c r="F12820" s="3064"/>
      <c r="G12820" s="3300" t="s">
        <v>680</v>
      </c>
      <c r="H12820" s="3063"/>
      <c r="I12820" s="3030"/>
    </row>
    <row r="12821" spans="2:9" ht="25.5">
      <c r="B12821" s="3192" t="s">
        <v>675</v>
      </c>
      <c r="C12821" s="3063"/>
      <c r="D12821" s="3064"/>
      <c r="E12821" s="3064"/>
      <c r="F12821" s="3064"/>
      <c r="G12821" s="3301" t="s">
        <v>675</v>
      </c>
      <c r="H12821" s="3063"/>
      <c r="I12821" s="3030"/>
    </row>
    <row r="12822" spans="2:9" ht="25.5">
      <c r="B12822" s="3192" t="s">
        <v>676</v>
      </c>
      <c r="C12822" s="3063"/>
      <c r="D12822" s="3064"/>
      <c r="E12822" s="3064"/>
      <c r="F12822" s="3064"/>
      <c r="G12822" s="3301" t="s">
        <v>676</v>
      </c>
      <c r="H12822" s="3063"/>
      <c r="I12822" s="3030"/>
    </row>
    <row r="12823" spans="2:9">
      <c r="B12823" s="3192" t="s">
        <v>677</v>
      </c>
      <c r="C12823" s="3063"/>
      <c r="D12823" s="3064"/>
      <c r="E12823" s="3064"/>
      <c r="F12823" s="3064"/>
      <c r="G12823" s="3301" t="s">
        <v>677</v>
      </c>
      <c r="H12823" s="3063"/>
      <c r="I12823" s="3030"/>
    </row>
    <row r="12824" spans="2:9">
      <c r="B12824" s="3192" t="s">
        <v>678</v>
      </c>
      <c r="C12824" s="3063"/>
      <c r="D12824" s="3064"/>
      <c r="E12824" s="3064"/>
      <c r="F12824" s="3064"/>
      <c r="G12824" s="3301" t="s">
        <v>678</v>
      </c>
      <c r="H12824" s="3063"/>
      <c r="I12824" s="3030"/>
    </row>
    <row r="12825" spans="2:9">
      <c r="B12825" s="3192" t="s">
        <v>679</v>
      </c>
      <c r="C12825" s="3063"/>
      <c r="D12825" s="3064"/>
      <c r="E12825" s="3064"/>
      <c r="F12825" s="3064"/>
      <c r="G12825" s="3301" t="s">
        <v>679</v>
      </c>
      <c r="H12825" s="3063"/>
      <c r="I12825" s="3030"/>
    </row>
    <row r="12826" spans="2:9" ht="25.5">
      <c r="B12826" s="3192" t="s">
        <v>720</v>
      </c>
      <c r="C12826" s="3063"/>
      <c r="D12826" s="3064"/>
      <c r="E12826" s="3064"/>
      <c r="F12826" s="3064"/>
      <c r="G12826" s="3301" t="s">
        <v>720</v>
      </c>
      <c r="H12826" s="3063"/>
      <c r="I12826" s="3030"/>
    </row>
    <row r="12827" spans="2:9" ht="38.25">
      <c r="B12827" s="3299" t="s">
        <v>681</v>
      </c>
      <c r="C12827" s="3063"/>
      <c r="D12827" s="3064"/>
      <c r="E12827" s="3064"/>
      <c r="F12827" s="3064"/>
      <c r="G12827" s="3300" t="s">
        <v>681</v>
      </c>
      <c r="H12827" s="3063"/>
      <c r="I12827" s="3030"/>
    </row>
    <row r="12828" spans="2:9" ht="25.5">
      <c r="B12828" s="3192" t="s">
        <v>675</v>
      </c>
      <c r="C12828" s="3063"/>
      <c r="D12828" s="3064"/>
      <c r="E12828" s="3064"/>
      <c r="F12828" s="3064"/>
      <c r="G12828" s="3301" t="s">
        <v>675</v>
      </c>
      <c r="H12828" s="3063"/>
      <c r="I12828" s="3030"/>
    </row>
    <row r="12829" spans="2:9" ht="25.5">
      <c r="B12829" s="3192" t="s">
        <v>676</v>
      </c>
      <c r="C12829" s="3063"/>
      <c r="D12829" s="3064"/>
      <c r="E12829" s="3064"/>
      <c r="F12829" s="3064"/>
      <c r="G12829" s="3301" t="s">
        <v>676</v>
      </c>
      <c r="H12829" s="3063"/>
      <c r="I12829" s="3030"/>
    </row>
    <row r="12830" spans="2:9">
      <c r="B12830" s="3192" t="s">
        <v>677</v>
      </c>
      <c r="C12830" s="3063"/>
      <c r="D12830" s="3064"/>
      <c r="E12830" s="3064"/>
      <c r="F12830" s="3064"/>
      <c r="G12830" s="3301" t="s">
        <v>677</v>
      </c>
      <c r="H12830" s="3063"/>
      <c r="I12830" s="3030"/>
    </row>
    <row r="12831" spans="2:9">
      <c r="B12831" s="3192" t="s">
        <v>678</v>
      </c>
      <c r="C12831" s="3063"/>
      <c r="D12831" s="3064"/>
      <c r="E12831" s="3064"/>
      <c r="F12831" s="3064"/>
      <c r="G12831" s="3301" t="s">
        <v>678</v>
      </c>
      <c r="H12831" s="3063"/>
      <c r="I12831" s="3030"/>
    </row>
    <row r="12832" spans="2:9">
      <c r="B12832" s="3192" t="s">
        <v>679</v>
      </c>
      <c r="C12832" s="3063"/>
      <c r="D12832" s="3064"/>
      <c r="E12832" s="3064"/>
      <c r="F12832" s="3064"/>
      <c r="G12832" s="3301" t="s">
        <v>679</v>
      </c>
      <c r="H12832" s="3063"/>
      <c r="I12832" s="3030"/>
    </row>
    <row r="12833" spans="2:9" ht="25.5">
      <c r="B12833" s="3192" t="s">
        <v>720</v>
      </c>
      <c r="C12833" s="3063"/>
      <c r="D12833" s="3064"/>
      <c r="E12833" s="3064"/>
      <c r="F12833" s="3064"/>
      <c r="G12833" s="3301" t="s">
        <v>720</v>
      </c>
      <c r="H12833" s="3063"/>
      <c r="I12833" s="3030"/>
    </row>
    <row r="12834" spans="2:9" ht="25.5">
      <c r="B12834" s="3299" t="s">
        <v>682</v>
      </c>
      <c r="C12834" s="3063"/>
      <c r="D12834" s="3064"/>
      <c r="E12834" s="3064"/>
      <c r="F12834" s="3064"/>
      <c r="G12834" s="3300" t="s">
        <v>682</v>
      </c>
      <c r="H12834" s="3063"/>
      <c r="I12834" s="3030"/>
    </row>
    <row r="12835" spans="2:9" ht="25.5">
      <c r="B12835" s="3192" t="s">
        <v>675</v>
      </c>
      <c r="C12835" s="3063"/>
      <c r="D12835" s="3064"/>
      <c r="E12835" s="3064"/>
      <c r="F12835" s="3064"/>
      <c r="G12835" s="3301" t="s">
        <v>675</v>
      </c>
      <c r="H12835" s="3063"/>
      <c r="I12835" s="3030"/>
    </row>
    <row r="12836" spans="2:9" ht="25.5">
      <c r="B12836" s="3192" t="s">
        <v>676</v>
      </c>
      <c r="C12836" s="3063"/>
      <c r="D12836" s="3064"/>
      <c r="E12836" s="3064"/>
      <c r="F12836" s="3064"/>
      <c r="G12836" s="3301" t="s">
        <v>676</v>
      </c>
      <c r="H12836" s="3063"/>
      <c r="I12836" s="3030"/>
    </row>
    <row r="12837" spans="2:9">
      <c r="B12837" s="3192" t="s">
        <v>677</v>
      </c>
      <c r="C12837" s="3063"/>
      <c r="D12837" s="3064"/>
      <c r="E12837" s="3064"/>
      <c r="F12837" s="3064"/>
      <c r="G12837" s="3301" t="s">
        <v>677</v>
      </c>
      <c r="H12837" s="3063"/>
      <c r="I12837" s="3030"/>
    </row>
    <row r="12838" spans="2:9">
      <c r="B12838" s="3192" t="s">
        <v>678</v>
      </c>
      <c r="C12838" s="3063"/>
      <c r="D12838" s="3064"/>
      <c r="E12838" s="3064"/>
      <c r="F12838" s="3064"/>
      <c r="G12838" s="3301" t="s">
        <v>678</v>
      </c>
      <c r="H12838" s="3063"/>
      <c r="I12838" s="3030"/>
    </row>
    <row r="12839" spans="2:9">
      <c r="B12839" s="3192" t="s">
        <v>679</v>
      </c>
      <c r="C12839" s="3063"/>
      <c r="D12839" s="3064"/>
      <c r="E12839" s="3064"/>
      <c r="F12839" s="3064"/>
      <c r="G12839" s="3301" t="s">
        <v>679</v>
      </c>
      <c r="H12839" s="3063"/>
      <c r="I12839" s="3030"/>
    </row>
    <row r="12840" spans="2:9" ht="25.5">
      <c r="B12840" s="3192" t="s">
        <v>720</v>
      </c>
      <c r="C12840" s="3063"/>
      <c r="D12840" s="3064"/>
      <c r="E12840" s="3064"/>
      <c r="F12840" s="3064"/>
      <c r="G12840" s="3301" t="s">
        <v>720</v>
      </c>
      <c r="H12840" s="3063"/>
      <c r="I12840" s="3030"/>
    </row>
    <row r="12841" spans="2:9" ht="25.5">
      <c r="B12841" s="3299" t="s">
        <v>66</v>
      </c>
      <c r="C12841" s="3063"/>
      <c r="D12841" s="3064"/>
      <c r="E12841" s="3064"/>
      <c r="F12841" s="3064"/>
      <c r="G12841" s="3300" t="s">
        <v>66</v>
      </c>
      <c r="H12841" s="3063"/>
      <c r="I12841" s="3030"/>
    </row>
    <row r="12842" spans="2:9" ht="25.5">
      <c r="B12842" s="3192" t="s">
        <v>675</v>
      </c>
      <c r="C12842" s="3063"/>
      <c r="D12842" s="3064"/>
      <c r="E12842" s="3064"/>
      <c r="F12842" s="3064"/>
      <c r="G12842" s="3301" t="s">
        <v>675</v>
      </c>
      <c r="H12842" s="3063"/>
      <c r="I12842" s="3030"/>
    </row>
    <row r="12843" spans="2:9" ht="25.5">
      <c r="B12843" s="3192" t="s">
        <v>676</v>
      </c>
      <c r="C12843" s="3063"/>
      <c r="D12843" s="3064"/>
      <c r="E12843" s="3064"/>
      <c r="F12843" s="3064"/>
      <c r="G12843" s="3301" t="s">
        <v>676</v>
      </c>
      <c r="H12843" s="3063"/>
      <c r="I12843" s="3030"/>
    </row>
    <row r="12844" spans="2:9">
      <c r="B12844" s="3192" t="s">
        <v>677</v>
      </c>
      <c r="C12844" s="3063"/>
      <c r="D12844" s="3064"/>
      <c r="E12844" s="3064"/>
      <c r="F12844" s="3064"/>
      <c r="G12844" s="3301" t="s">
        <v>677</v>
      </c>
      <c r="H12844" s="3063"/>
      <c r="I12844" s="3030"/>
    </row>
    <row r="12845" spans="2:9">
      <c r="B12845" s="3192" t="s">
        <v>678</v>
      </c>
      <c r="C12845" s="3063"/>
      <c r="D12845" s="3064"/>
      <c r="E12845" s="3064"/>
      <c r="F12845" s="3064"/>
      <c r="G12845" s="3301" t="s">
        <v>678</v>
      </c>
      <c r="H12845" s="3063"/>
      <c r="I12845" s="3030"/>
    </row>
    <row r="12846" spans="2:9">
      <c r="B12846" s="3192" t="s">
        <v>679</v>
      </c>
      <c r="C12846" s="3063"/>
      <c r="D12846" s="3064"/>
      <c r="E12846" s="3064"/>
      <c r="F12846" s="3064"/>
      <c r="G12846" s="3301" t="s">
        <v>679</v>
      </c>
      <c r="H12846" s="3063"/>
      <c r="I12846" s="3030"/>
    </row>
    <row r="12847" spans="2:9" ht="25.5">
      <c r="B12847" s="3192" t="s">
        <v>720</v>
      </c>
      <c r="C12847" s="3063"/>
      <c r="D12847" s="3064"/>
      <c r="E12847" s="3064"/>
      <c r="F12847" s="3064"/>
      <c r="G12847" s="3301" t="s">
        <v>720</v>
      </c>
      <c r="H12847" s="3063"/>
      <c r="I12847" s="3030"/>
    </row>
    <row r="12848" spans="2:9">
      <c r="B12848" s="3299" t="s">
        <v>67</v>
      </c>
      <c r="C12848" s="3063"/>
      <c r="D12848" s="3064"/>
      <c r="E12848" s="3064"/>
      <c r="F12848" s="3064"/>
      <c r="G12848" s="3300" t="s">
        <v>67</v>
      </c>
      <c r="H12848" s="3063"/>
      <c r="I12848" s="3030"/>
    </row>
    <row r="12849" spans="2:9" ht="25.5">
      <c r="B12849" s="3192" t="s">
        <v>675</v>
      </c>
      <c r="C12849" s="3063"/>
      <c r="D12849" s="3064"/>
      <c r="E12849" s="3064"/>
      <c r="F12849" s="3064"/>
      <c r="G12849" s="3301" t="s">
        <v>675</v>
      </c>
      <c r="H12849" s="3063"/>
      <c r="I12849" s="3030"/>
    </row>
    <row r="12850" spans="2:9" ht="25.5">
      <c r="B12850" s="3192" t="s">
        <v>676</v>
      </c>
      <c r="C12850" s="3063"/>
      <c r="D12850" s="3064"/>
      <c r="E12850" s="3064"/>
      <c r="F12850" s="3064"/>
      <c r="G12850" s="3301" t="s">
        <v>676</v>
      </c>
      <c r="H12850" s="3063"/>
      <c r="I12850" s="3030"/>
    </row>
    <row r="12851" spans="2:9">
      <c r="B12851" s="3192" t="s">
        <v>677</v>
      </c>
      <c r="C12851" s="3063"/>
      <c r="D12851" s="3064"/>
      <c r="E12851" s="3064"/>
      <c r="F12851" s="3064"/>
      <c r="G12851" s="3301" t="s">
        <v>677</v>
      </c>
      <c r="H12851" s="3063"/>
      <c r="I12851" s="3030"/>
    </row>
    <row r="12852" spans="2:9">
      <c r="B12852" s="3192" t="s">
        <v>678</v>
      </c>
      <c r="C12852" s="3063"/>
      <c r="D12852" s="3064"/>
      <c r="E12852" s="3064"/>
      <c r="F12852" s="3064"/>
      <c r="G12852" s="3301" t="s">
        <v>678</v>
      </c>
      <c r="H12852" s="3063"/>
      <c r="I12852" s="3030"/>
    </row>
    <row r="12853" spans="2:9">
      <c r="B12853" s="3192" t="s">
        <v>679</v>
      </c>
      <c r="C12853" s="3063"/>
      <c r="D12853" s="3064"/>
      <c r="E12853" s="3064"/>
      <c r="F12853" s="3064"/>
      <c r="G12853" s="3301" t="s">
        <v>679</v>
      </c>
      <c r="H12853" s="3063"/>
      <c r="I12853" s="3030"/>
    </row>
    <row r="12854" spans="2:9" ht="25.5">
      <c r="B12854" s="3230" t="s">
        <v>81</v>
      </c>
      <c r="C12854" s="3063"/>
      <c r="D12854" s="3064"/>
      <c r="E12854" s="3064"/>
      <c r="F12854" s="3064"/>
      <c r="G12854" s="3302" t="s">
        <v>81</v>
      </c>
      <c r="H12854" s="3063"/>
      <c r="I12854" s="3030"/>
    </row>
    <row r="12855" spans="2:9" ht="26.25" thickBot="1">
      <c r="B12855" s="3303" t="s">
        <v>81</v>
      </c>
      <c r="C12855" s="3063"/>
      <c r="D12855" s="3064"/>
      <c r="E12855" s="3064"/>
      <c r="F12855" s="3064"/>
      <c r="G12855" s="3302" t="s">
        <v>81</v>
      </c>
      <c r="H12855" s="3063"/>
      <c r="I12855" s="3030"/>
    </row>
    <row r="12856" spans="2:9">
      <c r="B12856" s="3217" t="s">
        <v>697</v>
      </c>
      <c r="C12856" s="3218"/>
      <c r="D12856" s="3219"/>
      <c r="E12856" s="3219"/>
      <c r="F12856" s="3219"/>
      <c r="G12856" s="3217" t="s">
        <v>697</v>
      </c>
      <c r="H12856" s="3297"/>
      <c r="I12856" s="3298"/>
    </row>
    <row r="12857" spans="2:9">
      <c r="B12857" s="3299" t="s">
        <v>64</v>
      </c>
      <c r="C12857" s="3063"/>
      <c r="D12857" s="3064"/>
      <c r="E12857" s="3064"/>
      <c r="F12857" s="3064"/>
      <c r="G12857" s="3300" t="s">
        <v>64</v>
      </c>
      <c r="H12857" s="3063"/>
      <c r="I12857" s="3030"/>
    </row>
    <row r="12858" spans="2:9" ht="25.5">
      <c r="B12858" s="3192" t="s">
        <v>675</v>
      </c>
      <c r="C12858" s="3063"/>
      <c r="D12858" s="3064"/>
      <c r="E12858" s="3064"/>
      <c r="F12858" s="3064"/>
      <c r="G12858" s="3301" t="s">
        <v>675</v>
      </c>
      <c r="H12858" s="3063"/>
      <c r="I12858" s="3030"/>
    </row>
    <row r="12859" spans="2:9" ht="25.5">
      <c r="B12859" s="3192" t="s">
        <v>676</v>
      </c>
      <c r="C12859" s="3063"/>
      <c r="D12859" s="3064"/>
      <c r="E12859" s="3064"/>
      <c r="F12859" s="3064"/>
      <c r="G12859" s="3301" t="s">
        <v>676</v>
      </c>
      <c r="H12859" s="3063"/>
      <c r="I12859" s="3030"/>
    </row>
    <row r="12860" spans="2:9">
      <c r="B12860" s="3192" t="s">
        <v>677</v>
      </c>
      <c r="C12860" s="3063"/>
      <c r="D12860" s="3064"/>
      <c r="E12860" s="3064"/>
      <c r="F12860" s="3064"/>
      <c r="G12860" s="3301" t="s">
        <v>677</v>
      </c>
      <c r="H12860" s="3063"/>
      <c r="I12860" s="3030"/>
    </row>
    <row r="12861" spans="2:9">
      <c r="B12861" s="3192" t="s">
        <v>678</v>
      </c>
      <c r="C12861" s="3063"/>
      <c r="D12861" s="3064"/>
      <c r="E12861" s="3064"/>
      <c r="F12861" s="3064"/>
      <c r="G12861" s="3301" t="s">
        <v>678</v>
      </c>
      <c r="H12861" s="3063"/>
      <c r="I12861" s="3030"/>
    </row>
    <row r="12862" spans="2:9">
      <c r="B12862" s="3192" t="s">
        <v>679</v>
      </c>
      <c r="C12862" s="3063"/>
      <c r="D12862" s="3064"/>
      <c r="E12862" s="3064"/>
      <c r="F12862" s="3064"/>
      <c r="G12862" s="3301" t="s">
        <v>679</v>
      </c>
      <c r="H12862" s="3063"/>
      <c r="I12862" s="3030"/>
    </row>
    <row r="12863" spans="2:9" ht="25.5">
      <c r="B12863" s="3192" t="s">
        <v>720</v>
      </c>
      <c r="C12863" s="3063"/>
      <c r="D12863" s="3064"/>
      <c r="E12863" s="3064"/>
      <c r="F12863" s="3064"/>
      <c r="G12863" s="3301" t="s">
        <v>720</v>
      </c>
      <c r="H12863" s="3063"/>
      <c r="I12863" s="3030"/>
    </row>
    <row r="12864" spans="2:9">
      <c r="B12864" s="3299" t="s">
        <v>65</v>
      </c>
      <c r="C12864" s="3063"/>
      <c r="D12864" s="3064"/>
      <c r="E12864" s="3064"/>
      <c r="F12864" s="3064"/>
      <c r="G12864" s="3300" t="s">
        <v>65</v>
      </c>
      <c r="H12864" s="3063"/>
      <c r="I12864" s="3030"/>
    </row>
    <row r="12865" spans="2:9" ht="25.5">
      <c r="B12865" s="3192" t="s">
        <v>675</v>
      </c>
      <c r="C12865" s="3063"/>
      <c r="D12865" s="3064"/>
      <c r="E12865" s="3064"/>
      <c r="F12865" s="3064"/>
      <c r="G12865" s="3301" t="s">
        <v>675</v>
      </c>
      <c r="H12865" s="3063"/>
      <c r="I12865" s="3030"/>
    </row>
    <row r="12866" spans="2:9" ht="25.5">
      <c r="B12866" s="3192" t="s">
        <v>676</v>
      </c>
      <c r="C12866" s="3063"/>
      <c r="D12866" s="3064"/>
      <c r="E12866" s="3064"/>
      <c r="F12866" s="3064"/>
      <c r="G12866" s="3301" t="s">
        <v>676</v>
      </c>
      <c r="H12866" s="3063"/>
      <c r="I12866" s="3030"/>
    </row>
    <row r="12867" spans="2:9">
      <c r="B12867" s="3192" t="s">
        <v>677</v>
      </c>
      <c r="C12867" s="3063"/>
      <c r="D12867" s="3064"/>
      <c r="E12867" s="3064"/>
      <c r="F12867" s="3064"/>
      <c r="G12867" s="3301" t="s">
        <v>677</v>
      </c>
      <c r="H12867" s="3063"/>
      <c r="I12867" s="3030"/>
    </row>
    <row r="12868" spans="2:9">
      <c r="B12868" s="3192" t="s">
        <v>678</v>
      </c>
      <c r="C12868" s="3063"/>
      <c r="D12868" s="3064"/>
      <c r="E12868" s="3064"/>
      <c r="F12868" s="3064"/>
      <c r="G12868" s="3301" t="s">
        <v>678</v>
      </c>
      <c r="H12868" s="3063"/>
      <c r="I12868" s="3030"/>
    </row>
    <row r="12869" spans="2:9">
      <c r="B12869" s="3192" t="s">
        <v>679</v>
      </c>
      <c r="C12869" s="3063"/>
      <c r="D12869" s="3064"/>
      <c r="E12869" s="3064"/>
      <c r="F12869" s="3064"/>
      <c r="G12869" s="3301" t="s">
        <v>679</v>
      </c>
      <c r="H12869" s="3063"/>
      <c r="I12869" s="3030"/>
    </row>
    <row r="12870" spans="2:9" ht="25.5">
      <c r="B12870" s="3192" t="s">
        <v>720</v>
      </c>
      <c r="C12870" s="3063"/>
      <c r="D12870" s="3064"/>
      <c r="E12870" s="3064"/>
      <c r="F12870" s="3064"/>
      <c r="G12870" s="3301" t="s">
        <v>720</v>
      </c>
      <c r="H12870" s="3063"/>
      <c r="I12870" s="3030"/>
    </row>
    <row r="12871" spans="2:9">
      <c r="B12871" s="3299" t="s">
        <v>82</v>
      </c>
      <c r="C12871" s="3063"/>
      <c r="D12871" s="3064"/>
      <c r="E12871" s="3064"/>
      <c r="F12871" s="3064"/>
      <c r="G12871" s="3300" t="s">
        <v>82</v>
      </c>
      <c r="H12871" s="3063"/>
      <c r="I12871" s="3030"/>
    </row>
    <row r="12872" spans="2:9" ht="25.5">
      <c r="B12872" s="3192" t="s">
        <v>675</v>
      </c>
      <c r="C12872" s="3063"/>
      <c r="D12872" s="3064"/>
      <c r="E12872" s="3064"/>
      <c r="F12872" s="3064"/>
      <c r="G12872" s="3301" t="s">
        <v>675</v>
      </c>
      <c r="H12872" s="3063"/>
      <c r="I12872" s="3030"/>
    </row>
    <row r="12873" spans="2:9" ht="25.5">
      <c r="B12873" s="3192" t="s">
        <v>676</v>
      </c>
      <c r="C12873" s="3063"/>
      <c r="D12873" s="3064"/>
      <c r="E12873" s="3064"/>
      <c r="F12873" s="3064"/>
      <c r="G12873" s="3301" t="s">
        <v>676</v>
      </c>
      <c r="H12873" s="3063"/>
      <c r="I12873" s="3030"/>
    </row>
    <row r="12874" spans="2:9">
      <c r="B12874" s="3192" t="s">
        <v>677</v>
      </c>
      <c r="C12874" s="3063"/>
      <c r="D12874" s="3064"/>
      <c r="E12874" s="3064"/>
      <c r="F12874" s="3064"/>
      <c r="G12874" s="3301" t="s">
        <v>677</v>
      </c>
      <c r="H12874" s="3063"/>
      <c r="I12874" s="3030"/>
    </row>
    <row r="12875" spans="2:9">
      <c r="B12875" s="3192" t="s">
        <v>678</v>
      </c>
      <c r="C12875" s="3063"/>
      <c r="D12875" s="3064"/>
      <c r="E12875" s="3064"/>
      <c r="F12875" s="3064"/>
      <c r="G12875" s="3301" t="s">
        <v>678</v>
      </c>
      <c r="H12875" s="3063"/>
      <c r="I12875" s="3030"/>
    </row>
    <row r="12876" spans="2:9">
      <c r="B12876" s="3192" t="s">
        <v>679</v>
      </c>
      <c r="C12876" s="3063"/>
      <c r="D12876" s="3064"/>
      <c r="E12876" s="3064"/>
      <c r="F12876" s="3064"/>
      <c r="G12876" s="3301" t="s">
        <v>679</v>
      </c>
      <c r="H12876" s="3063"/>
      <c r="I12876" s="3030"/>
    </row>
    <row r="12877" spans="2:9" ht="25.5">
      <c r="B12877" s="3192" t="s">
        <v>720</v>
      </c>
      <c r="C12877" s="3063"/>
      <c r="D12877" s="3064"/>
      <c r="E12877" s="3064"/>
      <c r="F12877" s="3064"/>
      <c r="G12877" s="3301" t="s">
        <v>720</v>
      </c>
      <c r="H12877" s="3063"/>
      <c r="I12877" s="3030"/>
    </row>
    <row r="12878" spans="2:9" ht="38.25">
      <c r="B12878" s="3299" t="s">
        <v>680</v>
      </c>
      <c r="C12878" s="3063"/>
      <c r="D12878" s="3064"/>
      <c r="E12878" s="3064"/>
      <c r="F12878" s="3064"/>
      <c r="G12878" s="3300" t="s">
        <v>680</v>
      </c>
      <c r="H12878" s="3063"/>
      <c r="I12878" s="3030"/>
    </row>
    <row r="12879" spans="2:9" ht="25.5">
      <c r="B12879" s="3192" t="s">
        <v>675</v>
      </c>
      <c r="C12879" s="3063"/>
      <c r="D12879" s="3064"/>
      <c r="E12879" s="3064"/>
      <c r="F12879" s="3064"/>
      <c r="G12879" s="3301" t="s">
        <v>675</v>
      </c>
      <c r="H12879" s="3063"/>
      <c r="I12879" s="3030"/>
    </row>
    <row r="12880" spans="2:9" ht="25.5">
      <c r="B12880" s="3192" t="s">
        <v>676</v>
      </c>
      <c r="C12880" s="3063"/>
      <c r="D12880" s="3064"/>
      <c r="E12880" s="3064"/>
      <c r="F12880" s="3064"/>
      <c r="G12880" s="3301" t="s">
        <v>676</v>
      </c>
      <c r="H12880" s="3063"/>
      <c r="I12880" s="3030"/>
    </row>
    <row r="12881" spans="2:9">
      <c r="B12881" s="3192" t="s">
        <v>677</v>
      </c>
      <c r="C12881" s="3063"/>
      <c r="D12881" s="3064"/>
      <c r="E12881" s="3064"/>
      <c r="F12881" s="3064"/>
      <c r="G12881" s="3301" t="s">
        <v>677</v>
      </c>
      <c r="H12881" s="3063"/>
      <c r="I12881" s="3030"/>
    </row>
    <row r="12882" spans="2:9">
      <c r="B12882" s="3192" t="s">
        <v>678</v>
      </c>
      <c r="C12882" s="3063"/>
      <c r="D12882" s="3064"/>
      <c r="E12882" s="3064"/>
      <c r="F12882" s="3064"/>
      <c r="G12882" s="3301" t="s">
        <v>678</v>
      </c>
      <c r="H12882" s="3063"/>
      <c r="I12882" s="3030"/>
    </row>
    <row r="12883" spans="2:9">
      <c r="B12883" s="3192" t="s">
        <v>679</v>
      </c>
      <c r="C12883" s="3063"/>
      <c r="D12883" s="3064"/>
      <c r="E12883" s="3064"/>
      <c r="F12883" s="3064"/>
      <c r="G12883" s="3301" t="s">
        <v>679</v>
      </c>
      <c r="H12883" s="3063"/>
      <c r="I12883" s="3030"/>
    </row>
    <row r="12884" spans="2:9" ht="25.5">
      <c r="B12884" s="3192" t="s">
        <v>720</v>
      </c>
      <c r="C12884" s="3063"/>
      <c r="D12884" s="3064"/>
      <c r="E12884" s="3064"/>
      <c r="F12884" s="3064"/>
      <c r="G12884" s="3301" t="s">
        <v>720</v>
      </c>
      <c r="H12884" s="3063"/>
      <c r="I12884" s="3030"/>
    </row>
    <row r="12885" spans="2:9" ht="38.25">
      <c r="B12885" s="3299" t="s">
        <v>681</v>
      </c>
      <c r="C12885" s="3063"/>
      <c r="D12885" s="3064"/>
      <c r="E12885" s="3064"/>
      <c r="F12885" s="3064">
        <v>5</v>
      </c>
      <c r="G12885" s="3300" t="s">
        <v>681</v>
      </c>
      <c r="H12885" s="3063">
        <v>1.4535956451979996E-2</v>
      </c>
      <c r="I12885" s="3030"/>
    </row>
    <row r="12886" spans="2:9" ht="25.5">
      <c r="B12886" s="3192" t="s">
        <v>675</v>
      </c>
      <c r="C12886" s="3063">
        <v>2</v>
      </c>
      <c r="D12886" s="3064">
        <v>2</v>
      </c>
      <c r="E12886" s="3064"/>
      <c r="F12886" s="3064"/>
      <c r="G12886" s="3301" t="s">
        <v>675</v>
      </c>
      <c r="H12886" s="3063"/>
      <c r="I12886" s="3030">
        <v>1.1628765161583997E-2</v>
      </c>
    </row>
    <row r="12887" spans="2:9" ht="25.5">
      <c r="B12887" s="3192" t="s">
        <v>676</v>
      </c>
      <c r="C12887" s="3063"/>
      <c r="D12887" s="3064"/>
      <c r="E12887" s="3064"/>
      <c r="F12887" s="3064"/>
      <c r="G12887" s="3301" t="s">
        <v>676</v>
      </c>
      <c r="H12887" s="3063"/>
      <c r="I12887" s="3030"/>
    </row>
    <row r="12888" spans="2:9">
      <c r="B12888" s="3192" t="s">
        <v>677</v>
      </c>
      <c r="C12888" s="3063"/>
      <c r="D12888" s="3064"/>
      <c r="E12888" s="3064"/>
      <c r="F12888" s="3064"/>
      <c r="G12888" s="3301" t="s">
        <v>677</v>
      </c>
      <c r="H12888" s="3063"/>
      <c r="I12888" s="3030"/>
    </row>
    <row r="12889" spans="2:9">
      <c r="B12889" s="3192" t="s">
        <v>678</v>
      </c>
      <c r="C12889" s="3063"/>
      <c r="D12889" s="3064"/>
      <c r="E12889" s="3064"/>
      <c r="F12889" s="3064"/>
      <c r="G12889" s="3301" t="s">
        <v>678</v>
      </c>
      <c r="H12889" s="3063"/>
      <c r="I12889" s="3030"/>
    </row>
    <row r="12890" spans="2:9">
      <c r="B12890" s="3192" t="s">
        <v>679</v>
      </c>
      <c r="C12890" s="3063">
        <v>1</v>
      </c>
      <c r="D12890" s="3064"/>
      <c r="E12890" s="3064"/>
      <c r="F12890" s="3064"/>
      <c r="G12890" s="3301" t="s">
        <v>679</v>
      </c>
      <c r="H12890" s="3063"/>
      <c r="I12890" s="3030"/>
    </row>
    <row r="12891" spans="2:9" ht="25.5">
      <c r="B12891" s="3192" t="s">
        <v>720</v>
      </c>
      <c r="C12891" s="3063"/>
      <c r="D12891" s="3064"/>
      <c r="E12891" s="3064"/>
      <c r="F12891" s="3064"/>
      <c r="G12891" s="3301" t="s">
        <v>720</v>
      </c>
      <c r="H12891" s="3063"/>
      <c r="I12891" s="3030"/>
    </row>
    <row r="12892" spans="2:9" ht="25.5">
      <c r="B12892" s="3299" t="s">
        <v>682</v>
      </c>
      <c r="C12892" s="3063"/>
      <c r="D12892" s="3064"/>
      <c r="E12892" s="3064"/>
      <c r="F12892" s="3064"/>
      <c r="G12892" s="3300" t="s">
        <v>682</v>
      </c>
      <c r="H12892" s="3063"/>
      <c r="I12892" s="3030"/>
    </row>
    <row r="12893" spans="2:9" ht="25.5">
      <c r="B12893" s="3192" t="s">
        <v>675</v>
      </c>
      <c r="C12893" s="3063"/>
      <c r="D12893" s="3064"/>
      <c r="E12893" s="3064"/>
      <c r="F12893" s="3064"/>
      <c r="G12893" s="3301" t="s">
        <v>675</v>
      </c>
      <c r="H12893" s="3063"/>
      <c r="I12893" s="3030"/>
    </row>
    <row r="12894" spans="2:9" ht="25.5">
      <c r="B12894" s="3192" t="s">
        <v>676</v>
      </c>
      <c r="C12894" s="3063"/>
      <c r="D12894" s="3064"/>
      <c r="E12894" s="3064"/>
      <c r="F12894" s="3064"/>
      <c r="G12894" s="3301" t="s">
        <v>676</v>
      </c>
      <c r="H12894" s="3063"/>
      <c r="I12894" s="3030"/>
    </row>
    <row r="12895" spans="2:9">
      <c r="B12895" s="3192" t="s">
        <v>677</v>
      </c>
      <c r="C12895" s="3063"/>
      <c r="D12895" s="3064"/>
      <c r="E12895" s="3064"/>
      <c r="F12895" s="3064"/>
      <c r="G12895" s="3301" t="s">
        <v>677</v>
      </c>
      <c r="H12895" s="3063"/>
      <c r="I12895" s="3030"/>
    </row>
    <row r="12896" spans="2:9">
      <c r="B12896" s="3192" t="s">
        <v>678</v>
      </c>
      <c r="C12896" s="3063"/>
      <c r="D12896" s="3064"/>
      <c r="E12896" s="3064"/>
      <c r="F12896" s="3064"/>
      <c r="G12896" s="3301" t="s">
        <v>678</v>
      </c>
      <c r="H12896" s="3063"/>
      <c r="I12896" s="3030"/>
    </row>
    <row r="12897" spans="2:9">
      <c r="B12897" s="3192" t="s">
        <v>679</v>
      </c>
      <c r="C12897" s="3063"/>
      <c r="D12897" s="3064"/>
      <c r="E12897" s="3064"/>
      <c r="F12897" s="3064"/>
      <c r="G12897" s="3301" t="s">
        <v>679</v>
      </c>
      <c r="H12897" s="3063"/>
      <c r="I12897" s="3030"/>
    </row>
    <row r="12898" spans="2:9" ht="25.5">
      <c r="B12898" s="3192" t="s">
        <v>720</v>
      </c>
      <c r="C12898" s="3063"/>
      <c r="D12898" s="3064"/>
      <c r="E12898" s="3064"/>
      <c r="F12898" s="3064"/>
      <c r="G12898" s="3301" t="s">
        <v>720</v>
      </c>
      <c r="H12898" s="3063"/>
      <c r="I12898" s="3030"/>
    </row>
    <row r="12899" spans="2:9" ht="25.5">
      <c r="B12899" s="3299" t="s">
        <v>66</v>
      </c>
      <c r="C12899" s="3063"/>
      <c r="D12899" s="3064"/>
      <c r="E12899" s="3064"/>
      <c r="F12899" s="3064"/>
      <c r="G12899" s="3300" t="s">
        <v>66</v>
      </c>
      <c r="H12899" s="3063"/>
      <c r="I12899" s="3030"/>
    </row>
    <row r="12900" spans="2:9" ht="25.5">
      <c r="B12900" s="3192" t="s">
        <v>675</v>
      </c>
      <c r="C12900" s="3063"/>
      <c r="D12900" s="3064"/>
      <c r="E12900" s="3064"/>
      <c r="F12900" s="3064"/>
      <c r="G12900" s="3301" t="s">
        <v>675</v>
      </c>
      <c r="H12900" s="3063"/>
      <c r="I12900" s="3030"/>
    </row>
    <row r="12901" spans="2:9" ht="25.5">
      <c r="B12901" s="3192" t="s">
        <v>676</v>
      </c>
      <c r="C12901" s="3063"/>
      <c r="D12901" s="3064"/>
      <c r="E12901" s="3064"/>
      <c r="F12901" s="3064"/>
      <c r="G12901" s="3301" t="s">
        <v>676</v>
      </c>
      <c r="H12901" s="3063"/>
      <c r="I12901" s="3030"/>
    </row>
    <row r="12902" spans="2:9">
      <c r="B12902" s="3192" t="s">
        <v>677</v>
      </c>
      <c r="C12902" s="3063"/>
      <c r="D12902" s="3064"/>
      <c r="E12902" s="3064"/>
      <c r="F12902" s="3064"/>
      <c r="G12902" s="3301" t="s">
        <v>677</v>
      </c>
      <c r="H12902" s="3063"/>
      <c r="I12902" s="3030"/>
    </row>
    <row r="12903" spans="2:9">
      <c r="B12903" s="3192" t="s">
        <v>678</v>
      </c>
      <c r="C12903" s="3063"/>
      <c r="D12903" s="3064"/>
      <c r="E12903" s="3064"/>
      <c r="F12903" s="3064"/>
      <c r="G12903" s="3301" t="s">
        <v>678</v>
      </c>
      <c r="H12903" s="3063"/>
      <c r="I12903" s="3030"/>
    </row>
    <row r="12904" spans="2:9">
      <c r="B12904" s="3192" t="s">
        <v>679</v>
      </c>
      <c r="C12904" s="3063"/>
      <c r="D12904" s="3064"/>
      <c r="E12904" s="3064"/>
      <c r="F12904" s="3064"/>
      <c r="G12904" s="3301" t="s">
        <v>679</v>
      </c>
      <c r="H12904" s="3063"/>
      <c r="I12904" s="3030"/>
    </row>
    <row r="12905" spans="2:9" ht="25.5">
      <c r="B12905" s="3192" t="s">
        <v>720</v>
      </c>
      <c r="C12905" s="3063"/>
      <c r="D12905" s="3064"/>
      <c r="E12905" s="3064"/>
      <c r="F12905" s="3064"/>
      <c r="G12905" s="3301" t="s">
        <v>720</v>
      </c>
      <c r="H12905" s="3063"/>
      <c r="I12905" s="3030"/>
    </row>
    <row r="12906" spans="2:9">
      <c r="B12906" s="3299" t="s">
        <v>67</v>
      </c>
      <c r="C12906" s="3063"/>
      <c r="D12906" s="3064"/>
      <c r="E12906" s="3064"/>
      <c r="F12906" s="3064">
        <v>2</v>
      </c>
      <c r="G12906" s="3300" t="s">
        <v>67</v>
      </c>
      <c r="H12906" s="3063">
        <v>2.7358616748337197E-2</v>
      </c>
      <c r="I12906" s="3030"/>
    </row>
    <row r="12907" spans="2:9" ht="25.5">
      <c r="B12907" s="3192" t="s">
        <v>675</v>
      </c>
      <c r="C12907" s="3063"/>
      <c r="D12907" s="3064"/>
      <c r="E12907" s="3064"/>
      <c r="F12907" s="3064"/>
      <c r="G12907" s="3301" t="s">
        <v>675</v>
      </c>
      <c r="H12907" s="3063"/>
      <c r="I12907" s="3030"/>
    </row>
    <row r="12908" spans="2:9" ht="25.5">
      <c r="B12908" s="3192" t="s">
        <v>676</v>
      </c>
      <c r="C12908" s="3063"/>
      <c r="D12908" s="3064"/>
      <c r="E12908" s="3064"/>
      <c r="F12908" s="3064"/>
      <c r="G12908" s="3301" t="s">
        <v>676</v>
      </c>
      <c r="H12908" s="3063"/>
      <c r="I12908" s="3030"/>
    </row>
    <row r="12909" spans="2:9">
      <c r="B12909" s="3192" t="s">
        <v>677</v>
      </c>
      <c r="C12909" s="3063"/>
      <c r="D12909" s="3064"/>
      <c r="E12909" s="3064"/>
      <c r="F12909" s="3064"/>
      <c r="G12909" s="3301" t="s">
        <v>677</v>
      </c>
      <c r="H12909" s="3063"/>
      <c r="I12909" s="3030"/>
    </row>
    <row r="12910" spans="2:9">
      <c r="B12910" s="3192" t="s">
        <v>678</v>
      </c>
      <c r="C12910" s="3063">
        <v>1</v>
      </c>
      <c r="D12910" s="3064"/>
      <c r="E12910" s="3064"/>
      <c r="F12910" s="3064"/>
      <c r="G12910" s="3301" t="s">
        <v>678</v>
      </c>
      <c r="H12910" s="3063"/>
      <c r="I12910" s="3030"/>
    </row>
    <row r="12911" spans="2:9">
      <c r="B12911" s="3192" t="s">
        <v>679</v>
      </c>
      <c r="C12911" s="3063"/>
      <c r="D12911" s="3064"/>
      <c r="E12911" s="3064"/>
      <c r="F12911" s="3064"/>
      <c r="G12911" s="3301" t="s">
        <v>679</v>
      </c>
      <c r="H12911" s="3063"/>
      <c r="I12911" s="3030"/>
    </row>
    <row r="12912" spans="2:9" ht="25.5">
      <c r="B12912" s="3230" t="s">
        <v>81</v>
      </c>
      <c r="C12912" s="3063"/>
      <c r="D12912" s="3064"/>
      <c r="E12912" s="3064"/>
      <c r="F12912" s="3064"/>
      <c r="G12912" s="3302" t="s">
        <v>81</v>
      </c>
      <c r="H12912" s="3063"/>
      <c r="I12912" s="3030"/>
    </row>
    <row r="12913" spans="2:9" ht="26.25" thickBot="1">
      <c r="B12913" s="3303" t="s">
        <v>81</v>
      </c>
      <c r="C12913" s="3068"/>
      <c r="D12913" s="3069"/>
      <c r="E12913" s="3069"/>
      <c r="F12913" s="3069"/>
      <c r="G12913" s="3304" t="s">
        <v>81</v>
      </c>
      <c r="H12913" s="3068"/>
      <c r="I12913" s="3070"/>
    </row>
    <row r="12914" spans="2:9" ht="38.25">
      <c r="B12914" s="4723">
        <v>3338</v>
      </c>
      <c r="C12914" s="3289"/>
      <c r="D12914" s="3290"/>
      <c r="E12914" s="3290"/>
      <c r="F12914" s="3290"/>
      <c r="G12914" s="4723">
        <v>3338</v>
      </c>
      <c r="H12914" s="3291" t="s">
        <v>687</v>
      </c>
      <c r="I12914" s="3292" t="s">
        <v>688</v>
      </c>
    </row>
    <row r="12915" spans="2:9">
      <c r="B12915" s="4724"/>
      <c r="C12915" s="4678" t="s">
        <v>686</v>
      </c>
      <c r="D12915" s="4725"/>
      <c r="E12915" s="4725"/>
      <c r="F12915" s="4726"/>
      <c r="G12915" s="4724"/>
      <c r="H12915" s="3293"/>
      <c r="I12915" s="3294"/>
    </row>
    <row r="12916" spans="2:9" ht="13.5" thickBot="1">
      <c r="B12916" s="4724"/>
      <c r="C12916" s="3215">
        <v>2013</v>
      </c>
      <c r="D12916" s="3215">
        <v>2014</v>
      </c>
      <c r="E12916" s="3215">
        <v>2015</v>
      </c>
      <c r="F12916" s="3215">
        <v>2016</v>
      </c>
      <c r="G12916" s="4724"/>
      <c r="H12916" s="3295" t="s">
        <v>390</v>
      </c>
      <c r="I12916" s="3296" t="s">
        <v>390</v>
      </c>
    </row>
    <row r="12917" spans="2:9">
      <c r="B12917" s="3217" t="s">
        <v>695</v>
      </c>
      <c r="C12917" s="3218"/>
      <c r="D12917" s="3219"/>
      <c r="E12917" s="3219"/>
      <c r="F12917" s="3219"/>
      <c r="G12917" s="3217" t="s">
        <v>695</v>
      </c>
      <c r="H12917" s="3297"/>
      <c r="I12917" s="3298"/>
    </row>
    <row r="12918" spans="2:9">
      <c r="B12918" s="3299" t="s">
        <v>64</v>
      </c>
      <c r="C12918" s="3063"/>
      <c r="D12918" s="3064"/>
      <c r="E12918" s="3064"/>
      <c r="F12918" s="3064"/>
      <c r="G12918" s="3300" t="s">
        <v>64</v>
      </c>
      <c r="H12918" s="3063"/>
      <c r="I12918" s="3030"/>
    </row>
    <row r="12919" spans="2:9" ht="25.5">
      <c r="B12919" s="3192" t="s">
        <v>675</v>
      </c>
      <c r="C12919" s="3063"/>
      <c r="D12919" s="3064"/>
      <c r="E12919" s="3064"/>
      <c r="F12919" s="3064"/>
      <c r="G12919" s="3301" t="s">
        <v>675</v>
      </c>
      <c r="H12919" s="3063"/>
      <c r="I12919" s="3030"/>
    </row>
    <row r="12920" spans="2:9" ht="25.5">
      <c r="B12920" s="3192" t="s">
        <v>676</v>
      </c>
      <c r="C12920" s="3063"/>
      <c r="D12920" s="3064"/>
      <c r="E12920" s="3064"/>
      <c r="F12920" s="3064"/>
      <c r="G12920" s="3301" t="s">
        <v>676</v>
      </c>
      <c r="H12920" s="3063"/>
      <c r="I12920" s="3030"/>
    </row>
    <row r="12921" spans="2:9">
      <c r="B12921" s="3192" t="s">
        <v>677</v>
      </c>
      <c r="C12921" s="3063"/>
      <c r="D12921" s="3064"/>
      <c r="E12921" s="3064"/>
      <c r="F12921" s="3064"/>
      <c r="G12921" s="3301" t="s">
        <v>677</v>
      </c>
      <c r="H12921" s="3063"/>
      <c r="I12921" s="3030"/>
    </row>
    <row r="12922" spans="2:9">
      <c r="B12922" s="3192" t="s">
        <v>678</v>
      </c>
      <c r="C12922" s="3063"/>
      <c r="D12922" s="3064"/>
      <c r="E12922" s="3064"/>
      <c r="F12922" s="3064"/>
      <c r="G12922" s="3301" t="s">
        <v>678</v>
      </c>
      <c r="H12922" s="3063"/>
      <c r="I12922" s="3030"/>
    </row>
    <row r="12923" spans="2:9">
      <c r="B12923" s="3192" t="s">
        <v>679</v>
      </c>
      <c r="C12923" s="3063"/>
      <c r="D12923" s="3064"/>
      <c r="E12923" s="3064"/>
      <c r="F12923" s="3064"/>
      <c r="G12923" s="3301" t="s">
        <v>679</v>
      </c>
      <c r="H12923" s="3063"/>
      <c r="I12923" s="3030"/>
    </row>
    <row r="12924" spans="2:9" ht="25.5">
      <c r="B12924" s="3192" t="s">
        <v>720</v>
      </c>
      <c r="C12924" s="3063"/>
      <c r="D12924" s="3064"/>
      <c r="E12924" s="3064"/>
      <c r="F12924" s="3064"/>
      <c r="G12924" s="3301" t="s">
        <v>720</v>
      </c>
      <c r="H12924" s="3063"/>
      <c r="I12924" s="3030"/>
    </row>
    <row r="12925" spans="2:9">
      <c r="B12925" s="3299" t="s">
        <v>65</v>
      </c>
      <c r="C12925" s="3063"/>
      <c r="D12925" s="3064"/>
      <c r="E12925" s="3064"/>
      <c r="F12925" s="3064"/>
      <c r="G12925" s="3300" t="s">
        <v>65</v>
      </c>
      <c r="H12925" s="3063"/>
      <c r="I12925" s="3030"/>
    </row>
    <row r="12926" spans="2:9" ht="25.5">
      <c r="B12926" s="3192" t="s">
        <v>675</v>
      </c>
      <c r="C12926" s="3063"/>
      <c r="D12926" s="3064"/>
      <c r="E12926" s="3064"/>
      <c r="F12926" s="3064"/>
      <c r="G12926" s="3301" t="s">
        <v>675</v>
      </c>
      <c r="H12926" s="3063"/>
      <c r="I12926" s="3030"/>
    </row>
    <row r="12927" spans="2:9" ht="25.5">
      <c r="B12927" s="3192" t="s">
        <v>676</v>
      </c>
      <c r="C12927" s="3063"/>
      <c r="D12927" s="3064"/>
      <c r="E12927" s="3064"/>
      <c r="F12927" s="3064"/>
      <c r="G12927" s="3301" t="s">
        <v>676</v>
      </c>
      <c r="H12927" s="3063"/>
      <c r="I12927" s="3030"/>
    </row>
    <row r="12928" spans="2:9">
      <c r="B12928" s="3192" t="s">
        <v>677</v>
      </c>
      <c r="C12928" s="3063"/>
      <c r="D12928" s="3064"/>
      <c r="E12928" s="3064"/>
      <c r="F12928" s="3064"/>
      <c r="G12928" s="3301" t="s">
        <v>677</v>
      </c>
      <c r="H12928" s="3063"/>
      <c r="I12928" s="3030"/>
    </row>
    <row r="12929" spans="2:9">
      <c r="B12929" s="3192" t="s">
        <v>678</v>
      </c>
      <c r="C12929" s="3063"/>
      <c r="D12929" s="3064"/>
      <c r="E12929" s="3064"/>
      <c r="F12929" s="3064"/>
      <c r="G12929" s="3301" t="s">
        <v>678</v>
      </c>
      <c r="H12929" s="3063"/>
      <c r="I12929" s="3030"/>
    </row>
    <row r="12930" spans="2:9">
      <c r="B12930" s="3192" t="s">
        <v>679</v>
      </c>
      <c r="C12930" s="3063"/>
      <c r="D12930" s="3064"/>
      <c r="E12930" s="3064"/>
      <c r="F12930" s="3064"/>
      <c r="G12930" s="3301" t="s">
        <v>679</v>
      </c>
      <c r="H12930" s="3063"/>
      <c r="I12930" s="3030"/>
    </row>
    <row r="12931" spans="2:9" ht="25.5">
      <c r="B12931" s="3192" t="s">
        <v>720</v>
      </c>
      <c r="C12931" s="3063"/>
      <c r="D12931" s="3064"/>
      <c r="E12931" s="3064"/>
      <c r="F12931" s="3064"/>
      <c r="G12931" s="3301" t="s">
        <v>720</v>
      </c>
      <c r="H12931" s="3063"/>
      <c r="I12931" s="3030"/>
    </row>
    <row r="12932" spans="2:9">
      <c r="B12932" s="3299" t="s">
        <v>82</v>
      </c>
      <c r="C12932" s="3063"/>
      <c r="D12932" s="3064"/>
      <c r="E12932" s="3064"/>
      <c r="F12932" s="3064"/>
      <c r="G12932" s="3300" t="s">
        <v>82</v>
      </c>
      <c r="H12932" s="3063"/>
      <c r="I12932" s="3030"/>
    </row>
    <row r="12933" spans="2:9" ht="25.5">
      <c r="B12933" s="3192" t="s">
        <v>675</v>
      </c>
      <c r="C12933" s="3063"/>
      <c r="D12933" s="3064"/>
      <c r="E12933" s="3064"/>
      <c r="F12933" s="3064"/>
      <c r="G12933" s="3301" t="s">
        <v>675</v>
      </c>
      <c r="H12933" s="3063"/>
      <c r="I12933" s="3030"/>
    </row>
    <row r="12934" spans="2:9" ht="25.5">
      <c r="B12934" s="3192" t="s">
        <v>676</v>
      </c>
      <c r="C12934" s="3063"/>
      <c r="D12934" s="3064"/>
      <c r="E12934" s="3064"/>
      <c r="F12934" s="3064"/>
      <c r="G12934" s="3301" t="s">
        <v>676</v>
      </c>
      <c r="H12934" s="3063"/>
      <c r="I12934" s="3030"/>
    </row>
    <row r="12935" spans="2:9">
      <c r="B12935" s="3192" t="s">
        <v>677</v>
      </c>
      <c r="C12935" s="3063"/>
      <c r="D12935" s="3064"/>
      <c r="E12935" s="3064"/>
      <c r="F12935" s="3064"/>
      <c r="G12935" s="3301" t="s">
        <v>677</v>
      </c>
      <c r="H12935" s="3063"/>
      <c r="I12935" s="3030"/>
    </row>
    <row r="12936" spans="2:9">
      <c r="B12936" s="3192" t="s">
        <v>678</v>
      </c>
      <c r="C12936" s="3063"/>
      <c r="D12936" s="3064"/>
      <c r="E12936" s="3064"/>
      <c r="F12936" s="3064"/>
      <c r="G12936" s="3301" t="s">
        <v>678</v>
      </c>
      <c r="H12936" s="3063"/>
      <c r="I12936" s="3030"/>
    </row>
    <row r="12937" spans="2:9">
      <c r="B12937" s="3192" t="s">
        <v>679</v>
      </c>
      <c r="C12937" s="3063"/>
      <c r="D12937" s="3064"/>
      <c r="E12937" s="3064"/>
      <c r="F12937" s="3064"/>
      <c r="G12937" s="3301" t="s">
        <v>679</v>
      </c>
      <c r="H12937" s="3063"/>
      <c r="I12937" s="3030"/>
    </row>
    <row r="12938" spans="2:9" ht="25.5">
      <c r="B12938" s="3192" t="s">
        <v>720</v>
      </c>
      <c r="C12938" s="3063"/>
      <c r="D12938" s="3064"/>
      <c r="E12938" s="3064"/>
      <c r="F12938" s="3064"/>
      <c r="G12938" s="3301" t="s">
        <v>720</v>
      </c>
      <c r="H12938" s="3063"/>
      <c r="I12938" s="3030"/>
    </row>
    <row r="12939" spans="2:9" ht="38.25">
      <c r="B12939" s="3299" t="s">
        <v>680</v>
      </c>
      <c r="C12939" s="3063"/>
      <c r="D12939" s="3064"/>
      <c r="E12939" s="3064"/>
      <c r="F12939" s="3064"/>
      <c r="G12939" s="3300" t="s">
        <v>680</v>
      </c>
      <c r="H12939" s="3063"/>
      <c r="I12939" s="3030"/>
    </row>
    <row r="12940" spans="2:9" ht="25.5">
      <c r="B12940" s="3192" t="s">
        <v>675</v>
      </c>
      <c r="C12940" s="3063"/>
      <c r="D12940" s="3064"/>
      <c r="E12940" s="3064"/>
      <c r="F12940" s="3064"/>
      <c r="G12940" s="3301" t="s">
        <v>675</v>
      </c>
      <c r="H12940" s="3063"/>
      <c r="I12940" s="3030"/>
    </row>
    <row r="12941" spans="2:9" ht="25.5">
      <c r="B12941" s="3192" t="s">
        <v>676</v>
      </c>
      <c r="C12941" s="3063"/>
      <c r="D12941" s="3064"/>
      <c r="E12941" s="3064"/>
      <c r="F12941" s="3064"/>
      <c r="G12941" s="3301" t="s">
        <v>676</v>
      </c>
      <c r="H12941" s="3063"/>
      <c r="I12941" s="3030"/>
    </row>
    <row r="12942" spans="2:9">
      <c r="B12942" s="3192" t="s">
        <v>677</v>
      </c>
      <c r="C12942" s="3063"/>
      <c r="D12942" s="3064"/>
      <c r="E12942" s="3064"/>
      <c r="F12942" s="3064"/>
      <c r="G12942" s="3301" t="s">
        <v>677</v>
      </c>
      <c r="H12942" s="3063"/>
      <c r="I12942" s="3030"/>
    </row>
    <row r="12943" spans="2:9">
      <c r="B12943" s="3192" t="s">
        <v>678</v>
      </c>
      <c r="C12943" s="3063"/>
      <c r="D12943" s="3064"/>
      <c r="E12943" s="3064"/>
      <c r="F12943" s="3064"/>
      <c r="G12943" s="3301" t="s">
        <v>678</v>
      </c>
      <c r="H12943" s="3063"/>
      <c r="I12943" s="3030"/>
    </row>
    <row r="12944" spans="2:9">
      <c r="B12944" s="3192" t="s">
        <v>679</v>
      </c>
      <c r="C12944" s="3063"/>
      <c r="D12944" s="3064"/>
      <c r="E12944" s="3064"/>
      <c r="F12944" s="3064"/>
      <c r="G12944" s="3301" t="s">
        <v>679</v>
      </c>
      <c r="H12944" s="3063"/>
      <c r="I12944" s="3030"/>
    </row>
    <row r="12945" spans="2:9" ht="25.5">
      <c r="B12945" s="3192" t="s">
        <v>720</v>
      </c>
      <c r="C12945" s="3063"/>
      <c r="D12945" s="3064"/>
      <c r="E12945" s="3064"/>
      <c r="F12945" s="3064"/>
      <c r="G12945" s="3301" t="s">
        <v>720</v>
      </c>
      <c r="H12945" s="3063"/>
      <c r="I12945" s="3030"/>
    </row>
    <row r="12946" spans="2:9" ht="38.25">
      <c r="B12946" s="3299" t="s">
        <v>681</v>
      </c>
      <c r="C12946" s="3063"/>
      <c r="D12946" s="3064"/>
      <c r="E12946" s="3064"/>
      <c r="F12946" s="3064"/>
      <c r="G12946" s="3300" t="s">
        <v>681</v>
      </c>
      <c r="H12946" s="3063"/>
      <c r="I12946" s="3030"/>
    </row>
    <row r="12947" spans="2:9" ht="25.5">
      <c r="B12947" s="3192" t="s">
        <v>675</v>
      </c>
      <c r="C12947" s="3063"/>
      <c r="D12947" s="3064"/>
      <c r="E12947" s="3064"/>
      <c r="F12947" s="3064"/>
      <c r="G12947" s="3301" t="s">
        <v>675</v>
      </c>
      <c r="H12947" s="3063"/>
      <c r="I12947" s="3030"/>
    </row>
    <row r="12948" spans="2:9" ht="25.5">
      <c r="B12948" s="3192" t="s">
        <v>676</v>
      </c>
      <c r="C12948" s="3063"/>
      <c r="D12948" s="3064"/>
      <c r="E12948" s="3064"/>
      <c r="F12948" s="3064"/>
      <c r="G12948" s="3301" t="s">
        <v>676</v>
      </c>
      <c r="H12948" s="3063"/>
      <c r="I12948" s="3030"/>
    </row>
    <row r="12949" spans="2:9">
      <c r="B12949" s="3192" t="s">
        <v>677</v>
      </c>
      <c r="C12949" s="3063"/>
      <c r="D12949" s="3064"/>
      <c r="E12949" s="3064"/>
      <c r="F12949" s="3064"/>
      <c r="G12949" s="3301" t="s">
        <v>677</v>
      </c>
      <c r="H12949" s="3063"/>
      <c r="I12949" s="3030"/>
    </row>
    <row r="12950" spans="2:9">
      <c r="B12950" s="3192" t="s">
        <v>678</v>
      </c>
      <c r="C12950" s="3063"/>
      <c r="D12950" s="3064"/>
      <c r="E12950" s="3064"/>
      <c r="F12950" s="3064"/>
      <c r="G12950" s="3301" t="s">
        <v>678</v>
      </c>
      <c r="H12950" s="3063"/>
      <c r="I12950" s="3030"/>
    </row>
    <row r="12951" spans="2:9">
      <c r="B12951" s="3192" t="s">
        <v>679</v>
      </c>
      <c r="C12951" s="3063"/>
      <c r="D12951" s="3064"/>
      <c r="E12951" s="3064"/>
      <c r="F12951" s="3064"/>
      <c r="G12951" s="3301" t="s">
        <v>679</v>
      </c>
      <c r="H12951" s="3063"/>
      <c r="I12951" s="3030"/>
    </row>
    <row r="12952" spans="2:9" ht="25.5">
      <c r="B12952" s="3192" t="s">
        <v>720</v>
      </c>
      <c r="C12952" s="3063"/>
      <c r="D12952" s="3064"/>
      <c r="E12952" s="3064"/>
      <c r="F12952" s="3064"/>
      <c r="G12952" s="3301" t="s">
        <v>720</v>
      </c>
      <c r="H12952" s="3063"/>
      <c r="I12952" s="3030"/>
    </row>
    <row r="12953" spans="2:9" ht="25.5">
      <c r="B12953" s="3299" t="s">
        <v>682</v>
      </c>
      <c r="C12953" s="3063"/>
      <c r="D12953" s="3064"/>
      <c r="E12953" s="3064"/>
      <c r="F12953" s="3064"/>
      <c r="G12953" s="3300" t="s">
        <v>682</v>
      </c>
      <c r="H12953" s="3063"/>
      <c r="I12953" s="3030"/>
    </row>
    <row r="12954" spans="2:9" ht="25.5">
      <c r="B12954" s="3192" t="s">
        <v>675</v>
      </c>
      <c r="C12954" s="3063"/>
      <c r="D12954" s="3064"/>
      <c r="E12954" s="3064"/>
      <c r="F12954" s="3064"/>
      <c r="G12954" s="3301" t="s">
        <v>675</v>
      </c>
      <c r="H12954" s="3063"/>
      <c r="I12954" s="3030"/>
    </row>
    <row r="12955" spans="2:9" ht="25.5">
      <c r="B12955" s="3192" t="s">
        <v>676</v>
      </c>
      <c r="C12955" s="3063"/>
      <c r="D12955" s="3064"/>
      <c r="E12955" s="3064"/>
      <c r="F12955" s="3064"/>
      <c r="G12955" s="3301" t="s">
        <v>676</v>
      </c>
      <c r="H12955" s="3063"/>
      <c r="I12955" s="3030"/>
    </row>
    <row r="12956" spans="2:9">
      <c r="B12956" s="3192" t="s">
        <v>677</v>
      </c>
      <c r="C12956" s="3063"/>
      <c r="D12956" s="3064"/>
      <c r="E12956" s="3064"/>
      <c r="F12956" s="3064"/>
      <c r="G12956" s="3301" t="s">
        <v>677</v>
      </c>
      <c r="H12956" s="3063"/>
      <c r="I12956" s="3030"/>
    </row>
    <row r="12957" spans="2:9">
      <c r="B12957" s="3192" t="s">
        <v>678</v>
      </c>
      <c r="C12957" s="3063"/>
      <c r="D12957" s="3064"/>
      <c r="E12957" s="3064"/>
      <c r="F12957" s="3064"/>
      <c r="G12957" s="3301" t="s">
        <v>678</v>
      </c>
      <c r="H12957" s="3063"/>
      <c r="I12957" s="3030"/>
    </row>
    <row r="12958" spans="2:9">
      <c r="B12958" s="3192" t="s">
        <v>679</v>
      </c>
      <c r="C12958" s="3063"/>
      <c r="D12958" s="3064"/>
      <c r="E12958" s="3064"/>
      <c r="F12958" s="3064"/>
      <c r="G12958" s="3301" t="s">
        <v>679</v>
      </c>
      <c r="H12958" s="3063"/>
      <c r="I12958" s="3030"/>
    </row>
    <row r="12959" spans="2:9" ht="25.5">
      <c r="B12959" s="3192" t="s">
        <v>720</v>
      </c>
      <c r="C12959" s="3063"/>
      <c r="D12959" s="3064"/>
      <c r="E12959" s="3064"/>
      <c r="F12959" s="3064"/>
      <c r="G12959" s="3301" t="s">
        <v>720</v>
      </c>
      <c r="H12959" s="3063"/>
      <c r="I12959" s="3030"/>
    </row>
    <row r="12960" spans="2:9" ht="25.5">
      <c r="B12960" s="3299" t="s">
        <v>66</v>
      </c>
      <c r="C12960" s="3063"/>
      <c r="D12960" s="3064"/>
      <c r="E12960" s="3064"/>
      <c r="F12960" s="3064"/>
      <c r="G12960" s="3300" t="s">
        <v>66</v>
      </c>
      <c r="H12960" s="3063"/>
      <c r="I12960" s="3030"/>
    </row>
    <row r="12961" spans="2:9" ht="25.5">
      <c r="B12961" s="3192" t="s">
        <v>675</v>
      </c>
      <c r="C12961" s="3063"/>
      <c r="D12961" s="3064"/>
      <c r="E12961" s="3064"/>
      <c r="F12961" s="3064"/>
      <c r="G12961" s="3301" t="s">
        <v>675</v>
      </c>
      <c r="H12961" s="3063"/>
      <c r="I12961" s="3030"/>
    </row>
    <row r="12962" spans="2:9" ht="25.5">
      <c r="B12962" s="3192" t="s">
        <v>676</v>
      </c>
      <c r="C12962" s="3063"/>
      <c r="D12962" s="3064"/>
      <c r="E12962" s="3064"/>
      <c r="F12962" s="3064"/>
      <c r="G12962" s="3301" t="s">
        <v>676</v>
      </c>
      <c r="H12962" s="3063"/>
      <c r="I12962" s="3030"/>
    </row>
    <row r="12963" spans="2:9">
      <c r="B12963" s="3192" t="s">
        <v>677</v>
      </c>
      <c r="C12963" s="3063"/>
      <c r="D12963" s="3064"/>
      <c r="E12963" s="3064"/>
      <c r="F12963" s="3064"/>
      <c r="G12963" s="3301" t="s">
        <v>677</v>
      </c>
      <c r="H12963" s="3063"/>
      <c r="I12963" s="3030"/>
    </row>
    <row r="12964" spans="2:9">
      <c r="B12964" s="3192" t="s">
        <v>678</v>
      </c>
      <c r="C12964" s="3063"/>
      <c r="D12964" s="3064"/>
      <c r="E12964" s="3064"/>
      <c r="F12964" s="3064"/>
      <c r="G12964" s="3301" t="s">
        <v>678</v>
      </c>
      <c r="H12964" s="3063"/>
      <c r="I12964" s="3030"/>
    </row>
    <row r="12965" spans="2:9">
      <c r="B12965" s="3192" t="s">
        <v>679</v>
      </c>
      <c r="C12965" s="3063"/>
      <c r="D12965" s="3064"/>
      <c r="E12965" s="3064"/>
      <c r="F12965" s="3064"/>
      <c r="G12965" s="3301" t="s">
        <v>679</v>
      </c>
      <c r="H12965" s="3063"/>
      <c r="I12965" s="3030"/>
    </row>
    <row r="12966" spans="2:9" ht="25.5">
      <c r="B12966" s="3192" t="s">
        <v>720</v>
      </c>
      <c r="C12966" s="3063"/>
      <c r="D12966" s="3064"/>
      <c r="E12966" s="3064"/>
      <c r="F12966" s="3064"/>
      <c r="G12966" s="3301" t="s">
        <v>720</v>
      </c>
      <c r="H12966" s="3063"/>
      <c r="I12966" s="3030"/>
    </row>
    <row r="12967" spans="2:9">
      <c r="B12967" s="3299" t="s">
        <v>67</v>
      </c>
      <c r="C12967" s="3063"/>
      <c r="D12967" s="3064"/>
      <c r="E12967" s="3064"/>
      <c r="F12967" s="3064"/>
      <c r="G12967" s="3300" t="s">
        <v>67</v>
      </c>
      <c r="H12967" s="3063"/>
      <c r="I12967" s="3030"/>
    </row>
    <row r="12968" spans="2:9" ht="25.5">
      <c r="B12968" s="3192" t="s">
        <v>675</v>
      </c>
      <c r="C12968" s="3063"/>
      <c r="D12968" s="3064"/>
      <c r="E12968" s="3064"/>
      <c r="F12968" s="3064"/>
      <c r="G12968" s="3301" t="s">
        <v>675</v>
      </c>
      <c r="H12968" s="3063"/>
      <c r="I12968" s="3030"/>
    </row>
    <row r="12969" spans="2:9" ht="25.5">
      <c r="B12969" s="3192" t="s">
        <v>676</v>
      </c>
      <c r="C12969" s="3063"/>
      <c r="D12969" s="3064"/>
      <c r="E12969" s="3064"/>
      <c r="F12969" s="3064"/>
      <c r="G12969" s="3301" t="s">
        <v>676</v>
      </c>
      <c r="H12969" s="3063"/>
      <c r="I12969" s="3030"/>
    </row>
    <row r="12970" spans="2:9">
      <c r="B12970" s="3192" t="s">
        <v>677</v>
      </c>
      <c r="C12970" s="3063"/>
      <c r="D12970" s="3064"/>
      <c r="E12970" s="3064"/>
      <c r="F12970" s="3064"/>
      <c r="G12970" s="3301" t="s">
        <v>677</v>
      </c>
      <c r="H12970" s="3063"/>
      <c r="I12970" s="3030"/>
    </row>
    <row r="12971" spans="2:9">
      <c r="B12971" s="3192" t="s">
        <v>678</v>
      </c>
      <c r="C12971" s="3063"/>
      <c r="D12971" s="3064"/>
      <c r="E12971" s="3064"/>
      <c r="F12971" s="3064"/>
      <c r="G12971" s="3301" t="s">
        <v>678</v>
      </c>
      <c r="H12971" s="3063"/>
      <c r="I12971" s="3030"/>
    </row>
    <row r="12972" spans="2:9">
      <c r="B12972" s="3192" t="s">
        <v>679</v>
      </c>
      <c r="C12972" s="3063"/>
      <c r="D12972" s="3064"/>
      <c r="E12972" s="3064"/>
      <c r="F12972" s="3064"/>
      <c r="G12972" s="3301" t="s">
        <v>679</v>
      </c>
      <c r="H12972" s="3063"/>
      <c r="I12972" s="3030"/>
    </row>
    <row r="12973" spans="2:9" ht="25.5">
      <c r="B12973" s="3192" t="s">
        <v>720</v>
      </c>
      <c r="C12973" s="3063"/>
      <c r="D12973" s="3064"/>
      <c r="E12973" s="3064"/>
      <c r="F12973" s="3064"/>
      <c r="G12973" s="3301" t="s">
        <v>720</v>
      </c>
      <c r="H12973" s="3063"/>
      <c r="I12973" s="3030"/>
    </row>
    <row r="12974" spans="2:9" ht="25.5">
      <c r="B12974" s="3230" t="s">
        <v>81</v>
      </c>
      <c r="C12974" s="3063"/>
      <c r="D12974" s="3064"/>
      <c r="E12974" s="3064"/>
      <c r="F12974" s="3064"/>
      <c r="G12974" s="3302" t="s">
        <v>81</v>
      </c>
      <c r="H12974" s="3063"/>
      <c r="I12974" s="3030"/>
    </row>
    <row r="12975" spans="2:9" ht="26.25" thickBot="1">
      <c r="B12975" s="3303" t="s">
        <v>81</v>
      </c>
      <c r="C12975" s="3063"/>
      <c r="D12975" s="3064"/>
      <c r="E12975" s="3064"/>
      <c r="F12975" s="3064"/>
      <c r="G12975" s="3302" t="s">
        <v>81</v>
      </c>
      <c r="H12975" s="3063"/>
      <c r="I12975" s="3030"/>
    </row>
    <row r="12976" spans="2:9" ht="25.5">
      <c r="B12976" s="3217" t="s">
        <v>696</v>
      </c>
      <c r="C12976" s="3218"/>
      <c r="D12976" s="3219"/>
      <c r="E12976" s="3219"/>
      <c r="F12976" s="3219"/>
      <c r="G12976" s="3217" t="s">
        <v>696</v>
      </c>
      <c r="H12976" s="3297"/>
      <c r="I12976" s="3298"/>
    </row>
    <row r="12977" spans="2:9">
      <c r="B12977" s="3299" t="s">
        <v>64</v>
      </c>
      <c r="C12977" s="3063"/>
      <c r="D12977" s="3064"/>
      <c r="E12977" s="3064"/>
      <c r="F12977" s="3064"/>
      <c r="G12977" s="3300" t="s">
        <v>64</v>
      </c>
      <c r="H12977" s="3063"/>
      <c r="I12977" s="3030"/>
    </row>
    <row r="12978" spans="2:9" ht="25.5">
      <c r="B12978" s="3192" t="s">
        <v>675</v>
      </c>
      <c r="C12978" s="3063"/>
      <c r="D12978" s="3064"/>
      <c r="E12978" s="3064"/>
      <c r="F12978" s="3064"/>
      <c r="G12978" s="3301" t="s">
        <v>675</v>
      </c>
      <c r="H12978" s="3063"/>
      <c r="I12978" s="3030"/>
    </row>
    <row r="12979" spans="2:9" ht="25.5">
      <c r="B12979" s="3192" t="s">
        <v>676</v>
      </c>
      <c r="C12979" s="3063"/>
      <c r="D12979" s="3064"/>
      <c r="E12979" s="3064"/>
      <c r="F12979" s="3064"/>
      <c r="G12979" s="3301" t="s">
        <v>676</v>
      </c>
      <c r="H12979" s="3063"/>
      <c r="I12979" s="3030"/>
    </row>
    <row r="12980" spans="2:9">
      <c r="B12980" s="3192" t="s">
        <v>677</v>
      </c>
      <c r="C12980" s="3063"/>
      <c r="D12980" s="3064"/>
      <c r="E12980" s="3064"/>
      <c r="F12980" s="3064"/>
      <c r="G12980" s="3301" t="s">
        <v>677</v>
      </c>
      <c r="H12980" s="3063"/>
      <c r="I12980" s="3030"/>
    </row>
    <row r="12981" spans="2:9">
      <c r="B12981" s="3192" t="s">
        <v>678</v>
      </c>
      <c r="C12981" s="3063"/>
      <c r="D12981" s="3064"/>
      <c r="E12981" s="3064"/>
      <c r="F12981" s="3064"/>
      <c r="G12981" s="3301" t="s">
        <v>678</v>
      </c>
      <c r="H12981" s="3063"/>
      <c r="I12981" s="3030"/>
    </row>
    <row r="12982" spans="2:9">
      <c r="B12982" s="3192" t="s">
        <v>679</v>
      </c>
      <c r="C12982" s="3063"/>
      <c r="D12982" s="3064"/>
      <c r="E12982" s="3064"/>
      <c r="F12982" s="3064"/>
      <c r="G12982" s="3301" t="s">
        <v>679</v>
      </c>
      <c r="H12982" s="3063"/>
      <c r="I12982" s="3030"/>
    </row>
    <row r="12983" spans="2:9" ht="25.5">
      <c r="B12983" s="3192" t="s">
        <v>720</v>
      </c>
      <c r="C12983" s="3063"/>
      <c r="D12983" s="3064"/>
      <c r="E12983" s="3064"/>
      <c r="F12983" s="3064"/>
      <c r="G12983" s="3301" t="s">
        <v>720</v>
      </c>
      <c r="H12983" s="3063"/>
      <c r="I12983" s="3030"/>
    </row>
    <row r="12984" spans="2:9">
      <c r="B12984" s="3299" t="s">
        <v>65</v>
      </c>
      <c r="C12984" s="3063"/>
      <c r="D12984" s="3064"/>
      <c r="E12984" s="3064"/>
      <c r="F12984" s="3064"/>
      <c r="G12984" s="3300" t="s">
        <v>65</v>
      </c>
      <c r="H12984" s="3063"/>
      <c r="I12984" s="3030"/>
    </row>
    <row r="12985" spans="2:9" ht="25.5">
      <c r="B12985" s="3192" t="s">
        <v>675</v>
      </c>
      <c r="C12985" s="3063"/>
      <c r="D12985" s="3064"/>
      <c r="E12985" s="3064"/>
      <c r="F12985" s="3064"/>
      <c r="G12985" s="3301" t="s">
        <v>675</v>
      </c>
      <c r="H12985" s="3063"/>
      <c r="I12985" s="3030"/>
    </row>
    <row r="12986" spans="2:9" ht="25.5">
      <c r="B12986" s="3192" t="s">
        <v>676</v>
      </c>
      <c r="C12986" s="3063"/>
      <c r="D12986" s="3064"/>
      <c r="E12986" s="3064"/>
      <c r="F12986" s="3064"/>
      <c r="G12986" s="3301" t="s">
        <v>676</v>
      </c>
      <c r="H12986" s="3063"/>
      <c r="I12986" s="3030"/>
    </row>
    <row r="12987" spans="2:9">
      <c r="B12987" s="3192" t="s">
        <v>677</v>
      </c>
      <c r="C12987" s="3063"/>
      <c r="D12987" s="3064"/>
      <c r="E12987" s="3064"/>
      <c r="F12987" s="3064"/>
      <c r="G12987" s="3301" t="s">
        <v>677</v>
      </c>
      <c r="H12987" s="3063"/>
      <c r="I12987" s="3030"/>
    </row>
    <row r="12988" spans="2:9">
      <c r="B12988" s="3192" t="s">
        <v>678</v>
      </c>
      <c r="C12988" s="3063"/>
      <c r="D12988" s="3064"/>
      <c r="E12988" s="3064"/>
      <c r="F12988" s="3064"/>
      <c r="G12988" s="3301" t="s">
        <v>678</v>
      </c>
      <c r="H12988" s="3063"/>
      <c r="I12988" s="3030"/>
    </row>
    <row r="12989" spans="2:9">
      <c r="B12989" s="3192" t="s">
        <v>679</v>
      </c>
      <c r="C12989" s="3063"/>
      <c r="D12989" s="3064"/>
      <c r="E12989" s="3064"/>
      <c r="F12989" s="3064"/>
      <c r="G12989" s="3301" t="s">
        <v>679</v>
      </c>
      <c r="H12989" s="3063"/>
      <c r="I12989" s="3030"/>
    </row>
    <row r="12990" spans="2:9" ht="25.5">
      <c r="B12990" s="3192" t="s">
        <v>720</v>
      </c>
      <c r="C12990" s="3063"/>
      <c r="D12990" s="3064"/>
      <c r="E12990" s="3064"/>
      <c r="F12990" s="3064"/>
      <c r="G12990" s="3301" t="s">
        <v>720</v>
      </c>
      <c r="H12990" s="3063"/>
      <c r="I12990" s="3030"/>
    </row>
    <row r="12991" spans="2:9">
      <c r="B12991" s="3299" t="s">
        <v>82</v>
      </c>
      <c r="C12991" s="3063"/>
      <c r="D12991" s="3064"/>
      <c r="E12991" s="3064"/>
      <c r="F12991" s="3064"/>
      <c r="G12991" s="3300" t="s">
        <v>82</v>
      </c>
      <c r="H12991" s="3063"/>
      <c r="I12991" s="3030"/>
    </row>
    <row r="12992" spans="2:9" ht="25.5">
      <c r="B12992" s="3192" t="s">
        <v>675</v>
      </c>
      <c r="C12992" s="3063"/>
      <c r="D12992" s="3064"/>
      <c r="E12992" s="3064"/>
      <c r="F12992" s="3064"/>
      <c r="G12992" s="3301" t="s">
        <v>675</v>
      </c>
      <c r="H12992" s="3063"/>
      <c r="I12992" s="3030"/>
    </row>
    <row r="12993" spans="2:9" ht="25.5">
      <c r="B12993" s="3192" t="s">
        <v>676</v>
      </c>
      <c r="C12993" s="3063"/>
      <c r="D12993" s="3064"/>
      <c r="E12993" s="3064"/>
      <c r="F12993" s="3064"/>
      <c r="G12993" s="3301" t="s">
        <v>676</v>
      </c>
      <c r="H12993" s="3063"/>
      <c r="I12993" s="3030"/>
    </row>
    <row r="12994" spans="2:9">
      <c r="B12994" s="3192" t="s">
        <v>677</v>
      </c>
      <c r="C12994" s="3063"/>
      <c r="D12994" s="3064"/>
      <c r="E12994" s="3064"/>
      <c r="F12994" s="3064"/>
      <c r="G12994" s="3301" t="s">
        <v>677</v>
      </c>
      <c r="H12994" s="3063"/>
      <c r="I12994" s="3030"/>
    </row>
    <row r="12995" spans="2:9">
      <c r="B12995" s="3192" t="s">
        <v>678</v>
      </c>
      <c r="C12995" s="3063"/>
      <c r="D12995" s="3064"/>
      <c r="E12995" s="3064"/>
      <c r="F12995" s="3064"/>
      <c r="G12995" s="3301" t="s">
        <v>678</v>
      </c>
      <c r="H12995" s="3063"/>
      <c r="I12995" s="3030"/>
    </row>
    <row r="12996" spans="2:9">
      <c r="B12996" s="3192" t="s">
        <v>679</v>
      </c>
      <c r="C12996" s="3063"/>
      <c r="D12996" s="3064"/>
      <c r="E12996" s="3064"/>
      <c r="F12996" s="3064"/>
      <c r="G12996" s="3301" t="s">
        <v>679</v>
      </c>
      <c r="H12996" s="3063"/>
      <c r="I12996" s="3030"/>
    </row>
    <row r="12997" spans="2:9" ht="25.5">
      <c r="B12997" s="3192" t="s">
        <v>720</v>
      </c>
      <c r="C12997" s="3063"/>
      <c r="D12997" s="3064"/>
      <c r="E12997" s="3064"/>
      <c r="F12997" s="3064"/>
      <c r="G12997" s="3301" t="s">
        <v>720</v>
      </c>
      <c r="H12997" s="3063"/>
      <c r="I12997" s="3030"/>
    </row>
    <row r="12998" spans="2:9" ht="38.25">
      <c r="B12998" s="3299" t="s">
        <v>680</v>
      </c>
      <c r="C12998" s="3063"/>
      <c r="D12998" s="3064"/>
      <c r="E12998" s="3064"/>
      <c r="F12998" s="3064"/>
      <c r="G12998" s="3300" t="s">
        <v>680</v>
      </c>
      <c r="H12998" s="3063"/>
      <c r="I12998" s="3030"/>
    </row>
    <row r="12999" spans="2:9" ht="25.5">
      <c r="B12999" s="3192" t="s">
        <v>675</v>
      </c>
      <c r="C12999" s="3063"/>
      <c r="D12999" s="3064"/>
      <c r="E12999" s="3064"/>
      <c r="F12999" s="3064"/>
      <c r="G12999" s="3301" t="s">
        <v>675</v>
      </c>
      <c r="H12999" s="3063"/>
      <c r="I12999" s="3030"/>
    </row>
    <row r="13000" spans="2:9" ht="25.5">
      <c r="B13000" s="3192" t="s">
        <v>676</v>
      </c>
      <c r="C13000" s="3063"/>
      <c r="D13000" s="3064"/>
      <c r="E13000" s="3064"/>
      <c r="F13000" s="3064"/>
      <c r="G13000" s="3301" t="s">
        <v>676</v>
      </c>
      <c r="H13000" s="3063"/>
      <c r="I13000" s="3030"/>
    </row>
    <row r="13001" spans="2:9">
      <c r="B13001" s="3192" t="s">
        <v>677</v>
      </c>
      <c r="C13001" s="3063"/>
      <c r="D13001" s="3064"/>
      <c r="E13001" s="3064"/>
      <c r="F13001" s="3064"/>
      <c r="G13001" s="3301" t="s">
        <v>677</v>
      </c>
      <c r="H13001" s="3063"/>
      <c r="I13001" s="3030"/>
    </row>
    <row r="13002" spans="2:9">
      <c r="B13002" s="3192" t="s">
        <v>678</v>
      </c>
      <c r="C13002" s="3063"/>
      <c r="D13002" s="3064"/>
      <c r="E13002" s="3064"/>
      <c r="F13002" s="3064"/>
      <c r="G13002" s="3301" t="s">
        <v>678</v>
      </c>
      <c r="H13002" s="3063"/>
      <c r="I13002" s="3030"/>
    </row>
    <row r="13003" spans="2:9">
      <c r="B13003" s="3192" t="s">
        <v>679</v>
      </c>
      <c r="C13003" s="3063"/>
      <c r="D13003" s="3064"/>
      <c r="E13003" s="3064"/>
      <c r="F13003" s="3064"/>
      <c r="G13003" s="3301" t="s">
        <v>679</v>
      </c>
      <c r="H13003" s="3063"/>
      <c r="I13003" s="3030"/>
    </row>
    <row r="13004" spans="2:9" ht="25.5">
      <c r="B13004" s="3192" t="s">
        <v>720</v>
      </c>
      <c r="C13004" s="3063"/>
      <c r="D13004" s="3064"/>
      <c r="E13004" s="3064"/>
      <c r="F13004" s="3064"/>
      <c r="G13004" s="3301" t="s">
        <v>720</v>
      </c>
      <c r="H13004" s="3063"/>
      <c r="I13004" s="3030"/>
    </row>
    <row r="13005" spans="2:9" ht="38.25">
      <c r="B13005" s="3299" t="s">
        <v>681</v>
      </c>
      <c r="C13005" s="3063"/>
      <c r="D13005" s="3064"/>
      <c r="E13005" s="3064"/>
      <c r="F13005" s="3064"/>
      <c r="G13005" s="3300" t="s">
        <v>681</v>
      </c>
      <c r="H13005" s="3063"/>
      <c r="I13005" s="3030"/>
    </row>
    <row r="13006" spans="2:9" ht="25.5">
      <c r="B13006" s="3192" t="s">
        <v>675</v>
      </c>
      <c r="C13006" s="3063"/>
      <c r="D13006" s="3064"/>
      <c r="E13006" s="3064"/>
      <c r="F13006" s="3064"/>
      <c r="G13006" s="3301" t="s">
        <v>675</v>
      </c>
      <c r="H13006" s="3063"/>
      <c r="I13006" s="3030"/>
    </row>
    <row r="13007" spans="2:9" ht="25.5">
      <c r="B13007" s="3192" t="s">
        <v>676</v>
      </c>
      <c r="C13007" s="3063"/>
      <c r="D13007" s="3064"/>
      <c r="E13007" s="3064"/>
      <c r="F13007" s="3064"/>
      <c r="G13007" s="3301" t="s">
        <v>676</v>
      </c>
      <c r="H13007" s="3063"/>
      <c r="I13007" s="3030"/>
    </row>
    <row r="13008" spans="2:9">
      <c r="B13008" s="3192" t="s">
        <v>677</v>
      </c>
      <c r="C13008" s="3063"/>
      <c r="D13008" s="3064"/>
      <c r="E13008" s="3064"/>
      <c r="F13008" s="3064"/>
      <c r="G13008" s="3301" t="s">
        <v>677</v>
      </c>
      <c r="H13008" s="3063"/>
      <c r="I13008" s="3030"/>
    </row>
    <row r="13009" spans="2:9">
      <c r="B13009" s="3192" t="s">
        <v>678</v>
      </c>
      <c r="C13009" s="3063"/>
      <c r="D13009" s="3064"/>
      <c r="E13009" s="3064"/>
      <c r="F13009" s="3064"/>
      <c r="G13009" s="3301" t="s">
        <v>678</v>
      </c>
      <c r="H13009" s="3063"/>
      <c r="I13009" s="3030"/>
    </row>
    <row r="13010" spans="2:9">
      <c r="B13010" s="3192" t="s">
        <v>679</v>
      </c>
      <c r="C13010" s="3063"/>
      <c r="D13010" s="3064"/>
      <c r="E13010" s="3064"/>
      <c r="F13010" s="3064"/>
      <c r="G13010" s="3301" t="s">
        <v>679</v>
      </c>
      <c r="H13010" s="3063"/>
      <c r="I13010" s="3030"/>
    </row>
    <row r="13011" spans="2:9" ht="25.5">
      <c r="B13011" s="3192" t="s">
        <v>720</v>
      </c>
      <c r="C13011" s="3063"/>
      <c r="D13011" s="3064"/>
      <c r="E13011" s="3064"/>
      <c r="F13011" s="3064"/>
      <c r="G13011" s="3301" t="s">
        <v>720</v>
      </c>
      <c r="H13011" s="3063"/>
      <c r="I13011" s="3030"/>
    </row>
    <row r="13012" spans="2:9" ht="25.5">
      <c r="B13012" s="3299" t="s">
        <v>682</v>
      </c>
      <c r="C13012" s="3063"/>
      <c r="D13012" s="3064"/>
      <c r="E13012" s="3064"/>
      <c r="F13012" s="3064"/>
      <c r="G13012" s="3300" t="s">
        <v>682</v>
      </c>
      <c r="H13012" s="3063"/>
      <c r="I13012" s="3030"/>
    </row>
    <row r="13013" spans="2:9" ht="25.5">
      <c r="B13013" s="3192" t="s">
        <v>675</v>
      </c>
      <c r="C13013" s="3063"/>
      <c r="D13013" s="3064"/>
      <c r="E13013" s="3064"/>
      <c r="F13013" s="3064"/>
      <c r="G13013" s="3301" t="s">
        <v>675</v>
      </c>
      <c r="H13013" s="3063"/>
      <c r="I13013" s="3030"/>
    </row>
    <row r="13014" spans="2:9" ht="25.5">
      <c r="B13014" s="3192" t="s">
        <v>676</v>
      </c>
      <c r="C13014" s="3063"/>
      <c r="D13014" s="3064"/>
      <c r="E13014" s="3064"/>
      <c r="F13014" s="3064"/>
      <c r="G13014" s="3301" t="s">
        <v>676</v>
      </c>
      <c r="H13014" s="3063"/>
      <c r="I13014" s="3030"/>
    </row>
    <row r="13015" spans="2:9">
      <c r="B13015" s="3192" t="s">
        <v>677</v>
      </c>
      <c r="C13015" s="3063"/>
      <c r="D13015" s="3064"/>
      <c r="E13015" s="3064"/>
      <c r="F13015" s="3064"/>
      <c r="G13015" s="3301" t="s">
        <v>677</v>
      </c>
      <c r="H13015" s="3063"/>
      <c r="I13015" s="3030"/>
    </row>
    <row r="13016" spans="2:9">
      <c r="B13016" s="3192" t="s">
        <v>678</v>
      </c>
      <c r="C13016" s="3063"/>
      <c r="D13016" s="3064"/>
      <c r="E13016" s="3064"/>
      <c r="F13016" s="3064"/>
      <c r="G13016" s="3301" t="s">
        <v>678</v>
      </c>
      <c r="H13016" s="3063"/>
      <c r="I13016" s="3030"/>
    </row>
    <row r="13017" spans="2:9">
      <c r="B13017" s="3192" t="s">
        <v>679</v>
      </c>
      <c r="C13017" s="3063"/>
      <c r="D13017" s="3064"/>
      <c r="E13017" s="3064"/>
      <c r="F13017" s="3064"/>
      <c r="G13017" s="3301" t="s">
        <v>679</v>
      </c>
      <c r="H13017" s="3063"/>
      <c r="I13017" s="3030"/>
    </row>
    <row r="13018" spans="2:9" ht="25.5">
      <c r="B13018" s="3192" t="s">
        <v>720</v>
      </c>
      <c r="C13018" s="3063"/>
      <c r="D13018" s="3064"/>
      <c r="E13018" s="3064"/>
      <c r="F13018" s="3064"/>
      <c r="G13018" s="3301" t="s">
        <v>720</v>
      </c>
      <c r="H13018" s="3063"/>
      <c r="I13018" s="3030"/>
    </row>
    <row r="13019" spans="2:9" ht="25.5">
      <c r="B13019" s="3299" t="s">
        <v>66</v>
      </c>
      <c r="C13019" s="3063"/>
      <c r="D13019" s="3064"/>
      <c r="E13019" s="3064"/>
      <c r="F13019" s="3064"/>
      <c r="G13019" s="3300" t="s">
        <v>66</v>
      </c>
      <c r="H13019" s="3063"/>
      <c r="I13019" s="3030"/>
    </row>
    <row r="13020" spans="2:9" ht="25.5">
      <c r="B13020" s="3192" t="s">
        <v>675</v>
      </c>
      <c r="C13020" s="3063"/>
      <c r="D13020" s="3064"/>
      <c r="E13020" s="3064"/>
      <c r="F13020" s="3064"/>
      <c r="G13020" s="3301" t="s">
        <v>675</v>
      </c>
      <c r="H13020" s="3063"/>
      <c r="I13020" s="3030"/>
    </row>
    <row r="13021" spans="2:9" ht="25.5">
      <c r="B13021" s="3192" t="s">
        <v>676</v>
      </c>
      <c r="C13021" s="3063"/>
      <c r="D13021" s="3064"/>
      <c r="E13021" s="3064"/>
      <c r="F13021" s="3064"/>
      <c r="G13021" s="3301" t="s">
        <v>676</v>
      </c>
      <c r="H13021" s="3063"/>
      <c r="I13021" s="3030"/>
    </row>
    <row r="13022" spans="2:9">
      <c r="B13022" s="3192" t="s">
        <v>677</v>
      </c>
      <c r="C13022" s="3063"/>
      <c r="D13022" s="3064"/>
      <c r="E13022" s="3064"/>
      <c r="F13022" s="3064"/>
      <c r="G13022" s="3301" t="s">
        <v>677</v>
      </c>
      <c r="H13022" s="3063"/>
      <c r="I13022" s="3030"/>
    </row>
    <row r="13023" spans="2:9">
      <c r="B13023" s="3192" t="s">
        <v>678</v>
      </c>
      <c r="C13023" s="3063"/>
      <c r="D13023" s="3064"/>
      <c r="E13023" s="3064"/>
      <c r="F13023" s="3064"/>
      <c r="G13023" s="3301" t="s">
        <v>678</v>
      </c>
      <c r="H13023" s="3063"/>
      <c r="I13023" s="3030"/>
    </row>
    <row r="13024" spans="2:9">
      <c r="B13024" s="3192" t="s">
        <v>679</v>
      </c>
      <c r="C13024" s="3063"/>
      <c r="D13024" s="3064"/>
      <c r="E13024" s="3064"/>
      <c r="F13024" s="3064"/>
      <c r="G13024" s="3301" t="s">
        <v>679</v>
      </c>
      <c r="H13024" s="3063"/>
      <c r="I13024" s="3030"/>
    </row>
    <row r="13025" spans="2:9" ht="25.5">
      <c r="B13025" s="3192" t="s">
        <v>720</v>
      </c>
      <c r="C13025" s="3063"/>
      <c r="D13025" s="3064"/>
      <c r="E13025" s="3064"/>
      <c r="F13025" s="3064"/>
      <c r="G13025" s="3301" t="s">
        <v>720</v>
      </c>
      <c r="H13025" s="3063"/>
      <c r="I13025" s="3030"/>
    </row>
    <row r="13026" spans="2:9">
      <c r="B13026" s="3299" t="s">
        <v>67</v>
      </c>
      <c r="C13026" s="3063"/>
      <c r="D13026" s="3064"/>
      <c r="E13026" s="3064"/>
      <c r="F13026" s="3064"/>
      <c r="G13026" s="3300" t="s">
        <v>67</v>
      </c>
      <c r="H13026" s="3063"/>
      <c r="I13026" s="3030"/>
    </row>
    <row r="13027" spans="2:9" ht="25.5">
      <c r="B13027" s="3192" t="s">
        <v>675</v>
      </c>
      <c r="C13027" s="3063"/>
      <c r="D13027" s="3064"/>
      <c r="E13027" s="3064"/>
      <c r="F13027" s="3064"/>
      <c r="G13027" s="3301" t="s">
        <v>675</v>
      </c>
      <c r="H13027" s="3063"/>
      <c r="I13027" s="3030"/>
    </row>
    <row r="13028" spans="2:9" ht="25.5">
      <c r="B13028" s="3192" t="s">
        <v>676</v>
      </c>
      <c r="C13028" s="3063"/>
      <c r="D13028" s="3064"/>
      <c r="E13028" s="3064"/>
      <c r="F13028" s="3064"/>
      <c r="G13028" s="3301" t="s">
        <v>676</v>
      </c>
      <c r="H13028" s="3063"/>
      <c r="I13028" s="3030"/>
    </row>
    <row r="13029" spans="2:9">
      <c r="B13029" s="3192" t="s">
        <v>677</v>
      </c>
      <c r="C13029" s="3063"/>
      <c r="D13029" s="3064"/>
      <c r="E13029" s="3064"/>
      <c r="F13029" s="3064"/>
      <c r="G13029" s="3301" t="s">
        <v>677</v>
      </c>
      <c r="H13029" s="3063"/>
      <c r="I13029" s="3030"/>
    </row>
    <row r="13030" spans="2:9">
      <c r="B13030" s="3192" t="s">
        <v>678</v>
      </c>
      <c r="C13030" s="3063"/>
      <c r="D13030" s="3064"/>
      <c r="E13030" s="3064"/>
      <c r="F13030" s="3064"/>
      <c r="G13030" s="3301" t="s">
        <v>678</v>
      </c>
      <c r="H13030" s="3063"/>
      <c r="I13030" s="3030"/>
    </row>
    <row r="13031" spans="2:9">
      <c r="B13031" s="3192" t="s">
        <v>679</v>
      </c>
      <c r="C13031" s="3063"/>
      <c r="D13031" s="3064"/>
      <c r="E13031" s="3064"/>
      <c r="F13031" s="3064"/>
      <c r="G13031" s="3301" t="s">
        <v>679</v>
      </c>
      <c r="H13031" s="3063"/>
      <c r="I13031" s="3030"/>
    </row>
    <row r="13032" spans="2:9" ht="25.5">
      <c r="B13032" s="3230" t="s">
        <v>81</v>
      </c>
      <c r="C13032" s="3063"/>
      <c r="D13032" s="3064"/>
      <c r="E13032" s="3064"/>
      <c r="F13032" s="3064"/>
      <c r="G13032" s="3302" t="s">
        <v>81</v>
      </c>
      <c r="H13032" s="3063"/>
      <c r="I13032" s="3030"/>
    </row>
    <row r="13033" spans="2:9" ht="26.25" thickBot="1">
      <c r="B13033" s="3303" t="s">
        <v>81</v>
      </c>
      <c r="C13033" s="3063"/>
      <c r="D13033" s="3064"/>
      <c r="E13033" s="3064"/>
      <c r="F13033" s="3064"/>
      <c r="G13033" s="3302" t="s">
        <v>81</v>
      </c>
      <c r="H13033" s="3063"/>
      <c r="I13033" s="3030"/>
    </row>
    <row r="13034" spans="2:9">
      <c r="B13034" s="3217" t="s">
        <v>697</v>
      </c>
      <c r="C13034" s="3218"/>
      <c r="D13034" s="3219"/>
      <c r="E13034" s="3219"/>
      <c r="F13034" s="3219"/>
      <c r="G13034" s="3217" t="s">
        <v>697</v>
      </c>
      <c r="H13034" s="3297"/>
      <c r="I13034" s="3298"/>
    </row>
    <row r="13035" spans="2:9">
      <c r="B13035" s="3299" t="s">
        <v>64</v>
      </c>
      <c r="C13035" s="3063"/>
      <c r="D13035" s="3064"/>
      <c r="E13035" s="3064"/>
      <c r="F13035" s="3064"/>
      <c r="G13035" s="3300" t="s">
        <v>64</v>
      </c>
      <c r="H13035" s="3063"/>
      <c r="I13035" s="3030"/>
    </row>
    <row r="13036" spans="2:9" ht="25.5">
      <c r="B13036" s="3192" t="s">
        <v>675</v>
      </c>
      <c r="C13036" s="3063"/>
      <c r="D13036" s="3064"/>
      <c r="E13036" s="3064"/>
      <c r="F13036" s="3064"/>
      <c r="G13036" s="3301" t="s">
        <v>675</v>
      </c>
      <c r="H13036" s="3063"/>
      <c r="I13036" s="3030"/>
    </row>
    <row r="13037" spans="2:9" ht="25.5">
      <c r="B13037" s="3192" t="s">
        <v>676</v>
      </c>
      <c r="C13037" s="3063"/>
      <c r="D13037" s="3064"/>
      <c r="E13037" s="3064"/>
      <c r="F13037" s="3064"/>
      <c r="G13037" s="3301" t="s">
        <v>676</v>
      </c>
      <c r="H13037" s="3063"/>
      <c r="I13037" s="3030"/>
    </row>
    <row r="13038" spans="2:9">
      <c r="B13038" s="3192" t="s">
        <v>677</v>
      </c>
      <c r="C13038" s="3063"/>
      <c r="D13038" s="3064"/>
      <c r="E13038" s="3064"/>
      <c r="F13038" s="3064"/>
      <c r="G13038" s="3301" t="s">
        <v>677</v>
      </c>
      <c r="H13038" s="3063"/>
      <c r="I13038" s="3030"/>
    </row>
    <row r="13039" spans="2:9">
      <c r="B13039" s="3192" t="s">
        <v>678</v>
      </c>
      <c r="C13039" s="3063"/>
      <c r="D13039" s="3064"/>
      <c r="E13039" s="3064"/>
      <c r="F13039" s="3064"/>
      <c r="G13039" s="3301" t="s">
        <v>678</v>
      </c>
      <c r="H13039" s="3063"/>
      <c r="I13039" s="3030"/>
    </row>
    <row r="13040" spans="2:9">
      <c r="B13040" s="3192" t="s">
        <v>679</v>
      </c>
      <c r="C13040" s="3063"/>
      <c r="D13040" s="3064"/>
      <c r="E13040" s="3064"/>
      <c r="F13040" s="3064"/>
      <c r="G13040" s="3301" t="s">
        <v>679</v>
      </c>
      <c r="H13040" s="3063"/>
      <c r="I13040" s="3030"/>
    </row>
    <row r="13041" spans="2:9" ht="25.5">
      <c r="B13041" s="3192" t="s">
        <v>720</v>
      </c>
      <c r="C13041" s="3063"/>
      <c r="D13041" s="3064"/>
      <c r="E13041" s="3064"/>
      <c r="F13041" s="3064"/>
      <c r="G13041" s="3301" t="s">
        <v>720</v>
      </c>
      <c r="H13041" s="3063"/>
      <c r="I13041" s="3030"/>
    </row>
    <row r="13042" spans="2:9">
      <c r="B13042" s="3299" t="s">
        <v>65</v>
      </c>
      <c r="C13042" s="3063"/>
      <c r="D13042" s="3064"/>
      <c r="E13042" s="3064"/>
      <c r="F13042" s="3064"/>
      <c r="G13042" s="3300" t="s">
        <v>65</v>
      </c>
      <c r="H13042" s="3063"/>
      <c r="I13042" s="3030"/>
    </row>
    <row r="13043" spans="2:9" ht="25.5">
      <c r="B13043" s="3192" t="s">
        <v>675</v>
      </c>
      <c r="C13043" s="3063"/>
      <c r="D13043" s="3064"/>
      <c r="E13043" s="3064"/>
      <c r="F13043" s="3064"/>
      <c r="G13043" s="3301" t="s">
        <v>675</v>
      </c>
      <c r="H13043" s="3063"/>
      <c r="I13043" s="3030"/>
    </row>
    <row r="13044" spans="2:9" ht="25.5">
      <c r="B13044" s="3192" t="s">
        <v>676</v>
      </c>
      <c r="C13044" s="3063"/>
      <c r="D13044" s="3064"/>
      <c r="E13044" s="3064"/>
      <c r="F13044" s="3064"/>
      <c r="G13044" s="3301" t="s">
        <v>676</v>
      </c>
      <c r="H13044" s="3063"/>
      <c r="I13044" s="3030"/>
    </row>
    <row r="13045" spans="2:9">
      <c r="B13045" s="3192" t="s">
        <v>677</v>
      </c>
      <c r="C13045" s="3063"/>
      <c r="D13045" s="3064"/>
      <c r="E13045" s="3064"/>
      <c r="F13045" s="3064"/>
      <c r="G13045" s="3301" t="s">
        <v>677</v>
      </c>
      <c r="H13045" s="3063"/>
      <c r="I13045" s="3030"/>
    </row>
    <row r="13046" spans="2:9">
      <c r="B13046" s="3192" t="s">
        <v>678</v>
      </c>
      <c r="C13046" s="3063"/>
      <c r="D13046" s="3064"/>
      <c r="E13046" s="3064"/>
      <c r="F13046" s="3064"/>
      <c r="G13046" s="3301" t="s">
        <v>678</v>
      </c>
      <c r="H13046" s="3063"/>
      <c r="I13046" s="3030"/>
    </row>
    <row r="13047" spans="2:9">
      <c r="B13047" s="3192" t="s">
        <v>679</v>
      </c>
      <c r="C13047" s="3063"/>
      <c r="D13047" s="3064"/>
      <c r="E13047" s="3064"/>
      <c r="F13047" s="3064"/>
      <c r="G13047" s="3301" t="s">
        <v>679</v>
      </c>
      <c r="H13047" s="3063"/>
      <c r="I13047" s="3030"/>
    </row>
    <row r="13048" spans="2:9" ht="25.5">
      <c r="B13048" s="3192" t="s">
        <v>720</v>
      </c>
      <c r="C13048" s="3063"/>
      <c r="D13048" s="3064"/>
      <c r="E13048" s="3064"/>
      <c r="F13048" s="3064"/>
      <c r="G13048" s="3301" t="s">
        <v>720</v>
      </c>
      <c r="H13048" s="3063"/>
      <c r="I13048" s="3030"/>
    </row>
    <row r="13049" spans="2:9">
      <c r="B13049" s="3299" t="s">
        <v>82</v>
      </c>
      <c r="C13049" s="3063"/>
      <c r="D13049" s="3064"/>
      <c r="E13049" s="3064"/>
      <c r="F13049" s="3064"/>
      <c r="G13049" s="3300" t="s">
        <v>82</v>
      </c>
      <c r="H13049" s="3063"/>
      <c r="I13049" s="3030"/>
    </row>
    <row r="13050" spans="2:9" ht="25.5">
      <c r="B13050" s="3192" t="s">
        <v>675</v>
      </c>
      <c r="C13050" s="3063"/>
      <c r="D13050" s="3064"/>
      <c r="E13050" s="3064"/>
      <c r="F13050" s="3064"/>
      <c r="G13050" s="3301" t="s">
        <v>675</v>
      </c>
      <c r="H13050" s="3063"/>
      <c r="I13050" s="3030"/>
    </row>
    <row r="13051" spans="2:9" ht="25.5">
      <c r="B13051" s="3192" t="s">
        <v>676</v>
      </c>
      <c r="C13051" s="3063"/>
      <c r="D13051" s="3064"/>
      <c r="E13051" s="3064"/>
      <c r="F13051" s="3064"/>
      <c r="G13051" s="3301" t="s">
        <v>676</v>
      </c>
      <c r="H13051" s="3063"/>
      <c r="I13051" s="3030"/>
    </row>
    <row r="13052" spans="2:9">
      <c r="B13052" s="3192" t="s">
        <v>677</v>
      </c>
      <c r="C13052" s="3063"/>
      <c r="D13052" s="3064"/>
      <c r="E13052" s="3064"/>
      <c r="F13052" s="3064"/>
      <c r="G13052" s="3301" t="s">
        <v>677</v>
      </c>
      <c r="H13052" s="3063"/>
      <c r="I13052" s="3030"/>
    </row>
    <row r="13053" spans="2:9">
      <c r="B13053" s="3192" t="s">
        <v>678</v>
      </c>
      <c r="C13053" s="3063"/>
      <c r="D13053" s="3064"/>
      <c r="E13053" s="3064"/>
      <c r="F13053" s="3064"/>
      <c r="G13053" s="3301" t="s">
        <v>678</v>
      </c>
      <c r="H13053" s="3063"/>
      <c r="I13053" s="3030"/>
    </row>
    <row r="13054" spans="2:9">
      <c r="B13054" s="3192" t="s">
        <v>679</v>
      </c>
      <c r="C13054" s="3063"/>
      <c r="D13054" s="3064"/>
      <c r="E13054" s="3064"/>
      <c r="F13054" s="3064"/>
      <c r="G13054" s="3301" t="s">
        <v>679</v>
      </c>
      <c r="H13054" s="3063"/>
      <c r="I13054" s="3030"/>
    </row>
    <row r="13055" spans="2:9" ht="25.5">
      <c r="B13055" s="3192" t="s">
        <v>720</v>
      </c>
      <c r="C13055" s="3063"/>
      <c r="D13055" s="3064"/>
      <c r="E13055" s="3064"/>
      <c r="F13055" s="3064"/>
      <c r="G13055" s="3301" t="s">
        <v>720</v>
      </c>
      <c r="H13055" s="3063"/>
      <c r="I13055" s="3030"/>
    </row>
    <row r="13056" spans="2:9" ht="38.25">
      <c r="B13056" s="3299" t="s">
        <v>680</v>
      </c>
      <c r="C13056" s="3063"/>
      <c r="D13056" s="3064"/>
      <c r="E13056" s="3064"/>
      <c r="F13056" s="3064"/>
      <c r="G13056" s="3300" t="s">
        <v>680</v>
      </c>
      <c r="H13056" s="3063"/>
      <c r="I13056" s="3030"/>
    </row>
    <row r="13057" spans="2:9" ht="25.5">
      <c r="B13057" s="3192" t="s">
        <v>675</v>
      </c>
      <c r="C13057" s="3063"/>
      <c r="D13057" s="3064"/>
      <c r="E13057" s="3064"/>
      <c r="F13057" s="3064"/>
      <c r="G13057" s="3301" t="s">
        <v>675</v>
      </c>
      <c r="H13057" s="3063"/>
      <c r="I13057" s="3030"/>
    </row>
    <row r="13058" spans="2:9" ht="25.5">
      <c r="B13058" s="3192" t="s">
        <v>676</v>
      </c>
      <c r="C13058" s="3063"/>
      <c r="D13058" s="3064"/>
      <c r="E13058" s="3064"/>
      <c r="F13058" s="3064"/>
      <c r="G13058" s="3301" t="s">
        <v>676</v>
      </c>
      <c r="H13058" s="3063"/>
      <c r="I13058" s="3030"/>
    </row>
    <row r="13059" spans="2:9">
      <c r="B13059" s="3192" t="s">
        <v>677</v>
      </c>
      <c r="C13059" s="3063"/>
      <c r="D13059" s="3064"/>
      <c r="E13059" s="3064"/>
      <c r="F13059" s="3064"/>
      <c r="G13059" s="3301" t="s">
        <v>677</v>
      </c>
      <c r="H13059" s="3063"/>
      <c r="I13059" s="3030"/>
    </row>
    <row r="13060" spans="2:9">
      <c r="B13060" s="3192" t="s">
        <v>678</v>
      </c>
      <c r="C13060" s="3063"/>
      <c r="D13060" s="3064"/>
      <c r="E13060" s="3064"/>
      <c r="F13060" s="3064"/>
      <c r="G13060" s="3301" t="s">
        <v>678</v>
      </c>
      <c r="H13060" s="3063"/>
      <c r="I13060" s="3030"/>
    </row>
    <row r="13061" spans="2:9">
      <c r="B13061" s="3192" t="s">
        <v>679</v>
      </c>
      <c r="C13061" s="3063"/>
      <c r="D13061" s="3064"/>
      <c r="E13061" s="3064"/>
      <c r="F13061" s="3064"/>
      <c r="G13061" s="3301" t="s">
        <v>679</v>
      </c>
      <c r="H13061" s="3063"/>
      <c r="I13061" s="3030"/>
    </row>
    <row r="13062" spans="2:9" ht="25.5">
      <c r="B13062" s="3192" t="s">
        <v>720</v>
      </c>
      <c r="C13062" s="3063"/>
      <c r="D13062" s="3064"/>
      <c r="E13062" s="3064"/>
      <c r="F13062" s="3064"/>
      <c r="G13062" s="3301" t="s">
        <v>720</v>
      </c>
      <c r="H13062" s="3063"/>
      <c r="I13062" s="3030"/>
    </row>
    <row r="13063" spans="2:9" ht="38.25">
      <c r="B13063" s="3299" t="s">
        <v>681</v>
      </c>
      <c r="C13063" s="3063"/>
      <c r="D13063" s="3064"/>
      <c r="E13063" s="3064"/>
      <c r="F13063" s="3064">
        <v>4</v>
      </c>
      <c r="G13063" s="3300" t="s">
        <v>681</v>
      </c>
      <c r="H13063" s="3063">
        <v>1.385764978694057E-2</v>
      </c>
      <c r="I13063" s="3030"/>
    </row>
    <row r="13064" spans="2:9" ht="25.5">
      <c r="B13064" s="3192" t="s">
        <v>675</v>
      </c>
      <c r="C13064" s="3063">
        <v>1</v>
      </c>
      <c r="D13064" s="3064">
        <v>1</v>
      </c>
      <c r="E13064" s="3064"/>
      <c r="F13064" s="3064"/>
      <c r="G13064" s="3301" t="s">
        <v>675</v>
      </c>
      <c r="H13064" s="3063"/>
      <c r="I13064" s="3030">
        <v>1.5837314042217793E-2</v>
      </c>
    </row>
    <row r="13065" spans="2:9" ht="25.5">
      <c r="B13065" s="3192" t="s">
        <v>676</v>
      </c>
      <c r="C13065" s="3063"/>
      <c r="D13065" s="3064"/>
      <c r="E13065" s="3064"/>
      <c r="F13065" s="3064"/>
      <c r="G13065" s="3301" t="s">
        <v>676</v>
      </c>
      <c r="H13065" s="3063"/>
      <c r="I13065" s="3030"/>
    </row>
    <row r="13066" spans="2:9">
      <c r="B13066" s="3192" t="s">
        <v>677</v>
      </c>
      <c r="C13066" s="3063"/>
      <c r="D13066" s="3064"/>
      <c r="E13066" s="3064"/>
      <c r="F13066" s="3064"/>
      <c r="G13066" s="3301" t="s">
        <v>677</v>
      </c>
      <c r="H13066" s="3063"/>
      <c r="I13066" s="3030"/>
    </row>
    <row r="13067" spans="2:9">
      <c r="B13067" s="3192" t="s">
        <v>678</v>
      </c>
      <c r="C13067" s="3063"/>
      <c r="D13067" s="3064"/>
      <c r="E13067" s="3064"/>
      <c r="F13067" s="3064"/>
      <c r="G13067" s="3301" t="s">
        <v>678</v>
      </c>
      <c r="H13067" s="3063"/>
      <c r="I13067" s="3030"/>
    </row>
    <row r="13068" spans="2:9">
      <c r="B13068" s="3192" t="s">
        <v>679</v>
      </c>
      <c r="C13068" s="3063">
        <v>1</v>
      </c>
      <c r="D13068" s="3064"/>
      <c r="E13068" s="3064"/>
      <c r="F13068" s="3064"/>
      <c r="G13068" s="3301" t="s">
        <v>679</v>
      </c>
      <c r="H13068" s="3063"/>
      <c r="I13068" s="3030"/>
    </row>
    <row r="13069" spans="2:9" ht="25.5">
      <c r="B13069" s="3192" t="s">
        <v>720</v>
      </c>
      <c r="C13069" s="3063"/>
      <c r="D13069" s="3064"/>
      <c r="E13069" s="3064"/>
      <c r="F13069" s="3064"/>
      <c r="G13069" s="3301" t="s">
        <v>720</v>
      </c>
      <c r="H13069" s="3063"/>
      <c r="I13069" s="3030"/>
    </row>
    <row r="13070" spans="2:9" ht="25.5">
      <c r="B13070" s="3299" t="s">
        <v>682</v>
      </c>
      <c r="C13070" s="3063"/>
      <c r="D13070" s="3064"/>
      <c r="E13070" s="3064"/>
      <c r="F13070" s="3064"/>
      <c r="G13070" s="3300" t="s">
        <v>682</v>
      </c>
      <c r="H13070" s="3063"/>
      <c r="I13070" s="3030"/>
    </row>
    <row r="13071" spans="2:9" ht="25.5">
      <c r="B13071" s="3192" t="s">
        <v>675</v>
      </c>
      <c r="C13071" s="3063"/>
      <c r="D13071" s="3064"/>
      <c r="E13071" s="3064"/>
      <c r="F13071" s="3064"/>
      <c r="G13071" s="3301" t="s">
        <v>675</v>
      </c>
      <c r="H13071" s="3063"/>
      <c r="I13071" s="3030"/>
    </row>
    <row r="13072" spans="2:9" ht="25.5">
      <c r="B13072" s="3192" t="s">
        <v>676</v>
      </c>
      <c r="C13072" s="3063"/>
      <c r="D13072" s="3064"/>
      <c r="E13072" s="3064"/>
      <c r="F13072" s="3064"/>
      <c r="G13072" s="3301" t="s">
        <v>676</v>
      </c>
      <c r="H13072" s="3063"/>
      <c r="I13072" s="3030"/>
    </row>
    <row r="13073" spans="2:9">
      <c r="B13073" s="3192" t="s">
        <v>677</v>
      </c>
      <c r="C13073" s="3063"/>
      <c r="D13073" s="3064"/>
      <c r="E13073" s="3064"/>
      <c r="F13073" s="3064"/>
      <c r="G13073" s="3301" t="s">
        <v>677</v>
      </c>
      <c r="H13073" s="3063"/>
      <c r="I13073" s="3030"/>
    </row>
    <row r="13074" spans="2:9">
      <c r="B13074" s="3192" t="s">
        <v>678</v>
      </c>
      <c r="C13074" s="3063"/>
      <c r="D13074" s="3064"/>
      <c r="E13074" s="3064"/>
      <c r="F13074" s="3064"/>
      <c r="G13074" s="3301" t="s">
        <v>678</v>
      </c>
      <c r="H13074" s="3063"/>
      <c r="I13074" s="3030"/>
    </row>
    <row r="13075" spans="2:9">
      <c r="B13075" s="3192" t="s">
        <v>679</v>
      </c>
      <c r="C13075" s="3063"/>
      <c r="D13075" s="3064"/>
      <c r="E13075" s="3064"/>
      <c r="F13075" s="3064"/>
      <c r="G13075" s="3301" t="s">
        <v>679</v>
      </c>
      <c r="H13075" s="3063"/>
      <c r="I13075" s="3030"/>
    </row>
    <row r="13076" spans="2:9" ht="25.5">
      <c r="B13076" s="3192" t="s">
        <v>720</v>
      </c>
      <c r="C13076" s="3063"/>
      <c r="D13076" s="3064"/>
      <c r="E13076" s="3064"/>
      <c r="F13076" s="3064"/>
      <c r="G13076" s="3301" t="s">
        <v>720</v>
      </c>
      <c r="H13076" s="3063"/>
      <c r="I13076" s="3030"/>
    </row>
    <row r="13077" spans="2:9" ht="25.5">
      <c r="B13077" s="3299" t="s">
        <v>66</v>
      </c>
      <c r="C13077" s="3063"/>
      <c r="D13077" s="3064"/>
      <c r="E13077" s="3064"/>
      <c r="F13077" s="3064"/>
      <c r="G13077" s="3300" t="s">
        <v>66</v>
      </c>
      <c r="H13077" s="3063"/>
      <c r="I13077" s="3030"/>
    </row>
    <row r="13078" spans="2:9" ht="25.5">
      <c r="B13078" s="3192" t="s">
        <v>675</v>
      </c>
      <c r="C13078" s="3063"/>
      <c r="D13078" s="3064"/>
      <c r="E13078" s="3064"/>
      <c r="F13078" s="3064"/>
      <c r="G13078" s="3301" t="s">
        <v>675</v>
      </c>
      <c r="H13078" s="3063"/>
      <c r="I13078" s="3030"/>
    </row>
    <row r="13079" spans="2:9" ht="25.5">
      <c r="B13079" s="3192" t="s">
        <v>676</v>
      </c>
      <c r="C13079" s="3063"/>
      <c r="D13079" s="3064"/>
      <c r="E13079" s="3064"/>
      <c r="F13079" s="3064"/>
      <c r="G13079" s="3301" t="s">
        <v>676</v>
      </c>
      <c r="H13079" s="3063"/>
      <c r="I13079" s="3030"/>
    </row>
    <row r="13080" spans="2:9">
      <c r="B13080" s="3192" t="s">
        <v>677</v>
      </c>
      <c r="C13080" s="3063"/>
      <c r="D13080" s="3064"/>
      <c r="E13080" s="3064"/>
      <c r="F13080" s="3064"/>
      <c r="G13080" s="3301" t="s">
        <v>677</v>
      </c>
      <c r="H13080" s="3063"/>
      <c r="I13080" s="3030"/>
    </row>
    <row r="13081" spans="2:9">
      <c r="B13081" s="3192" t="s">
        <v>678</v>
      </c>
      <c r="C13081" s="3063"/>
      <c r="D13081" s="3064"/>
      <c r="E13081" s="3064"/>
      <c r="F13081" s="3064"/>
      <c r="G13081" s="3301" t="s">
        <v>678</v>
      </c>
      <c r="H13081" s="3063"/>
      <c r="I13081" s="3030"/>
    </row>
    <row r="13082" spans="2:9">
      <c r="B13082" s="3192" t="s">
        <v>679</v>
      </c>
      <c r="C13082" s="3063"/>
      <c r="D13082" s="3064"/>
      <c r="E13082" s="3064"/>
      <c r="F13082" s="3064"/>
      <c r="G13082" s="3301" t="s">
        <v>679</v>
      </c>
      <c r="H13082" s="3063"/>
      <c r="I13082" s="3030"/>
    </row>
    <row r="13083" spans="2:9" ht="25.5">
      <c r="B13083" s="3192" t="s">
        <v>720</v>
      </c>
      <c r="C13083" s="3063"/>
      <c r="D13083" s="3064"/>
      <c r="E13083" s="3064"/>
      <c r="F13083" s="3064"/>
      <c r="G13083" s="3301" t="s">
        <v>720</v>
      </c>
      <c r="H13083" s="3063"/>
      <c r="I13083" s="3030"/>
    </row>
    <row r="13084" spans="2:9">
      <c r="B13084" s="3299" t="s">
        <v>67</v>
      </c>
      <c r="C13084" s="3063"/>
      <c r="D13084" s="3064"/>
      <c r="E13084" s="3064"/>
      <c r="F13084" s="3064"/>
      <c r="G13084" s="3300" t="s">
        <v>67</v>
      </c>
      <c r="H13084" s="3063"/>
      <c r="I13084" s="3030"/>
    </row>
    <row r="13085" spans="2:9" ht="25.5">
      <c r="B13085" s="3192" t="s">
        <v>675</v>
      </c>
      <c r="C13085" s="3063"/>
      <c r="D13085" s="3064"/>
      <c r="E13085" s="3064"/>
      <c r="F13085" s="3064"/>
      <c r="G13085" s="3301" t="s">
        <v>675</v>
      </c>
      <c r="H13085" s="3063"/>
      <c r="I13085" s="3030"/>
    </row>
    <row r="13086" spans="2:9" ht="25.5">
      <c r="B13086" s="3192" t="s">
        <v>676</v>
      </c>
      <c r="C13086" s="3063"/>
      <c r="D13086" s="3064"/>
      <c r="E13086" s="3064"/>
      <c r="F13086" s="3064"/>
      <c r="G13086" s="3301" t="s">
        <v>676</v>
      </c>
      <c r="H13086" s="3063"/>
      <c r="I13086" s="3030"/>
    </row>
    <row r="13087" spans="2:9">
      <c r="B13087" s="3192" t="s">
        <v>677</v>
      </c>
      <c r="C13087" s="3063"/>
      <c r="D13087" s="3064"/>
      <c r="E13087" s="3064"/>
      <c r="F13087" s="3064"/>
      <c r="G13087" s="3301" t="s">
        <v>677</v>
      </c>
      <c r="H13087" s="3063"/>
      <c r="I13087" s="3030"/>
    </row>
    <row r="13088" spans="2:9">
      <c r="B13088" s="3192" t="s">
        <v>678</v>
      </c>
      <c r="C13088" s="3063"/>
      <c r="D13088" s="3064"/>
      <c r="E13088" s="3064"/>
      <c r="F13088" s="3064"/>
      <c r="G13088" s="3301" t="s">
        <v>678</v>
      </c>
      <c r="H13088" s="3063"/>
      <c r="I13088" s="3030"/>
    </row>
    <row r="13089" spans="2:9">
      <c r="B13089" s="3192" t="s">
        <v>679</v>
      </c>
      <c r="C13089" s="3063"/>
      <c r="D13089" s="3064"/>
      <c r="E13089" s="3064"/>
      <c r="F13089" s="3064"/>
      <c r="G13089" s="3301" t="s">
        <v>679</v>
      </c>
      <c r="H13089" s="3063"/>
      <c r="I13089" s="3030"/>
    </row>
    <row r="13090" spans="2:9" ht="25.5">
      <c r="B13090" s="3230" t="s">
        <v>81</v>
      </c>
      <c r="C13090" s="3063"/>
      <c r="D13090" s="3064"/>
      <c r="E13090" s="3064"/>
      <c r="F13090" s="3064"/>
      <c r="G13090" s="3302" t="s">
        <v>81</v>
      </c>
      <c r="H13090" s="3063"/>
      <c r="I13090" s="3030"/>
    </row>
    <row r="13091" spans="2:9" ht="26.25" thickBot="1">
      <c r="B13091" s="3303" t="s">
        <v>81</v>
      </c>
      <c r="C13091" s="3068"/>
      <c r="D13091" s="3069"/>
      <c r="E13091" s="3069"/>
      <c r="F13091" s="3069"/>
      <c r="G13091" s="3304" t="s">
        <v>81</v>
      </c>
      <c r="H13091" s="3068"/>
      <c r="I13091" s="3070"/>
    </row>
    <row r="13092" spans="2:9" ht="38.25">
      <c r="B13092" s="4723">
        <v>3340</v>
      </c>
      <c r="C13092" s="3289"/>
      <c r="D13092" s="3290"/>
      <c r="E13092" s="3290"/>
      <c r="F13092" s="3290"/>
      <c r="G13092" s="4723">
        <v>3340</v>
      </c>
      <c r="H13092" s="3291" t="s">
        <v>687</v>
      </c>
      <c r="I13092" s="3292" t="s">
        <v>688</v>
      </c>
    </row>
    <row r="13093" spans="2:9">
      <c r="B13093" s="4724"/>
      <c r="C13093" s="4678" t="s">
        <v>686</v>
      </c>
      <c r="D13093" s="4725"/>
      <c r="E13093" s="4725"/>
      <c r="F13093" s="4726"/>
      <c r="G13093" s="4724"/>
      <c r="H13093" s="3293"/>
      <c r="I13093" s="3294"/>
    </row>
    <row r="13094" spans="2:9" ht="13.5" thickBot="1">
      <c r="B13094" s="4724"/>
      <c r="C13094" s="3215">
        <v>2013</v>
      </c>
      <c r="D13094" s="3215">
        <v>2014</v>
      </c>
      <c r="E13094" s="3215">
        <v>2015</v>
      </c>
      <c r="F13094" s="3215">
        <v>2016</v>
      </c>
      <c r="G13094" s="4724"/>
      <c r="H13094" s="3295" t="s">
        <v>390</v>
      </c>
      <c r="I13094" s="3296" t="s">
        <v>390</v>
      </c>
    </row>
    <row r="13095" spans="2:9">
      <c r="B13095" s="3217" t="s">
        <v>695</v>
      </c>
      <c r="C13095" s="3218"/>
      <c r="D13095" s="3219"/>
      <c r="E13095" s="3219"/>
      <c r="F13095" s="3219"/>
      <c r="G13095" s="3217" t="s">
        <v>695</v>
      </c>
      <c r="H13095" s="3297"/>
      <c r="I13095" s="3298"/>
    </row>
    <row r="13096" spans="2:9">
      <c r="B13096" s="3299" t="s">
        <v>64</v>
      </c>
      <c r="C13096" s="3063"/>
      <c r="D13096" s="3064"/>
      <c r="E13096" s="3064"/>
      <c r="F13096" s="3064"/>
      <c r="G13096" s="3300" t="s">
        <v>64</v>
      </c>
      <c r="H13096" s="3063"/>
      <c r="I13096" s="3030"/>
    </row>
    <row r="13097" spans="2:9" ht="25.5">
      <c r="B13097" s="3192" t="s">
        <v>675</v>
      </c>
      <c r="C13097" s="3063"/>
      <c r="D13097" s="3064"/>
      <c r="E13097" s="3064"/>
      <c r="F13097" s="3064"/>
      <c r="G13097" s="3301" t="s">
        <v>675</v>
      </c>
      <c r="H13097" s="3063"/>
      <c r="I13097" s="3030"/>
    </row>
    <row r="13098" spans="2:9" ht="25.5">
      <c r="B13098" s="3192" t="s">
        <v>676</v>
      </c>
      <c r="C13098" s="3063"/>
      <c r="D13098" s="3064"/>
      <c r="E13098" s="3064"/>
      <c r="F13098" s="3064"/>
      <c r="G13098" s="3301" t="s">
        <v>676</v>
      </c>
      <c r="H13098" s="3063"/>
      <c r="I13098" s="3030"/>
    </row>
    <row r="13099" spans="2:9">
      <c r="B13099" s="3192" t="s">
        <v>677</v>
      </c>
      <c r="C13099" s="3063"/>
      <c r="D13099" s="3064"/>
      <c r="E13099" s="3064"/>
      <c r="F13099" s="3064"/>
      <c r="G13099" s="3301" t="s">
        <v>677</v>
      </c>
      <c r="H13099" s="3063"/>
      <c r="I13099" s="3030"/>
    </row>
    <row r="13100" spans="2:9">
      <c r="B13100" s="3192" t="s">
        <v>678</v>
      </c>
      <c r="C13100" s="3063"/>
      <c r="D13100" s="3064"/>
      <c r="E13100" s="3064"/>
      <c r="F13100" s="3064"/>
      <c r="G13100" s="3301" t="s">
        <v>678</v>
      </c>
      <c r="H13100" s="3063"/>
      <c r="I13100" s="3030"/>
    </row>
    <row r="13101" spans="2:9">
      <c r="B13101" s="3192" t="s">
        <v>679</v>
      </c>
      <c r="C13101" s="3063"/>
      <c r="D13101" s="3064"/>
      <c r="E13101" s="3064"/>
      <c r="F13101" s="3064"/>
      <c r="G13101" s="3301" t="s">
        <v>679</v>
      </c>
      <c r="H13101" s="3063"/>
      <c r="I13101" s="3030"/>
    </row>
    <row r="13102" spans="2:9" ht="25.5">
      <c r="B13102" s="3192" t="s">
        <v>720</v>
      </c>
      <c r="C13102" s="3063"/>
      <c r="D13102" s="3064"/>
      <c r="E13102" s="3064"/>
      <c r="F13102" s="3064"/>
      <c r="G13102" s="3301" t="s">
        <v>720</v>
      </c>
      <c r="H13102" s="3063"/>
      <c r="I13102" s="3030"/>
    </row>
    <row r="13103" spans="2:9">
      <c r="B13103" s="3299" t="s">
        <v>65</v>
      </c>
      <c r="C13103" s="3063"/>
      <c r="D13103" s="3064"/>
      <c r="E13103" s="3064"/>
      <c r="F13103" s="3064"/>
      <c r="G13103" s="3300" t="s">
        <v>65</v>
      </c>
      <c r="H13103" s="3063"/>
      <c r="I13103" s="3030"/>
    </row>
    <row r="13104" spans="2:9" ht="25.5">
      <c r="B13104" s="3192" t="s">
        <v>675</v>
      </c>
      <c r="C13104" s="3063"/>
      <c r="D13104" s="3064"/>
      <c r="E13104" s="3064"/>
      <c r="F13104" s="3064"/>
      <c r="G13104" s="3301" t="s">
        <v>675</v>
      </c>
      <c r="H13104" s="3063"/>
      <c r="I13104" s="3030"/>
    </row>
    <row r="13105" spans="2:9" ht="25.5">
      <c r="B13105" s="3192" t="s">
        <v>676</v>
      </c>
      <c r="C13105" s="3063"/>
      <c r="D13105" s="3064"/>
      <c r="E13105" s="3064"/>
      <c r="F13105" s="3064"/>
      <c r="G13105" s="3301" t="s">
        <v>676</v>
      </c>
      <c r="H13105" s="3063"/>
      <c r="I13105" s="3030"/>
    </row>
    <row r="13106" spans="2:9">
      <c r="B13106" s="3192" t="s">
        <v>677</v>
      </c>
      <c r="C13106" s="3063"/>
      <c r="D13106" s="3064"/>
      <c r="E13106" s="3064"/>
      <c r="F13106" s="3064"/>
      <c r="G13106" s="3301" t="s">
        <v>677</v>
      </c>
      <c r="H13106" s="3063"/>
      <c r="I13106" s="3030"/>
    </row>
    <row r="13107" spans="2:9">
      <c r="B13107" s="3192" t="s">
        <v>678</v>
      </c>
      <c r="C13107" s="3063"/>
      <c r="D13107" s="3064"/>
      <c r="E13107" s="3064"/>
      <c r="F13107" s="3064"/>
      <c r="G13107" s="3301" t="s">
        <v>678</v>
      </c>
      <c r="H13107" s="3063"/>
      <c r="I13107" s="3030"/>
    </row>
    <row r="13108" spans="2:9">
      <c r="B13108" s="3192" t="s">
        <v>679</v>
      </c>
      <c r="C13108" s="3063"/>
      <c r="D13108" s="3064"/>
      <c r="E13108" s="3064"/>
      <c r="F13108" s="3064"/>
      <c r="G13108" s="3301" t="s">
        <v>679</v>
      </c>
      <c r="H13108" s="3063"/>
      <c r="I13108" s="3030"/>
    </row>
    <row r="13109" spans="2:9" ht="25.5">
      <c r="B13109" s="3192" t="s">
        <v>720</v>
      </c>
      <c r="C13109" s="3063"/>
      <c r="D13109" s="3064"/>
      <c r="E13109" s="3064"/>
      <c r="F13109" s="3064"/>
      <c r="G13109" s="3301" t="s">
        <v>720</v>
      </c>
      <c r="H13109" s="3063"/>
      <c r="I13109" s="3030"/>
    </row>
    <row r="13110" spans="2:9">
      <c r="B13110" s="3299" t="s">
        <v>82</v>
      </c>
      <c r="C13110" s="3063"/>
      <c r="D13110" s="3064"/>
      <c r="E13110" s="3064"/>
      <c r="F13110" s="3064"/>
      <c r="G13110" s="3300" t="s">
        <v>82</v>
      </c>
      <c r="H13110" s="3063"/>
      <c r="I13110" s="3030"/>
    </row>
    <row r="13111" spans="2:9" ht="25.5">
      <c r="B13111" s="3192" t="s">
        <v>675</v>
      </c>
      <c r="C13111" s="3063"/>
      <c r="D13111" s="3064"/>
      <c r="E13111" s="3064"/>
      <c r="F13111" s="3064"/>
      <c r="G13111" s="3301" t="s">
        <v>675</v>
      </c>
      <c r="H13111" s="3063"/>
      <c r="I13111" s="3030"/>
    </row>
    <row r="13112" spans="2:9" ht="25.5">
      <c r="B13112" s="3192" t="s">
        <v>676</v>
      </c>
      <c r="C13112" s="3063"/>
      <c r="D13112" s="3064"/>
      <c r="E13112" s="3064"/>
      <c r="F13112" s="3064"/>
      <c r="G13112" s="3301" t="s">
        <v>676</v>
      </c>
      <c r="H13112" s="3063"/>
      <c r="I13112" s="3030"/>
    </row>
    <row r="13113" spans="2:9">
      <c r="B13113" s="3192" t="s">
        <v>677</v>
      </c>
      <c r="C13113" s="3063"/>
      <c r="D13113" s="3064"/>
      <c r="E13113" s="3064"/>
      <c r="F13113" s="3064"/>
      <c r="G13113" s="3301" t="s">
        <v>677</v>
      </c>
      <c r="H13113" s="3063"/>
      <c r="I13113" s="3030"/>
    </row>
    <row r="13114" spans="2:9">
      <c r="B13114" s="3192" t="s">
        <v>678</v>
      </c>
      <c r="C13114" s="3063"/>
      <c r="D13114" s="3064"/>
      <c r="E13114" s="3064"/>
      <c r="F13114" s="3064"/>
      <c r="G13114" s="3301" t="s">
        <v>678</v>
      </c>
      <c r="H13114" s="3063"/>
      <c r="I13114" s="3030"/>
    </row>
    <row r="13115" spans="2:9">
      <c r="B13115" s="3192" t="s">
        <v>679</v>
      </c>
      <c r="C13115" s="3063"/>
      <c r="D13115" s="3064"/>
      <c r="E13115" s="3064"/>
      <c r="F13115" s="3064"/>
      <c r="G13115" s="3301" t="s">
        <v>679</v>
      </c>
      <c r="H13115" s="3063"/>
      <c r="I13115" s="3030"/>
    </row>
    <row r="13116" spans="2:9" ht="25.5">
      <c r="B13116" s="3192" t="s">
        <v>720</v>
      </c>
      <c r="C13116" s="3063"/>
      <c r="D13116" s="3064"/>
      <c r="E13116" s="3064"/>
      <c r="F13116" s="3064"/>
      <c r="G13116" s="3301" t="s">
        <v>720</v>
      </c>
      <c r="H13116" s="3063"/>
      <c r="I13116" s="3030"/>
    </row>
    <row r="13117" spans="2:9" ht="38.25">
      <c r="B13117" s="3299" t="s">
        <v>680</v>
      </c>
      <c r="C13117" s="3063"/>
      <c r="D13117" s="3064"/>
      <c r="E13117" s="3064"/>
      <c r="F13117" s="3064"/>
      <c r="G13117" s="3300" t="s">
        <v>680</v>
      </c>
      <c r="H13117" s="3063"/>
      <c r="I13117" s="3030"/>
    </row>
    <row r="13118" spans="2:9" ht="25.5">
      <c r="B13118" s="3192" t="s">
        <v>675</v>
      </c>
      <c r="C13118" s="3063"/>
      <c r="D13118" s="3064"/>
      <c r="E13118" s="3064"/>
      <c r="F13118" s="3064"/>
      <c r="G13118" s="3301" t="s">
        <v>675</v>
      </c>
      <c r="H13118" s="3063"/>
      <c r="I13118" s="3030"/>
    </row>
    <row r="13119" spans="2:9" ht="25.5">
      <c r="B13119" s="3192" t="s">
        <v>676</v>
      </c>
      <c r="C13119" s="3063"/>
      <c r="D13119" s="3064"/>
      <c r="E13119" s="3064"/>
      <c r="F13119" s="3064"/>
      <c r="G13119" s="3301" t="s">
        <v>676</v>
      </c>
      <c r="H13119" s="3063"/>
      <c r="I13119" s="3030"/>
    </row>
    <row r="13120" spans="2:9">
      <c r="B13120" s="3192" t="s">
        <v>677</v>
      </c>
      <c r="C13120" s="3063"/>
      <c r="D13120" s="3064"/>
      <c r="E13120" s="3064"/>
      <c r="F13120" s="3064"/>
      <c r="G13120" s="3301" t="s">
        <v>677</v>
      </c>
      <c r="H13120" s="3063"/>
      <c r="I13120" s="3030"/>
    </row>
    <row r="13121" spans="2:9">
      <c r="B13121" s="3192" t="s">
        <v>678</v>
      </c>
      <c r="C13121" s="3063"/>
      <c r="D13121" s="3064"/>
      <c r="E13121" s="3064"/>
      <c r="F13121" s="3064"/>
      <c r="G13121" s="3301" t="s">
        <v>678</v>
      </c>
      <c r="H13121" s="3063"/>
      <c r="I13121" s="3030"/>
    </row>
    <row r="13122" spans="2:9">
      <c r="B13122" s="3192" t="s">
        <v>679</v>
      </c>
      <c r="C13122" s="3063"/>
      <c r="D13122" s="3064"/>
      <c r="E13122" s="3064"/>
      <c r="F13122" s="3064"/>
      <c r="G13122" s="3301" t="s">
        <v>679</v>
      </c>
      <c r="H13122" s="3063"/>
      <c r="I13122" s="3030"/>
    </row>
    <row r="13123" spans="2:9" ht="25.5">
      <c r="B13123" s="3192" t="s">
        <v>720</v>
      </c>
      <c r="C13123" s="3063"/>
      <c r="D13123" s="3064"/>
      <c r="E13123" s="3064"/>
      <c r="F13123" s="3064"/>
      <c r="G13123" s="3301" t="s">
        <v>720</v>
      </c>
      <c r="H13123" s="3063"/>
      <c r="I13123" s="3030"/>
    </row>
    <row r="13124" spans="2:9" ht="38.25">
      <c r="B13124" s="3299" t="s">
        <v>681</v>
      </c>
      <c r="C13124" s="3063"/>
      <c r="D13124" s="3064"/>
      <c r="E13124" s="3064"/>
      <c r="F13124" s="3064"/>
      <c r="G13124" s="3300" t="s">
        <v>681</v>
      </c>
      <c r="H13124" s="3063"/>
      <c r="I13124" s="3030"/>
    </row>
    <row r="13125" spans="2:9" ht="25.5">
      <c r="B13125" s="3192" t="s">
        <v>675</v>
      </c>
      <c r="C13125" s="3063"/>
      <c r="D13125" s="3064"/>
      <c r="E13125" s="3064"/>
      <c r="F13125" s="3064"/>
      <c r="G13125" s="3301" t="s">
        <v>675</v>
      </c>
      <c r="H13125" s="3063"/>
      <c r="I13125" s="3030"/>
    </row>
    <row r="13126" spans="2:9" ht="25.5">
      <c r="B13126" s="3192" t="s">
        <v>676</v>
      </c>
      <c r="C13126" s="3063"/>
      <c r="D13126" s="3064"/>
      <c r="E13126" s="3064"/>
      <c r="F13126" s="3064"/>
      <c r="G13126" s="3301" t="s">
        <v>676</v>
      </c>
      <c r="H13126" s="3063"/>
      <c r="I13126" s="3030"/>
    </row>
    <row r="13127" spans="2:9">
      <c r="B13127" s="3192" t="s">
        <v>677</v>
      </c>
      <c r="C13127" s="3063"/>
      <c r="D13127" s="3064"/>
      <c r="E13127" s="3064"/>
      <c r="F13127" s="3064"/>
      <c r="G13127" s="3301" t="s">
        <v>677</v>
      </c>
      <c r="H13127" s="3063"/>
      <c r="I13127" s="3030"/>
    </row>
    <row r="13128" spans="2:9">
      <c r="B13128" s="3192" t="s">
        <v>678</v>
      </c>
      <c r="C13128" s="3063"/>
      <c r="D13128" s="3064"/>
      <c r="E13128" s="3064"/>
      <c r="F13128" s="3064"/>
      <c r="G13128" s="3301" t="s">
        <v>678</v>
      </c>
      <c r="H13128" s="3063"/>
      <c r="I13128" s="3030"/>
    </row>
    <row r="13129" spans="2:9">
      <c r="B13129" s="3192" t="s">
        <v>679</v>
      </c>
      <c r="C13129" s="3063"/>
      <c r="D13129" s="3064"/>
      <c r="E13129" s="3064"/>
      <c r="F13129" s="3064"/>
      <c r="G13129" s="3301" t="s">
        <v>679</v>
      </c>
      <c r="H13129" s="3063"/>
      <c r="I13129" s="3030"/>
    </row>
    <row r="13130" spans="2:9" ht="25.5">
      <c r="B13130" s="3192" t="s">
        <v>720</v>
      </c>
      <c r="C13130" s="3063"/>
      <c r="D13130" s="3064"/>
      <c r="E13130" s="3064"/>
      <c r="F13130" s="3064"/>
      <c r="G13130" s="3301" t="s">
        <v>720</v>
      </c>
      <c r="H13130" s="3063"/>
      <c r="I13130" s="3030"/>
    </row>
    <row r="13131" spans="2:9" ht="25.5">
      <c r="B13131" s="3299" t="s">
        <v>682</v>
      </c>
      <c r="C13131" s="3063"/>
      <c r="D13131" s="3064"/>
      <c r="E13131" s="3064"/>
      <c r="F13131" s="3064"/>
      <c r="G13131" s="3300" t="s">
        <v>682</v>
      </c>
      <c r="H13131" s="3063"/>
      <c r="I13131" s="3030"/>
    </row>
    <row r="13132" spans="2:9" ht="25.5">
      <c r="B13132" s="3192" t="s">
        <v>675</v>
      </c>
      <c r="C13132" s="3063"/>
      <c r="D13132" s="3064"/>
      <c r="E13132" s="3064"/>
      <c r="F13132" s="3064"/>
      <c r="G13132" s="3301" t="s">
        <v>675</v>
      </c>
      <c r="H13132" s="3063"/>
      <c r="I13132" s="3030"/>
    </row>
    <row r="13133" spans="2:9" ht="25.5">
      <c r="B13133" s="3192" t="s">
        <v>676</v>
      </c>
      <c r="C13133" s="3063"/>
      <c r="D13133" s="3064"/>
      <c r="E13133" s="3064"/>
      <c r="F13133" s="3064"/>
      <c r="G13133" s="3301" t="s">
        <v>676</v>
      </c>
      <c r="H13133" s="3063"/>
      <c r="I13133" s="3030"/>
    </row>
    <row r="13134" spans="2:9">
      <c r="B13134" s="3192" t="s">
        <v>677</v>
      </c>
      <c r="C13134" s="3063"/>
      <c r="D13134" s="3064"/>
      <c r="E13134" s="3064"/>
      <c r="F13134" s="3064"/>
      <c r="G13134" s="3301" t="s">
        <v>677</v>
      </c>
      <c r="H13134" s="3063"/>
      <c r="I13134" s="3030"/>
    </row>
    <row r="13135" spans="2:9">
      <c r="B13135" s="3192" t="s">
        <v>678</v>
      </c>
      <c r="C13135" s="3063"/>
      <c r="D13135" s="3064"/>
      <c r="E13135" s="3064"/>
      <c r="F13135" s="3064"/>
      <c r="G13135" s="3301" t="s">
        <v>678</v>
      </c>
      <c r="H13135" s="3063"/>
      <c r="I13135" s="3030"/>
    </row>
    <row r="13136" spans="2:9">
      <c r="B13136" s="3192" t="s">
        <v>679</v>
      </c>
      <c r="C13136" s="3063"/>
      <c r="D13136" s="3064"/>
      <c r="E13136" s="3064"/>
      <c r="F13136" s="3064"/>
      <c r="G13136" s="3301" t="s">
        <v>679</v>
      </c>
      <c r="H13136" s="3063"/>
      <c r="I13136" s="3030"/>
    </row>
    <row r="13137" spans="2:9" ht="25.5">
      <c r="B13137" s="3192" t="s">
        <v>720</v>
      </c>
      <c r="C13137" s="3063"/>
      <c r="D13137" s="3064"/>
      <c r="E13137" s="3064"/>
      <c r="F13137" s="3064"/>
      <c r="G13137" s="3301" t="s">
        <v>720</v>
      </c>
      <c r="H13137" s="3063"/>
      <c r="I13137" s="3030"/>
    </row>
    <row r="13138" spans="2:9" ht="25.5">
      <c r="B13138" s="3299" t="s">
        <v>66</v>
      </c>
      <c r="C13138" s="3063"/>
      <c r="D13138" s="3064"/>
      <c r="E13138" s="3064"/>
      <c r="F13138" s="3064"/>
      <c r="G13138" s="3300" t="s">
        <v>66</v>
      </c>
      <c r="H13138" s="3063"/>
      <c r="I13138" s="3030"/>
    </row>
    <row r="13139" spans="2:9" ht="25.5">
      <c r="B13139" s="3192" t="s">
        <v>675</v>
      </c>
      <c r="C13139" s="3063"/>
      <c r="D13139" s="3064"/>
      <c r="E13139" s="3064"/>
      <c r="F13139" s="3064"/>
      <c r="G13139" s="3301" t="s">
        <v>675</v>
      </c>
      <c r="H13139" s="3063"/>
      <c r="I13139" s="3030"/>
    </row>
    <row r="13140" spans="2:9" ht="25.5">
      <c r="B13140" s="3192" t="s">
        <v>676</v>
      </c>
      <c r="C13140" s="3063"/>
      <c r="D13140" s="3064"/>
      <c r="E13140" s="3064"/>
      <c r="F13140" s="3064"/>
      <c r="G13140" s="3301" t="s">
        <v>676</v>
      </c>
      <c r="H13140" s="3063"/>
      <c r="I13140" s="3030"/>
    </row>
    <row r="13141" spans="2:9">
      <c r="B13141" s="3192" t="s">
        <v>677</v>
      </c>
      <c r="C13141" s="3063"/>
      <c r="D13141" s="3064"/>
      <c r="E13141" s="3064"/>
      <c r="F13141" s="3064"/>
      <c r="G13141" s="3301" t="s">
        <v>677</v>
      </c>
      <c r="H13141" s="3063"/>
      <c r="I13141" s="3030"/>
    </row>
    <row r="13142" spans="2:9">
      <c r="B13142" s="3192" t="s">
        <v>678</v>
      </c>
      <c r="C13142" s="3063"/>
      <c r="D13142" s="3064"/>
      <c r="E13142" s="3064"/>
      <c r="F13142" s="3064"/>
      <c r="G13142" s="3301" t="s">
        <v>678</v>
      </c>
      <c r="H13142" s="3063"/>
      <c r="I13142" s="3030"/>
    </row>
    <row r="13143" spans="2:9">
      <c r="B13143" s="3192" t="s">
        <v>679</v>
      </c>
      <c r="C13143" s="3063"/>
      <c r="D13143" s="3064"/>
      <c r="E13143" s="3064"/>
      <c r="F13143" s="3064"/>
      <c r="G13143" s="3301" t="s">
        <v>679</v>
      </c>
      <c r="H13143" s="3063"/>
      <c r="I13143" s="3030"/>
    </row>
    <row r="13144" spans="2:9" ht="25.5">
      <c r="B13144" s="3192" t="s">
        <v>720</v>
      </c>
      <c r="C13144" s="3063"/>
      <c r="D13144" s="3064"/>
      <c r="E13144" s="3064"/>
      <c r="F13144" s="3064"/>
      <c r="G13144" s="3301" t="s">
        <v>720</v>
      </c>
      <c r="H13144" s="3063"/>
      <c r="I13144" s="3030"/>
    </row>
    <row r="13145" spans="2:9">
      <c r="B13145" s="3299" t="s">
        <v>67</v>
      </c>
      <c r="C13145" s="3063"/>
      <c r="D13145" s="3064"/>
      <c r="E13145" s="3064"/>
      <c r="F13145" s="3064"/>
      <c r="G13145" s="3300" t="s">
        <v>67</v>
      </c>
      <c r="H13145" s="3063"/>
      <c r="I13145" s="3030"/>
    </row>
    <row r="13146" spans="2:9" ht="25.5">
      <c r="B13146" s="3192" t="s">
        <v>675</v>
      </c>
      <c r="C13146" s="3063"/>
      <c r="D13146" s="3064"/>
      <c r="E13146" s="3064"/>
      <c r="F13146" s="3064"/>
      <c r="G13146" s="3301" t="s">
        <v>675</v>
      </c>
      <c r="H13146" s="3063"/>
      <c r="I13146" s="3030"/>
    </row>
    <row r="13147" spans="2:9" ht="25.5">
      <c r="B13147" s="3192" t="s">
        <v>676</v>
      </c>
      <c r="C13147" s="3063"/>
      <c r="D13147" s="3064"/>
      <c r="E13147" s="3064"/>
      <c r="F13147" s="3064"/>
      <c r="G13147" s="3301" t="s">
        <v>676</v>
      </c>
      <c r="H13147" s="3063"/>
      <c r="I13147" s="3030"/>
    </row>
    <row r="13148" spans="2:9">
      <c r="B13148" s="3192" t="s">
        <v>677</v>
      </c>
      <c r="C13148" s="3063"/>
      <c r="D13148" s="3064"/>
      <c r="E13148" s="3064"/>
      <c r="F13148" s="3064"/>
      <c r="G13148" s="3301" t="s">
        <v>677</v>
      </c>
      <c r="H13148" s="3063"/>
      <c r="I13148" s="3030"/>
    </row>
    <row r="13149" spans="2:9">
      <c r="B13149" s="3192" t="s">
        <v>678</v>
      </c>
      <c r="C13149" s="3063"/>
      <c r="D13149" s="3064"/>
      <c r="E13149" s="3064"/>
      <c r="F13149" s="3064"/>
      <c r="G13149" s="3301" t="s">
        <v>678</v>
      </c>
      <c r="H13149" s="3063"/>
      <c r="I13149" s="3030"/>
    </row>
    <row r="13150" spans="2:9">
      <c r="B13150" s="3192" t="s">
        <v>679</v>
      </c>
      <c r="C13150" s="3063"/>
      <c r="D13150" s="3064"/>
      <c r="E13150" s="3064"/>
      <c r="F13150" s="3064"/>
      <c r="G13150" s="3301" t="s">
        <v>679</v>
      </c>
      <c r="H13150" s="3063"/>
      <c r="I13150" s="3030"/>
    </row>
    <row r="13151" spans="2:9" ht="25.5">
      <c r="B13151" s="3192" t="s">
        <v>720</v>
      </c>
      <c r="C13151" s="3063"/>
      <c r="D13151" s="3064"/>
      <c r="E13151" s="3064"/>
      <c r="F13151" s="3064"/>
      <c r="G13151" s="3301" t="s">
        <v>720</v>
      </c>
      <c r="H13151" s="3063"/>
      <c r="I13151" s="3030"/>
    </row>
    <row r="13152" spans="2:9" ht="25.5">
      <c r="B13152" s="3230" t="s">
        <v>81</v>
      </c>
      <c r="C13152" s="3063"/>
      <c r="D13152" s="3064"/>
      <c r="E13152" s="3064"/>
      <c r="F13152" s="3064"/>
      <c r="G13152" s="3302" t="s">
        <v>81</v>
      </c>
      <c r="H13152" s="3063"/>
      <c r="I13152" s="3030"/>
    </row>
    <row r="13153" spans="2:9" ht="26.25" thickBot="1">
      <c r="B13153" s="3303" t="s">
        <v>81</v>
      </c>
      <c r="C13153" s="3063"/>
      <c r="D13153" s="3064"/>
      <c r="E13153" s="3064"/>
      <c r="F13153" s="3064"/>
      <c r="G13153" s="3302" t="s">
        <v>81</v>
      </c>
      <c r="H13153" s="3063"/>
      <c r="I13153" s="3030"/>
    </row>
    <row r="13154" spans="2:9" ht="25.5">
      <c r="B13154" s="3217" t="s">
        <v>696</v>
      </c>
      <c r="C13154" s="3218"/>
      <c r="D13154" s="3219"/>
      <c r="E13154" s="3219"/>
      <c r="F13154" s="3219"/>
      <c r="G13154" s="3217" t="s">
        <v>696</v>
      </c>
      <c r="H13154" s="3297"/>
      <c r="I13154" s="3298"/>
    </row>
    <row r="13155" spans="2:9">
      <c r="B13155" s="3299" t="s">
        <v>64</v>
      </c>
      <c r="C13155" s="3063"/>
      <c r="D13155" s="3064"/>
      <c r="E13155" s="3064"/>
      <c r="F13155" s="3064"/>
      <c r="G13155" s="3300" t="s">
        <v>64</v>
      </c>
      <c r="H13155" s="3063"/>
      <c r="I13155" s="3030"/>
    </row>
    <row r="13156" spans="2:9" ht="25.5">
      <c r="B13156" s="3192" t="s">
        <v>675</v>
      </c>
      <c r="C13156" s="3063"/>
      <c r="D13156" s="3064"/>
      <c r="E13156" s="3064"/>
      <c r="F13156" s="3064"/>
      <c r="G13156" s="3301" t="s">
        <v>675</v>
      </c>
      <c r="H13156" s="3063"/>
      <c r="I13156" s="3030"/>
    </row>
    <row r="13157" spans="2:9" ht="25.5">
      <c r="B13157" s="3192" t="s">
        <v>676</v>
      </c>
      <c r="C13157" s="3063"/>
      <c r="D13157" s="3064"/>
      <c r="E13157" s="3064"/>
      <c r="F13157" s="3064"/>
      <c r="G13157" s="3301" t="s">
        <v>676</v>
      </c>
      <c r="H13157" s="3063"/>
      <c r="I13157" s="3030"/>
    </row>
    <row r="13158" spans="2:9">
      <c r="B13158" s="3192" t="s">
        <v>677</v>
      </c>
      <c r="C13158" s="3063"/>
      <c r="D13158" s="3064"/>
      <c r="E13158" s="3064"/>
      <c r="F13158" s="3064"/>
      <c r="G13158" s="3301" t="s">
        <v>677</v>
      </c>
      <c r="H13158" s="3063"/>
      <c r="I13158" s="3030"/>
    </row>
    <row r="13159" spans="2:9">
      <c r="B13159" s="3192" t="s">
        <v>678</v>
      </c>
      <c r="C13159" s="3063"/>
      <c r="D13159" s="3064"/>
      <c r="E13159" s="3064"/>
      <c r="F13159" s="3064"/>
      <c r="G13159" s="3301" t="s">
        <v>678</v>
      </c>
      <c r="H13159" s="3063"/>
      <c r="I13159" s="3030"/>
    </row>
    <row r="13160" spans="2:9">
      <c r="B13160" s="3192" t="s">
        <v>679</v>
      </c>
      <c r="C13160" s="3063"/>
      <c r="D13160" s="3064"/>
      <c r="E13160" s="3064"/>
      <c r="F13160" s="3064"/>
      <c r="G13160" s="3301" t="s">
        <v>679</v>
      </c>
      <c r="H13160" s="3063"/>
      <c r="I13160" s="3030"/>
    </row>
    <row r="13161" spans="2:9" ht="25.5">
      <c r="B13161" s="3192" t="s">
        <v>720</v>
      </c>
      <c r="C13161" s="3063"/>
      <c r="D13161" s="3064"/>
      <c r="E13161" s="3064"/>
      <c r="F13161" s="3064"/>
      <c r="G13161" s="3301" t="s">
        <v>720</v>
      </c>
      <c r="H13161" s="3063"/>
      <c r="I13161" s="3030"/>
    </row>
    <row r="13162" spans="2:9">
      <c r="B13162" s="3299" t="s">
        <v>65</v>
      </c>
      <c r="C13162" s="3063"/>
      <c r="D13162" s="3064"/>
      <c r="E13162" s="3064"/>
      <c r="F13162" s="3064"/>
      <c r="G13162" s="3300" t="s">
        <v>65</v>
      </c>
      <c r="H13162" s="3063"/>
      <c r="I13162" s="3030"/>
    </row>
    <row r="13163" spans="2:9" ht="25.5">
      <c r="B13163" s="3192" t="s">
        <v>675</v>
      </c>
      <c r="C13163" s="3063"/>
      <c r="D13163" s="3064"/>
      <c r="E13163" s="3064"/>
      <c r="F13163" s="3064"/>
      <c r="G13163" s="3301" t="s">
        <v>675</v>
      </c>
      <c r="H13163" s="3063"/>
      <c r="I13163" s="3030"/>
    </row>
    <row r="13164" spans="2:9" ht="25.5">
      <c r="B13164" s="3192" t="s">
        <v>676</v>
      </c>
      <c r="C13164" s="3063"/>
      <c r="D13164" s="3064"/>
      <c r="E13164" s="3064"/>
      <c r="F13164" s="3064"/>
      <c r="G13164" s="3301" t="s">
        <v>676</v>
      </c>
      <c r="H13164" s="3063"/>
      <c r="I13164" s="3030"/>
    </row>
    <row r="13165" spans="2:9">
      <c r="B13165" s="3192" t="s">
        <v>677</v>
      </c>
      <c r="C13165" s="3063"/>
      <c r="D13165" s="3064"/>
      <c r="E13165" s="3064"/>
      <c r="F13165" s="3064"/>
      <c r="G13165" s="3301" t="s">
        <v>677</v>
      </c>
      <c r="H13165" s="3063"/>
      <c r="I13165" s="3030"/>
    </row>
    <row r="13166" spans="2:9">
      <c r="B13166" s="3192" t="s">
        <v>678</v>
      </c>
      <c r="C13166" s="3063"/>
      <c r="D13166" s="3064"/>
      <c r="E13166" s="3064"/>
      <c r="F13166" s="3064"/>
      <c r="G13166" s="3301" t="s">
        <v>678</v>
      </c>
      <c r="H13166" s="3063"/>
      <c r="I13166" s="3030"/>
    </row>
    <row r="13167" spans="2:9">
      <c r="B13167" s="3192" t="s">
        <v>679</v>
      </c>
      <c r="C13167" s="3063"/>
      <c r="D13167" s="3064"/>
      <c r="E13167" s="3064"/>
      <c r="F13167" s="3064"/>
      <c r="G13167" s="3301" t="s">
        <v>679</v>
      </c>
      <c r="H13167" s="3063"/>
      <c r="I13167" s="3030"/>
    </row>
    <row r="13168" spans="2:9" ht="25.5">
      <c r="B13168" s="3192" t="s">
        <v>720</v>
      </c>
      <c r="C13168" s="3063"/>
      <c r="D13168" s="3064"/>
      <c r="E13168" s="3064"/>
      <c r="F13168" s="3064"/>
      <c r="G13168" s="3301" t="s">
        <v>720</v>
      </c>
      <c r="H13168" s="3063"/>
      <c r="I13168" s="3030"/>
    </row>
    <row r="13169" spans="2:9">
      <c r="B13169" s="3299" t="s">
        <v>82</v>
      </c>
      <c r="C13169" s="3063"/>
      <c r="D13169" s="3064"/>
      <c r="E13169" s="3064"/>
      <c r="F13169" s="3064"/>
      <c r="G13169" s="3300" t="s">
        <v>82</v>
      </c>
      <c r="H13169" s="3063"/>
      <c r="I13169" s="3030"/>
    </row>
    <row r="13170" spans="2:9" ht="25.5">
      <c r="B13170" s="3192" t="s">
        <v>675</v>
      </c>
      <c r="C13170" s="3063"/>
      <c r="D13170" s="3064"/>
      <c r="E13170" s="3064"/>
      <c r="F13170" s="3064"/>
      <c r="G13170" s="3301" t="s">
        <v>675</v>
      </c>
      <c r="H13170" s="3063"/>
      <c r="I13170" s="3030"/>
    </row>
    <row r="13171" spans="2:9" ht="25.5">
      <c r="B13171" s="3192" t="s">
        <v>676</v>
      </c>
      <c r="C13171" s="3063"/>
      <c r="D13171" s="3064"/>
      <c r="E13171" s="3064"/>
      <c r="F13171" s="3064"/>
      <c r="G13171" s="3301" t="s">
        <v>676</v>
      </c>
      <c r="H13171" s="3063"/>
      <c r="I13171" s="3030"/>
    </row>
    <row r="13172" spans="2:9">
      <c r="B13172" s="3192" t="s">
        <v>677</v>
      </c>
      <c r="C13172" s="3063"/>
      <c r="D13172" s="3064"/>
      <c r="E13172" s="3064"/>
      <c r="F13172" s="3064"/>
      <c r="G13172" s="3301" t="s">
        <v>677</v>
      </c>
      <c r="H13172" s="3063"/>
      <c r="I13172" s="3030"/>
    </row>
    <row r="13173" spans="2:9">
      <c r="B13173" s="3192" t="s">
        <v>678</v>
      </c>
      <c r="C13173" s="3063"/>
      <c r="D13173" s="3064"/>
      <c r="E13173" s="3064"/>
      <c r="F13173" s="3064"/>
      <c r="G13173" s="3301" t="s">
        <v>678</v>
      </c>
      <c r="H13173" s="3063"/>
      <c r="I13173" s="3030"/>
    </row>
    <row r="13174" spans="2:9">
      <c r="B13174" s="3192" t="s">
        <v>679</v>
      </c>
      <c r="C13174" s="3063"/>
      <c r="D13174" s="3064"/>
      <c r="E13174" s="3064"/>
      <c r="F13174" s="3064"/>
      <c r="G13174" s="3301" t="s">
        <v>679</v>
      </c>
      <c r="H13174" s="3063"/>
      <c r="I13174" s="3030"/>
    </row>
    <row r="13175" spans="2:9" ht="25.5">
      <c r="B13175" s="3192" t="s">
        <v>720</v>
      </c>
      <c r="C13175" s="3063"/>
      <c r="D13175" s="3064"/>
      <c r="E13175" s="3064"/>
      <c r="F13175" s="3064"/>
      <c r="G13175" s="3301" t="s">
        <v>720</v>
      </c>
      <c r="H13175" s="3063"/>
      <c r="I13175" s="3030"/>
    </row>
    <row r="13176" spans="2:9" ht="38.25">
      <c r="B13176" s="3299" t="s">
        <v>680</v>
      </c>
      <c r="C13176" s="3063"/>
      <c r="D13176" s="3064"/>
      <c r="E13176" s="3064"/>
      <c r="F13176" s="3064"/>
      <c r="G13176" s="3300" t="s">
        <v>680</v>
      </c>
      <c r="H13176" s="3063"/>
      <c r="I13176" s="3030"/>
    </row>
    <row r="13177" spans="2:9" ht="25.5">
      <c r="B13177" s="3192" t="s">
        <v>675</v>
      </c>
      <c r="C13177" s="3063"/>
      <c r="D13177" s="3064"/>
      <c r="E13177" s="3064"/>
      <c r="F13177" s="3064"/>
      <c r="G13177" s="3301" t="s">
        <v>675</v>
      </c>
      <c r="H13177" s="3063"/>
      <c r="I13177" s="3030"/>
    </row>
    <row r="13178" spans="2:9" ht="25.5">
      <c r="B13178" s="3192" t="s">
        <v>676</v>
      </c>
      <c r="C13178" s="3063"/>
      <c r="D13178" s="3064"/>
      <c r="E13178" s="3064"/>
      <c r="F13178" s="3064"/>
      <c r="G13178" s="3301" t="s">
        <v>676</v>
      </c>
      <c r="H13178" s="3063"/>
      <c r="I13178" s="3030"/>
    </row>
    <row r="13179" spans="2:9">
      <c r="B13179" s="3192" t="s">
        <v>677</v>
      </c>
      <c r="C13179" s="3063"/>
      <c r="D13179" s="3064"/>
      <c r="E13179" s="3064"/>
      <c r="F13179" s="3064"/>
      <c r="G13179" s="3301" t="s">
        <v>677</v>
      </c>
      <c r="H13179" s="3063"/>
      <c r="I13179" s="3030"/>
    </row>
    <row r="13180" spans="2:9">
      <c r="B13180" s="3192" t="s">
        <v>678</v>
      </c>
      <c r="C13180" s="3063"/>
      <c r="D13180" s="3064"/>
      <c r="E13180" s="3064"/>
      <c r="F13180" s="3064"/>
      <c r="G13180" s="3301" t="s">
        <v>678</v>
      </c>
      <c r="H13180" s="3063"/>
      <c r="I13180" s="3030"/>
    </row>
    <row r="13181" spans="2:9">
      <c r="B13181" s="3192" t="s">
        <v>679</v>
      </c>
      <c r="C13181" s="3063"/>
      <c r="D13181" s="3064"/>
      <c r="E13181" s="3064"/>
      <c r="F13181" s="3064"/>
      <c r="G13181" s="3301" t="s">
        <v>679</v>
      </c>
      <c r="H13181" s="3063"/>
      <c r="I13181" s="3030"/>
    </row>
    <row r="13182" spans="2:9" ht="25.5">
      <c r="B13182" s="3192" t="s">
        <v>720</v>
      </c>
      <c r="C13182" s="3063"/>
      <c r="D13182" s="3064"/>
      <c r="E13182" s="3064"/>
      <c r="F13182" s="3064"/>
      <c r="G13182" s="3301" t="s">
        <v>720</v>
      </c>
      <c r="H13182" s="3063"/>
      <c r="I13182" s="3030"/>
    </row>
    <row r="13183" spans="2:9" ht="38.25">
      <c r="B13183" s="3299" t="s">
        <v>681</v>
      </c>
      <c r="C13183" s="3063"/>
      <c r="D13183" s="3064"/>
      <c r="E13183" s="3064"/>
      <c r="F13183" s="3064"/>
      <c r="G13183" s="3300" t="s">
        <v>681</v>
      </c>
      <c r="H13183" s="3063"/>
      <c r="I13183" s="3030"/>
    </row>
    <row r="13184" spans="2:9" ht="25.5">
      <c r="B13184" s="3192" t="s">
        <v>675</v>
      </c>
      <c r="C13184" s="3063"/>
      <c r="D13184" s="3064"/>
      <c r="E13184" s="3064"/>
      <c r="F13184" s="3064"/>
      <c r="G13184" s="3301" t="s">
        <v>675</v>
      </c>
      <c r="H13184" s="3063"/>
      <c r="I13184" s="3030"/>
    </row>
    <row r="13185" spans="2:9" ht="25.5">
      <c r="B13185" s="3192" t="s">
        <v>676</v>
      </c>
      <c r="C13185" s="3063"/>
      <c r="D13185" s="3064"/>
      <c r="E13185" s="3064"/>
      <c r="F13185" s="3064"/>
      <c r="G13185" s="3301" t="s">
        <v>676</v>
      </c>
      <c r="H13185" s="3063"/>
      <c r="I13185" s="3030"/>
    </row>
    <row r="13186" spans="2:9">
      <c r="B13186" s="3192" t="s">
        <v>677</v>
      </c>
      <c r="C13186" s="3063"/>
      <c r="D13186" s="3064"/>
      <c r="E13186" s="3064"/>
      <c r="F13186" s="3064"/>
      <c r="G13186" s="3301" t="s">
        <v>677</v>
      </c>
      <c r="H13186" s="3063"/>
      <c r="I13186" s="3030"/>
    </row>
    <row r="13187" spans="2:9">
      <c r="B13187" s="3192" t="s">
        <v>678</v>
      </c>
      <c r="C13187" s="3063"/>
      <c r="D13187" s="3064"/>
      <c r="E13187" s="3064"/>
      <c r="F13187" s="3064"/>
      <c r="G13187" s="3301" t="s">
        <v>678</v>
      </c>
      <c r="H13187" s="3063"/>
      <c r="I13187" s="3030"/>
    </row>
    <row r="13188" spans="2:9">
      <c r="B13188" s="3192" t="s">
        <v>679</v>
      </c>
      <c r="C13188" s="3063"/>
      <c r="D13188" s="3064"/>
      <c r="E13188" s="3064"/>
      <c r="F13188" s="3064"/>
      <c r="G13188" s="3301" t="s">
        <v>679</v>
      </c>
      <c r="H13188" s="3063"/>
      <c r="I13188" s="3030"/>
    </row>
    <row r="13189" spans="2:9" ht="25.5">
      <c r="B13189" s="3192" t="s">
        <v>720</v>
      </c>
      <c r="C13189" s="3063"/>
      <c r="D13189" s="3064"/>
      <c r="E13189" s="3064"/>
      <c r="F13189" s="3064"/>
      <c r="G13189" s="3301" t="s">
        <v>720</v>
      </c>
      <c r="H13189" s="3063"/>
      <c r="I13189" s="3030"/>
    </row>
    <row r="13190" spans="2:9" ht="25.5">
      <c r="B13190" s="3299" t="s">
        <v>682</v>
      </c>
      <c r="C13190" s="3063"/>
      <c r="D13190" s="3064"/>
      <c r="E13190" s="3064"/>
      <c r="F13190" s="3064"/>
      <c r="G13190" s="3300" t="s">
        <v>682</v>
      </c>
      <c r="H13190" s="3063"/>
      <c r="I13190" s="3030"/>
    </row>
    <row r="13191" spans="2:9" ht="25.5">
      <c r="B13191" s="3192" t="s">
        <v>675</v>
      </c>
      <c r="C13191" s="3063"/>
      <c r="D13191" s="3064"/>
      <c r="E13191" s="3064"/>
      <c r="F13191" s="3064"/>
      <c r="G13191" s="3301" t="s">
        <v>675</v>
      </c>
      <c r="H13191" s="3063"/>
      <c r="I13191" s="3030"/>
    </row>
    <row r="13192" spans="2:9" ht="25.5">
      <c r="B13192" s="3192" t="s">
        <v>676</v>
      </c>
      <c r="C13192" s="3063"/>
      <c r="D13192" s="3064"/>
      <c r="E13192" s="3064"/>
      <c r="F13192" s="3064"/>
      <c r="G13192" s="3301" t="s">
        <v>676</v>
      </c>
      <c r="H13192" s="3063"/>
      <c r="I13192" s="3030"/>
    </row>
    <row r="13193" spans="2:9">
      <c r="B13193" s="3192" t="s">
        <v>677</v>
      </c>
      <c r="C13193" s="3063"/>
      <c r="D13193" s="3064"/>
      <c r="E13193" s="3064"/>
      <c r="F13193" s="3064"/>
      <c r="G13193" s="3301" t="s">
        <v>677</v>
      </c>
      <c r="H13193" s="3063"/>
      <c r="I13193" s="3030"/>
    </row>
    <row r="13194" spans="2:9">
      <c r="B13194" s="3192" t="s">
        <v>678</v>
      </c>
      <c r="C13194" s="3063"/>
      <c r="D13194" s="3064"/>
      <c r="E13194" s="3064"/>
      <c r="F13194" s="3064"/>
      <c r="G13194" s="3301" t="s">
        <v>678</v>
      </c>
      <c r="H13194" s="3063"/>
      <c r="I13194" s="3030"/>
    </row>
    <row r="13195" spans="2:9">
      <c r="B13195" s="3192" t="s">
        <v>679</v>
      </c>
      <c r="C13195" s="3063"/>
      <c r="D13195" s="3064"/>
      <c r="E13195" s="3064"/>
      <c r="F13195" s="3064"/>
      <c r="G13195" s="3301" t="s">
        <v>679</v>
      </c>
      <c r="H13195" s="3063"/>
      <c r="I13195" s="3030"/>
    </row>
    <row r="13196" spans="2:9" ht="25.5">
      <c r="B13196" s="3192" t="s">
        <v>720</v>
      </c>
      <c r="C13196" s="3063"/>
      <c r="D13196" s="3064"/>
      <c r="E13196" s="3064"/>
      <c r="F13196" s="3064"/>
      <c r="G13196" s="3301" t="s">
        <v>720</v>
      </c>
      <c r="H13196" s="3063"/>
      <c r="I13196" s="3030"/>
    </row>
    <row r="13197" spans="2:9" ht="25.5">
      <c r="B13197" s="3299" t="s">
        <v>66</v>
      </c>
      <c r="C13197" s="3063"/>
      <c r="D13197" s="3064"/>
      <c r="E13197" s="3064"/>
      <c r="F13197" s="3064"/>
      <c r="G13197" s="3300" t="s">
        <v>66</v>
      </c>
      <c r="H13197" s="3063"/>
      <c r="I13197" s="3030"/>
    </row>
    <row r="13198" spans="2:9" ht="25.5">
      <c r="B13198" s="3192" t="s">
        <v>675</v>
      </c>
      <c r="C13198" s="3063"/>
      <c r="D13198" s="3064"/>
      <c r="E13198" s="3064"/>
      <c r="F13198" s="3064"/>
      <c r="G13198" s="3301" t="s">
        <v>675</v>
      </c>
      <c r="H13198" s="3063"/>
      <c r="I13198" s="3030"/>
    </row>
    <row r="13199" spans="2:9" ht="25.5">
      <c r="B13199" s="3192" t="s">
        <v>676</v>
      </c>
      <c r="C13199" s="3063"/>
      <c r="D13199" s="3064"/>
      <c r="E13199" s="3064"/>
      <c r="F13199" s="3064"/>
      <c r="G13199" s="3301" t="s">
        <v>676</v>
      </c>
      <c r="H13199" s="3063"/>
      <c r="I13199" s="3030"/>
    </row>
    <row r="13200" spans="2:9">
      <c r="B13200" s="3192" t="s">
        <v>677</v>
      </c>
      <c r="C13200" s="3063"/>
      <c r="D13200" s="3064"/>
      <c r="E13200" s="3064"/>
      <c r="F13200" s="3064"/>
      <c r="G13200" s="3301" t="s">
        <v>677</v>
      </c>
      <c r="H13200" s="3063"/>
      <c r="I13200" s="3030"/>
    </row>
    <row r="13201" spans="2:9">
      <c r="B13201" s="3192" t="s">
        <v>678</v>
      </c>
      <c r="C13201" s="3063"/>
      <c r="D13201" s="3064"/>
      <c r="E13201" s="3064"/>
      <c r="F13201" s="3064"/>
      <c r="G13201" s="3301" t="s">
        <v>678</v>
      </c>
      <c r="H13201" s="3063"/>
      <c r="I13201" s="3030"/>
    </row>
    <row r="13202" spans="2:9">
      <c r="B13202" s="3192" t="s">
        <v>679</v>
      </c>
      <c r="C13202" s="3063"/>
      <c r="D13202" s="3064"/>
      <c r="E13202" s="3064"/>
      <c r="F13202" s="3064"/>
      <c r="G13202" s="3301" t="s">
        <v>679</v>
      </c>
      <c r="H13202" s="3063"/>
      <c r="I13202" s="3030"/>
    </row>
    <row r="13203" spans="2:9" ht="25.5">
      <c r="B13203" s="3192" t="s">
        <v>720</v>
      </c>
      <c r="C13203" s="3063"/>
      <c r="D13203" s="3064"/>
      <c r="E13203" s="3064"/>
      <c r="F13203" s="3064"/>
      <c r="G13203" s="3301" t="s">
        <v>720</v>
      </c>
      <c r="H13203" s="3063"/>
      <c r="I13203" s="3030"/>
    </row>
    <row r="13204" spans="2:9">
      <c r="B13204" s="3299" t="s">
        <v>67</v>
      </c>
      <c r="C13204" s="3063"/>
      <c r="D13204" s="3064"/>
      <c r="E13204" s="3064"/>
      <c r="F13204" s="3064"/>
      <c r="G13204" s="3300" t="s">
        <v>67</v>
      </c>
      <c r="H13204" s="3063"/>
      <c r="I13204" s="3030"/>
    </row>
    <row r="13205" spans="2:9" ht="25.5">
      <c r="B13205" s="3192" t="s">
        <v>675</v>
      </c>
      <c r="C13205" s="3063"/>
      <c r="D13205" s="3064"/>
      <c r="E13205" s="3064"/>
      <c r="F13205" s="3064"/>
      <c r="G13205" s="3301" t="s">
        <v>675</v>
      </c>
      <c r="H13205" s="3063"/>
      <c r="I13205" s="3030"/>
    </row>
    <row r="13206" spans="2:9" ht="25.5">
      <c r="B13206" s="3192" t="s">
        <v>676</v>
      </c>
      <c r="C13206" s="3063"/>
      <c r="D13206" s="3064"/>
      <c r="E13206" s="3064"/>
      <c r="F13206" s="3064"/>
      <c r="G13206" s="3301" t="s">
        <v>676</v>
      </c>
      <c r="H13206" s="3063"/>
      <c r="I13206" s="3030"/>
    </row>
    <row r="13207" spans="2:9">
      <c r="B13207" s="3192" t="s">
        <v>677</v>
      </c>
      <c r="C13207" s="3063"/>
      <c r="D13207" s="3064"/>
      <c r="E13207" s="3064"/>
      <c r="F13207" s="3064"/>
      <c r="G13207" s="3301" t="s">
        <v>677</v>
      </c>
      <c r="H13207" s="3063"/>
      <c r="I13207" s="3030"/>
    </row>
    <row r="13208" spans="2:9">
      <c r="B13208" s="3192" t="s">
        <v>678</v>
      </c>
      <c r="C13208" s="3063"/>
      <c r="D13208" s="3064"/>
      <c r="E13208" s="3064"/>
      <c r="F13208" s="3064"/>
      <c r="G13208" s="3301" t="s">
        <v>678</v>
      </c>
      <c r="H13208" s="3063"/>
      <c r="I13208" s="3030"/>
    </row>
    <row r="13209" spans="2:9">
      <c r="B13209" s="3192" t="s">
        <v>679</v>
      </c>
      <c r="C13209" s="3063"/>
      <c r="D13209" s="3064"/>
      <c r="E13209" s="3064"/>
      <c r="F13209" s="3064"/>
      <c r="G13209" s="3301" t="s">
        <v>679</v>
      </c>
      <c r="H13209" s="3063"/>
      <c r="I13209" s="3030"/>
    </row>
    <row r="13210" spans="2:9" ht="25.5">
      <c r="B13210" s="3230" t="s">
        <v>81</v>
      </c>
      <c r="C13210" s="3063"/>
      <c r="D13210" s="3064"/>
      <c r="E13210" s="3064"/>
      <c r="F13210" s="3064"/>
      <c r="G13210" s="3302" t="s">
        <v>81</v>
      </c>
      <c r="H13210" s="3063"/>
      <c r="I13210" s="3030"/>
    </row>
    <row r="13211" spans="2:9" ht="26.25" thickBot="1">
      <c r="B13211" s="3303" t="s">
        <v>81</v>
      </c>
      <c r="C13211" s="3063"/>
      <c r="D13211" s="3064"/>
      <c r="E13211" s="3064"/>
      <c r="F13211" s="3064"/>
      <c r="G13211" s="3302" t="s">
        <v>81</v>
      </c>
      <c r="H13211" s="3063"/>
      <c r="I13211" s="3030"/>
    </row>
    <row r="13212" spans="2:9">
      <c r="B13212" s="3217" t="s">
        <v>697</v>
      </c>
      <c r="C13212" s="3218"/>
      <c r="D13212" s="3219"/>
      <c r="E13212" s="3219"/>
      <c r="F13212" s="3219"/>
      <c r="G13212" s="3217" t="s">
        <v>697</v>
      </c>
      <c r="H13212" s="3297"/>
      <c r="I13212" s="3298"/>
    </row>
    <row r="13213" spans="2:9">
      <c r="B13213" s="3299" t="s">
        <v>64</v>
      </c>
      <c r="C13213" s="3063"/>
      <c r="D13213" s="3064"/>
      <c r="E13213" s="3064"/>
      <c r="F13213" s="3064"/>
      <c r="G13213" s="3300" t="s">
        <v>64</v>
      </c>
      <c r="H13213" s="3063"/>
      <c r="I13213" s="3030"/>
    </row>
    <row r="13214" spans="2:9" ht="25.5">
      <c r="B13214" s="3192" t="s">
        <v>675</v>
      </c>
      <c r="C13214" s="3063"/>
      <c r="D13214" s="3064"/>
      <c r="E13214" s="3064"/>
      <c r="F13214" s="3064"/>
      <c r="G13214" s="3301" t="s">
        <v>675</v>
      </c>
      <c r="H13214" s="3063"/>
      <c r="I13214" s="3030"/>
    </row>
    <row r="13215" spans="2:9" ht="25.5">
      <c r="B13215" s="3192" t="s">
        <v>676</v>
      </c>
      <c r="C13215" s="3063"/>
      <c r="D13215" s="3064"/>
      <c r="E13215" s="3064"/>
      <c r="F13215" s="3064"/>
      <c r="G13215" s="3301" t="s">
        <v>676</v>
      </c>
      <c r="H13215" s="3063"/>
      <c r="I13215" s="3030"/>
    </row>
    <row r="13216" spans="2:9">
      <c r="B13216" s="3192" t="s">
        <v>677</v>
      </c>
      <c r="C13216" s="3063"/>
      <c r="D13216" s="3064"/>
      <c r="E13216" s="3064"/>
      <c r="F13216" s="3064"/>
      <c r="G13216" s="3301" t="s">
        <v>677</v>
      </c>
      <c r="H13216" s="3063"/>
      <c r="I13216" s="3030"/>
    </row>
    <row r="13217" spans="2:9">
      <c r="B13217" s="3192" t="s">
        <v>678</v>
      </c>
      <c r="C13217" s="3063"/>
      <c r="D13217" s="3064"/>
      <c r="E13217" s="3064"/>
      <c r="F13217" s="3064"/>
      <c r="G13217" s="3301" t="s">
        <v>678</v>
      </c>
      <c r="H13217" s="3063"/>
      <c r="I13217" s="3030"/>
    </row>
    <row r="13218" spans="2:9">
      <c r="B13218" s="3192" t="s">
        <v>679</v>
      </c>
      <c r="C13218" s="3063"/>
      <c r="D13218" s="3064"/>
      <c r="E13218" s="3064"/>
      <c r="F13218" s="3064"/>
      <c r="G13218" s="3301" t="s">
        <v>679</v>
      </c>
      <c r="H13218" s="3063"/>
      <c r="I13218" s="3030"/>
    </row>
    <row r="13219" spans="2:9" ht="25.5">
      <c r="B13219" s="3192" t="s">
        <v>720</v>
      </c>
      <c r="C13219" s="3063"/>
      <c r="D13219" s="3064"/>
      <c r="E13219" s="3064"/>
      <c r="F13219" s="3064"/>
      <c r="G13219" s="3301" t="s">
        <v>720</v>
      </c>
      <c r="H13219" s="3063"/>
      <c r="I13219" s="3030"/>
    </row>
    <row r="13220" spans="2:9">
      <c r="B13220" s="3299" t="s">
        <v>65</v>
      </c>
      <c r="C13220" s="3063"/>
      <c r="D13220" s="3064"/>
      <c r="E13220" s="3064"/>
      <c r="F13220" s="3064"/>
      <c r="G13220" s="3300" t="s">
        <v>65</v>
      </c>
      <c r="H13220" s="3063"/>
      <c r="I13220" s="3030"/>
    </row>
    <row r="13221" spans="2:9" ht="25.5">
      <c r="B13221" s="3192" t="s">
        <v>675</v>
      </c>
      <c r="C13221" s="3063"/>
      <c r="D13221" s="3064"/>
      <c r="E13221" s="3064"/>
      <c r="F13221" s="3064"/>
      <c r="G13221" s="3301" t="s">
        <v>675</v>
      </c>
      <c r="H13221" s="3063"/>
      <c r="I13221" s="3030"/>
    </row>
    <row r="13222" spans="2:9" ht="25.5">
      <c r="B13222" s="3192" t="s">
        <v>676</v>
      </c>
      <c r="C13222" s="3063"/>
      <c r="D13222" s="3064"/>
      <c r="E13222" s="3064"/>
      <c r="F13222" s="3064"/>
      <c r="G13222" s="3301" t="s">
        <v>676</v>
      </c>
      <c r="H13222" s="3063"/>
      <c r="I13222" s="3030"/>
    </row>
    <row r="13223" spans="2:9">
      <c r="B13223" s="3192" t="s">
        <v>677</v>
      </c>
      <c r="C13223" s="3063"/>
      <c r="D13223" s="3064"/>
      <c r="E13223" s="3064"/>
      <c r="F13223" s="3064"/>
      <c r="G13223" s="3301" t="s">
        <v>677</v>
      </c>
      <c r="H13223" s="3063"/>
      <c r="I13223" s="3030"/>
    </row>
    <row r="13224" spans="2:9">
      <c r="B13224" s="3192" t="s">
        <v>678</v>
      </c>
      <c r="C13224" s="3063"/>
      <c r="D13224" s="3064"/>
      <c r="E13224" s="3064"/>
      <c r="F13224" s="3064"/>
      <c r="G13224" s="3301" t="s">
        <v>678</v>
      </c>
      <c r="H13224" s="3063"/>
      <c r="I13224" s="3030"/>
    </row>
    <row r="13225" spans="2:9">
      <c r="B13225" s="3192" t="s">
        <v>679</v>
      </c>
      <c r="C13225" s="3063"/>
      <c r="D13225" s="3064"/>
      <c r="E13225" s="3064"/>
      <c r="F13225" s="3064"/>
      <c r="G13225" s="3301" t="s">
        <v>679</v>
      </c>
      <c r="H13225" s="3063"/>
      <c r="I13225" s="3030"/>
    </row>
    <row r="13226" spans="2:9" ht="25.5">
      <c r="B13226" s="3192" t="s">
        <v>720</v>
      </c>
      <c r="C13226" s="3063"/>
      <c r="D13226" s="3064"/>
      <c r="E13226" s="3064"/>
      <c r="F13226" s="3064"/>
      <c r="G13226" s="3301" t="s">
        <v>720</v>
      </c>
      <c r="H13226" s="3063"/>
      <c r="I13226" s="3030"/>
    </row>
    <row r="13227" spans="2:9">
      <c r="B13227" s="3299" t="s">
        <v>82</v>
      </c>
      <c r="C13227" s="3063"/>
      <c r="D13227" s="3064"/>
      <c r="E13227" s="3064"/>
      <c r="F13227" s="3064"/>
      <c r="G13227" s="3300" t="s">
        <v>82</v>
      </c>
      <c r="H13227" s="3063"/>
      <c r="I13227" s="3030"/>
    </row>
    <row r="13228" spans="2:9" ht="25.5">
      <c r="B13228" s="3192" t="s">
        <v>675</v>
      </c>
      <c r="C13228" s="3063"/>
      <c r="D13228" s="3064"/>
      <c r="E13228" s="3064"/>
      <c r="F13228" s="3064"/>
      <c r="G13228" s="3301" t="s">
        <v>675</v>
      </c>
      <c r="H13228" s="3063"/>
      <c r="I13228" s="3030"/>
    </row>
    <row r="13229" spans="2:9" ht="25.5">
      <c r="B13229" s="3192" t="s">
        <v>676</v>
      </c>
      <c r="C13229" s="3063"/>
      <c r="D13229" s="3064"/>
      <c r="E13229" s="3064"/>
      <c r="F13229" s="3064"/>
      <c r="G13229" s="3301" t="s">
        <v>676</v>
      </c>
      <c r="H13229" s="3063"/>
      <c r="I13229" s="3030"/>
    </row>
    <row r="13230" spans="2:9">
      <c r="B13230" s="3192" t="s">
        <v>677</v>
      </c>
      <c r="C13230" s="3063"/>
      <c r="D13230" s="3064"/>
      <c r="E13230" s="3064"/>
      <c r="F13230" s="3064"/>
      <c r="G13230" s="3301" t="s">
        <v>677</v>
      </c>
      <c r="H13230" s="3063"/>
      <c r="I13230" s="3030"/>
    </row>
    <row r="13231" spans="2:9">
      <c r="B13231" s="3192" t="s">
        <v>678</v>
      </c>
      <c r="C13231" s="3063"/>
      <c r="D13231" s="3064"/>
      <c r="E13231" s="3064"/>
      <c r="F13231" s="3064"/>
      <c r="G13231" s="3301" t="s">
        <v>678</v>
      </c>
      <c r="H13231" s="3063"/>
      <c r="I13231" s="3030"/>
    </row>
    <row r="13232" spans="2:9">
      <c r="B13232" s="3192" t="s">
        <v>679</v>
      </c>
      <c r="C13232" s="3063"/>
      <c r="D13232" s="3064"/>
      <c r="E13232" s="3064"/>
      <c r="F13232" s="3064"/>
      <c r="G13232" s="3301" t="s">
        <v>679</v>
      </c>
      <c r="H13232" s="3063"/>
      <c r="I13232" s="3030"/>
    </row>
    <row r="13233" spans="2:9" ht="25.5">
      <c r="B13233" s="3192" t="s">
        <v>720</v>
      </c>
      <c r="C13233" s="3063"/>
      <c r="D13233" s="3064"/>
      <c r="E13233" s="3064"/>
      <c r="F13233" s="3064"/>
      <c r="G13233" s="3301" t="s">
        <v>720</v>
      </c>
      <c r="H13233" s="3063"/>
      <c r="I13233" s="3030"/>
    </row>
    <row r="13234" spans="2:9" ht="38.25">
      <c r="B13234" s="3299" t="s">
        <v>680</v>
      </c>
      <c r="C13234" s="3063"/>
      <c r="D13234" s="3064"/>
      <c r="E13234" s="3064"/>
      <c r="F13234" s="3064"/>
      <c r="G13234" s="3300" t="s">
        <v>680</v>
      </c>
      <c r="H13234" s="3063"/>
      <c r="I13234" s="3030"/>
    </row>
    <row r="13235" spans="2:9" ht="25.5">
      <c r="B13235" s="3192" t="s">
        <v>675</v>
      </c>
      <c r="C13235" s="3063"/>
      <c r="D13235" s="3064"/>
      <c r="E13235" s="3064"/>
      <c r="F13235" s="3064"/>
      <c r="G13235" s="3301" t="s">
        <v>675</v>
      </c>
      <c r="H13235" s="3063"/>
      <c r="I13235" s="3030"/>
    </row>
    <row r="13236" spans="2:9" ht="25.5">
      <c r="B13236" s="3192" t="s">
        <v>676</v>
      </c>
      <c r="C13236" s="3063"/>
      <c r="D13236" s="3064"/>
      <c r="E13236" s="3064"/>
      <c r="F13236" s="3064"/>
      <c r="G13236" s="3301" t="s">
        <v>676</v>
      </c>
      <c r="H13236" s="3063"/>
      <c r="I13236" s="3030"/>
    </row>
    <row r="13237" spans="2:9">
      <c r="B13237" s="3192" t="s">
        <v>677</v>
      </c>
      <c r="C13237" s="3063"/>
      <c r="D13237" s="3064"/>
      <c r="E13237" s="3064"/>
      <c r="F13237" s="3064"/>
      <c r="G13237" s="3301" t="s">
        <v>677</v>
      </c>
      <c r="H13237" s="3063"/>
      <c r="I13237" s="3030"/>
    </row>
    <row r="13238" spans="2:9">
      <c r="B13238" s="3192" t="s">
        <v>678</v>
      </c>
      <c r="C13238" s="3063"/>
      <c r="D13238" s="3064"/>
      <c r="E13238" s="3064"/>
      <c r="F13238" s="3064"/>
      <c r="G13238" s="3301" t="s">
        <v>678</v>
      </c>
      <c r="H13238" s="3063"/>
      <c r="I13238" s="3030"/>
    </row>
    <row r="13239" spans="2:9">
      <c r="B13239" s="3192" t="s">
        <v>679</v>
      </c>
      <c r="C13239" s="3063"/>
      <c r="D13239" s="3064"/>
      <c r="E13239" s="3064"/>
      <c r="F13239" s="3064"/>
      <c r="G13239" s="3301" t="s">
        <v>679</v>
      </c>
      <c r="H13239" s="3063"/>
      <c r="I13239" s="3030"/>
    </row>
    <row r="13240" spans="2:9" ht="25.5">
      <c r="B13240" s="3192" t="s">
        <v>720</v>
      </c>
      <c r="C13240" s="3063"/>
      <c r="D13240" s="3064"/>
      <c r="E13240" s="3064"/>
      <c r="F13240" s="3064"/>
      <c r="G13240" s="3301" t="s">
        <v>720</v>
      </c>
      <c r="H13240" s="3063"/>
      <c r="I13240" s="3030"/>
    </row>
    <row r="13241" spans="2:9" ht="38.25">
      <c r="B13241" s="3299" t="s">
        <v>681</v>
      </c>
      <c r="C13241" s="3063"/>
      <c r="D13241" s="3064"/>
      <c r="E13241" s="3064"/>
      <c r="F13241" s="3064">
        <v>2</v>
      </c>
      <c r="G13241" s="3300" t="s">
        <v>681</v>
      </c>
      <c r="H13241" s="3063">
        <v>1.6742922617783467E-2</v>
      </c>
      <c r="I13241" s="3030"/>
    </row>
    <row r="13242" spans="2:9" ht="25.5">
      <c r="B13242" s="3192" t="s">
        <v>675</v>
      </c>
      <c r="C13242" s="3063"/>
      <c r="D13242" s="3064"/>
      <c r="E13242" s="3064"/>
      <c r="F13242" s="3064"/>
      <c r="G13242" s="3301" t="s">
        <v>675</v>
      </c>
      <c r="H13242" s="3063"/>
      <c r="I13242" s="3030"/>
    </row>
    <row r="13243" spans="2:9" ht="25.5">
      <c r="B13243" s="3192" t="s">
        <v>676</v>
      </c>
      <c r="C13243" s="3063"/>
      <c r="D13243" s="3064"/>
      <c r="E13243" s="3064"/>
      <c r="F13243" s="3064"/>
      <c r="G13243" s="3301" t="s">
        <v>676</v>
      </c>
      <c r="H13243" s="3063"/>
      <c r="I13243" s="3030"/>
    </row>
    <row r="13244" spans="2:9">
      <c r="B13244" s="3192" t="s">
        <v>677</v>
      </c>
      <c r="C13244" s="3063"/>
      <c r="D13244" s="3064"/>
      <c r="E13244" s="3064"/>
      <c r="F13244" s="3064"/>
      <c r="G13244" s="3301" t="s">
        <v>677</v>
      </c>
      <c r="H13244" s="3063"/>
      <c r="I13244" s="3030"/>
    </row>
    <row r="13245" spans="2:9">
      <c r="B13245" s="3192" t="s">
        <v>678</v>
      </c>
      <c r="C13245" s="3063"/>
      <c r="D13245" s="3064"/>
      <c r="E13245" s="3064"/>
      <c r="F13245" s="3064"/>
      <c r="G13245" s="3301" t="s">
        <v>678</v>
      </c>
      <c r="H13245" s="3063"/>
      <c r="I13245" s="3030"/>
    </row>
    <row r="13246" spans="2:9">
      <c r="B13246" s="3192" t="s">
        <v>679</v>
      </c>
      <c r="C13246" s="3063">
        <v>1</v>
      </c>
      <c r="D13246" s="3064"/>
      <c r="E13246" s="3064"/>
      <c r="F13246" s="3064"/>
      <c r="G13246" s="3301" t="s">
        <v>679</v>
      </c>
      <c r="H13246" s="3063"/>
      <c r="I13246" s="3030"/>
    </row>
    <row r="13247" spans="2:9" ht="25.5">
      <c r="B13247" s="3192" t="s">
        <v>720</v>
      </c>
      <c r="C13247" s="3063"/>
      <c r="D13247" s="3064"/>
      <c r="E13247" s="3064"/>
      <c r="F13247" s="3064"/>
      <c r="G13247" s="3301" t="s">
        <v>720</v>
      </c>
      <c r="H13247" s="3063"/>
      <c r="I13247" s="3030"/>
    </row>
    <row r="13248" spans="2:9" ht="25.5">
      <c r="B13248" s="3299" t="s">
        <v>682</v>
      </c>
      <c r="C13248" s="3063"/>
      <c r="D13248" s="3064"/>
      <c r="E13248" s="3064"/>
      <c r="F13248" s="3064"/>
      <c r="G13248" s="3300" t="s">
        <v>682</v>
      </c>
      <c r="H13248" s="3063"/>
      <c r="I13248" s="3030"/>
    </row>
    <row r="13249" spans="2:9" ht="25.5">
      <c r="B13249" s="3192" t="s">
        <v>675</v>
      </c>
      <c r="C13249" s="3063"/>
      <c r="D13249" s="3064"/>
      <c r="E13249" s="3064"/>
      <c r="F13249" s="3064"/>
      <c r="G13249" s="3301" t="s">
        <v>675</v>
      </c>
      <c r="H13249" s="3063"/>
      <c r="I13249" s="3030"/>
    </row>
    <row r="13250" spans="2:9" ht="25.5">
      <c r="B13250" s="3192" t="s">
        <v>676</v>
      </c>
      <c r="C13250" s="3063"/>
      <c r="D13250" s="3064"/>
      <c r="E13250" s="3064"/>
      <c r="F13250" s="3064"/>
      <c r="G13250" s="3301" t="s">
        <v>676</v>
      </c>
      <c r="H13250" s="3063"/>
      <c r="I13250" s="3030"/>
    </row>
    <row r="13251" spans="2:9">
      <c r="B13251" s="3192" t="s">
        <v>677</v>
      </c>
      <c r="C13251" s="3063"/>
      <c r="D13251" s="3064"/>
      <c r="E13251" s="3064"/>
      <c r="F13251" s="3064"/>
      <c r="G13251" s="3301" t="s">
        <v>677</v>
      </c>
      <c r="H13251" s="3063"/>
      <c r="I13251" s="3030"/>
    </row>
    <row r="13252" spans="2:9">
      <c r="B13252" s="3192" t="s">
        <v>678</v>
      </c>
      <c r="C13252" s="3063"/>
      <c r="D13252" s="3064"/>
      <c r="E13252" s="3064"/>
      <c r="F13252" s="3064"/>
      <c r="G13252" s="3301" t="s">
        <v>678</v>
      </c>
      <c r="H13252" s="3063"/>
      <c r="I13252" s="3030"/>
    </row>
    <row r="13253" spans="2:9">
      <c r="B13253" s="3192" t="s">
        <v>679</v>
      </c>
      <c r="C13253" s="3063"/>
      <c r="D13253" s="3064"/>
      <c r="E13253" s="3064"/>
      <c r="F13253" s="3064"/>
      <c r="G13253" s="3301" t="s">
        <v>679</v>
      </c>
      <c r="H13253" s="3063"/>
      <c r="I13253" s="3030"/>
    </row>
    <row r="13254" spans="2:9" ht="25.5">
      <c r="B13254" s="3192" t="s">
        <v>720</v>
      </c>
      <c r="C13254" s="3063"/>
      <c r="D13254" s="3064"/>
      <c r="E13254" s="3064"/>
      <c r="F13254" s="3064"/>
      <c r="G13254" s="3301" t="s">
        <v>720</v>
      </c>
      <c r="H13254" s="3063"/>
      <c r="I13254" s="3030"/>
    </row>
    <row r="13255" spans="2:9" ht="25.5">
      <c r="B13255" s="3299" t="s">
        <v>66</v>
      </c>
      <c r="C13255" s="3063"/>
      <c r="D13255" s="3064"/>
      <c r="E13255" s="3064"/>
      <c r="F13255" s="3064"/>
      <c r="G13255" s="3300" t="s">
        <v>66</v>
      </c>
      <c r="H13255" s="3063"/>
      <c r="I13255" s="3030"/>
    </row>
    <row r="13256" spans="2:9" ht="25.5">
      <c r="B13256" s="3192" t="s">
        <v>675</v>
      </c>
      <c r="C13256" s="3063"/>
      <c r="D13256" s="3064"/>
      <c r="E13256" s="3064"/>
      <c r="F13256" s="3064"/>
      <c r="G13256" s="3301" t="s">
        <v>675</v>
      </c>
      <c r="H13256" s="3063"/>
      <c r="I13256" s="3030"/>
    </row>
    <row r="13257" spans="2:9" ht="25.5">
      <c r="B13257" s="3192" t="s">
        <v>676</v>
      </c>
      <c r="C13257" s="3063"/>
      <c r="D13257" s="3064"/>
      <c r="E13257" s="3064"/>
      <c r="F13257" s="3064"/>
      <c r="G13257" s="3301" t="s">
        <v>676</v>
      </c>
      <c r="H13257" s="3063"/>
      <c r="I13257" s="3030"/>
    </row>
    <row r="13258" spans="2:9">
      <c r="B13258" s="3192" t="s">
        <v>677</v>
      </c>
      <c r="C13258" s="3063"/>
      <c r="D13258" s="3064"/>
      <c r="E13258" s="3064"/>
      <c r="F13258" s="3064"/>
      <c r="G13258" s="3301" t="s">
        <v>677</v>
      </c>
      <c r="H13258" s="3063"/>
      <c r="I13258" s="3030"/>
    </row>
    <row r="13259" spans="2:9">
      <c r="B13259" s="3192" t="s">
        <v>678</v>
      </c>
      <c r="C13259" s="3063"/>
      <c r="D13259" s="3064"/>
      <c r="E13259" s="3064"/>
      <c r="F13259" s="3064"/>
      <c r="G13259" s="3301" t="s">
        <v>678</v>
      </c>
      <c r="H13259" s="3063"/>
      <c r="I13259" s="3030"/>
    </row>
    <row r="13260" spans="2:9">
      <c r="B13260" s="3192" t="s">
        <v>679</v>
      </c>
      <c r="C13260" s="3063"/>
      <c r="D13260" s="3064"/>
      <c r="E13260" s="3064"/>
      <c r="F13260" s="3064"/>
      <c r="G13260" s="3301" t="s">
        <v>679</v>
      </c>
      <c r="H13260" s="3063"/>
      <c r="I13260" s="3030"/>
    </row>
    <row r="13261" spans="2:9" ht="25.5">
      <c r="B13261" s="3192" t="s">
        <v>720</v>
      </c>
      <c r="C13261" s="3063"/>
      <c r="D13261" s="3064"/>
      <c r="E13261" s="3064"/>
      <c r="F13261" s="3064"/>
      <c r="G13261" s="3301" t="s">
        <v>720</v>
      </c>
      <c r="H13261" s="3063"/>
      <c r="I13261" s="3030"/>
    </row>
    <row r="13262" spans="2:9">
      <c r="B13262" s="3299" t="s">
        <v>67</v>
      </c>
      <c r="C13262" s="3063"/>
      <c r="D13262" s="3064"/>
      <c r="E13262" s="3064"/>
      <c r="F13262" s="3064">
        <v>2</v>
      </c>
      <c r="G13262" s="3300" t="s">
        <v>67</v>
      </c>
      <c r="H13262" s="3063">
        <v>2.1352807093402513E-2</v>
      </c>
      <c r="I13262" s="3030"/>
    </row>
    <row r="13263" spans="2:9" ht="25.5">
      <c r="B13263" s="3192" t="s">
        <v>675</v>
      </c>
      <c r="C13263" s="3063">
        <v>1</v>
      </c>
      <c r="D13263" s="3064"/>
      <c r="E13263" s="3064"/>
      <c r="F13263" s="3064"/>
      <c r="G13263" s="3301" t="s">
        <v>675</v>
      </c>
      <c r="H13263" s="3063"/>
      <c r="I13263" s="3030">
        <v>1.6014605320051886E-2</v>
      </c>
    </row>
    <row r="13264" spans="2:9" ht="25.5">
      <c r="B13264" s="3192" t="s">
        <v>676</v>
      </c>
      <c r="C13264" s="3063"/>
      <c r="D13264" s="3064"/>
      <c r="E13264" s="3064"/>
      <c r="F13264" s="3064"/>
      <c r="G13264" s="3301" t="s">
        <v>676</v>
      </c>
      <c r="H13264" s="3063"/>
      <c r="I13264" s="3030"/>
    </row>
    <row r="13265" spans="2:9">
      <c r="B13265" s="3192" t="s">
        <v>677</v>
      </c>
      <c r="C13265" s="3063"/>
      <c r="D13265" s="3064"/>
      <c r="E13265" s="3064"/>
      <c r="F13265" s="3064"/>
      <c r="G13265" s="3301" t="s">
        <v>677</v>
      </c>
      <c r="H13265" s="3063"/>
      <c r="I13265" s="3030"/>
    </row>
    <row r="13266" spans="2:9">
      <c r="B13266" s="3192" t="s">
        <v>678</v>
      </c>
      <c r="C13266" s="3063"/>
      <c r="D13266" s="3064"/>
      <c r="E13266" s="3064"/>
      <c r="F13266" s="3064"/>
      <c r="G13266" s="3301" t="s">
        <v>678</v>
      </c>
      <c r="H13266" s="3063"/>
      <c r="I13266" s="3030"/>
    </row>
    <row r="13267" spans="2:9">
      <c r="B13267" s="3192" t="s">
        <v>679</v>
      </c>
      <c r="C13267" s="3063">
        <v>1</v>
      </c>
      <c r="D13267" s="3064"/>
      <c r="E13267" s="3064"/>
      <c r="F13267" s="3064"/>
      <c r="G13267" s="3301" t="s">
        <v>679</v>
      </c>
      <c r="H13267" s="3063"/>
      <c r="I13267" s="3030"/>
    </row>
    <row r="13268" spans="2:9" ht="25.5">
      <c r="B13268" s="3230" t="s">
        <v>81</v>
      </c>
      <c r="C13268" s="3063"/>
      <c r="D13268" s="3064"/>
      <c r="E13268" s="3064"/>
      <c r="F13268" s="3064"/>
      <c r="G13268" s="3302" t="s">
        <v>81</v>
      </c>
      <c r="H13268" s="3063"/>
      <c r="I13268" s="3030"/>
    </row>
    <row r="13269" spans="2:9" ht="26.25" thickBot="1">
      <c r="B13269" s="3303" t="s">
        <v>81</v>
      </c>
      <c r="C13269" s="3068"/>
      <c r="D13269" s="3069"/>
      <c r="E13269" s="3069"/>
      <c r="F13269" s="3069"/>
      <c r="G13269" s="3304" t="s">
        <v>81</v>
      </c>
      <c r="H13269" s="3068"/>
      <c r="I13269" s="3070"/>
    </row>
    <row r="13270" spans="2:9" ht="38.25">
      <c r="B13270" s="4723">
        <v>3350</v>
      </c>
      <c r="C13270" s="3289"/>
      <c r="D13270" s="3290"/>
      <c r="E13270" s="3290"/>
      <c r="F13270" s="3290"/>
      <c r="G13270" s="4723">
        <v>3350</v>
      </c>
      <c r="H13270" s="3291" t="s">
        <v>687</v>
      </c>
      <c r="I13270" s="3292" t="s">
        <v>688</v>
      </c>
    </row>
    <row r="13271" spans="2:9">
      <c r="B13271" s="4724"/>
      <c r="C13271" s="4678" t="s">
        <v>686</v>
      </c>
      <c r="D13271" s="4725"/>
      <c r="E13271" s="4725"/>
      <c r="F13271" s="4726"/>
      <c r="G13271" s="4724"/>
      <c r="H13271" s="3293"/>
      <c r="I13271" s="3294"/>
    </row>
    <row r="13272" spans="2:9" ht="13.5" thickBot="1">
      <c r="B13272" s="4724"/>
      <c r="C13272" s="3215">
        <v>2013</v>
      </c>
      <c r="D13272" s="3215">
        <v>2014</v>
      </c>
      <c r="E13272" s="3215">
        <v>2015</v>
      </c>
      <c r="F13272" s="3215">
        <v>2016</v>
      </c>
      <c r="G13272" s="4724"/>
      <c r="H13272" s="3295" t="s">
        <v>390</v>
      </c>
      <c r="I13272" s="3296" t="s">
        <v>390</v>
      </c>
    </row>
    <row r="13273" spans="2:9">
      <c r="B13273" s="3217" t="s">
        <v>695</v>
      </c>
      <c r="C13273" s="3218"/>
      <c r="D13273" s="3219"/>
      <c r="E13273" s="3219"/>
      <c r="F13273" s="3219"/>
      <c r="G13273" s="3217" t="s">
        <v>695</v>
      </c>
      <c r="H13273" s="3297"/>
      <c r="I13273" s="3298"/>
    </row>
    <row r="13274" spans="2:9">
      <c r="B13274" s="3299" t="s">
        <v>64</v>
      </c>
      <c r="C13274" s="3063"/>
      <c r="D13274" s="3064"/>
      <c r="E13274" s="3064"/>
      <c r="F13274" s="3064">
        <v>2</v>
      </c>
      <c r="G13274" s="3300" t="s">
        <v>64</v>
      </c>
      <c r="H13274" s="3063">
        <v>0.27325957960176911</v>
      </c>
      <c r="I13274" s="3030"/>
    </row>
    <row r="13275" spans="2:9" ht="25.5">
      <c r="B13275" s="3192" t="s">
        <v>675</v>
      </c>
      <c r="C13275" s="3063">
        <v>1</v>
      </c>
      <c r="D13275" s="3064">
        <v>2</v>
      </c>
      <c r="E13275" s="3064"/>
      <c r="F13275" s="3064"/>
      <c r="G13275" s="3301" t="s">
        <v>675</v>
      </c>
      <c r="H13275" s="3063"/>
      <c r="I13275" s="3030">
        <v>0.20494468470132682</v>
      </c>
    </row>
    <row r="13276" spans="2:9" ht="25.5">
      <c r="B13276" s="3192" t="s">
        <v>676</v>
      </c>
      <c r="C13276" s="3063"/>
      <c r="D13276" s="3064"/>
      <c r="E13276" s="3064"/>
      <c r="F13276" s="3064"/>
      <c r="G13276" s="3301" t="s">
        <v>676</v>
      </c>
      <c r="H13276" s="3063"/>
      <c r="I13276" s="3030"/>
    </row>
    <row r="13277" spans="2:9">
      <c r="B13277" s="3192" t="s">
        <v>677</v>
      </c>
      <c r="C13277" s="3063"/>
      <c r="D13277" s="3064"/>
      <c r="E13277" s="3064"/>
      <c r="F13277" s="3064"/>
      <c r="G13277" s="3301" t="s">
        <v>677</v>
      </c>
      <c r="H13277" s="3063"/>
      <c r="I13277" s="3030"/>
    </row>
    <row r="13278" spans="2:9">
      <c r="B13278" s="3192" t="s">
        <v>678</v>
      </c>
      <c r="C13278" s="3063"/>
      <c r="D13278" s="3064">
        <v>3</v>
      </c>
      <c r="E13278" s="3064"/>
      <c r="F13278" s="3064"/>
      <c r="G13278" s="3301" t="s">
        <v>678</v>
      </c>
      <c r="H13278" s="3063"/>
      <c r="I13278" s="3030"/>
    </row>
    <row r="13279" spans="2:9">
      <c r="B13279" s="3192" t="s">
        <v>679</v>
      </c>
      <c r="C13279" s="3063">
        <v>2</v>
      </c>
      <c r="D13279" s="3064"/>
      <c r="E13279" s="3064"/>
      <c r="F13279" s="3064"/>
      <c r="G13279" s="3301" t="s">
        <v>679</v>
      </c>
      <c r="H13279" s="3063"/>
      <c r="I13279" s="3030"/>
    </row>
    <row r="13280" spans="2:9" ht="25.5">
      <c r="B13280" s="3192" t="s">
        <v>720</v>
      </c>
      <c r="C13280" s="3063"/>
      <c r="D13280" s="3064"/>
      <c r="E13280" s="3064"/>
      <c r="F13280" s="3064"/>
      <c r="G13280" s="3301" t="s">
        <v>720</v>
      </c>
      <c r="H13280" s="3063"/>
      <c r="I13280" s="3030"/>
    </row>
    <row r="13281" spans="2:9">
      <c r="B13281" s="3299" t="s">
        <v>65</v>
      </c>
      <c r="C13281" s="3063"/>
      <c r="D13281" s="3064"/>
      <c r="E13281" s="3064"/>
      <c r="F13281" s="3064"/>
      <c r="G13281" s="3300" t="s">
        <v>65</v>
      </c>
      <c r="H13281" s="3063">
        <v>0.16921995896054212</v>
      </c>
      <c r="I13281" s="3030"/>
    </row>
    <row r="13282" spans="2:9" ht="25.5">
      <c r="B13282" s="3192" t="s">
        <v>675</v>
      </c>
      <c r="C13282" s="3063"/>
      <c r="D13282" s="3064"/>
      <c r="E13282" s="3064"/>
      <c r="F13282" s="3064"/>
      <c r="G13282" s="3301" t="s">
        <v>675</v>
      </c>
      <c r="H13282" s="3063"/>
      <c r="I13282" s="3030"/>
    </row>
    <row r="13283" spans="2:9" ht="25.5">
      <c r="B13283" s="3192" t="s">
        <v>676</v>
      </c>
      <c r="C13283" s="3063"/>
      <c r="D13283" s="3064"/>
      <c r="E13283" s="3064"/>
      <c r="F13283" s="3064"/>
      <c r="G13283" s="3301" t="s">
        <v>676</v>
      </c>
      <c r="H13283" s="3063"/>
      <c r="I13283" s="3030"/>
    </row>
    <row r="13284" spans="2:9">
      <c r="B13284" s="3192" t="s">
        <v>677</v>
      </c>
      <c r="C13284" s="3063"/>
      <c r="D13284" s="3064"/>
      <c r="E13284" s="3064"/>
      <c r="F13284" s="3064"/>
      <c r="G13284" s="3301" t="s">
        <v>677</v>
      </c>
      <c r="H13284" s="3063"/>
      <c r="I13284" s="3030"/>
    </row>
    <row r="13285" spans="2:9">
      <c r="B13285" s="3192" t="s">
        <v>678</v>
      </c>
      <c r="C13285" s="3063">
        <v>1</v>
      </c>
      <c r="D13285" s="3064">
        <v>8</v>
      </c>
      <c r="E13285" s="3064"/>
      <c r="F13285" s="3064"/>
      <c r="G13285" s="3301" t="s">
        <v>678</v>
      </c>
      <c r="H13285" s="3063"/>
      <c r="I13285" s="3030"/>
    </row>
    <row r="13286" spans="2:9">
      <c r="B13286" s="3192" t="s">
        <v>679</v>
      </c>
      <c r="C13286" s="3063">
        <v>2</v>
      </c>
      <c r="D13286" s="3064"/>
      <c r="E13286" s="3064"/>
      <c r="F13286" s="3064"/>
      <c r="G13286" s="3301" t="s">
        <v>679</v>
      </c>
      <c r="H13286" s="3063"/>
      <c r="I13286" s="3030"/>
    </row>
    <row r="13287" spans="2:9" ht="25.5">
      <c r="B13287" s="3192" t="s">
        <v>720</v>
      </c>
      <c r="C13287" s="3063"/>
      <c r="D13287" s="3064"/>
      <c r="E13287" s="3064"/>
      <c r="F13287" s="3064"/>
      <c r="G13287" s="3301" t="s">
        <v>720</v>
      </c>
      <c r="H13287" s="3063"/>
      <c r="I13287" s="3030"/>
    </row>
    <row r="13288" spans="2:9">
      <c r="B13288" s="3299" t="s">
        <v>82</v>
      </c>
      <c r="C13288" s="3063"/>
      <c r="D13288" s="3064"/>
      <c r="E13288" s="3064"/>
      <c r="F13288" s="3064"/>
      <c r="G13288" s="3300" t="s">
        <v>82</v>
      </c>
      <c r="H13288" s="3063"/>
      <c r="I13288" s="3030"/>
    </row>
    <row r="13289" spans="2:9" ht="25.5">
      <c r="B13289" s="3192" t="s">
        <v>675</v>
      </c>
      <c r="C13289" s="3063"/>
      <c r="D13289" s="3064"/>
      <c r="E13289" s="3064"/>
      <c r="F13289" s="3064"/>
      <c r="G13289" s="3301" t="s">
        <v>675</v>
      </c>
      <c r="H13289" s="3063"/>
      <c r="I13289" s="3030"/>
    </row>
    <row r="13290" spans="2:9" ht="25.5">
      <c r="B13290" s="3192" t="s">
        <v>676</v>
      </c>
      <c r="C13290" s="3063"/>
      <c r="D13290" s="3064"/>
      <c r="E13290" s="3064"/>
      <c r="F13290" s="3064"/>
      <c r="G13290" s="3301" t="s">
        <v>676</v>
      </c>
      <c r="H13290" s="3063"/>
      <c r="I13290" s="3030"/>
    </row>
    <row r="13291" spans="2:9">
      <c r="B13291" s="3192" t="s">
        <v>677</v>
      </c>
      <c r="C13291" s="3063"/>
      <c r="D13291" s="3064"/>
      <c r="E13291" s="3064"/>
      <c r="F13291" s="3064"/>
      <c r="G13291" s="3301" t="s">
        <v>677</v>
      </c>
      <c r="H13291" s="3063"/>
      <c r="I13291" s="3030"/>
    </row>
    <row r="13292" spans="2:9">
      <c r="B13292" s="3192" t="s">
        <v>678</v>
      </c>
      <c r="C13292" s="3063"/>
      <c r="D13292" s="3064"/>
      <c r="E13292" s="3064"/>
      <c r="F13292" s="3064"/>
      <c r="G13292" s="3301" t="s">
        <v>678</v>
      </c>
      <c r="H13292" s="3063"/>
      <c r="I13292" s="3030"/>
    </row>
    <row r="13293" spans="2:9">
      <c r="B13293" s="3192" t="s">
        <v>679</v>
      </c>
      <c r="C13293" s="3063"/>
      <c r="D13293" s="3064"/>
      <c r="E13293" s="3064"/>
      <c r="F13293" s="3064"/>
      <c r="G13293" s="3301" t="s">
        <v>679</v>
      </c>
      <c r="H13293" s="3063"/>
      <c r="I13293" s="3030"/>
    </row>
    <row r="13294" spans="2:9" ht="25.5">
      <c r="B13294" s="3192" t="s">
        <v>720</v>
      </c>
      <c r="C13294" s="3063"/>
      <c r="D13294" s="3064"/>
      <c r="E13294" s="3064"/>
      <c r="F13294" s="3064"/>
      <c r="G13294" s="3301" t="s">
        <v>720</v>
      </c>
      <c r="H13294" s="3063"/>
      <c r="I13294" s="3030"/>
    </row>
    <row r="13295" spans="2:9" ht="38.25">
      <c r="B13295" s="3299" t="s">
        <v>680</v>
      </c>
      <c r="C13295" s="3063"/>
      <c r="D13295" s="3064"/>
      <c r="E13295" s="3064"/>
      <c r="F13295" s="3064"/>
      <c r="G13295" s="3300" t="s">
        <v>680</v>
      </c>
      <c r="H13295" s="3063"/>
      <c r="I13295" s="3030"/>
    </row>
    <row r="13296" spans="2:9" ht="25.5">
      <c r="B13296" s="3192" t="s">
        <v>675</v>
      </c>
      <c r="C13296" s="3063"/>
      <c r="D13296" s="3064"/>
      <c r="E13296" s="3064"/>
      <c r="F13296" s="3064"/>
      <c r="G13296" s="3301" t="s">
        <v>675</v>
      </c>
      <c r="H13296" s="3063"/>
      <c r="I13296" s="3030"/>
    </row>
    <row r="13297" spans="2:9" ht="25.5">
      <c r="B13297" s="3192" t="s">
        <v>676</v>
      </c>
      <c r="C13297" s="3063"/>
      <c r="D13297" s="3064"/>
      <c r="E13297" s="3064"/>
      <c r="F13297" s="3064"/>
      <c r="G13297" s="3301" t="s">
        <v>676</v>
      </c>
      <c r="H13297" s="3063"/>
      <c r="I13297" s="3030"/>
    </row>
    <row r="13298" spans="2:9">
      <c r="B13298" s="3192" t="s">
        <v>677</v>
      </c>
      <c r="C13298" s="3063"/>
      <c r="D13298" s="3064"/>
      <c r="E13298" s="3064"/>
      <c r="F13298" s="3064"/>
      <c r="G13298" s="3301" t="s">
        <v>677</v>
      </c>
      <c r="H13298" s="3063"/>
      <c r="I13298" s="3030"/>
    </row>
    <row r="13299" spans="2:9">
      <c r="B13299" s="3192" t="s">
        <v>678</v>
      </c>
      <c r="C13299" s="3063"/>
      <c r="D13299" s="3064"/>
      <c r="E13299" s="3064"/>
      <c r="F13299" s="3064"/>
      <c r="G13299" s="3301" t="s">
        <v>678</v>
      </c>
      <c r="H13299" s="3063"/>
      <c r="I13299" s="3030"/>
    </row>
    <row r="13300" spans="2:9">
      <c r="B13300" s="3192" t="s">
        <v>679</v>
      </c>
      <c r="C13300" s="3063"/>
      <c r="D13300" s="3064"/>
      <c r="E13300" s="3064"/>
      <c r="F13300" s="3064"/>
      <c r="G13300" s="3301" t="s">
        <v>679</v>
      </c>
      <c r="H13300" s="3063"/>
      <c r="I13300" s="3030"/>
    </row>
    <row r="13301" spans="2:9" ht="25.5">
      <c r="B13301" s="3192" t="s">
        <v>720</v>
      </c>
      <c r="C13301" s="3063"/>
      <c r="D13301" s="3064"/>
      <c r="E13301" s="3064"/>
      <c r="F13301" s="3064"/>
      <c r="G13301" s="3301" t="s">
        <v>720</v>
      </c>
      <c r="H13301" s="3063"/>
      <c r="I13301" s="3030"/>
    </row>
    <row r="13302" spans="2:9" ht="38.25">
      <c r="B13302" s="3299" t="s">
        <v>681</v>
      </c>
      <c r="C13302" s="3063"/>
      <c r="D13302" s="3064"/>
      <c r="E13302" s="3064"/>
      <c r="F13302" s="3064"/>
      <c r="G13302" s="3300" t="s">
        <v>681</v>
      </c>
      <c r="H13302" s="3063"/>
      <c r="I13302" s="3030"/>
    </row>
    <row r="13303" spans="2:9" ht="25.5">
      <c r="B13303" s="3192" t="s">
        <v>675</v>
      </c>
      <c r="C13303" s="3063"/>
      <c r="D13303" s="3064"/>
      <c r="E13303" s="3064"/>
      <c r="F13303" s="3064"/>
      <c r="G13303" s="3301" t="s">
        <v>675</v>
      </c>
      <c r="H13303" s="3063"/>
      <c r="I13303" s="3030"/>
    </row>
    <row r="13304" spans="2:9" ht="25.5">
      <c r="B13304" s="3192" t="s">
        <v>676</v>
      </c>
      <c r="C13304" s="3063"/>
      <c r="D13304" s="3064"/>
      <c r="E13304" s="3064"/>
      <c r="F13304" s="3064"/>
      <c r="G13304" s="3301" t="s">
        <v>676</v>
      </c>
      <c r="H13304" s="3063"/>
      <c r="I13304" s="3030"/>
    </row>
    <row r="13305" spans="2:9">
      <c r="B13305" s="3192" t="s">
        <v>677</v>
      </c>
      <c r="C13305" s="3063"/>
      <c r="D13305" s="3064"/>
      <c r="E13305" s="3064"/>
      <c r="F13305" s="3064"/>
      <c r="G13305" s="3301" t="s">
        <v>677</v>
      </c>
      <c r="H13305" s="3063"/>
      <c r="I13305" s="3030"/>
    </row>
    <row r="13306" spans="2:9">
      <c r="B13306" s="3192" t="s">
        <v>678</v>
      </c>
      <c r="C13306" s="3063"/>
      <c r="D13306" s="3064"/>
      <c r="E13306" s="3064"/>
      <c r="F13306" s="3064"/>
      <c r="G13306" s="3301" t="s">
        <v>678</v>
      </c>
      <c r="H13306" s="3063"/>
      <c r="I13306" s="3030"/>
    </row>
    <row r="13307" spans="2:9">
      <c r="B13307" s="3192" t="s">
        <v>679</v>
      </c>
      <c r="C13307" s="3063"/>
      <c r="D13307" s="3064"/>
      <c r="E13307" s="3064"/>
      <c r="F13307" s="3064"/>
      <c r="G13307" s="3301" t="s">
        <v>679</v>
      </c>
      <c r="H13307" s="3063"/>
      <c r="I13307" s="3030"/>
    </row>
    <row r="13308" spans="2:9" ht="25.5">
      <c r="B13308" s="3192" t="s">
        <v>720</v>
      </c>
      <c r="C13308" s="3063"/>
      <c r="D13308" s="3064"/>
      <c r="E13308" s="3064"/>
      <c r="F13308" s="3064"/>
      <c r="G13308" s="3301" t="s">
        <v>720</v>
      </c>
      <c r="H13308" s="3063"/>
      <c r="I13308" s="3030"/>
    </row>
    <row r="13309" spans="2:9" ht="25.5">
      <c r="B13309" s="3299" t="s">
        <v>682</v>
      </c>
      <c r="C13309" s="3063"/>
      <c r="D13309" s="3064"/>
      <c r="E13309" s="3064"/>
      <c r="F13309" s="3064"/>
      <c r="G13309" s="3300" t="s">
        <v>682</v>
      </c>
      <c r="H13309" s="3063"/>
      <c r="I13309" s="3030"/>
    </row>
    <row r="13310" spans="2:9" ht="25.5">
      <c r="B13310" s="3192" t="s">
        <v>675</v>
      </c>
      <c r="C13310" s="3063"/>
      <c r="D13310" s="3064"/>
      <c r="E13310" s="3064"/>
      <c r="F13310" s="3064"/>
      <c r="G13310" s="3301" t="s">
        <v>675</v>
      </c>
      <c r="H13310" s="3063"/>
      <c r="I13310" s="3030"/>
    </row>
    <row r="13311" spans="2:9" ht="25.5">
      <c r="B13311" s="3192" t="s">
        <v>676</v>
      </c>
      <c r="C13311" s="3063"/>
      <c r="D13311" s="3064"/>
      <c r="E13311" s="3064"/>
      <c r="F13311" s="3064"/>
      <c r="G13311" s="3301" t="s">
        <v>676</v>
      </c>
      <c r="H13311" s="3063"/>
      <c r="I13311" s="3030"/>
    </row>
    <row r="13312" spans="2:9">
      <c r="B13312" s="3192" t="s">
        <v>677</v>
      </c>
      <c r="C13312" s="3063"/>
      <c r="D13312" s="3064"/>
      <c r="E13312" s="3064"/>
      <c r="F13312" s="3064"/>
      <c r="G13312" s="3301" t="s">
        <v>677</v>
      </c>
      <c r="H13312" s="3063"/>
      <c r="I13312" s="3030"/>
    </row>
    <row r="13313" spans="2:9">
      <c r="B13313" s="3192" t="s">
        <v>678</v>
      </c>
      <c r="C13313" s="3063"/>
      <c r="D13313" s="3064"/>
      <c r="E13313" s="3064"/>
      <c r="F13313" s="3064"/>
      <c r="G13313" s="3301" t="s">
        <v>678</v>
      </c>
      <c r="H13313" s="3063"/>
      <c r="I13313" s="3030"/>
    </row>
    <row r="13314" spans="2:9">
      <c r="B13314" s="3192" t="s">
        <v>679</v>
      </c>
      <c r="C13314" s="3063"/>
      <c r="D13314" s="3064"/>
      <c r="E13314" s="3064"/>
      <c r="F13314" s="3064"/>
      <c r="G13314" s="3301" t="s">
        <v>679</v>
      </c>
      <c r="H13314" s="3063"/>
      <c r="I13314" s="3030"/>
    </row>
    <row r="13315" spans="2:9" ht="25.5">
      <c r="B13315" s="3192" t="s">
        <v>720</v>
      </c>
      <c r="C13315" s="3063"/>
      <c r="D13315" s="3064"/>
      <c r="E13315" s="3064"/>
      <c r="F13315" s="3064"/>
      <c r="G13315" s="3301" t="s">
        <v>720</v>
      </c>
      <c r="H13315" s="3063"/>
      <c r="I13315" s="3030"/>
    </row>
    <row r="13316" spans="2:9" ht="25.5">
      <c r="B13316" s="3299" t="s">
        <v>66</v>
      </c>
      <c r="C13316" s="3063"/>
      <c r="D13316" s="3064"/>
      <c r="E13316" s="3064"/>
      <c r="F13316" s="3064"/>
      <c r="G13316" s="3300" t="s">
        <v>66</v>
      </c>
      <c r="H13316" s="3063"/>
      <c r="I13316" s="3030"/>
    </row>
    <row r="13317" spans="2:9" ht="25.5">
      <c r="B13317" s="3192" t="s">
        <v>675</v>
      </c>
      <c r="C13317" s="3063"/>
      <c r="D13317" s="3064"/>
      <c r="E13317" s="3064"/>
      <c r="F13317" s="3064"/>
      <c r="G13317" s="3301" t="s">
        <v>675</v>
      </c>
      <c r="H13317" s="3063"/>
      <c r="I13317" s="3030"/>
    </row>
    <row r="13318" spans="2:9" ht="25.5">
      <c r="B13318" s="3192" t="s">
        <v>676</v>
      </c>
      <c r="C13318" s="3063"/>
      <c r="D13318" s="3064"/>
      <c r="E13318" s="3064"/>
      <c r="F13318" s="3064"/>
      <c r="G13318" s="3301" t="s">
        <v>676</v>
      </c>
      <c r="H13318" s="3063"/>
      <c r="I13318" s="3030"/>
    </row>
    <row r="13319" spans="2:9">
      <c r="B13319" s="3192" t="s">
        <v>677</v>
      </c>
      <c r="C13319" s="3063"/>
      <c r="D13319" s="3064"/>
      <c r="E13319" s="3064"/>
      <c r="F13319" s="3064"/>
      <c r="G13319" s="3301" t="s">
        <v>677</v>
      </c>
      <c r="H13319" s="3063"/>
      <c r="I13319" s="3030"/>
    </row>
    <row r="13320" spans="2:9">
      <c r="B13320" s="3192" t="s">
        <v>678</v>
      </c>
      <c r="C13320" s="3063"/>
      <c r="D13320" s="3064"/>
      <c r="E13320" s="3064"/>
      <c r="F13320" s="3064"/>
      <c r="G13320" s="3301" t="s">
        <v>678</v>
      </c>
      <c r="H13320" s="3063"/>
      <c r="I13320" s="3030"/>
    </row>
    <row r="13321" spans="2:9">
      <c r="B13321" s="3192" t="s">
        <v>679</v>
      </c>
      <c r="C13321" s="3063"/>
      <c r="D13321" s="3064"/>
      <c r="E13321" s="3064"/>
      <c r="F13321" s="3064"/>
      <c r="G13321" s="3301" t="s">
        <v>679</v>
      </c>
      <c r="H13321" s="3063"/>
      <c r="I13321" s="3030"/>
    </row>
    <row r="13322" spans="2:9" ht="25.5">
      <c r="B13322" s="3192" t="s">
        <v>720</v>
      </c>
      <c r="C13322" s="3063"/>
      <c r="D13322" s="3064"/>
      <c r="E13322" s="3064"/>
      <c r="F13322" s="3064"/>
      <c r="G13322" s="3301" t="s">
        <v>720</v>
      </c>
      <c r="H13322" s="3063"/>
      <c r="I13322" s="3030"/>
    </row>
    <row r="13323" spans="2:9">
      <c r="B13323" s="3299" t="s">
        <v>67</v>
      </c>
      <c r="C13323" s="3063"/>
      <c r="D13323" s="3064"/>
      <c r="E13323" s="3064"/>
      <c r="F13323" s="3064"/>
      <c r="G13323" s="3300" t="s">
        <v>67</v>
      </c>
      <c r="H13323" s="3063"/>
      <c r="I13323" s="3030"/>
    </row>
    <row r="13324" spans="2:9" ht="25.5">
      <c r="B13324" s="3192" t="s">
        <v>675</v>
      </c>
      <c r="C13324" s="3063"/>
      <c r="D13324" s="3064"/>
      <c r="E13324" s="3064"/>
      <c r="F13324" s="3064"/>
      <c r="G13324" s="3301" t="s">
        <v>675</v>
      </c>
      <c r="H13324" s="3063"/>
      <c r="I13324" s="3030"/>
    </row>
    <row r="13325" spans="2:9" ht="25.5">
      <c r="B13325" s="3192" t="s">
        <v>676</v>
      </c>
      <c r="C13325" s="3063"/>
      <c r="D13325" s="3064"/>
      <c r="E13325" s="3064"/>
      <c r="F13325" s="3064"/>
      <c r="G13325" s="3301" t="s">
        <v>676</v>
      </c>
      <c r="H13325" s="3063"/>
      <c r="I13325" s="3030"/>
    </row>
    <row r="13326" spans="2:9">
      <c r="B13326" s="3192" t="s">
        <v>677</v>
      </c>
      <c r="C13326" s="3063"/>
      <c r="D13326" s="3064"/>
      <c r="E13326" s="3064"/>
      <c r="F13326" s="3064"/>
      <c r="G13326" s="3301" t="s">
        <v>677</v>
      </c>
      <c r="H13326" s="3063"/>
      <c r="I13326" s="3030"/>
    </row>
    <row r="13327" spans="2:9">
      <c r="B13327" s="3192" t="s">
        <v>678</v>
      </c>
      <c r="C13327" s="3063"/>
      <c r="D13327" s="3064"/>
      <c r="E13327" s="3064"/>
      <c r="F13327" s="3064"/>
      <c r="G13327" s="3301" t="s">
        <v>678</v>
      </c>
      <c r="H13327" s="3063"/>
      <c r="I13327" s="3030"/>
    </row>
    <row r="13328" spans="2:9">
      <c r="B13328" s="3192" t="s">
        <v>679</v>
      </c>
      <c r="C13328" s="3063"/>
      <c r="D13328" s="3064"/>
      <c r="E13328" s="3064"/>
      <c r="F13328" s="3064"/>
      <c r="G13328" s="3301" t="s">
        <v>679</v>
      </c>
      <c r="H13328" s="3063"/>
      <c r="I13328" s="3030"/>
    </row>
    <row r="13329" spans="2:9" ht="25.5">
      <c r="B13329" s="3192" t="s">
        <v>720</v>
      </c>
      <c r="C13329" s="3063"/>
      <c r="D13329" s="3064"/>
      <c r="E13329" s="3064"/>
      <c r="F13329" s="3064"/>
      <c r="G13329" s="3301" t="s">
        <v>720</v>
      </c>
      <c r="H13329" s="3063"/>
      <c r="I13329" s="3030"/>
    </row>
    <row r="13330" spans="2:9" ht="25.5">
      <c r="B13330" s="3230" t="s">
        <v>81</v>
      </c>
      <c r="C13330" s="3063"/>
      <c r="D13330" s="3064"/>
      <c r="E13330" s="3064"/>
      <c r="F13330" s="3064"/>
      <c r="G13330" s="3302" t="s">
        <v>81</v>
      </c>
      <c r="H13330" s="3063"/>
      <c r="I13330" s="3030"/>
    </row>
    <row r="13331" spans="2:9" ht="26.25" thickBot="1">
      <c r="B13331" s="3303" t="s">
        <v>81</v>
      </c>
      <c r="C13331" s="3063"/>
      <c r="D13331" s="3064"/>
      <c r="E13331" s="3064"/>
      <c r="F13331" s="3064"/>
      <c r="G13331" s="3302" t="s">
        <v>81</v>
      </c>
      <c r="H13331" s="3063"/>
      <c r="I13331" s="3030"/>
    </row>
    <row r="13332" spans="2:9" ht="25.5">
      <c r="B13332" s="3217" t="s">
        <v>696</v>
      </c>
      <c r="C13332" s="3218"/>
      <c r="D13332" s="3219"/>
      <c r="E13332" s="3219"/>
      <c r="F13332" s="3219"/>
      <c r="G13332" s="3217" t="s">
        <v>696</v>
      </c>
      <c r="H13332" s="3297"/>
      <c r="I13332" s="3298"/>
    </row>
    <row r="13333" spans="2:9">
      <c r="B13333" s="3299" t="s">
        <v>64</v>
      </c>
      <c r="C13333" s="3063"/>
      <c r="D13333" s="3064"/>
      <c r="E13333" s="3064"/>
      <c r="F13333" s="3064"/>
      <c r="G13333" s="3300" t="s">
        <v>64</v>
      </c>
      <c r="H13333" s="3063"/>
      <c r="I13333" s="3030"/>
    </row>
    <row r="13334" spans="2:9" ht="25.5">
      <c r="B13334" s="3192" t="s">
        <v>675</v>
      </c>
      <c r="C13334" s="3063"/>
      <c r="D13334" s="3064"/>
      <c r="E13334" s="3064"/>
      <c r="F13334" s="3064"/>
      <c r="G13334" s="3301" t="s">
        <v>675</v>
      </c>
      <c r="H13334" s="3063"/>
      <c r="I13334" s="3030"/>
    </row>
    <row r="13335" spans="2:9" ht="25.5">
      <c r="B13335" s="3192" t="s">
        <v>676</v>
      </c>
      <c r="C13335" s="3063"/>
      <c r="D13335" s="3064"/>
      <c r="E13335" s="3064"/>
      <c r="F13335" s="3064"/>
      <c r="G13335" s="3301" t="s">
        <v>676</v>
      </c>
      <c r="H13335" s="3063"/>
      <c r="I13335" s="3030"/>
    </row>
    <row r="13336" spans="2:9">
      <c r="B13336" s="3192" t="s">
        <v>677</v>
      </c>
      <c r="C13336" s="3063"/>
      <c r="D13336" s="3064"/>
      <c r="E13336" s="3064"/>
      <c r="F13336" s="3064"/>
      <c r="G13336" s="3301" t="s">
        <v>677</v>
      </c>
      <c r="H13336" s="3063"/>
      <c r="I13336" s="3030"/>
    </row>
    <row r="13337" spans="2:9">
      <c r="B13337" s="3192" t="s">
        <v>678</v>
      </c>
      <c r="C13337" s="3063"/>
      <c r="D13337" s="3064"/>
      <c r="E13337" s="3064"/>
      <c r="F13337" s="3064"/>
      <c r="G13337" s="3301" t="s">
        <v>678</v>
      </c>
      <c r="H13337" s="3063"/>
      <c r="I13337" s="3030"/>
    </row>
    <row r="13338" spans="2:9">
      <c r="B13338" s="3192" t="s">
        <v>679</v>
      </c>
      <c r="C13338" s="3063"/>
      <c r="D13338" s="3064"/>
      <c r="E13338" s="3064"/>
      <c r="F13338" s="3064"/>
      <c r="G13338" s="3301" t="s">
        <v>679</v>
      </c>
      <c r="H13338" s="3063"/>
      <c r="I13338" s="3030"/>
    </row>
    <row r="13339" spans="2:9" ht="25.5">
      <c r="B13339" s="3192" t="s">
        <v>720</v>
      </c>
      <c r="C13339" s="3063"/>
      <c r="D13339" s="3064"/>
      <c r="E13339" s="3064"/>
      <c r="F13339" s="3064"/>
      <c r="G13339" s="3301" t="s">
        <v>720</v>
      </c>
      <c r="H13339" s="3063"/>
      <c r="I13339" s="3030"/>
    </row>
    <row r="13340" spans="2:9">
      <c r="B13340" s="3299" t="s">
        <v>65</v>
      </c>
      <c r="C13340" s="3063"/>
      <c r="D13340" s="3064"/>
      <c r="E13340" s="3064"/>
      <c r="F13340" s="3064"/>
      <c r="G13340" s="3300" t="s">
        <v>65</v>
      </c>
      <c r="H13340" s="3063"/>
      <c r="I13340" s="3030"/>
    </row>
    <row r="13341" spans="2:9" ht="25.5">
      <c r="B13341" s="3192" t="s">
        <v>675</v>
      </c>
      <c r="C13341" s="3063"/>
      <c r="D13341" s="3064"/>
      <c r="E13341" s="3064"/>
      <c r="F13341" s="3064"/>
      <c r="G13341" s="3301" t="s">
        <v>675</v>
      </c>
      <c r="H13341" s="3063"/>
      <c r="I13341" s="3030"/>
    </row>
    <row r="13342" spans="2:9" ht="25.5">
      <c r="B13342" s="3192" t="s">
        <v>676</v>
      </c>
      <c r="C13342" s="3063"/>
      <c r="D13342" s="3064"/>
      <c r="E13342" s="3064"/>
      <c r="F13342" s="3064"/>
      <c r="G13342" s="3301" t="s">
        <v>676</v>
      </c>
      <c r="H13342" s="3063"/>
      <c r="I13342" s="3030"/>
    </row>
    <row r="13343" spans="2:9">
      <c r="B13343" s="3192" t="s">
        <v>677</v>
      </c>
      <c r="C13343" s="3063"/>
      <c r="D13343" s="3064"/>
      <c r="E13343" s="3064"/>
      <c r="F13343" s="3064"/>
      <c r="G13343" s="3301" t="s">
        <v>677</v>
      </c>
      <c r="H13343" s="3063"/>
      <c r="I13343" s="3030"/>
    </row>
    <row r="13344" spans="2:9">
      <c r="B13344" s="3192" t="s">
        <v>678</v>
      </c>
      <c r="C13344" s="3063"/>
      <c r="D13344" s="3064"/>
      <c r="E13344" s="3064"/>
      <c r="F13344" s="3064"/>
      <c r="G13344" s="3301" t="s">
        <v>678</v>
      </c>
      <c r="H13344" s="3063"/>
      <c r="I13344" s="3030"/>
    </row>
    <row r="13345" spans="2:9">
      <c r="B13345" s="3192" t="s">
        <v>679</v>
      </c>
      <c r="C13345" s="3063"/>
      <c r="D13345" s="3064"/>
      <c r="E13345" s="3064"/>
      <c r="F13345" s="3064"/>
      <c r="G13345" s="3301" t="s">
        <v>679</v>
      </c>
      <c r="H13345" s="3063"/>
      <c r="I13345" s="3030"/>
    </row>
    <row r="13346" spans="2:9" ht="25.5">
      <c r="B13346" s="3192" t="s">
        <v>720</v>
      </c>
      <c r="C13346" s="3063"/>
      <c r="D13346" s="3064"/>
      <c r="E13346" s="3064"/>
      <c r="F13346" s="3064"/>
      <c r="G13346" s="3301" t="s">
        <v>720</v>
      </c>
      <c r="H13346" s="3063"/>
      <c r="I13346" s="3030"/>
    </row>
    <row r="13347" spans="2:9">
      <c r="B13347" s="3299" t="s">
        <v>82</v>
      </c>
      <c r="C13347" s="3063"/>
      <c r="D13347" s="3064"/>
      <c r="E13347" s="3064"/>
      <c r="F13347" s="3064"/>
      <c r="G13347" s="3300" t="s">
        <v>82</v>
      </c>
      <c r="H13347" s="3063"/>
      <c r="I13347" s="3030"/>
    </row>
    <row r="13348" spans="2:9" ht="25.5">
      <c r="B13348" s="3192" t="s">
        <v>675</v>
      </c>
      <c r="C13348" s="3063"/>
      <c r="D13348" s="3064"/>
      <c r="E13348" s="3064"/>
      <c r="F13348" s="3064"/>
      <c r="G13348" s="3301" t="s">
        <v>675</v>
      </c>
      <c r="H13348" s="3063"/>
      <c r="I13348" s="3030"/>
    </row>
    <row r="13349" spans="2:9" ht="25.5">
      <c r="B13349" s="3192" t="s">
        <v>676</v>
      </c>
      <c r="C13349" s="3063"/>
      <c r="D13349" s="3064"/>
      <c r="E13349" s="3064"/>
      <c r="F13349" s="3064"/>
      <c r="G13349" s="3301" t="s">
        <v>676</v>
      </c>
      <c r="H13349" s="3063"/>
      <c r="I13349" s="3030"/>
    </row>
    <row r="13350" spans="2:9">
      <c r="B13350" s="3192" t="s">
        <v>677</v>
      </c>
      <c r="C13350" s="3063"/>
      <c r="D13350" s="3064"/>
      <c r="E13350" s="3064"/>
      <c r="F13350" s="3064"/>
      <c r="G13350" s="3301" t="s">
        <v>677</v>
      </c>
      <c r="H13350" s="3063"/>
      <c r="I13350" s="3030"/>
    </row>
    <row r="13351" spans="2:9">
      <c r="B13351" s="3192" t="s">
        <v>678</v>
      </c>
      <c r="C13351" s="3063"/>
      <c r="D13351" s="3064"/>
      <c r="E13351" s="3064"/>
      <c r="F13351" s="3064"/>
      <c r="G13351" s="3301" t="s">
        <v>678</v>
      </c>
      <c r="H13351" s="3063"/>
      <c r="I13351" s="3030"/>
    </row>
    <row r="13352" spans="2:9">
      <c r="B13352" s="3192" t="s">
        <v>679</v>
      </c>
      <c r="C13352" s="3063"/>
      <c r="D13352" s="3064"/>
      <c r="E13352" s="3064"/>
      <c r="F13352" s="3064"/>
      <c r="G13352" s="3301" t="s">
        <v>679</v>
      </c>
      <c r="H13352" s="3063"/>
      <c r="I13352" s="3030"/>
    </row>
    <row r="13353" spans="2:9" ht="25.5">
      <c r="B13353" s="3192" t="s">
        <v>720</v>
      </c>
      <c r="C13353" s="3063"/>
      <c r="D13353" s="3064"/>
      <c r="E13353" s="3064"/>
      <c r="F13353" s="3064"/>
      <c r="G13353" s="3301" t="s">
        <v>720</v>
      </c>
      <c r="H13353" s="3063"/>
      <c r="I13353" s="3030"/>
    </row>
    <row r="13354" spans="2:9" ht="38.25">
      <c r="B13354" s="3299" t="s">
        <v>680</v>
      </c>
      <c r="C13354" s="3063"/>
      <c r="D13354" s="3064"/>
      <c r="E13354" s="3064"/>
      <c r="F13354" s="3064"/>
      <c r="G13354" s="3300" t="s">
        <v>680</v>
      </c>
      <c r="H13354" s="3063"/>
      <c r="I13354" s="3030"/>
    </row>
    <row r="13355" spans="2:9" ht="25.5">
      <c r="B13355" s="3192" t="s">
        <v>675</v>
      </c>
      <c r="C13355" s="3063"/>
      <c r="D13355" s="3064"/>
      <c r="E13355" s="3064"/>
      <c r="F13355" s="3064"/>
      <c r="G13355" s="3301" t="s">
        <v>675</v>
      </c>
      <c r="H13355" s="3063"/>
      <c r="I13355" s="3030"/>
    </row>
    <row r="13356" spans="2:9" ht="25.5">
      <c r="B13356" s="3192" t="s">
        <v>676</v>
      </c>
      <c r="C13356" s="3063"/>
      <c r="D13356" s="3064"/>
      <c r="E13356" s="3064"/>
      <c r="F13356" s="3064"/>
      <c r="G13356" s="3301" t="s">
        <v>676</v>
      </c>
      <c r="H13356" s="3063"/>
      <c r="I13356" s="3030"/>
    </row>
    <row r="13357" spans="2:9">
      <c r="B13357" s="3192" t="s">
        <v>677</v>
      </c>
      <c r="C13357" s="3063"/>
      <c r="D13357" s="3064"/>
      <c r="E13357" s="3064"/>
      <c r="F13357" s="3064"/>
      <c r="G13357" s="3301" t="s">
        <v>677</v>
      </c>
      <c r="H13357" s="3063"/>
      <c r="I13357" s="3030"/>
    </row>
    <row r="13358" spans="2:9">
      <c r="B13358" s="3192" t="s">
        <v>678</v>
      </c>
      <c r="C13358" s="3063"/>
      <c r="D13358" s="3064"/>
      <c r="E13358" s="3064"/>
      <c r="F13358" s="3064"/>
      <c r="G13358" s="3301" t="s">
        <v>678</v>
      </c>
      <c r="H13358" s="3063"/>
      <c r="I13358" s="3030"/>
    </row>
    <row r="13359" spans="2:9">
      <c r="B13359" s="3192" t="s">
        <v>679</v>
      </c>
      <c r="C13359" s="3063"/>
      <c r="D13359" s="3064"/>
      <c r="E13359" s="3064"/>
      <c r="F13359" s="3064"/>
      <c r="G13359" s="3301" t="s">
        <v>679</v>
      </c>
      <c r="H13359" s="3063"/>
      <c r="I13359" s="3030"/>
    </row>
    <row r="13360" spans="2:9" ht="25.5">
      <c r="B13360" s="3192" t="s">
        <v>720</v>
      </c>
      <c r="C13360" s="3063"/>
      <c r="D13360" s="3064"/>
      <c r="E13360" s="3064"/>
      <c r="F13360" s="3064"/>
      <c r="G13360" s="3301" t="s">
        <v>720</v>
      </c>
      <c r="H13360" s="3063"/>
      <c r="I13360" s="3030"/>
    </row>
    <row r="13361" spans="2:9" ht="38.25">
      <c r="B13361" s="3299" t="s">
        <v>681</v>
      </c>
      <c r="C13361" s="3063"/>
      <c r="D13361" s="3064"/>
      <c r="E13361" s="3064"/>
      <c r="F13361" s="3064"/>
      <c r="G13361" s="3300" t="s">
        <v>681</v>
      </c>
      <c r="H13361" s="3063"/>
      <c r="I13361" s="3030"/>
    </row>
    <row r="13362" spans="2:9" ht="25.5">
      <c r="B13362" s="3192" t="s">
        <v>675</v>
      </c>
      <c r="C13362" s="3063"/>
      <c r="D13362" s="3064"/>
      <c r="E13362" s="3064"/>
      <c r="F13362" s="3064"/>
      <c r="G13362" s="3301" t="s">
        <v>675</v>
      </c>
      <c r="H13362" s="3063"/>
      <c r="I13362" s="3030"/>
    </row>
    <row r="13363" spans="2:9" ht="25.5">
      <c r="B13363" s="3192" t="s">
        <v>676</v>
      </c>
      <c r="C13363" s="3063"/>
      <c r="D13363" s="3064"/>
      <c r="E13363" s="3064"/>
      <c r="F13363" s="3064"/>
      <c r="G13363" s="3301" t="s">
        <v>676</v>
      </c>
      <c r="H13363" s="3063"/>
      <c r="I13363" s="3030"/>
    </row>
    <row r="13364" spans="2:9">
      <c r="B13364" s="3192" t="s">
        <v>677</v>
      </c>
      <c r="C13364" s="3063"/>
      <c r="D13364" s="3064"/>
      <c r="E13364" s="3064"/>
      <c r="F13364" s="3064"/>
      <c r="G13364" s="3301" t="s">
        <v>677</v>
      </c>
      <c r="H13364" s="3063"/>
      <c r="I13364" s="3030"/>
    </row>
    <row r="13365" spans="2:9">
      <c r="B13365" s="3192" t="s">
        <v>678</v>
      </c>
      <c r="C13365" s="3063"/>
      <c r="D13365" s="3064"/>
      <c r="E13365" s="3064"/>
      <c r="F13365" s="3064"/>
      <c r="G13365" s="3301" t="s">
        <v>678</v>
      </c>
      <c r="H13365" s="3063"/>
      <c r="I13365" s="3030"/>
    </row>
    <row r="13366" spans="2:9">
      <c r="B13366" s="3192" t="s">
        <v>679</v>
      </c>
      <c r="C13366" s="3063"/>
      <c r="D13366" s="3064"/>
      <c r="E13366" s="3064"/>
      <c r="F13366" s="3064"/>
      <c r="G13366" s="3301" t="s">
        <v>679</v>
      </c>
      <c r="H13366" s="3063"/>
      <c r="I13366" s="3030"/>
    </row>
    <row r="13367" spans="2:9" ht="25.5">
      <c r="B13367" s="3192" t="s">
        <v>720</v>
      </c>
      <c r="C13367" s="3063"/>
      <c r="D13367" s="3064"/>
      <c r="E13367" s="3064"/>
      <c r="F13367" s="3064"/>
      <c r="G13367" s="3301" t="s">
        <v>720</v>
      </c>
      <c r="H13367" s="3063"/>
      <c r="I13367" s="3030"/>
    </row>
    <row r="13368" spans="2:9" ht="25.5">
      <c r="B13368" s="3299" t="s">
        <v>682</v>
      </c>
      <c r="C13368" s="3063"/>
      <c r="D13368" s="3064"/>
      <c r="E13368" s="3064"/>
      <c r="F13368" s="3064"/>
      <c r="G13368" s="3300" t="s">
        <v>682</v>
      </c>
      <c r="H13368" s="3063"/>
      <c r="I13368" s="3030"/>
    </row>
    <row r="13369" spans="2:9" ht="25.5">
      <c r="B13369" s="3192" t="s">
        <v>675</v>
      </c>
      <c r="C13369" s="3063"/>
      <c r="D13369" s="3064"/>
      <c r="E13369" s="3064"/>
      <c r="F13369" s="3064"/>
      <c r="G13369" s="3301" t="s">
        <v>675</v>
      </c>
      <c r="H13369" s="3063"/>
      <c r="I13369" s="3030"/>
    </row>
    <row r="13370" spans="2:9" ht="25.5">
      <c r="B13370" s="3192" t="s">
        <v>676</v>
      </c>
      <c r="C13370" s="3063"/>
      <c r="D13370" s="3064"/>
      <c r="E13370" s="3064"/>
      <c r="F13370" s="3064"/>
      <c r="G13370" s="3301" t="s">
        <v>676</v>
      </c>
      <c r="H13370" s="3063"/>
      <c r="I13370" s="3030"/>
    </row>
    <row r="13371" spans="2:9">
      <c r="B13371" s="3192" t="s">
        <v>677</v>
      </c>
      <c r="C13371" s="3063"/>
      <c r="D13371" s="3064"/>
      <c r="E13371" s="3064"/>
      <c r="F13371" s="3064"/>
      <c r="G13371" s="3301" t="s">
        <v>677</v>
      </c>
      <c r="H13371" s="3063"/>
      <c r="I13371" s="3030"/>
    </row>
    <row r="13372" spans="2:9">
      <c r="B13372" s="3192" t="s">
        <v>678</v>
      </c>
      <c r="C13372" s="3063"/>
      <c r="D13372" s="3064"/>
      <c r="E13372" s="3064"/>
      <c r="F13372" s="3064"/>
      <c r="G13372" s="3301" t="s">
        <v>678</v>
      </c>
      <c r="H13372" s="3063"/>
      <c r="I13372" s="3030"/>
    </row>
    <row r="13373" spans="2:9">
      <c r="B13373" s="3192" t="s">
        <v>679</v>
      </c>
      <c r="C13373" s="3063"/>
      <c r="D13373" s="3064"/>
      <c r="E13373" s="3064"/>
      <c r="F13373" s="3064"/>
      <c r="G13373" s="3301" t="s">
        <v>679</v>
      </c>
      <c r="H13373" s="3063"/>
      <c r="I13373" s="3030"/>
    </row>
    <row r="13374" spans="2:9" ht="25.5">
      <c r="B13374" s="3192" t="s">
        <v>720</v>
      </c>
      <c r="C13374" s="3063"/>
      <c r="D13374" s="3064"/>
      <c r="E13374" s="3064"/>
      <c r="F13374" s="3064"/>
      <c r="G13374" s="3301" t="s">
        <v>720</v>
      </c>
      <c r="H13374" s="3063"/>
      <c r="I13374" s="3030"/>
    </row>
    <row r="13375" spans="2:9" ht="25.5">
      <c r="B13375" s="3299" t="s">
        <v>66</v>
      </c>
      <c r="C13375" s="3063"/>
      <c r="D13375" s="3064"/>
      <c r="E13375" s="3064"/>
      <c r="F13375" s="3064"/>
      <c r="G13375" s="3300" t="s">
        <v>66</v>
      </c>
      <c r="H13375" s="3063"/>
      <c r="I13375" s="3030"/>
    </row>
    <row r="13376" spans="2:9" ht="25.5">
      <c r="B13376" s="3192" t="s">
        <v>675</v>
      </c>
      <c r="C13376" s="3063"/>
      <c r="D13376" s="3064"/>
      <c r="E13376" s="3064"/>
      <c r="F13376" s="3064"/>
      <c r="G13376" s="3301" t="s">
        <v>675</v>
      </c>
      <c r="H13376" s="3063"/>
      <c r="I13376" s="3030"/>
    </row>
    <row r="13377" spans="2:9" ht="25.5">
      <c r="B13377" s="3192" t="s">
        <v>676</v>
      </c>
      <c r="C13377" s="3063"/>
      <c r="D13377" s="3064"/>
      <c r="E13377" s="3064"/>
      <c r="F13377" s="3064"/>
      <c r="G13377" s="3301" t="s">
        <v>676</v>
      </c>
      <c r="H13377" s="3063"/>
      <c r="I13377" s="3030"/>
    </row>
    <row r="13378" spans="2:9">
      <c r="B13378" s="3192" t="s">
        <v>677</v>
      </c>
      <c r="C13378" s="3063"/>
      <c r="D13378" s="3064"/>
      <c r="E13378" s="3064"/>
      <c r="F13378" s="3064"/>
      <c r="G13378" s="3301" t="s">
        <v>677</v>
      </c>
      <c r="H13378" s="3063"/>
      <c r="I13378" s="3030"/>
    </row>
    <row r="13379" spans="2:9">
      <c r="B13379" s="3192" t="s">
        <v>678</v>
      </c>
      <c r="C13379" s="3063"/>
      <c r="D13379" s="3064"/>
      <c r="E13379" s="3064"/>
      <c r="F13379" s="3064"/>
      <c r="G13379" s="3301" t="s">
        <v>678</v>
      </c>
      <c r="H13379" s="3063"/>
      <c r="I13379" s="3030"/>
    </row>
    <row r="13380" spans="2:9">
      <c r="B13380" s="3192" t="s">
        <v>679</v>
      </c>
      <c r="C13380" s="3063"/>
      <c r="D13380" s="3064"/>
      <c r="E13380" s="3064"/>
      <c r="F13380" s="3064"/>
      <c r="G13380" s="3301" t="s">
        <v>679</v>
      </c>
      <c r="H13380" s="3063"/>
      <c r="I13380" s="3030"/>
    </row>
    <row r="13381" spans="2:9" ht="25.5">
      <c r="B13381" s="3192" t="s">
        <v>720</v>
      </c>
      <c r="C13381" s="3063"/>
      <c r="D13381" s="3064"/>
      <c r="E13381" s="3064"/>
      <c r="F13381" s="3064"/>
      <c r="G13381" s="3301" t="s">
        <v>720</v>
      </c>
      <c r="H13381" s="3063"/>
      <c r="I13381" s="3030"/>
    </row>
    <row r="13382" spans="2:9">
      <c r="B13382" s="3299" t="s">
        <v>67</v>
      </c>
      <c r="C13382" s="3063"/>
      <c r="D13382" s="3064"/>
      <c r="E13382" s="3064"/>
      <c r="F13382" s="3064"/>
      <c r="G13382" s="3300" t="s">
        <v>67</v>
      </c>
      <c r="H13382" s="3063"/>
      <c r="I13382" s="3030"/>
    </row>
    <row r="13383" spans="2:9" ht="25.5">
      <c r="B13383" s="3192" t="s">
        <v>675</v>
      </c>
      <c r="C13383" s="3063"/>
      <c r="D13383" s="3064"/>
      <c r="E13383" s="3064"/>
      <c r="F13383" s="3064"/>
      <c r="G13383" s="3301" t="s">
        <v>675</v>
      </c>
      <c r="H13383" s="3063"/>
      <c r="I13383" s="3030"/>
    </row>
    <row r="13384" spans="2:9" ht="25.5">
      <c r="B13384" s="3192" t="s">
        <v>676</v>
      </c>
      <c r="C13384" s="3063"/>
      <c r="D13384" s="3064"/>
      <c r="E13384" s="3064"/>
      <c r="F13384" s="3064"/>
      <c r="G13384" s="3301" t="s">
        <v>676</v>
      </c>
      <c r="H13384" s="3063"/>
      <c r="I13384" s="3030"/>
    </row>
    <row r="13385" spans="2:9">
      <c r="B13385" s="3192" t="s">
        <v>677</v>
      </c>
      <c r="C13385" s="3063"/>
      <c r="D13385" s="3064"/>
      <c r="E13385" s="3064"/>
      <c r="F13385" s="3064"/>
      <c r="G13385" s="3301" t="s">
        <v>677</v>
      </c>
      <c r="H13385" s="3063"/>
      <c r="I13385" s="3030"/>
    </row>
    <row r="13386" spans="2:9">
      <c r="B13386" s="3192" t="s">
        <v>678</v>
      </c>
      <c r="C13386" s="3063"/>
      <c r="D13386" s="3064"/>
      <c r="E13386" s="3064"/>
      <c r="F13386" s="3064"/>
      <c r="G13386" s="3301" t="s">
        <v>678</v>
      </c>
      <c r="H13386" s="3063"/>
      <c r="I13386" s="3030"/>
    </row>
    <row r="13387" spans="2:9">
      <c r="B13387" s="3192" t="s">
        <v>679</v>
      </c>
      <c r="C13387" s="3063"/>
      <c r="D13387" s="3064"/>
      <c r="E13387" s="3064"/>
      <c r="F13387" s="3064"/>
      <c r="G13387" s="3301" t="s">
        <v>679</v>
      </c>
      <c r="H13387" s="3063"/>
      <c r="I13387" s="3030"/>
    </row>
    <row r="13388" spans="2:9" ht="25.5">
      <c r="B13388" s="3230" t="s">
        <v>81</v>
      </c>
      <c r="C13388" s="3063"/>
      <c r="D13388" s="3064"/>
      <c r="E13388" s="3064"/>
      <c r="F13388" s="3064"/>
      <c r="G13388" s="3302" t="s">
        <v>81</v>
      </c>
      <c r="H13388" s="3063"/>
      <c r="I13388" s="3030"/>
    </row>
    <row r="13389" spans="2:9" ht="26.25" thickBot="1">
      <c r="B13389" s="3303" t="s">
        <v>81</v>
      </c>
      <c r="C13389" s="3063"/>
      <c r="D13389" s="3064"/>
      <c r="E13389" s="3064"/>
      <c r="F13389" s="3064"/>
      <c r="G13389" s="3302" t="s">
        <v>81</v>
      </c>
      <c r="H13389" s="3063"/>
      <c r="I13389" s="3030"/>
    </row>
    <row r="13390" spans="2:9">
      <c r="B13390" s="3217" t="s">
        <v>697</v>
      </c>
      <c r="C13390" s="3218"/>
      <c r="D13390" s="3219"/>
      <c r="E13390" s="3219"/>
      <c r="F13390" s="3219"/>
      <c r="G13390" s="3217" t="s">
        <v>697</v>
      </c>
      <c r="H13390" s="3297"/>
      <c r="I13390" s="3298"/>
    </row>
    <row r="13391" spans="2:9">
      <c r="B13391" s="3299" t="s">
        <v>64</v>
      </c>
      <c r="C13391" s="3063"/>
      <c r="D13391" s="3064"/>
      <c r="E13391" s="3064"/>
      <c r="F13391" s="3064"/>
      <c r="G13391" s="3300" t="s">
        <v>64</v>
      </c>
      <c r="H13391" s="3063"/>
      <c r="I13391" s="3030"/>
    </row>
    <row r="13392" spans="2:9" ht="25.5">
      <c r="B13392" s="3192" t="s">
        <v>675</v>
      </c>
      <c r="C13392" s="3063"/>
      <c r="D13392" s="3064"/>
      <c r="E13392" s="3064"/>
      <c r="F13392" s="3064"/>
      <c r="G13392" s="3301" t="s">
        <v>675</v>
      </c>
      <c r="H13392" s="3063"/>
      <c r="I13392" s="3030"/>
    </row>
    <row r="13393" spans="2:9" ht="25.5">
      <c r="B13393" s="3192" t="s">
        <v>676</v>
      </c>
      <c r="C13393" s="3063"/>
      <c r="D13393" s="3064"/>
      <c r="E13393" s="3064"/>
      <c r="F13393" s="3064"/>
      <c r="G13393" s="3301" t="s">
        <v>676</v>
      </c>
      <c r="H13393" s="3063"/>
      <c r="I13393" s="3030"/>
    </row>
    <row r="13394" spans="2:9">
      <c r="B13394" s="3192" t="s">
        <v>677</v>
      </c>
      <c r="C13394" s="3063"/>
      <c r="D13394" s="3064"/>
      <c r="E13394" s="3064"/>
      <c r="F13394" s="3064"/>
      <c r="G13394" s="3301" t="s">
        <v>677</v>
      </c>
      <c r="H13394" s="3063"/>
      <c r="I13394" s="3030"/>
    </row>
    <row r="13395" spans="2:9">
      <c r="B13395" s="3192" t="s">
        <v>678</v>
      </c>
      <c r="C13395" s="3063"/>
      <c r="D13395" s="3064"/>
      <c r="E13395" s="3064"/>
      <c r="F13395" s="3064"/>
      <c r="G13395" s="3301" t="s">
        <v>678</v>
      </c>
      <c r="H13395" s="3063"/>
      <c r="I13395" s="3030"/>
    </row>
    <row r="13396" spans="2:9">
      <c r="B13396" s="3192" t="s">
        <v>679</v>
      </c>
      <c r="C13396" s="3063"/>
      <c r="D13396" s="3064"/>
      <c r="E13396" s="3064"/>
      <c r="F13396" s="3064"/>
      <c r="G13396" s="3301" t="s">
        <v>679</v>
      </c>
      <c r="H13396" s="3063"/>
      <c r="I13396" s="3030"/>
    </row>
    <row r="13397" spans="2:9" ht="25.5">
      <c r="B13397" s="3192" t="s">
        <v>720</v>
      </c>
      <c r="C13397" s="3063"/>
      <c r="D13397" s="3064"/>
      <c r="E13397" s="3064"/>
      <c r="F13397" s="3064"/>
      <c r="G13397" s="3301" t="s">
        <v>720</v>
      </c>
      <c r="H13397" s="3063"/>
      <c r="I13397" s="3030"/>
    </row>
    <row r="13398" spans="2:9">
      <c r="B13398" s="3299" t="s">
        <v>65</v>
      </c>
      <c r="C13398" s="3063"/>
      <c r="D13398" s="3064"/>
      <c r="E13398" s="3064"/>
      <c r="F13398" s="3064"/>
      <c r="G13398" s="3300" t="s">
        <v>65</v>
      </c>
      <c r="H13398" s="3063"/>
      <c r="I13398" s="3030"/>
    </row>
    <row r="13399" spans="2:9" ht="25.5">
      <c r="B13399" s="3192" t="s">
        <v>675</v>
      </c>
      <c r="C13399" s="3063"/>
      <c r="D13399" s="3064"/>
      <c r="E13399" s="3064"/>
      <c r="F13399" s="3064"/>
      <c r="G13399" s="3301" t="s">
        <v>675</v>
      </c>
      <c r="H13399" s="3063"/>
      <c r="I13399" s="3030"/>
    </row>
    <row r="13400" spans="2:9" ht="25.5">
      <c r="B13400" s="3192" t="s">
        <v>676</v>
      </c>
      <c r="C13400" s="3063"/>
      <c r="D13400" s="3064"/>
      <c r="E13400" s="3064"/>
      <c r="F13400" s="3064"/>
      <c r="G13400" s="3301" t="s">
        <v>676</v>
      </c>
      <c r="H13400" s="3063"/>
      <c r="I13400" s="3030"/>
    </row>
    <row r="13401" spans="2:9">
      <c r="B13401" s="3192" t="s">
        <v>677</v>
      </c>
      <c r="C13401" s="3063"/>
      <c r="D13401" s="3064"/>
      <c r="E13401" s="3064"/>
      <c r="F13401" s="3064"/>
      <c r="G13401" s="3301" t="s">
        <v>677</v>
      </c>
      <c r="H13401" s="3063"/>
      <c r="I13401" s="3030"/>
    </row>
    <row r="13402" spans="2:9">
      <c r="B13402" s="3192" t="s">
        <v>678</v>
      </c>
      <c r="C13402" s="3063"/>
      <c r="D13402" s="3064"/>
      <c r="E13402" s="3064"/>
      <c r="F13402" s="3064"/>
      <c r="G13402" s="3301" t="s">
        <v>678</v>
      </c>
      <c r="H13402" s="3063"/>
      <c r="I13402" s="3030"/>
    </row>
    <row r="13403" spans="2:9">
      <c r="B13403" s="3192" t="s">
        <v>679</v>
      </c>
      <c r="C13403" s="3063"/>
      <c r="D13403" s="3064"/>
      <c r="E13403" s="3064"/>
      <c r="F13403" s="3064"/>
      <c r="G13403" s="3301" t="s">
        <v>679</v>
      </c>
      <c r="H13403" s="3063"/>
      <c r="I13403" s="3030"/>
    </row>
    <row r="13404" spans="2:9" ht="25.5">
      <c r="B13404" s="3192" t="s">
        <v>720</v>
      </c>
      <c r="C13404" s="3063"/>
      <c r="D13404" s="3064"/>
      <c r="E13404" s="3064"/>
      <c r="F13404" s="3064"/>
      <c r="G13404" s="3301" t="s">
        <v>720</v>
      </c>
      <c r="H13404" s="3063"/>
      <c r="I13404" s="3030"/>
    </row>
    <row r="13405" spans="2:9">
      <c r="B13405" s="3299" t="s">
        <v>82</v>
      </c>
      <c r="C13405" s="3063"/>
      <c r="D13405" s="3064"/>
      <c r="E13405" s="3064"/>
      <c r="F13405" s="3064"/>
      <c r="G13405" s="3300" t="s">
        <v>82</v>
      </c>
      <c r="H13405" s="3063"/>
      <c r="I13405" s="3030"/>
    </row>
    <row r="13406" spans="2:9" ht="25.5">
      <c r="B13406" s="3192" t="s">
        <v>675</v>
      </c>
      <c r="C13406" s="3063"/>
      <c r="D13406" s="3064"/>
      <c r="E13406" s="3064"/>
      <c r="F13406" s="3064"/>
      <c r="G13406" s="3301" t="s">
        <v>675</v>
      </c>
      <c r="H13406" s="3063"/>
      <c r="I13406" s="3030"/>
    </row>
    <row r="13407" spans="2:9" ht="25.5">
      <c r="B13407" s="3192" t="s">
        <v>676</v>
      </c>
      <c r="C13407" s="3063"/>
      <c r="D13407" s="3064"/>
      <c r="E13407" s="3064"/>
      <c r="F13407" s="3064"/>
      <c r="G13407" s="3301" t="s">
        <v>676</v>
      </c>
      <c r="H13407" s="3063"/>
      <c r="I13407" s="3030"/>
    </row>
    <row r="13408" spans="2:9">
      <c r="B13408" s="3192" t="s">
        <v>677</v>
      </c>
      <c r="C13408" s="3063"/>
      <c r="D13408" s="3064"/>
      <c r="E13408" s="3064"/>
      <c r="F13408" s="3064"/>
      <c r="G13408" s="3301" t="s">
        <v>677</v>
      </c>
      <c r="H13408" s="3063"/>
      <c r="I13408" s="3030"/>
    </row>
    <row r="13409" spans="2:9">
      <c r="B13409" s="3192" t="s">
        <v>678</v>
      </c>
      <c r="C13409" s="3063"/>
      <c r="D13409" s="3064"/>
      <c r="E13409" s="3064"/>
      <c r="F13409" s="3064"/>
      <c r="G13409" s="3301" t="s">
        <v>678</v>
      </c>
      <c r="H13409" s="3063"/>
      <c r="I13409" s="3030"/>
    </row>
    <row r="13410" spans="2:9">
      <c r="B13410" s="3192" t="s">
        <v>679</v>
      </c>
      <c r="C13410" s="3063"/>
      <c r="D13410" s="3064"/>
      <c r="E13410" s="3064"/>
      <c r="F13410" s="3064"/>
      <c r="G13410" s="3301" t="s">
        <v>679</v>
      </c>
      <c r="H13410" s="3063"/>
      <c r="I13410" s="3030"/>
    </row>
    <row r="13411" spans="2:9" ht="25.5">
      <c r="B13411" s="3192" t="s">
        <v>720</v>
      </c>
      <c r="C13411" s="3063"/>
      <c r="D13411" s="3064"/>
      <c r="E13411" s="3064"/>
      <c r="F13411" s="3064"/>
      <c r="G13411" s="3301" t="s">
        <v>720</v>
      </c>
      <c r="H13411" s="3063"/>
      <c r="I13411" s="3030"/>
    </row>
    <row r="13412" spans="2:9" ht="38.25">
      <c r="B13412" s="3299" t="s">
        <v>680</v>
      </c>
      <c r="C13412" s="3063"/>
      <c r="D13412" s="3064"/>
      <c r="E13412" s="3064"/>
      <c r="F13412" s="3064"/>
      <c r="G13412" s="3300" t="s">
        <v>680</v>
      </c>
      <c r="H13412" s="3063"/>
      <c r="I13412" s="3030"/>
    </row>
    <row r="13413" spans="2:9" ht="25.5">
      <c r="B13413" s="3192" t="s">
        <v>675</v>
      </c>
      <c r="C13413" s="3063"/>
      <c r="D13413" s="3064"/>
      <c r="E13413" s="3064"/>
      <c r="F13413" s="3064"/>
      <c r="G13413" s="3301" t="s">
        <v>675</v>
      </c>
      <c r="H13413" s="3063"/>
      <c r="I13413" s="3030"/>
    </row>
    <row r="13414" spans="2:9" ht="25.5">
      <c r="B13414" s="3192" t="s">
        <v>676</v>
      </c>
      <c r="C13414" s="3063"/>
      <c r="D13414" s="3064"/>
      <c r="E13414" s="3064"/>
      <c r="F13414" s="3064"/>
      <c r="G13414" s="3301" t="s">
        <v>676</v>
      </c>
      <c r="H13414" s="3063"/>
      <c r="I13414" s="3030"/>
    </row>
    <row r="13415" spans="2:9">
      <c r="B13415" s="3192" t="s">
        <v>677</v>
      </c>
      <c r="C13415" s="3063"/>
      <c r="D13415" s="3064"/>
      <c r="E13415" s="3064"/>
      <c r="F13415" s="3064"/>
      <c r="G13415" s="3301" t="s">
        <v>677</v>
      </c>
      <c r="H13415" s="3063"/>
      <c r="I13415" s="3030"/>
    </row>
    <row r="13416" spans="2:9">
      <c r="B13416" s="3192" t="s">
        <v>678</v>
      </c>
      <c r="C13416" s="3063"/>
      <c r="D13416" s="3064"/>
      <c r="E13416" s="3064"/>
      <c r="F13416" s="3064"/>
      <c r="G13416" s="3301" t="s">
        <v>678</v>
      </c>
      <c r="H13416" s="3063"/>
      <c r="I13416" s="3030"/>
    </row>
    <row r="13417" spans="2:9">
      <c r="B13417" s="3192" t="s">
        <v>679</v>
      </c>
      <c r="C13417" s="3063"/>
      <c r="D13417" s="3064"/>
      <c r="E13417" s="3064"/>
      <c r="F13417" s="3064"/>
      <c r="G13417" s="3301" t="s">
        <v>679</v>
      </c>
      <c r="H13417" s="3063"/>
      <c r="I13417" s="3030"/>
    </row>
    <row r="13418" spans="2:9" ht="25.5">
      <c r="B13418" s="3192" t="s">
        <v>720</v>
      </c>
      <c r="C13418" s="3063"/>
      <c r="D13418" s="3064"/>
      <c r="E13418" s="3064"/>
      <c r="F13418" s="3064"/>
      <c r="G13418" s="3301" t="s">
        <v>720</v>
      </c>
      <c r="H13418" s="3063"/>
      <c r="I13418" s="3030"/>
    </row>
    <row r="13419" spans="2:9" ht="38.25">
      <c r="B13419" s="3299" t="s">
        <v>681</v>
      </c>
      <c r="C13419" s="3063"/>
      <c r="D13419" s="3064"/>
      <c r="E13419" s="3064"/>
      <c r="F13419" s="3064">
        <v>3</v>
      </c>
      <c r="G13419" s="3300" t="s">
        <v>681</v>
      </c>
      <c r="H13419" s="3063">
        <v>1.2805335024827714E-2</v>
      </c>
      <c r="I13419" s="3030"/>
    </row>
    <row r="13420" spans="2:9" ht="25.5">
      <c r="B13420" s="3192" t="s">
        <v>675</v>
      </c>
      <c r="C13420" s="3063">
        <v>2</v>
      </c>
      <c r="D13420" s="3064">
        <v>4</v>
      </c>
      <c r="E13420" s="3064"/>
      <c r="F13420" s="3064"/>
      <c r="G13420" s="3301" t="s">
        <v>675</v>
      </c>
      <c r="H13420" s="3063"/>
      <c r="I13420" s="3030">
        <v>1.067111252068976E-2</v>
      </c>
    </row>
    <row r="13421" spans="2:9" ht="25.5">
      <c r="B13421" s="3192" t="s">
        <v>676</v>
      </c>
      <c r="C13421" s="3063"/>
      <c r="D13421" s="3064"/>
      <c r="E13421" s="3064"/>
      <c r="F13421" s="3064"/>
      <c r="G13421" s="3301" t="s">
        <v>676</v>
      </c>
      <c r="H13421" s="3063"/>
      <c r="I13421" s="3030"/>
    </row>
    <row r="13422" spans="2:9">
      <c r="B13422" s="3192" t="s">
        <v>677</v>
      </c>
      <c r="C13422" s="3063"/>
      <c r="D13422" s="3064"/>
      <c r="E13422" s="3064"/>
      <c r="F13422" s="3064"/>
      <c r="G13422" s="3301" t="s">
        <v>677</v>
      </c>
      <c r="H13422" s="3063"/>
      <c r="I13422" s="3030"/>
    </row>
    <row r="13423" spans="2:9">
      <c r="B13423" s="3192" t="s">
        <v>678</v>
      </c>
      <c r="C13423" s="3063"/>
      <c r="D13423" s="3064"/>
      <c r="E13423" s="3064"/>
      <c r="F13423" s="3064"/>
      <c r="G13423" s="3301" t="s">
        <v>678</v>
      </c>
      <c r="H13423" s="3063"/>
      <c r="I13423" s="3030"/>
    </row>
    <row r="13424" spans="2:9">
      <c r="B13424" s="3192" t="s">
        <v>679</v>
      </c>
      <c r="C13424" s="3063">
        <v>4</v>
      </c>
      <c r="D13424" s="3064">
        <v>5</v>
      </c>
      <c r="E13424" s="3064"/>
      <c r="F13424" s="3064"/>
      <c r="G13424" s="3301" t="s">
        <v>679</v>
      </c>
      <c r="H13424" s="3063"/>
      <c r="I13424" s="3030"/>
    </row>
    <row r="13425" spans="2:9" ht="25.5">
      <c r="B13425" s="3192" t="s">
        <v>720</v>
      </c>
      <c r="C13425" s="3063"/>
      <c r="D13425" s="3064"/>
      <c r="E13425" s="3064"/>
      <c r="F13425" s="3064"/>
      <c r="G13425" s="3301" t="s">
        <v>720</v>
      </c>
      <c r="H13425" s="3063"/>
      <c r="I13425" s="3030"/>
    </row>
    <row r="13426" spans="2:9" ht="25.5">
      <c r="B13426" s="3299" t="s">
        <v>682</v>
      </c>
      <c r="C13426" s="3063"/>
      <c r="D13426" s="3064"/>
      <c r="E13426" s="3064"/>
      <c r="F13426" s="3064"/>
      <c r="G13426" s="3300" t="s">
        <v>682</v>
      </c>
      <c r="H13426" s="3063"/>
      <c r="I13426" s="3030"/>
    </row>
    <row r="13427" spans="2:9" ht="25.5">
      <c r="B13427" s="3192" t="s">
        <v>675</v>
      </c>
      <c r="C13427" s="3063"/>
      <c r="D13427" s="3064"/>
      <c r="E13427" s="3064"/>
      <c r="F13427" s="3064"/>
      <c r="G13427" s="3301" t="s">
        <v>675</v>
      </c>
      <c r="H13427" s="3063"/>
      <c r="I13427" s="3030"/>
    </row>
    <row r="13428" spans="2:9" ht="25.5">
      <c r="B13428" s="3192" t="s">
        <v>676</v>
      </c>
      <c r="C13428" s="3063"/>
      <c r="D13428" s="3064"/>
      <c r="E13428" s="3064"/>
      <c r="F13428" s="3064"/>
      <c r="G13428" s="3301" t="s">
        <v>676</v>
      </c>
      <c r="H13428" s="3063"/>
      <c r="I13428" s="3030"/>
    </row>
    <row r="13429" spans="2:9">
      <c r="B13429" s="3192" t="s">
        <v>677</v>
      </c>
      <c r="C13429" s="3063"/>
      <c r="D13429" s="3064"/>
      <c r="E13429" s="3064"/>
      <c r="F13429" s="3064"/>
      <c r="G13429" s="3301" t="s">
        <v>677</v>
      </c>
      <c r="H13429" s="3063"/>
      <c r="I13429" s="3030"/>
    </row>
    <row r="13430" spans="2:9">
      <c r="B13430" s="3192" t="s">
        <v>678</v>
      </c>
      <c r="C13430" s="3063"/>
      <c r="D13430" s="3064"/>
      <c r="E13430" s="3064"/>
      <c r="F13430" s="3064"/>
      <c r="G13430" s="3301" t="s">
        <v>678</v>
      </c>
      <c r="H13430" s="3063"/>
      <c r="I13430" s="3030"/>
    </row>
    <row r="13431" spans="2:9">
      <c r="B13431" s="3192" t="s">
        <v>679</v>
      </c>
      <c r="C13431" s="3063"/>
      <c r="D13431" s="3064"/>
      <c r="E13431" s="3064"/>
      <c r="F13431" s="3064"/>
      <c r="G13431" s="3301" t="s">
        <v>679</v>
      </c>
      <c r="H13431" s="3063"/>
      <c r="I13431" s="3030"/>
    </row>
    <row r="13432" spans="2:9" ht="25.5">
      <c r="B13432" s="3192" t="s">
        <v>720</v>
      </c>
      <c r="C13432" s="3063"/>
      <c r="D13432" s="3064"/>
      <c r="E13432" s="3064"/>
      <c r="F13432" s="3064"/>
      <c r="G13432" s="3301" t="s">
        <v>720</v>
      </c>
      <c r="H13432" s="3063"/>
      <c r="I13432" s="3030"/>
    </row>
    <row r="13433" spans="2:9" ht="25.5">
      <c r="B13433" s="3299" t="s">
        <v>66</v>
      </c>
      <c r="C13433" s="3063"/>
      <c r="D13433" s="3064"/>
      <c r="E13433" s="3064"/>
      <c r="F13433" s="3064"/>
      <c r="G13433" s="3300" t="s">
        <v>66</v>
      </c>
      <c r="H13433" s="3063"/>
      <c r="I13433" s="3030"/>
    </row>
    <row r="13434" spans="2:9" ht="25.5">
      <c r="B13434" s="3192" t="s">
        <v>675</v>
      </c>
      <c r="C13434" s="3063"/>
      <c r="D13434" s="3064"/>
      <c r="E13434" s="3064"/>
      <c r="F13434" s="3064"/>
      <c r="G13434" s="3301" t="s">
        <v>675</v>
      </c>
      <c r="H13434" s="3063"/>
      <c r="I13434" s="3030"/>
    </row>
    <row r="13435" spans="2:9" ht="25.5">
      <c r="B13435" s="3192" t="s">
        <v>676</v>
      </c>
      <c r="C13435" s="3063"/>
      <c r="D13435" s="3064"/>
      <c r="E13435" s="3064"/>
      <c r="F13435" s="3064"/>
      <c r="G13435" s="3301" t="s">
        <v>676</v>
      </c>
      <c r="H13435" s="3063"/>
      <c r="I13435" s="3030"/>
    </row>
    <row r="13436" spans="2:9">
      <c r="B13436" s="3192" t="s">
        <v>677</v>
      </c>
      <c r="C13436" s="3063"/>
      <c r="D13436" s="3064"/>
      <c r="E13436" s="3064"/>
      <c r="F13436" s="3064"/>
      <c r="G13436" s="3301" t="s">
        <v>677</v>
      </c>
      <c r="H13436" s="3063"/>
      <c r="I13436" s="3030"/>
    </row>
    <row r="13437" spans="2:9">
      <c r="B13437" s="3192" t="s">
        <v>678</v>
      </c>
      <c r="C13437" s="3063"/>
      <c r="D13437" s="3064"/>
      <c r="E13437" s="3064"/>
      <c r="F13437" s="3064"/>
      <c r="G13437" s="3301" t="s">
        <v>678</v>
      </c>
      <c r="H13437" s="3063"/>
      <c r="I13437" s="3030"/>
    </row>
    <row r="13438" spans="2:9">
      <c r="B13438" s="3192" t="s">
        <v>679</v>
      </c>
      <c r="C13438" s="3063"/>
      <c r="D13438" s="3064"/>
      <c r="E13438" s="3064"/>
      <c r="F13438" s="3064"/>
      <c r="G13438" s="3301" t="s">
        <v>679</v>
      </c>
      <c r="H13438" s="3063"/>
      <c r="I13438" s="3030"/>
    </row>
    <row r="13439" spans="2:9" ht="25.5">
      <c r="B13439" s="3192" t="s">
        <v>720</v>
      </c>
      <c r="C13439" s="3063"/>
      <c r="D13439" s="3064"/>
      <c r="E13439" s="3064"/>
      <c r="F13439" s="3064"/>
      <c r="G13439" s="3301" t="s">
        <v>720</v>
      </c>
      <c r="H13439" s="3063"/>
      <c r="I13439" s="3030"/>
    </row>
    <row r="13440" spans="2:9">
      <c r="B13440" s="3299" t="s">
        <v>67</v>
      </c>
      <c r="C13440" s="3063"/>
      <c r="D13440" s="3064"/>
      <c r="E13440" s="3064"/>
      <c r="F13440" s="3064">
        <v>1</v>
      </c>
      <c r="G13440" s="3300" t="s">
        <v>67</v>
      </c>
      <c r="H13440" s="3063">
        <v>8.6231495676442459E-3</v>
      </c>
      <c r="I13440" s="3030"/>
    </row>
    <row r="13441" spans="2:9" ht="25.5">
      <c r="B13441" s="3192" t="s">
        <v>675</v>
      </c>
      <c r="C13441" s="3063">
        <v>1</v>
      </c>
      <c r="D13441" s="3064">
        <v>2</v>
      </c>
      <c r="E13441" s="3064"/>
      <c r="F13441" s="3064"/>
      <c r="G13441" s="3301" t="s">
        <v>675</v>
      </c>
      <c r="H13441" s="3063"/>
      <c r="I13441" s="3030">
        <v>1.1086906586971172E-2</v>
      </c>
    </row>
    <row r="13442" spans="2:9" ht="25.5">
      <c r="B13442" s="3192" t="s">
        <v>676</v>
      </c>
      <c r="C13442" s="3063"/>
      <c r="D13442" s="3064"/>
      <c r="E13442" s="3064"/>
      <c r="F13442" s="3064"/>
      <c r="G13442" s="3301" t="s">
        <v>676</v>
      </c>
      <c r="H13442" s="3063"/>
      <c r="I13442" s="3030"/>
    </row>
    <row r="13443" spans="2:9">
      <c r="B13443" s="3192" t="s">
        <v>677</v>
      </c>
      <c r="C13443" s="3063"/>
      <c r="D13443" s="3064"/>
      <c r="E13443" s="3064"/>
      <c r="F13443" s="3064"/>
      <c r="G13443" s="3301" t="s">
        <v>677</v>
      </c>
      <c r="H13443" s="3063"/>
      <c r="I13443" s="3030"/>
    </row>
    <row r="13444" spans="2:9">
      <c r="B13444" s="3192" t="s">
        <v>678</v>
      </c>
      <c r="C13444" s="3063"/>
      <c r="D13444" s="3064">
        <v>1</v>
      </c>
      <c r="E13444" s="3064"/>
      <c r="F13444" s="3064"/>
      <c r="G13444" s="3301" t="s">
        <v>678</v>
      </c>
      <c r="H13444" s="3063"/>
      <c r="I13444" s="3030"/>
    </row>
    <row r="13445" spans="2:9">
      <c r="B13445" s="3192" t="s">
        <v>679</v>
      </c>
      <c r="C13445" s="3063">
        <v>1</v>
      </c>
      <c r="D13445" s="3064">
        <v>1</v>
      </c>
      <c r="E13445" s="3064"/>
      <c r="F13445" s="3064"/>
      <c r="G13445" s="3301" t="s">
        <v>679</v>
      </c>
      <c r="H13445" s="3063"/>
      <c r="I13445" s="3030"/>
    </row>
    <row r="13446" spans="2:9" ht="25.5">
      <c r="B13446" s="3230" t="s">
        <v>81</v>
      </c>
      <c r="C13446" s="3063"/>
      <c r="D13446" s="3064"/>
      <c r="E13446" s="3064"/>
      <c r="F13446" s="3064"/>
      <c r="G13446" s="3302" t="s">
        <v>81</v>
      </c>
      <c r="H13446" s="3063"/>
      <c r="I13446" s="3030"/>
    </row>
    <row r="13447" spans="2:9" ht="26.25" thickBot="1">
      <c r="B13447" s="3303" t="s">
        <v>81</v>
      </c>
      <c r="C13447" s="3068"/>
      <c r="D13447" s="3069"/>
      <c r="E13447" s="3069"/>
      <c r="F13447" s="3069"/>
      <c r="G13447" s="3304" t="s">
        <v>81</v>
      </c>
      <c r="H13447" s="3068"/>
      <c r="I13447" s="3070"/>
    </row>
    <row r="13448" spans="2:9" ht="38.25">
      <c r="B13448" s="4723">
        <v>3355</v>
      </c>
      <c r="C13448" s="3289"/>
      <c r="D13448" s="3290"/>
      <c r="E13448" s="3290"/>
      <c r="F13448" s="3290"/>
      <c r="G13448" s="4723">
        <v>3355</v>
      </c>
      <c r="H13448" s="3291" t="s">
        <v>687</v>
      </c>
      <c r="I13448" s="3292" t="s">
        <v>688</v>
      </c>
    </row>
    <row r="13449" spans="2:9">
      <c r="B13449" s="4724"/>
      <c r="C13449" s="4678" t="s">
        <v>686</v>
      </c>
      <c r="D13449" s="4725"/>
      <c r="E13449" s="4725"/>
      <c r="F13449" s="4726"/>
      <c r="G13449" s="4724"/>
      <c r="H13449" s="3293"/>
      <c r="I13449" s="3294"/>
    </row>
    <row r="13450" spans="2:9" ht="13.5" thickBot="1">
      <c r="B13450" s="4724"/>
      <c r="C13450" s="3215">
        <v>2013</v>
      </c>
      <c r="D13450" s="3215">
        <v>2014</v>
      </c>
      <c r="E13450" s="3215">
        <v>2015</v>
      </c>
      <c r="F13450" s="3215">
        <v>2016</v>
      </c>
      <c r="G13450" s="4724"/>
      <c r="H13450" s="3295" t="s">
        <v>390</v>
      </c>
      <c r="I13450" s="3296" t="s">
        <v>390</v>
      </c>
    </row>
    <row r="13451" spans="2:9">
      <c r="B13451" s="3217" t="s">
        <v>695</v>
      </c>
      <c r="C13451" s="3218"/>
      <c r="D13451" s="3219"/>
      <c r="E13451" s="3219"/>
      <c r="F13451" s="3219"/>
      <c r="G13451" s="3217" t="s">
        <v>695</v>
      </c>
      <c r="H13451" s="3297"/>
      <c r="I13451" s="3298"/>
    </row>
    <row r="13452" spans="2:9">
      <c r="B13452" s="3299" t="s">
        <v>64</v>
      </c>
      <c r="C13452" s="3063"/>
      <c r="D13452" s="3064"/>
      <c r="E13452" s="3064"/>
      <c r="F13452" s="3064"/>
      <c r="G13452" s="3300" t="s">
        <v>64</v>
      </c>
      <c r="H13452" s="3063"/>
      <c r="I13452" s="3030"/>
    </row>
    <row r="13453" spans="2:9" ht="25.5">
      <c r="B13453" s="3192" t="s">
        <v>675</v>
      </c>
      <c r="C13453" s="3063"/>
      <c r="D13453" s="3064"/>
      <c r="E13453" s="3064"/>
      <c r="F13453" s="3064"/>
      <c r="G13453" s="3301" t="s">
        <v>675</v>
      </c>
      <c r="H13453" s="3063"/>
      <c r="I13453" s="3030"/>
    </row>
    <row r="13454" spans="2:9" ht="25.5">
      <c r="B13454" s="3192" t="s">
        <v>676</v>
      </c>
      <c r="C13454" s="3063"/>
      <c r="D13454" s="3064"/>
      <c r="E13454" s="3064"/>
      <c r="F13454" s="3064"/>
      <c r="G13454" s="3301" t="s">
        <v>676</v>
      </c>
      <c r="H13454" s="3063"/>
      <c r="I13454" s="3030"/>
    </row>
    <row r="13455" spans="2:9">
      <c r="B13455" s="3192" t="s">
        <v>677</v>
      </c>
      <c r="C13455" s="3063"/>
      <c r="D13455" s="3064"/>
      <c r="E13455" s="3064"/>
      <c r="F13455" s="3064"/>
      <c r="G13455" s="3301" t="s">
        <v>677</v>
      </c>
      <c r="H13455" s="3063"/>
      <c r="I13455" s="3030"/>
    </row>
    <row r="13456" spans="2:9">
      <c r="B13456" s="3192" t="s">
        <v>678</v>
      </c>
      <c r="C13456" s="3063"/>
      <c r="D13456" s="3064"/>
      <c r="E13456" s="3064"/>
      <c r="F13456" s="3064"/>
      <c r="G13456" s="3301" t="s">
        <v>678</v>
      </c>
      <c r="H13456" s="3063"/>
      <c r="I13456" s="3030"/>
    </row>
    <row r="13457" spans="2:9">
      <c r="B13457" s="3192" t="s">
        <v>679</v>
      </c>
      <c r="C13457" s="3063"/>
      <c r="D13457" s="3064"/>
      <c r="E13457" s="3064"/>
      <c r="F13457" s="3064"/>
      <c r="G13457" s="3301" t="s">
        <v>679</v>
      </c>
      <c r="H13457" s="3063"/>
      <c r="I13457" s="3030"/>
    </row>
    <row r="13458" spans="2:9" ht="25.5">
      <c r="B13458" s="3192" t="s">
        <v>720</v>
      </c>
      <c r="C13458" s="3063"/>
      <c r="D13458" s="3064"/>
      <c r="E13458" s="3064"/>
      <c r="F13458" s="3064"/>
      <c r="G13458" s="3301" t="s">
        <v>720</v>
      </c>
      <c r="H13458" s="3063"/>
      <c r="I13458" s="3030"/>
    </row>
    <row r="13459" spans="2:9">
      <c r="B13459" s="3299" t="s">
        <v>65</v>
      </c>
      <c r="C13459" s="3063"/>
      <c r="D13459" s="3064"/>
      <c r="E13459" s="3064"/>
      <c r="F13459" s="3064"/>
      <c r="G13459" s="3300" t="s">
        <v>65</v>
      </c>
      <c r="H13459" s="3063"/>
      <c r="I13459" s="3030"/>
    </row>
    <row r="13460" spans="2:9" ht="25.5">
      <c r="B13460" s="3192" t="s">
        <v>675</v>
      </c>
      <c r="C13460" s="3063"/>
      <c r="D13460" s="3064"/>
      <c r="E13460" s="3064"/>
      <c r="F13460" s="3064"/>
      <c r="G13460" s="3301" t="s">
        <v>675</v>
      </c>
      <c r="H13460" s="3063"/>
      <c r="I13460" s="3030"/>
    </row>
    <row r="13461" spans="2:9" ht="25.5">
      <c r="B13461" s="3192" t="s">
        <v>676</v>
      </c>
      <c r="C13461" s="3063"/>
      <c r="D13461" s="3064"/>
      <c r="E13461" s="3064"/>
      <c r="F13461" s="3064"/>
      <c r="G13461" s="3301" t="s">
        <v>676</v>
      </c>
      <c r="H13461" s="3063"/>
      <c r="I13461" s="3030"/>
    </row>
    <row r="13462" spans="2:9">
      <c r="B13462" s="3192" t="s">
        <v>677</v>
      </c>
      <c r="C13462" s="3063"/>
      <c r="D13462" s="3064"/>
      <c r="E13462" s="3064"/>
      <c r="F13462" s="3064"/>
      <c r="G13462" s="3301" t="s">
        <v>677</v>
      </c>
      <c r="H13462" s="3063"/>
      <c r="I13462" s="3030"/>
    </row>
    <row r="13463" spans="2:9">
      <c r="B13463" s="3192" t="s">
        <v>678</v>
      </c>
      <c r="C13463" s="3063"/>
      <c r="D13463" s="3064"/>
      <c r="E13463" s="3064"/>
      <c r="F13463" s="3064"/>
      <c r="G13463" s="3301" t="s">
        <v>678</v>
      </c>
      <c r="H13463" s="3063"/>
      <c r="I13463" s="3030"/>
    </row>
    <row r="13464" spans="2:9">
      <c r="B13464" s="3192" t="s">
        <v>679</v>
      </c>
      <c r="C13464" s="3063"/>
      <c r="D13464" s="3064"/>
      <c r="E13464" s="3064"/>
      <c r="F13464" s="3064"/>
      <c r="G13464" s="3301" t="s">
        <v>679</v>
      </c>
      <c r="H13464" s="3063"/>
      <c r="I13464" s="3030"/>
    </row>
    <row r="13465" spans="2:9" ht="25.5">
      <c r="B13465" s="3192" t="s">
        <v>720</v>
      </c>
      <c r="C13465" s="3063"/>
      <c r="D13465" s="3064"/>
      <c r="E13465" s="3064"/>
      <c r="F13465" s="3064"/>
      <c r="G13465" s="3301" t="s">
        <v>720</v>
      </c>
      <c r="H13465" s="3063"/>
      <c r="I13465" s="3030"/>
    </row>
    <row r="13466" spans="2:9">
      <c r="B13466" s="3299" t="s">
        <v>82</v>
      </c>
      <c r="C13466" s="3063"/>
      <c r="D13466" s="3064"/>
      <c r="E13466" s="3064"/>
      <c r="F13466" s="3064"/>
      <c r="G13466" s="3300" t="s">
        <v>82</v>
      </c>
      <c r="H13466" s="3063"/>
      <c r="I13466" s="3030"/>
    </row>
    <row r="13467" spans="2:9" ht="25.5">
      <c r="B13467" s="3192" t="s">
        <v>675</v>
      </c>
      <c r="C13467" s="3063"/>
      <c r="D13467" s="3064"/>
      <c r="E13467" s="3064"/>
      <c r="F13467" s="3064"/>
      <c r="G13467" s="3301" t="s">
        <v>675</v>
      </c>
      <c r="H13467" s="3063"/>
      <c r="I13467" s="3030"/>
    </row>
    <row r="13468" spans="2:9" ht="25.5">
      <c r="B13468" s="3192" t="s">
        <v>676</v>
      </c>
      <c r="C13468" s="3063"/>
      <c r="D13468" s="3064"/>
      <c r="E13468" s="3064"/>
      <c r="F13468" s="3064"/>
      <c r="G13468" s="3301" t="s">
        <v>676</v>
      </c>
      <c r="H13468" s="3063"/>
      <c r="I13468" s="3030"/>
    </row>
    <row r="13469" spans="2:9">
      <c r="B13469" s="3192" t="s">
        <v>677</v>
      </c>
      <c r="C13469" s="3063"/>
      <c r="D13469" s="3064"/>
      <c r="E13469" s="3064"/>
      <c r="F13469" s="3064"/>
      <c r="G13469" s="3301" t="s">
        <v>677</v>
      </c>
      <c r="H13469" s="3063"/>
      <c r="I13469" s="3030"/>
    </row>
    <row r="13470" spans="2:9">
      <c r="B13470" s="3192" t="s">
        <v>678</v>
      </c>
      <c r="C13470" s="3063"/>
      <c r="D13470" s="3064"/>
      <c r="E13470" s="3064"/>
      <c r="F13470" s="3064"/>
      <c r="G13470" s="3301" t="s">
        <v>678</v>
      </c>
      <c r="H13470" s="3063"/>
      <c r="I13470" s="3030"/>
    </row>
    <row r="13471" spans="2:9">
      <c r="B13471" s="3192" t="s">
        <v>679</v>
      </c>
      <c r="C13471" s="3063"/>
      <c r="D13471" s="3064"/>
      <c r="E13471" s="3064"/>
      <c r="F13471" s="3064"/>
      <c r="G13471" s="3301" t="s">
        <v>679</v>
      </c>
      <c r="H13471" s="3063"/>
      <c r="I13471" s="3030"/>
    </row>
    <row r="13472" spans="2:9" ht="25.5">
      <c r="B13472" s="3192" t="s">
        <v>720</v>
      </c>
      <c r="C13472" s="3063"/>
      <c r="D13472" s="3064"/>
      <c r="E13472" s="3064"/>
      <c r="F13472" s="3064"/>
      <c r="G13472" s="3301" t="s">
        <v>720</v>
      </c>
      <c r="H13472" s="3063"/>
      <c r="I13472" s="3030"/>
    </row>
    <row r="13473" spans="2:9" ht="38.25">
      <c r="B13473" s="3299" t="s">
        <v>680</v>
      </c>
      <c r="C13473" s="3063"/>
      <c r="D13473" s="3064"/>
      <c r="E13473" s="3064"/>
      <c r="F13473" s="3064"/>
      <c r="G13473" s="3300" t="s">
        <v>680</v>
      </c>
      <c r="H13473" s="3063"/>
      <c r="I13473" s="3030"/>
    </row>
    <row r="13474" spans="2:9" ht="25.5">
      <c r="B13474" s="3192" t="s">
        <v>675</v>
      </c>
      <c r="C13474" s="3063"/>
      <c r="D13474" s="3064"/>
      <c r="E13474" s="3064"/>
      <c r="F13474" s="3064"/>
      <c r="G13474" s="3301" t="s">
        <v>675</v>
      </c>
      <c r="H13474" s="3063"/>
      <c r="I13474" s="3030"/>
    </row>
    <row r="13475" spans="2:9" ht="25.5">
      <c r="B13475" s="3192" t="s">
        <v>676</v>
      </c>
      <c r="C13475" s="3063"/>
      <c r="D13475" s="3064"/>
      <c r="E13475" s="3064"/>
      <c r="F13475" s="3064"/>
      <c r="G13475" s="3301" t="s">
        <v>676</v>
      </c>
      <c r="H13475" s="3063"/>
      <c r="I13475" s="3030"/>
    </row>
    <row r="13476" spans="2:9">
      <c r="B13476" s="3192" t="s">
        <v>677</v>
      </c>
      <c r="C13476" s="3063"/>
      <c r="D13476" s="3064"/>
      <c r="E13476" s="3064"/>
      <c r="F13476" s="3064"/>
      <c r="G13476" s="3301" t="s">
        <v>677</v>
      </c>
      <c r="H13476" s="3063"/>
      <c r="I13476" s="3030"/>
    </row>
    <row r="13477" spans="2:9">
      <c r="B13477" s="3192" t="s">
        <v>678</v>
      </c>
      <c r="C13477" s="3063"/>
      <c r="D13477" s="3064"/>
      <c r="E13477" s="3064"/>
      <c r="F13477" s="3064"/>
      <c r="G13477" s="3301" t="s">
        <v>678</v>
      </c>
      <c r="H13477" s="3063"/>
      <c r="I13477" s="3030"/>
    </row>
    <row r="13478" spans="2:9">
      <c r="B13478" s="3192" t="s">
        <v>679</v>
      </c>
      <c r="C13478" s="3063"/>
      <c r="D13478" s="3064"/>
      <c r="E13478" s="3064"/>
      <c r="F13478" s="3064"/>
      <c r="G13478" s="3301" t="s">
        <v>679</v>
      </c>
      <c r="H13478" s="3063"/>
      <c r="I13478" s="3030"/>
    </row>
    <row r="13479" spans="2:9" ht="25.5">
      <c r="B13479" s="3192" t="s">
        <v>720</v>
      </c>
      <c r="C13479" s="3063"/>
      <c r="D13479" s="3064"/>
      <c r="E13479" s="3064"/>
      <c r="F13479" s="3064"/>
      <c r="G13479" s="3301" t="s">
        <v>720</v>
      </c>
      <c r="H13479" s="3063"/>
      <c r="I13479" s="3030"/>
    </row>
    <row r="13480" spans="2:9" ht="38.25">
      <c r="B13480" s="3299" t="s">
        <v>681</v>
      </c>
      <c r="C13480" s="3063"/>
      <c r="D13480" s="3064"/>
      <c r="E13480" s="3064"/>
      <c r="F13480" s="3064"/>
      <c r="G13480" s="3300" t="s">
        <v>681</v>
      </c>
      <c r="H13480" s="3063"/>
      <c r="I13480" s="3030"/>
    </row>
    <row r="13481" spans="2:9" ht="25.5">
      <c r="B13481" s="3192" t="s">
        <v>675</v>
      </c>
      <c r="C13481" s="3063"/>
      <c r="D13481" s="3064"/>
      <c r="E13481" s="3064"/>
      <c r="F13481" s="3064"/>
      <c r="G13481" s="3301" t="s">
        <v>675</v>
      </c>
      <c r="H13481" s="3063"/>
      <c r="I13481" s="3030"/>
    </row>
    <row r="13482" spans="2:9" ht="25.5">
      <c r="B13482" s="3192" t="s">
        <v>676</v>
      </c>
      <c r="C13482" s="3063"/>
      <c r="D13482" s="3064"/>
      <c r="E13482" s="3064"/>
      <c r="F13482" s="3064"/>
      <c r="G13482" s="3301" t="s">
        <v>676</v>
      </c>
      <c r="H13482" s="3063"/>
      <c r="I13482" s="3030"/>
    </row>
    <row r="13483" spans="2:9">
      <c r="B13483" s="3192" t="s">
        <v>677</v>
      </c>
      <c r="C13483" s="3063"/>
      <c r="D13483" s="3064"/>
      <c r="E13483" s="3064"/>
      <c r="F13483" s="3064"/>
      <c r="G13483" s="3301" t="s">
        <v>677</v>
      </c>
      <c r="H13483" s="3063"/>
      <c r="I13483" s="3030"/>
    </row>
    <row r="13484" spans="2:9">
      <c r="B13484" s="3192" t="s">
        <v>678</v>
      </c>
      <c r="C13484" s="3063"/>
      <c r="D13484" s="3064"/>
      <c r="E13484" s="3064"/>
      <c r="F13484" s="3064"/>
      <c r="G13484" s="3301" t="s">
        <v>678</v>
      </c>
      <c r="H13484" s="3063"/>
      <c r="I13484" s="3030"/>
    </row>
    <row r="13485" spans="2:9">
      <c r="B13485" s="3192" t="s">
        <v>679</v>
      </c>
      <c r="C13485" s="3063"/>
      <c r="D13485" s="3064"/>
      <c r="E13485" s="3064"/>
      <c r="F13485" s="3064"/>
      <c r="G13485" s="3301" t="s">
        <v>679</v>
      </c>
      <c r="H13485" s="3063"/>
      <c r="I13485" s="3030"/>
    </row>
    <row r="13486" spans="2:9" ht="25.5">
      <c r="B13486" s="3192" t="s">
        <v>720</v>
      </c>
      <c r="C13486" s="3063"/>
      <c r="D13486" s="3064"/>
      <c r="E13486" s="3064"/>
      <c r="F13486" s="3064"/>
      <c r="G13486" s="3301" t="s">
        <v>720</v>
      </c>
      <c r="H13486" s="3063"/>
      <c r="I13486" s="3030"/>
    </row>
    <row r="13487" spans="2:9" ht="25.5">
      <c r="B13487" s="3299" t="s">
        <v>682</v>
      </c>
      <c r="C13487" s="3063"/>
      <c r="D13487" s="3064"/>
      <c r="E13487" s="3064"/>
      <c r="F13487" s="3064"/>
      <c r="G13487" s="3300" t="s">
        <v>682</v>
      </c>
      <c r="H13487" s="3063"/>
      <c r="I13487" s="3030"/>
    </row>
    <row r="13488" spans="2:9" ht="25.5">
      <c r="B13488" s="3192" t="s">
        <v>675</v>
      </c>
      <c r="C13488" s="3063"/>
      <c r="D13488" s="3064"/>
      <c r="E13488" s="3064"/>
      <c r="F13488" s="3064"/>
      <c r="G13488" s="3301" t="s">
        <v>675</v>
      </c>
      <c r="H13488" s="3063"/>
      <c r="I13488" s="3030"/>
    </row>
    <row r="13489" spans="2:9" ht="25.5">
      <c r="B13489" s="3192" t="s">
        <v>676</v>
      </c>
      <c r="C13489" s="3063"/>
      <c r="D13489" s="3064"/>
      <c r="E13489" s="3064"/>
      <c r="F13489" s="3064"/>
      <c r="G13489" s="3301" t="s">
        <v>676</v>
      </c>
      <c r="H13489" s="3063"/>
      <c r="I13489" s="3030"/>
    </row>
    <row r="13490" spans="2:9">
      <c r="B13490" s="3192" t="s">
        <v>677</v>
      </c>
      <c r="C13490" s="3063"/>
      <c r="D13490" s="3064"/>
      <c r="E13490" s="3064"/>
      <c r="F13490" s="3064"/>
      <c r="G13490" s="3301" t="s">
        <v>677</v>
      </c>
      <c r="H13490" s="3063"/>
      <c r="I13490" s="3030"/>
    </row>
    <row r="13491" spans="2:9">
      <c r="B13491" s="3192" t="s">
        <v>678</v>
      </c>
      <c r="C13491" s="3063"/>
      <c r="D13491" s="3064"/>
      <c r="E13491" s="3064"/>
      <c r="F13491" s="3064"/>
      <c r="G13491" s="3301" t="s">
        <v>678</v>
      </c>
      <c r="H13491" s="3063"/>
      <c r="I13491" s="3030"/>
    </row>
    <row r="13492" spans="2:9">
      <c r="B13492" s="3192" t="s">
        <v>679</v>
      </c>
      <c r="C13492" s="3063"/>
      <c r="D13492" s="3064"/>
      <c r="E13492" s="3064"/>
      <c r="F13492" s="3064"/>
      <c r="G13492" s="3301" t="s">
        <v>679</v>
      </c>
      <c r="H13492" s="3063"/>
      <c r="I13492" s="3030"/>
    </row>
    <row r="13493" spans="2:9" ht="25.5">
      <c r="B13493" s="3192" t="s">
        <v>720</v>
      </c>
      <c r="C13493" s="3063"/>
      <c r="D13493" s="3064"/>
      <c r="E13493" s="3064"/>
      <c r="F13493" s="3064"/>
      <c r="G13493" s="3301" t="s">
        <v>720</v>
      </c>
      <c r="H13493" s="3063"/>
      <c r="I13493" s="3030"/>
    </row>
    <row r="13494" spans="2:9" ht="25.5">
      <c r="B13494" s="3299" t="s">
        <v>66</v>
      </c>
      <c r="C13494" s="3063"/>
      <c r="D13494" s="3064"/>
      <c r="E13494" s="3064"/>
      <c r="F13494" s="3064"/>
      <c r="G13494" s="3300" t="s">
        <v>66</v>
      </c>
      <c r="H13494" s="3063"/>
      <c r="I13494" s="3030"/>
    </row>
    <row r="13495" spans="2:9" ht="25.5">
      <c r="B13495" s="3192" t="s">
        <v>675</v>
      </c>
      <c r="C13495" s="3063"/>
      <c r="D13495" s="3064"/>
      <c r="E13495" s="3064"/>
      <c r="F13495" s="3064"/>
      <c r="G13495" s="3301" t="s">
        <v>675</v>
      </c>
      <c r="H13495" s="3063"/>
      <c r="I13495" s="3030"/>
    </row>
    <row r="13496" spans="2:9" ht="25.5">
      <c r="B13496" s="3192" t="s">
        <v>676</v>
      </c>
      <c r="C13496" s="3063"/>
      <c r="D13496" s="3064"/>
      <c r="E13496" s="3064"/>
      <c r="F13496" s="3064"/>
      <c r="G13496" s="3301" t="s">
        <v>676</v>
      </c>
      <c r="H13496" s="3063"/>
      <c r="I13496" s="3030"/>
    </row>
    <row r="13497" spans="2:9">
      <c r="B13497" s="3192" t="s">
        <v>677</v>
      </c>
      <c r="C13497" s="3063"/>
      <c r="D13497" s="3064"/>
      <c r="E13497" s="3064"/>
      <c r="F13497" s="3064"/>
      <c r="G13497" s="3301" t="s">
        <v>677</v>
      </c>
      <c r="H13497" s="3063"/>
      <c r="I13497" s="3030"/>
    </row>
    <row r="13498" spans="2:9">
      <c r="B13498" s="3192" t="s">
        <v>678</v>
      </c>
      <c r="C13498" s="3063"/>
      <c r="D13498" s="3064"/>
      <c r="E13498" s="3064"/>
      <c r="F13498" s="3064"/>
      <c r="G13498" s="3301" t="s">
        <v>678</v>
      </c>
      <c r="H13498" s="3063"/>
      <c r="I13498" s="3030"/>
    </row>
    <row r="13499" spans="2:9">
      <c r="B13499" s="3192" t="s">
        <v>679</v>
      </c>
      <c r="C13499" s="3063"/>
      <c r="D13499" s="3064"/>
      <c r="E13499" s="3064"/>
      <c r="F13499" s="3064"/>
      <c r="G13499" s="3301" t="s">
        <v>679</v>
      </c>
      <c r="H13499" s="3063"/>
      <c r="I13499" s="3030"/>
    </row>
    <row r="13500" spans="2:9" ht="25.5">
      <c r="B13500" s="3192" t="s">
        <v>720</v>
      </c>
      <c r="C13500" s="3063"/>
      <c r="D13500" s="3064"/>
      <c r="E13500" s="3064"/>
      <c r="F13500" s="3064"/>
      <c r="G13500" s="3301" t="s">
        <v>720</v>
      </c>
      <c r="H13500" s="3063"/>
      <c r="I13500" s="3030"/>
    </row>
    <row r="13501" spans="2:9">
      <c r="B13501" s="3299" t="s">
        <v>67</v>
      </c>
      <c r="C13501" s="3063"/>
      <c r="D13501" s="3064"/>
      <c r="E13501" s="3064"/>
      <c r="F13501" s="3064"/>
      <c r="G13501" s="3300" t="s">
        <v>67</v>
      </c>
      <c r="H13501" s="3063"/>
      <c r="I13501" s="3030"/>
    </row>
    <row r="13502" spans="2:9" ht="25.5">
      <c r="B13502" s="3192" t="s">
        <v>675</v>
      </c>
      <c r="C13502" s="3063"/>
      <c r="D13502" s="3064"/>
      <c r="E13502" s="3064"/>
      <c r="F13502" s="3064"/>
      <c r="G13502" s="3301" t="s">
        <v>675</v>
      </c>
      <c r="H13502" s="3063"/>
      <c r="I13502" s="3030"/>
    </row>
    <row r="13503" spans="2:9" ht="25.5">
      <c r="B13503" s="3192" t="s">
        <v>676</v>
      </c>
      <c r="C13503" s="3063"/>
      <c r="D13503" s="3064"/>
      <c r="E13503" s="3064"/>
      <c r="F13503" s="3064"/>
      <c r="G13503" s="3301" t="s">
        <v>676</v>
      </c>
      <c r="H13503" s="3063"/>
      <c r="I13503" s="3030"/>
    </row>
    <row r="13504" spans="2:9">
      <c r="B13504" s="3192" t="s">
        <v>677</v>
      </c>
      <c r="C13504" s="3063"/>
      <c r="D13504" s="3064"/>
      <c r="E13504" s="3064"/>
      <c r="F13504" s="3064"/>
      <c r="G13504" s="3301" t="s">
        <v>677</v>
      </c>
      <c r="H13504" s="3063"/>
      <c r="I13504" s="3030"/>
    </row>
    <row r="13505" spans="2:9">
      <c r="B13505" s="3192" t="s">
        <v>678</v>
      </c>
      <c r="C13505" s="3063"/>
      <c r="D13505" s="3064"/>
      <c r="E13505" s="3064"/>
      <c r="F13505" s="3064"/>
      <c r="G13505" s="3301" t="s">
        <v>678</v>
      </c>
      <c r="H13505" s="3063"/>
      <c r="I13505" s="3030"/>
    </row>
    <row r="13506" spans="2:9">
      <c r="B13506" s="3192" t="s">
        <v>679</v>
      </c>
      <c r="C13506" s="3063"/>
      <c r="D13506" s="3064"/>
      <c r="E13506" s="3064"/>
      <c r="F13506" s="3064"/>
      <c r="G13506" s="3301" t="s">
        <v>679</v>
      </c>
      <c r="H13506" s="3063"/>
      <c r="I13506" s="3030"/>
    </row>
    <row r="13507" spans="2:9" ht="25.5">
      <c r="B13507" s="3192" t="s">
        <v>720</v>
      </c>
      <c r="C13507" s="3063"/>
      <c r="D13507" s="3064"/>
      <c r="E13507" s="3064"/>
      <c r="F13507" s="3064"/>
      <c r="G13507" s="3301" t="s">
        <v>720</v>
      </c>
      <c r="H13507" s="3063"/>
      <c r="I13507" s="3030"/>
    </row>
    <row r="13508" spans="2:9" ht="25.5">
      <c r="B13508" s="3230" t="s">
        <v>81</v>
      </c>
      <c r="C13508" s="3063"/>
      <c r="D13508" s="3064"/>
      <c r="E13508" s="3064"/>
      <c r="F13508" s="3064"/>
      <c r="G13508" s="3302" t="s">
        <v>81</v>
      </c>
      <c r="H13508" s="3063"/>
      <c r="I13508" s="3030"/>
    </row>
    <row r="13509" spans="2:9" ht="26.25" thickBot="1">
      <c r="B13509" s="3303" t="s">
        <v>81</v>
      </c>
      <c r="C13509" s="3063"/>
      <c r="D13509" s="3064"/>
      <c r="E13509" s="3064"/>
      <c r="F13509" s="3064"/>
      <c r="G13509" s="3302" t="s">
        <v>81</v>
      </c>
      <c r="H13509" s="3063"/>
      <c r="I13509" s="3030"/>
    </row>
    <row r="13510" spans="2:9" ht="25.5">
      <c r="B13510" s="3217" t="s">
        <v>696</v>
      </c>
      <c r="C13510" s="3218"/>
      <c r="D13510" s="3219"/>
      <c r="E13510" s="3219"/>
      <c r="F13510" s="3219"/>
      <c r="G13510" s="3217" t="s">
        <v>696</v>
      </c>
      <c r="H13510" s="3297"/>
      <c r="I13510" s="3298"/>
    </row>
    <row r="13511" spans="2:9">
      <c r="B13511" s="3299" t="s">
        <v>64</v>
      </c>
      <c r="C13511" s="3063"/>
      <c r="D13511" s="3064"/>
      <c r="E13511" s="3064"/>
      <c r="F13511" s="3064"/>
      <c r="G13511" s="3300" t="s">
        <v>64</v>
      </c>
      <c r="H13511" s="3063"/>
      <c r="I13511" s="3030"/>
    </row>
    <row r="13512" spans="2:9" ht="25.5">
      <c r="B13512" s="3192" t="s">
        <v>675</v>
      </c>
      <c r="C13512" s="3063"/>
      <c r="D13512" s="3064"/>
      <c r="E13512" s="3064"/>
      <c r="F13512" s="3064"/>
      <c r="G13512" s="3301" t="s">
        <v>675</v>
      </c>
      <c r="H13512" s="3063"/>
      <c r="I13512" s="3030"/>
    </row>
    <row r="13513" spans="2:9" ht="25.5">
      <c r="B13513" s="3192" t="s">
        <v>676</v>
      </c>
      <c r="C13513" s="3063"/>
      <c r="D13513" s="3064"/>
      <c r="E13513" s="3064"/>
      <c r="F13513" s="3064"/>
      <c r="G13513" s="3301" t="s">
        <v>676</v>
      </c>
      <c r="H13513" s="3063"/>
      <c r="I13513" s="3030"/>
    </row>
    <row r="13514" spans="2:9">
      <c r="B13514" s="3192" t="s">
        <v>677</v>
      </c>
      <c r="C13514" s="3063"/>
      <c r="D13514" s="3064"/>
      <c r="E13514" s="3064"/>
      <c r="F13514" s="3064"/>
      <c r="G13514" s="3301" t="s">
        <v>677</v>
      </c>
      <c r="H13514" s="3063"/>
      <c r="I13514" s="3030"/>
    </row>
    <row r="13515" spans="2:9">
      <c r="B13515" s="3192" t="s">
        <v>678</v>
      </c>
      <c r="C13515" s="3063"/>
      <c r="D13515" s="3064"/>
      <c r="E13515" s="3064"/>
      <c r="F13515" s="3064"/>
      <c r="G13515" s="3301" t="s">
        <v>678</v>
      </c>
      <c r="H13515" s="3063"/>
      <c r="I13515" s="3030"/>
    </row>
    <row r="13516" spans="2:9">
      <c r="B13516" s="3192" t="s">
        <v>679</v>
      </c>
      <c r="C13516" s="3063"/>
      <c r="D13516" s="3064"/>
      <c r="E13516" s="3064"/>
      <c r="F13516" s="3064"/>
      <c r="G13516" s="3301" t="s">
        <v>679</v>
      </c>
      <c r="H13516" s="3063"/>
      <c r="I13516" s="3030"/>
    </row>
    <row r="13517" spans="2:9" ht="25.5">
      <c r="B13517" s="3192" t="s">
        <v>720</v>
      </c>
      <c r="C13517" s="3063"/>
      <c r="D13517" s="3064"/>
      <c r="E13517" s="3064"/>
      <c r="F13517" s="3064"/>
      <c r="G13517" s="3301" t="s">
        <v>720</v>
      </c>
      <c r="H13517" s="3063"/>
      <c r="I13517" s="3030"/>
    </row>
    <row r="13518" spans="2:9">
      <c r="B13518" s="3299" t="s">
        <v>65</v>
      </c>
      <c r="C13518" s="3063"/>
      <c r="D13518" s="3064"/>
      <c r="E13518" s="3064"/>
      <c r="F13518" s="3064"/>
      <c r="G13518" s="3300" t="s">
        <v>65</v>
      </c>
      <c r="H13518" s="3063"/>
      <c r="I13518" s="3030"/>
    </row>
    <row r="13519" spans="2:9" ht="25.5">
      <c r="B13519" s="3192" t="s">
        <v>675</v>
      </c>
      <c r="C13519" s="3063"/>
      <c r="D13519" s="3064"/>
      <c r="E13519" s="3064"/>
      <c r="F13519" s="3064"/>
      <c r="G13519" s="3301" t="s">
        <v>675</v>
      </c>
      <c r="H13519" s="3063"/>
      <c r="I13519" s="3030"/>
    </row>
    <row r="13520" spans="2:9" ht="25.5">
      <c r="B13520" s="3192" t="s">
        <v>676</v>
      </c>
      <c r="C13520" s="3063"/>
      <c r="D13520" s="3064"/>
      <c r="E13520" s="3064"/>
      <c r="F13520" s="3064"/>
      <c r="G13520" s="3301" t="s">
        <v>676</v>
      </c>
      <c r="H13520" s="3063"/>
      <c r="I13520" s="3030"/>
    </row>
    <row r="13521" spans="2:9">
      <c r="B13521" s="3192" t="s">
        <v>677</v>
      </c>
      <c r="C13521" s="3063"/>
      <c r="D13521" s="3064"/>
      <c r="E13521" s="3064"/>
      <c r="F13521" s="3064"/>
      <c r="G13521" s="3301" t="s">
        <v>677</v>
      </c>
      <c r="H13521" s="3063"/>
      <c r="I13521" s="3030"/>
    </row>
    <row r="13522" spans="2:9">
      <c r="B13522" s="3192" t="s">
        <v>678</v>
      </c>
      <c r="C13522" s="3063"/>
      <c r="D13522" s="3064"/>
      <c r="E13522" s="3064"/>
      <c r="F13522" s="3064"/>
      <c r="G13522" s="3301" t="s">
        <v>678</v>
      </c>
      <c r="H13522" s="3063"/>
      <c r="I13522" s="3030"/>
    </row>
    <row r="13523" spans="2:9">
      <c r="B13523" s="3192" t="s">
        <v>679</v>
      </c>
      <c r="C13523" s="3063"/>
      <c r="D13523" s="3064"/>
      <c r="E13523" s="3064"/>
      <c r="F13523" s="3064"/>
      <c r="G13523" s="3301" t="s">
        <v>679</v>
      </c>
      <c r="H13523" s="3063"/>
      <c r="I13523" s="3030"/>
    </row>
    <row r="13524" spans="2:9" ht="25.5">
      <c r="B13524" s="3192" t="s">
        <v>720</v>
      </c>
      <c r="C13524" s="3063"/>
      <c r="D13524" s="3064"/>
      <c r="E13524" s="3064"/>
      <c r="F13524" s="3064"/>
      <c r="G13524" s="3301" t="s">
        <v>720</v>
      </c>
      <c r="H13524" s="3063"/>
      <c r="I13524" s="3030"/>
    </row>
    <row r="13525" spans="2:9">
      <c r="B13525" s="3299" t="s">
        <v>82</v>
      </c>
      <c r="C13525" s="3063"/>
      <c r="D13525" s="3064"/>
      <c r="E13525" s="3064"/>
      <c r="F13525" s="3064"/>
      <c r="G13525" s="3300" t="s">
        <v>82</v>
      </c>
      <c r="H13525" s="3063"/>
      <c r="I13525" s="3030"/>
    </row>
    <row r="13526" spans="2:9" ht="25.5">
      <c r="B13526" s="3192" t="s">
        <v>675</v>
      </c>
      <c r="C13526" s="3063"/>
      <c r="D13526" s="3064"/>
      <c r="E13526" s="3064"/>
      <c r="F13526" s="3064"/>
      <c r="G13526" s="3301" t="s">
        <v>675</v>
      </c>
      <c r="H13526" s="3063"/>
      <c r="I13526" s="3030"/>
    </row>
    <row r="13527" spans="2:9" ht="25.5">
      <c r="B13527" s="3192" t="s">
        <v>676</v>
      </c>
      <c r="C13527" s="3063"/>
      <c r="D13527" s="3064"/>
      <c r="E13527" s="3064"/>
      <c r="F13527" s="3064"/>
      <c r="G13527" s="3301" t="s">
        <v>676</v>
      </c>
      <c r="H13527" s="3063"/>
      <c r="I13527" s="3030"/>
    </row>
    <row r="13528" spans="2:9">
      <c r="B13528" s="3192" t="s">
        <v>677</v>
      </c>
      <c r="C13528" s="3063"/>
      <c r="D13528" s="3064"/>
      <c r="E13528" s="3064"/>
      <c r="F13528" s="3064"/>
      <c r="G13528" s="3301" t="s">
        <v>677</v>
      </c>
      <c r="H13528" s="3063"/>
      <c r="I13528" s="3030"/>
    </row>
    <row r="13529" spans="2:9">
      <c r="B13529" s="3192" t="s">
        <v>678</v>
      </c>
      <c r="C13529" s="3063"/>
      <c r="D13529" s="3064"/>
      <c r="E13529" s="3064"/>
      <c r="F13529" s="3064"/>
      <c r="G13529" s="3301" t="s">
        <v>678</v>
      </c>
      <c r="H13529" s="3063"/>
      <c r="I13529" s="3030"/>
    </row>
    <row r="13530" spans="2:9">
      <c r="B13530" s="3192" t="s">
        <v>679</v>
      </c>
      <c r="C13530" s="3063"/>
      <c r="D13530" s="3064"/>
      <c r="E13530" s="3064"/>
      <c r="F13530" s="3064"/>
      <c r="G13530" s="3301" t="s">
        <v>679</v>
      </c>
      <c r="H13530" s="3063"/>
      <c r="I13530" s="3030"/>
    </row>
    <row r="13531" spans="2:9" ht="25.5">
      <c r="B13531" s="3192" t="s">
        <v>720</v>
      </c>
      <c r="C13531" s="3063"/>
      <c r="D13531" s="3064"/>
      <c r="E13531" s="3064"/>
      <c r="F13531" s="3064"/>
      <c r="G13531" s="3301" t="s">
        <v>720</v>
      </c>
      <c r="H13531" s="3063"/>
      <c r="I13531" s="3030"/>
    </row>
    <row r="13532" spans="2:9" ht="38.25">
      <c r="B13532" s="3299" t="s">
        <v>680</v>
      </c>
      <c r="C13532" s="3063"/>
      <c r="D13532" s="3064"/>
      <c r="E13532" s="3064"/>
      <c r="F13532" s="3064"/>
      <c r="G13532" s="3300" t="s">
        <v>680</v>
      </c>
      <c r="H13532" s="3063"/>
      <c r="I13532" s="3030"/>
    </row>
    <row r="13533" spans="2:9" ht="25.5">
      <c r="B13533" s="3192" t="s">
        <v>675</v>
      </c>
      <c r="C13533" s="3063"/>
      <c r="D13533" s="3064"/>
      <c r="E13533" s="3064"/>
      <c r="F13533" s="3064"/>
      <c r="G13533" s="3301" t="s">
        <v>675</v>
      </c>
      <c r="H13533" s="3063"/>
      <c r="I13533" s="3030"/>
    </row>
    <row r="13534" spans="2:9" ht="25.5">
      <c r="B13534" s="3192" t="s">
        <v>676</v>
      </c>
      <c r="C13534" s="3063"/>
      <c r="D13534" s="3064"/>
      <c r="E13534" s="3064"/>
      <c r="F13534" s="3064"/>
      <c r="G13534" s="3301" t="s">
        <v>676</v>
      </c>
      <c r="H13534" s="3063"/>
      <c r="I13534" s="3030"/>
    </row>
    <row r="13535" spans="2:9">
      <c r="B13535" s="3192" t="s">
        <v>677</v>
      </c>
      <c r="C13535" s="3063"/>
      <c r="D13535" s="3064"/>
      <c r="E13535" s="3064"/>
      <c r="F13535" s="3064"/>
      <c r="G13535" s="3301" t="s">
        <v>677</v>
      </c>
      <c r="H13535" s="3063"/>
      <c r="I13535" s="3030"/>
    </row>
    <row r="13536" spans="2:9">
      <c r="B13536" s="3192" t="s">
        <v>678</v>
      </c>
      <c r="C13536" s="3063"/>
      <c r="D13536" s="3064"/>
      <c r="E13536" s="3064"/>
      <c r="F13536" s="3064"/>
      <c r="G13536" s="3301" t="s">
        <v>678</v>
      </c>
      <c r="H13536" s="3063"/>
      <c r="I13536" s="3030"/>
    </row>
    <row r="13537" spans="2:9">
      <c r="B13537" s="3192" t="s">
        <v>679</v>
      </c>
      <c r="C13537" s="3063"/>
      <c r="D13537" s="3064"/>
      <c r="E13537" s="3064"/>
      <c r="F13537" s="3064"/>
      <c r="G13537" s="3301" t="s">
        <v>679</v>
      </c>
      <c r="H13537" s="3063"/>
      <c r="I13537" s="3030"/>
    </row>
    <row r="13538" spans="2:9" ht="25.5">
      <c r="B13538" s="3192" t="s">
        <v>720</v>
      </c>
      <c r="C13538" s="3063"/>
      <c r="D13538" s="3064"/>
      <c r="E13538" s="3064"/>
      <c r="F13538" s="3064"/>
      <c r="G13538" s="3301" t="s">
        <v>720</v>
      </c>
      <c r="H13538" s="3063"/>
      <c r="I13538" s="3030"/>
    </row>
    <row r="13539" spans="2:9" ht="38.25">
      <c r="B13539" s="3299" t="s">
        <v>681</v>
      </c>
      <c r="C13539" s="3063"/>
      <c r="D13539" s="3064"/>
      <c r="E13539" s="3064"/>
      <c r="F13539" s="3064"/>
      <c r="G13539" s="3300" t="s">
        <v>681</v>
      </c>
      <c r="H13539" s="3063"/>
      <c r="I13539" s="3030"/>
    </row>
    <row r="13540" spans="2:9" ht="25.5">
      <c r="B13540" s="3192" t="s">
        <v>675</v>
      </c>
      <c r="C13540" s="3063"/>
      <c r="D13540" s="3064"/>
      <c r="E13540" s="3064"/>
      <c r="F13540" s="3064"/>
      <c r="G13540" s="3301" t="s">
        <v>675</v>
      </c>
      <c r="H13540" s="3063"/>
      <c r="I13540" s="3030"/>
    </row>
    <row r="13541" spans="2:9" ht="25.5">
      <c r="B13541" s="3192" t="s">
        <v>676</v>
      </c>
      <c r="C13541" s="3063"/>
      <c r="D13541" s="3064"/>
      <c r="E13541" s="3064"/>
      <c r="F13541" s="3064"/>
      <c r="G13541" s="3301" t="s">
        <v>676</v>
      </c>
      <c r="H13541" s="3063"/>
      <c r="I13541" s="3030"/>
    </row>
    <row r="13542" spans="2:9">
      <c r="B13542" s="3192" t="s">
        <v>677</v>
      </c>
      <c r="C13542" s="3063"/>
      <c r="D13542" s="3064"/>
      <c r="E13542" s="3064"/>
      <c r="F13542" s="3064"/>
      <c r="G13542" s="3301" t="s">
        <v>677</v>
      </c>
      <c r="H13542" s="3063"/>
      <c r="I13542" s="3030"/>
    </row>
    <row r="13543" spans="2:9">
      <c r="B13543" s="3192" t="s">
        <v>678</v>
      </c>
      <c r="C13543" s="3063"/>
      <c r="D13543" s="3064"/>
      <c r="E13543" s="3064"/>
      <c r="F13543" s="3064"/>
      <c r="G13543" s="3301" t="s">
        <v>678</v>
      </c>
      <c r="H13543" s="3063"/>
      <c r="I13543" s="3030"/>
    </row>
    <row r="13544" spans="2:9">
      <c r="B13544" s="3192" t="s">
        <v>679</v>
      </c>
      <c r="C13544" s="3063"/>
      <c r="D13544" s="3064"/>
      <c r="E13544" s="3064"/>
      <c r="F13544" s="3064"/>
      <c r="G13544" s="3301" t="s">
        <v>679</v>
      </c>
      <c r="H13544" s="3063"/>
      <c r="I13544" s="3030"/>
    </row>
    <row r="13545" spans="2:9" ht="25.5">
      <c r="B13545" s="3192" t="s">
        <v>720</v>
      </c>
      <c r="C13545" s="3063"/>
      <c r="D13545" s="3064"/>
      <c r="E13545" s="3064"/>
      <c r="F13545" s="3064"/>
      <c r="G13545" s="3301" t="s">
        <v>720</v>
      </c>
      <c r="H13545" s="3063"/>
      <c r="I13545" s="3030"/>
    </row>
    <row r="13546" spans="2:9" ht="25.5">
      <c r="B13546" s="3299" t="s">
        <v>682</v>
      </c>
      <c r="C13546" s="3063"/>
      <c r="D13546" s="3064"/>
      <c r="E13546" s="3064"/>
      <c r="F13546" s="3064"/>
      <c r="G13546" s="3300" t="s">
        <v>682</v>
      </c>
      <c r="H13546" s="3063"/>
      <c r="I13546" s="3030"/>
    </row>
    <row r="13547" spans="2:9" ht="25.5">
      <c r="B13547" s="3192" t="s">
        <v>675</v>
      </c>
      <c r="C13547" s="3063"/>
      <c r="D13547" s="3064"/>
      <c r="E13547" s="3064"/>
      <c r="F13547" s="3064"/>
      <c r="G13547" s="3301" t="s">
        <v>675</v>
      </c>
      <c r="H13547" s="3063"/>
      <c r="I13547" s="3030"/>
    </row>
    <row r="13548" spans="2:9" ht="25.5">
      <c r="B13548" s="3192" t="s">
        <v>676</v>
      </c>
      <c r="C13548" s="3063"/>
      <c r="D13548" s="3064"/>
      <c r="E13548" s="3064"/>
      <c r="F13548" s="3064"/>
      <c r="G13548" s="3301" t="s">
        <v>676</v>
      </c>
      <c r="H13548" s="3063"/>
      <c r="I13548" s="3030"/>
    </row>
    <row r="13549" spans="2:9">
      <c r="B13549" s="3192" t="s">
        <v>677</v>
      </c>
      <c r="C13549" s="3063"/>
      <c r="D13549" s="3064"/>
      <c r="E13549" s="3064"/>
      <c r="F13549" s="3064"/>
      <c r="G13549" s="3301" t="s">
        <v>677</v>
      </c>
      <c r="H13549" s="3063"/>
      <c r="I13549" s="3030"/>
    </row>
    <row r="13550" spans="2:9">
      <c r="B13550" s="3192" t="s">
        <v>678</v>
      </c>
      <c r="C13550" s="3063"/>
      <c r="D13550" s="3064"/>
      <c r="E13550" s="3064"/>
      <c r="F13550" s="3064"/>
      <c r="G13550" s="3301" t="s">
        <v>678</v>
      </c>
      <c r="H13550" s="3063"/>
      <c r="I13550" s="3030"/>
    </row>
    <row r="13551" spans="2:9">
      <c r="B13551" s="3192" t="s">
        <v>679</v>
      </c>
      <c r="C13551" s="3063"/>
      <c r="D13551" s="3064"/>
      <c r="E13551" s="3064"/>
      <c r="F13551" s="3064"/>
      <c r="G13551" s="3301" t="s">
        <v>679</v>
      </c>
      <c r="H13551" s="3063"/>
      <c r="I13551" s="3030"/>
    </row>
    <row r="13552" spans="2:9" ht="25.5">
      <c r="B13552" s="3192" t="s">
        <v>720</v>
      </c>
      <c r="C13552" s="3063"/>
      <c r="D13552" s="3064"/>
      <c r="E13552" s="3064"/>
      <c r="F13552" s="3064"/>
      <c r="G13552" s="3301" t="s">
        <v>720</v>
      </c>
      <c r="H13552" s="3063"/>
      <c r="I13552" s="3030"/>
    </row>
    <row r="13553" spans="2:9" ht="25.5">
      <c r="B13553" s="3299" t="s">
        <v>66</v>
      </c>
      <c r="C13553" s="3063"/>
      <c r="D13553" s="3064"/>
      <c r="E13553" s="3064"/>
      <c r="F13553" s="3064"/>
      <c r="G13553" s="3300" t="s">
        <v>66</v>
      </c>
      <c r="H13553" s="3063"/>
      <c r="I13553" s="3030"/>
    </row>
    <row r="13554" spans="2:9" ht="25.5">
      <c r="B13554" s="3192" t="s">
        <v>675</v>
      </c>
      <c r="C13554" s="3063"/>
      <c r="D13554" s="3064"/>
      <c r="E13554" s="3064"/>
      <c r="F13554" s="3064"/>
      <c r="G13554" s="3301" t="s">
        <v>675</v>
      </c>
      <c r="H13554" s="3063"/>
      <c r="I13554" s="3030"/>
    </row>
    <row r="13555" spans="2:9" ht="25.5">
      <c r="B13555" s="3192" t="s">
        <v>676</v>
      </c>
      <c r="C13555" s="3063"/>
      <c r="D13555" s="3064"/>
      <c r="E13555" s="3064"/>
      <c r="F13555" s="3064"/>
      <c r="G13555" s="3301" t="s">
        <v>676</v>
      </c>
      <c r="H13555" s="3063"/>
      <c r="I13555" s="3030"/>
    </row>
    <row r="13556" spans="2:9">
      <c r="B13556" s="3192" t="s">
        <v>677</v>
      </c>
      <c r="C13556" s="3063"/>
      <c r="D13556" s="3064"/>
      <c r="E13556" s="3064"/>
      <c r="F13556" s="3064"/>
      <c r="G13556" s="3301" t="s">
        <v>677</v>
      </c>
      <c r="H13556" s="3063"/>
      <c r="I13556" s="3030"/>
    </row>
    <row r="13557" spans="2:9">
      <c r="B13557" s="3192" t="s">
        <v>678</v>
      </c>
      <c r="C13557" s="3063"/>
      <c r="D13557" s="3064"/>
      <c r="E13557" s="3064"/>
      <c r="F13557" s="3064"/>
      <c r="G13557" s="3301" t="s">
        <v>678</v>
      </c>
      <c r="H13557" s="3063"/>
      <c r="I13557" s="3030"/>
    </row>
    <row r="13558" spans="2:9">
      <c r="B13558" s="3192" t="s">
        <v>679</v>
      </c>
      <c r="C13558" s="3063"/>
      <c r="D13558" s="3064"/>
      <c r="E13558" s="3064"/>
      <c r="F13558" s="3064"/>
      <c r="G13558" s="3301" t="s">
        <v>679</v>
      </c>
      <c r="H13558" s="3063"/>
      <c r="I13558" s="3030"/>
    </row>
    <row r="13559" spans="2:9" ht="25.5">
      <c r="B13559" s="3192" t="s">
        <v>720</v>
      </c>
      <c r="C13559" s="3063"/>
      <c r="D13559" s="3064"/>
      <c r="E13559" s="3064"/>
      <c r="F13559" s="3064"/>
      <c r="G13559" s="3301" t="s">
        <v>720</v>
      </c>
      <c r="H13559" s="3063"/>
      <c r="I13559" s="3030"/>
    </row>
    <row r="13560" spans="2:9">
      <c r="B13560" s="3299" t="s">
        <v>67</v>
      </c>
      <c r="C13560" s="3063"/>
      <c r="D13560" s="3064"/>
      <c r="E13560" s="3064"/>
      <c r="F13560" s="3064"/>
      <c r="G13560" s="3300" t="s">
        <v>67</v>
      </c>
      <c r="H13560" s="3063"/>
      <c r="I13560" s="3030"/>
    </row>
    <row r="13561" spans="2:9" ht="25.5">
      <c r="B13561" s="3192" t="s">
        <v>675</v>
      </c>
      <c r="C13561" s="3063"/>
      <c r="D13561" s="3064"/>
      <c r="E13561" s="3064"/>
      <c r="F13561" s="3064"/>
      <c r="G13561" s="3301" t="s">
        <v>675</v>
      </c>
      <c r="H13561" s="3063"/>
      <c r="I13561" s="3030"/>
    </row>
    <row r="13562" spans="2:9" ht="25.5">
      <c r="B13562" s="3192" t="s">
        <v>676</v>
      </c>
      <c r="C13562" s="3063"/>
      <c r="D13562" s="3064"/>
      <c r="E13562" s="3064"/>
      <c r="F13562" s="3064"/>
      <c r="G13562" s="3301" t="s">
        <v>676</v>
      </c>
      <c r="H13562" s="3063"/>
      <c r="I13562" s="3030"/>
    </row>
    <row r="13563" spans="2:9">
      <c r="B13563" s="3192" t="s">
        <v>677</v>
      </c>
      <c r="C13563" s="3063"/>
      <c r="D13563" s="3064"/>
      <c r="E13563" s="3064"/>
      <c r="F13563" s="3064"/>
      <c r="G13563" s="3301" t="s">
        <v>677</v>
      </c>
      <c r="H13563" s="3063"/>
      <c r="I13563" s="3030"/>
    </row>
    <row r="13564" spans="2:9">
      <c r="B13564" s="3192" t="s">
        <v>678</v>
      </c>
      <c r="C13564" s="3063"/>
      <c r="D13564" s="3064"/>
      <c r="E13564" s="3064"/>
      <c r="F13564" s="3064"/>
      <c r="G13564" s="3301" t="s">
        <v>678</v>
      </c>
      <c r="H13564" s="3063"/>
      <c r="I13564" s="3030"/>
    </row>
    <row r="13565" spans="2:9">
      <c r="B13565" s="3192" t="s">
        <v>679</v>
      </c>
      <c r="C13565" s="3063"/>
      <c r="D13565" s="3064"/>
      <c r="E13565" s="3064"/>
      <c r="F13565" s="3064"/>
      <c r="G13565" s="3301" t="s">
        <v>679</v>
      </c>
      <c r="H13565" s="3063"/>
      <c r="I13565" s="3030"/>
    </row>
    <row r="13566" spans="2:9" ht="25.5">
      <c r="B13566" s="3230" t="s">
        <v>81</v>
      </c>
      <c r="C13566" s="3063"/>
      <c r="D13566" s="3064"/>
      <c r="E13566" s="3064"/>
      <c r="F13566" s="3064"/>
      <c r="G13566" s="3302" t="s">
        <v>81</v>
      </c>
      <c r="H13566" s="3063"/>
      <c r="I13566" s="3030"/>
    </row>
    <row r="13567" spans="2:9" ht="26.25" thickBot="1">
      <c r="B13567" s="3303" t="s">
        <v>81</v>
      </c>
      <c r="C13567" s="3063"/>
      <c r="D13567" s="3064"/>
      <c r="E13567" s="3064"/>
      <c r="F13567" s="3064"/>
      <c r="G13567" s="3302" t="s">
        <v>81</v>
      </c>
      <c r="H13567" s="3063"/>
      <c r="I13567" s="3030"/>
    </row>
    <row r="13568" spans="2:9">
      <c r="B13568" s="3217" t="s">
        <v>697</v>
      </c>
      <c r="C13568" s="3218"/>
      <c r="D13568" s="3219"/>
      <c r="E13568" s="3219"/>
      <c r="F13568" s="3219"/>
      <c r="G13568" s="3217" t="s">
        <v>697</v>
      </c>
      <c r="H13568" s="3297"/>
      <c r="I13568" s="3298"/>
    </row>
    <row r="13569" spans="2:9">
      <c r="B13569" s="3299" t="s">
        <v>64</v>
      </c>
      <c r="C13569" s="3063"/>
      <c r="D13569" s="3064"/>
      <c r="E13569" s="3064"/>
      <c r="F13569" s="3064"/>
      <c r="G13569" s="3300" t="s">
        <v>64</v>
      </c>
      <c r="H13569" s="3063"/>
      <c r="I13569" s="3030"/>
    </row>
    <row r="13570" spans="2:9" ht="25.5">
      <c r="B13570" s="3192" t="s">
        <v>675</v>
      </c>
      <c r="C13570" s="3063"/>
      <c r="D13570" s="3064"/>
      <c r="E13570" s="3064"/>
      <c r="F13570" s="3064"/>
      <c r="G13570" s="3301" t="s">
        <v>675</v>
      </c>
      <c r="H13570" s="3063"/>
      <c r="I13570" s="3030"/>
    </row>
    <row r="13571" spans="2:9" ht="25.5">
      <c r="B13571" s="3192" t="s">
        <v>676</v>
      </c>
      <c r="C13571" s="3063"/>
      <c r="D13571" s="3064"/>
      <c r="E13571" s="3064"/>
      <c r="F13571" s="3064"/>
      <c r="G13571" s="3301" t="s">
        <v>676</v>
      </c>
      <c r="H13571" s="3063"/>
      <c r="I13571" s="3030"/>
    </row>
    <row r="13572" spans="2:9">
      <c r="B13572" s="3192" t="s">
        <v>677</v>
      </c>
      <c r="C13572" s="3063"/>
      <c r="D13572" s="3064"/>
      <c r="E13572" s="3064"/>
      <c r="F13572" s="3064"/>
      <c r="G13572" s="3301" t="s">
        <v>677</v>
      </c>
      <c r="H13572" s="3063"/>
      <c r="I13572" s="3030"/>
    </row>
    <row r="13573" spans="2:9">
      <c r="B13573" s="3192" t="s">
        <v>678</v>
      </c>
      <c r="C13573" s="3063"/>
      <c r="D13573" s="3064"/>
      <c r="E13573" s="3064"/>
      <c r="F13573" s="3064"/>
      <c r="G13573" s="3301" t="s">
        <v>678</v>
      </c>
      <c r="H13573" s="3063"/>
      <c r="I13573" s="3030"/>
    </row>
    <row r="13574" spans="2:9">
      <c r="B13574" s="3192" t="s">
        <v>679</v>
      </c>
      <c r="C13574" s="3063"/>
      <c r="D13574" s="3064"/>
      <c r="E13574" s="3064"/>
      <c r="F13574" s="3064"/>
      <c r="G13574" s="3301" t="s">
        <v>679</v>
      </c>
      <c r="H13574" s="3063"/>
      <c r="I13574" s="3030"/>
    </row>
    <row r="13575" spans="2:9" ht="25.5">
      <c r="B13575" s="3192" t="s">
        <v>720</v>
      </c>
      <c r="C13575" s="3063"/>
      <c r="D13575" s="3064"/>
      <c r="E13575" s="3064"/>
      <c r="F13575" s="3064"/>
      <c r="G13575" s="3301" t="s">
        <v>720</v>
      </c>
      <c r="H13575" s="3063"/>
      <c r="I13575" s="3030"/>
    </row>
    <row r="13576" spans="2:9">
      <c r="B13576" s="3299" t="s">
        <v>65</v>
      </c>
      <c r="C13576" s="3063"/>
      <c r="D13576" s="3064"/>
      <c r="E13576" s="3064"/>
      <c r="F13576" s="3064"/>
      <c r="G13576" s="3300" t="s">
        <v>65</v>
      </c>
      <c r="H13576" s="3063"/>
      <c r="I13576" s="3030"/>
    </row>
    <row r="13577" spans="2:9" ht="25.5">
      <c r="B13577" s="3192" t="s">
        <v>675</v>
      </c>
      <c r="C13577" s="3063"/>
      <c r="D13577" s="3064"/>
      <c r="E13577" s="3064"/>
      <c r="F13577" s="3064"/>
      <c r="G13577" s="3301" t="s">
        <v>675</v>
      </c>
      <c r="H13577" s="3063"/>
      <c r="I13577" s="3030"/>
    </row>
    <row r="13578" spans="2:9" ht="25.5">
      <c r="B13578" s="3192" t="s">
        <v>676</v>
      </c>
      <c r="C13578" s="3063"/>
      <c r="D13578" s="3064"/>
      <c r="E13578" s="3064"/>
      <c r="F13578" s="3064"/>
      <c r="G13578" s="3301" t="s">
        <v>676</v>
      </c>
      <c r="H13578" s="3063"/>
      <c r="I13578" s="3030"/>
    </row>
    <row r="13579" spans="2:9">
      <c r="B13579" s="3192" t="s">
        <v>677</v>
      </c>
      <c r="C13579" s="3063"/>
      <c r="D13579" s="3064"/>
      <c r="E13579" s="3064"/>
      <c r="F13579" s="3064"/>
      <c r="G13579" s="3301" t="s">
        <v>677</v>
      </c>
      <c r="H13579" s="3063"/>
      <c r="I13579" s="3030"/>
    </row>
    <row r="13580" spans="2:9">
      <c r="B13580" s="3192" t="s">
        <v>678</v>
      </c>
      <c r="C13580" s="3063"/>
      <c r="D13580" s="3064"/>
      <c r="E13580" s="3064"/>
      <c r="F13580" s="3064"/>
      <c r="G13580" s="3301" t="s">
        <v>678</v>
      </c>
      <c r="H13580" s="3063"/>
      <c r="I13580" s="3030"/>
    </row>
    <row r="13581" spans="2:9">
      <c r="B13581" s="3192" t="s">
        <v>679</v>
      </c>
      <c r="C13581" s="3063"/>
      <c r="D13581" s="3064"/>
      <c r="E13581" s="3064"/>
      <c r="F13581" s="3064"/>
      <c r="G13581" s="3301" t="s">
        <v>679</v>
      </c>
      <c r="H13581" s="3063"/>
      <c r="I13581" s="3030"/>
    </row>
    <row r="13582" spans="2:9" ht="25.5">
      <c r="B13582" s="3192" t="s">
        <v>720</v>
      </c>
      <c r="C13582" s="3063"/>
      <c r="D13582" s="3064"/>
      <c r="E13582" s="3064"/>
      <c r="F13582" s="3064"/>
      <c r="G13582" s="3301" t="s">
        <v>720</v>
      </c>
      <c r="H13582" s="3063"/>
      <c r="I13582" s="3030"/>
    </row>
    <row r="13583" spans="2:9">
      <c r="B13583" s="3299" t="s">
        <v>82</v>
      </c>
      <c r="C13583" s="3063"/>
      <c r="D13583" s="3064"/>
      <c r="E13583" s="3064"/>
      <c r="F13583" s="3064"/>
      <c r="G13583" s="3300" t="s">
        <v>82</v>
      </c>
      <c r="H13583" s="3063"/>
      <c r="I13583" s="3030"/>
    </row>
    <row r="13584" spans="2:9" ht="25.5">
      <c r="B13584" s="3192" t="s">
        <v>675</v>
      </c>
      <c r="C13584" s="3063"/>
      <c r="D13584" s="3064"/>
      <c r="E13584" s="3064"/>
      <c r="F13584" s="3064"/>
      <c r="G13584" s="3301" t="s">
        <v>675</v>
      </c>
      <c r="H13584" s="3063"/>
      <c r="I13584" s="3030"/>
    </row>
    <row r="13585" spans="2:9" ht="25.5">
      <c r="B13585" s="3192" t="s">
        <v>676</v>
      </c>
      <c r="C13585" s="3063"/>
      <c r="D13585" s="3064"/>
      <c r="E13585" s="3064"/>
      <c r="F13585" s="3064"/>
      <c r="G13585" s="3301" t="s">
        <v>676</v>
      </c>
      <c r="H13585" s="3063"/>
      <c r="I13585" s="3030"/>
    </row>
    <row r="13586" spans="2:9">
      <c r="B13586" s="3192" t="s">
        <v>677</v>
      </c>
      <c r="C13586" s="3063"/>
      <c r="D13586" s="3064"/>
      <c r="E13586" s="3064"/>
      <c r="F13586" s="3064"/>
      <c r="G13586" s="3301" t="s">
        <v>677</v>
      </c>
      <c r="H13586" s="3063"/>
      <c r="I13586" s="3030"/>
    </row>
    <row r="13587" spans="2:9">
      <c r="B13587" s="3192" t="s">
        <v>678</v>
      </c>
      <c r="C13587" s="3063"/>
      <c r="D13587" s="3064"/>
      <c r="E13587" s="3064"/>
      <c r="F13587" s="3064"/>
      <c r="G13587" s="3301" t="s">
        <v>678</v>
      </c>
      <c r="H13587" s="3063"/>
      <c r="I13587" s="3030"/>
    </row>
    <row r="13588" spans="2:9">
      <c r="B13588" s="3192" t="s">
        <v>679</v>
      </c>
      <c r="C13588" s="3063"/>
      <c r="D13588" s="3064"/>
      <c r="E13588" s="3064"/>
      <c r="F13588" s="3064"/>
      <c r="G13588" s="3301" t="s">
        <v>679</v>
      </c>
      <c r="H13588" s="3063"/>
      <c r="I13588" s="3030"/>
    </row>
    <row r="13589" spans="2:9" ht="25.5">
      <c r="B13589" s="3192" t="s">
        <v>720</v>
      </c>
      <c r="C13589" s="3063"/>
      <c r="D13589" s="3064"/>
      <c r="E13589" s="3064"/>
      <c r="F13589" s="3064"/>
      <c r="G13589" s="3301" t="s">
        <v>720</v>
      </c>
      <c r="H13589" s="3063"/>
      <c r="I13589" s="3030"/>
    </row>
    <row r="13590" spans="2:9" ht="38.25">
      <c r="B13590" s="3299" t="s">
        <v>680</v>
      </c>
      <c r="C13590" s="3063"/>
      <c r="D13590" s="3064"/>
      <c r="E13590" s="3064"/>
      <c r="F13590" s="3064"/>
      <c r="G13590" s="3300" t="s">
        <v>680</v>
      </c>
      <c r="H13590" s="3063"/>
      <c r="I13590" s="3030"/>
    </row>
    <row r="13591" spans="2:9" ht="25.5">
      <c r="B13591" s="3192" t="s">
        <v>675</v>
      </c>
      <c r="C13591" s="3063"/>
      <c r="D13591" s="3064"/>
      <c r="E13591" s="3064"/>
      <c r="F13591" s="3064"/>
      <c r="G13591" s="3301" t="s">
        <v>675</v>
      </c>
      <c r="H13591" s="3063"/>
      <c r="I13591" s="3030"/>
    </row>
    <row r="13592" spans="2:9" ht="25.5">
      <c r="B13592" s="3192" t="s">
        <v>676</v>
      </c>
      <c r="C13592" s="3063"/>
      <c r="D13592" s="3064"/>
      <c r="E13592" s="3064"/>
      <c r="F13592" s="3064"/>
      <c r="G13592" s="3301" t="s">
        <v>676</v>
      </c>
      <c r="H13592" s="3063"/>
      <c r="I13592" s="3030"/>
    </row>
    <row r="13593" spans="2:9">
      <c r="B13593" s="3192" t="s">
        <v>677</v>
      </c>
      <c r="C13593" s="3063"/>
      <c r="D13593" s="3064"/>
      <c r="E13593" s="3064"/>
      <c r="F13593" s="3064"/>
      <c r="G13593" s="3301" t="s">
        <v>677</v>
      </c>
      <c r="H13593" s="3063"/>
      <c r="I13593" s="3030"/>
    </row>
    <row r="13594" spans="2:9">
      <c r="B13594" s="3192" t="s">
        <v>678</v>
      </c>
      <c r="C13594" s="3063"/>
      <c r="D13594" s="3064"/>
      <c r="E13594" s="3064"/>
      <c r="F13594" s="3064"/>
      <c r="G13594" s="3301" t="s">
        <v>678</v>
      </c>
      <c r="H13594" s="3063"/>
      <c r="I13594" s="3030"/>
    </row>
    <row r="13595" spans="2:9">
      <c r="B13595" s="3192" t="s">
        <v>679</v>
      </c>
      <c r="C13595" s="3063"/>
      <c r="D13595" s="3064"/>
      <c r="E13595" s="3064"/>
      <c r="F13595" s="3064"/>
      <c r="G13595" s="3301" t="s">
        <v>679</v>
      </c>
      <c r="H13595" s="3063"/>
      <c r="I13595" s="3030"/>
    </row>
    <row r="13596" spans="2:9" ht="25.5">
      <c r="B13596" s="3192" t="s">
        <v>720</v>
      </c>
      <c r="C13596" s="3063"/>
      <c r="D13596" s="3064"/>
      <c r="E13596" s="3064"/>
      <c r="F13596" s="3064"/>
      <c r="G13596" s="3301" t="s">
        <v>720</v>
      </c>
      <c r="H13596" s="3063"/>
      <c r="I13596" s="3030"/>
    </row>
    <row r="13597" spans="2:9" ht="38.25">
      <c r="B13597" s="3299" t="s">
        <v>681</v>
      </c>
      <c r="C13597" s="3063"/>
      <c r="D13597" s="3064"/>
      <c r="E13597" s="3064"/>
      <c r="F13597" s="3064"/>
      <c r="G13597" s="3300" t="s">
        <v>681</v>
      </c>
      <c r="H13597" s="3063"/>
      <c r="I13597" s="3030"/>
    </row>
    <row r="13598" spans="2:9" ht="25.5">
      <c r="B13598" s="3192" t="s">
        <v>675</v>
      </c>
      <c r="C13598" s="3063"/>
      <c r="D13598" s="3064"/>
      <c r="E13598" s="3064"/>
      <c r="F13598" s="3064"/>
      <c r="G13598" s="3301" t="s">
        <v>675</v>
      </c>
      <c r="H13598" s="3063"/>
      <c r="I13598" s="3030"/>
    </row>
    <row r="13599" spans="2:9" ht="25.5">
      <c r="B13599" s="3192" t="s">
        <v>676</v>
      </c>
      <c r="C13599" s="3063"/>
      <c r="D13599" s="3064"/>
      <c r="E13599" s="3064"/>
      <c r="F13599" s="3064"/>
      <c r="G13599" s="3301" t="s">
        <v>676</v>
      </c>
      <c r="H13599" s="3063"/>
      <c r="I13599" s="3030"/>
    </row>
    <row r="13600" spans="2:9">
      <c r="B13600" s="3192" t="s">
        <v>677</v>
      </c>
      <c r="C13600" s="3063"/>
      <c r="D13600" s="3064"/>
      <c r="E13600" s="3064"/>
      <c r="F13600" s="3064"/>
      <c r="G13600" s="3301" t="s">
        <v>677</v>
      </c>
      <c r="H13600" s="3063"/>
      <c r="I13600" s="3030"/>
    </row>
    <row r="13601" spans="2:9">
      <c r="B13601" s="3192" t="s">
        <v>678</v>
      </c>
      <c r="C13601" s="3063"/>
      <c r="D13601" s="3064"/>
      <c r="E13601" s="3064"/>
      <c r="F13601" s="3064"/>
      <c r="G13601" s="3301" t="s">
        <v>678</v>
      </c>
      <c r="H13601" s="3063"/>
      <c r="I13601" s="3030"/>
    </row>
    <row r="13602" spans="2:9">
      <c r="B13602" s="3192" t="s">
        <v>679</v>
      </c>
      <c r="C13602" s="3063"/>
      <c r="D13602" s="3064"/>
      <c r="E13602" s="3064"/>
      <c r="F13602" s="3064"/>
      <c r="G13602" s="3301" t="s">
        <v>679</v>
      </c>
      <c r="H13602" s="3063"/>
      <c r="I13602" s="3030"/>
    </row>
    <row r="13603" spans="2:9" ht="25.5">
      <c r="B13603" s="3192" t="s">
        <v>720</v>
      </c>
      <c r="C13603" s="3063"/>
      <c r="D13603" s="3064"/>
      <c r="E13603" s="3064"/>
      <c r="F13603" s="3064"/>
      <c r="G13603" s="3301" t="s">
        <v>720</v>
      </c>
      <c r="H13603" s="3063"/>
      <c r="I13603" s="3030"/>
    </row>
    <row r="13604" spans="2:9" ht="25.5">
      <c r="B13604" s="3299" t="s">
        <v>682</v>
      </c>
      <c r="C13604" s="3063"/>
      <c r="D13604" s="3064"/>
      <c r="E13604" s="3064"/>
      <c r="F13604" s="3064"/>
      <c r="G13604" s="3300" t="s">
        <v>682</v>
      </c>
      <c r="H13604" s="3063"/>
      <c r="I13604" s="3030"/>
    </row>
    <row r="13605" spans="2:9" ht="25.5">
      <c r="B13605" s="3192" t="s">
        <v>675</v>
      </c>
      <c r="C13605" s="3063"/>
      <c r="D13605" s="3064"/>
      <c r="E13605" s="3064"/>
      <c r="F13605" s="3064"/>
      <c r="G13605" s="3301" t="s">
        <v>675</v>
      </c>
      <c r="H13605" s="3063"/>
      <c r="I13605" s="3030"/>
    </row>
    <row r="13606" spans="2:9" ht="25.5">
      <c r="B13606" s="3192" t="s">
        <v>676</v>
      </c>
      <c r="C13606" s="3063"/>
      <c r="D13606" s="3064"/>
      <c r="E13606" s="3064"/>
      <c r="F13606" s="3064"/>
      <c r="G13606" s="3301" t="s">
        <v>676</v>
      </c>
      <c r="H13606" s="3063"/>
      <c r="I13606" s="3030"/>
    </row>
    <row r="13607" spans="2:9">
      <c r="B13607" s="3192" t="s">
        <v>677</v>
      </c>
      <c r="C13607" s="3063"/>
      <c r="D13607" s="3064"/>
      <c r="E13607" s="3064"/>
      <c r="F13607" s="3064"/>
      <c r="G13607" s="3301" t="s">
        <v>677</v>
      </c>
      <c r="H13607" s="3063"/>
      <c r="I13607" s="3030"/>
    </row>
    <row r="13608" spans="2:9">
      <c r="B13608" s="3192" t="s">
        <v>678</v>
      </c>
      <c r="C13608" s="3063"/>
      <c r="D13608" s="3064"/>
      <c r="E13608" s="3064"/>
      <c r="F13608" s="3064"/>
      <c r="G13608" s="3301" t="s">
        <v>678</v>
      </c>
      <c r="H13608" s="3063"/>
      <c r="I13608" s="3030"/>
    </row>
    <row r="13609" spans="2:9">
      <c r="B13609" s="3192" t="s">
        <v>679</v>
      </c>
      <c r="C13609" s="3063"/>
      <c r="D13609" s="3064"/>
      <c r="E13609" s="3064"/>
      <c r="F13609" s="3064"/>
      <c r="G13609" s="3301" t="s">
        <v>679</v>
      </c>
      <c r="H13609" s="3063"/>
      <c r="I13609" s="3030"/>
    </row>
    <row r="13610" spans="2:9" ht="25.5">
      <c r="B13610" s="3192" t="s">
        <v>720</v>
      </c>
      <c r="C13610" s="3063"/>
      <c r="D13610" s="3064"/>
      <c r="E13610" s="3064"/>
      <c r="F13610" s="3064"/>
      <c r="G13610" s="3301" t="s">
        <v>720</v>
      </c>
      <c r="H13610" s="3063"/>
      <c r="I13610" s="3030"/>
    </row>
    <row r="13611" spans="2:9" ht="25.5">
      <c r="B13611" s="3299" t="s">
        <v>66</v>
      </c>
      <c r="C13611" s="3063"/>
      <c r="D13611" s="3064"/>
      <c r="E13611" s="3064"/>
      <c r="F13611" s="3064"/>
      <c r="G13611" s="3300" t="s">
        <v>66</v>
      </c>
      <c r="H13611" s="3063"/>
      <c r="I13611" s="3030"/>
    </row>
    <row r="13612" spans="2:9" ht="25.5">
      <c r="B13612" s="3192" t="s">
        <v>675</v>
      </c>
      <c r="C13612" s="3063"/>
      <c r="D13612" s="3064"/>
      <c r="E13612" s="3064"/>
      <c r="F13612" s="3064"/>
      <c r="G13612" s="3301" t="s">
        <v>675</v>
      </c>
      <c r="H13612" s="3063"/>
      <c r="I13612" s="3030"/>
    </row>
    <row r="13613" spans="2:9" ht="25.5">
      <c r="B13613" s="3192" t="s">
        <v>676</v>
      </c>
      <c r="C13613" s="3063"/>
      <c r="D13613" s="3064"/>
      <c r="E13613" s="3064"/>
      <c r="F13613" s="3064"/>
      <c r="G13613" s="3301" t="s">
        <v>676</v>
      </c>
      <c r="H13613" s="3063"/>
      <c r="I13613" s="3030"/>
    </row>
    <row r="13614" spans="2:9">
      <c r="B13614" s="3192" t="s">
        <v>677</v>
      </c>
      <c r="C13614" s="3063"/>
      <c r="D13614" s="3064"/>
      <c r="E13614" s="3064"/>
      <c r="F13614" s="3064"/>
      <c r="G13614" s="3301" t="s">
        <v>677</v>
      </c>
      <c r="H13614" s="3063"/>
      <c r="I13614" s="3030"/>
    </row>
    <row r="13615" spans="2:9">
      <c r="B13615" s="3192" t="s">
        <v>678</v>
      </c>
      <c r="C13615" s="3063"/>
      <c r="D13615" s="3064"/>
      <c r="E13615" s="3064"/>
      <c r="F13615" s="3064"/>
      <c r="G13615" s="3301" t="s">
        <v>678</v>
      </c>
      <c r="H13615" s="3063"/>
      <c r="I13615" s="3030"/>
    </row>
    <row r="13616" spans="2:9">
      <c r="B13616" s="3192" t="s">
        <v>679</v>
      </c>
      <c r="C13616" s="3063"/>
      <c r="D13616" s="3064"/>
      <c r="E13616" s="3064"/>
      <c r="F13616" s="3064"/>
      <c r="G13616" s="3301" t="s">
        <v>679</v>
      </c>
      <c r="H13616" s="3063"/>
      <c r="I13616" s="3030"/>
    </row>
    <row r="13617" spans="2:9" ht="25.5">
      <c r="B13617" s="3192" t="s">
        <v>720</v>
      </c>
      <c r="C13617" s="3063"/>
      <c r="D13617" s="3064"/>
      <c r="E13617" s="3064"/>
      <c r="F13617" s="3064"/>
      <c r="G13617" s="3301" t="s">
        <v>720</v>
      </c>
      <c r="H13617" s="3063"/>
      <c r="I13617" s="3030"/>
    </row>
    <row r="13618" spans="2:9">
      <c r="B13618" s="3299" t="s">
        <v>67</v>
      </c>
      <c r="C13618" s="3063"/>
      <c r="D13618" s="3064"/>
      <c r="E13618" s="3064"/>
      <c r="F13618" s="3064"/>
      <c r="G13618" s="3300" t="s">
        <v>67</v>
      </c>
      <c r="H13618" s="3063">
        <v>2.5880066022923962E-2</v>
      </c>
      <c r="I13618" s="3030"/>
    </row>
    <row r="13619" spans="2:9" ht="25.5">
      <c r="B13619" s="3192" t="s">
        <v>675</v>
      </c>
      <c r="C13619" s="3063">
        <v>1</v>
      </c>
      <c r="D13619" s="3064">
        <v>2</v>
      </c>
      <c r="E13619" s="3064"/>
      <c r="F13619" s="3064"/>
      <c r="G13619" s="3301" t="s">
        <v>675</v>
      </c>
      <c r="H13619" s="3063"/>
      <c r="I13619" s="3030">
        <v>2.5880066022923962E-2</v>
      </c>
    </row>
    <row r="13620" spans="2:9" ht="25.5">
      <c r="B13620" s="3192" t="s">
        <v>676</v>
      </c>
      <c r="C13620" s="3063"/>
      <c r="D13620" s="3064"/>
      <c r="E13620" s="3064"/>
      <c r="F13620" s="3064"/>
      <c r="G13620" s="3301" t="s">
        <v>676</v>
      </c>
      <c r="H13620" s="3063"/>
      <c r="I13620" s="3030"/>
    </row>
    <row r="13621" spans="2:9">
      <c r="B13621" s="3192" t="s">
        <v>677</v>
      </c>
      <c r="C13621" s="3063"/>
      <c r="D13621" s="3064"/>
      <c r="E13621" s="3064"/>
      <c r="F13621" s="3064"/>
      <c r="G13621" s="3301" t="s">
        <v>677</v>
      </c>
      <c r="H13621" s="3063"/>
      <c r="I13621" s="3030"/>
    </row>
    <row r="13622" spans="2:9">
      <c r="B13622" s="3192" t="s">
        <v>678</v>
      </c>
      <c r="C13622" s="3063"/>
      <c r="D13622" s="3064"/>
      <c r="E13622" s="3064"/>
      <c r="F13622" s="3064"/>
      <c r="G13622" s="3301" t="s">
        <v>678</v>
      </c>
      <c r="H13622" s="3063"/>
      <c r="I13622" s="3030"/>
    </row>
    <row r="13623" spans="2:9">
      <c r="B13623" s="3192" t="s">
        <v>679</v>
      </c>
      <c r="C13623" s="3063"/>
      <c r="D13623" s="3064"/>
      <c r="E13623" s="3064"/>
      <c r="F13623" s="3064"/>
      <c r="G13623" s="3301" t="s">
        <v>679</v>
      </c>
      <c r="H13623" s="3063"/>
      <c r="I13623" s="3030"/>
    </row>
    <row r="13624" spans="2:9" ht="25.5">
      <c r="B13624" s="3230" t="s">
        <v>81</v>
      </c>
      <c r="C13624" s="3063"/>
      <c r="D13624" s="3064"/>
      <c r="E13624" s="3064"/>
      <c r="F13624" s="3064"/>
      <c r="G13624" s="3302" t="s">
        <v>81</v>
      </c>
      <c r="H13624" s="3063"/>
      <c r="I13624" s="3030"/>
    </row>
    <row r="13625" spans="2:9" ht="26.25" thickBot="1">
      <c r="B13625" s="3303" t="s">
        <v>81</v>
      </c>
      <c r="C13625" s="3068"/>
      <c r="D13625" s="3069"/>
      <c r="E13625" s="3069"/>
      <c r="F13625" s="3069"/>
      <c r="G13625" s="3304" t="s">
        <v>81</v>
      </c>
      <c r="H13625" s="3068"/>
      <c r="I13625" s="3070"/>
    </row>
    <row r="13626" spans="2:9" ht="38.25">
      <c r="B13626" s="4723">
        <v>3356</v>
      </c>
      <c r="C13626" s="3289"/>
      <c r="D13626" s="3290"/>
      <c r="E13626" s="3290"/>
      <c r="F13626" s="3290"/>
      <c r="G13626" s="4723">
        <v>3356</v>
      </c>
      <c r="H13626" s="3291" t="s">
        <v>687</v>
      </c>
      <c r="I13626" s="3292" t="s">
        <v>688</v>
      </c>
    </row>
    <row r="13627" spans="2:9">
      <c r="B13627" s="4724"/>
      <c r="C13627" s="4678" t="s">
        <v>686</v>
      </c>
      <c r="D13627" s="4725"/>
      <c r="E13627" s="4725"/>
      <c r="F13627" s="4726"/>
      <c r="G13627" s="4724"/>
      <c r="H13627" s="3293"/>
      <c r="I13627" s="3294"/>
    </row>
    <row r="13628" spans="2:9" ht="13.5" thickBot="1">
      <c r="B13628" s="4724"/>
      <c r="C13628" s="3215">
        <v>2013</v>
      </c>
      <c r="D13628" s="3215">
        <v>2014</v>
      </c>
      <c r="E13628" s="3215">
        <v>2015</v>
      </c>
      <c r="F13628" s="3215">
        <v>2016</v>
      </c>
      <c r="G13628" s="4724"/>
      <c r="H13628" s="3295" t="s">
        <v>390</v>
      </c>
      <c r="I13628" s="3296" t="s">
        <v>390</v>
      </c>
    </row>
    <row r="13629" spans="2:9">
      <c r="B13629" s="3217" t="s">
        <v>695</v>
      </c>
      <c r="C13629" s="3218"/>
      <c r="D13629" s="3219"/>
      <c r="E13629" s="3219"/>
      <c r="F13629" s="3219"/>
      <c r="G13629" s="3217" t="s">
        <v>695</v>
      </c>
      <c r="H13629" s="3297"/>
      <c r="I13629" s="3298"/>
    </row>
    <row r="13630" spans="2:9">
      <c r="B13630" s="3299" t="s">
        <v>64</v>
      </c>
      <c r="C13630" s="3063"/>
      <c r="D13630" s="3064"/>
      <c r="E13630" s="3064"/>
      <c r="F13630" s="3064"/>
      <c r="G13630" s="3300" t="s">
        <v>64</v>
      </c>
      <c r="H13630" s="3063"/>
      <c r="I13630" s="3030"/>
    </row>
    <row r="13631" spans="2:9" ht="25.5">
      <c r="B13631" s="3192" t="s">
        <v>675</v>
      </c>
      <c r="C13631" s="3063"/>
      <c r="D13631" s="3064"/>
      <c r="E13631" s="3064"/>
      <c r="F13631" s="3064"/>
      <c r="G13631" s="3301" t="s">
        <v>675</v>
      </c>
      <c r="H13631" s="3063"/>
      <c r="I13631" s="3030"/>
    </row>
    <row r="13632" spans="2:9" ht="25.5">
      <c r="B13632" s="3192" t="s">
        <v>676</v>
      </c>
      <c r="C13632" s="3063"/>
      <c r="D13632" s="3064"/>
      <c r="E13632" s="3064"/>
      <c r="F13632" s="3064"/>
      <c r="G13632" s="3301" t="s">
        <v>676</v>
      </c>
      <c r="H13632" s="3063"/>
      <c r="I13632" s="3030"/>
    </row>
    <row r="13633" spans="2:9">
      <c r="B13633" s="3192" t="s">
        <v>677</v>
      </c>
      <c r="C13633" s="3063"/>
      <c r="D13633" s="3064"/>
      <c r="E13633" s="3064"/>
      <c r="F13633" s="3064"/>
      <c r="G13633" s="3301" t="s">
        <v>677</v>
      </c>
      <c r="H13633" s="3063"/>
      <c r="I13633" s="3030"/>
    </row>
    <row r="13634" spans="2:9">
      <c r="B13634" s="3192" t="s">
        <v>678</v>
      </c>
      <c r="C13634" s="3063"/>
      <c r="D13634" s="3064"/>
      <c r="E13634" s="3064"/>
      <c r="F13634" s="3064"/>
      <c r="G13634" s="3301" t="s">
        <v>678</v>
      </c>
      <c r="H13634" s="3063"/>
      <c r="I13634" s="3030"/>
    </row>
    <row r="13635" spans="2:9">
      <c r="B13635" s="3192" t="s">
        <v>679</v>
      </c>
      <c r="C13635" s="3063"/>
      <c r="D13635" s="3064"/>
      <c r="E13635" s="3064"/>
      <c r="F13635" s="3064"/>
      <c r="G13635" s="3301" t="s">
        <v>679</v>
      </c>
      <c r="H13635" s="3063"/>
      <c r="I13635" s="3030"/>
    </row>
    <row r="13636" spans="2:9" ht="25.5">
      <c r="B13636" s="3192" t="s">
        <v>720</v>
      </c>
      <c r="C13636" s="3063"/>
      <c r="D13636" s="3064"/>
      <c r="E13636" s="3064"/>
      <c r="F13636" s="3064"/>
      <c r="G13636" s="3301" t="s">
        <v>720</v>
      </c>
      <c r="H13636" s="3063"/>
      <c r="I13636" s="3030"/>
    </row>
    <row r="13637" spans="2:9">
      <c r="B13637" s="3299" t="s">
        <v>65</v>
      </c>
      <c r="C13637" s="3063"/>
      <c r="D13637" s="3064"/>
      <c r="E13637" s="3064"/>
      <c r="F13637" s="3064"/>
      <c r="G13637" s="3300" t="s">
        <v>65</v>
      </c>
      <c r="H13637" s="3063"/>
      <c r="I13637" s="3030"/>
    </row>
    <row r="13638" spans="2:9" ht="25.5">
      <c r="B13638" s="3192" t="s">
        <v>675</v>
      </c>
      <c r="C13638" s="3063"/>
      <c r="D13638" s="3064"/>
      <c r="E13638" s="3064"/>
      <c r="F13638" s="3064"/>
      <c r="G13638" s="3301" t="s">
        <v>675</v>
      </c>
      <c r="H13638" s="3063"/>
      <c r="I13638" s="3030"/>
    </row>
    <row r="13639" spans="2:9" ht="25.5">
      <c r="B13639" s="3192" t="s">
        <v>676</v>
      </c>
      <c r="C13639" s="3063"/>
      <c r="D13639" s="3064"/>
      <c r="E13639" s="3064"/>
      <c r="F13639" s="3064"/>
      <c r="G13639" s="3301" t="s">
        <v>676</v>
      </c>
      <c r="H13639" s="3063"/>
      <c r="I13639" s="3030"/>
    </row>
    <row r="13640" spans="2:9">
      <c r="B13640" s="3192" t="s">
        <v>677</v>
      </c>
      <c r="C13640" s="3063"/>
      <c r="D13640" s="3064"/>
      <c r="E13640" s="3064"/>
      <c r="F13640" s="3064"/>
      <c r="G13640" s="3301" t="s">
        <v>677</v>
      </c>
      <c r="H13640" s="3063"/>
      <c r="I13640" s="3030"/>
    </row>
    <row r="13641" spans="2:9">
      <c r="B13641" s="3192" t="s">
        <v>678</v>
      </c>
      <c r="C13641" s="3063"/>
      <c r="D13641" s="3064"/>
      <c r="E13641" s="3064"/>
      <c r="F13641" s="3064"/>
      <c r="G13641" s="3301" t="s">
        <v>678</v>
      </c>
      <c r="H13641" s="3063"/>
      <c r="I13641" s="3030"/>
    </row>
    <row r="13642" spans="2:9">
      <c r="B13642" s="3192" t="s">
        <v>679</v>
      </c>
      <c r="C13642" s="3063"/>
      <c r="D13642" s="3064"/>
      <c r="E13642" s="3064"/>
      <c r="F13642" s="3064"/>
      <c r="G13642" s="3301" t="s">
        <v>679</v>
      </c>
      <c r="H13642" s="3063"/>
      <c r="I13642" s="3030"/>
    </row>
    <row r="13643" spans="2:9" ht="25.5">
      <c r="B13643" s="3192" t="s">
        <v>720</v>
      </c>
      <c r="C13643" s="3063"/>
      <c r="D13643" s="3064"/>
      <c r="E13643" s="3064"/>
      <c r="F13643" s="3064"/>
      <c r="G13643" s="3301" t="s">
        <v>720</v>
      </c>
      <c r="H13643" s="3063"/>
      <c r="I13643" s="3030"/>
    </row>
    <row r="13644" spans="2:9">
      <c r="B13644" s="3299" t="s">
        <v>82</v>
      </c>
      <c r="C13644" s="3063"/>
      <c r="D13644" s="3064"/>
      <c r="E13644" s="3064"/>
      <c r="F13644" s="3064"/>
      <c r="G13644" s="3300" t="s">
        <v>82</v>
      </c>
      <c r="H13644" s="3063"/>
      <c r="I13644" s="3030"/>
    </row>
    <row r="13645" spans="2:9" ht="25.5">
      <c r="B13645" s="3192" t="s">
        <v>675</v>
      </c>
      <c r="C13645" s="3063"/>
      <c r="D13645" s="3064"/>
      <c r="E13645" s="3064"/>
      <c r="F13645" s="3064"/>
      <c r="G13645" s="3301" t="s">
        <v>675</v>
      </c>
      <c r="H13645" s="3063"/>
      <c r="I13645" s="3030"/>
    </row>
    <row r="13646" spans="2:9" ht="25.5">
      <c r="B13646" s="3192" t="s">
        <v>676</v>
      </c>
      <c r="C13646" s="3063"/>
      <c r="D13646" s="3064"/>
      <c r="E13646" s="3064"/>
      <c r="F13646" s="3064"/>
      <c r="G13646" s="3301" t="s">
        <v>676</v>
      </c>
      <c r="H13646" s="3063"/>
      <c r="I13646" s="3030"/>
    </row>
    <row r="13647" spans="2:9">
      <c r="B13647" s="3192" t="s">
        <v>677</v>
      </c>
      <c r="C13647" s="3063"/>
      <c r="D13647" s="3064"/>
      <c r="E13647" s="3064"/>
      <c r="F13647" s="3064"/>
      <c r="G13647" s="3301" t="s">
        <v>677</v>
      </c>
      <c r="H13647" s="3063"/>
      <c r="I13647" s="3030"/>
    </row>
    <row r="13648" spans="2:9">
      <c r="B13648" s="3192" t="s">
        <v>678</v>
      </c>
      <c r="C13648" s="3063"/>
      <c r="D13648" s="3064"/>
      <c r="E13648" s="3064"/>
      <c r="F13648" s="3064"/>
      <c r="G13648" s="3301" t="s">
        <v>678</v>
      </c>
      <c r="H13648" s="3063"/>
      <c r="I13648" s="3030"/>
    </row>
    <row r="13649" spans="2:9">
      <c r="B13649" s="3192" t="s">
        <v>679</v>
      </c>
      <c r="C13649" s="3063"/>
      <c r="D13649" s="3064"/>
      <c r="E13649" s="3064"/>
      <c r="F13649" s="3064"/>
      <c r="G13649" s="3301" t="s">
        <v>679</v>
      </c>
      <c r="H13649" s="3063"/>
      <c r="I13649" s="3030"/>
    </row>
    <row r="13650" spans="2:9" ht="25.5">
      <c r="B13650" s="3192" t="s">
        <v>720</v>
      </c>
      <c r="C13650" s="3063"/>
      <c r="D13650" s="3064"/>
      <c r="E13650" s="3064"/>
      <c r="F13650" s="3064"/>
      <c r="G13650" s="3301" t="s">
        <v>720</v>
      </c>
      <c r="H13650" s="3063"/>
      <c r="I13650" s="3030"/>
    </row>
    <row r="13651" spans="2:9" ht="38.25">
      <c r="B13651" s="3299" t="s">
        <v>680</v>
      </c>
      <c r="C13651" s="3063"/>
      <c r="D13651" s="3064"/>
      <c r="E13651" s="3064"/>
      <c r="F13651" s="3064"/>
      <c r="G13651" s="3300" t="s">
        <v>680</v>
      </c>
      <c r="H13651" s="3063"/>
      <c r="I13651" s="3030"/>
    </row>
    <row r="13652" spans="2:9" ht="25.5">
      <c r="B13652" s="3192" t="s">
        <v>675</v>
      </c>
      <c r="C13652" s="3063"/>
      <c r="D13652" s="3064"/>
      <c r="E13652" s="3064"/>
      <c r="F13652" s="3064"/>
      <c r="G13652" s="3301" t="s">
        <v>675</v>
      </c>
      <c r="H13652" s="3063"/>
      <c r="I13652" s="3030"/>
    </row>
    <row r="13653" spans="2:9" ht="25.5">
      <c r="B13653" s="3192" t="s">
        <v>676</v>
      </c>
      <c r="C13653" s="3063"/>
      <c r="D13653" s="3064"/>
      <c r="E13653" s="3064"/>
      <c r="F13653" s="3064"/>
      <c r="G13653" s="3301" t="s">
        <v>676</v>
      </c>
      <c r="H13653" s="3063"/>
      <c r="I13653" s="3030"/>
    </row>
    <row r="13654" spans="2:9">
      <c r="B13654" s="3192" t="s">
        <v>677</v>
      </c>
      <c r="C13654" s="3063"/>
      <c r="D13654" s="3064"/>
      <c r="E13654" s="3064"/>
      <c r="F13654" s="3064"/>
      <c r="G13654" s="3301" t="s">
        <v>677</v>
      </c>
      <c r="H13654" s="3063"/>
      <c r="I13654" s="3030"/>
    </row>
    <row r="13655" spans="2:9">
      <c r="B13655" s="3192" t="s">
        <v>678</v>
      </c>
      <c r="C13655" s="3063"/>
      <c r="D13655" s="3064"/>
      <c r="E13655" s="3064"/>
      <c r="F13655" s="3064"/>
      <c r="G13655" s="3301" t="s">
        <v>678</v>
      </c>
      <c r="H13655" s="3063"/>
      <c r="I13655" s="3030"/>
    </row>
    <row r="13656" spans="2:9">
      <c r="B13656" s="3192" t="s">
        <v>679</v>
      </c>
      <c r="C13656" s="3063"/>
      <c r="D13656" s="3064"/>
      <c r="E13656" s="3064"/>
      <c r="F13656" s="3064"/>
      <c r="G13656" s="3301" t="s">
        <v>679</v>
      </c>
      <c r="H13656" s="3063"/>
      <c r="I13656" s="3030"/>
    </row>
    <row r="13657" spans="2:9" ht="25.5">
      <c r="B13657" s="3192" t="s">
        <v>720</v>
      </c>
      <c r="C13657" s="3063"/>
      <c r="D13657" s="3064"/>
      <c r="E13657" s="3064"/>
      <c r="F13657" s="3064"/>
      <c r="G13657" s="3301" t="s">
        <v>720</v>
      </c>
      <c r="H13657" s="3063"/>
      <c r="I13657" s="3030"/>
    </row>
    <row r="13658" spans="2:9" ht="38.25">
      <c r="B13658" s="3299" t="s">
        <v>681</v>
      </c>
      <c r="C13658" s="3063"/>
      <c r="D13658" s="3064"/>
      <c r="E13658" s="3064"/>
      <c r="F13658" s="3064"/>
      <c r="G13658" s="3300" t="s">
        <v>681</v>
      </c>
      <c r="H13658" s="3063"/>
      <c r="I13658" s="3030"/>
    </row>
    <row r="13659" spans="2:9" ht="25.5">
      <c r="B13659" s="3192" t="s">
        <v>675</v>
      </c>
      <c r="C13659" s="3063"/>
      <c r="D13659" s="3064"/>
      <c r="E13659" s="3064"/>
      <c r="F13659" s="3064"/>
      <c r="G13659" s="3301" t="s">
        <v>675</v>
      </c>
      <c r="H13659" s="3063"/>
      <c r="I13659" s="3030"/>
    </row>
    <row r="13660" spans="2:9" ht="25.5">
      <c r="B13660" s="3192" t="s">
        <v>676</v>
      </c>
      <c r="C13660" s="3063"/>
      <c r="D13660" s="3064"/>
      <c r="E13660" s="3064"/>
      <c r="F13660" s="3064"/>
      <c r="G13660" s="3301" t="s">
        <v>676</v>
      </c>
      <c r="H13660" s="3063"/>
      <c r="I13660" s="3030"/>
    </row>
    <row r="13661" spans="2:9">
      <c r="B13661" s="3192" t="s">
        <v>677</v>
      </c>
      <c r="C13661" s="3063"/>
      <c r="D13661" s="3064"/>
      <c r="E13661" s="3064"/>
      <c r="F13661" s="3064"/>
      <c r="G13661" s="3301" t="s">
        <v>677</v>
      </c>
      <c r="H13661" s="3063"/>
      <c r="I13661" s="3030"/>
    </row>
    <row r="13662" spans="2:9">
      <c r="B13662" s="3192" t="s">
        <v>678</v>
      </c>
      <c r="C13662" s="3063"/>
      <c r="D13662" s="3064"/>
      <c r="E13662" s="3064"/>
      <c r="F13662" s="3064"/>
      <c r="G13662" s="3301" t="s">
        <v>678</v>
      </c>
      <c r="H13662" s="3063"/>
      <c r="I13662" s="3030"/>
    </row>
    <row r="13663" spans="2:9">
      <c r="B13663" s="3192" t="s">
        <v>679</v>
      </c>
      <c r="C13663" s="3063"/>
      <c r="D13663" s="3064"/>
      <c r="E13663" s="3064"/>
      <c r="F13663" s="3064"/>
      <c r="G13663" s="3301" t="s">
        <v>679</v>
      </c>
      <c r="H13663" s="3063"/>
      <c r="I13663" s="3030"/>
    </row>
    <row r="13664" spans="2:9" ht="25.5">
      <c r="B13664" s="3192" t="s">
        <v>720</v>
      </c>
      <c r="C13664" s="3063"/>
      <c r="D13664" s="3064"/>
      <c r="E13664" s="3064"/>
      <c r="F13664" s="3064"/>
      <c r="G13664" s="3301" t="s">
        <v>720</v>
      </c>
      <c r="H13664" s="3063"/>
      <c r="I13664" s="3030"/>
    </row>
    <row r="13665" spans="2:9" ht="25.5">
      <c r="B13665" s="3299" t="s">
        <v>682</v>
      </c>
      <c r="C13665" s="3063"/>
      <c r="D13665" s="3064"/>
      <c r="E13665" s="3064"/>
      <c r="F13665" s="3064"/>
      <c r="G13665" s="3300" t="s">
        <v>682</v>
      </c>
      <c r="H13665" s="3063"/>
      <c r="I13665" s="3030"/>
    </row>
    <row r="13666" spans="2:9" ht="25.5">
      <c r="B13666" s="3192" t="s">
        <v>675</v>
      </c>
      <c r="C13666" s="3063"/>
      <c r="D13666" s="3064"/>
      <c r="E13666" s="3064"/>
      <c r="F13666" s="3064"/>
      <c r="G13666" s="3301" t="s">
        <v>675</v>
      </c>
      <c r="H13666" s="3063"/>
      <c r="I13666" s="3030"/>
    </row>
    <row r="13667" spans="2:9" ht="25.5">
      <c r="B13667" s="3192" t="s">
        <v>676</v>
      </c>
      <c r="C13667" s="3063"/>
      <c r="D13667" s="3064"/>
      <c r="E13667" s="3064"/>
      <c r="F13667" s="3064"/>
      <c r="G13667" s="3301" t="s">
        <v>676</v>
      </c>
      <c r="H13667" s="3063"/>
      <c r="I13667" s="3030"/>
    </row>
    <row r="13668" spans="2:9">
      <c r="B13668" s="3192" t="s">
        <v>677</v>
      </c>
      <c r="C13668" s="3063"/>
      <c r="D13668" s="3064"/>
      <c r="E13668" s="3064"/>
      <c r="F13668" s="3064"/>
      <c r="G13668" s="3301" t="s">
        <v>677</v>
      </c>
      <c r="H13668" s="3063"/>
      <c r="I13668" s="3030"/>
    </row>
    <row r="13669" spans="2:9">
      <c r="B13669" s="3192" t="s">
        <v>678</v>
      </c>
      <c r="C13669" s="3063"/>
      <c r="D13669" s="3064"/>
      <c r="E13669" s="3064"/>
      <c r="F13669" s="3064"/>
      <c r="G13669" s="3301" t="s">
        <v>678</v>
      </c>
      <c r="H13669" s="3063"/>
      <c r="I13669" s="3030"/>
    </row>
    <row r="13670" spans="2:9">
      <c r="B13670" s="3192" t="s">
        <v>679</v>
      </c>
      <c r="C13670" s="3063"/>
      <c r="D13670" s="3064"/>
      <c r="E13670" s="3064"/>
      <c r="F13670" s="3064"/>
      <c r="G13670" s="3301" t="s">
        <v>679</v>
      </c>
      <c r="H13670" s="3063"/>
      <c r="I13670" s="3030"/>
    </row>
    <row r="13671" spans="2:9" ht="25.5">
      <c r="B13671" s="3192" t="s">
        <v>720</v>
      </c>
      <c r="C13671" s="3063"/>
      <c r="D13671" s="3064"/>
      <c r="E13671" s="3064"/>
      <c r="F13671" s="3064"/>
      <c r="G13671" s="3301" t="s">
        <v>720</v>
      </c>
      <c r="H13671" s="3063"/>
      <c r="I13671" s="3030"/>
    </row>
    <row r="13672" spans="2:9" ht="25.5">
      <c r="B13672" s="3299" t="s">
        <v>66</v>
      </c>
      <c r="C13672" s="3063"/>
      <c r="D13672" s="3064"/>
      <c r="E13672" s="3064"/>
      <c r="F13672" s="3064"/>
      <c r="G13672" s="3300" t="s">
        <v>66</v>
      </c>
      <c r="H13672" s="3063"/>
      <c r="I13672" s="3030"/>
    </row>
    <row r="13673" spans="2:9" ht="25.5">
      <c r="B13673" s="3192" t="s">
        <v>675</v>
      </c>
      <c r="C13673" s="3063"/>
      <c r="D13673" s="3064"/>
      <c r="E13673" s="3064"/>
      <c r="F13673" s="3064"/>
      <c r="G13673" s="3301" t="s">
        <v>675</v>
      </c>
      <c r="H13673" s="3063"/>
      <c r="I13673" s="3030"/>
    </row>
    <row r="13674" spans="2:9" ht="25.5">
      <c r="B13674" s="3192" t="s">
        <v>676</v>
      </c>
      <c r="C13674" s="3063"/>
      <c r="D13674" s="3064"/>
      <c r="E13674" s="3064"/>
      <c r="F13674" s="3064"/>
      <c r="G13674" s="3301" t="s">
        <v>676</v>
      </c>
      <c r="H13674" s="3063"/>
      <c r="I13674" s="3030"/>
    </row>
    <row r="13675" spans="2:9">
      <c r="B13675" s="3192" t="s">
        <v>677</v>
      </c>
      <c r="C13675" s="3063"/>
      <c r="D13675" s="3064"/>
      <c r="E13675" s="3064"/>
      <c r="F13675" s="3064"/>
      <c r="G13675" s="3301" t="s">
        <v>677</v>
      </c>
      <c r="H13675" s="3063"/>
      <c r="I13675" s="3030"/>
    </row>
    <row r="13676" spans="2:9">
      <c r="B13676" s="3192" t="s">
        <v>678</v>
      </c>
      <c r="C13676" s="3063"/>
      <c r="D13676" s="3064"/>
      <c r="E13676" s="3064"/>
      <c r="F13676" s="3064"/>
      <c r="G13676" s="3301" t="s">
        <v>678</v>
      </c>
      <c r="H13676" s="3063"/>
      <c r="I13676" s="3030"/>
    </row>
    <row r="13677" spans="2:9">
      <c r="B13677" s="3192" t="s">
        <v>679</v>
      </c>
      <c r="C13677" s="3063"/>
      <c r="D13677" s="3064"/>
      <c r="E13677" s="3064"/>
      <c r="F13677" s="3064"/>
      <c r="G13677" s="3301" t="s">
        <v>679</v>
      </c>
      <c r="H13677" s="3063"/>
      <c r="I13677" s="3030"/>
    </row>
    <row r="13678" spans="2:9" ht="25.5">
      <c r="B13678" s="3192" t="s">
        <v>720</v>
      </c>
      <c r="C13678" s="3063"/>
      <c r="D13678" s="3064"/>
      <c r="E13678" s="3064"/>
      <c r="F13678" s="3064"/>
      <c r="G13678" s="3301" t="s">
        <v>720</v>
      </c>
      <c r="H13678" s="3063"/>
      <c r="I13678" s="3030"/>
    </row>
    <row r="13679" spans="2:9">
      <c r="B13679" s="3299" t="s">
        <v>67</v>
      </c>
      <c r="C13679" s="3063"/>
      <c r="D13679" s="3064"/>
      <c r="E13679" s="3064"/>
      <c r="F13679" s="3064"/>
      <c r="G13679" s="3300" t="s">
        <v>67</v>
      </c>
      <c r="H13679" s="3063"/>
      <c r="I13679" s="3030"/>
    </row>
    <row r="13680" spans="2:9" ht="25.5">
      <c r="B13680" s="3192" t="s">
        <v>675</v>
      </c>
      <c r="C13680" s="3063"/>
      <c r="D13680" s="3064"/>
      <c r="E13680" s="3064"/>
      <c r="F13680" s="3064"/>
      <c r="G13680" s="3301" t="s">
        <v>675</v>
      </c>
      <c r="H13680" s="3063"/>
      <c r="I13680" s="3030"/>
    </row>
    <row r="13681" spans="2:9" ht="25.5">
      <c r="B13681" s="3192" t="s">
        <v>676</v>
      </c>
      <c r="C13681" s="3063"/>
      <c r="D13681" s="3064"/>
      <c r="E13681" s="3064"/>
      <c r="F13681" s="3064"/>
      <c r="G13681" s="3301" t="s">
        <v>676</v>
      </c>
      <c r="H13681" s="3063"/>
      <c r="I13681" s="3030"/>
    </row>
    <row r="13682" spans="2:9">
      <c r="B13682" s="3192" t="s">
        <v>677</v>
      </c>
      <c r="C13682" s="3063"/>
      <c r="D13682" s="3064"/>
      <c r="E13682" s="3064"/>
      <c r="F13682" s="3064"/>
      <c r="G13682" s="3301" t="s">
        <v>677</v>
      </c>
      <c r="H13682" s="3063"/>
      <c r="I13682" s="3030"/>
    </row>
    <row r="13683" spans="2:9">
      <c r="B13683" s="3192" t="s">
        <v>678</v>
      </c>
      <c r="C13683" s="3063"/>
      <c r="D13683" s="3064"/>
      <c r="E13683" s="3064"/>
      <c r="F13683" s="3064"/>
      <c r="G13683" s="3301" t="s">
        <v>678</v>
      </c>
      <c r="H13683" s="3063"/>
      <c r="I13683" s="3030"/>
    </row>
    <row r="13684" spans="2:9">
      <c r="B13684" s="3192" t="s">
        <v>679</v>
      </c>
      <c r="C13684" s="3063"/>
      <c r="D13684" s="3064"/>
      <c r="E13684" s="3064"/>
      <c r="F13684" s="3064"/>
      <c r="G13684" s="3301" t="s">
        <v>679</v>
      </c>
      <c r="H13684" s="3063"/>
      <c r="I13684" s="3030"/>
    </row>
    <row r="13685" spans="2:9" ht="25.5">
      <c r="B13685" s="3192" t="s">
        <v>720</v>
      </c>
      <c r="C13685" s="3063"/>
      <c r="D13685" s="3064"/>
      <c r="E13685" s="3064"/>
      <c r="F13685" s="3064"/>
      <c r="G13685" s="3301" t="s">
        <v>720</v>
      </c>
      <c r="H13685" s="3063"/>
      <c r="I13685" s="3030"/>
    </row>
    <row r="13686" spans="2:9" ht="25.5">
      <c r="B13686" s="3230" t="s">
        <v>81</v>
      </c>
      <c r="C13686" s="3063"/>
      <c r="D13686" s="3064"/>
      <c r="E13686" s="3064"/>
      <c r="F13686" s="3064"/>
      <c r="G13686" s="3302" t="s">
        <v>81</v>
      </c>
      <c r="H13686" s="3063"/>
      <c r="I13686" s="3030"/>
    </row>
    <row r="13687" spans="2:9" ht="26.25" thickBot="1">
      <c r="B13687" s="3303" t="s">
        <v>81</v>
      </c>
      <c r="C13687" s="3063"/>
      <c r="D13687" s="3064"/>
      <c r="E13687" s="3064"/>
      <c r="F13687" s="3064"/>
      <c r="G13687" s="3302" t="s">
        <v>81</v>
      </c>
      <c r="H13687" s="3063"/>
      <c r="I13687" s="3030"/>
    </row>
    <row r="13688" spans="2:9" ht="25.5">
      <c r="B13688" s="3217" t="s">
        <v>696</v>
      </c>
      <c r="C13688" s="3218"/>
      <c r="D13688" s="3219"/>
      <c r="E13688" s="3219"/>
      <c r="F13688" s="3219"/>
      <c r="G13688" s="3217" t="s">
        <v>696</v>
      </c>
      <c r="H13688" s="3297"/>
      <c r="I13688" s="3298"/>
    </row>
    <row r="13689" spans="2:9">
      <c r="B13689" s="3299" t="s">
        <v>64</v>
      </c>
      <c r="C13689" s="3063"/>
      <c r="D13689" s="3064"/>
      <c r="E13689" s="3064"/>
      <c r="F13689" s="3064"/>
      <c r="G13689" s="3300" t="s">
        <v>64</v>
      </c>
      <c r="H13689" s="3063"/>
      <c r="I13689" s="3030"/>
    </row>
    <row r="13690" spans="2:9" ht="25.5">
      <c r="B13690" s="3192" t="s">
        <v>675</v>
      </c>
      <c r="C13690" s="3063"/>
      <c r="D13690" s="3064"/>
      <c r="E13690" s="3064"/>
      <c r="F13690" s="3064"/>
      <c r="G13690" s="3301" t="s">
        <v>675</v>
      </c>
      <c r="H13690" s="3063"/>
      <c r="I13690" s="3030"/>
    </row>
    <row r="13691" spans="2:9" ht="25.5">
      <c r="B13691" s="3192" t="s">
        <v>676</v>
      </c>
      <c r="C13691" s="3063"/>
      <c r="D13691" s="3064"/>
      <c r="E13691" s="3064"/>
      <c r="F13691" s="3064"/>
      <c r="G13691" s="3301" t="s">
        <v>676</v>
      </c>
      <c r="H13691" s="3063"/>
      <c r="I13691" s="3030"/>
    </row>
    <row r="13692" spans="2:9">
      <c r="B13692" s="3192" t="s">
        <v>677</v>
      </c>
      <c r="C13692" s="3063"/>
      <c r="D13692" s="3064"/>
      <c r="E13692" s="3064"/>
      <c r="F13692" s="3064"/>
      <c r="G13692" s="3301" t="s">
        <v>677</v>
      </c>
      <c r="H13692" s="3063"/>
      <c r="I13692" s="3030"/>
    </row>
    <row r="13693" spans="2:9">
      <c r="B13693" s="3192" t="s">
        <v>678</v>
      </c>
      <c r="C13693" s="3063"/>
      <c r="D13693" s="3064"/>
      <c r="E13693" s="3064"/>
      <c r="F13693" s="3064"/>
      <c r="G13693" s="3301" t="s">
        <v>678</v>
      </c>
      <c r="H13693" s="3063"/>
      <c r="I13693" s="3030"/>
    </row>
    <row r="13694" spans="2:9">
      <c r="B13694" s="3192" t="s">
        <v>679</v>
      </c>
      <c r="C13694" s="3063"/>
      <c r="D13694" s="3064"/>
      <c r="E13694" s="3064"/>
      <c r="F13694" s="3064"/>
      <c r="G13694" s="3301" t="s">
        <v>679</v>
      </c>
      <c r="H13694" s="3063"/>
      <c r="I13694" s="3030"/>
    </row>
    <row r="13695" spans="2:9" ht="25.5">
      <c r="B13695" s="3192" t="s">
        <v>720</v>
      </c>
      <c r="C13695" s="3063"/>
      <c r="D13695" s="3064"/>
      <c r="E13695" s="3064"/>
      <c r="F13695" s="3064"/>
      <c r="G13695" s="3301" t="s">
        <v>720</v>
      </c>
      <c r="H13695" s="3063"/>
      <c r="I13695" s="3030"/>
    </row>
    <row r="13696" spans="2:9">
      <c r="B13696" s="3299" t="s">
        <v>65</v>
      </c>
      <c r="C13696" s="3063"/>
      <c r="D13696" s="3064"/>
      <c r="E13696" s="3064"/>
      <c r="F13696" s="3064"/>
      <c r="G13696" s="3300" t="s">
        <v>65</v>
      </c>
      <c r="H13696" s="3063"/>
      <c r="I13696" s="3030"/>
    </row>
    <row r="13697" spans="2:9" ht="25.5">
      <c r="B13697" s="3192" t="s">
        <v>675</v>
      </c>
      <c r="C13697" s="3063"/>
      <c r="D13697" s="3064"/>
      <c r="E13697" s="3064"/>
      <c r="F13697" s="3064"/>
      <c r="G13697" s="3301" t="s">
        <v>675</v>
      </c>
      <c r="H13697" s="3063"/>
      <c r="I13697" s="3030"/>
    </row>
    <row r="13698" spans="2:9" ht="25.5">
      <c r="B13698" s="3192" t="s">
        <v>676</v>
      </c>
      <c r="C13698" s="3063"/>
      <c r="D13698" s="3064"/>
      <c r="E13698" s="3064"/>
      <c r="F13698" s="3064"/>
      <c r="G13698" s="3301" t="s">
        <v>676</v>
      </c>
      <c r="H13698" s="3063"/>
      <c r="I13698" s="3030"/>
    </row>
    <row r="13699" spans="2:9">
      <c r="B13699" s="3192" t="s">
        <v>677</v>
      </c>
      <c r="C13699" s="3063"/>
      <c r="D13699" s="3064"/>
      <c r="E13699" s="3064"/>
      <c r="F13699" s="3064"/>
      <c r="G13699" s="3301" t="s">
        <v>677</v>
      </c>
      <c r="H13699" s="3063"/>
      <c r="I13699" s="3030"/>
    </row>
    <row r="13700" spans="2:9">
      <c r="B13700" s="3192" t="s">
        <v>678</v>
      </c>
      <c r="C13700" s="3063"/>
      <c r="D13700" s="3064"/>
      <c r="E13700" s="3064"/>
      <c r="F13700" s="3064"/>
      <c r="G13700" s="3301" t="s">
        <v>678</v>
      </c>
      <c r="H13700" s="3063"/>
      <c r="I13700" s="3030"/>
    </row>
    <row r="13701" spans="2:9">
      <c r="B13701" s="3192" t="s">
        <v>679</v>
      </c>
      <c r="C13701" s="3063"/>
      <c r="D13701" s="3064"/>
      <c r="E13701" s="3064"/>
      <c r="F13701" s="3064"/>
      <c r="G13701" s="3301" t="s">
        <v>679</v>
      </c>
      <c r="H13701" s="3063"/>
      <c r="I13701" s="3030"/>
    </row>
    <row r="13702" spans="2:9" ht="25.5">
      <c r="B13702" s="3192" t="s">
        <v>720</v>
      </c>
      <c r="C13702" s="3063"/>
      <c r="D13702" s="3064"/>
      <c r="E13702" s="3064"/>
      <c r="F13702" s="3064"/>
      <c r="G13702" s="3301" t="s">
        <v>720</v>
      </c>
      <c r="H13702" s="3063"/>
      <c r="I13702" s="3030"/>
    </row>
    <row r="13703" spans="2:9">
      <c r="B13703" s="3299" t="s">
        <v>82</v>
      </c>
      <c r="C13703" s="3063"/>
      <c r="D13703" s="3064"/>
      <c r="E13703" s="3064"/>
      <c r="F13703" s="3064"/>
      <c r="G13703" s="3300" t="s">
        <v>82</v>
      </c>
      <c r="H13703" s="3063"/>
      <c r="I13703" s="3030"/>
    </row>
    <row r="13704" spans="2:9" ht="25.5">
      <c r="B13704" s="3192" t="s">
        <v>675</v>
      </c>
      <c r="C13704" s="3063"/>
      <c r="D13704" s="3064"/>
      <c r="E13704" s="3064"/>
      <c r="F13704" s="3064"/>
      <c r="G13704" s="3301" t="s">
        <v>675</v>
      </c>
      <c r="H13704" s="3063"/>
      <c r="I13704" s="3030"/>
    </row>
    <row r="13705" spans="2:9" ht="25.5">
      <c r="B13705" s="3192" t="s">
        <v>676</v>
      </c>
      <c r="C13705" s="3063"/>
      <c r="D13705" s="3064"/>
      <c r="E13705" s="3064"/>
      <c r="F13705" s="3064"/>
      <c r="G13705" s="3301" t="s">
        <v>676</v>
      </c>
      <c r="H13705" s="3063"/>
      <c r="I13705" s="3030"/>
    </row>
    <row r="13706" spans="2:9">
      <c r="B13706" s="3192" t="s">
        <v>677</v>
      </c>
      <c r="C13706" s="3063"/>
      <c r="D13706" s="3064"/>
      <c r="E13706" s="3064"/>
      <c r="F13706" s="3064"/>
      <c r="G13706" s="3301" t="s">
        <v>677</v>
      </c>
      <c r="H13706" s="3063"/>
      <c r="I13706" s="3030"/>
    </row>
    <row r="13707" spans="2:9">
      <c r="B13707" s="3192" t="s">
        <v>678</v>
      </c>
      <c r="C13707" s="3063"/>
      <c r="D13707" s="3064"/>
      <c r="E13707" s="3064"/>
      <c r="F13707" s="3064"/>
      <c r="G13707" s="3301" t="s">
        <v>678</v>
      </c>
      <c r="H13707" s="3063"/>
      <c r="I13707" s="3030"/>
    </row>
    <row r="13708" spans="2:9">
      <c r="B13708" s="3192" t="s">
        <v>679</v>
      </c>
      <c r="C13708" s="3063"/>
      <c r="D13708" s="3064"/>
      <c r="E13708" s="3064"/>
      <c r="F13708" s="3064"/>
      <c r="G13708" s="3301" t="s">
        <v>679</v>
      </c>
      <c r="H13708" s="3063"/>
      <c r="I13708" s="3030"/>
    </row>
    <row r="13709" spans="2:9" ht="25.5">
      <c r="B13709" s="3192" t="s">
        <v>720</v>
      </c>
      <c r="C13709" s="3063"/>
      <c r="D13709" s="3064"/>
      <c r="E13709" s="3064"/>
      <c r="F13709" s="3064"/>
      <c r="G13709" s="3301" t="s">
        <v>720</v>
      </c>
      <c r="H13709" s="3063"/>
      <c r="I13709" s="3030"/>
    </row>
    <row r="13710" spans="2:9" ht="38.25">
      <c r="B13710" s="3299" t="s">
        <v>680</v>
      </c>
      <c r="C13710" s="3063"/>
      <c r="D13710" s="3064"/>
      <c r="E13710" s="3064"/>
      <c r="F13710" s="3064"/>
      <c r="G13710" s="3300" t="s">
        <v>680</v>
      </c>
      <c r="H13710" s="3063"/>
      <c r="I13710" s="3030"/>
    </row>
    <row r="13711" spans="2:9" ht="25.5">
      <c r="B13711" s="3192" t="s">
        <v>675</v>
      </c>
      <c r="C13711" s="3063"/>
      <c r="D13711" s="3064"/>
      <c r="E13711" s="3064"/>
      <c r="F13711" s="3064"/>
      <c r="G13711" s="3301" t="s">
        <v>675</v>
      </c>
      <c r="H13711" s="3063"/>
      <c r="I13711" s="3030"/>
    </row>
    <row r="13712" spans="2:9" ht="25.5">
      <c r="B13712" s="3192" t="s">
        <v>676</v>
      </c>
      <c r="C13712" s="3063"/>
      <c r="D13712" s="3064"/>
      <c r="E13712" s="3064"/>
      <c r="F13712" s="3064"/>
      <c r="G13712" s="3301" t="s">
        <v>676</v>
      </c>
      <c r="H13712" s="3063"/>
      <c r="I13712" s="3030"/>
    </row>
    <row r="13713" spans="2:9">
      <c r="B13713" s="3192" t="s">
        <v>677</v>
      </c>
      <c r="C13713" s="3063"/>
      <c r="D13713" s="3064"/>
      <c r="E13713" s="3064"/>
      <c r="F13713" s="3064"/>
      <c r="G13713" s="3301" t="s">
        <v>677</v>
      </c>
      <c r="H13713" s="3063"/>
      <c r="I13713" s="3030"/>
    </row>
    <row r="13714" spans="2:9">
      <c r="B13714" s="3192" t="s">
        <v>678</v>
      </c>
      <c r="C13714" s="3063"/>
      <c r="D13714" s="3064"/>
      <c r="E13714" s="3064"/>
      <c r="F13714" s="3064"/>
      <c r="G13714" s="3301" t="s">
        <v>678</v>
      </c>
      <c r="H13714" s="3063"/>
      <c r="I13714" s="3030"/>
    </row>
    <row r="13715" spans="2:9">
      <c r="B13715" s="3192" t="s">
        <v>679</v>
      </c>
      <c r="C13715" s="3063"/>
      <c r="D13715" s="3064"/>
      <c r="E13715" s="3064"/>
      <c r="F13715" s="3064"/>
      <c r="G13715" s="3301" t="s">
        <v>679</v>
      </c>
      <c r="H13715" s="3063"/>
      <c r="I13715" s="3030"/>
    </row>
    <row r="13716" spans="2:9" ht="25.5">
      <c r="B13716" s="3192" t="s">
        <v>720</v>
      </c>
      <c r="C13716" s="3063"/>
      <c r="D13716" s="3064"/>
      <c r="E13716" s="3064"/>
      <c r="F13716" s="3064"/>
      <c r="G13716" s="3301" t="s">
        <v>720</v>
      </c>
      <c r="H13716" s="3063"/>
      <c r="I13716" s="3030"/>
    </row>
    <row r="13717" spans="2:9" ht="38.25">
      <c r="B13717" s="3299" t="s">
        <v>681</v>
      </c>
      <c r="C13717" s="3063"/>
      <c r="D13717" s="3064"/>
      <c r="E13717" s="3064"/>
      <c r="F13717" s="3064"/>
      <c r="G13717" s="3300" t="s">
        <v>681</v>
      </c>
      <c r="H13717" s="3063"/>
      <c r="I13717" s="3030"/>
    </row>
    <row r="13718" spans="2:9" ht="25.5">
      <c r="B13718" s="3192" t="s">
        <v>675</v>
      </c>
      <c r="C13718" s="3063"/>
      <c r="D13718" s="3064"/>
      <c r="E13718" s="3064"/>
      <c r="F13718" s="3064"/>
      <c r="G13718" s="3301" t="s">
        <v>675</v>
      </c>
      <c r="H13718" s="3063"/>
      <c r="I13718" s="3030"/>
    </row>
    <row r="13719" spans="2:9" ht="25.5">
      <c r="B13719" s="3192" t="s">
        <v>676</v>
      </c>
      <c r="C13719" s="3063"/>
      <c r="D13719" s="3064"/>
      <c r="E13719" s="3064"/>
      <c r="F13719" s="3064"/>
      <c r="G13719" s="3301" t="s">
        <v>676</v>
      </c>
      <c r="H13719" s="3063"/>
      <c r="I13719" s="3030"/>
    </row>
    <row r="13720" spans="2:9">
      <c r="B13720" s="3192" t="s">
        <v>677</v>
      </c>
      <c r="C13720" s="3063"/>
      <c r="D13720" s="3064"/>
      <c r="E13720" s="3064"/>
      <c r="F13720" s="3064"/>
      <c r="G13720" s="3301" t="s">
        <v>677</v>
      </c>
      <c r="H13720" s="3063"/>
      <c r="I13720" s="3030"/>
    </row>
    <row r="13721" spans="2:9">
      <c r="B13721" s="3192" t="s">
        <v>678</v>
      </c>
      <c r="C13721" s="3063"/>
      <c r="D13721" s="3064"/>
      <c r="E13721" s="3064"/>
      <c r="F13721" s="3064"/>
      <c r="G13721" s="3301" t="s">
        <v>678</v>
      </c>
      <c r="H13721" s="3063"/>
      <c r="I13721" s="3030"/>
    </row>
    <row r="13722" spans="2:9">
      <c r="B13722" s="3192" t="s">
        <v>679</v>
      </c>
      <c r="C13722" s="3063"/>
      <c r="D13722" s="3064"/>
      <c r="E13722" s="3064"/>
      <c r="F13722" s="3064"/>
      <c r="G13722" s="3301" t="s">
        <v>679</v>
      </c>
      <c r="H13722" s="3063"/>
      <c r="I13722" s="3030"/>
    </row>
    <row r="13723" spans="2:9" ht="25.5">
      <c r="B13723" s="3192" t="s">
        <v>720</v>
      </c>
      <c r="C13723" s="3063"/>
      <c r="D13723" s="3064"/>
      <c r="E13723" s="3064"/>
      <c r="F13723" s="3064"/>
      <c r="G13723" s="3301" t="s">
        <v>720</v>
      </c>
      <c r="H13723" s="3063"/>
      <c r="I13723" s="3030"/>
    </row>
    <row r="13724" spans="2:9" ht="25.5">
      <c r="B13724" s="3299" t="s">
        <v>682</v>
      </c>
      <c r="C13724" s="3063"/>
      <c r="D13724" s="3064"/>
      <c r="E13724" s="3064"/>
      <c r="F13724" s="3064"/>
      <c r="G13724" s="3300" t="s">
        <v>682</v>
      </c>
      <c r="H13724" s="3063"/>
      <c r="I13724" s="3030"/>
    </row>
    <row r="13725" spans="2:9" ht="25.5">
      <c r="B13725" s="3192" t="s">
        <v>675</v>
      </c>
      <c r="C13725" s="3063"/>
      <c r="D13725" s="3064"/>
      <c r="E13725" s="3064"/>
      <c r="F13725" s="3064"/>
      <c r="G13725" s="3301" t="s">
        <v>675</v>
      </c>
      <c r="H13725" s="3063"/>
      <c r="I13725" s="3030"/>
    </row>
    <row r="13726" spans="2:9" ht="25.5">
      <c r="B13726" s="3192" t="s">
        <v>676</v>
      </c>
      <c r="C13726" s="3063"/>
      <c r="D13726" s="3064"/>
      <c r="E13726" s="3064"/>
      <c r="F13726" s="3064"/>
      <c r="G13726" s="3301" t="s">
        <v>676</v>
      </c>
      <c r="H13726" s="3063"/>
      <c r="I13726" s="3030"/>
    </row>
    <row r="13727" spans="2:9">
      <c r="B13727" s="3192" t="s">
        <v>677</v>
      </c>
      <c r="C13727" s="3063"/>
      <c r="D13727" s="3064"/>
      <c r="E13727" s="3064"/>
      <c r="F13727" s="3064"/>
      <c r="G13727" s="3301" t="s">
        <v>677</v>
      </c>
      <c r="H13727" s="3063"/>
      <c r="I13727" s="3030"/>
    </row>
    <row r="13728" spans="2:9">
      <c r="B13728" s="3192" t="s">
        <v>678</v>
      </c>
      <c r="C13728" s="3063"/>
      <c r="D13728" s="3064"/>
      <c r="E13728" s="3064"/>
      <c r="F13728" s="3064"/>
      <c r="G13728" s="3301" t="s">
        <v>678</v>
      </c>
      <c r="H13728" s="3063"/>
      <c r="I13728" s="3030"/>
    </row>
    <row r="13729" spans="2:9">
      <c r="B13729" s="3192" t="s">
        <v>679</v>
      </c>
      <c r="C13729" s="3063"/>
      <c r="D13729" s="3064"/>
      <c r="E13729" s="3064"/>
      <c r="F13729" s="3064"/>
      <c r="G13729" s="3301" t="s">
        <v>679</v>
      </c>
      <c r="H13729" s="3063"/>
      <c r="I13729" s="3030"/>
    </row>
    <row r="13730" spans="2:9" ht="25.5">
      <c r="B13730" s="3192" t="s">
        <v>720</v>
      </c>
      <c r="C13730" s="3063"/>
      <c r="D13730" s="3064"/>
      <c r="E13730" s="3064"/>
      <c r="F13730" s="3064"/>
      <c r="G13730" s="3301" t="s">
        <v>720</v>
      </c>
      <c r="H13730" s="3063"/>
      <c r="I13730" s="3030"/>
    </row>
    <row r="13731" spans="2:9" ht="25.5">
      <c r="B13731" s="3299" t="s">
        <v>66</v>
      </c>
      <c r="C13731" s="3063"/>
      <c r="D13731" s="3064"/>
      <c r="E13731" s="3064"/>
      <c r="F13731" s="3064"/>
      <c r="G13731" s="3300" t="s">
        <v>66</v>
      </c>
      <c r="H13731" s="3063"/>
      <c r="I13731" s="3030"/>
    </row>
    <row r="13732" spans="2:9" ht="25.5">
      <c r="B13732" s="3192" t="s">
        <v>675</v>
      </c>
      <c r="C13732" s="3063"/>
      <c r="D13732" s="3064"/>
      <c r="E13732" s="3064"/>
      <c r="F13732" s="3064"/>
      <c r="G13732" s="3301" t="s">
        <v>675</v>
      </c>
      <c r="H13732" s="3063"/>
      <c r="I13732" s="3030"/>
    </row>
    <row r="13733" spans="2:9" ht="25.5">
      <c r="B13733" s="3192" t="s">
        <v>676</v>
      </c>
      <c r="C13733" s="3063"/>
      <c r="D13733" s="3064"/>
      <c r="E13733" s="3064"/>
      <c r="F13733" s="3064"/>
      <c r="G13733" s="3301" t="s">
        <v>676</v>
      </c>
      <c r="H13733" s="3063"/>
      <c r="I13733" s="3030"/>
    </row>
    <row r="13734" spans="2:9">
      <c r="B13734" s="3192" t="s">
        <v>677</v>
      </c>
      <c r="C13734" s="3063"/>
      <c r="D13734" s="3064"/>
      <c r="E13734" s="3064"/>
      <c r="F13734" s="3064"/>
      <c r="G13734" s="3301" t="s">
        <v>677</v>
      </c>
      <c r="H13734" s="3063"/>
      <c r="I13734" s="3030"/>
    </row>
    <row r="13735" spans="2:9">
      <c r="B13735" s="3192" t="s">
        <v>678</v>
      </c>
      <c r="C13735" s="3063"/>
      <c r="D13735" s="3064"/>
      <c r="E13735" s="3064"/>
      <c r="F13735" s="3064"/>
      <c r="G13735" s="3301" t="s">
        <v>678</v>
      </c>
      <c r="H13735" s="3063"/>
      <c r="I13735" s="3030"/>
    </row>
    <row r="13736" spans="2:9">
      <c r="B13736" s="3192" t="s">
        <v>679</v>
      </c>
      <c r="C13736" s="3063"/>
      <c r="D13736" s="3064"/>
      <c r="E13736" s="3064"/>
      <c r="F13736" s="3064"/>
      <c r="G13736" s="3301" t="s">
        <v>679</v>
      </c>
      <c r="H13736" s="3063"/>
      <c r="I13736" s="3030"/>
    </row>
    <row r="13737" spans="2:9" ht="25.5">
      <c r="B13737" s="3192" t="s">
        <v>720</v>
      </c>
      <c r="C13737" s="3063"/>
      <c r="D13737" s="3064"/>
      <c r="E13737" s="3064"/>
      <c r="F13737" s="3064"/>
      <c r="G13737" s="3301" t="s">
        <v>720</v>
      </c>
      <c r="H13737" s="3063"/>
      <c r="I13737" s="3030"/>
    </row>
    <row r="13738" spans="2:9">
      <c r="B13738" s="3299" t="s">
        <v>67</v>
      </c>
      <c r="C13738" s="3063"/>
      <c r="D13738" s="3064"/>
      <c r="E13738" s="3064"/>
      <c r="F13738" s="3064"/>
      <c r="G13738" s="3300" t="s">
        <v>67</v>
      </c>
      <c r="H13738" s="3063"/>
      <c r="I13738" s="3030"/>
    </row>
    <row r="13739" spans="2:9" ht="25.5">
      <c r="B13739" s="3192" t="s">
        <v>675</v>
      </c>
      <c r="C13739" s="3063"/>
      <c r="D13739" s="3064"/>
      <c r="E13739" s="3064"/>
      <c r="F13739" s="3064"/>
      <c r="G13739" s="3301" t="s">
        <v>675</v>
      </c>
      <c r="H13739" s="3063"/>
      <c r="I13739" s="3030"/>
    </row>
    <row r="13740" spans="2:9" ht="25.5">
      <c r="B13740" s="3192" t="s">
        <v>676</v>
      </c>
      <c r="C13740" s="3063"/>
      <c r="D13740" s="3064"/>
      <c r="E13740" s="3064"/>
      <c r="F13740" s="3064"/>
      <c r="G13740" s="3301" t="s">
        <v>676</v>
      </c>
      <c r="H13740" s="3063"/>
      <c r="I13740" s="3030"/>
    </row>
    <row r="13741" spans="2:9">
      <c r="B13741" s="3192" t="s">
        <v>677</v>
      </c>
      <c r="C13741" s="3063"/>
      <c r="D13741" s="3064"/>
      <c r="E13741" s="3064"/>
      <c r="F13741" s="3064"/>
      <c r="G13741" s="3301" t="s">
        <v>677</v>
      </c>
      <c r="H13741" s="3063"/>
      <c r="I13741" s="3030"/>
    </row>
    <row r="13742" spans="2:9">
      <c r="B13742" s="3192" t="s">
        <v>678</v>
      </c>
      <c r="C13742" s="3063"/>
      <c r="D13742" s="3064"/>
      <c r="E13742" s="3064"/>
      <c r="F13742" s="3064"/>
      <c r="G13742" s="3301" t="s">
        <v>678</v>
      </c>
      <c r="H13742" s="3063"/>
      <c r="I13742" s="3030"/>
    </row>
    <row r="13743" spans="2:9">
      <c r="B13743" s="3192" t="s">
        <v>679</v>
      </c>
      <c r="C13743" s="3063"/>
      <c r="D13743" s="3064"/>
      <c r="E13743" s="3064"/>
      <c r="F13743" s="3064"/>
      <c r="G13743" s="3301" t="s">
        <v>679</v>
      </c>
      <c r="H13743" s="3063"/>
      <c r="I13743" s="3030"/>
    </row>
    <row r="13744" spans="2:9" ht="25.5">
      <c r="B13744" s="3230" t="s">
        <v>81</v>
      </c>
      <c r="C13744" s="3063"/>
      <c r="D13744" s="3064"/>
      <c r="E13744" s="3064"/>
      <c r="F13744" s="3064"/>
      <c r="G13744" s="3302" t="s">
        <v>81</v>
      </c>
      <c r="H13744" s="3063"/>
      <c r="I13744" s="3030"/>
    </row>
    <row r="13745" spans="2:9" ht="26.25" thickBot="1">
      <c r="B13745" s="3303" t="s">
        <v>81</v>
      </c>
      <c r="C13745" s="3063"/>
      <c r="D13745" s="3064"/>
      <c r="E13745" s="3064"/>
      <c r="F13745" s="3064"/>
      <c r="G13745" s="3302" t="s">
        <v>81</v>
      </c>
      <c r="H13745" s="3063"/>
      <c r="I13745" s="3030"/>
    </row>
    <row r="13746" spans="2:9">
      <c r="B13746" s="3217" t="s">
        <v>697</v>
      </c>
      <c r="C13746" s="3218"/>
      <c r="D13746" s="3219"/>
      <c r="E13746" s="3219"/>
      <c r="F13746" s="3219"/>
      <c r="G13746" s="3217" t="s">
        <v>697</v>
      </c>
      <c r="H13746" s="3297"/>
      <c r="I13746" s="3298"/>
    </row>
    <row r="13747" spans="2:9">
      <c r="B13747" s="3299" t="s">
        <v>64</v>
      </c>
      <c r="C13747" s="3063"/>
      <c r="D13747" s="3064"/>
      <c r="E13747" s="3064"/>
      <c r="F13747" s="3064"/>
      <c r="G13747" s="3300" t="s">
        <v>64</v>
      </c>
      <c r="H13747" s="3063"/>
      <c r="I13747" s="3030"/>
    </row>
    <row r="13748" spans="2:9" ht="25.5">
      <c r="B13748" s="3192" t="s">
        <v>675</v>
      </c>
      <c r="C13748" s="3063"/>
      <c r="D13748" s="3064"/>
      <c r="E13748" s="3064"/>
      <c r="F13748" s="3064"/>
      <c r="G13748" s="3301" t="s">
        <v>675</v>
      </c>
      <c r="H13748" s="3063"/>
      <c r="I13748" s="3030"/>
    </row>
    <row r="13749" spans="2:9" ht="25.5">
      <c r="B13749" s="3192" t="s">
        <v>676</v>
      </c>
      <c r="C13749" s="3063"/>
      <c r="D13749" s="3064"/>
      <c r="E13749" s="3064"/>
      <c r="F13749" s="3064"/>
      <c r="G13749" s="3301" t="s">
        <v>676</v>
      </c>
      <c r="H13749" s="3063"/>
      <c r="I13749" s="3030"/>
    </row>
    <row r="13750" spans="2:9">
      <c r="B13750" s="3192" t="s">
        <v>677</v>
      </c>
      <c r="C13750" s="3063"/>
      <c r="D13750" s="3064"/>
      <c r="E13750" s="3064"/>
      <c r="F13750" s="3064"/>
      <c r="G13750" s="3301" t="s">
        <v>677</v>
      </c>
      <c r="H13750" s="3063"/>
      <c r="I13750" s="3030"/>
    </row>
    <row r="13751" spans="2:9">
      <c r="B13751" s="3192" t="s">
        <v>678</v>
      </c>
      <c r="C13751" s="3063"/>
      <c r="D13751" s="3064"/>
      <c r="E13751" s="3064"/>
      <c r="F13751" s="3064"/>
      <c r="G13751" s="3301" t="s">
        <v>678</v>
      </c>
      <c r="H13751" s="3063"/>
      <c r="I13751" s="3030"/>
    </row>
    <row r="13752" spans="2:9">
      <c r="B13752" s="3192" t="s">
        <v>679</v>
      </c>
      <c r="C13752" s="3063"/>
      <c r="D13752" s="3064"/>
      <c r="E13752" s="3064"/>
      <c r="F13752" s="3064"/>
      <c r="G13752" s="3301" t="s">
        <v>679</v>
      </c>
      <c r="H13752" s="3063"/>
      <c r="I13752" s="3030"/>
    </row>
    <row r="13753" spans="2:9" ht="25.5">
      <c r="B13753" s="3192" t="s">
        <v>720</v>
      </c>
      <c r="C13753" s="3063"/>
      <c r="D13753" s="3064"/>
      <c r="E13753" s="3064"/>
      <c r="F13753" s="3064"/>
      <c r="G13753" s="3301" t="s">
        <v>720</v>
      </c>
      <c r="H13753" s="3063"/>
      <c r="I13753" s="3030"/>
    </row>
    <row r="13754" spans="2:9">
      <c r="B13754" s="3299" t="s">
        <v>65</v>
      </c>
      <c r="C13754" s="3063"/>
      <c r="D13754" s="3064"/>
      <c r="E13754" s="3064"/>
      <c r="F13754" s="3064"/>
      <c r="G13754" s="3300" t="s">
        <v>65</v>
      </c>
      <c r="H13754" s="3063"/>
      <c r="I13754" s="3030"/>
    </row>
    <row r="13755" spans="2:9" ht="25.5">
      <c r="B13755" s="3192" t="s">
        <v>675</v>
      </c>
      <c r="C13755" s="3063"/>
      <c r="D13755" s="3064"/>
      <c r="E13755" s="3064"/>
      <c r="F13755" s="3064"/>
      <c r="G13755" s="3301" t="s">
        <v>675</v>
      </c>
      <c r="H13755" s="3063"/>
      <c r="I13755" s="3030"/>
    </row>
    <row r="13756" spans="2:9" ht="25.5">
      <c r="B13756" s="3192" t="s">
        <v>676</v>
      </c>
      <c r="C13756" s="3063"/>
      <c r="D13756" s="3064"/>
      <c r="E13756" s="3064"/>
      <c r="F13756" s="3064"/>
      <c r="G13756" s="3301" t="s">
        <v>676</v>
      </c>
      <c r="H13756" s="3063"/>
      <c r="I13756" s="3030"/>
    </row>
    <row r="13757" spans="2:9">
      <c r="B13757" s="3192" t="s">
        <v>677</v>
      </c>
      <c r="C13757" s="3063"/>
      <c r="D13757" s="3064"/>
      <c r="E13757" s="3064"/>
      <c r="F13757" s="3064"/>
      <c r="G13757" s="3301" t="s">
        <v>677</v>
      </c>
      <c r="H13757" s="3063"/>
      <c r="I13757" s="3030"/>
    </row>
    <row r="13758" spans="2:9">
      <c r="B13758" s="3192" t="s">
        <v>678</v>
      </c>
      <c r="C13758" s="3063"/>
      <c r="D13758" s="3064"/>
      <c r="E13758" s="3064"/>
      <c r="F13758" s="3064"/>
      <c r="G13758" s="3301" t="s">
        <v>678</v>
      </c>
      <c r="H13758" s="3063"/>
      <c r="I13758" s="3030"/>
    </row>
    <row r="13759" spans="2:9">
      <c r="B13759" s="3192" t="s">
        <v>679</v>
      </c>
      <c r="C13759" s="3063"/>
      <c r="D13759" s="3064"/>
      <c r="E13759" s="3064"/>
      <c r="F13759" s="3064"/>
      <c r="G13759" s="3301" t="s">
        <v>679</v>
      </c>
      <c r="H13759" s="3063"/>
      <c r="I13759" s="3030"/>
    </row>
    <row r="13760" spans="2:9" ht="25.5">
      <c r="B13760" s="3192" t="s">
        <v>720</v>
      </c>
      <c r="C13760" s="3063"/>
      <c r="D13760" s="3064"/>
      <c r="E13760" s="3064"/>
      <c r="F13760" s="3064"/>
      <c r="G13760" s="3301" t="s">
        <v>720</v>
      </c>
      <c r="H13760" s="3063"/>
      <c r="I13760" s="3030"/>
    </row>
    <row r="13761" spans="2:9">
      <c r="B13761" s="3299" t="s">
        <v>82</v>
      </c>
      <c r="C13761" s="3063"/>
      <c r="D13761" s="3064"/>
      <c r="E13761" s="3064"/>
      <c r="F13761" s="3064"/>
      <c r="G13761" s="3300" t="s">
        <v>82</v>
      </c>
      <c r="H13761" s="3063"/>
      <c r="I13761" s="3030"/>
    </row>
    <row r="13762" spans="2:9" ht="25.5">
      <c r="B13762" s="3192" t="s">
        <v>675</v>
      </c>
      <c r="C13762" s="3063"/>
      <c r="D13762" s="3064"/>
      <c r="E13762" s="3064"/>
      <c r="F13762" s="3064"/>
      <c r="G13762" s="3301" t="s">
        <v>675</v>
      </c>
      <c r="H13762" s="3063"/>
      <c r="I13762" s="3030"/>
    </row>
    <row r="13763" spans="2:9" ht="25.5">
      <c r="B13763" s="3192" t="s">
        <v>676</v>
      </c>
      <c r="C13763" s="3063"/>
      <c r="D13763" s="3064"/>
      <c r="E13763" s="3064"/>
      <c r="F13763" s="3064"/>
      <c r="G13763" s="3301" t="s">
        <v>676</v>
      </c>
      <c r="H13763" s="3063"/>
      <c r="I13763" s="3030"/>
    </row>
    <row r="13764" spans="2:9">
      <c r="B13764" s="3192" t="s">
        <v>677</v>
      </c>
      <c r="C13764" s="3063"/>
      <c r="D13764" s="3064"/>
      <c r="E13764" s="3064"/>
      <c r="F13764" s="3064"/>
      <c r="G13764" s="3301" t="s">
        <v>677</v>
      </c>
      <c r="H13764" s="3063"/>
      <c r="I13764" s="3030"/>
    </row>
    <row r="13765" spans="2:9">
      <c r="B13765" s="3192" t="s">
        <v>678</v>
      </c>
      <c r="C13765" s="3063"/>
      <c r="D13765" s="3064"/>
      <c r="E13765" s="3064"/>
      <c r="F13765" s="3064"/>
      <c r="G13765" s="3301" t="s">
        <v>678</v>
      </c>
      <c r="H13765" s="3063"/>
      <c r="I13765" s="3030"/>
    </row>
    <row r="13766" spans="2:9">
      <c r="B13766" s="3192" t="s">
        <v>679</v>
      </c>
      <c r="C13766" s="3063"/>
      <c r="D13766" s="3064"/>
      <c r="E13766" s="3064"/>
      <c r="F13766" s="3064"/>
      <c r="G13766" s="3301" t="s">
        <v>679</v>
      </c>
      <c r="H13766" s="3063"/>
      <c r="I13766" s="3030"/>
    </row>
    <row r="13767" spans="2:9" ht="25.5">
      <c r="B13767" s="3192" t="s">
        <v>720</v>
      </c>
      <c r="C13767" s="3063"/>
      <c r="D13767" s="3064"/>
      <c r="E13767" s="3064"/>
      <c r="F13767" s="3064"/>
      <c r="G13767" s="3301" t="s">
        <v>720</v>
      </c>
      <c r="H13767" s="3063"/>
      <c r="I13767" s="3030"/>
    </row>
    <row r="13768" spans="2:9" ht="38.25">
      <c r="B13768" s="3299" t="s">
        <v>680</v>
      </c>
      <c r="C13768" s="3063"/>
      <c r="D13768" s="3064"/>
      <c r="E13768" s="3064"/>
      <c r="F13768" s="3064"/>
      <c r="G13768" s="3300" t="s">
        <v>680</v>
      </c>
      <c r="H13768" s="3063"/>
      <c r="I13768" s="3030"/>
    </row>
    <row r="13769" spans="2:9" ht="25.5">
      <c r="B13769" s="3192" t="s">
        <v>675</v>
      </c>
      <c r="C13769" s="3063"/>
      <c r="D13769" s="3064"/>
      <c r="E13769" s="3064"/>
      <c r="F13769" s="3064"/>
      <c r="G13769" s="3301" t="s">
        <v>675</v>
      </c>
      <c r="H13769" s="3063"/>
      <c r="I13769" s="3030"/>
    </row>
    <row r="13770" spans="2:9" ht="25.5">
      <c r="B13770" s="3192" t="s">
        <v>676</v>
      </c>
      <c r="C13770" s="3063"/>
      <c r="D13770" s="3064"/>
      <c r="E13770" s="3064"/>
      <c r="F13770" s="3064"/>
      <c r="G13770" s="3301" t="s">
        <v>676</v>
      </c>
      <c r="H13770" s="3063"/>
      <c r="I13770" s="3030"/>
    </row>
    <row r="13771" spans="2:9">
      <c r="B13771" s="3192" t="s">
        <v>677</v>
      </c>
      <c r="C13771" s="3063"/>
      <c r="D13771" s="3064"/>
      <c r="E13771" s="3064"/>
      <c r="F13771" s="3064"/>
      <c r="G13771" s="3301" t="s">
        <v>677</v>
      </c>
      <c r="H13771" s="3063"/>
      <c r="I13771" s="3030"/>
    </row>
    <row r="13772" spans="2:9">
      <c r="B13772" s="3192" t="s">
        <v>678</v>
      </c>
      <c r="C13772" s="3063"/>
      <c r="D13772" s="3064"/>
      <c r="E13772" s="3064"/>
      <c r="F13772" s="3064"/>
      <c r="G13772" s="3301" t="s">
        <v>678</v>
      </c>
      <c r="H13772" s="3063"/>
      <c r="I13772" s="3030"/>
    </row>
    <row r="13773" spans="2:9">
      <c r="B13773" s="3192" t="s">
        <v>679</v>
      </c>
      <c r="C13773" s="3063"/>
      <c r="D13773" s="3064"/>
      <c r="E13773" s="3064"/>
      <c r="F13773" s="3064"/>
      <c r="G13773" s="3301" t="s">
        <v>679</v>
      </c>
      <c r="H13773" s="3063"/>
      <c r="I13773" s="3030"/>
    </row>
    <row r="13774" spans="2:9" ht="25.5">
      <c r="B13774" s="3192" t="s">
        <v>720</v>
      </c>
      <c r="C13774" s="3063"/>
      <c r="D13774" s="3064"/>
      <c r="E13774" s="3064"/>
      <c r="F13774" s="3064"/>
      <c r="G13774" s="3301" t="s">
        <v>720</v>
      </c>
      <c r="H13774" s="3063"/>
      <c r="I13774" s="3030"/>
    </row>
    <row r="13775" spans="2:9" ht="38.25">
      <c r="B13775" s="3299" t="s">
        <v>681</v>
      </c>
      <c r="C13775" s="3063"/>
      <c r="D13775" s="3064"/>
      <c r="E13775" s="3064"/>
      <c r="F13775" s="3064"/>
      <c r="G13775" s="3300" t="s">
        <v>681</v>
      </c>
      <c r="H13775" s="3063">
        <v>2.641580573886897E-2</v>
      </c>
      <c r="I13775" s="3030"/>
    </row>
    <row r="13776" spans="2:9" ht="25.5">
      <c r="B13776" s="3192" t="s">
        <v>675</v>
      </c>
      <c r="C13776" s="3063"/>
      <c r="D13776" s="3064"/>
      <c r="E13776" s="3064"/>
      <c r="F13776" s="3064"/>
      <c r="G13776" s="3301" t="s">
        <v>675</v>
      </c>
      <c r="H13776" s="3063"/>
      <c r="I13776" s="3030"/>
    </row>
    <row r="13777" spans="2:9" ht="25.5">
      <c r="B13777" s="3192" t="s">
        <v>676</v>
      </c>
      <c r="C13777" s="3063"/>
      <c r="D13777" s="3064"/>
      <c r="E13777" s="3064"/>
      <c r="F13777" s="3064"/>
      <c r="G13777" s="3301" t="s">
        <v>676</v>
      </c>
      <c r="H13777" s="3063"/>
      <c r="I13777" s="3030"/>
    </row>
    <row r="13778" spans="2:9">
      <c r="B13778" s="3192" t="s">
        <v>677</v>
      </c>
      <c r="C13778" s="3063"/>
      <c r="D13778" s="3064"/>
      <c r="E13778" s="3064"/>
      <c r="F13778" s="3064"/>
      <c r="G13778" s="3301" t="s">
        <v>677</v>
      </c>
      <c r="H13778" s="3063"/>
      <c r="I13778" s="3030"/>
    </row>
    <row r="13779" spans="2:9">
      <c r="B13779" s="3192" t="s">
        <v>678</v>
      </c>
      <c r="C13779" s="3063"/>
      <c r="D13779" s="3064"/>
      <c r="E13779" s="3064"/>
      <c r="F13779" s="3064"/>
      <c r="G13779" s="3301" t="s">
        <v>678</v>
      </c>
      <c r="H13779" s="3063"/>
      <c r="I13779" s="3030"/>
    </row>
    <row r="13780" spans="2:9">
      <c r="B13780" s="3192" t="s">
        <v>679</v>
      </c>
      <c r="C13780" s="3063">
        <v>2</v>
      </c>
      <c r="D13780" s="3064"/>
      <c r="E13780" s="3064"/>
      <c r="F13780" s="3064"/>
      <c r="G13780" s="3301" t="s">
        <v>679</v>
      </c>
      <c r="H13780" s="3063"/>
      <c r="I13780" s="3030"/>
    </row>
    <row r="13781" spans="2:9" ht="25.5">
      <c r="B13781" s="3192" t="s">
        <v>720</v>
      </c>
      <c r="C13781" s="3063"/>
      <c r="D13781" s="3064"/>
      <c r="E13781" s="3064"/>
      <c r="F13781" s="3064"/>
      <c r="G13781" s="3301" t="s">
        <v>720</v>
      </c>
      <c r="H13781" s="3063"/>
      <c r="I13781" s="3030"/>
    </row>
    <row r="13782" spans="2:9" ht="25.5">
      <c r="B13782" s="3299" t="s">
        <v>682</v>
      </c>
      <c r="C13782" s="3063"/>
      <c r="D13782" s="3064"/>
      <c r="E13782" s="3064"/>
      <c r="F13782" s="3064"/>
      <c r="G13782" s="3300" t="s">
        <v>682</v>
      </c>
      <c r="H13782" s="3063"/>
      <c r="I13782" s="3030"/>
    </row>
    <row r="13783" spans="2:9" ht="25.5">
      <c r="B13783" s="3192" t="s">
        <v>675</v>
      </c>
      <c r="C13783" s="3063"/>
      <c r="D13783" s="3064"/>
      <c r="E13783" s="3064"/>
      <c r="F13783" s="3064"/>
      <c r="G13783" s="3301" t="s">
        <v>675</v>
      </c>
      <c r="H13783" s="3063"/>
      <c r="I13783" s="3030"/>
    </row>
    <row r="13784" spans="2:9" ht="25.5">
      <c r="B13784" s="3192" t="s">
        <v>676</v>
      </c>
      <c r="C13784" s="3063"/>
      <c r="D13784" s="3064"/>
      <c r="E13784" s="3064"/>
      <c r="F13784" s="3064"/>
      <c r="G13784" s="3301" t="s">
        <v>676</v>
      </c>
      <c r="H13784" s="3063"/>
      <c r="I13784" s="3030"/>
    </row>
    <row r="13785" spans="2:9">
      <c r="B13785" s="3192" t="s">
        <v>677</v>
      </c>
      <c r="C13785" s="3063"/>
      <c r="D13785" s="3064"/>
      <c r="E13785" s="3064"/>
      <c r="F13785" s="3064"/>
      <c r="G13785" s="3301" t="s">
        <v>677</v>
      </c>
      <c r="H13785" s="3063"/>
      <c r="I13785" s="3030"/>
    </row>
    <row r="13786" spans="2:9">
      <c r="B13786" s="3192" t="s">
        <v>678</v>
      </c>
      <c r="C13786" s="3063"/>
      <c r="D13786" s="3064"/>
      <c r="E13786" s="3064"/>
      <c r="F13786" s="3064"/>
      <c r="G13786" s="3301" t="s">
        <v>678</v>
      </c>
      <c r="H13786" s="3063"/>
      <c r="I13786" s="3030"/>
    </row>
    <row r="13787" spans="2:9">
      <c r="B13787" s="3192" t="s">
        <v>679</v>
      </c>
      <c r="C13787" s="3063"/>
      <c r="D13787" s="3064"/>
      <c r="E13787" s="3064"/>
      <c r="F13787" s="3064"/>
      <c r="G13787" s="3301" t="s">
        <v>679</v>
      </c>
      <c r="H13787" s="3063"/>
      <c r="I13787" s="3030"/>
    </row>
    <row r="13788" spans="2:9" ht="25.5">
      <c r="B13788" s="3192" t="s">
        <v>720</v>
      </c>
      <c r="C13788" s="3063"/>
      <c r="D13788" s="3064"/>
      <c r="E13788" s="3064"/>
      <c r="F13788" s="3064"/>
      <c r="G13788" s="3301" t="s">
        <v>720</v>
      </c>
      <c r="H13788" s="3063"/>
      <c r="I13788" s="3030"/>
    </row>
    <row r="13789" spans="2:9" ht="25.5">
      <c r="B13789" s="3299" t="s">
        <v>66</v>
      </c>
      <c r="C13789" s="3063"/>
      <c r="D13789" s="3064"/>
      <c r="E13789" s="3064"/>
      <c r="F13789" s="3064"/>
      <c r="G13789" s="3300" t="s">
        <v>66</v>
      </c>
      <c r="H13789" s="3063"/>
      <c r="I13789" s="3030"/>
    </row>
    <row r="13790" spans="2:9" ht="25.5">
      <c r="B13790" s="3192" t="s">
        <v>675</v>
      </c>
      <c r="C13790" s="3063"/>
      <c r="D13790" s="3064"/>
      <c r="E13790" s="3064"/>
      <c r="F13790" s="3064"/>
      <c r="G13790" s="3301" t="s">
        <v>675</v>
      </c>
      <c r="H13790" s="3063"/>
      <c r="I13790" s="3030"/>
    </row>
    <row r="13791" spans="2:9" ht="25.5">
      <c r="B13791" s="3192" t="s">
        <v>676</v>
      </c>
      <c r="C13791" s="3063"/>
      <c r="D13791" s="3064"/>
      <c r="E13791" s="3064"/>
      <c r="F13791" s="3064"/>
      <c r="G13791" s="3301" t="s">
        <v>676</v>
      </c>
      <c r="H13791" s="3063"/>
      <c r="I13791" s="3030"/>
    </row>
    <row r="13792" spans="2:9">
      <c r="B13792" s="3192" t="s">
        <v>677</v>
      </c>
      <c r="C13792" s="3063"/>
      <c r="D13792" s="3064"/>
      <c r="E13792" s="3064"/>
      <c r="F13792" s="3064"/>
      <c r="G13792" s="3301" t="s">
        <v>677</v>
      </c>
      <c r="H13792" s="3063"/>
      <c r="I13792" s="3030"/>
    </row>
    <row r="13793" spans="2:9">
      <c r="B13793" s="3192" t="s">
        <v>678</v>
      </c>
      <c r="C13793" s="3063"/>
      <c r="D13793" s="3064"/>
      <c r="E13793" s="3064"/>
      <c r="F13793" s="3064"/>
      <c r="G13793" s="3301" t="s">
        <v>678</v>
      </c>
      <c r="H13793" s="3063"/>
      <c r="I13793" s="3030"/>
    </row>
    <row r="13794" spans="2:9">
      <c r="B13794" s="3192" t="s">
        <v>679</v>
      </c>
      <c r="C13794" s="3063"/>
      <c r="D13794" s="3064"/>
      <c r="E13794" s="3064"/>
      <c r="F13794" s="3064"/>
      <c r="G13794" s="3301" t="s">
        <v>679</v>
      </c>
      <c r="H13794" s="3063"/>
      <c r="I13794" s="3030"/>
    </row>
    <row r="13795" spans="2:9" ht="25.5">
      <c r="B13795" s="3192" t="s">
        <v>720</v>
      </c>
      <c r="C13795" s="3063"/>
      <c r="D13795" s="3064"/>
      <c r="E13795" s="3064"/>
      <c r="F13795" s="3064"/>
      <c r="G13795" s="3301" t="s">
        <v>720</v>
      </c>
      <c r="H13795" s="3063"/>
      <c r="I13795" s="3030"/>
    </row>
    <row r="13796" spans="2:9">
      <c r="B13796" s="3299" t="s">
        <v>67</v>
      </c>
      <c r="C13796" s="3063"/>
      <c r="D13796" s="3064"/>
      <c r="E13796" s="3064"/>
      <c r="F13796" s="3064"/>
      <c r="G13796" s="3300" t="s">
        <v>67</v>
      </c>
      <c r="H13796" s="3063"/>
      <c r="I13796" s="3030">
        <f>1/AVERAGE(I1248:K1248)</f>
        <v>2.7651043826904413E-2</v>
      </c>
    </row>
    <row r="13797" spans="2:9" ht="25.5">
      <c r="B13797" s="3192" t="s">
        <v>675</v>
      </c>
      <c r="C13797" s="3063"/>
      <c r="D13797" s="3064"/>
      <c r="E13797" s="3064"/>
      <c r="F13797" s="3064"/>
      <c r="G13797" s="3301" t="s">
        <v>675</v>
      </c>
      <c r="H13797" s="3063"/>
      <c r="I13797" s="3030"/>
    </row>
    <row r="13798" spans="2:9" ht="25.5">
      <c r="B13798" s="3192" t="s">
        <v>676</v>
      </c>
      <c r="C13798" s="3063"/>
      <c r="D13798" s="3064"/>
      <c r="E13798" s="3064"/>
      <c r="F13798" s="3064"/>
      <c r="G13798" s="3301" t="s">
        <v>676</v>
      </c>
      <c r="H13798" s="3063"/>
      <c r="I13798" s="3030"/>
    </row>
    <row r="13799" spans="2:9">
      <c r="B13799" s="3192" t="s">
        <v>677</v>
      </c>
      <c r="C13799" s="3063"/>
      <c r="D13799" s="3064"/>
      <c r="E13799" s="3064"/>
      <c r="F13799" s="3064"/>
      <c r="G13799" s="3301" t="s">
        <v>677</v>
      </c>
      <c r="H13799" s="3063"/>
      <c r="I13799" s="3030"/>
    </row>
    <row r="13800" spans="2:9">
      <c r="B13800" s="3192" t="s">
        <v>678</v>
      </c>
      <c r="C13800" s="3063"/>
      <c r="D13800" s="3064">
        <v>1</v>
      </c>
      <c r="E13800" s="3064"/>
      <c r="F13800" s="3064"/>
      <c r="G13800" s="3301" t="s">
        <v>678</v>
      </c>
      <c r="H13800" s="3063"/>
      <c r="I13800" s="3030"/>
    </row>
    <row r="13801" spans="2:9">
      <c r="B13801" s="3192" t="s">
        <v>679</v>
      </c>
      <c r="C13801" s="3063"/>
      <c r="D13801" s="3064"/>
      <c r="E13801" s="3064"/>
      <c r="F13801" s="3064"/>
      <c r="G13801" s="3301" t="s">
        <v>679</v>
      </c>
      <c r="H13801" s="3063"/>
      <c r="I13801" s="3030"/>
    </row>
    <row r="13802" spans="2:9" ht="25.5">
      <c r="B13802" s="3230" t="s">
        <v>81</v>
      </c>
      <c r="C13802" s="3063"/>
      <c r="D13802" s="3064"/>
      <c r="E13802" s="3064"/>
      <c r="F13802" s="3064"/>
      <c r="G13802" s="3302" t="s">
        <v>81</v>
      </c>
      <c r="H13802" s="3063"/>
      <c r="I13802" s="3030"/>
    </row>
    <row r="13803" spans="2:9" ht="26.25" thickBot="1">
      <c r="B13803" s="3303" t="s">
        <v>81</v>
      </c>
      <c r="C13803" s="3068"/>
      <c r="D13803" s="3069"/>
      <c r="E13803" s="3069"/>
      <c r="F13803" s="3069"/>
      <c r="G13803" s="3304" t="s">
        <v>81</v>
      </c>
      <c r="H13803" s="3068"/>
      <c r="I13803" s="3070"/>
    </row>
    <row r="13804" spans="2:9" ht="38.25">
      <c r="B13804" s="4723">
        <v>3357</v>
      </c>
      <c r="C13804" s="3289"/>
      <c r="D13804" s="3290"/>
      <c r="E13804" s="3290"/>
      <c r="F13804" s="3290"/>
      <c r="G13804" s="4723">
        <v>3357</v>
      </c>
      <c r="H13804" s="3291" t="s">
        <v>687</v>
      </c>
      <c r="I13804" s="3292" t="s">
        <v>688</v>
      </c>
    </row>
    <row r="13805" spans="2:9">
      <c r="B13805" s="4724"/>
      <c r="C13805" s="4678" t="s">
        <v>686</v>
      </c>
      <c r="D13805" s="4725"/>
      <c r="E13805" s="4725"/>
      <c r="F13805" s="4726"/>
      <c r="G13805" s="4724"/>
      <c r="H13805" s="3293"/>
      <c r="I13805" s="3294"/>
    </row>
    <row r="13806" spans="2:9" ht="13.5" thickBot="1">
      <c r="B13806" s="4724"/>
      <c r="C13806" s="3215">
        <v>2013</v>
      </c>
      <c r="D13806" s="3215">
        <v>2014</v>
      </c>
      <c r="E13806" s="3215">
        <v>2015</v>
      </c>
      <c r="F13806" s="3215">
        <v>2016</v>
      </c>
      <c r="G13806" s="4724"/>
      <c r="H13806" s="3295" t="s">
        <v>390</v>
      </c>
      <c r="I13806" s="3296" t="s">
        <v>390</v>
      </c>
    </row>
    <row r="13807" spans="2:9">
      <c r="B13807" s="3217" t="s">
        <v>695</v>
      </c>
      <c r="C13807" s="3218"/>
      <c r="D13807" s="3219"/>
      <c r="E13807" s="3219"/>
      <c r="F13807" s="3219"/>
      <c r="G13807" s="3217" t="s">
        <v>695</v>
      </c>
      <c r="H13807" s="3297"/>
      <c r="I13807" s="3298"/>
    </row>
    <row r="13808" spans="2:9">
      <c r="B13808" s="3299" t="s">
        <v>64</v>
      </c>
      <c r="C13808" s="3063"/>
      <c r="D13808" s="3064"/>
      <c r="E13808" s="3064"/>
      <c r="F13808" s="3064"/>
      <c r="G13808" s="3300" t="s">
        <v>64</v>
      </c>
      <c r="H13808" s="3063"/>
      <c r="I13808" s="3030"/>
    </row>
    <row r="13809" spans="2:9" ht="25.5">
      <c r="B13809" s="3192" t="s">
        <v>675</v>
      </c>
      <c r="C13809" s="3063"/>
      <c r="D13809" s="3064"/>
      <c r="E13809" s="3064"/>
      <c r="F13809" s="3064"/>
      <c r="G13809" s="3301" t="s">
        <v>675</v>
      </c>
      <c r="H13809" s="3063"/>
      <c r="I13809" s="3030"/>
    </row>
    <row r="13810" spans="2:9" ht="25.5">
      <c r="B13810" s="3192" t="s">
        <v>676</v>
      </c>
      <c r="C13810" s="3063"/>
      <c r="D13810" s="3064"/>
      <c r="E13810" s="3064"/>
      <c r="F13810" s="3064"/>
      <c r="G13810" s="3301" t="s">
        <v>676</v>
      </c>
      <c r="H13810" s="3063"/>
      <c r="I13810" s="3030"/>
    </row>
    <row r="13811" spans="2:9">
      <c r="B13811" s="3192" t="s">
        <v>677</v>
      </c>
      <c r="C13811" s="3063"/>
      <c r="D13811" s="3064"/>
      <c r="E13811" s="3064"/>
      <c r="F13811" s="3064"/>
      <c r="G13811" s="3301" t="s">
        <v>677</v>
      </c>
      <c r="H13811" s="3063"/>
      <c r="I13811" s="3030"/>
    </row>
    <row r="13812" spans="2:9">
      <c r="B13812" s="3192" t="s">
        <v>678</v>
      </c>
      <c r="C13812" s="3063"/>
      <c r="D13812" s="3064"/>
      <c r="E13812" s="3064"/>
      <c r="F13812" s="3064"/>
      <c r="G13812" s="3301" t="s">
        <v>678</v>
      </c>
      <c r="H13812" s="3063"/>
      <c r="I13812" s="3030"/>
    </row>
    <row r="13813" spans="2:9">
      <c r="B13813" s="3192" t="s">
        <v>679</v>
      </c>
      <c r="C13813" s="3063"/>
      <c r="D13813" s="3064"/>
      <c r="E13813" s="3064"/>
      <c r="F13813" s="3064"/>
      <c r="G13813" s="3301" t="s">
        <v>679</v>
      </c>
      <c r="H13813" s="3063"/>
      <c r="I13813" s="3030"/>
    </row>
    <row r="13814" spans="2:9" ht="25.5">
      <c r="B13814" s="3192" t="s">
        <v>720</v>
      </c>
      <c r="C13814" s="3063"/>
      <c r="D13814" s="3064"/>
      <c r="E13814" s="3064"/>
      <c r="F13814" s="3064"/>
      <c r="G13814" s="3301" t="s">
        <v>720</v>
      </c>
      <c r="H13814" s="3063"/>
      <c r="I13814" s="3030"/>
    </row>
    <row r="13815" spans="2:9">
      <c r="B13815" s="3299" t="s">
        <v>65</v>
      </c>
      <c r="C13815" s="3063"/>
      <c r="D13815" s="3064"/>
      <c r="E13815" s="3064"/>
      <c r="F13815" s="3064"/>
      <c r="G13815" s="3300" t="s">
        <v>65</v>
      </c>
      <c r="H13815" s="3063"/>
      <c r="I13815" s="3030"/>
    </row>
    <row r="13816" spans="2:9" ht="25.5">
      <c r="B13816" s="3192" t="s">
        <v>675</v>
      </c>
      <c r="C13816" s="3063"/>
      <c r="D13816" s="3064"/>
      <c r="E13816" s="3064"/>
      <c r="F13816" s="3064"/>
      <c r="G13816" s="3301" t="s">
        <v>675</v>
      </c>
      <c r="H13816" s="3063"/>
      <c r="I13816" s="3030"/>
    </row>
    <row r="13817" spans="2:9" ht="25.5">
      <c r="B13817" s="3192" t="s">
        <v>676</v>
      </c>
      <c r="C13817" s="3063"/>
      <c r="D13817" s="3064"/>
      <c r="E13817" s="3064"/>
      <c r="F13817" s="3064"/>
      <c r="G13817" s="3301" t="s">
        <v>676</v>
      </c>
      <c r="H13817" s="3063"/>
      <c r="I13817" s="3030"/>
    </row>
    <row r="13818" spans="2:9">
      <c r="B13818" s="3192" t="s">
        <v>677</v>
      </c>
      <c r="C13818" s="3063"/>
      <c r="D13818" s="3064"/>
      <c r="E13818" s="3064"/>
      <c r="F13818" s="3064"/>
      <c r="G13818" s="3301" t="s">
        <v>677</v>
      </c>
      <c r="H13818" s="3063"/>
      <c r="I13818" s="3030"/>
    </row>
    <row r="13819" spans="2:9">
      <c r="B13819" s="3192" t="s">
        <v>678</v>
      </c>
      <c r="C13819" s="3063"/>
      <c r="D13819" s="3064"/>
      <c r="E13819" s="3064"/>
      <c r="F13819" s="3064"/>
      <c r="G13819" s="3301" t="s">
        <v>678</v>
      </c>
      <c r="H13819" s="3063"/>
      <c r="I13819" s="3030"/>
    </row>
    <row r="13820" spans="2:9">
      <c r="B13820" s="3192" t="s">
        <v>679</v>
      </c>
      <c r="C13820" s="3063"/>
      <c r="D13820" s="3064"/>
      <c r="E13820" s="3064"/>
      <c r="F13820" s="3064"/>
      <c r="G13820" s="3301" t="s">
        <v>679</v>
      </c>
      <c r="H13820" s="3063"/>
      <c r="I13820" s="3030"/>
    </row>
    <row r="13821" spans="2:9" ht="25.5">
      <c r="B13821" s="3192" t="s">
        <v>720</v>
      </c>
      <c r="C13821" s="3063"/>
      <c r="D13821" s="3064"/>
      <c r="E13821" s="3064"/>
      <c r="F13821" s="3064"/>
      <c r="G13821" s="3301" t="s">
        <v>720</v>
      </c>
      <c r="H13821" s="3063"/>
      <c r="I13821" s="3030"/>
    </row>
    <row r="13822" spans="2:9">
      <c r="B13822" s="3299" t="s">
        <v>82</v>
      </c>
      <c r="C13822" s="3063"/>
      <c r="D13822" s="3064"/>
      <c r="E13822" s="3064"/>
      <c r="F13822" s="3064"/>
      <c r="G13822" s="3300" t="s">
        <v>82</v>
      </c>
      <c r="H13822" s="3063"/>
      <c r="I13822" s="3030"/>
    </row>
    <row r="13823" spans="2:9" ht="25.5">
      <c r="B13823" s="3192" t="s">
        <v>675</v>
      </c>
      <c r="C13823" s="3063"/>
      <c r="D13823" s="3064"/>
      <c r="E13823" s="3064"/>
      <c r="F13823" s="3064"/>
      <c r="G13823" s="3301" t="s">
        <v>675</v>
      </c>
      <c r="H13823" s="3063"/>
      <c r="I13823" s="3030"/>
    </row>
    <row r="13824" spans="2:9" ht="25.5">
      <c r="B13824" s="3192" t="s">
        <v>676</v>
      </c>
      <c r="C13824" s="3063"/>
      <c r="D13824" s="3064"/>
      <c r="E13824" s="3064"/>
      <c r="F13824" s="3064"/>
      <c r="G13824" s="3301" t="s">
        <v>676</v>
      </c>
      <c r="H13824" s="3063"/>
      <c r="I13824" s="3030"/>
    </row>
    <row r="13825" spans="2:9">
      <c r="B13825" s="3192" t="s">
        <v>677</v>
      </c>
      <c r="C13825" s="3063"/>
      <c r="D13825" s="3064"/>
      <c r="E13825" s="3064"/>
      <c r="F13825" s="3064"/>
      <c r="G13825" s="3301" t="s">
        <v>677</v>
      </c>
      <c r="H13825" s="3063"/>
      <c r="I13825" s="3030"/>
    </row>
    <row r="13826" spans="2:9">
      <c r="B13826" s="3192" t="s">
        <v>678</v>
      </c>
      <c r="C13826" s="3063"/>
      <c r="D13826" s="3064"/>
      <c r="E13826" s="3064"/>
      <c r="F13826" s="3064"/>
      <c r="G13826" s="3301" t="s">
        <v>678</v>
      </c>
      <c r="H13826" s="3063"/>
      <c r="I13826" s="3030"/>
    </row>
    <row r="13827" spans="2:9">
      <c r="B13827" s="3192" t="s">
        <v>679</v>
      </c>
      <c r="C13827" s="3063"/>
      <c r="D13827" s="3064"/>
      <c r="E13827" s="3064"/>
      <c r="F13827" s="3064"/>
      <c r="G13827" s="3301" t="s">
        <v>679</v>
      </c>
      <c r="H13827" s="3063"/>
      <c r="I13827" s="3030"/>
    </row>
    <row r="13828" spans="2:9" ht="25.5">
      <c r="B13828" s="3192" t="s">
        <v>720</v>
      </c>
      <c r="C13828" s="3063"/>
      <c r="D13828" s="3064"/>
      <c r="E13828" s="3064"/>
      <c r="F13828" s="3064"/>
      <c r="G13828" s="3301" t="s">
        <v>720</v>
      </c>
      <c r="H13828" s="3063"/>
      <c r="I13828" s="3030"/>
    </row>
    <row r="13829" spans="2:9" ht="38.25">
      <c r="B13829" s="3299" t="s">
        <v>680</v>
      </c>
      <c r="C13829" s="3063"/>
      <c r="D13829" s="3064"/>
      <c r="E13829" s="3064"/>
      <c r="F13829" s="3064"/>
      <c r="G13829" s="3300" t="s">
        <v>680</v>
      </c>
      <c r="H13829" s="3063"/>
      <c r="I13829" s="3030"/>
    </row>
    <row r="13830" spans="2:9" ht="25.5">
      <c r="B13830" s="3192" t="s">
        <v>675</v>
      </c>
      <c r="C13830" s="3063"/>
      <c r="D13830" s="3064"/>
      <c r="E13830" s="3064"/>
      <c r="F13830" s="3064"/>
      <c r="G13830" s="3301" t="s">
        <v>675</v>
      </c>
      <c r="H13830" s="3063"/>
      <c r="I13830" s="3030"/>
    </row>
    <row r="13831" spans="2:9" ht="25.5">
      <c r="B13831" s="3192" t="s">
        <v>676</v>
      </c>
      <c r="C13831" s="3063"/>
      <c r="D13831" s="3064"/>
      <c r="E13831" s="3064"/>
      <c r="F13831" s="3064"/>
      <c r="G13831" s="3301" t="s">
        <v>676</v>
      </c>
      <c r="H13831" s="3063"/>
      <c r="I13831" s="3030"/>
    </row>
    <row r="13832" spans="2:9">
      <c r="B13832" s="3192" t="s">
        <v>677</v>
      </c>
      <c r="C13832" s="3063"/>
      <c r="D13832" s="3064"/>
      <c r="E13832" s="3064"/>
      <c r="F13832" s="3064"/>
      <c r="G13832" s="3301" t="s">
        <v>677</v>
      </c>
      <c r="H13832" s="3063"/>
      <c r="I13832" s="3030"/>
    </row>
    <row r="13833" spans="2:9">
      <c r="B13833" s="3192" t="s">
        <v>678</v>
      </c>
      <c r="C13833" s="3063"/>
      <c r="D13833" s="3064"/>
      <c r="E13833" s="3064"/>
      <c r="F13833" s="3064"/>
      <c r="G13833" s="3301" t="s">
        <v>678</v>
      </c>
      <c r="H13833" s="3063"/>
      <c r="I13833" s="3030"/>
    </row>
    <row r="13834" spans="2:9">
      <c r="B13834" s="3192" t="s">
        <v>679</v>
      </c>
      <c r="C13834" s="3063"/>
      <c r="D13834" s="3064"/>
      <c r="E13834" s="3064"/>
      <c r="F13834" s="3064"/>
      <c r="G13834" s="3301" t="s">
        <v>679</v>
      </c>
      <c r="H13834" s="3063"/>
      <c r="I13834" s="3030"/>
    </row>
    <row r="13835" spans="2:9" ht="25.5">
      <c r="B13835" s="3192" t="s">
        <v>720</v>
      </c>
      <c r="C13835" s="3063"/>
      <c r="D13835" s="3064"/>
      <c r="E13835" s="3064"/>
      <c r="F13835" s="3064"/>
      <c r="G13835" s="3301" t="s">
        <v>720</v>
      </c>
      <c r="H13835" s="3063"/>
      <c r="I13835" s="3030"/>
    </row>
    <row r="13836" spans="2:9" ht="38.25">
      <c r="B13836" s="3299" t="s">
        <v>681</v>
      </c>
      <c r="C13836" s="3063"/>
      <c r="D13836" s="3064"/>
      <c r="E13836" s="3064"/>
      <c r="F13836" s="3064"/>
      <c r="G13836" s="3300" t="s">
        <v>681</v>
      </c>
      <c r="H13836" s="3063"/>
      <c r="I13836" s="3030"/>
    </row>
    <row r="13837" spans="2:9" ht="25.5">
      <c r="B13837" s="3192" t="s">
        <v>675</v>
      </c>
      <c r="C13837" s="3063"/>
      <c r="D13837" s="3064"/>
      <c r="E13837" s="3064"/>
      <c r="F13837" s="3064"/>
      <c r="G13837" s="3301" t="s">
        <v>675</v>
      </c>
      <c r="H13837" s="3063"/>
      <c r="I13837" s="3030"/>
    </row>
    <row r="13838" spans="2:9" ht="25.5">
      <c r="B13838" s="3192" t="s">
        <v>676</v>
      </c>
      <c r="C13838" s="3063"/>
      <c r="D13838" s="3064"/>
      <c r="E13838" s="3064"/>
      <c r="F13838" s="3064"/>
      <c r="G13838" s="3301" t="s">
        <v>676</v>
      </c>
      <c r="H13838" s="3063"/>
      <c r="I13838" s="3030"/>
    </row>
    <row r="13839" spans="2:9">
      <c r="B13839" s="3192" t="s">
        <v>677</v>
      </c>
      <c r="C13839" s="3063"/>
      <c r="D13839" s="3064"/>
      <c r="E13839" s="3064"/>
      <c r="F13839" s="3064"/>
      <c r="G13839" s="3301" t="s">
        <v>677</v>
      </c>
      <c r="H13839" s="3063"/>
      <c r="I13839" s="3030"/>
    </row>
    <row r="13840" spans="2:9">
      <c r="B13840" s="3192" t="s">
        <v>678</v>
      </c>
      <c r="C13840" s="3063"/>
      <c r="D13840" s="3064"/>
      <c r="E13840" s="3064"/>
      <c r="F13840" s="3064"/>
      <c r="G13840" s="3301" t="s">
        <v>678</v>
      </c>
      <c r="H13840" s="3063"/>
      <c r="I13840" s="3030"/>
    </row>
    <row r="13841" spans="2:9">
      <c r="B13841" s="3192" t="s">
        <v>679</v>
      </c>
      <c r="C13841" s="3063"/>
      <c r="D13841" s="3064"/>
      <c r="E13841" s="3064"/>
      <c r="F13841" s="3064"/>
      <c r="G13841" s="3301" t="s">
        <v>679</v>
      </c>
      <c r="H13841" s="3063"/>
      <c r="I13841" s="3030"/>
    </row>
    <row r="13842" spans="2:9" ht="25.5">
      <c r="B13842" s="3192" t="s">
        <v>720</v>
      </c>
      <c r="C13842" s="3063"/>
      <c r="D13842" s="3064"/>
      <c r="E13842" s="3064"/>
      <c r="F13842" s="3064"/>
      <c r="G13842" s="3301" t="s">
        <v>720</v>
      </c>
      <c r="H13842" s="3063"/>
      <c r="I13842" s="3030"/>
    </row>
    <row r="13843" spans="2:9" ht="25.5">
      <c r="B13843" s="3299" t="s">
        <v>682</v>
      </c>
      <c r="C13843" s="3063"/>
      <c r="D13843" s="3064"/>
      <c r="E13843" s="3064"/>
      <c r="F13843" s="3064"/>
      <c r="G13843" s="3300" t="s">
        <v>682</v>
      </c>
      <c r="H13843" s="3063"/>
      <c r="I13843" s="3030"/>
    </row>
    <row r="13844" spans="2:9" ht="25.5">
      <c r="B13844" s="3192" t="s">
        <v>675</v>
      </c>
      <c r="C13844" s="3063"/>
      <c r="D13844" s="3064"/>
      <c r="E13844" s="3064"/>
      <c r="F13844" s="3064"/>
      <c r="G13844" s="3301" t="s">
        <v>675</v>
      </c>
      <c r="H13844" s="3063"/>
      <c r="I13844" s="3030"/>
    </row>
    <row r="13845" spans="2:9" ht="25.5">
      <c r="B13845" s="3192" t="s">
        <v>676</v>
      </c>
      <c r="C13845" s="3063"/>
      <c r="D13845" s="3064"/>
      <c r="E13845" s="3064"/>
      <c r="F13845" s="3064"/>
      <c r="G13845" s="3301" t="s">
        <v>676</v>
      </c>
      <c r="H13845" s="3063"/>
      <c r="I13845" s="3030"/>
    </row>
    <row r="13846" spans="2:9">
      <c r="B13846" s="3192" t="s">
        <v>677</v>
      </c>
      <c r="C13846" s="3063"/>
      <c r="D13846" s="3064"/>
      <c r="E13846" s="3064"/>
      <c r="F13846" s="3064"/>
      <c r="G13846" s="3301" t="s">
        <v>677</v>
      </c>
      <c r="H13846" s="3063"/>
      <c r="I13846" s="3030"/>
    </row>
    <row r="13847" spans="2:9">
      <c r="B13847" s="3192" t="s">
        <v>678</v>
      </c>
      <c r="C13847" s="3063"/>
      <c r="D13847" s="3064"/>
      <c r="E13847" s="3064"/>
      <c r="F13847" s="3064"/>
      <c r="G13847" s="3301" t="s">
        <v>678</v>
      </c>
      <c r="H13847" s="3063"/>
      <c r="I13847" s="3030"/>
    </row>
    <row r="13848" spans="2:9">
      <c r="B13848" s="3192" t="s">
        <v>679</v>
      </c>
      <c r="C13848" s="3063"/>
      <c r="D13848" s="3064"/>
      <c r="E13848" s="3064"/>
      <c r="F13848" s="3064"/>
      <c r="G13848" s="3301" t="s">
        <v>679</v>
      </c>
      <c r="H13848" s="3063"/>
      <c r="I13848" s="3030"/>
    </row>
    <row r="13849" spans="2:9" ht="25.5">
      <c r="B13849" s="3192" t="s">
        <v>720</v>
      </c>
      <c r="C13849" s="3063"/>
      <c r="D13849" s="3064"/>
      <c r="E13849" s="3064"/>
      <c r="F13849" s="3064"/>
      <c r="G13849" s="3301" t="s">
        <v>720</v>
      </c>
      <c r="H13849" s="3063"/>
      <c r="I13849" s="3030"/>
    </row>
    <row r="13850" spans="2:9" ht="25.5">
      <c r="B13850" s="3299" t="s">
        <v>66</v>
      </c>
      <c r="C13850" s="3063"/>
      <c r="D13850" s="3064"/>
      <c r="E13850" s="3064"/>
      <c r="F13850" s="3064"/>
      <c r="G13850" s="3300" t="s">
        <v>66</v>
      </c>
      <c r="H13850" s="3063"/>
      <c r="I13850" s="3030"/>
    </row>
    <row r="13851" spans="2:9" ht="25.5">
      <c r="B13851" s="3192" t="s">
        <v>675</v>
      </c>
      <c r="C13851" s="3063"/>
      <c r="D13851" s="3064"/>
      <c r="E13851" s="3064"/>
      <c r="F13851" s="3064"/>
      <c r="G13851" s="3301" t="s">
        <v>675</v>
      </c>
      <c r="H13851" s="3063"/>
      <c r="I13851" s="3030"/>
    </row>
    <row r="13852" spans="2:9" ht="25.5">
      <c r="B13852" s="3192" t="s">
        <v>676</v>
      </c>
      <c r="C13852" s="3063"/>
      <c r="D13852" s="3064"/>
      <c r="E13852" s="3064"/>
      <c r="F13852" s="3064"/>
      <c r="G13852" s="3301" t="s">
        <v>676</v>
      </c>
      <c r="H13852" s="3063"/>
      <c r="I13852" s="3030"/>
    </row>
    <row r="13853" spans="2:9">
      <c r="B13853" s="3192" t="s">
        <v>677</v>
      </c>
      <c r="C13853" s="3063"/>
      <c r="D13853" s="3064"/>
      <c r="E13853" s="3064"/>
      <c r="F13853" s="3064"/>
      <c r="G13853" s="3301" t="s">
        <v>677</v>
      </c>
      <c r="H13853" s="3063"/>
      <c r="I13853" s="3030"/>
    </row>
    <row r="13854" spans="2:9">
      <c r="B13854" s="3192" t="s">
        <v>678</v>
      </c>
      <c r="C13854" s="3063"/>
      <c r="D13854" s="3064"/>
      <c r="E13854" s="3064"/>
      <c r="F13854" s="3064"/>
      <c r="G13854" s="3301" t="s">
        <v>678</v>
      </c>
      <c r="H13854" s="3063"/>
      <c r="I13854" s="3030"/>
    </row>
    <row r="13855" spans="2:9">
      <c r="B13855" s="3192" t="s">
        <v>679</v>
      </c>
      <c r="C13855" s="3063"/>
      <c r="D13855" s="3064"/>
      <c r="E13855" s="3064"/>
      <c r="F13855" s="3064"/>
      <c r="G13855" s="3301" t="s">
        <v>679</v>
      </c>
      <c r="H13855" s="3063"/>
      <c r="I13855" s="3030"/>
    </row>
    <row r="13856" spans="2:9" ht="25.5">
      <c r="B13856" s="3192" t="s">
        <v>720</v>
      </c>
      <c r="C13856" s="3063"/>
      <c r="D13856" s="3064"/>
      <c r="E13856" s="3064"/>
      <c r="F13856" s="3064"/>
      <c r="G13856" s="3301" t="s">
        <v>720</v>
      </c>
      <c r="H13856" s="3063"/>
      <c r="I13856" s="3030"/>
    </row>
    <row r="13857" spans="2:9">
      <c r="B13857" s="3299" t="s">
        <v>67</v>
      </c>
      <c r="C13857" s="3063"/>
      <c r="D13857" s="3064"/>
      <c r="E13857" s="3064"/>
      <c r="F13857" s="3064"/>
      <c r="G13857" s="3300" t="s">
        <v>67</v>
      </c>
      <c r="H13857" s="3063"/>
      <c r="I13857" s="3030"/>
    </row>
    <row r="13858" spans="2:9" ht="25.5">
      <c r="B13858" s="3192" t="s">
        <v>675</v>
      </c>
      <c r="C13858" s="3063"/>
      <c r="D13858" s="3064"/>
      <c r="E13858" s="3064"/>
      <c r="F13858" s="3064"/>
      <c r="G13858" s="3301" t="s">
        <v>675</v>
      </c>
      <c r="H13858" s="3063"/>
      <c r="I13858" s="3030"/>
    </row>
    <row r="13859" spans="2:9" ht="25.5">
      <c r="B13859" s="3192" t="s">
        <v>676</v>
      </c>
      <c r="C13859" s="3063"/>
      <c r="D13859" s="3064"/>
      <c r="E13859" s="3064"/>
      <c r="F13859" s="3064"/>
      <c r="G13859" s="3301" t="s">
        <v>676</v>
      </c>
      <c r="H13859" s="3063"/>
      <c r="I13859" s="3030"/>
    </row>
    <row r="13860" spans="2:9">
      <c r="B13860" s="3192" t="s">
        <v>677</v>
      </c>
      <c r="C13860" s="3063"/>
      <c r="D13860" s="3064"/>
      <c r="E13860" s="3064"/>
      <c r="F13860" s="3064"/>
      <c r="G13860" s="3301" t="s">
        <v>677</v>
      </c>
      <c r="H13860" s="3063"/>
      <c r="I13860" s="3030"/>
    </row>
    <row r="13861" spans="2:9">
      <c r="B13861" s="3192" t="s">
        <v>678</v>
      </c>
      <c r="C13861" s="3063"/>
      <c r="D13861" s="3064"/>
      <c r="E13861" s="3064"/>
      <c r="F13861" s="3064"/>
      <c r="G13861" s="3301" t="s">
        <v>678</v>
      </c>
      <c r="H13861" s="3063"/>
      <c r="I13861" s="3030"/>
    </row>
    <row r="13862" spans="2:9">
      <c r="B13862" s="3192" t="s">
        <v>679</v>
      </c>
      <c r="C13862" s="3063"/>
      <c r="D13862" s="3064"/>
      <c r="E13862" s="3064"/>
      <c r="F13862" s="3064"/>
      <c r="G13862" s="3301" t="s">
        <v>679</v>
      </c>
      <c r="H13862" s="3063"/>
      <c r="I13862" s="3030"/>
    </row>
    <row r="13863" spans="2:9" ht="25.5">
      <c r="B13863" s="3192" t="s">
        <v>720</v>
      </c>
      <c r="C13863" s="3063"/>
      <c r="D13863" s="3064"/>
      <c r="E13863" s="3064"/>
      <c r="F13863" s="3064"/>
      <c r="G13863" s="3301" t="s">
        <v>720</v>
      </c>
      <c r="H13863" s="3063"/>
      <c r="I13863" s="3030"/>
    </row>
    <row r="13864" spans="2:9" ht="25.5">
      <c r="B13864" s="3230" t="s">
        <v>81</v>
      </c>
      <c r="C13864" s="3063"/>
      <c r="D13864" s="3064"/>
      <c r="E13864" s="3064"/>
      <c r="F13864" s="3064"/>
      <c r="G13864" s="3302" t="s">
        <v>81</v>
      </c>
      <c r="H13864" s="3063"/>
      <c r="I13864" s="3030"/>
    </row>
    <row r="13865" spans="2:9" ht="26.25" thickBot="1">
      <c r="B13865" s="3303" t="s">
        <v>81</v>
      </c>
      <c r="C13865" s="3063"/>
      <c r="D13865" s="3064"/>
      <c r="E13865" s="3064"/>
      <c r="F13865" s="3064"/>
      <c r="G13865" s="3302" t="s">
        <v>81</v>
      </c>
      <c r="H13865" s="3063"/>
      <c r="I13865" s="3030"/>
    </row>
    <row r="13866" spans="2:9" ht="25.5">
      <c r="B13866" s="3217" t="s">
        <v>696</v>
      </c>
      <c r="C13866" s="3218"/>
      <c r="D13866" s="3219"/>
      <c r="E13866" s="3219"/>
      <c r="F13866" s="3219"/>
      <c r="G13866" s="3217" t="s">
        <v>696</v>
      </c>
      <c r="H13866" s="3297"/>
      <c r="I13866" s="3298"/>
    </row>
    <row r="13867" spans="2:9">
      <c r="B13867" s="3299" t="s">
        <v>64</v>
      </c>
      <c r="C13867" s="3063"/>
      <c r="D13867" s="3064"/>
      <c r="E13867" s="3064"/>
      <c r="F13867" s="3064"/>
      <c r="G13867" s="3300" t="s">
        <v>64</v>
      </c>
      <c r="H13867" s="3063"/>
      <c r="I13867" s="3030"/>
    </row>
    <row r="13868" spans="2:9" ht="25.5">
      <c r="B13868" s="3192" t="s">
        <v>675</v>
      </c>
      <c r="C13868" s="3063"/>
      <c r="D13868" s="3064"/>
      <c r="E13868" s="3064"/>
      <c r="F13868" s="3064"/>
      <c r="G13868" s="3301" t="s">
        <v>675</v>
      </c>
      <c r="H13868" s="3063"/>
      <c r="I13868" s="3030"/>
    </row>
    <row r="13869" spans="2:9" ht="25.5">
      <c r="B13869" s="3192" t="s">
        <v>676</v>
      </c>
      <c r="C13869" s="3063"/>
      <c r="D13869" s="3064"/>
      <c r="E13869" s="3064"/>
      <c r="F13869" s="3064"/>
      <c r="G13869" s="3301" t="s">
        <v>676</v>
      </c>
      <c r="H13869" s="3063"/>
      <c r="I13869" s="3030"/>
    </row>
    <row r="13870" spans="2:9">
      <c r="B13870" s="3192" t="s">
        <v>677</v>
      </c>
      <c r="C13870" s="3063"/>
      <c r="D13870" s="3064"/>
      <c r="E13870" s="3064"/>
      <c r="F13870" s="3064"/>
      <c r="G13870" s="3301" t="s">
        <v>677</v>
      </c>
      <c r="H13870" s="3063"/>
      <c r="I13870" s="3030"/>
    </row>
    <row r="13871" spans="2:9">
      <c r="B13871" s="3192" t="s">
        <v>678</v>
      </c>
      <c r="C13871" s="3063"/>
      <c r="D13871" s="3064"/>
      <c r="E13871" s="3064"/>
      <c r="F13871" s="3064"/>
      <c r="G13871" s="3301" t="s">
        <v>678</v>
      </c>
      <c r="H13871" s="3063"/>
      <c r="I13871" s="3030"/>
    </row>
    <row r="13872" spans="2:9">
      <c r="B13872" s="3192" t="s">
        <v>679</v>
      </c>
      <c r="C13872" s="3063"/>
      <c r="D13872" s="3064"/>
      <c r="E13872" s="3064"/>
      <c r="F13872" s="3064"/>
      <c r="G13872" s="3301" t="s">
        <v>679</v>
      </c>
      <c r="H13872" s="3063"/>
      <c r="I13872" s="3030"/>
    </row>
    <row r="13873" spans="2:9" ht="25.5">
      <c r="B13873" s="3192" t="s">
        <v>720</v>
      </c>
      <c r="C13873" s="3063"/>
      <c r="D13873" s="3064"/>
      <c r="E13873" s="3064"/>
      <c r="F13873" s="3064"/>
      <c r="G13873" s="3301" t="s">
        <v>720</v>
      </c>
      <c r="H13873" s="3063"/>
      <c r="I13873" s="3030"/>
    </row>
    <row r="13874" spans="2:9">
      <c r="B13874" s="3299" t="s">
        <v>65</v>
      </c>
      <c r="C13874" s="3063"/>
      <c r="D13874" s="3064"/>
      <c r="E13874" s="3064"/>
      <c r="F13874" s="3064"/>
      <c r="G13874" s="3300" t="s">
        <v>65</v>
      </c>
      <c r="H13874" s="3063"/>
      <c r="I13874" s="3030"/>
    </row>
    <row r="13875" spans="2:9" ht="25.5">
      <c r="B13875" s="3192" t="s">
        <v>675</v>
      </c>
      <c r="C13875" s="3063"/>
      <c r="D13875" s="3064"/>
      <c r="E13875" s="3064"/>
      <c r="F13875" s="3064"/>
      <c r="G13875" s="3301" t="s">
        <v>675</v>
      </c>
      <c r="H13875" s="3063"/>
      <c r="I13875" s="3030"/>
    </row>
    <row r="13876" spans="2:9" ht="25.5">
      <c r="B13876" s="3192" t="s">
        <v>676</v>
      </c>
      <c r="C13876" s="3063"/>
      <c r="D13876" s="3064"/>
      <c r="E13876" s="3064"/>
      <c r="F13876" s="3064"/>
      <c r="G13876" s="3301" t="s">
        <v>676</v>
      </c>
      <c r="H13876" s="3063"/>
      <c r="I13876" s="3030"/>
    </row>
    <row r="13877" spans="2:9">
      <c r="B13877" s="3192" t="s">
        <v>677</v>
      </c>
      <c r="C13877" s="3063"/>
      <c r="D13877" s="3064"/>
      <c r="E13877" s="3064"/>
      <c r="F13877" s="3064"/>
      <c r="G13877" s="3301" t="s">
        <v>677</v>
      </c>
      <c r="H13877" s="3063"/>
      <c r="I13877" s="3030"/>
    </row>
    <row r="13878" spans="2:9">
      <c r="B13878" s="3192" t="s">
        <v>678</v>
      </c>
      <c r="C13878" s="3063"/>
      <c r="D13878" s="3064"/>
      <c r="E13878" s="3064"/>
      <c r="F13878" s="3064"/>
      <c r="G13878" s="3301" t="s">
        <v>678</v>
      </c>
      <c r="H13878" s="3063"/>
      <c r="I13878" s="3030"/>
    </row>
    <row r="13879" spans="2:9">
      <c r="B13879" s="3192" t="s">
        <v>679</v>
      </c>
      <c r="C13879" s="3063"/>
      <c r="D13879" s="3064"/>
      <c r="E13879" s="3064"/>
      <c r="F13879" s="3064"/>
      <c r="G13879" s="3301" t="s">
        <v>679</v>
      </c>
      <c r="H13879" s="3063"/>
      <c r="I13879" s="3030"/>
    </row>
    <row r="13880" spans="2:9" ht="25.5">
      <c r="B13880" s="3192" t="s">
        <v>720</v>
      </c>
      <c r="C13880" s="3063"/>
      <c r="D13880" s="3064"/>
      <c r="E13880" s="3064"/>
      <c r="F13880" s="3064"/>
      <c r="G13880" s="3301" t="s">
        <v>720</v>
      </c>
      <c r="H13880" s="3063"/>
      <c r="I13880" s="3030"/>
    </row>
    <row r="13881" spans="2:9">
      <c r="B13881" s="3299" t="s">
        <v>82</v>
      </c>
      <c r="C13881" s="3063"/>
      <c r="D13881" s="3064"/>
      <c r="E13881" s="3064"/>
      <c r="F13881" s="3064"/>
      <c r="G13881" s="3300" t="s">
        <v>82</v>
      </c>
      <c r="H13881" s="3063"/>
      <c r="I13881" s="3030"/>
    </row>
    <row r="13882" spans="2:9" ht="25.5">
      <c r="B13882" s="3192" t="s">
        <v>675</v>
      </c>
      <c r="C13882" s="3063"/>
      <c r="D13882" s="3064"/>
      <c r="E13882" s="3064"/>
      <c r="F13882" s="3064"/>
      <c r="G13882" s="3301" t="s">
        <v>675</v>
      </c>
      <c r="H13882" s="3063"/>
      <c r="I13882" s="3030"/>
    </row>
    <row r="13883" spans="2:9" ht="25.5">
      <c r="B13883" s="3192" t="s">
        <v>676</v>
      </c>
      <c r="C13883" s="3063"/>
      <c r="D13883" s="3064"/>
      <c r="E13883" s="3064"/>
      <c r="F13883" s="3064"/>
      <c r="G13883" s="3301" t="s">
        <v>676</v>
      </c>
      <c r="H13883" s="3063"/>
      <c r="I13883" s="3030"/>
    </row>
    <row r="13884" spans="2:9">
      <c r="B13884" s="3192" t="s">
        <v>677</v>
      </c>
      <c r="C13884" s="3063"/>
      <c r="D13884" s="3064"/>
      <c r="E13884" s="3064"/>
      <c r="F13884" s="3064"/>
      <c r="G13884" s="3301" t="s">
        <v>677</v>
      </c>
      <c r="H13884" s="3063"/>
      <c r="I13884" s="3030"/>
    </row>
    <row r="13885" spans="2:9">
      <c r="B13885" s="3192" t="s">
        <v>678</v>
      </c>
      <c r="C13885" s="3063"/>
      <c r="D13885" s="3064"/>
      <c r="E13885" s="3064"/>
      <c r="F13885" s="3064"/>
      <c r="G13885" s="3301" t="s">
        <v>678</v>
      </c>
      <c r="H13885" s="3063"/>
      <c r="I13885" s="3030"/>
    </row>
    <row r="13886" spans="2:9">
      <c r="B13886" s="3192" t="s">
        <v>679</v>
      </c>
      <c r="C13886" s="3063"/>
      <c r="D13886" s="3064"/>
      <c r="E13886" s="3064"/>
      <c r="F13886" s="3064"/>
      <c r="G13886" s="3301" t="s">
        <v>679</v>
      </c>
      <c r="H13886" s="3063"/>
      <c r="I13886" s="3030"/>
    </row>
    <row r="13887" spans="2:9" ht="25.5">
      <c r="B13887" s="3192" t="s">
        <v>720</v>
      </c>
      <c r="C13887" s="3063"/>
      <c r="D13887" s="3064"/>
      <c r="E13887" s="3064"/>
      <c r="F13887" s="3064"/>
      <c r="G13887" s="3301" t="s">
        <v>720</v>
      </c>
      <c r="H13887" s="3063"/>
      <c r="I13887" s="3030"/>
    </row>
    <row r="13888" spans="2:9" ht="38.25">
      <c r="B13888" s="3299" t="s">
        <v>680</v>
      </c>
      <c r="C13888" s="3063"/>
      <c r="D13888" s="3064"/>
      <c r="E13888" s="3064"/>
      <c r="F13888" s="3064"/>
      <c r="G13888" s="3300" t="s">
        <v>680</v>
      </c>
      <c r="H13888" s="3063"/>
      <c r="I13888" s="3030"/>
    </row>
    <row r="13889" spans="2:9" ht="25.5">
      <c r="B13889" s="3192" t="s">
        <v>675</v>
      </c>
      <c r="C13889" s="3063"/>
      <c r="D13889" s="3064"/>
      <c r="E13889" s="3064"/>
      <c r="F13889" s="3064"/>
      <c r="G13889" s="3301" t="s">
        <v>675</v>
      </c>
      <c r="H13889" s="3063"/>
      <c r="I13889" s="3030"/>
    </row>
    <row r="13890" spans="2:9" ht="25.5">
      <c r="B13890" s="3192" t="s">
        <v>676</v>
      </c>
      <c r="C13890" s="3063"/>
      <c r="D13890" s="3064"/>
      <c r="E13890" s="3064"/>
      <c r="F13890" s="3064"/>
      <c r="G13890" s="3301" t="s">
        <v>676</v>
      </c>
      <c r="H13890" s="3063"/>
      <c r="I13890" s="3030"/>
    </row>
    <row r="13891" spans="2:9">
      <c r="B13891" s="3192" t="s">
        <v>677</v>
      </c>
      <c r="C13891" s="3063"/>
      <c r="D13891" s="3064"/>
      <c r="E13891" s="3064"/>
      <c r="F13891" s="3064"/>
      <c r="G13891" s="3301" t="s">
        <v>677</v>
      </c>
      <c r="H13891" s="3063"/>
      <c r="I13891" s="3030"/>
    </row>
    <row r="13892" spans="2:9">
      <c r="B13892" s="3192" t="s">
        <v>678</v>
      </c>
      <c r="C13892" s="3063"/>
      <c r="D13892" s="3064"/>
      <c r="E13892" s="3064"/>
      <c r="F13892" s="3064"/>
      <c r="G13892" s="3301" t="s">
        <v>678</v>
      </c>
      <c r="H13892" s="3063"/>
      <c r="I13892" s="3030"/>
    </row>
    <row r="13893" spans="2:9">
      <c r="B13893" s="3192" t="s">
        <v>679</v>
      </c>
      <c r="C13893" s="3063"/>
      <c r="D13893" s="3064"/>
      <c r="E13893" s="3064"/>
      <c r="F13893" s="3064"/>
      <c r="G13893" s="3301" t="s">
        <v>679</v>
      </c>
      <c r="H13893" s="3063"/>
      <c r="I13893" s="3030"/>
    </row>
    <row r="13894" spans="2:9" ht="25.5">
      <c r="B13894" s="3192" t="s">
        <v>720</v>
      </c>
      <c r="C13894" s="3063"/>
      <c r="D13894" s="3064"/>
      <c r="E13894" s="3064"/>
      <c r="F13894" s="3064"/>
      <c r="G13894" s="3301" t="s">
        <v>720</v>
      </c>
      <c r="H13894" s="3063"/>
      <c r="I13894" s="3030"/>
    </row>
    <row r="13895" spans="2:9" ht="38.25">
      <c r="B13895" s="3299" t="s">
        <v>681</v>
      </c>
      <c r="C13895" s="3063"/>
      <c r="D13895" s="3064"/>
      <c r="E13895" s="3064"/>
      <c r="F13895" s="3064"/>
      <c r="G13895" s="3300" t="s">
        <v>681</v>
      </c>
      <c r="H13895" s="3063"/>
      <c r="I13895" s="3030"/>
    </row>
    <row r="13896" spans="2:9" ht="25.5">
      <c r="B13896" s="3192" t="s">
        <v>675</v>
      </c>
      <c r="C13896" s="3063"/>
      <c r="D13896" s="3064"/>
      <c r="E13896" s="3064"/>
      <c r="F13896" s="3064"/>
      <c r="G13896" s="3301" t="s">
        <v>675</v>
      </c>
      <c r="H13896" s="3063"/>
      <c r="I13896" s="3030"/>
    </row>
    <row r="13897" spans="2:9" ht="25.5">
      <c r="B13897" s="3192" t="s">
        <v>676</v>
      </c>
      <c r="C13897" s="3063"/>
      <c r="D13897" s="3064"/>
      <c r="E13897" s="3064"/>
      <c r="F13897" s="3064"/>
      <c r="G13897" s="3301" t="s">
        <v>676</v>
      </c>
      <c r="H13897" s="3063"/>
      <c r="I13897" s="3030"/>
    </row>
    <row r="13898" spans="2:9">
      <c r="B13898" s="3192" t="s">
        <v>677</v>
      </c>
      <c r="C13898" s="3063"/>
      <c r="D13898" s="3064"/>
      <c r="E13898" s="3064"/>
      <c r="F13898" s="3064"/>
      <c r="G13898" s="3301" t="s">
        <v>677</v>
      </c>
      <c r="H13898" s="3063"/>
      <c r="I13898" s="3030"/>
    </row>
    <row r="13899" spans="2:9">
      <c r="B13899" s="3192" t="s">
        <v>678</v>
      </c>
      <c r="C13899" s="3063"/>
      <c r="D13899" s="3064"/>
      <c r="E13899" s="3064"/>
      <c r="F13899" s="3064"/>
      <c r="G13899" s="3301" t="s">
        <v>678</v>
      </c>
      <c r="H13899" s="3063"/>
      <c r="I13899" s="3030"/>
    </row>
    <row r="13900" spans="2:9">
      <c r="B13900" s="3192" t="s">
        <v>679</v>
      </c>
      <c r="C13900" s="3063"/>
      <c r="D13900" s="3064"/>
      <c r="E13900" s="3064"/>
      <c r="F13900" s="3064"/>
      <c r="G13900" s="3301" t="s">
        <v>679</v>
      </c>
      <c r="H13900" s="3063"/>
      <c r="I13900" s="3030"/>
    </row>
    <row r="13901" spans="2:9" ht="25.5">
      <c r="B13901" s="3192" t="s">
        <v>720</v>
      </c>
      <c r="C13901" s="3063"/>
      <c r="D13901" s="3064"/>
      <c r="E13901" s="3064"/>
      <c r="F13901" s="3064"/>
      <c r="G13901" s="3301" t="s">
        <v>720</v>
      </c>
      <c r="H13901" s="3063"/>
      <c r="I13901" s="3030"/>
    </row>
    <row r="13902" spans="2:9" ht="25.5">
      <c r="B13902" s="3299" t="s">
        <v>682</v>
      </c>
      <c r="C13902" s="3063"/>
      <c r="D13902" s="3064"/>
      <c r="E13902" s="3064"/>
      <c r="F13902" s="3064"/>
      <c r="G13902" s="3300" t="s">
        <v>682</v>
      </c>
      <c r="H13902" s="3063"/>
      <c r="I13902" s="3030"/>
    </row>
    <row r="13903" spans="2:9" ht="25.5">
      <c r="B13903" s="3192" t="s">
        <v>675</v>
      </c>
      <c r="C13903" s="3063"/>
      <c r="D13903" s="3064"/>
      <c r="E13903" s="3064"/>
      <c r="F13903" s="3064"/>
      <c r="G13903" s="3301" t="s">
        <v>675</v>
      </c>
      <c r="H13903" s="3063"/>
      <c r="I13903" s="3030"/>
    </row>
    <row r="13904" spans="2:9" ht="25.5">
      <c r="B13904" s="3192" t="s">
        <v>676</v>
      </c>
      <c r="C13904" s="3063"/>
      <c r="D13904" s="3064"/>
      <c r="E13904" s="3064"/>
      <c r="F13904" s="3064"/>
      <c r="G13904" s="3301" t="s">
        <v>676</v>
      </c>
      <c r="H13904" s="3063"/>
      <c r="I13904" s="3030"/>
    </row>
    <row r="13905" spans="2:9">
      <c r="B13905" s="3192" t="s">
        <v>677</v>
      </c>
      <c r="C13905" s="3063"/>
      <c r="D13905" s="3064"/>
      <c r="E13905" s="3064"/>
      <c r="F13905" s="3064"/>
      <c r="G13905" s="3301" t="s">
        <v>677</v>
      </c>
      <c r="H13905" s="3063"/>
      <c r="I13905" s="3030"/>
    </row>
    <row r="13906" spans="2:9">
      <c r="B13906" s="3192" t="s">
        <v>678</v>
      </c>
      <c r="C13906" s="3063"/>
      <c r="D13906" s="3064"/>
      <c r="E13906" s="3064"/>
      <c r="F13906" s="3064"/>
      <c r="G13906" s="3301" t="s">
        <v>678</v>
      </c>
      <c r="H13906" s="3063"/>
      <c r="I13906" s="3030"/>
    </row>
    <row r="13907" spans="2:9">
      <c r="B13907" s="3192" t="s">
        <v>679</v>
      </c>
      <c r="C13907" s="3063"/>
      <c r="D13907" s="3064"/>
      <c r="E13907" s="3064"/>
      <c r="F13907" s="3064"/>
      <c r="G13907" s="3301" t="s">
        <v>679</v>
      </c>
      <c r="H13907" s="3063"/>
      <c r="I13907" s="3030"/>
    </row>
    <row r="13908" spans="2:9" ht="25.5">
      <c r="B13908" s="3192" t="s">
        <v>720</v>
      </c>
      <c r="C13908" s="3063"/>
      <c r="D13908" s="3064"/>
      <c r="E13908" s="3064"/>
      <c r="F13908" s="3064"/>
      <c r="G13908" s="3301" t="s">
        <v>720</v>
      </c>
      <c r="H13908" s="3063"/>
      <c r="I13908" s="3030"/>
    </row>
    <row r="13909" spans="2:9" ht="25.5">
      <c r="B13909" s="3299" t="s">
        <v>66</v>
      </c>
      <c r="C13909" s="3063"/>
      <c r="D13909" s="3064"/>
      <c r="E13909" s="3064"/>
      <c r="F13909" s="3064"/>
      <c r="G13909" s="3300" t="s">
        <v>66</v>
      </c>
      <c r="H13909" s="3063"/>
      <c r="I13909" s="3030"/>
    </row>
    <row r="13910" spans="2:9" ht="25.5">
      <c r="B13910" s="3192" t="s">
        <v>675</v>
      </c>
      <c r="C13910" s="3063"/>
      <c r="D13910" s="3064"/>
      <c r="E13910" s="3064"/>
      <c r="F13910" s="3064"/>
      <c r="G13910" s="3301" t="s">
        <v>675</v>
      </c>
      <c r="H13910" s="3063"/>
      <c r="I13910" s="3030"/>
    </row>
    <row r="13911" spans="2:9" ht="25.5">
      <c r="B13911" s="3192" t="s">
        <v>676</v>
      </c>
      <c r="C13911" s="3063"/>
      <c r="D13911" s="3064"/>
      <c r="E13911" s="3064"/>
      <c r="F13911" s="3064"/>
      <c r="G13911" s="3301" t="s">
        <v>676</v>
      </c>
      <c r="H13911" s="3063"/>
      <c r="I13911" s="3030"/>
    </row>
    <row r="13912" spans="2:9">
      <c r="B13912" s="3192" t="s">
        <v>677</v>
      </c>
      <c r="C13912" s="3063"/>
      <c r="D13912" s="3064"/>
      <c r="E13912" s="3064"/>
      <c r="F13912" s="3064"/>
      <c r="G13912" s="3301" t="s">
        <v>677</v>
      </c>
      <c r="H13912" s="3063"/>
      <c r="I13912" s="3030"/>
    </row>
    <row r="13913" spans="2:9">
      <c r="B13913" s="3192" t="s">
        <v>678</v>
      </c>
      <c r="C13913" s="3063"/>
      <c r="D13913" s="3064"/>
      <c r="E13913" s="3064"/>
      <c r="F13913" s="3064"/>
      <c r="G13913" s="3301" t="s">
        <v>678</v>
      </c>
      <c r="H13913" s="3063"/>
      <c r="I13913" s="3030"/>
    </row>
    <row r="13914" spans="2:9">
      <c r="B13914" s="3192" t="s">
        <v>679</v>
      </c>
      <c r="C13914" s="3063"/>
      <c r="D13914" s="3064"/>
      <c r="E13914" s="3064"/>
      <c r="F13914" s="3064"/>
      <c r="G13914" s="3301" t="s">
        <v>679</v>
      </c>
      <c r="H13914" s="3063"/>
      <c r="I13914" s="3030"/>
    </row>
    <row r="13915" spans="2:9" ht="25.5">
      <c r="B13915" s="3192" t="s">
        <v>720</v>
      </c>
      <c r="C13915" s="3063"/>
      <c r="D13915" s="3064"/>
      <c r="E13915" s="3064"/>
      <c r="F13915" s="3064"/>
      <c r="G13915" s="3301" t="s">
        <v>720</v>
      </c>
      <c r="H13915" s="3063"/>
      <c r="I13915" s="3030"/>
    </row>
    <row r="13916" spans="2:9">
      <c r="B13916" s="3299" t="s">
        <v>67</v>
      </c>
      <c r="C13916" s="3063"/>
      <c r="D13916" s="3064"/>
      <c r="E13916" s="3064"/>
      <c r="F13916" s="3064"/>
      <c r="G13916" s="3300" t="s">
        <v>67</v>
      </c>
      <c r="H13916" s="3063"/>
      <c r="I13916" s="3030"/>
    </row>
    <row r="13917" spans="2:9" ht="25.5">
      <c r="B13917" s="3192" t="s">
        <v>675</v>
      </c>
      <c r="C13917" s="3063"/>
      <c r="D13917" s="3064"/>
      <c r="E13917" s="3064"/>
      <c r="F13917" s="3064"/>
      <c r="G13917" s="3301" t="s">
        <v>675</v>
      </c>
      <c r="H13917" s="3063"/>
      <c r="I13917" s="3030"/>
    </row>
    <row r="13918" spans="2:9" ht="25.5">
      <c r="B13918" s="3192" t="s">
        <v>676</v>
      </c>
      <c r="C13918" s="3063"/>
      <c r="D13918" s="3064"/>
      <c r="E13918" s="3064"/>
      <c r="F13918" s="3064"/>
      <c r="G13918" s="3301" t="s">
        <v>676</v>
      </c>
      <c r="H13918" s="3063"/>
      <c r="I13918" s="3030"/>
    </row>
    <row r="13919" spans="2:9">
      <c r="B13919" s="3192" t="s">
        <v>677</v>
      </c>
      <c r="C13919" s="3063"/>
      <c r="D13919" s="3064"/>
      <c r="E13919" s="3064"/>
      <c r="F13919" s="3064"/>
      <c r="G13919" s="3301" t="s">
        <v>677</v>
      </c>
      <c r="H13919" s="3063"/>
      <c r="I13919" s="3030"/>
    </row>
    <row r="13920" spans="2:9">
      <c r="B13920" s="3192" t="s">
        <v>678</v>
      </c>
      <c r="C13920" s="3063"/>
      <c r="D13920" s="3064"/>
      <c r="E13920" s="3064"/>
      <c r="F13920" s="3064"/>
      <c r="G13920" s="3301" t="s">
        <v>678</v>
      </c>
      <c r="H13920" s="3063"/>
      <c r="I13920" s="3030"/>
    </row>
    <row r="13921" spans="2:9">
      <c r="B13921" s="3192" t="s">
        <v>679</v>
      </c>
      <c r="C13921" s="3063"/>
      <c r="D13921" s="3064"/>
      <c r="E13921" s="3064"/>
      <c r="F13921" s="3064"/>
      <c r="G13921" s="3301" t="s">
        <v>679</v>
      </c>
      <c r="H13921" s="3063"/>
      <c r="I13921" s="3030"/>
    </row>
    <row r="13922" spans="2:9" ht="25.5">
      <c r="B13922" s="3230" t="s">
        <v>81</v>
      </c>
      <c r="C13922" s="3063"/>
      <c r="D13922" s="3064"/>
      <c r="E13922" s="3064"/>
      <c r="F13922" s="3064"/>
      <c r="G13922" s="3302" t="s">
        <v>81</v>
      </c>
      <c r="H13922" s="3063"/>
      <c r="I13922" s="3030"/>
    </row>
    <row r="13923" spans="2:9" ht="26.25" thickBot="1">
      <c r="B13923" s="3303" t="s">
        <v>81</v>
      </c>
      <c r="C13923" s="3063"/>
      <c r="D13923" s="3064"/>
      <c r="E13923" s="3064"/>
      <c r="F13923" s="3064"/>
      <c r="G13923" s="3302" t="s">
        <v>81</v>
      </c>
      <c r="H13923" s="3063"/>
      <c r="I13923" s="3030"/>
    </row>
    <row r="13924" spans="2:9">
      <c r="B13924" s="3217" t="s">
        <v>697</v>
      </c>
      <c r="C13924" s="3218"/>
      <c r="D13924" s="3219"/>
      <c r="E13924" s="3219"/>
      <c r="F13924" s="3219"/>
      <c r="G13924" s="3217" t="s">
        <v>697</v>
      </c>
      <c r="H13924" s="3297"/>
      <c r="I13924" s="3298"/>
    </row>
    <row r="13925" spans="2:9">
      <c r="B13925" s="3299" t="s">
        <v>64</v>
      </c>
      <c r="C13925" s="3063"/>
      <c r="D13925" s="3064"/>
      <c r="E13925" s="3064"/>
      <c r="F13925" s="3064"/>
      <c r="G13925" s="3300" t="s">
        <v>64</v>
      </c>
      <c r="H13925" s="3063"/>
      <c r="I13925" s="3030"/>
    </row>
    <row r="13926" spans="2:9" ht="25.5">
      <c r="B13926" s="3192" t="s">
        <v>675</v>
      </c>
      <c r="C13926" s="3063"/>
      <c r="D13926" s="3064"/>
      <c r="E13926" s="3064"/>
      <c r="F13926" s="3064"/>
      <c r="G13926" s="3301" t="s">
        <v>675</v>
      </c>
      <c r="H13926" s="3063"/>
      <c r="I13926" s="3030"/>
    </row>
    <row r="13927" spans="2:9" ht="25.5">
      <c r="B13927" s="3192" t="s">
        <v>676</v>
      </c>
      <c r="C13927" s="3063"/>
      <c r="D13927" s="3064"/>
      <c r="E13927" s="3064"/>
      <c r="F13927" s="3064"/>
      <c r="G13927" s="3301" t="s">
        <v>676</v>
      </c>
      <c r="H13927" s="3063"/>
      <c r="I13927" s="3030"/>
    </row>
    <row r="13928" spans="2:9">
      <c r="B13928" s="3192" t="s">
        <v>677</v>
      </c>
      <c r="C13928" s="3063"/>
      <c r="D13928" s="3064"/>
      <c r="E13928" s="3064"/>
      <c r="F13928" s="3064"/>
      <c r="G13928" s="3301" t="s">
        <v>677</v>
      </c>
      <c r="H13928" s="3063"/>
      <c r="I13928" s="3030"/>
    </row>
    <row r="13929" spans="2:9">
      <c r="B13929" s="3192" t="s">
        <v>678</v>
      </c>
      <c r="C13929" s="3063"/>
      <c r="D13929" s="3064"/>
      <c r="E13929" s="3064"/>
      <c r="F13929" s="3064"/>
      <c r="G13929" s="3301" t="s">
        <v>678</v>
      </c>
      <c r="H13929" s="3063"/>
      <c r="I13929" s="3030"/>
    </row>
    <row r="13930" spans="2:9">
      <c r="B13930" s="3192" t="s">
        <v>679</v>
      </c>
      <c r="C13930" s="3063"/>
      <c r="D13930" s="3064"/>
      <c r="E13930" s="3064"/>
      <c r="F13930" s="3064"/>
      <c r="G13930" s="3301" t="s">
        <v>679</v>
      </c>
      <c r="H13930" s="3063"/>
      <c r="I13930" s="3030"/>
    </row>
    <row r="13931" spans="2:9" ht="25.5">
      <c r="B13931" s="3192" t="s">
        <v>720</v>
      </c>
      <c r="C13931" s="3063"/>
      <c r="D13931" s="3064"/>
      <c r="E13931" s="3064"/>
      <c r="F13931" s="3064"/>
      <c r="G13931" s="3301" t="s">
        <v>720</v>
      </c>
      <c r="H13931" s="3063"/>
      <c r="I13931" s="3030"/>
    </row>
    <row r="13932" spans="2:9">
      <c r="B13932" s="3299" t="s">
        <v>65</v>
      </c>
      <c r="C13932" s="3063"/>
      <c r="D13932" s="3064"/>
      <c r="E13932" s="3064"/>
      <c r="F13932" s="3064"/>
      <c r="G13932" s="3300" t="s">
        <v>65</v>
      </c>
      <c r="H13932" s="3063"/>
      <c r="I13932" s="3030"/>
    </row>
    <row r="13933" spans="2:9" ht="25.5">
      <c r="B13933" s="3192" t="s">
        <v>675</v>
      </c>
      <c r="C13933" s="3063"/>
      <c r="D13933" s="3064"/>
      <c r="E13933" s="3064"/>
      <c r="F13933" s="3064"/>
      <c r="G13933" s="3301" t="s">
        <v>675</v>
      </c>
      <c r="H13933" s="3063"/>
      <c r="I13933" s="3030"/>
    </row>
    <row r="13934" spans="2:9" ht="25.5">
      <c r="B13934" s="3192" t="s">
        <v>676</v>
      </c>
      <c r="C13934" s="3063"/>
      <c r="D13934" s="3064"/>
      <c r="E13934" s="3064"/>
      <c r="F13934" s="3064"/>
      <c r="G13934" s="3301" t="s">
        <v>676</v>
      </c>
      <c r="H13934" s="3063"/>
      <c r="I13934" s="3030"/>
    </row>
    <row r="13935" spans="2:9">
      <c r="B13935" s="3192" t="s">
        <v>677</v>
      </c>
      <c r="C13935" s="3063"/>
      <c r="D13935" s="3064"/>
      <c r="E13935" s="3064"/>
      <c r="F13935" s="3064"/>
      <c r="G13935" s="3301" t="s">
        <v>677</v>
      </c>
      <c r="H13935" s="3063"/>
      <c r="I13935" s="3030"/>
    </row>
    <row r="13936" spans="2:9">
      <c r="B13936" s="3192" t="s">
        <v>678</v>
      </c>
      <c r="C13936" s="3063"/>
      <c r="D13936" s="3064"/>
      <c r="E13936" s="3064"/>
      <c r="F13936" s="3064"/>
      <c r="G13936" s="3301" t="s">
        <v>678</v>
      </c>
      <c r="H13936" s="3063"/>
      <c r="I13936" s="3030"/>
    </row>
    <row r="13937" spans="2:9">
      <c r="B13937" s="3192" t="s">
        <v>679</v>
      </c>
      <c r="C13937" s="3063"/>
      <c r="D13937" s="3064"/>
      <c r="E13937" s="3064"/>
      <c r="F13937" s="3064"/>
      <c r="G13937" s="3301" t="s">
        <v>679</v>
      </c>
      <c r="H13937" s="3063"/>
      <c r="I13937" s="3030"/>
    </row>
    <row r="13938" spans="2:9" ht="25.5">
      <c r="B13938" s="3192" t="s">
        <v>720</v>
      </c>
      <c r="C13938" s="3063"/>
      <c r="D13938" s="3064"/>
      <c r="E13938" s="3064"/>
      <c r="F13938" s="3064"/>
      <c r="G13938" s="3301" t="s">
        <v>720</v>
      </c>
      <c r="H13938" s="3063"/>
      <c r="I13938" s="3030"/>
    </row>
    <row r="13939" spans="2:9">
      <c r="B13939" s="3299" t="s">
        <v>82</v>
      </c>
      <c r="C13939" s="3063"/>
      <c r="D13939" s="3064"/>
      <c r="E13939" s="3064"/>
      <c r="F13939" s="3064"/>
      <c r="G13939" s="3300" t="s">
        <v>82</v>
      </c>
      <c r="H13939" s="3063"/>
      <c r="I13939" s="3030"/>
    </row>
    <row r="13940" spans="2:9" ht="25.5">
      <c r="B13940" s="3192" t="s">
        <v>675</v>
      </c>
      <c r="C13940" s="3063"/>
      <c r="D13940" s="3064"/>
      <c r="E13940" s="3064"/>
      <c r="F13940" s="3064"/>
      <c r="G13940" s="3301" t="s">
        <v>675</v>
      </c>
      <c r="H13940" s="3063"/>
      <c r="I13940" s="3030"/>
    </row>
    <row r="13941" spans="2:9" ht="25.5">
      <c r="B13941" s="3192" t="s">
        <v>676</v>
      </c>
      <c r="C13941" s="3063"/>
      <c r="D13941" s="3064"/>
      <c r="E13941" s="3064"/>
      <c r="F13941" s="3064"/>
      <c r="G13941" s="3301" t="s">
        <v>676</v>
      </c>
      <c r="H13941" s="3063"/>
      <c r="I13941" s="3030"/>
    </row>
    <row r="13942" spans="2:9">
      <c r="B13942" s="3192" t="s">
        <v>677</v>
      </c>
      <c r="C13942" s="3063"/>
      <c r="D13942" s="3064"/>
      <c r="E13942" s="3064"/>
      <c r="F13942" s="3064"/>
      <c r="G13942" s="3301" t="s">
        <v>677</v>
      </c>
      <c r="H13942" s="3063"/>
      <c r="I13942" s="3030"/>
    </row>
    <row r="13943" spans="2:9">
      <c r="B13943" s="3192" t="s">
        <v>678</v>
      </c>
      <c r="C13943" s="3063"/>
      <c r="D13943" s="3064"/>
      <c r="E13943" s="3064"/>
      <c r="F13943" s="3064"/>
      <c r="G13943" s="3301" t="s">
        <v>678</v>
      </c>
      <c r="H13943" s="3063"/>
      <c r="I13943" s="3030"/>
    </row>
    <row r="13944" spans="2:9">
      <c r="B13944" s="3192" t="s">
        <v>679</v>
      </c>
      <c r="C13944" s="3063"/>
      <c r="D13944" s="3064"/>
      <c r="E13944" s="3064"/>
      <c r="F13944" s="3064"/>
      <c r="G13944" s="3301" t="s">
        <v>679</v>
      </c>
      <c r="H13944" s="3063"/>
      <c r="I13944" s="3030"/>
    </row>
    <row r="13945" spans="2:9" ht="25.5">
      <c r="B13945" s="3192" t="s">
        <v>720</v>
      </c>
      <c r="C13945" s="3063"/>
      <c r="D13945" s="3064"/>
      <c r="E13945" s="3064"/>
      <c r="F13945" s="3064"/>
      <c r="G13945" s="3301" t="s">
        <v>720</v>
      </c>
      <c r="H13945" s="3063"/>
      <c r="I13945" s="3030"/>
    </row>
    <row r="13946" spans="2:9" ht="38.25">
      <c r="B13946" s="3299" t="s">
        <v>680</v>
      </c>
      <c r="C13946" s="3063"/>
      <c r="D13946" s="3064"/>
      <c r="E13946" s="3064"/>
      <c r="F13946" s="3064"/>
      <c r="G13946" s="3300" t="s">
        <v>680</v>
      </c>
      <c r="H13946" s="3063"/>
      <c r="I13946" s="3030"/>
    </row>
    <row r="13947" spans="2:9" ht="25.5">
      <c r="B13947" s="3192" t="s">
        <v>675</v>
      </c>
      <c r="C13947" s="3063"/>
      <c r="D13947" s="3064"/>
      <c r="E13947" s="3064"/>
      <c r="F13947" s="3064"/>
      <c r="G13947" s="3301" t="s">
        <v>675</v>
      </c>
      <c r="H13947" s="3063"/>
      <c r="I13947" s="3030"/>
    </row>
    <row r="13948" spans="2:9" ht="25.5">
      <c r="B13948" s="3192" t="s">
        <v>676</v>
      </c>
      <c r="C13948" s="3063"/>
      <c r="D13948" s="3064"/>
      <c r="E13948" s="3064"/>
      <c r="F13948" s="3064"/>
      <c r="G13948" s="3301" t="s">
        <v>676</v>
      </c>
      <c r="H13948" s="3063"/>
      <c r="I13948" s="3030"/>
    </row>
    <row r="13949" spans="2:9">
      <c r="B13949" s="3192" t="s">
        <v>677</v>
      </c>
      <c r="C13949" s="3063"/>
      <c r="D13949" s="3064"/>
      <c r="E13949" s="3064"/>
      <c r="F13949" s="3064"/>
      <c r="G13949" s="3301" t="s">
        <v>677</v>
      </c>
      <c r="H13949" s="3063"/>
      <c r="I13949" s="3030"/>
    </row>
    <row r="13950" spans="2:9">
      <c r="B13950" s="3192" t="s">
        <v>678</v>
      </c>
      <c r="C13950" s="3063"/>
      <c r="D13950" s="3064"/>
      <c r="E13950" s="3064"/>
      <c r="F13950" s="3064"/>
      <c r="G13950" s="3301" t="s">
        <v>678</v>
      </c>
      <c r="H13950" s="3063"/>
      <c r="I13950" s="3030"/>
    </row>
    <row r="13951" spans="2:9">
      <c r="B13951" s="3192" t="s">
        <v>679</v>
      </c>
      <c r="C13951" s="3063"/>
      <c r="D13951" s="3064"/>
      <c r="E13951" s="3064"/>
      <c r="F13951" s="3064"/>
      <c r="G13951" s="3301" t="s">
        <v>679</v>
      </c>
      <c r="H13951" s="3063"/>
      <c r="I13951" s="3030"/>
    </row>
    <row r="13952" spans="2:9" ht="25.5">
      <c r="B13952" s="3192" t="s">
        <v>720</v>
      </c>
      <c r="C13952" s="3063"/>
      <c r="D13952" s="3064"/>
      <c r="E13952" s="3064"/>
      <c r="F13952" s="3064"/>
      <c r="G13952" s="3301" t="s">
        <v>720</v>
      </c>
      <c r="H13952" s="3063"/>
      <c r="I13952" s="3030"/>
    </row>
    <row r="13953" spans="2:9" ht="38.25">
      <c r="B13953" s="3299" t="s">
        <v>681</v>
      </c>
      <c r="C13953" s="3063"/>
      <c r="D13953" s="3064"/>
      <c r="E13953" s="3064"/>
      <c r="F13953" s="3064"/>
      <c r="G13953" s="3300" t="s">
        <v>681</v>
      </c>
      <c r="H13953" s="3063">
        <v>6.8254726639819838E-2</v>
      </c>
      <c r="I13953" s="3030"/>
    </row>
    <row r="13954" spans="2:9" ht="25.5">
      <c r="B13954" s="3192" t="s">
        <v>675</v>
      </c>
      <c r="C13954" s="3063"/>
      <c r="D13954" s="3064"/>
      <c r="E13954" s="3064"/>
      <c r="F13954" s="3064"/>
      <c r="G13954" s="3301" t="s">
        <v>675</v>
      </c>
      <c r="H13954" s="3063"/>
      <c r="I13954" s="3030"/>
    </row>
    <row r="13955" spans="2:9" ht="25.5">
      <c r="B13955" s="3192" t="s">
        <v>676</v>
      </c>
      <c r="C13955" s="3063"/>
      <c r="D13955" s="3064"/>
      <c r="E13955" s="3064"/>
      <c r="F13955" s="3064"/>
      <c r="G13955" s="3301" t="s">
        <v>676</v>
      </c>
      <c r="H13955" s="3063"/>
      <c r="I13955" s="3030"/>
    </row>
    <row r="13956" spans="2:9">
      <c r="B13956" s="3192" t="s">
        <v>677</v>
      </c>
      <c r="C13956" s="3063"/>
      <c r="D13956" s="3064"/>
      <c r="E13956" s="3064"/>
      <c r="F13956" s="3064"/>
      <c r="G13956" s="3301" t="s">
        <v>677</v>
      </c>
      <c r="H13956" s="3063"/>
      <c r="I13956" s="3030"/>
    </row>
    <row r="13957" spans="2:9">
      <c r="B13957" s="3192" t="s">
        <v>678</v>
      </c>
      <c r="C13957" s="3063"/>
      <c r="D13957" s="3064"/>
      <c r="E13957" s="3064"/>
      <c r="F13957" s="3064"/>
      <c r="G13957" s="3301" t="s">
        <v>678</v>
      </c>
      <c r="H13957" s="3063"/>
      <c r="I13957" s="3030"/>
    </row>
    <row r="13958" spans="2:9">
      <c r="B13958" s="3192" t="s">
        <v>679</v>
      </c>
      <c r="C13958" s="3063"/>
      <c r="D13958" s="3064">
        <v>1</v>
      </c>
      <c r="E13958" s="3064"/>
      <c r="F13958" s="3064"/>
      <c r="G13958" s="3301" t="s">
        <v>679</v>
      </c>
      <c r="H13958" s="3063"/>
      <c r="I13958" s="3030"/>
    </row>
    <row r="13959" spans="2:9" ht="25.5">
      <c r="B13959" s="3192" t="s">
        <v>720</v>
      </c>
      <c r="C13959" s="3063"/>
      <c r="D13959" s="3064"/>
      <c r="E13959" s="3064"/>
      <c r="F13959" s="3064"/>
      <c r="G13959" s="3301" t="s">
        <v>720</v>
      </c>
      <c r="H13959" s="3063"/>
      <c r="I13959" s="3030"/>
    </row>
    <row r="13960" spans="2:9" ht="25.5">
      <c r="B13960" s="3299" t="s">
        <v>682</v>
      </c>
      <c r="C13960" s="3063"/>
      <c r="D13960" s="3064"/>
      <c r="E13960" s="3064"/>
      <c r="F13960" s="3064"/>
      <c r="G13960" s="3300" t="s">
        <v>682</v>
      </c>
      <c r="H13960" s="3063"/>
      <c r="I13960" s="3030"/>
    </row>
    <row r="13961" spans="2:9" ht="25.5">
      <c r="B13961" s="3192" t="s">
        <v>675</v>
      </c>
      <c r="C13961" s="3063"/>
      <c r="D13961" s="3064"/>
      <c r="E13961" s="3064"/>
      <c r="F13961" s="3064"/>
      <c r="G13961" s="3301" t="s">
        <v>675</v>
      </c>
      <c r="H13961" s="3063"/>
      <c r="I13961" s="3030"/>
    </row>
    <row r="13962" spans="2:9" ht="25.5">
      <c r="B13962" s="3192" t="s">
        <v>676</v>
      </c>
      <c r="C13962" s="3063"/>
      <c r="D13962" s="3064"/>
      <c r="E13962" s="3064"/>
      <c r="F13962" s="3064"/>
      <c r="G13962" s="3301" t="s">
        <v>676</v>
      </c>
      <c r="H13962" s="3063"/>
      <c r="I13962" s="3030"/>
    </row>
    <row r="13963" spans="2:9">
      <c r="B13963" s="3192" t="s">
        <v>677</v>
      </c>
      <c r="C13963" s="3063"/>
      <c r="D13963" s="3064"/>
      <c r="E13963" s="3064"/>
      <c r="F13963" s="3064"/>
      <c r="G13963" s="3301" t="s">
        <v>677</v>
      </c>
      <c r="H13963" s="3063"/>
      <c r="I13963" s="3030"/>
    </row>
    <row r="13964" spans="2:9">
      <c r="B13964" s="3192" t="s">
        <v>678</v>
      </c>
      <c r="C13964" s="3063"/>
      <c r="D13964" s="3064"/>
      <c r="E13964" s="3064"/>
      <c r="F13964" s="3064"/>
      <c r="G13964" s="3301" t="s">
        <v>678</v>
      </c>
      <c r="H13964" s="3063"/>
      <c r="I13964" s="3030"/>
    </row>
    <row r="13965" spans="2:9">
      <c r="B13965" s="3192" t="s">
        <v>679</v>
      </c>
      <c r="C13965" s="3063"/>
      <c r="D13965" s="3064"/>
      <c r="E13965" s="3064"/>
      <c r="F13965" s="3064"/>
      <c r="G13965" s="3301" t="s">
        <v>679</v>
      </c>
      <c r="H13965" s="3063"/>
      <c r="I13965" s="3030"/>
    </row>
    <row r="13966" spans="2:9" ht="25.5">
      <c r="B13966" s="3192" t="s">
        <v>720</v>
      </c>
      <c r="C13966" s="3063"/>
      <c r="D13966" s="3064"/>
      <c r="E13966" s="3064"/>
      <c r="F13966" s="3064"/>
      <c r="G13966" s="3301" t="s">
        <v>720</v>
      </c>
      <c r="H13966" s="3063"/>
      <c r="I13966" s="3030"/>
    </row>
    <row r="13967" spans="2:9" ht="25.5">
      <c r="B13967" s="3299" t="s">
        <v>66</v>
      </c>
      <c r="C13967" s="3063"/>
      <c r="D13967" s="3064"/>
      <c r="E13967" s="3064"/>
      <c r="F13967" s="3064"/>
      <c r="G13967" s="3300" t="s">
        <v>66</v>
      </c>
      <c r="H13967" s="3063"/>
      <c r="I13967" s="3030"/>
    </row>
    <row r="13968" spans="2:9" ht="25.5">
      <c r="B13968" s="3192" t="s">
        <v>675</v>
      </c>
      <c r="C13968" s="3063"/>
      <c r="D13968" s="3064"/>
      <c r="E13968" s="3064"/>
      <c r="F13968" s="3064"/>
      <c r="G13968" s="3301" t="s">
        <v>675</v>
      </c>
      <c r="H13968" s="3063"/>
      <c r="I13968" s="3030"/>
    </row>
    <row r="13969" spans="2:9" ht="25.5">
      <c r="B13969" s="3192" t="s">
        <v>676</v>
      </c>
      <c r="C13969" s="3063"/>
      <c r="D13969" s="3064"/>
      <c r="E13969" s="3064"/>
      <c r="F13969" s="3064"/>
      <c r="G13969" s="3301" t="s">
        <v>676</v>
      </c>
      <c r="H13969" s="3063"/>
      <c r="I13969" s="3030"/>
    </row>
    <row r="13970" spans="2:9">
      <c r="B13970" s="3192" t="s">
        <v>677</v>
      </c>
      <c r="C13970" s="3063"/>
      <c r="D13970" s="3064"/>
      <c r="E13970" s="3064"/>
      <c r="F13970" s="3064"/>
      <c r="G13970" s="3301" t="s">
        <v>677</v>
      </c>
      <c r="H13970" s="3063"/>
      <c r="I13970" s="3030"/>
    </row>
    <row r="13971" spans="2:9">
      <c r="B13971" s="3192" t="s">
        <v>678</v>
      </c>
      <c r="C13971" s="3063"/>
      <c r="D13971" s="3064"/>
      <c r="E13971" s="3064"/>
      <c r="F13971" s="3064"/>
      <c r="G13971" s="3301" t="s">
        <v>678</v>
      </c>
      <c r="H13971" s="3063"/>
      <c r="I13971" s="3030"/>
    </row>
    <row r="13972" spans="2:9">
      <c r="B13972" s="3192" t="s">
        <v>679</v>
      </c>
      <c r="C13972" s="3063"/>
      <c r="D13972" s="3064"/>
      <c r="E13972" s="3064"/>
      <c r="F13972" s="3064"/>
      <c r="G13972" s="3301" t="s">
        <v>679</v>
      </c>
      <c r="H13972" s="3063"/>
      <c r="I13972" s="3030"/>
    </row>
    <row r="13973" spans="2:9" ht="25.5">
      <c r="B13973" s="3192" t="s">
        <v>720</v>
      </c>
      <c r="C13973" s="3063"/>
      <c r="D13973" s="3064"/>
      <c r="E13973" s="3064"/>
      <c r="F13973" s="3064"/>
      <c r="G13973" s="3301" t="s">
        <v>720</v>
      </c>
      <c r="H13973" s="3063"/>
      <c r="I13973" s="3030"/>
    </row>
    <row r="13974" spans="2:9">
      <c r="B13974" s="3299" t="s">
        <v>67</v>
      </c>
      <c r="C13974" s="3063"/>
      <c r="D13974" s="3064"/>
      <c r="E13974" s="3064"/>
      <c r="F13974" s="3064"/>
      <c r="G13974" s="3300" t="s">
        <v>67</v>
      </c>
      <c r="H13974" s="3063"/>
      <c r="I13974" s="3030"/>
    </row>
    <row r="13975" spans="2:9" ht="25.5">
      <c r="B13975" s="3192" t="s">
        <v>675</v>
      </c>
      <c r="C13975" s="3063"/>
      <c r="D13975" s="3064"/>
      <c r="E13975" s="3064"/>
      <c r="F13975" s="3064"/>
      <c r="G13975" s="3301" t="s">
        <v>675</v>
      </c>
      <c r="H13975" s="3063"/>
      <c r="I13975" s="3030"/>
    </row>
    <row r="13976" spans="2:9" ht="25.5">
      <c r="B13976" s="3192" t="s">
        <v>676</v>
      </c>
      <c r="C13976" s="3063"/>
      <c r="D13976" s="3064"/>
      <c r="E13976" s="3064"/>
      <c r="F13976" s="3064"/>
      <c r="G13976" s="3301" t="s">
        <v>676</v>
      </c>
      <c r="H13976" s="3063"/>
      <c r="I13976" s="3030"/>
    </row>
    <row r="13977" spans="2:9">
      <c r="B13977" s="3192" t="s">
        <v>677</v>
      </c>
      <c r="C13977" s="3063"/>
      <c r="D13977" s="3064"/>
      <c r="E13977" s="3064"/>
      <c r="F13977" s="3064"/>
      <c r="G13977" s="3301" t="s">
        <v>677</v>
      </c>
      <c r="H13977" s="3063"/>
      <c r="I13977" s="3030"/>
    </row>
    <row r="13978" spans="2:9">
      <c r="B13978" s="3192" t="s">
        <v>678</v>
      </c>
      <c r="C13978" s="3063"/>
      <c r="D13978" s="3064"/>
      <c r="E13978" s="3064"/>
      <c r="F13978" s="3064"/>
      <c r="G13978" s="3301" t="s">
        <v>678</v>
      </c>
      <c r="H13978" s="3063"/>
      <c r="I13978" s="3030"/>
    </row>
    <row r="13979" spans="2:9">
      <c r="B13979" s="3192" t="s">
        <v>679</v>
      </c>
      <c r="C13979" s="3063"/>
      <c r="D13979" s="3064"/>
      <c r="E13979" s="3064"/>
      <c r="F13979" s="3064"/>
      <c r="G13979" s="3301" t="s">
        <v>679</v>
      </c>
      <c r="H13979" s="3063"/>
      <c r="I13979" s="3030"/>
    </row>
    <row r="13980" spans="2:9" ht="25.5">
      <c r="B13980" s="3230" t="s">
        <v>81</v>
      </c>
      <c r="C13980" s="3063"/>
      <c r="D13980" s="3064"/>
      <c r="E13980" s="3064"/>
      <c r="F13980" s="3064"/>
      <c r="G13980" s="3302" t="s">
        <v>81</v>
      </c>
      <c r="H13980" s="3063"/>
      <c r="I13980" s="3030"/>
    </row>
    <row r="13981" spans="2:9" ht="26.25" thickBot="1">
      <c r="B13981" s="3303" t="s">
        <v>81</v>
      </c>
      <c r="C13981" s="3068"/>
      <c r="D13981" s="3069"/>
      <c r="E13981" s="3069"/>
      <c r="F13981" s="3069"/>
      <c r="G13981" s="3304" t="s">
        <v>81</v>
      </c>
      <c r="H13981" s="3068"/>
      <c r="I13981" s="3070"/>
    </row>
    <row r="13982" spans="2:9" ht="38.25">
      <c r="B13982" s="4723">
        <v>3363</v>
      </c>
      <c r="C13982" s="3289"/>
      <c r="D13982" s="3290"/>
      <c r="E13982" s="3290"/>
      <c r="F13982" s="3290"/>
      <c r="G13982" s="4723">
        <v>3363</v>
      </c>
      <c r="H13982" s="3291" t="s">
        <v>687</v>
      </c>
      <c r="I13982" s="3292" t="s">
        <v>688</v>
      </c>
    </row>
    <row r="13983" spans="2:9">
      <c r="B13983" s="4724"/>
      <c r="C13983" s="4678" t="s">
        <v>686</v>
      </c>
      <c r="D13983" s="4725"/>
      <c r="E13983" s="4725"/>
      <c r="F13983" s="4726"/>
      <c r="G13983" s="4724"/>
      <c r="H13983" s="3293"/>
      <c r="I13983" s="3294"/>
    </row>
    <row r="13984" spans="2:9" ht="13.5" thickBot="1">
      <c r="B13984" s="4724"/>
      <c r="C13984" s="3215">
        <v>2013</v>
      </c>
      <c r="D13984" s="3215">
        <v>2014</v>
      </c>
      <c r="E13984" s="3215">
        <v>2015</v>
      </c>
      <c r="F13984" s="3215">
        <v>2016</v>
      </c>
      <c r="G13984" s="4724"/>
      <c r="H13984" s="3295" t="s">
        <v>390</v>
      </c>
      <c r="I13984" s="3296" t="s">
        <v>390</v>
      </c>
    </row>
    <row r="13985" spans="2:9">
      <c r="B13985" s="3217" t="s">
        <v>695</v>
      </c>
      <c r="C13985" s="3218"/>
      <c r="D13985" s="3219"/>
      <c r="E13985" s="3219"/>
      <c r="F13985" s="3219"/>
      <c r="G13985" s="3217" t="s">
        <v>695</v>
      </c>
      <c r="H13985" s="3297"/>
      <c r="I13985" s="3298"/>
    </row>
    <row r="13986" spans="2:9">
      <c r="B13986" s="3299" t="s">
        <v>64</v>
      </c>
      <c r="C13986" s="3063"/>
      <c r="D13986" s="3064"/>
      <c r="E13986" s="3064"/>
      <c r="F13986" s="3064"/>
      <c r="G13986" s="3300" t="s">
        <v>64</v>
      </c>
      <c r="H13986" s="3063"/>
      <c r="I13986" s="3030"/>
    </row>
    <row r="13987" spans="2:9" ht="25.5">
      <c r="B13987" s="3192" t="s">
        <v>675</v>
      </c>
      <c r="C13987" s="3063"/>
      <c r="D13987" s="3064"/>
      <c r="E13987" s="3064"/>
      <c r="F13987" s="3064"/>
      <c r="G13987" s="3301" t="s">
        <v>675</v>
      </c>
      <c r="H13987" s="3063"/>
      <c r="I13987" s="3030"/>
    </row>
    <row r="13988" spans="2:9" ht="25.5">
      <c r="B13988" s="3192" t="s">
        <v>676</v>
      </c>
      <c r="C13988" s="3063"/>
      <c r="D13988" s="3064"/>
      <c r="E13988" s="3064"/>
      <c r="F13988" s="3064"/>
      <c r="G13988" s="3301" t="s">
        <v>676</v>
      </c>
      <c r="H13988" s="3063"/>
      <c r="I13988" s="3030"/>
    </row>
    <row r="13989" spans="2:9">
      <c r="B13989" s="3192" t="s">
        <v>677</v>
      </c>
      <c r="C13989" s="3063"/>
      <c r="D13989" s="3064"/>
      <c r="E13989" s="3064"/>
      <c r="F13989" s="3064"/>
      <c r="G13989" s="3301" t="s">
        <v>677</v>
      </c>
      <c r="H13989" s="3063"/>
      <c r="I13989" s="3030"/>
    </row>
    <row r="13990" spans="2:9">
      <c r="B13990" s="3192" t="s">
        <v>678</v>
      </c>
      <c r="C13990" s="3063"/>
      <c r="D13990" s="3064"/>
      <c r="E13990" s="3064"/>
      <c r="F13990" s="3064"/>
      <c r="G13990" s="3301" t="s">
        <v>678</v>
      </c>
      <c r="H13990" s="3063"/>
      <c r="I13990" s="3030"/>
    </row>
    <row r="13991" spans="2:9">
      <c r="B13991" s="3192" t="s">
        <v>679</v>
      </c>
      <c r="C13991" s="3063"/>
      <c r="D13991" s="3064"/>
      <c r="E13991" s="3064"/>
      <c r="F13991" s="3064"/>
      <c r="G13991" s="3301" t="s">
        <v>679</v>
      </c>
      <c r="H13991" s="3063"/>
      <c r="I13991" s="3030"/>
    </row>
    <row r="13992" spans="2:9" ht="25.5">
      <c r="B13992" s="3192" t="s">
        <v>720</v>
      </c>
      <c r="C13992" s="3063"/>
      <c r="D13992" s="3064"/>
      <c r="E13992" s="3064"/>
      <c r="F13992" s="3064"/>
      <c r="G13992" s="3301" t="s">
        <v>720</v>
      </c>
      <c r="H13992" s="3063"/>
      <c r="I13992" s="3030"/>
    </row>
    <row r="13993" spans="2:9">
      <c r="B13993" s="3299" t="s">
        <v>65</v>
      </c>
      <c r="C13993" s="3063"/>
      <c r="D13993" s="3064"/>
      <c r="E13993" s="3064"/>
      <c r="F13993" s="3064"/>
      <c r="G13993" s="3300" t="s">
        <v>65</v>
      </c>
      <c r="H13993" s="3063"/>
      <c r="I13993" s="3030"/>
    </row>
    <row r="13994" spans="2:9" ht="25.5">
      <c r="B13994" s="3192" t="s">
        <v>675</v>
      </c>
      <c r="C13994" s="3063"/>
      <c r="D13994" s="3064"/>
      <c r="E13994" s="3064"/>
      <c r="F13994" s="3064"/>
      <c r="G13994" s="3301" t="s">
        <v>675</v>
      </c>
      <c r="H13994" s="3063"/>
      <c r="I13994" s="3030"/>
    </row>
    <row r="13995" spans="2:9" ht="25.5">
      <c r="B13995" s="3192" t="s">
        <v>676</v>
      </c>
      <c r="C13995" s="3063"/>
      <c r="D13995" s="3064"/>
      <c r="E13995" s="3064"/>
      <c r="F13995" s="3064"/>
      <c r="G13995" s="3301" t="s">
        <v>676</v>
      </c>
      <c r="H13995" s="3063"/>
      <c r="I13995" s="3030"/>
    </row>
    <row r="13996" spans="2:9">
      <c r="B13996" s="3192" t="s">
        <v>677</v>
      </c>
      <c r="C13996" s="3063"/>
      <c r="D13996" s="3064"/>
      <c r="E13996" s="3064"/>
      <c r="F13996" s="3064"/>
      <c r="G13996" s="3301" t="s">
        <v>677</v>
      </c>
      <c r="H13996" s="3063"/>
      <c r="I13996" s="3030"/>
    </row>
    <row r="13997" spans="2:9">
      <c r="B13997" s="3192" t="s">
        <v>678</v>
      </c>
      <c r="C13997" s="3063"/>
      <c r="D13997" s="3064"/>
      <c r="E13997" s="3064"/>
      <c r="F13997" s="3064"/>
      <c r="G13997" s="3301" t="s">
        <v>678</v>
      </c>
      <c r="H13997" s="3063"/>
      <c r="I13997" s="3030"/>
    </row>
    <row r="13998" spans="2:9">
      <c r="B13998" s="3192" t="s">
        <v>679</v>
      </c>
      <c r="C13998" s="3063"/>
      <c r="D13998" s="3064"/>
      <c r="E13998" s="3064"/>
      <c r="F13998" s="3064"/>
      <c r="G13998" s="3301" t="s">
        <v>679</v>
      </c>
      <c r="H13998" s="3063"/>
      <c r="I13998" s="3030"/>
    </row>
    <row r="13999" spans="2:9" ht="25.5">
      <c r="B13999" s="3192" t="s">
        <v>720</v>
      </c>
      <c r="C13999" s="3063"/>
      <c r="D13999" s="3064"/>
      <c r="E13999" s="3064"/>
      <c r="F13999" s="3064"/>
      <c r="G13999" s="3301" t="s">
        <v>720</v>
      </c>
      <c r="H13999" s="3063"/>
      <c r="I13999" s="3030"/>
    </row>
    <row r="14000" spans="2:9">
      <c r="B14000" s="3299" t="s">
        <v>82</v>
      </c>
      <c r="C14000" s="3063"/>
      <c r="D14000" s="3064"/>
      <c r="E14000" s="3064"/>
      <c r="F14000" s="3064"/>
      <c r="G14000" s="3300" t="s">
        <v>82</v>
      </c>
      <c r="H14000" s="3063"/>
      <c r="I14000" s="3030"/>
    </row>
    <row r="14001" spans="2:9" ht="25.5">
      <c r="B14001" s="3192" t="s">
        <v>675</v>
      </c>
      <c r="C14001" s="3063"/>
      <c r="D14001" s="3064"/>
      <c r="E14001" s="3064"/>
      <c r="F14001" s="3064"/>
      <c r="G14001" s="3301" t="s">
        <v>675</v>
      </c>
      <c r="H14001" s="3063"/>
      <c r="I14001" s="3030"/>
    </row>
    <row r="14002" spans="2:9" ht="25.5">
      <c r="B14002" s="3192" t="s">
        <v>676</v>
      </c>
      <c r="C14002" s="3063"/>
      <c r="D14002" s="3064"/>
      <c r="E14002" s="3064"/>
      <c r="F14002" s="3064"/>
      <c r="G14002" s="3301" t="s">
        <v>676</v>
      </c>
      <c r="H14002" s="3063"/>
      <c r="I14002" s="3030"/>
    </row>
    <row r="14003" spans="2:9">
      <c r="B14003" s="3192" t="s">
        <v>677</v>
      </c>
      <c r="C14003" s="3063"/>
      <c r="D14003" s="3064"/>
      <c r="E14003" s="3064"/>
      <c r="F14003" s="3064"/>
      <c r="G14003" s="3301" t="s">
        <v>677</v>
      </c>
      <c r="H14003" s="3063"/>
      <c r="I14003" s="3030"/>
    </row>
    <row r="14004" spans="2:9">
      <c r="B14004" s="3192" t="s">
        <v>678</v>
      </c>
      <c r="C14004" s="3063"/>
      <c r="D14004" s="3064"/>
      <c r="E14004" s="3064"/>
      <c r="F14004" s="3064"/>
      <c r="G14004" s="3301" t="s">
        <v>678</v>
      </c>
      <c r="H14004" s="3063"/>
      <c r="I14004" s="3030"/>
    </row>
    <row r="14005" spans="2:9">
      <c r="B14005" s="3192" t="s">
        <v>679</v>
      </c>
      <c r="C14005" s="3063"/>
      <c r="D14005" s="3064"/>
      <c r="E14005" s="3064"/>
      <c r="F14005" s="3064"/>
      <c r="G14005" s="3301" t="s">
        <v>679</v>
      </c>
      <c r="H14005" s="3063"/>
      <c r="I14005" s="3030"/>
    </row>
    <row r="14006" spans="2:9" ht="25.5">
      <c r="B14006" s="3192" t="s">
        <v>720</v>
      </c>
      <c r="C14006" s="3063"/>
      <c r="D14006" s="3064"/>
      <c r="E14006" s="3064"/>
      <c r="F14006" s="3064"/>
      <c r="G14006" s="3301" t="s">
        <v>720</v>
      </c>
      <c r="H14006" s="3063"/>
      <c r="I14006" s="3030"/>
    </row>
    <row r="14007" spans="2:9" ht="38.25">
      <c r="B14007" s="3299" t="s">
        <v>680</v>
      </c>
      <c r="C14007" s="3063"/>
      <c r="D14007" s="3064"/>
      <c r="E14007" s="3064"/>
      <c r="F14007" s="3064"/>
      <c r="G14007" s="3300" t="s">
        <v>680</v>
      </c>
      <c r="H14007" s="3063"/>
      <c r="I14007" s="3030"/>
    </row>
    <row r="14008" spans="2:9" ht="25.5">
      <c r="B14008" s="3192" t="s">
        <v>675</v>
      </c>
      <c r="C14008" s="3063"/>
      <c r="D14008" s="3064"/>
      <c r="E14008" s="3064"/>
      <c r="F14008" s="3064"/>
      <c r="G14008" s="3301" t="s">
        <v>675</v>
      </c>
      <c r="H14008" s="3063"/>
      <c r="I14008" s="3030"/>
    </row>
    <row r="14009" spans="2:9" ht="25.5">
      <c r="B14009" s="3192" t="s">
        <v>676</v>
      </c>
      <c r="C14009" s="3063"/>
      <c r="D14009" s="3064"/>
      <c r="E14009" s="3064"/>
      <c r="F14009" s="3064"/>
      <c r="G14009" s="3301" t="s">
        <v>676</v>
      </c>
      <c r="H14009" s="3063"/>
      <c r="I14009" s="3030"/>
    </row>
    <row r="14010" spans="2:9">
      <c r="B14010" s="3192" t="s">
        <v>677</v>
      </c>
      <c r="C14010" s="3063"/>
      <c r="D14010" s="3064"/>
      <c r="E14010" s="3064"/>
      <c r="F14010" s="3064"/>
      <c r="G14010" s="3301" t="s">
        <v>677</v>
      </c>
      <c r="H14010" s="3063"/>
      <c r="I14010" s="3030"/>
    </row>
    <row r="14011" spans="2:9">
      <c r="B14011" s="3192" t="s">
        <v>678</v>
      </c>
      <c r="C14011" s="3063"/>
      <c r="D14011" s="3064"/>
      <c r="E14011" s="3064"/>
      <c r="F14011" s="3064"/>
      <c r="G14011" s="3301" t="s">
        <v>678</v>
      </c>
      <c r="H14011" s="3063"/>
      <c r="I14011" s="3030"/>
    </row>
    <row r="14012" spans="2:9">
      <c r="B14012" s="3192" t="s">
        <v>679</v>
      </c>
      <c r="C14012" s="3063"/>
      <c r="D14012" s="3064"/>
      <c r="E14012" s="3064"/>
      <c r="F14012" s="3064"/>
      <c r="G14012" s="3301" t="s">
        <v>679</v>
      </c>
      <c r="H14012" s="3063"/>
      <c r="I14012" s="3030"/>
    </row>
    <row r="14013" spans="2:9" ht="25.5">
      <c r="B14013" s="3192" t="s">
        <v>720</v>
      </c>
      <c r="C14013" s="3063"/>
      <c r="D14013" s="3064"/>
      <c r="E14013" s="3064"/>
      <c r="F14013" s="3064"/>
      <c r="G14013" s="3301" t="s">
        <v>720</v>
      </c>
      <c r="H14013" s="3063"/>
      <c r="I14013" s="3030"/>
    </row>
    <row r="14014" spans="2:9" ht="38.25">
      <c r="B14014" s="3299" t="s">
        <v>681</v>
      </c>
      <c r="C14014" s="3063"/>
      <c r="D14014" s="3064"/>
      <c r="E14014" s="3064"/>
      <c r="F14014" s="3064"/>
      <c r="G14014" s="3300" t="s">
        <v>681</v>
      </c>
      <c r="H14014" s="3063"/>
      <c r="I14014" s="3030"/>
    </row>
    <row r="14015" spans="2:9" ht="25.5">
      <c r="B14015" s="3192" t="s">
        <v>675</v>
      </c>
      <c r="C14015" s="3063"/>
      <c r="D14015" s="3064"/>
      <c r="E14015" s="3064"/>
      <c r="F14015" s="3064"/>
      <c r="G14015" s="3301" t="s">
        <v>675</v>
      </c>
      <c r="H14015" s="3063"/>
      <c r="I14015" s="3030"/>
    </row>
    <row r="14016" spans="2:9" ht="25.5">
      <c r="B14016" s="3192" t="s">
        <v>676</v>
      </c>
      <c r="C14016" s="3063"/>
      <c r="D14016" s="3064"/>
      <c r="E14016" s="3064"/>
      <c r="F14016" s="3064"/>
      <c r="G14016" s="3301" t="s">
        <v>676</v>
      </c>
      <c r="H14016" s="3063"/>
      <c r="I14016" s="3030"/>
    </row>
    <row r="14017" spans="2:9">
      <c r="B14017" s="3192" t="s">
        <v>677</v>
      </c>
      <c r="C14017" s="3063"/>
      <c r="D14017" s="3064"/>
      <c r="E14017" s="3064"/>
      <c r="F14017" s="3064"/>
      <c r="G14017" s="3301" t="s">
        <v>677</v>
      </c>
      <c r="H14017" s="3063"/>
      <c r="I14017" s="3030"/>
    </row>
    <row r="14018" spans="2:9">
      <c r="B14018" s="3192" t="s">
        <v>678</v>
      </c>
      <c r="C14018" s="3063"/>
      <c r="D14018" s="3064"/>
      <c r="E14018" s="3064"/>
      <c r="F14018" s="3064"/>
      <c r="G14018" s="3301" t="s">
        <v>678</v>
      </c>
      <c r="H14018" s="3063"/>
      <c r="I14018" s="3030"/>
    </row>
    <row r="14019" spans="2:9">
      <c r="B14019" s="3192" t="s">
        <v>679</v>
      </c>
      <c r="C14019" s="3063"/>
      <c r="D14019" s="3064"/>
      <c r="E14019" s="3064"/>
      <c r="F14019" s="3064"/>
      <c r="G14019" s="3301" t="s">
        <v>679</v>
      </c>
      <c r="H14019" s="3063"/>
      <c r="I14019" s="3030"/>
    </row>
    <row r="14020" spans="2:9" ht="25.5">
      <c r="B14020" s="3192" t="s">
        <v>720</v>
      </c>
      <c r="C14020" s="3063"/>
      <c r="D14020" s="3064"/>
      <c r="E14020" s="3064"/>
      <c r="F14020" s="3064"/>
      <c r="G14020" s="3301" t="s">
        <v>720</v>
      </c>
      <c r="H14020" s="3063"/>
      <c r="I14020" s="3030"/>
    </row>
    <row r="14021" spans="2:9" ht="25.5">
      <c r="B14021" s="3299" t="s">
        <v>682</v>
      </c>
      <c r="C14021" s="3063"/>
      <c r="D14021" s="3064"/>
      <c r="E14021" s="3064"/>
      <c r="F14021" s="3064"/>
      <c r="G14021" s="3300" t="s">
        <v>682</v>
      </c>
      <c r="H14021" s="3063"/>
      <c r="I14021" s="3030"/>
    </row>
    <row r="14022" spans="2:9" ht="25.5">
      <c r="B14022" s="3192" t="s">
        <v>675</v>
      </c>
      <c r="C14022" s="3063"/>
      <c r="D14022" s="3064"/>
      <c r="E14022" s="3064"/>
      <c r="F14022" s="3064"/>
      <c r="G14022" s="3301" t="s">
        <v>675</v>
      </c>
      <c r="H14022" s="3063"/>
      <c r="I14022" s="3030"/>
    </row>
    <row r="14023" spans="2:9" ht="25.5">
      <c r="B14023" s="3192" t="s">
        <v>676</v>
      </c>
      <c r="C14023" s="3063"/>
      <c r="D14023" s="3064"/>
      <c r="E14023" s="3064"/>
      <c r="F14023" s="3064"/>
      <c r="G14023" s="3301" t="s">
        <v>676</v>
      </c>
      <c r="H14023" s="3063"/>
      <c r="I14023" s="3030"/>
    </row>
    <row r="14024" spans="2:9">
      <c r="B14024" s="3192" t="s">
        <v>677</v>
      </c>
      <c r="C14024" s="3063"/>
      <c r="D14024" s="3064"/>
      <c r="E14024" s="3064"/>
      <c r="F14024" s="3064"/>
      <c r="G14024" s="3301" t="s">
        <v>677</v>
      </c>
      <c r="H14024" s="3063"/>
      <c r="I14024" s="3030"/>
    </row>
    <row r="14025" spans="2:9">
      <c r="B14025" s="3192" t="s">
        <v>678</v>
      </c>
      <c r="C14025" s="3063"/>
      <c r="D14025" s="3064"/>
      <c r="E14025" s="3064"/>
      <c r="F14025" s="3064"/>
      <c r="G14025" s="3301" t="s">
        <v>678</v>
      </c>
      <c r="H14025" s="3063"/>
      <c r="I14025" s="3030"/>
    </row>
    <row r="14026" spans="2:9">
      <c r="B14026" s="3192" t="s">
        <v>679</v>
      </c>
      <c r="C14026" s="3063"/>
      <c r="D14026" s="3064"/>
      <c r="E14026" s="3064"/>
      <c r="F14026" s="3064"/>
      <c r="G14026" s="3301" t="s">
        <v>679</v>
      </c>
      <c r="H14026" s="3063"/>
      <c r="I14026" s="3030"/>
    </row>
    <row r="14027" spans="2:9" ht="25.5">
      <c r="B14027" s="3192" t="s">
        <v>720</v>
      </c>
      <c r="C14027" s="3063"/>
      <c r="D14027" s="3064"/>
      <c r="E14027" s="3064"/>
      <c r="F14027" s="3064"/>
      <c r="G14027" s="3301" t="s">
        <v>720</v>
      </c>
      <c r="H14027" s="3063"/>
      <c r="I14027" s="3030"/>
    </row>
    <row r="14028" spans="2:9" ht="25.5">
      <c r="B14028" s="3299" t="s">
        <v>66</v>
      </c>
      <c r="C14028" s="3063"/>
      <c r="D14028" s="3064"/>
      <c r="E14028" s="3064"/>
      <c r="F14028" s="3064"/>
      <c r="G14028" s="3300" t="s">
        <v>66</v>
      </c>
      <c r="H14028" s="3063"/>
      <c r="I14028" s="3030"/>
    </row>
    <row r="14029" spans="2:9" ht="25.5">
      <c r="B14029" s="3192" t="s">
        <v>675</v>
      </c>
      <c r="C14029" s="3063"/>
      <c r="D14029" s="3064"/>
      <c r="E14029" s="3064"/>
      <c r="F14029" s="3064"/>
      <c r="G14029" s="3301" t="s">
        <v>675</v>
      </c>
      <c r="H14029" s="3063"/>
      <c r="I14029" s="3030"/>
    </row>
    <row r="14030" spans="2:9" ht="25.5">
      <c r="B14030" s="3192" t="s">
        <v>676</v>
      </c>
      <c r="C14030" s="3063"/>
      <c r="D14030" s="3064"/>
      <c r="E14030" s="3064"/>
      <c r="F14030" s="3064"/>
      <c r="G14030" s="3301" t="s">
        <v>676</v>
      </c>
      <c r="H14030" s="3063"/>
      <c r="I14030" s="3030"/>
    </row>
    <row r="14031" spans="2:9">
      <c r="B14031" s="3192" t="s">
        <v>677</v>
      </c>
      <c r="C14031" s="3063"/>
      <c r="D14031" s="3064"/>
      <c r="E14031" s="3064"/>
      <c r="F14031" s="3064"/>
      <c r="G14031" s="3301" t="s">
        <v>677</v>
      </c>
      <c r="H14031" s="3063"/>
      <c r="I14031" s="3030"/>
    </row>
    <row r="14032" spans="2:9">
      <c r="B14032" s="3192" t="s">
        <v>678</v>
      </c>
      <c r="C14032" s="3063"/>
      <c r="D14032" s="3064"/>
      <c r="E14032" s="3064"/>
      <c r="F14032" s="3064"/>
      <c r="G14032" s="3301" t="s">
        <v>678</v>
      </c>
      <c r="H14032" s="3063"/>
      <c r="I14032" s="3030"/>
    </row>
    <row r="14033" spans="2:9">
      <c r="B14033" s="3192" t="s">
        <v>679</v>
      </c>
      <c r="C14033" s="3063"/>
      <c r="D14033" s="3064"/>
      <c r="E14033" s="3064"/>
      <c r="F14033" s="3064"/>
      <c r="G14033" s="3301" t="s">
        <v>679</v>
      </c>
      <c r="H14033" s="3063"/>
      <c r="I14033" s="3030"/>
    </row>
    <row r="14034" spans="2:9" ht="25.5">
      <c r="B14034" s="3192" t="s">
        <v>720</v>
      </c>
      <c r="C14034" s="3063"/>
      <c r="D14034" s="3064"/>
      <c r="E14034" s="3064"/>
      <c r="F14034" s="3064"/>
      <c r="G14034" s="3301" t="s">
        <v>720</v>
      </c>
      <c r="H14034" s="3063"/>
      <c r="I14034" s="3030"/>
    </row>
    <row r="14035" spans="2:9">
      <c r="B14035" s="3299" t="s">
        <v>67</v>
      </c>
      <c r="C14035" s="3063"/>
      <c r="D14035" s="3064"/>
      <c r="E14035" s="3064"/>
      <c r="F14035" s="3064"/>
      <c r="G14035" s="3300" t="s">
        <v>67</v>
      </c>
      <c r="H14035" s="3063"/>
      <c r="I14035" s="3030"/>
    </row>
    <row r="14036" spans="2:9" ht="25.5">
      <c r="B14036" s="3192" t="s">
        <v>675</v>
      </c>
      <c r="C14036" s="3063"/>
      <c r="D14036" s="3064"/>
      <c r="E14036" s="3064"/>
      <c r="F14036" s="3064"/>
      <c r="G14036" s="3301" t="s">
        <v>675</v>
      </c>
      <c r="H14036" s="3063"/>
      <c r="I14036" s="3030"/>
    </row>
    <row r="14037" spans="2:9" ht="25.5">
      <c r="B14037" s="3192" t="s">
        <v>676</v>
      </c>
      <c r="C14037" s="3063"/>
      <c r="D14037" s="3064"/>
      <c r="E14037" s="3064"/>
      <c r="F14037" s="3064"/>
      <c r="G14037" s="3301" t="s">
        <v>676</v>
      </c>
      <c r="H14037" s="3063"/>
      <c r="I14037" s="3030"/>
    </row>
    <row r="14038" spans="2:9">
      <c r="B14038" s="3192" t="s">
        <v>677</v>
      </c>
      <c r="C14038" s="3063"/>
      <c r="D14038" s="3064"/>
      <c r="E14038" s="3064"/>
      <c r="F14038" s="3064"/>
      <c r="G14038" s="3301" t="s">
        <v>677</v>
      </c>
      <c r="H14038" s="3063"/>
      <c r="I14038" s="3030"/>
    </row>
    <row r="14039" spans="2:9">
      <c r="B14039" s="3192" t="s">
        <v>678</v>
      </c>
      <c r="C14039" s="3063"/>
      <c r="D14039" s="3064"/>
      <c r="E14039" s="3064"/>
      <c r="F14039" s="3064"/>
      <c r="G14039" s="3301" t="s">
        <v>678</v>
      </c>
      <c r="H14039" s="3063"/>
      <c r="I14039" s="3030"/>
    </row>
    <row r="14040" spans="2:9">
      <c r="B14040" s="3192" t="s">
        <v>679</v>
      </c>
      <c r="C14040" s="3063"/>
      <c r="D14040" s="3064"/>
      <c r="E14040" s="3064"/>
      <c r="F14040" s="3064"/>
      <c r="G14040" s="3301" t="s">
        <v>679</v>
      </c>
      <c r="H14040" s="3063"/>
      <c r="I14040" s="3030"/>
    </row>
    <row r="14041" spans="2:9" ht="25.5">
      <c r="B14041" s="3192" t="s">
        <v>720</v>
      </c>
      <c r="C14041" s="3063"/>
      <c r="D14041" s="3064"/>
      <c r="E14041" s="3064"/>
      <c r="F14041" s="3064"/>
      <c r="G14041" s="3301" t="s">
        <v>720</v>
      </c>
      <c r="H14041" s="3063"/>
      <c r="I14041" s="3030"/>
    </row>
    <row r="14042" spans="2:9" ht="25.5">
      <c r="B14042" s="3230" t="s">
        <v>81</v>
      </c>
      <c r="C14042" s="3063"/>
      <c r="D14042" s="3064"/>
      <c r="E14042" s="3064"/>
      <c r="F14042" s="3064"/>
      <c r="G14042" s="3302" t="s">
        <v>81</v>
      </c>
      <c r="H14042" s="3063"/>
      <c r="I14042" s="3030"/>
    </row>
    <row r="14043" spans="2:9" ht="26.25" thickBot="1">
      <c r="B14043" s="3303" t="s">
        <v>81</v>
      </c>
      <c r="C14043" s="3063"/>
      <c r="D14043" s="3064"/>
      <c r="E14043" s="3064"/>
      <c r="F14043" s="3064"/>
      <c r="G14043" s="3302" t="s">
        <v>81</v>
      </c>
      <c r="H14043" s="3063"/>
      <c r="I14043" s="3030"/>
    </row>
    <row r="14044" spans="2:9" ht="25.5">
      <c r="B14044" s="3217" t="s">
        <v>696</v>
      </c>
      <c r="C14044" s="3218"/>
      <c r="D14044" s="3219"/>
      <c r="E14044" s="3219"/>
      <c r="F14044" s="3219"/>
      <c r="G14044" s="3217" t="s">
        <v>696</v>
      </c>
      <c r="H14044" s="3297"/>
      <c r="I14044" s="3298"/>
    </row>
    <row r="14045" spans="2:9">
      <c r="B14045" s="3299" t="s">
        <v>64</v>
      </c>
      <c r="C14045" s="3063"/>
      <c r="D14045" s="3064"/>
      <c r="E14045" s="3064"/>
      <c r="F14045" s="3064"/>
      <c r="G14045" s="3300" t="s">
        <v>64</v>
      </c>
      <c r="H14045" s="3063"/>
      <c r="I14045" s="3030"/>
    </row>
    <row r="14046" spans="2:9" ht="25.5">
      <c r="B14046" s="3192" t="s">
        <v>675</v>
      </c>
      <c r="C14046" s="3063"/>
      <c r="D14046" s="3064"/>
      <c r="E14046" s="3064"/>
      <c r="F14046" s="3064"/>
      <c r="G14046" s="3301" t="s">
        <v>675</v>
      </c>
      <c r="H14046" s="3063"/>
      <c r="I14046" s="3030"/>
    </row>
    <row r="14047" spans="2:9" ht="25.5">
      <c r="B14047" s="3192" t="s">
        <v>676</v>
      </c>
      <c r="C14047" s="3063"/>
      <c r="D14047" s="3064"/>
      <c r="E14047" s="3064"/>
      <c r="F14047" s="3064"/>
      <c r="G14047" s="3301" t="s">
        <v>676</v>
      </c>
      <c r="H14047" s="3063"/>
      <c r="I14047" s="3030"/>
    </row>
    <row r="14048" spans="2:9">
      <c r="B14048" s="3192" t="s">
        <v>677</v>
      </c>
      <c r="C14048" s="3063"/>
      <c r="D14048" s="3064"/>
      <c r="E14048" s="3064"/>
      <c r="F14048" s="3064"/>
      <c r="G14048" s="3301" t="s">
        <v>677</v>
      </c>
      <c r="H14048" s="3063"/>
      <c r="I14048" s="3030"/>
    </row>
    <row r="14049" spans="2:9">
      <c r="B14049" s="3192" t="s">
        <v>678</v>
      </c>
      <c r="C14049" s="3063"/>
      <c r="D14049" s="3064"/>
      <c r="E14049" s="3064"/>
      <c r="F14049" s="3064"/>
      <c r="G14049" s="3301" t="s">
        <v>678</v>
      </c>
      <c r="H14049" s="3063"/>
      <c r="I14049" s="3030"/>
    </row>
    <row r="14050" spans="2:9">
      <c r="B14050" s="3192" t="s">
        <v>679</v>
      </c>
      <c r="C14050" s="3063"/>
      <c r="D14050" s="3064"/>
      <c r="E14050" s="3064"/>
      <c r="F14050" s="3064"/>
      <c r="G14050" s="3301" t="s">
        <v>679</v>
      </c>
      <c r="H14050" s="3063"/>
      <c r="I14050" s="3030"/>
    </row>
    <row r="14051" spans="2:9" ht="25.5">
      <c r="B14051" s="3192" t="s">
        <v>720</v>
      </c>
      <c r="C14051" s="3063"/>
      <c r="D14051" s="3064"/>
      <c r="E14051" s="3064"/>
      <c r="F14051" s="3064"/>
      <c r="G14051" s="3301" t="s">
        <v>720</v>
      </c>
      <c r="H14051" s="3063"/>
      <c r="I14051" s="3030"/>
    </row>
    <row r="14052" spans="2:9">
      <c r="B14052" s="3299" t="s">
        <v>65</v>
      </c>
      <c r="C14052" s="3063"/>
      <c r="D14052" s="3064"/>
      <c r="E14052" s="3064"/>
      <c r="F14052" s="3064"/>
      <c r="G14052" s="3300" t="s">
        <v>65</v>
      </c>
      <c r="H14052" s="3063"/>
      <c r="I14052" s="3030"/>
    </row>
    <row r="14053" spans="2:9" ht="25.5">
      <c r="B14053" s="3192" t="s">
        <v>675</v>
      </c>
      <c r="C14053" s="3063"/>
      <c r="D14053" s="3064"/>
      <c r="E14053" s="3064"/>
      <c r="F14053" s="3064"/>
      <c r="G14053" s="3301" t="s">
        <v>675</v>
      </c>
      <c r="H14053" s="3063"/>
      <c r="I14053" s="3030"/>
    </row>
    <row r="14054" spans="2:9" ht="25.5">
      <c r="B14054" s="3192" t="s">
        <v>676</v>
      </c>
      <c r="C14054" s="3063"/>
      <c r="D14054" s="3064"/>
      <c r="E14054" s="3064"/>
      <c r="F14054" s="3064"/>
      <c r="G14054" s="3301" t="s">
        <v>676</v>
      </c>
      <c r="H14054" s="3063"/>
      <c r="I14054" s="3030"/>
    </row>
    <row r="14055" spans="2:9">
      <c r="B14055" s="3192" t="s">
        <v>677</v>
      </c>
      <c r="C14055" s="3063"/>
      <c r="D14055" s="3064"/>
      <c r="E14055" s="3064"/>
      <c r="F14055" s="3064"/>
      <c r="G14055" s="3301" t="s">
        <v>677</v>
      </c>
      <c r="H14055" s="3063"/>
      <c r="I14055" s="3030"/>
    </row>
    <row r="14056" spans="2:9">
      <c r="B14056" s="3192" t="s">
        <v>678</v>
      </c>
      <c r="C14056" s="3063"/>
      <c r="D14056" s="3064"/>
      <c r="E14056" s="3064"/>
      <c r="F14056" s="3064"/>
      <c r="G14056" s="3301" t="s">
        <v>678</v>
      </c>
      <c r="H14056" s="3063"/>
      <c r="I14056" s="3030"/>
    </row>
    <row r="14057" spans="2:9">
      <c r="B14057" s="3192" t="s">
        <v>679</v>
      </c>
      <c r="C14057" s="3063"/>
      <c r="D14057" s="3064"/>
      <c r="E14057" s="3064"/>
      <c r="F14057" s="3064"/>
      <c r="G14057" s="3301" t="s">
        <v>679</v>
      </c>
      <c r="H14057" s="3063"/>
      <c r="I14057" s="3030"/>
    </row>
    <row r="14058" spans="2:9" ht="25.5">
      <c r="B14058" s="3192" t="s">
        <v>720</v>
      </c>
      <c r="C14058" s="3063"/>
      <c r="D14058" s="3064"/>
      <c r="E14058" s="3064"/>
      <c r="F14058" s="3064"/>
      <c r="G14058" s="3301" t="s">
        <v>720</v>
      </c>
      <c r="H14058" s="3063"/>
      <c r="I14058" s="3030"/>
    </row>
    <row r="14059" spans="2:9">
      <c r="B14059" s="3299" t="s">
        <v>82</v>
      </c>
      <c r="C14059" s="3063"/>
      <c r="D14059" s="3064"/>
      <c r="E14059" s="3064"/>
      <c r="F14059" s="3064"/>
      <c r="G14059" s="3300" t="s">
        <v>82</v>
      </c>
      <c r="H14059" s="3063"/>
      <c r="I14059" s="3030"/>
    </row>
    <row r="14060" spans="2:9" ht="25.5">
      <c r="B14060" s="3192" t="s">
        <v>675</v>
      </c>
      <c r="C14060" s="3063"/>
      <c r="D14060" s="3064"/>
      <c r="E14060" s="3064"/>
      <c r="F14060" s="3064"/>
      <c r="G14060" s="3301" t="s">
        <v>675</v>
      </c>
      <c r="H14060" s="3063"/>
      <c r="I14060" s="3030"/>
    </row>
    <row r="14061" spans="2:9" ht="25.5">
      <c r="B14061" s="3192" t="s">
        <v>676</v>
      </c>
      <c r="C14061" s="3063"/>
      <c r="D14061" s="3064"/>
      <c r="E14061" s="3064"/>
      <c r="F14061" s="3064"/>
      <c r="G14061" s="3301" t="s">
        <v>676</v>
      </c>
      <c r="H14061" s="3063"/>
      <c r="I14061" s="3030"/>
    </row>
    <row r="14062" spans="2:9">
      <c r="B14062" s="3192" t="s">
        <v>677</v>
      </c>
      <c r="C14062" s="3063"/>
      <c r="D14062" s="3064"/>
      <c r="E14062" s="3064"/>
      <c r="F14062" s="3064"/>
      <c r="G14062" s="3301" t="s">
        <v>677</v>
      </c>
      <c r="H14062" s="3063"/>
      <c r="I14062" s="3030"/>
    </row>
    <row r="14063" spans="2:9">
      <c r="B14063" s="3192" t="s">
        <v>678</v>
      </c>
      <c r="C14063" s="3063"/>
      <c r="D14063" s="3064"/>
      <c r="E14063" s="3064"/>
      <c r="F14063" s="3064"/>
      <c r="G14063" s="3301" t="s">
        <v>678</v>
      </c>
      <c r="H14063" s="3063"/>
      <c r="I14063" s="3030"/>
    </row>
    <row r="14064" spans="2:9">
      <c r="B14064" s="3192" t="s">
        <v>679</v>
      </c>
      <c r="C14064" s="3063"/>
      <c r="D14064" s="3064"/>
      <c r="E14064" s="3064"/>
      <c r="F14064" s="3064"/>
      <c r="G14064" s="3301" t="s">
        <v>679</v>
      </c>
      <c r="H14064" s="3063"/>
      <c r="I14064" s="3030"/>
    </row>
    <row r="14065" spans="2:9" ht="25.5">
      <c r="B14065" s="3192" t="s">
        <v>720</v>
      </c>
      <c r="C14065" s="3063"/>
      <c r="D14065" s="3064"/>
      <c r="E14065" s="3064"/>
      <c r="F14065" s="3064"/>
      <c r="G14065" s="3301" t="s">
        <v>720</v>
      </c>
      <c r="H14065" s="3063"/>
      <c r="I14065" s="3030"/>
    </row>
    <row r="14066" spans="2:9" ht="38.25">
      <c r="B14066" s="3299" t="s">
        <v>680</v>
      </c>
      <c r="C14066" s="3063"/>
      <c r="D14066" s="3064"/>
      <c r="E14066" s="3064"/>
      <c r="F14066" s="3064"/>
      <c r="G14066" s="3300" t="s">
        <v>680</v>
      </c>
      <c r="H14066" s="3063"/>
      <c r="I14066" s="3030"/>
    </row>
    <row r="14067" spans="2:9" ht="25.5">
      <c r="B14067" s="3192" t="s">
        <v>675</v>
      </c>
      <c r="C14067" s="3063"/>
      <c r="D14067" s="3064"/>
      <c r="E14067" s="3064"/>
      <c r="F14067" s="3064"/>
      <c r="G14067" s="3301" t="s">
        <v>675</v>
      </c>
      <c r="H14067" s="3063"/>
      <c r="I14067" s="3030"/>
    </row>
    <row r="14068" spans="2:9" ht="25.5">
      <c r="B14068" s="3192" t="s">
        <v>676</v>
      </c>
      <c r="C14068" s="3063"/>
      <c r="D14068" s="3064"/>
      <c r="E14068" s="3064"/>
      <c r="F14068" s="3064"/>
      <c r="G14068" s="3301" t="s">
        <v>676</v>
      </c>
      <c r="H14068" s="3063"/>
      <c r="I14068" s="3030"/>
    </row>
    <row r="14069" spans="2:9">
      <c r="B14069" s="3192" t="s">
        <v>677</v>
      </c>
      <c r="C14069" s="3063"/>
      <c r="D14069" s="3064"/>
      <c r="E14069" s="3064"/>
      <c r="F14069" s="3064"/>
      <c r="G14069" s="3301" t="s">
        <v>677</v>
      </c>
      <c r="H14069" s="3063"/>
      <c r="I14069" s="3030"/>
    </row>
    <row r="14070" spans="2:9">
      <c r="B14070" s="3192" t="s">
        <v>678</v>
      </c>
      <c r="C14070" s="3063"/>
      <c r="D14070" s="3064"/>
      <c r="E14070" s="3064"/>
      <c r="F14070" s="3064"/>
      <c r="G14070" s="3301" t="s">
        <v>678</v>
      </c>
      <c r="H14070" s="3063"/>
      <c r="I14070" s="3030"/>
    </row>
    <row r="14071" spans="2:9">
      <c r="B14071" s="3192" t="s">
        <v>679</v>
      </c>
      <c r="C14071" s="3063"/>
      <c r="D14071" s="3064"/>
      <c r="E14071" s="3064"/>
      <c r="F14071" s="3064"/>
      <c r="G14071" s="3301" t="s">
        <v>679</v>
      </c>
      <c r="H14071" s="3063"/>
      <c r="I14071" s="3030"/>
    </row>
    <row r="14072" spans="2:9" ht="25.5">
      <c r="B14072" s="3192" t="s">
        <v>720</v>
      </c>
      <c r="C14072" s="3063"/>
      <c r="D14072" s="3064"/>
      <c r="E14072" s="3064"/>
      <c r="F14072" s="3064"/>
      <c r="G14072" s="3301" t="s">
        <v>720</v>
      </c>
      <c r="H14072" s="3063"/>
      <c r="I14072" s="3030"/>
    </row>
    <row r="14073" spans="2:9" ht="38.25">
      <c r="B14073" s="3299" t="s">
        <v>681</v>
      </c>
      <c r="C14073" s="3063"/>
      <c r="D14073" s="3064"/>
      <c r="E14073" s="3064"/>
      <c r="F14073" s="3064"/>
      <c r="G14073" s="3300" t="s">
        <v>681</v>
      </c>
      <c r="H14073" s="3063"/>
      <c r="I14073" s="3030"/>
    </row>
    <row r="14074" spans="2:9" ht="25.5">
      <c r="B14074" s="3192" t="s">
        <v>675</v>
      </c>
      <c r="C14074" s="3063"/>
      <c r="D14074" s="3064"/>
      <c r="E14074" s="3064"/>
      <c r="F14074" s="3064"/>
      <c r="G14074" s="3301" t="s">
        <v>675</v>
      </c>
      <c r="H14074" s="3063"/>
      <c r="I14074" s="3030"/>
    </row>
    <row r="14075" spans="2:9" ht="25.5">
      <c r="B14075" s="3192" t="s">
        <v>676</v>
      </c>
      <c r="C14075" s="3063"/>
      <c r="D14075" s="3064"/>
      <c r="E14075" s="3064"/>
      <c r="F14075" s="3064"/>
      <c r="G14075" s="3301" t="s">
        <v>676</v>
      </c>
      <c r="H14075" s="3063"/>
      <c r="I14075" s="3030"/>
    </row>
    <row r="14076" spans="2:9">
      <c r="B14076" s="3192" t="s">
        <v>677</v>
      </c>
      <c r="C14076" s="3063"/>
      <c r="D14076" s="3064"/>
      <c r="E14076" s="3064"/>
      <c r="F14076" s="3064"/>
      <c r="G14076" s="3301" t="s">
        <v>677</v>
      </c>
      <c r="H14076" s="3063"/>
      <c r="I14076" s="3030"/>
    </row>
    <row r="14077" spans="2:9">
      <c r="B14077" s="3192" t="s">
        <v>678</v>
      </c>
      <c r="C14077" s="3063"/>
      <c r="D14077" s="3064"/>
      <c r="E14077" s="3064"/>
      <c r="F14077" s="3064"/>
      <c r="G14077" s="3301" t="s">
        <v>678</v>
      </c>
      <c r="H14077" s="3063"/>
      <c r="I14077" s="3030"/>
    </row>
    <row r="14078" spans="2:9">
      <c r="B14078" s="3192" t="s">
        <v>679</v>
      </c>
      <c r="C14078" s="3063"/>
      <c r="D14078" s="3064"/>
      <c r="E14078" s="3064"/>
      <c r="F14078" s="3064"/>
      <c r="G14078" s="3301" t="s">
        <v>679</v>
      </c>
      <c r="H14078" s="3063"/>
      <c r="I14078" s="3030"/>
    </row>
    <row r="14079" spans="2:9" ht="25.5">
      <c r="B14079" s="3192" t="s">
        <v>720</v>
      </c>
      <c r="C14079" s="3063"/>
      <c r="D14079" s="3064"/>
      <c r="E14079" s="3064"/>
      <c r="F14079" s="3064"/>
      <c r="G14079" s="3301" t="s">
        <v>720</v>
      </c>
      <c r="H14079" s="3063"/>
      <c r="I14079" s="3030"/>
    </row>
    <row r="14080" spans="2:9" ht="25.5">
      <c r="B14080" s="3299" t="s">
        <v>682</v>
      </c>
      <c r="C14080" s="3063"/>
      <c r="D14080" s="3064"/>
      <c r="E14080" s="3064"/>
      <c r="F14080" s="3064"/>
      <c r="G14080" s="3300" t="s">
        <v>682</v>
      </c>
      <c r="H14080" s="3063"/>
      <c r="I14080" s="3030"/>
    </row>
    <row r="14081" spans="2:9" ht="25.5">
      <c r="B14081" s="3192" t="s">
        <v>675</v>
      </c>
      <c r="C14081" s="3063"/>
      <c r="D14081" s="3064"/>
      <c r="E14081" s="3064"/>
      <c r="F14081" s="3064"/>
      <c r="G14081" s="3301" t="s">
        <v>675</v>
      </c>
      <c r="H14081" s="3063"/>
      <c r="I14081" s="3030"/>
    </row>
    <row r="14082" spans="2:9" ht="25.5">
      <c r="B14082" s="3192" t="s">
        <v>676</v>
      </c>
      <c r="C14082" s="3063"/>
      <c r="D14082" s="3064"/>
      <c r="E14082" s="3064"/>
      <c r="F14082" s="3064"/>
      <c r="G14082" s="3301" t="s">
        <v>676</v>
      </c>
      <c r="H14082" s="3063"/>
      <c r="I14082" s="3030"/>
    </row>
    <row r="14083" spans="2:9">
      <c r="B14083" s="3192" t="s">
        <v>677</v>
      </c>
      <c r="C14083" s="3063"/>
      <c r="D14083" s="3064"/>
      <c r="E14083" s="3064"/>
      <c r="F14083" s="3064"/>
      <c r="G14083" s="3301" t="s">
        <v>677</v>
      </c>
      <c r="H14083" s="3063"/>
      <c r="I14083" s="3030"/>
    </row>
    <row r="14084" spans="2:9">
      <c r="B14084" s="3192" t="s">
        <v>678</v>
      </c>
      <c r="C14084" s="3063"/>
      <c r="D14084" s="3064"/>
      <c r="E14084" s="3064"/>
      <c r="F14084" s="3064"/>
      <c r="G14084" s="3301" t="s">
        <v>678</v>
      </c>
      <c r="H14084" s="3063"/>
      <c r="I14084" s="3030"/>
    </row>
    <row r="14085" spans="2:9">
      <c r="B14085" s="3192" t="s">
        <v>679</v>
      </c>
      <c r="C14085" s="3063"/>
      <c r="D14085" s="3064"/>
      <c r="E14085" s="3064"/>
      <c r="F14085" s="3064"/>
      <c r="G14085" s="3301" t="s">
        <v>679</v>
      </c>
      <c r="H14085" s="3063"/>
      <c r="I14085" s="3030"/>
    </row>
    <row r="14086" spans="2:9" ht="25.5">
      <c r="B14086" s="3192" t="s">
        <v>720</v>
      </c>
      <c r="C14086" s="3063"/>
      <c r="D14086" s="3064"/>
      <c r="E14086" s="3064"/>
      <c r="F14086" s="3064"/>
      <c r="G14086" s="3301" t="s">
        <v>720</v>
      </c>
      <c r="H14086" s="3063"/>
      <c r="I14086" s="3030"/>
    </row>
    <row r="14087" spans="2:9" ht="25.5">
      <c r="B14087" s="3299" t="s">
        <v>66</v>
      </c>
      <c r="C14087" s="3063"/>
      <c r="D14087" s="3064"/>
      <c r="E14087" s="3064"/>
      <c r="F14087" s="3064"/>
      <c r="G14087" s="3300" t="s">
        <v>66</v>
      </c>
      <c r="H14087" s="3063"/>
      <c r="I14087" s="3030"/>
    </row>
    <row r="14088" spans="2:9" ht="25.5">
      <c r="B14088" s="3192" t="s">
        <v>675</v>
      </c>
      <c r="C14088" s="3063"/>
      <c r="D14088" s="3064"/>
      <c r="E14088" s="3064"/>
      <c r="F14088" s="3064"/>
      <c r="G14088" s="3301" t="s">
        <v>675</v>
      </c>
      <c r="H14088" s="3063"/>
      <c r="I14088" s="3030"/>
    </row>
    <row r="14089" spans="2:9" ht="25.5">
      <c r="B14089" s="3192" t="s">
        <v>676</v>
      </c>
      <c r="C14089" s="3063"/>
      <c r="D14089" s="3064"/>
      <c r="E14089" s="3064"/>
      <c r="F14089" s="3064"/>
      <c r="G14089" s="3301" t="s">
        <v>676</v>
      </c>
      <c r="H14089" s="3063"/>
      <c r="I14089" s="3030"/>
    </row>
    <row r="14090" spans="2:9">
      <c r="B14090" s="3192" t="s">
        <v>677</v>
      </c>
      <c r="C14090" s="3063"/>
      <c r="D14090" s="3064"/>
      <c r="E14090" s="3064"/>
      <c r="F14090" s="3064"/>
      <c r="G14090" s="3301" t="s">
        <v>677</v>
      </c>
      <c r="H14090" s="3063"/>
      <c r="I14090" s="3030"/>
    </row>
    <row r="14091" spans="2:9">
      <c r="B14091" s="3192" t="s">
        <v>678</v>
      </c>
      <c r="C14091" s="3063"/>
      <c r="D14091" s="3064"/>
      <c r="E14091" s="3064"/>
      <c r="F14091" s="3064"/>
      <c r="G14091" s="3301" t="s">
        <v>678</v>
      </c>
      <c r="H14091" s="3063"/>
      <c r="I14091" s="3030"/>
    </row>
    <row r="14092" spans="2:9">
      <c r="B14092" s="3192" t="s">
        <v>679</v>
      </c>
      <c r="C14092" s="3063"/>
      <c r="D14092" s="3064"/>
      <c r="E14092" s="3064"/>
      <c r="F14092" s="3064"/>
      <c r="G14092" s="3301" t="s">
        <v>679</v>
      </c>
      <c r="H14092" s="3063"/>
      <c r="I14092" s="3030"/>
    </row>
    <row r="14093" spans="2:9" ht="25.5">
      <c r="B14093" s="3192" t="s">
        <v>720</v>
      </c>
      <c r="C14093" s="3063"/>
      <c r="D14093" s="3064"/>
      <c r="E14093" s="3064"/>
      <c r="F14093" s="3064"/>
      <c r="G14093" s="3301" t="s">
        <v>720</v>
      </c>
      <c r="H14093" s="3063"/>
      <c r="I14093" s="3030"/>
    </row>
    <row r="14094" spans="2:9">
      <c r="B14094" s="3299" t="s">
        <v>67</v>
      </c>
      <c r="C14094" s="3063"/>
      <c r="D14094" s="3064"/>
      <c r="E14094" s="3064"/>
      <c r="F14094" s="3064"/>
      <c r="G14094" s="3300" t="s">
        <v>67</v>
      </c>
      <c r="H14094" s="3063"/>
      <c r="I14094" s="3030"/>
    </row>
    <row r="14095" spans="2:9" ht="25.5">
      <c r="B14095" s="3192" t="s">
        <v>675</v>
      </c>
      <c r="C14095" s="3063"/>
      <c r="D14095" s="3064"/>
      <c r="E14095" s="3064"/>
      <c r="F14095" s="3064"/>
      <c r="G14095" s="3301" t="s">
        <v>675</v>
      </c>
      <c r="H14095" s="3063"/>
      <c r="I14095" s="3030"/>
    </row>
    <row r="14096" spans="2:9" ht="25.5">
      <c r="B14096" s="3192" t="s">
        <v>676</v>
      </c>
      <c r="C14096" s="3063"/>
      <c r="D14096" s="3064"/>
      <c r="E14096" s="3064"/>
      <c r="F14096" s="3064"/>
      <c r="G14096" s="3301" t="s">
        <v>676</v>
      </c>
      <c r="H14096" s="3063"/>
      <c r="I14096" s="3030"/>
    </row>
    <row r="14097" spans="2:9">
      <c r="B14097" s="3192" t="s">
        <v>677</v>
      </c>
      <c r="C14097" s="3063"/>
      <c r="D14097" s="3064"/>
      <c r="E14097" s="3064"/>
      <c r="F14097" s="3064"/>
      <c r="G14097" s="3301" t="s">
        <v>677</v>
      </c>
      <c r="H14097" s="3063"/>
      <c r="I14097" s="3030"/>
    </row>
    <row r="14098" spans="2:9">
      <c r="B14098" s="3192" t="s">
        <v>678</v>
      </c>
      <c r="C14098" s="3063"/>
      <c r="D14098" s="3064"/>
      <c r="E14098" s="3064"/>
      <c r="F14098" s="3064"/>
      <c r="G14098" s="3301" t="s">
        <v>678</v>
      </c>
      <c r="H14098" s="3063"/>
      <c r="I14098" s="3030"/>
    </row>
    <row r="14099" spans="2:9">
      <c r="B14099" s="3192" t="s">
        <v>679</v>
      </c>
      <c r="C14099" s="3063"/>
      <c r="D14099" s="3064"/>
      <c r="E14099" s="3064"/>
      <c r="F14099" s="3064"/>
      <c r="G14099" s="3301" t="s">
        <v>679</v>
      </c>
      <c r="H14099" s="3063"/>
      <c r="I14099" s="3030"/>
    </row>
    <row r="14100" spans="2:9" ht="25.5">
      <c r="B14100" s="3230" t="s">
        <v>81</v>
      </c>
      <c r="C14100" s="3063"/>
      <c r="D14100" s="3064"/>
      <c r="E14100" s="3064"/>
      <c r="F14100" s="3064"/>
      <c r="G14100" s="3302" t="s">
        <v>81</v>
      </c>
      <c r="H14100" s="3063"/>
      <c r="I14100" s="3030"/>
    </row>
    <row r="14101" spans="2:9" ht="26.25" thickBot="1">
      <c r="B14101" s="3303" t="s">
        <v>81</v>
      </c>
      <c r="C14101" s="3063"/>
      <c r="D14101" s="3064"/>
      <c r="E14101" s="3064"/>
      <c r="F14101" s="3064"/>
      <c r="G14101" s="3302" t="s">
        <v>81</v>
      </c>
      <c r="H14101" s="3063"/>
      <c r="I14101" s="3030"/>
    </row>
    <row r="14102" spans="2:9">
      <c r="B14102" s="3217" t="s">
        <v>697</v>
      </c>
      <c r="C14102" s="3218"/>
      <c r="D14102" s="3219"/>
      <c r="E14102" s="3219"/>
      <c r="F14102" s="3219"/>
      <c r="G14102" s="3217" t="s">
        <v>697</v>
      </c>
      <c r="H14102" s="3297"/>
      <c r="I14102" s="3298"/>
    </row>
    <row r="14103" spans="2:9">
      <c r="B14103" s="3299" t="s">
        <v>64</v>
      </c>
      <c r="C14103" s="3063"/>
      <c r="D14103" s="3064"/>
      <c r="E14103" s="3064"/>
      <c r="F14103" s="3064"/>
      <c r="G14103" s="3300" t="s">
        <v>64</v>
      </c>
      <c r="H14103" s="3063"/>
      <c r="I14103" s="3030"/>
    </row>
    <row r="14104" spans="2:9" ht="25.5">
      <c r="B14104" s="3192" t="s">
        <v>675</v>
      </c>
      <c r="C14104" s="3063"/>
      <c r="D14104" s="3064"/>
      <c r="E14104" s="3064"/>
      <c r="F14104" s="3064"/>
      <c r="G14104" s="3301" t="s">
        <v>675</v>
      </c>
      <c r="H14104" s="3063"/>
      <c r="I14104" s="3030"/>
    </row>
    <row r="14105" spans="2:9" ht="25.5">
      <c r="B14105" s="3192" t="s">
        <v>676</v>
      </c>
      <c r="C14105" s="3063"/>
      <c r="D14105" s="3064"/>
      <c r="E14105" s="3064"/>
      <c r="F14105" s="3064"/>
      <c r="G14105" s="3301" t="s">
        <v>676</v>
      </c>
      <c r="H14105" s="3063"/>
      <c r="I14105" s="3030"/>
    </row>
    <row r="14106" spans="2:9">
      <c r="B14106" s="3192" t="s">
        <v>677</v>
      </c>
      <c r="C14106" s="3063"/>
      <c r="D14106" s="3064"/>
      <c r="E14106" s="3064"/>
      <c r="F14106" s="3064"/>
      <c r="G14106" s="3301" t="s">
        <v>677</v>
      </c>
      <c r="H14106" s="3063"/>
      <c r="I14106" s="3030"/>
    </row>
    <row r="14107" spans="2:9">
      <c r="B14107" s="3192" t="s">
        <v>678</v>
      </c>
      <c r="C14107" s="3063"/>
      <c r="D14107" s="3064"/>
      <c r="E14107" s="3064"/>
      <c r="F14107" s="3064"/>
      <c r="G14107" s="3301" t="s">
        <v>678</v>
      </c>
      <c r="H14107" s="3063"/>
      <c r="I14107" s="3030"/>
    </row>
    <row r="14108" spans="2:9">
      <c r="B14108" s="3192" t="s">
        <v>679</v>
      </c>
      <c r="C14108" s="3063"/>
      <c r="D14108" s="3064"/>
      <c r="E14108" s="3064"/>
      <c r="F14108" s="3064"/>
      <c r="G14108" s="3301" t="s">
        <v>679</v>
      </c>
      <c r="H14108" s="3063"/>
      <c r="I14108" s="3030"/>
    </row>
    <row r="14109" spans="2:9" ht="25.5">
      <c r="B14109" s="3192" t="s">
        <v>720</v>
      </c>
      <c r="C14109" s="3063"/>
      <c r="D14109" s="3064"/>
      <c r="E14109" s="3064"/>
      <c r="F14109" s="3064"/>
      <c r="G14109" s="3301" t="s">
        <v>720</v>
      </c>
      <c r="H14109" s="3063"/>
      <c r="I14109" s="3030"/>
    </row>
    <row r="14110" spans="2:9">
      <c r="B14110" s="3299" t="s">
        <v>65</v>
      </c>
      <c r="C14110" s="3063"/>
      <c r="D14110" s="3064"/>
      <c r="E14110" s="3064"/>
      <c r="F14110" s="3064"/>
      <c r="G14110" s="3300" t="s">
        <v>65</v>
      </c>
      <c r="H14110" s="3063"/>
      <c r="I14110" s="3030"/>
    </row>
    <row r="14111" spans="2:9" ht="25.5">
      <c r="B14111" s="3192" t="s">
        <v>675</v>
      </c>
      <c r="C14111" s="3063"/>
      <c r="D14111" s="3064"/>
      <c r="E14111" s="3064"/>
      <c r="F14111" s="3064"/>
      <c r="G14111" s="3301" t="s">
        <v>675</v>
      </c>
      <c r="H14111" s="3063"/>
      <c r="I14111" s="3030"/>
    </row>
    <row r="14112" spans="2:9" ht="25.5">
      <c r="B14112" s="3192" t="s">
        <v>676</v>
      </c>
      <c r="C14112" s="3063"/>
      <c r="D14112" s="3064"/>
      <c r="E14112" s="3064"/>
      <c r="F14112" s="3064"/>
      <c r="G14112" s="3301" t="s">
        <v>676</v>
      </c>
      <c r="H14112" s="3063"/>
      <c r="I14112" s="3030"/>
    </row>
    <row r="14113" spans="2:9">
      <c r="B14113" s="3192" t="s">
        <v>677</v>
      </c>
      <c r="C14113" s="3063"/>
      <c r="D14113" s="3064"/>
      <c r="E14113" s="3064"/>
      <c r="F14113" s="3064"/>
      <c r="G14113" s="3301" t="s">
        <v>677</v>
      </c>
      <c r="H14113" s="3063"/>
      <c r="I14113" s="3030"/>
    </row>
    <row r="14114" spans="2:9">
      <c r="B14114" s="3192" t="s">
        <v>678</v>
      </c>
      <c r="C14114" s="3063"/>
      <c r="D14114" s="3064"/>
      <c r="E14114" s="3064"/>
      <c r="F14114" s="3064"/>
      <c r="G14114" s="3301" t="s">
        <v>678</v>
      </c>
      <c r="H14114" s="3063"/>
      <c r="I14114" s="3030"/>
    </row>
    <row r="14115" spans="2:9">
      <c r="B14115" s="3192" t="s">
        <v>679</v>
      </c>
      <c r="C14115" s="3063"/>
      <c r="D14115" s="3064"/>
      <c r="E14115" s="3064"/>
      <c r="F14115" s="3064"/>
      <c r="G14115" s="3301" t="s">
        <v>679</v>
      </c>
      <c r="H14115" s="3063"/>
      <c r="I14115" s="3030"/>
    </row>
    <row r="14116" spans="2:9" ht="25.5">
      <c r="B14116" s="3192" t="s">
        <v>720</v>
      </c>
      <c r="C14116" s="3063"/>
      <c r="D14116" s="3064"/>
      <c r="E14116" s="3064"/>
      <c r="F14116" s="3064"/>
      <c r="G14116" s="3301" t="s">
        <v>720</v>
      </c>
      <c r="H14116" s="3063"/>
      <c r="I14116" s="3030"/>
    </row>
    <row r="14117" spans="2:9">
      <c r="B14117" s="3299" t="s">
        <v>82</v>
      </c>
      <c r="C14117" s="3063"/>
      <c r="D14117" s="3064"/>
      <c r="E14117" s="3064"/>
      <c r="F14117" s="3064"/>
      <c r="G14117" s="3300" t="s">
        <v>82</v>
      </c>
      <c r="H14117" s="3063"/>
      <c r="I14117" s="3030"/>
    </row>
    <row r="14118" spans="2:9" ht="25.5">
      <c r="B14118" s="3192" t="s">
        <v>675</v>
      </c>
      <c r="C14118" s="3063"/>
      <c r="D14118" s="3064"/>
      <c r="E14118" s="3064"/>
      <c r="F14118" s="3064"/>
      <c r="G14118" s="3301" t="s">
        <v>675</v>
      </c>
      <c r="H14118" s="3063"/>
      <c r="I14118" s="3030"/>
    </row>
    <row r="14119" spans="2:9" ht="25.5">
      <c r="B14119" s="3192" t="s">
        <v>676</v>
      </c>
      <c r="C14119" s="3063"/>
      <c r="D14119" s="3064"/>
      <c r="E14119" s="3064"/>
      <c r="F14119" s="3064"/>
      <c r="G14119" s="3301" t="s">
        <v>676</v>
      </c>
      <c r="H14119" s="3063"/>
      <c r="I14119" s="3030"/>
    </row>
    <row r="14120" spans="2:9">
      <c r="B14120" s="3192" t="s">
        <v>677</v>
      </c>
      <c r="C14120" s="3063"/>
      <c r="D14120" s="3064"/>
      <c r="E14120" s="3064"/>
      <c r="F14120" s="3064"/>
      <c r="G14120" s="3301" t="s">
        <v>677</v>
      </c>
      <c r="H14120" s="3063"/>
      <c r="I14120" s="3030"/>
    </row>
    <row r="14121" spans="2:9">
      <c r="B14121" s="3192" t="s">
        <v>678</v>
      </c>
      <c r="C14121" s="3063"/>
      <c r="D14121" s="3064"/>
      <c r="E14121" s="3064"/>
      <c r="F14121" s="3064"/>
      <c r="G14121" s="3301" t="s">
        <v>678</v>
      </c>
      <c r="H14121" s="3063"/>
      <c r="I14121" s="3030"/>
    </row>
    <row r="14122" spans="2:9">
      <c r="B14122" s="3192" t="s">
        <v>679</v>
      </c>
      <c r="C14122" s="3063"/>
      <c r="D14122" s="3064"/>
      <c r="E14122" s="3064"/>
      <c r="F14122" s="3064"/>
      <c r="G14122" s="3301" t="s">
        <v>679</v>
      </c>
      <c r="H14122" s="3063"/>
      <c r="I14122" s="3030"/>
    </row>
    <row r="14123" spans="2:9" ht="25.5">
      <c r="B14123" s="3192" t="s">
        <v>720</v>
      </c>
      <c r="C14123" s="3063"/>
      <c r="D14123" s="3064"/>
      <c r="E14123" s="3064"/>
      <c r="F14123" s="3064"/>
      <c r="G14123" s="3301" t="s">
        <v>720</v>
      </c>
      <c r="H14123" s="3063"/>
      <c r="I14123" s="3030"/>
    </row>
    <row r="14124" spans="2:9" ht="38.25">
      <c r="B14124" s="3299" t="s">
        <v>680</v>
      </c>
      <c r="C14124" s="3063"/>
      <c r="D14124" s="3064"/>
      <c r="E14124" s="3064"/>
      <c r="F14124" s="3064"/>
      <c r="G14124" s="3300" t="s">
        <v>680</v>
      </c>
      <c r="H14124" s="3063"/>
      <c r="I14124" s="3030"/>
    </row>
    <row r="14125" spans="2:9" ht="25.5">
      <c r="B14125" s="3192" t="s">
        <v>675</v>
      </c>
      <c r="C14125" s="3063"/>
      <c r="D14125" s="3064"/>
      <c r="E14125" s="3064"/>
      <c r="F14125" s="3064"/>
      <c r="G14125" s="3301" t="s">
        <v>675</v>
      </c>
      <c r="H14125" s="3063"/>
      <c r="I14125" s="3030"/>
    </row>
    <row r="14126" spans="2:9" ht="25.5">
      <c r="B14126" s="3192" t="s">
        <v>676</v>
      </c>
      <c r="C14126" s="3063"/>
      <c r="D14126" s="3064"/>
      <c r="E14126" s="3064"/>
      <c r="F14126" s="3064"/>
      <c r="G14126" s="3301" t="s">
        <v>676</v>
      </c>
      <c r="H14126" s="3063"/>
      <c r="I14126" s="3030"/>
    </row>
    <row r="14127" spans="2:9">
      <c r="B14127" s="3192" t="s">
        <v>677</v>
      </c>
      <c r="C14127" s="3063"/>
      <c r="D14127" s="3064"/>
      <c r="E14127" s="3064"/>
      <c r="F14127" s="3064"/>
      <c r="G14127" s="3301" t="s">
        <v>677</v>
      </c>
      <c r="H14127" s="3063"/>
      <c r="I14127" s="3030"/>
    </row>
    <row r="14128" spans="2:9">
      <c r="B14128" s="3192" t="s">
        <v>678</v>
      </c>
      <c r="C14128" s="3063"/>
      <c r="D14128" s="3064"/>
      <c r="E14128" s="3064"/>
      <c r="F14128" s="3064"/>
      <c r="G14128" s="3301" t="s">
        <v>678</v>
      </c>
      <c r="H14128" s="3063"/>
      <c r="I14128" s="3030"/>
    </row>
    <row r="14129" spans="2:9">
      <c r="B14129" s="3192" t="s">
        <v>679</v>
      </c>
      <c r="C14129" s="3063"/>
      <c r="D14129" s="3064"/>
      <c r="E14129" s="3064"/>
      <c r="F14129" s="3064"/>
      <c r="G14129" s="3301" t="s">
        <v>679</v>
      </c>
      <c r="H14129" s="3063"/>
      <c r="I14129" s="3030"/>
    </row>
    <row r="14130" spans="2:9" ht="25.5">
      <c r="B14130" s="3192" t="s">
        <v>720</v>
      </c>
      <c r="C14130" s="3063"/>
      <c r="D14130" s="3064"/>
      <c r="E14130" s="3064"/>
      <c r="F14130" s="3064"/>
      <c r="G14130" s="3301" t="s">
        <v>720</v>
      </c>
      <c r="H14130" s="3063"/>
      <c r="I14130" s="3030"/>
    </row>
    <row r="14131" spans="2:9" ht="38.25">
      <c r="B14131" s="3299" t="s">
        <v>681</v>
      </c>
      <c r="C14131" s="3063"/>
      <c r="D14131" s="3064"/>
      <c r="E14131" s="3064"/>
      <c r="F14131" s="3064"/>
      <c r="G14131" s="3300" t="s">
        <v>681</v>
      </c>
      <c r="H14131" s="3063">
        <v>2.9030385136442811E-2</v>
      </c>
      <c r="I14131" s="3030"/>
    </row>
    <row r="14132" spans="2:9" ht="25.5">
      <c r="B14132" s="3192" t="s">
        <v>675</v>
      </c>
      <c r="C14132" s="3063"/>
      <c r="D14132" s="3064"/>
      <c r="E14132" s="3064"/>
      <c r="F14132" s="3064"/>
      <c r="G14132" s="3301" t="s">
        <v>675</v>
      </c>
      <c r="H14132" s="3063"/>
      <c r="I14132" s="3030"/>
    </row>
    <row r="14133" spans="2:9" ht="25.5">
      <c r="B14133" s="3192" t="s">
        <v>676</v>
      </c>
      <c r="C14133" s="3063"/>
      <c r="D14133" s="3064"/>
      <c r="E14133" s="3064"/>
      <c r="F14133" s="3064"/>
      <c r="G14133" s="3301" t="s">
        <v>676</v>
      </c>
      <c r="H14133" s="3063"/>
      <c r="I14133" s="3030"/>
    </row>
    <row r="14134" spans="2:9">
      <c r="B14134" s="3192" t="s">
        <v>677</v>
      </c>
      <c r="C14134" s="3063"/>
      <c r="D14134" s="3064"/>
      <c r="E14134" s="3064"/>
      <c r="F14134" s="3064"/>
      <c r="G14134" s="3301" t="s">
        <v>677</v>
      </c>
      <c r="H14134" s="3063"/>
      <c r="I14134" s="3030"/>
    </row>
    <row r="14135" spans="2:9">
      <c r="B14135" s="3192" t="s">
        <v>678</v>
      </c>
      <c r="C14135" s="3063"/>
      <c r="D14135" s="3064"/>
      <c r="E14135" s="3064"/>
      <c r="F14135" s="3064"/>
      <c r="G14135" s="3301" t="s">
        <v>678</v>
      </c>
      <c r="H14135" s="3063"/>
      <c r="I14135" s="3030"/>
    </row>
    <row r="14136" spans="2:9">
      <c r="B14136" s="3192" t="s">
        <v>679</v>
      </c>
      <c r="C14136" s="3063"/>
      <c r="D14136" s="3064">
        <v>1</v>
      </c>
      <c r="E14136" s="3064"/>
      <c r="F14136" s="3064"/>
      <c r="G14136" s="3301" t="s">
        <v>679</v>
      </c>
      <c r="H14136" s="3063"/>
      <c r="I14136" s="3030"/>
    </row>
    <row r="14137" spans="2:9" ht="25.5">
      <c r="B14137" s="3192" t="s">
        <v>720</v>
      </c>
      <c r="C14137" s="3063"/>
      <c r="D14137" s="3064"/>
      <c r="E14137" s="3064"/>
      <c r="F14137" s="3064"/>
      <c r="G14137" s="3301" t="s">
        <v>720</v>
      </c>
      <c r="H14137" s="3063"/>
      <c r="I14137" s="3030"/>
    </row>
    <row r="14138" spans="2:9" ht="25.5">
      <c r="B14138" s="3299" t="s">
        <v>682</v>
      </c>
      <c r="C14138" s="3063"/>
      <c r="D14138" s="3064"/>
      <c r="E14138" s="3064"/>
      <c r="F14138" s="3064"/>
      <c r="G14138" s="3300" t="s">
        <v>682</v>
      </c>
      <c r="H14138" s="3063"/>
      <c r="I14138" s="3030"/>
    </row>
    <row r="14139" spans="2:9" ht="25.5">
      <c r="B14139" s="3192" t="s">
        <v>675</v>
      </c>
      <c r="C14139" s="3063"/>
      <c r="D14139" s="3064"/>
      <c r="E14139" s="3064"/>
      <c r="F14139" s="3064"/>
      <c r="G14139" s="3301" t="s">
        <v>675</v>
      </c>
      <c r="H14139" s="3063"/>
      <c r="I14139" s="3030"/>
    </row>
    <row r="14140" spans="2:9" ht="25.5">
      <c r="B14140" s="3192" t="s">
        <v>676</v>
      </c>
      <c r="C14140" s="3063"/>
      <c r="D14140" s="3064"/>
      <c r="E14140" s="3064"/>
      <c r="F14140" s="3064"/>
      <c r="G14140" s="3301" t="s">
        <v>676</v>
      </c>
      <c r="H14140" s="3063"/>
      <c r="I14140" s="3030"/>
    </row>
    <row r="14141" spans="2:9">
      <c r="B14141" s="3192" t="s">
        <v>677</v>
      </c>
      <c r="C14141" s="3063"/>
      <c r="D14141" s="3064"/>
      <c r="E14141" s="3064"/>
      <c r="F14141" s="3064"/>
      <c r="G14141" s="3301" t="s">
        <v>677</v>
      </c>
      <c r="H14141" s="3063"/>
      <c r="I14141" s="3030"/>
    </row>
    <row r="14142" spans="2:9">
      <c r="B14142" s="3192" t="s">
        <v>678</v>
      </c>
      <c r="C14142" s="3063"/>
      <c r="D14142" s="3064"/>
      <c r="E14142" s="3064"/>
      <c r="F14142" s="3064"/>
      <c r="G14142" s="3301" t="s">
        <v>678</v>
      </c>
      <c r="H14142" s="3063"/>
      <c r="I14142" s="3030"/>
    </row>
    <row r="14143" spans="2:9">
      <c r="B14143" s="3192" t="s">
        <v>679</v>
      </c>
      <c r="C14143" s="3063"/>
      <c r="D14143" s="3064"/>
      <c r="E14143" s="3064"/>
      <c r="F14143" s="3064"/>
      <c r="G14143" s="3301" t="s">
        <v>679</v>
      </c>
      <c r="H14143" s="3063"/>
      <c r="I14143" s="3030"/>
    </row>
    <row r="14144" spans="2:9" ht="25.5">
      <c r="B14144" s="3192" t="s">
        <v>720</v>
      </c>
      <c r="C14144" s="3063"/>
      <c r="D14144" s="3064"/>
      <c r="E14144" s="3064"/>
      <c r="F14144" s="3064"/>
      <c r="G14144" s="3301" t="s">
        <v>720</v>
      </c>
      <c r="H14144" s="3063"/>
      <c r="I14144" s="3030"/>
    </row>
    <row r="14145" spans="2:9" ht="25.5">
      <c r="B14145" s="3299" t="s">
        <v>66</v>
      </c>
      <c r="C14145" s="3063"/>
      <c r="D14145" s="3064"/>
      <c r="E14145" s="3064"/>
      <c r="F14145" s="3064"/>
      <c r="G14145" s="3300" t="s">
        <v>66</v>
      </c>
      <c r="H14145" s="3063"/>
      <c r="I14145" s="3030"/>
    </row>
    <row r="14146" spans="2:9" ht="25.5">
      <c r="B14146" s="3192" t="s">
        <v>675</v>
      </c>
      <c r="C14146" s="3063"/>
      <c r="D14146" s="3064"/>
      <c r="E14146" s="3064"/>
      <c r="F14146" s="3064"/>
      <c r="G14146" s="3301" t="s">
        <v>675</v>
      </c>
      <c r="H14146" s="3063"/>
      <c r="I14146" s="3030"/>
    </row>
    <row r="14147" spans="2:9" ht="25.5">
      <c r="B14147" s="3192" t="s">
        <v>676</v>
      </c>
      <c r="C14147" s="3063"/>
      <c r="D14147" s="3064"/>
      <c r="E14147" s="3064"/>
      <c r="F14147" s="3064"/>
      <c r="G14147" s="3301" t="s">
        <v>676</v>
      </c>
      <c r="H14147" s="3063"/>
      <c r="I14147" s="3030"/>
    </row>
    <row r="14148" spans="2:9">
      <c r="B14148" s="3192" t="s">
        <v>677</v>
      </c>
      <c r="C14148" s="3063"/>
      <c r="D14148" s="3064"/>
      <c r="E14148" s="3064"/>
      <c r="F14148" s="3064"/>
      <c r="G14148" s="3301" t="s">
        <v>677</v>
      </c>
      <c r="H14148" s="3063"/>
      <c r="I14148" s="3030"/>
    </row>
    <row r="14149" spans="2:9">
      <c r="B14149" s="3192" t="s">
        <v>678</v>
      </c>
      <c r="C14149" s="3063"/>
      <c r="D14149" s="3064"/>
      <c r="E14149" s="3064"/>
      <c r="F14149" s="3064"/>
      <c r="G14149" s="3301" t="s">
        <v>678</v>
      </c>
      <c r="H14149" s="3063"/>
      <c r="I14149" s="3030"/>
    </row>
    <row r="14150" spans="2:9">
      <c r="B14150" s="3192" t="s">
        <v>679</v>
      </c>
      <c r="C14150" s="3063"/>
      <c r="D14150" s="3064"/>
      <c r="E14150" s="3064"/>
      <c r="F14150" s="3064"/>
      <c r="G14150" s="3301" t="s">
        <v>679</v>
      </c>
      <c r="H14150" s="3063"/>
      <c r="I14150" s="3030"/>
    </row>
    <row r="14151" spans="2:9" ht="25.5">
      <c r="B14151" s="3192" t="s">
        <v>720</v>
      </c>
      <c r="C14151" s="3063"/>
      <c r="D14151" s="3064"/>
      <c r="E14151" s="3064"/>
      <c r="F14151" s="3064"/>
      <c r="G14151" s="3301" t="s">
        <v>720</v>
      </c>
      <c r="H14151" s="3063"/>
      <c r="I14151" s="3030"/>
    </row>
    <row r="14152" spans="2:9">
      <c r="B14152" s="3299" t="s">
        <v>67</v>
      </c>
      <c r="C14152" s="3063"/>
      <c r="D14152" s="3064"/>
      <c r="E14152" s="3064"/>
      <c r="F14152" s="3064"/>
      <c r="G14152" s="3300" t="s">
        <v>67</v>
      </c>
      <c r="H14152" s="3063"/>
      <c r="I14152" s="3030"/>
    </row>
    <row r="14153" spans="2:9" ht="25.5">
      <c r="B14153" s="3192" t="s">
        <v>675</v>
      </c>
      <c r="C14153" s="3063"/>
      <c r="D14153" s="3064"/>
      <c r="E14153" s="3064"/>
      <c r="F14153" s="3064"/>
      <c r="G14153" s="3301" t="s">
        <v>675</v>
      </c>
      <c r="H14153" s="3063"/>
      <c r="I14153" s="3030"/>
    </row>
    <row r="14154" spans="2:9" ht="25.5">
      <c r="B14154" s="3192" t="s">
        <v>676</v>
      </c>
      <c r="C14154" s="3063"/>
      <c r="D14154" s="3064"/>
      <c r="E14154" s="3064"/>
      <c r="F14154" s="3064"/>
      <c r="G14154" s="3301" t="s">
        <v>676</v>
      </c>
      <c r="H14154" s="3063"/>
      <c r="I14154" s="3030"/>
    </row>
    <row r="14155" spans="2:9">
      <c r="B14155" s="3192" t="s">
        <v>677</v>
      </c>
      <c r="C14155" s="3063"/>
      <c r="D14155" s="3064"/>
      <c r="E14155" s="3064"/>
      <c r="F14155" s="3064"/>
      <c r="G14155" s="3301" t="s">
        <v>677</v>
      </c>
      <c r="H14155" s="3063"/>
      <c r="I14155" s="3030"/>
    </row>
    <row r="14156" spans="2:9">
      <c r="B14156" s="3192" t="s">
        <v>678</v>
      </c>
      <c r="C14156" s="3063"/>
      <c r="D14156" s="3064"/>
      <c r="E14156" s="3064"/>
      <c r="F14156" s="3064"/>
      <c r="G14156" s="3301" t="s">
        <v>678</v>
      </c>
      <c r="H14156" s="3063"/>
      <c r="I14156" s="3030"/>
    </row>
    <row r="14157" spans="2:9">
      <c r="B14157" s="3192" t="s">
        <v>679</v>
      </c>
      <c r="C14157" s="3063"/>
      <c r="D14157" s="3064"/>
      <c r="E14157" s="3064"/>
      <c r="F14157" s="3064"/>
      <c r="G14157" s="3301" t="s">
        <v>679</v>
      </c>
      <c r="H14157" s="3063"/>
      <c r="I14157" s="3030"/>
    </row>
    <row r="14158" spans="2:9" ht="25.5">
      <c r="B14158" s="3230" t="s">
        <v>81</v>
      </c>
      <c r="C14158" s="3063"/>
      <c r="D14158" s="3064"/>
      <c r="E14158" s="3064"/>
      <c r="F14158" s="3064"/>
      <c r="G14158" s="3302" t="s">
        <v>81</v>
      </c>
      <c r="H14158" s="3063"/>
      <c r="I14158" s="3030"/>
    </row>
    <row r="14159" spans="2:9" ht="26.25" thickBot="1">
      <c r="B14159" s="3303" t="s">
        <v>81</v>
      </c>
      <c r="C14159" s="3068"/>
      <c r="D14159" s="3069"/>
      <c r="E14159" s="3069"/>
      <c r="F14159" s="3069"/>
      <c r="G14159" s="3304" t="s">
        <v>81</v>
      </c>
      <c r="H14159" s="3068"/>
      <c r="I14159" s="3070"/>
    </row>
    <row r="14160" spans="2:9" ht="38.25">
      <c r="B14160" s="4723">
        <v>3377</v>
      </c>
      <c r="C14160" s="3289"/>
      <c r="D14160" s="3290"/>
      <c r="E14160" s="3290"/>
      <c r="F14160" s="3290"/>
      <c r="G14160" s="4723">
        <v>3377</v>
      </c>
      <c r="H14160" s="3291" t="s">
        <v>687</v>
      </c>
      <c r="I14160" s="3292" t="s">
        <v>688</v>
      </c>
    </row>
    <row r="14161" spans="2:9">
      <c r="B14161" s="4724"/>
      <c r="C14161" s="4678" t="s">
        <v>686</v>
      </c>
      <c r="D14161" s="4725"/>
      <c r="E14161" s="4725"/>
      <c r="F14161" s="4726"/>
      <c r="G14161" s="4724"/>
      <c r="H14161" s="3293"/>
      <c r="I14161" s="3294"/>
    </row>
    <row r="14162" spans="2:9" ht="13.5" thickBot="1">
      <c r="B14162" s="4724"/>
      <c r="C14162" s="3215">
        <v>2013</v>
      </c>
      <c r="D14162" s="3215">
        <v>2014</v>
      </c>
      <c r="E14162" s="3215">
        <v>2015</v>
      </c>
      <c r="F14162" s="3215">
        <v>2016</v>
      </c>
      <c r="G14162" s="4724"/>
      <c r="H14162" s="3295" t="s">
        <v>390</v>
      </c>
      <c r="I14162" s="3296" t="s">
        <v>390</v>
      </c>
    </row>
    <row r="14163" spans="2:9">
      <c r="B14163" s="3217" t="s">
        <v>695</v>
      </c>
      <c r="C14163" s="3218"/>
      <c r="D14163" s="3219"/>
      <c r="E14163" s="3219"/>
      <c r="F14163" s="3219"/>
      <c r="G14163" s="3217" t="s">
        <v>695</v>
      </c>
      <c r="H14163" s="3297"/>
      <c r="I14163" s="3298"/>
    </row>
    <row r="14164" spans="2:9">
      <c r="B14164" s="3299" t="s">
        <v>64</v>
      </c>
      <c r="C14164" s="3063"/>
      <c r="D14164" s="3064"/>
      <c r="E14164" s="3064"/>
      <c r="F14164" s="3064">
        <v>2</v>
      </c>
      <c r="G14164" s="3300" t="s">
        <v>64</v>
      </c>
      <c r="H14164" s="3063">
        <v>0.33875338753387529</v>
      </c>
      <c r="I14164" s="3030"/>
    </row>
    <row r="14165" spans="2:9" ht="25.5">
      <c r="B14165" s="3192" t="s">
        <v>675</v>
      </c>
      <c r="C14165" s="3063"/>
      <c r="D14165" s="3064"/>
      <c r="E14165" s="3064"/>
      <c r="F14165" s="3064"/>
      <c r="G14165" s="3301" t="s">
        <v>675</v>
      </c>
      <c r="H14165" s="3063"/>
      <c r="I14165" s="3030"/>
    </row>
    <row r="14166" spans="2:9" ht="25.5">
      <c r="B14166" s="3192" t="s">
        <v>676</v>
      </c>
      <c r="C14166" s="3063"/>
      <c r="D14166" s="3064"/>
      <c r="E14166" s="3064"/>
      <c r="F14166" s="3064"/>
      <c r="G14166" s="3301" t="s">
        <v>676</v>
      </c>
      <c r="H14166" s="3063"/>
      <c r="I14166" s="3030"/>
    </row>
    <row r="14167" spans="2:9">
      <c r="B14167" s="3192" t="s">
        <v>677</v>
      </c>
      <c r="C14167" s="3063"/>
      <c r="D14167" s="3064"/>
      <c r="E14167" s="3064"/>
      <c r="F14167" s="3064"/>
      <c r="G14167" s="3301" t="s">
        <v>677</v>
      </c>
      <c r="H14167" s="3063"/>
      <c r="I14167" s="3030"/>
    </row>
    <row r="14168" spans="2:9">
      <c r="B14168" s="3192" t="s">
        <v>678</v>
      </c>
      <c r="C14168" s="3063"/>
      <c r="D14168" s="3064"/>
      <c r="E14168" s="3064"/>
      <c r="F14168" s="3064"/>
      <c r="G14168" s="3301" t="s">
        <v>678</v>
      </c>
      <c r="H14168" s="3063"/>
      <c r="I14168" s="3030"/>
    </row>
    <row r="14169" spans="2:9">
      <c r="B14169" s="3192" t="s">
        <v>679</v>
      </c>
      <c r="C14169" s="3063"/>
      <c r="D14169" s="3064"/>
      <c r="E14169" s="3064"/>
      <c r="F14169" s="3064"/>
      <c r="G14169" s="3301" t="s">
        <v>679</v>
      </c>
      <c r="H14169" s="3063"/>
      <c r="I14169" s="3030"/>
    </row>
    <row r="14170" spans="2:9" ht="25.5">
      <c r="B14170" s="3192" t="s">
        <v>720</v>
      </c>
      <c r="C14170" s="3063"/>
      <c r="D14170" s="3064"/>
      <c r="E14170" s="3064"/>
      <c r="F14170" s="3064"/>
      <c r="G14170" s="3301" t="s">
        <v>720</v>
      </c>
      <c r="H14170" s="3063"/>
      <c r="I14170" s="3030"/>
    </row>
    <row r="14171" spans="2:9">
      <c r="B14171" s="3299" t="s">
        <v>65</v>
      </c>
      <c r="C14171" s="3063"/>
      <c r="D14171" s="3064"/>
      <c r="E14171" s="3064"/>
      <c r="F14171" s="3064">
        <v>2</v>
      </c>
      <c r="G14171" s="3300" t="s">
        <v>65</v>
      </c>
      <c r="H14171" s="3063">
        <v>3.9913331052571541E-2</v>
      </c>
      <c r="I14171" s="3030"/>
    </row>
    <row r="14172" spans="2:9" ht="25.5">
      <c r="B14172" s="3192" t="s">
        <v>675</v>
      </c>
      <c r="C14172" s="3063">
        <v>2</v>
      </c>
      <c r="D14172" s="3064">
        <v>1</v>
      </c>
      <c r="E14172" s="3064"/>
      <c r="F14172" s="3064"/>
      <c r="G14172" s="3301" t="s">
        <v>675</v>
      </c>
      <c r="H14172" s="3063"/>
      <c r="I14172" s="3030">
        <v>4.2764283270612366E-2</v>
      </c>
    </row>
    <row r="14173" spans="2:9" ht="25.5">
      <c r="B14173" s="3192" t="s">
        <v>676</v>
      </c>
      <c r="C14173" s="3063"/>
      <c r="D14173" s="3064"/>
      <c r="E14173" s="3064"/>
      <c r="F14173" s="3064"/>
      <c r="G14173" s="3301" t="s">
        <v>676</v>
      </c>
      <c r="H14173" s="3063"/>
      <c r="I14173" s="3030"/>
    </row>
    <row r="14174" spans="2:9">
      <c r="B14174" s="3192" t="s">
        <v>677</v>
      </c>
      <c r="C14174" s="3063"/>
      <c r="D14174" s="3064"/>
      <c r="E14174" s="3064"/>
      <c r="F14174" s="3064"/>
      <c r="G14174" s="3301" t="s">
        <v>677</v>
      </c>
      <c r="H14174" s="3063"/>
      <c r="I14174" s="3030"/>
    </row>
    <row r="14175" spans="2:9">
      <c r="B14175" s="3192" t="s">
        <v>678</v>
      </c>
      <c r="C14175" s="3063"/>
      <c r="D14175" s="3064">
        <v>1</v>
      </c>
      <c r="E14175" s="3064"/>
      <c r="F14175" s="3064"/>
      <c r="G14175" s="3301" t="s">
        <v>678</v>
      </c>
      <c r="H14175" s="3063"/>
      <c r="I14175" s="3030"/>
    </row>
    <row r="14176" spans="2:9">
      <c r="B14176" s="3192" t="s">
        <v>679</v>
      </c>
      <c r="C14176" s="3063"/>
      <c r="D14176" s="3064">
        <v>1</v>
      </c>
      <c r="E14176" s="3064"/>
      <c r="F14176" s="3064"/>
      <c r="G14176" s="3301" t="s">
        <v>679</v>
      </c>
      <c r="H14176" s="3063"/>
      <c r="I14176" s="3030"/>
    </row>
    <row r="14177" spans="2:9" ht="25.5">
      <c r="B14177" s="3192" t="s">
        <v>720</v>
      </c>
      <c r="C14177" s="3063"/>
      <c r="D14177" s="3064"/>
      <c r="E14177" s="3064"/>
      <c r="F14177" s="3064"/>
      <c r="G14177" s="3301" t="s">
        <v>720</v>
      </c>
      <c r="H14177" s="3063"/>
      <c r="I14177" s="3030"/>
    </row>
    <row r="14178" spans="2:9">
      <c r="B14178" s="3299" t="s">
        <v>82</v>
      </c>
      <c r="C14178" s="3063"/>
      <c r="D14178" s="3064"/>
      <c r="E14178" s="3064"/>
      <c r="F14178" s="3064"/>
      <c r="G14178" s="3300" t="s">
        <v>82</v>
      </c>
      <c r="H14178" s="3063"/>
      <c r="I14178" s="3030"/>
    </row>
    <row r="14179" spans="2:9" ht="25.5">
      <c r="B14179" s="3192" t="s">
        <v>675</v>
      </c>
      <c r="C14179" s="3063"/>
      <c r="D14179" s="3064"/>
      <c r="E14179" s="3064"/>
      <c r="F14179" s="3064"/>
      <c r="G14179" s="3301" t="s">
        <v>675</v>
      </c>
      <c r="H14179" s="3063"/>
      <c r="I14179" s="3030"/>
    </row>
    <row r="14180" spans="2:9" ht="25.5">
      <c r="B14180" s="3192" t="s">
        <v>676</v>
      </c>
      <c r="C14180" s="3063"/>
      <c r="D14180" s="3064"/>
      <c r="E14180" s="3064"/>
      <c r="F14180" s="3064"/>
      <c r="G14180" s="3301" t="s">
        <v>676</v>
      </c>
      <c r="H14180" s="3063"/>
      <c r="I14180" s="3030"/>
    </row>
    <row r="14181" spans="2:9">
      <c r="B14181" s="3192" t="s">
        <v>677</v>
      </c>
      <c r="C14181" s="3063"/>
      <c r="D14181" s="3064"/>
      <c r="E14181" s="3064"/>
      <c r="F14181" s="3064"/>
      <c r="G14181" s="3301" t="s">
        <v>677</v>
      </c>
      <c r="H14181" s="3063"/>
      <c r="I14181" s="3030"/>
    </row>
    <row r="14182" spans="2:9">
      <c r="B14182" s="3192" t="s">
        <v>678</v>
      </c>
      <c r="C14182" s="3063"/>
      <c r="D14182" s="3064"/>
      <c r="E14182" s="3064"/>
      <c r="F14182" s="3064"/>
      <c r="G14182" s="3301" t="s">
        <v>678</v>
      </c>
      <c r="H14182" s="3063"/>
      <c r="I14182" s="3030"/>
    </row>
    <row r="14183" spans="2:9">
      <c r="B14183" s="3192" t="s">
        <v>679</v>
      </c>
      <c r="C14183" s="3063"/>
      <c r="D14183" s="3064"/>
      <c r="E14183" s="3064"/>
      <c r="F14183" s="3064"/>
      <c r="G14183" s="3301" t="s">
        <v>679</v>
      </c>
      <c r="H14183" s="3063"/>
      <c r="I14183" s="3030"/>
    </row>
    <row r="14184" spans="2:9" ht="25.5">
      <c r="B14184" s="3192" t="s">
        <v>720</v>
      </c>
      <c r="C14184" s="3063"/>
      <c r="D14184" s="3064"/>
      <c r="E14184" s="3064"/>
      <c r="F14184" s="3064"/>
      <c r="G14184" s="3301" t="s">
        <v>720</v>
      </c>
      <c r="H14184" s="3063"/>
      <c r="I14184" s="3030"/>
    </row>
    <row r="14185" spans="2:9" ht="38.25">
      <c r="B14185" s="3299" t="s">
        <v>680</v>
      </c>
      <c r="C14185" s="3063"/>
      <c r="D14185" s="3064"/>
      <c r="E14185" s="3064"/>
      <c r="F14185" s="3064"/>
      <c r="G14185" s="3300" t="s">
        <v>680</v>
      </c>
      <c r="H14185" s="3063"/>
      <c r="I14185" s="3030"/>
    </row>
    <row r="14186" spans="2:9" ht="25.5">
      <c r="B14186" s="3192" t="s">
        <v>675</v>
      </c>
      <c r="C14186" s="3063"/>
      <c r="D14186" s="3064"/>
      <c r="E14186" s="3064"/>
      <c r="F14186" s="3064"/>
      <c r="G14186" s="3301" t="s">
        <v>675</v>
      </c>
      <c r="H14186" s="3063"/>
      <c r="I14186" s="3030"/>
    </row>
    <row r="14187" spans="2:9" ht="25.5">
      <c r="B14187" s="3192" t="s">
        <v>676</v>
      </c>
      <c r="C14187" s="3063"/>
      <c r="D14187" s="3064"/>
      <c r="E14187" s="3064"/>
      <c r="F14187" s="3064"/>
      <c r="G14187" s="3301" t="s">
        <v>676</v>
      </c>
      <c r="H14187" s="3063"/>
      <c r="I14187" s="3030"/>
    </row>
    <row r="14188" spans="2:9">
      <c r="B14188" s="3192" t="s">
        <v>677</v>
      </c>
      <c r="C14188" s="3063"/>
      <c r="D14188" s="3064"/>
      <c r="E14188" s="3064"/>
      <c r="F14188" s="3064"/>
      <c r="G14188" s="3301" t="s">
        <v>677</v>
      </c>
      <c r="H14188" s="3063"/>
      <c r="I14188" s="3030"/>
    </row>
    <row r="14189" spans="2:9">
      <c r="B14189" s="3192" t="s">
        <v>678</v>
      </c>
      <c r="C14189" s="3063"/>
      <c r="D14189" s="3064"/>
      <c r="E14189" s="3064"/>
      <c r="F14189" s="3064"/>
      <c r="G14189" s="3301" t="s">
        <v>678</v>
      </c>
      <c r="H14189" s="3063"/>
      <c r="I14189" s="3030"/>
    </row>
    <row r="14190" spans="2:9">
      <c r="B14190" s="3192" t="s">
        <v>679</v>
      </c>
      <c r="C14190" s="3063"/>
      <c r="D14190" s="3064"/>
      <c r="E14190" s="3064"/>
      <c r="F14190" s="3064"/>
      <c r="G14190" s="3301" t="s">
        <v>679</v>
      </c>
      <c r="H14190" s="3063"/>
      <c r="I14190" s="3030"/>
    </row>
    <row r="14191" spans="2:9" ht="25.5">
      <c r="B14191" s="3192" t="s">
        <v>720</v>
      </c>
      <c r="C14191" s="3063"/>
      <c r="D14191" s="3064"/>
      <c r="E14191" s="3064"/>
      <c r="F14191" s="3064"/>
      <c r="G14191" s="3301" t="s">
        <v>720</v>
      </c>
      <c r="H14191" s="3063"/>
      <c r="I14191" s="3030"/>
    </row>
    <row r="14192" spans="2:9" ht="38.25">
      <c r="B14192" s="3299" t="s">
        <v>681</v>
      </c>
      <c r="C14192" s="3063"/>
      <c r="D14192" s="3064"/>
      <c r="E14192" s="3064"/>
      <c r="F14192" s="3064"/>
      <c r="G14192" s="3300" t="s">
        <v>681</v>
      </c>
      <c r="H14192" s="3063"/>
      <c r="I14192" s="3030"/>
    </row>
    <row r="14193" spans="2:9" ht="25.5">
      <c r="B14193" s="3192" t="s">
        <v>675</v>
      </c>
      <c r="C14193" s="3063"/>
      <c r="D14193" s="3064"/>
      <c r="E14193" s="3064"/>
      <c r="F14193" s="3064"/>
      <c r="G14193" s="3301" t="s">
        <v>675</v>
      </c>
      <c r="H14193" s="3063"/>
      <c r="I14193" s="3030"/>
    </row>
    <row r="14194" spans="2:9" ht="25.5">
      <c r="B14194" s="3192" t="s">
        <v>676</v>
      </c>
      <c r="C14194" s="3063"/>
      <c r="D14194" s="3064"/>
      <c r="E14194" s="3064"/>
      <c r="F14194" s="3064"/>
      <c r="G14194" s="3301" t="s">
        <v>676</v>
      </c>
      <c r="H14194" s="3063"/>
      <c r="I14194" s="3030"/>
    </row>
    <row r="14195" spans="2:9">
      <c r="B14195" s="3192" t="s">
        <v>677</v>
      </c>
      <c r="C14195" s="3063"/>
      <c r="D14195" s="3064"/>
      <c r="E14195" s="3064"/>
      <c r="F14195" s="3064"/>
      <c r="G14195" s="3301" t="s">
        <v>677</v>
      </c>
      <c r="H14195" s="3063"/>
      <c r="I14195" s="3030"/>
    </row>
    <row r="14196" spans="2:9">
      <c r="B14196" s="3192" t="s">
        <v>678</v>
      </c>
      <c r="C14196" s="3063"/>
      <c r="D14196" s="3064"/>
      <c r="E14196" s="3064"/>
      <c r="F14196" s="3064"/>
      <c r="G14196" s="3301" t="s">
        <v>678</v>
      </c>
      <c r="H14196" s="3063"/>
      <c r="I14196" s="3030"/>
    </row>
    <row r="14197" spans="2:9">
      <c r="B14197" s="3192" t="s">
        <v>679</v>
      </c>
      <c r="C14197" s="3063"/>
      <c r="D14197" s="3064"/>
      <c r="E14197" s="3064"/>
      <c r="F14197" s="3064"/>
      <c r="G14197" s="3301" t="s">
        <v>679</v>
      </c>
      <c r="H14197" s="3063"/>
      <c r="I14197" s="3030"/>
    </row>
    <row r="14198" spans="2:9" ht="25.5">
      <c r="B14198" s="3192" t="s">
        <v>720</v>
      </c>
      <c r="C14198" s="3063"/>
      <c r="D14198" s="3064"/>
      <c r="E14198" s="3064"/>
      <c r="F14198" s="3064"/>
      <c r="G14198" s="3301" t="s">
        <v>720</v>
      </c>
      <c r="H14198" s="3063"/>
      <c r="I14198" s="3030"/>
    </row>
    <row r="14199" spans="2:9" ht="25.5">
      <c r="B14199" s="3299" t="s">
        <v>682</v>
      </c>
      <c r="C14199" s="3063"/>
      <c r="D14199" s="3064"/>
      <c r="E14199" s="3064"/>
      <c r="F14199" s="3064"/>
      <c r="G14199" s="3300" t="s">
        <v>682</v>
      </c>
      <c r="H14199" s="3063"/>
      <c r="I14199" s="3030"/>
    </row>
    <row r="14200" spans="2:9" ht="25.5">
      <c r="B14200" s="3192" t="s">
        <v>675</v>
      </c>
      <c r="C14200" s="3063"/>
      <c r="D14200" s="3064"/>
      <c r="E14200" s="3064"/>
      <c r="F14200" s="3064"/>
      <c r="G14200" s="3301" t="s">
        <v>675</v>
      </c>
      <c r="H14200" s="3063"/>
      <c r="I14200" s="3030"/>
    </row>
    <row r="14201" spans="2:9" ht="25.5">
      <c r="B14201" s="3192" t="s">
        <v>676</v>
      </c>
      <c r="C14201" s="3063"/>
      <c r="D14201" s="3064"/>
      <c r="E14201" s="3064"/>
      <c r="F14201" s="3064"/>
      <c r="G14201" s="3301" t="s">
        <v>676</v>
      </c>
      <c r="H14201" s="3063"/>
      <c r="I14201" s="3030"/>
    </row>
    <row r="14202" spans="2:9">
      <c r="B14202" s="3192" t="s">
        <v>677</v>
      </c>
      <c r="C14202" s="3063"/>
      <c r="D14202" s="3064"/>
      <c r="E14202" s="3064"/>
      <c r="F14202" s="3064"/>
      <c r="G14202" s="3301" t="s">
        <v>677</v>
      </c>
      <c r="H14202" s="3063"/>
      <c r="I14202" s="3030"/>
    </row>
    <row r="14203" spans="2:9">
      <c r="B14203" s="3192" t="s">
        <v>678</v>
      </c>
      <c r="C14203" s="3063"/>
      <c r="D14203" s="3064"/>
      <c r="E14203" s="3064"/>
      <c r="F14203" s="3064"/>
      <c r="G14203" s="3301" t="s">
        <v>678</v>
      </c>
      <c r="H14203" s="3063"/>
      <c r="I14203" s="3030"/>
    </row>
    <row r="14204" spans="2:9">
      <c r="B14204" s="3192" t="s">
        <v>679</v>
      </c>
      <c r="C14204" s="3063"/>
      <c r="D14204" s="3064"/>
      <c r="E14204" s="3064"/>
      <c r="F14204" s="3064"/>
      <c r="G14204" s="3301" t="s">
        <v>679</v>
      </c>
      <c r="H14204" s="3063"/>
      <c r="I14204" s="3030"/>
    </row>
    <row r="14205" spans="2:9" ht="25.5">
      <c r="B14205" s="3192" t="s">
        <v>720</v>
      </c>
      <c r="C14205" s="3063"/>
      <c r="D14205" s="3064"/>
      <c r="E14205" s="3064"/>
      <c r="F14205" s="3064"/>
      <c r="G14205" s="3301" t="s">
        <v>720</v>
      </c>
      <c r="H14205" s="3063"/>
      <c r="I14205" s="3030"/>
    </row>
    <row r="14206" spans="2:9" ht="25.5">
      <c r="B14206" s="3299" t="s">
        <v>66</v>
      </c>
      <c r="C14206" s="3063"/>
      <c r="D14206" s="3064"/>
      <c r="E14206" s="3064"/>
      <c r="F14206" s="3064"/>
      <c r="G14206" s="3300" t="s">
        <v>66</v>
      </c>
      <c r="H14206" s="3063"/>
      <c r="I14206" s="3030"/>
    </row>
    <row r="14207" spans="2:9" ht="25.5">
      <c r="B14207" s="3192" t="s">
        <v>675</v>
      </c>
      <c r="C14207" s="3063"/>
      <c r="D14207" s="3064"/>
      <c r="E14207" s="3064"/>
      <c r="F14207" s="3064"/>
      <c r="G14207" s="3301" t="s">
        <v>675</v>
      </c>
      <c r="H14207" s="3063"/>
      <c r="I14207" s="3030"/>
    </row>
    <row r="14208" spans="2:9" ht="25.5">
      <c r="B14208" s="3192" t="s">
        <v>676</v>
      </c>
      <c r="C14208" s="3063"/>
      <c r="D14208" s="3064"/>
      <c r="E14208" s="3064"/>
      <c r="F14208" s="3064"/>
      <c r="G14208" s="3301" t="s">
        <v>676</v>
      </c>
      <c r="H14208" s="3063"/>
      <c r="I14208" s="3030"/>
    </row>
    <row r="14209" spans="2:9">
      <c r="B14209" s="3192" t="s">
        <v>677</v>
      </c>
      <c r="C14209" s="3063"/>
      <c r="D14209" s="3064"/>
      <c r="E14209" s="3064"/>
      <c r="F14209" s="3064"/>
      <c r="G14209" s="3301" t="s">
        <v>677</v>
      </c>
      <c r="H14209" s="3063"/>
      <c r="I14209" s="3030"/>
    </row>
    <row r="14210" spans="2:9">
      <c r="B14210" s="3192" t="s">
        <v>678</v>
      </c>
      <c r="C14210" s="3063"/>
      <c r="D14210" s="3064"/>
      <c r="E14210" s="3064"/>
      <c r="F14210" s="3064"/>
      <c r="G14210" s="3301" t="s">
        <v>678</v>
      </c>
      <c r="H14210" s="3063"/>
      <c r="I14210" s="3030"/>
    </row>
    <row r="14211" spans="2:9">
      <c r="B14211" s="3192" t="s">
        <v>679</v>
      </c>
      <c r="C14211" s="3063"/>
      <c r="D14211" s="3064"/>
      <c r="E14211" s="3064"/>
      <c r="F14211" s="3064"/>
      <c r="G14211" s="3301" t="s">
        <v>679</v>
      </c>
      <c r="H14211" s="3063"/>
      <c r="I14211" s="3030"/>
    </row>
    <row r="14212" spans="2:9" ht="25.5">
      <c r="B14212" s="3192" t="s">
        <v>720</v>
      </c>
      <c r="C14212" s="3063"/>
      <c r="D14212" s="3064"/>
      <c r="E14212" s="3064"/>
      <c r="F14212" s="3064"/>
      <c r="G14212" s="3301" t="s">
        <v>720</v>
      </c>
      <c r="H14212" s="3063"/>
      <c r="I14212" s="3030"/>
    </row>
    <row r="14213" spans="2:9">
      <c r="B14213" s="3299" t="s">
        <v>67</v>
      </c>
      <c r="C14213" s="3063"/>
      <c r="D14213" s="3064"/>
      <c r="E14213" s="3064"/>
      <c r="F14213" s="3064"/>
      <c r="G14213" s="3300" t="s">
        <v>67</v>
      </c>
      <c r="H14213" s="3063"/>
      <c r="I14213" s="3030"/>
    </row>
    <row r="14214" spans="2:9" ht="25.5">
      <c r="B14214" s="3192" t="s">
        <v>675</v>
      </c>
      <c r="C14214" s="3063"/>
      <c r="D14214" s="3064"/>
      <c r="E14214" s="3064"/>
      <c r="F14214" s="3064"/>
      <c r="G14214" s="3301" t="s">
        <v>675</v>
      </c>
      <c r="H14214" s="3063"/>
      <c r="I14214" s="3030"/>
    </row>
    <row r="14215" spans="2:9" ht="25.5">
      <c r="B14215" s="3192" t="s">
        <v>676</v>
      </c>
      <c r="C14215" s="3063"/>
      <c r="D14215" s="3064"/>
      <c r="E14215" s="3064"/>
      <c r="F14215" s="3064"/>
      <c r="G14215" s="3301" t="s">
        <v>676</v>
      </c>
      <c r="H14215" s="3063"/>
      <c r="I14215" s="3030"/>
    </row>
    <row r="14216" spans="2:9">
      <c r="B14216" s="3192" t="s">
        <v>677</v>
      </c>
      <c r="C14216" s="3063"/>
      <c r="D14216" s="3064"/>
      <c r="E14216" s="3064"/>
      <c r="F14216" s="3064"/>
      <c r="G14216" s="3301" t="s">
        <v>677</v>
      </c>
      <c r="H14216" s="3063"/>
      <c r="I14216" s="3030"/>
    </row>
    <row r="14217" spans="2:9">
      <c r="B14217" s="3192" t="s">
        <v>678</v>
      </c>
      <c r="C14217" s="3063"/>
      <c r="D14217" s="3064"/>
      <c r="E14217" s="3064"/>
      <c r="F14217" s="3064"/>
      <c r="G14217" s="3301" t="s">
        <v>678</v>
      </c>
      <c r="H14217" s="3063"/>
      <c r="I14217" s="3030"/>
    </row>
    <row r="14218" spans="2:9">
      <c r="B14218" s="3192" t="s">
        <v>679</v>
      </c>
      <c r="C14218" s="3063"/>
      <c r="D14218" s="3064"/>
      <c r="E14218" s="3064"/>
      <c r="F14218" s="3064"/>
      <c r="G14218" s="3301" t="s">
        <v>679</v>
      </c>
      <c r="H14218" s="3063"/>
      <c r="I14218" s="3030"/>
    </row>
    <row r="14219" spans="2:9" ht="25.5">
      <c r="B14219" s="3192" t="s">
        <v>720</v>
      </c>
      <c r="C14219" s="3063"/>
      <c r="D14219" s="3064"/>
      <c r="E14219" s="3064"/>
      <c r="F14219" s="3064"/>
      <c r="G14219" s="3301" t="s">
        <v>720</v>
      </c>
      <c r="H14219" s="3063"/>
      <c r="I14219" s="3030"/>
    </row>
    <row r="14220" spans="2:9" ht="25.5">
      <c r="B14220" s="3230" t="s">
        <v>81</v>
      </c>
      <c r="C14220" s="3063"/>
      <c r="D14220" s="3064"/>
      <c r="E14220" s="3064"/>
      <c r="F14220" s="3064"/>
      <c r="G14220" s="3302" t="s">
        <v>81</v>
      </c>
      <c r="H14220" s="3063"/>
      <c r="I14220" s="3030"/>
    </row>
    <row r="14221" spans="2:9" ht="26.25" thickBot="1">
      <c r="B14221" s="3303" t="s">
        <v>81</v>
      </c>
      <c r="C14221" s="3063"/>
      <c r="D14221" s="3064"/>
      <c r="E14221" s="3064"/>
      <c r="F14221" s="3064"/>
      <c r="G14221" s="3302" t="s">
        <v>81</v>
      </c>
      <c r="H14221" s="3063"/>
      <c r="I14221" s="3030"/>
    </row>
    <row r="14222" spans="2:9" ht="25.5">
      <c r="B14222" s="3217" t="s">
        <v>696</v>
      </c>
      <c r="C14222" s="3218"/>
      <c r="D14222" s="3219"/>
      <c r="E14222" s="3219"/>
      <c r="F14222" s="3219"/>
      <c r="G14222" s="3217" t="s">
        <v>696</v>
      </c>
      <c r="H14222" s="3297"/>
      <c r="I14222" s="3298"/>
    </row>
    <row r="14223" spans="2:9">
      <c r="B14223" s="3299" t="s">
        <v>64</v>
      </c>
      <c r="C14223" s="3063"/>
      <c r="D14223" s="3064"/>
      <c r="E14223" s="3064"/>
      <c r="F14223" s="3064"/>
      <c r="G14223" s="3300" t="s">
        <v>64</v>
      </c>
      <c r="H14223" s="3063"/>
      <c r="I14223" s="3030"/>
    </row>
    <row r="14224" spans="2:9" ht="25.5">
      <c r="B14224" s="3192" t="s">
        <v>675</v>
      </c>
      <c r="C14224" s="3063"/>
      <c r="D14224" s="3064"/>
      <c r="E14224" s="3064"/>
      <c r="F14224" s="3064"/>
      <c r="G14224" s="3301" t="s">
        <v>675</v>
      </c>
      <c r="H14224" s="3063"/>
      <c r="I14224" s="3030"/>
    </row>
    <row r="14225" spans="2:9" ht="25.5">
      <c r="B14225" s="3192" t="s">
        <v>676</v>
      </c>
      <c r="C14225" s="3063"/>
      <c r="D14225" s="3064"/>
      <c r="E14225" s="3064"/>
      <c r="F14225" s="3064"/>
      <c r="G14225" s="3301" t="s">
        <v>676</v>
      </c>
      <c r="H14225" s="3063"/>
      <c r="I14225" s="3030"/>
    </row>
    <row r="14226" spans="2:9">
      <c r="B14226" s="3192" t="s">
        <v>677</v>
      </c>
      <c r="C14226" s="3063"/>
      <c r="D14226" s="3064"/>
      <c r="E14226" s="3064"/>
      <c r="F14226" s="3064"/>
      <c r="G14226" s="3301" t="s">
        <v>677</v>
      </c>
      <c r="H14226" s="3063"/>
      <c r="I14226" s="3030"/>
    </row>
    <row r="14227" spans="2:9">
      <c r="B14227" s="3192" t="s">
        <v>678</v>
      </c>
      <c r="C14227" s="3063"/>
      <c r="D14227" s="3064"/>
      <c r="E14227" s="3064"/>
      <c r="F14227" s="3064"/>
      <c r="G14227" s="3301" t="s">
        <v>678</v>
      </c>
      <c r="H14227" s="3063"/>
      <c r="I14227" s="3030"/>
    </row>
    <row r="14228" spans="2:9">
      <c r="B14228" s="3192" t="s">
        <v>679</v>
      </c>
      <c r="C14228" s="3063"/>
      <c r="D14228" s="3064"/>
      <c r="E14228" s="3064"/>
      <c r="F14228" s="3064"/>
      <c r="G14228" s="3301" t="s">
        <v>679</v>
      </c>
      <c r="H14228" s="3063"/>
      <c r="I14228" s="3030"/>
    </row>
    <row r="14229" spans="2:9" ht="25.5">
      <c r="B14229" s="3192" t="s">
        <v>720</v>
      </c>
      <c r="C14229" s="3063"/>
      <c r="D14229" s="3064"/>
      <c r="E14229" s="3064"/>
      <c r="F14229" s="3064"/>
      <c r="G14229" s="3301" t="s">
        <v>720</v>
      </c>
      <c r="H14229" s="3063"/>
      <c r="I14229" s="3030"/>
    </row>
    <row r="14230" spans="2:9">
      <c r="B14230" s="3299" t="s">
        <v>65</v>
      </c>
      <c r="C14230" s="3063"/>
      <c r="D14230" s="3064"/>
      <c r="E14230" s="3064"/>
      <c r="F14230" s="3064"/>
      <c r="G14230" s="3300" t="s">
        <v>65</v>
      </c>
      <c r="H14230" s="3063"/>
      <c r="I14230" s="3030"/>
    </row>
    <row r="14231" spans="2:9" ht="25.5">
      <c r="B14231" s="3192" t="s">
        <v>675</v>
      </c>
      <c r="C14231" s="3063"/>
      <c r="D14231" s="3064"/>
      <c r="E14231" s="3064"/>
      <c r="F14231" s="3064"/>
      <c r="G14231" s="3301" t="s">
        <v>675</v>
      </c>
      <c r="H14231" s="3063"/>
      <c r="I14231" s="3030"/>
    </row>
    <row r="14232" spans="2:9" ht="25.5">
      <c r="B14232" s="3192" t="s">
        <v>676</v>
      </c>
      <c r="C14232" s="3063"/>
      <c r="D14232" s="3064"/>
      <c r="E14232" s="3064"/>
      <c r="F14232" s="3064"/>
      <c r="G14232" s="3301" t="s">
        <v>676</v>
      </c>
      <c r="H14232" s="3063"/>
      <c r="I14232" s="3030"/>
    </row>
    <row r="14233" spans="2:9">
      <c r="B14233" s="3192" t="s">
        <v>677</v>
      </c>
      <c r="C14233" s="3063"/>
      <c r="D14233" s="3064"/>
      <c r="E14233" s="3064"/>
      <c r="F14233" s="3064"/>
      <c r="G14233" s="3301" t="s">
        <v>677</v>
      </c>
      <c r="H14233" s="3063"/>
      <c r="I14233" s="3030"/>
    </row>
    <row r="14234" spans="2:9">
      <c r="B14234" s="3192" t="s">
        <v>678</v>
      </c>
      <c r="C14234" s="3063"/>
      <c r="D14234" s="3064"/>
      <c r="E14234" s="3064"/>
      <c r="F14234" s="3064"/>
      <c r="G14234" s="3301" t="s">
        <v>678</v>
      </c>
      <c r="H14234" s="3063"/>
      <c r="I14234" s="3030"/>
    </row>
    <row r="14235" spans="2:9">
      <c r="B14235" s="3192" t="s">
        <v>679</v>
      </c>
      <c r="C14235" s="3063"/>
      <c r="D14235" s="3064"/>
      <c r="E14235" s="3064"/>
      <c r="F14235" s="3064"/>
      <c r="G14235" s="3301" t="s">
        <v>679</v>
      </c>
      <c r="H14235" s="3063"/>
      <c r="I14235" s="3030"/>
    </row>
    <row r="14236" spans="2:9" ht="25.5">
      <c r="B14236" s="3192" t="s">
        <v>720</v>
      </c>
      <c r="C14236" s="3063"/>
      <c r="D14236" s="3064"/>
      <c r="E14236" s="3064"/>
      <c r="F14236" s="3064"/>
      <c r="G14236" s="3301" t="s">
        <v>720</v>
      </c>
      <c r="H14236" s="3063"/>
      <c r="I14236" s="3030"/>
    </row>
    <row r="14237" spans="2:9">
      <c r="B14237" s="3299" t="s">
        <v>82</v>
      </c>
      <c r="C14237" s="3063"/>
      <c r="D14237" s="3064"/>
      <c r="E14237" s="3064"/>
      <c r="F14237" s="3064"/>
      <c r="G14237" s="3300" t="s">
        <v>82</v>
      </c>
      <c r="H14237" s="3063"/>
      <c r="I14237" s="3030"/>
    </row>
    <row r="14238" spans="2:9" ht="25.5">
      <c r="B14238" s="3192" t="s">
        <v>675</v>
      </c>
      <c r="C14238" s="3063"/>
      <c r="D14238" s="3064"/>
      <c r="E14238" s="3064"/>
      <c r="F14238" s="3064"/>
      <c r="G14238" s="3301" t="s">
        <v>675</v>
      </c>
      <c r="H14238" s="3063"/>
      <c r="I14238" s="3030"/>
    </row>
    <row r="14239" spans="2:9" ht="25.5">
      <c r="B14239" s="3192" t="s">
        <v>676</v>
      </c>
      <c r="C14239" s="3063"/>
      <c r="D14239" s="3064"/>
      <c r="E14239" s="3064"/>
      <c r="F14239" s="3064"/>
      <c r="G14239" s="3301" t="s">
        <v>676</v>
      </c>
      <c r="H14239" s="3063"/>
      <c r="I14239" s="3030"/>
    </row>
    <row r="14240" spans="2:9">
      <c r="B14240" s="3192" t="s">
        <v>677</v>
      </c>
      <c r="C14240" s="3063"/>
      <c r="D14240" s="3064"/>
      <c r="E14240" s="3064"/>
      <c r="F14240" s="3064"/>
      <c r="G14240" s="3301" t="s">
        <v>677</v>
      </c>
      <c r="H14240" s="3063"/>
      <c r="I14240" s="3030"/>
    </row>
    <row r="14241" spans="2:9">
      <c r="B14241" s="3192" t="s">
        <v>678</v>
      </c>
      <c r="C14241" s="3063"/>
      <c r="D14241" s="3064"/>
      <c r="E14241" s="3064"/>
      <c r="F14241" s="3064"/>
      <c r="G14241" s="3301" t="s">
        <v>678</v>
      </c>
      <c r="H14241" s="3063"/>
      <c r="I14241" s="3030"/>
    </row>
    <row r="14242" spans="2:9">
      <c r="B14242" s="3192" t="s">
        <v>679</v>
      </c>
      <c r="C14242" s="3063"/>
      <c r="D14242" s="3064"/>
      <c r="E14242" s="3064"/>
      <c r="F14242" s="3064"/>
      <c r="G14242" s="3301" t="s">
        <v>679</v>
      </c>
      <c r="H14242" s="3063"/>
      <c r="I14242" s="3030"/>
    </row>
    <row r="14243" spans="2:9" ht="25.5">
      <c r="B14243" s="3192" t="s">
        <v>720</v>
      </c>
      <c r="C14243" s="3063"/>
      <c r="D14243" s="3064"/>
      <c r="E14243" s="3064"/>
      <c r="F14243" s="3064"/>
      <c r="G14243" s="3301" t="s">
        <v>720</v>
      </c>
      <c r="H14243" s="3063"/>
      <c r="I14243" s="3030"/>
    </row>
    <row r="14244" spans="2:9" ht="38.25">
      <c r="B14244" s="3299" t="s">
        <v>680</v>
      </c>
      <c r="C14244" s="3063"/>
      <c r="D14244" s="3064"/>
      <c r="E14244" s="3064"/>
      <c r="F14244" s="3064"/>
      <c r="G14244" s="3300" t="s">
        <v>680</v>
      </c>
      <c r="H14244" s="3063"/>
      <c r="I14244" s="3030"/>
    </row>
    <row r="14245" spans="2:9" ht="25.5">
      <c r="B14245" s="3192" t="s">
        <v>675</v>
      </c>
      <c r="C14245" s="3063"/>
      <c r="D14245" s="3064"/>
      <c r="E14245" s="3064"/>
      <c r="F14245" s="3064"/>
      <c r="G14245" s="3301" t="s">
        <v>675</v>
      </c>
      <c r="H14245" s="3063"/>
      <c r="I14245" s="3030"/>
    </row>
    <row r="14246" spans="2:9" ht="25.5">
      <c r="B14246" s="3192" t="s">
        <v>676</v>
      </c>
      <c r="C14246" s="3063"/>
      <c r="D14246" s="3064"/>
      <c r="E14246" s="3064"/>
      <c r="F14246" s="3064"/>
      <c r="G14246" s="3301" t="s">
        <v>676</v>
      </c>
      <c r="H14246" s="3063"/>
      <c r="I14246" s="3030"/>
    </row>
    <row r="14247" spans="2:9">
      <c r="B14247" s="3192" t="s">
        <v>677</v>
      </c>
      <c r="C14247" s="3063"/>
      <c r="D14247" s="3064"/>
      <c r="E14247" s="3064"/>
      <c r="F14247" s="3064"/>
      <c r="G14247" s="3301" t="s">
        <v>677</v>
      </c>
      <c r="H14247" s="3063"/>
      <c r="I14247" s="3030"/>
    </row>
    <row r="14248" spans="2:9">
      <c r="B14248" s="3192" t="s">
        <v>678</v>
      </c>
      <c r="C14248" s="3063"/>
      <c r="D14248" s="3064"/>
      <c r="E14248" s="3064"/>
      <c r="F14248" s="3064"/>
      <c r="G14248" s="3301" t="s">
        <v>678</v>
      </c>
      <c r="H14248" s="3063"/>
      <c r="I14248" s="3030"/>
    </row>
    <row r="14249" spans="2:9">
      <c r="B14249" s="3192" t="s">
        <v>679</v>
      </c>
      <c r="C14249" s="3063"/>
      <c r="D14249" s="3064"/>
      <c r="E14249" s="3064"/>
      <c r="F14249" s="3064"/>
      <c r="G14249" s="3301" t="s">
        <v>679</v>
      </c>
      <c r="H14249" s="3063"/>
      <c r="I14249" s="3030"/>
    </row>
    <row r="14250" spans="2:9" ht="25.5">
      <c r="B14250" s="3192" t="s">
        <v>720</v>
      </c>
      <c r="C14250" s="3063"/>
      <c r="D14250" s="3064"/>
      <c r="E14250" s="3064"/>
      <c r="F14250" s="3064"/>
      <c r="G14250" s="3301" t="s">
        <v>720</v>
      </c>
      <c r="H14250" s="3063"/>
      <c r="I14250" s="3030"/>
    </row>
    <row r="14251" spans="2:9" ht="38.25">
      <c r="B14251" s="3299" t="s">
        <v>681</v>
      </c>
      <c r="C14251" s="3063"/>
      <c r="D14251" s="3064"/>
      <c r="E14251" s="3064"/>
      <c r="F14251" s="3064"/>
      <c r="G14251" s="3300" t="s">
        <v>681</v>
      </c>
      <c r="H14251" s="3063"/>
      <c r="I14251" s="3030"/>
    </row>
    <row r="14252" spans="2:9" ht="25.5">
      <c r="B14252" s="3192" t="s">
        <v>675</v>
      </c>
      <c r="C14252" s="3063"/>
      <c r="D14252" s="3064"/>
      <c r="E14252" s="3064"/>
      <c r="F14252" s="3064"/>
      <c r="G14252" s="3301" t="s">
        <v>675</v>
      </c>
      <c r="H14252" s="3063"/>
      <c r="I14252" s="3030"/>
    </row>
    <row r="14253" spans="2:9" ht="25.5">
      <c r="B14253" s="3192" t="s">
        <v>676</v>
      </c>
      <c r="C14253" s="3063"/>
      <c r="D14253" s="3064"/>
      <c r="E14253" s="3064"/>
      <c r="F14253" s="3064"/>
      <c r="G14253" s="3301" t="s">
        <v>676</v>
      </c>
      <c r="H14253" s="3063"/>
      <c r="I14253" s="3030"/>
    </row>
    <row r="14254" spans="2:9">
      <c r="B14254" s="3192" t="s">
        <v>677</v>
      </c>
      <c r="C14254" s="3063"/>
      <c r="D14254" s="3064"/>
      <c r="E14254" s="3064"/>
      <c r="F14254" s="3064"/>
      <c r="G14254" s="3301" t="s">
        <v>677</v>
      </c>
      <c r="H14254" s="3063"/>
      <c r="I14254" s="3030"/>
    </row>
    <row r="14255" spans="2:9">
      <c r="B14255" s="3192" t="s">
        <v>678</v>
      </c>
      <c r="C14255" s="3063"/>
      <c r="D14255" s="3064"/>
      <c r="E14255" s="3064"/>
      <c r="F14255" s="3064"/>
      <c r="G14255" s="3301" t="s">
        <v>678</v>
      </c>
      <c r="H14255" s="3063"/>
      <c r="I14255" s="3030"/>
    </row>
    <row r="14256" spans="2:9">
      <c r="B14256" s="3192" t="s">
        <v>679</v>
      </c>
      <c r="C14256" s="3063"/>
      <c r="D14256" s="3064"/>
      <c r="E14256" s="3064"/>
      <c r="F14256" s="3064"/>
      <c r="G14256" s="3301" t="s">
        <v>679</v>
      </c>
      <c r="H14256" s="3063"/>
      <c r="I14256" s="3030"/>
    </row>
    <row r="14257" spans="2:9" ht="25.5">
      <c r="B14257" s="3192" t="s">
        <v>720</v>
      </c>
      <c r="C14257" s="3063"/>
      <c r="D14257" s="3064"/>
      <c r="E14257" s="3064"/>
      <c r="F14257" s="3064"/>
      <c r="G14257" s="3301" t="s">
        <v>720</v>
      </c>
      <c r="H14257" s="3063"/>
      <c r="I14257" s="3030"/>
    </row>
    <row r="14258" spans="2:9" ht="25.5">
      <c r="B14258" s="3299" t="s">
        <v>682</v>
      </c>
      <c r="C14258" s="3063"/>
      <c r="D14258" s="3064"/>
      <c r="E14258" s="3064"/>
      <c r="F14258" s="3064"/>
      <c r="G14258" s="3300" t="s">
        <v>682</v>
      </c>
      <c r="H14258" s="3063"/>
      <c r="I14258" s="3030"/>
    </row>
    <row r="14259" spans="2:9" ht="25.5">
      <c r="B14259" s="3192" t="s">
        <v>675</v>
      </c>
      <c r="C14259" s="3063"/>
      <c r="D14259" s="3064"/>
      <c r="E14259" s="3064"/>
      <c r="F14259" s="3064"/>
      <c r="G14259" s="3301" t="s">
        <v>675</v>
      </c>
      <c r="H14259" s="3063"/>
      <c r="I14259" s="3030"/>
    </row>
    <row r="14260" spans="2:9" ht="25.5">
      <c r="B14260" s="3192" t="s">
        <v>676</v>
      </c>
      <c r="C14260" s="3063"/>
      <c r="D14260" s="3064"/>
      <c r="E14260" s="3064"/>
      <c r="F14260" s="3064"/>
      <c r="G14260" s="3301" t="s">
        <v>676</v>
      </c>
      <c r="H14260" s="3063"/>
      <c r="I14260" s="3030"/>
    </row>
    <row r="14261" spans="2:9">
      <c r="B14261" s="3192" t="s">
        <v>677</v>
      </c>
      <c r="C14261" s="3063"/>
      <c r="D14261" s="3064"/>
      <c r="E14261" s="3064"/>
      <c r="F14261" s="3064"/>
      <c r="G14261" s="3301" t="s">
        <v>677</v>
      </c>
      <c r="H14261" s="3063"/>
      <c r="I14261" s="3030"/>
    </row>
    <row r="14262" spans="2:9">
      <c r="B14262" s="3192" t="s">
        <v>678</v>
      </c>
      <c r="C14262" s="3063"/>
      <c r="D14262" s="3064"/>
      <c r="E14262" s="3064"/>
      <c r="F14262" s="3064"/>
      <c r="G14262" s="3301" t="s">
        <v>678</v>
      </c>
      <c r="H14262" s="3063"/>
      <c r="I14262" s="3030"/>
    </row>
    <row r="14263" spans="2:9">
      <c r="B14263" s="3192" t="s">
        <v>679</v>
      </c>
      <c r="C14263" s="3063"/>
      <c r="D14263" s="3064"/>
      <c r="E14263" s="3064"/>
      <c r="F14263" s="3064"/>
      <c r="G14263" s="3301" t="s">
        <v>679</v>
      </c>
      <c r="H14263" s="3063"/>
      <c r="I14263" s="3030"/>
    </row>
    <row r="14264" spans="2:9" ht="25.5">
      <c r="B14264" s="3192" t="s">
        <v>720</v>
      </c>
      <c r="C14264" s="3063"/>
      <c r="D14264" s="3064"/>
      <c r="E14264" s="3064"/>
      <c r="F14264" s="3064"/>
      <c r="G14264" s="3301" t="s">
        <v>720</v>
      </c>
      <c r="H14264" s="3063"/>
      <c r="I14264" s="3030"/>
    </row>
    <row r="14265" spans="2:9" ht="25.5">
      <c r="B14265" s="3299" t="s">
        <v>66</v>
      </c>
      <c r="C14265" s="3063"/>
      <c r="D14265" s="3064"/>
      <c r="E14265" s="3064"/>
      <c r="F14265" s="3064"/>
      <c r="G14265" s="3300" t="s">
        <v>66</v>
      </c>
      <c r="H14265" s="3063"/>
      <c r="I14265" s="3030"/>
    </row>
    <row r="14266" spans="2:9" ht="25.5">
      <c r="B14266" s="3192" t="s">
        <v>675</v>
      </c>
      <c r="C14266" s="3063"/>
      <c r="D14266" s="3064"/>
      <c r="E14266" s="3064"/>
      <c r="F14266" s="3064"/>
      <c r="G14266" s="3301" t="s">
        <v>675</v>
      </c>
      <c r="H14266" s="3063"/>
      <c r="I14266" s="3030"/>
    </row>
    <row r="14267" spans="2:9" ht="25.5">
      <c r="B14267" s="3192" t="s">
        <v>676</v>
      </c>
      <c r="C14267" s="3063"/>
      <c r="D14267" s="3064"/>
      <c r="E14267" s="3064"/>
      <c r="F14267" s="3064"/>
      <c r="G14267" s="3301" t="s">
        <v>676</v>
      </c>
      <c r="H14267" s="3063"/>
      <c r="I14267" s="3030"/>
    </row>
    <row r="14268" spans="2:9">
      <c r="B14268" s="3192" t="s">
        <v>677</v>
      </c>
      <c r="C14268" s="3063"/>
      <c r="D14268" s="3064"/>
      <c r="E14268" s="3064"/>
      <c r="F14268" s="3064"/>
      <c r="G14268" s="3301" t="s">
        <v>677</v>
      </c>
      <c r="H14268" s="3063"/>
      <c r="I14268" s="3030"/>
    </row>
    <row r="14269" spans="2:9">
      <c r="B14269" s="3192" t="s">
        <v>678</v>
      </c>
      <c r="C14269" s="3063"/>
      <c r="D14269" s="3064"/>
      <c r="E14269" s="3064"/>
      <c r="F14269" s="3064"/>
      <c r="G14269" s="3301" t="s">
        <v>678</v>
      </c>
      <c r="H14269" s="3063"/>
      <c r="I14269" s="3030"/>
    </row>
    <row r="14270" spans="2:9">
      <c r="B14270" s="3192" t="s">
        <v>679</v>
      </c>
      <c r="C14270" s="3063"/>
      <c r="D14270" s="3064"/>
      <c r="E14270" s="3064"/>
      <c r="F14270" s="3064"/>
      <c r="G14270" s="3301" t="s">
        <v>679</v>
      </c>
      <c r="H14270" s="3063"/>
      <c r="I14270" s="3030"/>
    </row>
    <row r="14271" spans="2:9" ht="25.5">
      <c r="B14271" s="3192" t="s">
        <v>720</v>
      </c>
      <c r="C14271" s="3063"/>
      <c r="D14271" s="3064"/>
      <c r="E14271" s="3064"/>
      <c r="F14271" s="3064"/>
      <c r="G14271" s="3301" t="s">
        <v>720</v>
      </c>
      <c r="H14271" s="3063"/>
      <c r="I14271" s="3030"/>
    </row>
    <row r="14272" spans="2:9">
      <c r="B14272" s="3299" t="s">
        <v>67</v>
      </c>
      <c r="C14272" s="3063"/>
      <c r="D14272" s="3064"/>
      <c r="E14272" s="3064"/>
      <c r="F14272" s="3064"/>
      <c r="G14272" s="3300" t="s">
        <v>67</v>
      </c>
      <c r="H14272" s="3063"/>
      <c r="I14272" s="3030"/>
    </row>
    <row r="14273" spans="2:9" ht="25.5">
      <c r="B14273" s="3192" t="s">
        <v>675</v>
      </c>
      <c r="C14273" s="3063"/>
      <c r="D14273" s="3064"/>
      <c r="E14273" s="3064"/>
      <c r="F14273" s="3064"/>
      <c r="G14273" s="3301" t="s">
        <v>675</v>
      </c>
      <c r="H14273" s="3063"/>
      <c r="I14273" s="3030"/>
    </row>
    <row r="14274" spans="2:9" ht="25.5">
      <c r="B14274" s="3192" t="s">
        <v>676</v>
      </c>
      <c r="C14274" s="3063"/>
      <c r="D14274" s="3064"/>
      <c r="E14274" s="3064"/>
      <c r="F14274" s="3064"/>
      <c r="G14274" s="3301" t="s">
        <v>676</v>
      </c>
      <c r="H14274" s="3063"/>
      <c r="I14274" s="3030"/>
    </row>
    <row r="14275" spans="2:9">
      <c r="B14275" s="3192" t="s">
        <v>677</v>
      </c>
      <c r="C14275" s="3063"/>
      <c r="D14275" s="3064"/>
      <c r="E14275" s="3064"/>
      <c r="F14275" s="3064"/>
      <c r="G14275" s="3301" t="s">
        <v>677</v>
      </c>
      <c r="H14275" s="3063"/>
      <c r="I14275" s="3030"/>
    </row>
    <row r="14276" spans="2:9">
      <c r="B14276" s="3192" t="s">
        <v>678</v>
      </c>
      <c r="C14276" s="3063"/>
      <c r="D14276" s="3064"/>
      <c r="E14276" s="3064"/>
      <c r="F14276" s="3064"/>
      <c r="G14276" s="3301" t="s">
        <v>678</v>
      </c>
      <c r="H14276" s="3063"/>
      <c r="I14276" s="3030"/>
    </row>
    <row r="14277" spans="2:9">
      <c r="B14277" s="3192" t="s">
        <v>679</v>
      </c>
      <c r="C14277" s="3063"/>
      <c r="D14277" s="3064"/>
      <c r="E14277" s="3064"/>
      <c r="F14277" s="3064"/>
      <c r="G14277" s="3301" t="s">
        <v>679</v>
      </c>
      <c r="H14277" s="3063"/>
      <c r="I14277" s="3030"/>
    </row>
    <row r="14278" spans="2:9" ht="25.5">
      <c r="B14278" s="3230" t="s">
        <v>81</v>
      </c>
      <c r="C14278" s="3063"/>
      <c r="D14278" s="3064"/>
      <c r="E14278" s="3064"/>
      <c r="F14278" s="3064"/>
      <c r="G14278" s="3302" t="s">
        <v>81</v>
      </c>
      <c r="H14278" s="3063"/>
      <c r="I14278" s="3030"/>
    </row>
    <row r="14279" spans="2:9" ht="26.25" thickBot="1">
      <c r="B14279" s="3303" t="s">
        <v>81</v>
      </c>
      <c r="C14279" s="3063"/>
      <c r="D14279" s="3064"/>
      <c r="E14279" s="3064"/>
      <c r="F14279" s="3064"/>
      <c r="G14279" s="3302" t="s">
        <v>81</v>
      </c>
      <c r="H14279" s="3063"/>
      <c r="I14279" s="3030"/>
    </row>
    <row r="14280" spans="2:9">
      <c r="B14280" s="3217" t="s">
        <v>697</v>
      </c>
      <c r="C14280" s="3218"/>
      <c r="D14280" s="3219"/>
      <c r="E14280" s="3219"/>
      <c r="F14280" s="3219"/>
      <c r="G14280" s="3217" t="s">
        <v>697</v>
      </c>
      <c r="H14280" s="3297"/>
      <c r="I14280" s="3298"/>
    </row>
    <row r="14281" spans="2:9">
      <c r="B14281" s="3299" t="s">
        <v>64</v>
      </c>
      <c r="C14281" s="3063"/>
      <c r="D14281" s="3064"/>
      <c r="E14281" s="3064"/>
      <c r="F14281" s="3064"/>
      <c r="G14281" s="3300" t="s">
        <v>64</v>
      </c>
      <c r="H14281" s="3063"/>
      <c r="I14281" s="3030"/>
    </row>
    <row r="14282" spans="2:9" ht="25.5">
      <c r="B14282" s="3192" t="s">
        <v>675</v>
      </c>
      <c r="C14282" s="3063"/>
      <c r="D14282" s="3064"/>
      <c r="E14282" s="3064"/>
      <c r="F14282" s="3064"/>
      <c r="G14282" s="3301" t="s">
        <v>675</v>
      </c>
      <c r="H14282" s="3063"/>
      <c r="I14282" s="3030"/>
    </row>
    <row r="14283" spans="2:9" ht="25.5">
      <c r="B14283" s="3192" t="s">
        <v>676</v>
      </c>
      <c r="C14283" s="3063"/>
      <c r="D14283" s="3064"/>
      <c r="E14283" s="3064"/>
      <c r="F14283" s="3064"/>
      <c r="G14283" s="3301" t="s">
        <v>676</v>
      </c>
      <c r="H14283" s="3063"/>
      <c r="I14283" s="3030"/>
    </row>
    <row r="14284" spans="2:9">
      <c r="B14284" s="3192" t="s">
        <v>677</v>
      </c>
      <c r="C14284" s="3063"/>
      <c r="D14284" s="3064"/>
      <c r="E14284" s="3064"/>
      <c r="F14284" s="3064"/>
      <c r="G14284" s="3301" t="s">
        <v>677</v>
      </c>
      <c r="H14284" s="3063"/>
      <c r="I14284" s="3030"/>
    </row>
    <row r="14285" spans="2:9">
      <c r="B14285" s="3192" t="s">
        <v>678</v>
      </c>
      <c r="C14285" s="3063"/>
      <c r="D14285" s="3064"/>
      <c r="E14285" s="3064"/>
      <c r="F14285" s="3064"/>
      <c r="G14285" s="3301" t="s">
        <v>678</v>
      </c>
      <c r="H14285" s="3063"/>
      <c r="I14285" s="3030"/>
    </row>
    <row r="14286" spans="2:9">
      <c r="B14286" s="3192" t="s">
        <v>679</v>
      </c>
      <c r="C14286" s="3063"/>
      <c r="D14286" s="3064"/>
      <c r="E14286" s="3064"/>
      <c r="F14286" s="3064"/>
      <c r="G14286" s="3301" t="s">
        <v>679</v>
      </c>
      <c r="H14286" s="3063"/>
      <c r="I14286" s="3030"/>
    </row>
    <row r="14287" spans="2:9" ht="25.5">
      <c r="B14287" s="3192" t="s">
        <v>720</v>
      </c>
      <c r="C14287" s="3063"/>
      <c r="D14287" s="3064"/>
      <c r="E14287" s="3064"/>
      <c r="F14287" s="3064"/>
      <c r="G14287" s="3301" t="s">
        <v>720</v>
      </c>
      <c r="H14287" s="3063"/>
      <c r="I14287" s="3030"/>
    </row>
    <row r="14288" spans="2:9">
      <c r="B14288" s="3299" t="s">
        <v>65</v>
      </c>
      <c r="C14288" s="3063"/>
      <c r="D14288" s="3064"/>
      <c r="E14288" s="3064"/>
      <c r="F14288" s="3064"/>
      <c r="G14288" s="3300" t="s">
        <v>65</v>
      </c>
      <c r="H14288" s="3063"/>
      <c r="I14288" s="3030"/>
    </row>
    <row r="14289" spans="2:9" ht="25.5">
      <c r="B14289" s="3192" t="s">
        <v>675</v>
      </c>
      <c r="C14289" s="3063"/>
      <c r="D14289" s="3064"/>
      <c r="E14289" s="3064"/>
      <c r="F14289" s="3064"/>
      <c r="G14289" s="3301" t="s">
        <v>675</v>
      </c>
      <c r="H14289" s="3063"/>
      <c r="I14289" s="3030"/>
    </row>
    <row r="14290" spans="2:9" ht="25.5">
      <c r="B14290" s="3192" t="s">
        <v>676</v>
      </c>
      <c r="C14290" s="3063"/>
      <c r="D14290" s="3064"/>
      <c r="E14290" s="3064"/>
      <c r="F14290" s="3064"/>
      <c r="G14290" s="3301" t="s">
        <v>676</v>
      </c>
      <c r="H14290" s="3063"/>
      <c r="I14290" s="3030"/>
    </row>
    <row r="14291" spans="2:9">
      <c r="B14291" s="3192" t="s">
        <v>677</v>
      </c>
      <c r="C14291" s="3063"/>
      <c r="D14291" s="3064"/>
      <c r="E14291" s="3064"/>
      <c r="F14291" s="3064"/>
      <c r="G14291" s="3301" t="s">
        <v>677</v>
      </c>
      <c r="H14291" s="3063"/>
      <c r="I14291" s="3030"/>
    </row>
    <row r="14292" spans="2:9">
      <c r="B14292" s="3192" t="s">
        <v>678</v>
      </c>
      <c r="C14292" s="3063"/>
      <c r="D14292" s="3064"/>
      <c r="E14292" s="3064"/>
      <c r="F14292" s="3064"/>
      <c r="G14292" s="3301" t="s">
        <v>678</v>
      </c>
      <c r="H14292" s="3063"/>
      <c r="I14292" s="3030"/>
    </row>
    <row r="14293" spans="2:9">
      <c r="B14293" s="3192" t="s">
        <v>679</v>
      </c>
      <c r="C14293" s="3063"/>
      <c r="D14293" s="3064"/>
      <c r="E14293" s="3064"/>
      <c r="F14293" s="3064"/>
      <c r="G14293" s="3301" t="s">
        <v>679</v>
      </c>
      <c r="H14293" s="3063"/>
      <c r="I14293" s="3030"/>
    </row>
    <row r="14294" spans="2:9" ht="25.5">
      <c r="B14294" s="3192" t="s">
        <v>720</v>
      </c>
      <c r="C14294" s="3063"/>
      <c r="D14294" s="3064"/>
      <c r="E14294" s="3064"/>
      <c r="F14294" s="3064"/>
      <c r="G14294" s="3301" t="s">
        <v>720</v>
      </c>
      <c r="H14294" s="3063"/>
      <c r="I14294" s="3030"/>
    </row>
    <row r="14295" spans="2:9">
      <c r="B14295" s="3299" t="s">
        <v>82</v>
      </c>
      <c r="C14295" s="3063"/>
      <c r="D14295" s="3064"/>
      <c r="E14295" s="3064"/>
      <c r="F14295" s="3064"/>
      <c r="G14295" s="3300" t="s">
        <v>82</v>
      </c>
      <c r="H14295" s="3063"/>
      <c r="I14295" s="3030"/>
    </row>
    <row r="14296" spans="2:9" ht="25.5">
      <c r="B14296" s="3192" t="s">
        <v>675</v>
      </c>
      <c r="C14296" s="3063"/>
      <c r="D14296" s="3064"/>
      <c r="E14296" s="3064"/>
      <c r="F14296" s="3064"/>
      <c r="G14296" s="3301" t="s">
        <v>675</v>
      </c>
      <c r="H14296" s="3063"/>
      <c r="I14296" s="3030"/>
    </row>
    <row r="14297" spans="2:9" ht="25.5">
      <c r="B14297" s="3192" t="s">
        <v>676</v>
      </c>
      <c r="C14297" s="3063"/>
      <c r="D14297" s="3064"/>
      <c r="E14297" s="3064"/>
      <c r="F14297" s="3064"/>
      <c r="G14297" s="3301" t="s">
        <v>676</v>
      </c>
      <c r="H14297" s="3063"/>
      <c r="I14297" s="3030"/>
    </row>
    <row r="14298" spans="2:9">
      <c r="B14298" s="3192" t="s">
        <v>677</v>
      </c>
      <c r="C14298" s="3063"/>
      <c r="D14298" s="3064"/>
      <c r="E14298" s="3064"/>
      <c r="F14298" s="3064"/>
      <c r="G14298" s="3301" t="s">
        <v>677</v>
      </c>
      <c r="H14298" s="3063"/>
      <c r="I14298" s="3030"/>
    </row>
    <row r="14299" spans="2:9">
      <c r="B14299" s="3192" t="s">
        <v>678</v>
      </c>
      <c r="C14299" s="3063"/>
      <c r="D14299" s="3064"/>
      <c r="E14299" s="3064"/>
      <c r="F14299" s="3064"/>
      <c r="G14299" s="3301" t="s">
        <v>678</v>
      </c>
      <c r="H14299" s="3063"/>
      <c r="I14299" s="3030"/>
    </row>
    <row r="14300" spans="2:9">
      <c r="B14300" s="3192" t="s">
        <v>679</v>
      </c>
      <c r="C14300" s="3063"/>
      <c r="D14300" s="3064"/>
      <c r="E14300" s="3064"/>
      <c r="F14300" s="3064"/>
      <c r="G14300" s="3301" t="s">
        <v>679</v>
      </c>
      <c r="H14300" s="3063"/>
      <c r="I14300" s="3030"/>
    </row>
    <row r="14301" spans="2:9" ht="25.5">
      <c r="B14301" s="3192" t="s">
        <v>720</v>
      </c>
      <c r="C14301" s="3063"/>
      <c r="D14301" s="3064"/>
      <c r="E14301" s="3064"/>
      <c r="F14301" s="3064"/>
      <c r="G14301" s="3301" t="s">
        <v>720</v>
      </c>
      <c r="H14301" s="3063"/>
      <c r="I14301" s="3030"/>
    </row>
    <row r="14302" spans="2:9" ht="38.25">
      <c r="B14302" s="3299" t="s">
        <v>680</v>
      </c>
      <c r="C14302" s="3063"/>
      <c r="D14302" s="3064"/>
      <c r="E14302" s="3064"/>
      <c r="F14302" s="3064"/>
      <c r="G14302" s="3300" t="s">
        <v>680</v>
      </c>
      <c r="H14302" s="3063"/>
      <c r="I14302" s="3030"/>
    </row>
    <row r="14303" spans="2:9" ht="25.5">
      <c r="B14303" s="3192" t="s">
        <v>675</v>
      </c>
      <c r="C14303" s="3063"/>
      <c r="D14303" s="3064"/>
      <c r="E14303" s="3064"/>
      <c r="F14303" s="3064"/>
      <c r="G14303" s="3301" t="s">
        <v>675</v>
      </c>
      <c r="H14303" s="3063"/>
      <c r="I14303" s="3030"/>
    </row>
    <row r="14304" spans="2:9" ht="25.5">
      <c r="B14304" s="3192" t="s">
        <v>676</v>
      </c>
      <c r="C14304" s="3063"/>
      <c r="D14304" s="3064"/>
      <c r="E14304" s="3064"/>
      <c r="F14304" s="3064"/>
      <c r="G14304" s="3301" t="s">
        <v>676</v>
      </c>
      <c r="H14304" s="3063"/>
      <c r="I14304" s="3030"/>
    </row>
    <row r="14305" spans="2:9">
      <c r="B14305" s="3192" t="s">
        <v>677</v>
      </c>
      <c r="C14305" s="3063"/>
      <c r="D14305" s="3064"/>
      <c r="E14305" s="3064"/>
      <c r="F14305" s="3064"/>
      <c r="G14305" s="3301" t="s">
        <v>677</v>
      </c>
      <c r="H14305" s="3063"/>
      <c r="I14305" s="3030"/>
    </row>
    <row r="14306" spans="2:9">
      <c r="B14306" s="3192" t="s">
        <v>678</v>
      </c>
      <c r="C14306" s="3063"/>
      <c r="D14306" s="3064"/>
      <c r="E14306" s="3064"/>
      <c r="F14306" s="3064"/>
      <c r="G14306" s="3301" t="s">
        <v>678</v>
      </c>
      <c r="H14306" s="3063"/>
      <c r="I14306" s="3030"/>
    </row>
    <row r="14307" spans="2:9">
      <c r="B14307" s="3192" t="s">
        <v>679</v>
      </c>
      <c r="C14307" s="3063"/>
      <c r="D14307" s="3064"/>
      <c r="E14307" s="3064"/>
      <c r="F14307" s="3064"/>
      <c r="G14307" s="3301" t="s">
        <v>679</v>
      </c>
      <c r="H14307" s="3063"/>
      <c r="I14307" s="3030"/>
    </row>
    <row r="14308" spans="2:9" ht="25.5">
      <c r="B14308" s="3192" t="s">
        <v>720</v>
      </c>
      <c r="C14308" s="3063"/>
      <c r="D14308" s="3064"/>
      <c r="E14308" s="3064"/>
      <c r="F14308" s="3064"/>
      <c r="G14308" s="3301" t="s">
        <v>720</v>
      </c>
      <c r="H14308" s="3063"/>
      <c r="I14308" s="3030"/>
    </row>
    <row r="14309" spans="2:9" ht="38.25">
      <c r="B14309" s="3299" t="s">
        <v>681</v>
      </c>
      <c r="C14309" s="3063"/>
      <c r="D14309" s="3064"/>
      <c r="E14309" s="3064"/>
      <c r="F14309" s="3064"/>
      <c r="G14309" s="3300" t="s">
        <v>681</v>
      </c>
      <c r="H14309" s="3063"/>
      <c r="I14309" s="3030"/>
    </row>
    <row r="14310" spans="2:9" ht="25.5">
      <c r="B14310" s="3192" t="s">
        <v>675</v>
      </c>
      <c r="C14310" s="3063"/>
      <c r="D14310" s="3064"/>
      <c r="E14310" s="3064"/>
      <c r="F14310" s="3064"/>
      <c r="G14310" s="3301" t="s">
        <v>675</v>
      </c>
      <c r="H14310" s="3063"/>
      <c r="I14310" s="3030"/>
    </row>
    <row r="14311" spans="2:9" ht="25.5">
      <c r="B14311" s="3192" t="s">
        <v>676</v>
      </c>
      <c r="C14311" s="3063"/>
      <c r="D14311" s="3064"/>
      <c r="E14311" s="3064"/>
      <c r="F14311" s="3064"/>
      <c r="G14311" s="3301" t="s">
        <v>676</v>
      </c>
      <c r="H14311" s="3063"/>
      <c r="I14311" s="3030"/>
    </row>
    <row r="14312" spans="2:9">
      <c r="B14312" s="3192" t="s">
        <v>677</v>
      </c>
      <c r="C14312" s="3063"/>
      <c r="D14312" s="3064"/>
      <c r="E14312" s="3064"/>
      <c r="F14312" s="3064"/>
      <c r="G14312" s="3301" t="s">
        <v>677</v>
      </c>
      <c r="H14312" s="3063"/>
      <c r="I14312" s="3030"/>
    </row>
    <row r="14313" spans="2:9">
      <c r="B14313" s="3192" t="s">
        <v>678</v>
      </c>
      <c r="C14313" s="3063"/>
      <c r="D14313" s="3064"/>
      <c r="E14313" s="3064"/>
      <c r="F14313" s="3064"/>
      <c r="G14313" s="3301" t="s">
        <v>678</v>
      </c>
      <c r="H14313" s="3063"/>
      <c r="I14313" s="3030"/>
    </row>
    <row r="14314" spans="2:9">
      <c r="B14314" s="3192" t="s">
        <v>679</v>
      </c>
      <c r="C14314" s="3063"/>
      <c r="D14314" s="3064"/>
      <c r="E14314" s="3064"/>
      <c r="F14314" s="3064"/>
      <c r="G14314" s="3301" t="s">
        <v>679</v>
      </c>
      <c r="H14314" s="3063"/>
      <c r="I14314" s="3030"/>
    </row>
    <row r="14315" spans="2:9" ht="25.5">
      <c r="B14315" s="3192" t="s">
        <v>720</v>
      </c>
      <c r="C14315" s="3063"/>
      <c r="D14315" s="3064"/>
      <c r="E14315" s="3064"/>
      <c r="F14315" s="3064"/>
      <c r="G14315" s="3301" t="s">
        <v>720</v>
      </c>
      <c r="H14315" s="3063"/>
      <c r="I14315" s="3030"/>
    </row>
    <row r="14316" spans="2:9" ht="25.5">
      <c r="B14316" s="3299" t="s">
        <v>682</v>
      </c>
      <c r="C14316" s="3063"/>
      <c r="D14316" s="3064"/>
      <c r="E14316" s="3064"/>
      <c r="F14316" s="3064"/>
      <c r="G14316" s="3300" t="s">
        <v>682</v>
      </c>
      <c r="H14316" s="3063">
        <v>0.21119324181626195</v>
      </c>
      <c r="I14316" s="3030"/>
    </row>
    <row r="14317" spans="2:9" ht="25.5">
      <c r="B14317" s="3192" t="s">
        <v>675</v>
      </c>
      <c r="C14317" s="3063"/>
      <c r="D14317" s="3064"/>
      <c r="E14317" s="3064"/>
      <c r="F14317" s="3064"/>
      <c r="G14317" s="3301" t="s">
        <v>675</v>
      </c>
      <c r="H14317" s="3063"/>
      <c r="I14317" s="3030"/>
    </row>
    <row r="14318" spans="2:9" ht="25.5">
      <c r="B14318" s="3192" t="s">
        <v>676</v>
      </c>
      <c r="C14318" s="3063"/>
      <c r="D14318" s="3064"/>
      <c r="E14318" s="3064"/>
      <c r="F14318" s="3064"/>
      <c r="G14318" s="3301" t="s">
        <v>676</v>
      </c>
      <c r="H14318" s="3063"/>
      <c r="I14318" s="3030"/>
    </row>
    <row r="14319" spans="2:9">
      <c r="B14319" s="3192" t="s">
        <v>677</v>
      </c>
      <c r="C14319" s="3063"/>
      <c r="D14319" s="3064"/>
      <c r="E14319" s="3064"/>
      <c r="F14319" s="3064"/>
      <c r="G14319" s="3301" t="s">
        <v>677</v>
      </c>
      <c r="H14319" s="3063"/>
      <c r="I14319" s="3030"/>
    </row>
    <row r="14320" spans="2:9">
      <c r="B14320" s="3192" t="s">
        <v>678</v>
      </c>
      <c r="C14320" s="3063"/>
      <c r="D14320" s="3064">
        <v>1</v>
      </c>
      <c r="E14320" s="3064"/>
      <c r="F14320" s="3064"/>
      <c r="G14320" s="3301" t="s">
        <v>678</v>
      </c>
      <c r="H14320" s="3063"/>
      <c r="I14320" s="3030"/>
    </row>
    <row r="14321" spans="2:9">
      <c r="B14321" s="3192" t="s">
        <v>679</v>
      </c>
      <c r="C14321" s="3063"/>
      <c r="D14321" s="3064"/>
      <c r="E14321" s="3064"/>
      <c r="F14321" s="3064"/>
      <c r="G14321" s="3301" t="s">
        <v>679</v>
      </c>
      <c r="H14321" s="3063"/>
      <c r="I14321" s="3030"/>
    </row>
    <row r="14322" spans="2:9" ht="25.5">
      <c r="B14322" s="3192" t="s">
        <v>720</v>
      </c>
      <c r="C14322" s="3063"/>
      <c r="D14322" s="3064"/>
      <c r="E14322" s="3064"/>
      <c r="F14322" s="3064"/>
      <c r="G14322" s="3301" t="s">
        <v>720</v>
      </c>
      <c r="H14322" s="3063"/>
      <c r="I14322" s="3030"/>
    </row>
    <row r="14323" spans="2:9" ht="25.5">
      <c r="B14323" s="3299" t="s">
        <v>66</v>
      </c>
      <c r="C14323" s="3063"/>
      <c r="D14323" s="3064"/>
      <c r="E14323" s="3064"/>
      <c r="F14323" s="3064"/>
      <c r="G14323" s="3300" t="s">
        <v>66</v>
      </c>
      <c r="H14323" s="3063"/>
      <c r="I14323" s="3030"/>
    </row>
    <row r="14324" spans="2:9" ht="25.5">
      <c r="B14324" s="3192" t="s">
        <v>675</v>
      </c>
      <c r="C14324" s="3063"/>
      <c r="D14324" s="3064"/>
      <c r="E14324" s="3064"/>
      <c r="F14324" s="3064"/>
      <c r="G14324" s="3301" t="s">
        <v>675</v>
      </c>
      <c r="H14324" s="3063"/>
      <c r="I14324" s="3030"/>
    </row>
    <row r="14325" spans="2:9" ht="25.5">
      <c r="B14325" s="3192" t="s">
        <v>676</v>
      </c>
      <c r="C14325" s="3063"/>
      <c r="D14325" s="3064"/>
      <c r="E14325" s="3064"/>
      <c r="F14325" s="3064"/>
      <c r="G14325" s="3301" t="s">
        <v>676</v>
      </c>
      <c r="H14325" s="3063"/>
      <c r="I14325" s="3030"/>
    </row>
    <row r="14326" spans="2:9">
      <c r="B14326" s="3192" t="s">
        <v>677</v>
      </c>
      <c r="C14326" s="3063"/>
      <c r="D14326" s="3064"/>
      <c r="E14326" s="3064"/>
      <c r="F14326" s="3064"/>
      <c r="G14326" s="3301" t="s">
        <v>677</v>
      </c>
      <c r="H14326" s="3063"/>
      <c r="I14326" s="3030"/>
    </row>
    <row r="14327" spans="2:9">
      <c r="B14327" s="3192" t="s">
        <v>678</v>
      </c>
      <c r="C14327" s="3063"/>
      <c r="D14327" s="3064"/>
      <c r="E14327" s="3064"/>
      <c r="F14327" s="3064"/>
      <c r="G14327" s="3301" t="s">
        <v>678</v>
      </c>
      <c r="H14327" s="3063"/>
      <c r="I14327" s="3030"/>
    </row>
    <row r="14328" spans="2:9">
      <c r="B14328" s="3192" t="s">
        <v>679</v>
      </c>
      <c r="C14328" s="3063"/>
      <c r="D14328" s="3064"/>
      <c r="E14328" s="3064"/>
      <c r="F14328" s="3064"/>
      <c r="G14328" s="3301" t="s">
        <v>679</v>
      </c>
      <c r="H14328" s="3063"/>
      <c r="I14328" s="3030"/>
    </row>
    <row r="14329" spans="2:9" ht="25.5">
      <c r="B14329" s="3192" t="s">
        <v>720</v>
      </c>
      <c r="C14329" s="3063"/>
      <c r="D14329" s="3064"/>
      <c r="E14329" s="3064"/>
      <c r="F14329" s="3064"/>
      <c r="G14329" s="3301" t="s">
        <v>720</v>
      </c>
      <c r="H14329" s="3063"/>
      <c r="I14329" s="3030"/>
    </row>
    <row r="14330" spans="2:9">
      <c r="B14330" s="3299" t="s">
        <v>67</v>
      </c>
      <c r="C14330" s="3063"/>
      <c r="D14330" s="3064"/>
      <c r="E14330" s="3064"/>
      <c r="F14330" s="3064"/>
      <c r="G14330" s="3300" t="s">
        <v>67</v>
      </c>
      <c r="H14330" s="3063"/>
      <c r="I14330" s="3030"/>
    </row>
    <row r="14331" spans="2:9" ht="25.5">
      <c r="B14331" s="3192" t="s">
        <v>675</v>
      </c>
      <c r="C14331" s="3063"/>
      <c r="D14331" s="3064"/>
      <c r="E14331" s="3064"/>
      <c r="F14331" s="3064"/>
      <c r="G14331" s="3301" t="s">
        <v>675</v>
      </c>
      <c r="H14331" s="3063"/>
      <c r="I14331" s="3030"/>
    </row>
    <row r="14332" spans="2:9" ht="25.5">
      <c r="B14332" s="3192" t="s">
        <v>676</v>
      </c>
      <c r="C14332" s="3063"/>
      <c r="D14332" s="3064"/>
      <c r="E14332" s="3064"/>
      <c r="F14332" s="3064"/>
      <c r="G14332" s="3301" t="s">
        <v>676</v>
      </c>
      <c r="H14332" s="3063"/>
      <c r="I14332" s="3030"/>
    </row>
    <row r="14333" spans="2:9">
      <c r="B14333" s="3192" t="s">
        <v>677</v>
      </c>
      <c r="C14333" s="3063"/>
      <c r="D14333" s="3064"/>
      <c r="E14333" s="3064"/>
      <c r="F14333" s="3064"/>
      <c r="G14333" s="3301" t="s">
        <v>677</v>
      </c>
      <c r="H14333" s="3063"/>
      <c r="I14333" s="3030"/>
    </row>
    <row r="14334" spans="2:9">
      <c r="B14334" s="3192" t="s">
        <v>678</v>
      </c>
      <c r="C14334" s="3063"/>
      <c r="D14334" s="3064"/>
      <c r="E14334" s="3064"/>
      <c r="F14334" s="3064"/>
      <c r="G14334" s="3301" t="s">
        <v>678</v>
      </c>
      <c r="H14334" s="3063"/>
      <c r="I14334" s="3030"/>
    </row>
    <row r="14335" spans="2:9">
      <c r="B14335" s="3192" t="s">
        <v>679</v>
      </c>
      <c r="C14335" s="3063"/>
      <c r="D14335" s="3064"/>
      <c r="E14335" s="3064"/>
      <c r="F14335" s="3064"/>
      <c r="G14335" s="3301" t="s">
        <v>679</v>
      </c>
      <c r="H14335" s="3063"/>
      <c r="I14335" s="3030"/>
    </row>
    <row r="14336" spans="2:9" ht="25.5">
      <c r="B14336" s="3230" t="s">
        <v>81</v>
      </c>
      <c r="C14336" s="3063"/>
      <c r="D14336" s="3064"/>
      <c r="E14336" s="3064"/>
      <c r="F14336" s="3064"/>
      <c r="G14336" s="3302" t="s">
        <v>81</v>
      </c>
      <c r="H14336" s="3063"/>
      <c r="I14336" s="3030"/>
    </row>
    <row r="14337" spans="2:9" ht="26.25" thickBot="1">
      <c r="B14337" s="3303" t="s">
        <v>81</v>
      </c>
      <c r="C14337" s="3068"/>
      <c r="D14337" s="3069"/>
      <c r="E14337" s="3069"/>
      <c r="F14337" s="3069"/>
      <c r="G14337" s="3304" t="s">
        <v>81</v>
      </c>
      <c r="H14337" s="3068"/>
      <c r="I14337" s="3070"/>
    </row>
    <row r="14338" spans="2:9" ht="38.25">
      <c r="B14338" s="4723">
        <v>3380</v>
      </c>
      <c r="C14338" s="3289"/>
      <c r="D14338" s="3290"/>
      <c r="E14338" s="3290"/>
      <c r="F14338" s="3290"/>
      <c r="G14338" s="4723">
        <v>3380</v>
      </c>
      <c r="H14338" s="3291" t="s">
        <v>687</v>
      </c>
      <c r="I14338" s="3292" t="s">
        <v>688</v>
      </c>
    </row>
    <row r="14339" spans="2:9">
      <c r="B14339" s="4724"/>
      <c r="C14339" s="4678" t="s">
        <v>686</v>
      </c>
      <c r="D14339" s="4725"/>
      <c r="E14339" s="4725"/>
      <c r="F14339" s="4726"/>
      <c r="G14339" s="4724"/>
      <c r="H14339" s="3293"/>
      <c r="I14339" s="3294"/>
    </row>
    <row r="14340" spans="2:9" ht="13.5" thickBot="1">
      <c r="B14340" s="4724"/>
      <c r="C14340" s="3215">
        <v>2013</v>
      </c>
      <c r="D14340" s="3215">
        <v>2014</v>
      </c>
      <c r="E14340" s="3215">
        <v>2015</v>
      </c>
      <c r="F14340" s="3215">
        <v>2016</v>
      </c>
      <c r="G14340" s="4724"/>
      <c r="H14340" s="3295" t="s">
        <v>390</v>
      </c>
      <c r="I14340" s="3296" t="s">
        <v>390</v>
      </c>
    </row>
    <row r="14341" spans="2:9">
      <c r="B14341" s="3217" t="s">
        <v>695</v>
      </c>
      <c r="C14341" s="3218"/>
      <c r="D14341" s="3219"/>
      <c r="E14341" s="3219"/>
      <c r="F14341" s="3219"/>
      <c r="G14341" s="3217" t="s">
        <v>695</v>
      </c>
      <c r="H14341" s="3297"/>
      <c r="I14341" s="3298"/>
    </row>
    <row r="14342" spans="2:9">
      <c r="B14342" s="3299" t="s">
        <v>64</v>
      </c>
      <c r="C14342" s="3063"/>
      <c r="D14342" s="3064"/>
      <c r="E14342" s="3064"/>
      <c r="F14342" s="3064">
        <v>1</v>
      </c>
      <c r="G14342" s="3300" t="s">
        <v>64</v>
      </c>
      <c r="H14342" s="3063">
        <v>0.24673081667900323</v>
      </c>
      <c r="I14342" s="3030"/>
    </row>
    <row r="14343" spans="2:9" ht="25.5">
      <c r="B14343" s="3192" t="s">
        <v>675</v>
      </c>
      <c r="C14343" s="3063"/>
      <c r="D14343" s="3064">
        <v>2</v>
      </c>
      <c r="E14343" s="3064"/>
      <c r="F14343" s="3064"/>
      <c r="G14343" s="3301" t="s">
        <v>675</v>
      </c>
      <c r="H14343" s="3063"/>
      <c r="I14343" s="3030">
        <v>0.29607698001480387</v>
      </c>
    </row>
    <row r="14344" spans="2:9" ht="25.5">
      <c r="B14344" s="3192" t="s">
        <v>676</v>
      </c>
      <c r="C14344" s="3063"/>
      <c r="D14344" s="3064"/>
      <c r="E14344" s="3064"/>
      <c r="F14344" s="3064"/>
      <c r="G14344" s="3301" t="s">
        <v>676</v>
      </c>
      <c r="H14344" s="3063"/>
      <c r="I14344" s="3030"/>
    </row>
    <row r="14345" spans="2:9">
      <c r="B14345" s="3192" t="s">
        <v>677</v>
      </c>
      <c r="C14345" s="3063"/>
      <c r="D14345" s="3064"/>
      <c r="E14345" s="3064"/>
      <c r="F14345" s="3064"/>
      <c r="G14345" s="3301" t="s">
        <v>677</v>
      </c>
      <c r="H14345" s="3063"/>
      <c r="I14345" s="3030"/>
    </row>
    <row r="14346" spans="2:9">
      <c r="B14346" s="3192" t="s">
        <v>678</v>
      </c>
      <c r="C14346" s="3063"/>
      <c r="D14346" s="3064">
        <v>2</v>
      </c>
      <c r="E14346" s="3064"/>
      <c r="F14346" s="3064"/>
      <c r="G14346" s="3301" t="s">
        <v>678</v>
      </c>
      <c r="H14346" s="3063"/>
      <c r="I14346" s="3030"/>
    </row>
    <row r="14347" spans="2:9">
      <c r="B14347" s="3192" t="s">
        <v>679</v>
      </c>
      <c r="C14347" s="3063"/>
      <c r="D14347" s="3064"/>
      <c r="E14347" s="3064"/>
      <c r="F14347" s="3064"/>
      <c r="G14347" s="3301" t="s">
        <v>679</v>
      </c>
      <c r="H14347" s="3063"/>
      <c r="I14347" s="3030"/>
    </row>
    <row r="14348" spans="2:9" ht="25.5">
      <c r="B14348" s="3192" t="s">
        <v>720</v>
      </c>
      <c r="C14348" s="3063"/>
      <c r="D14348" s="3064"/>
      <c r="E14348" s="3064"/>
      <c r="F14348" s="3064"/>
      <c r="G14348" s="3301" t="s">
        <v>720</v>
      </c>
      <c r="H14348" s="3063"/>
      <c r="I14348" s="3030"/>
    </row>
    <row r="14349" spans="2:9">
      <c r="B14349" s="3299" t="s">
        <v>65</v>
      </c>
      <c r="C14349" s="3063"/>
      <c r="D14349" s="3064"/>
      <c r="E14349" s="3064"/>
      <c r="F14349" s="3064"/>
      <c r="G14349" s="3300" t="s">
        <v>65</v>
      </c>
      <c r="H14349" s="3063">
        <v>2.7333606669400014E-2</v>
      </c>
      <c r="I14349" s="3030"/>
    </row>
    <row r="14350" spans="2:9" ht="25.5">
      <c r="B14350" s="3192" t="s">
        <v>675</v>
      </c>
      <c r="C14350" s="3063"/>
      <c r="D14350" s="3064"/>
      <c r="E14350" s="3064"/>
      <c r="F14350" s="3064"/>
      <c r="G14350" s="3301" t="s">
        <v>675</v>
      </c>
      <c r="H14350" s="3063"/>
      <c r="I14350" s="3030"/>
    </row>
    <row r="14351" spans="2:9" ht="25.5">
      <c r="B14351" s="3192" t="s">
        <v>676</v>
      </c>
      <c r="C14351" s="3063"/>
      <c r="D14351" s="3064"/>
      <c r="E14351" s="3064"/>
      <c r="F14351" s="3064"/>
      <c r="G14351" s="3301" t="s">
        <v>676</v>
      </c>
      <c r="H14351" s="3063"/>
      <c r="I14351" s="3030"/>
    </row>
    <row r="14352" spans="2:9">
      <c r="B14352" s="3192" t="s">
        <v>677</v>
      </c>
      <c r="C14352" s="3063"/>
      <c r="D14352" s="3064"/>
      <c r="E14352" s="3064"/>
      <c r="F14352" s="3064"/>
      <c r="G14352" s="3301" t="s">
        <v>677</v>
      </c>
      <c r="H14352" s="3063"/>
      <c r="I14352" s="3030"/>
    </row>
    <row r="14353" spans="2:9">
      <c r="B14353" s="3192" t="s">
        <v>678</v>
      </c>
      <c r="C14353" s="3063"/>
      <c r="D14353" s="3064">
        <v>1</v>
      </c>
      <c r="E14353" s="3064"/>
      <c r="F14353" s="3064"/>
      <c r="G14353" s="3301" t="s">
        <v>678</v>
      </c>
      <c r="H14353" s="3063"/>
      <c r="I14353" s="3030"/>
    </row>
    <row r="14354" spans="2:9">
      <c r="B14354" s="3192" t="s">
        <v>679</v>
      </c>
      <c r="C14354" s="3063"/>
      <c r="D14354" s="3064"/>
      <c r="E14354" s="3064"/>
      <c r="F14354" s="3064"/>
      <c r="G14354" s="3301" t="s">
        <v>679</v>
      </c>
      <c r="H14354" s="3063"/>
      <c r="I14354" s="3030"/>
    </row>
    <row r="14355" spans="2:9" ht="25.5">
      <c r="B14355" s="3192" t="s">
        <v>720</v>
      </c>
      <c r="C14355" s="3063"/>
      <c r="D14355" s="3064"/>
      <c r="E14355" s="3064"/>
      <c r="F14355" s="3064"/>
      <c r="G14355" s="3301" t="s">
        <v>720</v>
      </c>
      <c r="H14355" s="3063"/>
      <c r="I14355" s="3030"/>
    </row>
    <row r="14356" spans="2:9">
      <c r="B14356" s="3299" t="s">
        <v>82</v>
      </c>
      <c r="C14356" s="3063"/>
      <c r="D14356" s="3064"/>
      <c r="E14356" s="3064"/>
      <c r="F14356" s="3064"/>
      <c r="G14356" s="3300" t="s">
        <v>82</v>
      </c>
      <c r="H14356" s="3063"/>
      <c r="I14356" s="3030"/>
    </row>
    <row r="14357" spans="2:9" ht="25.5">
      <c r="B14357" s="3192" t="s">
        <v>675</v>
      </c>
      <c r="C14357" s="3063"/>
      <c r="D14357" s="3064"/>
      <c r="E14357" s="3064"/>
      <c r="F14357" s="3064"/>
      <c r="G14357" s="3301" t="s">
        <v>675</v>
      </c>
      <c r="H14357" s="3063"/>
      <c r="I14357" s="3030"/>
    </row>
    <row r="14358" spans="2:9" ht="25.5">
      <c r="B14358" s="3192" t="s">
        <v>676</v>
      </c>
      <c r="C14358" s="3063"/>
      <c r="D14358" s="3064"/>
      <c r="E14358" s="3064"/>
      <c r="F14358" s="3064"/>
      <c r="G14358" s="3301" t="s">
        <v>676</v>
      </c>
      <c r="H14358" s="3063"/>
      <c r="I14358" s="3030"/>
    </row>
    <row r="14359" spans="2:9">
      <c r="B14359" s="3192" t="s">
        <v>677</v>
      </c>
      <c r="C14359" s="3063"/>
      <c r="D14359" s="3064"/>
      <c r="E14359" s="3064"/>
      <c r="F14359" s="3064"/>
      <c r="G14359" s="3301" t="s">
        <v>677</v>
      </c>
      <c r="H14359" s="3063"/>
      <c r="I14359" s="3030"/>
    </row>
    <row r="14360" spans="2:9">
      <c r="B14360" s="3192" t="s">
        <v>678</v>
      </c>
      <c r="C14360" s="3063"/>
      <c r="D14360" s="3064"/>
      <c r="E14360" s="3064"/>
      <c r="F14360" s="3064"/>
      <c r="G14360" s="3301" t="s">
        <v>678</v>
      </c>
      <c r="H14360" s="3063"/>
      <c r="I14360" s="3030"/>
    </row>
    <row r="14361" spans="2:9">
      <c r="B14361" s="3192" t="s">
        <v>679</v>
      </c>
      <c r="C14361" s="3063"/>
      <c r="D14361" s="3064"/>
      <c r="E14361" s="3064"/>
      <c r="F14361" s="3064"/>
      <c r="G14361" s="3301" t="s">
        <v>679</v>
      </c>
      <c r="H14361" s="3063"/>
      <c r="I14361" s="3030"/>
    </row>
    <row r="14362" spans="2:9" ht="25.5">
      <c r="B14362" s="3192" t="s">
        <v>720</v>
      </c>
      <c r="C14362" s="3063"/>
      <c r="D14362" s="3064"/>
      <c r="E14362" s="3064"/>
      <c r="F14362" s="3064"/>
      <c r="G14362" s="3301" t="s">
        <v>720</v>
      </c>
      <c r="H14362" s="3063"/>
      <c r="I14362" s="3030"/>
    </row>
    <row r="14363" spans="2:9" ht="38.25">
      <c r="B14363" s="3299" t="s">
        <v>680</v>
      </c>
      <c r="C14363" s="3063"/>
      <c r="D14363" s="3064"/>
      <c r="E14363" s="3064"/>
      <c r="F14363" s="3064"/>
      <c r="G14363" s="3300" t="s">
        <v>680</v>
      </c>
      <c r="H14363" s="3063"/>
      <c r="I14363" s="3030"/>
    </row>
    <row r="14364" spans="2:9" ht="25.5">
      <c r="B14364" s="3192" t="s">
        <v>675</v>
      </c>
      <c r="C14364" s="3063"/>
      <c r="D14364" s="3064"/>
      <c r="E14364" s="3064"/>
      <c r="F14364" s="3064"/>
      <c r="G14364" s="3301" t="s">
        <v>675</v>
      </c>
      <c r="H14364" s="3063"/>
      <c r="I14364" s="3030"/>
    </row>
    <row r="14365" spans="2:9" ht="25.5">
      <c r="B14365" s="3192" t="s">
        <v>676</v>
      </c>
      <c r="C14365" s="3063"/>
      <c r="D14365" s="3064"/>
      <c r="E14365" s="3064"/>
      <c r="F14365" s="3064"/>
      <c r="G14365" s="3301" t="s">
        <v>676</v>
      </c>
      <c r="H14365" s="3063"/>
      <c r="I14365" s="3030"/>
    </row>
    <row r="14366" spans="2:9">
      <c r="B14366" s="3192" t="s">
        <v>677</v>
      </c>
      <c r="C14366" s="3063"/>
      <c r="D14366" s="3064"/>
      <c r="E14366" s="3064"/>
      <c r="F14366" s="3064"/>
      <c r="G14366" s="3301" t="s">
        <v>677</v>
      </c>
      <c r="H14366" s="3063"/>
      <c r="I14366" s="3030"/>
    </row>
    <row r="14367" spans="2:9">
      <c r="B14367" s="3192" t="s">
        <v>678</v>
      </c>
      <c r="C14367" s="3063"/>
      <c r="D14367" s="3064"/>
      <c r="E14367" s="3064"/>
      <c r="F14367" s="3064"/>
      <c r="G14367" s="3301" t="s">
        <v>678</v>
      </c>
      <c r="H14367" s="3063"/>
      <c r="I14367" s="3030"/>
    </row>
    <row r="14368" spans="2:9">
      <c r="B14368" s="3192" t="s">
        <v>679</v>
      </c>
      <c r="C14368" s="3063"/>
      <c r="D14368" s="3064"/>
      <c r="E14368" s="3064"/>
      <c r="F14368" s="3064"/>
      <c r="G14368" s="3301" t="s">
        <v>679</v>
      </c>
      <c r="H14368" s="3063"/>
      <c r="I14368" s="3030"/>
    </row>
    <row r="14369" spans="2:9" ht="25.5">
      <c r="B14369" s="3192" t="s">
        <v>720</v>
      </c>
      <c r="C14369" s="3063"/>
      <c r="D14369" s="3064"/>
      <c r="E14369" s="3064"/>
      <c r="F14369" s="3064"/>
      <c r="G14369" s="3301" t="s">
        <v>720</v>
      </c>
      <c r="H14369" s="3063"/>
      <c r="I14369" s="3030"/>
    </row>
    <row r="14370" spans="2:9" ht="38.25">
      <c r="B14370" s="3299" t="s">
        <v>681</v>
      </c>
      <c r="C14370" s="3063"/>
      <c r="D14370" s="3064"/>
      <c r="E14370" s="3064"/>
      <c r="F14370" s="3064"/>
      <c r="G14370" s="3300" t="s">
        <v>681</v>
      </c>
      <c r="H14370" s="3063"/>
      <c r="I14370" s="3030"/>
    </row>
    <row r="14371" spans="2:9" ht="25.5">
      <c r="B14371" s="3192" t="s">
        <v>675</v>
      </c>
      <c r="C14371" s="3063"/>
      <c r="D14371" s="3064"/>
      <c r="E14371" s="3064"/>
      <c r="F14371" s="3064"/>
      <c r="G14371" s="3301" t="s">
        <v>675</v>
      </c>
      <c r="H14371" s="3063"/>
      <c r="I14371" s="3030"/>
    </row>
    <row r="14372" spans="2:9" ht="25.5">
      <c r="B14372" s="3192" t="s">
        <v>676</v>
      </c>
      <c r="C14372" s="3063"/>
      <c r="D14372" s="3064"/>
      <c r="E14372" s="3064"/>
      <c r="F14372" s="3064"/>
      <c r="G14372" s="3301" t="s">
        <v>676</v>
      </c>
      <c r="H14372" s="3063"/>
      <c r="I14372" s="3030"/>
    </row>
    <row r="14373" spans="2:9">
      <c r="B14373" s="3192" t="s">
        <v>677</v>
      </c>
      <c r="C14373" s="3063"/>
      <c r="D14373" s="3064"/>
      <c r="E14373" s="3064"/>
      <c r="F14373" s="3064"/>
      <c r="G14373" s="3301" t="s">
        <v>677</v>
      </c>
      <c r="H14373" s="3063"/>
      <c r="I14373" s="3030"/>
    </row>
    <row r="14374" spans="2:9">
      <c r="B14374" s="3192" t="s">
        <v>678</v>
      </c>
      <c r="C14374" s="3063"/>
      <c r="D14374" s="3064"/>
      <c r="E14374" s="3064"/>
      <c r="F14374" s="3064"/>
      <c r="G14374" s="3301" t="s">
        <v>678</v>
      </c>
      <c r="H14374" s="3063"/>
      <c r="I14374" s="3030"/>
    </row>
    <row r="14375" spans="2:9">
      <c r="B14375" s="3192" t="s">
        <v>679</v>
      </c>
      <c r="C14375" s="3063"/>
      <c r="D14375" s="3064"/>
      <c r="E14375" s="3064"/>
      <c r="F14375" s="3064"/>
      <c r="G14375" s="3301" t="s">
        <v>679</v>
      </c>
      <c r="H14375" s="3063"/>
      <c r="I14375" s="3030"/>
    </row>
    <row r="14376" spans="2:9" ht="25.5">
      <c r="B14376" s="3192" t="s">
        <v>720</v>
      </c>
      <c r="C14376" s="3063"/>
      <c r="D14376" s="3064"/>
      <c r="E14376" s="3064"/>
      <c r="F14376" s="3064"/>
      <c r="G14376" s="3301" t="s">
        <v>720</v>
      </c>
      <c r="H14376" s="3063"/>
      <c r="I14376" s="3030"/>
    </row>
    <row r="14377" spans="2:9" ht="25.5">
      <c r="B14377" s="3299" t="s">
        <v>682</v>
      </c>
      <c r="C14377" s="3063"/>
      <c r="D14377" s="3064"/>
      <c r="E14377" s="3064"/>
      <c r="F14377" s="3064"/>
      <c r="G14377" s="3300" t="s">
        <v>682</v>
      </c>
      <c r="H14377" s="3063"/>
      <c r="I14377" s="3030"/>
    </row>
    <row r="14378" spans="2:9" ht="25.5">
      <c r="B14378" s="3192" t="s">
        <v>675</v>
      </c>
      <c r="C14378" s="3063"/>
      <c r="D14378" s="3064"/>
      <c r="E14378" s="3064"/>
      <c r="F14378" s="3064"/>
      <c r="G14378" s="3301" t="s">
        <v>675</v>
      </c>
      <c r="H14378" s="3063"/>
      <c r="I14378" s="3030"/>
    </row>
    <row r="14379" spans="2:9" ht="25.5">
      <c r="B14379" s="3192" t="s">
        <v>676</v>
      </c>
      <c r="C14379" s="3063"/>
      <c r="D14379" s="3064"/>
      <c r="E14379" s="3064"/>
      <c r="F14379" s="3064"/>
      <c r="G14379" s="3301" t="s">
        <v>676</v>
      </c>
      <c r="H14379" s="3063"/>
      <c r="I14379" s="3030"/>
    </row>
    <row r="14380" spans="2:9">
      <c r="B14380" s="3192" t="s">
        <v>677</v>
      </c>
      <c r="C14380" s="3063"/>
      <c r="D14380" s="3064"/>
      <c r="E14380" s="3064"/>
      <c r="F14380" s="3064"/>
      <c r="G14380" s="3301" t="s">
        <v>677</v>
      </c>
      <c r="H14380" s="3063"/>
      <c r="I14380" s="3030"/>
    </row>
    <row r="14381" spans="2:9">
      <c r="B14381" s="3192" t="s">
        <v>678</v>
      </c>
      <c r="C14381" s="3063"/>
      <c r="D14381" s="3064"/>
      <c r="E14381" s="3064"/>
      <c r="F14381" s="3064"/>
      <c r="G14381" s="3301" t="s">
        <v>678</v>
      </c>
      <c r="H14381" s="3063"/>
      <c r="I14381" s="3030"/>
    </row>
    <row r="14382" spans="2:9">
      <c r="B14382" s="3192" t="s">
        <v>679</v>
      </c>
      <c r="C14382" s="3063"/>
      <c r="D14382" s="3064"/>
      <c r="E14382" s="3064"/>
      <c r="F14382" s="3064"/>
      <c r="G14382" s="3301" t="s">
        <v>679</v>
      </c>
      <c r="H14382" s="3063"/>
      <c r="I14382" s="3030"/>
    </row>
    <row r="14383" spans="2:9" ht="25.5">
      <c r="B14383" s="3192" t="s">
        <v>720</v>
      </c>
      <c r="C14383" s="3063"/>
      <c r="D14383" s="3064"/>
      <c r="E14383" s="3064"/>
      <c r="F14383" s="3064"/>
      <c r="G14383" s="3301" t="s">
        <v>720</v>
      </c>
      <c r="H14383" s="3063"/>
      <c r="I14383" s="3030"/>
    </row>
    <row r="14384" spans="2:9" ht="25.5">
      <c r="B14384" s="3299" t="s">
        <v>66</v>
      </c>
      <c r="C14384" s="3063"/>
      <c r="D14384" s="3064"/>
      <c r="E14384" s="3064"/>
      <c r="F14384" s="3064"/>
      <c r="G14384" s="3300" t="s">
        <v>66</v>
      </c>
      <c r="H14384" s="3063">
        <v>3.5663338088445076</v>
      </c>
      <c r="I14384" s="3030"/>
    </row>
    <row r="14385" spans="2:9" ht="25.5">
      <c r="B14385" s="3192" t="s">
        <v>675</v>
      </c>
      <c r="C14385" s="3063">
        <v>4</v>
      </c>
      <c r="D14385" s="3064">
        <v>1</v>
      </c>
      <c r="E14385" s="3064"/>
      <c r="F14385" s="3064"/>
      <c r="G14385" s="3301" t="s">
        <v>675</v>
      </c>
      <c r="H14385" s="3063"/>
      <c r="I14385" s="3030">
        <v>3.5663338088445076</v>
      </c>
    </row>
    <row r="14386" spans="2:9" ht="25.5">
      <c r="B14386" s="3192" t="s">
        <v>676</v>
      </c>
      <c r="C14386" s="3063"/>
      <c r="D14386" s="3064"/>
      <c r="E14386" s="3064"/>
      <c r="F14386" s="3064"/>
      <c r="G14386" s="3301" t="s">
        <v>676</v>
      </c>
      <c r="H14386" s="3063"/>
      <c r="I14386" s="3030"/>
    </row>
    <row r="14387" spans="2:9">
      <c r="B14387" s="3192" t="s">
        <v>677</v>
      </c>
      <c r="C14387" s="3063"/>
      <c r="D14387" s="3064"/>
      <c r="E14387" s="3064"/>
      <c r="F14387" s="3064"/>
      <c r="G14387" s="3301" t="s">
        <v>677</v>
      </c>
      <c r="H14387" s="3063"/>
      <c r="I14387" s="3030"/>
    </row>
    <row r="14388" spans="2:9">
      <c r="B14388" s="3192" t="s">
        <v>678</v>
      </c>
      <c r="C14388" s="3063"/>
      <c r="D14388" s="3064"/>
      <c r="E14388" s="3064"/>
      <c r="F14388" s="3064"/>
      <c r="G14388" s="3301" t="s">
        <v>678</v>
      </c>
      <c r="H14388" s="3063"/>
      <c r="I14388" s="3030"/>
    </row>
    <row r="14389" spans="2:9">
      <c r="B14389" s="3192" t="s">
        <v>679</v>
      </c>
      <c r="C14389" s="3063"/>
      <c r="D14389" s="3064"/>
      <c r="E14389" s="3064"/>
      <c r="F14389" s="3064"/>
      <c r="G14389" s="3301" t="s">
        <v>679</v>
      </c>
      <c r="H14389" s="3063"/>
      <c r="I14389" s="3030"/>
    </row>
    <row r="14390" spans="2:9" ht="25.5">
      <c r="B14390" s="3192" t="s">
        <v>720</v>
      </c>
      <c r="C14390" s="3063"/>
      <c r="D14390" s="3064"/>
      <c r="E14390" s="3064"/>
      <c r="F14390" s="3064"/>
      <c r="G14390" s="3301" t="s">
        <v>720</v>
      </c>
      <c r="H14390" s="3063"/>
      <c r="I14390" s="3030"/>
    </row>
    <row r="14391" spans="2:9">
      <c r="B14391" s="3299" t="s">
        <v>67</v>
      </c>
      <c r="C14391" s="3063"/>
      <c r="D14391" s="3064"/>
      <c r="E14391" s="3064"/>
      <c r="F14391" s="3064"/>
      <c r="G14391" s="3300" t="s">
        <v>67</v>
      </c>
      <c r="H14391" s="3063"/>
      <c r="I14391" s="3030"/>
    </row>
    <row r="14392" spans="2:9" ht="25.5">
      <c r="B14392" s="3192" t="s">
        <v>675</v>
      </c>
      <c r="C14392" s="3063"/>
      <c r="D14392" s="3064"/>
      <c r="E14392" s="3064"/>
      <c r="F14392" s="3064"/>
      <c r="G14392" s="3301" t="s">
        <v>675</v>
      </c>
      <c r="H14392" s="3063"/>
      <c r="I14392" s="3030"/>
    </row>
    <row r="14393" spans="2:9" ht="25.5">
      <c r="B14393" s="3192" t="s">
        <v>676</v>
      </c>
      <c r="C14393" s="3063"/>
      <c r="D14393" s="3064"/>
      <c r="E14393" s="3064"/>
      <c r="F14393" s="3064"/>
      <c r="G14393" s="3301" t="s">
        <v>676</v>
      </c>
      <c r="H14393" s="3063"/>
      <c r="I14393" s="3030"/>
    </row>
    <row r="14394" spans="2:9">
      <c r="B14394" s="3192" t="s">
        <v>677</v>
      </c>
      <c r="C14394" s="3063"/>
      <c r="D14394" s="3064"/>
      <c r="E14394" s="3064"/>
      <c r="F14394" s="3064"/>
      <c r="G14394" s="3301" t="s">
        <v>677</v>
      </c>
      <c r="H14394" s="3063"/>
      <c r="I14394" s="3030"/>
    </row>
    <row r="14395" spans="2:9">
      <c r="B14395" s="3192" t="s">
        <v>678</v>
      </c>
      <c r="C14395" s="3063"/>
      <c r="D14395" s="3064"/>
      <c r="E14395" s="3064"/>
      <c r="F14395" s="3064"/>
      <c r="G14395" s="3301" t="s">
        <v>678</v>
      </c>
      <c r="H14395" s="3063"/>
      <c r="I14395" s="3030"/>
    </row>
    <row r="14396" spans="2:9">
      <c r="B14396" s="3192" t="s">
        <v>679</v>
      </c>
      <c r="C14396" s="3063"/>
      <c r="D14396" s="3064"/>
      <c r="E14396" s="3064"/>
      <c r="F14396" s="3064"/>
      <c r="G14396" s="3301" t="s">
        <v>679</v>
      </c>
      <c r="H14396" s="3063"/>
      <c r="I14396" s="3030"/>
    </row>
    <row r="14397" spans="2:9" ht="25.5">
      <c r="B14397" s="3192" t="s">
        <v>720</v>
      </c>
      <c r="C14397" s="3063"/>
      <c r="D14397" s="3064"/>
      <c r="E14397" s="3064"/>
      <c r="F14397" s="3064"/>
      <c r="G14397" s="3301" t="s">
        <v>720</v>
      </c>
      <c r="H14397" s="3063"/>
      <c r="I14397" s="3030"/>
    </row>
    <row r="14398" spans="2:9" ht="25.5">
      <c r="B14398" s="3230" t="s">
        <v>81</v>
      </c>
      <c r="C14398" s="3063"/>
      <c r="D14398" s="3064"/>
      <c r="E14398" s="3064"/>
      <c r="F14398" s="3064"/>
      <c r="G14398" s="3302" t="s">
        <v>81</v>
      </c>
      <c r="H14398" s="3063"/>
      <c r="I14398" s="3030"/>
    </row>
    <row r="14399" spans="2:9" ht="26.25" thickBot="1">
      <c r="B14399" s="3303" t="s">
        <v>81</v>
      </c>
      <c r="C14399" s="3063"/>
      <c r="D14399" s="3064"/>
      <c r="E14399" s="3064"/>
      <c r="F14399" s="3064"/>
      <c r="G14399" s="3302" t="s">
        <v>81</v>
      </c>
      <c r="H14399" s="3063"/>
      <c r="I14399" s="3030"/>
    </row>
    <row r="14400" spans="2:9" ht="25.5">
      <c r="B14400" s="3217" t="s">
        <v>696</v>
      </c>
      <c r="C14400" s="3218"/>
      <c r="D14400" s="3219"/>
      <c r="E14400" s="3219"/>
      <c r="F14400" s="3219"/>
      <c r="G14400" s="3217" t="s">
        <v>696</v>
      </c>
      <c r="H14400" s="3297"/>
      <c r="I14400" s="3298"/>
    </row>
    <row r="14401" spans="2:9">
      <c r="B14401" s="3299" t="s">
        <v>64</v>
      </c>
      <c r="C14401" s="3063"/>
      <c r="D14401" s="3064"/>
      <c r="E14401" s="3064"/>
      <c r="F14401" s="3064"/>
      <c r="G14401" s="3300" t="s">
        <v>64</v>
      </c>
      <c r="H14401" s="3063"/>
      <c r="I14401" s="3030"/>
    </row>
    <row r="14402" spans="2:9" ht="25.5">
      <c r="B14402" s="3192" t="s">
        <v>675</v>
      </c>
      <c r="C14402" s="3063"/>
      <c r="D14402" s="3064"/>
      <c r="E14402" s="3064"/>
      <c r="F14402" s="3064"/>
      <c r="G14402" s="3301" t="s">
        <v>675</v>
      </c>
      <c r="H14402" s="3063"/>
      <c r="I14402" s="3030"/>
    </row>
    <row r="14403" spans="2:9" ht="25.5">
      <c r="B14403" s="3192" t="s">
        <v>676</v>
      </c>
      <c r="C14403" s="3063"/>
      <c r="D14403" s="3064"/>
      <c r="E14403" s="3064"/>
      <c r="F14403" s="3064"/>
      <c r="G14403" s="3301" t="s">
        <v>676</v>
      </c>
      <c r="H14403" s="3063"/>
      <c r="I14403" s="3030"/>
    </row>
    <row r="14404" spans="2:9">
      <c r="B14404" s="3192" t="s">
        <v>677</v>
      </c>
      <c r="C14404" s="3063"/>
      <c r="D14404" s="3064"/>
      <c r="E14404" s="3064"/>
      <c r="F14404" s="3064"/>
      <c r="G14404" s="3301" t="s">
        <v>677</v>
      </c>
      <c r="H14404" s="3063"/>
      <c r="I14404" s="3030"/>
    </row>
    <row r="14405" spans="2:9">
      <c r="B14405" s="3192" t="s">
        <v>678</v>
      </c>
      <c r="C14405" s="3063"/>
      <c r="D14405" s="3064"/>
      <c r="E14405" s="3064"/>
      <c r="F14405" s="3064"/>
      <c r="G14405" s="3301" t="s">
        <v>678</v>
      </c>
      <c r="H14405" s="3063"/>
      <c r="I14405" s="3030"/>
    </row>
    <row r="14406" spans="2:9">
      <c r="B14406" s="3192" t="s">
        <v>679</v>
      </c>
      <c r="C14406" s="3063"/>
      <c r="D14406" s="3064"/>
      <c r="E14406" s="3064"/>
      <c r="F14406" s="3064"/>
      <c r="G14406" s="3301" t="s">
        <v>679</v>
      </c>
      <c r="H14406" s="3063"/>
      <c r="I14406" s="3030"/>
    </row>
    <row r="14407" spans="2:9" ht="25.5">
      <c r="B14407" s="3192" t="s">
        <v>720</v>
      </c>
      <c r="C14407" s="3063"/>
      <c r="D14407" s="3064"/>
      <c r="E14407" s="3064"/>
      <c r="F14407" s="3064"/>
      <c r="G14407" s="3301" t="s">
        <v>720</v>
      </c>
      <c r="H14407" s="3063"/>
      <c r="I14407" s="3030"/>
    </row>
    <row r="14408" spans="2:9">
      <c r="B14408" s="3299" t="s">
        <v>65</v>
      </c>
      <c r="C14408" s="3063"/>
      <c r="D14408" s="3064"/>
      <c r="E14408" s="3064"/>
      <c r="F14408" s="3064"/>
      <c r="G14408" s="3300" t="s">
        <v>65</v>
      </c>
      <c r="H14408" s="3063"/>
      <c r="I14408" s="3030"/>
    </row>
    <row r="14409" spans="2:9" ht="25.5">
      <c r="B14409" s="3192" t="s">
        <v>675</v>
      </c>
      <c r="C14409" s="3063"/>
      <c r="D14409" s="3064"/>
      <c r="E14409" s="3064"/>
      <c r="F14409" s="3064"/>
      <c r="G14409" s="3301" t="s">
        <v>675</v>
      </c>
      <c r="H14409" s="3063"/>
      <c r="I14409" s="3030"/>
    </row>
    <row r="14410" spans="2:9" ht="25.5">
      <c r="B14410" s="3192" t="s">
        <v>676</v>
      </c>
      <c r="C14410" s="3063"/>
      <c r="D14410" s="3064"/>
      <c r="E14410" s="3064"/>
      <c r="F14410" s="3064"/>
      <c r="G14410" s="3301" t="s">
        <v>676</v>
      </c>
      <c r="H14410" s="3063"/>
      <c r="I14410" s="3030"/>
    </row>
    <row r="14411" spans="2:9">
      <c r="B14411" s="3192" t="s">
        <v>677</v>
      </c>
      <c r="C14411" s="3063"/>
      <c r="D14411" s="3064"/>
      <c r="E14411" s="3064"/>
      <c r="F14411" s="3064"/>
      <c r="G14411" s="3301" t="s">
        <v>677</v>
      </c>
      <c r="H14411" s="3063"/>
      <c r="I14411" s="3030"/>
    </row>
    <row r="14412" spans="2:9">
      <c r="B14412" s="3192" t="s">
        <v>678</v>
      </c>
      <c r="C14412" s="3063"/>
      <c r="D14412" s="3064"/>
      <c r="E14412" s="3064"/>
      <c r="F14412" s="3064"/>
      <c r="G14412" s="3301" t="s">
        <v>678</v>
      </c>
      <c r="H14412" s="3063"/>
      <c r="I14412" s="3030"/>
    </row>
    <row r="14413" spans="2:9">
      <c r="B14413" s="3192" t="s">
        <v>679</v>
      </c>
      <c r="C14413" s="3063"/>
      <c r="D14413" s="3064"/>
      <c r="E14413" s="3064"/>
      <c r="F14413" s="3064"/>
      <c r="G14413" s="3301" t="s">
        <v>679</v>
      </c>
      <c r="H14413" s="3063"/>
      <c r="I14413" s="3030"/>
    </row>
    <row r="14414" spans="2:9" ht="25.5">
      <c r="B14414" s="3192" t="s">
        <v>720</v>
      </c>
      <c r="C14414" s="3063"/>
      <c r="D14414" s="3064"/>
      <c r="E14414" s="3064"/>
      <c r="F14414" s="3064"/>
      <c r="G14414" s="3301" t="s">
        <v>720</v>
      </c>
      <c r="H14414" s="3063"/>
      <c r="I14414" s="3030"/>
    </row>
    <row r="14415" spans="2:9">
      <c r="B14415" s="3299" t="s">
        <v>82</v>
      </c>
      <c r="C14415" s="3063"/>
      <c r="D14415" s="3064"/>
      <c r="E14415" s="3064"/>
      <c r="F14415" s="3064"/>
      <c r="G14415" s="3300" t="s">
        <v>82</v>
      </c>
      <c r="H14415" s="3063"/>
      <c r="I14415" s="3030"/>
    </row>
    <row r="14416" spans="2:9" ht="25.5">
      <c r="B14416" s="3192" t="s">
        <v>675</v>
      </c>
      <c r="C14416" s="3063"/>
      <c r="D14416" s="3064"/>
      <c r="E14416" s="3064"/>
      <c r="F14416" s="3064"/>
      <c r="G14416" s="3301" t="s">
        <v>675</v>
      </c>
      <c r="H14416" s="3063"/>
      <c r="I14416" s="3030"/>
    </row>
    <row r="14417" spans="2:9" ht="25.5">
      <c r="B14417" s="3192" t="s">
        <v>676</v>
      </c>
      <c r="C14417" s="3063"/>
      <c r="D14417" s="3064"/>
      <c r="E14417" s="3064"/>
      <c r="F14417" s="3064"/>
      <c r="G14417" s="3301" t="s">
        <v>676</v>
      </c>
      <c r="H14417" s="3063"/>
      <c r="I14417" s="3030"/>
    </row>
    <row r="14418" spans="2:9">
      <c r="B14418" s="3192" t="s">
        <v>677</v>
      </c>
      <c r="C14418" s="3063"/>
      <c r="D14418" s="3064"/>
      <c r="E14418" s="3064"/>
      <c r="F14418" s="3064"/>
      <c r="G14418" s="3301" t="s">
        <v>677</v>
      </c>
      <c r="H14418" s="3063"/>
      <c r="I14418" s="3030"/>
    </row>
    <row r="14419" spans="2:9">
      <c r="B14419" s="3192" t="s">
        <v>678</v>
      </c>
      <c r="C14419" s="3063"/>
      <c r="D14419" s="3064"/>
      <c r="E14419" s="3064"/>
      <c r="F14419" s="3064"/>
      <c r="G14419" s="3301" t="s">
        <v>678</v>
      </c>
      <c r="H14419" s="3063"/>
      <c r="I14419" s="3030"/>
    </row>
    <row r="14420" spans="2:9">
      <c r="B14420" s="3192" t="s">
        <v>679</v>
      </c>
      <c r="C14420" s="3063"/>
      <c r="D14420" s="3064"/>
      <c r="E14420" s="3064"/>
      <c r="F14420" s="3064"/>
      <c r="G14420" s="3301" t="s">
        <v>679</v>
      </c>
      <c r="H14420" s="3063"/>
      <c r="I14420" s="3030"/>
    </row>
    <row r="14421" spans="2:9" ht="25.5">
      <c r="B14421" s="3192" t="s">
        <v>720</v>
      </c>
      <c r="C14421" s="3063"/>
      <c r="D14421" s="3064"/>
      <c r="E14421" s="3064"/>
      <c r="F14421" s="3064"/>
      <c r="G14421" s="3301" t="s">
        <v>720</v>
      </c>
      <c r="H14421" s="3063"/>
      <c r="I14421" s="3030"/>
    </row>
    <row r="14422" spans="2:9" ht="38.25">
      <c r="B14422" s="3299" t="s">
        <v>680</v>
      </c>
      <c r="C14422" s="3063"/>
      <c r="D14422" s="3064"/>
      <c r="E14422" s="3064"/>
      <c r="F14422" s="3064"/>
      <c r="G14422" s="3300" t="s">
        <v>680</v>
      </c>
      <c r="H14422" s="3063"/>
      <c r="I14422" s="3030"/>
    </row>
    <row r="14423" spans="2:9" ht="25.5">
      <c r="B14423" s="3192" t="s">
        <v>675</v>
      </c>
      <c r="C14423" s="3063"/>
      <c r="D14423" s="3064"/>
      <c r="E14423" s="3064"/>
      <c r="F14423" s="3064"/>
      <c r="G14423" s="3301" t="s">
        <v>675</v>
      </c>
      <c r="H14423" s="3063"/>
      <c r="I14423" s="3030"/>
    </row>
    <row r="14424" spans="2:9" ht="25.5">
      <c r="B14424" s="3192" t="s">
        <v>676</v>
      </c>
      <c r="C14424" s="3063"/>
      <c r="D14424" s="3064"/>
      <c r="E14424" s="3064"/>
      <c r="F14424" s="3064"/>
      <c r="G14424" s="3301" t="s">
        <v>676</v>
      </c>
      <c r="H14424" s="3063"/>
      <c r="I14424" s="3030"/>
    </row>
    <row r="14425" spans="2:9">
      <c r="B14425" s="3192" t="s">
        <v>677</v>
      </c>
      <c r="C14425" s="3063"/>
      <c r="D14425" s="3064"/>
      <c r="E14425" s="3064"/>
      <c r="F14425" s="3064"/>
      <c r="G14425" s="3301" t="s">
        <v>677</v>
      </c>
      <c r="H14425" s="3063"/>
      <c r="I14425" s="3030"/>
    </row>
    <row r="14426" spans="2:9">
      <c r="B14426" s="3192" t="s">
        <v>678</v>
      </c>
      <c r="C14426" s="3063"/>
      <c r="D14426" s="3064"/>
      <c r="E14426" s="3064"/>
      <c r="F14426" s="3064"/>
      <c r="G14426" s="3301" t="s">
        <v>678</v>
      </c>
      <c r="H14426" s="3063"/>
      <c r="I14426" s="3030"/>
    </row>
    <row r="14427" spans="2:9">
      <c r="B14427" s="3192" t="s">
        <v>679</v>
      </c>
      <c r="C14427" s="3063"/>
      <c r="D14427" s="3064"/>
      <c r="E14427" s="3064"/>
      <c r="F14427" s="3064"/>
      <c r="G14427" s="3301" t="s">
        <v>679</v>
      </c>
      <c r="H14427" s="3063"/>
      <c r="I14427" s="3030"/>
    </row>
    <row r="14428" spans="2:9" ht="25.5">
      <c r="B14428" s="3192" t="s">
        <v>720</v>
      </c>
      <c r="C14428" s="3063"/>
      <c r="D14428" s="3064"/>
      <c r="E14428" s="3064"/>
      <c r="F14428" s="3064"/>
      <c r="G14428" s="3301" t="s">
        <v>720</v>
      </c>
      <c r="H14428" s="3063"/>
      <c r="I14428" s="3030"/>
    </row>
    <row r="14429" spans="2:9" ht="38.25">
      <c r="B14429" s="3299" t="s">
        <v>681</v>
      </c>
      <c r="C14429" s="3063"/>
      <c r="D14429" s="3064"/>
      <c r="E14429" s="3064"/>
      <c r="F14429" s="3064"/>
      <c r="G14429" s="3300" t="s">
        <v>681</v>
      </c>
      <c r="H14429" s="3063"/>
      <c r="I14429" s="3030"/>
    </row>
    <row r="14430" spans="2:9" ht="25.5">
      <c r="B14430" s="3192" t="s">
        <v>675</v>
      </c>
      <c r="C14430" s="3063"/>
      <c r="D14430" s="3064"/>
      <c r="E14430" s="3064"/>
      <c r="F14430" s="3064"/>
      <c r="G14430" s="3301" t="s">
        <v>675</v>
      </c>
      <c r="H14430" s="3063"/>
      <c r="I14430" s="3030"/>
    </row>
    <row r="14431" spans="2:9" ht="25.5">
      <c r="B14431" s="3192" t="s">
        <v>676</v>
      </c>
      <c r="C14431" s="3063"/>
      <c r="D14431" s="3064"/>
      <c r="E14431" s="3064"/>
      <c r="F14431" s="3064"/>
      <c r="G14431" s="3301" t="s">
        <v>676</v>
      </c>
      <c r="H14431" s="3063"/>
      <c r="I14431" s="3030"/>
    </row>
    <row r="14432" spans="2:9">
      <c r="B14432" s="3192" t="s">
        <v>677</v>
      </c>
      <c r="C14432" s="3063"/>
      <c r="D14432" s="3064"/>
      <c r="E14432" s="3064"/>
      <c r="F14432" s="3064"/>
      <c r="G14432" s="3301" t="s">
        <v>677</v>
      </c>
      <c r="H14432" s="3063"/>
      <c r="I14432" s="3030"/>
    </row>
    <row r="14433" spans="2:9">
      <c r="B14433" s="3192" t="s">
        <v>678</v>
      </c>
      <c r="C14433" s="3063"/>
      <c r="D14433" s="3064"/>
      <c r="E14433" s="3064"/>
      <c r="F14433" s="3064"/>
      <c r="G14433" s="3301" t="s">
        <v>678</v>
      </c>
      <c r="H14433" s="3063"/>
      <c r="I14433" s="3030"/>
    </row>
    <row r="14434" spans="2:9">
      <c r="B14434" s="3192" t="s">
        <v>679</v>
      </c>
      <c r="C14434" s="3063"/>
      <c r="D14434" s="3064"/>
      <c r="E14434" s="3064"/>
      <c r="F14434" s="3064"/>
      <c r="G14434" s="3301" t="s">
        <v>679</v>
      </c>
      <c r="H14434" s="3063"/>
      <c r="I14434" s="3030"/>
    </row>
    <row r="14435" spans="2:9" ht="25.5">
      <c r="B14435" s="3192" t="s">
        <v>720</v>
      </c>
      <c r="C14435" s="3063"/>
      <c r="D14435" s="3064"/>
      <c r="E14435" s="3064"/>
      <c r="F14435" s="3064"/>
      <c r="G14435" s="3301" t="s">
        <v>720</v>
      </c>
      <c r="H14435" s="3063"/>
      <c r="I14435" s="3030"/>
    </row>
    <row r="14436" spans="2:9" ht="25.5">
      <c r="B14436" s="3299" t="s">
        <v>682</v>
      </c>
      <c r="C14436" s="3063"/>
      <c r="D14436" s="3064"/>
      <c r="E14436" s="3064"/>
      <c r="F14436" s="3064"/>
      <c r="G14436" s="3300" t="s">
        <v>682</v>
      </c>
      <c r="H14436" s="3063"/>
      <c r="I14436" s="3030"/>
    </row>
    <row r="14437" spans="2:9" ht="25.5">
      <c r="B14437" s="3192" t="s">
        <v>675</v>
      </c>
      <c r="C14437" s="3063"/>
      <c r="D14437" s="3064"/>
      <c r="E14437" s="3064"/>
      <c r="F14437" s="3064"/>
      <c r="G14437" s="3301" t="s">
        <v>675</v>
      </c>
      <c r="H14437" s="3063"/>
      <c r="I14437" s="3030"/>
    </row>
    <row r="14438" spans="2:9" ht="25.5">
      <c r="B14438" s="3192" t="s">
        <v>676</v>
      </c>
      <c r="C14438" s="3063"/>
      <c r="D14438" s="3064"/>
      <c r="E14438" s="3064"/>
      <c r="F14438" s="3064"/>
      <c r="G14438" s="3301" t="s">
        <v>676</v>
      </c>
      <c r="H14438" s="3063"/>
      <c r="I14438" s="3030"/>
    </row>
    <row r="14439" spans="2:9">
      <c r="B14439" s="3192" t="s">
        <v>677</v>
      </c>
      <c r="C14439" s="3063"/>
      <c r="D14439" s="3064"/>
      <c r="E14439" s="3064"/>
      <c r="F14439" s="3064"/>
      <c r="G14439" s="3301" t="s">
        <v>677</v>
      </c>
      <c r="H14439" s="3063"/>
      <c r="I14439" s="3030"/>
    </row>
    <row r="14440" spans="2:9">
      <c r="B14440" s="3192" t="s">
        <v>678</v>
      </c>
      <c r="C14440" s="3063"/>
      <c r="D14440" s="3064"/>
      <c r="E14440" s="3064"/>
      <c r="F14440" s="3064"/>
      <c r="G14440" s="3301" t="s">
        <v>678</v>
      </c>
      <c r="H14440" s="3063"/>
      <c r="I14440" s="3030"/>
    </row>
    <row r="14441" spans="2:9">
      <c r="B14441" s="3192" t="s">
        <v>679</v>
      </c>
      <c r="C14441" s="3063"/>
      <c r="D14441" s="3064"/>
      <c r="E14441" s="3064"/>
      <c r="F14441" s="3064"/>
      <c r="G14441" s="3301" t="s">
        <v>679</v>
      </c>
      <c r="H14441" s="3063"/>
      <c r="I14441" s="3030"/>
    </row>
    <row r="14442" spans="2:9" ht="25.5">
      <c r="B14442" s="3192" t="s">
        <v>720</v>
      </c>
      <c r="C14442" s="3063"/>
      <c r="D14442" s="3064"/>
      <c r="E14442" s="3064"/>
      <c r="F14442" s="3064"/>
      <c r="G14442" s="3301" t="s">
        <v>720</v>
      </c>
      <c r="H14442" s="3063"/>
      <c r="I14442" s="3030"/>
    </row>
    <row r="14443" spans="2:9" ht="25.5">
      <c r="B14443" s="3299" t="s">
        <v>66</v>
      </c>
      <c r="C14443" s="3063"/>
      <c r="D14443" s="3064"/>
      <c r="E14443" s="3064"/>
      <c r="F14443" s="3064"/>
      <c r="G14443" s="3300" t="s">
        <v>66</v>
      </c>
      <c r="H14443" s="3063"/>
      <c r="I14443" s="3030"/>
    </row>
    <row r="14444" spans="2:9" ht="25.5">
      <c r="B14444" s="3192" t="s">
        <v>675</v>
      </c>
      <c r="C14444" s="3063"/>
      <c r="D14444" s="3064"/>
      <c r="E14444" s="3064"/>
      <c r="F14444" s="3064"/>
      <c r="G14444" s="3301" t="s">
        <v>675</v>
      </c>
      <c r="H14444" s="3063"/>
      <c r="I14444" s="3030"/>
    </row>
    <row r="14445" spans="2:9" ht="25.5">
      <c r="B14445" s="3192" t="s">
        <v>676</v>
      </c>
      <c r="C14445" s="3063"/>
      <c r="D14445" s="3064"/>
      <c r="E14445" s="3064"/>
      <c r="F14445" s="3064"/>
      <c r="G14445" s="3301" t="s">
        <v>676</v>
      </c>
      <c r="H14445" s="3063"/>
      <c r="I14445" s="3030"/>
    </row>
    <row r="14446" spans="2:9">
      <c r="B14446" s="3192" t="s">
        <v>677</v>
      </c>
      <c r="C14446" s="3063"/>
      <c r="D14446" s="3064"/>
      <c r="E14446" s="3064"/>
      <c r="F14446" s="3064"/>
      <c r="G14446" s="3301" t="s">
        <v>677</v>
      </c>
      <c r="H14446" s="3063"/>
      <c r="I14446" s="3030"/>
    </row>
    <row r="14447" spans="2:9">
      <c r="B14447" s="3192" t="s">
        <v>678</v>
      </c>
      <c r="C14447" s="3063"/>
      <c r="D14447" s="3064"/>
      <c r="E14447" s="3064"/>
      <c r="F14447" s="3064"/>
      <c r="G14447" s="3301" t="s">
        <v>678</v>
      </c>
      <c r="H14447" s="3063"/>
      <c r="I14447" s="3030"/>
    </row>
    <row r="14448" spans="2:9">
      <c r="B14448" s="3192" t="s">
        <v>679</v>
      </c>
      <c r="C14448" s="3063"/>
      <c r="D14448" s="3064"/>
      <c r="E14448" s="3064"/>
      <c r="F14448" s="3064"/>
      <c r="G14448" s="3301" t="s">
        <v>679</v>
      </c>
      <c r="H14448" s="3063"/>
      <c r="I14448" s="3030"/>
    </row>
    <row r="14449" spans="2:9" ht="25.5">
      <c r="B14449" s="3192" t="s">
        <v>720</v>
      </c>
      <c r="C14449" s="3063"/>
      <c r="D14449" s="3064"/>
      <c r="E14449" s="3064"/>
      <c r="F14449" s="3064"/>
      <c r="G14449" s="3301" t="s">
        <v>720</v>
      </c>
      <c r="H14449" s="3063"/>
      <c r="I14449" s="3030"/>
    </row>
    <row r="14450" spans="2:9">
      <c r="B14450" s="3299" t="s">
        <v>67</v>
      </c>
      <c r="C14450" s="3063"/>
      <c r="D14450" s="3064"/>
      <c r="E14450" s="3064"/>
      <c r="F14450" s="3064"/>
      <c r="G14450" s="3300" t="s">
        <v>67</v>
      </c>
      <c r="H14450" s="3063"/>
      <c r="I14450" s="3030"/>
    </row>
    <row r="14451" spans="2:9" ht="25.5">
      <c r="B14451" s="3192" t="s">
        <v>675</v>
      </c>
      <c r="C14451" s="3063"/>
      <c r="D14451" s="3064"/>
      <c r="E14451" s="3064"/>
      <c r="F14451" s="3064"/>
      <c r="G14451" s="3301" t="s">
        <v>675</v>
      </c>
      <c r="H14451" s="3063"/>
      <c r="I14451" s="3030"/>
    </row>
    <row r="14452" spans="2:9" ht="25.5">
      <c r="B14452" s="3192" t="s">
        <v>676</v>
      </c>
      <c r="C14452" s="3063"/>
      <c r="D14452" s="3064"/>
      <c r="E14452" s="3064"/>
      <c r="F14452" s="3064"/>
      <c r="G14452" s="3301" t="s">
        <v>676</v>
      </c>
      <c r="H14452" s="3063"/>
      <c r="I14452" s="3030"/>
    </row>
    <row r="14453" spans="2:9">
      <c r="B14453" s="3192" t="s">
        <v>677</v>
      </c>
      <c r="C14453" s="3063"/>
      <c r="D14453" s="3064"/>
      <c r="E14453" s="3064"/>
      <c r="F14453" s="3064"/>
      <c r="G14453" s="3301" t="s">
        <v>677</v>
      </c>
      <c r="H14453" s="3063"/>
      <c r="I14453" s="3030"/>
    </row>
    <row r="14454" spans="2:9">
      <c r="B14454" s="3192" t="s">
        <v>678</v>
      </c>
      <c r="C14454" s="3063"/>
      <c r="D14454" s="3064"/>
      <c r="E14454" s="3064"/>
      <c r="F14454" s="3064"/>
      <c r="G14454" s="3301" t="s">
        <v>678</v>
      </c>
      <c r="H14454" s="3063"/>
      <c r="I14454" s="3030"/>
    </row>
    <row r="14455" spans="2:9">
      <c r="B14455" s="3192" t="s">
        <v>679</v>
      </c>
      <c r="C14455" s="3063"/>
      <c r="D14455" s="3064"/>
      <c r="E14455" s="3064"/>
      <c r="F14455" s="3064"/>
      <c r="G14455" s="3301" t="s">
        <v>679</v>
      </c>
      <c r="H14455" s="3063"/>
      <c r="I14455" s="3030"/>
    </row>
    <row r="14456" spans="2:9" ht="25.5">
      <c r="B14456" s="3230" t="s">
        <v>81</v>
      </c>
      <c r="C14456" s="3063"/>
      <c r="D14456" s="3064"/>
      <c r="E14456" s="3064"/>
      <c r="F14456" s="3064"/>
      <c r="G14456" s="3302" t="s">
        <v>81</v>
      </c>
      <c r="H14456" s="3063"/>
      <c r="I14456" s="3030"/>
    </row>
    <row r="14457" spans="2:9" ht="26.25" thickBot="1">
      <c r="B14457" s="3303" t="s">
        <v>81</v>
      </c>
      <c r="C14457" s="3063"/>
      <c r="D14457" s="3064"/>
      <c r="E14457" s="3064"/>
      <c r="F14457" s="3064"/>
      <c r="G14457" s="3302" t="s">
        <v>81</v>
      </c>
      <c r="H14457" s="3063"/>
      <c r="I14457" s="3030"/>
    </row>
    <row r="14458" spans="2:9">
      <c r="B14458" s="3217" t="s">
        <v>697</v>
      </c>
      <c r="C14458" s="3218"/>
      <c r="D14458" s="3219"/>
      <c r="E14458" s="3219"/>
      <c r="F14458" s="3219"/>
      <c r="G14458" s="3217" t="s">
        <v>697</v>
      </c>
      <c r="H14458" s="3297"/>
      <c r="I14458" s="3298"/>
    </row>
    <row r="14459" spans="2:9">
      <c r="B14459" s="3299" t="s">
        <v>64</v>
      </c>
      <c r="C14459" s="3063"/>
      <c r="D14459" s="3064"/>
      <c r="E14459" s="3064"/>
      <c r="F14459" s="3064"/>
      <c r="G14459" s="3300" t="s">
        <v>64</v>
      </c>
      <c r="H14459" s="3063"/>
      <c r="I14459" s="3030"/>
    </row>
    <row r="14460" spans="2:9" ht="25.5">
      <c r="B14460" s="3192" t="s">
        <v>675</v>
      </c>
      <c r="C14460" s="3063"/>
      <c r="D14460" s="3064"/>
      <c r="E14460" s="3064"/>
      <c r="F14460" s="3064"/>
      <c r="G14460" s="3301" t="s">
        <v>675</v>
      </c>
      <c r="H14460" s="3063"/>
      <c r="I14460" s="3030"/>
    </row>
    <row r="14461" spans="2:9" ht="25.5">
      <c r="B14461" s="3192" t="s">
        <v>676</v>
      </c>
      <c r="C14461" s="3063"/>
      <c r="D14461" s="3064"/>
      <c r="E14461" s="3064"/>
      <c r="F14461" s="3064"/>
      <c r="G14461" s="3301" t="s">
        <v>676</v>
      </c>
      <c r="H14461" s="3063"/>
      <c r="I14461" s="3030"/>
    </row>
    <row r="14462" spans="2:9">
      <c r="B14462" s="3192" t="s">
        <v>677</v>
      </c>
      <c r="C14462" s="3063"/>
      <c r="D14462" s="3064"/>
      <c r="E14462" s="3064"/>
      <c r="F14462" s="3064"/>
      <c r="G14462" s="3301" t="s">
        <v>677</v>
      </c>
      <c r="H14462" s="3063"/>
      <c r="I14462" s="3030"/>
    </row>
    <row r="14463" spans="2:9">
      <c r="B14463" s="3192" t="s">
        <v>678</v>
      </c>
      <c r="C14463" s="3063"/>
      <c r="D14463" s="3064"/>
      <c r="E14463" s="3064"/>
      <c r="F14463" s="3064"/>
      <c r="G14463" s="3301" t="s">
        <v>678</v>
      </c>
      <c r="H14463" s="3063"/>
      <c r="I14463" s="3030"/>
    </row>
    <row r="14464" spans="2:9">
      <c r="B14464" s="3192" t="s">
        <v>679</v>
      </c>
      <c r="C14464" s="3063"/>
      <c r="D14464" s="3064"/>
      <c r="E14464" s="3064"/>
      <c r="F14464" s="3064"/>
      <c r="G14464" s="3301" t="s">
        <v>679</v>
      </c>
      <c r="H14464" s="3063"/>
      <c r="I14464" s="3030"/>
    </row>
    <row r="14465" spans="2:9" ht="25.5">
      <c r="B14465" s="3192" t="s">
        <v>720</v>
      </c>
      <c r="C14465" s="3063"/>
      <c r="D14465" s="3064"/>
      <c r="E14465" s="3064"/>
      <c r="F14465" s="3064"/>
      <c r="G14465" s="3301" t="s">
        <v>720</v>
      </c>
      <c r="H14465" s="3063"/>
      <c r="I14465" s="3030"/>
    </row>
    <row r="14466" spans="2:9">
      <c r="B14466" s="3299" t="s">
        <v>65</v>
      </c>
      <c r="C14466" s="3063"/>
      <c r="D14466" s="3064"/>
      <c r="E14466" s="3064"/>
      <c r="F14466" s="3064"/>
      <c r="G14466" s="3300" t="s">
        <v>65</v>
      </c>
      <c r="H14466" s="3063"/>
      <c r="I14466" s="3030"/>
    </row>
    <row r="14467" spans="2:9" ht="25.5">
      <c r="B14467" s="3192" t="s">
        <v>675</v>
      </c>
      <c r="C14467" s="3063"/>
      <c r="D14467" s="3064"/>
      <c r="E14467" s="3064"/>
      <c r="F14467" s="3064"/>
      <c r="G14467" s="3301" t="s">
        <v>675</v>
      </c>
      <c r="H14467" s="3063"/>
      <c r="I14467" s="3030"/>
    </row>
    <row r="14468" spans="2:9" ht="25.5">
      <c r="B14468" s="3192" t="s">
        <v>676</v>
      </c>
      <c r="C14468" s="3063"/>
      <c r="D14468" s="3064"/>
      <c r="E14468" s="3064"/>
      <c r="F14468" s="3064"/>
      <c r="G14468" s="3301" t="s">
        <v>676</v>
      </c>
      <c r="H14468" s="3063"/>
      <c r="I14468" s="3030"/>
    </row>
    <row r="14469" spans="2:9">
      <c r="B14469" s="3192" t="s">
        <v>677</v>
      </c>
      <c r="C14469" s="3063"/>
      <c r="D14469" s="3064"/>
      <c r="E14469" s="3064"/>
      <c r="F14469" s="3064"/>
      <c r="G14469" s="3301" t="s">
        <v>677</v>
      </c>
      <c r="H14469" s="3063"/>
      <c r="I14469" s="3030"/>
    </row>
    <row r="14470" spans="2:9">
      <c r="B14470" s="3192" t="s">
        <v>678</v>
      </c>
      <c r="C14470" s="3063"/>
      <c r="D14470" s="3064"/>
      <c r="E14470" s="3064"/>
      <c r="F14470" s="3064"/>
      <c r="G14470" s="3301" t="s">
        <v>678</v>
      </c>
      <c r="H14470" s="3063"/>
      <c r="I14470" s="3030"/>
    </row>
    <row r="14471" spans="2:9">
      <c r="B14471" s="3192" t="s">
        <v>679</v>
      </c>
      <c r="C14471" s="3063"/>
      <c r="D14471" s="3064"/>
      <c r="E14471" s="3064"/>
      <c r="F14471" s="3064"/>
      <c r="G14471" s="3301" t="s">
        <v>679</v>
      </c>
      <c r="H14471" s="3063"/>
      <c r="I14471" s="3030"/>
    </row>
    <row r="14472" spans="2:9" ht="25.5">
      <c r="B14472" s="3192" t="s">
        <v>720</v>
      </c>
      <c r="C14472" s="3063"/>
      <c r="D14472" s="3064"/>
      <c r="E14472" s="3064"/>
      <c r="F14472" s="3064"/>
      <c r="G14472" s="3301" t="s">
        <v>720</v>
      </c>
      <c r="H14472" s="3063"/>
      <c r="I14472" s="3030"/>
    </row>
    <row r="14473" spans="2:9">
      <c r="B14473" s="3299" t="s">
        <v>82</v>
      </c>
      <c r="C14473" s="3063"/>
      <c r="D14473" s="3064"/>
      <c r="E14473" s="3064"/>
      <c r="F14473" s="3064"/>
      <c r="G14473" s="3300" t="s">
        <v>82</v>
      </c>
      <c r="H14473" s="3063"/>
      <c r="I14473" s="3030"/>
    </row>
    <row r="14474" spans="2:9" ht="25.5">
      <c r="B14474" s="3192" t="s">
        <v>675</v>
      </c>
      <c r="C14474" s="3063"/>
      <c r="D14474" s="3064"/>
      <c r="E14474" s="3064"/>
      <c r="F14474" s="3064"/>
      <c r="G14474" s="3301" t="s">
        <v>675</v>
      </c>
      <c r="H14474" s="3063"/>
      <c r="I14474" s="3030"/>
    </row>
    <row r="14475" spans="2:9" ht="25.5">
      <c r="B14475" s="3192" t="s">
        <v>676</v>
      </c>
      <c r="C14475" s="3063"/>
      <c r="D14475" s="3064"/>
      <c r="E14475" s="3064"/>
      <c r="F14475" s="3064"/>
      <c r="G14475" s="3301" t="s">
        <v>676</v>
      </c>
      <c r="H14475" s="3063"/>
      <c r="I14475" s="3030"/>
    </row>
    <row r="14476" spans="2:9">
      <c r="B14476" s="3192" t="s">
        <v>677</v>
      </c>
      <c r="C14476" s="3063"/>
      <c r="D14476" s="3064"/>
      <c r="E14476" s="3064"/>
      <c r="F14476" s="3064"/>
      <c r="G14476" s="3301" t="s">
        <v>677</v>
      </c>
      <c r="H14476" s="3063"/>
      <c r="I14476" s="3030"/>
    </row>
    <row r="14477" spans="2:9">
      <c r="B14477" s="3192" t="s">
        <v>678</v>
      </c>
      <c r="C14477" s="3063"/>
      <c r="D14477" s="3064"/>
      <c r="E14477" s="3064"/>
      <c r="F14477" s="3064"/>
      <c r="G14477" s="3301" t="s">
        <v>678</v>
      </c>
      <c r="H14477" s="3063"/>
      <c r="I14477" s="3030"/>
    </row>
    <row r="14478" spans="2:9">
      <c r="B14478" s="3192" t="s">
        <v>679</v>
      </c>
      <c r="C14478" s="3063"/>
      <c r="D14478" s="3064"/>
      <c r="E14478" s="3064"/>
      <c r="F14478" s="3064"/>
      <c r="G14478" s="3301" t="s">
        <v>679</v>
      </c>
      <c r="H14478" s="3063"/>
      <c r="I14478" s="3030"/>
    </row>
    <row r="14479" spans="2:9" ht="25.5">
      <c r="B14479" s="3192" t="s">
        <v>720</v>
      </c>
      <c r="C14479" s="3063"/>
      <c r="D14479" s="3064"/>
      <c r="E14479" s="3064"/>
      <c r="F14479" s="3064"/>
      <c r="G14479" s="3301" t="s">
        <v>720</v>
      </c>
      <c r="H14479" s="3063"/>
      <c r="I14479" s="3030"/>
    </row>
    <row r="14480" spans="2:9" ht="38.25">
      <c r="B14480" s="3299" t="s">
        <v>680</v>
      </c>
      <c r="C14480" s="3063"/>
      <c r="D14480" s="3064"/>
      <c r="E14480" s="3064"/>
      <c r="F14480" s="3064"/>
      <c r="G14480" s="3300" t="s">
        <v>680</v>
      </c>
      <c r="H14480" s="3063"/>
      <c r="I14480" s="3030"/>
    </row>
    <row r="14481" spans="2:9" ht="25.5">
      <c r="B14481" s="3192" t="s">
        <v>675</v>
      </c>
      <c r="C14481" s="3063"/>
      <c r="D14481" s="3064"/>
      <c r="E14481" s="3064"/>
      <c r="F14481" s="3064"/>
      <c r="G14481" s="3301" t="s">
        <v>675</v>
      </c>
      <c r="H14481" s="3063"/>
      <c r="I14481" s="3030"/>
    </row>
    <row r="14482" spans="2:9" ht="25.5">
      <c r="B14482" s="3192" t="s">
        <v>676</v>
      </c>
      <c r="C14482" s="3063"/>
      <c r="D14482" s="3064"/>
      <c r="E14482" s="3064"/>
      <c r="F14482" s="3064"/>
      <c r="G14482" s="3301" t="s">
        <v>676</v>
      </c>
      <c r="H14482" s="3063"/>
      <c r="I14482" s="3030"/>
    </row>
    <row r="14483" spans="2:9">
      <c r="B14483" s="3192" t="s">
        <v>677</v>
      </c>
      <c r="C14483" s="3063"/>
      <c r="D14483" s="3064"/>
      <c r="E14483" s="3064"/>
      <c r="F14483" s="3064"/>
      <c r="G14483" s="3301" t="s">
        <v>677</v>
      </c>
      <c r="H14483" s="3063"/>
      <c r="I14483" s="3030"/>
    </row>
    <row r="14484" spans="2:9">
      <c r="B14484" s="3192" t="s">
        <v>678</v>
      </c>
      <c r="C14484" s="3063"/>
      <c r="D14484" s="3064"/>
      <c r="E14484" s="3064"/>
      <c r="F14484" s="3064"/>
      <c r="G14484" s="3301" t="s">
        <v>678</v>
      </c>
      <c r="H14484" s="3063"/>
      <c r="I14484" s="3030"/>
    </row>
    <row r="14485" spans="2:9">
      <c r="B14485" s="3192" t="s">
        <v>679</v>
      </c>
      <c r="C14485" s="3063"/>
      <c r="D14485" s="3064"/>
      <c r="E14485" s="3064"/>
      <c r="F14485" s="3064"/>
      <c r="G14485" s="3301" t="s">
        <v>679</v>
      </c>
      <c r="H14485" s="3063"/>
      <c r="I14485" s="3030"/>
    </row>
    <row r="14486" spans="2:9" ht="25.5">
      <c r="B14486" s="3192" t="s">
        <v>720</v>
      </c>
      <c r="C14486" s="3063"/>
      <c r="D14486" s="3064"/>
      <c r="E14486" s="3064"/>
      <c r="F14486" s="3064"/>
      <c r="G14486" s="3301" t="s">
        <v>720</v>
      </c>
      <c r="H14486" s="3063"/>
      <c r="I14486" s="3030"/>
    </row>
    <row r="14487" spans="2:9" ht="38.25">
      <c r="B14487" s="3299" t="s">
        <v>681</v>
      </c>
      <c r="C14487" s="3063"/>
      <c r="D14487" s="3064"/>
      <c r="E14487" s="3064"/>
      <c r="F14487" s="3064"/>
      <c r="G14487" s="3300" t="s">
        <v>681</v>
      </c>
      <c r="H14487" s="3063"/>
      <c r="I14487" s="3030"/>
    </row>
    <row r="14488" spans="2:9" ht="25.5">
      <c r="B14488" s="3192" t="s">
        <v>675</v>
      </c>
      <c r="C14488" s="3063"/>
      <c r="D14488" s="3064"/>
      <c r="E14488" s="3064"/>
      <c r="F14488" s="3064"/>
      <c r="G14488" s="3301" t="s">
        <v>675</v>
      </c>
      <c r="H14488" s="3063"/>
      <c r="I14488" s="3030"/>
    </row>
    <row r="14489" spans="2:9" ht="25.5">
      <c r="B14489" s="3192" t="s">
        <v>676</v>
      </c>
      <c r="C14489" s="3063"/>
      <c r="D14489" s="3064"/>
      <c r="E14489" s="3064"/>
      <c r="F14489" s="3064"/>
      <c r="G14489" s="3301" t="s">
        <v>676</v>
      </c>
      <c r="H14489" s="3063"/>
      <c r="I14489" s="3030"/>
    </row>
    <row r="14490" spans="2:9">
      <c r="B14490" s="3192" t="s">
        <v>677</v>
      </c>
      <c r="C14490" s="3063"/>
      <c r="D14490" s="3064"/>
      <c r="E14490" s="3064"/>
      <c r="F14490" s="3064"/>
      <c r="G14490" s="3301" t="s">
        <v>677</v>
      </c>
      <c r="H14490" s="3063"/>
      <c r="I14490" s="3030"/>
    </row>
    <row r="14491" spans="2:9">
      <c r="B14491" s="3192" t="s">
        <v>678</v>
      </c>
      <c r="C14491" s="3063"/>
      <c r="D14491" s="3064"/>
      <c r="E14491" s="3064"/>
      <c r="F14491" s="3064"/>
      <c r="G14491" s="3301" t="s">
        <v>678</v>
      </c>
      <c r="H14491" s="3063"/>
      <c r="I14491" s="3030"/>
    </row>
    <row r="14492" spans="2:9">
      <c r="B14492" s="3192" t="s">
        <v>679</v>
      </c>
      <c r="C14492" s="3063"/>
      <c r="D14492" s="3064"/>
      <c r="E14492" s="3064"/>
      <c r="F14492" s="3064"/>
      <c r="G14492" s="3301" t="s">
        <v>679</v>
      </c>
      <c r="H14492" s="3063"/>
      <c r="I14492" s="3030"/>
    </row>
    <row r="14493" spans="2:9" ht="25.5">
      <c r="B14493" s="3192" t="s">
        <v>720</v>
      </c>
      <c r="C14493" s="3063"/>
      <c r="D14493" s="3064"/>
      <c r="E14493" s="3064"/>
      <c r="F14493" s="3064"/>
      <c r="G14493" s="3301" t="s">
        <v>720</v>
      </c>
      <c r="H14493" s="3063"/>
      <c r="I14493" s="3030"/>
    </row>
    <row r="14494" spans="2:9" ht="25.5">
      <c r="B14494" s="3299" t="s">
        <v>682</v>
      </c>
      <c r="C14494" s="3063"/>
      <c r="D14494" s="3064"/>
      <c r="E14494" s="3064"/>
      <c r="F14494" s="3064"/>
      <c r="G14494" s="3300" t="s">
        <v>682</v>
      </c>
      <c r="H14494" s="3063"/>
      <c r="I14494" s="3030"/>
    </row>
    <row r="14495" spans="2:9" ht="25.5">
      <c r="B14495" s="3192" t="s">
        <v>675</v>
      </c>
      <c r="C14495" s="3063"/>
      <c r="D14495" s="3064"/>
      <c r="E14495" s="3064"/>
      <c r="F14495" s="3064"/>
      <c r="G14495" s="3301" t="s">
        <v>675</v>
      </c>
      <c r="H14495" s="3063"/>
      <c r="I14495" s="3030"/>
    </row>
    <row r="14496" spans="2:9" ht="25.5">
      <c r="B14496" s="3192" t="s">
        <v>676</v>
      </c>
      <c r="C14496" s="3063"/>
      <c r="D14496" s="3064"/>
      <c r="E14496" s="3064"/>
      <c r="F14496" s="3064"/>
      <c r="G14496" s="3301" t="s">
        <v>676</v>
      </c>
      <c r="H14496" s="3063"/>
      <c r="I14496" s="3030"/>
    </row>
    <row r="14497" spans="2:9">
      <c r="B14497" s="3192" t="s">
        <v>677</v>
      </c>
      <c r="C14497" s="3063"/>
      <c r="D14497" s="3064"/>
      <c r="E14497" s="3064"/>
      <c r="F14497" s="3064"/>
      <c r="G14497" s="3301" t="s">
        <v>677</v>
      </c>
      <c r="H14497" s="3063"/>
      <c r="I14497" s="3030"/>
    </row>
    <row r="14498" spans="2:9">
      <c r="B14498" s="3192" t="s">
        <v>678</v>
      </c>
      <c r="C14498" s="3063"/>
      <c r="D14498" s="3064"/>
      <c r="E14498" s="3064"/>
      <c r="F14498" s="3064"/>
      <c r="G14498" s="3301" t="s">
        <v>678</v>
      </c>
      <c r="H14498" s="3063"/>
      <c r="I14498" s="3030"/>
    </row>
    <row r="14499" spans="2:9">
      <c r="B14499" s="3192" t="s">
        <v>679</v>
      </c>
      <c r="C14499" s="3063"/>
      <c r="D14499" s="3064"/>
      <c r="E14499" s="3064"/>
      <c r="F14499" s="3064"/>
      <c r="G14499" s="3301" t="s">
        <v>679</v>
      </c>
      <c r="H14499" s="3063"/>
      <c r="I14499" s="3030"/>
    </row>
    <row r="14500" spans="2:9" ht="25.5">
      <c r="B14500" s="3192" t="s">
        <v>720</v>
      </c>
      <c r="C14500" s="3063"/>
      <c r="D14500" s="3064"/>
      <c r="E14500" s="3064"/>
      <c r="F14500" s="3064"/>
      <c r="G14500" s="3301" t="s">
        <v>720</v>
      </c>
      <c r="H14500" s="3063"/>
      <c r="I14500" s="3030"/>
    </row>
    <row r="14501" spans="2:9" ht="25.5">
      <c r="B14501" s="3299" t="s">
        <v>66</v>
      </c>
      <c r="C14501" s="3063"/>
      <c r="D14501" s="3064"/>
      <c r="E14501" s="3064"/>
      <c r="F14501" s="3064"/>
      <c r="G14501" s="3300" t="s">
        <v>66</v>
      </c>
      <c r="H14501" s="3063"/>
      <c r="I14501" s="3030"/>
    </row>
    <row r="14502" spans="2:9" ht="25.5">
      <c r="B14502" s="3192" t="s">
        <v>675</v>
      </c>
      <c r="C14502" s="3063"/>
      <c r="D14502" s="3064"/>
      <c r="E14502" s="3064"/>
      <c r="F14502" s="3064"/>
      <c r="G14502" s="3301" t="s">
        <v>675</v>
      </c>
      <c r="H14502" s="3063"/>
      <c r="I14502" s="3030"/>
    </row>
    <row r="14503" spans="2:9" ht="25.5">
      <c r="B14503" s="3192" t="s">
        <v>676</v>
      </c>
      <c r="C14503" s="3063"/>
      <c r="D14503" s="3064"/>
      <c r="E14503" s="3064"/>
      <c r="F14503" s="3064"/>
      <c r="G14503" s="3301" t="s">
        <v>676</v>
      </c>
      <c r="H14503" s="3063"/>
      <c r="I14503" s="3030"/>
    </row>
    <row r="14504" spans="2:9">
      <c r="B14504" s="3192" t="s">
        <v>677</v>
      </c>
      <c r="C14504" s="3063"/>
      <c r="D14504" s="3064"/>
      <c r="E14504" s="3064"/>
      <c r="F14504" s="3064"/>
      <c r="G14504" s="3301" t="s">
        <v>677</v>
      </c>
      <c r="H14504" s="3063"/>
      <c r="I14504" s="3030"/>
    </row>
    <row r="14505" spans="2:9">
      <c r="B14505" s="3192" t="s">
        <v>678</v>
      </c>
      <c r="C14505" s="3063"/>
      <c r="D14505" s="3064"/>
      <c r="E14505" s="3064"/>
      <c r="F14505" s="3064"/>
      <c r="G14505" s="3301" t="s">
        <v>678</v>
      </c>
      <c r="H14505" s="3063"/>
      <c r="I14505" s="3030"/>
    </row>
    <row r="14506" spans="2:9">
      <c r="B14506" s="3192" t="s">
        <v>679</v>
      </c>
      <c r="C14506" s="3063"/>
      <c r="D14506" s="3064"/>
      <c r="E14506" s="3064"/>
      <c r="F14506" s="3064"/>
      <c r="G14506" s="3301" t="s">
        <v>679</v>
      </c>
      <c r="H14506" s="3063"/>
      <c r="I14506" s="3030"/>
    </row>
    <row r="14507" spans="2:9" ht="25.5">
      <c r="B14507" s="3192" t="s">
        <v>720</v>
      </c>
      <c r="C14507" s="3063"/>
      <c r="D14507" s="3064"/>
      <c r="E14507" s="3064"/>
      <c r="F14507" s="3064"/>
      <c r="G14507" s="3301" t="s">
        <v>720</v>
      </c>
      <c r="H14507" s="3063"/>
      <c r="I14507" s="3030"/>
    </row>
    <row r="14508" spans="2:9">
      <c r="B14508" s="3299" t="s">
        <v>67</v>
      </c>
      <c r="C14508" s="3063"/>
      <c r="D14508" s="3064"/>
      <c r="E14508" s="3064"/>
      <c r="F14508" s="3064"/>
      <c r="G14508" s="3300" t="s">
        <v>67</v>
      </c>
      <c r="H14508" s="3063"/>
      <c r="I14508" s="3030"/>
    </row>
    <row r="14509" spans="2:9" ht="25.5">
      <c r="B14509" s="3192" t="s">
        <v>675</v>
      </c>
      <c r="C14509" s="3063"/>
      <c r="D14509" s="3064"/>
      <c r="E14509" s="3064"/>
      <c r="F14509" s="3064"/>
      <c r="G14509" s="3301" t="s">
        <v>675</v>
      </c>
      <c r="H14509" s="3063"/>
      <c r="I14509" s="3030"/>
    </row>
    <row r="14510" spans="2:9" ht="25.5">
      <c r="B14510" s="3192" t="s">
        <v>676</v>
      </c>
      <c r="C14510" s="3063"/>
      <c r="D14510" s="3064"/>
      <c r="E14510" s="3064"/>
      <c r="F14510" s="3064"/>
      <c r="G14510" s="3301" t="s">
        <v>676</v>
      </c>
      <c r="H14510" s="3063"/>
      <c r="I14510" s="3030"/>
    </row>
    <row r="14511" spans="2:9">
      <c r="B14511" s="3192" t="s">
        <v>677</v>
      </c>
      <c r="C14511" s="3063"/>
      <c r="D14511" s="3064"/>
      <c r="E14511" s="3064"/>
      <c r="F14511" s="3064"/>
      <c r="G14511" s="3301" t="s">
        <v>677</v>
      </c>
      <c r="H14511" s="3063"/>
      <c r="I14511" s="3030"/>
    </row>
    <row r="14512" spans="2:9">
      <c r="B14512" s="3192" t="s">
        <v>678</v>
      </c>
      <c r="C14512" s="3063"/>
      <c r="D14512" s="3064"/>
      <c r="E14512" s="3064"/>
      <c r="F14512" s="3064"/>
      <c r="G14512" s="3301" t="s">
        <v>678</v>
      </c>
      <c r="H14512" s="3063"/>
      <c r="I14512" s="3030"/>
    </row>
    <row r="14513" spans="2:9">
      <c r="B14513" s="3192" t="s">
        <v>679</v>
      </c>
      <c r="C14513" s="3063"/>
      <c r="D14513" s="3064"/>
      <c r="E14513" s="3064"/>
      <c r="F14513" s="3064"/>
      <c r="G14513" s="3301" t="s">
        <v>679</v>
      </c>
      <c r="H14513" s="3063"/>
      <c r="I14513" s="3030"/>
    </row>
    <row r="14514" spans="2:9" ht="25.5">
      <c r="B14514" s="3230" t="s">
        <v>81</v>
      </c>
      <c r="C14514" s="3063"/>
      <c r="D14514" s="3064"/>
      <c r="E14514" s="3064"/>
      <c r="F14514" s="3064"/>
      <c r="G14514" s="3302" t="s">
        <v>81</v>
      </c>
      <c r="H14514" s="3063"/>
      <c r="I14514" s="3030"/>
    </row>
    <row r="14515" spans="2:9" ht="26.25" thickBot="1">
      <c r="B14515" s="3303" t="s">
        <v>81</v>
      </c>
      <c r="C14515" s="3068"/>
      <c r="D14515" s="3069"/>
      <c r="E14515" s="3069"/>
      <c r="F14515" s="3069"/>
      <c r="G14515" s="3304" t="s">
        <v>81</v>
      </c>
      <c r="H14515" s="3068"/>
      <c r="I14515" s="3070"/>
    </row>
    <row r="14516" spans="2:9" ht="38.25">
      <c r="B14516" s="4723">
        <v>3400</v>
      </c>
      <c r="C14516" s="3289"/>
      <c r="D14516" s="3290"/>
      <c r="E14516" s="3290"/>
      <c r="F14516" s="3290"/>
      <c r="G14516" s="4723">
        <v>3400</v>
      </c>
      <c r="H14516" s="3291" t="s">
        <v>687</v>
      </c>
      <c r="I14516" s="3292" t="s">
        <v>688</v>
      </c>
    </row>
    <row r="14517" spans="2:9">
      <c r="B14517" s="4724"/>
      <c r="C14517" s="4678" t="s">
        <v>686</v>
      </c>
      <c r="D14517" s="4725"/>
      <c r="E14517" s="4725"/>
      <c r="F14517" s="4726"/>
      <c r="G14517" s="4724"/>
      <c r="H14517" s="3293"/>
      <c r="I14517" s="3294"/>
    </row>
    <row r="14518" spans="2:9" ht="13.5" thickBot="1">
      <c r="B14518" s="4724"/>
      <c r="C14518" s="3215">
        <v>2013</v>
      </c>
      <c r="D14518" s="3215">
        <v>2014</v>
      </c>
      <c r="E14518" s="3215">
        <v>2015</v>
      </c>
      <c r="F14518" s="3215">
        <v>2016</v>
      </c>
      <c r="G14518" s="4724"/>
      <c r="H14518" s="3295" t="s">
        <v>390</v>
      </c>
      <c r="I14518" s="3296" t="s">
        <v>390</v>
      </c>
    </row>
    <row r="14519" spans="2:9">
      <c r="B14519" s="3217" t="s">
        <v>695</v>
      </c>
      <c r="C14519" s="3218"/>
      <c r="D14519" s="3219"/>
      <c r="E14519" s="3219"/>
      <c r="F14519" s="3219"/>
      <c r="G14519" s="3217" t="s">
        <v>695</v>
      </c>
      <c r="H14519" s="3297"/>
      <c r="I14519" s="3298"/>
    </row>
    <row r="14520" spans="2:9">
      <c r="B14520" s="3299" t="s">
        <v>64</v>
      </c>
      <c r="C14520" s="3063"/>
      <c r="D14520" s="3064"/>
      <c r="E14520" s="3064"/>
      <c r="F14520" s="3064">
        <v>1</v>
      </c>
      <c r="G14520" s="3300" t="s">
        <v>64</v>
      </c>
      <c r="H14520" s="3063">
        <v>0.89968511021142583</v>
      </c>
      <c r="I14520" s="3030"/>
    </row>
    <row r="14521" spans="2:9" ht="25.5">
      <c r="B14521" s="3192" t="s">
        <v>675</v>
      </c>
      <c r="C14521" s="3063">
        <v>2</v>
      </c>
      <c r="D14521" s="3064"/>
      <c r="E14521" s="3064"/>
      <c r="F14521" s="3064"/>
      <c r="G14521" s="3301" t="s">
        <v>675</v>
      </c>
      <c r="H14521" s="3063"/>
      <c r="I14521" s="3030">
        <v>1.3495276653171389</v>
      </c>
    </row>
    <row r="14522" spans="2:9" ht="25.5">
      <c r="B14522" s="3192" t="s">
        <v>676</v>
      </c>
      <c r="C14522" s="3063"/>
      <c r="D14522" s="3064"/>
      <c r="E14522" s="3064"/>
      <c r="F14522" s="3064"/>
      <c r="G14522" s="3301" t="s">
        <v>676</v>
      </c>
      <c r="H14522" s="3063"/>
      <c r="I14522" s="3030"/>
    </row>
    <row r="14523" spans="2:9">
      <c r="B14523" s="3192" t="s">
        <v>677</v>
      </c>
      <c r="C14523" s="3063"/>
      <c r="D14523" s="3064"/>
      <c r="E14523" s="3064"/>
      <c r="F14523" s="3064"/>
      <c r="G14523" s="3301" t="s">
        <v>677</v>
      </c>
      <c r="H14523" s="3063"/>
      <c r="I14523" s="3030"/>
    </row>
    <row r="14524" spans="2:9">
      <c r="B14524" s="3192" t="s">
        <v>678</v>
      </c>
      <c r="C14524" s="3063"/>
      <c r="D14524" s="3064">
        <v>1</v>
      </c>
      <c r="E14524" s="3064"/>
      <c r="F14524" s="3064"/>
      <c r="G14524" s="3301" t="s">
        <v>678</v>
      </c>
      <c r="H14524" s="3063"/>
      <c r="I14524" s="3030"/>
    </row>
    <row r="14525" spans="2:9">
      <c r="B14525" s="3192" t="s">
        <v>679</v>
      </c>
      <c r="C14525" s="3063"/>
      <c r="D14525" s="3064"/>
      <c r="E14525" s="3064"/>
      <c r="F14525" s="3064"/>
      <c r="G14525" s="3301" t="s">
        <v>679</v>
      </c>
      <c r="H14525" s="3063"/>
      <c r="I14525" s="3030"/>
    </row>
    <row r="14526" spans="2:9" ht="25.5">
      <c r="B14526" s="3192" t="s">
        <v>720</v>
      </c>
      <c r="C14526" s="3063"/>
      <c r="D14526" s="3064"/>
      <c r="E14526" s="3064"/>
      <c r="F14526" s="3064"/>
      <c r="G14526" s="3301" t="s">
        <v>720</v>
      </c>
      <c r="H14526" s="3063"/>
      <c r="I14526" s="3030"/>
    </row>
    <row r="14527" spans="2:9">
      <c r="B14527" s="3299" t="s">
        <v>65</v>
      </c>
      <c r="C14527" s="3063"/>
      <c r="D14527" s="3064"/>
      <c r="E14527" s="3064"/>
      <c r="F14527" s="3064">
        <v>8</v>
      </c>
      <c r="G14527" s="3300" t="s">
        <v>65</v>
      </c>
      <c r="H14527" s="3063">
        <v>0.1533846887995092</v>
      </c>
      <c r="I14527" s="3030"/>
    </row>
    <row r="14528" spans="2:9" ht="25.5">
      <c r="B14528" s="3192" t="s">
        <v>675</v>
      </c>
      <c r="C14528" s="3063">
        <v>4</v>
      </c>
      <c r="D14528" s="3064">
        <v>3</v>
      </c>
      <c r="E14528" s="3064"/>
      <c r="F14528" s="3064"/>
      <c r="G14528" s="3301" t="s">
        <v>675</v>
      </c>
      <c r="H14528" s="3063"/>
      <c r="I14528" s="3030">
        <v>0.11929920239961826</v>
      </c>
    </row>
    <row r="14529" spans="2:9" ht="25.5">
      <c r="B14529" s="3192" t="s">
        <v>676</v>
      </c>
      <c r="C14529" s="3063"/>
      <c r="D14529" s="3064"/>
      <c r="E14529" s="3064"/>
      <c r="F14529" s="3064"/>
      <c r="G14529" s="3301" t="s">
        <v>676</v>
      </c>
      <c r="H14529" s="3063"/>
      <c r="I14529" s="3030"/>
    </row>
    <row r="14530" spans="2:9">
      <c r="B14530" s="3192" t="s">
        <v>677</v>
      </c>
      <c r="C14530" s="3063"/>
      <c r="D14530" s="3064"/>
      <c r="E14530" s="3064"/>
      <c r="F14530" s="3064"/>
      <c r="G14530" s="3301" t="s">
        <v>677</v>
      </c>
      <c r="H14530" s="3063"/>
      <c r="I14530" s="3030"/>
    </row>
    <row r="14531" spans="2:9">
      <c r="B14531" s="3192" t="s">
        <v>678</v>
      </c>
      <c r="C14531" s="3063">
        <v>3</v>
      </c>
      <c r="D14531" s="3064"/>
      <c r="E14531" s="3064"/>
      <c r="F14531" s="3064"/>
      <c r="G14531" s="3301" t="s">
        <v>678</v>
      </c>
      <c r="H14531" s="3063"/>
      <c r="I14531" s="3030"/>
    </row>
    <row r="14532" spans="2:9">
      <c r="B14532" s="3192" t="s">
        <v>679</v>
      </c>
      <c r="C14532" s="3063"/>
      <c r="D14532" s="3064"/>
      <c r="E14532" s="3064"/>
      <c r="F14532" s="3064"/>
      <c r="G14532" s="3301" t="s">
        <v>679</v>
      </c>
      <c r="H14532" s="3063"/>
      <c r="I14532" s="3030"/>
    </row>
    <row r="14533" spans="2:9" ht="25.5">
      <c r="B14533" s="3192" t="s">
        <v>720</v>
      </c>
      <c r="C14533" s="3063"/>
      <c r="D14533" s="3064"/>
      <c r="E14533" s="3064"/>
      <c r="F14533" s="3064"/>
      <c r="G14533" s="3301" t="s">
        <v>720</v>
      </c>
      <c r="H14533" s="3063"/>
      <c r="I14533" s="3030"/>
    </row>
    <row r="14534" spans="2:9">
      <c r="B14534" s="3299" t="s">
        <v>82</v>
      </c>
      <c r="C14534" s="3063"/>
      <c r="D14534" s="3064"/>
      <c r="E14534" s="3064"/>
      <c r="F14534" s="3064"/>
      <c r="G14534" s="3300" t="s">
        <v>82</v>
      </c>
      <c r="H14534" s="3063"/>
      <c r="I14534" s="3030"/>
    </row>
    <row r="14535" spans="2:9" ht="25.5">
      <c r="B14535" s="3192" t="s">
        <v>675</v>
      </c>
      <c r="C14535" s="3063"/>
      <c r="D14535" s="3064"/>
      <c r="E14535" s="3064"/>
      <c r="F14535" s="3064"/>
      <c r="G14535" s="3301" t="s">
        <v>675</v>
      </c>
      <c r="H14535" s="3063"/>
      <c r="I14535" s="3030"/>
    </row>
    <row r="14536" spans="2:9" ht="25.5">
      <c r="B14536" s="3192" t="s">
        <v>676</v>
      </c>
      <c r="C14536" s="3063"/>
      <c r="D14536" s="3064"/>
      <c r="E14536" s="3064"/>
      <c r="F14536" s="3064"/>
      <c r="G14536" s="3301" t="s">
        <v>676</v>
      </c>
      <c r="H14536" s="3063"/>
      <c r="I14536" s="3030"/>
    </row>
    <row r="14537" spans="2:9">
      <c r="B14537" s="3192" t="s">
        <v>677</v>
      </c>
      <c r="C14537" s="3063"/>
      <c r="D14537" s="3064"/>
      <c r="E14537" s="3064"/>
      <c r="F14537" s="3064"/>
      <c r="G14537" s="3301" t="s">
        <v>677</v>
      </c>
      <c r="H14537" s="3063"/>
      <c r="I14537" s="3030"/>
    </row>
    <row r="14538" spans="2:9">
      <c r="B14538" s="3192" t="s">
        <v>678</v>
      </c>
      <c r="C14538" s="3063"/>
      <c r="D14538" s="3064"/>
      <c r="E14538" s="3064"/>
      <c r="F14538" s="3064"/>
      <c r="G14538" s="3301" t="s">
        <v>678</v>
      </c>
      <c r="H14538" s="3063"/>
      <c r="I14538" s="3030"/>
    </row>
    <row r="14539" spans="2:9">
      <c r="B14539" s="3192" t="s">
        <v>679</v>
      </c>
      <c r="C14539" s="3063"/>
      <c r="D14539" s="3064"/>
      <c r="E14539" s="3064"/>
      <c r="F14539" s="3064"/>
      <c r="G14539" s="3301" t="s">
        <v>679</v>
      </c>
      <c r="H14539" s="3063"/>
      <c r="I14539" s="3030"/>
    </row>
    <row r="14540" spans="2:9" ht="25.5">
      <c r="B14540" s="3192" t="s">
        <v>720</v>
      </c>
      <c r="C14540" s="3063"/>
      <c r="D14540" s="3064"/>
      <c r="E14540" s="3064"/>
      <c r="F14540" s="3064"/>
      <c r="G14540" s="3301" t="s">
        <v>720</v>
      </c>
      <c r="H14540" s="3063"/>
      <c r="I14540" s="3030"/>
    </row>
    <row r="14541" spans="2:9" ht="38.25">
      <c r="B14541" s="3299" t="s">
        <v>680</v>
      </c>
      <c r="C14541" s="3063"/>
      <c r="D14541" s="3064"/>
      <c r="E14541" s="3064"/>
      <c r="F14541" s="3064"/>
      <c r="G14541" s="3300" t="s">
        <v>680</v>
      </c>
      <c r="H14541" s="3063"/>
      <c r="I14541" s="3030"/>
    </row>
    <row r="14542" spans="2:9" ht="25.5">
      <c r="B14542" s="3192" t="s">
        <v>675</v>
      </c>
      <c r="C14542" s="3063"/>
      <c r="D14542" s="3064"/>
      <c r="E14542" s="3064"/>
      <c r="F14542" s="3064"/>
      <c r="G14542" s="3301" t="s">
        <v>675</v>
      </c>
      <c r="H14542" s="3063"/>
      <c r="I14542" s="3030"/>
    </row>
    <row r="14543" spans="2:9" ht="25.5">
      <c r="B14543" s="3192" t="s">
        <v>676</v>
      </c>
      <c r="C14543" s="3063"/>
      <c r="D14543" s="3064"/>
      <c r="E14543" s="3064"/>
      <c r="F14543" s="3064"/>
      <c r="G14543" s="3301" t="s">
        <v>676</v>
      </c>
      <c r="H14543" s="3063"/>
      <c r="I14543" s="3030"/>
    </row>
    <row r="14544" spans="2:9">
      <c r="B14544" s="3192" t="s">
        <v>677</v>
      </c>
      <c r="C14544" s="3063"/>
      <c r="D14544" s="3064"/>
      <c r="E14544" s="3064"/>
      <c r="F14544" s="3064"/>
      <c r="G14544" s="3301" t="s">
        <v>677</v>
      </c>
      <c r="H14544" s="3063"/>
      <c r="I14544" s="3030"/>
    </row>
    <row r="14545" spans="2:9">
      <c r="B14545" s="3192" t="s">
        <v>678</v>
      </c>
      <c r="C14545" s="3063"/>
      <c r="D14545" s="3064"/>
      <c r="E14545" s="3064"/>
      <c r="F14545" s="3064"/>
      <c r="G14545" s="3301" t="s">
        <v>678</v>
      </c>
      <c r="H14545" s="3063"/>
      <c r="I14545" s="3030"/>
    </row>
    <row r="14546" spans="2:9">
      <c r="B14546" s="3192" t="s">
        <v>679</v>
      </c>
      <c r="C14546" s="3063"/>
      <c r="D14546" s="3064"/>
      <c r="E14546" s="3064"/>
      <c r="F14546" s="3064"/>
      <c r="G14546" s="3301" t="s">
        <v>679</v>
      </c>
      <c r="H14546" s="3063"/>
      <c r="I14546" s="3030"/>
    </row>
    <row r="14547" spans="2:9" ht="25.5">
      <c r="B14547" s="3192" t="s">
        <v>720</v>
      </c>
      <c r="C14547" s="3063"/>
      <c r="D14547" s="3064"/>
      <c r="E14547" s="3064"/>
      <c r="F14547" s="3064"/>
      <c r="G14547" s="3301" t="s">
        <v>720</v>
      </c>
      <c r="H14547" s="3063"/>
      <c r="I14547" s="3030"/>
    </row>
    <row r="14548" spans="2:9" ht="38.25">
      <c r="B14548" s="3299" t="s">
        <v>681</v>
      </c>
      <c r="C14548" s="3063"/>
      <c r="D14548" s="3064"/>
      <c r="E14548" s="3064"/>
      <c r="F14548" s="3064"/>
      <c r="G14548" s="3300" t="s">
        <v>681</v>
      </c>
      <c r="H14548" s="3063"/>
      <c r="I14548" s="3030"/>
    </row>
    <row r="14549" spans="2:9" ht="25.5">
      <c r="B14549" s="3192" t="s">
        <v>675</v>
      </c>
      <c r="C14549" s="3063"/>
      <c r="D14549" s="3064"/>
      <c r="E14549" s="3064"/>
      <c r="F14549" s="3064"/>
      <c r="G14549" s="3301" t="s">
        <v>675</v>
      </c>
      <c r="H14549" s="3063"/>
      <c r="I14549" s="3030"/>
    </row>
    <row r="14550" spans="2:9" ht="25.5">
      <c r="B14550" s="3192" t="s">
        <v>676</v>
      </c>
      <c r="C14550" s="3063"/>
      <c r="D14550" s="3064"/>
      <c r="E14550" s="3064"/>
      <c r="F14550" s="3064"/>
      <c r="G14550" s="3301" t="s">
        <v>676</v>
      </c>
      <c r="H14550" s="3063"/>
      <c r="I14550" s="3030"/>
    </row>
    <row r="14551" spans="2:9">
      <c r="B14551" s="3192" t="s">
        <v>677</v>
      </c>
      <c r="C14551" s="3063"/>
      <c r="D14551" s="3064"/>
      <c r="E14551" s="3064"/>
      <c r="F14551" s="3064"/>
      <c r="G14551" s="3301" t="s">
        <v>677</v>
      </c>
      <c r="H14551" s="3063"/>
      <c r="I14551" s="3030"/>
    </row>
    <row r="14552" spans="2:9">
      <c r="B14552" s="3192" t="s">
        <v>678</v>
      </c>
      <c r="C14552" s="3063"/>
      <c r="D14552" s="3064"/>
      <c r="E14552" s="3064"/>
      <c r="F14552" s="3064"/>
      <c r="G14552" s="3301" t="s">
        <v>678</v>
      </c>
      <c r="H14552" s="3063"/>
      <c r="I14552" s="3030"/>
    </row>
    <row r="14553" spans="2:9">
      <c r="B14553" s="3192" t="s">
        <v>679</v>
      </c>
      <c r="C14553" s="3063"/>
      <c r="D14553" s="3064"/>
      <c r="E14553" s="3064"/>
      <c r="F14553" s="3064"/>
      <c r="G14553" s="3301" t="s">
        <v>679</v>
      </c>
      <c r="H14553" s="3063"/>
      <c r="I14553" s="3030"/>
    </row>
    <row r="14554" spans="2:9" ht="25.5">
      <c r="B14554" s="3192" t="s">
        <v>720</v>
      </c>
      <c r="C14554" s="3063"/>
      <c r="D14554" s="3064"/>
      <c r="E14554" s="3064"/>
      <c r="F14554" s="3064"/>
      <c r="G14554" s="3301" t="s">
        <v>720</v>
      </c>
      <c r="H14554" s="3063"/>
      <c r="I14554" s="3030"/>
    </row>
    <row r="14555" spans="2:9" ht="25.5">
      <c r="B14555" s="3299" t="s">
        <v>682</v>
      </c>
      <c r="C14555" s="3063"/>
      <c r="D14555" s="3064"/>
      <c r="E14555" s="3064"/>
      <c r="F14555" s="3064"/>
      <c r="G14555" s="3300" t="s">
        <v>682</v>
      </c>
      <c r="H14555" s="3063"/>
      <c r="I14555" s="3030"/>
    </row>
    <row r="14556" spans="2:9" ht="25.5">
      <c r="B14556" s="3192" t="s">
        <v>675</v>
      </c>
      <c r="C14556" s="3063"/>
      <c r="D14556" s="3064"/>
      <c r="E14556" s="3064"/>
      <c r="F14556" s="3064"/>
      <c r="G14556" s="3301" t="s">
        <v>675</v>
      </c>
      <c r="H14556" s="3063"/>
      <c r="I14556" s="3030"/>
    </row>
    <row r="14557" spans="2:9" ht="25.5">
      <c r="B14557" s="3192" t="s">
        <v>676</v>
      </c>
      <c r="C14557" s="3063"/>
      <c r="D14557" s="3064"/>
      <c r="E14557" s="3064"/>
      <c r="F14557" s="3064"/>
      <c r="G14557" s="3301" t="s">
        <v>676</v>
      </c>
      <c r="H14557" s="3063"/>
      <c r="I14557" s="3030"/>
    </row>
    <row r="14558" spans="2:9">
      <c r="B14558" s="3192" t="s">
        <v>677</v>
      </c>
      <c r="C14558" s="3063"/>
      <c r="D14558" s="3064"/>
      <c r="E14558" s="3064"/>
      <c r="F14558" s="3064"/>
      <c r="G14558" s="3301" t="s">
        <v>677</v>
      </c>
      <c r="H14558" s="3063"/>
      <c r="I14558" s="3030"/>
    </row>
    <row r="14559" spans="2:9">
      <c r="B14559" s="3192" t="s">
        <v>678</v>
      </c>
      <c r="C14559" s="3063"/>
      <c r="D14559" s="3064"/>
      <c r="E14559" s="3064"/>
      <c r="F14559" s="3064"/>
      <c r="G14559" s="3301" t="s">
        <v>678</v>
      </c>
      <c r="H14559" s="3063"/>
      <c r="I14559" s="3030"/>
    </row>
    <row r="14560" spans="2:9">
      <c r="B14560" s="3192" t="s">
        <v>679</v>
      </c>
      <c r="C14560" s="3063"/>
      <c r="D14560" s="3064"/>
      <c r="E14560" s="3064"/>
      <c r="F14560" s="3064"/>
      <c r="G14560" s="3301" t="s">
        <v>679</v>
      </c>
      <c r="H14560" s="3063"/>
      <c r="I14560" s="3030"/>
    </row>
    <row r="14561" spans="2:9" ht="25.5">
      <c r="B14561" s="3192" t="s">
        <v>720</v>
      </c>
      <c r="C14561" s="3063"/>
      <c r="D14561" s="3064"/>
      <c r="E14561" s="3064"/>
      <c r="F14561" s="3064"/>
      <c r="G14561" s="3301" t="s">
        <v>720</v>
      </c>
      <c r="H14561" s="3063"/>
      <c r="I14561" s="3030"/>
    </row>
    <row r="14562" spans="2:9" ht="25.5">
      <c r="B14562" s="3299" t="s">
        <v>66</v>
      </c>
      <c r="C14562" s="3063"/>
      <c r="D14562" s="3064"/>
      <c r="E14562" s="3064"/>
      <c r="F14562" s="3064">
        <v>1</v>
      </c>
      <c r="G14562" s="3300" t="s">
        <v>66</v>
      </c>
      <c r="H14562" s="3063">
        <v>0.70696359137504439</v>
      </c>
      <c r="I14562" s="3030"/>
    </row>
    <row r="14563" spans="2:9" ht="25.5">
      <c r="B14563" s="3192" t="s">
        <v>675</v>
      </c>
      <c r="C14563" s="3063">
        <v>1</v>
      </c>
      <c r="D14563" s="3064">
        <v>2</v>
      </c>
      <c r="E14563" s="3064"/>
      <c r="F14563" s="3064"/>
      <c r="G14563" s="3301" t="s">
        <v>675</v>
      </c>
      <c r="H14563" s="3063"/>
      <c r="I14563" s="3030">
        <v>0.79533404029692489</v>
      </c>
    </row>
    <row r="14564" spans="2:9" ht="25.5">
      <c r="B14564" s="3192" t="s">
        <v>676</v>
      </c>
      <c r="C14564" s="3063"/>
      <c r="D14564" s="3064"/>
      <c r="E14564" s="3064"/>
      <c r="F14564" s="3064"/>
      <c r="G14564" s="3301" t="s">
        <v>676</v>
      </c>
      <c r="H14564" s="3063"/>
      <c r="I14564" s="3030"/>
    </row>
    <row r="14565" spans="2:9">
      <c r="B14565" s="3192" t="s">
        <v>677</v>
      </c>
      <c r="C14565" s="3063"/>
      <c r="D14565" s="3064"/>
      <c r="E14565" s="3064"/>
      <c r="F14565" s="3064"/>
      <c r="G14565" s="3301" t="s">
        <v>677</v>
      </c>
      <c r="H14565" s="3063"/>
      <c r="I14565" s="3030"/>
    </row>
    <row r="14566" spans="2:9">
      <c r="B14566" s="3192" t="s">
        <v>678</v>
      </c>
      <c r="C14566" s="3063"/>
      <c r="D14566" s="3064"/>
      <c r="E14566" s="3064"/>
      <c r="F14566" s="3064"/>
      <c r="G14566" s="3301" t="s">
        <v>678</v>
      </c>
      <c r="H14566" s="3063"/>
      <c r="I14566" s="3030"/>
    </row>
    <row r="14567" spans="2:9">
      <c r="B14567" s="3192" t="s">
        <v>679</v>
      </c>
      <c r="C14567" s="3063"/>
      <c r="D14567" s="3064"/>
      <c r="E14567" s="3064"/>
      <c r="F14567" s="3064"/>
      <c r="G14567" s="3301" t="s">
        <v>679</v>
      </c>
      <c r="H14567" s="3063"/>
      <c r="I14567" s="3030"/>
    </row>
    <row r="14568" spans="2:9" ht="25.5">
      <c r="B14568" s="3192" t="s">
        <v>720</v>
      </c>
      <c r="C14568" s="3063"/>
      <c r="D14568" s="3064"/>
      <c r="E14568" s="3064"/>
      <c r="F14568" s="3064"/>
      <c r="G14568" s="3301" t="s">
        <v>720</v>
      </c>
      <c r="H14568" s="3063"/>
      <c r="I14568" s="3030"/>
    </row>
    <row r="14569" spans="2:9">
      <c r="B14569" s="3299" t="s">
        <v>67</v>
      </c>
      <c r="C14569" s="3063"/>
      <c r="D14569" s="3064"/>
      <c r="E14569" s="3064"/>
      <c r="F14569" s="3064">
        <v>2</v>
      </c>
      <c r="G14569" s="3300" t="s">
        <v>67</v>
      </c>
      <c r="H14569" s="3063">
        <v>4.280363830925632E-2</v>
      </c>
      <c r="I14569" s="3030"/>
    </row>
    <row r="14570" spans="2:9" ht="25.5">
      <c r="B14570" s="3192" t="s">
        <v>675</v>
      </c>
      <c r="C14570" s="3063"/>
      <c r="D14570" s="3064"/>
      <c r="E14570" s="3064"/>
      <c r="F14570" s="3064"/>
      <c r="G14570" s="3301" t="s">
        <v>675</v>
      </c>
      <c r="H14570" s="3063"/>
      <c r="I14570" s="3030"/>
    </row>
    <row r="14571" spans="2:9" ht="25.5">
      <c r="B14571" s="3192" t="s">
        <v>676</v>
      </c>
      <c r="C14571" s="3063"/>
      <c r="D14571" s="3064"/>
      <c r="E14571" s="3064"/>
      <c r="F14571" s="3064"/>
      <c r="G14571" s="3301" t="s">
        <v>676</v>
      </c>
      <c r="H14571" s="3063"/>
      <c r="I14571" s="3030"/>
    </row>
    <row r="14572" spans="2:9">
      <c r="B14572" s="3192" t="s">
        <v>677</v>
      </c>
      <c r="C14572" s="3063"/>
      <c r="D14572" s="3064"/>
      <c r="E14572" s="3064"/>
      <c r="F14572" s="3064"/>
      <c r="G14572" s="3301" t="s">
        <v>677</v>
      </c>
      <c r="H14572" s="3063"/>
      <c r="I14572" s="3030"/>
    </row>
    <row r="14573" spans="2:9">
      <c r="B14573" s="3192" t="s">
        <v>678</v>
      </c>
      <c r="C14573" s="3063"/>
      <c r="D14573" s="3064"/>
      <c r="E14573" s="3064"/>
      <c r="F14573" s="3064"/>
      <c r="G14573" s="3301" t="s">
        <v>678</v>
      </c>
      <c r="H14573" s="3063"/>
      <c r="I14573" s="3030"/>
    </row>
    <row r="14574" spans="2:9">
      <c r="B14574" s="3192" t="s">
        <v>679</v>
      </c>
      <c r="C14574" s="3063"/>
      <c r="D14574" s="3064"/>
      <c r="E14574" s="3064"/>
      <c r="F14574" s="3064"/>
      <c r="G14574" s="3301" t="s">
        <v>679</v>
      </c>
      <c r="H14574" s="3063"/>
      <c r="I14574" s="3030"/>
    </row>
    <row r="14575" spans="2:9" ht="25.5">
      <c r="B14575" s="3192" t="s">
        <v>720</v>
      </c>
      <c r="C14575" s="3063"/>
      <c r="D14575" s="3064"/>
      <c r="E14575" s="3064"/>
      <c r="F14575" s="3064"/>
      <c r="G14575" s="3301" t="s">
        <v>720</v>
      </c>
      <c r="H14575" s="3063"/>
      <c r="I14575" s="3030"/>
    </row>
    <row r="14576" spans="2:9" ht="25.5">
      <c r="B14576" s="3230" t="s">
        <v>81</v>
      </c>
      <c r="C14576" s="3063"/>
      <c r="D14576" s="3064"/>
      <c r="E14576" s="3064"/>
      <c r="F14576" s="3064"/>
      <c r="G14576" s="3302" t="s">
        <v>81</v>
      </c>
      <c r="H14576" s="3063"/>
      <c r="I14576" s="3030"/>
    </row>
    <row r="14577" spans="2:9" ht="26.25" thickBot="1">
      <c r="B14577" s="3303" t="s">
        <v>81</v>
      </c>
      <c r="C14577" s="3063"/>
      <c r="D14577" s="3064"/>
      <c r="E14577" s="3064"/>
      <c r="F14577" s="3064"/>
      <c r="G14577" s="3302" t="s">
        <v>81</v>
      </c>
      <c r="H14577" s="3063"/>
      <c r="I14577" s="3030"/>
    </row>
    <row r="14578" spans="2:9" ht="25.5">
      <c r="B14578" s="3217" t="s">
        <v>696</v>
      </c>
      <c r="C14578" s="3218"/>
      <c r="D14578" s="3219"/>
      <c r="E14578" s="3219"/>
      <c r="F14578" s="3219"/>
      <c r="G14578" s="3217" t="s">
        <v>696</v>
      </c>
      <c r="H14578" s="3297"/>
      <c r="I14578" s="3298"/>
    </row>
    <row r="14579" spans="2:9">
      <c r="B14579" s="3299" t="s">
        <v>64</v>
      </c>
      <c r="C14579" s="3063"/>
      <c r="D14579" s="3064"/>
      <c r="E14579" s="3064"/>
      <c r="F14579" s="3064"/>
      <c r="G14579" s="3300" t="s">
        <v>64</v>
      </c>
      <c r="H14579" s="3063"/>
      <c r="I14579" s="3030"/>
    </row>
    <row r="14580" spans="2:9" ht="25.5">
      <c r="B14580" s="3192" t="s">
        <v>675</v>
      </c>
      <c r="C14580" s="3063"/>
      <c r="D14580" s="3064"/>
      <c r="E14580" s="3064"/>
      <c r="F14580" s="3064"/>
      <c r="G14580" s="3301" t="s">
        <v>675</v>
      </c>
      <c r="H14580" s="3063"/>
      <c r="I14580" s="3030"/>
    </row>
    <row r="14581" spans="2:9" ht="25.5">
      <c r="B14581" s="3192" t="s">
        <v>676</v>
      </c>
      <c r="C14581" s="3063"/>
      <c r="D14581" s="3064"/>
      <c r="E14581" s="3064"/>
      <c r="F14581" s="3064"/>
      <c r="G14581" s="3301" t="s">
        <v>676</v>
      </c>
      <c r="H14581" s="3063"/>
      <c r="I14581" s="3030"/>
    </row>
    <row r="14582" spans="2:9">
      <c r="B14582" s="3192" t="s">
        <v>677</v>
      </c>
      <c r="C14582" s="3063"/>
      <c r="D14582" s="3064"/>
      <c r="E14582" s="3064"/>
      <c r="F14582" s="3064"/>
      <c r="G14582" s="3301" t="s">
        <v>677</v>
      </c>
      <c r="H14582" s="3063"/>
      <c r="I14582" s="3030"/>
    </row>
    <row r="14583" spans="2:9">
      <c r="B14583" s="3192" t="s">
        <v>678</v>
      </c>
      <c r="C14583" s="3063"/>
      <c r="D14583" s="3064"/>
      <c r="E14583" s="3064"/>
      <c r="F14583" s="3064"/>
      <c r="G14583" s="3301" t="s">
        <v>678</v>
      </c>
      <c r="H14583" s="3063"/>
      <c r="I14583" s="3030"/>
    </row>
    <row r="14584" spans="2:9">
      <c r="B14584" s="3192" t="s">
        <v>679</v>
      </c>
      <c r="C14584" s="3063"/>
      <c r="D14584" s="3064"/>
      <c r="E14584" s="3064"/>
      <c r="F14584" s="3064"/>
      <c r="G14584" s="3301" t="s">
        <v>679</v>
      </c>
      <c r="H14584" s="3063"/>
      <c r="I14584" s="3030"/>
    </row>
    <row r="14585" spans="2:9" ht="25.5">
      <c r="B14585" s="3192" t="s">
        <v>720</v>
      </c>
      <c r="C14585" s="3063"/>
      <c r="D14585" s="3064"/>
      <c r="E14585" s="3064"/>
      <c r="F14585" s="3064"/>
      <c r="G14585" s="3301" t="s">
        <v>720</v>
      </c>
      <c r="H14585" s="3063"/>
      <c r="I14585" s="3030"/>
    </row>
    <row r="14586" spans="2:9">
      <c r="B14586" s="3299" t="s">
        <v>65</v>
      </c>
      <c r="C14586" s="3063"/>
      <c r="D14586" s="3064"/>
      <c r="E14586" s="3064"/>
      <c r="F14586" s="3064"/>
      <c r="G14586" s="3300" t="s">
        <v>65</v>
      </c>
      <c r="H14586" s="3063"/>
      <c r="I14586" s="3030"/>
    </row>
    <row r="14587" spans="2:9" ht="25.5">
      <c r="B14587" s="3192" t="s">
        <v>675</v>
      </c>
      <c r="C14587" s="3063"/>
      <c r="D14587" s="3064"/>
      <c r="E14587" s="3064"/>
      <c r="F14587" s="3064"/>
      <c r="G14587" s="3301" t="s">
        <v>675</v>
      </c>
      <c r="H14587" s="3063"/>
      <c r="I14587" s="3030"/>
    </row>
    <row r="14588" spans="2:9" ht="25.5">
      <c r="B14588" s="3192" t="s">
        <v>676</v>
      </c>
      <c r="C14588" s="3063"/>
      <c r="D14588" s="3064"/>
      <c r="E14588" s="3064"/>
      <c r="F14588" s="3064"/>
      <c r="G14588" s="3301" t="s">
        <v>676</v>
      </c>
      <c r="H14588" s="3063"/>
      <c r="I14588" s="3030"/>
    </row>
    <row r="14589" spans="2:9">
      <c r="B14589" s="3192" t="s">
        <v>677</v>
      </c>
      <c r="C14589" s="3063"/>
      <c r="D14589" s="3064"/>
      <c r="E14589" s="3064"/>
      <c r="F14589" s="3064"/>
      <c r="G14589" s="3301" t="s">
        <v>677</v>
      </c>
      <c r="H14589" s="3063"/>
      <c r="I14589" s="3030"/>
    </row>
    <row r="14590" spans="2:9">
      <c r="B14590" s="3192" t="s">
        <v>678</v>
      </c>
      <c r="C14590" s="3063"/>
      <c r="D14590" s="3064"/>
      <c r="E14590" s="3064"/>
      <c r="F14590" s="3064"/>
      <c r="G14590" s="3301" t="s">
        <v>678</v>
      </c>
      <c r="H14590" s="3063"/>
      <c r="I14590" s="3030"/>
    </row>
    <row r="14591" spans="2:9">
      <c r="B14591" s="3192" t="s">
        <v>679</v>
      </c>
      <c r="C14591" s="3063"/>
      <c r="D14591" s="3064"/>
      <c r="E14591" s="3064"/>
      <c r="F14591" s="3064"/>
      <c r="G14591" s="3301" t="s">
        <v>679</v>
      </c>
      <c r="H14591" s="3063"/>
      <c r="I14591" s="3030"/>
    </row>
    <row r="14592" spans="2:9" ht="25.5">
      <c r="B14592" s="3192" t="s">
        <v>720</v>
      </c>
      <c r="C14592" s="3063"/>
      <c r="D14592" s="3064"/>
      <c r="E14592" s="3064"/>
      <c r="F14592" s="3064"/>
      <c r="G14592" s="3301" t="s">
        <v>720</v>
      </c>
      <c r="H14592" s="3063"/>
      <c r="I14592" s="3030"/>
    </row>
    <row r="14593" spans="2:9">
      <c r="B14593" s="3299" t="s">
        <v>82</v>
      </c>
      <c r="C14593" s="3063"/>
      <c r="D14593" s="3064"/>
      <c r="E14593" s="3064"/>
      <c r="F14593" s="3064"/>
      <c r="G14593" s="3300" t="s">
        <v>82</v>
      </c>
      <c r="H14593" s="3063"/>
      <c r="I14593" s="3030"/>
    </row>
    <row r="14594" spans="2:9" ht="25.5">
      <c r="B14594" s="3192" t="s">
        <v>675</v>
      </c>
      <c r="C14594" s="3063"/>
      <c r="D14594" s="3064"/>
      <c r="E14594" s="3064"/>
      <c r="F14594" s="3064"/>
      <c r="G14594" s="3301" t="s">
        <v>675</v>
      </c>
      <c r="H14594" s="3063"/>
      <c r="I14594" s="3030"/>
    </row>
    <row r="14595" spans="2:9" ht="25.5">
      <c r="B14595" s="3192" t="s">
        <v>676</v>
      </c>
      <c r="C14595" s="3063"/>
      <c r="D14595" s="3064"/>
      <c r="E14595" s="3064"/>
      <c r="F14595" s="3064"/>
      <c r="G14595" s="3301" t="s">
        <v>676</v>
      </c>
      <c r="H14595" s="3063"/>
      <c r="I14595" s="3030"/>
    </row>
    <row r="14596" spans="2:9">
      <c r="B14596" s="3192" t="s">
        <v>677</v>
      </c>
      <c r="C14596" s="3063"/>
      <c r="D14596" s="3064"/>
      <c r="E14596" s="3064"/>
      <c r="F14596" s="3064"/>
      <c r="G14596" s="3301" t="s">
        <v>677</v>
      </c>
      <c r="H14596" s="3063"/>
      <c r="I14596" s="3030"/>
    </row>
    <row r="14597" spans="2:9">
      <c r="B14597" s="3192" t="s">
        <v>678</v>
      </c>
      <c r="C14597" s="3063"/>
      <c r="D14597" s="3064"/>
      <c r="E14597" s="3064"/>
      <c r="F14597" s="3064"/>
      <c r="G14597" s="3301" t="s">
        <v>678</v>
      </c>
      <c r="H14597" s="3063"/>
      <c r="I14597" s="3030"/>
    </row>
    <row r="14598" spans="2:9">
      <c r="B14598" s="3192" t="s">
        <v>679</v>
      </c>
      <c r="C14598" s="3063"/>
      <c r="D14598" s="3064"/>
      <c r="E14598" s="3064"/>
      <c r="F14598" s="3064"/>
      <c r="G14598" s="3301" t="s">
        <v>679</v>
      </c>
      <c r="H14598" s="3063"/>
      <c r="I14598" s="3030"/>
    </row>
    <row r="14599" spans="2:9" ht="25.5">
      <c r="B14599" s="3192" t="s">
        <v>720</v>
      </c>
      <c r="C14599" s="3063"/>
      <c r="D14599" s="3064"/>
      <c r="E14599" s="3064"/>
      <c r="F14599" s="3064"/>
      <c r="G14599" s="3301" t="s">
        <v>720</v>
      </c>
      <c r="H14599" s="3063"/>
      <c r="I14599" s="3030"/>
    </row>
    <row r="14600" spans="2:9" ht="38.25">
      <c r="B14600" s="3299" t="s">
        <v>680</v>
      </c>
      <c r="C14600" s="3063"/>
      <c r="D14600" s="3064"/>
      <c r="E14600" s="3064"/>
      <c r="F14600" s="3064"/>
      <c r="G14600" s="3300" t="s">
        <v>680</v>
      </c>
      <c r="H14600" s="3063"/>
      <c r="I14600" s="3030"/>
    </row>
    <row r="14601" spans="2:9" ht="25.5">
      <c r="B14601" s="3192" t="s">
        <v>675</v>
      </c>
      <c r="C14601" s="3063"/>
      <c r="D14601" s="3064"/>
      <c r="E14601" s="3064"/>
      <c r="F14601" s="3064"/>
      <c r="G14601" s="3301" t="s">
        <v>675</v>
      </c>
      <c r="H14601" s="3063"/>
      <c r="I14601" s="3030"/>
    </row>
    <row r="14602" spans="2:9" ht="25.5">
      <c r="B14602" s="3192" t="s">
        <v>676</v>
      </c>
      <c r="C14602" s="3063"/>
      <c r="D14602" s="3064"/>
      <c r="E14602" s="3064"/>
      <c r="F14602" s="3064"/>
      <c r="G14602" s="3301" t="s">
        <v>676</v>
      </c>
      <c r="H14602" s="3063"/>
      <c r="I14602" s="3030"/>
    </row>
    <row r="14603" spans="2:9">
      <c r="B14603" s="3192" t="s">
        <v>677</v>
      </c>
      <c r="C14603" s="3063"/>
      <c r="D14603" s="3064"/>
      <c r="E14603" s="3064"/>
      <c r="F14603" s="3064"/>
      <c r="G14603" s="3301" t="s">
        <v>677</v>
      </c>
      <c r="H14603" s="3063"/>
      <c r="I14603" s="3030"/>
    </row>
    <row r="14604" spans="2:9">
      <c r="B14604" s="3192" t="s">
        <v>678</v>
      </c>
      <c r="C14604" s="3063"/>
      <c r="D14604" s="3064"/>
      <c r="E14604" s="3064"/>
      <c r="F14604" s="3064"/>
      <c r="G14604" s="3301" t="s">
        <v>678</v>
      </c>
      <c r="H14604" s="3063"/>
      <c r="I14604" s="3030"/>
    </row>
    <row r="14605" spans="2:9">
      <c r="B14605" s="3192" t="s">
        <v>679</v>
      </c>
      <c r="C14605" s="3063"/>
      <c r="D14605" s="3064"/>
      <c r="E14605" s="3064"/>
      <c r="F14605" s="3064"/>
      <c r="G14605" s="3301" t="s">
        <v>679</v>
      </c>
      <c r="H14605" s="3063"/>
      <c r="I14605" s="3030"/>
    </row>
    <row r="14606" spans="2:9" ht="25.5">
      <c r="B14606" s="3192" t="s">
        <v>720</v>
      </c>
      <c r="C14606" s="3063"/>
      <c r="D14606" s="3064"/>
      <c r="E14606" s="3064"/>
      <c r="F14606" s="3064"/>
      <c r="G14606" s="3301" t="s">
        <v>720</v>
      </c>
      <c r="H14606" s="3063"/>
      <c r="I14606" s="3030"/>
    </row>
    <row r="14607" spans="2:9" ht="38.25">
      <c r="B14607" s="3299" t="s">
        <v>681</v>
      </c>
      <c r="C14607" s="3063"/>
      <c r="D14607" s="3064"/>
      <c r="E14607" s="3064"/>
      <c r="F14607" s="3064"/>
      <c r="G14607" s="3300" t="s">
        <v>681</v>
      </c>
      <c r="H14607" s="3063"/>
      <c r="I14607" s="3030"/>
    </row>
    <row r="14608" spans="2:9" ht="25.5">
      <c r="B14608" s="3192" t="s">
        <v>675</v>
      </c>
      <c r="C14608" s="3063"/>
      <c r="D14608" s="3064"/>
      <c r="E14608" s="3064"/>
      <c r="F14608" s="3064"/>
      <c r="G14608" s="3301" t="s">
        <v>675</v>
      </c>
      <c r="H14608" s="3063"/>
      <c r="I14608" s="3030"/>
    </row>
    <row r="14609" spans="2:9" ht="25.5">
      <c r="B14609" s="3192" t="s">
        <v>676</v>
      </c>
      <c r="C14609" s="3063"/>
      <c r="D14609" s="3064"/>
      <c r="E14609" s="3064"/>
      <c r="F14609" s="3064"/>
      <c r="G14609" s="3301" t="s">
        <v>676</v>
      </c>
      <c r="H14609" s="3063"/>
      <c r="I14609" s="3030"/>
    </row>
    <row r="14610" spans="2:9">
      <c r="B14610" s="3192" t="s">
        <v>677</v>
      </c>
      <c r="C14610" s="3063"/>
      <c r="D14610" s="3064"/>
      <c r="E14610" s="3064"/>
      <c r="F14610" s="3064"/>
      <c r="G14610" s="3301" t="s">
        <v>677</v>
      </c>
      <c r="H14610" s="3063"/>
      <c r="I14610" s="3030"/>
    </row>
    <row r="14611" spans="2:9">
      <c r="B14611" s="3192" t="s">
        <v>678</v>
      </c>
      <c r="C14611" s="3063"/>
      <c r="D14611" s="3064"/>
      <c r="E14611" s="3064"/>
      <c r="F14611" s="3064"/>
      <c r="G14611" s="3301" t="s">
        <v>678</v>
      </c>
      <c r="H14611" s="3063"/>
      <c r="I14611" s="3030"/>
    </row>
    <row r="14612" spans="2:9">
      <c r="B14612" s="3192" t="s">
        <v>679</v>
      </c>
      <c r="C14612" s="3063"/>
      <c r="D14612" s="3064"/>
      <c r="E14612" s="3064"/>
      <c r="F14612" s="3064"/>
      <c r="G14612" s="3301" t="s">
        <v>679</v>
      </c>
      <c r="H14612" s="3063"/>
      <c r="I14612" s="3030"/>
    </row>
    <row r="14613" spans="2:9" ht="25.5">
      <c r="B14613" s="3192" t="s">
        <v>720</v>
      </c>
      <c r="C14613" s="3063"/>
      <c r="D14613" s="3064"/>
      <c r="E14613" s="3064"/>
      <c r="F14613" s="3064"/>
      <c r="G14613" s="3301" t="s">
        <v>720</v>
      </c>
      <c r="H14613" s="3063"/>
      <c r="I14613" s="3030"/>
    </row>
    <row r="14614" spans="2:9" ht="25.5">
      <c r="B14614" s="3299" t="s">
        <v>682</v>
      </c>
      <c r="C14614" s="3063"/>
      <c r="D14614" s="3064"/>
      <c r="E14614" s="3064"/>
      <c r="F14614" s="3064"/>
      <c r="G14614" s="3300" t="s">
        <v>682</v>
      </c>
      <c r="H14614" s="3063"/>
      <c r="I14614" s="3030"/>
    </row>
    <row r="14615" spans="2:9" ht="25.5">
      <c r="B14615" s="3192" t="s">
        <v>675</v>
      </c>
      <c r="C14615" s="3063"/>
      <c r="D14615" s="3064"/>
      <c r="E14615" s="3064"/>
      <c r="F14615" s="3064"/>
      <c r="G14615" s="3301" t="s">
        <v>675</v>
      </c>
      <c r="H14615" s="3063"/>
      <c r="I14615" s="3030"/>
    </row>
    <row r="14616" spans="2:9" ht="25.5">
      <c r="B14616" s="3192" t="s">
        <v>676</v>
      </c>
      <c r="C14616" s="3063"/>
      <c r="D14616" s="3064"/>
      <c r="E14616" s="3064"/>
      <c r="F14616" s="3064"/>
      <c r="G14616" s="3301" t="s">
        <v>676</v>
      </c>
      <c r="H14616" s="3063"/>
      <c r="I14616" s="3030"/>
    </row>
    <row r="14617" spans="2:9">
      <c r="B14617" s="3192" t="s">
        <v>677</v>
      </c>
      <c r="C14617" s="3063"/>
      <c r="D14617" s="3064"/>
      <c r="E14617" s="3064"/>
      <c r="F14617" s="3064"/>
      <c r="G14617" s="3301" t="s">
        <v>677</v>
      </c>
      <c r="H14617" s="3063"/>
      <c r="I14617" s="3030"/>
    </row>
    <row r="14618" spans="2:9">
      <c r="B14618" s="3192" t="s">
        <v>678</v>
      </c>
      <c r="C14618" s="3063"/>
      <c r="D14618" s="3064"/>
      <c r="E14618" s="3064"/>
      <c r="F14618" s="3064"/>
      <c r="G14618" s="3301" t="s">
        <v>678</v>
      </c>
      <c r="H14618" s="3063"/>
      <c r="I14618" s="3030"/>
    </row>
    <row r="14619" spans="2:9">
      <c r="B14619" s="3192" t="s">
        <v>679</v>
      </c>
      <c r="C14619" s="3063"/>
      <c r="D14619" s="3064"/>
      <c r="E14619" s="3064"/>
      <c r="F14619" s="3064"/>
      <c r="G14619" s="3301" t="s">
        <v>679</v>
      </c>
      <c r="H14619" s="3063"/>
      <c r="I14619" s="3030"/>
    </row>
    <row r="14620" spans="2:9" ht="25.5">
      <c r="B14620" s="3192" t="s">
        <v>720</v>
      </c>
      <c r="C14620" s="3063"/>
      <c r="D14620" s="3064"/>
      <c r="E14620" s="3064"/>
      <c r="F14620" s="3064"/>
      <c r="G14620" s="3301" t="s">
        <v>720</v>
      </c>
      <c r="H14620" s="3063"/>
      <c r="I14620" s="3030"/>
    </row>
    <row r="14621" spans="2:9" ht="25.5">
      <c r="B14621" s="3299" t="s">
        <v>66</v>
      </c>
      <c r="C14621" s="3063"/>
      <c r="D14621" s="3064"/>
      <c r="E14621" s="3064"/>
      <c r="F14621" s="3064"/>
      <c r="G14621" s="3300" t="s">
        <v>66</v>
      </c>
      <c r="H14621" s="3063"/>
      <c r="I14621" s="3030"/>
    </row>
    <row r="14622" spans="2:9" ht="25.5">
      <c r="B14622" s="3192" t="s">
        <v>675</v>
      </c>
      <c r="C14622" s="3063"/>
      <c r="D14622" s="3064"/>
      <c r="E14622" s="3064"/>
      <c r="F14622" s="3064"/>
      <c r="G14622" s="3301" t="s">
        <v>675</v>
      </c>
      <c r="H14622" s="3063"/>
      <c r="I14622" s="3030"/>
    </row>
    <row r="14623" spans="2:9" ht="25.5">
      <c r="B14623" s="3192" t="s">
        <v>676</v>
      </c>
      <c r="C14623" s="3063"/>
      <c r="D14623" s="3064"/>
      <c r="E14623" s="3064"/>
      <c r="F14623" s="3064"/>
      <c r="G14623" s="3301" t="s">
        <v>676</v>
      </c>
      <c r="H14623" s="3063"/>
      <c r="I14623" s="3030"/>
    </row>
    <row r="14624" spans="2:9">
      <c r="B14624" s="3192" t="s">
        <v>677</v>
      </c>
      <c r="C14624" s="3063"/>
      <c r="D14624" s="3064"/>
      <c r="E14624" s="3064"/>
      <c r="F14624" s="3064"/>
      <c r="G14624" s="3301" t="s">
        <v>677</v>
      </c>
      <c r="H14624" s="3063"/>
      <c r="I14624" s="3030"/>
    </row>
    <row r="14625" spans="2:9">
      <c r="B14625" s="3192" t="s">
        <v>678</v>
      </c>
      <c r="C14625" s="3063"/>
      <c r="D14625" s="3064"/>
      <c r="E14625" s="3064"/>
      <c r="F14625" s="3064"/>
      <c r="G14625" s="3301" t="s">
        <v>678</v>
      </c>
      <c r="H14625" s="3063"/>
      <c r="I14625" s="3030"/>
    </row>
    <row r="14626" spans="2:9">
      <c r="B14626" s="3192" t="s">
        <v>679</v>
      </c>
      <c r="C14626" s="3063"/>
      <c r="D14626" s="3064"/>
      <c r="E14626" s="3064"/>
      <c r="F14626" s="3064"/>
      <c r="G14626" s="3301" t="s">
        <v>679</v>
      </c>
      <c r="H14626" s="3063"/>
      <c r="I14626" s="3030"/>
    </row>
    <row r="14627" spans="2:9" ht="25.5">
      <c r="B14627" s="3192" t="s">
        <v>720</v>
      </c>
      <c r="C14627" s="3063"/>
      <c r="D14627" s="3064"/>
      <c r="E14627" s="3064"/>
      <c r="F14627" s="3064"/>
      <c r="G14627" s="3301" t="s">
        <v>720</v>
      </c>
      <c r="H14627" s="3063"/>
      <c r="I14627" s="3030"/>
    </row>
    <row r="14628" spans="2:9">
      <c r="B14628" s="3299" t="s">
        <v>67</v>
      </c>
      <c r="C14628" s="3063"/>
      <c r="D14628" s="3064"/>
      <c r="E14628" s="3064"/>
      <c r="F14628" s="3064"/>
      <c r="G14628" s="3300" t="s">
        <v>67</v>
      </c>
      <c r="H14628" s="3063"/>
      <c r="I14628" s="3030"/>
    </row>
    <row r="14629" spans="2:9" ht="25.5">
      <c r="B14629" s="3192" t="s">
        <v>675</v>
      </c>
      <c r="C14629" s="3063"/>
      <c r="D14629" s="3064"/>
      <c r="E14629" s="3064"/>
      <c r="F14629" s="3064"/>
      <c r="G14629" s="3301" t="s">
        <v>675</v>
      </c>
      <c r="H14629" s="3063"/>
      <c r="I14629" s="3030"/>
    </row>
    <row r="14630" spans="2:9" ht="25.5">
      <c r="B14630" s="3192" t="s">
        <v>676</v>
      </c>
      <c r="C14630" s="3063"/>
      <c r="D14630" s="3064"/>
      <c r="E14630" s="3064"/>
      <c r="F14630" s="3064"/>
      <c r="G14630" s="3301" t="s">
        <v>676</v>
      </c>
      <c r="H14630" s="3063"/>
      <c r="I14630" s="3030"/>
    </row>
    <row r="14631" spans="2:9">
      <c r="B14631" s="3192" t="s">
        <v>677</v>
      </c>
      <c r="C14631" s="3063"/>
      <c r="D14631" s="3064"/>
      <c r="E14631" s="3064"/>
      <c r="F14631" s="3064"/>
      <c r="G14631" s="3301" t="s">
        <v>677</v>
      </c>
      <c r="H14631" s="3063"/>
      <c r="I14631" s="3030"/>
    </row>
    <row r="14632" spans="2:9">
      <c r="B14632" s="3192" t="s">
        <v>678</v>
      </c>
      <c r="C14632" s="3063"/>
      <c r="D14632" s="3064"/>
      <c r="E14632" s="3064"/>
      <c r="F14632" s="3064"/>
      <c r="G14632" s="3301" t="s">
        <v>678</v>
      </c>
      <c r="H14632" s="3063"/>
      <c r="I14632" s="3030"/>
    </row>
    <row r="14633" spans="2:9">
      <c r="B14633" s="3192" t="s">
        <v>679</v>
      </c>
      <c r="C14633" s="3063"/>
      <c r="D14633" s="3064"/>
      <c r="E14633" s="3064"/>
      <c r="F14633" s="3064"/>
      <c r="G14633" s="3301" t="s">
        <v>679</v>
      </c>
      <c r="H14633" s="3063"/>
      <c r="I14633" s="3030"/>
    </row>
    <row r="14634" spans="2:9" ht="25.5">
      <c r="B14634" s="3230" t="s">
        <v>81</v>
      </c>
      <c r="C14634" s="3063"/>
      <c r="D14634" s="3064"/>
      <c r="E14634" s="3064"/>
      <c r="F14634" s="3064"/>
      <c r="G14634" s="3302" t="s">
        <v>81</v>
      </c>
      <c r="H14634" s="3063"/>
      <c r="I14634" s="3030"/>
    </row>
    <row r="14635" spans="2:9" ht="26.25" thickBot="1">
      <c r="B14635" s="3303" t="s">
        <v>81</v>
      </c>
      <c r="C14635" s="3063"/>
      <c r="D14635" s="3064"/>
      <c r="E14635" s="3064"/>
      <c r="F14635" s="3064"/>
      <c r="G14635" s="3302" t="s">
        <v>81</v>
      </c>
      <c r="H14635" s="3063"/>
      <c r="I14635" s="3030"/>
    </row>
    <row r="14636" spans="2:9">
      <c r="B14636" s="3217" t="s">
        <v>697</v>
      </c>
      <c r="C14636" s="3218"/>
      <c r="D14636" s="3219"/>
      <c r="E14636" s="3219"/>
      <c r="F14636" s="3219"/>
      <c r="G14636" s="3217" t="s">
        <v>697</v>
      </c>
      <c r="H14636" s="3297"/>
      <c r="I14636" s="3298"/>
    </row>
    <row r="14637" spans="2:9">
      <c r="B14637" s="3299" t="s">
        <v>64</v>
      </c>
      <c r="C14637" s="3063"/>
      <c r="D14637" s="3064"/>
      <c r="E14637" s="3064"/>
      <c r="F14637" s="3064"/>
      <c r="G14637" s="3300" t="s">
        <v>64</v>
      </c>
      <c r="H14637" s="3063"/>
      <c r="I14637" s="3030"/>
    </row>
    <row r="14638" spans="2:9" ht="25.5">
      <c r="B14638" s="3192" t="s">
        <v>675</v>
      </c>
      <c r="C14638" s="3063"/>
      <c r="D14638" s="3064"/>
      <c r="E14638" s="3064"/>
      <c r="F14638" s="3064"/>
      <c r="G14638" s="3301" t="s">
        <v>675</v>
      </c>
      <c r="H14638" s="3063"/>
      <c r="I14638" s="3030"/>
    </row>
    <row r="14639" spans="2:9" ht="25.5">
      <c r="B14639" s="3192" t="s">
        <v>676</v>
      </c>
      <c r="C14639" s="3063"/>
      <c r="D14639" s="3064"/>
      <c r="E14639" s="3064"/>
      <c r="F14639" s="3064"/>
      <c r="G14639" s="3301" t="s">
        <v>676</v>
      </c>
      <c r="H14639" s="3063"/>
      <c r="I14639" s="3030"/>
    </row>
    <row r="14640" spans="2:9">
      <c r="B14640" s="3192" t="s">
        <v>677</v>
      </c>
      <c r="C14640" s="3063"/>
      <c r="D14640" s="3064"/>
      <c r="E14640" s="3064"/>
      <c r="F14640" s="3064"/>
      <c r="G14640" s="3301" t="s">
        <v>677</v>
      </c>
      <c r="H14640" s="3063"/>
      <c r="I14640" s="3030"/>
    </row>
    <row r="14641" spans="2:9">
      <c r="B14641" s="3192" t="s">
        <v>678</v>
      </c>
      <c r="C14641" s="3063"/>
      <c r="D14641" s="3064"/>
      <c r="E14641" s="3064"/>
      <c r="F14641" s="3064"/>
      <c r="G14641" s="3301" t="s">
        <v>678</v>
      </c>
      <c r="H14641" s="3063"/>
      <c r="I14641" s="3030"/>
    </row>
    <row r="14642" spans="2:9">
      <c r="B14642" s="3192" t="s">
        <v>679</v>
      </c>
      <c r="C14642" s="3063"/>
      <c r="D14642" s="3064"/>
      <c r="E14642" s="3064"/>
      <c r="F14642" s="3064"/>
      <c r="G14642" s="3301" t="s">
        <v>679</v>
      </c>
      <c r="H14642" s="3063"/>
      <c r="I14642" s="3030"/>
    </row>
    <row r="14643" spans="2:9" ht="25.5">
      <c r="B14643" s="3192" t="s">
        <v>720</v>
      </c>
      <c r="C14643" s="3063"/>
      <c r="D14643" s="3064"/>
      <c r="E14643" s="3064"/>
      <c r="F14643" s="3064"/>
      <c r="G14643" s="3301" t="s">
        <v>720</v>
      </c>
      <c r="H14643" s="3063"/>
      <c r="I14643" s="3030"/>
    </row>
    <row r="14644" spans="2:9">
      <c r="B14644" s="3299" t="s">
        <v>65</v>
      </c>
      <c r="C14644" s="3063"/>
      <c r="D14644" s="3064"/>
      <c r="E14644" s="3064"/>
      <c r="F14644" s="3064"/>
      <c r="G14644" s="3300" t="s">
        <v>65</v>
      </c>
      <c r="H14644" s="3063"/>
      <c r="I14644" s="3030"/>
    </row>
    <row r="14645" spans="2:9" ht="25.5">
      <c r="B14645" s="3192" t="s">
        <v>675</v>
      </c>
      <c r="C14645" s="3063"/>
      <c r="D14645" s="3064"/>
      <c r="E14645" s="3064"/>
      <c r="F14645" s="3064"/>
      <c r="G14645" s="3301" t="s">
        <v>675</v>
      </c>
      <c r="H14645" s="3063"/>
      <c r="I14645" s="3030"/>
    </row>
    <row r="14646" spans="2:9" ht="25.5">
      <c r="B14646" s="3192" t="s">
        <v>676</v>
      </c>
      <c r="C14646" s="3063"/>
      <c r="D14646" s="3064"/>
      <c r="E14646" s="3064"/>
      <c r="F14646" s="3064"/>
      <c r="G14646" s="3301" t="s">
        <v>676</v>
      </c>
      <c r="H14646" s="3063"/>
      <c r="I14646" s="3030"/>
    </row>
    <row r="14647" spans="2:9">
      <c r="B14647" s="3192" t="s">
        <v>677</v>
      </c>
      <c r="C14647" s="3063"/>
      <c r="D14647" s="3064"/>
      <c r="E14647" s="3064"/>
      <c r="F14647" s="3064"/>
      <c r="G14647" s="3301" t="s">
        <v>677</v>
      </c>
      <c r="H14647" s="3063"/>
      <c r="I14647" s="3030"/>
    </row>
    <row r="14648" spans="2:9">
      <c r="B14648" s="3192" t="s">
        <v>678</v>
      </c>
      <c r="C14648" s="3063"/>
      <c r="D14648" s="3064"/>
      <c r="E14648" s="3064"/>
      <c r="F14648" s="3064"/>
      <c r="G14648" s="3301" t="s">
        <v>678</v>
      </c>
      <c r="H14648" s="3063"/>
      <c r="I14648" s="3030"/>
    </row>
    <row r="14649" spans="2:9">
      <c r="B14649" s="3192" t="s">
        <v>679</v>
      </c>
      <c r="C14649" s="3063"/>
      <c r="D14649" s="3064"/>
      <c r="E14649" s="3064"/>
      <c r="F14649" s="3064"/>
      <c r="G14649" s="3301" t="s">
        <v>679</v>
      </c>
      <c r="H14649" s="3063"/>
      <c r="I14649" s="3030"/>
    </row>
    <row r="14650" spans="2:9" ht="25.5">
      <c r="B14650" s="3192" t="s">
        <v>720</v>
      </c>
      <c r="C14650" s="3063"/>
      <c r="D14650" s="3064"/>
      <c r="E14650" s="3064"/>
      <c r="F14650" s="3064"/>
      <c r="G14650" s="3301" t="s">
        <v>720</v>
      </c>
      <c r="H14650" s="3063"/>
      <c r="I14650" s="3030"/>
    </row>
    <row r="14651" spans="2:9">
      <c r="B14651" s="3299" t="s">
        <v>82</v>
      </c>
      <c r="C14651" s="3063"/>
      <c r="D14651" s="3064"/>
      <c r="E14651" s="3064"/>
      <c r="F14651" s="3064"/>
      <c r="G14651" s="3300" t="s">
        <v>82</v>
      </c>
      <c r="H14651" s="3063"/>
      <c r="I14651" s="3030"/>
    </row>
    <row r="14652" spans="2:9" ht="25.5">
      <c r="B14652" s="3192" t="s">
        <v>675</v>
      </c>
      <c r="C14652" s="3063"/>
      <c r="D14652" s="3064"/>
      <c r="E14652" s="3064"/>
      <c r="F14652" s="3064"/>
      <c r="G14652" s="3301" t="s">
        <v>675</v>
      </c>
      <c r="H14652" s="3063"/>
      <c r="I14652" s="3030"/>
    </row>
    <row r="14653" spans="2:9" ht="25.5">
      <c r="B14653" s="3192" t="s">
        <v>676</v>
      </c>
      <c r="C14653" s="3063"/>
      <c r="D14653" s="3064"/>
      <c r="E14653" s="3064"/>
      <c r="F14653" s="3064"/>
      <c r="G14653" s="3301" t="s">
        <v>676</v>
      </c>
      <c r="H14653" s="3063"/>
      <c r="I14653" s="3030"/>
    </row>
    <row r="14654" spans="2:9">
      <c r="B14654" s="3192" t="s">
        <v>677</v>
      </c>
      <c r="C14654" s="3063"/>
      <c r="D14654" s="3064"/>
      <c r="E14654" s="3064"/>
      <c r="F14654" s="3064"/>
      <c r="G14654" s="3301" t="s">
        <v>677</v>
      </c>
      <c r="H14654" s="3063"/>
      <c r="I14654" s="3030"/>
    </row>
    <row r="14655" spans="2:9">
      <c r="B14655" s="3192" t="s">
        <v>678</v>
      </c>
      <c r="C14655" s="3063"/>
      <c r="D14655" s="3064"/>
      <c r="E14655" s="3064"/>
      <c r="F14655" s="3064"/>
      <c r="G14655" s="3301" t="s">
        <v>678</v>
      </c>
      <c r="H14655" s="3063"/>
      <c r="I14655" s="3030"/>
    </row>
    <row r="14656" spans="2:9">
      <c r="B14656" s="3192" t="s">
        <v>679</v>
      </c>
      <c r="C14656" s="3063"/>
      <c r="D14656" s="3064"/>
      <c r="E14656" s="3064"/>
      <c r="F14656" s="3064"/>
      <c r="G14656" s="3301" t="s">
        <v>679</v>
      </c>
      <c r="H14656" s="3063"/>
      <c r="I14656" s="3030"/>
    </row>
    <row r="14657" spans="2:9" ht="25.5">
      <c r="B14657" s="3192" t="s">
        <v>720</v>
      </c>
      <c r="C14657" s="3063"/>
      <c r="D14657" s="3064"/>
      <c r="E14657" s="3064"/>
      <c r="F14657" s="3064"/>
      <c r="G14657" s="3301" t="s">
        <v>720</v>
      </c>
      <c r="H14657" s="3063"/>
      <c r="I14657" s="3030"/>
    </row>
    <row r="14658" spans="2:9" ht="38.25">
      <c r="B14658" s="3299" t="s">
        <v>680</v>
      </c>
      <c r="C14658" s="3063"/>
      <c r="D14658" s="3064"/>
      <c r="E14658" s="3064"/>
      <c r="F14658" s="3064"/>
      <c r="G14658" s="3300" t="s">
        <v>680</v>
      </c>
      <c r="H14658" s="3063"/>
      <c r="I14658" s="3030"/>
    </row>
    <row r="14659" spans="2:9" ht="25.5">
      <c r="B14659" s="3192" t="s">
        <v>675</v>
      </c>
      <c r="C14659" s="3063"/>
      <c r="D14659" s="3064"/>
      <c r="E14659" s="3064"/>
      <c r="F14659" s="3064"/>
      <c r="G14659" s="3301" t="s">
        <v>675</v>
      </c>
      <c r="H14659" s="3063"/>
      <c r="I14659" s="3030"/>
    </row>
    <row r="14660" spans="2:9" ht="25.5">
      <c r="B14660" s="3192" t="s">
        <v>676</v>
      </c>
      <c r="C14660" s="3063"/>
      <c r="D14660" s="3064"/>
      <c r="E14660" s="3064"/>
      <c r="F14660" s="3064"/>
      <c r="G14660" s="3301" t="s">
        <v>676</v>
      </c>
      <c r="H14660" s="3063"/>
      <c r="I14660" s="3030"/>
    </row>
    <row r="14661" spans="2:9">
      <c r="B14661" s="3192" t="s">
        <v>677</v>
      </c>
      <c r="C14661" s="3063"/>
      <c r="D14661" s="3064"/>
      <c r="E14661" s="3064"/>
      <c r="F14661" s="3064"/>
      <c r="G14661" s="3301" t="s">
        <v>677</v>
      </c>
      <c r="H14661" s="3063"/>
      <c r="I14661" s="3030"/>
    </row>
    <row r="14662" spans="2:9">
      <c r="B14662" s="3192" t="s">
        <v>678</v>
      </c>
      <c r="C14662" s="3063"/>
      <c r="D14662" s="3064"/>
      <c r="E14662" s="3064"/>
      <c r="F14662" s="3064"/>
      <c r="G14662" s="3301" t="s">
        <v>678</v>
      </c>
      <c r="H14662" s="3063"/>
      <c r="I14662" s="3030"/>
    </row>
    <row r="14663" spans="2:9">
      <c r="B14663" s="3192" t="s">
        <v>679</v>
      </c>
      <c r="C14663" s="3063"/>
      <c r="D14663" s="3064"/>
      <c r="E14663" s="3064"/>
      <c r="F14663" s="3064"/>
      <c r="G14663" s="3301" t="s">
        <v>679</v>
      </c>
      <c r="H14663" s="3063"/>
      <c r="I14663" s="3030"/>
    </row>
    <row r="14664" spans="2:9" ht="25.5">
      <c r="B14664" s="3192" t="s">
        <v>720</v>
      </c>
      <c r="C14664" s="3063"/>
      <c r="D14664" s="3064"/>
      <c r="E14664" s="3064"/>
      <c r="F14664" s="3064"/>
      <c r="G14664" s="3301" t="s">
        <v>720</v>
      </c>
      <c r="H14664" s="3063"/>
      <c r="I14664" s="3030"/>
    </row>
    <row r="14665" spans="2:9" ht="38.25">
      <c r="B14665" s="3299" t="s">
        <v>681</v>
      </c>
      <c r="C14665" s="3063"/>
      <c r="D14665" s="3064"/>
      <c r="E14665" s="3064"/>
      <c r="F14665" s="3064">
        <v>1</v>
      </c>
      <c r="G14665" s="3300" t="s">
        <v>681</v>
      </c>
      <c r="H14665" s="3063">
        <v>3.8965762083715758E-2</v>
      </c>
      <c r="I14665" s="3030"/>
    </row>
    <row r="14666" spans="2:9" ht="25.5">
      <c r="B14666" s="3192" t="s">
        <v>675</v>
      </c>
      <c r="C14666" s="3063">
        <v>2</v>
      </c>
      <c r="D14666" s="3064"/>
      <c r="E14666" s="3064"/>
      <c r="F14666" s="3064"/>
      <c r="G14666" s="3301" t="s">
        <v>675</v>
      </c>
      <c r="H14666" s="3063"/>
      <c r="I14666" s="3030">
        <v>5.1954349444954348E-2</v>
      </c>
    </row>
    <row r="14667" spans="2:9" ht="25.5">
      <c r="B14667" s="3192" t="s">
        <v>676</v>
      </c>
      <c r="C14667" s="3063"/>
      <c r="D14667" s="3064"/>
      <c r="E14667" s="3064"/>
      <c r="F14667" s="3064"/>
      <c r="G14667" s="3301" t="s">
        <v>676</v>
      </c>
      <c r="H14667" s="3063"/>
      <c r="I14667" s="3030"/>
    </row>
    <row r="14668" spans="2:9">
      <c r="B14668" s="3192" t="s">
        <v>677</v>
      </c>
      <c r="C14668" s="3063"/>
      <c r="D14668" s="3064"/>
      <c r="E14668" s="3064"/>
      <c r="F14668" s="3064"/>
      <c r="G14668" s="3301" t="s">
        <v>677</v>
      </c>
      <c r="H14668" s="3063"/>
      <c r="I14668" s="3030"/>
    </row>
    <row r="14669" spans="2:9">
      <c r="B14669" s="3192" t="s">
        <v>678</v>
      </c>
      <c r="C14669" s="3063"/>
      <c r="D14669" s="3064"/>
      <c r="E14669" s="3064"/>
      <c r="F14669" s="3064"/>
      <c r="G14669" s="3301" t="s">
        <v>678</v>
      </c>
      <c r="H14669" s="3063"/>
      <c r="I14669" s="3030"/>
    </row>
    <row r="14670" spans="2:9">
      <c r="B14670" s="3192" t="s">
        <v>679</v>
      </c>
      <c r="C14670" s="3063"/>
      <c r="D14670" s="3064"/>
      <c r="E14670" s="3064"/>
      <c r="F14670" s="3064"/>
      <c r="G14670" s="3301" t="s">
        <v>679</v>
      </c>
      <c r="H14670" s="3063"/>
      <c r="I14670" s="3030"/>
    </row>
    <row r="14671" spans="2:9" ht="25.5">
      <c r="B14671" s="3192" t="s">
        <v>720</v>
      </c>
      <c r="C14671" s="3063"/>
      <c r="D14671" s="3064"/>
      <c r="E14671" s="3064"/>
      <c r="F14671" s="3064"/>
      <c r="G14671" s="3301" t="s">
        <v>720</v>
      </c>
      <c r="H14671" s="3063"/>
      <c r="I14671" s="3030"/>
    </row>
    <row r="14672" spans="2:9" ht="25.5">
      <c r="B14672" s="3299" t="s">
        <v>682</v>
      </c>
      <c r="C14672" s="3063"/>
      <c r="D14672" s="3064"/>
      <c r="E14672" s="3064"/>
      <c r="F14672" s="3064"/>
      <c r="G14672" s="3300" t="s">
        <v>682</v>
      </c>
      <c r="H14672" s="3063"/>
      <c r="I14672" s="3030"/>
    </row>
    <row r="14673" spans="2:9" ht="25.5">
      <c r="B14673" s="3192" t="s">
        <v>675</v>
      </c>
      <c r="C14673" s="3063"/>
      <c r="D14673" s="3064"/>
      <c r="E14673" s="3064"/>
      <c r="F14673" s="3064"/>
      <c r="G14673" s="3301" t="s">
        <v>675</v>
      </c>
      <c r="H14673" s="3063"/>
      <c r="I14673" s="3030"/>
    </row>
    <row r="14674" spans="2:9" ht="25.5">
      <c r="B14674" s="3192" t="s">
        <v>676</v>
      </c>
      <c r="C14674" s="3063"/>
      <c r="D14674" s="3064"/>
      <c r="E14674" s="3064"/>
      <c r="F14674" s="3064"/>
      <c r="G14674" s="3301" t="s">
        <v>676</v>
      </c>
      <c r="H14674" s="3063"/>
      <c r="I14674" s="3030"/>
    </row>
    <row r="14675" spans="2:9">
      <c r="B14675" s="3192" t="s">
        <v>677</v>
      </c>
      <c r="C14675" s="3063"/>
      <c r="D14675" s="3064"/>
      <c r="E14675" s="3064"/>
      <c r="F14675" s="3064"/>
      <c r="G14675" s="3301" t="s">
        <v>677</v>
      </c>
      <c r="H14675" s="3063"/>
      <c r="I14675" s="3030"/>
    </row>
    <row r="14676" spans="2:9">
      <c r="B14676" s="3192" t="s">
        <v>678</v>
      </c>
      <c r="C14676" s="3063"/>
      <c r="D14676" s="3064"/>
      <c r="E14676" s="3064"/>
      <c r="F14676" s="3064"/>
      <c r="G14676" s="3301" t="s">
        <v>678</v>
      </c>
      <c r="H14676" s="3063"/>
      <c r="I14676" s="3030"/>
    </row>
    <row r="14677" spans="2:9">
      <c r="B14677" s="3192" t="s">
        <v>679</v>
      </c>
      <c r="C14677" s="3063"/>
      <c r="D14677" s="3064"/>
      <c r="E14677" s="3064"/>
      <c r="F14677" s="3064"/>
      <c r="G14677" s="3301" t="s">
        <v>679</v>
      </c>
      <c r="H14677" s="3063"/>
      <c r="I14677" s="3030"/>
    </row>
    <row r="14678" spans="2:9" ht="25.5">
      <c r="B14678" s="3192" t="s">
        <v>720</v>
      </c>
      <c r="C14678" s="3063"/>
      <c r="D14678" s="3064"/>
      <c r="E14678" s="3064"/>
      <c r="F14678" s="3064"/>
      <c r="G14678" s="3301" t="s">
        <v>720</v>
      </c>
      <c r="H14678" s="3063"/>
      <c r="I14678" s="3030"/>
    </row>
    <row r="14679" spans="2:9" ht="25.5">
      <c r="B14679" s="3299" t="s">
        <v>66</v>
      </c>
      <c r="C14679" s="3063"/>
      <c r="D14679" s="3064"/>
      <c r="E14679" s="3064"/>
      <c r="F14679" s="3064"/>
      <c r="G14679" s="3300" t="s">
        <v>66</v>
      </c>
      <c r="H14679" s="3063"/>
      <c r="I14679" s="3030"/>
    </row>
    <row r="14680" spans="2:9" ht="25.5">
      <c r="B14680" s="3192" t="s">
        <v>675</v>
      </c>
      <c r="C14680" s="3063"/>
      <c r="D14680" s="3064"/>
      <c r="E14680" s="3064"/>
      <c r="F14680" s="3064"/>
      <c r="G14680" s="3301" t="s">
        <v>675</v>
      </c>
      <c r="H14680" s="3063"/>
      <c r="I14680" s="3030"/>
    </row>
    <row r="14681" spans="2:9" ht="25.5">
      <c r="B14681" s="3192" t="s">
        <v>676</v>
      </c>
      <c r="C14681" s="3063"/>
      <c r="D14681" s="3064"/>
      <c r="E14681" s="3064"/>
      <c r="F14681" s="3064"/>
      <c r="G14681" s="3301" t="s">
        <v>676</v>
      </c>
      <c r="H14681" s="3063"/>
      <c r="I14681" s="3030"/>
    </row>
    <row r="14682" spans="2:9">
      <c r="B14682" s="3192" t="s">
        <v>677</v>
      </c>
      <c r="C14682" s="3063"/>
      <c r="D14682" s="3064"/>
      <c r="E14682" s="3064"/>
      <c r="F14682" s="3064"/>
      <c r="G14682" s="3301" t="s">
        <v>677</v>
      </c>
      <c r="H14682" s="3063"/>
      <c r="I14682" s="3030"/>
    </row>
    <row r="14683" spans="2:9">
      <c r="B14683" s="3192" t="s">
        <v>678</v>
      </c>
      <c r="C14683" s="3063"/>
      <c r="D14683" s="3064"/>
      <c r="E14683" s="3064"/>
      <c r="F14683" s="3064"/>
      <c r="G14683" s="3301" t="s">
        <v>678</v>
      </c>
      <c r="H14683" s="3063"/>
      <c r="I14683" s="3030"/>
    </row>
    <row r="14684" spans="2:9">
      <c r="B14684" s="3192" t="s">
        <v>679</v>
      </c>
      <c r="C14684" s="3063"/>
      <c r="D14684" s="3064"/>
      <c r="E14684" s="3064"/>
      <c r="F14684" s="3064"/>
      <c r="G14684" s="3301" t="s">
        <v>679</v>
      </c>
      <c r="H14684" s="3063"/>
      <c r="I14684" s="3030"/>
    </row>
    <row r="14685" spans="2:9" ht="25.5">
      <c r="B14685" s="3192" t="s">
        <v>720</v>
      </c>
      <c r="C14685" s="3063"/>
      <c r="D14685" s="3064"/>
      <c r="E14685" s="3064"/>
      <c r="F14685" s="3064"/>
      <c r="G14685" s="3301" t="s">
        <v>720</v>
      </c>
      <c r="H14685" s="3063"/>
      <c r="I14685" s="3030"/>
    </row>
    <row r="14686" spans="2:9">
      <c r="B14686" s="3299" t="s">
        <v>67</v>
      </c>
      <c r="C14686" s="3063"/>
      <c r="D14686" s="3064"/>
      <c r="E14686" s="3064"/>
      <c r="F14686" s="3064"/>
      <c r="G14686" s="3300" t="s">
        <v>67</v>
      </c>
      <c r="H14686" s="3063">
        <v>4.280363830925632E-2</v>
      </c>
      <c r="I14686" s="3030"/>
    </row>
    <row r="14687" spans="2:9" ht="25.5">
      <c r="B14687" s="3192" t="s">
        <v>675</v>
      </c>
      <c r="C14687" s="3063">
        <v>2</v>
      </c>
      <c r="D14687" s="3064"/>
      <c r="E14687" s="3064"/>
      <c r="F14687" s="3064"/>
      <c r="G14687" s="3301" t="s">
        <v>675</v>
      </c>
      <c r="H14687" s="3063"/>
      <c r="I14687" s="3030">
        <v>4.280363830925632E-2</v>
      </c>
    </row>
    <row r="14688" spans="2:9" ht="25.5">
      <c r="B14688" s="3192" t="s">
        <v>676</v>
      </c>
      <c r="C14688" s="3063"/>
      <c r="D14688" s="3064"/>
      <c r="E14688" s="3064"/>
      <c r="F14688" s="3064"/>
      <c r="G14688" s="3301" t="s">
        <v>676</v>
      </c>
      <c r="H14688" s="3063"/>
      <c r="I14688" s="3030"/>
    </row>
    <row r="14689" spans="2:9">
      <c r="B14689" s="3192" t="s">
        <v>677</v>
      </c>
      <c r="C14689" s="3063"/>
      <c r="D14689" s="3064"/>
      <c r="E14689" s="3064"/>
      <c r="F14689" s="3064"/>
      <c r="G14689" s="3301" t="s">
        <v>677</v>
      </c>
      <c r="H14689" s="3063"/>
      <c r="I14689" s="3030"/>
    </row>
    <row r="14690" spans="2:9">
      <c r="B14690" s="3192" t="s">
        <v>678</v>
      </c>
      <c r="C14690" s="3063"/>
      <c r="D14690" s="3064"/>
      <c r="E14690" s="3064"/>
      <c r="F14690" s="3064"/>
      <c r="G14690" s="3301" t="s">
        <v>678</v>
      </c>
      <c r="H14690" s="3063"/>
      <c r="I14690" s="3030"/>
    </row>
    <row r="14691" spans="2:9">
      <c r="B14691" s="3192" t="s">
        <v>679</v>
      </c>
      <c r="C14691" s="3063"/>
      <c r="D14691" s="3064"/>
      <c r="E14691" s="3064"/>
      <c r="F14691" s="3064"/>
      <c r="G14691" s="3301" t="s">
        <v>679</v>
      </c>
      <c r="H14691" s="3063"/>
      <c r="I14691" s="3030"/>
    </row>
    <row r="14692" spans="2:9" ht="25.5">
      <c r="B14692" s="3230" t="s">
        <v>81</v>
      </c>
      <c r="C14692" s="3063"/>
      <c r="D14692" s="3064"/>
      <c r="E14692" s="3064"/>
      <c r="F14692" s="3064"/>
      <c r="G14692" s="3302" t="s">
        <v>81</v>
      </c>
      <c r="H14692" s="3063"/>
      <c r="I14692" s="3030"/>
    </row>
    <row r="14693" spans="2:9" ht="26.25" thickBot="1">
      <c r="B14693" s="3303" t="s">
        <v>81</v>
      </c>
      <c r="C14693" s="3068"/>
      <c r="D14693" s="3069"/>
      <c r="E14693" s="3069"/>
      <c r="F14693" s="3069"/>
      <c r="G14693" s="3304" t="s">
        <v>81</v>
      </c>
      <c r="H14693" s="3068"/>
      <c r="I14693" s="3070"/>
    </row>
    <row r="14694" spans="2:9" ht="38.25">
      <c r="B14694" s="4723">
        <v>3429</v>
      </c>
      <c r="C14694" s="3289"/>
      <c r="D14694" s="3290"/>
      <c r="E14694" s="3290"/>
      <c r="F14694" s="3290"/>
      <c r="G14694" s="4723">
        <v>3429</v>
      </c>
      <c r="H14694" s="3291" t="s">
        <v>687</v>
      </c>
      <c r="I14694" s="3292" t="s">
        <v>688</v>
      </c>
    </row>
    <row r="14695" spans="2:9">
      <c r="B14695" s="4724"/>
      <c r="C14695" s="4678" t="s">
        <v>686</v>
      </c>
      <c r="D14695" s="4725"/>
      <c r="E14695" s="4725"/>
      <c r="F14695" s="4726"/>
      <c r="G14695" s="4724"/>
      <c r="H14695" s="3293"/>
      <c r="I14695" s="3294"/>
    </row>
    <row r="14696" spans="2:9" ht="13.5" thickBot="1">
      <c r="B14696" s="4724"/>
      <c r="C14696" s="3215">
        <v>2013</v>
      </c>
      <c r="D14696" s="3215">
        <v>2014</v>
      </c>
      <c r="E14696" s="3215">
        <v>2015</v>
      </c>
      <c r="F14696" s="3215">
        <v>2016</v>
      </c>
      <c r="G14696" s="4724"/>
      <c r="H14696" s="3295" t="s">
        <v>390</v>
      </c>
      <c r="I14696" s="3296" t="s">
        <v>390</v>
      </c>
    </row>
    <row r="14697" spans="2:9">
      <c r="B14697" s="3217" t="s">
        <v>695</v>
      </c>
      <c r="C14697" s="3218"/>
      <c r="D14697" s="3219"/>
      <c r="E14697" s="3219"/>
      <c r="F14697" s="3219"/>
      <c r="G14697" s="3217" t="s">
        <v>695</v>
      </c>
      <c r="H14697" s="3297"/>
      <c r="I14697" s="3298"/>
    </row>
    <row r="14698" spans="2:9">
      <c r="B14698" s="3299" t="s">
        <v>64</v>
      </c>
      <c r="C14698" s="3063"/>
      <c r="D14698" s="3064"/>
      <c r="E14698" s="3064"/>
      <c r="F14698" s="3064"/>
      <c r="G14698" s="3300" t="s">
        <v>64</v>
      </c>
      <c r="H14698" s="3063"/>
      <c r="I14698" s="3030"/>
    </row>
    <row r="14699" spans="2:9" ht="25.5">
      <c r="B14699" s="3192" t="s">
        <v>675</v>
      </c>
      <c r="C14699" s="3063"/>
      <c r="D14699" s="3064"/>
      <c r="E14699" s="3064"/>
      <c r="F14699" s="3064"/>
      <c r="G14699" s="3301" t="s">
        <v>675</v>
      </c>
      <c r="H14699" s="3063"/>
      <c r="I14699" s="3030"/>
    </row>
    <row r="14700" spans="2:9" ht="25.5">
      <c r="B14700" s="3192" t="s">
        <v>676</v>
      </c>
      <c r="C14700" s="3063"/>
      <c r="D14700" s="3064"/>
      <c r="E14700" s="3064"/>
      <c r="F14700" s="3064"/>
      <c r="G14700" s="3301" t="s">
        <v>676</v>
      </c>
      <c r="H14700" s="3063"/>
      <c r="I14700" s="3030"/>
    </row>
    <row r="14701" spans="2:9">
      <c r="B14701" s="3192" t="s">
        <v>677</v>
      </c>
      <c r="C14701" s="3063"/>
      <c r="D14701" s="3064"/>
      <c r="E14701" s="3064"/>
      <c r="F14701" s="3064"/>
      <c r="G14701" s="3301" t="s">
        <v>677</v>
      </c>
      <c r="H14701" s="3063"/>
      <c r="I14701" s="3030"/>
    </row>
    <row r="14702" spans="2:9">
      <c r="B14702" s="3192" t="s">
        <v>678</v>
      </c>
      <c r="C14702" s="3063"/>
      <c r="D14702" s="3064"/>
      <c r="E14702" s="3064"/>
      <c r="F14702" s="3064"/>
      <c r="G14702" s="3301" t="s">
        <v>678</v>
      </c>
      <c r="H14702" s="3063"/>
      <c r="I14702" s="3030"/>
    </row>
    <row r="14703" spans="2:9">
      <c r="B14703" s="3192" t="s">
        <v>679</v>
      </c>
      <c r="C14703" s="3063"/>
      <c r="D14703" s="3064"/>
      <c r="E14703" s="3064"/>
      <c r="F14703" s="3064"/>
      <c r="G14703" s="3301" t="s">
        <v>679</v>
      </c>
      <c r="H14703" s="3063"/>
      <c r="I14703" s="3030"/>
    </row>
    <row r="14704" spans="2:9" ht="25.5">
      <c r="B14704" s="3192" t="s">
        <v>720</v>
      </c>
      <c r="C14704" s="3063"/>
      <c r="D14704" s="3064"/>
      <c r="E14704" s="3064"/>
      <c r="F14704" s="3064"/>
      <c r="G14704" s="3301" t="s">
        <v>720</v>
      </c>
      <c r="H14704" s="3063"/>
      <c r="I14704" s="3030"/>
    </row>
    <row r="14705" spans="2:9">
      <c r="B14705" s="3299" t="s">
        <v>65</v>
      </c>
      <c r="C14705" s="3063"/>
      <c r="D14705" s="3064"/>
      <c r="E14705" s="3064"/>
      <c r="F14705" s="3064"/>
      <c r="G14705" s="3300" t="s">
        <v>65</v>
      </c>
      <c r="H14705" s="3063"/>
      <c r="I14705" s="3030"/>
    </row>
    <row r="14706" spans="2:9" ht="25.5">
      <c r="B14706" s="3192" t="s">
        <v>675</v>
      </c>
      <c r="C14706" s="3063"/>
      <c r="D14706" s="3064"/>
      <c r="E14706" s="3064"/>
      <c r="F14706" s="3064"/>
      <c r="G14706" s="3301" t="s">
        <v>675</v>
      </c>
      <c r="H14706" s="3063"/>
      <c r="I14706" s="3030"/>
    </row>
    <row r="14707" spans="2:9" ht="25.5">
      <c r="B14707" s="3192" t="s">
        <v>676</v>
      </c>
      <c r="C14707" s="3063"/>
      <c r="D14707" s="3064"/>
      <c r="E14707" s="3064"/>
      <c r="F14707" s="3064"/>
      <c r="G14707" s="3301" t="s">
        <v>676</v>
      </c>
      <c r="H14707" s="3063"/>
      <c r="I14707" s="3030"/>
    </row>
    <row r="14708" spans="2:9">
      <c r="B14708" s="3192" t="s">
        <v>677</v>
      </c>
      <c r="C14708" s="3063"/>
      <c r="D14708" s="3064"/>
      <c r="E14708" s="3064"/>
      <c r="F14708" s="3064"/>
      <c r="G14708" s="3301" t="s">
        <v>677</v>
      </c>
      <c r="H14708" s="3063"/>
      <c r="I14708" s="3030"/>
    </row>
    <row r="14709" spans="2:9">
      <c r="B14709" s="3192" t="s">
        <v>678</v>
      </c>
      <c r="C14709" s="3063"/>
      <c r="D14709" s="3064"/>
      <c r="E14709" s="3064"/>
      <c r="F14709" s="3064"/>
      <c r="G14709" s="3301" t="s">
        <v>678</v>
      </c>
      <c r="H14709" s="3063"/>
      <c r="I14709" s="3030"/>
    </row>
    <row r="14710" spans="2:9">
      <c r="B14710" s="3192" t="s">
        <v>679</v>
      </c>
      <c r="C14710" s="3063"/>
      <c r="D14710" s="3064"/>
      <c r="E14710" s="3064"/>
      <c r="F14710" s="3064"/>
      <c r="G14710" s="3301" t="s">
        <v>679</v>
      </c>
      <c r="H14710" s="3063"/>
      <c r="I14710" s="3030"/>
    </row>
    <row r="14711" spans="2:9" ht="25.5">
      <c r="B14711" s="3192" t="s">
        <v>720</v>
      </c>
      <c r="C14711" s="3063"/>
      <c r="D14711" s="3064"/>
      <c r="E14711" s="3064"/>
      <c r="F14711" s="3064"/>
      <c r="G14711" s="3301" t="s">
        <v>720</v>
      </c>
      <c r="H14711" s="3063"/>
      <c r="I14711" s="3030"/>
    </row>
    <row r="14712" spans="2:9">
      <c r="B14712" s="3299" t="s">
        <v>82</v>
      </c>
      <c r="C14712" s="3063"/>
      <c r="D14712" s="3064"/>
      <c r="E14712" s="3064"/>
      <c r="F14712" s="3064"/>
      <c r="G14712" s="3300" t="s">
        <v>82</v>
      </c>
      <c r="H14712" s="3063"/>
      <c r="I14712" s="3030"/>
    </row>
    <row r="14713" spans="2:9" ht="25.5">
      <c r="B14713" s="3192" t="s">
        <v>675</v>
      </c>
      <c r="C14713" s="3063"/>
      <c r="D14713" s="3064"/>
      <c r="E14713" s="3064"/>
      <c r="F14713" s="3064"/>
      <c r="G14713" s="3301" t="s">
        <v>675</v>
      </c>
      <c r="H14713" s="3063"/>
      <c r="I14713" s="3030"/>
    </row>
    <row r="14714" spans="2:9" ht="25.5">
      <c r="B14714" s="3192" t="s">
        <v>676</v>
      </c>
      <c r="C14714" s="3063"/>
      <c r="D14714" s="3064"/>
      <c r="E14714" s="3064"/>
      <c r="F14714" s="3064"/>
      <c r="G14714" s="3301" t="s">
        <v>676</v>
      </c>
      <c r="H14714" s="3063"/>
      <c r="I14714" s="3030"/>
    </row>
    <row r="14715" spans="2:9">
      <c r="B14715" s="3192" t="s">
        <v>677</v>
      </c>
      <c r="C14715" s="3063"/>
      <c r="D14715" s="3064"/>
      <c r="E14715" s="3064"/>
      <c r="F14715" s="3064"/>
      <c r="G14715" s="3301" t="s">
        <v>677</v>
      </c>
      <c r="H14715" s="3063"/>
      <c r="I14715" s="3030"/>
    </row>
    <row r="14716" spans="2:9">
      <c r="B14716" s="3192" t="s">
        <v>678</v>
      </c>
      <c r="C14716" s="3063"/>
      <c r="D14716" s="3064"/>
      <c r="E14716" s="3064"/>
      <c r="F14716" s="3064"/>
      <c r="G14716" s="3301" t="s">
        <v>678</v>
      </c>
      <c r="H14716" s="3063"/>
      <c r="I14716" s="3030"/>
    </row>
    <row r="14717" spans="2:9">
      <c r="B14717" s="3192" t="s">
        <v>679</v>
      </c>
      <c r="C14717" s="3063"/>
      <c r="D14717" s="3064"/>
      <c r="E14717" s="3064"/>
      <c r="F14717" s="3064"/>
      <c r="G14717" s="3301" t="s">
        <v>679</v>
      </c>
      <c r="H14717" s="3063"/>
      <c r="I14717" s="3030"/>
    </row>
    <row r="14718" spans="2:9" ht="25.5">
      <c r="B14718" s="3192" t="s">
        <v>720</v>
      </c>
      <c r="C14718" s="3063"/>
      <c r="D14718" s="3064"/>
      <c r="E14718" s="3064"/>
      <c r="F14718" s="3064"/>
      <c r="G14718" s="3301" t="s">
        <v>720</v>
      </c>
      <c r="H14718" s="3063"/>
      <c r="I14718" s="3030"/>
    </row>
    <row r="14719" spans="2:9" ht="38.25">
      <c r="B14719" s="3299" t="s">
        <v>680</v>
      </c>
      <c r="C14719" s="3063"/>
      <c r="D14719" s="3064"/>
      <c r="E14719" s="3064"/>
      <c r="F14719" s="3064"/>
      <c r="G14719" s="3300" t="s">
        <v>680</v>
      </c>
      <c r="H14719" s="3063"/>
      <c r="I14719" s="3030"/>
    </row>
    <row r="14720" spans="2:9" ht="25.5">
      <c r="B14720" s="3192" t="s">
        <v>675</v>
      </c>
      <c r="C14720" s="3063"/>
      <c r="D14720" s="3064"/>
      <c r="E14720" s="3064"/>
      <c r="F14720" s="3064"/>
      <c r="G14720" s="3301" t="s">
        <v>675</v>
      </c>
      <c r="H14720" s="3063"/>
      <c r="I14720" s="3030"/>
    </row>
    <row r="14721" spans="2:9" ht="25.5">
      <c r="B14721" s="3192" t="s">
        <v>676</v>
      </c>
      <c r="C14721" s="3063"/>
      <c r="D14721" s="3064"/>
      <c r="E14721" s="3064"/>
      <c r="F14721" s="3064"/>
      <c r="G14721" s="3301" t="s">
        <v>676</v>
      </c>
      <c r="H14721" s="3063"/>
      <c r="I14721" s="3030"/>
    </row>
    <row r="14722" spans="2:9">
      <c r="B14722" s="3192" t="s">
        <v>677</v>
      </c>
      <c r="C14722" s="3063"/>
      <c r="D14722" s="3064"/>
      <c r="E14722" s="3064"/>
      <c r="F14722" s="3064"/>
      <c r="G14722" s="3301" t="s">
        <v>677</v>
      </c>
      <c r="H14722" s="3063"/>
      <c r="I14722" s="3030"/>
    </row>
    <row r="14723" spans="2:9">
      <c r="B14723" s="3192" t="s">
        <v>678</v>
      </c>
      <c r="C14723" s="3063"/>
      <c r="D14723" s="3064"/>
      <c r="E14723" s="3064"/>
      <c r="F14723" s="3064"/>
      <c r="G14723" s="3301" t="s">
        <v>678</v>
      </c>
      <c r="H14723" s="3063"/>
      <c r="I14723" s="3030"/>
    </row>
    <row r="14724" spans="2:9">
      <c r="B14724" s="3192" t="s">
        <v>679</v>
      </c>
      <c r="C14724" s="3063"/>
      <c r="D14724" s="3064"/>
      <c r="E14724" s="3064"/>
      <c r="F14724" s="3064"/>
      <c r="G14724" s="3301" t="s">
        <v>679</v>
      </c>
      <c r="H14724" s="3063"/>
      <c r="I14724" s="3030"/>
    </row>
    <row r="14725" spans="2:9" ht="25.5">
      <c r="B14725" s="3192" t="s">
        <v>720</v>
      </c>
      <c r="C14725" s="3063"/>
      <c r="D14725" s="3064"/>
      <c r="E14725" s="3064"/>
      <c r="F14725" s="3064"/>
      <c r="G14725" s="3301" t="s">
        <v>720</v>
      </c>
      <c r="H14725" s="3063"/>
      <c r="I14725" s="3030"/>
    </row>
    <row r="14726" spans="2:9" ht="38.25">
      <c r="B14726" s="3299" t="s">
        <v>681</v>
      </c>
      <c r="C14726" s="3063"/>
      <c r="D14726" s="3064"/>
      <c r="E14726" s="3064"/>
      <c r="F14726" s="3064"/>
      <c r="G14726" s="3300" t="s">
        <v>681</v>
      </c>
      <c r="H14726" s="3063"/>
      <c r="I14726" s="3030"/>
    </row>
    <row r="14727" spans="2:9" ht="25.5">
      <c r="B14727" s="3192" t="s">
        <v>675</v>
      </c>
      <c r="C14727" s="3063"/>
      <c r="D14727" s="3064"/>
      <c r="E14727" s="3064"/>
      <c r="F14727" s="3064"/>
      <c r="G14727" s="3301" t="s">
        <v>675</v>
      </c>
      <c r="H14727" s="3063"/>
      <c r="I14727" s="3030"/>
    </row>
    <row r="14728" spans="2:9" ht="25.5">
      <c r="B14728" s="3192" t="s">
        <v>676</v>
      </c>
      <c r="C14728" s="3063"/>
      <c r="D14728" s="3064"/>
      <c r="E14728" s="3064"/>
      <c r="F14728" s="3064"/>
      <c r="G14728" s="3301" t="s">
        <v>676</v>
      </c>
      <c r="H14728" s="3063"/>
      <c r="I14728" s="3030"/>
    </row>
    <row r="14729" spans="2:9">
      <c r="B14729" s="3192" t="s">
        <v>677</v>
      </c>
      <c r="C14729" s="3063"/>
      <c r="D14729" s="3064"/>
      <c r="E14729" s="3064"/>
      <c r="F14729" s="3064"/>
      <c r="G14729" s="3301" t="s">
        <v>677</v>
      </c>
      <c r="H14729" s="3063"/>
      <c r="I14729" s="3030"/>
    </row>
    <row r="14730" spans="2:9">
      <c r="B14730" s="3192" t="s">
        <v>678</v>
      </c>
      <c r="C14730" s="3063"/>
      <c r="D14730" s="3064"/>
      <c r="E14730" s="3064"/>
      <c r="F14730" s="3064"/>
      <c r="G14730" s="3301" t="s">
        <v>678</v>
      </c>
      <c r="H14730" s="3063"/>
      <c r="I14730" s="3030"/>
    </row>
    <row r="14731" spans="2:9">
      <c r="B14731" s="3192" t="s">
        <v>679</v>
      </c>
      <c r="C14731" s="3063"/>
      <c r="D14731" s="3064"/>
      <c r="E14731" s="3064"/>
      <c r="F14731" s="3064"/>
      <c r="G14731" s="3301" t="s">
        <v>679</v>
      </c>
      <c r="H14731" s="3063"/>
      <c r="I14731" s="3030"/>
    </row>
    <row r="14732" spans="2:9" ht="25.5">
      <c r="B14732" s="3192" t="s">
        <v>720</v>
      </c>
      <c r="C14732" s="3063"/>
      <c r="D14732" s="3064"/>
      <c r="E14732" s="3064"/>
      <c r="F14732" s="3064"/>
      <c r="G14732" s="3301" t="s">
        <v>720</v>
      </c>
      <c r="H14732" s="3063"/>
      <c r="I14732" s="3030"/>
    </row>
    <row r="14733" spans="2:9" ht="25.5">
      <c r="B14733" s="3299" t="s">
        <v>682</v>
      </c>
      <c r="C14733" s="3063"/>
      <c r="D14733" s="3064"/>
      <c r="E14733" s="3064"/>
      <c r="F14733" s="3064"/>
      <c r="G14733" s="3300" t="s">
        <v>682</v>
      </c>
      <c r="H14733" s="3063"/>
      <c r="I14733" s="3030"/>
    </row>
    <row r="14734" spans="2:9" ht="25.5">
      <c r="B14734" s="3192" t="s">
        <v>675</v>
      </c>
      <c r="C14734" s="3063"/>
      <c r="D14734" s="3064"/>
      <c r="E14734" s="3064"/>
      <c r="F14734" s="3064"/>
      <c r="G14734" s="3301" t="s">
        <v>675</v>
      </c>
      <c r="H14734" s="3063"/>
      <c r="I14734" s="3030"/>
    </row>
    <row r="14735" spans="2:9" ht="25.5">
      <c r="B14735" s="3192" t="s">
        <v>676</v>
      </c>
      <c r="C14735" s="3063"/>
      <c r="D14735" s="3064"/>
      <c r="E14735" s="3064"/>
      <c r="F14735" s="3064"/>
      <c r="G14735" s="3301" t="s">
        <v>676</v>
      </c>
      <c r="H14735" s="3063"/>
      <c r="I14735" s="3030"/>
    </row>
    <row r="14736" spans="2:9">
      <c r="B14736" s="3192" t="s">
        <v>677</v>
      </c>
      <c r="C14736" s="3063"/>
      <c r="D14736" s="3064"/>
      <c r="E14736" s="3064"/>
      <c r="F14736" s="3064"/>
      <c r="G14736" s="3301" t="s">
        <v>677</v>
      </c>
      <c r="H14736" s="3063"/>
      <c r="I14736" s="3030"/>
    </row>
    <row r="14737" spans="2:9">
      <c r="B14737" s="3192" t="s">
        <v>678</v>
      </c>
      <c r="C14737" s="3063"/>
      <c r="D14737" s="3064"/>
      <c r="E14737" s="3064"/>
      <c r="F14737" s="3064"/>
      <c r="G14737" s="3301" t="s">
        <v>678</v>
      </c>
      <c r="H14737" s="3063"/>
      <c r="I14737" s="3030"/>
    </row>
    <row r="14738" spans="2:9">
      <c r="B14738" s="3192" t="s">
        <v>679</v>
      </c>
      <c r="C14738" s="3063"/>
      <c r="D14738" s="3064"/>
      <c r="E14738" s="3064"/>
      <c r="F14738" s="3064"/>
      <c r="G14738" s="3301" t="s">
        <v>679</v>
      </c>
      <c r="H14738" s="3063"/>
      <c r="I14738" s="3030"/>
    </row>
    <row r="14739" spans="2:9" ht="25.5">
      <c r="B14739" s="3192" t="s">
        <v>720</v>
      </c>
      <c r="C14739" s="3063"/>
      <c r="D14739" s="3064"/>
      <c r="E14739" s="3064"/>
      <c r="F14739" s="3064"/>
      <c r="G14739" s="3301" t="s">
        <v>720</v>
      </c>
      <c r="H14739" s="3063"/>
      <c r="I14739" s="3030"/>
    </row>
    <row r="14740" spans="2:9" ht="25.5">
      <c r="B14740" s="3299" t="s">
        <v>66</v>
      </c>
      <c r="C14740" s="3063"/>
      <c r="D14740" s="3064"/>
      <c r="E14740" s="3064"/>
      <c r="F14740" s="3064"/>
      <c r="G14740" s="3300" t="s">
        <v>66</v>
      </c>
      <c r="H14740" s="3063"/>
      <c r="I14740" s="3030"/>
    </row>
    <row r="14741" spans="2:9" ht="25.5">
      <c r="B14741" s="3192" t="s">
        <v>675</v>
      </c>
      <c r="C14741" s="3063"/>
      <c r="D14741" s="3064"/>
      <c r="E14741" s="3064"/>
      <c r="F14741" s="3064"/>
      <c r="G14741" s="3301" t="s">
        <v>675</v>
      </c>
      <c r="H14741" s="3063"/>
      <c r="I14741" s="3030"/>
    </row>
    <row r="14742" spans="2:9" ht="25.5">
      <c r="B14742" s="3192" t="s">
        <v>676</v>
      </c>
      <c r="C14742" s="3063"/>
      <c r="D14742" s="3064"/>
      <c r="E14742" s="3064"/>
      <c r="F14742" s="3064"/>
      <c r="G14742" s="3301" t="s">
        <v>676</v>
      </c>
      <c r="H14742" s="3063"/>
      <c r="I14742" s="3030"/>
    </row>
    <row r="14743" spans="2:9">
      <c r="B14743" s="3192" t="s">
        <v>677</v>
      </c>
      <c r="C14743" s="3063"/>
      <c r="D14743" s="3064"/>
      <c r="E14743" s="3064"/>
      <c r="F14743" s="3064"/>
      <c r="G14743" s="3301" t="s">
        <v>677</v>
      </c>
      <c r="H14743" s="3063"/>
      <c r="I14743" s="3030"/>
    </row>
    <row r="14744" spans="2:9">
      <c r="B14744" s="3192" t="s">
        <v>678</v>
      </c>
      <c r="C14744" s="3063"/>
      <c r="D14744" s="3064"/>
      <c r="E14744" s="3064"/>
      <c r="F14744" s="3064"/>
      <c r="G14744" s="3301" t="s">
        <v>678</v>
      </c>
      <c r="H14744" s="3063"/>
      <c r="I14744" s="3030"/>
    </row>
    <row r="14745" spans="2:9">
      <c r="B14745" s="3192" t="s">
        <v>679</v>
      </c>
      <c r="C14745" s="3063"/>
      <c r="D14745" s="3064"/>
      <c r="E14745" s="3064"/>
      <c r="F14745" s="3064"/>
      <c r="G14745" s="3301" t="s">
        <v>679</v>
      </c>
      <c r="H14745" s="3063"/>
      <c r="I14745" s="3030"/>
    </row>
    <row r="14746" spans="2:9" ht="25.5">
      <c r="B14746" s="3192" t="s">
        <v>720</v>
      </c>
      <c r="C14746" s="3063"/>
      <c r="D14746" s="3064"/>
      <c r="E14746" s="3064"/>
      <c r="F14746" s="3064"/>
      <c r="G14746" s="3301" t="s">
        <v>720</v>
      </c>
      <c r="H14746" s="3063"/>
      <c r="I14746" s="3030"/>
    </row>
    <row r="14747" spans="2:9">
      <c r="B14747" s="3299" t="s">
        <v>67</v>
      </c>
      <c r="C14747" s="3063"/>
      <c r="D14747" s="3064"/>
      <c r="E14747" s="3064"/>
      <c r="F14747" s="3064"/>
      <c r="G14747" s="3300" t="s">
        <v>67</v>
      </c>
      <c r="H14747" s="3063"/>
      <c r="I14747" s="3030"/>
    </row>
    <row r="14748" spans="2:9" ht="25.5">
      <c r="B14748" s="3192" t="s">
        <v>675</v>
      </c>
      <c r="C14748" s="3063"/>
      <c r="D14748" s="3064"/>
      <c r="E14748" s="3064"/>
      <c r="F14748" s="3064"/>
      <c r="G14748" s="3301" t="s">
        <v>675</v>
      </c>
      <c r="H14748" s="3063"/>
      <c r="I14748" s="3030"/>
    </row>
    <row r="14749" spans="2:9" ht="25.5">
      <c r="B14749" s="3192" t="s">
        <v>676</v>
      </c>
      <c r="C14749" s="3063"/>
      <c r="D14749" s="3064"/>
      <c r="E14749" s="3064"/>
      <c r="F14749" s="3064"/>
      <c r="G14749" s="3301" t="s">
        <v>676</v>
      </c>
      <c r="H14749" s="3063"/>
      <c r="I14749" s="3030"/>
    </row>
    <row r="14750" spans="2:9">
      <c r="B14750" s="3192" t="s">
        <v>677</v>
      </c>
      <c r="C14750" s="3063"/>
      <c r="D14750" s="3064"/>
      <c r="E14750" s="3064"/>
      <c r="F14750" s="3064"/>
      <c r="G14750" s="3301" t="s">
        <v>677</v>
      </c>
      <c r="H14750" s="3063"/>
      <c r="I14750" s="3030"/>
    </row>
    <row r="14751" spans="2:9">
      <c r="B14751" s="3192" t="s">
        <v>678</v>
      </c>
      <c r="C14751" s="3063"/>
      <c r="D14751" s="3064"/>
      <c r="E14751" s="3064"/>
      <c r="F14751" s="3064"/>
      <c r="G14751" s="3301" t="s">
        <v>678</v>
      </c>
      <c r="H14751" s="3063"/>
      <c r="I14751" s="3030"/>
    </row>
    <row r="14752" spans="2:9">
      <c r="B14752" s="3192" t="s">
        <v>679</v>
      </c>
      <c r="C14752" s="3063"/>
      <c r="D14752" s="3064"/>
      <c r="E14752" s="3064"/>
      <c r="F14752" s="3064"/>
      <c r="G14752" s="3301" t="s">
        <v>679</v>
      </c>
      <c r="H14752" s="3063"/>
      <c r="I14752" s="3030"/>
    </row>
    <row r="14753" spans="2:9" ht="25.5">
      <c r="B14753" s="3192" t="s">
        <v>720</v>
      </c>
      <c r="C14753" s="3063"/>
      <c r="D14753" s="3064"/>
      <c r="E14753" s="3064"/>
      <c r="F14753" s="3064"/>
      <c r="G14753" s="3301" t="s">
        <v>720</v>
      </c>
      <c r="H14753" s="3063"/>
      <c r="I14753" s="3030"/>
    </row>
    <row r="14754" spans="2:9" ht="25.5">
      <c r="B14754" s="3230" t="s">
        <v>81</v>
      </c>
      <c r="C14754" s="3063"/>
      <c r="D14754" s="3064"/>
      <c r="E14754" s="3064"/>
      <c r="F14754" s="3064"/>
      <c r="G14754" s="3302" t="s">
        <v>81</v>
      </c>
      <c r="H14754" s="3063"/>
      <c r="I14754" s="3030"/>
    </row>
    <row r="14755" spans="2:9" ht="26.25" thickBot="1">
      <c r="B14755" s="3303" t="s">
        <v>81</v>
      </c>
      <c r="C14755" s="3063"/>
      <c r="D14755" s="3064"/>
      <c r="E14755" s="3064"/>
      <c r="F14755" s="3064"/>
      <c r="G14755" s="3302" t="s">
        <v>81</v>
      </c>
      <c r="H14755" s="3063"/>
      <c r="I14755" s="3030"/>
    </row>
    <row r="14756" spans="2:9" ht="25.5">
      <c r="B14756" s="3217" t="s">
        <v>696</v>
      </c>
      <c r="C14756" s="3218"/>
      <c r="D14756" s="3219"/>
      <c r="E14756" s="3219"/>
      <c r="F14756" s="3219"/>
      <c r="G14756" s="3217" t="s">
        <v>696</v>
      </c>
      <c r="H14756" s="3297"/>
      <c r="I14756" s="3298"/>
    </row>
    <row r="14757" spans="2:9">
      <c r="B14757" s="3299" t="s">
        <v>64</v>
      </c>
      <c r="C14757" s="3063"/>
      <c r="D14757" s="3064"/>
      <c r="E14757" s="3064"/>
      <c r="F14757" s="3064"/>
      <c r="G14757" s="3300" t="s">
        <v>64</v>
      </c>
      <c r="H14757" s="3063"/>
      <c r="I14757" s="3030"/>
    </row>
    <row r="14758" spans="2:9" ht="25.5">
      <c r="B14758" s="3192" t="s">
        <v>675</v>
      </c>
      <c r="C14758" s="3063"/>
      <c r="D14758" s="3064"/>
      <c r="E14758" s="3064"/>
      <c r="F14758" s="3064"/>
      <c r="G14758" s="3301" t="s">
        <v>675</v>
      </c>
      <c r="H14758" s="3063"/>
      <c r="I14758" s="3030"/>
    </row>
    <row r="14759" spans="2:9" ht="25.5">
      <c r="B14759" s="3192" t="s">
        <v>676</v>
      </c>
      <c r="C14759" s="3063"/>
      <c r="D14759" s="3064"/>
      <c r="E14759" s="3064"/>
      <c r="F14759" s="3064"/>
      <c r="G14759" s="3301" t="s">
        <v>676</v>
      </c>
      <c r="H14759" s="3063"/>
      <c r="I14759" s="3030"/>
    </row>
    <row r="14760" spans="2:9">
      <c r="B14760" s="3192" t="s">
        <v>677</v>
      </c>
      <c r="C14760" s="3063"/>
      <c r="D14760" s="3064"/>
      <c r="E14760" s="3064"/>
      <c r="F14760" s="3064"/>
      <c r="G14760" s="3301" t="s">
        <v>677</v>
      </c>
      <c r="H14760" s="3063"/>
      <c r="I14760" s="3030"/>
    </row>
    <row r="14761" spans="2:9">
      <c r="B14761" s="3192" t="s">
        <v>678</v>
      </c>
      <c r="C14761" s="3063"/>
      <c r="D14761" s="3064"/>
      <c r="E14761" s="3064"/>
      <c r="F14761" s="3064"/>
      <c r="G14761" s="3301" t="s">
        <v>678</v>
      </c>
      <c r="H14761" s="3063"/>
      <c r="I14761" s="3030"/>
    </row>
    <row r="14762" spans="2:9">
      <c r="B14762" s="3192" t="s">
        <v>679</v>
      </c>
      <c r="C14762" s="3063"/>
      <c r="D14762" s="3064"/>
      <c r="E14762" s="3064"/>
      <c r="F14762" s="3064"/>
      <c r="G14762" s="3301" t="s">
        <v>679</v>
      </c>
      <c r="H14762" s="3063"/>
      <c r="I14762" s="3030"/>
    </row>
    <row r="14763" spans="2:9" ht="25.5">
      <c r="B14763" s="3192" t="s">
        <v>720</v>
      </c>
      <c r="C14763" s="3063"/>
      <c r="D14763" s="3064"/>
      <c r="E14763" s="3064"/>
      <c r="F14763" s="3064"/>
      <c r="G14763" s="3301" t="s">
        <v>720</v>
      </c>
      <c r="H14763" s="3063"/>
      <c r="I14763" s="3030"/>
    </row>
    <row r="14764" spans="2:9">
      <c r="B14764" s="3299" t="s">
        <v>65</v>
      </c>
      <c r="C14764" s="3063"/>
      <c r="D14764" s="3064"/>
      <c r="E14764" s="3064"/>
      <c r="F14764" s="3064"/>
      <c r="G14764" s="3300" t="s">
        <v>65</v>
      </c>
      <c r="H14764" s="3063"/>
      <c r="I14764" s="3030"/>
    </row>
    <row r="14765" spans="2:9" ht="25.5">
      <c r="B14765" s="3192" t="s">
        <v>675</v>
      </c>
      <c r="C14765" s="3063"/>
      <c r="D14765" s="3064"/>
      <c r="E14765" s="3064"/>
      <c r="F14765" s="3064"/>
      <c r="G14765" s="3301" t="s">
        <v>675</v>
      </c>
      <c r="H14765" s="3063"/>
      <c r="I14765" s="3030"/>
    </row>
    <row r="14766" spans="2:9" ht="25.5">
      <c r="B14766" s="3192" t="s">
        <v>676</v>
      </c>
      <c r="C14766" s="3063"/>
      <c r="D14766" s="3064"/>
      <c r="E14766" s="3064"/>
      <c r="F14766" s="3064"/>
      <c r="G14766" s="3301" t="s">
        <v>676</v>
      </c>
      <c r="H14766" s="3063"/>
      <c r="I14766" s="3030"/>
    </row>
    <row r="14767" spans="2:9">
      <c r="B14767" s="3192" t="s">
        <v>677</v>
      </c>
      <c r="C14767" s="3063"/>
      <c r="D14767" s="3064"/>
      <c r="E14767" s="3064"/>
      <c r="F14767" s="3064"/>
      <c r="G14767" s="3301" t="s">
        <v>677</v>
      </c>
      <c r="H14767" s="3063"/>
      <c r="I14767" s="3030"/>
    </row>
    <row r="14768" spans="2:9">
      <c r="B14768" s="3192" t="s">
        <v>678</v>
      </c>
      <c r="C14768" s="3063"/>
      <c r="D14768" s="3064"/>
      <c r="E14768" s="3064"/>
      <c r="F14768" s="3064"/>
      <c r="G14768" s="3301" t="s">
        <v>678</v>
      </c>
      <c r="H14768" s="3063"/>
      <c r="I14768" s="3030"/>
    </row>
    <row r="14769" spans="2:9">
      <c r="B14769" s="3192" t="s">
        <v>679</v>
      </c>
      <c r="C14769" s="3063"/>
      <c r="D14769" s="3064"/>
      <c r="E14769" s="3064"/>
      <c r="F14769" s="3064"/>
      <c r="G14769" s="3301" t="s">
        <v>679</v>
      </c>
      <c r="H14769" s="3063"/>
      <c r="I14769" s="3030"/>
    </row>
    <row r="14770" spans="2:9" ht="25.5">
      <c r="B14770" s="3192" t="s">
        <v>720</v>
      </c>
      <c r="C14770" s="3063"/>
      <c r="D14770" s="3064"/>
      <c r="E14770" s="3064"/>
      <c r="F14770" s="3064"/>
      <c r="G14770" s="3301" t="s">
        <v>720</v>
      </c>
      <c r="H14770" s="3063"/>
      <c r="I14770" s="3030"/>
    </row>
    <row r="14771" spans="2:9">
      <c r="B14771" s="3299" t="s">
        <v>82</v>
      </c>
      <c r="C14771" s="3063"/>
      <c r="D14771" s="3064"/>
      <c r="E14771" s="3064"/>
      <c r="F14771" s="3064"/>
      <c r="G14771" s="3300" t="s">
        <v>82</v>
      </c>
      <c r="H14771" s="3063"/>
      <c r="I14771" s="3030"/>
    </row>
    <row r="14772" spans="2:9" ht="25.5">
      <c r="B14772" s="3192" t="s">
        <v>675</v>
      </c>
      <c r="C14772" s="3063"/>
      <c r="D14772" s="3064"/>
      <c r="E14772" s="3064"/>
      <c r="F14772" s="3064"/>
      <c r="G14772" s="3301" t="s">
        <v>675</v>
      </c>
      <c r="H14772" s="3063"/>
      <c r="I14772" s="3030"/>
    </row>
    <row r="14773" spans="2:9" ht="25.5">
      <c r="B14773" s="3192" t="s">
        <v>676</v>
      </c>
      <c r="C14773" s="3063"/>
      <c r="D14773" s="3064"/>
      <c r="E14773" s="3064"/>
      <c r="F14773" s="3064"/>
      <c r="G14773" s="3301" t="s">
        <v>676</v>
      </c>
      <c r="H14773" s="3063"/>
      <c r="I14773" s="3030"/>
    </row>
    <row r="14774" spans="2:9">
      <c r="B14774" s="3192" t="s">
        <v>677</v>
      </c>
      <c r="C14774" s="3063"/>
      <c r="D14774" s="3064"/>
      <c r="E14774" s="3064"/>
      <c r="F14774" s="3064"/>
      <c r="G14774" s="3301" t="s">
        <v>677</v>
      </c>
      <c r="H14774" s="3063"/>
      <c r="I14774" s="3030"/>
    </row>
    <row r="14775" spans="2:9">
      <c r="B14775" s="3192" t="s">
        <v>678</v>
      </c>
      <c r="C14775" s="3063"/>
      <c r="D14775" s="3064"/>
      <c r="E14775" s="3064"/>
      <c r="F14775" s="3064"/>
      <c r="G14775" s="3301" t="s">
        <v>678</v>
      </c>
      <c r="H14775" s="3063"/>
      <c r="I14775" s="3030"/>
    </row>
    <row r="14776" spans="2:9">
      <c r="B14776" s="3192" t="s">
        <v>679</v>
      </c>
      <c r="C14776" s="3063"/>
      <c r="D14776" s="3064"/>
      <c r="E14776" s="3064"/>
      <c r="F14776" s="3064"/>
      <c r="G14776" s="3301" t="s">
        <v>679</v>
      </c>
      <c r="H14776" s="3063"/>
      <c r="I14776" s="3030"/>
    </row>
    <row r="14777" spans="2:9" ht="25.5">
      <c r="B14777" s="3192" t="s">
        <v>720</v>
      </c>
      <c r="C14777" s="3063"/>
      <c r="D14777" s="3064"/>
      <c r="E14777" s="3064"/>
      <c r="F14777" s="3064"/>
      <c r="G14777" s="3301" t="s">
        <v>720</v>
      </c>
      <c r="H14777" s="3063"/>
      <c r="I14777" s="3030"/>
    </row>
    <row r="14778" spans="2:9" ht="38.25">
      <c r="B14778" s="3299" t="s">
        <v>680</v>
      </c>
      <c r="C14778" s="3063"/>
      <c r="D14778" s="3064"/>
      <c r="E14778" s="3064"/>
      <c r="F14778" s="3064"/>
      <c r="G14778" s="3300" t="s">
        <v>680</v>
      </c>
      <c r="H14778" s="3063"/>
      <c r="I14778" s="3030"/>
    </row>
    <row r="14779" spans="2:9" ht="25.5">
      <c r="B14779" s="3192" t="s">
        <v>675</v>
      </c>
      <c r="C14779" s="3063"/>
      <c r="D14779" s="3064"/>
      <c r="E14779" s="3064"/>
      <c r="F14779" s="3064"/>
      <c r="G14779" s="3301" t="s">
        <v>675</v>
      </c>
      <c r="H14779" s="3063"/>
      <c r="I14779" s="3030"/>
    </row>
    <row r="14780" spans="2:9" ht="25.5">
      <c r="B14780" s="3192" t="s">
        <v>676</v>
      </c>
      <c r="C14780" s="3063"/>
      <c r="D14780" s="3064"/>
      <c r="E14780" s="3064"/>
      <c r="F14780" s="3064"/>
      <c r="G14780" s="3301" t="s">
        <v>676</v>
      </c>
      <c r="H14780" s="3063"/>
      <c r="I14780" s="3030"/>
    </row>
    <row r="14781" spans="2:9">
      <c r="B14781" s="3192" t="s">
        <v>677</v>
      </c>
      <c r="C14781" s="3063"/>
      <c r="D14781" s="3064"/>
      <c r="E14781" s="3064"/>
      <c r="F14781" s="3064"/>
      <c r="G14781" s="3301" t="s">
        <v>677</v>
      </c>
      <c r="H14781" s="3063"/>
      <c r="I14781" s="3030"/>
    </row>
    <row r="14782" spans="2:9">
      <c r="B14782" s="3192" t="s">
        <v>678</v>
      </c>
      <c r="C14782" s="3063"/>
      <c r="D14782" s="3064"/>
      <c r="E14782" s="3064"/>
      <c r="F14782" s="3064"/>
      <c r="G14782" s="3301" t="s">
        <v>678</v>
      </c>
      <c r="H14782" s="3063"/>
      <c r="I14782" s="3030"/>
    </row>
    <row r="14783" spans="2:9">
      <c r="B14783" s="3192" t="s">
        <v>679</v>
      </c>
      <c r="C14783" s="3063"/>
      <c r="D14783" s="3064"/>
      <c r="E14783" s="3064"/>
      <c r="F14783" s="3064"/>
      <c r="G14783" s="3301" t="s">
        <v>679</v>
      </c>
      <c r="H14783" s="3063"/>
      <c r="I14783" s="3030"/>
    </row>
    <row r="14784" spans="2:9" ht="25.5">
      <c r="B14784" s="3192" t="s">
        <v>720</v>
      </c>
      <c r="C14784" s="3063"/>
      <c r="D14784" s="3064"/>
      <c r="E14784" s="3064"/>
      <c r="F14784" s="3064"/>
      <c r="G14784" s="3301" t="s">
        <v>720</v>
      </c>
      <c r="H14784" s="3063"/>
      <c r="I14784" s="3030"/>
    </row>
    <row r="14785" spans="2:9" ht="38.25">
      <c r="B14785" s="3299" t="s">
        <v>681</v>
      </c>
      <c r="C14785" s="3063"/>
      <c r="D14785" s="3064"/>
      <c r="E14785" s="3064"/>
      <c r="F14785" s="3064"/>
      <c r="G14785" s="3300" t="s">
        <v>681</v>
      </c>
      <c r="H14785" s="3063"/>
      <c r="I14785" s="3030"/>
    </row>
    <row r="14786" spans="2:9" ht="25.5">
      <c r="B14786" s="3192" t="s">
        <v>675</v>
      </c>
      <c r="C14786" s="3063"/>
      <c r="D14786" s="3064"/>
      <c r="E14786" s="3064"/>
      <c r="F14786" s="3064"/>
      <c r="G14786" s="3301" t="s">
        <v>675</v>
      </c>
      <c r="H14786" s="3063"/>
      <c r="I14786" s="3030"/>
    </row>
    <row r="14787" spans="2:9" ht="25.5">
      <c r="B14787" s="3192" t="s">
        <v>676</v>
      </c>
      <c r="C14787" s="3063"/>
      <c r="D14787" s="3064"/>
      <c r="E14787" s="3064"/>
      <c r="F14787" s="3064"/>
      <c r="G14787" s="3301" t="s">
        <v>676</v>
      </c>
      <c r="H14787" s="3063"/>
      <c r="I14787" s="3030"/>
    </row>
    <row r="14788" spans="2:9">
      <c r="B14788" s="3192" t="s">
        <v>677</v>
      </c>
      <c r="C14788" s="3063"/>
      <c r="D14788" s="3064"/>
      <c r="E14788" s="3064"/>
      <c r="F14788" s="3064"/>
      <c r="G14788" s="3301" t="s">
        <v>677</v>
      </c>
      <c r="H14788" s="3063"/>
      <c r="I14788" s="3030"/>
    </row>
    <row r="14789" spans="2:9">
      <c r="B14789" s="3192" t="s">
        <v>678</v>
      </c>
      <c r="C14789" s="3063"/>
      <c r="D14789" s="3064"/>
      <c r="E14789" s="3064"/>
      <c r="F14789" s="3064"/>
      <c r="G14789" s="3301" t="s">
        <v>678</v>
      </c>
      <c r="H14789" s="3063"/>
      <c r="I14789" s="3030"/>
    </row>
    <row r="14790" spans="2:9">
      <c r="B14790" s="3192" t="s">
        <v>679</v>
      </c>
      <c r="C14790" s="3063"/>
      <c r="D14790" s="3064"/>
      <c r="E14790" s="3064"/>
      <c r="F14790" s="3064"/>
      <c r="G14790" s="3301" t="s">
        <v>679</v>
      </c>
      <c r="H14790" s="3063"/>
      <c r="I14790" s="3030"/>
    </row>
    <row r="14791" spans="2:9" ht="25.5">
      <c r="B14791" s="3192" t="s">
        <v>720</v>
      </c>
      <c r="C14791" s="3063"/>
      <c r="D14791" s="3064"/>
      <c r="E14791" s="3064"/>
      <c r="F14791" s="3064"/>
      <c r="G14791" s="3301" t="s">
        <v>720</v>
      </c>
      <c r="H14791" s="3063"/>
      <c r="I14791" s="3030"/>
    </row>
    <row r="14792" spans="2:9" ht="25.5">
      <c r="B14792" s="3299" t="s">
        <v>682</v>
      </c>
      <c r="C14792" s="3063"/>
      <c r="D14792" s="3064"/>
      <c r="E14792" s="3064"/>
      <c r="F14792" s="3064"/>
      <c r="G14792" s="3300" t="s">
        <v>682</v>
      </c>
      <c r="H14792" s="3063"/>
      <c r="I14792" s="3030"/>
    </row>
    <row r="14793" spans="2:9" ht="25.5">
      <c r="B14793" s="3192" t="s">
        <v>675</v>
      </c>
      <c r="C14793" s="3063"/>
      <c r="D14793" s="3064"/>
      <c r="E14793" s="3064"/>
      <c r="F14793" s="3064"/>
      <c r="G14793" s="3301" t="s">
        <v>675</v>
      </c>
      <c r="H14793" s="3063"/>
      <c r="I14793" s="3030"/>
    </row>
    <row r="14794" spans="2:9" ht="25.5">
      <c r="B14794" s="3192" t="s">
        <v>676</v>
      </c>
      <c r="C14794" s="3063"/>
      <c r="D14794" s="3064"/>
      <c r="E14794" s="3064"/>
      <c r="F14794" s="3064"/>
      <c r="G14794" s="3301" t="s">
        <v>676</v>
      </c>
      <c r="H14794" s="3063"/>
      <c r="I14794" s="3030"/>
    </row>
    <row r="14795" spans="2:9">
      <c r="B14795" s="3192" t="s">
        <v>677</v>
      </c>
      <c r="C14795" s="3063"/>
      <c r="D14795" s="3064"/>
      <c r="E14795" s="3064"/>
      <c r="F14795" s="3064"/>
      <c r="G14795" s="3301" t="s">
        <v>677</v>
      </c>
      <c r="H14795" s="3063"/>
      <c r="I14795" s="3030"/>
    </row>
    <row r="14796" spans="2:9">
      <c r="B14796" s="3192" t="s">
        <v>678</v>
      </c>
      <c r="C14796" s="3063"/>
      <c r="D14796" s="3064"/>
      <c r="E14796" s="3064"/>
      <c r="F14796" s="3064"/>
      <c r="G14796" s="3301" t="s">
        <v>678</v>
      </c>
      <c r="H14796" s="3063"/>
      <c r="I14796" s="3030"/>
    </row>
    <row r="14797" spans="2:9">
      <c r="B14797" s="3192" t="s">
        <v>679</v>
      </c>
      <c r="C14797" s="3063"/>
      <c r="D14797" s="3064"/>
      <c r="E14797" s="3064"/>
      <c r="F14797" s="3064"/>
      <c r="G14797" s="3301" t="s">
        <v>679</v>
      </c>
      <c r="H14797" s="3063"/>
      <c r="I14797" s="3030"/>
    </row>
    <row r="14798" spans="2:9" ht="25.5">
      <c r="B14798" s="3192" t="s">
        <v>720</v>
      </c>
      <c r="C14798" s="3063"/>
      <c r="D14798" s="3064"/>
      <c r="E14798" s="3064"/>
      <c r="F14798" s="3064"/>
      <c r="G14798" s="3301" t="s">
        <v>720</v>
      </c>
      <c r="H14798" s="3063"/>
      <c r="I14798" s="3030"/>
    </row>
    <row r="14799" spans="2:9" ht="25.5">
      <c r="B14799" s="3299" t="s">
        <v>66</v>
      </c>
      <c r="C14799" s="3063"/>
      <c r="D14799" s="3064"/>
      <c r="E14799" s="3064"/>
      <c r="F14799" s="3064"/>
      <c r="G14799" s="3300" t="s">
        <v>66</v>
      </c>
      <c r="H14799" s="3063"/>
      <c r="I14799" s="3030"/>
    </row>
    <row r="14800" spans="2:9" ht="25.5">
      <c r="B14800" s="3192" t="s">
        <v>675</v>
      </c>
      <c r="C14800" s="3063"/>
      <c r="D14800" s="3064"/>
      <c r="E14800" s="3064"/>
      <c r="F14800" s="3064"/>
      <c r="G14800" s="3301" t="s">
        <v>675</v>
      </c>
      <c r="H14800" s="3063"/>
      <c r="I14800" s="3030"/>
    </row>
    <row r="14801" spans="2:9" ht="25.5">
      <c r="B14801" s="3192" t="s">
        <v>676</v>
      </c>
      <c r="C14801" s="3063"/>
      <c r="D14801" s="3064"/>
      <c r="E14801" s="3064"/>
      <c r="F14801" s="3064"/>
      <c r="G14801" s="3301" t="s">
        <v>676</v>
      </c>
      <c r="H14801" s="3063"/>
      <c r="I14801" s="3030"/>
    </row>
    <row r="14802" spans="2:9">
      <c r="B14802" s="3192" t="s">
        <v>677</v>
      </c>
      <c r="C14802" s="3063"/>
      <c r="D14802" s="3064"/>
      <c r="E14802" s="3064"/>
      <c r="F14802" s="3064"/>
      <c r="G14802" s="3301" t="s">
        <v>677</v>
      </c>
      <c r="H14802" s="3063"/>
      <c r="I14802" s="3030"/>
    </row>
    <row r="14803" spans="2:9">
      <c r="B14803" s="3192" t="s">
        <v>678</v>
      </c>
      <c r="C14803" s="3063"/>
      <c r="D14803" s="3064"/>
      <c r="E14803" s="3064"/>
      <c r="F14803" s="3064"/>
      <c r="G14803" s="3301" t="s">
        <v>678</v>
      </c>
      <c r="H14803" s="3063"/>
      <c r="I14803" s="3030"/>
    </row>
    <row r="14804" spans="2:9">
      <c r="B14804" s="3192" t="s">
        <v>679</v>
      </c>
      <c r="C14804" s="3063"/>
      <c r="D14804" s="3064"/>
      <c r="E14804" s="3064"/>
      <c r="F14804" s="3064"/>
      <c r="G14804" s="3301" t="s">
        <v>679</v>
      </c>
      <c r="H14804" s="3063"/>
      <c r="I14804" s="3030"/>
    </row>
    <row r="14805" spans="2:9" ht="25.5">
      <c r="B14805" s="3192" t="s">
        <v>720</v>
      </c>
      <c r="C14805" s="3063"/>
      <c r="D14805" s="3064"/>
      <c r="E14805" s="3064"/>
      <c r="F14805" s="3064"/>
      <c r="G14805" s="3301" t="s">
        <v>720</v>
      </c>
      <c r="H14805" s="3063"/>
      <c r="I14805" s="3030"/>
    </row>
    <row r="14806" spans="2:9">
      <c r="B14806" s="3299" t="s">
        <v>67</v>
      </c>
      <c r="C14806" s="3063"/>
      <c r="D14806" s="3064"/>
      <c r="E14806" s="3064"/>
      <c r="F14806" s="3064"/>
      <c r="G14806" s="3300" t="s">
        <v>67</v>
      </c>
      <c r="H14806" s="3063"/>
      <c r="I14806" s="3030"/>
    </row>
    <row r="14807" spans="2:9" ht="25.5">
      <c r="B14807" s="3192" t="s">
        <v>675</v>
      </c>
      <c r="C14807" s="3063"/>
      <c r="D14807" s="3064"/>
      <c r="E14807" s="3064"/>
      <c r="F14807" s="3064"/>
      <c r="G14807" s="3301" t="s">
        <v>675</v>
      </c>
      <c r="H14807" s="3063"/>
      <c r="I14807" s="3030"/>
    </row>
    <row r="14808" spans="2:9" ht="25.5">
      <c r="B14808" s="3192" t="s">
        <v>676</v>
      </c>
      <c r="C14808" s="3063"/>
      <c r="D14808" s="3064"/>
      <c r="E14808" s="3064"/>
      <c r="F14808" s="3064"/>
      <c r="G14808" s="3301" t="s">
        <v>676</v>
      </c>
      <c r="H14808" s="3063"/>
      <c r="I14808" s="3030"/>
    </row>
    <row r="14809" spans="2:9">
      <c r="B14809" s="3192" t="s">
        <v>677</v>
      </c>
      <c r="C14809" s="3063"/>
      <c r="D14809" s="3064"/>
      <c r="E14809" s="3064"/>
      <c r="F14809" s="3064"/>
      <c r="G14809" s="3301" t="s">
        <v>677</v>
      </c>
      <c r="H14809" s="3063"/>
      <c r="I14809" s="3030"/>
    </row>
    <row r="14810" spans="2:9">
      <c r="B14810" s="3192" t="s">
        <v>678</v>
      </c>
      <c r="C14810" s="3063"/>
      <c r="D14810" s="3064"/>
      <c r="E14810" s="3064"/>
      <c r="F14810" s="3064"/>
      <c r="G14810" s="3301" t="s">
        <v>678</v>
      </c>
      <c r="H14810" s="3063"/>
      <c r="I14810" s="3030"/>
    </row>
    <row r="14811" spans="2:9">
      <c r="B14811" s="3192" t="s">
        <v>679</v>
      </c>
      <c r="C14811" s="3063"/>
      <c r="D14811" s="3064"/>
      <c r="E14811" s="3064"/>
      <c r="F14811" s="3064"/>
      <c r="G14811" s="3301" t="s">
        <v>679</v>
      </c>
      <c r="H14811" s="3063"/>
      <c r="I14811" s="3030"/>
    </row>
    <row r="14812" spans="2:9" ht="25.5">
      <c r="B14812" s="3230" t="s">
        <v>81</v>
      </c>
      <c r="C14812" s="3063"/>
      <c r="D14812" s="3064"/>
      <c r="E14812" s="3064"/>
      <c r="F14812" s="3064"/>
      <c r="G14812" s="3302" t="s">
        <v>81</v>
      </c>
      <c r="H14812" s="3063"/>
      <c r="I14812" s="3030"/>
    </row>
    <row r="14813" spans="2:9" ht="26.25" thickBot="1">
      <c r="B14813" s="3303" t="s">
        <v>81</v>
      </c>
      <c r="C14813" s="3063"/>
      <c r="D14813" s="3064"/>
      <c r="E14813" s="3064"/>
      <c r="F14813" s="3064"/>
      <c r="G14813" s="3302" t="s">
        <v>81</v>
      </c>
      <c r="H14813" s="3063"/>
      <c r="I14813" s="3030"/>
    </row>
    <row r="14814" spans="2:9">
      <c r="B14814" s="3217" t="s">
        <v>697</v>
      </c>
      <c r="C14814" s="3218"/>
      <c r="D14814" s="3219"/>
      <c r="E14814" s="3219"/>
      <c r="F14814" s="3219"/>
      <c r="G14814" s="3217" t="s">
        <v>697</v>
      </c>
      <c r="H14814" s="3297"/>
      <c r="I14814" s="3298"/>
    </row>
    <row r="14815" spans="2:9">
      <c r="B14815" s="3299" t="s">
        <v>64</v>
      </c>
      <c r="C14815" s="3063"/>
      <c r="D14815" s="3064"/>
      <c r="E14815" s="3064"/>
      <c r="F14815" s="3064"/>
      <c r="G14815" s="3300" t="s">
        <v>64</v>
      </c>
      <c r="H14815" s="3063"/>
      <c r="I14815" s="3030"/>
    </row>
    <row r="14816" spans="2:9" ht="25.5">
      <c r="B14816" s="3192" t="s">
        <v>675</v>
      </c>
      <c r="C14816" s="3063"/>
      <c r="D14816" s="3064"/>
      <c r="E14816" s="3064"/>
      <c r="F14816" s="3064"/>
      <c r="G14816" s="3301" t="s">
        <v>675</v>
      </c>
      <c r="H14816" s="3063"/>
      <c r="I14816" s="3030"/>
    </row>
    <row r="14817" spans="2:9" ht="25.5">
      <c r="B14817" s="3192" t="s">
        <v>676</v>
      </c>
      <c r="C14817" s="3063"/>
      <c r="D14817" s="3064"/>
      <c r="E14817" s="3064"/>
      <c r="F14817" s="3064"/>
      <c r="G14817" s="3301" t="s">
        <v>676</v>
      </c>
      <c r="H14817" s="3063"/>
      <c r="I14817" s="3030"/>
    </row>
    <row r="14818" spans="2:9">
      <c r="B14818" s="3192" t="s">
        <v>677</v>
      </c>
      <c r="C14818" s="3063"/>
      <c r="D14818" s="3064"/>
      <c r="E14818" s="3064"/>
      <c r="F14818" s="3064"/>
      <c r="G14818" s="3301" t="s">
        <v>677</v>
      </c>
      <c r="H14818" s="3063"/>
      <c r="I14818" s="3030"/>
    </row>
    <row r="14819" spans="2:9">
      <c r="B14819" s="3192" t="s">
        <v>678</v>
      </c>
      <c r="C14819" s="3063"/>
      <c r="D14819" s="3064"/>
      <c r="E14819" s="3064"/>
      <c r="F14819" s="3064"/>
      <c r="G14819" s="3301" t="s">
        <v>678</v>
      </c>
      <c r="H14819" s="3063"/>
      <c r="I14819" s="3030"/>
    </row>
    <row r="14820" spans="2:9">
      <c r="B14820" s="3192" t="s">
        <v>679</v>
      </c>
      <c r="C14820" s="3063"/>
      <c r="D14820" s="3064"/>
      <c r="E14820" s="3064"/>
      <c r="F14820" s="3064"/>
      <c r="G14820" s="3301" t="s">
        <v>679</v>
      </c>
      <c r="H14820" s="3063"/>
      <c r="I14820" s="3030"/>
    </row>
    <row r="14821" spans="2:9" ht="25.5">
      <c r="B14821" s="3192" t="s">
        <v>720</v>
      </c>
      <c r="C14821" s="3063"/>
      <c r="D14821" s="3064"/>
      <c r="E14821" s="3064"/>
      <c r="F14821" s="3064"/>
      <c r="G14821" s="3301" t="s">
        <v>720</v>
      </c>
      <c r="H14821" s="3063"/>
      <c r="I14821" s="3030"/>
    </row>
    <row r="14822" spans="2:9">
      <c r="B14822" s="3299" t="s">
        <v>65</v>
      </c>
      <c r="C14822" s="3063"/>
      <c r="D14822" s="3064"/>
      <c r="E14822" s="3064"/>
      <c r="F14822" s="3064"/>
      <c r="G14822" s="3300" t="s">
        <v>65</v>
      </c>
      <c r="H14822" s="3063"/>
      <c r="I14822" s="3030"/>
    </row>
    <row r="14823" spans="2:9" ht="25.5">
      <c r="B14823" s="3192" t="s">
        <v>675</v>
      </c>
      <c r="C14823" s="3063"/>
      <c r="D14823" s="3064"/>
      <c r="E14823" s="3064"/>
      <c r="F14823" s="3064"/>
      <c r="G14823" s="3301" t="s">
        <v>675</v>
      </c>
      <c r="H14823" s="3063"/>
      <c r="I14823" s="3030"/>
    </row>
    <row r="14824" spans="2:9" ht="25.5">
      <c r="B14824" s="3192" t="s">
        <v>676</v>
      </c>
      <c r="C14824" s="3063"/>
      <c r="D14824" s="3064"/>
      <c r="E14824" s="3064"/>
      <c r="F14824" s="3064"/>
      <c r="G14824" s="3301" t="s">
        <v>676</v>
      </c>
      <c r="H14824" s="3063"/>
      <c r="I14824" s="3030"/>
    </row>
    <row r="14825" spans="2:9">
      <c r="B14825" s="3192" t="s">
        <v>677</v>
      </c>
      <c r="C14825" s="3063"/>
      <c r="D14825" s="3064"/>
      <c r="E14825" s="3064"/>
      <c r="F14825" s="3064"/>
      <c r="G14825" s="3301" t="s">
        <v>677</v>
      </c>
      <c r="H14825" s="3063"/>
      <c r="I14825" s="3030"/>
    </row>
    <row r="14826" spans="2:9">
      <c r="B14826" s="3192" t="s">
        <v>678</v>
      </c>
      <c r="C14826" s="3063"/>
      <c r="D14826" s="3064"/>
      <c r="E14826" s="3064"/>
      <c r="F14826" s="3064"/>
      <c r="G14826" s="3301" t="s">
        <v>678</v>
      </c>
      <c r="H14826" s="3063"/>
      <c r="I14826" s="3030"/>
    </row>
    <row r="14827" spans="2:9">
      <c r="B14827" s="3192" t="s">
        <v>679</v>
      </c>
      <c r="C14827" s="3063"/>
      <c r="D14827" s="3064"/>
      <c r="E14827" s="3064"/>
      <c r="F14827" s="3064"/>
      <c r="G14827" s="3301" t="s">
        <v>679</v>
      </c>
      <c r="H14827" s="3063"/>
      <c r="I14827" s="3030"/>
    </row>
    <row r="14828" spans="2:9" ht="25.5">
      <c r="B14828" s="3192" t="s">
        <v>720</v>
      </c>
      <c r="C14828" s="3063"/>
      <c r="D14828" s="3064"/>
      <c r="E14828" s="3064"/>
      <c r="F14828" s="3064"/>
      <c r="G14828" s="3301" t="s">
        <v>720</v>
      </c>
      <c r="H14828" s="3063"/>
      <c r="I14828" s="3030"/>
    </row>
    <row r="14829" spans="2:9">
      <c r="B14829" s="3299" t="s">
        <v>82</v>
      </c>
      <c r="C14829" s="3063"/>
      <c r="D14829" s="3064"/>
      <c r="E14829" s="3064"/>
      <c r="F14829" s="3064"/>
      <c r="G14829" s="3300" t="s">
        <v>82</v>
      </c>
      <c r="H14829" s="3063"/>
      <c r="I14829" s="3030"/>
    </row>
    <row r="14830" spans="2:9" ht="25.5">
      <c r="B14830" s="3192" t="s">
        <v>675</v>
      </c>
      <c r="C14830" s="3063"/>
      <c r="D14830" s="3064"/>
      <c r="E14830" s="3064"/>
      <c r="F14830" s="3064"/>
      <c r="G14830" s="3301" t="s">
        <v>675</v>
      </c>
      <c r="H14830" s="3063"/>
      <c r="I14830" s="3030"/>
    </row>
    <row r="14831" spans="2:9" ht="25.5">
      <c r="B14831" s="3192" t="s">
        <v>676</v>
      </c>
      <c r="C14831" s="3063"/>
      <c r="D14831" s="3064"/>
      <c r="E14831" s="3064"/>
      <c r="F14831" s="3064"/>
      <c r="G14831" s="3301" t="s">
        <v>676</v>
      </c>
      <c r="H14831" s="3063"/>
      <c r="I14831" s="3030"/>
    </row>
    <row r="14832" spans="2:9">
      <c r="B14832" s="3192" t="s">
        <v>677</v>
      </c>
      <c r="C14832" s="3063"/>
      <c r="D14832" s="3064"/>
      <c r="E14832" s="3064"/>
      <c r="F14832" s="3064"/>
      <c r="G14832" s="3301" t="s">
        <v>677</v>
      </c>
      <c r="H14832" s="3063"/>
      <c r="I14832" s="3030"/>
    </row>
    <row r="14833" spans="2:9">
      <c r="B14833" s="3192" t="s">
        <v>678</v>
      </c>
      <c r="C14833" s="3063"/>
      <c r="D14833" s="3064"/>
      <c r="E14833" s="3064"/>
      <c r="F14833" s="3064"/>
      <c r="G14833" s="3301" t="s">
        <v>678</v>
      </c>
      <c r="H14833" s="3063"/>
      <c r="I14833" s="3030"/>
    </row>
    <row r="14834" spans="2:9">
      <c r="B14834" s="3192" t="s">
        <v>679</v>
      </c>
      <c r="C14834" s="3063"/>
      <c r="D14834" s="3064"/>
      <c r="E14834" s="3064"/>
      <c r="F14834" s="3064"/>
      <c r="G14834" s="3301" t="s">
        <v>679</v>
      </c>
      <c r="H14834" s="3063"/>
      <c r="I14834" s="3030"/>
    </row>
    <row r="14835" spans="2:9" ht="25.5">
      <c r="B14835" s="3192" t="s">
        <v>720</v>
      </c>
      <c r="C14835" s="3063"/>
      <c r="D14835" s="3064"/>
      <c r="E14835" s="3064"/>
      <c r="F14835" s="3064"/>
      <c r="G14835" s="3301" t="s">
        <v>720</v>
      </c>
      <c r="H14835" s="3063"/>
      <c r="I14835" s="3030"/>
    </row>
    <row r="14836" spans="2:9" ht="38.25">
      <c r="B14836" s="3299" t="s">
        <v>680</v>
      </c>
      <c r="C14836" s="3063"/>
      <c r="D14836" s="3064"/>
      <c r="E14836" s="3064"/>
      <c r="F14836" s="3064"/>
      <c r="G14836" s="3300" t="s">
        <v>680</v>
      </c>
      <c r="H14836" s="3063"/>
      <c r="I14836" s="3030"/>
    </row>
    <row r="14837" spans="2:9" ht="25.5">
      <c r="B14837" s="3192" t="s">
        <v>675</v>
      </c>
      <c r="C14837" s="3063"/>
      <c r="D14837" s="3064"/>
      <c r="E14837" s="3064"/>
      <c r="F14837" s="3064"/>
      <c r="G14837" s="3301" t="s">
        <v>675</v>
      </c>
      <c r="H14837" s="3063"/>
      <c r="I14837" s="3030"/>
    </row>
    <row r="14838" spans="2:9" ht="25.5">
      <c r="B14838" s="3192" t="s">
        <v>676</v>
      </c>
      <c r="C14838" s="3063"/>
      <c r="D14838" s="3064"/>
      <c r="E14838" s="3064"/>
      <c r="F14838" s="3064"/>
      <c r="G14838" s="3301" t="s">
        <v>676</v>
      </c>
      <c r="H14838" s="3063"/>
      <c r="I14838" s="3030"/>
    </row>
    <row r="14839" spans="2:9">
      <c r="B14839" s="3192" t="s">
        <v>677</v>
      </c>
      <c r="C14839" s="3063"/>
      <c r="D14839" s="3064"/>
      <c r="E14839" s="3064"/>
      <c r="F14839" s="3064"/>
      <c r="G14839" s="3301" t="s">
        <v>677</v>
      </c>
      <c r="H14839" s="3063"/>
      <c r="I14839" s="3030"/>
    </row>
    <row r="14840" spans="2:9">
      <c r="B14840" s="3192" t="s">
        <v>678</v>
      </c>
      <c r="C14840" s="3063"/>
      <c r="D14840" s="3064"/>
      <c r="E14840" s="3064"/>
      <c r="F14840" s="3064"/>
      <c r="G14840" s="3301" t="s">
        <v>678</v>
      </c>
      <c r="H14840" s="3063"/>
      <c r="I14840" s="3030"/>
    </row>
    <row r="14841" spans="2:9">
      <c r="B14841" s="3192" t="s">
        <v>679</v>
      </c>
      <c r="C14841" s="3063"/>
      <c r="D14841" s="3064"/>
      <c r="E14841" s="3064"/>
      <c r="F14841" s="3064"/>
      <c r="G14841" s="3301" t="s">
        <v>679</v>
      </c>
      <c r="H14841" s="3063"/>
      <c r="I14841" s="3030"/>
    </row>
    <row r="14842" spans="2:9" ht="25.5">
      <c r="B14842" s="3192" t="s">
        <v>720</v>
      </c>
      <c r="C14842" s="3063"/>
      <c r="D14842" s="3064"/>
      <c r="E14842" s="3064"/>
      <c r="F14842" s="3064"/>
      <c r="G14842" s="3301" t="s">
        <v>720</v>
      </c>
      <c r="H14842" s="3063"/>
      <c r="I14842" s="3030"/>
    </row>
    <row r="14843" spans="2:9" ht="38.25">
      <c r="B14843" s="3299" t="s">
        <v>681</v>
      </c>
      <c r="C14843" s="3063"/>
      <c r="D14843" s="3064"/>
      <c r="E14843" s="3064"/>
      <c r="F14843" s="3064"/>
      <c r="G14843" s="3300" t="s">
        <v>681</v>
      </c>
      <c r="H14843" s="3063">
        <v>6.7825358925016881E-3</v>
      </c>
      <c r="I14843" s="3030"/>
    </row>
    <row r="14844" spans="2:9" ht="25.5">
      <c r="B14844" s="3192" t="s">
        <v>675</v>
      </c>
      <c r="C14844" s="3063"/>
      <c r="D14844" s="3064"/>
      <c r="E14844" s="3064"/>
      <c r="F14844" s="3064"/>
      <c r="G14844" s="3301" t="s">
        <v>675</v>
      </c>
      <c r="H14844" s="3063"/>
      <c r="I14844" s="3030"/>
    </row>
    <row r="14845" spans="2:9" ht="25.5">
      <c r="B14845" s="3192" t="s">
        <v>676</v>
      </c>
      <c r="C14845" s="3063"/>
      <c r="D14845" s="3064"/>
      <c r="E14845" s="3064"/>
      <c r="F14845" s="3064"/>
      <c r="G14845" s="3301" t="s">
        <v>676</v>
      </c>
      <c r="H14845" s="3063"/>
      <c r="I14845" s="3030"/>
    </row>
    <row r="14846" spans="2:9">
      <c r="B14846" s="3192" t="s">
        <v>677</v>
      </c>
      <c r="C14846" s="3063"/>
      <c r="D14846" s="3064"/>
      <c r="E14846" s="3064"/>
      <c r="F14846" s="3064"/>
      <c r="G14846" s="3301" t="s">
        <v>677</v>
      </c>
      <c r="H14846" s="3063"/>
      <c r="I14846" s="3030"/>
    </row>
    <row r="14847" spans="2:9">
      <c r="B14847" s="3192" t="s">
        <v>678</v>
      </c>
      <c r="C14847" s="3063"/>
      <c r="D14847" s="3064"/>
      <c r="E14847" s="3064"/>
      <c r="F14847" s="3064"/>
      <c r="G14847" s="3301" t="s">
        <v>678</v>
      </c>
      <c r="H14847" s="3063"/>
      <c r="I14847" s="3030"/>
    </row>
    <row r="14848" spans="2:9">
      <c r="B14848" s="3192" t="s">
        <v>679</v>
      </c>
      <c r="C14848" s="3063">
        <v>1</v>
      </c>
      <c r="D14848" s="3064"/>
      <c r="E14848" s="3064"/>
      <c r="F14848" s="3064"/>
      <c r="G14848" s="3301" t="s">
        <v>679</v>
      </c>
      <c r="H14848" s="3063"/>
      <c r="I14848" s="3030"/>
    </row>
    <row r="14849" spans="2:9" ht="25.5">
      <c r="B14849" s="3192" t="s">
        <v>720</v>
      </c>
      <c r="C14849" s="3063"/>
      <c r="D14849" s="3064"/>
      <c r="E14849" s="3064"/>
      <c r="F14849" s="3064"/>
      <c r="G14849" s="3301" t="s">
        <v>720</v>
      </c>
      <c r="H14849" s="3063"/>
      <c r="I14849" s="3030"/>
    </row>
    <row r="14850" spans="2:9" ht="25.5">
      <c r="B14850" s="3299" t="s">
        <v>682</v>
      </c>
      <c r="C14850" s="3063"/>
      <c r="D14850" s="3064"/>
      <c r="E14850" s="3064"/>
      <c r="F14850" s="3064"/>
      <c r="G14850" s="3300" t="s">
        <v>682</v>
      </c>
      <c r="H14850" s="3063"/>
      <c r="I14850" s="3030"/>
    </row>
    <row r="14851" spans="2:9" ht="25.5">
      <c r="B14851" s="3192" t="s">
        <v>675</v>
      </c>
      <c r="C14851" s="3063"/>
      <c r="D14851" s="3064"/>
      <c r="E14851" s="3064"/>
      <c r="F14851" s="3064"/>
      <c r="G14851" s="3301" t="s">
        <v>675</v>
      </c>
      <c r="H14851" s="3063"/>
      <c r="I14851" s="3030"/>
    </row>
    <row r="14852" spans="2:9" ht="25.5">
      <c r="B14852" s="3192" t="s">
        <v>676</v>
      </c>
      <c r="C14852" s="3063"/>
      <c r="D14852" s="3064"/>
      <c r="E14852" s="3064"/>
      <c r="F14852" s="3064"/>
      <c r="G14852" s="3301" t="s">
        <v>676</v>
      </c>
      <c r="H14852" s="3063"/>
      <c r="I14852" s="3030"/>
    </row>
    <row r="14853" spans="2:9">
      <c r="B14853" s="3192" t="s">
        <v>677</v>
      </c>
      <c r="C14853" s="3063"/>
      <c r="D14853" s="3064"/>
      <c r="E14853" s="3064"/>
      <c r="F14853" s="3064"/>
      <c r="G14853" s="3301" t="s">
        <v>677</v>
      </c>
      <c r="H14853" s="3063"/>
      <c r="I14853" s="3030"/>
    </row>
    <row r="14854" spans="2:9">
      <c r="B14854" s="3192" t="s">
        <v>678</v>
      </c>
      <c r="C14854" s="3063"/>
      <c r="D14854" s="3064"/>
      <c r="E14854" s="3064"/>
      <c r="F14854" s="3064"/>
      <c r="G14854" s="3301" t="s">
        <v>678</v>
      </c>
      <c r="H14854" s="3063"/>
      <c r="I14854" s="3030"/>
    </row>
    <row r="14855" spans="2:9">
      <c r="B14855" s="3192" t="s">
        <v>679</v>
      </c>
      <c r="C14855" s="3063"/>
      <c r="D14855" s="3064"/>
      <c r="E14855" s="3064"/>
      <c r="F14855" s="3064"/>
      <c r="G14855" s="3301" t="s">
        <v>679</v>
      </c>
      <c r="H14855" s="3063"/>
      <c r="I14855" s="3030"/>
    </row>
    <row r="14856" spans="2:9" ht="25.5">
      <c r="B14856" s="3192" t="s">
        <v>720</v>
      </c>
      <c r="C14856" s="3063"/>
      <c r="D14856" s="3064"/>
      <c r="E14856" s="3064"/>
      <c r="F14856" s="3064"/>
      <c r="G14856" s="3301" t="s">
        <v>720</v>
      </c>
      <c r="H14856" s="3063"/>
      <c r="I14856" s="3030"/>
    </row>
    <row r="14857" spans="2:9" ht="25.5">
      <c r="B14857" s="3299" t="s">
        <v>66</v>
      </c>
      <c r="C14857" s="3063"/>
      <c r="D14857" s="3064"/>
      <c r="E14857" s="3064"/>
      <c r="F14857" s="3064"/>
      <c r="G14857" s="3300" t="s">
        <v>66</v>
      </c>
      <c r="H14857" s="3063"/>
      <c r="I14857" s="3030"/>
    </row>
    <row r="14858" spans="2:9" ht="25.5">
      <c r="B14858" s="3192" t="s">
        <v>675</v>
      </c>
      <c r="C14858" s="3063"/>
      <c r="D14858" s="3064"/>
      <c r="E14858" s="3064"/>
      <c r="F14858" s="3064"/>
      <c r="G14858" s="3301" t="s">
        <v>675</v>
      </c>
      <c r="H14858" s="3063"/>
      <c r="I14858" s="3030"/>
    </row>
    <row r="14859" spans="2:9" ht="25.5">
      <c r="B14859" s="3192" t="s">
        <v>676</v>
      </c>
      <c r="C14859" s="3063"/>
      <c r="D14859" s="3064"/>
      <c r="E14859" s="3064"/>
      <c r="F14859" s="3064"/>
      <c r="G14859" s="3301" t="s">
        <v>676</v>
      </c>
      <c r="H14859" s="3063"/>
      <c r="I14859" s="3030"/>
    </row>
    <row r="14860" spans="2:9">
      <c r="B14860" s="3192" t="s">
        <v>677</v>
      </c>
      <c r="C14860" s="3063"/>
      <c r="D14860" s="3064"/>
      <c r="E14860" s="3064"/>
      <c r="F14860" s="3064"/>
      <c r="G14860" s="3301" t="s">
        <v>677</v>
      </c>
      <c r="H14860" s="3063"/>
      <c r="I14860" s="3030"/>
    </row>
    <row r="14861" spans="2:9">
      <c r="B14861" s="3192" t="s">
        <v>678</v>
      </c>
      <c r="C14861" s="3063"/>
      <c r="D14861" s="3064"/>
      <c r="E14861" s="3064"/>
      <c r="F14861" s="3064"/>
      <c r="G14861" s="3301" t="s">
        <v>678</v>
      </c>
      <c r="H14861" s="3063"/>
      <c r="I14861" s="3030"/>
    </row>
    <row r="14862" spans="2:9">
      <c r="B14862" s="3192" t="s">
        <v>679</v>
      </c>
      <c r="C14862" s="3063"/>
      <c r="D14862" s="3064"/>
      <c r="E14862" s="3064"/>
      <c r="F14862" s="3064"/>
      <c r="G14862" s="3301" t="s">
        <v>679</v>
      </c>
      <c r="H14862" s="3063"/>
      <c r="I14862" s="3030"/>
    </row>
    <row r="14863" spans="2:9" ht="25.5">
      <c r="B14863" s="3192" t="s">
        <v>720</v>
      </c>
      <c r="C14863" s="3063"/>
      <c r="D14863" s="3064"/>
      <c r="E14863" s="3064"/>
      <c r="F14863" s="3064"/>
      <c r="G14863" s="3301" t="s">
        <v>720</v>
      </c>
      <c r="H14863" s="3063"/>
      <c r="I14863" s="3030"/>
    </row>
    <row r="14864" spans="2:9">
      <c r="B14864" s="3299" t="s">
        <v>67</v>
      </c>
      <c r="C14864" s="3063"/>
      <c r="D14864" s="3064"/>
      <c r="E14864" s="3064"/>
      <c r="F14864" s="3064"/>
      <c r="G14864" s="3300" t="s">
        <v>67</v>
      </c>
      <c r="H14864" s="3063"/>
      <c r="I14864" s="3030"/>
    </row>
    <row r="14865" spans="2:9" ht="25.5">
      <c r="B14865" s="3192" t="s">
        <v>675</v>
      </c>
      <c r="C14865" s="3063"/>
      <c r="D14865" s="3064"/>
      <c r="E14865" s="3064"/>
      <c r="F14865" s="3064"/>
      <c r="G14865" s="3301" t="s">
        <v>675</v>
      </c>
      <c r="H14865" s="3063"/>
      <c r="I14865" s="3030"/>
    </row>
    <row r="14866" spans="2:9" ht="25.5">
      <c r="B14866" s="3192" t="s">
        <v>676</v>
      </c>
      <c r="C14866" s="3063"/>
      <c r="D14866" s="3064"/>
      <c r="E14866" s="3064"/>
      <c r="F14866" s="3064"/>
      <c r="G14866" s="3301" t="s">
        <v>676</v>
      </c>
      <c r="H14866" s="3063"/>
      <c r="I14866" s="3030"/>
    </row>
    <row r="14867" spans="2:9">
      <c r="B14867" s="3192" t="s">
        <v>677</v>
      </c>
      <c r="C14867" s="3063"/>
      <c r="D14867" s="3064"/>
      <c r="E14867" s="3064"/>
      <c r="F14867" s="3064"/>
      <c r="G14867" s="3301" t="s">
        <v>677</v>
      </c>
      <c r="H14867" s="3063"/>
      <c r="I14867" s="3030"/>
    </row>
    <row r="14868" spans="2:9">
      <c r="B14868" s="3192" t="s">
        <v>678</v>
      </c>
      <c r="C14868" s="3063"/>
      <c r="D14868" s="3064"/>
      <c r="E14868" s="3064"/>
      <c r="F14868" s="3064"/>
      <c r="G14868" s="3301" t="s">
        <v>678</v>
      </c>
      <c r="H14868" s="3063"/>
      <c r="I14868" s="3030"/>
    </row>
    <row r="14869" spans="2:9">
      <c r="B14869" s="3192" t="s">
        <v>679</v>
      </c>
      <c r="C14869" s="3063"/>
      <c r="D14869" s="3064"/>
      <c r="E14869" s="3064"/>
      <c r="F14869" s="3064"/>
      <c r="G14869" s="3301" t="s">
        <v>679</v>
      </c>
      <c r="H14869" s="3063"/>
      <c r="I14869" s="3030"/>
    </row>
    <row r="14870" spans="2:9" ht="25.5">
      <c r="B14870" s="3230" t="s">
        <v>81</v>
      </c>
      <c r="C14870" s="3063"/>
      <c r="D14870" s="3064"/>
      <c r="E14870" s="3064"/>
      <c r="F14870" s="3064"/>
      <c r="G14870" s="3302" t="s">
        <v>81</v>
      </c>
      <c r="H14870" s="3063"/>
      <c r="I14870" s="3030"/>
    </row>
    <row r="14871" spans="2:9" ht="26.25" thickBot="1">
      <c r="B14871" s="3303" t="s">
        <v>81</v>
      </c>
      <c r="C14871" s="3068"/>
      <c r="D14871" s="3069"/>
      <c r="E14871" s="3069"/>
      <c r="F14871" s="3069"/>
      <c r="G14871" s="3304" t="s">
        <v>81</v>
      </c>
      <c r="H14871" s="3068"/>
      <c r="I14871" s="3070"/>
    </row>
    <row r="14872" spans="2:9" ht="38.25">
      <c r="B14872" s="4723">
        <v>3434</v>
      </c>
      <c r="C14872" s="3289"/>
      <c r="D14872" s="3290"/>
      <c r="E14872" s="3290"/>
      <c r="F14872" s="3290"/>
      <c r="G14872" s="4723">
        <v>3434</v>
      </c>
      <c r="H14872" s="3291" t="s">
        <v>687</v>
      </c>
      <c r="I14872" s="3292" t="s">
        <v>688</v>
      </c>
    </row>
    <row r="14873" spans="2:9">
      <c r="B14873" s="4724"/>
      <c r="C14873" s="4678" t="s">
        <v>686</v>
      </c>
      <c r="D14873" s="4725"/>
      <c r="E14873" s="4725"/>
      <c r="F14873" s="4726"/>
      <c r="G14873" s="4724"/>
      <c r="H14873" s="3293"/>
      <c r="I14873" s="3294"/>
    </row>
    <row r="14874" spans="2:9" ht="13.5" thickBot="1">
      <c r="B14874" s="4724"/>
      <c r="C14874" s="3215">
        <v>2013</v>
      </c>
      <c r="D14874" s="3215">
        <v>2014</v>
      </c>
      <c r="E14874" s="3215">
        <v>2015</v>
      </c>
      <c r="F14874" s="3215">
        <v>2016</v>
      </c>
      <c r="G14874" s="4724"/>
      <c r="H14874" s="3295" t="s">
        <v>390</v>
      </c>
      <c r="I14874" s="3296" t="s">
        <v>390</v>
      </c>
    </row>
    <row r="14875" spans="2:9">
      <c r="B14875" s="3217" t="s">
        <v>695</v>
      </c>
      <c r="C14875" s="3218"/>
      <c r="D14875" s="3219"/>
      <c r="E14875" s="3219"/>
      <c r="F14875" s="3219"/>
      <c r="G14875" s="3217" t="s">
        <v>695</v>
      </c>
      <c r="H14875" s="3297"/>
      <c r="I14875" s="3298"/>
    </row>
    <row r="14876" spans="2:9">
      <c r="B14876" s="3299" t="s">
        <v>64</v>
      </c>
      <c r="C14876" s="3063"/>
      <c r="D14876" s="3064"/>
      <c r="E14876" s="3064"/>
      <c r="F14876" s="3064"/>
      <c r="G14876" s="3300" t="s">
        <v>64</v>
      </c>
      <c r="H14876" s="3063"/>
      <c r="I14876" s="3030"/>
    </row>
    <row r="14877" spans="2:9" ht="25.5">
      <c r="B14877" s="3192" t="s">
        <v>675</v>
      </c>
      <c r="C14877" s="3063"/>
      <c r="D14877" s="3064"/>
      <c r="E14877" s="3064"/>
      <c r="F14877" s="3064"/>
      <c r="G14877" s="3301" t="s">
        <v>675</v>
      </c>
      <c r="H14877" s="3063"/>
      <c r="I14877" s="3030"/>
    </row>
    <row r="14878" spans="2:9" ht="25.5">
      <c r="B14878" s="3192" t="s">
        <v>676</v>
      </c>
      <c r="C14878" s="3063"/>
      <c r="D14878" s="3064"/>
      <c r="E14878" s="3064"/>
      <c r="F14878" s="3064"/>
      <c r="G14878" s="3301" t="s">
        <v>676</v>
      </c>
      <c r="H14878" s="3063"/>
      <c r="I14878" s="3030"/>
    </row>
    <row r="14879" spans="2:9">
      <c r="B14879" s="3192" t="s">
        <v>677</v>
      </c>
      <c r="C14879" s="3063"/>
      <c r="D14879" s="3064"/>
      <c r="E14879" s="3064"/>
      <c r="F14879" s="3064"/>
      <c r="G14879" s="3301" t="s">
        <v>677</v>
      </c>
      <c r="H14879" s="3063"/>
      <c r="I14879" s="3030"/>
    </row>
    <row r="14880" spans="2:9">
      <c r="B14880" s="3192" t="s">
        <v>678</v>
      </c>
      <c r="C14880" s="3063"/>
      <c r="D14880" s="3064"/>
      <c r="E14880" s="3064"/>
      <c r="F14880" s="3064"/>
      <c r="G14880" s="3301" t="s">
        <v>678</v>
      </c>
      <c r="H14880" s="3063"/>
      <c r="I14880" s="3030"/>
    </row>
    <row r="14881" spans="2:9">
      <c r="B14881" s="3192" t="s">
        <v>679</v>
      </c>
      <c r="C14881" s="3063"/>
      <c r="D14881" s="3064"/>
      <c r="E14881" s="3064"/>
      <c r="F14881" s="3064"/>
      <c r="G14881" s="3301" t="s">
        <v>679</v>
      </c>
      <c r="H14881" s="3063"/>
      <c r="I14881" s="3030"/>
    </row>
    <row r="14882" spans="2:9" ht="25.5">
      <c r="B14882" s="3192" t="s">
        <v>720</v>
      </c>
      <c r="C14882" s="3063"/>
      <c r="D14882" s="3064"/>
      <c r="E14882" s="3064"/>
      <c r="F14882" s="3064"/>
      <c r="G14882" s="3301" t="s">
        <v>720</v>
      </c>
      <c r="H14882" s="3063"/>
      <c r="I14882" s="3030"/>
    </row>
    <row r="14883" spans="2:9">
      <c r="B14883" s="3299" t="s">
        <v>65</v>
      </c>
      <c r="C14883" s="3063"/>
      <c r="D14883" s="3064"/>
      <c r="E14883" s="3064"/>
      <c r="F14883" s="3064"/>
      <c r="G14883" s="3300" t="s">
        <v>65</v>
      </c>
      <c r="H14883" s="3063"/>
      <c r="I14883" s="3030"/>
    </row>
    <row r="14884" spans="2:9" ht="25.5">
      <c r="B14884" s="3192" t="s">
        <v>675</v>
      </c>
      <c r="C14884" s="3063"/>
      <c r="D14884" s="3064"/>
      <c r="E14884" s="3064"/>
      <c r="F14884" s="3064"/>
      <c r="G14884" s="3301" t="s">
        <v>675</v>
      </c>
      <c r="H14884" s="3063"/>
      <c r="I14884" s="3030"/>
    </row>
    <row r="14885" spans="2:9" ht="25.5">
      <c r="B14885" s="3192" t="s">
        <v>676</v>
      </c>
      <c r="C14885" s="3063"/>
      <c r="D14885" s="3064"/>
      <c r="E14885" s="3064"/>
      <c r="F14885" s="3064"/>
      <c r="G14885" s="3301" t="s">
        <v>676</v>
      </c>
      <c r="H14885" s="3063"/>
      <c r="I14885" s="3030"/>
    </row>
    <row r="14886" spans="2:9">
      <c r="B14886" s="3192" t="s">
        <v>677</v>
      </c>
      <c r="C14886" s="3063"/>
      <c r="D14886" s="3064"/>
      <c r="E14886" s="3064"/>
      <c r="F14886" s="3064"/>
      <c r="G14886" s="3301" t="s">
        <v>677</v>
      </c>
      <c r="H14886" s="3063"/>
      <c r="I14886" s="3030"/>
    </row>
    <row r="14887" spans="2:9">
      <c r="B14887" s="3192" t="s">
        <v>678</v>
      </c>
      <c r="C14887" s="3063"/>
      <c r="D14887" s="3064"/>
      <c r="E14887" s="3064"/>
      <c r="F14887" s="3064"/>
      <c r="G14887" s="3301" t="s">
        <v>678</v>
      </c>
      <c r="H14887" s="3063"/>
      <c r="I14887" s="3030"/>
    </row>
    <row r="14888" spans="2:9">
      <c r="B14888" s="3192" t="s">
        <v>679</v>
      </c>
      <c r="C14888" s="3063"/>
      <c r="D14888" s="3064"/>
      <c r="E14888" s="3064"/>
      <c r="F14888" s="3064"/>
      <c r="G14888" s="3301" t="s">
        <v>679</v>
      </c>
      <c r="H14888" s="3063"/>
      <c r="I14888" s="3030"/>
    </row>
    <row r="14889" spans="2:9" ht="25.5">
      <c r="B14889" s="3192" t="s">
        <v>720</v>
      </c>
      <c r="C14889" s="3063"/>
      <c r="D14889" s="3064"/>
      <c r="E14889" s="3064"/>
      <c r="F14889" s="3064"/>
      <c r="G14889" s="3301" t="s">
        <v>720</v>
      </c>
      <c r="H14889" s="3063"/>
      <c r="I14889" s="3030"/>
    </row>
    <row r="14890" spans="2:9">
      <c r="B14890" s="3299" t="s">
        <v>82</v>
      </c>
      <c r="C14890" s="3063"/>
      <c r="D14890" s="3064"/>
      <c r="E14890" s="3064"/>
      <c r="F14890" s="3064"/>
      <c r="G14890" s="3300" t="s">
        <v>82</v>
      </c>
      <c r="H14890" s="3063"/>
      <c r="I14890" s="3030"/>
    </row>
    <row r="14891" spans="2:9" ht="25.5">
      <c r="B14891" s="3192" t="s">
        <v>675</v>
      </c>
      <c r="C14891" s="3063"/>
      <c r="D14891" s="3064"/>
      <c r="E14891" s="3064"/>
      <c r="F14891" s="3064"/>
      <c r="G14891" s="3301" t="s">
        <v>675</v>
      </c>
      <c r="H14891" s="3063"/>
      <c r="I14891" s="3030"/>
    </row>
    <row r="14892" spans="2:9" ht="25.5">
      <c r="B14892" s="3192" t="s">
        <v>676</v>
      </c>
      <c r="C14892" s="3063"/>
      <c r="D14892" s="3064"/>
      <c r="E14892" s="3064"/>
      <c r="F14892" s="3064"/>
      <c r="G14892" s="3301" t="s">
        <v>676</v>
      </c>
      <c r="H14892" s="3063"/>
      <c r="I14892" s="3030"/>
    </row>
    <row r="14893" spans="2:9">
      <c r="B14893" s="3192" t="s">
        <v>677</v>
      </c>
      <c r="C14893" s="3063"/>
      <c r="D14893" s="3064"/>
      <c r="E14893" s="3064"/>
      <c r="F14893" s="3064"/>
      <c r="G14893" s="3301" t="s">
        <v>677</v>
      </c>
      <c r="H14893" s="3063"/>
      <c r="I14893" s="3030"/>
    </row>
    <row r="14894" spans="2:9">
      <c r="B14894" s="3192" t="s">
        <v>678</v>
      </c>
      <c r="C14894" s="3063"/>
      <c r="D14894" s="3064"/>
      <c r="E14894" s="3064"/>
      <c r="F14894" s="3064"/>
      <c r="G14894" s="3301" t="s">
        <v>678</v>
      </c>
      <c r="H14894" s="3063"/>
      <c r="I14894" s="3030"/>
    </row>
    <row r="14895" spans="2:9">
      <c r="B14895" s="3192" t="s">
        <v>679</v>
      </c>
      <c r="C14895" s="3063"/>
      <c r="D14895" s="3064"/>
      <c r="E14895" s="3064"/>
      <c r="F14895" s="3064"/>
      <c r="G14895" s="3301" t="s">
        <v>679</v>
      </c>
      <c r="H14895" s="3063"/>
      <c r="I14895" s="3030"/>
    </row>
    <row r="14896" spans="2:9" ht="25.5">
      <c r="B14896" s="3192" t="s">
        <v>720</v>
      </c>
      <c r="C14896" s="3063"/>
      <c r="D14896" s="3064"/>
      <c r="E14896" s="3064"/>
      <c r="F14896" s="3064"/>
      <c r="G14896" s="3301" t="s">
        <v>720</v>
      </c>
      <c r="H14896" s="3063"/>
      <c r="I14896" s="3030"/>
    </row>
    <row r="14897" spans="2:9" ht="38.25">
      <c r="B14897" s="3299" t="s">
        <v>680</v>
      </c>
      <c r="C14897" s="3063"/>
      <c r="D14897" s="3064"/>
      <c r="E14897" s="3064"/>
      <c r="F14897" s="3064"/>
      <c r="G14897" s="3300" t="s">
        <v>680</v>
      </c>
      <c r="H14897" s="3063"/>
      <c r="I14897" s="3030"/>
    </row>
    <row r="14898" spans="2:9" ht="25.5">
      <c r="B14898" s="3192" t="s">
        <v>675</v>
      </c>
      <c r="C14898" s="3063"/>
      <c r="D14898" s="3064"/>
      <c r="E14898" s="3064"/>
      <c r="F14898" s="3064"/>
      <c r="G14898" s="3301" t="s">
        <v>675</v>
      </c>
      <c r="H14898" s="3063"/>
      <c r="I14898" s="3030"/>
    </row>
    <row r="14899" spans="2:9" ht="25.5">
      <c r="B14899" s="3192" t="s">
        <v>676</v>
      </c>
      <c r="C14899" s="3063"/>
      <c r="D14899" s="3064"/>
      <c r="E14899" s="3064"/>
      <c r="F14899" s="3064"/>
      <c r="G14899" s="3301" t="s">
        <v>676</v>
      </c>
      <c r="H14899" s="3063"/>
      <c r="I14899" s="3030"/>
    </row>
    <row r="14900" spans="2:9">
      <c r="B14900" s="3192" t="s">
        <v>677</v>
      </c>
      <c r="C14900" s="3063"/>
      <c r="D14900" s="3064"/>
      <c r="E14900" s="3064"/>
      <c r="F14900" s="3064"/>
      <c r="G14900" s="3301" t="s">
        <v>677</v>
      </c>
      <c r="H14900" s="3063"/>
      <c r="I14900" s="3030"/>
    </row>
    <row r="14901" spans="2:9">
      <c r="B14901" s="3192" t="s">
        <v>678</v>
      </c>
      <c r="C14901" s="3063"/>
      <c r="D14901" s="3064"/>
      <c r="E14901" s="3064"/>
      <c r="F14901" s="3064"/>
      <c r="G14901" s="3301" t="s">
        <v>678</v>
      </c>
      <c r="H14901" s="3063"/>
      <c r="I14901" s="3030"/>
    </row>
    <row r="14902" spans="2:9">
      <c r="B14902" s="3192" t="s">
        <v>679</v>
      </c>
      <c r="C14902" s="3063"/>
      <c r="D14902" s="3064"/>
      <c r="E14902" s="3064"/>
      <c r="F14902" s="3064"/>
      <c r="G14902" s="3301" t="s">
        <v>679</v>
      </c>
      <c r="H14902" s="3063"/>
      <c r="I14902" s="3030"/>
    </row>
    <row r="14903" spans="2:9" ht="25.5">
      <c r="B14903" s="3192" t="s">
        <v>720</v>
      </c>
      <c r="C14903" s="3063"/>
      <c r="D14903" s="3064"/>
      <c r="E14903" s="3064"/>
      <c r="F14903" s="3064"/>
      <c r="G14903" s="3301" t="s">
        <v>720</v>
      </c>
      <c r="H14903" s="3063"/>
      <c r="I14903" s="3030"/>
    </row>
    <row r="14904" spans="2:9" ht="38.25">
      <c r="B14904" s="3299" t="s">
        <v>681</v>
      </c>
      <c r="C14904" s="3063"/>
      <c r="D14904" s="3064"/>
      <c r="E14904" s="3064"/>
      <c r="F14904" s="3064"/>
      <c r="G14904" s="3300" t="s">
        <v>681</v>
      </c>
      <c r="H14904" s="3063"/>
      <c r="I14904" s="3030"/>
    </row>
    <row r="14905" spans="2:9" ht="25.5">
      <c r="B14905" s="3192" t="s">
        <v>675</v>
      </c>
      <c r="C14905" s="3063"/>
      <c r="D14905" s="3064"/>
      <c r="E14905" s="3064"/>
      <c r="F14905" s="3064"/>
      <c r="G14905" s="3301" t="s">
        <v>675</v>
      </c>
      <c r="H14905" s="3063"/>
      <c r="I14905" s="3030"/>
    </row>
    <row r="14906" spans="2:9" ht="25.5">
      <c r="B14906" s="3192" t="s">
        <v>676</v>
      </c>
      <c r="C14906" s="3063"/>
      <c r="D14906" s="3064"/>
      <c r="E14906" s="3064"/>
      <c r="F14906" s="3064"/>
      <c r="G14906" s="3301" t="s">
        <v>676</v>
      </c>
      <c r="H14906" s="3063"/>
      <c r="I14906" s="3030"/>
    </row>
    <row r="14907" spans="2:9">
      <c r="B14907" s="3192" t="s">
        <v>677</v>
      </c>
      <c r="C14907" s="3063"/>
      <c r="D14907" s="3064"/>
      <c r="E14907" s="3064"/>
      <c r="F14907" s="3064"/>
      <c r="G14907" s="3301" t="s">
        <v>677</v>
      </c>
      <c r="H14907" s="3063"/>
      <c r="I14907" s="3030"/>
    </row>
    <row r="14908" spans="2:9">
      <c r="B14908" s="3192" t="s">
        <v>678</v>
      </c>
      <c r="C14908" s="3063"/>
      <c r="D14908" s="3064"/>
      <c r="E14908" s="3064"/>
      <c r="F14908" s="3064"/>
      <c r="G14908" s="3301" t="s">
        <v>678</v>
      </c>
      <c r="H14908" s="3063"/>
      <c r="I14908" s="3030"/>
    </row>
    <row r="14909" spans="2:9">
      <c r="B14909" s="3192" t="s">
        <v>679</v>
      </c>
      <c r="C14909" s="3063"/>
      <c r="D14909" s="3064"/>
      <c r="E14909" s="3064"/>
      <c r="F14909" s="3064"/>
      <c r="G14909" s="3301" t="s">
        <v>679</v>
      </c>
      <c r="H14909" s="3063"/>
      <c r="I14909" s="3030"/>
    </row>
    <row r="14910" spans="2:9" ht="25.5">
      <c r="B14910" s="3192" t="s">
        <v>720</v>
      </c>
      <c r="C14910" s="3063"/>
      <c r="D14910" s="3064"/>
      <c r="E14910" s="3064"/>
      <c r="F14910" s="3064"/>
      <c r="G14910" s="3301" t="s">
        <v>720</v>
      </c>
      <c r="H14910" s="3063"/>
      <c r="I14910" s="3030"/>
    </row>
    <row r="14911" spans="2:9" ht="25.5">
      <c r="B14911" s="3299" t="s">
        <v>682</v>
      </c>
      <c r="C14911" s="3063"/>
      <c r="D14911" s="3064"/>
      <c r="E14911" s="3064"/>
      <c r="F14911" s="3064"/>
      <c r="G14911" s="3300" t="s">
        <v>682</v>
      </c>
      <c r="H14911" s="3063"/>
      <c r="I14911" s="3030"/>
    </row>
    <row r="14912" spans="2:9" ht="25.5">
      <c r="B14912" s="3192" t="s">
        <v>675</v>
      </c>
      <c r="C14912" s="3063"/>
      <c r="D14912" s="3064"/>
      <c r="E14912" s="3064"/>
      <c r="F14912" s="3064"/>
      <c r="G14912" s="3301" t="s">
        <v>675</v>
      </c>
      <c r="H14912" s="3063"/>
      <c r="I14912" s="3030"/>
    </row>
    <row r="14913" spans="2:9" ht="25.5">
      <c r="B14913" s="3192" t="s">
        <v>676</v>
      </c>
      <c r="C14913" s="3063"/>
      <c r="D14913" s="3064"/>
      <c r="E14913" s="3064"/>
      <c r="F14913" s="3064"/>
      <c r="G14913" s="3301" t="s">
        <v>676</v>
      </c>
      <c r="H14913" s="3063"/>
      <c r="I14913" s="3030"/>
    </row>
    <row r="14914" spans="2:9">
      <c r="B14914" s="3192" t="s">
        <v>677</v>
      </c>
      <c r="C14914" s="3063"/>
      <c r="D14914" s="3064"/>
      <c r="E14914" s="3064"/>
      <c r="F14914" s="3064"/>
      <c r="G14914" s="3301" t="s">
        <v>677</v>
      </c>
      <c r="H14914" s="3063"/>
      <c r="I14914" s="3030"/>
    </row>
    <row r="14915" spans="2:9">
      <c r="B14915" s="3192" t="s">
        <v>678</v>
      </c>
      <c r="C14915" s="3063"/>
      <c r="D14915" s="3064"/>
      <c r="E14915" s="3064"/>
      <c r="F14915" s="3064"/>
      <c r="G14915" s="3301" t="s">
        <v>678</v>
      </c>
      <c r="H14915" s="3063"/>
      <c r="I14915" s="3030"/>
    </row>
    <row r="14916" spans="2:9">
      <c r="B14916" s="3192" t="s">
        <v>679</v>
      </c>
      <c r="C14916" s="3063"/>
      <c r="D14916" s="3064"/>
      <c r="E14916" s="3064"/>
      <c r="F14916" s="3064"/>
      <c r="G14916" s="3301" t="s">
        <v>679</v>
      </c>
      <c r="H14916" s="3063"/>
      <c r="I14916" s="3030"/>
    </row>
    <row r="14917" spans="2:9" ht="25.5">
      <c r="B14917" s="3192" t="s">
        <v>720</v>
      </c>
      <c r="C14917" s="3063"/>
      <c r="D14917" s="3064"/>
      <c r="E14917" s="3064"/>
      <c r="F14917" s="3064"/>
      <c r="G14917" s="3301" t="s">
        <v>720</v>
      </c>
      <c r="H14917" s="3063"/>
      <c r="I14917" s="3030"/>
    </row>
    <row r="14918" spans="2:9" ht="25.5">
      <c r="B14918" s="3299" t="s">
        <v>66</v>
      </c>
      <c r="C14918" s="3063"/>
      <c r="D14918" s="3064"/>
      <c r="E14918" s="3064"/>
      <c r="F14918" s="3064"/>
      <c r="G14918" s="3300" t="s">
        <v>66</v>
      </c>
      <c r="H14918" s="3063"/>
      <c r="I14918" s="3030"/>
    </row>
    <row r="14919" spans="2:9" ht="25.5">
      <c r="B14919" s="3192" t="s">
        <v>675</v>
      </c>
      <c r="C14919" s="3063"/>
      <c r="D14919" s="3064"/>
      <c r="E14919" s="3064"/>
      <c r="F14919" s="3064"/>
      <c r="G14919" s="3301" t="s">
        <v>675</v>
      </c>
      <c r="H14919" s="3063"/>
      <c r="I14919" s="3030"/>
    </row>
    <row r="14920" spans="2:9" ht="25.5">
      <c r="B14920" s="3192" t="s">
        <v>676</v>
      </c>
      <c r="C14920" s="3063"/>
      <c r="D14920" s="3064"/>
      <c r="E14920" s="3064"/>
      <c r="F14920" s="3064"/>
      <c r="G14920" s="3301" t="s">
        <v>676</v>
      </c>
      <c r="H14920" s="3063"/>
      <c r="I14920" s="3030"/>
    </row>
    <row r="14921" spans="2:9">
      <c r="B14921" s="3192" t="s">
        <v>677</v>
      </c>
      <c r="C14921" s="3063"/>
      <c r="D14921" s="3064"/>
      <c r="E14921" s="3064"/>
      <c r="F14921" s="3064"/>
      <c r="G14921" s="3301" t="s">
        <v>677</v>
      </c>
      <c r="H14921" s="3063"/>
      <c r="I14921" s="3030"/>
    </row>
    <row r="14922" spans="2:9">
      <c r="B14922" s="3192" t="s">
        <v>678</v>
      </c>
      <c r="C14922" s="3063"/>
      <c r="D14922" s="3064"/>
      <c r="E14922" s="3064"/>
      <c r="F14922" s="3064"/>
      <c r="G14922" s="3301" t="s">
        <v>678</v>
      </c>
      <c r="H14922" s="3063"/>
      <c r="I14922" s="3030"/>
    </row>
    <row r="14923" spans="2:9">
      <c r="B14923" s="3192" t="s">
        <v>679</v>
      </c>
      <c r="C14923" s="3063"/>
      <c r="D14923" s="3064"/>
      <c r="E14923" s="3064"/>
      <c r="F14923" s="3064"/>
      <c r="G14923" s="3301" t="s">
        <v>679</v>
      </c>
      <c r="H14923" s="3063"/>
      <c r="I14923" s="3030"/>
    </row>
    <row r="14924" spans="2:9" ht="25.5">
      <c r="B14924" s="3192" t="s">
        <v>720</v>
      </c>
      <c r="C14924" s="3063"/>
      <c r="D14924" s="3064"/>
      <c r="E14924" s="3064"/>
      <c r="F14924" s="3064"/>
      <c r="G14924" s="3301" t="s">
        <v>720</v>
      </c>
      <c r="H14924" s="3063"/>
      <c r="I14924" s="3030"/>
    </row>
    <row r="14925" spans="2:9">
      <c r="B14925" s="3299" t="s">
        <v>67</v>
      </c>
      <c r="C14925" s="3063"/>
      <c r="D14925" s="3064"/>
      <c r="E14925" s="3064"/>
      <c r="F14925" s="3064"/>
      <c r="G14925" s="3300" t="s">
        <v>67</v>
      </c>
      <c r="H14925" s="3063"/>
      <c r="I14925" s="3030"/>
    </row>
    <row r="14926" spans="2:9" ht="25.5">
      <c r="B14926" s="3192" t="s">
        <v>675</v>
      </c>
      <c r="C14926" s="3063"/>
      <c r="D14926" s="3064"/>
      <c r="E14926" s="3064"/>
      <c r="F14926" s="3064"/>
      <c r="G14926" s="3301" t="s">
        <v>675</v>
      </c>
      <c r="H14926" s="3063"/>
      <c r="I14926" s="3030"/>
    </row>
    <row r="14927" spans="2:9" ht="25.5">
      <c r="B14927" s="3192" t="s">
        <v>676</v>
      </c>
      <c r="C14927" s="3063"/>
      <c r="D14927" s="3064"/>
      <c r="E14927" s="3064"/>
      <c r="F14927" s="3064"/>
      <c r="G14927" s="3301" t="s">
        <v>676</v>
      </c>
      <c r="H14927" s="3063"/>
      <c r="I14927" s="3030"/>
    </row>
    <row r="14928" spans="2:9">
      <c r="B14928" s="3192" t="s">
        <v>677</v>
      </c>
      <c r="C14928" s="3063"/>
      <c r="D14928" s="3064"/>
      <c r="E14928" s="3064"/>
      <c r="F14928" s="3064"/>
      <c r="G14928" s="3301" t="s">
        <v>677</v>
      </c>
      <c r="H14928" s="3063"/>
      <c r="I14928" s="3030"/>
    </row>
    <row r="14929" spans="2:9">
      <c r="B14929" s="3192" t="s">
        <v>678</v>
      </c>
      <c r="C14929" s="3063"/>
      <c r="D14929" s="3064"/>
      <c r="E14929" s="3064"/>
      <c r="F14929" s="3064"/>
      <c r="G14929" s="3301" t="s">
        <v>678</v>
      </c>
      <c r="H14929" s="3063"/>
      <c r="I14929" s="3030"/>
    </row>
    <row r="14930" spans="2:9">
      <c r="B14930" s="3192" t="s">
        <v>679</v>
      </c>
      <c r="C14930" s="3063"/>
      <c r="D14930" s="3064"/>
      <c r="E14930" s="3064"/>
      <c r="F14930" s="3064"/>
      <c r="G14930" s="3301" t="s">
        <v>679</v>
      </c>
      <c r="H14930" s="3063"/>
      <c r="I14930" s="3030"/>
    </row>
    <row r="14931" spans="2:9" ht="25.5">
      <c r="B14931" s="3192" t="s">
        <v>720</v>
      </c>
      <c r="C14931" s="3063"/>
      <c r="D14931" s="3064"/>
      <c r="E14931" s="3064"/>
      <c r="F14931" s="3064"/>
      <c r="G14931" s="3301" t="s">
        <v>720</v>
      </c>
      <c r="H14931" s="3063"/>
      <c r="I14931" s="3030"/>
    </row>
    <row r="14932" spans="2:9" ht="25.5">
      <c r="B14932" s="3230" t="s">
        <v>81</v>
      </c>
      <c r="C14932" s="3063"/>
      <c r="D14932" s="3064"/>
      <c r="E14932" s="3064"/>
      <c r="F14932" s="3064"/>
      <c r="G14932" s="3302" t="s">
        <v>81</v>
      </c>
      <c r="H14932" s="3063"/>
      <c r="I14932" s="3030"/>
    </row>
    <row r="14933" spans="2:9" ht="26.25" thickBot="1">
      <c r="B14933" s="3303" t="s">
        <v>81</v>
      </c>
      <c r="C14933" s="3063"/>
      <c r="D14933" s="3064"/>
      <c r="E14933" s="3064"/>
      <c r="F14933" s="3064"/>
      <c r="G14933" s="3302" t="s">
        <v>81</v>
      </c>
      <c r="H14933" s="3063"/>
      <c r="I14933" s="3030"/>
    </row>
    <row r="14934" spans="2:9" ht="25.5">
      <c r="B14934" s="3217" t="s">
        <v>696</v>
      </c>
      <c r="C14934" s="3218"/>
      <c r="D14934" s="3219"/>
      <c r="E14934" s="3219"/>
      <c r="F14934" s="3219"/>
      <c r="G14934" s="3217" t="s">
        <v>696</v>
      </c>
      <c r="H14934" s="3297"/>
      <c r="I14934" s="3298"/>
    </row>
    <row r="14935" spans="2:9">
      <c r="B14935" s="3299" t="s">
        <v>64</v>
      </c>
      <c r="C14935" s="3063"/>
      <c r="D14935" s="3064"/>
      <c r="E14935" s="3064"/>
      <c r="F14935" s="3064"/>
      <c r="G14935" s="3300" t="s">
        <v>64</v>
      </c>
      <c r="H14935" s="3063"/>
      <c r="I14935" s="3030"/>
    </row>
    <row r="14936" spans="2:9" ht="25.5">
      <c r="B14936" s="3192" t="s">
        <v>675</v>
      </c>
      <c r="C14936" s="3063"/>
      <c r="D14936" s="3064"/>
      <c r="E14936" s="3064"/>
      <c r="F14936" s="3064"/>
      <c r="G14936" s="3301" t="s">
        <v>675</v>
      </c>
      <c r="H14936" s="3063"/>
      <c r="I14936" s="3030"/>
    </row>
    <row r="14937" spans="2:9" ht="25.5">
      <c r="B14937" s="3192" t="s">
        <v>676</v>
      </c>
      <c r="C14937" s="3063"/>
      <c r="D14937" s="3064"/>
      <c r="E14937" s="3064"/>
      <c r="F14937" s="3064"/>
      <c r="G14937" s="3301" t="s">
        <v>676</v>
      </c>
      <c r="H14937" s="3063"/>
      <c r="I14937" s="3030"/>
    </row>
    <row r="14938" spans="2:9">
      <c r="B14938" s="3192" t="s">
        <v>677</v>
      </c>
      <c r="C14938" s="3063"/>
      <c r="D14938" s="3064"/>
      <c r="E14938" s="3064"/>
      <c r="F14938" s="3064"/>
      <c r="G14938" s="3301" t="s">
        <v>677</v>
      </c>
      <c r="H14938" s="3063"/>
      <c r="I14938" s="3030"/>
    </row>
    <row r="14939" spans="2:9">
      <c r="B14939" s="3192" t="s">
        <v>678</v>
      </c>
      <c r="C14939" s="3063"/>
      <c r="D14939" s="3064"/>
      <c r="E14939" s="3064"/>
      <c r="F14939" s="3064"/>
      <c r="G14939" s="3301" t="s">
        <v>678</v>
      </c>
      <c r="H14939" s="3063"/>
      <c r="I14939" s="3030"/>
    </row>
    <row r="14940" spans="2:9">
      <c r="B14940" s="3192" t="s">
        <v>679</v>
      </c>
      <c r="C14940" s="3063"/>
      <c r="D14940" s="3064"/>
      <c r="E14940" s="3064"/>
      <c r="F14940" s="3064"/>
      <c r="G14940" s="3301" t="s">
        <v>679</v>
      </c>
      <c r="H14940" s="3063"/>
      <c r="I14940" s="3030"/>
    </row>
    <row r="14941" spans="2:9" ht="25.5">
      <c r="B14941" s="3192" t="s">
        <v>720</v>
      </c>
      <c r="C14941" s="3063"/>
      <c r="D14941" s="3064"/>
      <c r="E14941" s="3064"/>
      <c r="F14941" s="3064"/>
      <c r="G14941" s="3301" t="s">
        <v>720</v>
      </c>
      <c r="H14941" s="3063"/>
      <c r="I14941" s="3030"/>
    </row>
    <row r="14942" spans="2:9">
      <c r="B14942" s="3299" t="s">
        <v>65</v>
      </c>
      <c r="C14942" s="3063"/>
      <c r="D14942" s="3064"/>
      <c r="E14942" s="3064"/>
      <c r="F14942" s="3064"/>
      <c r="G14942" s="3300" t="s">
        <v>65</v>
      </c>
      <c r="H14942" s="3063"/>
      <c r="I14942" s="3030"/>
    </row>
    <row r="14943" spans="2:9" ht="25.5">
      <c r="B14943" s="3192" t="s">
        <v>675</v>
      </c>
      <c r="C14943" s="3063"/>
      <c r="D14943" s="3064"/>
      <c r="E14943" s="3064"/>
      <c r="F14943" s="3064"/>
      <c r="G14943" s="3301" t="s">
        <v>675</v>
      </c>
      <c r="H14943" s="3063"/>
      <c r="I14943" s="3030"/>
    </row>
    <row r="14944" spans="2:9" ht="25.5">
      <c r="B14944" s="3192" t="s">
        <v>676</v>
      </c>
      <c r="C14944" s="3063"/>
      <c r="D14944" s="3064"/>
      <c r="E14944" s="3064"/>
      <c r="F14944" s="3064"/>
      <c r="G14944" s="3301" t="s">
        <v>676</v>
      </c>
      <c r="H14944" s="3063"/>
      <c r="I14944" s="3030"/>
    </row>
    <row r="14945" spans="2:9">
      <c r="B14945" s="3192" t="s">
        <v>677</v>
      </c>
      <c r="C14945" s="3063"/>
      <c r="D14945" s="3064"/>
      <c r="E14945" s="3064"/>
      <c r="F14945" s="3064"/>
      <c r="G14945" s="3301" t="s">
        <v>677</v>
      </c>
      <c r="H14945" s="3063"/>
      <c r="I14945" s="3030"/>
    </row>
    <row r="14946" spans="2:9">
      <c r="B14946" s="3192" t="s">
        <v>678</v>
      </c>
      <c r="C14946" s="3063"/>
      <c r="D14946" s="3064"/>
      <c r="E14946" s="3064"/>
      <c r="F14946" s="3064"/>
      <c r="G14946" s="3301" t="s">
        <v>678</v>
      </c>
      <c r="H14946" s="3063"/>
      <c r="I14946" s="3030"/>
    </row>
    <row r="14947" spans="2:9">
      <c r="B14947" s="3192" t="s">
        <v>679</v>
      </c>
      <c r="C14947" s="3063"/>
      <c r="D14947" s="3064"/>
      <c r="E14947" s="3064"/>
      <c r="F14947" s="3064"/>
      <c r="G14947" s="3301" t="s">
        <v>679</v>
      </c>
      <c r="H14947" s="3063"/>
      <c r="I14947" s="3030"/>
    </row>
    <row r="14948" spans="2:9" ht="25.5">
      <c r="B14948" s="3192" t="s">
        <v>720</v>
      </c>
      <c r="C14948" s="3063"/>
      <c r="D14948" s="3064"/>
      <c r="E14948" s="3064"/>
      <c r="F14948" s="3064"/>
      <c r="G14948" s="3301" t="s">
        <v>720</v>
      </c>
      <c r="H14948" s="3063"/>
      <c r="I14948" s="3030"/>
    </row>
    <row r="14949" spans="2:9">
      <c r="B14949" s="3299" t="s">
        <v>82</v>
      </c>
      <c r="C14949" s="3063"/>
      <c r="D14949" s="3064"/>
      <c r="E14949" s="3064"/>
      <c r="F14949" s="3064"/>
      <c r="G14949" s="3300" t="s">
        <v>82</v>
      </c>
      <c r="H14949" s="3063"/>
      <c r="I14949" s="3030"/>
    </row>
    <row r="14950" spans="2:9" ht="25.5">
      <c r="B14950" s="3192" t="s">
        <v>675</v>
      </c>
      <c r="C14950" s="3063"/>
      <c r="D14950" s="3064"/>
      <c r="E14950" s="3064"/>
      <c r="F14950" s="3064"/>
      <c r="G14950" s="3301" t="s">
        <v>675</v>
      </c>
      <c r="H14950" s="3063"/>
      <c r="I14950" s="3030"/>
    </row>
    <row r="14951" spans="2:9" ht="25.5">
      <c r="B14951" s="3192" t="s">
        <v>676</v>
      </c>
      <c r="C14951" s="3063"/>
      <c r="D14951" s="3064"/>
      <c r="E14951" s="3064"/>
      <c r="F14951" s="3064"/>
      <c r="G14951" s="3301" t="s">
        <v>676</v>
      </c>
      <c r="H14951" s="3063"/>
      <c r="I14951" s="3030"/>
    </row>
    <row r="14952" spans="2:9">
      <c r="B14952" s="3192" t="s">
        <v>677</v>
      </c>
      <c r="C14952" s="3063"/>
      <c r="D14952" s="3064"/>
      <c r="E14952" s="3064"/>
      <c r="F14952" s="3064"/>
      <c r="G14952" s="3301" t="s">
        <v>677</v>
      </c>
      <c r="H14952" s="3063"/>
      <c r="I14952" s="3030"/>
    </row>
    <row r="14953" spans="2:9">
      <c r="B14953" s="3192" t="s">
        <v>678</v>
      </c>
      <c r="C14953" s="3063"/>
      <c r="D14953" s="3064"/>
      <c r="E14953" s="3064"/>
      <c r="F14953" s="3064"/>
      <c r="G14953" s="3301" t="s">
        <v>678</v>
      </c>
      <c r="H14953" s="3063"/>
      <c r="I14953" s="3030"/>
    </row>
    <row r="14954" spans="2:9">
      <c r="B14954" s="3192" t="s">
        <v>679</v>
      </c>
      <c r="C14954" s="3063"/>
      <c r="D14954" s="3064"/>
      <c r="E14954" s="3064"/>
      <c r="F14954" s="3064"/>
      <c r="G14954" s="3301" t="s">
        <v>679</v>
      </c>
      <c r="H14954" s="3063"/>
      <c r="I14954" s="3030"/>
    </row>
    <row r="14955" spans="2:9" ht="25.5">
      <c r="B14955" s="3192" t="s">
        <v>720</v>
      </c>
      <c r="C14955" s="3063"/>
      <c r="D14955" s="3064"/>
      <c r="E14955" s="3064"/>
      <c r="F14955" s="3064"/>
      <c r="G14955" s="3301" t="s">
        <v>720</v>
      </c>
      <c r="H14955" s="3063"/>
      <c r="I14955" s="3030"/>
    </row>
    <row r="14956" spans="2:9" ht="38.25">
      <c r="B14956" s="3299" t="s">
        <v>680</v>
      </c>
      <c r="C14956" s="3063"/>
      <c r="D14956" s="3064"/>
      <c r="E14956" s="3064"/>
      <c r="F14956" s="3064"/>
      <c r="G14956" s="3300" t="s">
        <v>680</v>
      </c>
      <c r="H14956" s="3063"/>
      <c r="I14956" s="3030"/>
    </row>
    <row r="14957" spans="2:9" ht="25.5">
      <c r="B14957" s="3192" t="s">
        <v>675</v>
      </c>
      <c r="C14957" s="3063"/>
      <c r="D14957" s="3064"/>
      <c r="E14957" s="3064"/>
      <c r="F14957" s="3064"/>
      <c r="G14957" s="3301" t="s">
        <v>675</v>
      </c>
      <c r="H14957" s="3063"/>
      <c r="I14957" s="3030"/>
    </row>
    <row r="14958" spans="2:9" ht="25.5">
      <c r="B14958" s="3192" t="s">
        <v>676</v>
      </c>
      <c r="C14958" s="3063"/>
      <c r="D14958" s="3064"/>
      <c r="E14958" s="3064"/>
      <c r="F14958" s="3064"/>
      <c r="G14958" s="3301" t="s">
        <v>676</v>
      </c>
      <c r="H14958" s="3063"/>
      <c r="I14958" s="3030"/>
    </row>
    <row r="14959" spans="2:9">
      <c r="B14959" s="3192" t="s">
        <v>677</v>
      </c>
      <c r="C14959" s="3063"/>
      <c r="D14959" s="3064"/>
      <c r="E14959" s="3064"/>
      <c r="F14959" s="3064"/>
      <c r="G14959" s="3301" t="s">
        <v>677</v>
      </c>
      <c r="H14959" s="3063"/>
      <c r="I14959" s="3030"/>
    </row>
    <row r="14960" spans="2:9">
      <c r="B14960" s="3192" t="s">
        <v>678</v>
      </c>
      <c r="C14960" s="3063"/>
      <c r="D14960" s="3064"/>
      <c r="E14960" s="3064"/>
      <c r="F14960" s="3064"/>
      <c r="G14960" s="3301" t="s">
        <v>678</v>
      </c>
      <c r="H14960" s="3063"/>
      <c r="I14960" s="3030"/>
    </row>
    <row r="14961" spans="2:9">
      <c r="B14961" s="3192" t="s">
        <v>679</v>
      </c>
      <c r="C14961" s="3063"/>
      <c r="D14961" s="3064"/>
      <c r="E14961" s="3064"/>
      <c r="F14961" s="3064"/>
      <c r="G14961" s="3301" t="s">
        <v>679</v>
      </c>
      <c r="H14961" s="3063"/>
      <c r="I14961" s="3030"/>
    </row>
    <row r="14962" spans="2:9" ht="25.5">
      <c r="B14962" s="3192" t="s">
        <v>720</v>
      </c>
      <c r="C14962" s="3063"/>
      <c r="D14962" s="3064"/>
      <c r="E14962" s="3064"/>
      <c r="F14962" s="3064"/>
      <c r="G14962" s="3301" t="s">
        <v>720</v>
      </c>
      <c r="H14962" s="3063"/>
      <c r="I14962" s="3030"/>
    </row>
    <row r="14963" spans="2:9" ht="38.25">
      <c r="B14963" s="3299" t="s">
        <v>681</v>
      </c>
      <c r="C14963" s="3063"/>
      <c r="D14963" s="3064"/>
      <c r="E14963" s="3064"/>
      <c r="F14963" s="3064"/>
      <c r="G14963" s="3300" t="s">
        <v>681</v>
      </c>
      <c r="H14963" s="3063"/>
      <c r="I14963" s="3030"/>
    </row>
    <row r="14964" spans="2:9" ht="25.5">
      <c r="B14964" s="3192" t="s">
        <v>675</v>
      </c>
      <c r="C14964" s="3063"/>
      <c r="D14964" s="3064"/>
      <c r="E14964" s="3064"/>
      <c r="F14964" s="3064"/>
      <c r="G14964" s="3301" t="s">
        <v>675</v>
      </c>
      <c r="H14964" s="3063"/>
      <c r="I14964" s="3030"/>
    </row>
    <row r="14965" spans="2:9" ht="25.5">
      <c r="B14965" s="3192" t="s">
        <v>676</v>
      </c>
      <c r="C14965" s="3063"/>
      <c r="D14965" s="3064"/>
      <c r="E14965" s="3064"/>
      <c r="F14965" s="3064"/>
      <c r="G14965" s="3301" t="s">
        <v>676</v>
      </c>
      <c r="H14965" s="3063"/>
      <c r="I14965" s="3030"/>
    </row>
    <row r="14966" spans="2:9">
      <c r="B14966" s="3192" t="s">
        <v>677</v>
      </c>
      <c r="C14966" s="3063"/>
      <c r="D14966" s="3064"/>
      <c r="E14966" s="3064"/>
      <c r="F14966" s="3064"/>
      <c r="G14966" s="3301" t="s">
        <v>677</v>
      </c>
      <c r="H14966" s="3063"/>
      <c r="I14966" s="3030"/>
    </row>
    <row r="14967" spans="2:9">
      <c r="B14967" s="3192" t="s">
        <v>678</v>
      </c>
      <c r="C14967" s="3063"/>
      <c r="D14967" s="3064"/>
      <c r="E14967" s="3064"/>
      <c r="F14967" s="3064"/>
      <c r="G14967" s="3301" t="s">
        <v>678</v>
      </c>
      <c r="H14967" s="3063"/>
      <c r="I14967" s="3030"/>
    </row>
    <row r="14968" spans="2:9">
      <c r="B14968" s="3192" t="s">
        <v>679</v>
      </c>
      <c r="C14968" s="3063"/>
      <c r="D14968" s="3064"/>
      <c r="E14968" s="3064"/>
      <c r="F14968" s="3064"/>
      <c r="G14968" s="3301" t="s">
        <v>679</v>
      </c>
      <c r="H14968" s="3063"/>
      <c r="I14968" s="3030"/>
    </row>
    <row r="14969" spans="2:9" ht="25.5">
      <c r="B14969" s="3192" t="s">
        <v>720</v>
      </c>
      <c r="C14969" s="3063"/>
      <c r="D14969" s="3064"/>
      <c r="E14969" s="3064"/>
      <c r="F14969" s="3064"/>
      <c r="G14969" s="3301" t="s">
        <v>720</v>
      </c>
      <c r="H14969" s="3063"/>
      <c r="I14969" s="3030"/>
    </row>
    <row r="14970" spans="2:9" ht="25.5">
      <c r="B14970" s="3299" t="s">
        <v>682</v>
      </c>
      <c r="C14970" s="3063"/>
      <c r="D14970" s="3064"/>
      <c r="E14970" s="3064"/>
      <c r="F14970" s="3064"/>
      <c r="G14970" s="3300" t="s">
        <v>682</v>
      </c>
      <c r="H14970" s="3063"/>
      <c r="I14970" s="3030"/>
    </row>
    <row r="14971" spans="2:9" ht="25.5">
      <c r="B14971" s="3192" t="s">
        <v>675</v>
      </c>
      <c r="C14971" s="3063"/>
      <c r="D14971" s="3064"/>
      <c r="E14971" s="3064"/>
      <c r="F14971" s="3064"/>
      <c r="G14971" s="3301" t="s">
        <v>675</v>
      </c>
      <c r="H14971" s="3063"/>
      <c r="I14971" s="3030"/>
    </row>
    <row r="14972" spans="2:9" ht="25.5">
      <c r="B14972" s="3192" t="s">
        <v>676</v>
      </c>
      <c r="C14972" s="3063"/>
      <c r="D14972" s="3064"/>
      <c r="E14972" s="3064"/>
      <c r="F14972" s="3064"/>
      <c r="G14972" s="3301" t="s">
        <v>676</v>
      </c>
      <c r="H14972" s="3063"/>
      <c r="I14972" s="3030"/>
    </row>
    <row r="14973" spans="2:9">
      <c r="B14973" s="3192" t="s">
        <v>677</v>
      </c>
      <c r="C14973" s="3063"/>
      <c r="D14973" s="3064"/>
      <c r="E14973" s="3064"/>
      <c r="F14973" s="3064"/>
      <c r="G14973" s="3301" t="s">
        <v>677</v>
      </c>
      <c r="H14973" s="3063"/>
      <c r="I14973" s="3030"/>
    </row>
    <row r="14974" spans="2:9">
      <c r="B14974" s="3192" t="s">
        <v>678</v>
      </c>
      <c r="C14974" s="3063"/>
      <c r="D14974" s="3064"/>
      <c r="E14974" s="3064"/>
      <c r="F14974" s="3064"/>
      <c r="G14974" s="3301" t="s">
        <v>678</v>
      </c>
      <c r="H14974" s="3063"/>
      <c r="I14974" s="3030"/>
    </row>
    <row r="14975" spans="2:9">
      <c r="B14975" s="3192" t="s">
        <v>679</v>
      </c>
      <c r="C14975" s="3063"/>
      <c r="D14975" s="3064"/>
      <c r="E14975" s="3064"/>
      <c r="F14975" s="3064"/>
      <c r="G14975" s="3301" t="s">
        <v>679</v>
      </c>
      <c r="H14975" s="3063"/>
      <c r="I14975" s="3030"/>
    </row>
    <row r="14976" spans="2:9" ht="25.5">
      <c r="B14976" s="3192" t="s">
        <v>720</v>
      </c>
      <c r="C14976" s="3063"/>
      <c r="D14976" s="3064"/>
      <c r="E14976" s="3064"/>
      <c r="F14976" s="3064"/>
      <c r="G14976" s="3301" t="s">
        <v>720</v>
      </c>
      <c r="H14976" s="3063"/>
      <c r="I14976" s="3030"/>
    </row>
    <row r="14977" spans="2:9" ht="25.5">
      <c r="B14977" s="3299" t="s">
        <v>66</v>
      </c>
      <c r="C14977" s="3063"/>
      <c r="D14977" s="3064"/>
      <c r="E14977" s="3064"/>
      <c r="F14977" s="3064"/>
      <c r="G14977" s="3300" t="s">
        <v>66</v>
      </c>
      <c r="H14977" s="3063"/>
      <c r="I14977" s="3030"/>
    </row>
    <row r="14978" spans="2:9" ht="25.5">
      <c r="B14978" s="3192" t="s">
        <v>675</v>
      </c>
      <c r="C14978" s="3063"/>
      <c r="D14978" s="3064"/>
      <c r="E14978" s="3064"/>
      <c r="F14978" s="3064"/>
      <c r="G14978" s="3301" t="s">
        <v>675</v>
      </c>
      <c r="H14978" s="3063"/>
      <c r="I14978" s="3030"/>
    </row>
    <row r="14979" spans="2:9" ht="25.5">
      <c r="B14979" s="3192" t="s">
        <v>676</v>
      </c>
      <c r="C14979" s="3063"/>
      <c r="D14979" s="3064"/>
      <c r="E14979" s="3064"/>
      <c r="F14979" s="3064"/>
      <c r="G14979" s="3301" t="s">
        <v>676</v>
      </c>
      <c r="H14979" s="3063"/>
      <c r="I14979" s="3030"/>
    </row>
    <row r="14980" spans="2:9">
      <c r="B14980" s="3192" t="s">
        <v>677</v>
      </c>
      <c r="C14980" s="3063"/>
      <c r="D14980" s="3064"/>
      <c r="E14980" s="3064"/>
      <c r="F14980" s="3064"/>
      <c r="G14980" s="3301" t="s">
        <v>677</v>
      </c>
      <c r="H14980" s="3063"/>
      <c r="I14980" s="3030"/>
    </row>
    <row r="14981" spans="2:9">
      <c r="B14981" s="3192" t="s">
        <v>678</v>
      </c>
      <c r="C14981" s="3063"/>
      <c r="D14981" s="3064"/>
      <c r="E14981" s="3064"/>
      <c r="F14981" s="3064"/>
      <c r="G14981" s="3301" t="s">
        <v>678</v>
      </c>
      <c r="H14981" s="3063"/>
      <c r="I14981" s="3030"/>
    </row>
    <row r="14982" spans="2:9">
      <c r="B14982" s="3192" t="s">
        <v>679</v>
      </c>
      <c r="C14982" s="3063"/>
      <c r="D14982" s="3064"/>
      <c r="E14982" s="3064"/>
      <c r="F14982" s="3064"/>
      <c r="G14982" s="3301" t="s">
        <v>679</v>
      </c>
      <c r="H14982" s="3063"/>
      <c r="I14982" s="3030"/>
    </row>
    <row r="14983" spans="2:9" ht="25.5">
      <c r="B14983" s="3192" t="s">
        <v>720</v>
      </c>
      <c r="C14983" s="3063"/>
      <c r="D14983" s="3064"/>
      <c r="E14983" s="3064"/>
      <c r="F14983" s="3064"/>
      <c r="G14983" s="3301" t="s">
        <v>720</v>
      </c>
      <c r="H14983" s="3063"/>
      <c r="I14983" s="3030"/>
    </row>
    <row r="14984" spans="2:9">
      <c r="B14984" s="3299" t="s">
        <v>67</v>
      </c>
      <c r="C14984" s="3063"/>
      <c r="D14984" s="3064"/>
      <c r="E14984" s="3064"/>
      <c r="F14984" s="3064"/>
      <c r="G14984" s="3300" t="s">
        <v>67</v>
      </c>
      <c r="H14984" s="3063"/>
      <c r="I14984" s="3030"/>
    </row>
    <row r="14985" spans="2:9" ht="25.5">
      <c r="B14985" s="3192" t="s">
        <v>675</v>
      </c>
      <c r="C14985" s="3063"/>
      <c r="D14985" s="3064"/>
      <c r="E14985" s="3064"/>
      <c r="F14985" s="3064"/>
      <c r="G14985" s="3301" t="s">
        <v>675</v>
      </c>
      <c r="H14985" s="3063"/>
      <c r="I14985" s="3030"/>
    </row>
    <row r="14986" spans="2:9" ht="25.5">
      <c r="B14986" s="3192" t="s">
        <v>676</v>
      </c>
      <c r="C14986" s="3063"/>
      <c r="D14986" s="3064"/>
      <c r="E14986" s="3064"/>
      <c r="F14986" s="3064"/>
      <c r="G14986" s="3301" t="s">
        <v>676</v>
      </c>
      <c r="H14986" s="3063"/>
      <c r="I14986" s="3030"/>
    </row>
    <row r="14987" spans="2:9">
      <c r="B14987" s="3192" t="s">
        <v>677</v>
      </c>
      <c r="C14987" s="3063"/>
      <c r="D14987" s="3064"/>
      <c r="E14987" s="3064"/>
      <c r="F14987" s="3064"/>
      <c r="G14987" s="3301" t="s">
        <v>677</v>
      </c>
      <c r="H14987" s="3063"/>
      <c r="I14987" s="3030"/>
    </row>
    <row r="14988" spans="2:9">
      <c r="B14988" s="3192" t="s">
        <v>678</v>
      </c>
      <c r="C14988" s="3063"/>
      <c r="D14988" s="3064"/>
      <c r="E14988" s="3064"/>
      <c r="F14988" s="3064"/>
      <c r="G14988" s="3301" t="s">
        <v>678</v>
      </c>
      <c r="H14988" s="3063"/>
      <c r="I14988" s="3030"/>
    </row>
    <row r="14989" spans="2:9">
      <c r="B14989" s="3192" t="s">
        <v>679</v>
      </c>
      <c r="C14989" s="3063"/>
      <c r="D14989" s="3064"/>
      <c r="E14989" s="3064"/>
      <c r="F14989" s="3064"/>
      <c r="G14989" s="3301" t="s">
        <v>679</v>
      </c>
      <c r="H14989" s="3063"/>
      <c r="I14989" s="3030"/>
    </row>
    <row r="14990" spans="2:9" ht="25.5">
      <c r="B14990" s="3230" t="s">
        <v>81</v>
      </c>
      <c r="C14990" s="3063"/>
      <c r="D14990" s="3064"/>
      <c r="E14990" s="3064"/>
      <c r="F14990" s="3064"/>
      <c r="G14990" s="3302" t="s">
        <v>81</v>
      </c>
      <c r="H14990" s="3063"/>
      <c r="I14990" s="3030"/>
    </row>
    <row r="14991" spans="2:9" ht="26.25" thickBot="1">
      <c r="B14991" s="3303" t="s">
        <v>81</v>
      </c>
      <c r="C14991" s="3063"/>
      <c r="D14991" s="3064"/>
      <c r="E14991" s="3064"/>
      <c r="F14991" s="3064"/>
      <c r="G14991" s="3302" t="s">
        <v>81</v>
      </c>
      <c r="H14991" s="3063"/>
      <c r="I14991" s="3030"/>
    </row>
    <row r="14992" spans="2:9">
      <c r="B14992" s="3217" t="s">
        <v>697</v>
      </c>
      <c r="C14992" s="3218"/>
      <c r="D14992" s="3219"/>
      <c r="E14992" s="3219"/>
      <c r="F14992" s="3219"/>
      <c r="G14992" s="3217" t="s">
        <v>697</v>
      </c>
      <c r="H14992" s="3297"/>
      <c r="I14992" s="3298"/>
    </row>
    <row r="14993" spans="2:9">
      <c r="B14993" s="3299" t="s">
        <v>64</v>
      </c>
      <c r="C14993" s="3063"/>
      <c r="D14993" s="3064"/>
      <c r="E14993" s="3064"/>
      <c r="F14993" s="3064"/>
      <c r="G14993" s="3300" t="s">
        <v>64</v>
      </c>
      <c r="H14993" s="3063"/>
      <c r="I14993" s="3030"/>
    </row>
    <row r="14994" spans="2:9" ht="25.5">
      <c r="B14994" s="3192" t="s">
        <v>675</v>
      </c>
      <c r="C14994" s="3063"/>
      <c r="D14994" s="3064"/>
      <c r="E14994" s="3064"/>
      <c r="F14994" s="3064"/>
      <c r="G14994" s="3301" t="s">
        <v>675</v>
      </c>
      <c r="H14994" s="3063"/>
      <c r="I14994" s="3030"/>
    </row>
    <row r="14995" spans="2:9" ht="25.5">
      <c r="B14995" s="3192" t="s">
        <v>676</v>
      </c>
      <c r="C14995" s="3063"/>
      <c r="D14995" s="3064"/>
      <c r="E14995" s="3064"/>
      <c r="F14995" s="3064"/>
      <c r="G14995" s="3301" t="s">
        <v>676</v>
      </c>
      <c r="H14995" s="3063"/>
      <c r="I14995" s="3030"/>
    </row>
    <row r="14996" spans="2:9">
      <c r="B14996" s="3192" t="s">
        <v>677</v>
      </c>
      <c r="C14996" s="3063"/>
      <c r="D14996" s="3064"/>
      <c r="E14996" s="3064"/>
      <c r="F14996" s="3064"/>
      <c r="G14996" s="3301" t="s">
        <v>677</v>
      </c>
      <c r="H14996" s="3063"/>
      <c r="I14996" s="3030"/>
    </row>
    <row r="14997" spans="2:9">
      <c r="B14997" s="3192" t="s">
        <v>678</v>
      </c>
      <c r="C14997" s="3063"/>
      <c r="D14997" s="3064"/>
      <c r="E14997" s="3064"/>
      <c r="F14997" s="3064"/>
      <c r="G14997" s="3301" t="s">
        <v>678</v>
      </c>
      <c r="H14997" s="3063"/>
      <c r="I14997" s="3030"/>
    </row>
    <row r="14998" spans="2:9">
      <c r="B14998" s="3192" t="s">
        <v>679</v>
      </c>
      <c r="C14998" s="3063"/>
      <c r="D14998" s="3064"/>
      <c r="E14998" s="3064"/>
      <c r="F14998" s="3064"/>
      <c r="G14998" s="3301" t="s">
        <v>679</v>
      </c>
      <c r="H14998" s="3063"/>
      <c r="I14998" s="3030"/>
    </row>
    <row r="14999" spans="2:9" ht="25.5">
      <c r="B14999" s="3192" t="s">
        <v>720</v>
      </c>
      <c r="C14999" s="3063"/>
      <c r="D14999" s="3064"/>
      <c r="E14999" s="3064"/>
      <c r="F14999" s="3064"/>
      <c r="G14999" s="3301" t="s">
        <v>720</v>
      </c>
      <c r="H14999" s="3063"/>
      <c r="I14999" s="3030"/>
    </row>
    <row r="15000" spans="2:9">
      <c r="B15000" s="3299" t="s">
        <v>65</v>
      </c>
      <c r="C15000" s="3063"/>
      <c r="D15000" s="3064"/>
      <c r="E15000" s="3064"/>
      <c r="F15000" s="3064"/>
      <c r="G15000" s="3300" t="s">
        <v>65</v>
      </c>
      <c r="H15000" s="3063"/>
      <c r="I15000" s="3030"/>
    </row>
    <row r="15001" spans="2:9" ht="25.5">
      <c r="B15001" s="3192" t="s">
        <v>675</v>
      </c>
      <c r="C15001" s="3063"/>
      <c r="D15001" s="3064"/>
      <c r="E15001" s="3064"/>
      <c r="F15001" s="3064"/>
      <c r="G15001" s="3301" t="s">
        <v>675</v>
      </c>
      <c r="H15001" s="3063"/>
      <c r="I15001" s="3030"/>
    </row>
    <row r="15002" spans="2:9" ht="25.5">
      <c r="B15002" s="3192" t="s">
        <v>676</v>
      </c>
      <c r="C15002" s="3063"/>
      <c r="D15002" s="3064"/>
      <c r="E15002" s="3064"/>
      <c r="F15002" s="3064"/>
      <c r="G15002" s="3301" t="s">
        <v>676</v>
      </c>
      <c r="H15002" s="3063"/>
      <c r="I15002" s="3030"/>
    </row>
    <row r="15003" spans="2:9">
      <c r="B15003" s="3192" t="s">
        <v>677</v>
      </c>
      <c r="C15003" s="3063"/>
      <c r="D15003" s="3064"/>
      <c r="E15003" s="3064"/>
      <c r="F15003" s="3064"/>
      <c r="G15003" s="3301" t="s">
        <v>677</v>
      </c>
      <c r="H15003" s="3063"/>
      <c r="I15003" s="3030"/>
    </row>
    <row r="15004" spans="2:9">
      <c r="B15004" s="3192" t="s">
        <v>678</v>
      </c>
      <c r="C15004" s="3063"/>
      <c r="D15004" s="3064"/>
      <c r="E15004" s="3064"/>
      <c r="F15004" s="3064"/>
      <c r="G15004" s="3301" t="s">
        <v>678</v>
      </c>
      <c r="H15004" s="3063"/>
      <c r="I15004" s="3030"/>
    </row>
    <row r="15005" spans="2:9">
      <c r="B15005" s="3192" t="s">
        <v>679</v>
      </c>
      <c r="C15005" s="3063"/>
      <c r="D15005" s="3064"/>
      <c r="E15005" s="3064"/>
      <c r="F15005" s="3064"/>
      <c r="G15005" s="3301" t="s">
        <v>679</v>
      </c>
      <c r="H15005" s="3063"/>
      <c r="I15005" s="3030"/>
    </row>
    <row r="15006" spans="2:9" ht="25.5">
      <c r="B15006" s="3192" t="s">
        <v>720</v>
      </c>
      <c r="C15006" s="3063"/>
      <c r="D15006" s="3064"/>
      <c r="E15006" s="3064"/>
      <c r="F15006" s="3064"/>
      <c r="G15006" s="3301" t="s">
        <v>720</v>
      </c>
      <c r="H15006" s="3063"/>
      <c r="I15006" s="3030"/>
    </row>
    <row r="15007" spans="2:9">
      <c r="B15007" s="3299" t="s">
        <v>82</v>
      </c>
      <c r="C15007" s="3063"/>
      <c r="D15007" s="3064"/>
      <c r="E15007" s="3064"/>
      <c r="F15007" s="3064"/>
      <c r="G15007" s="3300" t="s">
        <v>82</v>
      </c>
      <c r="H15007" s="3063"/>
      <c r="I15007" s="3030"/>
    </row>
    <row r="15008" spans="2:9" ht="25.5">
      <c r="B15008" s="3192" t="s">
        <v>675</v>
      </c>
      <c r="C15008" s="3063"/>
      <c r="D15008" s="3064"/>
      <c r="E15008" s="3064"/>
      <c r="F15008" s="3064"/>
      <c r="G15008" s="3301" t="s">
        <v>675</v>
      </c>
      <c r="H15008" s="3063"/>
      <c r="I15008" s="3030"/>
    </row>
    <row r="15009" spans="2:9" ht="25.5">
      <c r="B15009" s="3192" t="s">
        <v>676</v>
      </c>
      <c r="C15009" s="3063"/>
      <c r="D15009" s="3064"/>
      <c r="E15009" s="3064"/>
      <c r="F15009" s="3064"/>
      <c r="G15009" s="3301" t="s">
        <v>676</v>
      </c>
      <c r="H15009" s="3063"/>
      <c r="I15009" s="3030"/>
    </row>
    <row r="15010" spans="2:9">
      <c r="B15010" s="3192" t="s">
        <v>677</v>
      </c>
      <c r="C15010" s="3063"/>
      <c r="D15010" s="3064"/>
      <c r="E15010" s="3064"/>
      <c r="F15010" s="3064"/>
      <c r="G15010" s="3301" t="s">
        <v>677</v>
      </c>
      <c r="H15010" s="3063"/>
      <c r="I15010" s="3030"/>
    </row>
    <row r="15011" spans="2:9">
      <c r="B15011" s="3192" t="s">
        <v>678</v>
      </c>
      <c r="C15011" s="3063"/>
      <c r="D15011" s="3064"/>
      <c r="E15011" s="3064"/>
      <c r="F15011" s="3064"/>
      <c r="G15011" s="3301" t="s">
        <v>678</v>
      </c>
      <c r="H15011" s="3063"/>
      <c r="I15011" s="3030"/>
    </row>
    <row r="15012" spans="2:9">
      <c r="B15012" s="3192" t="s">
        <v>679</v>
      </c>
      <c r="C15012" s="3063"/>
      <c r="D15012" s="3064"/>
      <c r="E15012" s="3064"/>
      <c r="F15012" s="3064"/>
      <c r="G15012" s="3301" t="s">
        <v>679</v>
      </c>
      <c r="H15012" s="3063"/>
      <c r="I15012" s="3030"/>
    </row>
    <row r="15013" spans="2:9" ht="25.5">
      <c r="B15013" s="3192" t="s">
        <v>720</v>
      </c>
      <c r="C15013" s="3063"/>
      <c r="D15013" s="3064"/>
      <c r="E15013" s="3064"/>
      <c r="F15013" s="3064"/>
      <c r="G15013" s="3301" t="s">
        <v>720</v>
      </c>
      <c r="H15013" s="3063"/>
      <c r="I15013" s="3030"/>
    </row>
    <row r="15014" spans="2:9" ht="38.25">
      <c r="B15014" s="3299" t="s">
        <v>680</v>
      </c>
      <c r="C15014" s="3063"/>
      <c r="D15014" s="3064"/>
      <c r="E15014" s="3064"/>
      <c r="F15014" s="3064"/>
      <c r="G15014" s="3300" t="s">
        <v>680</v>
      </c>
      <c r="H15014" s="3063"/>
      <c r="I15014" s="3030"/>
    </row>
    <row r="15015" spans="2:9" ht="25.5">
      <c r="B15015" s="3192" t="s">
        <v>675</v>
      </c>
      <c r="C15015" s="3063"/>
      <c r="D15015" s="3064"/>
      <c r="E15015" s="3064"/>
      <c r="F15015" s="3064"/>
      <c r="G15015" s="3301" t="s">
        <v>675</v>
      </c>
      <c r="H15015" s="3063"/>
      <c r="I15015" s="3030"/>
    </row>
    <row r="15016" spans="2:9" ht="25.5">
      <c r="B15016" s="3192" t="s">
        <v>676</v>
      </c>
      <c r="C15016" s="3063"/>
      <c r="D15016" s="3064"/>
      <c r="E15016" s="3064"/>
      <c r="F15016" s="3064"/>
      <c r="G15016" s="3301" t="s">
        <v>676</v>
      </c>
      <c r="H15016" s="3063"/>
      <c r="I15016" s="3030"/>
    </row>
    <row r="15017" spans="2:9">
      <c r="B15017" s="3192" t="s">
        <v>677</v>
      </c>
      <c r="C15017" s="3063"/>
      <c r="D15017" s="3064"/>
      <c r="E15017" s="3064"/>
      <c r="F15017" s="3064"/>
      <c r="G15017" s="3301" t="s">
        <v>677</v>
      </c>
      <c r="H15017" s="3063"/>
      <c r="I15017" s="3030"/>
    </row>
    <row r="15018" spans="2:9">
      <c r="B15018" s="3192" t="s">
        <v>678</v>
      </c>
      <c r="C15018" s="3063"/>
      <c r="D15018" s="3064"/>
      <c r="E15018" s="3064"/>
      <c r="F15018" s="3064"/>
      <c r="G15018" s="3301" t="s">
        <v>678</v>
      </c>
      <c r="H15018" s="3063"/>
      <c r="I15018" s="3030"/>
    </row>
    <row r="15019" spans="2:9">
      <c r="B15019" s="3192" t="s">
        <v>679</v>
      </c>
      <c r="C15019" s="3063"/>
      <c r="D15019" s="3064"/>
      <c r="E15019" s="3064"/>
      <c r="F15019" s="3064"/>
      <c r="G15019" s="3301" t="s">
        <v>679</v>
      </c>
      <c r="H15019" s="3063"/>
      <c r="I15019" s="3030"/>
    </row>
    <row r="15020" spans="2:9" ht="25.5">
      <c r="B15020" s="3192" t="s">
        <v>720</v>
      </c>
      <c r="C15020" s="3063"/>
      <c r="D15020" s="3064"/>
      <c r="E15020" s="3064"/>
      <c r="F15020" s="3064"/>
      <c r="G15020" s="3301" t="s">
        <v>720</v>
      </c>
      <c r="H15020" s="3063"/>
      <c r="I15020" s="3030"/>
    </row>
    <row r="15021" spans="2:9" ht="38.25">
      <c r="B15021" s="3299" t="s">
        <v>681</v>
      </c>
      <c r="C15021" s="3063"/>
      <c r="D15021" s="3064"/>
      <c r="E15021" s="3064"/>
      <c r="F15021" s="3064">
        <v>1</v>
      </c>
      <c r="G15021" s="3300" t="s">
        <v>681</v>
      </c>
      <c r="H15021" s="3030">
        <v>2.8759890766100214E-2</v>
      </c>
      <c r="I15021" s="3030"/>
    </row>
    <row r="15022" spans="2:9" ht="25.5">
      <c r="B15022" s="3192" t="s">
        <v>675</v>
      </c>
      <c r="C15022" s="3063"/>
      <c r="D15022" s="3064"/>
      <c r="E15022" s="3064"/>
      <c r="F15022" s="3064"/>
      <c r="G15022" s="3301" t="s">
        <v>675</v>
      </c>
      <c r="H15022" s="3063"/>
      <c r="I15022" s="3030"/>
    </row>
    <row r="15023" spans="2:9" ht="25.5">
      <c r="B15023" s="3192" t="s">
        <v>676</v>
      </c>
      <c r="C15023" s="3063"/>
      <c r="D15023" s="3064"/>
      <c r="E15023" s="3064"/>
      <c r="F15023" s="3064"/>
      <c r="G15023" s="3301" t="s">
        <v>676</v>
      </c>
      <c r="H15023" s="3063"/>
      <c r="I15023" s="3030"/>
    </row>
    <row r="15024" spans="2:9">
      <c r="B15024" s="3192" t="s">
        <v>677</v>
      </c>
      <c r="C15024" s="3063"/>
      <c r="D15024" s="3064"/>
      <c r="E15024" s="3064"/>
      <c r="F15024" s="3064"/>
      <c r="G15024" s="3301" t="s">
        <v>677</v>
      </c>
      <c r="H15024" s="3063"/>
      <c r="I15024" s="3030"/>
    </row>
    <row r="15025" spans="2:9">
      <c r="B15025" s="3192" t="s">
        <v>678</v>
      </c>
      <c r="C15025" s="3063"/>
      <c r="D15025" s="3064"/>
      <c r="E15025" s="3064"/>
      <c r="F15025" s="3064"/>
      <c r="G15025" s="3301" t="s">
        <v>678</v>
      </c>
      <c r="H15025" s="3063"/>
      <c r="I15025" s="3030"/>
    </row>
    <row r="15026" spans="2:9">
      <c r="B15026" s="3192" t="s">
        <v>679</v>
      </c>
      <c r="C15026" s="3063"/>
      <c r="D15026" s="3064"/>
      <c r="E15026" s="3064"/>
      <c r="F15026" s="3064"/>
      <c r="G15026" s="3301" t="s">
        <v>679</v>
      </c>
      <c r="H15026" s="3063"/>
      <c r="I15026" s="3030"/>
    </row>
    <row r="15027" spans="2:9" ht="25.5">
      <c r="B15027" s="3192" t="s">
        <v>720</v>
      </c>
      <c r="C15027" s="3063"/>
      <c r="D15027" s="3064"/>
      <c r="E15027" s="3064"/>
      <c r="F15027" s="3064"/>
      <c r="G15027" s="3301" t="s">
        <v>720</v>
      </c>
      <c r="H15027" s="3063"/>
      <c r="I15027" s="3030"/>
    </row>
    <row r="15028" spans="2:9" ht="25.5">
      <c r="B15028" s="3299" t="s">
        <v>682</v>
      </c>
      <c r="C15028" s="3063"/>
      <c r="D15028" s="3064"/>
      <c r="E15028" s="3064"/>
      <c r="F15028" s="3064"/>
      <c r="G15028" s="3300" t="s">
        <v>682</v>
      </c>
      <c r="H15028" s="3063"/>
      <c r="I15028" s="3030"/>
    </row>
    <row r="15029" spans="2:9" ht="25.5">
      <c r="B15029" s="3192" t="s">
        <v>675</v>
      </c>
      <c r="C15029" s="3063"/>
      <c r="D15029" s="3064"/>
      <c r="E15029" s="3064"/>
      <c r="F15029" s="3064"/>
      <c r="G15029" s="3301" t="s">
        <v>675</v>
      </c>
      <c r="H15029" s="3063"/>
      <c r="I15029" s="3030"/>
    </row>
    <row r="15030" spans="2:9" ht="25.5">
      <c r="B15030" s="3192" t="s">
        <v>676</v>
      </c>
      <c r="C15030" s="3063"/>
      <c r="D15030" s="3064"/>
      <c r="E15030" s="3064"/>
      <c r="F15030" s="3064"/>
      <c r="G15030" s="3301" t="s">
        <v>676</v>
      </c>
      <c r="H15030" s="3063"/>
      <c r="I15030" s="3030"/>
    </row>
    <row r="15031" spans="2:9">
      <c r="B15031" s="3192" t="s">
        <v>677</v>
      </c>
      <c r="C15031" s="3063"/>
      <c r="D15031" s="3064"/>
      <c r="E15031" s="3064"/>
      <c r="F15031" s="3064"/>
      <c r="G15031" s="3301" t="s">
        <v>677</v>
      </c>
      <c r="H15031" s="3063"/>
      <c r="I15031" s="3030"/>
    </row>
    <row r="15032" spans="2:9">
      <c r="B15032" s="3192" t="s">
        <v>678</v>
      </c>
      <c r="C15032" s="3063"/>
      <c r="D15032" s="3064"/>
      <c r="E15032" s="3064"/>
      <c r="F15032" s="3064"/>
      <c r="G15032" s="3301" t="s">
        <v>678</v>
      </c>
      <c r="H15032" s="3063"/>
      <c r="I15032" s="3030"/>
    </row>
    <row r="15033" spans="2:9">
      <c r="B15033" s="3192" t="s">
        <v>679</v>
      </c>
      <c r="C15033" s="3063"/>
      <c r="D15033" s="3064"/>
      <c r="E15033" s="3064"/>
      <c r="F15033" s="3064"/>
      <c r="G15033" s="3301" t="s">
        <v>679</v>
      </c>
      <c r="H15033" s="3063"/>
      <c r="I15033" s="3030"/>
    </row>
    <row r="15034" spans="2:9" ht="25.5">
      <c r="B15034" s="3192" t="s">
        <v>720</v>
      </c>
      <c r="C15034" s="3063"/>
      <c r="D15034" s="3064"/>
      <c r="E15034" s="3064"/>
      <c r="F15034" s="3064"/>
      <c r="G15034" s="3301" t="s">
        <v>720</v>
      </c>
      <c r="H15034" s="3063"/>
      <c r="I15034" s="3030"/>
    </row>
    <row r="15035" spans="2:9" ht="25.5">
      <c r="B15035" s="3299" t="s">
        <v>66</v>
      </c>
      <c r="C15035" s="3063"/>
      <c r="D15035" s="3064"/>
      <c r="E15035" s="3064"/>
      <c r="F15035" s="3064"/>
      <c r="G15035" s="3300" t="s">
        <v>66</v>
      </c>
      <c r="H15035" s="3063"/>
      <c r="I15035" s="3030"/>
    </row>
    <row r="15036" spans="2:9" ht="25.5">
      <c r="B15036" s="3192" t="s">
        <v>675</v>
      </c>
      <c r="C15036" s="3063"/>
      <c r="D15036" s="3064"/>
      <c r="E15036" s="3064"/>
      <c r="F15036" s="3064"/>
      <c r="G15036" s="3301" t="s">
        <v>675</v>
      </c>
      <c r="H15036" s="3063"/>
      <c r="I15036" s="3030"/>
    </row>
    <row r="15037" spans="2:9" ht="25.5">
      <c r="B15037" s="3192" t="s">
        <v>676</v>
      </c>
      <c r="C15037" s="3063"/>
      <c r="D15037" s="3064"/>
      <c r="E15037" s="3064"/>
      <c r="F15037" s="3064"/>
      <c r="G15037" s="3301" t="s">
        <v>676</v>
      </c>
      <c r="H15037" s="3063"/>
      <c r="I15037" s="3030"/>
    </row>
    <row r="15038" spans="2:9">
      <c r="B15038" s="3192" t="s">
        <v>677</v>
      </c>
      <c r="C15038" s="3063"/>
      <c r="D15038" s="3064"/>
      <c r="E15038" s="3064"/>
      <c r="F15038" s="3064"/>
      <c r="G15038" s="3301" t="s">
        <v>677</v>
      </c>
      <c r="H15038" s="3063"/>
      <c r="I15038" s="3030"/>
    </row>
    <row r="15039" spans="2:9">
      <c r="B15039" s="3192" t="s">
        <v>678</v>
      </c>
      <c r="C15039" s="3063"/>
      <c r="D15039" s="3064"/>
      <c r="E15039" s="3064"/>
      <c r="F15039" s="3064"/>
      <c r="G15039" s="3301" t="s">
        <v>678</v>
      </c>
      <c r="H15039" s="3063"/>
      <c r="I15039" s="3030"/>
    </row>
    <row r="15040" spans="2:9">
      <c r="B15040" s="3192" t="s">
        <v>679</v>
      </c>
      <c r="C15040" s="3063"/>
      <c r="D15040" s="3064"/>
      <c r="E15040" s="3064"/>
      <c r="F15040" s="3064"/>
      <c r="G15040" s="3301" t="s">
        <v>679</v>
      </c>
      <c r="H15040" s="3063"/>
      <c r="I15040" s="3030"/>
    </row>
    <row r="15041" spans="2:9" ht="25.5">
      <c r="B15041" s="3192" t="s">
        <v>720</v>
      </c>
      <c r="C15041" s="3063"/>
      <c r="D15041" s="3064"/>
      <c r="E15041" s="3064"/>
      <c r="F15041" s="3064"/>
      <c r="G15041" s="3301" t="s">
        <v>720</v>
      </c>
      <c r="H15041" s="3063"/>
      <c r="I15041" s="3030"/>
    </row>
    <row r="15042" spans="2:9">
      <c r="B15042" s="3299" t="s">
        <v>67</v>
      </c>
      <c r="C15042" s="3063"/>
      <c r="D15042" s="3064"/>
      <c r="E15042" s="3064"/>
      <c r="F15042" s="3064"/>
      <c r="G15042" s="3300" t="s">
        <v>67</v>
      </c>
      <c r="H15042" s="3063"/>
      <c r="I15042" s="3030"/>
    </row>
    <row r="15043" spans="2:9" ht="25.5">
      <c r="B15043" s="3192" t="s">
        <v>675</v>
      </c>
      <c r="C15043" s="3063"/>
      <c r="D15043" s="3064"/>
      <c r="E15043" s="3064"/>
      <c r="F15043" s="3064"/>
      <c r="G15043" s="3301" t="s">
        <v>675</v>
      </c>
      <c r="H15043" s="3063"/>
      <c r="I15043" s="3030"/>
    </row>
    <row r="15044" spans="2:9" ht="25.5">
      <c r="B15044" s="3192" t="s">
        <v>676</v>
      </c>
      <c r="C15044" s="3063"/>
      <c r="D15044" s="3064"/>
      <c r="E15044" s="3064"/>
      <c r="F15044" s="3064"/>
      <c r="G15044" s="3301" t="s">
        <v>676</v>
      </c>
      <c r="H15044" s="3063"/>
      <c r="I15044" s="3030"/>
    </row>
    <row r="15045" spans="2:9">
      <c r="B15045" s="3192" t="s">
        <v>677</v>
      </c>
      <c r="C15045" s="3063"/>
      <c r="D15045" s="3064"/>
      <c r="E15045" s="3064"/>
      <c r="F15045" s="3064"/>
      <c r="G15045" s="3301" t="s">
        <v>677</v>
      </c>
      <c r="H15045" s="3063"/>
      <c r="I15045" s="3030"/>
    </row>
    <row r="15046" spans="2:9">
      <c r="B15046" s="3192" t="s">
        <v>678</v>
      </c>
      <c r="C15046" s="3063"/>
      <c r="D15046" s="3064"/>
      <c r="E15046" s="3064"/>
      <c r="F15046" s="3064"/>
      <c r="G15046" s="3301" t="s">
        <v>678</v>
      </c>
      <c r="H15046" s="3063"/>
      <c r="I15046" s="3030"/>
    </row>
    <row r="15047" spans="2:9">
      <c r="B15047" s="3192" t="s">
        <v>679</v>
      </c>
      <c r="C15047" s="3063"/>
      <c r="D15047" s="3064"/>
      <c r="E15047" s="3064"/>
      <c r="F15047" s="3064"/>
      <c r="G15047" s="3301" t="s">
        <v>679</v>
      </c>
      <c r="H15047" s="3063"/>
      <c r="I15047" s="3030"/>
    </row>
    <row r="15048" spans="2:9" ht="25.5">
      <c r="B15048" s="3230" t="s">
        <v>81</v>
      </c>
      <c r="C15048" s="3063"/>
      <c r="D15048" s="3064"/>
      <c r="E15048" s="3064"/>
      <c r="F15048" s="3064"/>
      <c r="G15048" s="3302" t="s">
        <v>81</v>
      </c>
      <c r="H15048" s="3063"/>
      <c r="I15048" s="3030"/>
    </row>
    <row r="15049" spans="2:9" ht="26.25" thickBot="1">
      <c r="B15049" s="3303" t="s">
        <v>81</v>
      </c>
      <c r="C15049" s="3068"/>
      <c r="D15049" s="3069"/>
      <c r="E15049" s="3069"/>
      <c r="F15049" s="3069"/>
      <c r="G15049" s="3304" t="s">
        <v>81</v>
      </c>
      <c r="H15049" s="3068"/>
      <c r="I15049" s="3070"/>
    </row>
    <row r="15050" spans="2:9" ht="38.25">
      <c r="B15050" s="4723">
        <v>3437</v>
      </c>
      <c r="C15050" s="3289"/>
      <c r="D15050" s="3290"/>
      <c r="E15050" s="3290"/>
      <c r="F15050" s="3290"/>
      <c r="G15050" s="4723">
        <v>3437</v>
      </c>
      <c r="H15050" s="3291" t="s">
        <v>687</v>
      </c>
      <c r="I15050" s="3292" t="s">
        <v>688</v>
      </c>
    </row>
    <row r="15051" spans="2:9">
      <c r="B15051" s="4724"/>
      <c r="C15051" s="4678" t="s">
        <v>686</v>
      </c>
      <c r="D15051" s="4725"/>
      <c r="E15051" s="4725"/>
      <c r="F15051" s="4726"/>
      <c r="G15051" s="4724"/>
      <c r="H15051" s="3293"/>
      <c r="I15051" s="3294"/>
    </row>
    <row r="15052" spans="2:9" ht="13.5" thickBot="1">
      <c r="B15052" s="4724"/>
      <c r="C15052" s="3215">
        <v>2013</v>
      </c>
      <c r="D15052" s="3215">
        <v>2014</v>
      </c>
      <c r="E15052" s="3215">
        <v>2015</v>
      </c>
      <c r="F15052" s="3215">
        <v>2016</v>
      </c>
      <c r="G15052" s="4724"/>
      <c r="H15052" s="3295" t="s">
        <v>390</v>
      </c>
      <c r="I15052" s="3296" t="s">
        <v>390</v>
      </c>
    </row>
    <row r="15053" spans="2:9">
      <c r="B15053" s="3217" t="s">
        <v>695</v>
      </c>
      <c r="C15053" s="3218"/>
      <c r="D15053" s="3219"/>
      <c r="E15053" s="3219"/>
      <c r="F15053" s="3219"/>
      <c r="G15053" s="3217" t="s">
        <v>695</v>
      </c>
      <c r="H15053" s="3297"/>
      <c r="I15053" s="3298"/>
    </row>
    <row r="15054" spans="2:9">
      <c r="B15054" s="3299" t="s">
        <v>64</v>
      </c>
      <c r="C15054" s="3063"/>
      <c r="D15054" s="3064"/>
      <c r="E15054" s="3064"/>
      <c r="F15054" s="3064"/>
      <c r="G15054" s="3300" t="s">
        <v>64</v>
      </c>
      <c r="H15054" s="3063"/>
      <c r="I15054" s="3030"/>
    </row>
    <row r="15055" spans="2:9" ht="25.5">
      <c r="B15055" s="3192" t="s">
        <v>675</v>
      </c>
      <c r="C15055" s="3063"/>
      <c r="D15055" s="3064"/>
      <c r="E15055" s="3064"/>
      <c r="F15055" s="3064"/>
      <c r="G15055" s="3301" t="s">
        <v>675</v>
      </c>
      <c r="H15055" s="3063"/>
      <c r="I15055" s="3030"/>
    </row>
    <row r="15056" spans="2:9" ht="25.5">
      <c r="B15056" s="3192" t="s">
        <v>676</v>
      </c>
      <c r="C15056" s="3063"/>
      <c r="D15056" s="3064"/>
      <c r="E15056" s="3064"/>
      <c r="F15056" s="3064"/>
      <c r="G15056" s="3301" t="s">
        <v>676</v>
      </c>
      <c r="H15056" s="3063"/>
      <c r="I15056" s="3030"/>
    </row>
    <row r="15057" spans="2:9">
      <c r="B15057" s="3192" t="s">
        <v>677</v>
      </c>
      <c r="C15057" s="3063"/>
      <c r="D15057" s="3064"/>
      <c r="E15057" s="3064"/>
      <c r="F15057" s="3064"/>
      <c r="G15057" s="3301" t="s">
        <v>677</v>
      </c>
      <c r="H15057" s="3063"/>
      <c r="I15057" s="3030"/>
    </row>
    <row r="15058" spans="2:9">
      <c r="B15058" s="3192" t="s">
        <v>678</v>
      </c>
      <c r="C15058" s="3063"/>
      <c r="D15058" s="3064"/>
      <c r="E15058" s="3064"/>
      <c r="F15058" s="3064"/>
      <c r="G15058" s="3301" t="s">
        <v>678</v>
      </c>
      <c r="H15058" s="3063"/>
      <c r="I15058" s="3030"/>
    </row>
    <row r="15059" spans="2:9">
      <c r="B15059" s="3192" t="s">
        <v>679</v>
      </c>
      <c r="C15059" s="3063"/>
      <c r="D15059" s="3064"/>
      <c r="E15059" s="3064"/>
      <c r="F15059" s="3064"/>
      <c r="G15059" s="3301" t="s">
        <v>679</v>
      </c>
      <c r="H15059" s="3063"/>
      <c r="I15059" s="3030"/>
    </row>
    <row r="15060" spans="2:9" ht="25.5">
      <c r="B15060" s="3192" t="s">
        <v>720</v>
      </c>
      <c r="C15060" s="3063"/>
      <c r="D15060" s="3064"/>
      <c r="E15060" s="3064"/>
      <c r="F15060" s="3064"/>
      <c r="G15060" s="3301" t="s">
        <v>720</v>
      </c>
      <c r="H15060" s="3063"/>
      <c r="I15060" s="3030"/>
    </row>
    <row r="15061" spans="2:9">
      <c r="B15061" s="3299" t="s">
        <v>65</v>
      </c>
      <c r="C15061" s="3063"/>
      <c r="D15061" s="3064"/>
      <c r="E15061" s="3064"/>
      <c r="F15061" s="3064"/>
      <c r="G15061" s="3300" t="s">
        <v>65</v>
      </c>
      <c r="H15061" s="3063"/>
      <c r="I15061" s="3030"/>
    </row>
    <row r="15062" spans="2:9" ht="25.5">
      <c r="B15062" s="3192" t="s">
        <v>675</v>
      </c>
      <c r="C15062" s="3063"/>
      <c r="D15062" s="3064"/>
      <c r="E15062" s="3064"/>
      <c r="F15062" s="3064"/>
      <c r="G15062" s="3301" t="s">
        <v>675</v>
      </c>
      <c r="H15062" s="3063"/>
      <c r="I15062" s="3030"/>
    </row>
    <row r="15063" spans="2:9" ht="25.5">
      <c r="B15063" s="3192" t="s">
        <v>676</v>
      </c>
      <c r="C15063" s="3063"/>
      <c r="D15063" s="3064"/>
      <c r="E15063" s="3064"/>
      <c r="F15063" s="3064"/>
      <c r="G15063" s="3301" t="s">
        <v>676</v>
      </c>
      <c r="H15063" s="3063"/>
      <c r="I15063" s="3030"/>
    </row>
    <row r="15064" spans="2:9">
      <c r="B15064" s="3192" t="s">
        <v>677</v>
      </c>
      <c r="C15064" s="3063"/>
      <c r="D15064" s="3064"/>
      <c r="E15064" s="3064"/>
      <c r="F15064" s="3064"/>
      <c r="G15064" s="3301" t="s">
        <v>677</v>
      </c>
      <c r="H15064" s="3063"/>
      <c r="I15064" s="3030"/>
    </row>
    <row r="15065" spans="2:9">
      <c r="B15065" s="3192" t="s">
        <v>678</v>
      </c>
      <c r="C15065" s="3063"/>
      <c r="D15065" s="3064"/>
      <c r="E15065" s="3064"/>
      <c r="F15065" s="3064"/>
      <c r="G15065" s="3301" t="s">
        <v>678</v>
      </c>
      <c r="H15065" s="3063"/>
      <c r="I15065" s="3030"/>
    </row>
    <row r="15066" spans="2:9">
      <c r="B15066" s="3192" t="s">
        <v>679</v>
      </c>
      <c r="C15066" s="3063"/>
      <c r="D15066" s="3064"/>
      <c r="E15066" s="3064"/>
      <c r="F15066" s="3064"/>
      <c r="G15066" s="3301" t="s">
        <v>679</v>
      </c>
      <c r="H15066" s="3063"/>
      <c r="I15066" s="3030"/>
    </row>
    <row r="15067" spans="2:9" ht="25.5">
      <c r="B15067" s="3192" t="s">
        <v>720</v>
      </c>
      <c r="C15067" s="3063"/>
      <c r="D15067" s="3064"/>
      <c r="E15067" s="3064"/>
      <c r="F15067" s="3064"/>
      <c r="G15067" s="3301" t="s">
        <v>720</v>
      </c>
      <c r="H15067" s="3063"/>
      <c r="I15067" s="3030"/>
    </row>
    <row r="15068" spans="2:9">
      <c r="B15068" s="3299" t="s">
        <v>82</v>
      </c>
      <c r="C15068" s="3063"/>
      <c r="D15068" s="3064"/>
      <c r="E15068" s="3064"/>
      <c r="F15068" s="3064"/>
      <c r="G15068" s="3300" t="s">
        <v>82</v>
      </c>
      <c r="H15068" s="3063"/>
      <c r="I15068" s="3030"/>
    </row>
    <row r="15069" spans="2:9" ht="25.5">
      <c r="B15069" s="3192" t="s">
        <v>675</v>
      </c>
      <c r="C15069" s="3063"/>
      <c r="D15069" s="3064"/>
      <c r="E15069" s="3064"/>
      <c r="F15069" s="3064"/>
      <c r="G15069" s="3301" t="s">
        <v>675</v>
      </c>
      <c r="H15069" s="3063"/>
      <c r="I15069" s="3030"/>
    </row>
    <row r="15070" spans="2:9" ht="25.5">
      <c r="B15070" s="3192" t="s">
        <v>676</v>
      </c>
      <c r="C15070" s="3063"/>
      <c r="D15070" s="3064"/>
      <c r="E15070" s="3064"/>
      <c r="F15070" s="3064"/>
      <c r="G15070" s="3301" t="s">
        <v>676</v>
      </c>
      <c r="H15070" s="3063"/>
      <c r="I15070" s="3030"/>
    </row>
    <row r="15071" spans="2:9">
      <c r="B15071" s="3192" t="s">
        <v>677</v>
      </c>
      <c r="C15071" s="3063"/>
      <c r="D15071" s="3064"/>
      <c r="E15071" s="3064"/>
      <c r="F15071" s="3064"/>
      <c r="G15071" s="3301" t="s">
        <v>677</v>
      </c>
      <c r="H15071" s="3063"/>
      <c r="I15071" s="3030"/>
    </row>
    <row r="15072" spans="2:9">
      <c r="B15072" s="3192" t="s">
        <v>678</v>
      </c>
      <c r="C15072" s="3063"/>
      <c r="D15072" s="3064"/>
      <c r="E15072" s="3064"/>
      <c r="F15072" s="3064"/>
      <c r="G15072" s="3301" t="s">
        <v>678</v>
      </c>
      <c r="H15072" s="3063"/>
      <c r="I15072" s="3030"/>
    </row>
    <row r="15073" spans="2:9">
      <c r="B15073" s="3192" t="s">
        <v>679</v>
      </c>
      <c r="C15073" s="3063"/>
      <c r="D15073" s="3064"/>
      <c r="E15073" s="3064"/>
      <c r="F15073" s="3064"/>
      <c r="G15073" s="3301" t="s">
        <v>679</v>
      </c>
      <c r="H15073" s="3063"/>
      <c r="I15073" s="3030"/>
    </row>
    <row r="15074" spans="2:9" ht="25.5">
      <c r="B15074" s="3192" t="s">
        <v>720</v>
      </c>
      <c r="C15074" s="3063"/>
      <c r="D15074" s="3064"/>
      <c r="E15074" s="3064"/>
      <c r="F15074" s="3064"/>
      <c r="G15074" s="3301" t="s">
        <v>720</v>
      </c>
      <c r="H15074" s="3063"/>
      <c r="I15074" s="3030"/>
    </row>
    <row r="15075" spans="2:9" ht="38.25">
      <c r="B15075" s="3299" t="s">
        <v>680</v>
      </c>
      <c r="C15075" s="3063"/>
      <c r="D15075" s="3064"/>
      <c r="E15075" s="3064"/>
      <c r="F15075" s="3064"/>
      <c r="G15075" s="3300" t="s">
        <v>680</v>
      </c>
      <c r="H15075" s="3063"/>
      <c r="I15075" s="3030"/>
    </row>
    <row r="15076" spans="2:9" ht="25.5">
      <c r="B15076" s="3192" t="s">
        <v>675</v>
      </c>
      <c r="C15076" s="3063"/>
      <c r="D15076" s="3064"/>
      <c r="E15076" s="3064"/>
      <c r="F15076" s="3064"/>
      <c r="G15076" s="3301" t="s">
        <v>675</v>
      </c>
      <c r="H15076" s="3063"/>
      <c r="I15076" s="3030"/>
    </row>
    <row r="15077" spans="2:9" ht="25.5">
      <c r="B15077" s="3192" t="s">
        <v>676</v>
      </c>
      <c r="C15077" s="3063"/>
      <c r="D15077" s="3064"/>
      <c r="E15077" s="3064"/>
      <c r="F15077" s="3064"/>
      <c r="G15077" s="3301" t="s">
        <v>676</v>
      </c>
      <c r="H15077" s="3063"/>
      <c r="I15077" s="3030"/>
    </row>
    <row r="15078" spans="2:9">
      <c r="B15078" s="3192" t="s">
        <v>677</v>
      </c>
      <c r="C15078" s="3063"/>
      <c r="D15078" s="3064"/>
      <c r="E15078" s="3064"/>
      <c r="F15078" s="3064"/>
      <c r="G15078" s="3301" t="s">
        <v>677</v>
      </c>
      <c r="H15078" s="3063"/>
      <c r="I15078" s="3030"/>
    </row>
    <row r="15079" spans="2:9">
      <c r="B15079" s="3192" t="s">
        <v>678</v>
      </c>
      <c r="C15079" s="3063"/>
      <c r="D15079" s="3064"/>
      <c r="E15079" s="3064"/>
      <c r="F15079" s="3064"/>
      <c r="G15079" s="3301" t="s">
        <v>678</v>
      </c>
      <c r="H15079" s="3063"/>
      <c r="I15079" s="3030"/>
    </row>
    <row r="15080" spans="2:9">
      <c r="B15080" s="3192" t="s">
        <v>679</v>
      </c>
      <c r="C15080" s="3063"/>
      <c r="D15080" s="3064"/>
      <c r="E15080" s="3064"/>
      <c r="F15080" s="3064"/>
      <c r="G15080" s="3301" t="s">
        <v>679</v>
      </c>
      <c r="H15080" s="3063"/>
      <c r="I15080" s="3030"/>
    </row>
    <row r="15081" spans="2:9" ht="25.5">
      <c r="B15081" s="3192" t="s">
        <v>720</v>
      </c>
      <c r="C15081" s="3063"/>
      <c r="D15081" s="3064"/>
      <c r="E15081" s="3064"/>
      <c r="F15081" s="3064"/>
      <c r="G15081" s="3301" t="s">
        <v>720</v>
      </c>
      <c r="H15081" s="3063"/>
      <c r="I15081" s="3030"/>
    </row>
    <row r="15082" spans="2:9" ht="38.25">
      <c r="B15082" s="3299" t="s">
        <v>681</v>
      </c>
      <c r="C15082" s="3063"/>
      <c r="D15082" s="3064"/>
      <c r="E15082" s="3064"/>
      <c r="F15082" s="3064"/>
      <c r="G15082" s="3300" t="s">
        <v>681</v>
      </c>
      <c r="H15082" s="3063"/>
      <c r="I15082" s="3030"/>
    </row>
    <row r="15083" spans="2:9" ht="25.5">
      <c r="B15083" s="3192" t="s">
        <v>675</v>
      </c>
      <c r="C15083" s="3063"/>
      <c r="D15083" s="3064"/>
      <c r="E15083" s="3064"/>
      <c r="F15083" s="3064"/>
      <c r="G15083" s="3301" t="s">
        <v>675</v>
      </c>
      <c r="H15083" s="3063"/>
      <c r="I15083" s="3030"/>
    </row>
    <row r="15084" spans="2:9" ht="25.5">
      <c r="B15084" s="3192" t="s">
        <v>676</v>
      </c>
      <c r="C15084" s="3063"/>
      <c r="D15084" s="3064"/>
      <c r="E15084" s="3064"/>
      <c r="F15084" s="3064"/>
      <c r="G15084" s="3301" t="s">
        <v>676</v>
      </c>
      <c r="H15084" s="3063"/>
      <c r="I15084" s="3030"/>
    </row>
    <row r="15085" spans="2:9">
      <c r="B15085" s="3192" t="s">
        <v>677</v>
      </c>
      <c r="C15085" s="3063"/>
      <c r="D15085" s="3064"/>
      <c r="E15085" s="3064"/>
      <c r="F15085" s="3064"/>
      <c r="G15085" s="3301" t="s">
        <v>677</v>
      </c>
      <c r="H15085" s="3063"/>
      <c r="I15085" s="3030"/>
    </row>
    <row r="15086" spans="2:9">
      <c r="B15086" s="3192" t="s">
        <v>678</v>
      </c>
      <c r="C15086" s="3063"/>
      <c r="D15086" s="3064"/>
      <c r="E15086" s="3064"/>
      <c r="F15086" s="3064"/>
      <c r="G15086" s="3301" t="s">
        <v>678</v>
      </c>
      <c r="H15086" s="3063"/>
      <c r="I15086" s="3030"/>
    </row>
    <row r="15087" spans="2:9">
      <c r="B15087" s="3192" t="s">
        <v>679</v>
      </c>
      <c r="C15087" s="3063"/>
      <c r="D15087" s="3064"/>
      <c r="E15087" s="3064"/>
      <c r="F15087" s="3064"/>
      <c r="G15087" s="3301" t="s">
        <v>679</v>
      </c>
      <c r="H15087" s="3063"/>
      <c r="I15087" s="3030"/>
    </row>
    <row r="15088" spans="2:9" ht="25.5">
      <c r="B15088" s="3192" t="s">
        <v>720</v>
      </c>
      <c r="C15088" s="3063"/>
      <c r="D15088" s="3064"/>
      <c r="E15088" s="3064"/>
      <c r="F15088" s="3064"/>
      <c r="G15088" s="3301" t="s">
        <v>720</v>
      </c>
      <c r="H15088" s="3063"/>
      <c r="I15088" s="3030"/>
    </row>
    <row r="15089" spans="2:9" ht="25.5">
      <c r="B15089" s="3299" t="s">
        <v>682</v>
      </c>
      <c r="C15089" s="3063"/>
      <c r="D15089" s="3064"/>
      <c r="E15089" s="3064"/>
      <c r="F15089" s="3064"/>
      <c r="G15089" s="3300" t="s">
        <v>682</v>
      </c>
      <c r="H15089" s="3063"/>
      <c r="I15089" s="3030"/>
    </row>
    <row r="15090" spans="2:9" ht="25.5">
      <c r="B15090" s="3192" t="s">
        <v>675</v>
      </c>
      <c r="C15090" s="3063"/>
      <c r="D15090" s="3064"/>
      <c r="E15090" s="3064"/>
      <c r="F15090" s="3064"/>
      <c r="G15090" s="3301" t="s">
        <v>675</v>
      </c>
      <c r="H15090" s="3063"/>
      <c r="I15090" s="3030"/>
    </row>
    <row r="15091" spans="2:9" ht="25.5">
      <c r="B15091" s="3192" t="s">
        <v>676</v>
      </c>
      <c r="C15091" s="3063"/>
      <c r="D15091" s="3064"/>
      <c r="E15091" s="3064"/>
      <c r="F15091" s="3064"/>
      <c r="G15091" s="3301" t="s">
        <v>676</v>
      </c>
      <c r="H15091" s="3063"/>
      <c r="I15091" s="3030"/>
    </row>
    <row r="15092" spans="2:9">
      <c r="B15092" s="3192" t="s">
        <v>677</v>
      </c>
      <c r="C15092" s="3063"/>
      <c r="D15092" s="3064"/>
      <c r="E15092" s="3064"/>
      <c r="F15092" s="3064"/>
      <c r="G15092" s="3301" t="s">
        <v>677</v>
      </c>
      <c r="H15092" s="3063"/>
      <c r="I15092" s="3030"/>
    </row>
    <row r="15093" spans="2:9">
      <c r="B15093" s="3192" t="s">
        <v>678</v>
      </c>
      <c r="C15093" s="3063"/>
      <c r="D15093" s="3064"/>
      <c r="E15093" s="3064"/>
      <c r="F15093" s="3064"/>
      <c r="G15093" s="3301" t="s">
        <v>678</v>
      </c>
      <c r="H15093" s="3063"/>
      <c r="I15093" s="3030"/>
    </row>
    <row r="15094" spans="2:9">
      <c r="B15094" s="3192" t="s">
        <v>679</v>
      </c>
      <c r="C15094" s="3063"/>
      <c r="D15094" s="3064"/>
      <c r="E15094" s="3064"/>
      <c r="F15094" s="3064"/>
      <c r="G15094" s="3301" t="s">
        <v>679</v>
      </c>
      <c r="H15094" s="3063"/>
      <c r="I15094" s="3030"/>
    </row>
    <row r="15095" spans="2:9" ht="25.5">
      <c r="B15095" s="3192" t="s">
        <v>720</v>
      </c>
      <c r="C15095" s="3063"/>
      <c r="D15095" s="3064"/>
      <c r="E15095" s="3064"/>
      <c r="F15095" s="3064"/>
      <c r="G15095" s="3301" t="s">
        <v>720</v>
      </c>
      <c r="H15095" s="3063"/>
      <c r="I15095" s="3030"/>
    </row>
    <row r="15096" spans="2:9" ht="25.5">
      <c r="B15096" s="3299" t="s">
        <v>66</v>
      </c>
      <c r="C15096" s="3063"/>
      <c r="D15096" s="3064"/>
      <c r="E15096" s="3064"/>
      <c r="F15096" s="3064"/>
      <c r="G15096" s="3300" t="s">
        <v>66</v>
      </c>
      <c r="H15096" s="3063"/>
      <c r="I15096" s="3030"/>
    </row>
    <row r="15097" spans="2:9" ht="25.5">
      <c r="B15097" s="3192" t="s">
        <v>675</v>
      </c>
      <c r="C15097" s="3063"/>
      <c r="D15097" s="3064"/>
      <c r="E15097" s="3064"/>
      <c r="F15097" s="3064"/>
      <c r="G15097" s="3301" t="s">
        <v>675</v>
      </c>
      <c r="H15097" s="3063"/>
      <c r="I15097" s="3030"/>
    </row>
    <row r="15098" spans="2:9" ht="25.5">
      <c r="B15098" s="3192" t="s">
        <v>676</v>
      </c>
      <c r="C15098" s="3063"/>
      <c r="D15098" s="3064"/>
      <c r="E15098" s="3064"/>
      <c r="F15098" s="3064"/>
      <c r="G15098" s="3301" t="s">
        <v>676</v>
      </c>
      <c r="H15098" s="3063"/>
      <c r="I15098" s="3030"/>
    </row>
    <row r="15099" spans="2:9">
      <c r="B15099" s="3192" t="s">
        <v>677</v>
      </c>
      <c r="C15099" s="3063"/>
      <c r="D15099" s="3064"/>
      <c r="E15099" s="3064"/>
      <c r="F15099" s="3064"/>
      <c r="G15099" s="3301" t="s">
        <v>677</v>
      </c>
      <c r="H15099" s="3063"/>
      <c r="I15099" s="3030"/>
    </row>
    <row r="15100" spans="2:9">
      <c r="B15100" s="3192" t="s">
        <v>678</v>
      </c>
      <c r="C15100" s="3063"/>
      <c r="D15100" s="3064"/>
      <c r="E15100" s="3064"/>
      <c r="F15100" s="3064"/>
      <c r="G15100" s="3301" t="s">
        <v>678</v>
      </c>
      <c r="H15100" s="3063"/>
      <c r="I15100" s="3030"/>
    </row>
    <row r="15101" spans="2:9">
      <c r="B15101" s="3192" t="s">
        <v>679</v>
      </c>
      <c r="C15101" s="3063"/>
      <c r="D15101" s="3064"/>
      <c r="E15101" s="3064"/>
      <c r="F15101" s="3064"/>
      <c r="G15101" s="3301" t="s">
        <v>679</v>
      </c>
      <c r="H15101" s="3063"/>
      <c r="I15101" s="3030"/>
    </row>
    <row r="15102" spans="2:9" ht="25.5">
      <c r="B15102" s="3192" t="s">
        <v>720</v>
      </c>
      <c r="C15102" s="3063"/>
      <c r="D15102" s="3064"/>
      <c r="E15102" s="3064"/>
      <c r="F15102" s="3064"/>
      <c r="G15102" s="3301" t="s">
        <v>720</v>
      </c>
      <c r="H15102" s="3063"/>
      <c r="I15102" s="3030"/>
    </row>
    <row r="15103" spans="2:9">
      <c r="B15103" s="3299" t="s">
        <v>67</v>
      </c>
      <c r="C15103" s="3063"/>
      <c r="D15103" s="3064"/>
      <c r="E15103" s="3064"/>
      <c r="F15103" s="3064"/>
      <c r="G15103" s="3300" t="s">
        <v>67</v>
      </c>
      <c r="H15103" s="3063"/>
      <c r="I15103" s="3030"/>
    </row>
    <row r="15104" spans="2:9" ht="25.5">
      <c r="B15104" s="3192" t="s">
        <v>675</v>
      </c>
      <c r="C15104" s="3063"/>
      <c r="D15104" s="3064"/>
      <c r="E15104" s="3064"/>
      <c r="F15104" s="3064"/>
      <c r="G15104" s="3301" t="s">
        <v>675</v>
      </c>
      <c r="H15104" s="3063"/>
      <c r="I15104" s="3030"/>
    </row>
    <row r="15105" spans="2:9" ht="25.5">
      <c r="B15105" s="3192" t="s">
        <v>676</v>
      </c>
      <c r="C15105" s="3063"/>
      <c r="D15105" s="3064"/>
      <c r="E15105" s="3064"/>
      <c r="F15105" s="3064"/>
      <c r="G15105" s="3301" t="s">
        <v>676</v>
      </c>
      <c r="H15105" s="3063"/>
      <c r="I15105" s="3030"/>
    </row>
    <row r="15106" spans="2:9">
      <c r="B15106" s="3192" t="s">
        <v>677</v>
      </c>
      <c r="C15106" s="3063"/>
      <c r="D15106" s="3064"/>
      <c r="E15106" s="3064"/>
      <c r="F15106" s="3064"/>
      <c r="G15106" s="3301" t="s">
        <v>677</v>
      </c>
      <c r="H15106" s="3063"/>
      <c r="I15106" s="3030"/>
    </row>
    <row r="15107" spans="2:9">
      <c r="B15107" s="3192" t="s">
        <v>678</v>
      </c>
      <c r="C15107" s="3063"/>
      <c r="D15107" s="3064"/>
      <c r="E15107" s="3064"/>
      <c r="F15107" s="3064"/>
      <c r="G15107" s="3301" t="s">
        <v>678</v>
      </c>
      <c r="H15107" s="3063"/>
      <c r="I15107" s="3030"/>
    </row>
    <row r="15108" spans="2:9">
      <c r="B15108" s="3192" t="s">
        <v>679</v>
      </c>
      <c r="C15108" s="3063"/>
      <c r="D15108" s="3064"/>
      <c r="E15108" s="3064"/>
      <c r="F15108" s="3064"/>
      <c r="G15108" s="3301" t="s">
        <v>679</v>
      </c>
      <c r="H15108" s="3063"/>
      <c r="I15108" s="3030"/>
    </row>
    <row r="15109" spans="2:9" ht="25.5">
      <c r="B15109" s="3192" t="s">
        <v>720</v>
      </c>
      <c r="C15109" s="3063"/>
      <c r="D15109" s="3064"/>
      <c r="E15109" s="3064"/>
      <c r="F15109" s="3064"/>
      <c r="G15109" s="3301" t="s">
        <v>720</v>
      </c>
      <c r="H15109" s="3063"/>
      <c r="I15109" s="3030"/>
    </row>
    <row r="15110" spans="2:9" ht="25.5">
      <c r="B15110" s="3230" t="s">
        <v>81</v>
      </c>
      <c r="C15110" s="3063"/>
      <c r="D15110" s="3064"/>
      <c r="E15110" s="3064"/>
      <c r="F15110" s="3064"/>
      <c r="G15110" s="3302" t="s">
        <v>81</v>
      </c>
      <c r="H15110" s="3063"/>
      <c r="I15110" s="3030"/>
    </row>
    <row r="15111" spans="2:9" ht="26.25" thickBot="1">
      <c r="B15111" s="3303" t="s">
        <v>81</v>
      </c>
      <c r="C15111" s="3063"/>
      <c r="D15111" s="3064"/>
      <c r="E15111" s="3064"/>
      <c r="F15111" s="3064"/>
      <c r="G15111" s="3302" t="s">
        <v>81</v>
      </c>
      <c r="H15111" s="3063"/>
      <c r="I15111" s="3030"/>
    </row>
    <row r="15112" spans="2:9" ht="25.5">
      <c r="B15112" s="3217" t="s">
        <v>696</v>
      </c>
      <c r="C15112" s="3218"/>
      <c r="D15112" s="3219"/>
      <c r="E15112" s="3219"/>
      <c r="F15112" s="3219"/>
      <c r="G15112" s="3217" t="s">
        <v>696</v>
      </c>
      <c r="H15112" s="3297"/>
      <c r="I15112" s="3298"/>
    </row>
    <row r="15113" spans="2:9">
      <c r="B15113" s="3299" t="s">
        <v>64</v>
      </c>
      <c r="C15113" s="3063"/>
      <c r="D15113" s="3064"/>
      <c r="E15113" s="3064"/>
      <c r="F15113" s="3064"/>
      <c r="G15113" s="3300" t="s">
        <v>64</v>
      </c>
      <c r="H15113" s="3063"/>
      <c r="I15113" s="3030"/>
    </row>
    <row r="15114" spans="2:9" ht="25.5">
      <c r="B15114" s="3192" t="s">
        <v>675</v>
      </c>
      <c r="C15114" s="3063"/>
      <c r="D15114" s="3064"/>
      <c r="E15114" s="3064"/>
      <c r="F15114" s="3064"/>
      <c r="G15114" s="3301" t="s">
        <v>675</v>
      </c>
      <c r="H15114" s="3063"/>
      <c r="I15114" s="3030"/>
    </row>
    <row r="15115" spans="2:9" ht="25.5">
      <c r="B15115" s="3192" t="s">
        <v>676</v>
      </c>
      <c r="C15115" s="3063"/>
      <c r="D15115" s="3064"/>
      <c r="E15115" s="3064"/>
      <c r="F15115" s="3064"/>
      <c r="G15115" s="3301" t="s">
        <v>676</v>
      </c>
      <c r="H15115" s="3063"/>
      <c r="I15115" s="3030"/>
    </row>
    <row r="15116" spans="2:9">
      <c r="B15116" s="3192" t="s">
        <v>677</v>
      </c>
      <c r="C15116" s="3063"/>
      <c r="D15116" s="3064"/>
      <c r="E15116" s="3064"/>
      <c r="F15116" s="3064"/>
      <c r="G15116" s="3301" t="s">
        <v>677</v>
      </c>
      <c r="H15116" s="3063"/>
      <c r="I15116" s="3030"/>
    </row>
    <row r="15117" spans="2:9">
      <c r="B15117" s="3192" t="s">
        <v>678</v>
      </c>
      <c r="C15117" s="3063"/>
      <c r="D15117" s="3064"/>
      <c r="E15117" s="3064"/>
      <c r="F15117" s="3064"/>
      <c r="G15117" s="3301" t="s">
        <v>678</v>
      </c>
      <c r="H15117" s="3063"/>
      <c r="I15117" s="3030"/>
    </row>
    <row r="15118" spans="2:9">
      <c r="B15118" s="3192" t="s">
        <v>679</v>
      </c>
      <c r="C15118" s="3063"/>
      <c r="D15118" s="3064"/>
      <c r="E15118" s="3064"/>
      <c r="F15118" s="3064"/>
      <c r="G15118" s="3301" t="s">
        <v>679</v>
      </c>
      <c r="H15118" s="3063"/>
      <c r="I15118" s="3030"/>
    </row>
    <row r="15119" spans="2:9" ht="25.5">
      <c r="B15119" s="3192" t="s">
        <v>720</v>
      </c>
      <c r="C15119" s="3063"/>
      <c r="D15119" s="3064"/>
      <c r="E15119" s="3064"/>
      <c r="F15119" s="3064"/>
      <c r="G15119" s="3301" t="s">
        <v>720</v>
      </c>
      <c r="H15119" s="3063"/>
      <c r="I15119" s="3030"/>
    </row>
    <row r="15120" spans="2:9">
      <c r="B15120" s="3299" t="s">
        <v>65</v>
      </c>
      <c r="C15120" s="3063"/>
      <c r="D15120" s="3064"/>
      <c r="E15120" s="3064"/>
      <c r="F15120" s="3064"/>
      <c r="G15120" s="3300" t="s">
        <v>65</v>
      </c>
      <c r="H15120" s="3063"/>
      <c r="I15120" s="3030"/>
    </row>
    <row r="15121" spans="2:9" ht="25.5">
      <c r="B15121" s="3192" t="s">
        <v>675</v>
      </c>
      <c r="C15121" s="3063"/>
      <c r="D15121" s="3064"/>
      <c r="E15121" s="3064"/>
      <c r="F15121" s="3064"/>
      <c r="G15121" s="3301" t="s">
        <v>675</v>
      </c>
      <c r="H15121" s="3063"/>
      <c r="I15121" s="3030"/>
    </row>
    <row r="15122" spans="2:9" ht="25.5">
      <c r="B15122" s="3192" t="s">
        <v>676</v>
      </c>
      <c r="C15122" s="3063"/>
      <c r="D15122" s="3064"/>
      <c r="E15122" s="3064"/>
      <c r="F15122" s="3064"/>
      <c r="G15122" s="3301" t="s">
        <v>676</v>
      </c>
      <c r="H15122" s="3063"/>
      <c r="I15122" s="3030"/>
    </row>
    <row r="15123" spans="2:9">
      <c r="B15123" s="3192" t="s">
        <v>677</v>
      </c>
      <c r="C15123" s="3063"/>
      <c r="D15123" s="3064"/>
      <c r="E15123" s="3064"/>
      <c r="F15123" s="3064"/>
      <c r="G15123" s="3301" t="s">
        <v>677</v>
      </c>
      <c r="H15123" s="3063"/>
      <c r="I15123" s="3030"/>
    </row>
    <row r="15124" spans="2:9">
      <c r="B15124" s="3192" t="s">
        <v>678</v>
      </c>
      <c r="C15124" s="3063"/>
      <c r="D15124" s="3064"/>
      <c r="E15124" s="3064"/>
      <c r="F15124" s="3064"/>
      <c r="G15124" s="3301" t="s">
        <v>678</v>
      </c>
      <c r="H15124" s="3063"/>
      <c r="I15124" s="3030"/>
    </row>
    <row r="15125" spans="2:9">
      <c r="B15125" s="3192" t="s">
        <v>679</v>
      </c>
      <c r="C15125" s="3063"/>
      <c r="D15125" s="3064"/>
      <c r="E15125" s="3064"/>
      <c r="F15125" s="3064"/>
      <c r="G15125" s="3301" t="s">
        <v>679</v>
      </c>
      <c r="H15125" s="3063"/>
      <c r="I15125" s="3030"/>
    </row>
    <row r="15126" spans="2:9" ht="25.5">
      <c r="B15126" s="3192" t="s">
        <v>720</v>
      </c>
      <c r="C15126" s="3063"/>
      <c r="D15126" s="3064"/>
      <c r="E15126" s="3064"/>
      <c r="F15126" s="3064"/>
      <c r="G15126" s="3301" t="s">
        <v>720</v>
      </c>
      <c r="H15126" s="3063"/>
      <c r="I15126" s="3030"/>
    </row>
    <row r="15127" spans="2:9">
      <c r="B15127" s="3299" t="s">
        <v>82</v>
      </c>
      <c r="C15127" s="3063"/>
      <c r="D15127" s="3064"/>
      <c r="E15127" s="3064"/>
      <c r="F15127" s="3064"/>
      <c r="G15127" s="3300" t="s">
        <v>82</v>
      </c>
      <c r="H15127" s="3063"/>
      <c r="I15127" s="3030"/>
    </row>
    <row r="15128" spans="2:9" ht="25.5">
      <c r="B15128" s="3192" t="s">
        <v>675</v>
      </c>
      <c r="C15128" s="3063"/>
      <c r="D15128" s="3064"/>
      <c r="E15128" s="3064"/>
      <c r="F15128" s="3064"/>
      <c r="G15128" s="3301" t="s">
        <v>675</v>
      </c>
      <c r="H15128" s="3063"/>
      <c r="I15128" s="3030"/>
    </row>
    <row r="15129" spans="2:9" ht="25.5">
      <c r="B15129" s="3192" t="s">
        <v>676</v>
      </c>
      <c r="C15129" s="3063"/>
      <c r="D15129" s="3064"/>
      <c r="E15129" s="3064"/>
      <c r="F15129" s="3064"/>
      <c r="G15129" s="3301" t="s">
        <v>676</v>
      </c>
      <c r="H15129" s="3063"/>
      <c r="I15129" s="3030"/>
    </row>
    <row r="15130" spans="2:9">
      <c r="B15130" s="3192" t="s">
        <v>677</v>
      </c>
      <c r="C15130" s="3063"/>
      <c r="D15130" s="3064"/>
      <c r="E15130" s="3064"/>
      <c r="F15130" s="3064"/>
      <c r="G15130" s="3301" t="s">
        <v>677</v>
      </c>
      <c r="H15130" s="3063"/>
      <c r="I15130" s="3030"/>
    </row>
    <row r="15131" spans="2:9">
      <c r="B15131" s="3192" t="s">
        <v>678</v>
      </c>
      <c r="C15131" s="3063"/>
      <c r="D15131" s="3064"/>
      <c r="E15131" s="3064"/>
      <c r="F15131" s="3064"/>
      <c r="G15131" s="3301" t="s">
        <v>678</v>
      </c>
      <c r="H15131" s="3063"/>
      <c r="I15131" s="3030"/>
    </row>
    <row r="15132" spans="2:9">
      <c r="B15132" s="3192" t="s">
        <v>679</v>
      </c>
      <c r="C15132" s="3063"/>
      <c r="D15132" s="3064"/>
      <c r="E15132" s="3064"/>
      <c r="F15132" s="3064"/>
      <c r="G15132" s="3301" t="s">
        <v>679</v>
      </c>
      <c r="H15132" s="3063"/>
      <c r="I15132" s="3030"/>
    </row>
    <row r="15133" spans="2:9" ht="25.5">
      <c r="B15133" s="3192" t="s">
        <v>720</v>
      </c>
      <c r="C15133" s="3063"/>
      <c r="D15133" s="3064"/>
      <c r="E15133" s="3064"/>
      <c r="F15133" s="3064"/>
      <c r="G15133" s="3301" t="s">
        <v>720</v>
      </c>
      <c r="H15133" s="3063"/>
      <c r="I15133" s="3030"/>
    </row>
    <row r="15134" spans="2:9" ht="38.25">
      <c r="B15134" s="3299" t="s">
        <v>680</v>
      </c>
      <c r="C15134" s="3063"/>
      <c r="D15134" s="3064"/>
      <c r="E15134" s="3064"/>
      <c r="F15134" s="3064"/>
      <c r="G15134" s="3300" t="s">
        <v>680</v>
      </c>
      <c r="H15134" s="3063"/>
      <c r="I15134" s="3030"/>
    </row>
    <row r="15135" spans="2:9" ht="25.5">
      <c r="B15135" s="3192" t="s">
        <v>675</v>
      </c>
      <c r="C15135" s="3063"/>
      <c r="D15135" s="3064"/>
      <c r="E15135" s="3064"/>
      <c r="F15135" s="3064"/>
      <c r="G15135" s="3301" t="s">
        <v>675</v>
      </c>
      <c r="H15135" s="3063"/>
      <c r="I15135" s="3030"/>
    </row>
    <row r="15136" spans="2:9" ht="25.5">
      <c r="B15136" s="3192" t="s">
        <v>676</v>
      </c>
      <c r="C15136" s="3063"/>
      <c r="D15136" s="3064"/>
      <c r="E15136" s="3064"/>
      <c r="F15136" s="3064"/>
      <c r="G15136" s="3301" t="s">
        <v>676</v>
      </c>
      <c r="H15136" s="3063"/>
      <c r="I15136" s="3030"/>
    </row>
    <row r="15137" spans="2:9">
      <c r="B15137" s="3192" t="s">
        <v>677</v>
      </c>
      <c r="C15137" s="3063"/>
      <c r="D15137" s="3064"/>
      <c r="E15137" s="3064"/>
      <c r="F15137" s="3064"/>
      <c r="G15137" s="3301" t="s">
        <v>677</v>
      </c>
      <c r="H15137" s="3063"/>
      <c r="I15137" s="3030"/>
    </row>
    <row r="15138" spans="2:9">
      <c r="B15138" s="3192" t="s">
        <v>678</v>
      </c>
      <c r="C15138" s="3063"/>
      <c r="D15138" s="3064"/>
      <c r="E15138" s="3064"/>
      <c r="F15138" s="3064"/>
      <c r="G15138" s="3301" t="s">
        <v>678</v>
      </c>
      <c r="H15138" s="3063"/>
      <c r="I15138" s="3030"/>
    </row>
    <row r="15139" spans="2:9">
      <c r="B15139" s="3192" t="s">
        <v>679</v>
      </c>
      <c r="C15139" s="3063"/>
      <c r="D15139" s="3064"/>
      <c r="E15139" s="3064"/>
      <c r="F15139" s="3064"/>
      <c r="G15139" s="3301" t="s">
        <v>679</v>
      </c>
      <c r="H15139" s="3063"/>
      <c r="I15139" s="3030"/>
    </row>
    <row r="15140" spans="2:9" ht="25.5">
      <c r="B15140" s="3192" t="s">
        <v>720</v>
      </c>
      <c r="C15140" s="3063"/>
      <c r="D15140" s="3064"/>
      <c r="E15140" s="3064"/>
      <c r="F15140" s="3064"/>
      <c r="G15140" s="3301" t="s">
        <v>720</v>
      </c>
      <c r="H15140" s="3063"/>
      <c r="I15140" s="3030"/>
    </row>
    <row r="15141" spans="2:9" ht="38.25">
      <c r="B15141" s="3299" t="s">
        <v>681</v>
      </c>
      <c r="C15141" s="3063"/>
      <c r="D15141" s="3064"/>
      <c r="E15141" s="3064"/>
      <c r="F15141" s="3064"/>
      <c r="G15141" s="3300" t="s">
        <v>681</v>
      </c>
      <c r="H15141" s="3063"/>
      <c r="I15141" s="3030"/>
    </row>
    <row r="15142" spans="2:9" ht="25.5">
      <c r="B15142" s="3192" t="s">
        <v>675</v>
      </c>
      <c r="C15142" s="3063"/>
      <c r="D15142" s="3064"/>
      <c r="E15142" s="3064"/>
      <c r="F15142" s="3064"/>
      <c r="G15142" s="3301" t="s">
        <v>675</v>
      </c>
      <c r="H15142" s="3063"/>
      <c r="I15142" s="3030"/>
    </row>
    <row r="15143" spans="2:9" ht="25.5">
      <c r="B15143" s="3192" t="s">
        <v>676</v>
      </c>
      <c r="C15143" s="3063"/>
      <c r="D15143" s="3064"/>
      <c r="E15143" s="3064"/>
      <c r="F15143" s="3064"/>
      <c r="G15143" s="3301" t="s">
        <v>676</v>
      </c>
      <c r="H15143" s="3063"/>
      <c r="I15143" s="3030"/>
    </row>
    <row r="15144" spans="2:9">
      <c r="B15144" s="3192" t="s">
        <v>677</v>
      </c>
      <c r="C15144" s="3063"/>
      <c r="D15144" s="3064"/>
      <c r="E15144" s="3064"/>
      <c r="F15144" s="3064"/>
      <c r="G15144" s="3301" t="s">
        <v>677</v>
      </c>
      <c r="H15144" s="3063"/>
      <c r="I15144" s="3030"/>
    </row>
    <row r="15145" spans="2:9">
      <c r="B15145" s="3192" t="s">
        <v>678</v>
      </c>
      <c r="C15145" s="3063"/>
      <c r="D15145" s="3064"/>
      <c r="E15145" s="3064"/>
      <c r="F15145" s="3064"/>
      <c r="G15145" s="3301" t="s">
        <v>678</v>
      </c>
      <c r="H15145" s="3063"/>
      <c r="I15145" s="3030"/>
    </row>
    <row r="15146" spans="2:9">
      <c r="B15146" s="3192" t="s">
        <v>679</v>
      </c>
      <c r="C15146" s="3063"/>
      <c r="D15146" s="3064"/>
      <c r="E15146" s="3064"/>
      <c r="F15146" s="3064"/>
      <c r="G15146" s="3301" t="s">
        <v>679</v>
      </c>
      <c r="H15146" s="3063"/>
      <c r="I15146" s="3030"/>
    </row>
    <row r="15147" spans="2:9" ht="25.5">
      <c r="B15147" s="3192" t="s">
        <v>720</v>
      </c>
      <c r="C15147" s="3063"/>
      <c r="D15147" s="3064"/>
      <c r="E15147" s="3064"/>
      <c r="F15147" s="3064"/>
      <c r="G15147" s="3301" t="s">
        <v>720</v>
      </c>
      <c r="H15147" s="3063"/>
      <c r="I15147" s="3030"/>
    </row>
    <row r="15148" spans="2:9" ht="25.5">
      <c r="B15148" s="3299" t="s">
        <v>682</v>
      </c>
      <c r="C15148" s="3063"/>
      <c r="D15148" s="3064"/>
      <c r="E15148" s="3064"/>
      <c r="F15148" s="3064"/>
      <c r="G15148" s="3300" t="s">
        <v>682</v>
      </c>
      <c r="H15148" s="3063"/>
      <c r="I15148" s="3030"/>
    </row>
    <row r="15149" spans="2:9" ht="25.5">
      <c r="B15149" s="3192" t="s">
        <v>675</v>
      </c>
      <c r="C15149" s="3063"/>
      <c r="D15149" s="3064"/>
      <c r="E15149" s="3064"/>
      <c r="F15149" s="3064"/>
      <c r="G15149" s="3301" t="s">
        <v>675</v>
      </c>
      <c r="H15149" s="3063"/>
      <c r="I15149" s="3030"/>
    </row>
    <row r="15150" spans="2:9" ht="25.5">
      <c r="B15150" s="3192" t="s">
        <v>676</v>
      </c>
      <c r="C15150" s="3063"/>
      <c r="D15150" s="3064"/>
      <c r="E15150" s="3064"/>
      <c r="F15150" s="3064"/>
      <c r="G15150" s="3301" t="s">
        <v>676</v>
      </c>
      <c r="H15150" s="3063"/>
      <c r="I15150" s="3030"/>
    </row>
    <row r="15151" spans="2:9">
      <c r="B15151" s="3192" t="s">
        <v>677</v>
      </c>
      <c r="C15151" s="3063"/>
      <c r="D15151" s="3064"/>
      <c r="E15151" s="3064"/>
      <c r="F15151" s="3064"/>
      <c r="G15151" s="3301" t="s">
        <v>677</v>
      </c>
      <c r="H15151" s="3063"/>
      <c r="I15151" s="3030"/>
    </row>
    <row r="15152" spans="2:9">
      <c r="B15152" s="3192" t="s">
        <v>678</v>
      </c>
      <c r="C15152" s="3063"/>
      <c r="D15152" s="3064"/>
      <c r="E15152" s="3064"/>
      <c r="F15152" s="3064"/>
      <c r="G15152" s="3301" t="s">
        <v>678</v>
      </c>
      <c r="H15152" s="3063"/>
      <c r="I15152" s="3030"/>
    </row>
    <row r="15153" spans="2:9">
      <c r="B15153" s="3192" t="s">
        <v>679</v>
      </c>
      <c r="C15153" s="3063"/>
      <c r="D15153" s="3064"/>
      <c r="E15153" s="3064"/>
      <c r="F15153" s="3064"/>
      <c r="G15153" s="3301" t="s">
        <v>679</v>
      </c>
      <c r="H15153" s="3063"/>
      <c r="I15153" s="3030"/>
    </row>
    <row r="15154" spans="2:9" ht="25.5">
      <c r="B15154" s="3192" t="s">
        <v>720</v>
      </c>
      <c r="C15154" s="3063"/>
      <c r="D15154" s="3064"/>
      <c r="E15154" s="3064"/>
      <c r="F15154" s="3064"/>
      <c r="G15154" s="3301" t="s">
        <v>720</v>
      </c>
      <c r="H15154" s="3063"/>
      <c r="I15154" s="3030"/>
    </row>
    <row r="15155" spans="2:9" ht="25.5">
      <c r="B15155" s="3299" t="s">
        <v>66</v>
      </c>
      <c r="C15155" s="3063"/>
      <c r="D15155" s="3064"/>
      <c r="E15155" s="3064"/>
      <c r="F15155" s="3064"/>
      <c r="G15155" s="3300" t="s">
        <v>66</v>
      </c>
      <c r="H15155" s="3063"/>
      <c r="I15155" s="3030"/>
    </row>
    <row r="15156" spans="2:9" ht="25.5">
      <c r="B15156" s="3192" t="s">
        <v>675</v>
      </c>
      <c r="C15156" s="3063"/>
      <c r="D15156" s="3064"/>
      <c r="E15156" s="3064"/>
      <c r="F15156" s="3064"/>
      <c r="G15156" s="3301" t="s">
        <v>675</v>
      </c>
      <c r="H15156" s="3063"/>
      <c r="I15156" s="3030"/>
    </row>
    <row r="15157" spans="2:9" ht="25.5">
      <c r="B15157" s="3192" t="s">
        <v>676</v>
      </c>
      <c r="C15157" s="3063"/>
      <c r="D15157" s="3064"/>
      <c r="E15157" s="3064"/>
      <c r="F15157" s="3064"/>
      <c r="G15157" s="3301" t="s">
        <v>676</v>
      </c>
      <c r="H15157" s="3063"/>
      <c r="I15157" s="3030"/>
    </row>
    <row r="15158" spans="2:9">
      <c r="B15158" s="3192" t="s">
        <v>677</v>
      </c>
      <c r="C15158" s="3063"/>
      <c r="D15158" s="3064"/>
      <c r="E15158" s="3064"/>
      <c r="F15158" s="3064"/>
      <c r="G15158" s="3301" t="s">
        <v>677</v>
      </c>
      <c r="H15158" s="3063"/>
      <c r="I15158" s="3030"/>
    </row>
    <row r="15159" spans="2:9">
      <c r="B15159" s="3192" t="s">
        <v>678</v>
      </c>
      <c r="C15159" s="3063"/>
      <c r="D15159" s="3064"/>
      <c r="E15159" s="3064"/>
      <c r="F15159" s="3064"/>
      <c r="G15159" s="3301" t="s">
        <v>678</v>
      </c>
      <c r="H15159" s="3063"/>
      <c r="I15159" s="3030"/>
    </row>
    <row r="15160" spans="2:9">
      <c r="B15160" s="3192" t="s">
        <v>679</v>
      </c>
      <c r="C15160" s="3063"/>
      <c r="D15160" s="3064"/>
      <c r="E15160" s="3064"/>
      <c r="F15160" s="3064"/>
      <c r="G15160" s="3301" t="s">
        <v>679</v>
      </c>
      <c r="H15160" s="3063"/>
      <c r="I15160" s="3030"/>
    </row>
    <row r="15161" spans="2:9" ht="25.5">
      <c r="B15161" s="3192" t="s">
        <v>720</v>
      </c>
      <c r="C15161" s="3063"/>
      <c r="D15161" s="3064"/>
      <c r="E15161" s="3064"/>
      <c r="F15161" s="3064"/>
      <c r="G15161" s="3301" t="s">
        <v>720</v>
      </c>
      <c r="H15161" s="3063"/>
      <c r="I15161" s="3030"/>
    </row>
    <row r="15162" spans="2:9">
      <c r="B15162" s="3299" t="s">
        <v>67</v>
      </c>
      <c r="C15162" s="3063"/>
      <c r="D15162" s="3064"/>
      <c r="E15162" s="3064"/>
      <c r="F15162" s="3064"/>
      <c r="G15162" s="3300" t="s">
        <v>67</v>
      </c>
      <c r="H15162" s="3063"/>
      <c r="I15162" s="3030"/>
    </row>
    <row r="15163" spans="2:9" ht="25.5">
      <c r="B15163" s="3192" t="s">
        <v>675</v>
      </c>
      <c r="C15163" s="3063"/>
      <c r="D15163" s="3064"/>
      <c r="E15163" s="3064"/>
      <c r="F15163" s="3064"/>
      <c r="G15163" s="3301" t="s">
        <v>675</v>
      </c>
      <c r="H15163" s="3063"/>
      <c r="I15163" s="3030"/>
    </row>
    <row r="15164" spans="2:9" ht="25.5">
      <c r="B15164" s="3192" t="s">
        <v>676</v>
      </c>
      <c r="C15164" s="3063"/>
      <c r="D15164" s="3064"/>
      <c r="E15164" s="3064"/>
      <c r="F15164" s="3064"/>
      <c r="G15164" s="3301" t="s">
        <v>676</v>
      </c>
      <c r="H15164" s="3063"/>
      <c r="I15164" s="3030"/>
    </row>
    <row r="15165" spans="2:9">
      <c r="B15165" s="3192" t="s">
        <v>677</v>
      </c>
      <c r="C15165" s="3063"/>
      <c r="D15165" s="3064"/>
      <c r="E15165" s="3064"/>
      <c r="F15165" s="3064"/>
      <c r="G15165" s="3301" t="s">
        <v>677</v>
      </c>
      <c r="H15165" s="3063"/>
      <c r="I15165" s="3030"/>
    </row>
    <row r="15166" spans="2:9">
      <c r="B15166" s="3192" t="s">
        <v>678</v>
      </c>
      <c r="C15166" s="3063"/>
      <c r="D15166" s="3064"/>
      <c r="E15166" s="3064"/>
      <c r="F15166" s="3064"/>
      <c r="G15166" s="3301" t="s">
        <v>678</v>
      </c>
      <c r="H15166" s="3063"/>
      <c r="I15166" s="3030"/>
    </row>
    <row r="15167" spans="2:9">
      <c r="B15167" s="3192" t="s">
        <v>679</v>
      </c>
      <c r="C15167" s="3063"/>
      <c r="D15167" s="3064"/>
      <c r="E15167" s="3064"/>
      <c r="F15167" s="3064"/>
      <c r="G15167" s="3301" t="s">
        <v>679</v>
      </c>
      <c r="H15167" s="3063"/>
      <c r="I15167" s="3030"/>
    </row>
    <row r="15168" spans="2:9" ht="25.5">
      <c r="B15168" s="3230" t="s">
        <v>81</v>
      </c>
      <c r="C15168" s="3063"/>
      <c r="D15168" s="3064"/>
      <c r="E15168" s="3064"/>
      <c r="F15168" s="3064"/>
      <c r="G15168" s="3302" t="s">
        <v>81</v>
      </c>
      <c r="H15168" s="3063"/>
      <c r="I15168" s="3030"/>
    </row>
    <row r="15169" spans="2:9" ht="26.25" thickBot="1">
      <c r="B15169" s="3303" t="s">
        <v>81</v>
      </c>
      <c r="C15169" s="3063"/>
      <c r="D15169" s="3064"/>
      <c r="E15169" s="3064"/>
      <c r="F15169" s="3064"/>
      <c r="G15169" s="3302" t="s">
        <v>81</v>
      </c>
      <c r="H15169" s="3063"/>
      <c r="I15169" s="3030"/>
    </row>
    <row r="15170" spans="2:9">
      <c r="B15170" s="3217" t="s">
        <v>697</v>
      </c>
      <c r="C15170" s="3218"/>
      <c r="D15170" s="3219"/>
      <c r="E15170" s="3219"/>
      <c r="F15170" s="3219"/>
      <c r="G15170" s="3217" t="s">
        <v>697</v>
      </c>
      <c r="H15170" s="3297"/>
      <c r="I15170" s="3298"/>
    </row>
    <row r="15171" spans="2:9">
      <c r="B15171" s="3299" t="s">
        <v>64</v>
      </c>
      <c r="C15171" s="3063"/>
      <c r="D15171" s="3064"/>
      <c r="E15171" s="3064"/>
      <c r="F15171" s="3064"/>
      <c r="G15171" s="3300" t="s">
        <v>64</v>
      </c>
      <c r="H15171" s="3063"/>
      <c r="I15171" s="3030"/>
    </row>
    <row r="15172" spans="2:9" ht="25.5">
      <c r="B15172" s="3192" t="s">
        <v>675</v>
      </c>
      <c r="C15172" s="3063"/>
      <c r="D15172" s="3064"/>
      <c r="E15172" s="3064"/>
      <c r="F15172" s="3064"/>
      <c r="G15172" s="3301" t="s">
        <v>675</v>
      </c>
      <c r="H15172" s="3063"/>
      <c r="I15172" s="3030"/>
    </row>
    <row r="15173" spans="2:9" ht="25.5">
      <c r="B15173" s="3192" t="s">
        <v>676</v>
      </c>
      <c r="C15173" s="3063"/>
      <c r="D15173" s="3064"/>
      <c r="E15173" s="3064"/>
      <c r="F15173" s="3064"/>
      <c r="G15173" s="3301" t="s">
        <v>676</v>
      </c>
      <c r="H15173" s="3063"/>
      <c r="I15173" s="3030"/>
    </row>
    <row r="15174" spans="2:9">
      <c r="B15174" s="3192" t="s">
        <v>677</v>
      </c>
      <c r="C15174" s="3063"/>
      <c r="D15174" s="3064"/>
      <c r="E15174" s="3064"/>
      <c r="F15174" s="3064"/>
      <c r="G15174" s="3301" t="s">
        <v>677</v>
      </c>
      <c r="H15174" s="3063"/>
      <c r="I15174" s="3030"/>
    </row>
    <row r="15175" spans="2:9">
      <c r="B15175" s="3192" t="s">
        <v>678</v>
      </c>
      <c r="C15175" s="3063"/>
      <c r="D15175" s="3064"/>
      <c r="E15175" s="3064"/>
      <c r="F15175" s="3064"/>
      <c r="G15175" s="3301" t="s">
        <v>678</v>
      </c>
      <c r="H15175" s="3063"/>
      <c r="I15175" s="3030"/>
    </row>
    <row r="15176" spans="2:9">
      <c r="B15176" s="3192" t="s">
        <v>679</v>
      </c>
      <c r="C15176" s="3063"/>
      <c r="D15176" s="3064"/>
      <c r="E15176" s="3064"/>
      <c r="F15176" s="3064"/>
      <c r="G15176" s="3301" t="s">
        <v>679</v>
      </c>
      <c r="H15176" s="3063"/>
      <c r="I15176" s="3030"/>
    </row>
    <row r="15177" spans="2:9" ht="25.5">
      <c r="B15177" s="3192" t="s">
        <v>720</v>
      </c>
      <c r="C15177" s="3063"/>
      <c r="D15177" s="3064"/>
      <c r="E15177" s="3064"/>
      <c r="F15177" s="3064"/>
      <c r="G15177" s="3301" t="s">
        <v>720</v>
      </c>
      <c r="H15177" s="3063"/>
      <c r="I15177" s="3030"/>
    </row>
    <row r="15178" spans="2:9">
      <c r="B15178" s="3299" t="s">
        <v>65</v>
      </c>
      <c r="C15178" s="3063"/>
      <c r="D15178" s="3064"/>
      <c r="E15178" s="3064"/>
      <c r="F15178" s="3064"/>
      <c r="G15178" s="3300" t="s">
        <v>65</v>
      </c>
      <c r="H15178" s="3063"/>
      <c r="I15178" s="3030"/>
    </row>
    <row r="15179" spans="2:9" ht="25.5">
      <c r="B15179" s="3192" t="s">
        <v>675</v>
      </c>
      <c r="C15179" s="3063"/>
      <c r="D15179" s="3064"/>
      <c r="E15179" s="3064"/>
      <c r="F15179" s="3064"/>
      <c r="G15179" s="3301" t="s">
        <v>675</v>
      </c>
      <c r="H15179" s="3063"/>
      <c r="I15179" s="3030"/>
    </row>
    <row r="15180" spans="2:9" ht="25.5">
      <c r="B15180" s="3192" t="s">
        <v>676</v>
      </c>
      <c r="C15180" s="3063"/>
      <c r="D15180" s="3064"/>
      <c r="E15180" s="3064"/>
      <c r="F15180" s="3064"/>
      <c r="G15180" s="3301" t="s">
        <v>676</v>
      </c>
      <c r="H15180" s="3063"/>
      <c r="I15180" s="3030"/>
    </row>
    <row r="15181" spans="2:9">
      <c r="B15181" s="3192" t="s">
        <v>677</v>
      </c>
      <c r="C15181" s="3063"/>
      <c r="D15181" s="3064"/>
      <c r="E15181" s="3064"/>
      <c r="F15181" s="3064"/>
      <c r="G15181" s="3301" t="s">
        <v>677</v>
      </c>
      <c r="H15181" s="3063"/>
      <c r="I15181" s="3030"/>
    </row>
    <row r="15182" spans="2:9">
      <c r="B15182" s="3192" t="s">
        <v>678</v>
      </c>
      <c r="C15182" s="3063"/>
      <c r="D15182" s="3064"/>
      <c r="E15182" s="3064"/>
      <c r="F15182" s="3064"/>
      <c r="G15182" s="3301" t="s">
        <v>678</v>
      </c>
      <c r="H15182" s="3063"/>
      <c r="I15182" s="3030"/>
    </row>
    <row r="15183" spans="2:9">
      <c r="B15183" s="3192" t="s">
        <v>679</v>
      </c>
      <c r="C15183" s="3063"/>
      <c r="D15183" s="3064"/>
      <c r="E15183" s="3064"/>
      <c r="F15183" s="3064"/>
      <c r="G15183" s="3301" t="s">
        <v>679</v>
      </c>
      <c r="H15183" s="3063"/>
      <c r="I15183" s="3030"/>
    </row>
    <row r="15184" spans="2:9" ht="25.5">
      <c r="B15184" s="3192" t="s">
        <v>720</v>
      </c>
      <c r="C15184" s="3063"/>
      <c r="D15184" s="3064"/>
      <c r="E15184" s="3064"/>
      <c r="F15184" s="3064"/>
      <c r="G15184" s="3301" t="s">
        <v>720</v>
      </c>
      <c r="H15184" s="3063"/>
      <c r="I15184" s="3030"/>
    </row>
    <row r="15185" spans="2:9">
      <c r="B15185" s="3299" t="s">
        <v>82</v>
      </c>
      <c r="C15185" s="3063"/>
      <c r="D15185" s="3064"/>
      <c r="E15185" s="3064"/>
      <c r="F15185" s="3064"/>
      <c r="G15185" s="3300" t="s">
        <v>82</v>
      </c>
      <c r="H15185" s="3063"/>
      <c r="I15185" s="3030"/>
    </row>
    <row r="15186" spans="2:9" ht="25.5">
      <c r="B15186" s="3192" t="s">
        <v>675</v>
      </c>
      <c r="C15186" s="3063"/>
      <c r="D15186" s="3064"/>
      <c r="E15186" s="3064"/>
      <c r="F15186" s="3064"/>
      <c r="G15186" s="3301" t="s">
        <v>675</v>
      </c>
      <c r="H15186" s="3063"/>
      <c r="I15186" s="3030"/>
    </row>
    <row r="15187" spans="2:9" ht="25.5">
      <c r="B15187" s="3192" t="s">
        <v>676</v>
      </c>
      <c r="C15187" s="3063"/>
      <c r="D15187" s="3064"/>
      <c r="E15187" s="3064"/>
      <c r="F15187" s="3064"/>
      <c r="G15187" s="3301" t="s">
        <v>676</v>
      </c>
      <c r="H15187" s="3063"/>
      <c r="I15187" s="3030"/>
    </row>
    <row r="15188" spans="2:9">
      <c r="B15188" s="3192" t="s">
        <v>677</v>
      </c>
      <c r="C15188" s="3063"/>
      <c r="D15188" s="3064"/>
      <c r="E15188" s="3064"/>
      <c r="F15188" s="3064"/>
      <c r="G15188" s="3301" t="s">
        <v>677</v>
      </c>
      <c r="H15188" s="3063"/>
      <c r="I15188" s="3030"/>
    </row>
    <row r="15189" spans="2:9">
      <c r="B15189" s="3192" t="s">
        <v>678</v>
      </c>
      <c r="C15189" s="3063"/>
      <c r="D15189" s="3064"/>
      <c r="E15189" s="3064"/>
      <c r="F15189" s="3064"/>
      <c r="G15189" s="3301" t="s">
        <v>678</v>
      </c>
      <c r="H15189" s="3063"/>
      <c r="I15189" s="3030"/>
    </row>
    <row r="15190" spans="2:9">
      <c r="B15190" s="3192" t="s">
        <v>679</v>
      </c>
      <c r="C15190" s="3063"/>
      <c r="D15190" s="3064"/>
      <c r="E15190" s="3064"/>
      <c r="F15190" s="3064"/>
      <c r="G15190" s="3301" t="s">
        <v>679</v>
      </c>
      <c r="H15190" s="3063"/>
      <c r="I15190" s="3030"/>
    </row>
    <row r="15191" spans="2:9" ht="25.5">
      <c r="B15191" s="3192" t="s">
        <v>720</v>
      </c>
      <c r="C15191" s="3063"/>
      <c r="D15191" s="3064"/>
      <c r="E15191" s="3064"/>
      <c r="F15191" s="3064"/>
      <c r="G15191" s="3301" t="s">
        <v>720</v>
      </c>
      <c r="H15191" s="3063"/>
      <c r="I15191" s="3030"/>
    </row>
    <row r="15192" spans="2:9" ht="38.25">
      <c r="B15192" s="3299" t="s">
        <v>680</v>
      </c>
      <c r="C15192" s="3063"/>
      <c r="D15192" s="3064"/>
      <c r="E15192" s="3064"/>
      <c r="F15192" s="3064"/>
      <c r="G15192" s="3300" t="s">
        <v>680</v>
      </c>
      <c r="H15192" s="3063"/>
      <c r="I15192" s="3030"/>
    </row>
    <row r="15193" spans="2:9" ht="25.5">
      <c r="B15193" s="3192" t="s">
        <v>675</v>
      </c>
      <c r="C15193" s="3063"/>
      <c r="D15193" s="3064"/>
      <c r="E15193" s="3064"/>
      <c r="F15193" s="3064"/>
      <c r="G15193" s="3301" t="s">
        <v>675</v>
      </c>
      <c r="H15193" s="3063"/>
      <c r="I15193" s="3030"/>
    </row>
    <row r="15194" spans="2:9" ht="25.5">
      <c r="B15194" s="3192" t="s">
        <v>676</v>
      </c>
      <c r="C15194" s="3063"/>
      <c r="D15194" s="3064"/>
      <c r="E15194" s="3064"/>
      <c r="F15194" s="3064"/>
      <c r="G15194" s="3301" t="s">
        <v>676</v>
      </c>
      <c r="H15194" s="3063"/>
      <c r="I15194" s="3030"/>
    </row>
    <row r="15195" spans="2:9">
      <c r="B15195" s="3192" t="s">
        <v>677</v>
      </c>
      <c r="C15195" s="3063"/>
      <c r="D15195" s="3064"/>
      <c r="E15195" s="3064"/>
      <c r="F15195" s="3064"/>
      <c r="G15195" s="3301" t="s">
        <v>677</v>
      </c>
      <c r="H15195" s="3063"/>
      <c r="I15195" s="3030"/>
    </row>
    <row r="15196" spans="2:9">
      <c r="B15196" s="3192" t="s">
        <v>678</v>
      </c>
      <c r="C15196" s="3063"/>
      <c r="D15196" s="3064"/>
      <c r="E15196" s="3064"/>
      <c r="F15196" s="3064"/>
      <c r="G15196" s="3301" t="s">
        <v>678</v>
      </c>
      <c r="H15196" s="3063"/>
      <c r="I15196" s="3030"/>
    </row>
    <row r="15197" spans="2:9">
      <c r="B15197" s="3192" t="s">
        <v>679</v>
      </c>
      <c r="C15197" s="3063"/>
      <c r="D15197" s="3064"/>
      <c r="E15197" s="3064"/>
      <c r="F15197" s="3064"/>
      <c r="G15197" s="3301" t="s">
        <v>679</v>
      </c>
      <c r="H15197" s="3063"/>
      <c r="I15197" s="3030"/>
    </row>
    <row r="15198" spans="2:9" ht="25.5">
      <c r="B15198" s="3192" t="s">
        <v>720</v>
      </c>
      <c r="C15198" s="3063"/>
      <c r="D15198" s="3064"/>
      <c r="E15198" s="3064"/>
      <c r="F15198" s="3064"/>
      <c r="G15198" s="3301" t="s">
        <v>720</v>
      </c>
      <c r="H15198" s="3063"/>
      <c r="I15198" s="3030"/>
    </row>
    <row r="15199" spans="2:9" ht="38.25">
      <c r="B15199" s="3299" t="s">
        <v>681</v>
      </c>
      <c r="C15199" s="3063"/>
      <c r="D15199" s="3064"/>
      <c r="E15199" s="3064"/>
      <c r="F15199" s="3064"/>
      <c r="G15199" s="3300" t="s">
        <v>681</v>
      </c>
      <c r="H15199" s="3063">
        <v>1.7243807317697032E-2</v>
      </c>
      <c r="I15199" s="3030"/>
    </row>
    <row r="15200" spans="2:9" ht="25.5">
      <c r="B15200" s="3192" t="s">
        <v>675</v>
      </c>
      <c r="C15200" s="3063"/>
      <c r="D15200" s="3064"/>
      <c r="E15200" s="3064"/>
      <c r="F15200" s="3064"/>
      <c r="G15200" s="3301" t="s">
        <v>675</v>
      </c>
      <c r="H15200" s="3063"/>
      <c r="I15200" s="3030"/>
    </row>
    <row r="15201" spans="2:9" ht="25.5">
      <c r="B15201" s="3192" t="s">
        <v>676</v>
      </c>
      <c r="C15201" s="3063"/>
      <c r="D15201" s="3064"/>
      <c r="E15201" s="3064"/>
      <c r="F15201" s="3064"/>
      <c r="G15201" s="3301" t="s">
        <v>676</v>
      </c>
      <c r="H15201" s="3063"/>
      <c r="I15201" s="3030"/>
    </row>
    <row r="15202" spans="2:9">
      <c r="B15202" s="3192" t="s">
        <v>677</v>
      </c>
      <c r="C15202" s="3063"/>
      <c r="D15202" s="3064"/>
      <c r="E15202" s="3064"/>
      <c r="F15202" s="3064"/>
      <c r="G15202" s="3301" t="s">
        <v>677</v>
      </c>
      <c r="H15202" s="3063"/>
      <c r="I15202" s="3030"/>
    </row>
    <row r="15203" spans="2:9">
      <c r="B15203" s="3192" t="s">
        <v>678</v>
      </c>
      <c r="C15203" s="3063"/>
      <c r="D15203" s="3064"/>
      <c r="E15203" s="3064"/>
      <c r="F15203" s="3064"/>
      <c r="G15203" s="3301" t="s">
        <v>678</v>
      </c>
      <c r="H15203" s="3063"/>
      <c r="I15203" s="3030"/>
    </row>
    <row r="15204" spans="2:9">
      <c r="B15204" s="3192" t="s">
        <v>679</v>
      </c>
      <c r="C15204" s="3063">
        <v>1</v>
      </c>
      <c r="D15204" s="3064"/>
      <c r="E15204" s="3064"/>
      <c r="F15204" s="3064"/>
      <c r="G15204" s="3301" t="s">
        <v>679</v>
      </c>
      <c r="H15204" s="3063"/>
      <c r="I15204" s="3030"/>
    </row>
    <row r="15205" spans="2:9" ht="25.5">
      <c r="B15205" s="3192" t="s">
        <v>720</v>
      </c>
      <c r="C15205" s="3063"/>
      <c r="D15205" s="3064"/>
      <c r="E15205" s="3064"/>
      <c r="F15205" s="3064"/>
      <c r="G15205" s="3301" t="s">
        <v>720</v>
      </c>
      <c r="H15205" s="3063"/>
      <c r="I15205" s="3030"/>
    </row>
    <row r="15206" spans="2:9" ht="25.5">
      <c r="B15206" s="3299" t="s">
        <v>682</v>
      </c>
      <c r="C15206" s="3063"/>
      <c r="D15206" s="3064"/>
      <c r="E15206" s="3064"/>
      <c r="F15206" s="3064"/>
      <c r="G15206" s="3300" t="s">
        <v>682</v>
      </c>
      <c r="H15206" s="3063"/>
      <c r="I15206" s="3030"/>
    </row>
    <row r="15207" spans="2:9" ht="25.5">
      <c r="B15207" s="3192" t="s">
        <v>675</v>
      </c>
      <c r="C15207" s="3063"/>
      <c r="D15207" s="3064"/>
      <c r="E15207" s="3064"/>
      <c r="F15207" s="3064"/>
      <c r="G15207" s="3301" t="s">
        <v>675</v>
      </c>
      <c r="H15207" s="3063"/>
      <c r="I15207" s="3030"/>
    </row>
    <row r="15208" spans="2:9" ht="25.5">
      <c r="B15208" s="3192" t="s">
        <v>676</v>
      </c>
      <c r="C15208" s="3063"/>
      <c r="D15208" s="3064"/>
      <c r="E15208" s="3064"/>
      <c r="F15208" s="3064"/>
      <c r="G15208" s="3301" t="s">
        <v>676</v>
      </c>
      <c r="H15208" s="3063"/>
      <c r="I15208" s="3030"/>
    </row>
    <row r="15209" spans="2:9">
      <c r="B15209" s="3192" t="s">
        <v>677</v>
      </c>
      <c r="C15209" s="3063"/>
      <c r="D15209" s="3064"/>
      <c r="E15209" s="3064"/>
      <c r="F15209" s="3064"/>
      <c r="G15209" s="3301" t="s">
        <v>677</v>
      </c>
      <c r="H15209" s="3063"/>
      <c r="I15209" s="3030"/>
    </row>
    <row r="15210" spans="2:9">
      <c r="B15210" s="3192" t="s">
        <v>678</v>
      </c>
      <c r="C15210" s="3063"/>
      <c r="D15210" s="3064"/>
      <c r="E15210" s="3064"/>
      <c r="F15210" s="3064"/>
      <c r="G15210" s="3301" t="s">
        <v>678</v>
      </c>
      <c r="H15210" s="3063"/>
      <c r="I15210" s="3030"/>
    </row>
    <row r="15211" spans="2:9">
      <c r="B15211" s="3192" t="s">
        <v>679</v>
      </c>
      <c r="C15211" s="3063"/>
      <c r="D15211" s="3064"/>
      <c r="E15211" s="3064"/>
      <c r="F15211" s="3064"/>
      <c r="G15211" s="3301" t="s">
        <v>679</v>
      </c>
      <c r="H15211" s="3063"/>
      <c r="I15211" s="3030"/>
    </row>
    <row r="15212" spans="2:9" ht="25.5">
      <c r="B15212" s="3192" t="s">
        <v>720</v>
      </c>
      <c r="C15212" s="3063"/>
      <c r="D15212" s="3064"/>
      <c r="E15212" s="3064"/>
      <c r="F15212" s="3064"/>
      <c r="G15212" s="3301" t="s">
        <v>720</v>
      </c>
      <c r="H15212" s="3063"/>
      <c r="I15212" s="3030"/>
    </row>
    <row r="15213" spans="2:9" ht="25.5">
      <c r="B15213" s="3299" t="s">
        <v>66</v>
      </c>
      <c r="C15213" s="3063"/>
      <c r="D15213" s="3064"/>
      <c r="E15213" s="3064"/>
      <c r="F15213" s="3064"/>
      <c r="G15213" s="3300" t="s">
        <v>66</v>
      </c>
      <c r="H15213" s="3063"/>
      <c r="I15213" s="3030"/>
    </row>
    <row r="15214" spans="2:9" ht="25.5">
      <c r="B15214" s="3192" t="s">
        <v>675</v>
      </c>
      <c r="C15214" s="3063"/>
      <c r="D15214" s="3064"/>
      <c r="E15214" s="3064"/>
      <c r="F15214" s="3064"/>
      <c r="G15214" s="3301" t="s">
        <v>675</v>
      </c>
      <c r="H15214" s="3063"/>
      <c r="I15214" s="3030"/>
    </row>
    <row r="15215" spans="2:9" ht="25.5">
      <c r="B15215" s="3192" t="s">
        <v>676</v>
      </c>
      <c r="C15215" s="3063"/>
      <c r="D15215" s="3064"/>
      <c r="E15215" s="3064"/>
      <c r="F15215" s="3064"/>
      <c r="G15215" s="3301" t="s">
        <v>676</v>
      </c>
      <c r="H15215" s="3063"/>
      <c r="I15215" s="3030"/>
    </row>
    <row r="15216" spans="2:9">
      <c r="B15216" s="3192" t="s">
        <v>677</v>
      </c>
      <c r="C15216" s="3063"/>
      <c r="D15216" s="3064"/>
      <c r="E15216" s="3064"/>
      <c r="F15216" s="3064"/>
      <c r="G15216" s="3301" t="s">
        <v>677</v>
      </c>
      <c r="H15216" s="3063"/>
      <c r="I15216" s="3030"/>
    </row>
    <row r="15217" spans="2:9">
      <c r="B15217" s="3192" t="s">
        <v>678</v>
      </c>
      <c r="C15217" s="3063"/>
      <c r="D15217" s="3064"/>
      <c r="E15217" s="3064"/>
      <c r="F15217" s="3064"/>
      <c r="G15217" s="3301" t="s">
        <v>678</v>
      </c>
      <c r="H15217" s="3063"/>
      <c r="I15217" s="3030"/>
    </row>
    <row r="15218" spans="2:9">
      <c r="B15218" s="3192" t="s">
        <v>679</v>
      </c>
      <c r="C15218" s="3063"/>
      <c r="D15218" s="3064"/>
      <c r="E15218" s="3064"/>
      <c r="F15218" s="3064"/>
      <c r="G15218" s="3301" t="s">
        <v>679</v>
      </c>
      <c r="H15218" s="3063"/>
      <c r="I15218" s="3030"/>
    </row>
    <row r="15219" spans="2:9" ht="25.5">
      <c r="B15219" s="3192" t="s">
        <v>720</v>
      </c>
      <c r="C15219" s="3063"/>
      <c r="D15219" s="3064"/>
      <c r="E15219" s="3064"/>
      <c r="F15219" s="3064"/>
      <c r="G15219" s="3301" t="s">
        <v>720</v>
      </c>
      <c r="H15219" s="3063"/>
      <c r="I15219" s="3030"/>
    </row>
    <row r="15220" spans="2:9">
      <c r="B15220" s="3299" t="s">
        <v>67</v>
      </c>
      <c r="C15220" s="3063"/>
      <c r="D15220" s="3064"/>
      <c r="E15220" s="3064"/>
      <c r="F15220" s="3064"/>
      <c r="G15220" s="3300" t="s">
        <v>67</v>
      </c>
      <c r="H15220" s="3063"/>
      <c r="I15220" s="3030"/>
    </row>
    <row r="15221" spans="2:9" ht="25.5">
      <c r="B15221" s="3192" t="s">
        <v>675</v>
      </c>
      <c r="C15221" s="3063"/>
      <c r="D15221" s="3064"/>
      <c r="E15221" s="3064"/>
      <c r="F15221" s="3064"/>
      <c r="G15221" s="3301" t="s">
        <v>675</v>
      </c>
      <c r="H15221" s="3063"/>
      <c r="I15221" s="3030"/>
    </row>
    <row r="15222" spans="2:9" ht="25.5">
      <c r="B15222" s="3192" t="s">
        <v>676</v>
      </c>
      <c r="C15222" s="3063"/>
      <c r="D15222" s="3064"/>
      <c r="E15222" s="3064"/>
      <c r="F15222" s="3064"/>
      <c r="G15222" s="3301" t="s">
        <v>676</v>
      </c>
      <c r="H15222" s="3063"/>
      <c r="I15222" s="3030"/>
    </row>
    <row r="15223" spans="2:9">
      <c r="B15223" s="3192" t="s">
        <v>677</v>
      </c>
      <c r="C15223" s="3063"/>
      <c r="D15223" s="3064"/>
      <c r="E15223" s="3064"/>
      <c r="F15223" s="3064"/>
      <c r="G15223" s="3301" t="s">
        <v>677</v>
      </c>
      <c r="H15223" s="3063"/>
      <c r="I15223" s="3030"/>
    </row>
    <row r="15224" spans="2:9">
      <c r="B15224" s="3192" t="s">
        <v>678</v>
      </c>
      <c r="C15224" s="3063"/>
      <c r="D15224" s="3064"/>
      <c r="E15224" s="3064"/>
      <c r="F15224" s="3064"/>
      <c r="G15224" s="3301" t="s">
        <v>678</v>
      </c>
      <c r="H15224" s="3063"/>
      <c r="I15224" s="3030"/>
    </row>
    <row r="15225" spans="2:9">
      <c r="B15225" s="3192" t="s">
        <v>679</v>
      </c>
      <c r="C15225" s="3063"/>
      <c r="D15225" s="3064"/>
      <c r="E15225" s="3064"/>
      <c r="F15225" s="3064"/>
      <c r="G15225" s="3301" t="s">
        <v>679</v>
      </c>
      <c r="H15225" s="3063"/>
      <c r="I15225" s="3030"/>
    </row>
    <row r="15226" spans="2:9" ht="25.5">
      <c r="B15226" s="3230" t="s">
        <v>81</v>
      </c>
      <c r="C15226" s="3063"/>
      <c r="D15226" s="3064"/>
      <c r="E15226" s="3064"/>
      <c r="F15226" s="3064"/>
      <c r="G15226" s="3302" t="s">
        <v>81</v>
      </c>
      <c r="H15226" s="3063"/>
      <c r="I15226" s="3030"/>
    </row>
    <row r="15227" spans="2:9" ht="26.25" thickBot="1">
      <c r="B15227" s="3303" t="s">
        <v>81</v>
      </c>
      <c r="C15227" s="3068"/>
      <c r="D15227" s="3069"/>
      <c r="E15227" s="3069"/>
      <c r="F15227" s="3069"/>
      <c r="G15227" s="3304" t="s">
        <v>81</v>
      </c>
      <c r="H15227" s="3068"/>
      <c r="I15227" s="3070"/>
    </row>
    <row r="15228" spans="2:9" ht="38.25">
      <c r="B15228" s="4723">
        <v>3442</v>
      </c>
      <c r="C15228" s="3289"/>
      <c r="D15228" s="3290"/>
      <c r="E15228" s="3290"/>
      <c r="F15228" s="3290"/>
      <c r="G15228" s="4723">
        <v>3442</v>
      </c>
      <c r="H15228" s="3291" t="s">
        <v>687</v>
      </c>
      <c r="I15228" s="3292" t="s">
        <v>688</v>
      </c>
    </row>
    <row r="15229" spans="2:9">
      <c r="B15229" s="4724"/>
      <c r="C15229" s="4678" t="s">
        <v>686</v>
      </c>
      <c r="D15229" s="4725"/>
      <c r="E15229" s="4725"/>
      <c r="F15229" s="4726"/>
      <c r="G15229" s="4724"/>
      <c r="H15229" s="3293"/>
      <c r="I15229" s="3294"/>
    </row>
    <row r="15230" spans="2:9" ht="13.5" thickBot="1">
      <c r="B15230" s="4724"/>
      <c r="C15230" s="3215">
        <v>2013</v>
      </c>
      <c r="D15230" s="3215">
        <v>2014</v>
      </c>
      <c r="E15230" s="3215">
        <v>2015</v>
      </c>
      <c r="F15230" s="3215">
        <v>2016</v>
      </c>
      <c r="G15230" s="4724"/>
      <c r="H15230" s="3295" t="s">
        <v>390</v>
      </c>
      <c r="I15230" s="3296" t="s">
        <v>390</v>
      </c>
    </row>
    <row r="15231" spans="2:9">
      <c r="B15231" s="3217" t="s">
        <v>695</v>
      </c>
      <c r="C15231" s="3218"/>
      <c r="D15231" s="3219"/>
      <c r="E15231" s="3219"/>
      <c r="F15231" s="3219"/>
      <c r="G15231" s="3217" t="s">
        <v>695</v>
      </c>
      <c r="H15231" s="3297"/>
      <c r="I15231" s="3298"/>
    </row>
    <row r="15232" spans="2:9">
      <c r="B15232" s="3299" t="s">
        <v>64</v>
      </c>
      <c r="C15232" s="3063"/>
      <c r="D15232" s="3064"/>
      <c r="E15232" s="3064"/>
      <c r="F15232" s="3064"/>
      <c r="G15232" s="3300" t="s">
        <v>64</v>
      </c>
      <c r="H15232" s="3063"/>
      <c r="I15232" s="3030"/>
    </row>
    <row r="15233" spans="2:9" ht="25.5">
      <c r="B15233" s="3192" t="s">
        <v>675</v>
      </c>
      <c r="C15233" s="3063"/>
      <c r="D15233" s="3064"/>
      <c r="E15233" s="3064"/>
      <c r="F15233" s="3064"/>
      <c r="G15233" s="3301" t="s">
        <v>675</v>
      </c>
      <c r="H15233" s="3063"/>
      <c r="I15233" s="3030"/>
    </row>
    <row r="15234" spans="2:9" ht="25.5">
      <c r="B15234" s="3192" t="s">
        <v>676</v>
      </c>
      <c r="C15234" s="3063"/>
      <c r="D15234" s="3064"/>
      <c r="E15234" s="3064"/>
      <c r="F15234" s="3064"/>
      <c r="G15234" s="3301" t="s">
        <v>676</v>
      </c>
      <c r="H15234" s="3063"/>
      <c r="I15234" s="3030"/>
    </row>
    <row r="15235" spans="2:9">
      <c r="B15235" s="3192" t="s">
        <v>677</v>
      </c>
      <c r="C15235" s="3063"/>
      <c r="D15235" s="3064"/>
      <c r="E15235" s="3064"/>
      <c r="F15235" s="3064"/>
      <c r="G15235" s="3301" t="s">
        <v>677</v>
      </c>
      <c r="H15235" s="3063"/>
      <c r="I15235" s="3030"/>
    </row>
    <row r="15236" spans="2:9">
      <c r="B15236" s="3192" t="s">
        <v>678</v>
      </c>
      <c r="C15236" s="3063"/>
      <c r="D15236" s="3064"/>
      <c r="E15236" s="3064"/>
      <c r="F15236" s="3064"/>
      <c r="G15236" s="3301" t="s">
        <v>678</v>
      </c>
      <c r="H15236" s="3063"/>
      <c r="I15236" s="3030"/>
    </row>
    <row r="15237" spans="2:9">
      <c r="B15237" s="3192" t="s">
        <v>679</v>
      </c>
      <c r="C15237" s="3063"/>
      <c r="D15237" s="3064"/>
      <c r="E15237" s="3064"/>
      <c r="F15237" s="3064"/>
      <c r="G15237" s="3301" t="s">
        <v>679</v>
      </c>
      <c r="H15237" s="3063"/>
      <c r="I15237" s="3030"/>
    </row>
    <row r="15238" spans="2:9" ht="25.5">
      <c r="B15238" s="3192" t="s">
        <v>720</v>
      </c>
      <c r="C15238" s="3063"/>
      <c r="D15238" s="3064"/>
      <c r="E15238" s="3064"/>
      <c r="F15238" s="3064"/>
      <c r="G15238" s="3301" t="s">
        <v>720</v>
      </c>
      <c r="H15238" s="3063"/>
      <c r="I15238" s="3030"/>
    </row>
    <row r="15239" spans="2:9">
      <c r="B15239" s="3299" t="s">
        <v>65</v>
      </c>
      <c r="C15239" s="3063"/>
      <c r="D15239" s="3064"/>
      <c r="E15239" s="3064"/>
      <c r="F15239" s="3064"/>
      <c r="G15239" s="3300" t="s">
        <v>65</v>
      </c>
      <c r="H15239" s="3063"/>
      <c r="I15239" s="3030"/>
    </row>
    <row r="15240" spans="2:9" ht="25.5">
      <c r="B15240" s="3192" t="s">
        <v>675</v>
      </c>
      <c r="C15240" s="3063"/>
      <c r="D15240" s="3064"/>
      <c r="E15240" s="3064"/>
      <c r="F15240" s="3064"/>
      <c r="G15240" s="3301" t="s">
        <v>675</v>
      </c>
      <c r="H15240" s="3063"/>
      <c r="I15240" s="3030"/>
    </row>
    <row r="15241" spans="2:9" ht="25.5">
      <c r="B15241" s="3192" t="s">
        <v>676</v>
      </c>
      <c r="C15241" s="3063"/>
      <c r="D15241" s="3064"/>
      <c r="E15241" s="3064"/>
      <c r="F15241" s="3064"/>
      <c r="G15241" s="3301" t="s">
        <v>676</v>
      </c>
      <c r="H15241" s="3063"/>
      <c r="I15241" s="3030"/>
    </row>
    <row r="15242" spans="2:9">
      <c r="B15242" s="3192" t="s">
        <v>677</v>
      </c>
      <c r="C15242" s="3063"/>
      <c r="D15242" s="3064"/>
      <c r="E15242" s="3064"/>
      <c r="F15242" s="3064"/>
      <c r="G15242" s="3301" t="s">
        <v>677</v>
      </c>
      <c r="H15242" s="3063"/>
      <c r="I15242" s="3030"/>
    </row>
    <row r="15243" spans="2:9">
      <c r="B15243" s="3192" t="s">
        <v>678</v>
      </c>
      <c r="C15243" s="3063"/>
      <c r="D15243" s="3064"/>
      <c r="E15243" s="3064"/>
      <c r="F15243" s="3064"/>
      <c r="G15243" s="3301" t="s">
        <v>678</v>
      </c>
      <c r="H15243" s="3063"/>
      <c r="I15243" s="3030"/>
    </row>
    <row r="15244" spans="2:9">
      <c r="B15244" s="3192" t="s">
        <v>679</v>
      </c>
      <c r="C15244" s="3063"/>
      <c r="D15244" s="3064"/>
      <c r="E15244" s="3064"/>
      <c r="F15244" s="3064"/>
      <c r="G15244" s="3301" t="s">
        <v>679</v>
      </c>
      <c r="H15244" s="3063"/>
      <c r="I15244" s="3030"/>
    </row>
    <row r="15245" spans="2:9" ht="25.5">
      <c r="B15245" s="3192" t="s">
        <v>720</v>
      </c>
      <c r="C15245" s="3063"/>
      <c r="D15245" s="3064"/>
      <c r="E15245" s="3064"/>
      <c r="F15245" s="3064"/>
      <c r="G15245" s="3301" t="s">
        <v>720</v>
      </c>
      <c r="H15245" s="3063"/>
      <c r="I15245" s="3030"/>
    </row>
    <row r="15246" spans="2:9">
      <c r="B15246" s="3299" t="s">
        <v>82</v>
      </c>
      <c r="C15246" s="3063"/>
      <c r="D15246" s="3064"/>
      <c r="E15246" s="3064"/>
      <c r="F15246" s="3064"/>
      <c r="G15246" s="3300" t="s">
        <v>82</v>
      </c>
      <c r="H15246" s="3063"/>
      <c r="I15246" s="3030"/>
    </row>
    <row r="15247" spans="2:9" ht="25.5">
      <c r="B15247" s="3192" t="s">
        <v>675</v>
      </c>
      <c r="C15247" s="3063"/>
      <c r="D15247" s="3064"/>
      <c r="E15247" s="3064"/>
      <c r="F15247" s="3064"/>
      <c r="G15247" s="3301" t="s">
        <v>675</v>
      </c>
      <c r="H15247" s="3063"/>
      <c r="I15247" s="3030"/>
    </row>
    <row r="15248" spans="2:9" ht="25.5">
      <c r="B15248" s="3192" t="s">
        <v>676</v>
      </c>
      <c r="C15248" s="3063"/>
      <c r="D15248" s="3064"/>
      <c r="E15248" s="3064"/>
      <c r="F15248" s="3064"/>
      <c r="G15248" s="3301" t="s">
        <v>676</v>
      </c>
      <c r="H15248" s="3063"/>
      <c r="I15248" s="3030"/>
    </row>
    <row r="15249" spans="2:9">
      <c r="B15249" s="3192" t="s">
        <v>677</v>
      </c>
      <c r="C15249" s="3063"/>
      <c r="D15249" s="3064"/>
      <c r="E15249" s="3064"/>
      <c r="F15249" s="3064"/>
      <c r="G15249" s="3301" t="s">
        <v>677</v>
      </c>
      <c r="H15249" s="3063"/>
      <c r="I15249" s="3030"/>
    </row>
    <row r="15250" spans="2:9">
      <c r="B15250" s="3192" t="s">
        <v>678</v>
      </c>
      <c r="C15250" s="3063"/>
      <c r="D15250" s="3064"/>
      <c r="E15250" s="3064"/>
      <c r="F15250" s="3064"/>
      <c r="G15250" s="3301" t="s">
        <v>678</v>
      </c>
      <c r="H15250" s="3063"/>
      <c r="I15250" s="3030"/>
    </row>
    <row r="15251" spans="2:9">
      <c r="B15251" s="3192" t="s">
        <v>679</v>
      </c>
      <c r="C15251" s="3063"/>
      <c r="D15251" s="3064"/>
      <c r="E15251" s="3064"/>
      <c r="F15251" s="3064"/>
      <c r="G15251" s="3301" t="s">
        <v>679</v>
      </c>
      <c r="H15251" s="3063"/>
      <c r="I15251" s="3030"/>
    </row>
    <row r="15252" spans="2:9" ht="25.5">
      <c r="B15252" s="3192" t="s">
        <v>720</v>
      </c>
      <c r="C15252" s="3063"/>
      <c r="D15252" s="3064"/>
      <c r="E15252" s="3064"/>
      <c r="F15252" s="3064"/>
      <c r="G15252" s="3301" t="s">
        <v>720</v>
      </c>
      <c r="H15252" s="3063"/>
      <c r="I15252" s="3030"/>
    </row>
    <row r="15253" spans="2:9" ht="38.25">
      <c r="B15253" s="3299" t="s">
        <v>680</v>
      </c>
      <c r="C15253" s="3063"/>
      <c r="D15253" s="3064"/>
      <c r="E15253" s="3064"/>
      <c r="F15253" s="3064"/>
      <c r="G15253" s="3300" t="s">
        <v>680</v>
      </c>
      <c r="H15253" s="3063"/>
      <c r="I15253" s="3030"/>
    </row>
    <row r="15254" spans="2:9" ht="25.5">
      <c r="B15254" s="3192" t="s">
        <v>675</v>
      </c>
      <c r="C15254" s="3063"/>
      <c r="D15254" s="3064"/>
      <c r="E15254" s="3064"/>
      <c r="F15254" s="3064"/>
      <c r="G15254" s="3301" t="s">
        <v>675</v>
      </c>
      <c r="H15254" s="3063"/>
      <c r="I15254" s="3030"/>
    </row>
    <row r="15255" spans="2:9" ht="25.5">
      <c r="B15255" s="3192" t="s">
        <v>676</v>
      </c>
      <c r="C15255" s="3063"/>
      <c r="D15255" s="3064"/>
      <c r="E15255" s="3064"/>
      <c r="F15255" s="3064"/>
      <c r="G15255" s="3301" t="s">
        <v>676</v>
      </c>
      <c r="H15255" s="3063"/>
      <c r="I15255" s="3030"/>
    </row>
    <row r="15256" spans="2:9">
      <c r="B15256" s="3192" t="s">
        <v>677</v>
      </c>
      <c r="C15256" s="3063"/>
      <c r="D15256" s="3064"/>
      <c r="E15256" s="3064"/>
      <c r="F15256" s="3064"/>
      <c r="G15256" s="3301" t="s">
        <v>677</v>
      </c>
      <c r="H15256" s="3063"/>
      <c r="I15256" s="3030"/>
    </row>
    <row r="15257" spans="2:9">
      <c r="B15257" s="3192" t="s">
        <v>678</v>
      </c>
      <c r="C15257" s="3063"/>
      <c r="D15257" s="3064"/>
      <c r="E15257" s="3064"/>
      <c r="F15257" s="3064"/>
      <c r="G15257" s="3301" t="s">
        <v>678</v>
      </c>
      <c r="H15257" s="3063"/>
      <c r="I15257" s="3030"/>
    </row>
    <row r="15258" spans="2:9">
      <c r="B15258" s="3192" t="s">
        <v>679</v>
      </c>
      <c r="C15258" s="3063"/>
      <c r="D15258" s="3064"/>
      <c r="E15258" s="3064"/>
      <c r="F15258" s="3064"/>
      <c r="G15258" s="3301" t="s">
        <v>679</v>
      </c>
      <c r="H15258" s="3063"/>
      <c r="I15258" s="3030"/>
    </row>
    <row r="15259" spans="2:9" ht="25.5">
      <c r="B15259" s="3192" t="s">
        <v>720</v>
      </c>
      <c r="C15259" s="3063"/>
      <c r="D15259" s="3064"/>
      <c r="E15259" s="3064"/>
      <c r="F15259" s="3064"/>
      <c r="G15259" s="3301" t="s">
        <v>720</v>
      </c>
      <c r="H15259" s="3063"/>
      <c r="I15259" s="3030"/>
    </row>
    <row r="15260" spans="2:9" ht="38.25">
      <c r="B15260" s="3299" t="s">
        <v>681</v>
      </c>
      <c r="C15260" s="3063"/>
      <c r="D15260" s="3064"/>
      <c r="E15260" s="3064"/>
      <c r="F15260" s="3064"/>
      <c r="G15260" s="3300" t="s">
        <v>681</v>
      </c>
      <c r="H15260" s="3063"/>
      <c r="I15260" s="3030"/>
    </row>
    <row r="15261" spans="2:9" ht="25.5">
      <c r="B15261" s="3192" t="s">
        <v>675</v>
      </c>
      <c r="C15261" s="3063"/>
      <c r="D15261" s="3064"/>
      <c r="E15261" s="3064"/>
      <c r="F15261" s="3064"/>
      <c r="G15261" s="3301" t="s">
        <v>675</v>
      </c>
      <c r="H15261" s="3063"/>
      <c r="I15261" s="3030"/>
    </row>
    <row r="15262" spans="2:9" ht="25.5">
      <c r="B15262" s="3192" t="s">
        <v>676</v>
      </c>
      <c r="C15262" s="3063"/>
      <c r="D15262" s="3064"/>
      <c r="E15262" s="3064"/>
      <c r="F15262" s="3064"/>
      <c r="G15262" s="3301" t="s">
        <v>676</v>
      </c>
      <c r="H15262" s="3063"/>
      <c r="I15262" s="3030"/>
    </row>
    <row r="15263" spans="2:9">
      <c r="B15263" s="3192" t="s">
        <v>677</v>
      </c>
      <c r="C15263" s="3063"/>
      <c r="D15263" s="3064"/>
      <c r="E15263" s="3064"/>
      <c r="F15263" s="3064"/>
      <c r="G15263" s="3301" t="s">
        <v>677</v>
      </c>
      <c r="H15263" s="3063"/>
      <c r="I15263" s="3030"/>
    </row>
    <row r="15264" spans="2:9">
      <c r="B15264" s="3192" t="s">
        <v>678</v>
      </c>
      <c r="C15264" s="3063"/>
      <c r="D15264" s="3064"/>
      <c r="E15264" s="3064"/>
      <c r="F15264" s="3064"/>
      <c r="G15264" s="3301" t="s">
        <v>678</v>
      </c>
      <c r="H15264" s="3063"/>
      <c r="I15264" s="3030"/>
    </row>
    <row r="15265" spans="2:9">
      <c r="B15265" s="3192" t="s">
        <v>679</v>
      </c>
      <c r="C15265" s="3063"/>
      <c r="D15265" s="3064"/>
      <c r="E15265" s="3064"/>
      <c r="F15265" s="3064"/>
      <c r="G15265" s="3301" t="s">
        <v>679</v>
      </c>
      <c r="H15265" s="3063"/>
      <c r="I15265" s="3030"/>
    </row>
    <row r="15266" spans="2:9" ht="25.5">
      <c r="B15266" s="3192" t="s">
        <v>720</v>
      </c>
      <c r="C15266" s="3063"/>
      <c r="D15266" s="3064"/>
      <c r="E15266" s="3064"/>
      <c r="F15266" s="3064"/>
      <c r="G15266" s="3301" t="s">
        <v>720</v>
      </c>
      <c r="H15266" s="3063"/>
      <c r="I15266" s="3030"/>
    </row>
    <row r="15267" spans="2:9" ht="25.5">
      <c r="B15267" s="3299" t="s">
        <v>682</v>
      </c>
      <c r="C15267" s="3063"/>
      <c r="D15267" s="3064"/>
      <c r="E15267" s="3064"/>
      <c r="F15267" s="3064"/>
      <c r="G15267" s="3300" t="s">
        <v>682</v>
      </c>
      <c r="H15267" s="3063"/>
      <c r="I15267" s="3030"/>
    </row>
    <row r="15268" spans="2:9" ht="25.5">
      <c r="B15268" s="3192" t="s">
        <v>675</v>
      </c>
      <c r="C15268" s="3063"/>
      <c r="D15268" s="3064"/>
      <c r="E15268" s="3064"/>
      <c r="F15268" s="3064"/>
      <c r="G15268" s="3301" t="s">
        <v>675</v>
      </c>
      <c r="H15268" s="3063"/>
      <c r="I15268" s="3030"/>
    </row>
    <row r="15269" spans="2:9" ht="25.5">
      <c r="B15269" s="3192" t="s">
        <v>676</v>
      </c>
      <c r="C15269" s="3063"/>
      <c r="D15269" s="3064"/>
      <c r="E15269" s="3064"/>
      <c r="F15269" s="3064"/>
      <c r="G15269" s="3301" t="s">
        <v>676</v>
      </c>
      <c r="H15269" s="3063"/>
      <c r="I15269" s="3030"/>
    </row>
    <row r="15270" spans="2:9">
      <c r="B15270" s="3192" t="s">
        <v>677</v>
      </c>
      <c r="C15270" s="3063"/>
      <c r="D15270" s="3064"/>
      <c r="E15270" s="3064"/>
      <c r="F15270" s="3064"/>
      <c r="G15270" s="3301" t="s">
        <v>677</v>
      </c>
      <c r="H15270" s="3063"/>
      <c r="I15270" s="3030"/>
    </row>
    <row r="15271" spans="2:9">
      <c r="B15271" s="3192" t="s">
        <v>678</v>
      </c>
      <c r="C15271" s="3063"/>
      <c r="D15271" s="3064"/>
      <c r="E15271" s="3064"/>
      <c r="F15271" s="3064"/>
      <c r="G15271" s="3301" t="s">
        <v>678</v>
      </c>
      <c r="H15271" s="3063"/>
      <c r="I15271" s="3030"/>
    </row>
    <row r="15272" spans="2:9">
      <c r="B15272" s="3192" t="s">
        <v>679</v>
      </c>
      <c r="C15272" s="3063"/>
      <c r="D15272" s="3064"/>
      <c r="E15272" s="3064"/>
      <c r="F15272" s="3064"/>
      <c r="G15272" s="3301" t="s">
        <v>679</v>
      </c>
      <c r="H15272" s="3063"/>
      <c r="I15272" s="3030"/>
    </row>
    <row r="15273" spans="2:9" ht="25.5">
      <c r="B15273" s="3192" t="s">
        <v>720</v>
      </c>
      <c r="C15273" s="3063"/>
      <c r="D15273" s="3064"/>
      <c r="E15273" s="3064"/>
      <c r="F15273" s="3064"/>
      <c r="G15273" s="3301" t="s">
        <v>720</v>
      </c>
      <c r="H15273" s="3063"/>
      <c r="I15273" s="3030"/>
    </row>
    <row r="15274" spans="2:9" ht="25.5">
      <c r="B15274" s="3299" t="s">
        <v>66</v>
      </c>
      <c r="C15274" s="3063"/>
      <c r="D15274" s="3064"/>
      <c r="E15274" s="3064"/>
      <c r="F15274" s="3064"/>
      <c r="G15274" s="3300" t="s">
        <v>66</v>
      </c>
      <c r="H15274" s="3063"/>
      <c r="I15274" s="3030"/>
    </row>
    <row r="15275" spans="2:9" ht="25.5">
      <c r="B15275" s="3192" t="s">
        <v>675</v>
      </c>
      <c r="C15275" s="3063"/>
      <c r="D15275" s="3064"/>
      <c r="E15275" s="3064"/>
      <c r="F15275" s="3064"/>
      <c r="G15275" s="3301" t="s">
        <v>675</v>
      </c>
      <c r="H15275" s="3063"/>
      <c r="I15275" s="3030"/>
    </row>
    <row r="15276" spans="2:9" ht="25.5">
      <c r="B15276" s="3192" t="s">
        <v>676</v>
      </c>
      <c r="C15276" s="3063"/>
      <c r="D15276" s="3064"/>
      <c r="E15276" s="3064"/>
      <c r="F15276" s="3064"/>
      <c r="G15276" s="3301" t="s">
        <v>676</v>
      </c>
      <c r="H15276" s="3063"/>
      <c r="I15276" s="3030"/>
    </row>
    <row r="15277" spans="2:9">
      <c r="B15277" s="3192" t="s">
        <v>677</v>
      </c>
      <c r="C15277" s="3063"/>
      <c r="D15277" s="3064"/>
      <c r="E15277" s="3064"/>
      <c r="F15277" s="3064"/>
      <c r="G15277" s="3301" t="s">
        <v>677</v>
      </c>
      <c r="H15277" s="3063"/>
      <c r="I15277" s="3030"/>
    </row>
    <row r="15278" spans="2:9">
      <c r="B15278" s="3192" t="s">
        <v>678</v>
      </c>
      <c r="C15278" s="3063"/>
      <c r="D15278" s="3064"/>
      <c r="E15278" s="3064"/>
      <c r="F15278" s="3064"/>
      <c r="G15278" s="3301" t="s">
        <v>678</v>
      </c>
      <c r="H15278" s="3063"/>
      <c r="I15278" s="3030"/>
    </row>
    <row r="15279" spans="2:9">
      <c r="B15279" s="3192" t="s">
        <v>679</v>
      </c>
      <c r="C15279" s="3063"/>
      <c r="D15279" s="3064"/>
      <c r="E15279" s="3064"/>
      <c r="F15279" s="3064"/>
      <c r="G15279" s="3301" t="s">
        <v>679</v>
      </c>
      <c r="H15279" s="3063"/>
      <c r="I15279" s="3030"/>
    </row>
    <row r="15280" spans="2:9" ht="25.5">
      <c r="B15280" s="3192" t="s">
        <v>720</v>
      </c>
      <c r="C15280" s="3063"/>
      <c r="D15280" s="3064"/>
      <c r="E15280" s="3064"/>
      <c r="F15280" s="3064"/>
      <c r="G15280" s="3301" t="s">
        <v>720</v>
      </c>
      <c r="H15280" s="3063"/>
      <c r="I15280" s="3030"/>
    </row>
    <row r="15281" spans="2:9">
      <c r="B15281" s="3299" t="s">
        <v>67</v>
      </c>
      <c r="C15281" s="3063"/>
      <c r="D15281" s="3064"/>
      <c r="E15281" s="3064"/>
      <c r="F15281" s="3064"/>
      <c r="G15281" s="3300" t="s">
        <v>67</v>
      </c>
      <c r="H15281" s="3063"/>
      <c r="I15281" s="3030"/>
    </row>
    <row r="15282" spans="2:9" ht="25.5">
      <c r="B15282" s="3192" t="s">
        <v>675</v>
      </c>
      <c r="C15282" s="3063"/>
      <c r="D15282" s="3064"/>
      <c r="E15282" s="3064"/>
      <c r="F15282" s="3064"/>
      <c r="G15282" s="3301" t="s">
        <v>675</v>
      </c>
      <c r="H15282" s="3063"/>
      <c r="I15282" s="3030"/>
    </row>
    <row r="15283" spans="2:9" ht="25.5">
      <c r="B15283" s="3192" t="s">
        <v>676</v>
      </c>
      <c r="C15283" s="3063"/>
      <c r="D15283" s="3064"/>
      <c r="E15283" s="3064"/>
      <c r="F15283" s="3064"/>
      <c r="G15283" s="3301" t="s">
        <v>676</v>
      </c>
      <c r="H15283" s="3063"/>
      <c r="I15283" s="3030"/>
    </row>
    <row r="15284" spans="2:9">
      <c r="B15284" s="3192" t="s">
        <v>677</v>
      </c>
      <c r="C15284" s="3063"/>
      <c r="D15284" s="3064"/>
      <c r="E15284" s="3064"/>
      <c r="F15284" s="3064"/>
      <c r="G15284" s="3301" t="s">
        <v>677</v>
      </c>
      <c r="H15284" s="3063"/>
      <c r="I15284" s="3030"/>
    </row>
    <row r="15285" spans="2:9">
      <c r="B15285" s="3192" t="s">
        <v>678</v>
      </c>
      <c r="C15285" s="3063"/>
      <c r="D15285" s="3064"/>
      <c r="E15285" s="3064"/>
      <c r="F15285" s="3064"/>
      <c r="G15285" s="3301" t="s">
        <v>678</v>
      </c>
      <c r="H15285" s="3063"/>
      <c r="I15285" s="3030"/>
    </row>
    <row r="15286" spans="2:9">
      <c r="B15286" s="3192" t="s">
        <v>679</v>
      </c>
      <c r="C15286" s="3063"/>
      <c r="D15286" s="3064"/>
      <c r="E15286" s="3064"/>
      <c r="F15286" s="3064"/>
      <c r="G15286" s="3301" t="s">
        <v>679</v>
      </c>
      <c r="H15286" s="3063"/>
      <c r="I15286" s="3030"/>
    </row>
    <row r="15287" spans="2:9" ht="25.5">
      <c r="B15287" s="3192" t="s">
        <v>720</v>
      </c>
      <c r="C15287" s="3063"/>
      <c r="D15287" s="3064"/>
      <c r="E15287" s="3064"/>
      <c r="F15287" s="3064"/>
      <c r="G15287" s="3301" t="s">
        <v>720</v>
      </c>
      <c r="H15287" s="3063"/>
      <c r="I15287" s="3030"/>
    </row>
    <row r="15288" spans="2:9" ht="25.5">
      <c r="B15288" s="3230" t="s">
        <v>81</v>
      </c>
      <c r="C15288" s="3063"/>
      <c r="D15288" s="3064"/>
      <c r="E15288" s="3064"/>
      <c r="F15288" s="3064"/>
      <c r="G15288" s="3302" t="s">
        <v>81</v>
      </c>
      <c r="H15288" s="3063"/>
      <c r="I15288" s="3030"/>
    </row>
    <row r="15289" spans="2:9" ht="26.25" thickBot="1">
      <c r="B15289" s="3303" t="s">
        <v>81</v>
      </c>
      <c r="C15289" s="3063"/>
      <c r="D15289" s="3064"/>
      <c r="E15289" s="3064"/>
      <c r="F15289" s="3064"/>
      <c r="G15289" s="3302" t="s">
        <v>81</v>
      </c>
      <c r="H15289" s="3063"/>
      <c r="I15289" s="3030"/>
    </row>
    <row r="15290" spans="2:9" ht="25.5">
      <c r="B15290" s="3217" t="s">
        <v>696</v>
      </c>
      <c r="C15290" s="3218"/>
      <c r="D15290" s="3219"/>
      <c r="E15290" s="3219"/>
      <c r="F15290" s="3219"/>
      <c r="G15290" s="3217" t="s">
        <v>696</v>
      </c>
      <c r="H15290" s="3297"/>
      <c r="I15290" s="3298"/>
    </row>
    <row r="15291" spans="2:9">
      <c r="B15291" s="3299" t="s">
        <v>64</v>
      </c>
      <c r="C15291" s="3063"/>
      <c r="D15291" s="3064"/>
      <c r="E15291" s="3064"/>
      <c r="F15291" s="3064"/>
      <c r="G15291" s="3300" t="s">
        <v>64</v>
      </c>
      <c r="H15291" s="3063"/>
      <c r="I15291" s="3030"/>
    </row>
    <row r="15292" spans="2:9" ht="25.5">
      <c r="B15292" s="3192" t="s">
        <v>675</v>
      </c>
      <c r="C15292" s="3063"/>
      <c r="D15292" s="3064"/>
      <c r="E15292" s="3064"/>
      <c r="F15292" s="3064"/>
      <c r="G15292" s="3301" t="s">
        <v>675</v>
      </c>
      <c r="H15292" s="3063"/>
      <c r="I15292" s="3030"/>
    </row>
    <row r="15293" spans="2:9" ht="25.5">
      <c r="B15293" s="3192" t="s">
        <v>676</v>
      </c>
      <c r="C15293" s="3063"/>
      <c r="D15293" s="3064"/>
      <c r="E15293" s="3064"/>
      <c r="F15293" s="3064"/>
      <c r="G15293" s="3301" t="s">
        <v>676</v>
      </c>
      <c r="H15293" s="3063"/>
      <c r="I15293" s="3030"/>
    </row>
    <row r="15294" spans="2:9">
      <c r="B15294" s="3192" t="s">
        <v>677</v>
      </c>
      <c r="C15294" s="3063"/>
      <c r="D15294" s="3064"/>
      <c r="E15294" s="3064"/>
      <c r="F15294" s="3064"/>
      <c r="G15294" s="3301" t="s">
        <v>677</v>
      </c>
      <c r="H15294" s="3063"/>
      <c r="I15294" s="3030"/>
    </row>
    <row r="15295" spans="2:9">
      <c r="B15295" s="3192" t="s">
        <v>678</v>
      </c>
      <c r="C15295" s="3063"/>
      <c r="D15295" s="3064"/>
      <c r="E15295" s="3064"/>
      <c r="F15295" s="3064"/>
      <c r="G15295" s="3301" t="s">
        <v>678</v>
      </c>
      <c r="H15295" s="3063"/>
      <c r="I15295" s="3030"/>
    </row>
    <row r="15296" spans="2:9">
      <c r="B15296" s="3192" t="s">
        <v>679</v>
      </c>
      <c r="C15296" s="3063"/>
      <c r="D15296" s="3064"/>
      <c r="E15296" s="3064"/>
      <c r="F15296" s="3064"/>
      <c r="G15296" s="3301" t="s">
        <v>679</v>
      </c>
      <c r="H15296" s="3063"/>
      <c r="I15296" s="3030"/>
    </row>
    <row r="15297" spans="2:9" ht="25.5">
      <c r="B15297" s="3192" t="s">
        <v>720</v>
      </c>
      <c r="C15297" s="3063"/>
      <c r="D15297" s="3064"/>
      <c r="E15297" s="3064"/>
      <c r="F15297" s="3064"/>
      <c r="G15297" s="3301" t="s">
        <v>720</v>
      </c>
      <c r="H15297" s="3063"/>
      <c r="I15297" s="3030"/>
    </row>
    <row r="15298" spans="2:9">
      <c r="B15298" s="3299" t="s">
        <v>65</v>
      </c>
      <c r="C15298" s="3063"/>
      <c r="D15298" s="3064"/>
      <c r="E15298" s="3064"/>
      <c r="F15298" s="3064"/>
      <c r="G15298" s="3300" t="s">
        <v>65</v>
      </c>
      <c r="H15298" s="3063"/>
      <c r="I15298" s="3030"/>
    </row>
    <row r="15299" spans="2:9" ht="25.5">
      <c r="B15299" s="3192" t="s">
        <v>675</v>
      </c>
      <c r="C15299" s="3063"/>
      <c r="D15299" s="3064"/>
      <c r="E15299" s="3064"/>
      <c r="F15299" s="3064"/>
      <c r="G15299" s="3301" t="s">
        <v>675</v>
      </c>
      <c r="H15299" s="3063"/>
      <c r="I15299" s="3030"/>
    </row>
    <row r="15300" spans="2:9" ht="25.5">
      <c r="B15300" s="3192" t="s">
        <v>676</v>
      </c>
      <c r="C15300" s="3063"/>
      <c r="D15300" s="3064"/>
      <c r="E15300" s="3064"/>
      <c r="F15300" s="3064"/>
      <c r="G15300" s="3301" t="s">
        <v>676</v>
      </c>
      <c r="H15300" s="3063"/>
      <c r="I15300" s="3030"/>
    </row>
    <row r="15301" spans="2:9">
      <c r="B15301" s="3192" t="s">
        <v>677</v>
      </c>
      <c r="C15301" s="3063"/>
      <c r="D15301" s="3064"/>
      <c r="E15301" s="3064"/>
      <c r="F15301" s="3064"/>
      <c r="G15301" s="3301" t="s">
        <v>677</v>
      </c>
      <c r="H15301" s="3063"/>
      <c r="I15301" s="3030"/>
    </row>
    <row r="15302" spans="2:9">
      <c r="B15302" s="3192" t="s">
        <v>678</v>
      </c>
      <c r="C15302" s="3063"/>
      <c r="D15302" s="3064"/>
      <c r="E15302" s="3064"/>
      <c r="F15302" s="3064"/>
      <c r="G15302" s="3301" t="s">
        <v>678</v>
      </c>
      <c r="H15302" s="3063"/>
      <c r="I15302" s="3030"/>
    </row>
    <row r="15303" spans="2:9">
      <c r="B15303" s="3192" t="s">
        <v>679</v>
      </c>
      <c r="C15303" s="3063"/>
      <c r="D15303" s="3064"/>
      <c r="E15303" s="3064"/>
      <c r="F15303" s="3064"/>
      <c r="G15303" s="3301" t="s">
        <v>679</v>
      </c>
      <c r="H15303" s="3063"/>
      <c r="I15303" s="3030"/>
    </row>
    <row r="15304" spans="2:9" ht="25.5">
      <c r="B15304" s="3192" t="s">
        <v>720</v>
      </c>
      <c r="C15304" s="3063"/>
      <c r="D15304" s="3064"/>
      <c r="E15304" s="3064"/>
      <c r="F15304" s="3064"/>
      <c r="G15304" s="3301" t="s">
        <v>720</v>
      </c>
      <c r="H15304" s="3063"/>
      <c r="I15304" s="3030"/>
    </row>
    <row r="15305" spans="2:9">
      <c r="B15305" s="3299" t="s">
        <v>82</v>
      </c>
      <c r="C15305" s="3063"/>
      <c r="D15305" s="3064"/>
      <c r="E15305" s="3064"/>
      <c r="F15305" s="3064"/>
      <c r="G15305" s="3300" t="s">
        <v>82</v>
      </c>
      <c r="H15305" s="3063"/>
      <c r="I15305" s="3030"/>
    </row>
    <row r="15306" spans="2:9" ht="25.5">
      <c r="B15306" s="3192" t="s">
        <v>675</v>
      </c>
      <c r="C15306" s="3063"/>
      <c r="D15306" s="3064"/>
      <c r="E15306" s="3064"/>
      <c r="F15306" s="3064"/>
      <c r="G15306" s="3301" t="s">
        <v>675</v>
      </c>
      <c r="H15306" s="3063"/>
      <c r="I15306" s="3030"/>
    </row>
    <row r="15307" spans="2:9" ht="25.5">
      <c r="B15307" s="3192" t="s">
        <v>676</v>
      </c>
      <c r="C15307" s="3063"/>
      <c r="D15307" s="3064"/>
      <c r="E15307" s="3064"/>
      <c r="F15307" s="3064"/>
      <c r="G15307" s="3301" t="s">
        <v>676</v>
      </c>
      <c r="H15307" s="3063"/>
      <c r="I15307" s="3030"/>
    </row>
    <row r="15308" spans="2:9">
      <c r="B15308" s="3192" t="s">
        <v>677</v>
      </c>
      <c r="C15308" s="3063"/>
      <c r="D15308" s="3064"/>
      <c r="E15308" s="3064"/>
      <c r="F15308" s="3064"/>
      <c r="G15308" s="3301" t="s">
        <v>677</v>
      </c>
      <c r="H15308" s="3063"/>
      <c r="I15308" s="3030"/>
    </row>
    <row r="15309" spans="2:9">
      <c r="B15309" s="3192" t="s">
        <v>678</v>
      </c>
      <c r="C15309" s="3063"/>
      <c r="D15309" s="3064"/>
      <c r="E15309" s="3064"/>
      <c r="F15309" s="3064"/>
      <c r="G15309" s="3301" t="s">
        <v>678</v>
      </c>
      <c r="H15309" s="3063"/>
      <c r="I15309" s="3030"/>
    </row>
    <row r="15310" spans="2:9">
      <c r="B15310" s="3192" t="s">
        <v>679</v>
      </c>
      <c r="C15310" s="3063"/>
      <c r="D15310" s="3064"/>
      <c r="E15310" s="3064"/>
      <c r="F15310" s="3064"/>
      <c r="G15310" s="3301" t="s">
        <v>679</v>
      </c>
      <c r="H15310" s="3063"/>
      <c r="I15310" s="3030"/>
    </row>
    <row r="15311" spans="2:9" ht="25.5">
      <c r="B15311" s="3192" t="s">
        <v>720</v>
      </c>
      <c r="C15311" s="3063"/>
      <c r="D15311" s="3064"/>
      <c r="E15311" s="3064"/>
      <c r="F15311" s="3064"/>
      <c r="G15311" s="3301" t="s">
        <v>720</v>
      </c>
      <c r="H15311" s="3063"/>
      <c r="I15311" s="3030"/>
    </row>
    <row r="15312" spans="2:9" ht="38.25">
      <c r="B15312" s="3299" t="s">
        <v>680</v>
      </c>
      <c r="C15312" s="3063"/>
      <c r="D15312" s="3064"/>
      <c r="E15312" s="3064"/>
      <c r="F15312" s="3064"/>
      <c r="G15312" s="3300" t="s">
        <v>680</v>
      </c>
      <c r="H15312" s="3063"/>
      <c r="I15312" s="3030"/>
    </row>
    <row r="15313" spans="2:9" ht="25.5">
      <c r="B15313" s="3192" t="s">
        <v>675</v>
      </c>
      <c r="C15313" s="3063"/>
      <c r="D15313" s="3064"/>
      <c r="E15313" s="3064"/>
      <c r="F15313" s="3064"/>
      <c r="G15313" s="3301" t="s">
        <v>675</v>
      </c>
      <c r="H15313" s="3063"/>
      <c r="I15313" s="3030"/>
    </row>
    <row r="15314" spans="2:9" ht="25.5">
      <c r="B15314" s="3192" t="s">
        <v>676</v>
      </c>
      <c r="C15314" s="3063"/>
      <c r="D15314" s="3064"/>
      <c r="E15314" s="3064"/>
      <c r="F15314" s="3064"/>
      <c r="G15314" s="3301" t="s">
        <v>676</v>
      </c>
      <c r="H15314" s="3063"/>
      <c r="I15314" s="3030"/>
    </row>
    <row r="15315" spans="2:9">
      <c r="B15315" s="3192" t="s">
        <v>677</v>
      </c>
      <c r="C15315" s="3063"/>
      <c r="D15315" s="3064"/>
      <c r="E15315" s="3064"/>
      <c r="F15315" s="3064"/>
      <c r="G15315" s="3301" t="s">
        <v>677</v>
      </c>
      <c r="H15315" s="3063"/>
      <c r="I15315" s="3030"/>
    </row>
    <row r="15316" spans="2:9">
      <c r="B15316" s="3192" t="s">
        <v>678</v>
      </c>
      <c r="C15316" s="3063"/>
      <c r="D15316" s="3064"/>
      <c r="E15316" s="3064"/>
      <c r="F15316" s="3064"/>
      <c r="G15316" s="3301" t="s">
        <v>678</v>
      </c>
      <c r="H15316" s="3063"/>
      <c r="I15316" s="3030"/>
    </row>
    <row r="15317" spans="2:9">
      <c r="B15317" s="3192" t="s">
        <v>679</v>
      </c>
      <c r="C15317" s="3063"/>
      <c r="D15317" s="3064"/>
      <c r="E15317" s="3064"/>
      <c r="F15317" s="3064"/>
      <c r="G15317" s="3301" t="s">
        <v>679</v>
      </c>
      <c r="H15317" s="3063"/>
      <c r="I15317" s="3030"/>
    </row>
    <row r="15318" spans="2:9" ht="25.5">
      <c r="B15318" s="3192" t="s">
        <v>720</v>
      </c>
      <c r="C15318" s="3063"/>
      <c r="D15318" s="3064"/>
      <c r="E15318" s="3064"/>
      <c r="F15318" s="3064"/>
      <c r="G15318" s="3301" t="s">
        <v>720</v>
      </c>
      <c r="H15318" s="3063"/>
      <c r="I15318" s="3030"/>
    </row>
    <row r="15319" spans="2:9" ht="38.25">
      <c r="B15319" s="3299" t="s">
        <v>681</v>
      </c>
      <c r="C15319" s="3063"/>
      <c r="D15319" s="3064"/>
      <c r="E15319" s="3064"/>
      <c r="F15319" s="3064"/>
      <c r="G15319" s="3300" t="s">
        <v>681</v>
      </c>
      <c r="H15319" s="3063"/>
      <c r="I15319" s="3030"/>
    </row>
    <row r="15320" spans="2:9" ht="25.5">
      <c r="B15320" s="3192" t="s">
        <v>675</v>
      </c>
      <c r="C15320" s="3063"/>
      <c r="D15320" s="3064"/>
      <c r="E15320" s="3064"/>
      <c r="F15320" s="3064"/>
      <c r="G15320" s="3301" t="s">
        <v>675</v>
      </c>
      <c r="H15320" s="3063"/>
      <c r="I15320" s="3030"/>
    </row>
    <row r="15321" spans="2:9" ht="25.5">
      <c r="B15321" s="3192" t="s">
        <v>676</v>
      </c>
      <c r="C15321" s="3063"/>
      <c r="D15321" s="3064"/>
      <c r="E15321" s="3064"/>
      <c r="F15321" s="3064"/>
      <c r="G15321" s="3301" t="s">
        <v>676</v>
      </c>
      <c r="H15321" s="3063"/>
      <c r="I15321" s="3030"/>
    </row>
    <row r="15322" spans="2:9">
      <c r="B15322" s="3192" t="s">
        <v>677</v>
      </c>
      <c r="C15322" s="3063"/>
      <c r="D15322" s="3064"/>
      <c r="E15322" s="3064"/>
      <c r="F15322" s="3064"/>
      <c r="G15322" s="3301" t="s">
        <v>677</v>
      </c>
      <c r="H15322" s="3063"/>
      <c r="I15322" s="3030"/>
    </row>
    <row r="15323" spans="2:9">
      <c r="B15323" s="3192" t="s">
        <v>678</v>
      </c>
      <c r="C15323" s="3063"/>
      <c r="D15323" s="3064"/>
      <c r="E15323" s="3064"/>
      <c r="F15323" s="3064"/>
      <c r="G15323" s="3301" t="s">
        <v>678</v>
      </c>
      <c r="H15323" s="3063"/>
      <c r="I15323" s="3030"/>
    </row>
    <row r="15324" spans="2:9">
      <c r="B15324" s="3192" t="s">
        <v>679</v>
      </c>
      <c r="C15324" s="3063"/>
      <c r="D15324" s="3064"/>
      <c r="E15324" s="3064"/>
      <c r="F15324" s="3064"/>
      <c r="G15324" s="3301" t="s">
        <v>679</v>
      </c>
      <c r="H15324" s="3063"/>
      <c r="I15324" s="3030"/>
    </row>
    <row r="15325" spans="2:9" ht="25.5">
      <c r="B15325" s="3192" t="s">
        <v>720</v>
      </c>
      <c r="C15325" s="3063"/>
      <c r="D15325" s="3064"/>
      <c r="E15325" s="3064"/>
      <c r="F15325" s="3064"/>
      <c r="G15325" s="3301" t="s">
        <v>720</v>
      </c>
      <c r="H15325" s="3063"/>
      <c r="I15325" s="3030"/>
    </row>
    <row r="15326" spans="2:9" ht="25.5">
      <c r="B15326" s="3299" t="s">
        <v>682</v>
      </c>
      <c r="C15326" s="3063"/>
      <c r="D15326" s="3064"/>
      <c r="E15326" s="3064"/>
      <c r="F15326" s="3064"/>
      <c r="G15326" s="3300" t="s">
        <v>682</v>
      </c>
      <c r="H15326" s="3063"/>
      <c r="I15326" s="3030"/>
    </row>
    <row r="15327" spans="2:9" ht="25.5">
      <c r="B15327" s="3192" t="s">
        <v>675</v>
      </c>
      <c r="C15327" s="3063"/>
      <c r="D15327" s="3064"/>
      <c r="E15327" s="3064"/>
      <c r="F15327" s="3064"/>
      <c r="G15327" s="3301" t="s">
        <v>675</v>
      </c>
      <c r="H15327" s="3063"/>
      <c r="I15327" s="3030"/>
    </row>
    <row r="15328" spans="2:9" ht="25.5">
      <c r="B15328" s="3192" t="s">
        <v>676</v>
      </c>
      <c r="C15328" s="3063"/>
      <c r="D15328" s="3064"/>
      <c r="E15328" s="3064"/>
      <c r="F15328" s="3064"/>
      <c r="G15328" s="3301" t="s">
        <v>676</v>
      </c>
      <c r="H15328" s="3063"/>
      <c r="I15328" s="3030"/>
    </row>
    <row r="15329" spans="2:9">
      <c r="B15329" s="3192" t="s">
        <v>677</v>
      </c>
      <c r="C15329" s="3063"/>
      <c r="D15329" s="3064"/>
      <c r="E15329" s="3064"/>
      <c r="F15329" s="3064"/>
      <c r="G15329" s="3301" t="s">
        <v>677</v>
      </c>
      <c r="H15329" s="3063"/>
      <c r="I15329" s="3030"/>
    </row>
    <row r="15330" spans="2:9">
      <c r="B15330" s="3192" t="s">
        <v>678</v>
      </c>
      <c r="C15330" s="3063"/>
      <c r="D15330" s="3064"/>
      <c r="E15330" s="3064"/>
      <c r="F15330" s="3064"/>
      <c r="G15330" s="3301" t="s">
        <v>678</v>
      </c>
      <c r="H15330" s="3063"/>
      <c r="I15330" s="3030"/>
    </row>
    <row r="15331" spans="2:9">
      <c r="B15331" s="3192" t="s">
        <v>679</v>
      </c>
      <c r="C15331" s="3063"/>
      <c r="D15331" s="3064"/>
      <c r="E15331" s="3064"/>
      <c r="F15331" s="3064"/>
      <c r="G15331" s="3301" t="s">
        <v>679</v>
      </c>
      <c r="H15331" s="3063"/>
      <c r="I15331" s="3030"/>
    </row>
    <row r="15332" spans="2:9" ht="25.5">
      <c r="B15332" s="3192" t="s">
        <v>720</v>
      </c>
      <c r="C15332" s="3063"/>
      <c r="D15332" s="3064"/>
      <c r="E15332" s="3064"/>
      <c r="F15332" s="3064"/>
      <c r="G15332" s="3301" t="s">
        <v>720</v>
      </c>
      <c r="H15332" s="3063"/>
      <c r="I15332" s="3030"/>
    </row>
    <row r="15333" spans="2:9" ht="25.5">
      <c r="B15333" s="3299" t="s">
        <v>66</v>
      </c>
      <c r="C15333" s="3063"/>
      <c r="D15333" s="3064"/>
      <c r="E15333" s="3064"/>
      <c r="F15333" s="3064"/>
      <c r="G15333" s="3300" t="s">
        <v>66</v>
      </c>
      <c r="H15333" s="3063"/>
      <c r="I15333" s="3030"/>
    </row>
    <row r="15334" spans="2:9" ht="25.5">
      <c r="B15334" s="3192" t="s">
        <v>675</v>
      </c>
      <c r="C15334" s="3063"/>
      <c r="D15334" s="3064"/>
      <c r="E15334" s="3064"/>
      <c r="F15334" s="3064"/>
      <c r="G15334" s="3301" t="s">
        <v>675</v>
      </c>
      <c r="H15334" s="3063"/>
      <c r="I15334" s="3030"/>
    </row>
    <row r="15335" spans="2:9" ht="25.5">
      <c r="B15335" s="3192" t="s">
        <v>676</v>
      </c>
      <c r="C15335" s="3063"/>
      <c r="D15335" s="3064"/>
      <c r="E15335" s="3064"/>
      <c r="F15335" s="3064"/>
      <c r="G15335" s="3301" t="s">
        <v>676</v>
      </c>
      <c r="H15335" s="3063"/>
      <c r="I15335" s="3030"/>
    </row>
    <row r="15336" spans="2:9">
      <c r="B15336" s="3192" t="s">
        <v>677</v>
      </c>
      <c r="C15336" s="3063"/>
      <c r="D15336" s="3064"/>
      <c r="E15336" s="3064"/>
      <c r="F15336" s="3064"/>
      <c r="G15336" s="3301" t="s">
        <v>677</v>
      </c>
      <c r="H15336" s="3063"/>
      <c r="I15336" s="3030"/>
    </row>
    <row r="15337" spans="2:9">
      <c r="B15337" s="3192" t="s">
        <v>678</v>
      </c>
      <c r="C15337" s="3063"/>
      <c r="D15337" s="3064"/>
      <c r="E15337" s="3064"/>
      <c r="F15337" s="3064"/>
      <c r="G15337" s="3301" t="s">
        <v>678</v>
      </c>
      <c r="H15337" s="3063"/>
      <c r="I15337" s="3030"/>
    </row>
    <row r="15338" spans="2:9">
      <c r="B15338" s="3192" t="s">
        <v>679</v>
      </c>
      <c r="C15338" s="3063"/>
      <c r="D15338" s="3064"/>
      <c r="E15338" s="3064"/>
      <c r="F15338" s="3064"/>
      <c r="G15338" s="3301" t="s">
        <v>679</v>
      </c>
      <c r="H15338" s="3063"/>
      <c r="I15338" s="3030"/>
    </row>
    <row r="15339" spans="2:9" ht="25.5">
      <c r="B15339" s="3192" t="s">
        <v>720</v>
      </c>
      <c r="C15339" s="3063"/>
      <c r="D15339" s="3064"/>
      <c r="E15339" s="3064"/>
      <c r="F15339" s="3064"/>
      <c r="G15339" s="3301" t="s">
        <v>720</v>
      </c>
      <c r="H15339" s="3063"/>
      <c r="I15339" s="3030"/>
    </row>
    <row r="15340" spans="2:9">
      <c r="B15340" s="3299" t="s">
        <v>67</v>
      </c>
      <c r="C15340" s="3063"/>
      <c r="D15340" s="3064"/>
      <c r="E15340" s="3064"/>
      <c r="F15340" s="3064"/>
      <c r="G15340" s="3300" t="s">
        <v>67</v>
      </c>
      <c r="H15340" s="3063"/>
      <c r="I15340" s="3030"/>
    </row>
    <row r="15341" spans="2:9" ht="25.5">
      <c r="B15341" s="3192" t="s">
        <v>675</v>
      </c>
      <c r="C15341" s="3063"/>
      <c r="D15341" s="3064"/>
      <c r="E15341" s="3064"/>
      <c r="F15341" s="3064"/>
      <c r="G15341" s="3301" t="s">
        <v>675</v>
      </c>
      <c r="H15341" s="3063"/>
      <c r="I15341" s="3030"/>
    </row>
    <row r="15342" spans="2:9" ht="25.5">
      <c r="B15342" s="3192" t="s">
        <v>676</v>
      </c>
      <c r="C15342" s="3063"/>
      <c r="D15342" s="3064"/>
      <c r="E15342" s="3064"/>
      <c r="F15342" s="3064"/>
      <c r="G15342" s="3301" t="s">
        <v>676</v>
      </c>
      <c r="H15342" s="3063"/>
      <c r="I15342" s="3030"/>
    </row>
    <row r="15343" spans="2:9">
      <c r="B15343" s="3192" t="s">
        <v>677</v>
      </c>
      <c r="C15343" s="3063"/>
      <c r="D15343" s="3064"/>
      <c r="E15343" s="3064"/>
      <c r="F15343" s="3064"/>
      <c r="G15343" s="3301" t="s">
        <v>677</v>
      </c>
      <c r="H15343" s="3063"/>
      <c r="I15343" s="3030"/>
    </row>
    <row r="15344" spans="2:9">
      <c r="B15344" s="3192" t="s">
        <v>678</v>
      </c>
      <c r="C15344" s="3063"/>
      <c r="D15344" s="3064"/>
      <c r="E15344" s="3064"/>
      <c r="F15344" s="3064"/>
      <c r="G15344" s="3301" t="s">
        <v>678</v>
      </c>
      <c r="H15344" s="3063"/>
      <c r="I15344" s="3030"/>
    </row>
    <row r="15345" spans="2:9">
      <c r="B15345" s="3192" t="s">
        <v>679</v>
      </c>
      <c r="C15345" s="3063"/>
      <c r="D15345" s="3064"/>
      <c r="E15345" s="3064"/>
      <c r="F15345" s="3064"/>
      <c r="G15345" s="3301" t="s">
        <v>679</v>
      </c>
      <c r="H15345" s="3063"/>
      <c r="I15345" s="3030"/>
    </row>
    <row r="15346" spans="2:9" ht="25.5">
      <c r="B15346" s="3230" t="s">
        <v>81</v>
      </c>
      <c r="C15346" s="3063"/>
      <c r="D15346" s="3064"/>
      <c r="E15346" s="3064"/>
      <c r="F15346" s="3064"/>
      <c r="G15346" s="3302" t="s">
        <v>81</v>
      </c>
      <c r="H15346" s="3063"/>
      <c r="I15346" s="3030"/>
    </row>
    <row r="15347" spans="2:9" ht="26.25" thickBot="1">
      <c r="B15347" s="3303" t="s">
        <v>81</v>
      </c>
      <c r="C15347" s="3063"/>
      <c r="D15347" s="3064"/>
      <c r="E15347" s="3064"/>
      <c r="F15347" s="3064"/>
      <c r="G15347" s="3302" t="s">
        <v>81</v>
      </c>
      <c r="H15347" s="3063"/>
      <c r="I15347" s="3030"/>
    </row>
    <row r="15348" spans="2:9">
      <c r="B15348" s="3217" t="s">
        <v>697</v>
      </c>
      <c r="C15348" s="3218"/>
      <c r="D15348" s="3219"/>
      <c r="E15348" s="3219"/>
      <c r="F15348" s="3219"/>
      <c r="G15348" s="3217" t="s">
        <v>697</v>
      </c>
      <c r="H15348" s="3297"/>
      <c r="I15348" s="3298"/>
    </row>
    <row r="15349" spans="2:9">
      <c r="B15349" s="3299" t="s">
        <v>64</v>
      </c>
      <c r="C15349" s="3063"/>
      <c r="D15349" s="3064"/>
      <c r="E15349" s="3064"/>
      <c r="F15349" s="3064"/>
      <c r="G15349" s="3300" t="s">
        <v>64</v>
      </c>
      <c r="H15349" s="3063"/>
      <c r="I15349" s="3030"/>
    </row>
    <row r="15350" spans="2:9" ht="25.5">
      <c r="B15350" s="3192" t="s">
        <v>675</v>
      </c>
      <c r="C15350" s="3063"/>
      <c r="D15350" s="3064"/>
      <c r="E15350" s="3064"/>
      <c r="F15350" s="3064"/>
      <c r="G15350" s="3301" t="s">
        <v>675</v>
      </c>
      <c r="H15350" s="3063"/>
      <c r="I15350" s="3030"/>
    </row>
    <row r="15351" spans="2:9" ht="25.5">
      <c r="B15351" s="3192" t="s">
        <v>676</v>
      </c>
      <c r="C15351" s="3063"/>
      <c r="D15351" s="3064"/>
      <c r="E15351" s="3064"/>
      <c r="F15351" s="3064"/>
      <c r="G15351" s="3301" t="s">
        <v>676</v>
      </c>
      <c r="H15351" s="3063"/>
      <c r="I15351" s="3030"/>
    </row>
    <row r="15352" spans="2:9">
      <c r="B15352" s="3192" t="s">
        <v>677</v>
      </c>
      <c r="C15352" s="3063"/>
      <c r="D15352" s="3064"/>
      <c r="E15352" s="3064"/>
      <c r="F15352" s="3064"/>
      <c r="G15352" s="3301" t="s">
        <v>677</v>
      </c>
      <c r="H15352" s="3063"/>
      <c r="I15352" s="3030"/>
    </row>
    <row r="15353" spans="2:9">
      <c r="B15353" s="3192" t="s">
        <v>678</v>
      </c>
      <c r="C15353" s="3063"/>
      <c r="D15353" s="3064"/>
      <c r="E15353" s="3064"/>
      <c r="F15353" s="3064"/>
      <c r="G15353" s="3301" t="s">
        <v>678</v>
      </c>
      <c r="H15353" s="3063"/>
      <c r="I15353" s="3030"/>
    </row>
    <row r="15354" spans="2:9">
      <c r="B15354" s="3192" t="s">
        <v>679</v>
      </c>
      <c r="C15354" s="3063"/>
      <c r="D15354" s="3064"/>
      <c r="E15354" s="3064"/>
      <c r="F15354" s="3064"/>
      <c r="G15354" s="3301" t="s">
        <v>679</v>
      </c>
      <c r="H15354" s="3063"/>
      <c r="I15354" s="3030"/>
    </row>
    <row r="15355" spans="2:9" ht="25.5">
      <c r="B15355" s="3192" t="s">
        <v>720</v>
      </c>
      <c r="C15355" s="3063"/>
      <c r="D15355" s="3064"/>
      <c r="E15355" s="3064"/>
      <c r="F15355" s="3064"/>
      <c r="G15355" s="3301" t="s">
        <v>720</v>
      </c>
      <c r="H15355" s="3063"/>
      <c r="I15355" s="3030"/>
    </row>
    <row r="15356" spans="2:9">
      <c r="B15356" s="3299" t="s">
        <v>65</v>
      </c>
      <c r="C15356" s="3063"/>
      <c r="D15356" s="3064"/>
      <c r="E15356" s="3064"/>
      <c r="F15356" s="3064"/>
      <c r="G15356" s="3300" t="s">
        <v>65</v>
      </c>
      <c r="H15356" s="3063"/>
      <c r="I15356" s="3030"/>
    </row>
    <row r="15357" spans="2:9" ht="25.5">
      <c r="B15357" s="3192" t="s">
        <v>675</v>
      </c>
      <c r="C15357" s="3063"/>
      <c r="D15357" s="3064"/>
      <c r="E15357" s="3064"/>
      <c r="F15357" s="3064"/>
      <c r="G15357" s="3301" t="s">
        <v>675</v>
      </c>
      <c r="H15357" s="3063"/>
      <c r="I15357" s="3030"/>
    </row>
    <row r="15358" spans="2:9" ht="25.5">
      <c r="B15358" s="3192" t="s">
        <v>676</v>
      </c>
      <c r="C15358" s="3063"/>
      <c r="D15358" s="3064"/>
      <c r="E15358" s="3064"/>
      <c r="F15358" s="3064"/>
      <c r="G15358" s="3301" t="s">
        <v>676</v>
      </c>
      <c r="H15358" s="3063"/>
      <c r="I15358" s="3030"/>
    </row>
    <row r="15359" spans="2:9">
      <c r="B15359" s="3192" t="s">
        <v>677</v>
      </c>
      <c r="C15359" s="3063"/>
      <c r="D15359" s="3064"/>
      <c r="E15359" s="3064"/>
      <c r="F15359" s="3064"/>
      <c r="G15359" s="3301" t="s">
        <v>677</v>
      </c>
      <c r="H15359" s="3063"/>
      <c r="I15359" s="3030"/>
    </row>
    <row r="15360" spans="2:9">
      <c r="B15360" s="3192" t="s">
        <v>678</v>
      </c>
      <c r="C15360" s="3063"/>
      <c r="D15360" s="3064"/>
      <c r="E15360" s="3064"/>
      <c r="F15360" s="3064"/>
      <c r="G15360" s="3301" t="s">
        <v>678</v>
      </c>
      <c r="H15360" s="3063"/>
      <c r="I15360" s="3030"/>
    </row>
    <row r="15361" spans="2:9">
      <c r="B15361" s="3192" t="s">
        <v>679</v>
      </c>
      <c r="C15361" s="3063"/>
      <c r="D15361" s="3064"/>
      <c r="E15361" s="3064"/>
      <c r="F15361" s="3064"/>
      <c r="G15361" s="3301" t="s">
        <v>679</v>
      </c>
      <c r="H15361" s="3063"/>
      <c r="I15361" s="3030"/>
    </row>
    <row r="15362" spans="2:9" ht="25.5">
      <c r="B15362" s="3192" t="s">
        <v>720</v>
      </c>
      <c r="C15362" s="3063"/>
      <c r="D15362" s="3064"/>
      <c r="E15362" s="3064"/>
      <c r="F15362" s="3064"/>
      <c r="G15362" s="3301" t="s">
        <v>720</v>
      </c>
      <c r="H15362" s="3063"/>
      <c r="I15362" s="3030"/>
    </row>
    <row r="15363" spans="2:9">
      <c r="B15363" s="3299" t="s">
        <v>82</v>
      </c>
      <c r="C15363" s="3063"/>
      <c r="D15363" s="3064"/>
      <c r="E15363" s="3064"/>
      <c r="F15363" s="3064"/>
      <c r="G15363" s="3300" t="s">
        <v>82</v>
      </c>
      <c r="H15363" s="3063"/>
      <c r="I15363" s="3030"/>
    </row>
    <row r="15364" spans="2:9" ht="25.5">
      <c r="B15364" s="3192" t="s">
        <v>675</v>
      </c>
      <c r="C15364" s="3063"/>
      <c r="D15364" s="3064"/>
      <c r="E15364" s="3064"/>
      <c r="F15364" s="3064"/>
      <c r="G15364" s="3301" t="s">
        <v>675</v>
      </c>
      <c r="H15364" s="3063"/>
      <c r="I15364" s="3030"/>
    </row>
    <row r="15365" spans="2:9" ht="25.5">
      <c r="B15365" s="3192" t="s">
        <v>676</v>
      </c>
      <c r="C15365" s="3063"/>
      <c r="D15365" s="3064"/>
      <c r="E15365" s="3064"/>
      <c r="F15365" s="3064"/>
      <c r="G15365" s="3301" t="s">
        <v>676</v>
      </c>
      <c r="H15365" s="3063"/>
      <c r="I15365" s="3030"/>
    </row>
    <row r="15366" spans="2:9">
      <c r="B15366" s="3192" t="s">
        <v>677</v>
      </c>
      <c r="C15366" s="3063"/>
      <c r="D15366" s="3064"/>
      <c r="E15366" s="3064"/>
      <c r="F15366" s="3064"/>
      <c r="G15366" s="3301" t="s">
        <v>677</v>
      </c>
      <c r="H15366" s="3063"/>
      <c r="I15366" s="3030"/>
    </row>
    <row r="15367" spans="2:9">
      <c r="B15367" s="3192" t="s">
        <v>678</v>
      </c>
      <c r="C15367" s="3063"/>
      <c r="D15367" s="3064"/>
      <c r="E15367" s="3064"/>
      <c r="F15367" s="3064"/>
      <c r="G15367" s="3301" t="s">
        <v>678</v>
      </c>
      <c r="H15367" s="3063"/>
      <c r="I15367" s="3030"/>
    </row>
    <row r="15368" spans="2:9">
      <c r="B15368" s="3192" t="s">
        <v>679</v>
      </c>
      <c r="C15368" s="3063"/>
      <c r="D15368" s="3064"/>
      <c r="E15368" s="3064"/>
      <c r="F15368" s="3064"/>
      <c r="G15368" s="3301" t="s">
        <v>679</v>
      </c>
      <c r="H15368" s="3063"/>
      <c r="I15368" s="3030"/>
    </row>
    <row r="15369" spans="2:9" ht="25.5">
      <c r="B15369" s="3192" t="s">
        <v>720</v>
      </c>
      <c r="C15369" s="3063"/>
      <c r="D15369" s="3064"/>
      <c r="E15369" s="3064"/>
      <c r="F15369" s="3064"/>
      <c r="G15369" s="3301" t="s">
        <v>720</v>
      </c>
      <c r="H15369" s="3063"/>
      <c r="I15369" s="3030"/>
    </row>
    <row r="15370" spans="2:9" ht="38.25">
      <c r="B15370" s="3299" t="s">
        <v>680</v>
      </c>
      <c r="C15370" s="3063"/>
      <c r="D15370" s="3064"/>
      <c r="E15370" s="3064"/>
      <c r="F15370" s="3064"/>
      <c r="G15370" s="3300" t="s">
        <v>680</v>
      </c>
      <c r="H15370" s="3063"/>
      <c r="I15370" s="3030"/>
    </row>
    <row r="15371" spans="2:9" ht="25.5">
      <c r="B15371" s="3192" t="s">
        <v>675</v>
      </c>
      <c r="C15371" s="3063"/>
      <c r="D15371" s="3064"/>
      <c r="E15371" s="3064"/>
      <c r="F15371" s="3064"/>
      <c r="G15371" s="3301" t="s">
        <v>675</v>
      </c>
      <c r="H15371" s="3063"/>
      <c r="I15371" s="3030"/>
    </row>
    <row r="15372" spans="2:9" ht="25.5">
      <c r="B15372" s="3192" t="s">
        <v>676</v>
      </c>
      <c r="C15372" s="3063"/>
      <c r="D15372" s="3064"/>
      <c r="E15372" s="3064"/>
      <c r="F15372" s="3064"/>
      <c r="G15372" s="3301" t="s">
        <v>676</v>
      </c>
      <c r="H15372" s="3063"/>
      <c r="I15372" s="3030"/>
    </row>
    <row r="15373" spans="2:9">
      <c r="B15373" s="3192" t="s">
        <v>677</v>
      </c>
      <c r="C15373" s="3063"/>
      <c r="D15373" s="3064"/>
      <c r="E15373" s="3064"/>
      <c r="F15373" s="3064"/>
      <c r="G15373" s="3301" t="s">
        <v>677</v>
      </c>
      <c r="H15373" s="3063"/>
      <c r="I15373" s="3030"/>
    </row>
    <row r="15374" spans="2:9">
      <c r="B15374" s="3192" t="s">
        <v>678</v>
      </c>
      <c r="C15374" s="3063"/>
      <c r="D15374" s="3064"/>
      <c r="E15374" s="3064"/>
      <c r="F15374" s="3064"/>
      <c r="G15374" s="3301" t="s">
        <v>678</v>
      </c>
      <c r="H15374" s="3063"/>
      <c r="I15374" s="3030"/>
    </row>
    <row r="15375" spans="2:9">
      <c r="B15375" s="3192" t="s">
        <v>679</v>
      </c>
      <c r="C15375" s="3063"/>
      <c r="D15375" s="3064"/>
      <c r="E15375" s="3064"/>
      <c r="F15375" s="3064"/>
      <c r="G15375" s="3301" t="s">
        <v>679</v>
      </c>
      <c r="H15375" s="3063"/>
      <c r="I15375" s="3030"/>
    </row>
    <row r="15376" spans="2:9" ht="25.5">
      <c r="B15376" s="3192" t="s">
        <v>720</v>
      </c>
      <c r="C15376" s="3063"/>
      <c r="D15376" s="3064"/>
      <c r="E15376" s="3064"/>
      <c r="F15376" s="3064"/>
      <c r="G15376" s="3301" t="s">
        <v>720</v>
      </c>
      <c r="H15376" s="3063"/>
      <c r="I15376" s="3030"/>
    </row>
    <row r="15377" spans="2:9" ht="38.25">
      <c r="B15377" s="3299" t="s">
        <v>681</v>
      </c>
      <c r="C15377" s="3063"/>
      <c r="D15377" s="3064"/>
      <c r="E15377" s="3064"/>
      <c r="F15377" s="3064">
        <v>2</v>
      </c>
      <c r="G15377" s="3300" t="s">
        <v>681</v>
      </c>
      <c r="H15377" s="3063">
        <v>3.4260295104477902E-2</v>
      </c>
      <c r="I15377" s="3030"/>
    </row>
    <row r="15378" spans="2:9" ht="25.5">
      <c r="B15378" s="3192" t="s">
        <v>675</v>
      </c>
      <c r="C15378" s="3063"/>
      <c r="D15378" s="3064"/>
      <c r="E15378" s="3064"/>
      <c r="F15378" s="3064"/>
      <c r="G15378" s="3301" t="s">
        <v>675</v>
      </c>
      <c r="H15378" s="3063"/>
      <c r="I15378" s="3030"/>
    </row>
    <row r="15379" spans="2:9" ht="25.5">
      <c r="B15379" s="3192" t="s">
        <v>676</v>
      </c>
      <c r="C15379" s="3063"/>
      <c r="D15379" s="3064"/>
      <c r="E15379" s="3064"/>
      <c r="F15379" s="3064"/>
      <c r="G15379" s="3301" t="s">
        <v>676</v>
      </c>
      <c r="H15379" s="3063"/>
      <c r="I15379" s="3030"/>
    </row>
    <row r="15380" spans="2:9">
      <c r="B15380" s="3192" t="s">
        <v>677</v>
      </c>
      <c r="C15380" s="3063"/>
      <c r="D15380" s="3064"/>
      <c r="E15380" s="3064"/>
      <c r="F15380" s="3064"/>
      <c r="G15380" s="3301" t="s">
        <v>677</v>
      </c>
      <c r="H15380" s="3063"/>
      <c r="I15380" s="3030"/>
    </row>
    <row r="15381" spans="2:9">
      <c r="B15381" s="3192" t="s">
        <v>678</v>
      </c>
      <c r="C15381" s="3063"/>
      <c r="D15381" s="3064"/>
      <c r="E15381" s="3064"/>
      <c r="F15381" s="3064"/>
      <c r="G15381" s="3301" t="s">
        <v>678</v>
      </c>
      <c r="H15381" s="3063"/>
      <c r="I15381" s="3030"/>
    </row>
    <row r="15382" spans="2:9">
      <c r="B15382" s="3192" t="s">
        <v>679</v>
      </c>
      <c r="C15382" s="3063"/>
      <c r="D15382" s="3064"/>
      <c r="E15382" s="3064"/>
      <c r="F15382" s="3064"/>
      <c r="G15382" s="3301" t="s">
        <v>679</v>
      </c>
      <c r="H15382" s="3063"/>
      <c r="I15382" s="3030"/>
    </row>
    <row r="15383" spans="2:9" ht="25.5">
      <c r="B15383" s="3192" t="s">
        <v>720</v>
      </c>
      <c r="C15383" s="3063"/>
      <c r="D15383" s="3064"/>
      <c r="E15383" s="3064"/>
      <c r="F15383" s="3064"/>
      <c r="G15383" s="3301" t="s">
        <v>720</v>
      </c>
      <c r="H15383" s="3063"/>
      <c r="I15383" s="3030"/>
    </row>
    <row r="15384" spans="2:9" ht="25.5">
      <c r="B15384" s="3299" t="s">
        <v>682</v>
      </c>
      <c r="C15384" s="3063"/>
      <c r="D15384" s="3064"/>
      <c r="E15384" s="3064"/>
      <c r="F15384" s="3064"/>
      <c r="G15384" s="3300" t="s">
        <v>682</v>
      </c>
      <c r="H15384" s="3063"/>
      <c r="I15384" s="3030"/>
    </row>
    <row r="15385" spans="2:9" ht="25.5">
      <c r="B15385" s="3192" t="s">
        <v>675</v>
      </c>
      <c r="C15385" s="3063"/>
      <c r="D15385" s="3064"/>
      <c r="E15385" s="3064"/>
      <c r="F15385" s="3064"/>
      <c r="G15385" s="3301" t="s">
        <v>675</v>
      </c>
      <c r="H15385" s="3063"/>
      <c r="I15385" s="3030"/>
    </row>
    <row r="15386" spans="2:9" ht="25.5">
      <c r="B15386" s="3192" t="s">
        <v>676</v>
      </c>
      <c r="C15386" s="3063"/>
      <c r="D15386" s="3064"/>
      <c r="E15386" s="3064"/>
      <c r="F15386" s="3064"/>
      <c r="G15386" s="3301" t="s">
        <v>676</v>
      </c>
      <c r="H15386" s="3063"/>
      <c r="I15386" s="3030"/>
    </row>
    <row r="15387" spans="2:9">
      <c r="B15387" s="3192" t="s">
        <v>677</v>
      </c>
      <c r="C15387" s="3063"/>
      <c r="D15387" s="3064"/>
      <c r="E15387" s="3064"/>
      <c r="F15387" s="3064"/>
      <c r="G15387" s="3301" t="s">
        <v>677</v>
      </c>
      <c r="H15387" s="3063"/>
      <c r="I15387" s="3030"/>
    </row>
    <row r="15388" spans="2:9">
      <c r="B15388" s="3192" t="s">
        <v>678</v>
      </c>
      <c r="C15388" s="3063"/>
      <c r="D15388" s="3064"/>
      <c r="E15388" s="3064"/>
      <c r="F15388" s="3064"/>
      <c r="G15388" s="3301" t="s">
        <v>678</v>
      </c>
      <c r="H15388" s="3063"/>
      <c r="I15388" s="3030"/>
    </row>
    <row r="15389" spans="2:9">
      <c r="B15389" s="3192" t="s">
        <v>679</v>
      </c>
      <c r="C15389" s="3063"/>
      <c r="D15389" s="3064"/>
      <c r="E15389" s="3064"/>
      <c r="F15389" s="3064"/>
      <c r="G15389" s="3301" t="s">
        <v>679</v>
      </c>
      <c r="H15389" s="3063"/>
      <c r="I15389" s="3030"/>
    </row>
    <row r="15390" spans="2:9" ht="25.5">
      <c r="B15390" s="3192" t="s">
        <v>720</v>
      </c>
      <c r="C15390" s="3063"/>
      <c r="D15390" s="3064"/>
      <c r="E15390" s="3064"/>
      <c r="F15390" s="3064"/>
      <c r="G15390" s="3301" t="s">
        <v>720</v>
      </c>
      <c r="H15390" s="3063"/>
      <c r="I15390" s="3030"/>
    </row>
    <row r="15391" spans="2:9" ht="25.5">
      <c r="B15391" s="3299" t="s">
        <v>66</v>
      </c>
      <c r="C15391" s="3063"/>
      <c r="D15391" s="3064"/>
      <c r="E15391" s="3064"/>
      <c r="F15391" s="3064"/>
      <c r="G15391" s="3300" t="s">
        <v>66</v>
      </c>
      <c r="H15391" s="3063"/>
      <c r="I15391" s="3030"/>
    </row>
    <row r="15392" spans="2:9" ht="25.5">
      <c r="B15392" s="3192" t="s">
        <v>675</v>
      </c>
      <c r="C15392" s="3063"/>
      <c r="D15392" s="3064"/>
      <c r="E15392" s="3064"/>
      <c r="F15392" s="3064"/>
      <c r="G15392" s="3301" t="s">
        <v>675</v>
      </c>
      <c r="H15392" s="3063"/>
      <c r="I15392" s="3030"/>
    </row>
    <row r="15393" spans="2:9" ht="25.5">
      <c r="B15393" s="3192" t="s">
        <v>676</v>
      </c>
      <c r="C15393" s="3063"/>
      <c r="D15393" s="3064"/>
      <c r="E15393" s="3064"/>
      <c r="F15393" s="3064"/>
      <c r="G15393" s="3301" t="s">
        <v>676</v>
      </c>
      <c r="H15393" s="3063"/>
      <c r="I15393" s="3030"/>
    </row>
    <row r="15394" spans="2:9">
      <c r="B15394" s="3192" t="s">
        <v>677</v>
      </c>
      <c r="C15394" s="3063"/>
      <c r="D15394" s="3064"/>
      <c r="E15394" s="3064"/>
      <c r="F15394" s="3064"/>
      <c r="G15394" s="3301" t="s">
        <v>677</v>
      </c>
      <c r="H15394" s="3063"/>
      <c r="I15394" s="3030"/>
    </row>
    <row r="15395" spans="2:9">
      <c r="B15395" s="3192" t="s">
        <v>678</v>
      </c>
      <c r="C15395" s="3063"/>
      <c r="D15395" s="3064"/>
      <c r="E15395" s="3064"/>
      <c r="F15395" s="3064"/>
      <c r="G15395" s="3301" t="s">
        <v>678</v>
      </c>
      <c r="H15395" s="3063"/>
      <c r="I15395" s="3030"/>
    </row>
    <row r="15396" spans="2:9">
      <c r="B15396" s="3192" t="s">
        <v>679</v>
      </c>
      <c r="C15396" s="3063"/>
      <c r="D15396" s="3064"/>
      <c r="E15396" s="3064"/>
      <c r="F15396" s="3064"/>
      <c r="G15396" s="3301" t="s">
        <v>679</v>
      </c>
      <c r="H15396" s="3063"/>
      <c r="I15396" s="3030"/>
    </row>
    <row r="15397" spans="2:9" ht="25.5">
      <c r="B15397" s="3192" t="s">
        <v>720</v>
      </c>
      <c r="C15397" s="3063"/>
      <c r="D15397" s="3064"/>
      <c r="E15397" s="3064"/>
      <c r="F15397" s="3064"/>
      <c r="G15397" s="3301" t="s">
        <v>720</v>
      </c>
      <c r="H15397" s="3063"/>
      <c r="I15397" s="3030"/>
    </row>
    <row r="15398" spans="2:9">
      <c r="B15398" s="3299" t="s">
        <v>67</v>
      </c>
      <c r="C15398" s="3063"/>
      <c r="D15398" s="3064"/>
      <c r="E15398" s="3064"/>
      <c r="F15398" s="3064"/>
      <c r="G15398" s="3300" t="s">
        <v>67</v>
      </c>
      <c r="H15398" s="3063"/>
      <c r="I15398" s="3030"/>
    </row>
    <row r="15399" spans="2:9" ht="25.5">
      <c r="B15399" s="3192" t="s">
        <v>675</v>
      </c>
      <c r="C15399" s="3063"/>
      <c r="D15399" s="3064"/>
      <c r="E15399" s="3064"/>
      <c r="F15399" s="3064"/>
      <c r="G15399" s="3301" t="s">
        <v>675</v>
      </c>
      <c r="H15399" s="3063"/>
      <c r="I15399" s="3030"/>
    </row>
    <row r="15400" spans="2:9" ht="25.5">
      <c r="B15400" s="3192" t="s">
        <v>676</v>
      </c>
      <c r="C15400" s="3063"/>
      <c r="D15400" s="3064"/>
      <c r="E15400" s="3064"/>
      <c r="F15400" s="3064"/>
      <c r="G15400" s="3301" t="s">
        <v>676</v>
      </c>
      <c r="H15400" s="3063"/>
      <c r="I15400" s="3030"/>
    </row>
    <row r="15401" spans="2:9">
      <c r="B15401" s="3192" t="s">
        <v>677</v>
      </c>
      <c r="C15401" s="3063"/>
      <c r="D15401" s="3064"/>
      <c r="E15401" s="3064"/>
      <c r="F15401" s="3064"/>
      <c r="G15401" s="3301" t="s">
        <v>677</v>
      </c>
      <c r="H15401" s="3063"/>
      <c r="I15401" s="3030"/>
    </row>
    <row r="15402" spans="2:9">
      <c r="B15402" s="3192" t="s">
        <v>678</v>
      </c>
      <c r="C15402" s="3063"/>
      <c r="D15402" s="3064"/>
      <c r="E15402" s="3064"/>
      <c r="F15402" s="3064"/>
      <c r="G15402" s="3301" t="s">
        <v>678</v>
      </c>
      <c r="H15402" s="3063"/>
      <c r="I15402" s="3030"/>
    </row>
    <row r="15403" spans="2:9">
      <c r="B15403" s="3192" t="s">
        <v>679</v>
      </c>
      <c r="C15403" s="3063"/>
      <c r="D15403" s="3064"/>
      <c r="E15403" s="3064"/>
      <c r="F15403" s="3064"/>
      <c r="G15403" s="3301" t="s">
        <v>679</v>
      </c>
      <c r="H15403" s="3063"/>
      <c r="I15403" s="3030"/>
    </row>
    <row r="15404" spans="2:9" ht="25.5">
      <c r="B15404" s="3230" t="s">
        <v>81</v>
      </c>
      <c r="C15404" s="3063"/>
      <c r="D15404" s="3064"/>
      <c r="E15404" s="3064"/>
      <c r="F15404" s="3064"/>
      <c r="G15404" s="3302" t="s">
        <v>81</v>
      </c>
      <c r="H15404" s="3063"/>
      <c r="I15404" s="3030"/>
    </row>
    <row r="15405" spans="2:9" ht="26.25" thickBot="1">
      <c r="B15405" s="3303" t="s">
        <v>81</v>
      </c>
      <c r="C15405" s="3068"/>
      <c r="D15405" s="3069"/>
      <c r="E15405" s="3069"/>
      <c r="F15405" s="3069"/>
      <c r="G15405" s="3304" t="s">
        <v>81</v>
      </c>
      <c r="H15405" s="3068"/>
      <c r="I15405" s="3070"/>
    </row>
    <row r="15406" spans="2:9" ht="38.25">
      <c r="B15406" s="4723">
        <v>3444</v>
      </c>
      <c r="C15406" s="3289"/>
      <c r="D15406" s="3290"/>
      <c r="E15406" s="3290"/>
      <c r="F15406" s="3290"/>
      <c r="G15406" s="4723">
        <v>3444</v>
      </c>
      <c r="H15406" s="3291" t="s">
        <v>687</v>
      </c>
      <c r="I15406" s="3292" t="s">
        <v>688</v>
      </c>
    </row>
    <row r="15407" spans="2:9">
      <c r="B15407" s="4724"/>
      <c r="C15407" s="4678" t="s">
        <v>686</v>
      </c>
      <c r="D15407" s="4725"/>
      <c r="E15407" s="4725"/>
      <c r="F15407" s="4726"/>
      <c r="G15407" s="4724"/>
      <c r="H15407" s="3293"/>
      <c r="I15407" s="3294"/>
    </row>
    <row r="15408" spans="2:9" ht="13.5" thickBot="1">
      <c r="B15408" s="4724"/>
      <c r="C15408" s="3215">
        <v>2013</v>
      </c>
      <c r="D15408" s="3215">
        <v>2014</v>
      </c>
      <c r="E15408" s="3215">
        <v>2015</v>
      </c>
      <c r="F15408" s="3215">
        <v>2016</v>
      </c>
      <c r="G15408" s="4724"/>
      <c r="H15408" s="3295" t="s">
        <v>390</v>
      </c>
      <c r="I15408" s="3296" t="s">
        <v>390</v>
      </c>
    </row>
    <row r="15409" spans="2:9">
      <c r="B15409" s="3217" t="s">
        <v>695</v>
      </c>
      <c r="C15409" s="3218"/>
      <c r="D15409" s="3219"/>
      <c r="E15409" s="3219"/>
      <c r="F15409" s="3219"/>
      <c r="G15409" s="3217" t="s">
        <v>695</v>
      </c>
      <c r="H15409" s="3297"/>
      <c r="I15409" s="3298"/>
    </row>
    <row r="15410" spans="2:9">
      <c r="B15410" s="3299" t="s">
        <v>64</v>
      </c>
      <c r="C15410" s="3063"/>
      <c r="D15410" s="3064"/>
      <c r="E15410" s="3064"/>
      <c r="F15410" s="3064"/>
      <c r="G15410" s="3300" t="s">
        <v>64</v>
      </c>
      <c r="H15410" s="3063"/>
      <c r="I15410" s="3030"/>
    </row>
    <row r="15411" spans="2:9" ht="25.5">
      <c r="B15411" s="3192" t="s">
        <v>675</v>
      </c>
      <c r="C15411" s="3063"/>
      <c r="D15411" s="3064"/>
      <c r="E15411" s="3064"/>
      <c r="F15411" s="3064"/>
      <c r="G15411" s="3301" t="s">
        <v>675</v>
      </c>
      <c r="H15411" s="3063"/>
      <c r="I15411" s="3030"/>
    </row>
    <row r="15412" spans="2:9" ht="25.5">
      <c r="B15412" s="3192" t="s">
        <v>676</v>
      </c>
      <c r="C15412" s="3063"/>
      <c r="D15412" s="3064"/>
      <c r="E15412" s="3064"/>
      <c r="F15412" s="3064"/>
      <c r="G15412" s="3301" t="s">
        <v>676</v>
      </c>
      <c r="H15412" s="3063"/>
      <c r="I15412" s="3030"/>
    </row>
    <row r="15413" spans="2:9">
      <c r="B15413" s="3192" t="s">
        <v>677</v>
      </c>
      <c r="C15413" s="3063"/>
      <c r="D15413" s="3064"/>
      <c r="E15413" s="3064"/>
      <c r="F15413" s="3064"/>
      <c r="G15413" s="3301" t="s">
        <v>677</v>
      </c>
      <c r="H15413" s="3063"/>
      <c r="I15413" s="3030"/>
    </row>
    <row r="15414" spans="2:9">
      <c r="B15414" s="3192" t="s">
        <v>678</v>
      </c>
      <c r="C15414" s="3063"/>
      <c r="D15414" s="3064"/>
      <c r="E15414" s="3064"/>
      <c r="F15414" s="3064"/>
      <c r="G15414" s="3301" t="s">
        <v>678</v>
      </c>
      <c r="H15414" s="3063"/>
      <c r="I15414" s="3030"/>
    </row>
    <row r="15415" spans="2:9">
      <c r="B15415" s="3192" t="s">
        <v>679</v>
      </c>
      <c r="C15415" s="3063"/>
      <c r="D15415" s="3064"/>
      <c r="E15415" s="3064"/>
      <c r="F15415" s="3064"/>
      <c r="G15415" s="3301" t="s">
        <v>679</v>
      </c>
      <c r="H15415" s="3063"/>
      <c r="I15415" s="3030"/>
    </row>
    <row r="15416" spans="2:9" ht="25.5">
      <c r="B15416" s="3192" t="s">
        <v>720</v>
      </c>
      <c r="C15416" s="3063"/>
      <c r="D15416" s="3064"/>
      <c r="E15416" s="3064"/>
      <c r="F15416" s="3064"/>
      <c r="G15416" s="3301" t="s">
        <v>720</v>
      </c>
      <c r="H15416" s="3063"/>
      <c r="I15416" s="3030"/>
    </row>
    <row r="15417" spans="2:9">
      <c r="B15417" s="3299" t="s">
        <v>65</v>
      </c>
      <c r="C15417" s="3063"/>
      <c r="D15417" s="3064"/>
      <c r="E15417" s="3064"/>
      <c r="F15417" s="3064"/>
      <c r="G15417" s="3300" t="s">
        <v>65</v>
      </c>
      <c r="H15417" s="3063"/>
      <c r="I15417" s="3030"/>
    </row>
    <row r="15418" spans="2:9" ht="25.5">
      <c r="B15418" s="3192" t="s">
        <v>675</v>
      </c>
      <c r="C15418" s="3063"/>
      <c r="D15418" s="3064"/>
      <c r="E15418" s="3064"/>
      <c r="F15418" s="3064"/>
      <c r="G15418" s="3301" t="s">
        <v>675</v>
      </c>
      <c r="H15418" s="3063"/>
      <c r="I15418" s="3030"/>
    </row>
    <row r="15419" spans="2:9" ht="25.5">
      <c r="B15419" s="3192" t="s">
        <v>676</v>
      </c>
      <c r="C15419" s="3063"/>
      <c r="D15419" s="3064"/>
      <c r="E15419" s="3064"/>
      <c r="F15419" s="3064"/>
      <c r="G15419" s="3301" t="s">
        <v>676</v>
      </c>
      <c r="H15419" s="3063"/>
      <c r="I15419" s="3030"/>
    </row>
    <row r="15420" spans="2:9">
      <c r="B15420" s="3192" t="s">
        <v>677</v>
      </c>
      <c r="C15420" s="3063"/>
      <c r="D15420" s="3064"/>
      <c r="E15420" s="3064"/>
      <c r="F15420" s="3064"/>
      <c r="G15420" s="3301" t="s">
        <v>677</v>
      </c>
      <c r="H15420" s="3063"/>
      <c r="I15420" s="3030"/>
    </row>
    <row r="15421" spans="2:9">
      <c r="B15421" s="3192" t="s">
        <v>678</v>
      </c>
      <c r="C15421" s="3063"/>
      <c r="D15421" s="3064"/>
      <c r="E15421" s="3064"/>
      <c r="F15421" s="3064"/>
      <c r="G15421" s="3301" t="s">
        <v>678</v>
      </c>
      <c r="H15421" s="3063"/>
      <c r="I15421" s="3030"/>
    </row>
    <row r="15422" spans="2:9">
      <c r="B15422" s="3192" t="s">
        <v>679</v>
      </c>
      <c r="C15422" s="3063"/>
      <c r="D15422" s="3064"/>
      <c r="E15422" s="3064"/>
      <c r="F15422" s="3064"/>
      <c r="G15422" s="3301" t="s">
        <v>679</v>
      </c>
      <c r="H15422" s="3063"/>
      <c r="I15422" s="3030"/>
    </row>
    <row r="15423" spans="2:9" ht="25.5">
      <c r="B15423" s="3192" t="s">
        <v>720</v>
      </c>
      <c r="C15423" s="3063"/>
      <c r="D15423" s="3064"/>
      <c r="E15423" s="3064"/>
      <c r="F15423" s="3064"/>
      <c r="G15423" s="3301" t="s">
        <v>720</v>
      </c>
      <c r="H15423" s="3063"/>
      <c r="I15423" s="3030"/>
    </row>
    <row r="15424" spans="2:9">
      <c r="B15424" s="3299" t="s">
        <v>82</v>
      </c>
      <c r="C15424" s="3063"/>
      <c r="D15424" s="3064"/>
      <c r="E15424" s="3064"/>
      <c r="F15424" s="3064"/>
      <c r="G15424" s="3300" t="s">
        <v>82</v>
      </c>
      <c r="H15424" s="3063"/>
      <c r="I15424" s="3030"/>
    </row>
    <row r="15425" spans="2:9" ht="25.5">
      <c r="B15425" s="3192" t="s">
        <v>675</v>
      </c>
      <c r="C15425" s="3063"/>
      <c r="D15425" s="3064"/>
      <c r="E15425" s="3064"/>
      <c r="F15425" s="3064"/>
      <c r="G15425" s="3301" t="s">
        <v>675</v>
      </c>
      <c r="H15425" s="3063"/>
      <c r="I15425" s="3030"/>
    </row>
    <row r="15426" spans="2:9" ht="25.5">
      <c r="B15426" s="3192" t="s">
        <v>676</v>
      </c>
      <c r="C15426" s="3063"/>
      <c r="D15426" s="3064"/>
      <c r="E15426" s="3064"/>
      <c r="F15426" s="3064"/>
      <c r="G15426" s="3301" t="s">
        <v>676</v>
      </c>
      <c r="H15426" s="3063"/>
      <c r="I15426" s="3030"/>
    </row>
    <row r="15427" spans="2:9">
      <c r="B15427" s="3192" t="s">
        <v>677</v>
      </c>
      <c r="C15427" s="3063"/>
      <c r="D15427" s="3064"/>
      <c r="E15427" s="3064"/>
      <c r="F15427" s="3064"/>
      <c r="G15427" s="3301" t="s">
        <v>677</v>
      </c>
      <c r="H15427" s="3063"/>
      <c r="I15427" s="3030"/>
    </row>
    <row r="15428" spans="2:9">
      <c r="B15428" s="3192" t="s">
        <v>678</v>
      </c>
      <c r="C15428" s="3063"/>
      <c r="D15428" s="3064"/>
      <c r="E15428" s="3064"/>
      <c r="F15428" s="3064"/>
      <c r="G15428" s="3301" t="s">
        <v>678</v>
      </c>
      <c r="H15428" s="3063"/>
      <c r="I15428" s="3030"/>
    </row>
    <row r="15429" spans="2:9">
      <c r="B15429" s="3192" t="s">
        <v>679</v>
      </c>
      <c r="C15429" s="3063"/>
      <c r="D15429" s="3064"/>
      <c r="E15429" s="3064"/>
      <c r="F15429" s="3064"/>
      <c r="G15429" s="3301" t="s">
        <v>679</v>
      </c>
      <c r="H15429" s="3063"/>
      <c r="I15429" s="3030"/>
    </row>
    <row r="15430" spans="2:9" ht="25.5">
      <c r="B15430" s="3192" t="s">
        <v>720</v>
      </c>
      <c r="C15430" s="3063"/>
      <c r="D15430" s="3064"/>
      <c r="E15430" s="3064"/>
      <c r="F15430" s="3064"/>
      <c r="G15430" s="3301" t="s">
        <v>720</v>
      </c>
      <c r="H15430" s="3063"/>
      <c r="I15430" s="3030"/>
    </row>
    <row r="15431" spans="2:9" ht="38.25">
      <c r="B15431" s="3299" t="s">
        <v>680</v>
      </c>
      <c r="C15431" s="3063"/>
      <c r="D15431" s="3064"/>
      <c r="E15431" s="3064"/>
      <c r="F15431" s="3064"/>
      <c r="G15431" s="3300" t="s">
        <v>680</v>
      </c>
      <c r="H15431" s="3063"/>
      <c r="I15431" s="3030"/>
    </row>
    <row r="15432" spans="2:9" ht="25.5">
      <c r="B15432" s="3192" t="s">
        <v>675</v>
      </c>
      <c r="C15432" s="3063"/>
      <c r="D15432" s="3064"/>
      <c r="E15432" s="3064"/>
      <c r="F15432" s="3064"/>
      <c r="G15432" s="3301" t="s">
        <v>675</v>
      </c>
      <c r="H15432" s="3063"/>
      <c r="I15432" s="3030"/>
    </row>
    <row r="15433" spans="2:9" ht="25.5">
      <c r="B15433" s="3192" t="s">
        <v>676</v>
      </c>
      <c r="C15433" s="3063"/>
      <c r="D15433" s="3064"/>
      <c r="E15433" s="3064"/>
      <c r="F15433" s="3064"/>
      <c r="G15433" s="3301" t="s">
        <v>676</v>
      </c>
      <c r="H15433" s="3063"/>
      <c r="I15433" s="3030"/>
    </row>
    <row r="15434" spans="2:9">
      <c r="B15434" s="3192" t="s">
        <v>677</v>
      </c>
      <c r="C15434" s="3063"/>
      <c r="D15434" s="3064"/>
      <c r="E15434" s="3064"/>
      <c r="F15434" s="3064"/>
      <c r="G15434" s="3301" t="s">
        <v>677</v>
      </c>
      <c r="H15434" s="3063"/>
      <c r="I15434" s="3030"/>
    </row>
    <row r="15435" spans="2:9">
      <c r="B15435" s="3192" t="s">
        <v>678</v>
      </c>
      <c r="C15435" s="3063"/>
      <c r="D15435" s="3064"/>
      <c r="E15435" s="3064"/>
      <c r="F15435" s="3064"/>
      <c r="G15435" s="3301" t="s">
        <v>678</v>
      </c>
      <c r="H15435" s="3063"/>
      <c r="I15435" s="3030"/>
    </row>
    <row r="15436" spans="2:9">
      <c r="B15436" s="3192" t="s">
        <v>679</v>
      </c>
      <c r="C15436" s="3063"/>
      <c r="D15436" s="3064"/>
      <c r="E15436" s="3064"/>
      <c r="F15436" s="3064"/>
      <c r="G15436" s="3301" t="s">
        <v>679</v>
      </c>
      <c r="H15436" s="3063"/>
      <c r="I15436" s="3030"/>
    </row>
    <row r="15437" spans="2:9" ht="25.5">
      <c r="B15437" s="3192" t="s">
        <v>720</v>
      </c>
      <c r="C15437" s="3063"/>
      <c r="D15437" s="3064"/>
      <c r="E15437" s="3064"/>
      <c r="F15437" s="3064"/>
      <c r="G15437" s="3301" t="s">
        <v>720</v>
      </c>
      <c r="H15437" s="3063"/>
      <c r="I15437" s="3030"/>
    </row>
    <row r="15438" spans="2:9" ht="38.25">
      <c r="B15438" s="3299" t="s">
        <v>681</v>
      </c>
      <c r="C15438" s="3063"/>
      <c r="D15438" s="3064"/>
      <c r="E15438" s="3064"/>
      <c r="F15438" s="3064"/>
      <c r="G15438" s="3300" t="s">
        <v>681</v>
      </c>
      <c r="H15438" s="3063"/>
      <c r="I15438" s="3030"/>
    </row>
    <row r="15439" spans="2:9" ht="25.5">
      <c r="B15439" s="3192" t="s">
        <v>675</v>
      </c>
      <c r="C15439" s="3063"/>
      <c r="D15439" s="3064"/>
      <c r="E15439" s="3064"/>
      <c r="F15439" s="3064"/>
      <c r="G15439" s="3301" t="s">
        <v>675</v>
      </c>
      <c r="H15439" s="3063"/>
      <c r="I15439" s="3030"/>
    </row>
    <row r="15440" spans="2:9" ht="25.5">
      <c r="B15440" s="3192" t="s">
        <v>676</v>
      </c>
      <c r="C15440" s="3063"/>
      <c r="D15440" s="3064"/>
      <c r="E15440" s="3064"/>
      <c r="F15440" s="3064"/>
      <c r="G15440" s="3301" t="s">
        <v>676</v>
      </c>
      <c r="H15440" s="3063"/>
      <c r="I15440" s="3030"/>
    </row>
    <row r="15441" spans="2:9">
      <c r="B15441" s="3192" t="s">
        <v>677</v>
      </c>
      <c r="C15441" s="3063"/>
      <c r="D15441" s="3064"/>
      <c r="E15441" s="3064"/>
      <c r="F15441" s="3064"/>
      <c r="G15441" s="3301" t="s">
        <v>677</v>
      </c>
      <c r="H15441" s="3063"/>
      <c r="I15441" s="3030"/>
    </row>
    <row r="15442" spans="2:9">
      <c r="B15442" s="3192" t="s">
        <v>678</v>
      </c>
      <c r="C15442" s="3063"/>
      <c r="D15442" s="3064"/>
      <c r="E15442" s="3064"/>
      <c r="F15442" s="3064"/>
      <c r="G15442" s="3301" t="s">
        <v>678</v>
      </c>
      <c r="H15442" s="3063"/>
      <c r="I15442" s="3030"/>
    </row>
    <row r="15443" spans="2:9">
      <c r="B15443" s="3192" t="s">
        <v>679</v>
      </c>
      <c r="C15443" s="3063"/>
      <c r="D15443" s="3064"/>
      <c r="E15443" s="3064"/>
      <c r="F15443" s="3064"/>
      <c r="G15443" s="3301" t="s">
        <v>679</v>
      </c>
      <c r="H15443" s="3063"/>
      <c r="I15443" s="3030"/>
    </row>
    <row r="15444" spans="2:9" ht="25.5">
      <c r="B15444" s="3192" t="s">
        <v>720</v>
      </c>
      <c r="C15444" s="3063"/>
      <c r="D15444" s="3064"/>
      <c r="E15444" s="3064"/>
      <c r="F15444" s="3064"/>
      <c r="G15444" s="3301" t="s">
        <v>720</v>
      </c>
      <c r="H15444" s="3063"/>
      <c r="I15444" s="3030"/>
    </row>
    <row r="15445" spans="2:9" ht="25.5">
      <c r="B15445" s="3299" t="s">
        <v>682</v>
      </c>
      <c r="C15445" s="3063"/>
      <c r="D15445" s="3064"/>
      <c r="E15445" s="3064"/>
      <c r="F15445" s="3064"/>
      <c r="G15445" s="3300" t="s">
        <v>682</v>
      </c>
      <c r="H15445" s="3063"/>
      <c r="I15445" s="3030"/>
    </row>
    <row r="15446" spans="2:9" ht="25.5">
      <c r="B15446" s="3192" t="s">
        <v>675</v>
      </c>
      <c r="C15446" s="3063"/>
      <c r="D15446" s="3064"/>
      <c r="E15446" s="3064"/>
      <c r="F15446" s="3064"/>
      <c r="G15446" s="3301" t="s">
        <v>675</v>
      </c>
      <c r="H15446" s="3063"/>
      <c r="I15446" s="3030"/>
    </row>
    <row r="15447" spans="2:9" ht="25.5">
      <c r="B15447" s="3192" t="s">
        <v>676</v>
      </c>
      <c r="C15447" s="3063"/>
      <c r="D15447" s="3064"/>
      <c r="E15447" s="3064"/>
      <c r="F15447" s="3064"/>
      <c r="G15447" s="3301" t="s">
        <v>676</v>
      </c>
      <c r="H15447" s="3063"/>
      <c r="I15447" s="3030"/>
    </row>
    <row r="15448" spans="2:9">
      <c r="B15448" s="3192" t="s">
        <v>677</v>
      </c>
      <c r="C15448" s="3063"/>
      <c r="D15448" s="3064"/>
      <c r="E15448" s="3064"/>
      <c r="F15448" s="3064"/>
      <c r="G15448" s="3301" t="s">
        <v>677</v>
      </c>
      <c r="H15448" s="3063"/>
      <c r="I15448" s="3030"/>
    </row>
    <row r="15449" spans="2:9">
      <c r="B15449" s="3192" t="s">
        <v>678</v>
      </c>
      <c r="C15449" s="3063"/>
      <c r="D15449" s="3064"/>
      <c r="E15449" s="3064"/>
      <c r="F15449" s="3064"/>
      <c r="G15449" s="3301" t="s">
        <v>678</v>
      </c>
      <c r="H15449" s="3063"/>
      <c r="I15449" s="3030"/>
    </row>
    <row r="15450" spans="2:9">
      <c r="B15450" s="3192" t="s">
        <v>679</v>
      </c>
      <c r="C15450" s="3063"/>
      <c r="D15450" s="3064"/>
      <c r="E15450" s="3064"/>
      <c r="F15450" s="3064"/>
      <c r="G15450" s="3301" t="s">
        <v>679</v>
      </c>
      <c r="H15450" s="3063"/>
      <c r="I15450" s="3030"/>
    </row>
    <row r="15451" spans="2:9" ht="25.5">
      <c r="B15451" s="3192" t="s">
        <v>720</v>
      </c>
      <c r="C15451" s="3063"/>
      <c r="D15451" s="3064"/>
      <c r="E15451" s="3064"/>
      <c r="F15451" s="3064"/>
      <c r="G15451" s="3301" t="s">
        <v>720</v>
      </c>
      <c r="H15451" s="3063"/>
      <c r="I15451" s="3030"/>
    </row>
    <row r="15452" spans="2:9" ht="25.5">
      <c r="B15452" s="3299" t="s">
        <v>66</v>
      </c>
      <c r="C15452" s="3063"/>
      <c r="D15452" s="3064"/>
      <c r="E15452" s="3064"/>
      <c r="F15452" s="3064"/>
      <c r="G15452" s="3300" t="s">
        <v>66</v>
      </c>
      <c r="H15452" s="3063"/>
      <c r="I15452" s="3030"/>
    </row>
    <row r="15453" spans="2:9" ht="25.5">
      <c r="B15453" s="3192" t="s">
        <v>675</v>
      </c>
      <c r="C15453" s="3063"/>
      <c r="D15453" s="3064"/>
      <c r="E15453" s="3064"/>
      <c r="F15453" s="3064"/>
      <c r="G15453" s="3301" t="s">
        <v>675</v>
      </c>
      <c r="H15453" s="3063"/>
      <c r="I15453" s="3030"/>
    </row>
    <row r="15454" spans="2:9" ht="25.5">
      <c r="B15454" s="3192" t="s">
        <v>676</v>
      </c>
      <c r="C15454" s="3063"/>
      <c r="D15454" s="3064"/>
      <c r="E15454" s="3064"/>
      <c r="F15454" s="3064"/>
      <c r="G15454" s="3301" t="s">
        <v>676</v>
      </c>
      <c r="H15454" s="3063"/>
      <c r="I15454" s="3030"/>
    </row>
    <row r="15455" spans="2:9">
      <c r="B15455" s="3192" t="s">
        <v>677</v>
      </c>
      <c r="C15455" s="3063"/>
      <c r="D15455" s="3064"/>
      <c r="E15455" s="3064"/>
      <c r="F15455" s="3064"/>
      <c r="G15455" s="3301" t="s">
        <v>677</v>
      </c>
      <c r="H15455" s="3063"/>
      <c r="I15455" s="3030"/>
    </row>
    <row r="15456" spans="2:9">
      <c r="B15456" s="3192" t="s">
        <v>678</v>
      </c>
      <c r="C15456" s="3063"/>
      <c r="D15456" s="3064"/>
      <c r="E15456" s="3064"/>
      <c r="F15456" s="3064"/>
      <c r="G15456" s="3301" t="s">
        <v>678</v>
      </c>
      <c r="H15456" s="3063"/>
      <c r="I15456" s="3030"/>
    </row>
    <row r="15457" spans="2:9">
      <c r="B15457" s="3192" t="s">
        <v>679</v>
      </c>
      <c r="C15457" s="3063"/>
      <c r="D15457" s="3064"/>
      <c r="E15457" s="3064"/>
      <c r="F15457" s="3064"/>
      <c r="G15457" s="3301" t="s">
        <v>679</v>
      </c>
      <c r="H15457" s="3063"/>
      <c r="I15457" s="3030"/>
    </row>
    <row r="15458" spans="2:9" ht="25.5">
      <c r="B15458" s="3192" t="s">
        <v>720</v>
      </c>
      <c r="C15458" s="3063"/>
      <c r="D15458" s="3064"/>
      <c r="E15458" s="3064"/>
      <c r="F15458" s="3064"/>
      <c r="G15458" s="3301" t="s">
        <v>720</v>
      </c>
      <c r="H15458" s="3063"/>
      <c r="I15458" s="3030"/>
    </row>
    <row r="15459" spans="2:9">
      <c r="B15459" s="3299" t="s">
        <v>67</v>
      </c>
      <c r="C15459" s="3063"/>
      <c r="D15459" s="3064"/>
      <c r="E15459" s="3064"/>
      <c r="F15459" s="3064"/>
      <c r="G15459" s="3300" t="s">
        <v>67</v>
      </c>
      <c r="H15459" s="3063"/>
      <c r="I15459" s="3030"/>
    </row>
    <row r="15460" spans="2:9" ht="25.5">
      <c r="B15460" s="3192" t="s">
        <v>675</v>
      </c>
      <c r="C15460" s="3063"/>
      <c r="D15460" s="3064"/>
      <c r="E15460" s="3064"/>
      <c r="F15460" s="3064"/>
      <c r="G15460" s="3301" t="s">
        <v>675</v>
      </c>
      <c r="H15460" s="3063"/>
      <c r="I15460" s="3030"/>
    </row>
    <row r="15461" spans="2:9" ht="25.5">
      <c r="B15461" s="3192" t="s">
        <v>676</v>
      </c>
      <c r="C15461" s="3063"/>
      <c r="D15461" s="3064"/>
      <c r="E15461" s="3064"/>
      <c r="F15461" s="3064"/>
      <c r="G15461" s="3301" t="s">
        <v>676</v>
      </c>
      <c r="H15461" s="3063"/>
      <c r="I15461" s="3030"/>
    </row>
    <row r="15462" spans="2:9">
      <c r="B15462" s="3192" t="s">
        <v>677</v>
      </c>
      <c r="C15462" s="3063"/>
      <c r="D15462" s="3064"/>
      <c r="E15462" s="3064"/>
      <c r="F15462" s="3064"/>
      <c r="G15462" s="3301" t="s">
        <v>677</v>
      </c>
      <c r="H15462" s="3063"/>
      <c r="I15462" s="3030"/>
    </row>
    <row r="15463" spans="2:9">
      <c r="B15463" s="3192" t="s">
        <v>678</v>
      </c>
      <c r="C15463" s="3063"/>
      <c r="D15463" s="3064"/>
      <c r="E15463" s="3064"/>
      <c r="F15463" s="3064"/>
      <c r="G15463" s="3301" t="s">
        <v>678</v>
      </c>
      <c r="H15463" s="3063"/>
      <c r="I15463" s="3030"/>
    </row>
    <row r="15464" spans="2:9">
      <c r="B15464" s="3192" t="s">
        <v>679</v>
      </c>
      <c r="C15464" s="3063"/>
      <c r="D15464" s="3064"/>
      <c r="E15464" s="3064"/>
      <c r="F15464" s="3064"/>
      <c r="G15464" s="3301" t="s">
        <v>679</v>
      </c>
      <c r="H15464" s="3063"/>
      <c r="I15464" s="3030"/>
    </row>
    <row r="15465" spans="2:9" ht="25.5">
      <c r="B15465" s="3192" t="s">
        <v>720</v>
      </c>
      <c r="C15465" s="3063"/>
      <c r="D15465" s="3064"/>
      <c r="E15465" s="3064"/>
      <c r="F15465" s="3064"/>
      <c r="G15465" s="3301" t="s">
        <v>720</v>
      </c>
      <c r="H15465" s="3063"/>
      <c r="I15465" s="3030"/>
    </row>
    <row r="15466" spans="2:9" ht="25.5">
      <c r="B15466" s="3230" t="s">
        <v>81</v>
      </c>
      <c r="C15466" s="3063"/>
      <c r="D15466" s="3064"/>
      <c r="E15466" s="3064"/>
      <c r="F15466" s="3064"/>
      <c r="G15466" s="3302" t="s">
        <v>81</v>
      </c>
      <c r="H15466" s="3063"/>
      <c r="I15466" s="3030"/>
    </row>
    <row r="15467" spans="2:9" ht="26.25" thickBot="1">
      <c r="B15467" s="3303" t="s">
        <v>81</v>
      </c>
      <c r="C15467" s="3063"/>
      <c r="D15467" s="3064"/>
      <c r="E15467" s="3064"/>
      <c r="F15467" s="3064"/>
      <c r="G15467" s="3302" t="s">
        <v>81</v>
      </c>
      <c r="H15467" s="3063"/>
      <c r="I15467" s="3030"/>
    </row>
    <row r="15468" spans="2:9" ht="25.5">
      <c r="B15468" s="3217" t="s">
        <v>696</v>
      </c>
      <c r="C15468" s="3218"/>
      <c r="D15468" s="3219"/>
      <c r="E15468" s="3219"/>
      <c r="F15468" s="3219"/>
      <c r="G15468" s="3217" t="s">
        <v>696</v>
      </c>
      <c r="H15468" s="3297"/>
      <c r="I15468" s="3298"/>
    </row>
    <row r="15469" spans="2:9">
      <c r="B15469" s="3299" t="s">
        <v>64</v>
      </c>
      <c r="C15469" s="3063"/>
      <c r="D15469" s="3064"/>
      <c r="E15469" s="3064"/>
      <c r="F15469" s="3064"/>
      <c r="G15469" s="3300" t="s">
        <v>64</v>
      </c>
      <c r="H15469" s="3063"/>
      <c r="I15469" s="3030"/>
    </row>
    <row r="15470" spans="2:9" ht="25.5">
      <c r="B15470" s="3192" t="s">
        <v>675</v>
      </c>
      <c r="C15470" s="3063"/>
      <c r="D15470" s="3064"/>
      <c r="E15470" s="3064"/>
      <c r="F15470" s="3064"/>
      <c r="G15470" s="3301" t="s">
        <v>675</v>
      </c>
      <c r="H15470" s="3063"/>
      <c r="I15470" s="3030"/>
    </row>
    <row r="15471" spans="2:9" ht="25.5">
      <c r="B15471" s="3192" t="s">
        <v>676</v>
      </c>
      <c r="C15471" s="3063"/>
      <c r="D15471" s="3064"/>
      <c r="E15471" s="3064"/>
      <c r="F15471" s="3064"/>
      <c r="G15471" s="3301" t="s">
        <v>676</v>
      </c>
      <c r="H15471" s="3063"/>
      <c r="I15471" s="3030"/>
    </row>
    <row r="15472" spans="2:9">
      <c r="B15472" s="3192" t="s">
        <v>677</v>
      </c>
      <c r="C15472" s="3063"/>
      <c r="D15472" s="3064"/>
      <c r="E15472" s="3064"/>
      <c r="F15472" s="3064"/>
      <c r="G15472" s="3301" t="s">
        <v>677</v>
      </c>
      <c r="H15472" s="3063"/>
      <c r="I15472" s="3030"/>
    </row>
    <row r="15473" spans="2:9">
      <c r="B15473" s="3192" t="s">
        <v>678</v>
      </c>
      <c r="C15473" s="3063"/>
      <c r="D15473" s="3064"/>
      <c r="E15473" s="3064"/>
      <c r="F15473" s="3064"/>
      <c r="G15473" s="3301" t="s">
        <v>678</v>
      </c>
      <c r="H15473" s="3063"/>
      <c r="I15473" s="3030"/>
    </row>
    <row r="15474" spans="2:9">
      <c r="B15474" s="3192" t="s">
        <v>679</v>
      </c>
      <c r="C15474" s="3063"/>
      <c r="D15474" s="3064"/>
      <c r="E15474" s="3064"/>
      <c r="F15474" s="3064"/>
      <c r="G15474" s="3301" t="s">
        <v>679</v>
      </c>
      <c r="H15474" s="3063"/>
      <c r="I15474" s="3030"/>
    </row>
    <row r="15475" spans="2:9" ht="25.5">
      <c r="B15475" s="3192" t="s">
        <v>720</v>
      </c>
      <c r="C15475" s="3063"/>
      <c r="D15475" s="3064"/>
      <c r="E15475" s="3064"/>
      <c r="F15475" s="3064"/>
      <c r="G15475" s="3301" t="s">
        <v>720</v>
      </c>
      <c r="H15475" s="3063"/>
      <c r="I15475" s="3030"/>
    </row>
    <row r="15476" spans="2:9">
      <c r="B15476" s="3299" t="s">
        <v>65</v>
      </c>
      <c r="C15476" s="3063"/>
      <c r="D15476" s="3064"/>
      <c r="E15476" s="3064"/>
      <c r="F15476" s="3064"/>
      <c r="G15476" s="3300" t="s">
        <v>65</v>
      </c>
      <c r="H15476" s="3063"/>
      <c r="I15476" s="3030"/>
    </row>
    <row r="15477" spans="2:9" ht="25.5">
      <c r="B15477" s="3192" t="s">
        <v>675</v>
      </c>
      <c r="C15477" s="3063"/>
      <c r="D15477" s="3064"/>
      <c r="E15477" s="3064"/>
      <c r="F15477" s="3064"/>
      <c r="G15477" s="3301" t="s">
        <v>675</v>
      </c>
      <c r="H15477" s="3063"/>
      <c r="I15477" s="3030"/>
    </row>
    <row r="15478" spans="2:9" ht="25.5">
      <c r="B15478" s="3192" t="s">
        <v>676</v>
      </c>
      <c r="C15478" s="3063"/>
      <c r="D15478" s="3064"/>
      <c r="E15478" s="3064"/>
      <c r="F15478" s="3064"/>
      <c r="G15478" s="3301" t="s">
        <v>676</v>
      </c>
      <c r="H15478" s="3063"/>
      <c r="I15478" s="3030"/>
    </row>
    <row r="15479" spans="2:9">
      <c r="B15479" s="3192" t="s">
        <v>677</v>
      </c>
      <c r="C15479" s="3063"/>
      <c r="D15479" s="3064"/>
      <c r="E15479" s="3064"/>
      <c r="F15479" s="3064"/>
      <c r="G15479" s="3301" t="s">
        <v>677</v>
      </c>
      <c r="H15479" s="3063"/>
      <c r="I15479" s="3030"/>
    </row>
    <row r="15480" spans="2:9">
      <c r="B15480" s="3192" t="s">
        <v>678</v>
      </c>
      <c r="C15480" s="3063"/>
      <c r="D15480" s="3064"/>
      <c r="E15480" s="3064"/>
      <c r="F15480" s="3064"/>
      <c r="G15480" s="3301" t="s">
        <v>678</v>
      </c>
      <c r="H15480" s="3063"/>
      <c r="I15480" s="3030"/>
    </row>
    <row r="15481" spans="2:9">
      <c r="B15481" s="3192" t="s">
        <v>679</v>
      </c>
      <c r="C15481" s="3063"/>
      <c r="D15481" s="3064"/>
      <c r="E15481" s="3064"/>
      <c r="F15481" s="3064"/>
      <c r="G15481" s="3301" t="s">
        <v>679</v>
      </c>
      <c r="H15481" s="3063"/>
      <c r="I15481" s="3030"/>
    </row>
    <row r="15482" spans="2:9" ht="25.5">
      <c r="B15482" s="3192" t="s">
        <v>720</v>
      </c>
      <c r="C15482" s="3063"/>
      <c r="D15482" s="3064"/>
      <c r="E15482" s="3064"/>
      <c r="F15482" s="3064"/>
      <c r="G15482" s="3301" t="s">
        <v>720</v>
      </c>
      <c r="H15482" s="3063"/>
      <c r="I15482" s="3030"/>
    </row>
    <row r="15483" spans="2:9">
      <c r="B15483" s="3299" t="s">
        <v>82</v>
      </c>
      <c r="C15483" s="3063"/>
      <c r="D15483" s="3064"/>
      <c r="E15483" s="3064"/>
      <c r="F15483" s="3064"/>
      <c r="G15483" s="3300" t="s">
        <v>82</v>
      </c>
      <c r="H15483" s="3063"/>
      <c r="I15483" s="3030"/>
    </row>
    <row r="15484" spans="2:9" ht="25.5">
      <c r="B15484" s="3192" t="s">
        <v>675</v>
      </c>
      <c r="C15484" s="3063"/>
      <c r="D15484" s="3064"/>
      <c r="E15484" s="3064"/>
      <c r="F15484" s="3064"/>
      <c r="G15484" s="3301" t="s">
        <v>675</v>
      </c>
      <c r="H15484" s="3063"/>
      <c r="I15484" s="3030"/>
    </row>
    <row r="15485" spans="2:9" ht="25.5">
      <c r="B15485" s="3192" t="s">
        <v>676</v>
      </c>
      <c r="C15485" s="3063"/>
      <c r="D15485" s="3064"/>
      <c r="E15485" s="3064"/>
      <c r="F15485" s="3064"/>
      <c r="G15485" s="3301" t="s">
        <v>676</v>
      </c>
      <c r="H15485" s="3063"/>
      <c r="I15485" s="3030"/>
    </row>
    <row r="15486" spans="2:9">
      <c r="B15486" s="3192" t="s">
        <v>677</v>
      </c>
      <c r="C15486" s="3063"/>
      <c r="D15486" s="3064"/>
      <c r="E15486" s="3064"/>
      <c r="F15486" s="3064"/>
      <c r="G15486" s="3301" t="s">
        <v>677</v>
      </c>
      <c r="H15486" s="3063"/>
      <c r="I15486" s="3030"/>
    </row>
    <row r="15487" spans="2:9">
      <c r="B15487" s="3192" t="s">
        <v>678</v>
      </c>
      <c r="C15487" s="3063"/>
      <c r="D15487" s="3064"/>
      <c r="E15487" s="3064"/>
      <c r="F15487" s="3064"/>
      <c r="G15487" s="3301" t="s">
        <v>678</v>
      </c>
      <c r="H15487" s="3063"/>
      <c r="I15487" s="3030"/>
    </row>
    <row r="15488" spans="2:9">
      <c r="B15488" s="3192" t="s">
        <v>679</v>
      </c>
      <c r="C15488" s="3063"/>
      <c r="D15488" s="3064"/>
      <c r="E15488" s="3064"/>
      <c r="F15488" s="3064"/>
      <c r="G15488" s="3301" t="s">
        <v>679</v>
      </c>
      <c r="H15488" s="3063"/>
      <c r="I15488" s="3030"/>
    </row>
    <row r="15489" spans="2:9" ht="25.5">
      <c r="B15489" s="3192" t="s">
        <v>720</v>
      </c>
      <c r="C15489" s="3063"/>
      <c r="D15489" s="3064"/>
      <c r="E15489" s="3064"/>
      <c r="F15489" s="3064"/>
      <c r="G15489" s="3301" t="s">
        <v>720</v>
      </c>
      <c r="H15489" s="3063"/>
      <c r="I15489" s="3030"/>
    </row>
    <row r="15490" spans="2:9" ht="38.25">
      <c r="B15490" s="3299" t="s">
        <v>680</v>
      </c>
      <c r="C15490" s="3063"/>
      <c r="D15490" s="3064"/>
      <c r="E15490" s="3064"/>
      <c r="F15490" s="3064"/>
      <c r="G15490" s="3300" t="s">
        <v>680</v>
      </c>
      <c r="H15490" s="3063"/>
      <c r="I15490" s="3030"/>
    </row>
    <row r="15491" spans="2:9" ht="25.5">
      <c r="B15491" s="3192" t="s">
        <v>675</v>
      </c>
      <c r="C15491" s="3063"/>
      <c r="D15491" s="3064"/>
      <c r="E15491" s="3064"/>
      <c r="F15491" s="3064"/>
      <c r="G15491" s="3301" t="s">
        <v>675</v>
      </c>
      <c r="H15491" s="3063"/>
      <c r="I15491" s="3030"/>
    </row>
    <row r="15492" spans="2:9" ht="25.5">
      <c r="B15492" s="3192" t="s">
        <v>676</v>
      </c>
      <c r="C15492" s="3063"/>
      <c r="D15492" s="3064"/>
      <c r="E15492" s="3064"/>
      <c r="F15492" s="3064"/>
      <c r="G15492" s="3301" t="s">
        <v>676</v>
      </c>
      <c r="H15492" s="3063"/>
      <c r="I15492" s="3030"/>
    </row>
    <row r="15493" spans="2:9">
      <c r="B15493" s="3192" t="s">
        <v>677</v>
      </c>
      <c r="C15493" s="3063"/>
      <c r="D15493" s="3064"/>
      <c r="E15493" s="3064"/>
      <c r="F15493" s="3064"/>
      <c r="G15493" s="3301" t="s">
        <v>677</v>
      </c>
      <c r="H15493" s="3063"/>
      <c r="I15493" s="3030"/>
    </row>
    <row r="15494" spans="2:9">
      <c r="B15494" s="3192" t="s">
        <v>678</v>
      </c>
      <c r="C15494" s="3063"/>
      <c r="D15494" s="3064"/>
      <c r="E15494" s="3064"/>
      <c r="F15494" s="3064"/>
      <c r="G15494" s="3301" t="s">
        <v>678</v>
      </c>
      <c r="H15494" s="3063"/>
      <c r="I15494" s="3030"/>
    </row>
    <row r="15495" spans="2:9">
      <c r="B15495" s="3192" t="s">
        <v>679</v>
      </c>
      <c r="C15495" s="3063"/>
      <c r="D15495" s="3064"/>
      <c r="E15495" s="3064"/>
      <c r="F15495" s="3064"/>
      <c r="G15495" s="3301" t="s">
        <v>679</v>
      </c>
      <c r="H15495" s="3063"/>
      <c r="I15495" s="3030"/>
    </row>
    <row r="15496" spans="2:9" ht="25.5">
      <c r="B15496" s="3192" t="s">
        <v>720</v>
      </c>
      <c r="C15496" s="3063"/>
      <c r="D15496" s="3064"/>
      <c r="E15496" s="3064"/>
      <c r="F15496" s="3064"/>
      <c r="G15496" s="3301" t="s">
        <v>720</v>
      </c>
      <c r="H15496" s="3063"/>
      <c r="I15496" s="3030"/>
    </row>
    <row r="15497" spans="2:9" ht="38.25">
      <c r="B15497" s="3299" t="s">
        <v>681</v>
      </c>
      <c r="C15497" s="3063"/>
      <c r="D15497" s="3064"/>
      <c r="E15497" s="3064"/>
      <c r="F15497" s="3064"/>
      <c r="G15497" s="3300" t="s">
        <v>681</v>
      </c>
      <c r="H15497" s="3063"/>
      <c r="I15497" s="3030"/>
    </row>
    <row r="15498" spans="2:9" ht="25.5">
      <c r="B15498" s="3192" t="s">
        <v>675</v>
      </c>
      <c r="C15498" s="3063"/>
      <c r="D15498" s="3064"/>
      <c r="E15498" s="3064"/>
      <c r="F15498" s="3064"/>
      <c r="G15498" s="3301" t="s">
        <v>675</v>
      </c>
      <c r="H15498" s="3063"/>
      <c r="I15498" s="3030"/>
    </row>
    <row r="15499" spans="2:9" ht="25.5">
      <c r="B15499" s="3192" t="s">
        <v>676</v>
      </c>
      <c r="C15499" s="3063"/>
      <c r="D15499" s="3064"/>
      <c r="E15499" s="3064"/>
      <c r="F15499" s="3064"/>
      <c r="G15499" s="3301" t="s">
        <v>676</v>
      </c>
      <c r="H15499" s="3063"/>
      <c r="I15499" s="3030"/>
    </row>
    <row r="15500" spans="2:9">
      <c r="B15500" s="3192" t="s">
        <v>677</v>
      </c>
      <c r="C15500" s="3063"/>
      <c r="D15500" s="3064"/>
      <c r="E15500" s="3064"/>
      <c r="F15500" s="3064"/>
      <c r="G15500" s="3301" t="s">
        <v>677</v>
      </c>
      <c r="H15500" s="3063"/>
      <c r="I15500" s="3030"/>
    </row>
    <row r="15501" spans="2:9">
      <c r="B15501" s="3192" t="s">
        <v>678</v>
      </c>
      <c r="C15501" s="3063"/>
      <c r="D15501" s="3064"/>
      <c r="E15501" s="3064"/>
      <c r="F15501" s="3064"/>
      <c r="G15501" s="3301" t="s">
        <v>678</v>
      </c>
      <c r="H15501" s="3063"/>
      <c r="I15501" s="3030"/>
    </row>
    <row r="15502" spans="2:9">
      <c r="B15502" s="3192" t="s">
        <v>679</v>
      </c>
      <c r="C15502" s="3063"/>
      <c r="D15502" s="3064"/>
      <c r="E15502" s="3064"/>
      <c r="F15502" s="3064"/>
      <c r="G15502" s="3301" t="s">
        <v>679</v>
      </c>
      <c r="H15502" s="3063"/>
      <c r="I15502" s="3030"/>
    </row>
    <row r="15503" spans="2:9" ht="25.5">
      <c r="B15503" s="3192" t="s">
        <v>720</v>
      </c>
      <c r="C15503" s="3063"/>
      <c r="D15503" s="3064"/>
      <c r="E15503" s="3064"/>
      <c r="F15503" s="3064"/>
      <c r="G15503" s="3301" t="s">
        <v>720</v>
      </c>
      <c r="H15503" s="3063"/>
      <c r="I15503" s="3030"/>
    </row>
    <row r="15504" spans="2:9" ht="25.5">
      <c r="B15504" s="3299" t="s">
        <v>682</v>
      </c>
      <c r="C15504" s="3063"/>
      <c r="D15504" s="3064"/>
      <c r="E15504" s="3064"/>
      <c r="F15504" s="3064"/>
      <c r="G15504" s="3300" t="s">
        <v>682</v>
      </c>
      <c r="H15504" s="3063"/>
      <c r="I15504" s="3030"/>
    </row>
    <row r="15505" spans="2:9" ht="25.5">
      <c r="B15505" s="3192" t="s">
        <v>675</v>
      </c>
      <c r="C15505" s="3063"/>
      <c r="D15505" s="3064"/>
      <c r="E15505" s="3064"/>
      <c r="F15505" s="3064"/>
      <c r="G15505" s="3301" t="s">
        <v>675</v>
      </c>
      <c r="H15505" s="3063"/>
      <c r="I15505" s="3030"/>
    </row>
    <row r="15506" spans="2:9" ht="25.5">
      <c r="B15506" s="3192" t="s">
        <v>676</v>
      </c>
      <c r="C15506" s="3063"/>
      <c r="D15506" s="3064"/>
      <c r="E15506" s="3064"/>
      <c r="F15506" s="3064"/>
      <c r="G15506" s="3301" t="s">
        <v>676</v>
      </c>
      <c r="H15506" s="3063"/>
      <c r="I15506" s="3030"/>
    </row>
    <row r="15507" spans="2:9">
      <c r="B15507" s="3192" t="s">
        <v>677</v>
      </c>
      <c r="C15507" s="3063"/>
      <c r="D15507" s="3064"/>
      <c r="E15507" s="3064"/>
      <c r="F15507" s="3064"/>
      <c r="G15507" s="3301" t="s">
        <v>677</v>
      </c>
      <c r="H15507" s="3063"/>
      <c r="I15507" s="3030"/>
    </row>
    <row r="15508" spans="2:9">
      <c r="B15508" s="3192" t="s">
        <v>678</v>
      </c>
      <c r="C15508" s="3063"/>
      <c r="D15508" s="3064"/>
      <c r="E15508" s="3064"/>
      <c r="F15508" s="3064"/>
      <c r="G15508" s="3301" t="s">
        <v>678</v>
      </c>
      <c r="H15508" s="3063"/>
      <c r="I15508" s="3030"/>
    </row>
    <row r="15509" spans="2:9">
      <c r="B15509" s="3192" t="s">
        <v>679</v>
      </c>
      <c r="C15509" s="3063"/>
      <c r="D15509" s="3064"/>
      <c r="E15509" s="3064"/>
      <c r="F15509" s="3064"/>
      <c r="G15509" s="3301" t="s">
        <v>679</v>
      </c>
      <c r="H15509" s="3063"/>
      <c r="I15509" s="3030"/>
    </row>
    <row r="15510" spans="2:9" ht="25.5">
      <c r="B15510" s="3192" t="s">
        <v>720</v>
      </c>
      <c r="C15510" s="3063"/>
      <c r="D15510" s="3064"/>
      <c r="E15510" s="3064"/>
      <c r="F15510" s="3064"/>
      <c r="G15510" s="3301" t="s">
        <v>720</v>
      </c>
      <c r="H15510" s="3063"/>
      <c r="I15510" s="3030"/>
    </row>
    <row r="15511" spans="2:9" ht="25.5">
      <c r="B15511" s="3299" t="s">
        <v>66</v>
      </c>
      <c r="C15511" s="3063"/>
      <c r="D15511" s="3064"/>
      <c r="E15511" s="3064"/>
      <c r="F15511" s="3064"/>
      <c r="G15511" s="3300" t="s">
        <v>66</v>
      </c>
      <c r="H15511" s="3063"/>
      <c r="I15511" s="3030"/>
    </row>
    <row r="15512" spans="2:9" ht="25.5">
      <c r="B15512" s="3192" t="s">
        <v>675</v>
      </c>
      <c r="C15512" s="3063"/>
      <c r="D15512" s="3064"/>
      <c r="E15512" s="3064"/>
      <c r="F15512" s="3064"/>
      <c r="G15512" s="3301" t="s">
        <v>675</v>
      </c>
      <c r="H15512" s="3063"/>
      <c r="I15512" s="3030"/>
    </row>
    <row r="15513" spans="2:9" ht="25.5">
      <c r="B15513" s="3192" t="s">
        <v>676</v>
      </c>
      <c r="C15513" s="3063"/>
      <c r="D15513" s="3064"/>
      <c r="E15513" s="3064"/>
      <c r="F15513" s="3064"/>
      <c r="G15513" s="3301" t="s">
        <v>676</v>
      </c>
      <c r="H15513" s="3063"/>
      <c r="I15513" s="3030"/>
    </row>
    <row r="15514" spans="2:9">
      <c r="B15514" s="3192" t="s">
        <v>677</v>
      </c>
      <c r="C15514" s="3063"/>
      <c r="D15514" s="3064"/>
      <c r="E15514" s="3064"/>
      <c r="F15514" s="3064"/>
      <c r="G15514" s="3301" t="s">
        <v>677</v>
      </c>
      <c r="H15514" s="3063"/>
      <c r="I15514" s="3030"/>
    </row>
    <row r="15515" spans="2:9">
      <c r="B15515" s="3192" t="s">
        <v>678</v>
      </c>
      <c r="C15515" s="3063"/>
      <c r="D15515" s="3064"/>
      <c r="E15515" s="3064"/>
      <c r="F15515" s="3064"/>
      <c r="G15515" s="3301" t="s">
        <v>678</v>
      </c>
      <c r="H15515" s="3063"/>
      <c r="I15515" s="3030"/>
    </row>
    <row r="15516" spans="2:9">
      <c r="B15516" s="3192" t="s">
        <v>679</v>
      </c>
      <c r="C15516" s="3063"/>
      <c r="D15516" s="3064"/>
      <c r="E15516" s="3064"/>
      <c r="F15516" s="3064"/>
      <c r="G15516" s="3301" t="s">
        <v>679</v>
      </c>
      <c r="H15516" s="3063"/>
      <c r="I15516" s="3030"/>
    </row>
    <row r="15517" spans="2:9" ht="25.5">
      <c r="B15517" s="3192" t="s">
        <v>720</v>
      </c>
      <c r="C15517" s="3063"/>
      <c r="D15517" s="3064"/>
      <c r="E15517" s="3064"/>
      <c r="F15517" s="3064"/>
      <c r="G15517" s="3301" t="s">
        <v>720</v>
      </c>
      <c r="H15517" s="3063"/>
      <c r="I15517" s="3030"/>
    </row>
    <row r="15518" spans="2:9">
      <c r="B15518" s="3299" t="s">
        <v>67</v>
      </c>
      <c r="C15518" s="3063"/>
      <c r="D15518" s="3064"/>
      <c r="E15518" s="3064"/>
      <c r="F15518" s="3064"/>
      <c r="G15518" s="3300" t="s">
        <v>67</v>
      </c>
      <c r="H15518" s="3063"/>
      <c r="I15518" s="3030"/>
    </row>
    <row r="15519" spans="2:9" ht="25.5">
      <c r="B15519" s="3192" t="s">
        <v>675</v>
      </c>
      <c r="C15519" s="3063"/>
      <c r="D15519" s="3064"/>
      <c r="E15519" s="3064"/>
      <c r="F15519" s="3064"/>
      <c r="G15519" s="3301" t="s">
        <v>675</v>
      </c>
      <c r="H15519" s="3063"/>
      <c r="I15519" s="3030"/>
    </row>
    <row r="15520" spans="2:9" ht="25.5">
      <c r="B15520" s="3192" t="s">
        <v>676</v>
      </c>
      <c r="C15520" s="3063"/>
      <c r="D15520" s="3064"/>
      <c r="E15520" s="3064"/>
      <c r="F15520" s="3064"/>
      <c r="G15520" s="3301" t="s">
        <v>676</v>
      </c>
      <c r="H15520" s="3063"/>
      <c r="I15520" s="3030"/>
    </row>
    <row r="15521" spans="2:9">
      <c r="B15521" s="3192" t="s">
        <v>677</v>
      </c>
      <c r="C15521" s="3063"/>
      <c r="D15521" s="3064"/>
      <c r="E15521" s="3064"/>
      <c r="F15521" s="3064"/>
      <c r="G15521" s="3301" t="s">
        <v>677</v>
      </c>
      <c r="H15521" s="3063"/>
      <c r="I15521" s="3030"/>
    </row>
    <row r="15522" spans="2:9">
      <c r="B15522" s="3192" t="s">
        <v>678</v>
      </c>
      <c r="C15522" s="3063"/>
      <c r="D15522" s="3064"/>
      <c r="E15522" s="3064"/>
      <c r="F15522" s="3064"/>
      <c r="G15522" s="3301" t="s">
        <v>678</v>
      </c>
      <c r="H15522" s="3063"/>
      <c r="I15522" s="3030"/>
    </row>
    <row r="15523" spans="2:9">
      <c r="B15523" s="3192" t="s">
        <v>679</v>
      </c>
      <c r="C15523" s="3063"/>
      <c r="D15523" s="3064"/>
      <c r="E15523" s="3064"/>
      <c r="F15523" s="3064"/>
      <c r="G15523" s="3301" t="s">
        <v>679</v>
      </c>
      <c r="H15523" s="3063"/>
      <c r="I15523" s="3030"/>
    </row>
    <row r="15524" spans="2:9" ht="25.5">
      <c r="B15524" s="3230" t="s">
        <v>81</v>
      </c>
      <c r="C15524" s="3063"/>
      <c r="D15524" s="3064"/>
      <c r="E15524" s="3064"/>
      <c r="F15524" s="3064"/>
      <c r="G15524" s="3302" t="s">
        <v>81</v>
      </c>
      <c r="H15524" s="3063"/>
      <c r="I15524" s="3030"/>
    </row>
    <row r="15525" spans="2:9" ht="26.25" thickBot="1">
      <c r="B15525" s="3303" t="s">
        <v>81</v>
      </c>
      <c r="C15525" s="3063"/>
      <c r="D15525" s="3064"/>
      <c r="E15525" s="3064"/>
      <c r="F15525" s="3064"/>
      <c r="G15525" s="3302" t="s">
        <v>81</v>
      </c>
      <c r="H15525" s="3063"/>
      <c r="I15525" s="3030"/>
    </row>
    <row r="15526" spans="2:9">
      <c r="B15526" s="3217" t="s">
        <v>697</v>
      </c>
      <c r="C15526" s="3218"/>
      <c r="D15526" s="3219"/>
      <c r="E15526" s="3219"/>
      <c r="F15526" s="3219"/>
      <c r="G15526" s="3217" t="s">
        <v>697</v>
      </c>
      <c r="H15526" s="3297"/>
      <c r="I15526" s="3298"/>
    </row>
    <row r="15527" spans="2:9">
      <c r="B15527" s="3299" t="s">
        <v>64</v>
      </c>
      <c r="C15527" s="3063"/>
      <c r="D15527" s="3064"/>
      <c r="E15527" s="3064"/>
      <c r="F15527" s="3064"/>
      <c r="G15527" s="3300" t="s">
        <v>64</v>
      </c>
      <c r="H15527" s="3063"/>
      <c r="I15527" s="3030"/>
    </row>
    <row r="15528" spans="2:9" ht="25.5">
      <c r="B15528" s="3192" t="s">
        <v>675</v>
      </c>
      <c r="C15528" s="3063"/>
      <c r="D15528" s="3064"/>
      <c r="E15528" s="3064"/>
      <c r="F15528" s="3064"/>
      <c r="G15528" s="3301" t="s">
        <v>675</v>
      </c>
      <c r="H15528" s="3063"/>
      <c r="I15528" s="3030"/>
    </row>
    <row r="15529" spans="2:9" ht="25.5">
      <c r="B15529" s="3192" t="s">
        <v>676</v>
      </c>
      <c r="C15529" s="3063"/>
      <c r="D15529" s="3064"/>
      <c r="E15529" s="3064"/>
      <c r="F15529" s="3064"/>
      <c r="G15529" s="3301" t="s">
        <v>676</v>
      </c>
      <c r="H15529" s="3063"/>
      <c r="I15529" s="3030"/>
    </row>
    <row r="15530" spans="2:9">
      <c r="B15530" s="3192" t="s">
        <v>677</v>
      </c>
      <c r="C15530" s="3063"/>
      <c r="D15530" s="3064"/>
      <c r="E15530" s="3064"/>
      <c r="F15530" s="3064"/>
      <c r="G15530" s="3301" t="s">
        <v>677</v>
      </c>
      <c r="H15530" s="3063"/>
      <c r="I15530" s="3030"/>
    </row>
    <row r="15531" spans="2:9">
      <c r="B15531" s="3192" t="s">
        <v>678</v>
      </c>
      <c r="C15531" s="3063"/>
      <c r="D15531" s="3064"/>
      <c r="E15531" s="3064"/>
      <c r="F15531" s="3064"/>
      <c r="G15531" s="3301" t="s">
        <v>678</v>
      </c>
      <c r="H15531" s="3063"/>
      <c r="I15531" s="3030"/>
    </row>
    <row r="15532" spans="2:9">
      <c r="B15532" s="3192" t="s">
        <v>679</v>
      </c>
      <c r="C15532" s="3063"/>
      <c r="D15532" s="3064"/>
      <c r="E15532" s="3064"/>
      <c r="F15532" s="3064"/>
      <c r="G15532" s="3301" t="s">
        <v>679</v>
      </c>
      <c r="H15532" s="3063"/>
      <c r="I15532" s="3030"/>
    </row>
    <row r="15533" spans="2:9" ht="25.5">
      <c r="B15533" s="3192" t="s">
        <v>720</v>
      </c>
      <c r="C15533" s="3063"/>
      <c r="D15533" s="3064"/>
      <c r="E15533" s="3064"/>
      <c r="F15533" s="3064"/>
      <c r="G15533" s="3301" t="s">
        <v>720</v>
      </c>
      <c r="H15533" s="3063"/>
      <c r="I15533" s="3030"/>
    </row>
    <row r="15534" spans="2:9">
      <c r="B15534" s="3299" t="s">
        <v>65</v>
      </c>
      <c r="C15534" s="3063"/>
      <c r="D15534" s="3064"/>
      <c r="E15534" s="3064"/>
      <c r="F15534" s="3064"/>
      <c r="G15534" s="3300" t="s">
        <v>65</v>
      </c>
      <c r="H15534" s="3063"/>
      <c r="I15534" s="3030"/>
    </row>
    <row r="15535" spans="2:9" ht="25.5">
      <c r="B15535" s="3192" t="s">
        <v>675</v>
      </c>
      <c r="C15535" s="3063"/>
      <c r="D15535" s="3064"/>
      <c r="E15535" s="3064"/>
      <c r="F15535" s="3064"/>
      <c r="G15535" s="3301" t="s">
        <v>675</v>
      </c>
      <c r="H15535" s="3063"/>
      <c r="I15535" s="3030"/>
    </row>
    <row r="15536" spans="2:9" ht="25.5">
      <c r="B15536" s="3192" t="s">
        <v>676</v>
      </c>
      <c r="C15536" s="3063"/>
      <c r="D15536" s="3064"/>
      <c r="E15536" s="3064"/>
      <c r="F15536" s="3064"/>
      <c r="G15536" s="3301" t="s">
        <v>676</v>
      </c>
      <c r="H15536" s="3063"/>
      <c r="I15536" s="3030"/>
    </row>
    <row r="15537" spans="2:9">
      <c r="B15537" s="3192" t="s">
        <v>677</v>
      </c>
      <c r="C15537" s="3063"/>
      <c r="D15537" s="3064"/>
      <c r="E15537" s="3064"/>
      <c r="F15537" s="3064"/>
      <c r="G15537" s="3301" t="s">
        <v>677</v>
      </c>
      <c r="H15537" s="3063"/>
      <c r="I15537" s="3030"/>
    </row>
    <row r="15538" spans="2:9">
      <c r="B15538" s="3192" t="s">
        <v>678</v>
      </c>
      <c r="C15538" s="3063"/>
      <c r="D15538" s="3064"/>
      <c r="E15538" s="3064"/>
      <c r="F15538" s="3064"/>
      <c r="G15538" s="3301" t="s">
        <v>678</v>
      </c>
      <c r="H15538" s="3063"/>
      <c r="I15538" s="3030"/>
    </row>
    <row r="15539" spans="2:9">
      <c r="B15539" s="3192" t="s">
        <v>679</v>
      </c>
      <c r="C15539" s="3063"/>
      <c r="D15539" s="3064"/>
      <c r="E15539" s="3064"/>
      <c r="F15539" s="3064"/>
      <c r="G15539" s="3301" t="s">
        <v>679</v>
      </c>
      <c r="H15539" s="3063"/>
      <c r="I15539" s="3030"/>
    </row>
    <row r="15540" spans="2:9" ht="25.5">
      <c r="B15540" s="3192" t="s">
        <v>720</v>
      </c>
      <c r="C15540" s="3063"/>
      <c r="D15540" s="3064"/>
      <c r="E15540" s="3064"/>
      <c r="F15540" s="3064"/>
      <c r="G15540" s="3301" t="s">
        <v>720</v>
      </c>
      <c r="H15540" s="3063"/>
      <c r="I15540" s="3030"/>
    </row>
    <row r="15541" spans="2:9">
      <c r="B15541" s="3299" t="s">
        <v>82</v>
      </c>
      <c r="C15541" s="3063"/>
      <c r="D15541" s="3064"/>
      <c r="E15541" s="3064"/>
      <c r="F15541" s="3064"/>
      <c r="G15541" s="3300" t="s">
        <v>82</v>
      </c>
      <c r="H15541" s="3063"/>
      <c r="I15541" s="3030"/>
    </row>
    <row r="15542" spans="2:9" ht="25.5">
      <c r="B15542" s="3192" t="s">
        <v>675</v>
      </c>
      <c r="C15542" s="3063"/>
      <c r="D15542" s="3064"/>
      <c r="E15542" s="3064"/>
      <c r="F15542" s="3064"/>
      <c r="G15542" s="3301" t="s">
        <v>675</v>
      </c>
      <c r="H15542" s="3063"/>
      <c r="I15542" s="3030"/>
    </row>
    <row r="15543" spans="2:9" ht="25.5">
      <c r="B15543" s="3192" t="s">
        <v>676</v>
      </c>
      <c r="C15543" s="3063"/>
      <c r="D15543" s="3064"/>
      <c r="E15543" s="3064"/>
      <c r="F15543" s="3064"/>
      <c r="G15543" s="3301" t="s">
        <v>676</v>
      </c>
      <c r="H15543" s="3063"/>
      <c r="I15543" s="3030"/>
    </row>
    <row r="15544" spans="2:9">
      <c r="B15544" s="3192" t="s">
        <v>677</v>
      </c>
      <c r="C15544" s="3063"/>
      <c r="D15544" s="3064"/>
      <c r="E15544" s="3064"/>
      <c r="F15544" s="3064"/>
      <c r="G15544" s="3301" t="s">
        <v>677</v>
      </c>
      <c r="H15544" s="3063"/>
      <c r="I15544" s="3030"/>
    </row>
    <row r="15545" spans="2:9">
      <c r="B15545" s="3192" t="s">
        <v>678</v>
      </c>
      <c r="C15545" s="3063"/>
      <c r="D15545" s="3064"/>
      <c r="E15545" s="3064"/>
      <c r="F15545" s="3064"/>
      <c r="G15545" s="3301" t="s">
        <v>678</v>
      </c>
      <c r="H15545" s="3063"/>
      <c r="I15545" s="3030"/>
    </row>
    <row r="15546" spans="2:9">
      <c r="B15546" s="3192" t="s">
        <v>679</v>
      </c>
      <c r="C15546" s="3063"/>
      <c r="D15546" s="3064"/>
      <c r="E15546" s="3064"/>
      <c r="F15546" s="3064"/>
      <c r="G15546" s="3301" t="s">
        <v>679</v>
      </c>
      <c r="H15546" s="3063"/>
      <c r="I15546" s="3030"/>
    </row>
    <row r="15547" spans="2:9" ht="25.5">
      <c r="B15547" s="3192" t="s">
        <v>720</v>
      </c>
      <c r="C15547" s="3063"/>
      <c r="D15547" s="3064"/>
      <c r="E15547" s="3064"/>
      <c r="F15547" s="3064"/>
      <c r="G15547" s="3301" t="s">
        <v>720</v>
      </c>
      <c r="H15547" s="3063"/>
      <c r="I15547" s="3030"/>
    </row>
    <row r="15548" spans="2:9" ht="38.25">
      <c r="B15548" s="3299" t="s">
        <v>680</v>
      </c>
      <c r="C15548" s="3063"/>
      <c r="D15548" s="3064"/>
      <c r="E15548" s="3064"/>
      <c r="F15548" s="3064"/>
      <c r="G15548" s="3300" t="s">
        <v>680</v>
      </c>
      <c r="H15548" s="3063"/>
      <c r="I15548" s="3030"/>
    </row>
    <row r="15549" spans="2:9" ht="25.5">
      <c r="B15549" s="3192" t="s">
        <v>675</v>
      </c>
      <c r="C15549" s="3063"/>
      <c r="D15549" s="3064"/>
      <c r="E15549" s="3064"/>
      <c r="F15549" s="3064"/>
      <c r="G15549" s="3301" t="s">
        <v>675</v>
      </c>
      <c r="H15549" s="3063"/>
      <c r="I15549" s="3030"/>
    </row>
    <row r="15550" spans="2:9" ht="25.5">
      <c r="B15550" s="3192" t="s">
        <v>676</v>
      </c>
      <c r="C15550" s="3063"/>
      <c r="D15550" s="3064"/>
      <c r="E15550" s="3064"/>
      <c r="F15550" s="3064"/>
      <c r="G15550" s="3301" t="s">
        <v>676</v>
      </c>
      <c r="H15550" s="3063"/>
      <c r="I15550" s="3030"/>
    </row>
    <row r="15551" spans="2:9">
      <c r="B15551" s="3192" t="s">
        <v>677</v>
      </c>
      <c r="C15551" s="3063"/>
      <c r="D15551" s="3064"/>
      <c r="E15551" s="3064"/>
      <c r="F15551" s="3064"/>
      <c r="G15551" s="3301" t="s">
        <v>677</v>
      </c>
      <c r="H15551" s="3063"/>
      <c r="I15551" s="3030"/>
    </row>
    <row r="15552" spans="2:9">
      <c r="B15552" s="3192" t="s">
        <v>678</v>
      </c>
      <c r="C15552" s="3063"/>
      <c r="D15552" s="3064"/>
      <c r="E15552" s="3064"/>
      <c r="F15552" s="3064"/>
      <c r="G15552" s="3301" t="s">
        <v>678</v>
      </c>
      <c r="H15552" s="3063"/>
      <c r="I15552" s="3030"/>
    </row>
    <row r="15553" spans="2:9">
      <c r="B15553" s="3192" t="s">
        <v>679</v>
      </c>
      <c r="C15553" s="3063"/>
      <c r="D15553" s="3064"/>
      <c r="E15553" s="3064"/>
      <c r="F15553" s="3064"/>
      <c r="G15553" s="3301" t="s">
        <v>679</v>
      </c>
      <c r="H15553" s="3063"/>
      <c r="I15553" s="3030"/>
    </row>
    <row r="15554" spans="2:9" ht="25.5">
      <c r="B15554" s="3192" t="s">
        <v>720</v>
      </c>
      <c r="C15554" s="3063"/>
      <c r="D15554" s="3064"/>
      <c r="E15554" s="3064"/>
      <c r="F15554" s="3064"/>
      <c r="G15554" s="3301" t="s">
        <v>720</v>
      </c>
      <c r="H15554" s="3063"/>
      <c r="I15554" s="3030"/>
    </row>
    <row r="15555" spans="2:9" ht="38.25">
      <c r="B15555" s="3299" t="s">
        <v>681</v>
      </c>
      <c r="C15555" s="3063"/>
      <c r="D15555" s="3064"/>
      <c r="E15555" s="3064"/>
      <c r="F15555" s="3064">
        <v>2</v>
      </c>
      <c r="G15555" s="3300" t="s">
        <v>681</v>
      </c>
      <c r="H15555" s="3063">
        <v>5.6876242982893468E-2</v>
      </c>
      <c r="I15555" s="3030"/>
    </row>
    <row r="15556" spans="2:9" ht="25.5">
      <c r="B15556" s="3192" t="s">
        <v>675</v>
      </c>
      <c r="C15556" s="3063"/>
      <c r="D15556" s="3064"/>
      <c r="E15556" s="3064"/>
      <c r="F15556" s="3064"/>
      <c r="G15556" s="3301" t="s">
        <v>675</v>
      </c>
      <c r="H15556" s="3063"/>
      <c r="I15556" s="3030"/>
    </row>
    <row r="15557" spans="2:9" ht="25.5">
      <c r="B15557" s="3192" t="s">
        <v>676</v>
      </c>
      <c r="C15557" s="3063"/>
      <c r="D15557" s="3064"/>
      <c r="E15557" s="3064"/>
      <c r="F15557" s="3064"/>
      <c r="G15557" s="3301" t="s">
        <v>676</v>
      </c>
      <c r="H15557" s="3063"/>
      <c r="I15557" s="3030"/>
    </row>
    <row r="15558" spans="2:9">
      <c r="B15558" s="3192" t="s">
        <v>677</v>
      </c>
      <c r="C15558" s="3063"/>
      <c r="D15558" s="3064"/>
      <c r="E15558" s="3064"/>
      <c r="F15558" s="3064"/>
      <c r="G15558" s="3301" t="s">
        <v>677</v>
      </c>
      <c r="H15558" s="3063"/>
      <c r="I15558" s="3030"/>
    </row>
    <row r="15559" spans="2:9">
      <c r="B15559" s="3192" t="s">
        <v>678</v>
      </c>
      <c r="C15559" s="3063"/>
      <c r="D15559" s="3064"/>
      <c r="E15559" s="3064"/>
      <c r="F15559" s="3064"/>
      <c r="G15559" s="3301" t="s">
        <v>678</v>
      </c>
      <c r="H15559" s="3063"/>
      <c r="I15559" s="3030"/>
    </row>
    <row r="15560" spans="2:9">
      <c r="B15560" s="3192" t="s">
        <v>679</v>
      </c>
      <c r="C15560" s="3063"/>
      <c r="D15560" s="3064"/>
      <c r="E15560" s="3064"/>
      <c r="F15560" s="3064"/>
      <c r="G15560" s="3301" t="s">
        <v>679</v>
      </c>
      <c r="H15560" s="3063"/>
      <c r="I15560" s="3030"/>
    </row>
    <row r="15561" spans="2:9" ht="25.5">
      <c r="B15561" s="3192" t="s">
        <v>720</v>
      </c>
      <c r="C15561" s="3063"/>
      <c r="D15561" s="3064"/>
      <c r="E15561" s="3064"/>
      <c r="F15561" s="3064"/>
      <c r="G15561" s="3301" t="s">
        <v>720</v>
      </c>
      <c r="H15561" s="3063"/>
      <c r="I15561" s="3030"/>
    </row>
    <row r="15562" spans="2:9" ht="25.5">
      <c r="B15562" s="3299" t="s">
        <v>682</v>
      </c>
      <c r="C15562" s="3063"/>
      <c r="D15562" s="3064"/>
      <c r="E15562" s="3064"/>
      <c r="F15562" s="3064"/>
      <c r="G15562" s="3300" t="s">
        <v>682</v>
      </c>
      <c r="H15562" s="3063"/>
      <c r="I15562" s="3030"/>
    </row>
    <row r="15563" spans="2:9" ht="25.5">
      <c r="B15563" s="3192" t="s">
        <v>675</v>
      </c>
      <c r="C15563" s="3063"/>
      <c r="D15563" s="3064"/>
      <c r="E15563" s="3064"/>
      <c r="F15563" s="3064"/>
      <c r="G15563" s="3301" t="s">
        <v>675</v>
      </c>
      <c r="H15563" s="3063"/>
      <c r="I15563" s="3030"/>
    </row>
    <row r="15564" spans="2:9" ht="25.5">
      <c r="B15564" s="3192" t="s">
        <v>676</v>
      </c>
      <c r="C15564" s="3063"/>
      <c r="D15564" s="3064"/>
      <c r="E15564" s="3064"/>
      <c r="F15564" s="3064"/>
      <c r="G15564" s="3301" t="s">
        <v>676</v>
      </c>
      <c r="H15564" s="3063"/>
      <c r="I15564" s="3030"/>
    </row>
    <row r="15565" spans="2:9">
      <c r="B15565" s="3192" t="s">
        <v>677</v>
      </c>
      <c r="C15565" s="3063"/>
      <c r="D15565" s="3064"/>
      <c r="E15565" s="3064"/>
      <c r="F15565" s="3064"/>
      <c r="G15565" s="3301" t="s">
        <v>677</v>
      </c>
      <c r="H15565" s="3063"/>
      <c r="I15565" s="3030"/>
    </row>
    <row r="15566" spans="2:9">
      <c r="B15566" s="3192" t="s">
        <v>678</v>
      </c>
      <c r="C15566" s="3063"/>
      <c r="D15566" s="3064"/>
      <c r="E15566" s="3064"/>
      <c r="F15566" s="3064"/>
      <c r="G15566" s="3301" t="s">
        <v>678</v>
      </c>
      <c r="H15566" s="3063"/>
      <c r="I15566" s="3030"/>
    </row>
    <row r="15567" spans="2:9">
      <c r="B15567" s="3192" t="s">
        <v>679</v>
      </c>
      <c r="C15567" s="3063"/>
      <c r="D15567" s="3064"/>
      <c r="E15567" s="3064"/>
      <c r="F15567" s="3064"/>
      <c r="G15567" s="3301" t="s">
        <v>679</v>
      </c>
      <c r="H15567" s="3063"/>
      <c r="I15567" s="3030"/>
    </row>
    <row r="15568" spans="2:9" ht="25.5">
      <c r="B15568" s="3192" t="s">
        <v>720</v>
      </c>
      <c r="C15568" s="3063"/>
      <c r="D15568" s="3064"/>
      <c r="E15568" s="3064"/>
      <c r="F15568" s="3064"/>
      <c r="G15568" s="3301" t="s">
        <v>720</v>
      </c>
      <c r="H15568" s="3063"/>
      <c r="I15568" s="3030"/>
    </row>
    <row r="15569" spans="2:9" ht="25.5">
      <c r="B15569" s="3299" t="s">
        <v>66</v>
      </c>
      <c r="C15569" s="3063"/>
      <c r="D15569" s="3064"/>
      <c r="E15569" s="3064"/>
      <c r="F15569" s="3064"/>
      <c r="G15569" s="3300" t="s">
        <v>66</v>
      </c>
      <c r="H15569" s="3063"/>
      <c r="I15569" s="3030"/>
    </row>
    <row r="15570" spans="2:9" ht="25.5">
      <c r="B15570" s="3192" t="s">
        <v>675</v>
      </c>
      <c r="C15570" s="3063"/>
      <c r="D15570" s="3064"/>
      <c r="E15570" s="3064"/>
      <c r="F15570" s="3064"/>
      <c r="G15570" s="3301" t="s">
        <v>675</v>
      </c>
      <c r="H15570" s="3063"/>
      <c r="I15570" s="3030"/>
    </row>
    <row r="15571" spans="2:9" ht="25.5">
      <c r="B15571" s="3192" t="s">
        <v>676</v>
      </c>
      <c r="C15571" s="3063"/>
      <c r="D15571" s="3064"/>
      <c r="E15571" s="3064"/>
      <c r="F15571" s="3064"/>
      <c r="G15571" s="3301" t="s">
        <v>676</v>
      </c>
      <c r="H15571" s="3063"/>
      <c r="I15571" s="3030"/>
    </row>
    <row r="15572" spans="2:9">
      <c r="B15572" s="3192" t="s">
        <v>677</v>
      </c>
      <c r="C15572" s="3063"/>
      <c r="D15572" s="3064"/>
      <c r="E15572" s="3064"/>
      <c r="F15572" s="3064"/>
      <c r="G15572" s="3301" t="s">
        <v>677</v>
      </c>
      <c r="H15572" s="3063"/>
      <c r="I15572" s="3030"/>
    </row>
    <row r="15573" spans="2:9">
      <c r="B15573" s="3192" t="s">
        <v>678</v>
      </c>
      <c r="C15573" s="3063"/>
      <c r="D15573" s="3064"/>
      <c r="E15573" s="3064"/>
      <c r="F15573" s="3064"/>
      <c r="G15573" s="3301" t="s">
        <v>678</v>
      </c>
      <c r="H15573" s="3063"/>
      <c r="I15573" s="3030"/>
    </row>
    <row r="15574" spans="2:9">
      <c r="B15574" s="3192" t="s">
        <v>679</v>
      </c>
      <c r="C15574" s="3063"/>
      <c r="D15574" s="3064"/>
      <c r="E15574" s="3064"/>
      <c r="F15574" s="3064"/>
      <c r="G15574" s="3301" t="s">
        <v>679</v>
      </c>
      <c r="H15574" s="3063"/>
      <c r="I15574" s="3030"/>
    </row>
    <row r="15575" spans="2:9" ht="25.5">
      <c r="B15575" s="3192" t="s">
        <v>720</v>
      </c>
      <c r="C15575" s="3063"/>
      <c r="D15575" s="3064"/>
      <c r="E15575" s="3064"/>
      <c r="F15575" s="3064"/>
      <c r="G15575" s="3301" t="s">
        <v>720</v>
      </c>
      <c r="H15575" s="3063"/>
      <c r="I15575" s="3030"/>
    </row>
    <row r="15576" spans="2:9">
      <c r="B15576" s="3299" t="s">
        <v>67</v>
      </c>
      <c r="C15576" s="3063"/>
      <c r="D15576" s="3064"/>
      <c r="E15576" s="3064"/>
      <c r="F15576" s="3064"/>
      <c r="G15576" s="3300" t="s">
        <v>67</v>
      </c>
      <c r="H15576" s="3063"/>
      <c r="I15576" s="3030"/>
    </row>
    <row r="15577" spans="2:9" ht="25.5">
      <c r="B15577" s="3192" t="s">
        <v>675</v>
      </c>
      <c r="C15577" s="3063"/>
      <c r="D15577" s="3064"/>
      <c r="E15577" s="3064"/>
      <c r="F15577" s="3064"/>
      <c r="G15577" s="3301" t="s">
        <v>675</v>
      </c>
      <c r="H15577" s="3063"/>
      <c r="I15577" s="3030"/>
    </row>
    <row r="15578" spans="2:9" ht="25.5">
      <c r="B15578" s="3192" t="s">
        <v>676</v>
      </c>
      <c r="C15578" s="3063"/>
      <c r="D15578" s="3064"/>
      <c r="E15578" s="3064"/>
      <c r="F15578" s="3064"/>
      <c r="G15578" s="3301" t="s">
        <v>676</v>
      </c>
      <c r="H15578" s="3063"/>
      <c r="I15578" s="3030"/>
    </row>
    <row r="15579" spans="2:9">
      <c r="B15579" s="3192" t="s">
        <v>677</v>
      </c>
      <c r="C15579" s="3063"/>
      <c r="D15579" s="3064"/>
      <c r="E15579" s="3064"/>
      <c r="F15579" s="3064"/>
      <c r="G15579" s="3301" t="s">
        <v>677</v>
      </c>
      <c r="H15579" s="3063"/>
      <c r="I15579" s="3030"/>
    </row>
    <row r="15580" spans="2:9">
      <c r="B15580" s="3192" t="s">
        <v>678</v>
      </c>
      <c r="C15580" s="3063"/>
      <c r="D15580" s="3064"/>
      <c r="E15580" s="3064"/>
      <c r="F15580" s="3064"/>
      <c r="G15580" s="3301" t="s">
        <v>678</v>
      </c>
      <c r="H15580" s="3063"/>
      <c r="I15580" s="3030"/>
    </row>
    <row r="15581" spans="2:9">
      <c r="B15581" s="3192" t="s">
        <v>679</v>
      </c>
      <c r="C15581" s="3063"/>
      <c r="D15581" s="3064"/>
      <c r="E15581" s="3064"/>
      <c r="F15581" s="3064"/>
      <c r="G15581" s="3301" t="s">
        <v>679</v>
      </c>
      <c r="H15581" s="3063"/>
      <c r="I15581" s="3030"/>
    </row>
    <row r="15582" spans="2:9" ht="25.5">
      <c r="B15582" s="3230" t="s">
        <v>81</v>
      </c>
      <c r="C15582" s="3063"/>
      <c r="D15582" s="3064"/>
      <c r="E15582" s="3064"/>
      <c r="F15582" s="3064"/>
      <c r="G15582" s="3302" t="s">
        <v>81</v>
      </c>
      <c r="H15582" s="3063"/>
      <c r="I15582" s="3030"/>
    </row>
    <row r="15583" spans="2:9" ht="26.25" thickBot="1">
      <c r="B15583" s="3303" t="s">
        <v>81</v>
      </c>
      <c r="C15583" s="3068"/>
      <c r="D15583" s="3069"/>
      <c r="E15583" s="3069"/>
      <c r="F15583" s="3069"/>
      <c r="G15583" s="3304" t="s">
        <v>81</v>
      </c>
      <c r="H15583" s="3068"/>
      <c r="I15583" s="3070"/>
    </row>
    <row r="15584" spans="2:9" ht="38.25">
      <c r="B15584" s="4723">
        <v>3450</v>
      </c>
      <c r="C15584" s="3289"/>
      <c r="D15584" s="3290"/>
      <c r="E15584" s="3290"/>
      <c r="F15584" s="3290"/>
      <c r="G15584" s="4723">
        <v>3450</v>
      </c>
      <c r="H15584" s="3291" t="s">
        <v>687</v>
      </c>
      <c r="I15584" s="3292" t="s">
        <v>688</v>
      </c>
    </row>
    <row r="15585" spans="2:9">
      <c r="B15585" s="4724"/>
      <c r="C15585" s="4678" t="s">
        <v>686</v>
      </c>
      <c r="D15585" s="4725"/>
      <c r="E15585" s="4725"/>
      <c r="F15585" s="4726"/>
      <c r="G15585" s="4724"/>
      <c r="H15585" s="3293"/>
      <c r="I15585" s="3294"/>
    </row>
    <row r="15586" spans="2:9" ht="13.5" thickBot="1">
      <c r="B15586" s="4724"/>
      <c r="C15586" s="3215">
        <v>2013</v>
      </c>
      <c r="D15586" s="3215">
        <v>2014</v>
      </c>
      <c r="E15586" s="3215">
        <v>2015</v>
      </c>
      <c r="F15586" s="3215">
        <v>2016</v>
      </c>
      <c r="G15586" s="4724"/>
      <c r="H15586" s="3295" t="s">
        <v>390</v>
      </c>
      <c r="I15586" s="3296" t="s">
        <v>390</v>
      </c>
    </row>
    <row r="15587" spans="2:9">
      <c r="B15587" s="3217" t="s">
        <v>695</v>
      </c>
      <c r="C15587" s="3218"/>
      <c r="D15587" s="3219"/>
      <c r="E15587" s="3219"/>
      <c r="F15587" s="3219"/>
      <c r="G15587" s="3217" t="s">
        <v>695</v>
      </c>
      <c r="H15587" s="3297"/>
      <c r="I15587" s="3298"/>
    </row>
    <row r="15588" spans="2:9">
      <c r="B15588" s="3299" t="s">
        <v>64</v>
      </c>
      <c r="C15588" s="3063"/>
      <c r="D15588" s="3064"/>
      <c r="E15588" s="3064"/>
      <c r="F15588" s="3064"/>
      <c r="G15588" s="3300" t="s">
        <v>64</v>
      </c>
      <c r="H15588" s="3063"/>
      <c r="I15588" s="3030"/>
    </row>
    <row r="15589" spans="2:9" ht="25.5">
      <c r="B15589" s="3192" t="s">
        <v>675</v>
      </c>
      <c r="C15589" s="3063"/>
      <c r="D15589" s="3064"/>
      <c r="E15589" s="3064"/>
      <c r="F15589" s="3064"/>
      <c r="G15589" s="3301" t="s">
        <v>675</v>
      </c>
      <c r="H15589" s="3063"/>
      <c r="I15589" s="3030"/>
    </row>
    <row r="15590" spans="2:9" ht="25.5">
      <c r="B15590" s="3192" t="s">
        <v>676</v>
      </c>
      <c r="C15590" s="3063"/>
      <c r="D15590" s="3064"/>
      <c r="E15590" s="3064"/>
      <c r="F15590" s="3064"/>
      <c r="G15590" s="3301" t="s">
        <v>676</v>
      </c>
      <c r="H15590" s="3063"/>
      <c r="I15590" s="3030"/>
    </row>
    <row r="15591" spans="2:9">
      <c r="B15591" s="3192" t="s">
        <v>677</v>
      </c>
      <c r="C15591" s="3063"/>
      <c r="D15591" s="3064"/>
      <c r="E15591" s="3064"/>
      <c r="F15591" s="3064"/>
      <c r="G15591" s="3301" t="s">
        <v>677</v>
      </c>
      <c r="H15591" s="3063"/>
      <c r="I15591" s="3030"/>
    </row>
    <row r="15592" spans="2:9">
      <c r="B15592" s="3192" t="s">
        <v>678</v>
      </c>
      <c r="C15592" s="3063"/>
      <c r="D15592" s="3064"/>
      <c r="E15592" s="3064"/>
      <c r="F15592" s="3064"/>
      <c r="G15592" s="3301" t="s">
        <v>678</v>
      </c>
      <c r="H15592" s="3063"/>
      <c r="I15592" s="3030"/>
    </row>
    <row r="15593" spans="2:9">
      <c r="B15593" s="3192" t="s">
        <v>679</v>
      </c>
      <c r="C15593" s="3063"/>
      <c r="D15593" s="3064"/>
      <c r="E15593" s="3064"/>
      <c r="F15593" s="3064"/>
      <c r="G15593" s="3301" t="s">
        <v>679</v>
      </c>
      <c r="H15593" s="3063"/>
      <c r="I15593" s="3030"/>
    </row>
    <row r="15594" spans="2:9" ht="25.5">
      <c r="B15594" s="3192" t="s">
        <v>720</v>
      </c>
      <c r="C15594" s="3063"/>
      <c r="D15594" s="3064"/>
      <c r="E15594" s="3064"/>
      <c r="F15594" s="3064"/>
      <c r="G15594" s="3301" t="s">
        <v>720</v>
      </c>
      <c r="H15594" s="3063"/>
      <c r="I15594" s="3030"/>
    </row>
    <row r="15595" spans="2:9">
      <c r="B15595" s="3299" t="s">
        <v>65</v>
      </c>
      <c r="C15595" s="3063"/>
      <c r="D15595" s="3064"/>
      <c r="E15595" s="3064"/>
      <c r="F15595" s="3064"/>
      <c r="G15595" s="3300" t="s">
        <v>65</v>
      </c>
      <c r="H15595" s="3063"/>
      <c r="I15595" s="3030"/>
    </row>
    <row r="15596" spans="2:9" ht="25.5">
      <c r="B15596" s="3192" t="s">
        <v>675</v>
      </c>
      <c r="C15596" s="3063"/>
      <c r="D15596" s="3064"/>
      <c r="E15596" s="3064"/>
      <c r="F15596" s="3064"/>
      <c r="G15596" s="3301" t="s">
        <v>675</v>
      </c>
      <c r="H15596" s="3063"/>
      <c r="I15596" s="3030"/>
    </row>
    <row r="15597" spans="2:9" ht="25.5">
      <c r="B15597" s="3192" t="s">
        <v>676</v>
      </c>
      <c r="C15597" s="3063"/>
      <c r="D15597" s="3064"/>
      <c r="E15597" s="3064"/>
      <c r="F15597" s="3064"/>
      <c r="G15597" s="3301" t="s">
        <v>676</v>
      </c>
      <c r="H15597" s="3063"/>
      <c r="I15597" s="3030"/>
    </row>
    <row r="15598" spans="2:9">
      <c r="B15598" s="3192" t="s">
        <v>677</v>
      </c>
      <c r="C15598" s="3063"/>
      <c r="D15598" s="3064"/>
      <c r="E15598" s="3064"/>
      <c r="F15598" s="3064"/>
      <c r="G15598" s="3301" t="s">
        <v>677</v>
      </c>
      <c r="H15598" s="3063"/>
      <c r="I15598" s="3030"/>
    </row>
    <row r="15599" spans="2:9">
      <c r="B15599" s="3192" t="s">
        <v>678</v>
      </c>
      <c r="C15599" s="3063"/>
      <c r="D15599" s="3064"/>
      <c r="E15599" s="3064"/>
      <c r="F15599" s="3064"/>
      <c r="G15599" s="3301" t="s">
        <v>678</v>
      </c>
      <c r="H15599" s="3063"/>
      <c r="I15599" s="3030"/>
    </row>
    <row r="15600" spans="2:9">
      <c r="B15600" s="3192" t="s">
        <v>679</v>
      </c>
      <c r="C15600" s="3063"/>
      <c r="D15600" s="3064"/>
      <c r="E15600" s="3064"/>
      <c r="F15600" s="3064"/>
      <c r="G15600" s="3301" t="s">
        <v>679</v>
      </c>
      <c r="H15600" s="3063"/>
      <c r="I15600" s="3030"/>
    </row>
    <row r="15601" spans="2:9" ht="25.5">
      <c r="B15601" s="3192" t="s">
        <v>720</v>
      </c>
      <c r="C15601" s="3063"/>
      <c r="D15601" s="3064"/>
      <c r="E15601" s="3064"/>
      <c r="F15601" s="3064"/>
      <c r="G15601" s="3301" t="s">
        <v>720</v>
      </c>
      <c r="H15601" s="3063"/>
      <c r="I15601" s="3030"/>
    </row>
    <row r="15602" spans="2:9">
      <c r="B15602" s="3299" t="s">
        <v>82</v>
      </c>
      <c r="C15602" s="3063"/>
      <c r="D15602" s="3064"/>
      <c r="E15602" s="3064"/>
      <c r="F15602" s="3064"/>
      <c r="G15602" s="3300" t="s">
        <v>82</v>
      </c>
      <c r="H15602" s="3063"/>
      <c r="I15602" s="3030"/>
    </row>
    <row r="15603" spans="2:9" ht="25.5">
      <c r="B15603" s="3192" t="s">
        <v>675</v>
      </c>
      <c r="C15603" s="3063"/>
      <c r="D15603" s="3064"/>
      <c r="E15603" s="3064"/>
      <c r="F15603" s="3064"/>
      <c r="G15603" s="3301" t="s">
        <v>675</v>
      </c>
      <c r="H15603" s="3063"/>
      <c r="I15603" s="3030"/>
    </row>
    <row r="15604" spans="2:9" ht="25.5">
      <c r="B15604" s="3192" t="s">
        <v>676</v>
      </c>
      <c r="C15604" s="3063"/>
      <c r="D15604" s="3064"/>
      <c r="E15604" s="3064"/>
      <c r="F15604" s="3064"/>
      <c r="G15604" s="3301" t="s">
        <v>676</v>
      </c>
      <c r="H15604" s="3063"/>
      <c r="I15604" s="3030"/>
    </row>
    <row r="15605" spans="2:9">
      <c r="B15605" s="3192" t="s">
        <v>677</v>
      </c>
      <c r="C15605" s="3063"/>
      <c r="D15605" s="3064"/>
      <c r="E15605" s="3064"/>
      <c r="F15605" s="3064"/>
      <c r="G15605" s="3301" t="s">
        <v>677</v>
      </c>
      <c r="H15605" s="3063"/>
      <c r="I15605" s="3030"/>
    </row>
    <row r="15606" spans="2:9">
      <c r="B15606" s="3192" t="s">
        <v>678</v>
      </c>
      <c r="C15606" s="3063"/>
      <c r="D15606" s="3064"/>
      <c r="E15606" s="3064"/>
      <c r="F15606" s="3064"/>
      <c r="G15606" s="3301" t="s">
        <v>678</v>
      </c>
      <c r="H15606" s="3063"/>
      <c r="I15606" s="3030"/>
    </row>
    <row r="15607" spans="2:9">
      <c r="B15607" s="3192" t="s">
        <v>679</v>
      </c>
      <c r="C15607" s="3063"/>
      <c r="D15607" s="3064"/>
      <c r="E15607" s="3064"/>
      <c r="F15607" s="3064"/>
      <c r="G15607" s="3301" t="s">
        <v>679</v>
      </c>
      <c r="H15607" s="3063"/>
      <c r="I15607" s="3030"/>
    </row>
    <row r="15608" spans="2:9" ht="25.5">
      <c r="B15608" s="3192" t="s">
        <v>720</v>
      </c>
      <c r="C15608" s="3063"/>
      <c r="D15608" s="3064"/>
      <c r="E15608" s="3064"/>
      <c r="F15608" s="3064"/>
      <c r="G15608" s="3301" t="s">
        <v>720</v>
      </c>
      <c r="H15608" s="3063"/>
      <c r="I15608" s="3030"/>
    </row>
    <row r="15609" spans="2:9" ht="38.25">
      <c r="B15609" s="3299" t="s">
        <v>680</v>
      </c>
      <c r="C15609" s="3063"/>
      <c r="D15609" s="3064"/>
      <c r="E15609" s="3064"/>
      <c r="F15609" s="3064"/>
      <c r="G15609" s="3300" t="s">
        <v>680</v>
      </c>
      <c r="H15609" s="3063"/>
      <c r="I15609" s="3030"/>
    </row>
    <row r="15610" spans="2:9" ht="25.5">
      <c r="B15610" s="3192" t="s">
        <v>675</v>
      </c>
      <c r="C15610" s="3063"/>
      <c r="D15610" s="3064"/>
      <c r="E15610" s="3064"/>
      <c r="F15610" s="3064"/>
      <c r="G15610" s="3301" t="s">
        <v>675</v>
      </c>
      <c r="H15610" s="3063"/>
      <c r="I15610" s="3030"/>
    </row>
    <row r="15611" spans="2:9" ht="25.5">
      <c r="B15611" s="3192" t="s">
        <v>676</v>
      </c>
      <c r="C15611" s="3063"/>
      <c r="D15611" s="3064"/>
      <c r="E15611" s="3064"/>
      <c r="F15611" s="3064"/>
      <c r="G15611" s="3301" t="s">
        <v>676</v>
      </c>
      <c r="H15611" s="3063"/>
      <c r="I15611" s="3030"/>
    </row>
    <row r="15612" spans="2:9">
      <c r="B15612" s="3192" t="s">
        <v>677</v>
      </c>
      <c r="C15612" s="3063"/>
      <c r="D15612" s="3064"/>
      <c r="E15612" s="3064"/>
      <c r="F15612" s="3064"/>
      <c r="G15612" s="3301" t="s">
        <v>677</v>
      </c>
      <c r="H15612" s="3063"/>
      <c r="I15612" s="3030"/>
    </row>
    <row r="15613" spans="2:9">
      <c r="B15613" s="3192" t="s">
        <v>678</v>
      </c>
      <c r="C15613" s="3063"/>
      <c r="D15613" s="3064"/>
      <c r="E15613" s="3064"/>
      <c r="F15613" s="3064"/>
      <c r="G15613" s="3301" t="s">
        <v>678</v>
      </c>
      <c r="H15613" s="3063"/>
      <c r="I15613" s="3030"/>
    </row>
    <row r="15614" spans="2:9">
      <c r="B15614" s="3192" t="s">
        <v>679</v>
      </c>
      <c r="C15614" s="3063"/>
      <c r="D15614" s="3064"/>
      <c r="E15614" s="3064"/>
      <c r="F15614" s="3064"/>
      <c r="G15614" s="3301" t="s">
        <v>679</v>
      </c>
      <c r="H15614" s="3063"/>
      <c r="I15614" s="3030"/>
    </row>
    <row r="15615" spans="2:9" ht="25.5">
      <c r="B15615" s="3192" t="s">
        <v>720</v>
      </c>
      <c r="C15615" s="3063"/>
      <c r="D15615" s="3064"/>
      <c r="E15615" s="3064"/>
      <c r="F15615" s="3064"/>
      <c r="G15615" s="3301" t="s">
        <v>720</v>
      </c>
      <c r="H15615" s="3063"/>
      <c r="I15615" s="3030"/>
    </row>
    <row r="15616" spans="2:9" ht="38.25">
      <c r="B15616" s="3299" t="s">
        <v>681</v>
      </c>
      <c r="C15616" s="3063"/>
      <c r="D15616" s="3064"/>
      <c r="E15616" s="3064"/>
      <c r="F15616" s="3064"/>
      <c r="G15616" s="3300" t="s">
        <v>681</v>
      </c>
      <c r="H15616" s="3063"/>
      <c r="I15616" s="3030"/>
    </row>
    <row r="15617" spans="2:9" ht="25.5">
      <c r="B15617" s="3192" t="s">
        <v>675</v>
      </c>
      <c r="C15617" s="3063"/>
      <c r="D15617" s="3064"/>
      <c r="E15617" s="3064"/>
      <c r="F15617" s="3064"/>
      <c r="G15617" s="3301" t="s">
        <v>675</v>
      </c>
      <c r="H15617" s="3063"/>
      <c r="I15617" s="3030"/>
    </row>
    <row r="15618" spans="2:9" ht="25.5">
      <c r="B15618" s="3192" t="s">
        <v>676</v>
      </c>
      <c r="C15618" s="3063"/>
      <c r="D15618" s="3064"/>
      <c r="E15618" s="3064"/>
      <c r="F15618" s="3064"/>
      <c r="G15618" s="3301" t="s">
        <v>676</v>
      </c>
      <c r="H15618" s="3063"/>
      <c r="I15618" s="3030"/>
    </row>
    <row r="15619" spans="2:9">
      <c r="B15619" s="3192" t="s">
        <v>677</v>
      </c>
      <c r="C15619" s="3063"/>
      <c r="D15619" s="3064"/>
      <c r="E15619" s="3064"/>
      <c r="F15619" s="3064"/>
      <c r="G15619" s="3301" t="s">
        <v>677</v>
      </c>
      <c r="H15619" s="3063"/>
      <c r="I15619" s="3030"/>
    </row>
    <row r="15620" spans="2:9">
      <c r="B15620" s="3192" t="s">
        <v>678</v>
      </c>
      <c r="C15620" s="3063"/>
      <c r="D15620" s="3064"/>
      <c r="E15620" s="3064"/>
      <c r="F15620" s="3064"/>
      <c r="G15620" s="3301" t="s">
        <v>678</v>
      </c>
      <c r="H15620" s="3063"/>
      <c r="I15620" s="3030"/>
    </row>
    <row r="15621" spans="2:9">
      <c r="B15621" s="3192" t="s">
        <v>679</v>
      </c>
      <c r="C15621" s="3063"/>
      <c r="D15621" s="3064"/>
      <c r="E15621" s="3064"/>
      <c r="F15621" s="3064"/>
      <c r="G15621" s="3301" t="s">
        <v>679</v>
      </c>
      <c r="H15621" s="3063"/>
      <c r="I15621" s="3030"/>
    </row>
    <row r="15622" spans="2:9" ht="25.5">
      <c r="B15622" s="3192" t="s">
        <v>720</v>
      </c>
      <c r="C15622" s="3063"/>
      <c r="D15622" s="3064"/>
      <c r="E15622" s="3064"/>
      <c r="F15622" s="3064"/>
      <c r="G15622" s="3301" t="s">
        <v>720</v>
      </c>
      <c r="H15622" s="3063"/>
      <c r="I15622" s="3030"/>
    </row>
    <row r="15623" spans="2:9" ht="25.5">
      <c r="B15623" s="3299" t="s">
        <v>682</v>
      </c>
      <c r="C15623" s="3063"/>
      <c r="D15623" s="3064"/>
      <c r="E15623" s="3064"/>
      <c r="F15623" s="3064"/>
      <c r="G15623" s="3300" t="s">
        <v>682</v>
      </c>
      <c r="H15623" s="3063"/>
      <c r="I15623" s="3030"/>
    </row>
    <row r="15624" spans="2:9" ht="25.5">
      <c r="B15624" s="3192" t="s">
        <v>675</v>
      </c>
      <c r="C15624" s="3063"/>
      <c r="D15624" s="3064"/>
      <c r="E15624" s="3064"/>
      <c r="F15624" s="3064"/>
      <c r="G15624" s="3301" t="s">
        <v>675</v>
      </c>
      <c r="H15624" s="3063"/>
      <c r="I15624" s="3030"/>
    </row>
    <row r="15625" spans="2:9" ht="25.5">
      <c r="B15625" s="3192" t="s">
        <v>676</v>
      </c>
      <c r="C15625" s="3063"/>
      <c r="D15625" s="3064"/>
      <c r="E15625" s="3064"/>
      <c r="F15625" s="3064"/>
      <c r="G15625" s="3301" t="s">
        <v>676</v>
      </c>
      <c r="H15625" s="3063"/>
      <c r="I15625" s="3030"/>
    </row>
    <row r="15626" spans="2:9">
      <c r="B15626" s="3192" t="s">
        <v>677</v>
      </c>
      <c r="C15626" s="3063"/>
      <c r="D15626" s="3064"/>
      <c r="E15626" s="3064"/>
      <c r="F15626" s="3064"/>
      <c r="G15626" s="3301" t="s">
        <v>677</v>
      </c>
      <c r="H15626" s="3063"/>
      <c r="I15626" s="3030"/>
    </row>
    <row r="15627" spans="2:9">
      <c r="B15627" s="3192" t="s">
        <v>678</v>
      </c>
      <c r="C15627" s="3063"/>
      <c r="D15627" s="3064"/>
      <c r="E15627" s="3064"/>
      <c r="F15627" s="3064"/>
      <c r="G15627" s="3301" t="s">
        <v>678</v>
      </c>
      <c r="H15627" s="3063"/>
      <c r="I15627" s="3030"/>
    </row>
    <row r="15628" spans="2:9">
      <c r="B15628" s="3192" t="s">
        <v>679</v>
      </c>
      <c r="C15628" s="3063"/>
      <c r="D15628" s="3064"/>
      <c r="E15628" s="3064"/>
      <c r="F15628" s="3064"/>
      <c r="G15628" s="3301" t="s">
        <v>679</v>
      </c>
      <c r="H15628" s="3063"/>
      <c r="I15628" s="3030"/>
    </row>
    <row r="15629" spans="2:9" ht="25.5">
      <c r="B15629" s="3192" t="s">
        <v>720</v>
      </c>
      <c r="C15629" s="3063"/>
      <c r="D15629" s="3064"/>
      <c r="E15629" s="3064"/>
      <c r="F15629" s="3064"/>
      <c r="G15629" s="3301" t="s">
        <v>720</v>
      </c>
      <c r="H15629" s="3063"/>
      <c r="I15629" s="3030"/>
    </row>
    <row r="15630" spans="2:9" ht="25.5">
      <c r="B15630" s="3299" t="s">
        <v>66</v>
      </c>
      <c r="C15630" s="3063"/>
      <c r="D15630" s="3064"/>
      <c r="E15630" s="3064"/>
      <c r="F15630" s="3064"/>
      <c r="G15630" s="3300" t="s">
        <v>66</v>
      </c>
      <c r="H15630" s="3063"/>
      <c r="I15630" s="3030"/>
    </row>
    <row r="15631" spans="2:9" ht="25.5">
      <c r="B15631" s="3192" t="s">
        <v>675</v>
      </c>
      <c r="C15631" s="3063"/>
      <c r="D15631" s="3064"/>
      <c r="E15631" s="3064"/>
      <c r="F15631" s="3064"/>
      <c r="G15631" s="3301" t="s">
        <v>675</v>
      </c>
      <c r="H15631" s="3063"/>
      <c r="I15631" s="3030"/>
    </row>
    <row r="15632" spans="2:9" ht="25.5">
      <c r="B15632" s="3192" t="s">
        <v>676</v>
      </c>
      <c r="C15632" s="3063"/>
      <c r="D15632" s="3064"/>
      <c r="E15632" s="3064"/>
      <c r="F15632" s="3064"/>
      <c r="G15632" s="3301" t="s">
        <v>676</v>
      </c>
      <c r="H15632" s="3063"/>
      <c r="I15632" s="3030"/>
    </row>
    <row r="15633" spans="2:9">
      <c r="B15633" s="3192" t="s">
        <v>677</v>
      </c>
      <c r="C15633" s="3063"/>
      <c r="D15633" s="3064"/>
      <c r="E15633" s="3064"/>
      <c r="F15633" s="3064"/>
      <c r="G15633" s="3301" t="s">
        <v>677</v>
      </c>
      <c r="H15633" s="3063"/>
      <c r="I15633" s="3030"/>
    </row>
    <row r="15634" spans="2:9">
      <c r="B15634" s="3192" t="s">
        <v>678</v>
      </c>
      <c r="C15634" s="3063"/>
      <c r="D15634" s="3064"/>
      <c r="E15634" s="3064"/>
      <c r="F15634" s="3064"/>
      <c r="G15634" s="3301" t="s">
        <v>678</v>
      </c>
      <c r="H15634" s="3063"/>
      <c r="I15634" s="3030"/>
    </row>
    <row r="15635" spans="2:9">
      <c r="B15635" s="3192" t="s">
        <v>679</v>
      </c>
      <c r="C15635" s="3063"/>
      <c r="D15635" s="3064"/>
      <c r="E15635" s="3064"/>
      <c r="F15635" s="3064"/>
      <c r="G15635" s="3301" t="s">
        <v>679</v>
      </c>
      <c r="H15635" s="3063"/>
      <c r="I15635" s="3030"/>
    </row>
    <row r="15636" spans="2:9" ht="25.5">
      <c r="B15636" s="3192" t="s">
        <v>720</v>
      </c>
      <c r="C15636" s="3063"/>
      <c r="D15636" s="3064"/>
      <c r="E15636" s="3064"/>
      <c r="F15636" s="3064"/>
      <c r="G15636" s="3301" t="s">
        <v>720</v>
      </c>
      <c r="H15636" s="3063"/>
      <c r="I15636" s="3030"/>
    </row>
    <row r="15637" spans="2:9">
      <c r="B15637" s="3299" t="s">
        <v>67</v>
      </c>
      <c r="C15637" s="3063"/>
      <c r="D15637" s="3064"/>
      <c r="E15637" s="3064"/>
      <c r="F15637" s="3064"/>
      <c r="G15637" s="3300" t="s">
        <v>67</v>
      </c>
      <c r="H15637" s="3063"/>
      <c r="I15637" s="3030"/>
    </row>
    <row r="15638" spans="2:9" ht="25.5">
      <c r="B15638" s="3192" t="s">
        <v>675</v>
      </c>
      <c r="C15638" s="3063"/>
      <c r="D15638" s="3064"/>
      <c r="E15638" s="3064"/>
      <c r="F15638" s="3064"/>
      <c r="G15638" s="3301" t="s">
        <v>675</v>
      </c>
      <c r="H15638" s="3063"/>
      <c r="I15638" s="3030"/>
    </row>
    <row r="15639" spans="2:9" ht="25.5">
      <c r="B15639" s="3192" t="s">
        <v>676</v>
      </c>
      <c r="C15639" s="3063"/>
      <c r="D15639" s="3064"/>
      <c r="E15639" s="3064"/>
      <c r="F15639" s="3064"/>
      <c r="G15639" s="3301" t="s">
        <v>676</v>
      </c>
      <c r="H15639" s="3063"/>
      <c r="I15639" s="3030"/>
    </row>
    <row r="15640" spans="2:9">
      <c r="B15640" s="3192" t="s">
        <v>677</v>
      </c>
      <c r="C15640" s="3063"/>
      <c r="D15640" s="3064"/>
      <c r="E15640" s="3064"/>
      <c r="F15640" s="3064"/>
      <c r="G15640" s="3301" t="s">
        <v>677</v>
      </c>
      <c r="H15640" s="3063"/>
      <c r="I15640" s="3030"/>
    </row>
    <row r="15641" spans="2:9">
      <c r="B15641" s="3192" t="s">
        <v>678</v>
      </c>
      <c r="C15641" s="3063"/>
      <c r="D15641" s="3064"/>
      <c r="E15641" s="3064"/>
      <c r="F15641" s="3064"/>
      <c r="G15641" s="3301" t="s">
        <v>678</v>
      </c>
      <c r="H15641" s="3063"/>
      <c r="I15641" s="3030"/>
    </row>
    <row r="15642" spans="2:9">
      <c r="B15642" s="3192" t="s">
        <v>679</v>
      </c>
      <c r="C15642" s="3063"/>
      <c r="D15642" s="3064"/>
      <c r="E15642" s="3064"/>
      <c r="F15642" s="3064"/>
      <c r="G15642" s="3301" t="s">
        <v>679</v>
      </c>
      <c r="H15642" s="3063"/>
      <c r="I15642" s="3030"/>
    </row>
    <row r="15643" spans="2:9" ht="25.5">
      <c r="B15643" s="3192" t="s">
        <v>720</v>
      </c>
      <c r="C15643" s="3063"/>
      <c r="D15643" s="3064"/>
      <c r="E15643" s="3064"/>
      <c r="F15643" s="3064"/>
      <c r="G15643" s="3301" t="s">
        <v>720</v>
      </c>
      <c r="H15643" s="3063"/>
      <c r="I15643" s="3030"/>
    </row>
    <row r="15644" spans="2:9" ht="25.5">
      <c r="B15644" s="3230" t="s">
        <v>81</v>
      </c>
      <c r="C15644" s="3063"/>
      <c r="D15644" s="3064"/>
      <c r="E15644" s="3064"/>
      <c r="F15644" s="3064"/>
      <c r="G15644" s="3302" t="s">
        <v>81</v>
      </c>
      <c r="H15644" s="3063"/>
      <c r="I15644" s="3030"/>
    </row>
    <row r="15645" spans="2:9" ht="26.25" thickBot="1">
      <c r="B15645" s="3303" t="s">
        <v>81</v>
      </c>
      <c r="C15645" s="3063"/>
      <c r="D15645" s="3064"/>
      <c r="E15645" s="3064"/>
      <c r="F15645" s="3064"/>
      <c r="G15645" s="3302" t="s">
        <v>81</v>
      </c>
      <c r="H15645" s="3063"/>
      <c r="I15645" s="3030"/>
    </row>
    <row r="15646" spans="2:9" ht="25.5">
      <c r="B15646" s="3217" t="s">
        <v>696</v>
      </c>
      <c r="C15646" s="3218"/>
      <c r="D15646" s="3219"/>
      <c r="E15646" s="3219"/>
      <c r="F15646" s="3219"/>
      <c r="G15646" s="3217" t="s">
        <v>696</v>
      </c>
      <c r="H15646" s="3297"/>
      <c r="I15646" s="3298"/>
    </row>
    <row r="15647" spans="2:9">
      <c r="B15647" s="3299" t="s">
        <v>64</v>
      </c>
      <c r="C15647" s="3063"/>
      <c r="D15647" s="3064"/>
      <c r="E15647" s="3064"/>
      <c r="F15647" s="3064"/>
      <c r="G15647" s="3300" t="s">
        <v>64</v>
      </c>
      <c r="H15647" s="3063"/>
      <c r="I15647" s="3030"/>
    </row>
    <row r="15648" spans="2:9" ht="25.5">
      <c r="B15648" s="3192" t="s">
        <v>675</v>
      </c>
      <c r="C15648" s="3063"/>
      <c r="D15648" s="3064"/>
      <c r="E15648" s="3064"/>
      <c r="F15648" s="3064"/>
      <c r="G15648" s="3301" t="s">
        <v>675</v>
      </c>
      <c r="H15648" s="3063"/>
      <c r="I15648" s="3030"/>
    </row>
    <row r="15649" spans="2:9" ht="25.5">
      <c r="B15649" s="3192" t="s">
        <v>676</v>
      </c>
      <c r="C15649" s="3063"/>
      <c r="D15649" s="3064"/>
      <c r="E15649" s="3064"/>
      <c r="F15649" s="3064"/>
      <c r="G15649" s="3301" t="s">
        <v>676</v>
      </c>
      <c r="H15649" s="3063"/>
      <c r="I15649" s="3030"/>
    </row>
    <row r="15650" spans="2:9">
      <c r="B15650" s="3192" t="s">
        <v>677</v>
      </c>
      <c r="C15650" s="3063"/>
      <c r="D15650" s="3064"/>
      <c r="E15650" s="3064"/>
      <c r="F15650" s="3064"/>
      <c r="G15650" s="3301" t="s">
        <v>677</v>
      </c>
      <c r="H15650" s="3063"/>
      <c r="I15650" s="3030"/>
    </row>
    <row r="15651" spans="2:9">
      <c r="B15651" s="3192" t="s">
        <v>678</v>
      </c>
      <c r="C15651" s="3063"/>
      <c r="D15651" s="3064"/>
      <c r="E15651" s="3064"/>
      <c r="F15651" s="3064"/>
      <c r="G15651" s="3301" t="s">
        <v>678</v>
      </c>
      <c r="H15651" s="3063"/>
      <c r="I15651" s="3030"/>
    </row>
    <row r="15652" spans="2:9">
      <c r="B15652" s="3192" t="s">
        <v>679</v>
      </c>
      <c r="C15652" s="3063"/>
      <c r="D15652" s="3064"/>
      <c r="E15652" s="3064"/>
      <c r="F15652" s="3064"/>
      <c r="G15652" s="3301" t="s">
        <v>679</v>
      </c>
      <c r="H15652" s="3063"/>
      <c r="I15652" s="3030"/>
    </row>
    <row r="15653" spans="2:9" ht="25.5">
      <c r="B15653" s="3192" t="s">
        <v>720</v>
      </c>
      <c r="C15653" s="3063"/>
      <c r="D15653" s="3064"/>
      <c r="E15653" s="3064"/>
      <c r="F15653" s="3064"/>
      <c r="G15653" s="3301" t="s">
        <v>720</v>
      </c>
      <c r="H15653" s="3063"/>
      <c r="I15653" s="3030"/>
    </row>
    <row r="15654" spans="2:9">
      <c r="B15654" s="3299" t="s">
        <v>65</v>
      </c>
      <c r="C15654" s="3063"/>
      <c r="D15654" s="3064"/>
      <c r="E15654" s="3064"/>
      <c r="F15654" s="3064"/>
      <c r="G15654" s="3300" t="s">
        <v>65</v>
      </c>
      <c r="H15654" s="3063"/>
      <c r="I15654" s="3030"/>
    </row>
    <row r="15655" spans="2:9" ht="25.5">
      <c r="B15655" s="3192" t="s">
        <v>675</v>
      </c>
      <c r="C15655" s="3063"/>
      <c r="D15655" s="3064"/>
      <c r="E15655" s="3064"/>
      <c r="F15655" s="3064"/>
      <c r="G15655" s="3301" t="s">
        <v>675</v>
      </c>
      <c r="H15655" s="3063"/>
      <c r="I15655" s="3030"/>
    </row>
    <row r="15656" spans="2:9" ht="25.5">
      <c r="B15656" s="3192" t="s">
        <v>676</v>
      </c>
      <c r="C15656" s="3063"/>
      <c r="D15656" s="3064"/>
      <c r="E15656" s="3064"/>
      <c r="F15656" s="3064"/>
      <c r="G15656" s="3301" t="s">
        <v>676</v>
      </c>
      <c r="H15656" s="3063"/>
      <c r="I15656" s="3030"/>
    </row>
    <row r="15657" spans="2:9">
      <c r="B15657" s="3192" t="s">
        <v>677</v>
      </c>
      <c r="C15657" s="3063"/>
      <c r="D15657" s="3064"/>
      <c r="E15657" s="3064"/>
      <c r="F15657" s="3064"/>
      <c r="G15657" s="3301" t="s">
        <v>677</v>
      </c>
      <c r="H15657" s="3063"/>
      <c r="I15657" s="3030"/>
    </row>
    <row r="15658" spans="2:9">
      <c r="B15658" s="3192" t="s">
        <v>678</v>
      </c>
      <c r="C15658" s="3063"/>
      <c r="D15658" s="3064"/>
      <c r="E15658" s="3064"/>
      <c r="F15658" s="3064"/>
      <c r="G15658" s="3301" t="s">
        <v>678</v>
      </c>
      <c r="H15658" s="3063"/>
      <c r="I15658" s="3030"/>
    </row>
    <row r="15659" spans="2:9">
      <c r="B15659" s="3192" t="s">
        <v>679</v>
      </c>
      <c r="C15659" s="3063"/>
      <c r="D15659" s="3064"/>
      <c r="E15659" s="3064"/>
      <c r="F15659" s="3064"/>
      <c r="G15659" s="3301" t="s">
        <v>679</v>
      </c>
      <c r="H15659" s="3063"/>
      <c r="I15659" s="3030"/>
    </row>
    <row r="15660" spans="2:9" ht="25.5">
      <c r="B15660" s="3192" t="s">
        <v>720</v>
      </c>
      <c r="C15660" s="3063"/>
      <c r="D15660" s="3064"/>
      <c r="E15660" s="3064"/>
      <c r="F15660" s="3064"/>
      <c r="G15660" s="3301" t="s">
        <v>720</v>
      </c>
      <c r="H15660" s="3063"/>
      <c r="I15660" s="3030"/>
    </row>
    <row r="15661" spans="2:9">
      <c r="B15661" s="3299" t="s">
        <v>82</v>
      </c>
      <c r="C15661" s="3063"/>
      <c r="D15661" s="3064"/>
      <c r="E15661" s="3064"/>
      <c r="F15661" s="3064"/>
      <c r="G15661" s="3300" t="s">
        <v>82</v>
      </c>
      <c r="H15661" s="3063"/>
      <c r="I15661" s="3030"/>
    </row>
    <row r="15662" spans="2:9" ht="25.5">
      <c r="B15662" s="3192" t="s">
        <v>675</v>
      </c>
      <c r="C15662" s="3063"/>
      <c r="D15662" s="3064"/>
      <c r="E15662" s="3064"/>
      <c r="F15662" s="3064"/>
      <c r="G15662" s="3301" t="s">
        <v>675</v>
      </c>
      <c r="H15662" s="3063"/>
      <c r="I15662" s="3030"/>
    </row>
    <row r="15663" spans="2:9" ht="25.5">
      <c r="B15663" s="3192" t="s">
        <v>676</v>
      </c>
      <c r="C15663" s="3063"/>
      <c r="D15663" s="3064"/>
      <c r="E15663" s="3064"/>
      <c r="F15663" s="3064"/>
      <c r="G15663" s="3301" t="s">
        <v>676</v>
      </c>
      <c r="H15663" s="3063"/>
      <c r="I15663" s="3030"/>
    </row>
    <row r="15664" spans="2:9">
      <c r="B15664" s="3192" t="s">
        <v>677</v>
      </c>
      <c r="C15664" s="3063"/>
      <c r="D15664" s="3064"/>
      <c r="E15664" s="3064"/>
      <c r="F15664" s="3064"/>
      <c r="G15664" s="3301" t="s">
        <v>677</v>
      </c>
      <c r="H15664" s="3063"/>
      <c r="I15664" s="3030"/>
    </row>
    <row r="15665" spans="2:9">
      <c r="B15665" s="3192" t="s">
        <v>678</v>
      </c>
      <c r="C15665" s="3063"/>
      <c r="D15665" s="3064"/>
      <c r="E15665" s="3064"/>
      <c r="F15665" s="3064"/>
      <c r="G15665" s="3301" t="s">
        <v>678</v>
      </c>
      <c r="H15665" s="3063"/>
      <c r="I15665" s="3030"/>
    </row>
    <row r="15666" spans="2:9">
      <c r="B15666" s="3192" t="s">
        <v>679</v>
      </c>
      <c r="C15666" s="3063"/>
      <c r="D15666" s="3064"/>
      <c r="E15666" s="3064"/>
      <c r="F15666" s="3064"/>
      <c r="G15666" s="3301" t="s">
        <v>679</v>
      </c>
      <c r="H15666" s="3063"/>
      <c r="I15666" s="3030"/>
    </row>
    <row r="15667" spans="2:9" ht="25.5">
      <c r="B15667" s="3192" t="s">
        <v>720</v>
      </c>
      <c r="C15667" s="3063"/>
      <c r="D15667" s="3064"/>
      <c r="E15667" s="3064"/>
      <c r="F15667" s="3064"/>
      <c r="G15667" s="3301" t="s">
        <v>720</v>
      </c>
      <c r="H15667" s="3063"/>
      <c r="I15667" s="3030"/>
    </row>
    <row r="15668" spans="2:9" ht="38.25">
      <c r="B15668" s="3299" t="s">
        <v>680</v>
      </c>
      <c r="C15668" s="3063"/>
      <c r="D15668" s="3064"/>
      <c r="E15668" s="3064"/>
      <c r="F15668" s="3064"/>
      <c r="G15668" s="3300" t="s">
        <v>680</v>
      </c>
      <c r="H15668" s="3063"/>
      <c r="I15668" s="3030"/>
    </row>
    <row r="15669" spans="2:9" ht="25.5">
      <c r="B15669" s="3192" t="s">
        <v>675</v>
      </c>
      <c r="C15669" s="3063"/>
      <c r="D15669" s="3064"/>
      <c r="E15669" s="3064"/>
      <c r="F15669" s="3064"/>
      <c r="G15669" s="3301" t="s">
        <v>675</v>
      </c>
      <c r="H15669" s="3063"/>
      <c r="I15669" s="3030"/>
    </row>
    <row r="15670" spans="2:9" ht="25.5">
      <c r="B15670" s="3192" t="s">
        <v>676</v>
      </c>
      <c r="C15670" s="3063"/>
      <c r="D15670" s="3064"/>
      <c r="E15670" s="3064"/>
      <c r="F15670" s="3064"/>
      <c r="G15670" s="3301" t="s">
        <v>676</v>
      </c>
      <c r="H15670" s="3063"/>
      <c r="I15670" s="3030"/>
    </row>
    <row r="15671" spans="2:9">
      <c r="B15671" s="3192" t="s">
        <v>677</v>
      </c>
      <c r="C15671" s="3063"/>
      <c r="D15671" s="3064"/>
      <c r="E15671" s="3064"/>
      <c r="F15671" s="3064"/>
      <c r="G15671" s="3301" t="s">
        <v>677</v>
      </c>
      <c r="H15671" s="3063"/>
      <c r="I15671" s="3030"/>
    </row>
    <row r="15672" spans="2:9">
      <c r="B15672" s="3192" t="s">
        <v>678</v>
      </c>
      <c r="C15672" s="3063"/>
      <c r="D15672" s="3064"/>
      <c r="E15672" s="3064"/>
      <c r="F15672" s="3064"/>
      <c r="G15672" s="3301" t="s">
        <v>678</v>
      </c>
      <c r="H15672" s="3063"/>
      <c r="I15672" s="3030"/>
    </row>
    <row r="15673" spans="2:9">
      <c r="B15673" s="3192" t="s">
        <v>679</v>
      </c>
      <c r="C15673" s="3063"/>
      <c r="D15673" s="3064"/>
      <c r="E15673" s="3064"/>
      <c r="F15673" s="3064"/>
      <c r="G15673" s="3301" t="s">
        <v>679</v>
      </c>
      <c r="H15673" s="3063"/>
      <c r="I15673" s="3030"/>
    </row>
    <row r="15674" spans="2:9" ht="25.5">
      <c r="B15674" s="3192" t="s">
        <v>720</v>
      </c>
      <c r="C15674" s="3063"/>
      <c r="D15674" s="3064"/>
      <c r="E15674" s="3064"/>
      <c r="F15674" s="3064"/>
      <c r="G15674" s="3301" t="s">
        <v>720</v>
      </c>
      <c r="H15674" s="3063"/>
      <c r="I15674" s="3030"/>
    </row>
    <row r="15675" spans="2:9" ht="38.25">
      <c r="B15675" s="3299" t="s">
        <v>681</v>
      </c>
      <c r="C15675" s="3063"/>
      <c r="D15675" s="3064"/>
      <c r="E15675" s="3064"/>
      <c r="F15675" s="3064"/>
      <c r="G15675" s="3300" t="s">
        <v>681</v>
      </c>
      <c r="H15675" s="3063"/>
      <c r="I15675" s="3030"/>
    </row>
    <row r="15676" spans="2:9" ht="25.5">
      <c r="B15676" s="3192" t="s">
        <v>675</v>
      </c>
      <c r="C15676" s="3063"/>
      <c r="D15676" s="3064"/>
      <c r="E15676" s="3064"/>
      <c r="F15676" s="3064"/>
      <c r="G15676" s="3301" t="s">
        <v>675</v>
      </c>
      <c r="H15676" s="3063"/>
      <c r="I15676" s="3030"/>
    </row>
    <row r="15677" spans="2:9" ht="25.5">
      <c r="B15677" s="3192" t="s">
        <v>676</v>
      </c>
      <c r="C15677" s="3063"/>
      <c r="D15677" s="3064"/>
      <c r="E15677" s="3064"/>
      <c r="F15677" s="3064"/>
      <c r="G15677" s="3301" t="s">
        <v>676</v>
      </c>
      <c r="H15677" s="3063"/>
      <c r="I15677" s="3030"/>
    </row>
    <row r="15678" spans="2:9">
      <c r="B15678" s="3192" t="s">
        <v>677</v>
      </c>
      <c r="C15678" s="3063"/>
      <c r="D15678" s="3064"/>
      <c r="E15678" s="3064"/>
      <c r="F15678" s="3064"/>
      <c r="G15678" s="3301" t="s">
        <v>677</v>
      </c>
      <c r="H15678" s="3063"/>
      <c r="I15678" s="3030"/>
    </row>
    <row r="15679" spans="2:9">
      <c r="B15679" s="3192" t="s">
        <v>678</v>
      </c>
      <c r="C15679" s="3063"/>
      <c r="D15679" s="3064"/>
      <c r="E15679" s="3064"/>
      <c r="F15679" s="3064"/>
      <c r="G15679" s="3301" t="s">
        <v>678</v>
      </c>
      <c r="H15679" s="3063"/>
      <c r="I15679" s="3030"/>
    </row>
    <row r="15680" spans="2:9">
      <c r="B15680" s="3192" t="s">
        <v>679</v>
      </c>
      <c r="C15680" s="3063"/>
      <c r="D15680" s="3064"/>
      <c r="E15680" s="3064"/>
      <c r="F15680" s="3064"/>
      <c r="G15680" s="3301" t="s">
        <v>679</v>
      </c>
      <c r="H15680" s="3063"/>
      <c r="I15680" s="3030"/>
    </row>
    <row r="15681" spans="2:9" ht="25.5">
      <c r="B15681" s="3192" t="s">
        <v>720</v>
      </c>
      <c r="C15681" s="3063"/>
      <c r="D15681" s="3064"/>
      <c r="E15681" s="3064"/>
      <c r="F15681" s="3064"/>
      <c r="G15681" s="3301" t="s">
        <v>720</v>
      </c>
      <c r="H15681" s="3063"/>
      <c r="I15681" s="3030"/>
    </row>
    <row r="15682" spans="2:9" ht="25.5">
      <c r="B15682" s="3299" t="s">
        <v>682</v>
      </c>
      <c r="C15682" s="3063"/>
      <c r="D15682" s="3064"/>
      <c r="E15682" s="3064"/>
      <c r="F15682" s="3064"/>
      <c r="G15682" s="3300" t="s">
        <v>682</v>
      </c>
      <c r="H15682" s="3063"/>
      <c r="I15682" s="3030"/>
    </row>
    <row r="15683" spans="2:9" ht="25.5">
      <c r="B15683" s="3192" t="s">
        <v>675</v>
      </c>
      <c r="C15683" s="3063"/>
      <c r="D15683" s="3064"/>
      <c r="E15683" s="3064"/>
      <c r="F15683" s="3064"/>
      <c r="G15683" s="3301" t="s">
        <v>675</v>
      </c>
      <c r="H15683" s="3063"/>
      <c r="I15683" s="3030"/>
    </row>
    <row r="15684" spans="2:9" ht="25.5">
      <c r="B15684" s="3192" t="s">
        <v>676</v>
      </c>
      <c r="C15684" s="3063"/>
      <c r="D15684" s="3064"/>
      <c r="E15684" s="3064"/>
      <c r="F15684" s="3064"/>
      <c r="G15684" s="3301" t="s">
        <v>676</v>
      </c>
      <c r="H15684" s="3063"/>
      <c r="I15684" s="3030"/>
    </row>
    <row r="15685" spans="2:9">
      <c r="B15685" s="3192" t="s">
        <v>677</v>
      </c>
      <c r="C15685" s="3063"/>
      <c r="D15685" s="3064"/>
      <c r="E15685" s="3064"/>
      <c r="F15685" s="3064"/>
      <c r="G15685" s="3301" t="s">
        <v>677</v>
      </c>
      <c r="H15685" s="3063"/>
      <c r="I15685" s="3030"/>
    </row>
    <row r="15686" spans="2:9">
      <c r="B15686" s="3192" t="s">
        <v>678</v>
      </c>
      <c r="C15686" s="3063"/>
      <c r="D15686" s="3064"/>
      <c r="E15686" s="3064"/>
      <c r="F15686" s="3064"/>
      <c r="G15686" s="3301" t="s">
        <v>678</v>
      </c>
      <c r="H15686" s="3063"/>
      <c r="I15686" s="3030"/>
    </row>
    <row r="15687" spans="2:9">
      <c r="B15687" s="3192" t="s">
        <v>679</v>
      </c>
      <c r="C15687" s="3063"/>
      <c r="D15687" s="3064"/>
      <c r="E15687" s="3064"/>
      <c r="F15687" s="3064"/>
      <c r="G15687" s="3301" t="s">
        <v>679</v>
      </c>
      <c r="H15687" s="3063"/>
      <c r="I15687" s="3030"/>
    </row>
    <row r="15688" spans="2:9" ht="25.5">
      <c r="B15688" s="3192" t="s">
        <v>720</v>
      </c>
      <c r="C15688" s="3063"/>
      <c r="D15688" s="3064"/>
      <c r="E15688" s="3064"/>
      <c r="F15688" s="3064"/>
      <c r="G15688" s="3301" t="s">
        <v>720</v>
      </c>
      <c r="H15688" s="3063"/>
      <c r="I15688" s="3030"/>
    </row>
    <row r="15689" spans="2:9" ht="25.5">
      <c r="B15689" s="3299" t="s">
        <v>66</v>
      </c>
      <c r="C15689" s="3063"/>
      <c r="D15689" s="3064"/>
      <c r="E15689" s="3064"/>
      <c r="F15689" s="3064"/>
      <c r="G15689" s="3300" t="s">
        <v>66</v>
      </c>
      <c r="H15689" s="3063"/>
      <c r="I15689" s="3030"/>
    </row>
    <row r="15690" spans="2:9" ht="25.5">
      <c r="B15690" s="3192" t="s">
        <v>675</v>
      </c>
      <c r="C15690" s="3063"/>
      <c r="D15690" s="3064"/>
      <c r="E15690" s="3064"/>
      <c r="F15690" s="3064"/>
      <c r="G15690" s="3301" t="s">
        <v>675</v>
      </c>
      <c r="H15690" s="3063"/>
      <c r="I15690" s="3030"/>
    </row>
    <row r="15691" spans="2:9" ht="25.5">
      <c r="B15691" s="3192" t="s">
        <v>676</v>
      </c>
      <c r="C15691" s="3063"/>
      <c r="D15691" s="3064"/>
      <c r="E15691" s="3064"/>
      <c r="F15691" s="3064"/>
      <c r="G15691" s="3301" t="s">
        <v>676</v>
      </c>
      <c r="H15691" s="3063"/>
      <c r="I15691" s="3030"/>
    </row>
    <row r="15692" spans="2:9">
      <c r="B15692" s="3192" t="s">
        <v>677</v>
      </c>
      <c r="C15692" s="3063"/>
      <c r="D15692" s="3064"/>
      <c r="E15692" s="3064"/>
      <c r="F15692" s="3064"/>
      <c r="G15692" s="3301" t="s">
        <v>677</v>
      </c>
      <c r="H15692" s="3063"/>
      <c r="I15692" s="3030"/>
    </row>
    <row r="15693" spans="2:9">
      <c r="B15693" s="3192" t="s">
        <v>678</v>
      </c>
      <c r="C15693" s="3063"/>
      <c r="D15693" s="3064"/>
      <c r="E15693" s="3064"/>
      <c r="F15693" s="3064"/>
      <c r="G15693" s="3301" t="s">
        <v>678</v>
      </c>
      <c r="H15693" s="3063"/>
      <c r="I15693" s="3030"/>
    </row>
    <row r="15694" spans="2:9">
      <c r="B15694" s="3192" t="s">
        <v>679</v>
      </c>
      <c r="C15694" s="3063"/>
      <c r="D15694" s="3064"/>
      <c r="E15694" s="3064"/>
      <c r="F15694" s="3064"/>
      <c r="G15694" s="3301" t="s">
        <v>679</v>
      </c>
      <c r="H15694" s="3063"/>
      <c r="I15694" s="3030"/>
    </row>
    <row r="15695" spans="2:9" ht="25.5">
      <c r="B15695" s="3192" t="s">
        <v>720</v>
      </c>
      <c r="C15695" s="3063"/>
      <c r="D15695" s="3064"/>
      <c r="E15695" s="3064"/>
      <c r="F15695" s="3064"/>
      <c r="G15695" s="3301" t="s">
        <v>720</v>
      </c>
      <c r="H15695" s="3063"/>
      <c r="I15695" s="3030"/>
    </row>
    <row r="15696" spans="2:9">
      <c r="B15696" s="3299" t="s">
        <v>67</v>
      </c>
      <c r="C15696" s="3063"/>
      <c r="D15696" s="3064"/>
      <c r="E15696" s="3064"/>
      <c r="F15696" s="3064"/>
      <c r="G15696" s="3300" t="s">
        <v>67</v>
      </c>
      <c r="H15696" s="3063"/>
      <c r="I15696" s="3030"/>
    </row>
    <row r="15697" spans="2:9" ht="25.5">
      <c r="B15697" s="3192" t="s">
        <v>675</v>
      </c>
      <c r="C15697" s="3063"/>
      <c r="D15697" s="3064"/>
      <c r="E15697" s="3064"/>
      <c r="F15697" s="3064"/>
      <c r="G15697" s="3301" t="s">
        <v>675</v>
      </c>
      <c r="H15697" s="3063"/>
      <c r="I15697" s="3030"/>
    </row>
    <row r="15698" spans="2:9" ht="25.5">
      <c r="B15698" s="3192" t="s">
        <v>676</v>
      </c>
      <c r="C15698" s="3063"/>
      <c r="D15698" s="3064"/>
      <c r="E15698" s="3064"/>
      <c r="F15698" s="3064"/>
      <c r="G15698" s="3301" t="s">
        <v>676</v>
      </c>
      <c r="H15698" s="3063"/>
      <c r="I15698" s="3030"/>
    </row>
    <row r="15699" spans="2:9">
      <c r="B15699" s="3192" t="s">
        <v>677</v>
      </c>
      <c r="C15699" s="3063"/>
      <c r="D15699" s="3064"/>
      <c r="E15699" s="3064"/>
      <c r="F15699" s="3064"/>
      <c r="G15699" s="3301" t="s">
        <v>677</v>
      </c>
      <c r="H15699" s="3063"/>
      <c r="I15699" s="3030"/>
    </row>
    <row r="15700" spans="2:9">
      <c r="B15700" s="3192" t="s">
        <v>678</v>
      </c>
      <c r="C15700" s="3063"/>
      <c r="D15700" s="3064"/>
      <c r="E15700" s="3064"/>
      <c r="F15700" s="3064"/>
      <c r="G15700" s="3301" t="s">
        <v>678</v>
      </c>
      <c r="H15700" s="3063"/>
      <c r="I15700" s="3030"/>
    </row>
    <row r="15701" spans="2:9">
      <c r="B15701" s="3192" t="s">
        <v>679</v>
      </c>
      <c r="C15701" s="3063"/>
      <c r="D15701" s="3064"/>
      <c r="E15701" s="3064"/>
      <c r="F15701" s="3064"/>
      <c r="G15701" s="3301" t="s">
        <v>679</v>
      </c>
      <c r="H15701" s="3063"/>
      <c r="I15701" s="3030"/>
    </row>
    <row r="15702" spans="2:9" ht="25.5">
      <c r="B15702" s="3230" t="s">
        <v>81</v>
      </c>
      <c r="C15702" s="3063"/>
      <c r="D15702" s="3064"/>
      <c r="E15702" s="3064"/>
      <c r="F15702" s="3064"/>
      <c r="G15702" s="3302" t="s">
        <v>81</v>
      </c>
      <c r="H15702" s="3063"/>
      <c r="I15702" s="3030"/>
    </row>
    <row r="15703" spans="2:9" ht="26.25" thickBot="1">
      <c r="B15703" s="3303" t="s">
        <v>81</v>
      </c>
      <c r="C15703" s="3063"/>
      <c r="D15703" s="3064"/>
      <c r="E15703" s="3064"/>
      <c r="F15703" s="3064"/>
      <c r="G15703" s="3302" t="s">
        <v>81</v>
      </c>
      <c r="H15703" s="3063"/>
      <c r="I15703" s="3030"/>
    </row>
    <row r="15704" spans="2:9">
      <c r="B15704" s="3217" t="s">
        <v>697</v>
      </c>
      <c r="C15704" s="3218"/>
      <c r="D15704" s="3219"/>
      <c r="E15704" s="3219"/>
      <c r="F15704" s="3219"/>
      <c r="G15704" s="3217" t="s">
        <v>697</v>
      </c>
      <c r="H15704" s="3297"/>
      <c r="I15704" s="3298"/>
    </row>
    <row r="15705" spans="2:9">
      <c r="B15705" s="3299" t="s">
        <v>64</v>
      </c>
      <c r="C15705" s="3063"/>
      <c r="D15705" s="3064"/>
      <c r="E15705" s="3064"/>
      <c r="F15705" s="3064"/>
      <c r="G15705" s="3300" t="s">
        <v>64</v>
      </c>
      <c r="H15705" s="3063"/>
      <c r="I15705" s="3030"/>
    </row>
    <row r="15706" spans="2:9" ht="25.5">
      <c r="B15706" s="3192" t="s">
        <v>675</v>
      </c>
      <c r="C15706" s="3063"/>
      <c r="D15706" s="3064"/>
      <c r="E15706" s="3064"/>
      <c r="F15706" s="3064"/>
      <c r="G15706" s="3301" t="s">
        <v>675</v>
      </c>
      <c r="H15706" s="3063"/>
      <c r="I15706" s="3030"/>
    </row>
    <row r="15707" spans="2:9" ht="25.5">
      <c r="B15707" s="3192" t="s">
        <v>676</v>
      </c>
      <c r="C15707" s="3063"/>
      <c r="D15707" s="3064"/>
      <c r="E15707" s="3064"/>
      <c r="F15707" s="3064"/>
      <c r="G15707" s="3301" t="s">
        <v>676</v>
      </c>
      <c r="H15707" s="3063"/>
      <c r="I15707" s="3030"/>
    </row>
    <row r="15708" spans="2:9">
      <c r="B15708" s="3192" t="s">
        <v>677</v>
      </c>
      <c r="C15708" s="3063"/>
      <c r="D15708" s="3064"/>
      <c r="E15708" s="3064"/>
      <c r="F15708" s="3064"/>
      <c r="G15708" s="3301" t="s">
        <v>677</v>
      </c>
      <c r="H15708" s="3063"/>
      <c r="I15708" s="3030"/>
    </row>
    <row r="15709" spans="2:9">
      <c r="B15709" s="3192" t="s">
        <v>678</v>
      </c>
      <c r="C15709" s="3063"/>
      <c r="D15709" s="3064"/>
      <c r="E15709" s="3064"/>
      <c r="F15709" s="3064"/>
      <c r="G15709" s="3301" t="s">
        <v>678</v>
      </c>
      <c r="H15709" s="3063"/>
      <c r="I15709" s="3030"/>
    </row>
    <row r="15710" spans="2:9">
      <c r="B15710" s="3192" t="s">
        <v>679</v>
      </c>
      <c r="C15710" s="3063"/>
      <c r="D15710" s="3064"/>
      <c r="E15710" s="3064"/>
      <c r="F15710" s="3064"/>
      <c r="G15710" s="3301" t="s">
        <v>679</v>
      </c>
      <c r="H15710" s="3063"/>
      <c r="I15710" s="3030"/>
    </row>
    <row r="15711" spans="2:9" ht="25.5">
      <c r="B15711" s="3192" t="s">
        <v>720</v>
      </c>
      <c r="C15711" s="3063"/>
      <c r="D15711" s="3064"/>
      <c r="E15711" s="3064"/>
      <c r="F15711" s="3064"/>
      <c r="G15711" s="3301" t="s">
        <v>720</v>
      </c>
      <c r="H15711" s="3063"/>
      <c r="I15711" s="3030"/>
    </row>
    <row r="15712" spans="2:9">
      <c r="B15712" s="3299" t="s">
        <v>65</v>
      </c>
      <c r="C15712" s="3063"/>
      <c r="D15712" s="3064"/>
      <c r="E15712" s="3064"/>
      <c r="F15712" s="3064"/>
      <c r="G15712" s="3300" t="s">
        <v>65</v>
      </c>
      <c r="H15712" s="3063"/>
      <c r="I15712" s="3030"/>
    </row>
    <row r="15713" spans="2:9" ht="25.5">
      <c r="B15713" s="3192" t="s">
        <v>675</v>
      </c>
      <c r="C15713" s="3063"/>
      <c r="D15713" s="3064"/>
      <c r="E15713" s="3064"/>
      <c r="F15713" s="3064"/>
      <c r="G15713" s="3301" t="s">
        <v>675</v>
      </c>
      <c r="H15713" s="3063"/>
      <c r="I15713" s="3030"/>
    </row>
    <row r="15714" spans="2:9" ht="25.5">
      <c r="B15714" s="3192" t="s">
        <v>676</v>
      </c>
      <c r="C15714" s="3063"/>
      <c r="D15714" s="3064"/>
      <c r="E15714" s="3064"/>
      <c r="F15714" s="3064"/>
      <c r="G15714" s="3301" t="s">
        <v>676</v>
      </c>
      <c r="H15714" s="3063"/>
      <c r="I15714" s="3030"/>
    </row>
    <row r="15715" spans="2:9">
      <c r="B15715" s="3192" t="s">
        <v>677</v>
      </c>
      <c r="C15715" s="3063"/>
      <c r="D15715" s="3064"/>
      <c r="E15715" s="3064"/>
      <c r="F15715" s="3064"/>
      <c r="G15715" s="3301" t="s">
        <v>677</v>
      </c>
      <c r="H15715" s="3063"/>
      <c r="I15715" s="3030"/>
    </row>
    <row r="15716" spans="2:9">
      <c r="B15716" s="3192" t="s">
        <v>678</v>
      </c>
      <c r="C15716" s="3063"/>
      <c r="D15716" s="3064"/>
      <c r="E15716" s="3064"/>
      <c r="F15716" s="3064"/>
      <c r="G15716" s="3301" t="s">
        <v>678</v>
      </c>
      <c r="H15716" s="3063"/>
      <c r="I15716" s="3030"/>
    </row>
    <row r="15717" spans="2:9">
      <c r="B15717" s="3192" t="s">
        <v>679</v>
      </c>
      <c r="C15717" s="3063"/>
      <c r="D15717" s="3064"/>
      <c r="E15717" s="3064"/>
      <c r="F15717" s="3064"/>
      <c r="G15717" s="3301" t="s">
        <v>679</v>
      </c>
      <c r="H15717" s="3063"/>
      <c r="I15717" s="3030"/>
    </row>
    <row r="15718" spans="2:9" ht="25.5">
      <c r="B15718" s="3192" t="s">
        <v>720</v>
      </c>
      <c r="C15718" s="3063"/>
      <c r="D15718" s="3064"/>
      <c r="E15718" s="3064"/>
      <c r="F15718" s="3064"/>
      <c r="G15718" s="3301" t="s">
        <v>720</v>
      </c>
      <c r="H15718" s="3063"/>
      <c r="I15718" s="3030"/>
    </row>
    <row r="15719" spans="2:9">
      <c r="B15719" s="3299" t="s">
        <v>82</v>
      </c>
      <c r="C15719" s="3063"/>
      <c r="D15719" s="3064"/>
      <c r="E15719" s="3064"/>
      <c r="F15719" s="3064"/>
      <c r="G15719" s="3300" t="s">
        <v>82</v>
      </c>
      <c r="H15719" s="3063"/>
      <c r="I15719" s="3030"/>
    </row>
    <row r="15720" spans="2:9" ht="25.5">
      <c r="B15720" s="3192" t="s">
        <v>675</v>
      </c>
      <c r="C15720" s="3063"/>
      <c r="D15720" s="3064"/>
      <c r="E15720" s="3064"/>
      <c r="F15720" s="3064"/>
      <c r="G15720" s="3301" t="s">
        <v>675</v>
      </c>
      <c r="H15720" s="3063"/>
      <c r="I15720" s="3030"/>
    </row>
    <row r="15721" spans="2:9" ht="25.5">
      <c r="B15721" s="3192" t="s">
        <v>676</v>
      </c>
      <c r="C15721" s="3063"/>
      <c r="D15721" s="3064"/>
      <c r="E15721" s="3064"/>
      <c r="F15721" s="3064"/>
      <c r="G15721" s="3301" t="s">
        <v>676</v>
      </c>
      <c r="H15721" s="3063"/>
      <c r="I15721" s="3030"/>
    </row>
    <row r="15722" spans="2:9">
      <c r="B15722" s="3192" t="s">
        <v>677</v>
      </c>
      <c r="C15722" s="3063"/>
      <c r="D15722" s="3064"/>
      <c r="E15722" s="3064"/>
      <c r="F15722" s="3064"/>
      <c r="G15722" s="3301" t="s">
        <v>677</v>
      </c>
      <c r="H15722" s="3063"/>
      <c r="I15722" s="3030"/>
    </row>
    <row r="15723" spans="2:9">
      <c r="B15723" s="3192" t="s">
        <v>678</v>
      </c>
      <c r="C15723" s="3063"/>
      <c r="D15723" s="3064"/>
      <c r="E15723" s="3064"/>
      <c r="F15723" s="3064"/>
      <c r="G15723" s="3301" t="s">
        <v>678</v>
      </c>
      <c r="H15723" s="3063"/>
      <c r="I15723" s="3030"/>
    </row>
    <row r="15724" spans="2:9">
      <c r="B15724" s="3192" t="s">
        <v>679</v>
      </c>
      <c r="C15724" s="3063"/>
      <c r="D15724" s="3064"/>
      <c r="E15724" s="3064"/>
      <c r="F15724" s="3064"/>
      <c r="G15724" s="3301" t="s">
        <v>679</v>
      </c>
      <c r="H15724" s="3063"/>
      <c r="I15724" s="3030"/>
    </row>
    <row r="15725" spans="2:9" ht="25.5">
      <c r="B15725" s="3192" t="s">
        <v>720</v>
      </c>
      <c r="C15725" s="3063"/>
      <c r="D15725" s="3064"/>
      <c r="E15725" s="3064"/>
      <c r="F15725" s="3064"/>
      <c r="G15725" s="3301" t="s">
        <v>720</v>
      </c>
      <c r="H15725" s="3063"/>
      <c r="I15725" s="3030"/>
    </row>
    <row r="15726" spans="2:9" ht="38.25">
      <c r="B15726" s="3299" t="s">
        <v>680</v>
      </c>
      <c r="C15726" s="3063"/>
      <c r="D15726" s="3064"/>
      <c r="E15726" s="3064"/>
      <c r="F15726" s="3064"/>
      <c r="G15726" s="3300" t="s">
        <v>680</v>
      </c>
      <c r="H15726" s="3063"/>
      <c r="I15726" s="3030"/>
    </row>
    <row r="15727" spans="2:9" ht="25.5">
      <c r="B15727" s="3192" t="s">
        <v>675</v>
      </c>
      <c r="C15727" s="3063"/>
      <c r="D15727" s="3064"/>
      <c r="E15727" s="3064"/>
      <c r="F15727" s="3064"/>
      <c r="G15727" s="3301" t="s">
        <v>675</v>
      </c>
      <c r="H15727" s="3063"/>
      <c r="I15727" s="3030"/>
    </row>
    <row r="15728" spans="2:9" ht="25.5">
      <c r="B15728" s="3192" t="s">
        <v>676</v>
      </c>
      <c r="C15728" s="3063"/>
      <c r="D15728" s="3064"/>
      <c r="E15728" s="3064"/>
      <c r="F15728" s="3064"/>
      <c r="G15728" s="3301" t="s">
        <v>676</v>
      </c>
      <c r="H15728" s="3063"/>
      <c r="I15728" s="3030"/>
    </row>
    <row r="15729" spans="2:9">
      <c r="B15729" s="3192" t="s">
        <v>677</v>
      </c>
      <c r="C15729" s="3063"/>
      <c r="D15729" s="3064"/>
      <c r="E15729" s="3064"/>
      <c r="F15729" s="3064"/>
      <c r="G15729" s="3301" t="s">
        <v>677</v>
      </c>
      <c r="H15729" s="3063"/>
      <c r="I15729" s="3030"/>
    </row>
    <row r="15730" spans="2:9">
      <c r="B15730" s="3192" t="s">
        <v>678</v>
      </c>
      <c r="C15730" s="3063"/>
      <c r="D15730" s="3064"/>
      <c r="E15730" s="3064"/>
      <c r="F15730" s="3064"/>
      <c r="G15730" s="3301" t="s">
        <v>678</v>
      </c>
      <c r="H15730" s="3063"/>
      <c r="I15730" s="3030"/>
    </row>
    <row r="15731" spans="2:9">
      <c r="B15731" s="3192" t="s">
        <v>679</v>
      </c>
      <c r="C15731" s="3063"/>
      <c r="D15731" s="3064"/>
      <c r="E15731" s="3064"/>
      <c r="F15731" s="3064"/>
      <c r="G15731" s="3301" t="s">
        <v>679</v>
      </c>
      <c r="H15731" s="3063"/>
      <c r="I15731" s="3030"/>
    </row>
    <row r="15732" spans="2:9" ht="25.5">
      <c r="B15732" s="3192" t="s">
        <v>720</v>
      </c>
      <c r="C15732" s="3063"/>
      <c r="D15732" s="3064"/>
      <c r="E15732" s="3064"/>
      <c r="F15732" s="3064"/>
      <c r="G15732" s="3301" t="s">
        <v>720</v>
      </c>
      <c r="H15732" s="3063"/>
      <c r="I15732" s="3030"/>
    </row>
    <row r="15733" spans="2:9" ht="38.25">
      <c r="B15733" s="3299" t="s">
        <v>681</v>
      </c>
      <c r="C15733" s="3063"/>
      <c r="D15733" s="3064"/>
      <c r="E15733" s="3064"/>
      <c r="F15733" s="3064"/>
      <c r="G15733" s="3300" t="s">
        <v>681</v>
      </c>
      <c r="H15733" s="3063">
        <v>3.4680878119834009E-2</v>
      </c>
      <c r="I15733" s="3030"/>
    </row>
    <row r="15734" spans="2:9" ht="25.5">
      <c r="B15734" s="3192" t="s">
        <v>675</v>
      </c>
      <c r="C15734" s="3063"/>
      <c r="D15734" s="3064"/>
      <c r="E15734" s="3064"/>
      <c r="F15734" s="3064"/>
      <c r="G15734" s="3301" t="s">
        <v>675</v>
      </c>
      <c r="H15734" s="3063"/>
      <c r="I15734" s="3030"/>
    </row>
    <row r="15735" spans="2:9" ht="25.5">
      <c r="B15735" s="3192" t="s">
        <v>676</v>
      </c>
      <c r="C15735" s="3063"/>
      <c r="D15735" s="3064"/>
      <c r="E15735" s="3064"/>
      <c r="F15735" s="3064"/>
      <c r="G15735" s="3301" t="s">
        <v>676</v>
      </c>
      <c r="H15735" s="3063"/>
      <c r="I15735" s="3030"/>
    </row>
    <row r="15736" spans="2:9">
      <c r="B15736" s="3192" t="s">
        <v>677</v>
      </c>
      <c r="C15736" s="3063"/>
      <c r="D15736" s="3064"/>
      <c r="E15736" s="3064"/>
      <c r="F15736" s="3064"/>
      <c r="G15736" s="3301" t="s">
        <v>677</v>
      </c>
      <c r="H15736" s="3063"/>
      <c r="I15736" s="3030"/>
    </row>
    <row r="15737" spans="2:9">
      <c r="B15737" s="3192" t="s">
        <v>678</v>
      </c>
      <c r="C15737" s="3063"/>
      <c r="D15737" s="3064"/>
      <c r="E15737" s="3064"/>
      <c r="F15737" s="3064"/>
      <c r="G15737" s="3301" t="s">
        <v>678</v>
      </c>
      <c r="H15737" s="3063"/>
      <c r="I15737" s="3030"/>
    </row>
    <row r="15738" spans="2:9">
      <c r="B15738" s="3192" t="s">
        <v>679</v>
      </c>
      <c r="C15738" s="3063"/>
      <c r="D15738" s="3064">
        <v>2</v>
      </c>
      <c r="E15738" s="3064"/>
      <c r="F15738" s="3064"/>
      <c r="G15738" s="3301" t="s">
        <v>679</v>
      </c>
      <c r="H15738" s="3063"/>
      <c r="I15738" s="3030"/>
    </row>
    <row r="15739" spans="2:9" ht="25.5">
      <c r="B15739" s="3192" t="s">
        <v>720</v>
      </c>
      <c r="C15739" s="3063"/>
      <c r="D15739" s="3064"/>
      <c r="E15739" s="3064"/>
      <c r="F15739" s="3064"/>
      <c r="G15739" s="3301" t="s">
        <v>720</v>
      </c>
      <c r="H15739" s="3063"/>
      <c r="I15739" s="3030"/>
    </row>
    <row r="15740" spans="2:9" ht="25.5">
      <c r="B15740" s="3299" t="s">
        <v>682</v>
      </c>
      <c r="C15740" s="3063"/>
      <c r="D15740" s="3064"/>
      <c r="E15740" s="3064"/>
      <c r="F15740" s="3064"/>
      <c r="G15740" s="3300" t="s">
        <v>682</v>
      </c>
      <c r="H15740" s="3063"/>
      <c r="I15740" s="3030"/>
    </row>
    <row r="15741" spans="2:9" ht="25.5">
      <c r="B15741" s="3192" t="s">
        <v>675</v>
      </c>
      <c r="C15741" s="3063"/>
      <c r="D15741" s="3064"/>
      <c r="E15741" s="3064"/>
      <c r="F15741" s="3064"/>
      <c r="G15741" s="3301" t="s">
        <v>675</v>
      </c>
      <c r="H15741" s="3063"/>
      <c r="I15741" s="3030"/>
    </row>
    <row r="15742" spans="2:9" ht="25.5">
      <c r="B15742" s="3192" t="s">
        <v>676</v>
      </c>
      <c r="C15742" s="3063"/>
      <c r="D15742" s="3064"/>
      <c r="E15742" s="3064"/>
      <c r="F15742" s="3064"/>
      <c r="G15742" s="3301" t="s">
        <v>676</v>
      </c>
      <c r="H15742" s="3063"/>
      <c r="I15742" s="3030"/>
    </row>
    <row r="15743" spans="2:9">
      <c r="B15743" s="3192" t="s">
        <v>677</v>
      </c>
      <c r="C15743" s="3063"/>
      <c r="D15743" s="3064"/>
      <c r="E15743" s="3064"/>
      <c r="F15743" s="3064"/>
      <c r="G15743" s="3301" t="s">
        <v>677</v>
      </c>
      <c r="H15743" s="3063"/>
      <c r="I15743" s="3030"/>
    </row>
    <row r="15744" spans="2:9">
      <c r="B15744" s="3192" t="s">
        <v>678</v>
      </c>
      <c r="C15744" s="3063"/>
      <c r="D15744" s="3064"/>
      <c r="E15744" s="3064"/>
      <c r="F15744" s="3064"/>
      <c r="G15744" s="3301" t="s">
        <v>678</v>
      </c>
      <c r="H15744" s="3063"/>
      <c r="I15744" s="3030"/>
    </row>
    <row r="15745" spans="2:9">
      <c r="B15745" s="3192" t="s">
        <v>679</v>
      </c>
      <c r="C15745" s="3063"/>
      <c r="D15745" s="3064"/>
      <c r="E15745" s="3064"/>
      <c r="F15745" s="3064"/>
      <c r="G15745" s="3301" t="s">
        <v>679</v>
      </c>
      <c r="H15745" s="3063"/>
      <c r="I15745" s="3030"/>
    </row>
    <row r="15746" spans="2:9" ht="25.5">
      <c r="B15746" s="3192" t="s">
        <v>720</v>
      </c>
      <c r="C15746" s="3063"/>
      <c r="D15746" s="3064"/>
      <c r="E15746" s="3064"/>
      <c r="F15746" s="3064"/>
      <c r="G15746" s="3301" t="s">
        <v>720</v>
      </c>
      <c r="H15746" s="3063"/>
      <c r="I15746" s="3030"/>
    </row>
    <row r="15747" spans="2:9" ht="25.5">
      <c r="B15747" s="3299" t="s">
        <v>66</v>
      </c>
      <c r="C15747" s="3063"/>
      <c r="D15747" s="3064"/>
      <c r="E15747" s="3064"/>
      <c r="F15747" s="3064"/>
      <c r="G15747" s="3300" t="s">
        <v>66</v>
      </c>
      <c r="H15747" s="3063"/>
      <c r="I15747" s="3030"/>
    </row>
    <row r="15748" spans="2:9" ht="25.5">
      <c r="B15748" s="3192" t="s">
        <v>675</v>
      </c>
      <c r="C15748" s="3063"/>
      <c r="D15748" s="3064"/>
      <c r="E15748" s="3064"/>
      <c r="F15748" s="3064"/>
      <c r="G15748" s="3301" t="s">
        <v>675</v>
      </c>
      <c r="H15748" s="3063"/>
      <c r="I15748" s="3030"/>
    </row>
    <row r="15749" spans="2:9" ht="25.5">
      <c r="B15749" s="3192" t="s">
        <v>676</v>
      </c>
      <c r="C15749" s="3063"/>
      <c r="D15749" s="3064"/>
      <c r="E15749" s="3064"/>
      <c r="F15749" s="3064"/>
      <c r="G15749" s="3301" t="s">
        <v>676</v>
      </c>
      <c r="H15749" s="3063"/>
      <c r="I15749" s="3030"/>
    </row>
    <row r="15750" spans="2:9">
      <c r="B15750" s="3192" t="s">
        <v>677</v>
      </c>
      <c r="C15750" s="3063"/>
      <c r="D15750" s="3064"/>
      <c r="E15750" s="3064"/>
      <c r="F15750" s="3064"/>
      <c r="G15750" s="3301" t="s">
        <v>677</v>
      </c>
      <c r="H15750" s="3063"/>
      <c r="I15750" s="3030"/>
    </row>
    <row r="15751" spans="2:9">
      <c r="B15751" s="3192" t="s">
        <v>678</v>
      </c>
      <c r="C15751" s="3063"/>
      <c r="D15751" s="3064"/>
      <c r="E15751" s="3064"/>
      <c r="F15751" s="3064"/>
      <c r="G15751" s="3301" t="s">
        <v>678</v>
      </c>
      <c r="H15751" s="3063"/>
      <c r="I15751" s="3030"/>
    </row>
    <row r="15752" spans="2:9">
      <c r="B15752" s="3192" t="s">
        <v>679</v>
      </c>
      <c r="C15752" s="3063"/>
      <c r="D15752" s="3064"/>
      <c r="E15752" s="3064"/>
      <c r="F15752" s="3064"/>
      <c r="G15752" s="3301" t="s">
        <v>679</v>
      </c>
      <c r="H15752" s="3063"/>
      <c r="I15752" s="3030"/>
    </row>
    <row r="15753" spans="2:9" ht="25.5">
      <c r="B15753" s="3192" t="s">
        <v>720</v>
      </c>
      <c r="C15753" s="3063"/>
      <c r="D15753" s="3064"/>
      <c r="E15753" s="3064"/>
      <c r="F15753" s="3064"/>
      <c r="G15753" s="3301" t="s">
        <v>720</v>
      </c>
      <c r="H15753" s="3063"/>
      <c r="I15753" s="3030"/>
    </row>
    <row r="15754" spans="2:9">
      <c r="B15754" s="3299" t="s">
        <v>67</v>
      </c>
      <c r="C15754" s="3063"/>
      <c r="D15754" s="3064"/>
      <c r="E15754" s="3064"/>
      <c r="F15754" s="3064">
        <v>1</v>
      </c>
      <c r="G15754" s="3300" t="s">
        <v>67</v>
      </c>
      <c r="H15754" s="3063"/>
      <c r="I15754" s="3030"/>
    </row>
    <row r="15755" spans="2:9" ht="25.5">
      <c r="B15755" s="3192" t="s">
        <v>675</v>
      </c>
      <c r="C15755" s="3063"/>
      <c r="D15755" s="3064"/>
      <c r="E15755" s="3064"/>
      <c r="F15755" s="3064"/>
      <c r="G15755" s="3301" t="s">
        <v>675</v>
      </c>
      <c r="H15755" s="3063"/>
      <c r="I15755" s="3030"/>
    </row>
    <row r="15756" spans="2:9" ht="25.5">
      <c r="B15756" s="3192" t="s">
        <v>676</v>
      </c>
      <c r="C15756" s="3063"/>
      <c r="D15756" s="3064"/>
      <c r="E15756" s="3064"/>
      <c r="F15756" s="3064"/>
      <c r="G15756" s="3301" t="s">
        <v>676</v>
      </c>
      <c r="H15756" s="3063"/>
      <c r="I15756" s="3030"/>
    </row>
    <row r="15757" spans="2:9">
      <c r="B15757" s="3192" t="s">
        <v>677</v>
      </c>
      <c r="C15757" s="3063"/>
      <c r="D15757" s="3064"/>
      <c r="E15757" s="3064"/>
      <c r="F15757" s="3064"/>
      <c r="G15757" s="3301" t="s">
        <v>677</v>
      </c>
      <c r="H15757" s="3063"/>
      <c r="I15757" s="3030"/>
    </row>
    <row r="15758" spans="2:9">
      <c r="B15758" s="3192" t="s">
        <v>678</v>
      </c>
      <c r="C15758" s="3063"/>
      <c r="D15758" s="3064"/>
      <c r="E15758" s="3064"/>
      <c r="F15758" s="3064"/>
      <c r="G15758" s="3301" t="s">
        <v>678</v>
      </c>
      <c r="H15758" s="3063"/>
      <c r="I15758" s="3030"/>
    </row>
    <row r="15759" spans="2:9">
      <c r="B15759" s="3192" t="s">
        <v>679</v>
      </c>
      <c r="C15759" s="3063"/>
      <c r="D15759" s="3064"/>
      <c r="E15759" s="3064"/>
      <c r="F15759" s="3064"/>
      <c r="G15759" s="3301" t="s">
        <v>679</v>
      </c>
      <c r="H15759" s="3063"/>
      <c r="I15759" s="3030"/>
    </row>
    <row r="15760" spans="2:9" ht="25.5">
      <c r="B15760" s="3230" t="s">
        <v>81</v>
      </c>
      <c r="C15760" s="3063"/>
      <c r="D15760" s="3064"/>
      <c r="E15760" s="3064"/>
      <c r="F15760" s="3064"/>
      <c r="G15760" s="3302" t="s">
        <v>81</v>
      </c>
      <c r="H15760" s="3063"/>
      <c r="I15760" s="3030"/>
    </row>
    <row r="15761" spans="2:9" ht="26.25" thickBot="1">
      <c r="B15761" s="3303" t="s">
        <v>81</v>
      </c>
      <c r="C15761" s="3068"/>
      <c r="D15761" s="3069"/>
      <c r="E15761" s="3069"/>
      <c r="F15761" s="3069"/>
      <c r="G15761" s="3304" t="s">
        <v>81</v>
      </c>
      <c r="H15761" s="3068"/>
      <c r="I15761" s="3070"/>
    </row>
    <row r="15762" spans="2:9" ht="38.25">
      <c r="B15762" s="4723">
        <v>3451</v>
      </c>
      <c r="C15762" s="3289"/>
      <c r="D15762" s="3290"/>
      <c r="E15762" s="3290"/>
      <c r="F15762" s="3290"/>
      <c r="G15762" s="4723">
        <v>3451</v>
      </c>
      <c r="H15762" s="3291" t="s">
        <v>687</v>
      </c>
      <c r="I15762" s="3292" t="s">
        <v>688</v>
      </c>
    </row>
    <row r="15763" spans="2:9">
      <c r="B15763" s="4724"/>
      <c r="C15763" s="4678" t="s">
        <v>686</v>
      </c>
      <c r="D15763" s="4725"/>
      <c r="E15763" s="4725"/>
      <c r="F15763" s="4726"/>
      <c r="G15763" s="4724"/>
      <c r="H15763" s="3293"/>
      <c r="I15763" s="3294"/>
    </row>
    <row r="15764" spans="2:9" ht="13.5" thickBot="1">
      <c r="B15764" s="4724"/>
      <c r="C15764" s="3215">
        <v>2013</v>
      </c>
      <c r="D15764" s="3215">
        <v>2014</v>
      </c>
      <c r="E15764" s="3215">
        <v>2015</v>
      </c>
      <c r="F15764" s="3215">
        <v>2016</v>
      </c>
      <c r="G15764" s="4724"/>
      <c r="H15764" s="3295" t="s">
        <v>390</v>
      </c>
      <c r="I15764" s="3296" t="s">
        <v>390</v>
      </c>
    </row>
    <row r="15765" spans="2:9">
      <c r="B15765" s="3217" t="s">
        <v>695</v>
      </c>
      <c r="C15765" s="3218"/>
      <c r="D15765" s="3219"/>
      <c r="E15765" s="3219"/>
      <c r="F15765" s="3219"/>
      <c r="G15765" s="3217" t="s">
        <v>695</v>
      </c>
      <c r="H15765" s="3297"/>
      <c r="I15765" s="3298"/>
    </row>
    <row r="15766" spans="2:9">
      <c r="B15766" s="3299" t="s">
        <v>64</v>
      </c>
      <c r="C15766" s="3063"/>
      <c r="D15766" s="3064"/>
      <c r="E15766" s="3064"/>
      <c r="F15766" s="3064"/>
      <c r="G15766" s="3300" t="s">
        <v>64</v>
      </c>
      <c r="H15766" s="3063"/>
      <c r="I15766" s="3030"/>
    </row>
    <row r="15767" spans="2:9" ht="25.5">
      <c r="B15767" s="3192" t="s">
        <v>675</v>
      </c>
      <c r="C15767" s="3063"/>
      <c r="D15767" s="3064"/>
      <c r="E15767" s="3064"/>
      <c r="F15767" s="3064"/>
      <c r="G15767" s="3301" t="s">
        <v>675</v>
      </c>
      <c r="H15767" s="3063"/>
      <c r="I15767" s="3030"/>
    </row>
    <row r="15768" spans="2:9" ht="25.5">
      <c r="B15768" s="3192" t="s">
        <v>676</v>
      </c>
      <c r="C15768" s="3063"/>
      <c r="D15768" s="3064"/>
      <c r="E15768" s="3064"/>
      <c r="F15768" s="3064"/>
      <c r="G15768" s="3301" t="s">
        <v>676</v>
      </c>
      <c r="H15768" s="3063"/>
      <c r="I15768" s="3030"/>
    </row>
    <row r="15769" spans="2:9">
      <c r="B15769" s="3192" t="s">
        <v>677</v>
      </c>
      <c r="C15769" s="3063"/>
      <c r="D15769" s="3064"/>
      <c r="E15769" s="3064"/>
      <c r="F15769" s="3064"/>
      <c r="G15769" s="3301" t="s">
        <v>677</v>
      </c>
      <c r="H15769" s="3063"/>
      <c r="I15769" s="3030"/>
    </row>
    <row r="15770" spans="2:9">
      <c r="B15770" s="3192" t="s">
        <v>678</v>
      </c>
      <c r="C15770" s="3063"/>
      <c r="D15770" s="3064"/>
      <c r="E15770" s="3064"/>
      <c r="F15770" s="3064"/>
      <c r="G15770" s="3301" t="s">
        <v>678</v>
      </c>
      <c r="H15770" s="3063"/>
      <c r="I15770" s="3030"/>
    </row>
    <row r="15771" spans="2:9">
      <c r="B15771" s="3192" t="s">
        <v>679</v>
      </c>
      <c r="C15771" s="3063"/>
      <c r="D15771" s="3064"/>
      <c r="E15771" s="3064"/>
      <c r="F15771" s="3064"/>
      <c r="G15771" s="3301" t="s">
        <v>679</v>
      </c>
      <c r="H15771" s="3063"/>
      <c r="I15771" s="3030"/>
    </row>
    <row r="15772" spans="2:9" ht="25.5">
      <c r="B15772" s="3192" t="s">
        <v>720</v>
      </c>
      <c r="C15772" s="3063"/>
      <c r="D15772" s="3064"/>
      <c r="E15772" s="3064"/>
      <c r="F15772" s="3064"/>
      <c r="G15772" s="3301" t="s">
        <v>720</v>
      </c>
      <c r="H15772" s="3063"/>
      <c r="I15772" s="3030"/>
    </row>
    <row r="15773" spans="2:9">
      <c r="B15773" s="3299" t="s">
        <v>65</v>
      </c>
      <c r="C15773" s="3063"/>
      <c r="D15773" s="3064"/>
      <c r="E15773" s="3064"/>
      <c r="F15773" s="3064"/>
      <c r="G15773" s="3300" t="s">
        <v>65</v>
      </c>
      <c r="H15773" s="3063"/>
      <c r="I15773" s="3030"/>
    </row>
    <row r="15774" spans="2:9" ht="25.5">
      <c r="B15774" s="3192" t="s">
        <v>675</v>
      </c>
      <c r="C15774" s="3063"/>
      <c r="D15774" s="3064"/>
      <c r="E15774" s="3064"/>
      <c r="F15774" s="3064"/>
      <c r="G15774" s="3301" t="s">
        <v>675</v>
      </c>
      <c r="H15774" s="3063"/>
      <c r="I15774" s="3030"/>
    </row>
    <row r="15775" spans="2:9" ht="25.5">
      <c r="B15775" s="3192" t="s">
        <v>676</v>
      </c>
      <c r="C15775" s="3063"/>
      <c r="D15775" s="3064"/>
      <c r="E15775" s="3064"/>
      <c r="F15775" s="3064"/>
      <c r="G15775" s="3301" t="s">
        <v>676</v>
      </c>
      <c r="H15775" s="3063"/>
      <c r="I15775" s="3030"/>
    </row>
    <row r="15776" spans="2:9">
      <c r="B15776" s="3192" t="s">
        <v>677</v>
      </c>
      <c r="C15776" s="3063"/>
      <c r="D15776" s="3064"/>
      <c r="E15776" s="3064"/>
      <c r="F15776" s="3064"/>
      <c r="G15776" s="3301" t="s">
        <v>677</v>
      </c>
      <c r="H15776" s="3063"/>
      <c r="I15776" s="3030"/>
    </row>
    <row r="15777" spans="2:9">
      <c r="B15777" s="3192" t="s">
        <v>678</v>
      </c>
      <c r="C15777" s="3063"/>
      <c r="D15777" s="3064"/>
      <c r="E15777" s="3064"/>
      <c r="F15777" s="3064"/>
      <c r="G15777" s="3301" t="s">
        <v>678</v>
      </c>
      <c r="H15777" s="3063"/>
      <c r="I15777" s="3030"/>
    </row>
    <row r="15778" spans="2:9">
      <c r="B15778" s="3192" t="s">
        <v>679</v>
      </c>
      <c r="C15778" s="3063"/>
      <c r="D15778" s="3064"/>
      <c r="E15778" s="3064"/>
      <c r="F15778" s="3064"/>
      <c r="G15778" s="3301" t="s">
        <v>679</v>
      </c>
      <c r="H15778" s="3063"/>
      <c r="I15778" s="3030"/>
    </row>
    <row r="15779" spans="2:9" ht="25.5">
      <c r="B15779" s="3192" t="s">
        <v>720</v>
      </c>
      <c r="C15779" s="3063"/>
      <c r="D15779" s="3064"/>
      <c r="E15779" s="3064"/>
      <c r="F15779" s="3064"/>
      <c r="G15779" s="3301" t="s">
        <v>720</v>
      </c>
      <c r="H15779" s="3063"/>
      <c r="I15779" s="3030"/>
    </row>
    <row r="15780" spans="2:9">
      <c r="B15780" s="3299" t="s">
        <v>82</v>
      </c>
      <c r="C15780" s="3063"/>
      <c r="D15780" s="3064"/>
      <c r="E15780" s="3064"/>
      <c r="F15780" s="3064"/>
      <c r="G15780" s="3300" t="s">
        <v>82</v>
      </c>
      <c r="H15780" s="3063"/>
      <c r="I15780" s="3030"/>
    </row>
    <row r="15781" spans="2:9" ht="25.5">
      <c r="B15781" s="3192" t="s">
        <v>675</v>
      </c>
      <c r="C15781" s="3063"/>
      <c r="D15781" s="3064"/>
      <c r="E15781" s="3064"/>
      <c r="F15781" s="3064"/>
      <c r="G15781" s="3301" t="s">
        <v>675</v>
      </c>
      <c r="H15781" s="3063"/>
      <c r="I15781" s="3030"/>
    </row>
    <row r="15782" spans="2:9" ht="25.5">
      <c r="B15782" s="3192" t="s">
        <v>676</v>
      </c>
      <c r="C15782" s="3063"/>
      <c r="D15782" s="3064"/>
      <c r="E15782" s="3064"/>
      <c r="F15782" s="3064"/>
      <c r="G15782" s="3301" t="s">
        <v>676</v>
      </c>
      <c r="H15782" s="3063"/>
      <c r="I15782" s="3030"/>
    </row>
    <row r="15783" spans="2:9">
      <c r="B15783" s="3192" t="s">
        <v>677</v>
      </c>
      <c r="C15783" s="3063"/>
      <c r="D15783" s="3064"/>
      <c r="E15783" s="3064"/>
      <c r="F15783" s="3064"/>
      <c r="G15783" s="3301" t="s">
        <v>677</v>
      </c>
      <c r="H15783" s="3063"/>
      <c r="I15783" s="3030"/>
    </row>
    <row r="15784" spans="2:9">
      <c r="B15784" s="3192" t="s">
        <v>678</v>
      </c>
      <c r="C15784" s="3063"/>
      <c r="D15784" s="3064"/>
      <c r="E15784" s="3064"/>
      <c r="F15784" s="3064"/>
      <c r="G15784" s="3301" t="s">
        <v>678</v>
      </c>
      <c r="H15784" s="3063"/>
      <c r="I15784" s="3030"/>
    </row>
    <row r="15785" spans="2:9">
      <c r="B15785" s="3192" t="s">
        <v>679</v>
      </c>
      <c r="C15785" s="3063"/>
      <c r="D15785" s="3064"/>
      <c r="E15785" s="3064"/>
      <c r="F15785" s="3064"/>
      <c r="G15785" s="3301" t="s">
        <v>679</v>
      </c>
      <c r="H15785" s="3063"/>
      <c r="I15785" s="3030"/>
    </row>
    <row r="15786" spans="2:9" ht="25.5">
      <c r="B15786" s="3192" t="s">
        <v>720</v>
      </c>
      <c r="C15786" s="3063"/>
      <c r="D15786" s="3064"/>
      <c r="E15786" s="3064"/>
      <c r="F15786" s="3064"/>
      <c r="G15786" s="3301" t="s">
        <v>720</v>
      </c>
      <c r="H15786" s="3063"/>
      <c r="I15786" s="3030"/>
    </row>
    <row r="15787" spans="2:9" ht="38.25">
      <c r="B15787" s="3299" t="s">
        <v>680</v>
      </c>
      <c r="C15787" s="3063"/>
      <c r="D15787" s="3064"/>
      <c r="E15787" s="3064"/>
      <c r="F15787" s="3064"/>
      <c r="G15787" s="3300" t="s">
        <v>680</v>
      </c>
      <c r="H15787" s="3063"/>
      <c r="I15787" s="3030"/>
    </row>
    <row r="15788" spans="2:9" ht="25.5">
      <c r="B15788" s="3192" t="s">
        <v>675</v>
      </c>
      <c r="C15788" s="3063"/>
      <c r="D15788" s="3064"/>
      <c r="E15788" s="3064"/>
      <c r="F15788" s="3064"/>
      <c r="G15788" s="3301" t="s">
        <v>675</v>
      </c>
      <c r="H15788" s="3063"/>
      <c r="I15788" s="3030"/>
    </row>
    <row r="15789" spans="2:9" ht="25.5">
      <c r="B15789" s="3192" t="s">
        <v>676</v>
      </c>
      <c r="C15789" s="3063"/>
      <c r="D15789" s="3064"/>
      <c r="E15789" s="3064"/>
      <c r="F15789" s="3064"/>
      <c r="G15789" s="3301" t="s">
        <v>676</v>
      </c>
      <c r="H15789" s="3063"/>
      <c r="I15789" s="3030"/>
    </row>
    <row r="15790" spans="2:9">
      <c r="B15790" s="3192" t="s">
        <v>677</v>
      </c>
      <c r="C15790" s="3063"/>
      <c r="D15790" s="3064"/>
      <c r="E15790" s="3064"/>
      <c r="F15790" s="3064"/>
      <c r="G15790" s="3301" t="s">
        <v>677</v>
      </c>
      <c r="H15790" s="3063"/>
      <c r="I15790" s="3030"/>
    </row>
    <row r="15791" spans="2:9">
      <c r="B15791" s="3192" t="s">
        <v>678</v>
      </c>
      <c r="C15791" s="3063"/>
      <c r="D15791" s="3064"/>
      <c r="E15791" s="3064"/>
      <c r="F15791" s="3064"/>
      <c r="G15791" s="3301" t="s">
        <v>678</v>
      </c>
      <c r="H15791" s="3063"/>
      <c r="I15791" s="3030"/>
    </row>
    <row r="15792" spans="2:9">
      <c r="B15792" s="3192" t="s">
        <v>679</v>
      </c>
      <c r="C15792" s="3063"/>
      <c r="D15792" s="3064"/>
      <c r="E15792" s="3064"/>
      <c r="F15792" s="3064"/>
      <c r="G15792" s="3301" t="s">
        <v>679</v>
      </c>
      <c r="H15792" s="3063"/>
      <c r="I15792" s="3030"/>
    </row>
    <row r="15793" spans="2:9" ht="25.5">
      <c r="B15793" s="3192" t="s">
        <v>720</v>
      </c>
      <c r="C15793" s="3063"/>
      <c r="D15793" s="3064"/>
      <c r="E15793" s="3064"/>
      <c r="F15793" s="3064"/>
      <c r="G15793" s="3301" t="s">
        <v>720</v>
      </c>
      <c r="H15793" s="3063"/>
      <c r="I15793" s="3030"/>
    </row>
    <row r="15794" spans="2:9" ht="38.25">
      <c r="B15794" s="3299" t="s">
        <v>681</v>
      </c>
      <c r="C15794" s="3063"/>
      <c r="D15794" s="3064"/>
      <c r="E15794" s="3064"/>
      <c r="F15794" s="3064"/>
      <c r="G15794" s="3300" t="s">
        <v>681</v>
      </c>
      <c r="H15794" s="3063"/>
      <c r="I15794" s="3030"/>
    </row>
    <row r="15795" spans="2:9" ht="25.5">
      <c r="B15795" s="3192" t="s">
        <v>675</v>
      </c>
      <c r="C15795" s="3063"/>
      <c r="D15795" s="3064"/>
      <c r="E15795" s="3064"/>
      <c r="F15795" s="3064"/>
      <c r="G15795" s="3301" t="s">
        <v>675</v>
      </c>
      <c r="H15795" s="3063"/>
      <c r="I15795" s="3030"/>
    </row>
    <row r="15796" spans="2:9" ht="25.5">
      <c r="B15796" s="3192" t="s">
        <v>676</v>
      </c>
      <c r="C15796" s="3063"/>
      <c r="D15796" s="3064"/>
      <c r="E15796" s="3064"/>
      <c r="F15796" s="3064"/>
      <c r="G15796" s="3301" t="s">
        <v>676</v>
      </c>
      <c r="H15796" s="3063"/>
      <c r="I15796" s="3030"/>
    </row>
    <row r="15797" spans="2:9">
      <c r="B15797" s="3192" t="s">
        <v>677</v>
      </c>
      <c r="C15797" s="3063"/>
      <c r="D15797" s="3064"/>
      <c r="E15797" s="3064"/>
      <c r="F15797" s="3064"/>
      <c r="G15797" s="3301" t="s">
        <v>677</v>
      </c>
      <c r="H15797" s="3063"/>
      <c r="I15797" s="3030"/>
    </row>
    <row r="15798" spans="2:9">
      <c r="B15798" s="3192" t="s">
        <v>678</v>
      </c>
      <c r="C15798" s="3063"/>
      <c r="D15798" s="3064"/>
      <c r="E15798" s="3064"/>
      <c r="F15798" s="3064"/>
      <c r="G15798" s="3301" t="s">
        <v>678</v>
      </c>
      <c r="H15798" s="3063"/>
      <c r="I15798" s="3030"/>
    </row>
    <row r="15799" spans="2:9">
      <c r="B15799" s="3192" t="s">
        <v>679</v>
      </c>
      <c r="C15799" s="3063"/>
      <c r="D15799" s="3064"/>
      <c r="E15799" s="3064"/>
      <c r="F15799" s="3064"/>
      <c r="G15799" s="3301" t="s">
        <v>679</v>
      </c>
      <c r="H15799" s="3063"/>
      <c r="I15799" s="3030"/>
    </row>
    <row r="15800" spans="2:9" ht="25.5">
      <c r="B15800" s="3192" t="s">
        <v>720</v>
      </c>
      <c r="C15800" s="3063"/>
      <c r="D15800" s="3064"/>
      <c r="E15800" s="3064"/>
      <c r="F15800" s="3064"/>
      <c r="G15800" s="3301" t="s">
        <v>720</v>
      </c>
      <c r="H15800" s="3063"/>
      <c r="I15800" s="3030"/>
    </row>
    <row r="15801" spans="2:9" ht="25.5">
      <c r="B15801" s="3299" t="s">
        <v>682</v>
      </c>
      <c r="C15801" s="3063"/>
      <c r="D15801" s="3064"/>
      <c r="E15801" s="3064"/>
      <c r="F15801" s="3064"/>
      <c r="G15801" s="3300" t="s">
        <v>682</v>
      </c>
      <c r="H15801" s="3063"/>
      <c r="I15801" s="3030"/>
    </row>
    <row r="15802" spans="2:9" ht="25.5">
      <c r="B15802" s="3192" t="s">
        <v>675</v>
      </c>
      <c r="C15802" s="3063"/>
      <c r="D15802" s="3064"/>
      <c r="E15802" s="3064"/>
      <c r="F15802" s="3064"/>
      <c r="G15802" s="3301" t="s">
        <v>675</v>
      </c>
      <c r="H15802" s="3063"/>
      <c r="I15802" s="3030"/>
    </row>
    <row r="15803" spans="2:9" ht="25.5">
      <c r="B15803" s="3192" t="s">
        <v>676</v>
      </c>
      <c r="C15803" s="3063"/>
      <c r="D15803" s="3064"/>
      <c r="E15803" s="3064"/>
      <c r="F15803" s="3064"/>
      <c r="G15803" s="3301" t="s">
        <v>676</v>
      </c>
      <c r="H15803" s="3063"/>
      <c r="I15803" s="3030"/>
    </row>
    <row r="15804" spans="2:9">
      <c r="B15804" s="3192" t="s">
        <v>677</v>
      </c>
      <c r="C15804" s="3063"/>
      <c r="D15804" s="3064"/>
      <c r="E15804" s="3064"/>
      <c r="F15804" s="3064"/>
      <c r="G15804" s="3301" t="s">
        <v>677</v>
      </c>
      <c r="H15804" s="3063"/>
      <c r="I15804" s="3030"/>
    </row>
    <row r="15805" spans="2:9">
      <c r="B15805" s="3192" t="s">
        <v>678</v>
      </c>
      <c r="C15805" s="3063"/>
      <c r="D15805" s="3064"/>
      <c r="E15805" s="3064"/>
      <c r="F15805" s="3064"/>
      <c r="G15805" s="3301" t="s">
        <v>678</v>
      </c>
      <c r="H15805" s="3063"/>
      <c r="I15805" s="3030"/>
    </row>
    <row r="15806" spans="2:9">
      <c r="B15806" s="3192" t="s">
        <v>679</v>
      </c>
      <c r="C15806" s="3063"/>
      <c r="D15806" s="3064"/>
      <c r="E15806" s="3064"/>
      <c r="F15806" s="3064"/>
      <c r="G15806" s="3301" t="s">
        <v>679</v>
      </c>
      <c r="H15806" s="3063"/>
      <c r="I15806" s="3030"/>
    </row>
    <row r="15807" spans="2:9" ht="25.5">
      <c r="B15807" s="3192" t="s">
        <v>720</v>
      </c>
      <c r="C15807" s="3063"/>
      <c r="D15807" s="3064"/>
      <c r="E15807" s="3064"/>
      <c r="F15807" s="3064"/>
      <c r="G15807" s="3301" t="s">
        <v>720</v>
      </c>
      <c r="H15807" s="3063"/>
      <c r="I15807" s="3030"/>
    </row>
    <row r="15808" spans="2:9" ht="25.5">
      <c r="B15808" s="3299" t="s">
        <v>66</v>
      </c>
      <c r="C15808" s="3063"/>
      <c r="D15808" s="3064"/>
      <c r="E15808" s="3064"/>
      <c r="F15808" s="3064"/>
      <c r="G15808" s="3300" t="s">
        <v>66</v>
      </c>
      <c r="H15808" s="3063"/>
      <c r="I15808" s="3030"/>
    </row>
    <row r="15809" spans="2:9" ht="25.5">
      <c r="B15809" s="3192" t="s">
        <v>675</v>
      </c>
      <c r="C15809" s="3063"/>
      <c r="D15809" s="3064"/>
      <c r="E15809" s="3064"/>
      <c r="F15809" s="3064"/>
      <c r="G15809" s="3301" t="s">
        <v>675</v>
      </c>
      <c r="H15809" s="3063"/>
      <c r="I15809" s="3030"/>
    </row>
    <row r="15810" spans="2:9" ht="25.5">
      <c r="B15810" s="3192" t="s">
        <v>676</v>
      </c>
      <c r="C15810" s="3063"/>
      <c r="D15810" s="3064"/>
      <c r="E15810" s="3064"/>
      <c r="F15810" s="3064"/>
      <c r="G15810" s="3301" t="s">
        <v>676</v>
      </c>
      <c r="H15810" s="3063"/>
      <c r="I15810" s="3030"/>
    </row>
    <row r="15811" spans="2:9">
      <c r="B15811" s="3192" t="s">
        <v>677</v>
      </c>
      <c r="C15811" s="3063"/>
      <c r="D15811" s="3064"/>
      <c r="E15811" s="3064"/>
      <c r="F15811" s="3064"/>
      <c r="G15811" s="3301" t="s">
        <v>677</v>
      </c>
      <c r="H15811" s="3063"/>
      <c r="I15811" s="3030"/>
    </row>
    <row r="15812" spans="2:9">
      <c r="B15812" s="3192" t="s">
        <v>678</v>
      </c>
      <c r="C15812" s="3063"/>
      <c r="D15812" s="3064"/>
      <c r="E15812" s="3064"/>
      <c r="F15812" s="3064"/>
      <c r="G15812" s="3301" t="s">
        <v>678</v>
      </c>
      <c r="H15812" s="3063"/>
      <c r="I15812" s="3030"/>
    </row>
    <row r="15813" spans="2:9">
      <c r="B15813" s="3192" t="s">
        <v>679</v>
      </c>
      <c r="C15813" s="3063"/>
      <c r="D15813" s="3064"/>
      <c r="E15813" s="3064"/>
      <c r="F15813" s="3064"/>
      <c r="G15813" s="3301" t="s">
        <v>679</v>
      </c>
      <c r="H15813" s="3063"/>
      <c r="I15813" s="3030"/>
    </row>
    <row r="15814" spans="2:9" ht="25.5">
      <c r="B15814" s="3192" t="s">
        <v>720</v>
      </c>
      <c r="C15814" s="3063"/>
      <c r="D15814" s="3064"/>
      <c r="E15814" s="3064"/>
      <c r="F15814" s="3064"/>
      <c r="G15814" s="3301" t="s">
        <v>720</v>
      </c>
      <c r="H15814" s="3063"/>
      <c r="I15814" s="3030"/>
    </row>
    <row r="15815" spans="2:9">
      <c r="B15815" s="3299" t="s">
        <v>67</v>
      </c>
      <c r="C15815" s="3063"/>
      <c r="D15815" s="3064"/>
      <c r="E15815" s="3064"/>
      <c r="F15815" s="3064"/>
      <c r="G15815" s="3300" t="s">
        <v>67</v>
      </c>
      <c r="H15815" s="3063"/>
      <c r="I15815" s="3030"/>
    </row>
    <row r="15816" spans="2:9" ht="25.5">
      <c r="B15816" s="3192" t="s">
        <v>675</v>
      </c>
      <c r="C15816" s="3063"/>
      <c r="D15816" s="3064"/>
      <c r="E15816" s="3064"/>
      <c r="F15816" s="3064"/>
      <c r="G15816" s="3301" t="s">
        <v>675</v>
      </c>
      <c r="H15816" s="3063"/>
      <c r="I15816" s="3030"/>
    </row>
    <row r="15817" spans="2:9" ht="25.5">
      <c r="B15817" s="3192" t="s">
        <v>676</v>
      </c>
      <c r="C15817" s="3063"/>
      <c r="D15817" s="3064"/>
      <c r="E15817" s="3064"/>
      <c r="F15817" s="3064"/>
      <c r="G15817" s="3301" t="s">
        <v>676</v>
      </c>
      <c r="H15817" s="3063"/>
      <c r="I15817" s="3030"/>
    </row>
    <row r="15818" spans="2:9">
      <c r="B15818" s="3192" t="s">
        <v>677</v>
      </c>
      <c r="C15818" s="3063"/>
      <c r="D15818" s="3064"/>
      <c r="E15818" s="3064"/>
      <c r="F15818" s="3064"/>
      <c r="G15818" s="3301" t="s">
        <v>677</v>
      </c>
      <c r="H15818" s="3063"/>
      <c r="I15818" s="3030"/>
    </row>
    <row r="15819" spans="2:9">
      <c r="B15819" s="3192" t="s">
        <v>678</v>
      </c>
      <c r="C15819" s="3063"/>
      <c r="D15819" s="3064"/>
      <c r="E15819" s="3064"/>
      <c r="F15819" s="3064"/>
      <c r="G15819" s="3301" t="s">
        <v>678</v>
      </c>
      <c r="H15819" s="3063"/>
      <c r="I15819" s="3030"/>
    </row>
    <row r="15820" spans="2:9">
      <c r="B15820" s="3192" t="s">
        <v>679</v>
      </c>
      <c r="C15820" s="3063"/>
      <c r="D15820" s="3064"/>
      <c r="E15820" s="3064"/>
      <c r="F15820" s="3064"/>
      <c r="G15820" s="3301" t="s">
        <v>679</v>
      </c>
      <c r="H15820" s="3063"/>
      <c r="I15820" s="3030"/>
    </row>
    <row r="15821" spans="2:9" ht="25.5">
      <c r="B15821" s="3192" t="s">
        <v>720</v>
      </c>
      <c r="C15821" s="3063"/>
      <c r="D15821" s="3064"/>
      <c r="E15821" s="3064"/>
      <c r="F15821" s="3064"/>
      <c r="G15821" s="3301" t="s">
        <v>720</v>
      </c>
      <c r="H15821" s="3063"/>
      <c r="I15821" s="3030"/>
    </row>
    <row r="15822" spans="2:9" ht="25.5">
      <c r="B15822" s="3230" t="s">
        <v>81</v>
      </c>
      <c r="C15822" s="3063"/>
      <c r="D15822" s="3064"/>
      <c r="E15822" s="3064"/>
      <c r="F15822" s="3064"/>
      <c r="G15822" s="3302" t="s">
        <v>81</v>
      </c>
      <c r="H15822" s="3063"/>
      <c r="I15822" s="3030"/>
    </row>
    <row r="15823" spans="2:9" ht="26.25" thickBot="1">
      <c r="B15823" s="3303" t="s">
        <v>81</v>
      </c>
      <c r="C15823" s="3063"/>
      <c r="D15823" s="3064"/>
      <c r="E15823" s="3064"/>
      <c r="F15823" s="3064"/>
      <c r="G15823" s="3302" t="s">
        <v>81</v>
      </c>
      <c r="H15823" s="3063"/>
      <c r="I15823" s="3030"/>
    </row>
    <row r="15824" spans="2:9" ht="25.5">
      <c r="B15824" s="3217" t="s">
        <v>696</v>
      </c>
      <c r="C15824" s="3218"/>
      <c r="D15824" s="3219"/>
      <c r="E15824" s="3219"/>
      <c r="F15824" s="3219"/>
      <c r="G15824" s="3217" t="s">
        <v>696</v>
      </c>
      <c r="H15824" s="3297"/>
      <c r="I15824" s="3298"/>
    </row>
    <row r="15825" spans="2:9">
      <c r="B15825" s="3299" t="s">
        <v>64</v>
      </c>
      <c r="C15825" s="3063"/>
      <c r="D15825" s="3064"/>
      <c r="E15825" s="3064"/>
      <c r="F15825" s="3064"/>
      <c r="G15825" s="3300" t="s">
        <v>64</v>
      </c>
      <c r="H15825" s="3063"/>
      <c r="I15825" s="3030"/>
    </row>
    <row r="15826" spans="2:9" ht="25.5">
      <c r="B15826" s="3192" t="s">
        <v>675</v>
      </c>
      <c r="C15826" s="3063"/>
      <c r="D15826" s="3064"/>
      <c r="E15826" s="3064"/>
      <c r="F15826" s="3064"/>
      <c r="G15826" s="3301" t="s">
        <v>675</v>
      </c>
      <c r="H15826" s="3063"/>
      <c r="I15826" s="3030"/>
    </row>
    <row r="15827" spans="2:9" ht="25.5">
      <c r="B15827" s="3192" t="s">
        <v>676</v>
      </c>
      <c r="C15827" s="3063"/>
      <c r="D15827" s="3064"/>
      <c r="E15827" s="3064"/>
      <c r="F15827" s="3064"/>
      <c r="G15827" s="3301" t="s">
        <v>676</v>
      </c>
      <c r="H15827" s="3063"/>
      <c r="I15827" s="3030"/>
    </row>
    <row r="15828" spans="2:9">
      <c r="B15828" s="3192" t="s">
        <v>677</v>
      </c>
      <c r="C15828" s="3063"/>
      <c r="D15828" s="3064"/>
      <c r="E15828" s="3064"/>
      <c r="F15828" s="3064"/>
      <c r="G15828" s="3301" t="s">
        <v>677</v>
      </c>
      <c r="H15828" s="3063"/>
      <c r="I15828" s="3030"/>
    </row>
    <row r="15829" spans="2:9">
      <c r="B15829" s="3192" t="s">
        <v>678</v>
      </c>
      <c r="C15829" s="3063"/>
      <c r="D15829" s="3064"/>
      <c r="E15829" s="3064"/>
      <c r="F15829" s="3064"/>
      <c r="G15829" s="3301" t="s">
        <v>678</v>
      </c>
      <c r="H15829" s="3063"/>
      <c r="I15829" s="3030"/>
    </row>
    <row r="15830" spans="2:9">
      <c r="B15830" s="3192" t="s">
        <v>679</v>
      </c>
      <c r="C15830" s="3063"/>
      <c r="D15830" s="3064"/>
      <c r="E15830" s="3064"/>
      <c r="F15830" s="3064"/>
      <c r="G15830" s="3301" t="s">
        <v>679</v>
      </c>
      <c r="H15830" s="3063"/>
      <c r="I15830" s="3030"/>
    </row>
    <row r="15831" spans="2:9" ht="25.5">
      <c r="B15831" s="3192" t="s">
        <v>720</v>
      </c>
      <c r="C15831" s="3063"/>
      <c r="D15831" s="3064"/>
      <c r="E15831" s="3064"/>
      <c r="F15831" s="3064"/>
      <c r="G15831" s="3301" t="s">
        <v>720</v>
      </c>
      <c r="H15831" s="3063"/>
      <c r="I15831" s="3030"/>
    </row>
    <row r="15832" spans="2:9">
      <c r="B15832" s="3299" t="s">
        <v>65</v>
      </c>
      <c r="C15832" s="3063"/>
      <c r="D15832" s="3064"/>
      <c r="E15832" s="3064"/>
      <c r="F15832" s="3064"/>
      <c r="G15832" s="3300" t="s">
        <v>65</v>
      </c>
      <c r="H15832" s="3063"/>
      <c r="I15832" s="3030"/>
    </row>
    <row r="15833" spans="2:9" ht="25.5">
      <c r="B15833" s="3192" t="s">
        <v>675</v>
      </c>
      <c r="C15833" s="3063"/>
      <c r="D15833" s="3064"/>
      <c r="E15833" s="3064"/>
      <c r="F15833" s="3064"/>
      <c r="G15833" s="3301" t="s">
        <v>675</v>
      </c>
      <c r="H15833" s="3063"/>
      <c r="I15833" s="3030"/>
    </row>
    <row r="15834" spans="2:9" ht="25.5">
      <c r="B15834" s="3192" t="s">
        <v>676</v>
      </c>
      <c r="C15834" s="3063"/>
      <c r="D15834" s="3064"/>
      <c r="E15834" s="3064"/>
      <c r="F15834" s="3064"/>
      <c r="G15834" s="3301" t="s">
        <v>676</v>
      </c>
      <c r="H15834" s="3063"/>
      <c r="I15834" s="3030"/>
    </row>
    <row r="15835" spans="2:9">
      <c r="B15835" s="3192" t="s">
        <v>677</v>
      </c>
      <c r="C15835" s="3063"/>
      <c r="D15835" s="3064"/>
      <c r="E15835" s="3064"/>
      <c r="F15835" s="3064"/>
      <c r="G15835" s="3301" t="s">
        <v>677</v>
      </c>
      <c r="H15835" s="3063"/>
      <c r="I15835" s="3030"/>
    </row>
    <row r="15836" spans="2:9">
      <c r="B15836" s="3192" t="s">
        <v>678</v>
      </c>
      <c r="C15836" s="3063"/>
      <c r="D15836" s="3064"/>
      <c r="E15836" s="3064"/>
      <c r="F15836" s="3064"/>
      <c r="G15836" s="3301" t="s">
        <v>678</v>
      </c>
      <c r="H15836" s="3063"/>
      <c r="I15836" s="3030"/>
    </row>
    <row r="15837" spans="2:9">
      <c r="B15837" s="3192" t="s">
        <v>679</v>
      </c>
      <c r="C15837" s="3063"/>
      <c r="D15837" s="3064"/>
      <c r="E15837" s="3064"/>
      <c r="F15837" s="3064"/>
      <c r="G15837" s="3301" t="s">
        <v>679</v>
      </c>
      <c r="H15837" s="3063"/>
      <c r="I15837" s="3030"/>
    </row>
    <row r="15838" spans="2:9" ht="25.5">
      <c r="B15838" s="3192" t="s">
        <v>720</v>
      </c>
      <c r="C15838" s="3063"/>
      <c r="D15838" s="3064"/>
      <c r="E15838" s="3064"/>
      <c r="F15838" s="3064"/>
      <c r="G15838" s="3301" t="s">
        <v>720</v>
      </c>
      <c r="H15838" s="3063"/>
      <c r="I15838" s="3030"/>
    </row>
    <row r="15839" spans="2:9">
      <c r="B15839" s="3299" t="s">
        <v>82</v>
      </c>
      <c r="C15839" s="3063"/>
      <c r="D15839" s="3064"/>
      <c r="E15839" s="3064"/>
      <c r="F15839" s="3064"/>
      <c r="G15839" s="3300" t="s">
        <v>82</v>
      </c>
      <c r="H15839" s="3063"/>
      <c r="I15839" s="3030"/>
    </row>
    <row r="15840" spans="2:9" ht="25.5">
      <c r="B15840" s="3192" t="s">
        <v>675</v>
      </c>
      <c r="C15840" s="3063"/>
      <c r="D15840" s="3064"/>
      <c r="E15840" s="3064"/>
      <c r="F15840" s="3064"/>
      <c r="G15840" s="3301" t="s">
        <v>675</v>
      </c>
      <c r="H15840" s="3063"/>
      <c r="I15840" s="3030"/>
    </row>
    <row r="15841" spans="2:9" ht="25.5">
      <c r="B15841" s="3192" t="s">
        <v>676</v>
      </c>
      <c r="C15841" s="3063"/>
      <c r="D15841" s="3064"/>
      <c r="E15841" s="3064"/>
      <c r="F15841" s="3064"/>
      <c r="G15841" s="3301" t="s">
        <v>676</v>
      </c>
      <c r="H15841" s="3063"/>
      <c r="I15841" s="3030"/>
    </row>
    <row r="15842" spans="2:9">
      <c r="B15842" s="3192" t="s">
        <v>677</v>
      </c>
      <c r="C15842" s="3063"/>
      <c r="D15842" s="3064"/>
      <c r="E15842" s="3064"/>
      <c r="F15842" s="3064"/>
      <c r="G15842" s="3301" t="s">
        <v>677</v>
      </c>
      <c r="H15842" s="3063"/>
      <c r="I15842" s="3030"/>
    </row>
    <row r="15843" spans="2:9">
      <c r="B15843" s="3192" t="s">
        <v>678</v>
      </c>
      <c r="C15843" s="3063"/>
      <c r="D15843" s="3064"/>
      <c r="E15843" s="3064"/>
      <c r="F15843" s="3064"/>
      <c r="G15843" s="3301" t="s">
        <v>678</v>
      </c>
      <c r="H15843" s="3063"/>
      <c r="I15843" s="3030"/>
    </row>
    <row r="15844" spans="2:9">
      <c r="B15844" s="3192" t="s">
        <v>679</v>
      </c>
      <c r="C15844" s="3063"/>
      <c r="D15844" s="3064"/>
      <c r="E15844" s="3064"/>
      <c r="F15844" s="3064"/>
      <c r="G15844" s="3301" t="s">
        <v>679</v>
      </c>
      <c r="H15844" s="3063"/>
      <c r="I15844" s="3030"/>
    </row>
    <row r="15845" spans="2:9" ht="25.5">
      <c r="B15845" s="3192" t="s">
        <v>720</v>
      </c>
      <c r="C15845" s="3063"/>
      <c r="D15845" s="3064"/>
      <c r="E15845" s="3064"/>
      <c r="F15845" s="3064"/>
      <c r="G15845" s="3301" t="s">
        <v>720</v>
      </c>
      <c r="H15845" s="3063"/>
      <c r="I15845" s="3030"/>
    </row>
    <row r="15846" spans="2:9" ht="38.25">
      <c r="B15846" s="3299" t="s">
        <v>680</v>
      </c>
      <c r="C15846" s="3063"/>
      <c r="D15846" s="3064"/>
      <c r="E15846" s="3064"/>
      <c r="F15846" s="3064"/>
      <c r="G15846" s="3300" t="s">
        <v>680</v>
      </c>
      <c r="H15846" s="3063"/>
      <c r="I15846" s="3030"/>
    </row>
    <row r="15847" spans="2:9" ht="25.5">
      <c r="B15847" s="3192" t="s">
        <v>675</v>
      </c>
      <c r="C15847" s="3063"/>
      <c r="D15847" s="3064"/>
      <c r="E15847" s="3064"/>
      <c r="F15847" s="3064"/>
      <c r="G15847" s="3301" t="s">
        <v>675</v>
      </c>
      <c r="H15847" s="3063"/>
      <c r="I15847" s="3030"/>
    </row>
    <row r="15848" spans="2:9" ht="25.5">
      <c r="B15848" s="3192" t="s">
        <v>676</v>
      </c>
      <c r="C15848" s="3063"/>
      <c r="D15848" s="3064"/>
      <c r="E15848" s="3064"/>
      <c r="F15848" s="3064"/>
      <c r="G15848" s="3301" t="s">
        <v>676</v>
      </c>
      <c r="H15848" s="3063"/>
      <c r="I15848" s="3030"/>
    </row>
    <row r="15849" spans="2:9">
      <c r="B15849" s="3192" t="s">
        <v>677</v>
      </c>
      <c r="C15849" s="3063"/>
      <c r="D15849" s="3064"/>
      <c r="E15849" s="3064"/>
      <c r="F15849" s="3064"/>
      <c r="G15849" s="3301" t="s">
        <v>677</v>
      </c>
      <c r="H15849" s="3063"/>
      <c r="I15849" s="3030"/>
    </row>
    <row r="15850" spans="2:9">
      <c r="B15850" s="3192" t="s">
        <v>678</v>
      </c>
      <c r="C15850" s="3063"/>
      <c r="D15850" s="3064"/>
      <c r="E15850" s="3064"/>
      <c r="F15850" s="3064"/>
      <c r="G15850" s="3301" t="s">
        <v>678</v>
      </c>
      <c r="H15850" s="3063"/>
      <c r="I15850" s="3030"/>
    </row>
    <row r="15851" spans="2:9">
      <c r="B15851" s="3192" t="s">
        <v>679</v>
      </c>
      <c r="C15851" s="3063"/>
      <c r="D15851" s="3064"/>
      <c r="E15851" s="3064"/>
      <c r="F15851" s="3064"/>
      <c r="G15851" s="3301" t="s">
        <v>679</v>
      </c>
      <c r="H15851" s="3063"/>
      <c r="I15851" s="3030"/>
    </row>
    <row r="15852" spans="2:9" ht="25.5">
      <c r="B15852" s="3192" t="s">
        <v>720</v>
      </c>
      <c r="C15852" s="3063"/>
      <c r="D15852" s="3064"/>
      <c r="E15852" s="3064"/>
      <c r="F15852" s="3064"/>
      <c r="G15852" s="3301" t="s">
        <v>720</v>
      </c>
      <c r="H15852" s="3063"/>
      <c r="I15852" s="3030"/>
    </row>
    <row r="15853" spans="2:9" ht="38.25">
      <c r="B15853" s="3299" t="s">
        <v>681</v>
      </c>
      <c r="C15853" s="3063"/>
      <c r="D15853" s="3064"/>
      <c r="E15853" s="3064"/>
      <c r="F15853" s="3064"/>
      <c r="G15853" s="3300" t="s">
        <v>681</v>
      </c>
      <c r="H15853" s="3063"/>
      <c r="I15853" s="3030"/>
    </row>
    <row r="15854" spans="2:9" ht="25.5">
      <c r="B15854" s="3192" t="s">
        <v>675</v>
      </c>
      <c r="C15854" s="3063"/>
      <c r="D15854" s="3064"/>
      <c r="E15854" s="3064"/>
      <c r="F15854" s="3064"/>
      <c r="G15854" s="3301" t="s">
        <v>675</v>
      </c>
      <c r="H15854" s="3063"/>
      <c r="I15854" s="3030"/>
    </row>
    <row r="15855" spans="2:9" ht="25.5">
      <c r="B15855" s="3192" t="s">
        <v>676</v>
      </c>
      <c r="C15855" s="3063"/>
      <c r="D15855" s="3064"/>
      <c r="E15855" s="3064"/>
      <c r="F15855" s="3064"/>
      <c r="G15855" s="3301" t="s">
        <v>676</v>
      </c>
      <c r="H15855" s="3063"/>
      <c r="I15855" s="3030"/>
    </row>
    <row r="15856" spans="2:9">
      <c r="B15856" s="3192" t="s">
        <v>677</v>
      </c>
      <c r="C15856" s="3063"/>
      <c r="D15856" s="3064"/>
      <c r="E15856" s="3064"/>
      <c r="F15856" s="3064"/>
      <c r="G15856" s="3301" t="s">
        <v>677</v>
      </c>
      <c r="H15856" s="3063"/>
      <c r="I15856" s="3030"/>
    </row>
    <row r="15857" spans="2:9">
      <c r="B15857" s="3192" t="s">
        <v>678</v>
      </c>
      <c r="C15857" s="3063"/>
      <c r="D15857" s="3064"/>
      <c r="E15857" s="3064"/>
      <c r="F15857" s="3064"/>
      <c r="G15857" s="3301" t="s">
        <v>678</v>
      </c>
      <c r="H15857" s="3063"/>
      <c r="I15857" s="3030"/>
    </row>
    <row r="15858" spans="2:9">
      <c r="B15858" s="3192" t="s">
        <v>679</v>
      </c>
      <c r="C15858" s="3063"/>
      <c r="D15858" s="3064"/>
      <c r="E15858" s="3064"/>
      <c r="F15858" s="3064"/>
      <c r="G15858" s="3301" t="s">
        <v>679</v>
      </c>
      <c r="H15858" s="3063"/>
      <c r="I15858" s="3030"/>
    </row>
    <row r="15859" spans="2:9" ht="25.5">
      <c r="B15859" s="3192" t="s">
        <v>720</v>
      </c>
      <c r="C15859" s="3063"/>
      <c r="D15859" s="3064"/>
      <c r="E15859" s="3064"/>
      <c r="F15859" s="3064"/>
      <c r="G15859" s="3301" t="s">
        <v>720</v>
      </c>
      <c r="H15859" s="3063"/>
      <c r="I15859" s="3030"/>
    </row>
    <row r="15860" spans="2:9" ht="25.5">
      <c r="B15860" s="3299" t="s">
        <v>682</v>
      </c>
      <c r="C15860" s="3063"/>
      <c r="D15860" s="3064"/>
      <c r="E15860" s="3064"/>
      <c r="F15860" s="3064"/>
      <c r="G15860" s="3300" t="s">
        <v>682</v>
      </c>
      <c r="H15860" s="3063"/>
      <c r="I15860" s="3030"/>
    </row>
    <row r="15861" spans="2:9" ht="25.5">
      <c r="B15861" s="3192" t="s">
        <v>675</v>
      </c>
      <c r="C15861" s="3063"/>
      <c r="D15861" s="3064"/>
      <c r="E15861" s="3064"/>
      <c r="F15861" s="3064"/>
      <c r="G15861" s="3301" t="s">
        <v>675</v>
      </c>
      <c r="H15861" s="3063"/>
      <c r="I15861" s="3030"/>
    </row>
    <row r="15862" spans="2:9" ht="25.5">
      <c r="B15862" s="3192" t="s">
        <v>676</v>
      </c>
      <c r="C15862" s="3063"/>
      <c r="D15862" s="3064"/>
      <c r="E15862" s="3064"/>
      <c r="F15862" s="3064"/>
      <c r="G15862" s="3301" t="s">
        <v>676</v>
      </c>
      <c r="H15862" s="3063"/>
      <c r="I15862" s="3030"/>
    </row>
    <row r="15863" spans="2:9">
      <c r="B15863" s="3192" t="s">
        <v>677</v>
      </c>
      <c r="C15863" s="3063"/>
      <c r="D15863" s="3064"/>
      <c r="E15863" s="3064"/>
      <c r="F15863" s="3064"/>
      <c r="G15863" s="3301" t="s">
        <v>677</v>
      </c>
      <c r="H15863" s="3063"/>
      <c r="I15863" s="3030"/>
    </row>
    <row r="15864" spans="2:9">
      <c r="B15864" s="3192" t="s">
        <v>678</v>
      </c>
      <c r="C15864" s="3063"/>
      <c r="D15864" s="3064"/>
      <c r="E15864" s="3064"/>
      <c r="F15864" s="3064"/>
      <c r="G15864" s="3301" t="s">
        <v>678</v>
      </c>
      <c r="H15864" s="3063"/>
      <c r="I15864" s="3030"/>
    </row>
    <row r="15865" spans="2:9">
      <c r="B15865" s="3192" t="s">
        <v>679</v>
      </c>
      <c r="C15865" s="3063"/>
      <c r="D15865" s="3064"/>
      <c r="E15865" s="3064"/>
      <c r="F15865" s="3064"/>
      <c r="G15865" s="3301" t="s">
        <v>679</v>
      </c>
      <c r="H15865" s="3063"/>
      <c r="I15865" s="3030"/>
    </row>
    <row r="15866" spans="2:9" ht="25.5">
      <c r="B15866" s="3192" t="s">
        <v>720</v>
      </c>
      <c r="C15866" s="3063"/>
      <c r="D15866" s="3064"/>
      <c r="E15866" s="3064"/>
      <c r="F15866" s="3064"/>
      <c r="G15866" s="3301" t="s">
        <v>720</v>
      </c>
      <c r="H15866" s="3063"/>
      <c r="I15866" s="3030"/>
    </row>
    <row r="15867" spans="2:9" ht="25.5">
      <c r="B15867" s="3299" t="s">
        <v>66</v>
      </c>
      <c r="C15867" s="3063"/>
      <c r="D15867" s="3064"/>
      <c r="E15867" s="3064"/>
      <c r="F15867" s="3064"/>
      <c r="G15867" s="3300" t="s">
        <v>66</v>
      </c>
      <c r="H15867" s="3063"/>
      <c r="I15867" s="3030"/>
    </row>
    <row r="15868" spans="2:9" ht="25.5">
      <c r="B15868" s="3192" t="s">
        <v>675</v>
      </c>
      <c r="C15868" s="3063"/>
      <c r="D15868" s="3064"/>
      <c r="E15868" s="3064"/>
      <c r="F15868" s="3064"/>
      <c r="G15868" s="3301" t="s">
        <v>675</v>
      </c>
      <c r="H15868" s="3063"/>
      <c r="I15868" s="3030"/>
    </row>
    <row r="15869" spans="2:9" ht="25.5">
      <c r="B15869" s="3192" t="s">
        <v>676</v>
      </c>
      <c r="C15869" s="3063"/>
      <c r="D15869" s="3064"/>
      <c r="E15869" s="3064"/>
      <c r="F15869" s="3064"/>
      <c r="G15869" s="3301" t="s">
        <v>676</v>
      </c>
      <c r="H15869" s="3063"/>
      <c r="I15869" s="3030"/>
    </row>
    <row r="15870" spans="2:9">
      <c r="B15870" s="3192" t="s">
        <v>677</v>
      </c>
      <c r="C15870" s="3063"/>
      <c r="D15870" s="3064"/>
      <c r="E15870" s="3064"/>
      <c r="F15870" s="3064"/>
      <c r="G15870" s="3301" t="s">
        <v>677</v>
      </c>
      <c r="H15870" s="3063"/>
      <c r="I15870" s="3030"/>
    </row>
    <row r="15871" spans="2:9">
      <c r="B15871" s="3192" t="s">
        <v>678</v>
      </c>
      <c r="C15871" s="3063"/>
      <c r="D15871" s="3064"/>
      <c r="E15871" s="3064"/>
      <c r="F15871" s="3064"/>
      <c r="G15871" s="3301" t="s">
        <v>678</v>
      </c>
      <c r="H15871" s="3063"/>
      <c r="I15871" s="3030"/>
    </row>
    <row r="15872" spans="2:9">
      <c r="B15872" s="3192" t="s">
        <v>679</v>
      </c>
      <c r="C15872" s="3063"/>
      <c r="D15872" s="3064"/>
      <c r="E15872" s="3064"/>
      <c r="F15872" s="3064"/>
      <c r="G15872" s="3301" t="s">
        <v>679</v>
      </c>
      <c r="H15872" s="3063"/>
      <c r="I15872" s="3030"/>
    </row>
    <row r="15873" spans="2:9" ht="25.5">
      <c r="B15873" s="3192" t="s">
        <v>720</v>
      </c>
      <c r="C15873" s="3063"/>
      <c r="D15873" s="3064"/>
      <c r="E15873" s="3064"/>
      <c r="F15873" s="3064"/>
      <c r="G15873" s="3301" t="s">
        <v>720</v>
      </c>
      <c r="H15873" s="3063"/>
      <c r="I15873" s="3030"/>
    </row>
    <row r="15874" spans="2:9">
      <c r="B15874" s="3299" t="s">
        <v>67</v>
      </c>
      <c r="C15874" s="3063"/>
      <c r="D15874" s="3064"/>
      <c r="E15874" s="3064"/>
      <c r="F15874" s="3064"/>
      <c r="G15874" s="3300" t="s">
        <v>67</v>
      </c>
      <c r="H15874" s="3063"/>
      <c r="I15874" s="3030"/>
    </row>
    <row r="15875" spans="2:9" ht="25.5">
      <c r="B15875" s="3192" t="s">
        <v>675</v>
      </c>
      <c r="C15875" s="3063"/>
      <c r="D15875" s="3064"/>
      <c r="E15875" s="3064"/>
      <c r="F15875" s="3064"/>
      <c r="G15875" s="3301" t="s">
        <v>675</v>
      </c>
      <c r="H15875" s="3063"/>
      <c r="I15875" s="3030"/>
    </row>
    <row r="15876" spans="2:9" ht="25.5">
      <c r="B15876" s="3192" t="s">
        <v>676</v>
      </c>
      <c r="C15876" s="3063"/>
      <c r="D15876" s="3064"/>
      <c r="E15876" s="3064"/>
      <c r="F15876" s="3064"/>
      <c r="G15876" s="3301" t="s">
        <v>676</v>
      </c>
      <c r="H15876" s="3063"/>
      <c r="I15876" s="3030"/>
    </row>
    <row r="15877" spans="2:9">
      <c r="B15877" s="3192" t="s">
        <v>677</v>
      </c>
      <c r="C15877" s="3063"/>
      <c r="D15877" s="3064"/>
      <c r="E15877" s="3064"/>
      <c r="F15877" s="3064"/>
      <c r="G15877" s="3301" t="s">
        <v>677</v>
      </c>
      <c r="H15877" s="3063"/>
      <c r="I15877" s="3030"/>
    </row>
    <row r="15878" spans="2:9">
      <c r="B15878" s="3192" t="s">
        <v>678</v>
      </c>
      <c r="C15878" s="3063"/>
      <c r="D15878" s="3064"/>
      <c r="E15878" s="3064"/>
      <c r="F15878" s="3064"/>
      <c r="G15878" s="3301" t="s">
        <v>678</v>
      </c>
      <c r="H15878" s="3063"/>
      <c r="I15878" s="3030"/>
    </row>
    <row r="15879" spans="2:9">
      <c r="B15879" s="3192" t="s">
        <v>679</v>
      </c>
      <c r="C15879" s="3063"/>
      <c r="D15879" s="3064"/>
      <c r="E15879" s="3064"/>
      <c r="F15879" s="3064"/>
      <c r="G15879" s="3301" t="s">
        <v>679</v>
      </c>
      <c r="H15879" s="3063"/>
      <c r="I15879" s="3030"/>
    </row>
    <row r="15880" spans="2:9" ht="25.5">
      <c r="B15880" s="3230" t="s">
        <v>81</v>
      </c>
      <c r="C15880" s="3063"/>
      <c r="D15880" s="3064"/>
      <c r="E15880" s="3064"/>
      <c r="F15880" s="3064"/>
      <c r="G15880" s="3302" t="s">
        <v>81</v>
      </c>
      <c r="H15880" s="3063"/>
      <c r="I15880" s="3030"/>
    </row>
    <row r="15881" spans="2:9" ht="26.25" thickBot="1">
      <c r="B15881" s="3303" t="s">
        <v>81</v>
      </c>
      <c r="C15881" s="3063"/>
      <c r="D15881" s="3064"/>
      <c r="E15881" s="3064"/>
      <c r="F15881" s="3064"/>
      <c r="G15881" s="3302" t="s">
        <v>81</v>
      </c>
      <c r="H15881" s="3063"/>
      <c r="I15881" s="3030"/>
    </row>
    <row r="15882" spans="2:9">
      <c r="B15882" s="3217" t="s">
        <v>697</v>
      </c>
      <c r="C15882" s="3218"/>
      <c r="D15882" s="3219"/>
      <c r="E15882" s="3219"/>
      <c r="F15882" s="3219"/>
      <c r="G15882" s="3217" t="s">
        <v>697</v>
      </c>
      <c r="H15882" s="3297"/>
      <c r="I15882" s="3298"/>
    </row>
    <row r="15883" spans="2:9">
      <c r="B15883" s="3299" t="s">
        <v>64</v>
      </c>
      <c r="C15883" s="3063"/>
      <c r="D15883" s="3064"/>
      <c r="E15883" s="3064"/>
      <c r="F15883" s="3064"/>
      <c r="G15883" s="3300" t="s">
        <v>64</v>
      </c>
      <c r="H15883" s="3063"/>
      <c r="I15883" s="3030"/>
    </row>
    <row r="15884" spans="2:9" ht="25.5">
      <c r="B15884" s="3192" t="s">
        <v>675</v>
      </c>
      <c r="C15884" s="3063"/>
      <c r="D15884" s="3064"/>
      <c r="E15884" s="3064"/>
      <c r="F15884" s="3064"/>
      <c r="G15884" s="3301" t="s">
        <v>675</v>
      </c>
      <c r="H15884" s="3063"/>
      <c r="I15884" s="3030"/>
    </row>
    <row r="15885" spans="2:9" ht="25.5">
      <c r="B15885" s="3192" t="s">
        <v>676</v>
      </c>
      <c r="C15885" s="3063"/>
      <c r="D15885" s="3064"/>
      <c r="E15885" s="3064"/>
      <c r="F15885" s="3064"/>
      <c r="G15885" s="3301" t="s">
        <v>676</v>
      </c>
      <c r="H15885" s="3063"/>
      <c r="I15885" s="3030"/>
    </row>
    <row r="15886" spans="2:9">
      <c r="B15886" s="3192" t="s">
        <v>677</v>
      </c>
      <c r="C15886" s="3063"/>
      <c r="D15886" s="3064"/>
      <c r="E15886" s="3064"/>
      <c r="F15886" s="3064"/>
      <c r="G15886" s="3301" t="s">
        <v>677</v>
      </c>
      <c r="H15886" s="3063"/>
      <c r="I15886" s="3030"/>
    </row>
    <row r="15887" spans="2:9">
      <c r="B15887" s="3192" t="s">
        <v>678</v>
      </c>
      <c r="C15887" s="3063"/>
      <c r="D15887" s="3064"/>
      <c r="E15887" s="3064"/>
      <c r="F15887" s="3064"/>
      <c r="G15887" s="3301" t="s">
        <v>678</v>
      </c>
      <c r="H15887" s="3063"/>
      <c r="I15887" s="3030"/>
    </row>
    <row r="15888" spans="2:9">
      <c r="B15888" s="3192" t="s">
        <v>679</v>
      </c>
      <c r="C15888" s="3063"/>
      <c r="D15888" s="3064"/>
      <c r="E15888" s="3064"/>
      <c r="F15888" s="3064"/>
      <c r="G15888" s="3301" t="s">
        <v>679</v>
      </c>
      <c r="H15888" s="3063"/>
      <c r="I15888" s="3030"/>
    </row>
    <row r="15889" spans="2:9" ht="25.5">
      <c r="B15889" s="3192" t="s">
        <v>720</v>
      </c>
      <c r="C15889" s="3063"/>
      <c r="D15889" s="3064"/>
      <c r="E15889" s="3064"/>
      <c r="F15889" s="3064"/>
      <c r="G15889" s="3301" t="s">
        <v>720</v>
      </c>
      <c r="H15889" s="3063"/>
      <c r="I15889" s="3030"/>
    </row>
    <row r="15890" spans="2:9">
      <c r="B15890" s="3299" t="s">
        <v>65</v>
      </c>
      <c r="C15890" s="3063"/>
      <c r="D15890" s="3064"/>
      <c r="E15890" s="3064"/>
      <c r="F15890" s="3064"/>
      <c r="G15890" s="3300" t="s">
        <v>65</v>
      </c>
      <c r="H15890" s="3063"/>
      <c r="I15890" s="3030"/>
    </row>
    <row r="15891" spans="2:9" ht="25.5">
      <c r="B15891" s="3192" t="s">
        <v>675</v>
      </c>
      <c r="C15891" s="3063"/>
      <c r="D15891" s="3064"/>
      <c r="E15891" s="3064"/>
      <c r="F15891" s="3064"/>
      <c r="G15891" s="3301" t="s">
        <v>675</v>
      </c>
      <c r="H15891" s="3063"/>
      <c r="I15891" s="3030"/>
    </row>
    <row r="15892" spans="2:9" ht="25.5">
      <c r="B15892" s="3192" t="s">
        <v>676</v>
      </c>
      <c r="C15892" s="3063"/>
      <c r="D15892" s="3064"/>
      <c r="E15892" s="3064"/>
      <c r="F15892" s="3064"/>
      <c r="G15892" s="3301" t="s">
        <v>676</v>
      </c>
      <c r="H15892" s="3063"/>
      <c r="I15892" s="3030"/>
    </row>
    <row r="15893" spans="2:9">
      <c r="B15893" s="3192" t="s">
        <v>677</v>
      </c>
      <c r="C15893" s="3063"/>
      <c r="D15893" s="3064"/>
      <c r="E15893" s="3064"/>
      <c r="F15893" s="3064"/>
      <c r="G15893" s="3301" t="s">
        <v>677</v>
      </c>
      <c r="H15893" s="3063"/>
      <c r="I15893" s="3030"/>
    </row>
    <row r="15894" spans="2:9">
      <c r="B15894" s="3192" t="s">
        <v>678</v>
      </c>
      <c r="C15894" s="3063"/>
      <c r="D15894" s="3064"/>
      <c r="E15894" s="3064"/>
      <c r="F15894" s="3064"/>
      <c r="G15894" s="3301" t="s">
        <v>678</v>
      </c>
      <c r="H15894" s="3063"/>
      <c r="I15894" s="3030"/>
    </row>
    <row r="15895" spans="2:9">
      <c r="B15895" s="3192" t="s">
        <v>679</v>
      </c>
      <c r="C15895" s="3063"/>
      <c r="D15895" s="3064"/>
      <c r="E15895" s="3064"/>
      <c r="F15895" s="3064"/>
      <c r="G15895" s="3301" t="s">
        <v>679</v>
      </c>
      <c r="H15895" s="3063"/>
      <c r="I15895" s="3030"/>
    </row>
    <row r="15896" spans="2:9" ht="25.5">
      <c r="B15896" s="3192" t="s">
        <v>720</v>
      </c>
      <c r="C15896" s="3063"/>
      <c r="D15896" s="3064"/>
      <c r="E15896" s="3064"/>
      <c r="F15896" s="3064"/>
      <c r="G15896" s="3301" t="s">
        <v>720</v>
      </c>
      <c r="H15896" s="3063"/>
      <c r="I15896" s="3030"/>
    </row>
    <row r="15897" spans="2:9">
      <c r="B15897" s="3299" t="s">
        <v>82</v>
      </c>
      <c r="C15897" s="3063"/>
      <c r="D15897" s="3064"/>
      <c r="E15897" s="3064"/>
      <c r="F15897" s="3064"/>
      <c r="G15897" s="3300" t="s">
        <v>82</v>
      </c>
      <c r="H15897" s="3063"/>
      <c r="I15897" s="3030"/>
    </row>
    <row r="15898" spans="2:9" ht="25.5">
      <c r="B15898" s="3192" t="s">
        <v>675</v>
      </c>
      <c r="C15898" s="3063"/>
      <c r="D15898" s="3064"/>
      <c r="E15898" s="3064"/>
      <c r="F15898" s="3064"/>
      <c r="G15898" s="3301" t="s">
        <v>675</v>
      </c>
      <c r="H15898" s="3063"/>
      <c r="I15898" s="3030"/>
    </row>
    <row r="15899" spans="2:9" ht="25.5">
      <c r="B15899" s="3192" t="s">
        <v>676</v>
      </c>
      <c r="C15899" s="3063"/>
      <c r="D15899" s="3064"/>
      <c r="E15899" s="3064"/>
      <c r="F15899" s="3064"/>
      <c r="G15899" s="3301" t="s">
        <v>676</v>
      </c>
      <c r="H15899" s="3063"/>
      <c r="I15899" s="3030"/>
    </row>
    <row r="15900" spans="2:9">
      <c r="B15900" s="3192" t="s">
        <v>677</v>
      </c>
      <c r="C15900" s="3063"/>
      <c r="D15900" s="3064"/>
      <c r="E15900" s="3064"/>
      <c r="F15900" s="3064"/>
      <c r="G15900" s="3301" t="s">
        <v>677</v>
      </c>
      <c r="H15900" s="3063"/>
      <c r="I15900" s="3030"/>
    </row>
    <row r="15901" spans="2:9">
      <c r="B15901" s="3192" t="s">
        <v>678</v>
      </c>
      <c r="C15901" s="3063"/>
      <c r="D15901" s="3064"/>
      <c r="E15901" s="3064"/>
      <c r="F15901" s="3064"/>
      <c r="G15901" s="3301" t="s">
        <v>678</v>
      </c>
      <c r="H15901" s="3063"/>
      <c r="I15901" s="3030"/>
    </row>
    <row r="15902" spans="2:9">
      <c r="B15902" s="3192" t="s">
        <v>679</v>
      </c>
      <c r="C15902" s="3063"/>
      <c r="D15902" s="3064"/>
      <c r="E15902" s="3064"/>
      <c r="F15902" s="3064"/>
      <c r="G15902" s="3301" t="s">
        <v>679</v>
      </c>
      <c r="H15902" s="3063"/>
      <c r="I15902" s="3030"/>
    </row>
    <row r="15903" spans="2:9" ht="25.5">
      <c r="B15903" s="3192" t="s">
        <v>720</v>
      </c>
      <c r="C15903" s="3063"/>
      <c r="D15903" s="3064"/>
      <c r="E15903" s="3064"/>
      <c r="F15903" s="3064"/>
      <c r="G15903" s="3301" t="s">
        <v>720</v>
      </c>
      <c r="H15903" s="3063"/>
      <c r="I15903" s="3030"/>
    </row>
    <row r="15904" spans="2:9" ht="38.25">
      <c r="B15904" s="3299" t="s">
        <v>680</v>
      </c>
      <c r="C15904" s="3063"/>
      <c r="D15904" s="3064"/>
      <c r="E15904" s="3064"/>
      <c r="F15904" s="3064"/>
      <c r="G15904" s="3300" t="s">
        <v>680</v>
      </c>
      <c r="H15904" s="3063"/>
      <c r="I15904" s="3030"/>
    </row>
    <row r="15905" spans="2:9" ht="25.5">
      <c r="B15905" s="3192" t="s">
        <v>675</v>
      </c>
      <c r="C15905" s="3063"/>
      <c r="D15905" s="3064"/>
      <c r="E15905" s="3064"/>
      <c r="F15905" s="3064"/>
      <c r="G15905" s="3301" t="s">
        <v>675</v>
      </c>
      <c r="H15905" s="3063"/>
      <c r="I15905" s="3030"/>
    </row>
    <row r="15906" spans="2:9" ht="25.5">
      <c r="B15906" s="3192" t="s">
        <v>676</v>
      </c>
      <c r="C15906" s="3063"/>
      <c r="D15906" s="3064"/>
      <c r="E15906" s="3064"/>
      <c r="F15906" s="3064"/>
      <c r="G15906" s="3301" t="s">
        <v>676</v>
      </c>
      <c r="H15906" s="3063"/>
      <c r="I15906" s="3030"/>
    </row>
    <row r="15907" spans="2:9">
      <c r="B15907" s="3192" t="s">
        <v>677</v>
      </c>
      <c r="C15907" s="3063"/>
      <c r="D15907" s="3064"/>
      <c r="E15907" s="3064"/>
      <c r="F15907" s="3064"/>
      <c r="G15907" s="3301" t="s">
        <v>677</v>
      </c>
      <c r="H15907" s="3063"/>
      <c r="I15907" s="3030"/>
    </row>
    <row r="15908" spans="2:9">
      <c r="B15908" s="3192" t="s">
        <v>678</v>
      </c>
      <c r="C15908" s="3063"/>
      <c r="D15908" s="3064"/>
      <c r="E15908" s="3064"/>
      <c r="F15908" s="3064"/>
      <c r="G15908" s="3301" t="s">
        <v>678</v>
      </c>
      <c r="H15908" s="3063"/>
      <c r="I15908" s="3030"/>
    </row>
    <row r="15909" spans="2:9">
      <c r="B15909" s="3192" t="s">
        <v>679</v>
      </c>
      <c r="C15909" s="3063"/>
      <c r="D15909" s="3064"/>
      <c r="E15909" s="3064"/>
      <c r="F15909" s="3064"/>
      <c r="G15909" s="3301" t="s">
        <v>679</v>
      </c>
      <c r="H15909" s="3063"/>
      <c r="I15909" s="3030"/>
    </row>
    <row r="15910" spans="2:9" ht="25.5">
      <c r="B15910" s="3192" t="s">
        <v>720</v>
      </c>
      <c r="C15910" s="3063"/>
      <c r="D15910" s="3064"/>
      <c r="E15910" s="3064"/>
      <c r="F15910" s="3064"/>
      <c r="G15910" s="3301" t="s">
        <v>720</v>
      </c>
      <c r="H15910" s="3063"/>
      <c r="I15910" s="3030"/>
    </row>
    <row r="15911" spans="2:9" ht="38.25">
      <c r="B15911" s="3299" t="s">
        <v>681</v>
      </c>
      <c r="C15911" s="3063"/>
      <c r="D15911" s="3064"/>
      <c r="E15911" s="3064"/>
      <c r="F15911" s="3064">
        <v>1</v>
      </c>
      <c r="G15911" s="3300" t="s">
        <v>681</v>
      </c>
      <c r="H15911" s="3063">
        <v>4.4200666310311103E-2</v>
      </c>
      <c r="I15911" s="3030"/>
    </row>
    <row r="15912" spans="2:9" ht="25.5">
      <c r="B15912" s="3192" t="s">
        <v>675</v>
      </c>
      <c r="C15912" s="3063"/>
      <c r="D15912" s="3064"/>
      <c r="E15912" s="3064"/>
      <c r="F15912" s="3064"/>
      <c r="G15912" s="3301" t="s">
        <v>675</v>
      </c>
      <c r="H15912" s="3063"/>
      <c r="I15912" s="3030"/>
    </row>
    <row r="15913" spans="2:9" ht="25.5">
      <c r="B15913" s="3192" t="s">
        <v>676</v>
      </c>
      <c r="C15913" s="3063"/>
      <c r="D15913" s="3064"/>
      <c r="E15913" s="3064"/>
      <c r="F15913" s="3064"/>
      <c r="G15913" s="3301" t="s">
        <v>676</v>
      </c>
      <c r="H15913" s="3063"/>
      <c r="I15913" s="3030"/>
    </row>
    <row r="15914" spans="2:9">
      <c r="B15914" s="3192" t="s">
        <v>677</v>
      </c>
      <c r="C15914" s="3063"/>
      <c r="D15914" s="3064"/>
      <c r="E15914" s="3064"/>
      <c r="F15914" s="3064"/>
      <c r="G15914" s="3301" t="s">
        <v>677</v>
      </c>
      <c r="H15914" s="3063"/>
      <c r="I15914" s="3030"/>
    </row>
    <row r="15915" spans="2:9">
      <c r="B15915" s="3192" t="s">
        <v>678</v>
      </c>
      <c r="C15915" s="3063"/>
      <c r="D15915" s="3064"/>
      <c r="E15915" s="3064"/>
      <c r="F15915" s="3064"/>
      <c r="G15915" s="3301" t="s">
        <v>678</v>
      </c>
      <c r="H15915" s="3063"/>
      <c r="I15915" s="3030"/>
    </row>
    <row r="15916" spans="2:9">
      <c r="B15916" s="3192" t="s">
        <v>679</v>
      </c>
      <c r="C15916" s="3063"/>
      <c r="D15916" s="3064"/>
      <c r="E15916" s="3064"/>
      <c r="F15916" s="3064"/>
      <c r="G15916" s="3301" t="s">
        <v>679</v>
      </c>
      <c r="H15916" s="3063"/>
      <c r="I15916" s="3030"/>
    </row>
    <row r="15917" spans="2:9" ht="25.5">
      <c r="B15917" s="3192" t="s">
        <v>720</v>
      </c>
      <c r="C15917" s="3063"/>
      <c r="D15917" s="3064"/>
      <c r="E15917" s="3064"/>
      <c r="F15917" s="3064"/>
      <c r="G15917" s="3301" t="s">
        <v>720</v>
      </c>
      <c r="H15917" s="3063"/>
      <c r="I15917" s="3030"/>
    </row>
    <row r="15918" spans="2:9" ht="25.5">
      <c r="B15918" s="3299" t="s">
        <v>682</v>
      </c>
      <c r="C15918" s="3063"/>
      <c r="D15918" s="3064"/>
      <c r="E15918" s="3064"/>
      <c r="F15918" s="3064"/>
      <c r="G15918" s="3300" t="s">
        <v>682</v>
      </c>
      <c r="H15918" s="3063"/>
      <c r="I15918" s="3030"/>
    </row>
    <row r="15919" spans="2:9" ht="25.5">
      <c r="B15919" s="3192" t="s">
        <v>675</v>
      </c>
      <c r="C15919" s="3063"/>
      <c r="D15919" s="3064"/>
      <c r="E15919" s="3064"/>
      <c r="F15919" s="3064"/>
      <c r="G15919" s="3301" t="s">
        <v>675</v>
      </c>
      <c r="H15919" s="3063"/>
      <c r="I15919" s="3030"/>
    </row>
    <row r="15920" spans="2:9" ht="25.5">
      <c r="B15920" s="3192" t="s">
        <v>676</v>
      </c>
      <c r="C15920" s="3063"/>
      <c r="D15920" s="3064"/>
      <c r="E15920" s="3064"/>
      <c r="F15920" s="3064"/>
      <c r="G15920" s="3301" t="s">
        <v>676</v>
      </c>
      <c r="H15920" s="3063"/>
      <c r="I15920" s="3030"/>
    </row>
    <row r="15921" spans="2:9">
      <c r="B15921" s="3192" t="s">
        <v>677</v>
      </c>
      <c r="C15921" s="3063"/>
      <c r="D15921" s="3064"/>
      <c r="E15921" s="3064"/>
      <c r="F15921" s="3064"/>
      <c r="G15921" s="3301" t="s">
        <v>677</v>
      </c>
      <c r="H15921" s="3063"/>
      <c r="I15921" s="3030"/>
    </row>
    <row r="15922" spans="2:9">
      <c r="B15922" s="3192" t="s">
        <v>678</v>
      </c>
      <c r="C15922" s="3063"/>
      <c r="D15922" s="3064"/>
      <c r="E15922" s="3064"/>
      <c r="F15922" s="3064"/>
      <c r="G15922" s="3301" t="s">
        <v>678</v>
      </c>
      <c r="H15922" s="3063"/>
      <c r="I15922" s="3030"/>
    </row>
    <row r="15923" spans="2:9">
      <c r="B15923" s="3192" t="s">
        <v>679</v>
      </c>
      <c r="C15923" s="3063"/>
      <c r="D15923" s="3064"/>
      <c r="E15923" s="3064"/>
      <c r="F15923" s="3064"/>
      <c r="G15923" s="3301" t="s">
        <v>679</v>
      </c>
      <c r="H15923" s="3063"/>
      <c r="I15923" s="3030"/>
    </row>
    <row r="15924" spans="2:9" ht="25.5">
      <c r="B15924" s="3192" t="s">
        <v>720</v>
      </c>
      <c r="C15924" s="3063"/>
      <c r="D15924" s="3064"/>
      <c r="E15924" s="3064"/>
      <c r="F15924" s="3064"/>
      <c r="G15924" s="3301" t="s">
        <v>720</v>
      </c>
      <c r="H15924" s="3063"/>
      <c r="I15924" s="3030"/>
    </row>
    <row r="15925" spans="2:9" ht="25.5">
      <c r="B15925" s="3299" t="s">
        <v>66</v>
      </c>
      <c r="C15925" s="3063"/>
      <c r="D15925" s="3064"/>
      <c r="E15925" s="3064"/>
      <c r="F15925" s="3064"/>
      <c r="G15925" s="3300" t="s">
        <v>66</v>
      </c>
      <c r="H15925" s="3063"/>
      <c r="I15925" s="3030"/>
    </row>
    <row r="15926" spans="2:9" ht="25.5">
      <c r="B15926" s="3192" t="s">
        <v>675</v>
      </c>
      <c r="C15926" s="3063"/>
      <c r="D15926" s="3064"/>
      <c r="E15926" s="3064"/>
      <c r="F15926" s="3064"/>
      <c r="G15926" s="3301" t="s">
        <v>675</v>
      </c>
      <c r="H15926" s="3063"/>
      <c r="I15926" s="3030"/>
    </row>
    <row r="15927" spans="2:9" ht="25.5">
      <c r="B15927" s="3192" t="s">
        <v>676</v>
      </c>
      <c r="C15927" s="3063"/>
      <c r="D15927" s="3064"/>
      <c r="E15927" s="3064"/>
      <c r="F15927" s="3064"/>
      <c r="G15927" s="3301" t="s">
        <v>676</v>
      </c>
      <c r="H15927" s="3063"/>
      <c r="I15927" s="3030"/>
    </row>
    <row r="15928" spans="2:9">
      <c r="B15928" s="3192" t="s">
        <v>677</v>
      </c>
      <c r="C15928" s="3063"/>
      <c r="D15928" s="3064"/>
      <c r="E15928" s="3064"/>
      <c r="F15928" s="3064"/>
      <c r="G15928" s="3301" t="s">
        <v>677</v>
      </c>
      <c r="H15928" s="3063"/>
      <c r="I15928" s="3030"/>
    </row>
    <row r="15929" spans="2:9">
      <c r="B15929" s="3192" t="s">
        <v>678</v>
      </c>
      <c r="C15929" s="3063"/>
      <c r="D15929" s="3064"/>
      <c r="E15929" s="3064"/>
      <c r="F15929" s="3064"/>
      <c r="G15929" s="3301" t="s">
        <v>678</v>
      </c>
      <c r="H15929" s="3063"/>
      <c r="I15929" s="3030"/>
    </row>
    <row r="15930" spans="2:9">
      <c r="B15930" s="3192" t="s">
        <v>679</v>
      </c>
      <c r="C15930" s="3063"/>
      <c r="D15930" s="3064"/>
      <c r="E15930" s="3064"/>
      <c r="F15930" s="3064"/>
      <c r="G15930" s="3301" t="s">
        <v>679</v>
      </c>
      <c r="H15930" s="3063"/>
      <c r="I15930" s="3030"/>
    </row>
    <row r="15931" spans="2:9" ht="25.5">
      <c r="B15931" s="3192" t="s">
        <v>720</v>
      </c>
      <c r="C15931" s="3063"/>
      <c r="D15931" s="3064"/>
      <c r="E15931" s="3064"/>
      <c r="F15931" s="3064"/>
      <c r="G15931" s="3301" t="s">
        <v>720</v>
      </c>
      <c r="H15931" s="3063"/>
      <c r="I15931" s="3030"/>
    </row>
    <row r="15932" spans="2:9">
      <c r="B15932" s="3299" t="s">
        <v>67</v>
      </c>
      <c r="C15932" s="3063"/>
      <c r="D15932" s="3064"/>
      <c r="E15932" s="3064"/>
      <c r="F15932" s="3064"/>
      <c r="G15932" s="3300" t="s">
        <v>67</v>
      </c>
      <c r="H15932" s="3063"/>
      <c r="I15932" s="3030"/>
    </row>
    <row r="15933" spans="2:9" ht="25.5">
      <c r="B15933" s="3192" t="s">
        <v>675</v>
      </c>
      <c r="C15933" s="3063"/>
      <c r="D15933" s="3064"/>
      <c r="E15933" s="3064"/>
      <c r="F15933" s="3064"/>
      <c r="G15933" s="3301" t="s">
        <v>675</v>
      </c>
      <c r="H15933" s="3063"/>
      <c r="I15933" s="3030"/>
    </row>
    <row r="15934" spans="2:9" ht="25.5">
      <c r="B15934" s="3192" t="s">
        <v>676</v>
      </c>
      <c r="C15934" s="3063"/>
      <c r="D15934" s="3064"/>
      <c r="E15934" s="3064"/>
      <c r="F15934" s="3064"/>
      <c r="G15934" s="3301" t="s">
        <v>676</v>
      </c>
      <c r="H15934" s="3063"/>
      <c r="I15934" s="3030"/>
    </row>
    <row r="15935" spans="2:9">
      <c r="B15935" s="3192" t="s">
        <v>677</v>
      </c>
      <c r="C15935" s="3063"/>
      <c r="D15935" s="3064"/>
      <c r="E15935" s="3064"/>
      <c r="F15935" s="3064"/>
      <c r="G15935" s="3301" t="s">
        <v>677</v>
      </c>
      <c r="H15935" s="3063"/>
      <c r="I15935" s="3030"/>
    </row>
    <row r="15936" spans="2:9">
      <c r="B15936" s="3192" t="s">
        <v>678</v>
      </c>
      <c r="C15936" s="3063"/>
      <c r="D15936" s="3064"/>
      <c r="E15936" s="3064"/>
      <c r="F15936" s="3064"/>
      <c r="G15936" s="3301" t="s">
        <v>678</v>
      </c>
      <c r="H15936" s="3063"/>
      <c r="I15936" s="3030"/>
    </row>
    <row r="15937" spans="2:9">
      <c r="B15937" s="3192" t="s">
        <v>679</v>
      </c>
      <c r="C15937" s="3063"/>
      <c r="D15937" s="3064"/>
      <c r="E15937" s="3064"/>
      <c r="F15937" s="3064"/>
      <c r="G15937" s="3301" t="s">
        <v>679</v>
      </c>
      <c r="H15937" s="3063"/>
      <c r="I15937" s="3030"/>
    </row>
    <row r="15938" spans="2:9" ht="25.5">
      <c r="B15938" s="3230" t="s">
        <v>81</v>
      </c>
      <c r="C15938" s="3063"/>
      <c r="D15938" s="3064"/>
      <c r="E15938" s="3064"/>
      <c r="F15938" s="3064"/>
      <c r="G15938" s="3302" t="s">
        <v>81</v>
      </c>
      <c r="H15938" s="3063"/>
      <c r="I15938" s="3030"/>
    </row>
    <row r="15939" spans="2:9" ht="26.25" thickBot="1">
      <c r="B15939" s="3303" t="s">
        <v>81</v>
      </c>
      <c r="C15939" s="3068"/>
      <c r="D15939" s="3069"/>
      <c r="E15939" s="3069"/>
      <c r="F15939" s="3069"/>
      <c r="G15939" s="3304" t="s">
        <v>81</v>
      </c>
      <c r="H15939" s="3068"/>
      <c r="I15939" s="3070"/>
    </row>
    <row r="15940" spans="2:9" ht="38.25">
      <c r="B15940" s="4723">
        <v>3460</v>
      </c>
      <c r="C15940" s="3289"/>
      <c r="D15940" s="3290"/>
      <c r="E15940" s="3290"/>
      <c r="F15940" s="3290"/>
      <c r="G15940" s="4723">
        <v>3460</v>
      </c>
      <c r="H15940" s="3291" t="s">
        <v>687</v>
      </c>
      <c r="I15940" s="3292" t="s">
        <v>688</v>
      </c>
    </row>
    <row r="15941" spans="2:9">
      <c r="B15941" s="4724"/>
      <c r="C15941" s="4678" t="s">
        <v>686</v>
      </c>
      <c r="D15941" s="4725"/>
      <c r="E15941" s="4725"/>
      <c r="F15941" s="4726"/>
      <c r="G15941" s="4724"/>
      <c r="H15941" s="3293"/>
      <c r="I15941" s="3294"/>
    </row>
    <row r="15942" spans="2:9" ht="13.5" thickBot="1">
      <c r="B15942" s="4724"/>
      <c r="C15942" s="3215">
        <v>2013</v>
      </c>
      <c r="D15942" s="3215">
        <v>2014</v>
      </c>
      <c r="E15942" s="3215">
        <v>2015</v>
      </c>
      <c r="F15942" s="3215">
        <v>2016</v>
      </c>
      <c r="G15942" s="4724"/>
      <c r="H15942" s="3295" t="s">
        <v>390</v>
      </c>
      <c r="I15942" s="3296" t="s">
        <v>390</v>
      </c>
    </row>
    <row r="15943" spans="2:9">
      <c r="B15943" s="3217" t="s">
        <v>695</v>
      </c>
      <c r="C15943" s="3218"/>
      <c r="D15943" s="3219"/>
      <c r="E15943" s="3219"/>
      <c r="F15943" s="3219"/>
      <c r="G15943" s="3217" t="s">
        <v>695</v>
      </c>
      <c r="H15943" s="3297"/>
      <c r="I15943" s="3298"/>
    </row>
    <row r="15944" spans="2:9">
      <c r="B15944" s="3299" t="s">
        <v>64</v>
      </c>
      <c r="C15944" s="3063"/>
      <c r="D15944" s="3064"/>
      <c r="E15944" s="3064"/>
      <c r="F15944" s="3064"/>
      <c r="G15944" s="3300" t="s">
        <v>64</v>
      </c>
      <c r="H15944" s="3063"/>
      <c r="I15944" s="3030"/>
    </row>
    <row r="15945" spans="2:9" ht="25.5">
      <c r="B15945" s="3192" t="s">
        <v>675</v>
      </c>
      <c r="C15945" s="3063"/>
      <c r="D15945" s="3064"/>
      <c r="E15945" s="3064"/>
      <c r="F15945" s="3064"/>
      <c r="G15945" s="3301" t="s">
        <v>675</v>
      </c>
      <c r="H15945" s="3063"/>
      <c r="I15945" s="3030"/>
    </row>
    <row r="15946" spans="2:9" ht="25.5">
      <c r="B15946" s="3192" t="s">
        <v>676</v>
      </c>
      <c r="C15946" s="3063"/>
      <c r="D15946" s="3064"/>
      <c r="E15946" s="3064"/>
      <c r="F15946" s="3064"/>
      <c r="G15946" s="3301" t="s">
        <v>676</v>
      </c>
      <c r="H15946" s="3063"/>
      <c r="I15946" s="3030"/>
    </row>
    <row r="15947" spans="2:9">
      <c r="B15947" s="3192" t="s">
        <v>677</v>
      </c>
      <c r="C15947" s="3063"/>
      <c r="D15947" s="3064"/>
      <c r="E15947" s="3064"/>
      <c r="F15947" s="3064"/>
      <c r="G15947" s="3301" t="s">
        <v>677</v>
      </c>
      <c r="H15947" s="3063"/>
      <c r="I15947" s="3030"/>
    </row>
    <row r="15948" spans="2:9">
      <c r="B15948" s="3192" t="s">
        <v>678</v>
      </c>
      <c r="C15948" s="3063"/>
      <c r="D15948" s="3064"/>
      <c r="E15948" s="3064"/>
      <c r="F15948" s="3064"/>
      <c r="G15948" s="3301" t="s">
        <v>678</v>
      </c>
      <c r="H15948" s="3063"/>
      <c r="I15948" s="3030"/>
    </row>
    <row r="15949" spans="2:9">
      <c r="B15949" s="3192" t="s">
        <v>679</v>
      </c>
      <c r="C15949" s="3063"/>
      <c r="D15949" s="3064"/>
      <c r="E15949" s="3064"/>
      <c r="F15949" s="3064"/>
      <c r="G15949" s="3301" t="s">
        <v>679</v>
      </c>
      <c r="H15949" s="3063"/>
      <c r="I15949" s="3030"/>
    </row>
    <row r="15950" spans="2:9" ht="25.5">
      <c r="B15950" s="3192" t="s">
        <v>720</v>
      </c>
      <c r="C15950" s="3063"/>
      <c r="D15950" s="3064"/>
      <c r="E15950" s="3064"/>
      <c r="F15950" s="3064"/>
      <c r="G15950" s="3301" t="s">
        <v>720</v>
      </c>
      <c r="H15950" s="3063"/>
      <c r="I15950" s="3030"/>
    </row>
    <row r="15951" spans="2:9">
      <c r="B15951" s="3299" t="s">
        <v>65</v>
      </c>
      <c r="C15951" s="3063"/>
      <c r="D15951" s="3064"/>
      <c r="E15951" s="3064"/>
      <c r="F15951" s="3064"/>
      <c r="G15951" s="3300" t="s">
        <v>65</v>
      </c>
      <c r="H15951" s="3063"/>
      <c r="I15951" s="3030"/>
    </row>
    <row r="15952" spans="2:9" ht="25.5">
      <c r="B15952" s="3192" t="s">
        <v>675</v>
      </c>
      <c r="C15952" s="3063"/>
      <c r="D15952" s="3064"/>
      <c r="E15952" s="3064"/>
      <c r="F15952" s="3064"/>
      <c r="G15952" s="3301" t="s">
        <v>675</v>
      </c>
      <c r="H15952" s="3063"/>
      <c r="I15952" s="3030"/>
    </row>
    <row r="15953" spans="2:9" ht="25.5">
      <c r="B15953" s="3192" t="s">
        <v>676</v>
      </c>
      <c r="C15953" s="3063"/>
      <c r="D15953" s="3064"/>
      <c r="E15953" s="3064"/>
      <c r="F15953" s="3064"/>
      <c r="G15953" s="3301" t="s">
        <v>676</v>
      </c>
      <c r="H15953" s="3063"/>
      <c r="I15953" s="3030"/>
    </row>
    <row r="15954" spans="2:9">
      <c r="B15954" s="3192" t="s">
        <v>677</v>
      </c>
      <c r="C15954" s="3063"/>
      <c r="D15954" s="3064"/>
      <c r="E15954" s="3064"/>
      <c r="F15954" s="3064"/>
      <c r="G15954" s="3301" t="s">
        <v>677</v>
      </c>
      <c r="H15954" s="3063"/>
      <c r="I15954" s="3030"/>
    </row>
    <row r="15955" spans="2:9">
      <c r="B15955" s="3192" t="s">
        <v>678</v>
      </c>
      <c r="C15955" s="3063"/>
      <c r="D15955" s="3064"/>
      <c r="E15955" s="3064"/>
      <c r="F15955" s="3064"/>
      <c r="G15955" s="3301" t="s">
        <v>678</v>
      </c>
      <c r="H15955" s="3063"/>
      <c r="I15955" s="3030"/>
    </row>
    <row r="15956" spans="2:9">
      <c r="B15956" s="3192" t="s">
        <v>679</v>
      </c>
      <c r="C15956" s="3063"/>
      <c r="D15956" s="3064"/>
      <c r="E15956" s="3064"/>
      <c r="F15956" s="3064"/>
      <c r="G15956" s="3301" t="s">
        <v>679</v>
      </c>
      <c r="H15956" s="3063"/>
      <c r="I15956" s="3030"/>
    </row>
    <row r="15957" spans="2:9" ht="25.5">
      <c r="B15957" s="3192" t="s">
        <v>720</v>
      </c>
      <c r="C15957" s="3063"/>
      <c r="D15957" s="3064"/>
      <c r="E15957" s="3064"/>
      <c r="F15957" s="3064"/>
      <c r="G15957" s="3301" t="s">
        <v>720</v>
      </c>
      <c r="H15957" s="3063"/>
      <c r="I15957" s="3030"/>
    </row>
    <row r="15958" spans="2:9">
      <c r="B15958" s="3299" t="s">
        <v>82</v>
      </c>
      <c r="C15958" s="3063"/>
      <c r="D15958" s="3064"/>
      <c r="E15958" s="3064"/>
      <c r="F15958" s="3064"/>
      <c r="G15958" s="3300" t="s">
        <v>82</v>
      </c>
      <c r="H15958" s="3063"/>
      <c r="I15958" s="3030"/>
    </row>
    <row r="15959" spans="2:9" ht="25.5">
      <c r="B15959" s="3192" t="s">
        <v>675</v>
      </c>
      <c r="C15959" s="3063"/>
      <c r="D15959" s="3064"/>
      <c r="E15959" s="3064"/>
      <c r="F15959" s="3064"/>
      <c r="G15959" s="3301" t="s">
        <v>675</v>
      </c>
      <c r="H15959" s="3063"/>
      <c r="I15959" s="3030"/>
    </row>
    <row r="15960" spans="2:9" ht="25.5">
      <c r="B15960" s="3192" t="s">
        <v>676</v>
      </c>
      <c r="C15960" s="3063"/>
      <c r="D15960" s="3064"/>
      <c r="E15960" s="3064"/>
      <c r="F15960" s="3064"/>
      <c r="G15960" s="3301" t="s">
        <v>676</v>
      </c>
      <c r="H15960" s="3063"/>
      <c r="I15960" s="3030"/>
    </row>
    <row r="15961" spans="2:9">
      <c r="B15961" s="3192" t="s">
        <v>677</v>
      </c>
      <c r="C15961" s="3063"/>
      <c r="D15961" s="3064"/>
      <c r="E15961" s="3064"/>
      <c r="F15961" s="3064"/>
      <c r="G15961" s="3301" t="s">
        <v>677</v>
      </c>
      <c r="H15961" s="3063"/>
      <c r="I15961" s="3030"/>
    </row>
    <row r="15962" spans="2:9">
      <c r="B15962" s="3192" t="s">
        <v>678</v>
      </c>
      <c r="C15962" s="3063"/>
      <c r="D15962" s="3064"/>
      <c r="E15962" s="3064"/>
      <c r="F15962" s="3064"/>
      <c r="G15962" s="3301" t="s">
        <v>678</v>
      </c>
      <c r="H15962" s="3063"/>
      <c r="I15962" s="3030"/>
    </row>
    <row r="15963" spans="2:9">
      <c r="B15963" s="3192" t="s">
        <v>679</v>
      </c>
      <c r="C15963" s="3063"/>
      <c r="D15963" s="3064"/>
      <c r="E15963" s="3064"/>
      <c r="F15963" s="3064"/>
      <c r="G15963" s="3301" t="s">
        <v>679</v>
      </c>
      <c r="H15963" s="3063"/>
      <c r="I15963" s="3030"/>
    </row>
    <row r="15964" spans="2:9" ht="25.5">
      <c r="B15964" s="3192" t="s">
        <v>720</v>
      </c>
      <c r="C15964" s="3063"/>
      <c r="D15964" s="3064"/>
      <c r="E15964" s="3064"/>
      <c r="F15964" s="3064"/>
      <c r="G15964" s="3301" t="s">
        <v>720</v>
      </c>
      <c r="H15964" s="3063"/>
      <c r="I15964" s="3030"/>
    </row>
    <row r="15965" spans="2:9" ht="38.25">
      <c r="B15965" s="3299" t="s">
        <v>680</v>
      </c>
      <c r="C15965" s="3063"/>
      <c r="D15965" s="3064"/>
      <c r="E15965" s="3064"/>
      <c r="F15965" s="3064"/>
      <c r="G15965" s="3300" t="s">
        <v>680</v>
      </c>
      <c r="H15965" s="3063"/>
      <c r="I15965" s="3030"/>
    </row>
    <row r="15966" spans="2:9" ht="25.5">
      <c r="B15966" s="3192" t="s">
        <v>675</v>
      </c>
      <c r="C15966" s="3063"/>
      <c r="D15966" s="3064"/>
      <c r="E15966" s="3064"/>
      <c r="F15966" s="3064"/>
      <c r="G15966" s="3301" t="s">
        <v>675</v>
      </c>
      <c r="H15966" s="3063"/>
      <c r="I15966" s="3030"/>
    </row>
    <row r="15967" spans="2:9" ht="25.5">
      <c r="B15967" s="3192" t="s">
        <v>676</v>
      </c>
      <c r="C15967" s="3063"/>
      <c r="D15967" s="3064"/>
      <c r="E15967" s="3064"/>
      <c r="F15967" s="3064"/>
      <c r="G15967" s="3301" t="s">
        <v>676</v>
      </c>
      <c r="H15967" s="3063"/>
      <c r="I15967" s="3030"/>
    </row>
    <row r="15968" spans="2:9">
      <c r="B15968" s="3192" t="s">
        <v>677</v>
      </c>
      <c r="C15968" s="3063"/>
      <c r="D15968" s="3064"/>
      <c r="E15968" s="3064"/>
      <c r="F15968" s="3064"/>
      <c r="G15968" s="3301" t="s">
        <v>677</v>
      </c>
      <c r="H15968" s="3063"/>
      <c r="I15968" s="3030"/>
    </row>
    <row r="15969" spans="2:9">
      <c r="B15969" s="3192" t="s">
        <v>678</v>
      </c>
      <c r="C15969" s="3063"/>
      <c r="D15969" s="3064"/>
      <c r="E15969" s="3064"/>
      <c r="F15969" s="3064"/>
      <c r="G15969" s="3301" t="s">
        <v>678</v>
      </c>
      <c r="H15969" s="3063"/>
      <c r="I15969" s="3030"/>
    </row>
    <row r="15970" spans="2:9">
      <c r="B15970" s="3192" t="s">
        <v>679</v>
      </c>
      <c r="C15970" s="3063"/>
      <c r="D15970" s="3064"/>
      <c r="E15970" s="3064"/>
      <c r="F15970" s="3064"/>
      <c r="G15970" s="3301" t="s">
        <v>679</v>
      </c>
      <c r="H15970" s="3063"/>
      <c r="I15970" s="3030"/>
    </row>
    <row r="15971" spans="2:9" ht="25.5">
      <c r="B15971" s="3192" t="s">
        <v>720</v>
      </c>
      <c r="C15971" s="3063"/>
      <c r="D15971" s="3064"/>
      <c r="E15971" s="3064"/>
      <c r="F15971" s="3064"/>
      <c r="G15971" s="3301" t="s">
        <v>720</v>
      </c>
      <c r="H15971" s="3063"/>
      <c r="I15971" s="3030"/>
    </row>
    <row r="15972" spans="2:9" ht="38.25">
      <c r="B15972" s="3299" t="s">
        <v>681</v>
      </c>
      <c r="C15972" s="3063"/>
      <c r="D15972" s="3064"/>
      <c r="E15972" s="3064"/>
      <c r="F15972" s="3064"/>
      <c r="G15972" s="3300" t="s">
        <v>681</v>
      </c>
      <c r="H15972" s="3063"/>
      <c r="I15972" s="3030"/>
    </row>
    <row r="15973" spans="2:9" ht="25.5">
      <c r="B15973" s="3192" t="s">
        <v>675</v>
      </c>
      <c r="C15973" s="3063"/>
      <c r="D15973" s="3064"/>
      <c r="E15973" s="3064"/>
      <c r="F15973" s="3064"/>
      <c r="G15973" s="3301" t="s">
        <v>675</v>
      </c>
      <c r="H15973" s="3063"/>
      <c r="I15973" s="3030"/>
    </row>
    <row r="15974" spans="2:9" ht="25.5">
      <c r="B15974" s="3192" t="s">
        <v>676</v>
      </c>
      <c r="C15974" s="3063"/>
      <c r="D15974" s="3064"/>
      <c r="E15974" s="3064"/>
      <c r="F15974" s="3064"/>
      <c r="G15974" s="3301" t="s">
        <v>676</v>
      </c>
      <c r="H15974" s="3063"/>
      <c r="I15974" s="3030"/>
    </row>
    <row r="15975" spans="2:9">
      <c r="B15975" s="3192" t="s">
        <v>677</v>
      </c>
      <c r="C15975" s="3063"/>
      <c r="D15975" s="3064"/>
      <c r="E15975" s="3064"/>
      <c r="F15975" s="3064"/>
      <c r="G15975" s="3301" t="s">
        <v>677</v>
      </c>
      <c r="H15975" s="3063"/>
      <c r="I15975" s="3030"/>
    </row>
    <row r="15976" spans="2:9">
      <c r="B15976" s="3192" t="s">
        <v>678</v>
      </c>
      <c r="C15976" s="3063"/>
      <c r="D15976" s="3064"/>
      <c r="E15976" s="3064"/>
      <c r="F15976" s="3064"/>
      <c r="G15976" s="3301" t="s">
        <v>678</v>
      </c>
      <c r="H15976" s="3063"/>
      <c r="I15976" s="3030"/>
    </row>
    <row r="15977" spans="2:9">
      <c r="B15977" s="3192" t="s">
        <v>679</v>
      </c>
      <c r="C15977" s="3063"/>
      <c r="D15977" s="3064"/>
      <c r="E15977" s="3064"/>
      <c r="F15977" s="3064"/>
      <c r="G15977" s="3301" t="s">
        <v>679</v>
      </c>
      <c r="H15977" s="3063"/>
      <c r="I15977" s="3030"/>
    </row>
    <row r="15978" spans="2:9" ht="25.5">
      <c r="B15978" s="3192" t="s">
        <v>720</v>
      </c>
      <c r="C15978" s="3063"/>
      <c r="D15978" s="3064"/>
      <c r="E15978" s="3064"/>
      <c r="F15978" s="3064"/>
      <c r="G15978" s="3301" t="s">
        <v>720</v>
      </c>
      <c r="H15978" s="3063"/>
      <c r="I15978" s="3030"/>
    </row>
    <row r="15979" spans="2:9" ht="25.5">
      <c r="B15979" s="3299" t="s">
        <v>682</v>
      </c>
      <c r="C15979" s="3063"/>
      <c r="D15979" s="3064"/>
      <c r="E15979" s="3064"/>
      <c r="F15979" s="3064"/>
      <c r="G15979" s="3300" t="s">
        <v>682</v>
      </c>
      <c r="H15979" s="3063"/>
      <c r="I15979" s="3030"/>
    </row>
    <row r="15980" spans="2:9" ht="25.5">
      <c r="B15980" s="3192" t="s">
        <v>675</v>
      </c>
      <c r="C15980" s="3063"/>
      <c r="D15980" s="3064"/>
      <c r="E15980" s="3064"/>
      <c r="F15980" s="3064"/>
      <c r="G15980" s="3301" t="s">
        <v>675</v>
      </c>
      <c r="H15980" s="3063"/>
      <c r="I15980" s="3030"/>
    </row>
    <row r="15981" spans="2:9" ht="25.5">
      <c r="B15981" s="3192" t="s">
        <v>676</v>
      </c>
      <c r="C15981" s="3063"/>
      <c r="D15981" s="3064"/>
      <c r="E15981" s="3064"/>
      <c r="F15981" s="3064"/>
      <c r="G15981" s="3301" t="s">
        <v>676</v>
      </c>
      <c r="H15981" s="3063"/>
      <c r="I15981" s="3030"/>
    </row>
    <row r="15982" spans="2:9">
      <c r="B15982" s="3192" t="s">
        <v>677</v>
      </c>
      <c r="C15982" s="3063"/>
      <c r="D15982" s="3064"/>
      <c r="E15982" s="3064"/>
      <c r="F15982" s="3064"/>
      <c r="G15982" s="3301" t="s">
        <v>677</v>
      </c>
      <c r="H15982" s="3063"/>
      <c r="I15982" s="3030"/>
    </row>
    <row r="15983" spans="2:9">
      <c r="B15983" s="3192" t="s">
        <v>678</v>
      </c>
      <c r="C15983" s="3063"/>
      <c r="D15983" s="3064"/>
      <c r="E15983" s="3064"/>
      <c r="F15983" s="3064"/>
      <c r="G15983" s="3301" t="s">
        <v>678</v>
      </c>
      <c r="H15983" s="3063"/>
      <c r="I15983" s="3030"/>
    </row>
    <row r="15984" spans="2:9">
      <c r="B15984" s="3192" t="s">
        <v>679</v>
      </c>
      <c r="C15984" s="3063"/>
      <c r="D15984" s="3064"/>
      <c r="E15984" s="3064"/>
      <c r="F15984" s="3064"/>
      <c r="G15984" s="3301" t="s">
        <v>679</v>
      </c>
      <c r="H15984" s="3063"/>
      <c r="I15984" s="3030"/>
    </row>
    <row r="15985" spans="2:9" ht="25.5">
      <c r="B15985" s="3192" t="s">
        <v>720</v>
      </c>
      <c r="C15985" s="3063"/>
      <c r="D15985" s="3064"/>
      <c r="E15985" s="3064"/>
      <c r="F15985" s="3064"/>
      <c r="G15985" s="3301" t="s">
        <v>720</v>
      </c>
      <c r="H15985" s="3063"/>
      <c r="I15985" s="3030"/>
    </row>
    <row r="15986" spans="2:9" ht="25.5">
      <c r="B15986" s="3299" t="s">
        <v>66</v>
      </c>
      <c r="C15986" s="3063"/>
      <c r="D15986" s="3064"/>
      <c r="E15986" s="3064"/>
      <c r="F15986" s="3064"/>
      <c r="G15986" s="3300" t="s">
        <v>66</v>
      </c>
      <c r="H15986" s="3063"/>
      <c r="I15986" s="3030"/>
    </row>
    <row r="15987" spans="2:9" ht="25.5">
      <c r="B15987" s="3192" t="s">
        <v>675</v>
      </c>
      <c r="C15987" s="3063"/>
      <c r="D15987" s="3064"/>
      <c r="E15987" s="3064"/>
      <c r="F15987" s="3064"/>
      <c r="G15987" s="3301" t="s">
        <v>675</v>
      </c>
      <c r="H15987" s="3063"/>
      <c r="I15987" s="3030"/>
    </row>
    <row r="15988" spans="2:9" ht="25.5">
      <c r="B15988" s="3192" t="s">
        <v>676</v>
      </c>
      <c r="C15988" s="3063"/>
      <c r="D15988" s="3064"/>
      <c r="E15988" s="3064"/>
      <c r="F15988" s="3064"/>
      <c r="G15988" s="3301" t="s">
        <v>676</v>
      </c>
      <c r="H15988" s="3063"/>
      <c r="I15988" s="3030"/>
    </row>
    <row r="15989" spans="2:9">
      <c r="B15989" s="3192" t="s">
        <v>677</v>
      </c>
      <c r="C15989" s="3063"/>
      <c r="D15989" s="3064"/>
      <c r="E15989" s="3064"/>
      <c r="F15989" s="3064"/>
      <c r="G15989" s="3301" t="s">
        <v>677</v>
      </c>
      <c r="H15989" s="3063"/>
      <c r="I15989" s="3030"/>
    </row>
    <row r="15990" spans="2:9">
      <c r="B15990" s="3192" t="s">
        <v>678</v>
      </c>
      <c r="C15990" s="3063"/>
      <c r="D15990" s="3064"/>
      <c r="E15990" s="3064"/>
      <c r="F15990" s="3064"/>
      <c r="G15990" s="3301" t="s">
        <v>678</v>
      </c>
      <c r="H15990" s="3063"/>
      <c r="I15990" s="3030"/>
    </row>
    <row r="15991" spans="2:9">
      <c r="B15991" s="3192" t="s">
        <v>679</v>
      </c>
      <c r="C15991" s="3063"/>
      <c r="D15991" s="3064"/>
      <c r="E15991" s="3064"/>
      <c r="F15991" s="3064"/>
      <c r="G15991" s="3301" t="s">
        <v>679</v>
      </c>
      <c r="H15991" s="3063"/>
      <c r="I15991" s="3030"/>
    </row>
    <row r="15992" spans="2:9" ht="25.5">
      <c r="B15992" s="3192" t="s">
        <v>720</v>
      </c>
      <c r="C15992" s="3063"/>
      <c r="D15992" s="3064"/>
      <c r="E15992" s="3064"/>
      <c r="F15992" s="3064"/>
      <c r="G15992" s="3301" t="s">
        <v>720</v>
      </c>
      <c r="H15992" s="3063"/>
      <c r="I15992" s="3030"/>
    </row>
    <row r="15993" spans="2:9">
      <c r="B15993" s="3299" t="s">
        <v>67</v>
      </c>
      <c r="C15993" s="3063"/>
      <c r="D15993" s="3064"/>
      <c r="E15993" s="3064"/>
      <c r="F15993" s="3064"/>
      <c r="G15993" s="3300" t="s">
        <v>67</v>
      </c>
      <c r="H15993" s="3063"/>
      <c r="I15993" s="3030"/>
    </row>
    <row r="15994" spans="2:9" ht="25.5">
      <c r="B15994" s="3192" t="s">
        <v>675</v>
      </c>
      <c r="C15994" s="3063"/>
      <c r="D15994" s="3064"/>
      <c r="E15994" s="3064"/>
      <c r="F15994" s="3064"/>
      <c r="G15994" s="3301" t="s">
        <v>675</v>
      </c>
      <c r="H15994" s="3063"/>
      <c r="I15994" s="3030"/>
    </row>
    <row r="15995" spans="2:9" ht="25.5">
      <c r="B15995" s="3192" t="s">
        <v>676</v>
      </c>
      <c r="C15995" s="3063"/>
      <c r="D15995" s="3064"/>
      <c r="E15995" s="3064"/>
      <c r="F15995" s="3064"/>
      <c r="G15995" s="3301" t="s">
        <v>676</v>
      </c>
      <c r="H15995" s="3063"/>
      <c r="I15995" s="3030"/>
    </row>
    <row r="15996" spans="2:9">
      <c r="B15996" s="3192" t="s">
        <v>677</v>
      </c>
      <c r="C15996" s="3063"/>
      <c r="D15996" s="3064"/>
      <c r="E15996" s="3064"/>
      <c r="F15996" s="3064"/>
      <c r="G15996" s="3301" t="s">
        <v>677</v>
      </c>
      <c r="H15996" s="3063"/>
      <c r="I15996" s="3030"/>
    </row>
    <row r="15997" spans="2:9">
      <c r="B15997" s="3192" t="s">
        <v>678</v>
      </c>
      <c r="C15997" s="3063"/>
      <c r="D15997" s="3064"/>
      <c r="E15997" s="3064"/>
      <c r="F15997" s="3064"/>
      <c r="G15997" s="3301" t="s">
        <v>678</v>
      </c>
      <c r="H15997" s="3063"/>
      <c r="I15997" s="3030"/>
    </row>
    <row r="15998" spans="2:9">
      <c r="B15998" s="3192" t="s">
        <v>679</v>
      </c>
      <c r="C15998" s="3063"/>
      <c r="D15998" s="3064"/>
      <c r="E15998" s="3064"/>
      <c r="F15998" s="3064"/>
      <c r="G15998" s="3301" t="s">
        <v>679</v>
      </c>
      <c r="H15998" s="3063"/>
      <c r="I15998" s="3030"/>
    </row>
    <row r="15999" spans="2:9" ht="25.5">
      <c r="B15999" s="3192" t="s">
        <v>720</v>
      </c>
      <c r="C15999" s="3063"/>
      <c r="D15999" s="3064"/>
      <c r="E15999" s="3064"/>
      <c r="F15999" s="3064"/>
      <c r="G15999" s="3301" t="s">
        <v>720</v>
      </c>
      <c r="H15999" s="3063"/>
      <c r="I15999" s="3030"/>
    </row>
    <row r="16000" spans="2:9" ht="25.5">
      <c r="B16000" s="3230" t="s">
        <v>81</v>
      </c>
      <c r="C16000" s="3063"/>
      <c r="D16000" s="3064"/>
      <c r="E16000" s="3064"/>
      <c r="F16000" s="3064"/>
      <c r="G16000" s="3302" t="s">
        <v>81</v>
      </c>
      <c r="H16000" s="3063"/>
      <c r="I16000" s="3030"/>
    </row>
    <row r="16001" spans="2:9" ht="26.25" thickBot="1">
      <c r="B16001" s="3303" t="s">
        <v>81</v>
      </c>
      <c r="C16001" s="3063"/>
      <c r="D16001" s="3064"/>
      <c r="E16001" s="3064"/>
      <c r="F16001" s="3064"/>
      <c r="G16001" s="3302" t="s">
        <v>81</v>
      </c>
      <c r="H16001" s="3063"/>
      <c r="I16001" s="3030"/>
    </row>
    <row r="16002" spans="2:9" ht="25.5">
      <c r="B16002" s="3217" t="s">
        <v>696</v>
      </c>
      <c r="C16002" s="3218"/>
      <c r="D16002" s="3219"/>
      <c r="E16002" s="3219"/>
      <c r="F16002" s="3219"/>
      <c r="G16002" s="3217" t="s">
        <v>696</v>
      </c>
      <c r="H16002" s="3297"/>
      <c r="I16002" s="3298"/>
    </row>
    <row r="16003" spans="2:9">
      <c r="B16003" s="3299" t="s">
        <v>64</v>
      </c>
      <c r="C16003" s="3063"/>
      <c r="D16003" s="3064"/>
      <c r="E16003" s="3064"/>
      <c r="F16003" s="3064"/>
      <c r="G16003" s="3300" t="s">
        <v>64</v>
      </c>
      <c r="H16003" s="3063"/>
      <c r="I16003" s="3030"/>
    </row>
    <row r="16004" spans="2:9" ht="25.5">
      <c r="B16004" s="3192" t="s">
        <v>675</v>
      </c>
      <c r="C16004" s="3063"/>
      <c r="D16004" s="3064"/>
      <c r="E16004" s="3064"/>
      <c r="F16004" s="3064"/>
      <c r="G16004" s="3301" t="s">
        <v>675</v>
      </c>
      <c r="H16004" s="3063"/>
      <c r="I16004" s="3030"/>
    </row>
    <row r="16005" spans="2:9" ht="25.5">
      <c r="B16005" s="3192" t="s">
        <v>676</v>
      </c>
      <c r="C16005" s="3063"/>
      <c r="D16005" s="3064"/>
      <c r="E16005" s="3064"/>
      <c r="F16005" s="3064"/>
      <c r="G16005" s="3301" t="s">
        <v>676</v>
      </c>
      <c r="H16005" s="3063"/>
      <c r="I16005" s="3030"/>
    </row>
    <row r="16006" spans="2:9">
      <c r="B16006" s="3192" t="s">
        <v>677</v>
      </c>
      <c r="C16006" s="3063"/>
      <c r="D16006" s="3064"/>
      <c r="E16006" s="3064"/>
      <c r="F16006" s="3064"/>
      <c r="G16006" s="3301" t="s">
        <v>677</v>
      </c>
      <c r="H16006" s="3063"/>
      <c r="I16006" s="3030"/>
    </row>
    <row r="16007" spans="2:9">
      <c r="B16007" s="3192" t="s">
        <v>678</v>
      </c>
      <c r="C16007" s="3063"/>
      <c r="D16007" s="3064"/>
      <c r="E16007" s="3064"/>
      <c r="F16007" s="3064"/>
      <c r="G16007" s="3301" t="s">
        <v>678</v>
      </c>
      <c r="H16007" s="3063"/>
      <c r="I16007" s="3030"/>
    </row>
    <row r="16008" spans="2:9">
      <c r="B16008" s="3192" t="s">
        <v>679</v>
      </c>
      <c r="C16008" s="3063"/>
      <c r="D16008" s="3064"/>
      <c r="E16008" s="3064"/>
      <c r="F16008" s="3064"/>
      <c r="G16008" s="3301" t="s">
        <v>679</v>
      </c>
      <c r="H16008" s="3063"/>
      <c r="I16008" s="3030"/>
    </row>
    <row r="16009" spans="2:9" ht="25.5">
      <c r="B16009" s="3192" t="s">
        <v>720</v>
      </c>
      <c r="C16009" s="3063"/>
      <c r="D16009" s="3064"/>
      <c r="E16009" s="3064"/>
      <c r="F16009" s="3064"/>
      <c r="G16009" s="3301" t="s">
        <v>720</v>
      </c>
      <c r="H16009" s="3063"/>
      <c r="I16009" s="3030"/>
    </row>
    <row r="16010" spans="2:9">
      <c r="B16010" s="3299" t="s">
        <v>65</v>
      </c>
      <c r="C16010" s="3063"/>
      <c r="D16010" s="3064"/>
      <c r="E16010" s="3064"/>
      <c r="F16010" s="3064"/>
      <c r="G16010" s="3300" t="s">
        <v>65</v>
      </c>
      <c r="H16010" s="3063"/>
      <c r="I16010" s="3030"/>
    </row>
    <row r="16011" spans="2:9" ht="25.5">
      <c r="B16011" s="3192" t="s">
        <v>675</v>
      </c>
      <c r="C16011" s="3063"/>
      <c r="D16011" s="3064"/>
      <c r="E16011" s="3064"/>
      <c r="F16011" s="3064"/>
      <c r="G16011" s="3301" t="s">
        <v>675</v>
      </c>
      <c r="H16011" s="3063"/>
      <c r="I16011" s="3030"/>
    </row>
    <row r="16012" spans="2:9" ht="25.5">
      <c r="B16012" s="3192" t="s">
        <v>676</v>
      </c>
      <c r="C16012" s="3063"/>
      <c r="D16012" s="3064"/>
      <c r="E16012" s="3064"/>
      <c r="F16012" s="3064"/>
      <c r="G16012" s="3301" t="s">
        <v>676</v>
      </c>
      <c r="H16012" s="3063"/>
      <c r="I16012" s="3030"/>
    </row>
    <row r="16013" spans="2:9">
      <c r="B16013" s="3192" t="s">
        <v>677</v>
      </c>
      <c r="C16013" s="3063"/>
      <c r="D16013" s="3064"/>
      <c r="E16013" s="3064"/>
      <c r="F16013" s="3064"/>
      <c r="G16013" s="3301" t="s">
        <v>677</v>
      </c>
      <c r="H16013" s="3063"/>
      <c r="I16013" s="3030"/>
    </row>
    <row r="16014" spans="2:9">
      <c r="B16014" s="3192" t="s">
        <v>678</v>
      </c>
      <c r="C16014" s="3063"/>
      <c r="D16014" s="3064"/>
      <c r="E16014" s="3064"/>
      <c r="F16014" s="3064"/>
      <c r="G16014" s="3301" t="s">
        <v>678</v>
      </c>
      <c r="H16014" s="3063"/>
      <c r="I16014" s="3030"/>
    </row>
    <row r="16015" spans="2:9">
      <c r="B16015" s="3192" t="s">
        <v>679</v>
      </c>
      <c r="C16015" s="3063"/>
      <c r="D16015" s="3064"/>
      <c r="E16015" s="3064"/>
      <c r="F16015" s="3064"/>
      <c r="G16015" s="3301" t="s">
        <v>679</v>
      </c>
      <c r="H16015" s="3063"/>
      <c r="I16015" s="3030"/>
    </row>
    <row r="16016" spans="2:9" ht="25.5">
      <c r="B16016" s="3192" t="s">
        <v>720</v>
      </c>
      <c r="C16016" s="3063"/>
      <c r="D16016" s="3064"/>
      <c r="E16016" s="3064"/>
      <c r="F16016" s="3064"/>
      <c r="G16016" s="3301" t="s">
        <v>720</v>
      </c>
      <c r="H16016" s="3063"/>
      <c r="I16016" s="3030"/>
    </row>
    <row r="16017" spans="2:9">
      <c r="B16017" s="3299" t="s">
        <v>82</v>
      </c>
      <c r="C16017" s="3063"/>
      <c r="D16017" s="3064"/>
      <c r="E16017" s="3064"/>
      <c r="F16017" s="3064"/>
      <c r="G16017" s="3300" t="s">
        <v>82</v>
      </c>
      <c r="H16017" s="3063"/>
      <c r="I16017" s="3030"/>
    </row>
    <row r="16018" spans="2:9" ht="25.5">
      <c r="B16018" s="3192" t="s">
        <v>675</v>
      </c>
      <c r="C16018" s="3063"/>
      <c r="D16018" s="3064"/>
      <c r="E16018" s="3064"/>
      <c r="F16018" s="3064"/>
      <c r="G16018" s="3301" t="s">
        <v>675</v>
      </c>
      <c r="H16018" s="3063"/>
      <c r="I16018" s="3030"/>
    </row>
    <row r="16019" spans="2:9" ht="25.5">
      <c r="B16019" s="3192" t="s">
        <v>676</v>
      </c>
      <c r="C16019" s="3063"/>
      <c r="D16019" s="3064"/>
      <c r="E16019" s="3064"/>
      <c r="F16019" s="3064"/>
      <c r="G16019" s="3301" t="s">
        <v>676</v>
      </c>
      <c r="H16019" s="3063"/>
      <c r="I16019" s="3030"/>
    </row>
    <row r="16020" spans="2:9">
      <c r="B16020" s="3192" t="s">
        <v>677</v>
      </c>
      <c r="C16020" s="3063"/>
      <c r="D16020" s="3064"/>
      <c r="E16020" s="3064"/>
      <c r="F16020" s="3064"/>
      <c r="G16020" s="3301" t="s">
        <v>677</v>
      </c>
      <c r="H16020" s="3063"/>
      <c r="I16020" s="3030"/>
    </row>
    <row r="16021" spans="2:9">
      <c r="B16021" s="3192" t="s">
        <v>678</v>
      </c>
      <c r="C16021" s="3063"/>
      <c r="D16021" s="3064"/>
      <c r="E16021" s="3064"/>
      <c r="F16021" s="3064"/>
      <c r="G16021" s="3301" t="s">
        <v>678</v>
      </c>
      <c r="H16021" s="3063"/>
      <c r="I16021" s="3030"/>
    </row>
    <row r="16022" spans="2:9">
      <c r="B16022" s="3192" t="s">
        <v>679</v>
      </c>
      <c r="C16022" s="3063"/>
      <c r="D16022" s="3064"/>
      <c r="E16022" s="3064"/>
      <c r="F16022" s="3064"/>
      <c r="G16022" s="3301" t="s">
        <v>679</v>
      </c>
      <c r="H16022" s="3063"/>
      <c r="I16022" s="3030"/>
    </row>
    <row r="16023" spans="2:9" ht="25.5">
      <c r="B16023" s="3192" t="s">
        <v>720</v>
      </c>
      <c r="C16023" s="3063"/>
      <c r="D16023" s="3064"/>
      <c r="E16023" s="3064"/>
      <c r="F16023" s="3064"/>
      <c r="G16023" s="3301" t="s">
        <v>720</v>
      </c>
      <c r="H16023" s="3063"/>
      <c r="I16023" s="3030"/>
    </row>
    <row r="16024" spans="2:9" ht="38.25">
      <c r="B16024" s="3299" t="s">
        <v>680</v>
      </c>
      <c r="C16024" s="3063"/>
      <c r="D16024" s="3064"/>
      <c r="E16024" s="3064"/>
      <c r="F16024" s="3064"/>
      <c r="G16024" s="3300" t="s">
        <v>680</v>
      </c>
      <c r="H16024" s="3063"/>
      <c r="I16024" s="3030"/>
    </row>
    <row r="16025" spans="2:9" ht="25.5">
      <c r="B16025" s="3192" t="s">
        <v>675</v>
      </c>
      <c r="C16025" s="3063"/>
      <c r="D16025" s="3064"/>
      <c r="E16025" s="3064"/>
      <c r="F16025" s="3064"/>
      <c r="G16025" s="3301" t="s">
        <v>675</v>
      </c>
      <c r="H16025" s="3063"/>
      <c r="I16025" s="3030"/>
    </row>
    <row r="16026" spans="2:9" ht="25.5">
      <c r="B16026" s="3192" t="s">
        <v>676</v>
      </c>
      <c r="C16026" s="3063"/>
      <c r="D16026" s="3064"/>
      <c r="E16026" s="3064"/>
      <c r="F16026" s="3064"/>
      <c r="G16026" s="3301" t="s">
        <v>676</v>
      </c>
      <c r="H16026" s="3063"/>
      <c r="I16026" s="3030"/>
    </row>
    <row r="16027" spans="2:9">
      <c r="B16027" s="3192" t="s">
        <v>677</v>
      </c>
      <c r="C16027" s="3063"/>
      <c r="D16027" s="3064"/>
      <c r="E16027" s="3064"/>
      <c r="F16027" s="3064"/>
      <c r="G16027" s="3301" t="s">
        <v>677</v>
      </c>
      <c r="H16027" s="3063"/>
      <c r="I16027" s="3030"/>
    </row>
    <row r="16028" spans="2:9">
      <c r="B16028" s="3192" t="s">
        <v>678</v>
      </c>
      <c r="C16028" s="3063"/>
      <c r="D16028" s="3064"/>
      <c r="E16028" s="3064"/>
      <c r="F16028" s="3064"/>
      <c r="G16028" s="3301" t="s">
        <v>678</v>
      </c>
      <c r="H16028" s="3063"/>
      <c r="I16028" s="3030"/>
    </row>
    <row r="16029" spans="2:9">
      <c r="B16029" s="3192" t="s">
        <v>679</v>
      </c>
      <c r="C16029" s="3063"/>
      <c r="D16029" s="3064"/>
      <c r="E16029" s="3064"/>
      <c r="F16029" s="3064"/>
      <c r="G16029" s="3301" t="s">
        <v>679</v>
      </c>
      <c r="H16029" s="3063"/>
      <c r="I16029" s="3030"/>
    </row>
    <row r="16030" spans="2:9" ht="25.5">
      <c r="B16030" s="3192" t="s">
        <v>720</v>
      </c>
      <c r="C16030" s="3063"/>
      <c r="D16030" s="3064"/>
      <c r="E16030" s="3064"/>
      <c r="F16030" s="3064"/>
      <c r="G16030" s="3301" t="s">
        <v>720</v>
      </c>
      <c r="H16030" s="3063"/>
      <c r="I16030" s="3030"/>
    </row>
    <row r="16031" spans="2:9" ht="38.25">
      <c r="B16031" s="3299" t="s">
        <v>681</v>
      </c>
      <c r="C16031" s="3063"/>
      <c r="D16031" s="3064"/>
      <c r="E16031" s="3064"/>
      <c r="F16031" s="3064"/>
      <c r="G16031" s="3300" t="s">
        <v>681</v>
      </c>
      <c r="H16031" s="3063"/>
      <c r="I16031" s="3030"/>
    </row>
    <row r="16032" spans="2:9" ht="25.5">
      <c r="B16032" s="3192" t="s">
        <v>675</v>
      </c>
      <c r="C16032" s="3063"/>
      <c r="D16032" s="3064"/>
      <c r="E16032" s="3064"/>
      <c r="F16032" s="3064"/>
      <c r="G16032" s="3301" t="s">
        <v>675</v>
      </c>
      <c r="H16032" s="3063"/>
      <c r="I16032" s="3030"/>
    </row>
    <row r="16033" spans="2:9" ht="25.5">
      <c r="B16033" s="3192" t="s">
        <v>676</v>
      </c>
      <c r="C16033" s="3063"/>
      <c r="D16033" s="3064"/>
      <c r="E16033" s="3064"/>
      <c r="F16033" s="3064"/>
      <c r="G16033" s="3301" t="s">
        <v>676</v>
      </c>
      <c r="H16033" s="3063"/>
      <c r="I16033" s="3030"/>
    </row>
    <row r="16034" spans="2:9">
      <c r="B16034" s="3192" t="s">
        <v>677</v>
      </c>
      <c r="C16034" s="3063"/>
      <c r="D16034" s="3064"/>
      <c r="E16034" s="3064"/>
      <c r="F16034" s="3064"/>
      <c r="G16034" s="3301" t="s">
        <v>677</v>
      </c>
      <c r="H16034" s="3063"/>
      <c r="I16034" s="3030"/>
    </row>
    <row r="16035" spans="2:9">
      <c r="B16035" s="3192" t="s">
        <v>678</v>
      </c>
      <c r="C16035" s="3063"/>
      <c r="D16035" s="3064"/>
      <c r="E16035" s="3064"/>
      <c r="F16035" s="3064"/>
      <c r="G16035" s="3301" t="s">
        <v>678</v>
      </c>
      <c r="H16035" s="3063"/>
      <c r="I16035" s="3030"/>
    </row>
    <row r="16036" spans="2:9">
      <c r="B16036" s="3192" t="s">
        <v>679</v>
      </c>
      <c r="C16036" s="3063"/>
      <c r="D16036" s="3064"/>
      <c r="E16036" s="3064"/>
      <c r="F16036" s="3064"/>
      <c r="G16036" s="3301" t="s">
        <v>679</v>
      </c>
      <c r="H16036" s="3063"/>
      <c r="I16036" s="3030"/>
    </row>
    <row r="16037" spans="2:9" ht="25.5">
      <c r="B16037" s="3192" t="s">
        <v>720</v>
      </c>
      <c r="C16037" s="3063"/>
      <c r="D16037" s="3064"/>
      <c r="E16037" s="3064"/>
      <c r="F16037" s="3064"/>
      <c r="G16037" s="3301" t="s">
        <v>720</v>
      </c>
      <c r="H16037" s="3063"/>
      <c r="I16037" s="3030"/>
    </row>
    <row r="16038" spans="2:9" ht="25.5">
      <c r="B16038" s="3299" t="s">
        <v>682</v>
      </c>
      <c r="C16038" s="3063"/>
      <c r="D16038" s="3064"/>
      <c r="E16038" s="3064"/>
      <c r="F16038" s="3064"/>
      <c r="G16038" s="3300" t="s">
        <v>682</v>
      </c>
      <c r="H16038" s="3063"/>
      <c r="I16038" s="3030"/>
    </row>
    <row r="16039" spans="2:9" ht="25.5">
      <c r="B16039" s="3192" t="s">
        <v>675</v>
      </c>
      <c r="C16039" s="3063"/>
      <c r="D16039" s="3064"/>
      <c r="E16039" s="3064"/>
      <c r="F16039" s="3064"/>
      <c r="G16039" s="3301" t="s">
        <v>675</v>
      </c>
      <c r="H16039" s="3063"/>
      <c r="I16039" s="3030"/>
    </row>
    <row r="16040" spans="2:9" ht="25.5">
      <c r="B16040" s="3192" t="s">
        <v>676</v>
      </c>
      <c r="C16040" s="3063"/>
      <c r="D16040" s="3064"/>
      <c r="E16040" s="3064"/>
      <c r="F16040" s="3064"/>
      <c r="G16040" s="3301" t="s">
        <v>676</v>
      </c>
      <c r="H16040" s="3063"/>
      <c r="I16040" s="3030"/>
    </row>
    <row r="16041" spans="2:9">
      <c r="B16041" s="3192" t="s">
        <v>677</v>
      </c>
      <c r="C16041" s="3063"/>
      <c r="D16041" s="3064"/>
      <c r="E16041" s="3064"/>
      <c r="F16041" s="3064"/>
      <c r="G16041" s="3301" t="s">
        <v>677</v>
      </c>
      <c r="H16041" s="3063"/>
      <c r="I16041" s="3030"/>
    </row>
    <row r="16042" spans="2:9">
      <c r="B16042" s="3192" t="s">
        <v>678</v>
      </c>
      <c r="C16042" s="3063"/>
      <c r="D16042" s="3064"/>
      <c r="E16042" s="3064"/>
      <c r="F16042" s="3064"/>
      <c r="G16042" s="3301" t="s">
        <v>678</v>
      </c>
      <c r="H16042" s="3063"/>
      <c r="I16042" s="3030"/>
    </row>
    <row r="16043" spans="2:9">
      <c r="B16043" s="3192" t="s">
        <v>679</v>
      </c>
      <c r="C16043" s="3063"/>
      <c r="D16043" s="3064"/>
      <c r="E16043" s="3064"/>
      <c r="F16043" s="3064"/>
      <c r="G16043" s="3301" t="s">
        <v>679</v>
      </c>
      <c r="H16043" s="3063"/>
      <c r="I16043" s="3030"/>
    </row>
    <row r="16044" spans="2:9" ht="25.5">
      <c r="B16044" s="3192" t="s">
        <v>720</v>
      </c>
      <c r="C16044" s="3063"/>
      <c r="D16044" s="3064"/>
      <c r="E16044" s="3064"/>
      <c r="F16044" s="3064"/>
      <c r="G16044" s="3301" t="s">
        <v>720</v>
      </c>
      <c r="H16044" s="3063"/>
      <c r="I16044" s="3030"/>
    </row>
    <row r="16045" spans="2:9" ht="25.5">
      <c r="B16045" s="3299" t="s">
        <v>66</v>
      </c>
      <c r="C16045" s="3063"/>
      <c r="D16045" s="3064"/>
      <c r="E16045" s="3064"/>
      <c r="F16045" s="3064"/>
      <c r="G16045" s="3300" t="s">
        <v>66</v>
      </c>
      <c r="H16045" s="3063"/>
      <c r="I16045" s="3030"/>
    </row>
    <row r="16046" spans="2:9" ht="25.5">
      <c r="B16046" s="3192" t="s">
        <v>675</v>
      </c>
      <c r="C16046" s="3063"/>
      <c r="D16046" s="3064"/>
      <c r="E16046" s="3064"/>
      <c r="F16046" s="3064"/>
      <c r="G16046" s="3301" t="s">
        <v>675</v>
      </c>
      <c r="H16046" s="3063"/>
      <c r="I16046" s="3030"/>
    </row>
    <row r="16047" spans="2:9" ht="25.5">
      <c r="B16047" s="3192" t="s">
        <v>676</v>
      </c>
      <c r="C16047" s="3063"/>
      <c r="D16047" s="3064"/>
      <c r="E16047" s="3064"/>
      <c r="F16047" s="3064"/>
      <c r="G16047" s="3301" t="s">
        <v>676</v>
      </c>
      <c r="H16047" s="3063"/>
      <c r="I16047" s="3030"/>
    </row>
    <row r="16048" spans="2:9">
      <c r="B16048" s="3192" t="s">
        <v>677</v>
      </c>
      <c r="C16048" s="3063"/>
      <c r="D16048" s="3064"/>
      <c r="E16048" s="3064"/>
      <c r="F16048" s="3064"/>
      <c r="G16048" s="3301" t="s">
        <v>677</v>
      </c>
      <c r="H16048" s="3063"/>
      <c r="I16048" s="3030"/>
    </row>
    <row r="16049" spans="2:9">
      <c r="B16049" s="3192" t="s">
        <v>678</v>
      </c>
      <c r="C16049" s="3063"/>
      <c r="D16049" s="3064"/>
      <c r="E16049" s="3064"/>
      <c r="F16049" s="3064"/>
      <c r="G16049" s="3301" t="s">
        <v>678</v>
      </c>
      <c r="H16049" s="3063"/>
      <c r="I16049" s="3030"/>
    </row>
    <row r="16050" spans="2:9">
      <c r="B16050" s="3192" t="s">
        <v>679</v>
      </c>
      <c r="C16050" s="3063"/>
      <c r="D16050" s="3064"/>
      <c r="E16050" s="3064"/>
      <c r="F16050" s="3064"/>
      <c r="G16050" s="3301" t="s">
        <v>679</v>
      </c>
      <c r="H16050" s="3063"/>
      <c r="I16050" s="3030"/>
    </row>
    <row r="16051" spans="2:9" ht="25.5">
      <c r="B16051" s="3192" t="s">
        <v>720</v>
      </c>
      <c r="C16051" s="3063"/>
      <c r="D16051" s="3064"/>
      <c r="E16051" s="3064"/>
      <c r="F16051" s="3064"/>
      <c r="G16051" s="3301" t="s">
        <v>720</v>
      </c>
      <c r="H16051" s="3063"/>
      <c r="I16051" s="3030"/>
    </row>
    <row r="16052" spans="2:9">
      <c r="B16052" s="3299" t="s">
        <v>67</v>
      </c>
      <c r="C16052" s="3063"/>
      <c r="D16052" s="3064"/>
      <c r="E16052" s="3064"/>
      <c r="F16052" s="3064"/>
      <c r="G16052" s="3300" t="s">
        <v>67</v>
      </c>
      <c r="H16052" s="3063"/>
      <c r="I16052" s="3030"/>
    </row>
    <row r="16053" spans="2:9" ht="25.5">
      <c r="B16053" s="3192" t="s">
        <v>675</v>
      </c>
      <c r="C16053" s="3063"/>
      <c r="D16053" s="3064"/>
      <c r="E16053" s="3064"/>
      <c r="F16053" s="3064"/>
      <c r="G16053" s="3301" t="s">
        <v>675</v>
      </c>
      <c r="H16053" s="3063"/>
      <c r="I16053" s="3030"/>
    </row>
    <row r="16054" spans="2:9" ht="25.5">
      <c r="B16054" s="3192" t="s">
        <v>676</v>
      </c>
      <c r="C16054" s="3063"/>
      <c r="D16054" s="3064"/>
      <c r="E16054" s="3064"/>
      <c r="F16054" s="3064"/>
      <c r="G16054" s="3301" t="s">
        <v>676</v>
      </c>
      <c r="H16054" s="3063"/>
      <c r="I16054" s="3030"/>
    </row>
    <row r="16055" spans="2:9">
      <c r="B16055" s="3192" t="s">
        <v>677</v>
      </c>
      <c r="C16055" s="3063"/>
      <c r="D16055" s="3064"/>
      <c r="E16055" s="3064"/>
      <c r="F16055" s="3064"/>
      <c r="G16055" s="3301" t="s">
        <v>677</v>
      </c>
      <c r="H16055" s="3063"/>
      <c r="I16055" s="3030"/>
    </row>
    <row r="16056" spans="2:9">
      <c r="B16056" s="3192" t="s">
        <v>678</v>
      </c>
      <c r="C16056" s="3063"/>
      <c r="D16056" s="3064"/>
      <c r="E16056" s="3064"/>
      <c r="F16056" s="3064"/>
      <c r="G16056" s="3301" t="s">
        <v>678</v>
      </c>
      <c r="H16056" s="3063"/>
      <c r="I16056" s="3030"/>
    </row>
    <row r="16057" spans="2:9">
      <c r="B16057" s="3192" t="s">
        <v>679</v>
      </c>
      <c r="C16057" s="3063"/>
      <c r="D16057" s="3064"/>
      <c r="E16057" s="3064"/>
      <c r="F16057" s="3064"/>
      <c r="G16057" s="3301" t="s">
        <v>679</v>
      </c>
      <c r="H16057" s="3063"/>
      <c r="I16057" s="3030"/>
    </row>
    <row r="16058" spans="2:9" ht="25.5">
      <c r="B16058" s="3230" t="s">
        <v>81</v>
      </c>
      <c r="C16058" s="3063"/>
      <c r="D16058" s="3064"/>
      <c r="E16058" s="3064"/>
      <c r="F16058" s="3064"/>
      <c r="G16058" s="3302" t="s">
        <v>81</v>
      </c>
      <c r="H16058" s="3063"/>
      <c r="I16058" s="3030"/>
    </row>
    <row r="16059" spans="2:9" ht="26.25" thickBot="1">
      <c r="B16059" s="3303" t="s">
        <v>81</v>
      </c>
      <c r="C16059" s="3063"/>
      <c r="D16059" s="3064"/>
      <c r="E16059" s="3064"/>
      <c r="F16059" s="3064"/>
      <c r="G16059" s="3302" t="s">
        <v>81</v>
      </c>
      <c r="H16059" s="3063"/>
      <c r="I16059" s="3030"/>
    </row>
    <row r="16060" spans="2:9">
      <c r="B16060" s="3217" t="s">
        <v>697</v>
      </c>
      <c r="C16060" s="3218"/>
      <c r="D16060" s="3219"/>
      <c r="E16060" s="3219"/>
      <c r="F16060" s="3219"/>
      <c r="G16060" s="3217" t="s">
        <v>697</v>
      </c>
      <c r="H16060" s="3297"/>
      <c r="I16060" s="3298"/>
    </row>
    <row r="16061" spans="2:9">
      <c r="B16061" s="3299" t="s">
        <v>64</v>
      </c>
      <c r="C16061" s="3063"/>
      <c r="D16061" s="3064"/>
      <c r="E16061" s="3064"/>
      <c r="F16061" s="3064"/>
      <c r="G16061" s="3300" t="s">
        <v>64</v>
      </c>
      <c r="H16061" s="3063"/>
      <c r="I16061" s="3030"/>
    </row>
    <row r="16062" spans="2:9" ht="25.5">
      <c r="B16062" s="3192" t="s">
        <v>675</v>
      </c>
      <c r="C16062" s="3063"/>
      <c r="D16062" s="3064"/>
      <c r="E16062" s="3064"/>
      <c r="F16062" s="3064"/>
      <c r="G16062" s="3301" t="s">
        <v>675</v>
      </c>
      <c r="H16062" s="3063"/>
      <c r="I16062" s="3030"/>
    </row>
    <row r="16063" spans="2:9" ht="25.5">
      <c r="B16063" s="3192" t="s">
        <v>676</v>
      </c>
      <c r="C16063" s="3063"/>
      <c r="D16063" s="3064"/>
      <c r="E16063" s="3064"/>
      <c r="F16063" s="3064"/>
      <c r="G16063" s="3301" t="s">
        <v>676</v>
      </c>
      <c r="H16063" s="3063"/>
      <c r="I16063" s="3030"/>
    </row>
    <row r="16064" spans="2:9">
      <c r="B16064" s="3192" t="s">
        <v>677</v>
      </c>
      <c r="C16064" s="3063"/>
      <c r="D16064" s="3064"/>
      <c r="E16064" s="3064"/>
      <c r="F16064" s="3064"/>
      <c r="G16064" s="3301" t="s">
        <v>677</v>
      </c>
      <c r="H16064" s="3063"/>
      <c r="I16064" s="3030"/>
    </row>
    <row r="16065" spans="2:9">
      <c r="B16065" s="3192" t="s">
        <v>678</v>
      </c>
      <c r="C16065" s="3063"/>
      <c r="D16065" s="3064"/>
      <c r="E16065" s="3064"/>
      <c r="F16065" s="3064"/>
      <c r="G16065" s="3301" t="s">
        <v>678</v>
      </c>
      <c r="H16065" s="3063"/>
      <c r="I16065" s="3030"/>
    </row>
    <row r="16066" spans="2:9">
      <c r="B16066" s="3192" t="s">
        <v>679</v>
      </c>
      <c r="C16066" s="3063"/>
      <c r="D16066" s="3064"/>
      <c r="E16066" s="3064"/>
      <c r="F16066" s="3064"/>
      <c r="G16066" s="3301" t="s">
        <v>679</v>
      </c>
      <c r="H16066" s="3063"/>
      <c r="I16066" s="3030"/>
    </row>
    <row r="16067" spans="2:9" ht="25.5">
      <c r="B16067" s="3192" t="s">
        <v>720</v>
      </c>
      <c r="C16067" s="3063"/>
      <c r="D16067" s="3064"/>
      <c r="E16067" s="3064"/>
      <c r="F16067" s="3064"/>
      <c r="G16067" s="3301" t="s">
        <v>720</v>
      </c>
      <c r="H16067" s="3063"/>
      <c r="I16067" s="3030"/>
    </row>
    <row r="16068" spans="2:9">
      <c r="B16068" s="3299" t="s">
        <v>65</v>
      </c>
      <c r="C16068" s="3063"/>
      <c r="D16068" s="3064"/>
      <c r="E16068" s="3064"/>
      <c r="F16068" s="3064"/>
      <c r="G16068" s="3300" t="s">
        <v>65</v>
      </c>
      <c r="H16068" s="3063"/>
      <c r="I16068" s="3030"/>
    </row>
    <row r="16069" spans="2:9" ht="25.5">
      <c r="B16069" s="3192" t="s">
        <v>675</v>
      </c>
      <c r="C16069" s="3063"/>
      <c r="D16069" s="3064"/>
      <c r="E16069" s="3064"/>
      <c r="F16069" s="3064"/>
      <c r="G16069" s="3301" t="s">
        <v>675</v>
      </c>
      <c r="H16069" s="3063"/>
      <c r="I16069" s="3030"/>
    </row>
    <row r="16070" spans="2:9" ht="25.5">
      <c r="B16070" s="3192" t="s">
        <v>676</v>
      </c>
      <c r="C16070" s="3063"/>
      <c r="D16070" s="3064"/>
      <c r="E16070" s="3064"/>
      <c r="F16070" s="3064"/>
      <c r="G16070" s="3301" t="s">
        <v>676</v>
      </c>
      <c r="H16070" s="3063"/>
      <c r="I16070" s="3030"/>
    </row>
    <row r="16071" spans="2:9">
      <c r="B16071" s="3192" t="s">
        <v>677</v>
      </c>
      <c r="C16071" s="3063"/>
      <c r="D16071" s="3064"/>
      <c r="E16071" s="3064"/>
      <c r="F16071" s="3064"/>
      <c r="G16071" s="3301" t="s">
        <v>677</v>
      </c>
      <c r="H16071" s="3063"/>
      <c r="I16071" s="3030"/>
    </row>
    <row r="16072" spans="2:9">
      <c r="B16072" s="3192" t="s">
        <v>678</v>
      </c>
      <c r="C16072" s="3063"/>
      <c r="D16072" s="3064"/>
      <c r="E16072" s="3064"/>
      <c r="F16072" s="3064"/>
      <c r="G16072" s="3301" t="s">
        <v>678</v>
      </c>
      <c r="H16072" s="3063"/>
      <c r="I16072" s="3030"/>
    </row>
    <row r="16073" spans="2:9">
      <c r="B16073" s="3192" t="s">
        <v>679</v>
      </c>
      <c r="C16073" s="3063"/>
      <c r="D16073" s="3064"/>
      <c r="E16073" s="3064"/>
      <c r="F16073" s="3064"/>
      <c r="G16073" s="3301" t="s">
        <v>679</v>
      </c>
      <c r="H16073" s="3063"/>
      <c r="I16073" s="3030"/>
    </row>
    <row r="16074" spans="2:9" ht="25.5">
      <c r="B16074" s="3192" t="s">
        <v>720</v>
      </c>
      <c r="C16074" s="3063"/>
      <c r="D16074" s="3064"/>
      <c r="E16074" s="3064"/>
      <c r="F16074" s="3064"/>
      <c r="G16074" s="3301" t="s">
        <v>720</v>
      </c>
      <c r="H16074" s="3063"/>
      <c r="I16074" s="3030"/>
    </row>
    <row r="16075" spans="2:9">
      <c r="B16075" s="3299" t="s">
        <v>82</v>
      </c>
      <c r="C16075" s="3063"/>
      <c r="D16075" s="3064"/>
      <c r="E16075" s="3064"/>
      <c r="F16075" s="3064"/>
      <c r="G16075" s="3300" t="s">
        <v>82</v>
      </c>
      <c r="H16075" s="3063"/>
      <c r="I16075" s="3030"/>
    </row>
    <row r="16076" spans="2:9" ht="25.5">
      <c r="B16076" s="3192" t="s">
        <v>675</v>
      </c>
      <c r="C16076" s="3063"/>
      <c r="D16076" s="3064"/>
      <c r="E16076" s="3064"/>
      <c r="F16076" s="3064"/>
      <c r="G16076" s="3301" t="s">
        <v>675</v>
      </c>
      <c r="H16076" s="3063"/>
      <c r="I16076" s="3030"/>
    </row>
    <row r="16077" spans="2:9" ht="25.5">
      <c r="B16077" s="3192" t="s">
        <v>676</v>
      </c>
      <c r="C16077" s="3063"/>
      <c r="D16077" s="3064"/>
      <c r="E16077" s="3064"/>
      <c r="F16077" s="3064"/>
      <c r="G16077" s="3301" t="s">
        <v>676</v>
      </c>
      <c r="H16077" s="3063"/>
      <c r="I16077" s="3030"/>
    </row>
    <row r="16078" spans="2:9">
      <c r="B16078" s="3192" t="s">
        <v>677</v>
      </c>
      <c r="C16078" s="3063"/>
      <c r="D16078" s="3064"/>
      <c r="E16078" s="3064"/>
      <c r="F16078" s="3064"/>
      <c r="G16078" s="3301" t="s">
        <v>677</v>
      </c>
      <c r="H16078" s="3063"/>
      <c r="I16078" s="3030"/>
    </row>
    <row r="16079" spans="2:9">
      <c r="B16079" s="3192" t="s">
        <v>678</v>
      </c>
      <c r="C16079" s="3063"/>
      <c r="D16079" s="3064"/>
      <c r="E16079" s="3064"/>
      <c r="F16079" s="3064"/>
      <c r="G16079" s="3301" t="s">
        <v>678</v>
      </c>
      <c r="H16079" s="3063"/>
      <c r="I16079" s="3030"/>
    </row>
    <row r="16080" spans="2:9">
      <c r="B16080" s="3192" t="s">
        <v>679</v>
      </c>
      <c r="C16080" s="3063"/>
      <c r="D16080" s="3064"/>
      <c r="E16080" s="3064"/>
      <c r="F16080" s="3064"/>
      <c r="G16080" s="3301" t="s">
        <v>679</v>
      </c>
      <c r="H16080" s="3063"/>
      <c r="I16080" s="3030"/>
    </row>
    <row r="16081" spans="2:9" ht="25.5">
      <c r="B16081" s="3192" t="s">
        <v>720</v>
      </c>
      <c r="C16081" s="3063"/>
      <c r="D16081" s="3064"/>
      <c r="E16081" s="3064"/>
      <c r="F16081" s="3064"/>
      <c r="G16081" s="3301" t="s">
        <v>720</v>
      </c>
      <c r="H16081" s="3063"/>
      <c r="I16081" s="3030"/>
    </row>
    <row r="16082" spans="2:9" ht="38.25">
      <c r="B16082" s="3299" t="s">
        <v>680</v>
      </c>
      <c r="C16082" s="3063"/>
      <c r="D16082" s="3064"/>
      <c r="E16082" s="3064"/>
      <c r="F16082" s="3064"/>
      <c r="G16082" s="3300" t="s">
        <v>680</v>
      </c>
      <c r="H16082" s="3063"/>
      <c r="I16082" s="3030"/>
    </row>
    <row r="16083" spans="2:9" ht="25.5">
      <c r="B16083" s="3192" t="s">
        <v>675</v>
      </c>
      <c r="C16083" s="3063"/>
      <c r="D16083" s="3064"/>
      <c r="E16083" s="3064"/>
      <c r="F16083" s="3064"/>
      <c r="G16083" s="3301" t="s">
        <v>675</v>
      </c>
      <c r="H16083" s="3063"/>
      <c r="I16083" s="3030"/>
    </row>
    <row r="16084" spans="2:9" ht="25.5">
      <c r="B16084" s="3192" t="s">
        <v>676</v>
      </c>
      <c r="C16084" s="3063"/>
      <c r="D16084" s="3064"/>
      <c r="E16084" s="3064"/>
      <c r="F16084" s="3064"/>
      <c r="G16084" s="3301" t="s">
        <v>676</v>
      </c>
      <c r="H16084" s="3063"/>
      <c r="I16084" s="3030"/>
    </row>
    <row r="16085" spans="2:9">
      <c r="B16085" s="3192" t="s">
        <v>677</v>
      </c>
      <c r="C16085" s="3063"/>
      <c r="D16085" s="3064"/>
      <c r="E16085" s="3064"/>
      <c r="F16085" s="3064"/>
      <c r="G16085" s="3301" t="s">
        <v>677</v>
      </c>
      <c r="H16085" s="3063"/>
      <c r="I16085" s="3030"/>
    </row>
    <row r="16086" spans="2:9">
      <c r="B16086" s="3192" t="s">
        <v>678</v>
      </c>
      <c r="C16086" s="3063"/>
      <c r="D16086" s="3064"/>
      <c r="E16086" s="3064"/>
      <c r="F16086" s="3064"/>
      <c r="G16086" s="3301" t="s">
        <v>678</v>
      </c>
      <c r="H16086" s="3063"/>
      <c r="I16086" s="3030"/>
    </row>
    <row r="16087" spans="2:9">
      <c r="B16087" s="3192" t="s">
        <v>679</v>
      </c>
      <c r="C16087" s="3063"/>
      <c r="D16087" s="3064"/>
      <c r="E16087" s="3064"/>
      <c r="F16087" s="3064"/>
      <c r="G16087" s="3301" t="s">
        <v>679</v>
      </c>
      <c r="H16087" s="3063"/>
      <c r="I16087" s="3030"/>
    </row>
    <row r="16088" spans="2:9" ht="25.5">
      <c r="B16088" s="3192" t="s">
        <v>720</v>
      </c>
      <c r="C16088" s="3063"/>
      <c r="D16088" s="3064"/>
      <c r="E16088" s="3064"/>
      <c r="F16088" s="3064"/>
      <c r="G16088" s="3301" t="s">
        <v>720</v>
      </c>
      <c r="H16088" s="3063"/>
      <c r="I16088" s="3030"/>
    </row>
    <row r="16089" spans="2:9" ht="38.25">
      <c r="B16089" s="3299" t="s">
        <v>681</v>
      </c>
      <c r="C16089" s="3063"/>
      <c r="D16089" s="3064"/>
      <c r="E16089" s="3064"/>
      <c r="F16089" s="3064"/>
      <c r="G16089" s="3300" t="s">
        <v>681</v>
      </c>
      <c r="H16089" s="3063">
        <v>3.1218131490769813E-2</v>
      </c>
      <c r="I16089" s="3030"/>
    </row>
    <row r="16090" spans="2:9" ht="25.5">
      <c r="B16090" s="3192" t="s">
        <v>675</v>
      </c>
      <c r="C16090" s="3063">
        <v>1</v>
      </c>
      <c r="D16090" s="3064"/>
      <c r="E16090" s="3064"/>
      <c r="F16090" s="3064"/>
      <c r="G16090" s="3301" t="s">
        <v>675</v>
      </c>
      <c r="H16090" s="3063"/>
      <c r="I16090" s="3030">
        <v>3.1218131490769813E-2</v>
      </c>
    </row>
    <row r="16091" spans="2:9" ht="25.5">
      <c r="B16091" s="3192" t="s">
        <v>676</v>
      </c>
      <c r="C16091" s="3063"/>
      <c r="D16091" s="3064"/>
      <c r="E16091" s="3064"/>
      <c r="F16091" s="3064"/>
      <c r="G16091" s="3301" t="s">
        <v>676</v>
      </c>
      <c r="H16091" s="3063"/>
      <c r="I16091" s="3030"/>
    </row>
    <row r="16092" spans="2:9">
      <c r="B16092" s="3192" t="s">
        <v>677</v>
      </c>
      <c r="C16092" s="3063"/>
      <c r="D16092" s="3064"/>
      <c r="E16092" s="3064"/>
      <c r="F16092" s="3064"/>
      <c r="G16092" s="3301" t="s">
        <v>677</v>
      </c>
      <c r="H16092" s="3063"/>
      <c r="I16092" s="3030"/>
    </row>
    <row r="16093" spans="2:9">
      <c r="B16093" s="3192" t="s">
        <v>678</v>
      </c>
      <c r="C16093" s="3063">
        <v>1</v>
      </c>
      <c r="D16093" s="3064"/>
      <c r="E16093" s="3064"/>
      <c r="F16093" s="3064"/>
      <c r="G16093" s="3301" t="s">
        <v>678</v>
      </c>
      <c r="H16093" s="3063"/>
      <c r="I16093" s="3030"/>
    </row>
    <row r="16094" spans="2:9">
      <c r="B16094" s="3192" t="s">
        <v>679</v>
      </c>
      <c r="C16094" s="3063"/>
      <c r="D16094" s="3064"/>
      <c r="E16094" s="3064"/>
      <c r="F16094" s="3064"/>
      <c r="G16094" s="3301" t="s">
        <v>679</v>
      </c>
      <c r="H16094" s="3063"/>
      <c r="I16094" s="3030"/>
    </row>
    <row r="16095" spans="2:9" ht="25.5">
      <c r="B16095" s="3192" t="s">
        <v>720</v>
      </c>
      <c r="C16095" s="3063"/>
      <c r="D16095" s="3064"/>
      <c r="E16095" s="3064"/>
      <c r="F16095" s="3064"/>
      <c r="G16095" s="3301" t="s">
        <v>720</v>
      </c>
      <c r="H16095" s="3063"/>
      <c r="I16095" s="3030"/>
    </row>
    <row r="16096" spans="2:9" ht="25.5">
      <c r="B16096" s="3299" t="s">
        <v>682</v>
      </c>
      <c r="C16096" s="3063"/>
      <c r="D16096" s="3064"/>
      <c r="E16096" s="3064"/>
      <c r="F16096" s="3064"/>
      <c r="G16096" s="3300" t="s">
        <v>682</v>
      </c>
      <c r="H16096" s="3063"/>
      <c r="I16096" s="3030"/>
    </row>
    <row r="16097" spans="2:9" ht="25.5">
      <c r="B16097" s="3192" t="s">
        <v>675</v>
      </c>
      <c r="C16097" s="3063"/>
      <c r="D16097" s="3064"/>
      <c r="E16097" s="3064"/>
      <c r="F16097" s="3064"/>
      <c r="G16097" s="3301" t="s">
        <v>675</v>
      </c>
      <c r="H16097" s="3063"/>
      <c r="I16097" s="3030"/>
    </row>
    <row r="16098" spans="2:9" ht="25.5">
      <c r="B16098" s="3192" t="s">
        <v>676</v>
      </c>
      <c r="C16098" s="3063"/>
      <c r="D16098" s="3064"/>
      <c r="E16098" s="3064"/>
      <c r="F16098" s="3064"/>
      <c r="G16098" s="3301" t="s">
        <v>676</v>
      </c>
      <c r="H16098" s="3063"/>
      <c r="I16098" s="3030"/>
    </row>
    <row r="16099" spans="2:9">
      <c r="B16099" s="3192" t="s">
        <v>677</v>
      </c>
      <c r="C16099" s="3063"/>
      <c r="D16099" s="3064"/>
      <c r="E16099" s="3064"/>
      <c r="F16099" s="3064"/>
      <c r="G16099" s="3301" t="s">
        <v>677</v>
      </c>
      <c r="H16099" s="3063"/>
      <c r="I16099" s="3030"/>
    </row>
    <row r="16100" spans="2:9">
      <c r="B16100" s="3192" t="s">
        <v>678</v>
      </c>
      <c r="C16100" s="3063"/>
      <c r="D16100" s="3064"/>
      <c r="E16100" s="3064"/>
      <c r="F16100" s="3064"/>
      <c r="G16100" s="3301" t="s">
        <v>678</v>
      </c>
      <c r="H16100" s="3063"/>
      <c r="I16100" s="3030"/>
    </row>
    <row r="16101" spans="2:9">
      <c r="B16101" s="3192" t="s">
        <v>679</v>
      </c>
      <c r="C16101" s="3063"/>
      <c r="D16101" s="3064"/>
      <c r="E16101" s="3064"/>
      <c r="F16101" s="3064"/>
      <c r="G16101" s="3301" t="s">
        <v>679</v>
      </c>
      <c r="H16101" s="3063"/>
      <c r="I16101" s="3030"/>
    </row>
    <row r="16102" spans="2:9" ht="25.5">
      <c r="B16102" s="3192" t="s">
        <v>720</v>
      </c>
      <c r="C16102" s="3063"/>
      <c r="D16102" s="3064"/>
      <c r="E16102" s="3064"/>
      <c r="F16102" s="3064"/>
      <c r="G16102" s="3301" t="s">
        <v>720</v>
      </c>
      <c r="H16102" s="3063"/>
      <c r="I16102" s="3030"/>
    </row>
    <row r="16103" spans="2:9" ht="25.5">
      <c r="B16103" s="3299" t="s">
        <v>66</v>
      </c>
      <c r="C16103" s="3063"/>
      <c r="D16103" s="3064"/>
      <c r="E16103" s="3064"/>
      <c r="F16103" s="3064"/>
      <c r="G16103" s="3300" t="s">
        <v>66</v>
      </c>
      <c r="H16103" s="3063"/>
      <c r="I16103" s="3030"/>
    </row>
    <row r="16104" spans="2:9" ht="25.5">
      <c r="B16104" s="3192" t="s">
        <v>675</v>
      </c>
      <c r="C16104" s="3063"/>
      <c r="D16104" s="3064"/>
      <c r="E16104" s="3064"/>
      <c r="F16104" s="3064"/>
      <c r="G16104" s="3301" t="s">
        <v>675</v>
      </c>
      <c r="H16104" s="3063"/>
      <c r="I16104" s="3030"/>
    </row>
    <row r="16105" spans="2:9" ht="25.5">
      <c r="B16105" s="3192" t="s">
        <v>676</v>
      </c>
      <c r="C16105" s="3063"/>
      <c r="D16105" s="3064"/>
      <c r="E16105" s="3064"/>
      <c r="F16105" s="3064"/>
      <c r="G16105" s="3301" t="s">
        <v>676</v>
      </c>
      <c r="H16105" s="3063"/>
      <c r="I16105" s="3030"/>
    </row>
    <row r="16106" spans="2:9">
      <c r="B16106" s="3192" t="s">
        <v>677</v>
      </c>
      <c r="C16106" s="3063"/>
      <c r="D16106" s="3064"/>
      <c r="E16106" s="3064"/>
      <c r="F16106" s="3064"/>
      <c r="G16106" s="3301" t="s">
        <v>677</v>
      </c>
      <c r="H16106" s="3063"/>
      <c r="I16106" s="3030"/>
    </row>
    <row r="16107" spans="2:9">
      <c r="B16107" s="3192" t="s">
        <v>678</v>
      </c>
      <c r="C16107" s="3063"/>
      <c r="D16107" s="3064"/>
      <c r="E16107" s="3064"/>
      <c r="F16107" s="3064"/>
      <c r="G16107" s="3301" t="s">
        <v>678</v>
      </c>
      <c r="H16107" s="3063"/>
      <c r="I16107" s="3030"/>
    </row>
    <row r="16108" spans="2:9">
      <c r="B16108" s="3192" t="s">
        <v>679</v>
      </c>
      <c r="C16108" s="3063"/>
      <c r="D16108" s="3064"/>
      <c r="E16108" s="3064"/>
      <c r="F16108" s="3064"/>
      <c r="G16108" s="3301" t="s">
        <v>679</v>
      </c>
      <c r="H16108" s="3063"/>
      <c r="I16108" s="3030"/>
    </row>
    <row r="16109" spans="2:9" ht="25.5">
      <c r="B16109" s="3192" t="s">
        <v>720</v>
      </c>
      <c r="C16109" s="3063"/>
      <c r="D16109" s="3064"/>
      <c r="E16109" s="3064"/>
      <c r="F16109" s="3064"/>
      <c r="G16109" s="3301" t="s">
        <v>720</v>
      </c>
      <c r="H16109" s="3063"/>
      <c r="I16109" s="3030"/>
    </row>
    <row r="16110" spans="2:9">
      <c r="B16110" s="3299" t="s">
        <v>67</v>
      </c>
      <c r="C16110" s="3063"/>
      <c r="D16110" s="3064"/>
      <c r="E16110" s="3064"/>
      <c r="F16110" s="3064"/>
      <c r="G16110" s="3300" t="s">
        <v>67</v>
      </c>
      <c r="H16110" s="3063"/>
      <c r="I16110" s="3030"/>
    </row>
    <row r="16111" spans="2:9" ht="25.5">
      <c r="B16111" s="3192" t="s">
        <v>675</v>
      </c>
      <c r="C16111" s="3063"/>
      <c r="D16111" s="3064"/>
      <c r="E16111" s="3064"/>
      <c r="F16111" s="3064"/>
      <c r="G16111" s="3301" t="s">
        <v>675</v>
      </c>
      <c r="H16111" s="3063"/>
      <c r="I16111" s="3030"/>
    </row>
    <row r="16112" spans="2:9" ht="25.5">
      <c r="B16112" s="3192" t="s">
        <v>676</v>
      </c>
      <c r="C16112" s="3063"/>
      <c r="D16112" s="3064"/>
      <c r="E16112" s="3064"/>
      <c r="F16112" s="3064"/>
      <c r="G16112" s="3301" t="s">
        <v>676</v>
      </c>
      <c r="H16112" s="3063"/>
      <c r="I16112" s="3030"/>
    </row>
    <row r="16113" spans="2:9">
      <c r="B16113" s="3192" t="s">
        <v>677</v>
      </c>
      <c r="C16113" s="3063"/>
      <c r="D16113" s="3064"/>
      <c r="E16113" s="3064"/>
      <c r="F16113" s="3064"/>
      <c r="G16113" s="3301" t="s">
        <v>677</v>
      </c>
      <c r="H16113" s="3063"/>
      <c r="I16113" s="3030"/>
    </row>
    <row r="16114" spans="2:9">
      <c r="B16114" s="3192" t="s">
        <v>678</v>
      </c>
      <c r="C16114" s="3063"/>
      <c r="D16114" s="3064"/>
      <c r="E16114" s="3064"/>
      <c r="F16114" s="3064"/>
      <c r="G16114" s="3301" t="s">
        <v>678</v>
      </c>
      <c r="H16114" s="3063"/>
      <c r="I16114" s="3030"/>
    </row>
    <row r="16115" spans="2:9">
      <c r="B16115" s="3192" t="s">
        <v>679</v>
      </c>
      <c r="C16115" s="3063"/>
      <c r="D16115" s="3064"/>
      <c r="E16115" s="3064"/>
      <c r="F16115" s="3064"/>
      <c r="G16115" s="3301" t="s">
        <v>679</v>
      </c>
      <c r="H16115" s="3063"/>
      <c r="I16115" s="3030"/>
    </row>
    <row r="16116" spans="2:9" ht="25.5">
      <c r="B16116" s="3230" t="s">
        <v>81</v>
      </c>
      <c r="C16116" s="3063"/>
      <c r="D16116" s="3064"/>
      <c r="E16116" s="3064"/>
      <c r="F16116" s="3064"/>
      <c r="G16116" s="3302" t="s">
        <v>81</v>
      </c>
      <c r="H16116" s="3063"/>
      <c r="I16116" s="3030"/>
    </row>
    <row r="16117" spans="2:9" ht="26.25" thickBot="1">
      <c r="B16117" s="3303" t="s">
        <v>81</v>
      </c>
      <c r="C16117" s="3068"/>
      <c r="D16117" s="3069"/>
      <c r="E16117" s="3069"/>
      <c r="F16117" s="3069"/>
      <c r="G16117" s="3304" t="s">
        <v>81</v>
      </c>
      <c r="H16117" s="3068"/>
      <c r="I16117" s="3070"/>
    </row>
    <row r="16118" spans="2:9" ht="38.25">
      <c r="B16118" s="4723">
        <v>3461</v>
      </c>
      <c r="C16118" s="3289"/>
      <c r="D16118" s="3290"/>
      <c r="E16118" s="3290"/>
      <c r="F16118" s="3290"/>
      <c r="G16118" s="4723">
        <v>3461</v>
      </c>
      <c r="H16118" s="3291" t="s">
        <v>687</v>
      </c>
      <c r="I16118" s="3292" t="s">
        <v>688</v>
      </c>
    </row>
    <row r="16119" spans="2:9">
      <c r="B16119" s="4724"/>
      <c r="C16119" s="4678" t="s">
        <v>686</v>
      </c>
      <c r="D16119" s="4725"/>
      <c r="E16119" s="4725"/>
      <c r="F16119" s="4726"/>
      <c r="G16119" s="4724"/>
      <c r="H16119" s="3293"/>
      <c r="I16119" s="3294"/>
    </row>
    <row r="16120" spans="2:9" ht="13.5" thickBot="1">
      <c r="B16120" s="4724"/>
      <c r="C16120" s="3215">
        <v>2013</v>
      </c>
      <c r="D16120" s="3215">
        <v>2014</v>
      </c>
      <c r="E16120" s="3215">
        <v>2015</v>
      </c>
      <c r="F16120" s="3215">
        <v>2016</v>
      </c>
      <c r="G16120" s="4724"/>
      <c r="H16120" s="3295" t="s">
        <v>390</v>
      </c>
      <c r="I16120" s="3296" t="s">
        <v>390</v>
      </c>
    </row>
    <row r="16121" spans="2:9">
      <c r="B16121" s="3217" t="s">
        <v>695</v>
      </c>
      <c r="C16121" s="3218"/>
      <c r="D16121" s="3219"/>
      <c r="E16121" s="3219"/>
      <c r="F16121" s="3219"/>
      <c r="G16121" s="3217" t="s">
        <v>695</v>
      </c>
      <c r="H16121" s="3297"/>
      <c r="I16121" s="3298"/>
    </row>
    <row r="16122" spans="2:9">
      <c r="B16122" s="3299" t="s">
        <v>64</v>
      </c>
      <c r="C16122" s="3063"/>
      <c r="D16122" s="3064"/>
      <c r="E16122" s="3064"/>
      <c r="F16122" s="3064"/>
      <c r="G16122" s="3300" t="s">
        <v>64</v>
      </c>
      <c r="H16122" s="3063"/>
      <c r="I16122" s="3030"/>
    </row>
    <row r="16123" spans="2:9" ht="25.5">
      <c r="B16123" s="3192" t="s">
        <v>675</v>
      </c>
      <c r="C16123" s="3063"/>
      <c r="D16123" s="3064"/>
      <c r="E16123" s="3064"/>
      <c r="F16123" s="3064"/>
      <c r="G16123" s="3301" t="s">
        <v>675</v>
      </c>
      <c r="H16123" s="3063"/>
      <c r="I16123" s="3030"/>
    </row>
    <row r="16124" spans="2:9" ht="25.5">
      <c r="B16124" s="3192" t="s">
        <v>676</v>
      </c>
      <c r="C16124" s="3063"/>
      <c r="D16124" s="3064"/>
      <c r="E16124" s="3064"/>
      <c r="F16124" s="3064"/>
      <c r="G16124" s="3301" t="s">
        <v>676</v>
      </c>
      <c r="H16124" s="3063"/>
      <c r="I16124" s="3030"/>
    </row>
    <row r="16125" spans="2:9">
      <c r="B16125" s="3192" t="s">
        <v>677</v>
      </c>
      <c r="C16125" s="3063"/>
      <c r="D16125" s="3064"/>
      <c r="E16125" s="3064"/>
      <c r="F16125" s="3064"/>
      <c r="G16125" s="3301" t="s">
        <v>677</v>
      </c>
      <c r="H16125" s="3063"/>
      <c r="I16125" s="3030"/>
    </row>
    <row r="16126" spans="2:9">
      <c r="B16126" s="3192" t="s">
        <v>678</v>
      </c>
      <c r="C16126" s="3063"/>
      <c r="D16126" s="3064"/>
      <c r="E16126" s="3064"/>
      <c r="F16126" s="3064"/>
      <c r="G16126" s="3301" t="s">
        <v>678</v>
      </c>
      <c r="H16126" s="3063"/>
      <c r="I16126" s="3030"/>
    </row>
    <row r="16127" spans="2:9">
      <c r="B16127" s="3192" t="s">
        <v>679</v>
      </c>
      <c r="C16127" s="3063"/>
      <c r="D16127" s="3064"/>
      <c r="E16127" s="3064"/>
      <c r="F16127" s="3064"/>
      <c r="G16127" s="3301" t="s">
        <v>679</v>
      </c>
      <c r="H16127" s="3063"/>
      <c r="I16127" s="3030"/>
    </row>
    <row r="16128" spans="2:9" ht="25.5">
      <c r="B16128" s="3192" t="s">
        <v>720</v>
      </c>
      <c r="C16128" s="3063"/>
      <c r="D16128" s="3064"/>
      <c r="E16128" s="3064"/>
      <c r="F16128" s="3064"/>
      <c r="G16128" s="3301" t="s">
        <v>720</v>
      </c>
      <c r="H16128" s="3063"/>
      <c r="I16128" s="3030"/>
    </row>
    <row r="16129" spans="2:9">
      <c r="B16129" s="3299" t="s">
        <v>65</v>
      </c>
      <c r="C16129" s="3063"/>
      <c r="D16129" s="3064"/>
      <c r="E16129" s="3064"/>
      <c r="F16129" s="3064"/>
      <c r="G16129" s="3300" t="s">
        <v>65</v>
      </c>
      <c r="H16129" s="3063"/>
      <c r="I16129" s="3030"/>
    </row>
    <row r="16130" spans="2:9" ht="25.5">
      <c r="B16130" s="3192" t="s">
        <v>675</v>
      </c>
      <c r="C16130" s="3063"/>
      <c r="D16130" s="3064"/>
      <c r="E16130" s="3064"/>
      <c r="F16130" s="3064"/>
      <c r="G16130" s="3301" t="s">
        <v>675</v>
      </c>
      <c r="H16130" s="3063"/>
      <c r="I16130" s="3030"/>
    </row>
    <row r="16131" spans="2:9" ht="25.5">
      <c r="B16131" s="3192" t="s">
        <v>676</v>
      </c>
      <c r="C16131" s="3063"/>
      <c r="D16131" s="3064"/>
      <c r="E16131" s="3064"/>
      <c r="F16131" s="3064"/>
      <c r="G16131" s="3301" t="s">
        <v>676</v>
      </c>
      <c r="H16131" s="3063"/>
      <c r="I16131" s="3030"/>
    </row>
    <row r="16132" spans="2:9">
      <c r="B16132" s="3192" t="s">
        <v>677</v>
      </c>
      <c r="C16132" s="3063"/>
      <c r="D16132" s="3064"/>
      <c r="E16132" s="3064"/>
      <c r="F16132" s="3064"/>
      <c r="G16132" s="3301" t="s">
        <v>677</v>
      </c>
      <c r="H16132" s="3063"/>
      <c r="I16132" s="3030"/>
    </row>
    <row r="16133" spans="2:9">
      <c r="B16133" s="3192" t="s">
        <v>678</v>
      </c>
      <c r="C16133" s="3063"/>
      <c r="D16133" s="3064"/>
      <c r="E16133" s="3064"/>
      <c r="F16133" s="3064"/>
      <c r="G16133" s="3301" t="s">
        <v>678</v>
      </c>
      <c r="H16133" s="3063"/>
      <c r="I16133" s="3030"/>
    </row>
    <row r="16134" spans="2:9">
      <c r="B16134" s="3192" t="s">
        <v>679</v>
      </c>
      <c r="C16134" s="3063"/>
      <c r="D16134" s="3064"/>
      <c r="E16134" s="3064"/>
      <c r="F16134" s="3064"/>
      <c r="G16134" s="3301" t="s">
        <v>679</v>
      </c>
      <c r="H16134" s="3063"/>
      <c r="I16134" s="3030"/>
    </row>
    <row r="16135" spans="2:9" ht="25.5">
      <c r="B16135" s="3192" t="s">
        <v>720</v>
      </c>
      <c r="C16135" s="3063"/>
      <c r="D16135" s="3064"/>
      <c r="E16135" s="3064"/>
      <c r="F16135" s="3064"/>
      <c r="G16135" s="3301" t="s">
        <v>720</v>
      </c>
      <c r="H16135" s="3063"/>
      <c r="I16135" s="3030"/>
    </row>
    <row r="16136" spans="2:9">
      <c r="B16136" s="3299" t="s">
        <v>82</v>
      </c>
      <c r="C16136" s="3063"/>
      <c r="D16136" s="3064"/>
      <c r="E16136" s="3064"/>
      <c r="F16136" s="3064"/>
      <c r="G16136" s="3300" t="s">
        <v>82</v>
      </c>
      <c r="H16136" s="3063"/>
      <c r="I16136" s="3030"/>
    </row>
    <row r="16137" spans="2:9" ht="25.5">
      <c r="B16137" s="3192" t="s">
        <v>675</v>
      </c>
      <c r="C16137" s="3063"/>
      <c r="D16137" s="3064"/>
      <c r="E16137" s="3064"/>
      <c r="F16137" s="3064"/>
      <c r="G16137" s="3301" t="s">
        <v>675</v>
      </c>
      <c r="H16137" s="3063"/>
      <c r="I16137" s="3030"/>
    </row>
    <row r="16138" spans="2:9" ht="25.5">
      <c r="B16138" s="3192" t="s">
        <v>676</v>
      </c>
      <c r="C16138" s="3063"/>
      <c r="D16138" s="3064"/>
      <c r="E16138" s="3064"/>
      <c r="F16138" s="3064"/>
      <c r="G16138" s="3301" t="s">
        <v>676</v>
      </c>
      <c r="H16138" s="3063"/>
      <c r="I16138" s="3030"/>
    </row>
    <row r="16139" spans="2:9">
      <c r="B16139" s="3192" t="s">
        <v>677</v>
      </c>
      <c r="C16139" s="3063"/>
      <c r="D16139" s="3064"/>
      <c r="E16139" s="3064"/>
      <c r="F16139" s="3064"/>
      <c r="G16139" s="3301" t="s">
        <v>677</v>
      </c>
      <c r="H16139" s="3063"/>
      <c r="I16139" s="3030"/>
    </row>
    <row r="16140" spans="2:9">
      <c r="B16140" s="3192" t="s">
        <v>678</v>
      </c>
      <c r="C16140" s="3063"/>
      <c r="D16140" s="3064"/>
      <c r="E16140" s="3064"/>
      <c r="F16140" s="3064"/>
      <c r="G16140" s="3301" t="s">
        <v>678</v>
      </c>
      <c r="H16140" s="3063"/>
      <c r="I16140" s="3030"/>
    </row>
    <row r="16141" spans="2:9">
      <c r="B16141" s="3192" t="s">
        <v>679</v>
      </c>
      <c r="C16141" s="3063"/>
      <c r="D16141" s="3064"/>
      <c r="E16141" s="3064"/>
      <c r="F16141" s="3064"/>
      <c r="G16141" s="3301" t="s">
        <v>679</v>
      </c>
      <c r="H16141" s="3063"/>
      <c r="I16141" s="3030"/>
    </row>
    <row r="16142" spans="2:9" ht="25.5">
      <c r="B16142" s="3192" t="s">
        <v>720</v>
      </c>
      <c r="C16142" s="3063"/>
      <c r="D16142" s="3064"/>
      <c r="E16142" s="3064"/>
      <c r="F16142" s="3064"/>
      <c r="G16142" s="3301" t="s">
        <v>720</v>
      </c>
      <c r="H16142" s="3063"/>
      <c r="I16142" s="3030"/>
    </row>
    <row r="16143" spans="2:9" ht="38.25">
      <c r="B16143" s="3299" t="s">
        <v>680</v>
      </c>
      <c r="C16143" s="3063"/>
      <c r="D16143" s="3064"/>
      <c r="E16143" s="3064"/>
      <c r="F16143" s="3064"/>
      <c r="G16143" s="3300" t="s">
        <v>680</v>
      </c>
      <c r="H16143" s="3063"/>
      <c r="I16143" s="3030"/>
    </row>
    <row r="16144" spans="2:9" ht="25.5">
      <c r="B16144" s="3192" t="s">
        <v>675</v>
      </c>
      <c r="C16144" s="3063"/>
      <c r="D16144" s="3064"/>
      <c r="E16144" s="3064"/>
      <c r="F16144" s="3064"/>
      <c r="G16144" s="3301" t="s">
        <v>675</v>
      </c>
      <c r="H16144" s="3063"/>
      <c r="I16144" s="3030"/>
    </row>
    <row r="16145" spans="2:9" ht="25.5">
      <c r="B16145" s="3192" t="s">
        <v>676</v>
      </c>
      <c r="C16145" s="3063"/>
      <c r="D16145" s="3064"/>
      <c r="E16145" s="3064"/>
      <c r="F16145" s="3064"/>
      <c r="G16145" s="3301" t="s">
        <v>676</v>
      </c>
      <c r="H16145" s="3063"/>
      <c r="I16145" s="3030"/>
    </row>
    <row r="16146" spans="2:9">
      <c r="B16146" s="3192" t="s">
        <v>677</v>
      </c>
      <c r="C16146" s="3063"/>
      <c r="D16146" s="3064"/>
      <c r="E16146" s="3064"/>
      <c r="F16146" s="3064"/>
      <c r="G16146" s="3301" t="s">
        <v>677</v>
      </c>
      <c r="H16146" s="3063"/>
      <c r="I16146" s="3030"/>
    </row>
    <row r="16147" spans="2:9">
      <c r="B16147" s="3192" t="s">
        <v>678</v>
      </c>
      <c r="C16147" s="3063"/>
      <c r="D16147" s="3064"/>
      <c r="E16147" s="3064"/>
      <c r="F16147" s="3064"/>
      <c r="G16147" s="3301" t="s">
        <v>678</v>
      </c>
      <c r="H16147" s="3063"/>
      <c r="I16147" s="3030"/>
    </row>
    <row r="16148" spans="2:9">
      <c r="B16148" s="3192" t="s">
        <v>679</v>
      </c>
      <c r="C16148" s="3063"/>
      <c r="D16148" s="3064"/>
      <c r="E16148" s="3064"/>
      <c r="F16148" s="3064"/>
      <c r="G16148" s="3301" t="s">
        <v>679</v>
      </c>
      <c r="H16148" s="3063"/>
      <c r="I16148" s="3030"/>
    </row>
    <row r="16149" spans="2:9" ht="25.5">
      <c r="B16149" s="3192" t="s">
        <v>720</v>
      </c>
      <c r="C16149" s="3063"/>
      <c r="D16149" s="3064"/>
      <c r="E16149" s="3064"/>
      <c r="F16149" s="3064"/>
      <c r="G16149" s="3301" t="s">
        <v>720</v>
      </c>
      <c r="H16149" s="3063"/>
      <c r="I16149" s="3030"/>
    </row>
    <row r="16150" spans="2:9" ht="38.25">
      <c r="B16150" s="3299" t="s">
        <v>681</v>
      </c>
      <c r="C16150" s="3063"/>
      <c r="D16150" s="3064"/>
      <c r="E16150" s="3064"/>
      <c r="F16150" s="3064"/>
      <c r="G16150" s="3300" t="s">
        <v>681</v>
      </c>
      <c r="H16150" s="3063"/>
      <c r="I16150" s="3030"/>
    </row>
    <row r="16151" spans="2:9" ht="25.5">
      <c r="B16151" s="3192" t="s">
        <v>675</v>
      </c>
      <c r="C16151" s="3063"/>
      <c r="D16151" s="3064"/>
      <c r="E16151" s="3064"/>
      <c r="F16151" s="3064"/>
      <c r="G16151" s="3301" t="s">
        <v>675</v>
      </c>
      <c r="H16151" s="3063"/>
      <c r="I16151" s="3030"/>
    </row>
    <row r="16152" spans="2:9" ht="25.5">
      <c r="B16152" s="3192" t="s">
        <v>676</v>
      </c>
      <c r="C16152" s="3063"/>
      <c r="D16152" s="3064"/>
      <c r="E16152" s="3064"/>
      <c r="F16152" s="3064"/>
      <c r="G16152" s="3301" t="s">
        <v>676</v>
      </c>
      <c r="H16152" s="3063"/>
      <c r="I16152" s="3030"/>
    </row>
    <row r="16153" spans="2:9">
      <c r="B16153" s="3192" t="s">
        <v>677</v>
      </c>
      <c r="C16153" s="3063"/>
      <c r="D16153" s="3064"/>
      <c r="E16153" s="3064"/>
      <c r="F16153" s="3064"/>
      <c r="G16153" s="3301" t="s">
        <v>677</v>
      </c>
      <c r="H16153" s="3063"/>
      <c r="I16153" s="3030"/>
    </row>
    <row r="16154" spans="2:9">
      <c r="B16154" s="3192" t="s">
        <v>678</v>
      </c>
      <c r="C16154" s="3063"/>
      <c r="D16154" s="3064"/>
      <c r="E16154" s="3064"/>
      <c r="F16154" s="3064"/>
      <c r="G16154" s="3301" t="s">
        <v>678</v>
      </c>
      <c r="H16154" s="3063"/>
      <c r="I16154" s="3030"/>
    </row>
    <row r="16155" spans="2:9">
      <c r="B16155" s="3192" t="s">
        <v>679</v>
      </c>
      <c r="C16155" s="3063"/>
      <c r="D16155" s="3064"/>
      <c r="E16155" s="3064"/>
      <c r="F16155" s="3064"/>
      <c r="G16155" s="3301" t="s">
        <v>679</v>
      </c>
      <c r="H16155" s="3063"/>
      <c r="I16155" s="3030"/>
    </row>
    <row r="16156" spans="2:9" ht="25.5">
      <c r="B16156" s="3192" t="s">
        <v>720</v>
      </c>
      <c r="C16156" s="3063"/>
      <c r="D16156" s="3064"/>
      <c r="E16156" s="3064"/>
      <c r="F16156" s="3064"/>
      <c r="G16156" s="3301" t="s">
        <v>720</v>
      </c>
      <c r="H16156" s="3063"/>
      <c r="I16156" s="3030"/>
    </row>
    <row r="16157" spans="2:9" ht="25.5">
      <c r="B16157" s="3299" t="s">
        <v>682</v>
      </c>
      <c r="C16157" s="3063"/>
      <c r="D16157" s="3064"/>
      <c r="E16157" s="3064"/>
      <c r="F16157" s="3064"/>
      <c r="G16157" s="3300" t="s">
        <v>682</v>
      </c>
      <c r="H16157" s="3063"/>
      <c r="I16157" s="3030"/>
    </row>
    <row r="16158" spans="2:9" ht="25.5">
      <c r="B16158" s="3192" t="s">
        <v>675</v>
      </c>
      <c r="C16158" s="3063"/>
      <c r="D16158" s="3064"/>
      <c r="E16158" s="3064"/>
      <c r="F16158" s="3064"/>
      <c r="G16158" s="3301" t="s">
        <v>675</v>
      </c>
      <c r="H16158" s="3063"/>
      <c r="I16158" s="3030"/>
    </row>
    <row r="16159" spans="2:9" ht="25.5">
      <c r="B16159" s="3192" t="s">
        <v>676</v>
      </c>
      <c r="C16159" s="3063"/>
      <c r="D16159" s="3064"/>
      <c r="E16159" s="3064"/>
      <c r="F16159" s="3064"/>
      <c r="G16159" s="3301" t="s">
        <v>676</v>
      </c>
      <c r="H16159" s="3063"/>
      <c r="I16159" s="3030"/>
    </row>
    <row r="16160" spans="2:9">
      <c r="B16160" s="3192" t="s">
        <v>677</v>
      </c>
      <c r="C16160" s="3063"/>
      <c r="D16160" s="3064"/>
      <c r="E16160" s="3064"/>
      <c r="F16160" s="3064"/>
      <c r="G16160" s="3301" t="s">
        <v>677</v>
      </c>
      <c r="H16160" s="3063"/>
      <c r="I16160" s="3030"/>
    </row>
    <row r="16161" spans="2:9">
      <c r="B16161" s="3192" t="s">
        <v>678</v>
      </c>
      <c r="C16161" s="3063"/>
      <c r="D16161" s="3064"/>
      <c r="E16161" s="3064"/>
      <c r="F16161" s="3064"/>
      <c r="G16161" s="3301" t="s">
        <v>678</v>
      </c>
      <c r="H16161" s="3063"/>
      <c r="I16161" s="3030"/>
    </row>
    <row r="16162" spans="2:9">
      <c r="B16162" s="3192" t="s">
        <v>679</v>
      </c>
      <c r="C16162" s="3063"/>
      <c r="D16162" s="3064"/>
      <c r="E16162" s="3064"/>
      <c r="F16162" s="3064"/>
      <c r="G16162" s="3301" t="s">
        <v>679</v>
      </c>
      <c r="H16162" s="3063"/>
      <c r="I16162" s="3030"/>
    </row>
    <row r="16163" spans="2:9" ht="25.5">
      <c r="B16163" s="3192" t="s">
        <v>720</v>
      </c>
      <c r="C16163" s="3063"/>
      <c r="D16163" s="3064"/>
      <c r="E16163" s="3064"/>
      <c r="F16163" s="3064"/>
      <c r="G16163" s="3301" t="s">
        <v>720</v>
      </c>
      <c r="H16163" s="3063"/>
      <c r="I16163" s="3030"/>
    </row>
    <row r="16164" spans="2:9" ht="25.5">
      <c r="B16164" s="3299" t="s">
        <v>66</v>
      </c>
      <c r="C16164" s="3063"/>
      <c r="D16164" s="3064"/>
      <c r="E16164" s="3064"/>
      <c r="F16164" s="3064"/>
      <c r="G16164" s="3300" t="s">
        <v>66</v>
      </c>
      <c r="H16164" s="3063"/>
      <c r="I16164" s="3030"/>
    </row>
    <row r="16165" spans="2:9" ht="25.5">
      <c r="B16165" s="3192" t="s">
        <v>675</v>
      </c>
      <c r="C16165" s="3063"/>
      <c r="D16165" s="3064"/>
      <c r="E16165" s="3064"/>
      <c r="F16165" s="3064"/>
      <c r="G16165" s="3301" t="s">
        <v>675</v>
      </c>
      <c r="H16165" s="3063"/>
      <c r="I16165" s="3030"/>
    </row>
    <row r="16166" spans="2:9" ht="25.5">
      <c r="B16166" s="3192" t="s">
        <v>676</v>
      </c>
      <c r="C16166" s="3063"/>
      <c r="D16166" s="3064"/>
      <c r="E16166" s="3064"/>
      <c r="F16166" s="3064"/>
      <c r="G16166" s="3301" t="s">
        <v>676</v>
      </c>
      <c r="H16166" s="3063"/>
      <c r="I16166" s="3030"/>
    </row>
    <row r="16167" spans="2:9">
      <c r="B16167" s="3192" t="s">
        <v>677</v>
      </c>
      <c r="C16167" s="3063"/>
      <c r="D16167" s="3064"/>
      <c r="E16167" s="3064"/>
      <c r="F16167" s="3064"/>
      <c r="G16167" s="3301" t="s">
        <v>677</v>
      </c>
      <c r="H16167" s="3063"/>
      <c r="I16167" s="3030"/>
    </row>
    <row r="16168" spans="2:9">
      <c r="B16168" s="3192" t="s">
        <v>678</v>
      </c>
      <c r="C16168" s="3063"/>
      <c r="D16168" s="3064"/>
      <c r="E16168" s="3064"/>
      <c r="F16168" s="3064"/>
      <c r="G16168" s="3301" t="s">
        <v>678</v>
      </c>
      <c r="H16168" s="3063"/>
      <c r="I16168" s="3030"/>
    </row>
    <row r="16169" spans="2:9">
      <c r="B16169" s="3192" t="s">
        <v>679</v>
      </c>
      <c r="C16169" s="3063"/>
      <c r="D16169" s="3064"/>
      <c r="E16169" s="3064"/>
      <c r="F16169" s="3064"/>
      <c r="G16169" s="3301" t="s">
        <v>679</v>
      </c>
      <c r="H16169" s="3063"/>
      <c r="I16169" s="3030"/>
    </row>
    <row r="16170" spans="2:9" ht="25.5">
      <c r="B16170" s="3192" t="s">
        <v>720</v>
      </c>
      <c r="C16170" s="3063"/>
      <c r="D16170" s="3064"/>
      <c r="E16170" s="3064"/>
      <c r="F16170" s="3064"/>
      <c r="G16170" s="3301" t="s">
        <v>720</v>
      </c>
      <c r="H16170" s="3063"/>
      <c r="I16170" s="3030"/>
    </row>
    <row r="16171" spans="2:9">
      <c r="B16171" s="3299" t="s">
        <v>67</v>
      </c>
      <c r="C16171" s="3063"/>
      <c r="D16171" s="3064"/>
      <c r="E16171" s="3064"/>
      <c r="F16171" s="3064"/>
      <c r="G16171" s="3300" t="s">
        <v>67</v>
      </c>
      <c r="H16171" s="3063"/>
      <c r="I16171" s="3030"/>
    </row>
    <row r="16172" spans="2:9" ht="25.5">
      <c r="B16172" s="3192" t="s">
        <v>675</v>
      </c>
      <c r="C16172" s="3063"/>
      <c r="D16172" s="3064"/>
      <c r="E16172" s="3064"/>
      <c r="F16172" s="3064"/>
      <c r="G16172" s="3301" t="s">
        <v>675</v>
      </c>
      <c r="H16172" s="3063"/>
      <c r="I16172" s="3030"/>
    </row>
    <row r="16173" spans="2:9" ht="25.5">
      <c r="B16173" s="3192" t="s">
        <v>676</v>
      </c>
      <c r="C16173" s="3063"/>
      <c r="D16173" s="3064"/>
      <c r="E16173" s="3064"/>
      <c r="F16173" s="3064"/>
      <c r="G16173" s="3301" t="s">
        <v>676</v>
      </c>
      <c r="H16173" s="3063"/>
      <c r="I16173" s="3030"/>
    </row>
    <row r="16174" spans="2:9">
      <c r="B16174" s="3192" t="s">
        <v>677</v>
      </c>
      <c r="C16174" s="3063"/>
      <c r="D16174" s="3064"/>
      <c r="E16174" s="3064"/>
      <c r="F16174" s="3064"/>
      <c r="G16174" s="3301" t="s">
        <v>677</v>
      </c>
      <c r="H16174" s="3063"/>
      <c r="I16174" s="3030"/>
    </row>
    <row r="16175" spans="2:9">
      <c r="B16175" s="3192" t="s">
        <v>678</v>
      </c>
      <c r="C16175" s="3063"/>
      <c r="D16175" s="3064"/>
      <c r="E16175" s="3064"/>
      <c r="F16175" s="3064"/>
      <c r="G16175" s="3301" t="s">
        <v>678</v>
      </c>
      <c r="H16175" s="3063"/>
      <c r="I16175" s="3030"/>
    </row>
    <row r="16176" spans="2:9">
      <c r="B16176" s="3192" t="s">
        <v>679</v>
      </c>
      <c r="C16176" s="3063"/>
      <c r="D16176" s="3064"/>
      <c r="E16176" s="3064"/>
      <c r="F16176" s="3064"/>
      <c r="G16176" s="3301" t="s">
        <v>679</v>
      </c>
      <c r="H16176" s="3063"/>
      <c r="I16176" s="3030"/>
    </row>
    <row r="16177" spans="2:9" ht="25.5">
      <c r="B16177" s="3192" t="s">
        <v>720</v>
      </c>
      <c r="C16177" s="3063"/>
      <c r="D16177" s="3064"/>
      <c r="E16177" s="3064"/>
      <c r="F16177" s="3064"/>
      <c r="G16177" s="3301" t="s">
        <v>720</v>
      </c>
      <c r="H16177" s="3063"/>
      <c r="I16177" s="3030"/>
    </row>
    <row r="16178" spans="2:9" ht="25.5">
      <c r="B16178" s="3230" t="s">
        <v>81</v>
      </c>
      <c r="C16178" s="3063"/>
      <c r="D16178" s="3064"/>
      <c r="E16178" s="3064"/>
      <c r="F16178" s="3064"/>
      <c r="G16178" s="3302" t="s">
        <v>81</v>
      </c>
      <c r="H16178" s="3063"/>
      <c r="I16178" s="3030"/>
    </row>
    <row r="16179" spans="2:9" ht="26.25" thickBot="1">
      <c r="B16179" s="3303" t="s">
        <v>81</v>
      </c>
      <c r="C16179" s="3063"/>
      <c r="D16179" s="3064"/>
      <c r="E16179" s="3064"/>
      <c r="F16179" s="3064"/>
      <c r="G16179" s="3302" t="s">
        <v>81</v>
      </c>
      <c r="H16179" s="3063"/>
      <c r="I16179" s="3030"/>
    </row>
    <row r="16180" spans="2:9" ht="25.5">
      <c r="B16180" s="3217" t="s">
        <v>696</v>
      </c>
      <c r="C16180" s="3218"/>
      <c r="D16180" s="3219"/>
      <c r="E16180" s="3219"/>
      <c r="F16180" s="3219"/>
      <c r="G16180" s="3217" t="s">
        <v>696</v>
      </c>
      <c r="H16180" s="3297"/>
      <c r="I16180" s="3298"/>
    </row>
    <row r="16181" spans="2:9">
      <c r="B16181" s="3299" t="s">
        <v>64</v>
      </c>
      <c r="C16181" s="3063"/>
      <c r="D16181" s="3064"/>
      <c r="E16181" s="3064"/>
      <c r="F16181" s="3064"/>
      <c r="G16181" s="3300" t="s">
        <v>64</v>
      </c>
      <c r="H16181" s="3063"/>
      <c r="I16181" s="3030"/>
    </row>
    <row r="16182" spans="2:9" ht="25.5">
      <c r="B16182" s="3192" t="s">
        <v>675</v>
      </c>
      <c r="C16182" s="3063"/>
      <c r="D16182" s="3064"/>
      <c r="E16182" s="3064"/>
      <c r="F16182" s="3064"/>
      <c r="G16182" s="3301" t="s">
        <v>675</v>
      </c>
      <c r="H16182" s="3063"/>
      <c r="I16182" s="3030"/>
    </row>
    <row r="16183" spans="2:9" ht="25.5">
      <c r="B16183" s="3192" t="s">
        <v>676</v>
      </c>
      <c r="C16183" s="3063"/>
      <c r="D16183" s="3064"/>
      <c r="E16183" s="3064"/>
      <c r="F16183" s="3064"/>
      <c r="G16183" s="3301" t="s">
        <v>676</v>
      </c>
      <c r="H16183" s="3063"/>
      <c r="I16183" s="3030"/>
    </row>
    <row r="16184" spans="2:9">
      <c r="B16184" s="3192" t="s">
        <v>677</v>
      </c>
      <c r="C16184" s="3063"/>
      <c r="D16184" s="3064"/>
      <c r="E16184" s="3064"/>
      <c r="F16184" s="3064"/>
      <c r="G16184" s="3301" t="s">
        <v>677</v>
      </c>
      <c r="H16184" s="3063"/>
      <c r="I16184" s="3030"/>
    </row>
    <row r="16185" spans="2:9">
      <c r="B16185" s="3192" t="s">
        <v>678</v>
      </c>
      <c r="C16185" s="3063"/>
      <c r="D16185" s="3064"/>
      <c r="E16185" s="3064"/>
      <c r="F16185" s="3064"/>
      <c r="G16185" s="3301" t="s">
        <v>678</v>
      </c>
      <c r="H16185" s="3063"/>
      <c r="I16185" s="3030"/>
    </row>
    <row r="16186" spans="2:9">
      <c r="B16186" s="3192" t="s">
        <v>679</v>
      </c>
      <c r="C16186" s="3063"/>
      <c r="D16186" s="3064"/>
      <c r="E16186" s="3064"/>
      <c r="F16186" s="3064"/>
      <c r="G16186" s="3301" t="s">
        <v>679</v>
      </c>
      <c r="H16186" s="3063"/>
      <c r="I16186" s="3030"/>
    </row>
    <row r="16187" spans="2:9" ht="25.5">
      <c r="B16187" s="3192" t="s">
        <v>720</v>
      </c>
      <c r="C16187" s="3063"/>
      <c r="D16187" s="3064"/>
      <c r="E16187" s="3064"/>
      <c r="F16187" s="3064"/>
      <c r="G16187" s="3301" t="s">
        <v>720</v>
      </c>
      <c r="H16187" s="3063"/>
      <c r="I16187" s="3030"/>
    </row>
    <row r="16188" spans="2:9">
      <c r="B16188" s="3299" t="s">
        <v>65</v>
      </c>
      <c r="C16188" s="3063"/>
      <c r="D16188" s="3064"/>
      <c r="E16188" s="3064"/>
      <c r="F16188" s="3064"/>
      <c r="G16188" s="3300" t="s">
        <v>65</v>
      </c>
      <c r="H16188" s="3063"/>
      <c r="I16188" s="3030"/>
    </row>
    <row r="16189" spans="2:9" ht="25.5">
      <c r="B16189" s="3192" t="s">
        <v>675</v>
      </c>
      <c r="C16189" s="3063"/>
      <c r="D16189" s="3064"/>
      <c r="E16189" s="3064"/>
      <c r="F16189" s="3064"/>
      <c r="G16189" s="3301" t="s">
        <v>675</v>
      </c>
      <c r="H16189" s="3063"/>
      <c r="I16189" s="3030"/>
    </row>
    <row r="16190" spans="2:9" ht="25.5">
      <c r="B16190" s="3192" t="s">
        <v>676</v>
      </c>
      <c r="C16190" s="3063"/>
      <c r="D16190" s="3064"/>
      <c r="E16190" s="3064"/>
      <c r="F16190" s="3064"/>
      <c r="G16190" s="3301" t="s">
        <v>676</v>
      </c>
      <c r="H16190" s="3063"/>
      <c r="I16190" s="3030"/>
    </row>
    <row r="16191" spans="2:9">
      <c r="B16191" s="3192" t="s">
        <v>677</v>
      </c>
      <c r="C16191" s="3063"/>
      <c r="D16191" s="3064"/>
      <c r="E16191" s="3064"/>
      <c r="F16191" s="3064"/>
      <c r="G16191" s="3301" t="s">
        <v>677</v>
      </c>
      <c r="H16191" s="3063"/>
      <c r="I16191" s="3030"/>
    </row>
    <row r="16192" spans="2:9">
      <c r="B16192" s="3192" t="s">
        <v>678</v>
      </c>
      <c r="C16192" s="3063"/>
      <c r="D16192" s="3064"/>
      <c r="E16192" s="3064"/>
      <c r="F16192" s="3064"/>
      <c r="G16192" s="3301" t="s">
        <v>678</v>
      </c>
      <c r="H16192" s="3063"/>
      <c r="I16192" s="3030"/>
    </row>
    <row r="16193" spans="2:9">
      <c r="B16193" s="3192" t="s">
        <v>679</v>
      </c>
      <c r="C16193" s="3063"/>
      <c r="D16193" s="3064"/>
      <c r="E16193" s="3064"/>
      <c r="F16193" s="3064"/>
      <c r="G16193" s="3301" t="s">
        <v>679</v>
      </c>
      <c r="H16193" s="3063"/>
      <c r="I16193" s="3030"/>
    </row>
    <row r="16194" spans="2:9" ht="25.5">
      <c r="B16194" s="3192" t="s">
        <v>720</v>
      </c>
      <c r="C16194" s="3063"/>
      <c r="D16194" s="3064"/>
      <c r="E16194" s="3064"/>
      <c r="F16194" s="3064"/>
      <c r="G16194" s="3301" t="s">
        <v>720</v>
      </c>
      <c r="H16194" s="3063"/>
      <c r="I16194" s="3030"/>
    </row>
    <row r="16195" spans="2:9">
      <c r="B16195" s="3299" t="s">
        <v>82</v>
      </c>
      <c r="C16195" s="3063"/>
      <c r="D16195" s="3064"/>
      <c r="E16195" s="3064"/>
      <c r="F16195" s="3064"/>
      <c r="G16195" s="3300" t="s">
        <v>82</v>
      </c>
      <c r="H16195" s="3063"/>
      <c r="I16195" s="3030"/>
    </row>
    <row r="16196" spans="2:9" ht="25.5">
      <c r="B16196" s="3192" t="s">
        <v>675</v>
      </c>
      <c r="C16196" s="3063"/>
      <c r="D16196" s="3064"/>
      <c r="E16196" s="3064"/>
      <c r="F16196" s="3064"/>
      <c r="G16196" s="3301" t="s">
        <v>675</v>
      </c>
      <c r="H16196" s="3063"/>
      <c r="I16196" s="3030"/>
    </row>
    <row r="16197" spans="2:9" ht="25.5">
      <c r="B16197" s="3192" t="s">
        <v>676</v>
      </c>
      <c r="C16197" s="3063"/>
      <c r="D16197" s="3064"/>
      <c r="E16197" s="3064"/>
      <c r="F16197" s="3064"/>
      <c r="G16197" s="3301" t="s">
        <v>676</v>
      </c>
      <c r="H16197" s="3063"/>
      <c r="I16197" s="3030"/>
    </row>
    <row r="16198" spans="2:9">
      <c r="B16198" s="3192" t="s">
        <v>677</v>
      </c>
      <c r="C16198" s="3063"/>
      <c r="D16198" s="3064"/>
      <c r="E16198" s="3064"/>
      <c r="F16198" s="3064"/>
      <c r="G16198" s="3301" t="s">
        <v>677</v>
      </c>
      <c r="H16198" s="3063"/>
      <c r="I16198" s="3030"/>
    </row>
    <row r="16199" spans="2:9">
      <c r="B16199" s="3192" t="s">
        <v>678</v>
      </c>
      <c r="C16199" s="3063"/>
      <c r="D16199" s="3064"/>
      <c r="E16199" s="3064"/>
      <c r="F16199" s="3064"/>
      <c r="G16199" s="3301" t="s">
        <v>678</v>
      </c>
      <c r="H16199" s="3063"/>
      <c r="I16199" s="3030"/>
    </row>
    <row r="16200" spans="2:9">
      <c r="B16200" s="3192" t="s">
        <v>679</v>
      </c>
      <c r="C16200" s="3063"/>
      <c r="D16200" s="3064"/>
      <c r="E16200" s="3064"/>
      <c r="F16200" s="3064"/>
      <c r="G16200" s="3301" t="s">
        <v>679</v>
      </c>
      <c r="H16200" s="3063"/>
      <c r="I16200" s="3030"/>
    </row>
    <row r="16201" spans="2:9" ht="25.5">
      <c r="B16201" s="3192" t="s">
        <v>720</v>
      </c>
      <c r="C16201" s="3063"/>
      <c r="D16201" s="3064"/>
      <c r="E16201" s="3064"/>
      <c r="F16201" s="3064"/>
      <c r="G16201" s="3301" t="s">
        <v>720</v>
      </c>
      <c r="H16201" s="3063"/>
      <c r="I16201" s="3030"/>
    </row>
    <row r="16202" spans="2:9" ht="38.25">
      <c r="B16202" s="3299" t="s">
        <v>680</v>
      </c>
      <c r="C16202" s="3063"/>
      <c r="D16202" s="3064"/>
      <c r="E16202" s="3064"/>
      <c r="F16202" s="3064"/>
      <c r="G16202" s="3300" t="s">
        <v>680</v>
      </c>
      <c r="H16202" s="3063"/>
      <c r="I16202" s="3030"/>
    </row>
    <row r="16203" spans="2:9" ht="25.5">
      <c r="B16203" s="3192" t="s">
        <v>675</v>
      </c>
      <c r="C16203" s="3063"/>
      <c r="D16203" s="3064"/>
      <c r="E16203" s="3064"/>
      <c r="F16203" s="3064"/>
      <c r="G16203" s="3301" t="s">
        <v>675</v>
      </c>
      <c r="H16203" s="3063"/>
      <c r="I16203" s="3030"/>
    </row>
    <row r="16204" spans="2:9" ht="25.5">
      <c r="B16204" s="3192" t="s">
        <v>676</v>
      </c>
      <c r="C16204" s="3063"/>
      <c r="D16204" s="3064"/>
      <c r="E16204" s="3064"/>
      <c r="F16204" s="3064"/>
      <c r="G16204" s="3301" t="s">
        <v>676</v>
      </c>
      <c r="H16204" s="3063"/>
      <c r="I16204" s="3030"/>
    </row>
    <row r="16205" spans="2:9">
      <c r="B16205" s="3192" t="s">
        <v>677</v>
      </c>
      <c r="C16205" s="3063"/>
      <c r="D16205" s="3064"/>
      <c r="E16205" s="3064"/>
      <c r="F16205" s="3064"/>
      <c r="G16205" s="3301" t="s">
        <v>677</v>
      </c>
      <c r="H16205" s="3063"/>
      <c r="I16205" s="3030"/>
    </row>
    <row r="16206" spans="2:9">
      <c r="B16206" s="3192" t="s">
        <v>678</v>
      </c>
      <c r="C16206" s="3063"/>
      <c r="D16206" s="3064"/>
      <c r="E16206" s="3064"/>
      <c r="F16206" s="3064"/>
      <c r="G16206" s="3301" t="s">
        <v>678</v>
      </c>
      <c r="H16206" s="3063"/>
      <c r="I16206" s="3030"/>
    </row>
    <row r="16207" spans="2:9">
      <c r="B16207" s="3192" t="s">
        <v>679</v>
      </c>
      <c r="C16207" s="3063"/>
      <c r="D16207" s="3064"/>
      <c r="E16207" s="3064"/>
      <c r="F16207" s="3064"/>
      <c r="G16207" s="3301" t="s">
        <v>679</v>
      </c>
      <c r="H16207" s="3063"/>
      <c r="I16207" s="3030"/>
    </row>
    <row r="16208" spans="2:9" ht="25.5">
      <c r="B16208" s="3192" t="s">
        <v>720</v>
      </c>
      <c r="C16208" s="3063"/>
      <c r="D16208" s="3064"/>
      <c r="E16208" s="3064"/>
      <c r="F16208" s="3064"/>
      <c r="G16208" s="3301" t="s">
        <v>720</v>
      </c>
      <c r="H16208" s="3063"/>
      <c r="I16208" s="3030"/>
    </row>
    <row r="16209" spans="2:9" ht="38.25">
      <c r="B16209" s="3299" t="s">
        <v>681</v>
      </c>
      <c r="C16209" s="3063"/>
      <c r="D16209" s="3064"/>
      <c r="E16209" s="3064"/>
      <c r="F16209" s="3064"/>
      <c r="G16209" s="3300" t="s">
        <v>681</v>
      </c>
      <c r="H16209" s="3063"/>
      <c r="I16209" s="3030"/>
    </row>
    <row r="16210" spans="2:9" ht="25.5">
      <c r="B16210" s="3192" t="s">
        <v>675</v>
      </c>
      <c r="C16210" s="3063"/>
      <c r="D16210" s="3064"/>
      <c r="E16210" s="3064"/>
      <c r="F16210" s="3064"/>
      <c r="G16210" s="3301" t="s">
        <v>675</v>
      </c>
      <c r="H16210" s="3063"/>
      <c r="I16210" s="3030"/>
    </row>
    <row r="16211" spans="2:9" ht="25.5">
      <c r="B16211" s="3192" t="s">
        <v>676</v>
      </c>
      <c r="C16211" s="3063"/>
      <c r="D16211" s="3064"/>
      <c r="E16211" s="3064"/>
      <c r="F16211" s="3064"/>
      <c r="G16211" s="3301" t="s">
        <v>676</v>
      </c>
      <c r="H16211" s="3063"/>
      <c r="I16211" s="3030"/>
    </row>
    <row r="16212" spans="2:9">
      <c r="B16212" s="3192" t="s">
        <v>677</v>
      </c>
      <c r="C16212" s="3063"/>
      <c r="D16212" s="3064"/>
      <c r="E16212" s="3064"/>
      <c r="F16212" s="3064"/>
      <c r="G16212" s="3301" t="s">
        <v>677</v>
      </c>
      <c r="H16212" s="3063"/>
      <c r="I16212" s="3030"/>
    </row>
    <row r="16213" spans="2:9">
      <c r="B16213" s="3192" t="s">
        <v>678</v>
      </c>
      <c r="C16213" s="3063"/>
      <c r="D16213" s="3064"/>
      <c r="E16213" s="3064"/>
      <c r="F16213" s="3064"/>
      <c r="G16213" s="3301" t="s">
        <v>678</v>
      </c>
      <c r="H16213" s="3063"/>
      <c r="I16213" s="3030"/>
    </row>
    <row r="16214" spans="2:9">
      <c r="B16214" s="3192" t="s">
        <v>679</v>
      </c>
      <c r="C16214" s="3063"/>
      <c r="D16214" s="3064"/>
      <c r="E16214" s="3064"/>
      <c r="F16214" s="3064"/>
      <c r="G16214" s="3301" t="s">
        <v>679</v>
      </c>
      <c r="H16214" s="3063"/>
      <c r="I16214" s="3030"/>
    </row>
    <row r="16215" spans="2:9" ht="25.5">
      <c r="B16215" s="3192" t="s">
        <v>720</v>
      </c>
      <c r="C16215" s="3063"/>
      <c r="D16215" s="3064"/>
      <c r="E16215" s="3064"/>
      <c r="F16215" s="3064"/>
      <c r="G16215" s="3301" t="s">
        <v>720</v>
      </c>
      <c r="H16215" s="3063"/>
      <c r="I16215" s="3030"/>
    </row>
    <row r="16216" spans="2:9" ht="25.5">
      <c r="B16216" s="3299" t="s">
        <v>682</v>
      </c>
      <c r="C16216" s="3063"/>
      <c r="D16216" s="3064"/>
      <c r="E16216" s="3064"/>
      <c r="F16216" s="3064"/>
      <c r="G16216" s="3300" t="s">
        <v>682</v>
      </c>
      <c r="H16216" s="3063"/>
      <c r="I16216" s="3030"/>
    </row>
    <row r="16217" spans="2:9" ht="25.5">
      <c r="B16217" s="3192" t="s">
        <v>675</v>
      </c>
      <c r="C16217" s="3063"/>
      <c r="D16217" s="3064"/>
      <c r="E16217" s="3064"/>
      <c r="F16217" s="3064"/>
      <c r="G16217" s="3301" t="s">
        <v>675</v>
      </c>
      <c r="H16217" s="3063"/>
      <c r="I16217" s="3030"/>
    </row>
    <row r="16218" spans="2:9" ht="25.5">
      <c r="B16218" s="3192" t="s">
        <v>676</v>
      </c>
      <c r="C16218" s="3063"/>
      <c r="D16218" s="3064"/>
      <c r="E16218" s="3064"/>
      <c r="F16218" s="3064"/>
      <c r="G16218" s="3301" t="s">
        <v>676</v>
      </c>
      <c r="H16218" s="3063"/>
      <c r="I16218" s="3030"/>
    </row>
    <row r="16219" spans="2:9">
      <c r="B16219" s="3192" t="s">
        <v>677</v>
      </c>
      <c r="C16219" s="3063"/>
      <c r="D16219" s="3064"/>
      <c r="E16219" s="3064"/>
      <c r="F16219" s="3064"/>
      <c r="G16219" s="3301" t="s">
        <v>677</v>
      </c>
      <c r="H16219" s="3063"/>
      <c r="I16219" s="3030"/>
    </row>
    <row r="16220" spans="2:9">
      <c r="B16220" s="3192" t="s">
        <v>678</v>
      </c>
      <c r="C16220" s="3063"/>
      <c r="D16220" s="3064"/>
      <c r="E16220" s="3064"/>
      <c r="F16220" s="3064"/>
      <c r="G16220" s="3301" t="s">
        <v>678</v>
      </c>
      <c r="H16220" s="3063"/>
      <c r="I16220" s="3030"/>
    </row>
    <row r="16221" spans="2:9">
      <c r="B16221" s="3192" t="s">
        <v>679</v>
      </c>
      <c r="C16221" s="3063"/>
      <c r="D16221" s="3064"/>
      <c r="E16221" s="3064"/>
      <c r="F16221" s="3064"/>
      <c r="G16221" s="3301" t="s">
        <v>679</v>
      </c>
      <c r="H16221" s="3063"/>
      <c r="I16221" s="3030"/>
    </row>
    <row r="16222" spans="2:9" ht="25.5">
      <c r="B16222" s="3192" t="s">
        <v>720</v>
      </c>
      <c r="C16222" s="3063"/>
      <c r="D16222" s="3064"/>
      <c r="E16222" s="3064"/>
      <c r="F16222" s="3064"/>
      <c r="G16222" s="3301" t="s">
        <v>720</v>
      </c>
      <c r="H16222" s="3063"/>
      <c r="I16222" s="3030"/>
    </row>
    <row r="16223" spans="2:9" ht="25.5">
      <c r="B16223" s="3299" t="s">
        <v>66</v>
      </c>
      <c r="C16223" s="3063"/>
      <c r="D16223" s="3064"/>
      <c r="E16223" s="3064"/>
      <c r="F16223" s="3064"/>
      <c r="G16223" s="3300" t="s">
        <v>66</v>
      </c>
      <c r="H16223" s="3063"/>
      <c r="I16223" s="3030"/>
    </row>
    <row r="16224" spans="2:9" ht="25.5">
      <c r="B16224" s="3192" t="s">
        <v>675</v>
      </c>
      <c r="C16224" s="3063"/>
      <c r="D16224" s="3064"/>
      <c r="E16224" s="3064"/>
      <c r="F16224" s="3064"/>
      <c r="G16224" s="3301" t="s">
        <v>675</v>
      </c>
      <c r="H16224" s="3063"/>
      <c r="I16224" s="3030"/>
    </row>
    <row r="16225" spans="2:9" ht="25.5">
      <c r="B16225" s="3192" t="s">
        <v>676</v>
      </c>
      <c r="C16225" s="3063"/>
      <c r="D16225" s="3064"/>
      <c r="E16225" s="3064"/>
      <c r="F16225" s="3064"/>
      <c r="G16225" s="3301" t="s">
        <v>676</v>
      </c>
      <c r="H16225" s="3063"/>
      <c r="I16225" s="3030"/>
    </row>
    <row r="16226" spans="2:9">
      <c r="B16226" s="3192" t="s">
        <v>677</v>
      </c>
      <c r="C16226" s="3063"/>
      <c r="D16226" s="3064"/>
      <c r="E16226" s="3064"/>
      <c r="F16226" s="3064"/>
      <c r="G16226" s="3301" t="s">
        <v>677</v>
      </c>
      <c r="H16226" s="3063"/>
      <c r="I16226" s="3030"/>
    </row>
    <row r="16227" spans="2:9">
      <c r="B16227" s="3192" t="s">
        <v>678</v>
      </c>
      <c r="C16227" s="3063"/>
      <c r="D16227" s="3064"/>
      <c r="E16227" s="3064"/>
      <c r="F16227" s="3064"/>
      <c r="G16227" s="3301" t="s">
        <v>678</v>
      </c>
      <c r="H16227" s="3063"/>
      <c r="I16227" s="3030"/>
    </row>
    <row r="16228" spans="2:9">
      <c r="B16228" s="3192" t="s">
        <v>679</v>
      </c>
      <c r="C16228" s="3063"/>
      <c r="D16228" s="3064"/>
      <c r="E16228" s="3064"/>
      <c r="F16228" s="3064"/>
      <c r="G16228" s="3301" t="s">
        <v>679</v>
      </c>
      <c r="H16228" s="3063"/>
      <c r="I16228" s="3030"/>
    </row>
    <row r="16229" spans="2:9" ht="25.5">
      <c r="B16229" s="3192" t="s">
        <v>720</v>
      </c>
      <c r="C16229" s="3063"/>
      <c r="D16229" s="3064"/>
      <c r="E16229" s="3064"/>
      <c r="F16229" s="3064"/>
      <c r="G16229" s="3301" t="s">
        <v>720</v>
      </c>
      <c r="H16229" s="3063"/>
      <c r="I16229" s="3030"/>
    </row>
    <row r="16230" spans="2:9">
      <c r="B16230" s="3299" t="s">
        <v>67</v>
      </c>
      <c r="C16230" s="3063"/>
      <c r="D16230" s="3064"/>
      <c r="E16230" s="3064"/>
      <c r="F16230" s="3064"/>
      <c r="G16230" s="3300" t="s">
        <v>67</v>
      </c>
      <c r="H16230" s="3063"/>
      <c r="I16230" s="3030"/>
    </row>
    <row r="16231" spans="2:9" ht="25.5">
      <c r="B16231" s="3192" t="s">
        <v>675</v>
      </c>
      <c r="C16231" s="3063"/>
      <c r="D16231" s="3064"/>
      <c r="E16231" s="3064"/>
      <c r="F16231" s="3064"/>
      <c r="G16231" s="3301" t="s">
        <v>675</v>
      </c>
      <c r="H16231" s="3063"/>
      <c r="I16231" s="3030"/>
    </row>
    <row r="16232" spans="2:9" ht="25.5">
      <c r="B16232" s="3192" t="s">
        <v>676</v>
      </c>
      <c r="C16232" s="3063"/>
      <c r="D16232" s="3064"/>
      <c r="E16232" s="3064"/>
      <c r="F16232" s="3064"/>
      <c r="G16232" s="3301" t="s">
        <v>676</v>
      </c>
      <c r="H16232" s="3063"/>
      <c r="I16232" s="3030"/>
    </row>
    <row r="16233" spans="2:9">
      <c r="B16233" s="3192" t="s">
        <v>677</v>
      </c>
      <c r="C16233" s="3063"/>
      <c r="D16233" s="3064"/>
      <c r="E16233" s="3064"/>
      <c r="F16233" s="3064"/>
      <c r="G16233" s="3301" t="s">
        <v>677</v>
      </c>
      <c r="H16233" s="3063"/>
      <c r="I16233" s="3030"/>
    </row>
    <row r="16234" spans="2:9">
      <c r="B16234" s="3192" t="s">
        <v>678</v>
      </c>
      <c r="C16234" s="3063"/>
      <c r="D16234" s="3064"/>
      <c r="E16234" s="3064"/>
      <c r="F16234" s="3064"/>
      <c r="G16234" s="3301" t="s">
        <v>678</v>
      </c>
      <c r="H16234" s="3063"/>
      <c r="I16234" s="3030"/>
    </row>
    <row r="16235" spans="2:9">
      <c r="B16235" s="3192" t="s">
        <v>679</v>
      </c>
      <c r="C16235" s="3063"/>
      <c r="D16235" s="3064"/>
      <c r="E16235" s="3064"/>
      <c r="F16235" s="3064"/>
      <c r="G16235" s="3301" t="s">
        <v>679</v>
      </c>
      <c r="H16235" s="3063"/>
      <c r="I16235" s="3030"/>
    </row>
    <row r="16236" spans="2:9" ht="25.5">
      <c r="B16236" s="3230" t="s">
        <v>81</v>
      </c>
      <c r="C16236" s="3063"/>
      <c r="D16236" s="3064"/>
      <c r="E16236" s="3064"/>
      <c r="F16236" s="3064"/>
      <c r="G16236" s="3302" t="s">
        <v>81</v>
      </c>
      <c r="H16236" s="3063"/>
      <c r="I16236" s="3030"/>
    </row>
    <row r="16237" spans="2:9" ht="26.25" thickBot="1">
      <c r="B16237" s="3303" t="s">
        <v>81</v>
      </c>
      <c r="C16237" s="3063"/>
      <c r="D16237" s="3064"/>
      <c r="E16237" s="3064"/>
      <c r="F16237" s="3064"/>
      <c r="G16237" s="3302" t="s">
        <v>81</v>
      </c>
      <c r="H16237" s="3063"/>
      <c r="I16237" s="3030"/>
    </row>
    <row r="16238" spans="2:9">
      <c r="B16238" s="3217" t="s">
        <v>697</v>
      </c>
      <c r="C16238" s="3218"/>
      <c r="D16238" s="3219"/>
      <c r="E16238" s="3219"/>
      <c r="F16238" s="3219"/>
      <c r="G16238" s="3217" t="s">
        <v>697</v>
      </c>
      <c r="H16238" s="3297"/>
      <c r="I16238" s="3298"/>
    </row>
    <row r="16239" spans="2:9">
      <c r="B16239" s="3299" t="s">
        <v>64</v>
      </c>
      <c r="C16239" s="3063"/>
      <c r="D16239" s="3064"/>
      <c r="E16239" s="3064"/>
      <c r="F16239" s="3064"/>
      <c r="G16239" s="3300" t="s">
        <v>64</v>
      </c>
      <c r="H16239" s="3063"/>
      <c r="I16239" s="3030"/>
    </row>
    <row r="16240" spans="2:9" ht="25.5">
      <c r="B16240" s="3192" t="s">
        <v>675</v>
      </c>
      <c r="C16240" s="3063"/>
      <c r="D16240" s="3064"/>
      <c r="E16240" s="3064"/>
      <c r="F16240" s="3064"/>
      <c r="G16240" s="3301" t="s">
        <v>675</v>
      </c>
      <c r="H16240" s="3063"/>
      <c r="I16240" s="3030"/>
    </row>
    <row r="16241" spans="2:9" ht="25.5">
      <c r="B16241" s="3192" t="s">
        <v>676</v>
      </c>
      <c r="C16241" s="3063"/>
      <c r="D16241" s="3064"/>
      <c r="E16241" s="3064"/>
      <c r="F16241" s="3064"/>
      <c r="G16241" s="3301" t="s">
        <v>676</v>
      </c>
      <c r="H16241" s="3063"/>
      <c r="I16241" s="3030"/>
    </row>
    <row r="16242" spans="2:9">
      <c r="B16242" s="3192" t="s">
        <v>677</v>
      </c>
      <c r="C16242" s="3063"/>
      <c r="D16242" s="3064"/>
      <c r="E16242" s="3064"/>
      <c r="F16242" s="3064"/>
      <c r="G16242" s="3301" t="s">
        <v>677</v>
      </c>
      <c r="H16242" s="3063"/>
      <c r="I16242" s="3030"/>
    </row>
    <row r="16243" spans="2:9">
      <c r="B16243" s="3192" t="s">
        <v>678</v>
      </c>
      <c r="C16243" s="3063"/>
      <c r="D16243" s="3064"/>
      <c r="E16243" s="3064"/>
      <c r="F16243" s="3064"/>
      <c r="G16243" s="3301" t="s">
        <v>678</v>
      </c>
      <c r="H16243" s="3063"/>
      <c r="I16243" s="3030"/>
    </row>
    <row r="16244" spans="2:9">
      <c r="B16244" s="3192" t="s">
        <v>679</v>
      </c>
      <c r="C16244" s="3063"/>
      <c r="D16244" s="3064"/>
      <c r="E16244" s="3064"/>
      <c r="F16244" s="3064"/>
      <c r="G16244" s="3301" t="s">
        <v>679</v>
      </c>
      <c r="H16244" s="3063"/>
      <c r="I16244" s="3030"/>
    </row>
    <row r="16245" spans="2:9" ht="25.5">
      <c r="B16245" s="3192" t="s">
        <v>720</v>
      </c>
      <c r="C16245" s="3063"/>
      <c r="D16245" s="3064"/>
      <c r="E16245" s="3064"/>
      <c r="F16245" s="3064"/>
      <c r="G16245" s="3301" t="s">
        <v>720</v>
      </c>
      <c r="H16245" s="3063"/>
      <c r="I16245" s="3030"/>
    </row>
    <row r="16246" spans="2:9">
      <c r="B16246" s="3299" t="s">
        <v>65</v>
      </c>
      <c r="C16246" s="3063"/>
      <c r="D16246" s="3064"/>
      <c r="E16246" s="3064"/>
      <c r="F16246" s="3064"/>
      <c r="G16246" s="3300" t="s">
        <v>65</v>
      </c>
      <c r="H16246" s="3063"/>
      <c r="I16246" s="3030"/>
    </row>
    <row r="16247" spans="2:9" ht="25.5">
      <c r="B16247" s="3192" t="s">
        <v>675</v>
      </c>
      <c r="C16247" s="3063"/>
      <c r="D16247" s="3064"/>
      <c r="E16247" s="3064"/>
      <c r="F16247" s="3064"/>
      <c r="G16247" s="3301" t="s">
        <v>675</v>
      </c>
      <c r="H16247" s="3063"/>
      <c r="I16247" s="3030"/>
    </row>
    <row r="16248" spans="2:9" ht="25.5">
      <c r="B16248" s="3192" t="s">
        <v>676</v>
      </c>
      <c r="C16248" s="3063"/>
      <c r="D16248" s="3064"/>
      <c r="E16248" s="3064"/>
      <c r="F16248" s="3064"/>
      <c r="G16248" s="3301" t="s">
        <v>676</v>
      </c>
      <c r="H16248" s="3063"/>
      <c r="I16248" s="3030"/>
    </row>
    <row r="16249" spans="2:9">
      <c r="B16249" s="3192" t="s">
        <v>677</v>
      </c>
      <c r="C16249" s="3063"/>
      <c r="D16249" s="3064"/>
      <c r="E16249" s="3064"/>
      <c r="F16249" s="3064"/>
      <c r="G16249" s="3301" t="s">
        <v>677</v>
      </c>
      <c r="H16249" s="3063"/>
      <c r="I16249" s="3030"/>
    </row>
    <row r="16250" spans="2:9">
      <c r="B16250" s="3192" t="s">
        <v>678</v>
      </c>
      <c r="C16250" s="3063"/>
      <c r="D16250" s="3064"/>
      <c r="E16250" s="3064"/>
      <c r="F16250" s="3064"/>
      <c r="G16250" s="3301" t="s">
        <v>678</v>
      </c>
      <c r="H16250" s="3063"/>
      <c r="I16250" s="3030"/>
    </row>
    <row r="16251" spans="2:9">
      <c r="B16251" s="3192" t="s">
        <v>679</v>
      </c>
      <c r="C16251" s="3063"/>
      <c r="D16251" s="3064"/>
      <c r="E16251" s="3064"/>
      <c r="F16251" s="3064"/>
      <c r="G16251" s="3301" t="s">
        <v>679</v>
      </c>
      <c r="H16251" s="3063"/>
      <c r="I16251" s="3030"/>
    </row>
    <row r="16252" spans="2:9" ht="25.5">
      <c r="B16252" s="3192" t="s">
        <v>720</v>
      </c>
      <c r="C16252" s="3063"/>
      <c r="D16252" s="3064"/>
      <c r="E16252" s="3064"/>
      <c r="F16252" s="3064"/>
      <c r="G16252" s="3301" t="s">
        <v>720</v>
      </c>
      <c r="H16252" s="3063"/>
      <c r="I16252" s="3030"/>
    </row>
    <row r="16253" spans="2:9">
      <c r="B16253" s="3299" t="s">
        <v>82</v>
      </c>
      <c r="C16253" s="3063"/>
      <c r="D16253" s="3064"/>
      <c r="E16253" s="3064"/>
      <c r="F16253" s="3064"/>
      <c r="G16253" s="3300" t="s">
        <v>82</v>
      </c>
      <c r="H16253" s="3063"/>
      <c r="I16253" s="3030"/>
    </row>
    <row r="16254" spans="2:9" ht="25.5">
      <c r="B16254" s="3192" t="s">
        <v>675</v>
      </c>
      <c r="C16254" s="3063"/>
      <c r="D16254" s="3064"/>
      <c r="E16254" s="3064"/>
      <c r="F16254" s="3064"/>
      <c r="G16254" s="3301" t="s">
        <v>675</v>
      </c>
      <c r="H16254" s="3063"/>
      <c r="I16254" s="3030"/>
    </row>
    <row r="16255" spans="2:9" ht="25.5">
      <c r="B16255" s="3192" t="s">
        <v>676</v>
      </c>
      <c r="C16255" s="3063"/>
      <c r="D16255" s="3064"/>
      <c r="E16255" s="3064"/>
      <c r="F16255" s="3064"/>
      <c r="G16255" s="3301" t="s">
        <v>676</v>
      </c>
      <c r="H16255" s="3063"/>
      <c r="I16255" s="3030"/>
    </row>
    <row r="16256" spans="2:9">
      <c r="B16256" s="3192" t="s">
        <v>677</v>
      </c>
      <c r="C16256" s="3063"/>
      <c r="D16256" s="3064"/>
      <c r="E16256" s="3064"/>
      <c r="F16256" s="3064"/>
      <c r="G16256" s="3301" t="s">
        <v>677</v>
      </c>
      <c r="H16256" s="3063"/>
      <c r="I16256" s="3030"/>
    </row>
    <row r="16257" spans="2:9">
      <c r="B16257" s="3192" t="s">
        <v>678</v>
      </c>
      <c r="C16257" s="3063"/>
      <c r="D16257" s="3064"/>
      <c r="E16257" s="3064"/>
      <c r="F16257" s="3064"/>
      <c r="G16257" s="3301" t="s">
        <v>678</v>
      </c>
      <c r="H16257" s="3063"/>
      <c r="I16257" s="3030"/>
    </row>
    <row r="16258" spans="2:9">
      <c r="B16258" s="3192" t="s">
        <v>679</v>
      </c>
      <c r="C16258" s="3063"/>
      <c r="D16258" s="3064"/>
      <c r="E16258" s="3064"/>
      <c r="F16258" s="3064"/>
      <c r="G16258" s="3301" t="s">
        <v>679</v>
      </c>
      <c r="H16258" s="3063"/>
      <c r="I16258" s="3030"/>
    </row>
    <row r="16259" spans="2:9" ht="25.5">
      <c r="B16259" s="3192" t="s">
        <v>720</v>
      </c>
      <c r="C16259" s="3063"/>
      <c r="D16259" s="3064"/>
      <c r="E16259" s="3064"/>
      <c r="F16259" s="3064"/>
      <c r="G16259" s="3301" t="s">
        <v>720</v>
      </c>
      <c r="H16259" s="3063"/>
      <c r="I16259" s="3030"/>
    </row>
    <row r="16260" spans="2:9" ht="38.25">
      <c r="B16260" s="3299" t="s">
        <v>680</v>
      </c>
      <c r="C16260" s="3063"/>
      <c r="D16260" s="3064"/>
      <c r="E16260" s="3064"/>
      <c r="F16260" s="3064"/>
      <c r="G16260" s="3300" t="s">
        <v>680</v>
      </c>
      <c r="H16260" s="3063"/>
      <c r="I16260" s="3030"/>
    </row>
    <row r="16261" spans="2:9" ht="25.5">
      <c r="B16261" s="3192" t="s">
        <v>675</v>
      </c>
      <c r="C16261" s="3063"/>
      <c r="D16261" s="3064"/>
      <c r="E16261" s="3064"/>
      <c r="F16261" s="3064"/>
      <c r="G16261" s="3301" t="s">
        <v>675</v>
      </c>
      <c r="H16261" s="3063"/>
      <c r="I16261" s="3030"/>
    </row>
    <row r="16262" spans="2:9" ht="25.5">
      <c r="B16262" s="3192" t="s">
        <v>676</v>
      </c>
      <c r="C16262" s="3063"/>
      <c r="D16262" s="3064"/>
      <c r="E16262" s="3064"/>
      <c r="F16262" s="3064"/>
      <c r="G16262" s="3301" t="s">
        <v>676</v>
      </c>
      <c r="H16262" s="3063"/>
      <c r="I16262" s="3030"/>
    </row>
    <row r="16263" spans="2:9">
      <c r="B16263" s="3192" t="s">
        <v>677</v>
      </c>
      <c r="C16263" s="3063"/>
      <c r="D16263" s="3064"/>
      <c r="E16263" s="3064"/>
      <c r="F16263" s="3064"/>
      <c r="G16263" s="3301" t="s">
        <v>677</v>
      </c>
      <c r="H16263" s="3063"/>
      <c r="I16263" s="3030"/>
    </row>
    <row r="16264" spans="2:9">
      <c r="B16264" s="3192" t="s">
        <v>678</v>
      </c>
      <c r="C16264" s="3063"/>
      <c r="D16264" s="3064"/>
      <c r="E16264" s="3064"/>
      <c r="F16264" s="3064"/>
      <c r="G16264" s="3301" t="s">
        <v>678</v>
      </c>
      <c r="H16264" s="3063"/>
      <c r="I16264" s="3030"/>
    </row>
    <row r="16265" spans="2:9">
      <c r="B16265" s="3192" t="s">
        <v>679</v>
      </c>
      <c r="C16265" s="3063"/>
      <c r="D16265" s="3064"/>
      <c r="E16265" s="3064"/>
      <c r="F16265" s="3064"/>
      <c r="G16265" s="3301" t="s">
        <v>679</v>
      </c>
      <c r="H16265" s="3063"/>
      <c r="I16265" s="3030"/>
    </row>
    <row r="16266" spans="2:9" ht="25.5">
      <c r="B16266" s="3192" t="s">
        <v>720</v>
      </c>
      <c r="C16266" s="3063"/>
      <c r="D16266" s="3064"/>
      <c r="E16266" s="3064"/>
      <c r="F16266" s="3064"/>
      <c r="G16266" s="3301" t="s">
        <v>720</v>
      </c>
      <c r="H16266" s="3063"/>
      <c r="I16266" s="3030"/>
    </row>
    <row r="16267" spans="2:9" ht="38.25">
      <c r="B16267" s="3299" t="s">
        <v>681</v>
      </c>
      <c r="C16267" s="3063"/>
      <c r="D16267" s="3064"/>
      <c r="E16267" s="3064"/>
      <c r="F16267" s="3064"/>
      <c r="G16267" s="3300" t="s">
        <v>681</v>
      </c>
      <c r="H16267" s="3063">
        <v>9.7232125494263258E-2</v>
      </c>
      <c r="I16267" s="3030"/>
    </row>
    <row r="16268" spans="2:9" ht="25.5">
      <c r="B16268" s="3192" t="s">
        <v>675</v>
      </c>
      <c r="C16268" s="3063">
        <v>1</v>
      </c>
      <c r="D16268" s="3064"/>
      <c r="E16268" s="3064"/>
      <c r="F16268" s="3064"/>
      <c r="G16268" s="3301" t="s">
        <v>675</v>
      </c>
      <c r="H16268" s="3063"/>
      <c r="I16268" s="3030">
        <v>9.7232125494263258E-2</v>
      </c>
    </row>
    <row r="16269" spans="2:9" ht="25.5">
      <c r="B16269" s="3192" t="s">
        <v>676</v>
      </c>
      <c r="C16269" s="3063"/>
      <c r="D16269" s="3064"/>
      <c r="E16269" s="3064"/>
      <c r="F16269" s="3064"/>
      <c r="G16269" s="3301" t="s">
        <v>676</v>
      </c>
      <c r="H16269" s="3063"/>
      <c r="I16269" s="3030"/>
    </row>
    <row r="16270" spans="2:9">
      <c r="B16270" s="3192" t="s">
        <v>677</v>
      </c>
      <c r="C16270" s="3063"/>
      <c r="D16270" s="3064"/>
      <c r="E16270" s="3064"/>
      <c r="F16270" s="3064"/>
      <c r="G16270" s="3301" t="s">
        <v>677</v>
      </c>
      <c r="H16270" s="3063"/>
      <c r="I16270" s="3030"/>
    </row>
    <row r="16271" spans="2:9">
      <c r="B16271" s="3192" t="s">
        <v>678</v>
      </c>
      <c r="C16271" s="3063"/>
      <c r="D16271" s="3064"/>
      <c r="E16271" s="3064"/>
      <c r="F16271" s="3064"/>
      <c r="G16271" s="3301" t="s">
        <v>678</v>
      </c>
      <c r="H16271" s="3063"/>
      <c r="I16271" s="3030"/>
    </row>
    <row r="16272" spans="2:9">
      <c r="B16272" s="3192" t="s">
        <v>679</v>
      </c>
      <c r="C16272" s="3063"/>
      <c r="D16272" s="3064"/>
      <c r="E16272" s="3064"/>
      <c r="F16272" s="3064"/>
      <c r="G16272" s="3301" t="s">
        <v>679</v>
      </c>
      <c r="H16272" s="3063"/>
      <c r="I16272" s="3030"/>
    </row>
    <row r="16273" spans="2:9" ht="25.5">
      <c r="B16273" s="3192" t="s">
        <v>720</v>
      </c>
      <c r="C16273" s="3063"/>
      <c r="D16273" s="3064"/>
      <c r="E16273" s="3064"/>
      <c r="F16273" s="3064"/>
      <c r="G16273" s="3301" t="s">
        <v>720</v>
      </c>
      <c r="H16273" s="3063"/>
      <c r="I16273" s="3030"/>
    </row>
    <row r="16274" spans="2:9" ht="25.5">
      <c r="B16274" s="3299" t="s">
        <v>682</v>
      </c>
      <c r="C16274" s="3063"/>
      <c r="D16274" s="3064"/>
      <c r="E16274" s="3064"/>
      <c r="F16274" s="3064"/>
      <c r="G16274" s="3300" t="s">
        <v>682</v>
      </c>
      <c r="H16274" s="3063"/>
      <c r="I16274" s="3030"/>
    </row>
    <row r="16275" spans="2:9" ht="25.5">
      <c r="B16275" s="3192" t="s">
        <v>675</v>
      </c>
      <c r="C16275" s="3063"/>
      <c r="D16275" s="3064"/>
      <c r="E16275" s="3064"/>
      <c r="F16275" s="3064"/>
      <c r="G16275" s="3301" t="s">
        <v>675</v>
      </c>
      <c r="H16275" s="3063"/>
      <c r="I16275" s="3030"/>
    </row>
    <row r="16276" spans="2:9" ht="25.5">
      <c r="B16276" s="3192" t="s">
        <v>676</v>
      </c>
      <c r="C16276" s="3063"/>
      <c r="D16276" s="3064"/>
      <c r="E16276" s="3064"/>
      <c r="F16276" s="3064"/>
      <c r="G16276" s="3301" t="s">
        <v>676</v>
      </c>
      <c r="H16276" s="3063"/>
      <c r="I16276" s="3030"/>
    </row>
    <row r="16277" spans="2:9">
      <c r="B16277" s="3192" t="s">
        <v>677</v>
      </c>
      <c r="C16277" s="3063"/>
      <c r="D16277" s="3064"/>
      <c r="E16277" s="3064"/>
      <c r="F16277" s="3064"/>
      <c r="G16277" s="3301" t="s">
        <v>677</v>
      </c>
      <c r="H16277" s="3063"/>
      <c r="I16277" s="3030"/>
    </row>
    <row r="16278" spans="2:9">
      <c r="B16278" s="3192" t="s">
        <v>678</v>
      </c>
      <c r="C16278" s="3063"/>
      <c r="D16278" s="3064"/>
      <c r="E16278" s="3064"/>
      <c r="F16278" s="3064"/>
      <c r="G16278" s="3301" t="s">
        <v>678</v>
      </c>
      <c r="H16278" s="3063"/>
      <c r="I16278" s="3030"/>
    </row>
    <row r="16279" spans="2:9">
      <c r="B16279" s="3192" t="s">
        <v>679</v>
      </c>
      <c r="C16279" s="3063"/>
      <c r="D16279" s="3064"/>
      <c r="E16279" s="3064"/>
      <c r="F16279" s="3064"/>
      <c r="G16279" s="3301" t="s">
        <v>679</v>
      </c>
      <c r="H16279" s="3063"/>
      <c r="I16279" s="3030"/>
    </row>
    <row r="16280" spans="2:9" ht="25.5">
      <c r="B16280" s="3192" t="s">
        <v>720</v>
      </c>
      <c r="C16280" s="3063"/>
      <c r="D16280" s="3064"/>
      <c r="E16280" s="3064"/>
      <c r="F16280" s="3064"/>
      <c r="G16280" s="3301" t="s">
        <v>720</v>
      </c>
      <c r="H16280" s="3063"/>
      <c r="I16280" s="3030"/>
    </row>
    <row r="16281" spans="2:9" ht="25.5">
      <c r="B16281" s="3299" t="s">
        <v>66</v>
      </c>
      <c r="C16281" s="3063"/>
      <c r="D16281" s="3064"/>
      <c r="E16281" s="3064"/>
      <c r="F16281" s="3064"/>
      <c r="G16281" s="3300" t="s">
        <v>66</v>
      </c>
      <c r="H16281" s="3063"/>
      <c r="I16281" s="3030"/>
    </row>
    <row r="16282" spans="2:9" ht="25.5">
      <c r="B16282" s="3192" t="s">
        <v>675</v>
      </c>
      <c r="C16282" s="3063"/>
      <c r="D16282" s="3064"/>
      <c r="E16282" s="3064"/>
      <c r="F16282" s="3064"/>
      <c r="G16282" s="3301" t="s">
        <v>675</v>
      </c>
      <c r="H16282" s="3063"/>
      <c r="I16282" s="3030"/>
    </row>
    <row r="16283" spans="2:9" ht="25.5">
      <c r="B16283" s="3192" t="s">
        <v>676</v>
      </c>
      <c r="C16283" s="3063"/>
      <c r="D16283" s="3064"/>
      <c r="E16283" s="3064"/>
      <c r="F16283" s="3064"/>
      <c r="G16283" s="3301" t="s">
        <v>676</v>
      </c>
      <c r="H16283" s="3063"/>
      <c r="I16283" s="3030"/>
    </row>
    <row r="16284" spans="2:9">
      <c r="B16284" s="3192" t="s">
        <v>677</v>
      </c>
      <c r="C16284" s="3063"/>
      <c r="D16284" s="3064"/>
      <c r="E16284" s="3064"/>
      <c r="F16284" s="3064"/>
      <c r="G16284" s="3301" t="s">
        <v>677</v>
      </c>
      <c r="H16284" s="3063"/>
      <c r="I16284" s="3030"/>
    </row>
    <row r="16285" spans="2:9">
      <c r="B16285" s="3192" t="s">
        <v>678</v>
      </c>
      <c r="C16285" s="3063"/>
      <c r="D16285" s="3064"/>
      <c r="E16285" s="3064"/>
      <c r="F16285" s="3064"/>
      <c r="G16285" s="3301" t="s">
        <v>678</v>
      </c>
      <c r="H16285" s="3063"/>
      <c r="I16285" s="3030"/>
    </row>
    <row r="16286" spans="2:9">
      <c r="B16286" s="3192" t="s">
        <v>679</v>
      </c>
      <c r="C16286" s="3063"/>
      <c r="D16286" s="3064"/>
      <c r="E16286" s="3064"/>
      <c r="F16286" s="3064"/>
      <c r="G16286" s="3301" t="s">
        <v>679</v>
      </c>
      <c r="H16286" s="3063"/>
      <c r="I16286" s="3030"/>
    </row>
    <row r="16287" spans="2:9" ht="25.5">
      <c r="B16287" s="3192" t="s">
        <v>720</v>
      </c>
      <c r="C16287" s="3063"/>
      <c r="D16287" s="3064"/>
      <c r="E16287" s="3064"/>
      <c r="F16287" s="3064"/>
      <c r="G16287" s="3301" t="s">
        <v>720</v>
      </c>
      <c r="H16287" s="3063"/>
      <c r="I16287" s="3030"/>
    </row>
    <row r="16288" spans="2:9">
      <c r="B16288" s="3299" t="s">
        <v>67</v>
      </c>
      <c r="C16288" s="3063"/>
      <c r="D16288" s="3064"/>
      <c r="E16288" s="3064"/>
      <c r="F16288" s="3064"/>
      <c r="G16288" s="3300" t="s">
        <v>67</v>
      </c>
      <c r="H16288" s="3063"/>
      <c r="I16288" s="3030"/>
    </row>
    <row r="16289" spans="2:9" ht="25.5">
      <c r="B16289" s="3192" t="s">
        <v>675</v>
      </c>
      <c r="C16289" s="3063"/>
      <c r="D16289" s="3064"/>
      <c r="E16289" s="3064"/>
      <c r="F16289" s="3064"/>
      <c r="G16289" s="3301" t="s">
        <v>675</v>
      </c>
      <c r="H16289" s="3063"/>
      <c r="I16289" s="3030"/>
    </row>
    <row r="16290" spans="2:9" ht="25.5">
      <c r="B16290" s="3192" t="s">
        <v>676</v>
      </c>
      <c r="C16290" s="3063"/>
      <c r="D16290" s="3064"/>
      <c r="E16290" s="3064"/>
      <c r="F16290" s="3064"/>
      <c r="G16290" s="3301" t="s">
        <v>676</v>
      </c>
      <c r="H16290" s="3063"/>
      <c r="I16290" s="3030"/>
    </row>
    <row r="16291" spans="2:9">
      <c r="B16291" s="3192" t="s">
        <v>677</v>
      </c>
      <c r="C16291" s="3063"/>
      <c r="D16291" s="3064"/>
      <c r="E16291" s="3064"/>
      <c r="F16291" s="3064"/>
      <c r="G16291" s="3301" t="s">
        <v>677</v>
      </c>
      <c r="H16291" s="3063"/>
      <c r="I16291" s="3030"/>
    </row>
    <row r="16292" spans="2:9">
      <c r="B16292" s="3192" t="s">
        <v>678</v>
      </c>
      <c r="C16292" s="3063"/>
      <c r="D16292" s="3064"/>
      <c r="E16292" s="3064"/>
      <c r="F16292" s="3064"/>
      <c r="G16292" s="3301" t="s">
        <v>678</v>
      </c>
      <c r="H16292" s="3063"/>
      <c r="I16292" s="3030"/>
    </row>
    <row r="16293" spans="2:9">
      <c r="B16293" s="3192" t="s">
        <v>679</v>
      </c>
      <c r="C16293" s="3063"/>
      <c r="D16293" s="3064"/>
      <c r="E16293" s="3064"/>
      <c r="F16293" s="3064"/>
      <c r="G16293" s="3301" t="s">
        <v>679</v>
      </c>
      <c r="H16293" s="3063"/>
      <c r="I16293" s="3030"/>
    </row>
    <row r="16294" spans="2:9" ht="25.5">
      <c r="B16294" s="3230" t="s">
        <v>81</v>
      </c>
      <c r="C16294" s="3063"/>
      <c r="D16294" s="3064"/>
      <c r="E16294" s="3064"/>
      <c r="F16294" s="3064"/>
      <c r="G16294" s="3302" t="s">
        <v>81</v>
      </c>
      <c r="H16294" s="3063"/>
      <c r="I16294" s="3030"/>
    </row>
    <row r="16295" spans="2:9" ht="26.25" thickBot="1">
      <c r="B16295" s="3303" t="s">
        <v>81</v>
      </c>
      <c r="C16295" s="3068"/>
      <c r="D16295" s="3069"/>
      <c r="E16295" s="3069"/>
      <c r="F16295" s="3069"/>
      <c r="G16295" s="3304" t="s">
        <v>81</v>
      </c>
      <c r="H16295" s="3068"/>
      <c r="I16295" s="3070"/>
    </row>
    <row r="16296" spans="2:9" ht="38.25">
      <c r="B16296" s="4723">
        <v>3465</v>
      </c>
      <c r="C16296" s="3289"/>
      <c r="D16296" s="3290"/>
      <c r="E16296" s="3290"/>
      <c r="F16296" s="3290"/>
      <c r="G16296" s="4723">
        <v>3465</v>
      </c>
      <c r="H16296" s="3291" t="s">
        <v>687</v>
      </c>
      <c r="I16296" s="3292" t="s">
        <v>688</v>
      </c>
    </row>
    <row r="16297" spans="2:9">
      <c r="B16297" s="4724"/>
      <c r="C16297" s="4678" t="s">
        <v>686</v>
      </c>
      <c r="D16297" s="4725"/>
      <c r="E16297" s="4725"/>
      <c r="F16297" s="4726"/>
      <c r="G16297" s="4724"/>
      <c r="H16297" s="3293"/>
      <c r="I16297" s="3294"/>
    </row>
    <row r="16298" spans="2:9" ht="13.5" thickBot="1">
      <c r="B16298" s="4724"/>
      <c r="C16298" s="3215">
        <v>2013</v>
      </c>
      <c r="D16298" s="3215">
        <v>2014</v>
      </c>
      <c r="E16298" s="3215">
        <v>2015</v>
      </c>
      <c r="F16298" s="3215">
        <v>2016</v>
      </c>
      <c r="G16298" s="4724"/>
      <c r="H16298" s="3295" t="s">
        <v>390</v>
      </c>
      <c r="I16298" s="3296" t="s">
        <v>390</v>
      </c>
    </row>
    <row r="16299" spans="2:9">
      <c r="B16299" s="3217" t="s">
        <v>695</v>
      </c>
      <c r="C16299" s="3218"/>
      <c r="D16299" s="3219"/>
      <c r="E16299" s="3219"/>
      <c r="F16299" s="3219"/>
      <c r="G16299" s="3217" t="s">
        <v>695</v>
      </c>
      <c r="H16299" s="3297"/>
      <c r="I16299" s="3298"/>
    </row>
    <row r="16300" spans="2:9">
      <c r="B16300" s="3299" t="s">
        <v>64</v>
      </c>
      <c r="C16300" s="3063"/>
      <c r="D16300" s="3064"/>
      <c r="E16300" s="3064"/>
      <c r="F16300" s="3064"/>
      <c r="G16300" s="3300" t="s">
        <v>64</v>
      </c>
      <c r="H16300" s="3063"/>
      <c r="I16300" s="3030"/>
    </row>
    <row r="16301" spans="2:9" ht="25.5">
      <c r="B16301" s="3192" t="s">
        <v>675</v>
      </c>
      <c r="C16301" s="3063"/>
      <c r="D16301" s="3064"/>
      <c r="E16301" s="3064"/>
      <c r="F16301" s="3064"/>
      <c r="G16301" s="3301" t="s">
        <v>675</v>
      </c>
      <c r="H16301" s="3063"/>
      <c r="I16301" s="3030"/>
    </row>
    <row r="16302" spans="2:9" ht="25.5">
      <c r="B16302" s="3192" t="s">
        <v>676</v>
      </c>
      <c r="C16302" s="3063"/>
      <c r="D16302" s="3064"/>
      <c r="E16302" s="3064"/>
      <c r="F16302" s="3064"/>
      <c r="G16302" s="3301" t="s">
        <v>676</v>
      </c>
      <c r="H16302" s="3063"/>
      <c r="I16302" s="3030"/>
    </row>
    <row r="16303" spans="2:9">
      <c r="B16303" s="3192" t="s">
        <v>677</v>
      </c>
      <c r="C16303" s="3063"/>
      <c r="D16303" s="3064"/>
      <c r="E16303" s="3064"/>
      <c r="F16303" s="3064"/>
      <c r="G16303" s="3301" t="s">
        <v>677</v>
      </c>
      <c r="H16303" s="3063"/>
      <c r="I16303" s="3030"/>
    </row>
    <row r="16304" spans="2:9">
      <c r="B16304" s="3192" t="s">
        <v>678</v>
      </c>
      <c r="C16304" s="3063"/>
      <c r="D16304" s="3064"/>
      <c r="E16304" s="3064"/>
      <c r="F16304" s="3064"/>
      <c r="G16304" s="3301" t="s">
        <v>678</v>
      </c>
      <c r="H16304" s="3063"/>
      <c r="I16304" s="3030"/>
    </row>
    <row r="16305" spans="2:9">
      <c r="B16305" s="3192" t="s">
        <v>679</v>
      </c>
      <c r="C16305" s="3063"/>
      <c r="D16305" s="3064"/>
      <c r="E16305" s="3064"/>
      <c r="F16305" s="3064"/>
      <c r="G16305" s="3301" t="s">
        <v>679</v>
      </c>
      <c r="H16305" s="3063"/>
      <c r="I16305" s="3030"/>
    </row>
    <row r="16306" spans="2:9" ht="25.5">
      <c r="B16306" s="3192" t="s">
        <v>720</v>
      </c>
      <c r="C16306" s="3063"/>
      <c r="D16306" s="3064"/>
      <c r="E16306" s="3064"/>
      <c r="F16306" s="3064"/>
      <c r="G16306" s="3301" t="s">
        <v>720</v>
      </c>
      <c r="H16306" s="3063"/>
      <c r="I16306" s="3030"/>
    </row>
    <row r="16307" spans="2:9">
      <c r="B16307" s="3299" t="s">
        <v>65</v>
      </c>
      <c r="C16307" s="3063"/>
      <c r="D16307" s="3064"/>
      <c r="E16307" s="3064"/>
      <c r="F16307" s="3064"/>
      <c r="G16307" s="3300" t="s">
        <v>65</v>
      </c>
      <c r="H16307" s="3063"/>
      <c r="I16307" s="3030"/>
    </row>
    <row r="16308" spans="2:9" ht="25.5">
      <c r="B16308" s="3192" t="s">
        <v>675</v>
      </c>
      <c r="C16308" s="3063"/>
      <c r="D16308" s="3064"/>
      <c r="E16308" s="3064"/>
      <c r="F16308" s="3064"/>
      <c r="G16308" s="3301" t="s">
        <v>675</v>
      </c>
      <c r="H16308" s="3063"/>
      <c r="I16308" s="3030"/>
    </row>
    <row r="16309" spans="2:9" ht="25.5">
      <c r="B16309" s="3192" t="s">
        <v>676</v>
      </c>
      <c r="C16309" s="3063"/>
      <c r="D16309" s="3064"/>
      <c r="E16309" s="3064"/>
      <c r="F16309" s="3064"/>
      <c r="G16309" s="3301" t="s">
        <v>676</v>
      </c>
      <c r="H16309" s="3063"/>
      <c r="I16309" s="3030"/>
    </row>
    <row r="16310" spans="2:9">
      <c r="B16310" s="3192" t="s">
        <v>677</v>
      </c>
      <c r="C16310" s="3063"/>
      <c r="D16310" s="3064"/>
      <c r="E16310" s="3064"/>
      <c r="F16310" s="3064"/>
      <c r="G16310" s="3301" t="s">
        <v>677</v>
      </c>
      <c r="H16310" s="3063"/>
      <c r="I16310" s="3030"/>
    </row>
    <row r="16311" spans="2:9">
      <c r="B16311" s="3192" t="s">
        <v>678</v>
      </c>
      <c r="C16311" s="3063"/>
      <c r="D16311" s="3064"/>
      <c r="E16311" s="3064"/>
      <c r="F16311" s="3064"/>
      <c r="G16311" s="3301" t="s">
        <v>678</v>
      </c>
      <c r="H16311" s="3063"/>
      <c r="I16311" s="3030"/>
    </row>
    <row r="16312" spans="2:9">
      <c r="B16312" s="3192" t="s">
        <v>679</v>
      </c>
      <c r="C16312" s="3063"/>
      <c r="D16312" s="3064"/>
      <c r="E16312" s="3064"/>
      <c r="F16312" s="3064"/>
      <c r="G16312" s="3301" t="s">
        <v>679</v>
      </c>
      <c r="H16312" s="3063"/>
      <c r="I16312" s="3030"/>
    </row>
    <row r="16313" spans="2:9" ht="25.5">
      <c r="B16313" s="3192" t="s">
        <v>720</v>
      </c>
      <c r="C16313" s="3063"/>
      <c r="D16313" s="3064"/>
      <c r="E16313" s="3064"/>
      <c r="F16313" s="3064"/>
      <c r="G16313" s="3301" t="s">
        <v>720</v>
      </c>
      <c r="H16313" s="3063"/>
      <c r="I16313" s="3030"/>
    </row>
    <row r="16314" spans="2:9">
      <c r="B16314" s="3299" t="s">
        <v>82</v>
      </c>
      <c r="C16314" s="3063"/>
      <c r="D16314" s="3064"/>
      <c r="E16314" s="3064"/>
      <c r="F16314" s="3064"/>
      <c r="G16314" s="3300" t="s">
        <v>82</v>
      </c>
      <c r="H16314" s="3063"/>
      <c r="I16314" s="3030"/>
    </row>
    <row r="16315" spans="2:9" ht="25.5">
      <c r="B16315" s="3192" t="s">
        <v>675</v>
      </c>
      <c r="C16315" s="3063"/>
      <c r="D16315" s="3064"/>
      <c r="E16315" s="3064"/>
      <c r="F16315" s="3064"/>
      <c r="G16315" s="3301" t="s">
        <v>675</v>
      </c>
      <c r="H16315" s="3063"/>
      <c r="I16315" s="3030"/>
    </row>
    <row r="16316" spans="2:9" ht="25.5">
      <c r="B16316" s="3192" t="s">
        <v>676</v>
      </c>
      <c r="C16316" s="3063"/>
      <c r="D16316" s="3064"/>
      <c r="E16316" s="3064"/>
      <c r="F16316" s="3064"/>
      <c r="G16316" s="3301" t="s">
        <v>676</v>
      </c>
      <c r="H16316" s="3063"/>
      <c r="I16316" s="3030"/>
    </row>
    <row r="16317" spans="2:9">
      <c r="B16317" s="3192" t="s">
        <v>677</v>
      </c>
      <c r="C16317" s="3063"/>
      <c r="D16317" s="3064"/>
      <c r="E16317" s="3064"/>
      <c r="F16317" s="3064"/>
      <c r="G16317" s="3301" t="s">
        <v>677</v>
      </c>
      <c r="H16317" s="3063"/>
      <c r="I16317" s="3030"/>
    </row>
    <row r="16318" spans="2:9">
      <c r="B16318" s="3192" t="s">
        <v>678</v>
      </c>
      <c r="C16318" s="3063"/>
      <c r="D16318" s="3064"/>
      <c r="E16318" s="3064"/>
      <c r="F16318" s="3064"/>
      <c r="G16318" s="3301" t="s">
        <v>678</v>
      </c>
      <c r="H16318" s="3063"/>
      <c r="I16318" s="3030"/>
    </row>
    <row r="16319" spans="2:9">
      <c r="B16319" s="3192" t="s">
        <v>679</v>
      </c>
      <c r="C16319" s="3063"/>
      <c r="D16319" s="3064"/>
      <c r="E16319" s="3064"/>
      <c r="F16319" s="3064"/>
      <c r="G16319" s="3301" t="s">
        <v>679</v>
      </c>
      <c r="H16319" s="3063"/>
      <c r="I16319" s="3030"/>
    </row>
    <row r="16320" spans="2:9" ht="25.5">
      <c r="B16320" s="3192" t="s">
        <v>720</v>
      </c>
      <c r="C16320" s="3063"/>
      <c r="D16320" s="3064"/>
      <c r="E16320" s="3064"/>
      <c r="F16320" s="3064"/>
      <c r="G16320" s="3301" t="s">
        <v>720</v>
      </c>
      <c r="H16320" s="3063"/>
      <c r="I16320" s="3030"/>
    </row>
    <row r="16321" spans="2:9" ht="38.25">
      <c r="B16321" s="3299" t="s">
        <v>680</v>
      </c>
      <c r="C16321" s="3063"/>
      <c r="D16321" s="3064"/>
      <c r="E16321" s="3064"/>
      <c r="F16321" s="3064"/>
      <c r="G16321" s="3300" t="s">
        <v>680</v>
      </c>
      <c r="H16321" s="3063"/>
      <c r="I16321" s="3030"/>
    </row>
    <row r="16322" spans="2:9" ht="25.5">
      <c r="B16322" s="3192" t="s">
        <v>675</v>
      </c>
      <c r="C16322" s="3063"/>
      <c r="D16322" s="3064"/>
      <c r="E16322" s="3064"/>
      <c r="F16322" s="3064"/>
      <c r="G16322" s="3301" t="s">
        <v>675</v>
      </c>
      <c r="H16322" s="3063"/>
      <c r="I16322" s="3030"/>
    </row>
    <row r="16323" spans="2:9" ht="25.5">
      <c r="B16323" s="3192" t="s">
        <v>676</v>
      </c>
      <c r="C16323" s="3063"/>
      <c r="D16323" s="3064"/>
      <c r="E16323" s="3064"/>
      <c r="F16323" s="3064"/>
      <c r="G16323" s="3301" t="s">
        <v>676</v>
      </c>
      <c r="H16323" s="3063"/>
      <c r="I16323" s="3030"/>
    </row>
    <row r="16324" spans="2:9">
      <c r="B16324" s="3192" t="s">
        <v>677</v>
      </c>
      <c r="C16324" s="3063"/>
      <c r="D16324" s="3064"/>
      <c r="E16324" s="3064"/>
      <c r="F16324" s="3064"/>
      <c r="G16324" s="3301" t="s">
        <v>677</v>
      </c>
      <c r="H16324" s="3063"/>
      <c r="I16324" s="3030"/>
    </row>
    <row r="16325" spans="2:9">
      <c r="B16325" s="3192" t="s">
        <v>678</v>
      </c>
      <c r="C16325" s="3063"/>
      <c r="D16325" s="3064"/>
      <c r="E16325" s="3064"/>
      <c r="F16325" s="3064"/>
      <c r="G16325" s="3301" t="s">
        <v>678</v>
      </c>
      <c r="H16325" s="3063"/>
      <c r="I16325" s="3030"/>
    </row>
    <row r="16326" spans="2:9">
      <c r="B16326" s="3192" t="s">
        <v>679</v>
      </c>
      <c r="C16326" s="3063"/>
      <c r="D16326" s="3064"/>
      <c r="E16326" s="3064"/>
      <c r="F16326" s="3064"/>
      <c r="G16326" s="3301" t="s">
        <v>679</v>
      </c>
      <c r="H16326" s="3063"/>
      <c r="I16326" s="3030"/>
    </row>
    <row r="16327" spans="2:9" ht="25.5">
      <c r="B16327" s="3192" t="s">
        <v>720</v>
      </c>
      <c r="C16327" s="3063"/>
      <c r="D16327" s="3064"/>
      <c r="E16327" s="3064"/>
      <c r="F16327" s="3064"/>
      <c r="G16327" s="3301" t="s">
        <v>720</v>
      </c>
      <c r="H16327" s="3063"/>
      <c r="I16327" s="3030"/>
    </row>
    <row r="16328" spans="2:9" ht="38.25">
      <c r="B16328" s="3299" t="s">
        <v>681</v>
      </c>
      <c r="C16328" s="3063"/>
      <c r="D16328" s="3064"/>
      <c r="E16328" s="3064"/>
      <c r="F16328" s="3064"/>
      <c r="G16328" s="3300" t="s">
        <v>681</v>
      </c>
      <c r="H16328" s="3063"/>
      <c r="I16328" s="3030"/>
    </row>
    <row r="16329" spans="2:9" ht="25.5">
      <c r="B16329" s="3192" t="s">
        <v>675</v>
      </c>
      <c r="C16329" s="3063"/>
      <c r="D16329" s="3064"/>
      <c r="E16329" s="3064"/>
      <c r="F16329" s="3064"/>
      <c r="G16329" s="3301" t="s">
        <v>675</v>
      </c>
      <c r="H16329" s="3063"/>
      <c r="I16329" s="3030"/>
    </row>
    <row r="16330" spans="2:9" ht="25.5">
      <c r="B16330" s="3192" t="s">
        <v>676</v>
      </c>
      <c r="C16330" s="3063"/>
      <c r="D16330" s="3064"/>
      <c r="E16330" s="3064"/>
      <c r="F16330" s="3064"/>
      <c r="G16330" s="3301" t="s">
        <v>676</v>
      </c>
      <c r="H16330" s="3063"/>
      <c r="I16330" s="3030"/>
    </row>
    <row r="16331" spans="2:9">
      <c r="B16331" s="3192" t="s">
        <v>677</v>
      </c>
      <c r="C16331" s="3063"/>
      <c r="D16331" s="3064"/>
      <c r="E16331" s="3064"/>
      <c r="F16331" s="3064"/>
      <c r="G16331" s="3301" t="s">
        <v>677</v>
      </c>
      <c r="H16331" s="3063"/>
      <c r="I16331" s="3030"/>
    </row>
    <row r="16332" spans="2:9">
      <c r="B16332" s="3192" t="s">
        <v>678</v>
      </c>
      <c r="C16332" s="3063"/>
      <c r="D16332" s="3064"/>
      <c r="E16332" s="3064"/>
      <c r="F16332" s="3064"/>
      <c r="G16332" s="3301" t="s">
        <v>678</v>
      </c>
      <c r="H16332" s="3063"/>
      <c r="I16332" s="3030"/>
    </row>
    <row r="16333" spans="2:9">
      <c r="B16333" s="3192" t="s">
        <v>679</v>
      </c>
      <c r="C16333" s="3063"/>
      <c r="D16333" s="3064"/>
      <c r="E16333" s="3064"/>
      <c r="F16333" s="3064"/>
      <c r="G16333" s="3301" t="s">
        <v>679</v>
      </c>
      <c r="H16333" s="3063"/>
      <c r="I16333" s="3030"/>
    </row>
    <row r="16334" spans="2:9" ht="25.5">
      <c r="B16334" s="3192" t="s">
        <v>720</v>
      </c>
      <c r="C16334" s="3063"/>
      <c r="D16334" s="3064"/>
      <c r="E16334" s="3064"/>
      <c r="F16334" s="3064"/>
      <c r="G16334" s="3301" t="s">
        <v>720</v>
      </c>
      <c r="H16334" s="3063"/>
      <c r="I16334" s="3030"/>
    </row>
    <row r="16335" spans="2:9" ht="25.5">
      <c r="B16335" s="3299" t="s">
        <v>682</v>
      </c>
      <c r="C16335" s="3063"/>
      <c r="D16335" s="3064"/>
      <c r="E16335" s="3064"/>
      <c r="F16335" s="3064"/>
      <c r="G16335" s="3300" t="s">
        <v>682</v>
      </c>
      <c r="H16335" s="3063"/>
      <c r="I16335" s="3030"/>
    </row>
    <row r="16336" spans="2:9" ht="25.5">
      <c r="B16336" s="3192" t="s">
        <v>675</v>
      </c>
      <c r="C16336" s="3063"/>
      <c r="D16336" s="3064"/>
      <c r="E16336" s="3064"/>
      <c r="F16336" s="3064"/>
      <c r="G16336" s="3301" t="s">
        <v>675</v>
      </c>
      <c r="H16336" s="3063"/>
      <c r="I16336" s="3030"/>
    </row>
    <row r="16337" spans="2:9" ht="25.5">
      <c r="B16337" s="3192" t="s">
        <v>676</v>
      </c>
      <c r="C16337" s="3063"/>
      <c r="D16337" s="3064"/>
      <c r="E16337" s="3064"/>
      <c r="F16337" s="3064"/>
      <c r="G16337" s="3301" t="s">
        <v>676</v>
      </c>
      <c r="H16337" s="3063"/>
      <c r="I16337" s="3030"/>
    </row>
    <row r="16338" spans="2:9">
      <c r="B16338" s="3192" t="s">
        <v>677</v>
      </c>
      <c r="C16338" s="3063"/>
      <c r="D16338" s="3064"/>
      <c r="E16338" s="3064"/>
      <c r="F16338" s="3064"/>
      <c r="G16338" s="3301" t="s">
        <v>677</v>
      </c>
      <c r="H16338" s="3063"/>
      <c r="I16338" s="3030"/>
    </row>
    <row r="16339" spans="2:9">
      <c r="B16339" s="3192" t="s">
        <v>678</v>
      </c>
      <c r="C16339" s="3063"/>
      <c r="D16339" s="3064"/>
      <c r="E16339" s="3064"/>
      <c r="F16339" s="3064"/>
      <c r="G16339" s="3301" t="s">
        <v>678</v>
      </c>
      <c r="H16339" s="3063"/>
      <c r="I16339" s="3030"/>
    </row>
    <row r="16340" spans="2:9">
      <c r="B16340" s="3192" t="s">
        <v>679</v>
      </c>
      <c r="C16340" s="3063"/>
      <c r="D16340" s="3064"/>
      <c r="E16340" s="3064"/>
      <c r="F16340" s="3064"/>
      <c r="G16340" s="3301" t="s">
        <v>679</v>
      </c>
      <c r="H16340" s="3063"/>
      <c r="I16340" s="3030"/>
    </row>
    <row r="16341" spans="2:9" ht="25.5">
      <c r="B16341" s="3192" t="s">
        <v>720</v>
      </c>
      <c r="C16341" s="3063"/>
      <c r="D16341" s="3064"/>
      <c r="E16341" s="3064"/>
      <c r="F16341" s="3064"/>
      <c r="G16341" s="3301" t="s">
        <v>720</v>
      </c>
      <c r="H16341" s="3063"/>
      <c r="I16341" s="3030"/>
    </row>
    <row r="16342" spans="2:9" ht="25.5">
      <c r="B16342" s="3299" t="s">
        <v>66</v>
      </c>
      <c r="C16342" s="3063"/>
      <c r="D16342" s="3064"/>
      <c r="E16342" s="3064"/>
      <c r="F16342" s="3064"/>
      <c r="G16342" s="3300" t="s">
        <v>66</v>
      </c>
      <c r="H16342" s="3063"/>
      <c r="I16342" s="3030"/>
    </row>
    <row r="16343" spans="2:9" ht="25.5">
      <c r="B16343" s="3192" t="s">
        <v>675</v>
      </c>
      <c r="C16343" s="3063"/>
      <c r="D16343" s="3064"/>
      <c r="E16343" s="3064"/>
      <c r="F16343" s="3064"/>
      <c r="G16343" s="3301" t="s">
        <v>675</v>
      </c>
      <c r="H16343" s="3063"/>
      <c r="I16343" s="3030"/>
    </row>
    <row r="16344" spans="2:9" ht="25.5">
      <c r="B16344" s="3192" t="s">
        <v>676</v>
      </c>
      <c r="C16344" s="3063"/>
      <c r="D16344" s="3064"/>
      <c r="E16344" s="3064"/>
      <c r="F16344" s="3064"/>
      <c r="G16344" s="3301" t="s">
        <v>676</v>
      </c>
      <c r="H16344" s="3063"/>
      <c r="I16344" s="3030"/>
    </row>
    <row r="16345" spans="2:9">
      <c r="B16345" s="3192" t="s">
        <v>677</v>
      </c>
      <c r="C16345" s="3063"/>
      <c r="D16345" s="3064"/>
      <c r="E16345" s="3064"/>
      <c r="F16345" s="3064"/>
      <c r="G16345" s="3301" t="s">
        <v>677</v>
      </c>
      <c r="H16345" s="3063"/>
      <c r="I16345" s="3030"/>
    </row>
    <row r="16346" spans="2:9">
      <c r="B16346" s="3192" t="s">
        <v>678</v>
      </c>
      <c r="C16346" s="3063"/>
      <c r="D16346" s="3064"/>
      <c r="E16346" s="3064"/>
      <c r="F16346" s="3064"/>
      <c r="G16346" s="3301" t="s">
        <v>678</v>
      </c>
      <c r="H16346" s="3063"/>
      <c r="I16346" s="3030"/>
    </row>
    <row r="16347" spans="2:9">
      <c r="B16347" s="3192" t="s">
        <v>679</v>
      </c>
      <c r="C16347" s="3063"/>
      <c r="D16347" s="3064"/>
      <c r="E16347" s="3064"/>
      <c r="F16347" s="3064"/>
      <c r="G16347" s="3301" t="s">
        <v>679</v>
      </c>
      <c r="H16347" s="3063"/>
      <c r="I16347" s="3030"/>
    </row>
    <row r="16348" spans="2:9" ht="25.5">
      <c r="B16348" s="3192" t="s">
        <v>720</v>
      </c>
      <c r="C16348" s="3063"/>
      <c r="D16348" s="3064"/>
      <c r="E16348" s="3064"/>
      <c r="F16348" s="3064"/>
      <c r="G16348" s="3301" t="s">
        <v>720</v>
      </c>
      <c r="H16348" s="3063"/>
      <c r="I16348" s="3030"/>
    </row>
    <row r="16349" spans="2:9">
      <c r="B16349" s="3299" t="s">
        <v>67</v>
      </c>
      <c r="C16349" s="3063"/>
      <c r="D16349" s="3064"/>
      <c r="E16349" s="3064"/>
      <c r="F16349" s="3064"/>
      <c r="G16349" s="3300" t="s">
        <v>67</v>
      </c>
      <c r="H16349" s="3063"/>
      <c r="I16349" s="3030"/>
    </row>
    <row r="16350" spans="2:9" ht="25.5">
      <c r="B16350" s="3192" t="s">
        <v>675</v>
      </c>
      <c r="C16350" s="3063"/>
      <c r="D16350" s="3064"/>
      <c r="E16350" s="3064"/>
      <c r="F16350" s="3064"/>
      <c r="G16350" s="3301" t="s">
        <v>675</v>
      </c>
      <c r="H16350" s="3063"/>
      <c r="I16350" s="3030"/>
    </row>
    <row r="16351" spans="2:9" ht="25.5">
      <c r="B16351" s="3192" t="s">
        <v>676</v>
      </c>
      <c r="C16351" s="3063"/>
      <c r="D16351" s="3064"/>
      <c r="E16351" s="3064"/>
      <c r="F16351" s="3064"/>
      <c r="G16351" s="3301" t="s">
        <v>676</v>
      </c>
      <c r="H16351" s="3063"/>
      <c r="I16351" s="3030"/>
    </row>
    <row r="16352" spans="2:9">
      <c r="B16352" s="3192" t="s">
        <v>677</v>
      </c>
      <c r="C16352" s="3063"/>
      <c r="D16352" s="3064"/>
      <c r="E16352" s="3064"/>
      <c r="F16352" s="3064"/>
      <c r="G16352" s="3301" t="s">
        <v>677</v>
      </c>
      <c r="H16352" s="3063"/>
      <c r="I16352" s="3030"/>
    </row>
    <row r="16353" spans="2:9">
      <c r="B16353" s="3192" t="s">
        <v>678</v>
      </c>
      <c r="C16353" s="3063"/>
      <c r="D16353" s="3064"/>
      <c r="E16353" s="3064"/>
      <c r="F16353" s="3064"/>
      <c r="G16353" s="3301" t="s">
        <v>678</v>
      </c>
      <c r="H16353" s="3063"/>
      <c r="I16353" s="3030"/>
    </row>
    <row r="16354" spans="2:9">
      <c r="B16354" s="3192" t="s">
        <v>679</v>
      </c>
      <c r="C16354" s="3063"/>
      <c r="D16354" s="3064"/>
      <c r="E16354" s="3064"/>
      <c r="F16354" s="3064"/>
      <c r="G16354" s="3301" t="s">
        <v>679</v>
      </c>
      <c r="H16354" s="3063"/>
      <c r="I16354" s="3030"/>
    </row>
    <row r="16355" spans="2:9" ht="25.5">
      <c r="B16355" s="3192" t="s">
        <v>720</v>
      </c>
      <c r="C16355" s="3063"/>
      <c r="D16355" s="3064"/>
      <c r="E16355" s="3064"/>
      <c r="F16355" s="3064"/>
      <c r="G16355" s="3301" t="s">
        <v>720</v>
      </c>
      <c r="H16355" s="3063"/>
      <c r="I16355" s="3030"/>
    </row>
    <row r="16356" spans="2:9" ht="25.5">
      <c r="B16356" s="3230" t="s">
        <v>81</v>
      </c>
      <c r="C16356" s="3063"/>
      <c r="D16356" s="3064"/>
      <c r="E16356" s="3064"/>
      <c r="F16356" s="3064"/>
      <c r="G16356" s="3302" t="s">
        <v>81</v>
      </c>
      <c r="H16356" s="3063"/>
      <c r="I16356" s="3030"/>
    </row>
    <row r="16357" spans="2:9" ht="26.25" thickBot="1">
      <c r="B16357" s="3303" t="s">
        <v>81</v>
      </c>
      <c r="C16357" s="3063"/>
      <c r="D16357" s="3064"/>
      <c r="E16357" s="3064"/>
      <c r="F16357" s="3064"/>
      <c r="G16357" s="3302" t="s">
        <v>81</v>
      </c>
      <c r="H16357" s="3063"/>
      <c r="I16357" s="3030"/>
    </row>
    <row r="16358" spans="2:9" ht="25.5">
      <c r="B16358" s="3217" t="s">
        <v>696</v>
      </c>
      <c r="C16358" s="3218"/>
      <c r="D16358" s="3219"/>
      <c r="E16358" s="3219"/>
      <c r="F16358" s="3219"/>
      <c r="G16358" s="3217" t="s">
        <v>696</v>
      </c>
      <c r="H16358" s="3297"/>
      <c r="I16358" s="3298"/>
    </row>
    <row r="16359" spans="2:9">
      <c r="B16359" s="3299" t="s">
        <v>64</v>
      </c>
      <c r="C16359" s="3063"/>
      <c r="D16359" s="3064"/>
      <c r="E16359" s="3064"/>
      <c r="F16359" s="3064"/>
      <c r="G16359" s="3300" t="s">
        <v>64</v>
      </c>
      <c r="H16359" s="3063"/>
      <c r="I16359" s="3030"/>
    </row>
    <row r="16360" spans="2:9" ht="25.5">
      <c r="B16360" s="3192" t="s">
        <v>675</v>
      </c>
      <c r="C16360" s="3063"/>
      <c r="D16360" s="3064"/>
      <c r="E16360" s="3064"/>
      <c r="F16360" s="3064"/>
      <c r="G16360" s="3301" t="s">
        <v>675</v>
      </c>
      <c r="H16360" s="3063"/>
      <c r="I16360" s="3030"/>
    </row>
    <row r="16361" spans="2:9" ht="25.5">
      <c r="B16361" s="3192" t="s">
        <v>676</v>
      </c>
      <c r="C16361" s="3063"/>
      <c r="D16361" s="3064"/>
      <c r="E16361" s="3064"/>
      <c r="F16361" s="3064"/>
      <c r="G16361" s="3301" t="s">
        <v>676</v>
      </c>
      <c r="H16361" s="3063"/>
      <c r="I16361" s="3030"/>
    </row>
    <row r="16362" spans="2:9">
      <c r="B16362" s="3192" t="s">
        <v>677</v>
      </c>
      <c r="C16362" s="3063"/>
      <c r="D16362" s="3064"/>
      <c r="E16362" s="3064"/>
      <c r="F16362" s="3064"/>
      <c r="G16362" s="3301" t="s">
        <v>677</v>
      </c>
      <c r="H16362" s="3063"/>
      <c r="I16362" s="3030"/>
    </row>
    <row r="16363" spans="2:9">
      <c r="B16363" s="3192" t="s">
        <v>678</v>
      </c>
      <c r="C16363" s="3063"/>
      <c r="D16363" s="3064"/>
      <c r="E16363" s="3064"/>
      <c r="F16363" s="3064"/>
      <c r="G16363" s="3301" t="s">
        <v>678</v>
      </c>
      <c r="H16363" s="3063"/>
      <c r="I16363" s="3030"/>
    </row>
    <row r="16364" spans="2:9">
      <c r="B16364" s="3192" t="s">
        <v>679</v>
      </c>
      <c r="C16364" s="3063"/>
      <c r="D16364" s="3064"/>
      <c r="E16364" s="3064"/>
      <c r="F16364" s="3064"/>
      <c r="G16364" s="3301" t="s">
        <v>679</v>
      </c>
      <c r="H16364" s="3063"/>
      <c r="I16364" s="3030"/>
    </row>
    <row r="16365" spans="2:9" ht="25.5">
      <c r="B16365" s="3192" t="s">
        <v>720</v>
      </c>
      <c r="C16365" s="3063"/>
      <c r="D16365" s="3064"/>
      <c r="E16365" s="3064"/>
      <c r="F16365" s="3064"/>
      <c r="G16365" s="3301" t="s">
        <v>720</v>
      </c>
      <c r="H16365" s="3063"/>
      <c r="I16365" s="3030"/>
    </row>
    <row r="16366" spans="2:9">
      <c r="B16366" s="3299" t="s">
        <v>65</v>
      </c>
      <c r="C16366" s="3063"/>
      <c r="D16366" s="3064"/>
      <c r="E16366" s="3064"/>
      <c r="F16366" s="3064"/>
      <c r="G16366" s="3300" t="s">
        <v>65</v>
      </c>
      <c r="H16366" s="3063"/>
      <c r="I16366" s="3030"/>
    </row>
    <row r="16367" spans="2:9" ht="25.5">
      <c r="B16367" s="3192" t="s">
        <v>675</v>
      </c>
      <c r="C16367" s="3063"/>
      <c r="D16367" s="3064"/>
      <c r="E16367" s="3064"/>
      <c r="F16367" s="3064"/>
      <c r="G16367" s="3301" t="s">
        <v>675</v>
      </c>
      <c r="H16367" s="3063"/>
      <c r="I16367" s="3030"/>
    </row>
    <row r="16368" spans="2:9" ht="25.5">
      <c r="B16368" s="3192" t="s">
        <v>676</v>
      </c>
      <c r="C16368" s="3063"/>
      <c r="D16368" s="3064"/>
      <c r="E16368" s="3064"/>
      <c r="F16368" s="3064"/>
      <c r="G16368" s="3301" t="s">
        <v>676</v>
      </c>
      <c r="H16368" s="3063"/>
      <c r="I16368" s="3030"/>
    </row>
    <row r="16369" spans="2:9">
      <c r="B16369" s="3192" t="s">
        <v>677</v>
      </c>
      <c r="C16369" s="3063"/>
      <c r="D16369" s="3064"/>
      <c r="E16369" s="3064"/>
      <c r="F16369" s="3064"/>
      <c r="G16369" s="3301" t="s">
        <v>677</v>
      </c>
      <c r="H16369" s="3063"/>
      <c r="I16369" s="3030"/>
    </row>
    <row r="16370" spans="2:9">
      <c r="B16370" s="3192" t="s">
        <v>678</v>
      </c>
      <c r="C16370" s="3063"/>
      <c r="D16370" s="3064"/>
      <c r="E16370" s="3064"/>
      <c r="F16370" s="3064"/>
      <c r="G16370" s="3301" t="s">
        <v>678</v>
      </c>
      <c r="H16370" s="3063"/>
      <c r="I16370" s="3030"/>
    </row>
    <row r="16371" spans="2:9">
      <c r="B16371" s="3192" t="s">
        <v>679</v>
      </c>
      <c r="C16371" s="3063"/>
      <c r="D16371" s="3064"/>
      <c r="E16371" s="3064"/>
      <c r="F16371" s="3064"/>
      <c r="G16371" s="3301" t="s">
        <v>679</v>
      </c>
      <c r="H16371" s="3063"/>
      <c r="I16371" s="3030"/>
    </row>
    <row r="16372" spans="2:9" ht="25.5">
      <c r="B16372" s="3192" t="s">
        <v>720</v>
      </c>
      <c r="C16372" s="3063"/>
      <c r="D16372" s="3064"/>
      <c r="E16372" s="3064"/>
      <c r="F16372" s="3064"/>
      <c r="G16372" s="3301" t="s">
        <v>720</v>
      </c>
      <c r="H16372" s="3063"/>
      <c r="I16372" s="3030"/>
    </row>
    <row r="16373" spans="2:9">
      <c r="B16373" s="3299" t="s">
        <v>82</v>
      </c>
      <c r="C16373" s="3063"/>
      <c r="D16373" s="3064"/>
      <c r="E16373" s="3064"/>
      <c r="F16373" s="3064"/>
      <c r="G16373" s="3300" t="s">
        <v>82</v>
      </c>
      <c r="H16373" s="3063"/>
      <c r="I16373" s="3030"/>
    </row>
    <row r="16374" spans="2:9" ht="25.5">
      <c r="B16374" s="3192" t="s">
        <v>675</v>
      </c>
      <c r="C16374" s="3063"/>
      <c r="D16374" s="3064"/>
      <c r="E16374" s="3064"/>
      <c r="F16374" s="3064"/>
      <c r="G16374" s="3301" t="s">
        <v>675</v>
      </c>
      <c r="H16374" s="3063"/>
      <c r="I16374" s="3030"/>
    </row>
    <row r="16375" spans="2:9" ht="25.5">
      <c r="B16375" s="3192" t="s">
        <v>676</v>
      </c>
      <c r="C16375" s="3063"/>
      <c r="D16375" s="3064"/>
      <c r="E16375" s="3064"/>
      <c r="F16375" s="3064"/>
      <c r="G16375" s="3301" t="s">
        <v>676</v>
      </c>
      <c r="H16375" s="3063"/>
      <c r="I16375" s="3030"/>
    </row>
    <row r="16376" spans="2:9">
      <c r="B16376" s="3192" t="s">
        <v>677</v>
      </c>
      <c r="C16376" s="3063"/>
      <c r="D16376" s="3064"/>
      <c r="E16376" s="3064"/>
      <c r="F16376" s="3064"/>
      <c r="G16376" s="3301" t="s">
        <v>677</v>
      </c>
      <c r="H16376" s="3063"/>
      <c r="I16376" s="3030"/>
    </row>
    <row r="16377" spans="2:9">
      <c r="B16377" s="3192" t="s">
        <v>678</v>
      </c>
      <c r="C16377" s="3063"/>
      <c r="D16377" s="3064"/>
      <c r="E16377" s="3064"/>
      <c r="F16377" s="3064"/>
      <c r="G16377" s="3301" t="s">
        <v>678</v>
      </c>
      <c r="H16377" s="3063"/>
      <c r="I16377" s="3030"/>
    </row>
    <row r="16378" spans="2:9">
      <c r="B16378" s="3192" t="s">
        <v>679</v>
      </c>
      <c r="C16378" s="3063"/>
      <c r="D16378" s="3064"/>
      <c r="E16378" s="3064"/>
      <c r="F16378" s="3064"/>
      <c r="G16378" s="3301" t="s">
        <v>679</v>
      </c>
      <c r="H16378" s="3063"/>
      <c r="I16378" s="3030"/>
    </row>
    <row r="16379" spans="2:9" ht="25.5">
      <c r="B16379" s="3192" t="s">
        <v>720</v>
      </c>
      <c r="C16379" s="3063"/>
      <c r="D16379" s="3064"/>
      <c r="E16379" s="3064"/>
      <c r="F16379" s="3064"/>
      <c r="G16379" s="3301" t="s">
        <v>720</v>
      </c>
      <c r="H16379" s="3063"/>
      <c r="I16379" s="3030"/>
    </row>
    <row r="16380" spans="2:9" ht="38.25">
      <c r="B16380" s="3299" t="s">
        <v>680</v>
      </c>
      <c r="C16380" s="3063"/>
      <c r="D16380" s="3064"/>
      <c r="E16380" s="3064"/>
      <c r="F16380" s="3064"/>
      <c r="G16380" s="3300" t="s">
        <v>680</v>
      </c>
      <c r="H16380" s="3063"/>
      <c r="I16380" s="3030"/>
    </row>
    <row r="16381" spans="2:9" ht="25.5">
      <c r="B16381" s="3192" t="s">
        <v>675</v>
      </c>
      <c r="C16381" s="3063"/>
      <c r="D16381" s="3064"/>
      <c r="E16381" s="3064"/>
      <c r="F16381" s="3064"/>
      <c r="G16381" s="3301" t="s">
        <v>675</v>
      </c>
      <c r="H16381" s="3063"/>
      <c r="I16381" s="3030"/>
    </row>
    <row r="16382" spans="2:9" ht="25.5">
      <c r="B16382" s="3192" t="s">
        <v>676</v>
      </c>
      <c r="C16382" s="3063"/>
      <c r="D16382" s="3064"/>
      <c r="E16382" s="3064"/>
      <c r="F16382" s="3064"/>
      <c r="G16382" s="3301" t="s">
        <v>676</v>
      </c>
      <c r="H16382" s="3063"/>
      <c r="I16382" s="3030"/>
    </row>
    <row r="16383" spans="2:9">
      <c r="B16383" s="3192" t="s">
        <v>677</v>
      </c>
      <c r="C16383" s="3063"/>
      <c r="D16383" s="3064"/>
      <c r="E16383" s="3064"/>
      <c r="F16383" s="3064"/>
      <c r="G16383" s="3301" t="s">
        <v>677</v>
      </c>
      <c r="H16383" s="3063"/>
      <c r="I16383" s="3030"/>
    </row>
    <row r="16384" spans="2:9">
      <c r="B16384" s="3192" t="s">
        <v>678</v>
      </c>
      <c r="C16384" s="3063"/>
      <c r="D16384" s="3064"/>
      <c r="E16384" s="3064"/>
      <c r="F16384" s="3064"/>
      <c r="G16384" s="3301" t="s">
        <v>678</v>
      </c>
      <c r="H16384" s="3063"/>
      <c r="I16384" s="3030"/>
    </row>
    <row r="16385" spans="2:9">
      <c r="B16385" s="3192" t="s">
        <v>679</v>
      </c>
      <c r="C16385" s="3063"/>
      <c r="D16385" s="3064"/>
      <c r="E16385" s="3064"/>
      <c r="F16385" s="3064"/>
      <c r="G16385" s="3301" t="s">
        <v>679</v>
      </c>
      <c r="H16385" s="3063"/>
      <c r="I16385" s="3030"/>
    </row>
    <row r="16386" spans="2:9" ht="25.5">
      <c r="B16386" s="3192" t="s">
        <v>720</v>
      </c>
      <c r="C16386" s="3063"/>
      <c r="D16386" s="3064"/>
      <c r="E16386" s="3064"/>
      <c r="F16386" s="3064"/>
      <c r="G16386" s="3301" t="s">
        <v>720</v>
      </c>
      <c r="H16386" s="3063"/>
      <c r="I16386" s="3030"/>
    </row>
    <row r="16387" spans="2:9" ht="38.25">
      <c r="B16387" s="3299" t="s">
        <v>681</v>
      </c>
      <c r="C16387" s="3063"/>
      <c r="D16387" s="3064"/>
      <c r="E16387" s="3064"/>
      <c r="F16387" s="3064"/>
      <c r="G16387" s="3300" t="s">
        <v>681</v>
      </c>
      <c r="H16387" s="3063"/>
      <c r="I16387" s="3030"/>
    </row>
    <row r="16388" spans="2:9" ht="25.5">
      <c r="B16388" s="3192" t="s">
        <v>675</v>
      </c>
      <c r="C16388" s="3063"/>
      <c r="D16388" s="3064"/>
      <c r="E16388" s="3064"/>
      <c r="F16388" s="3064"/>
      <c r="G16388" s="3301" t="s">
        <v>675</v>
      </c>
      <c r="H16388" s="3063"/>
      <c r="I16388" s="3030"/>
    </row>
    <row r="16389" spans="2:9" ht="25.5">
      <c r="B16389" s="3192" t="s">
        <v>676</v>
      </c>
      <c r="C16389" s="3063"/>
      <c r="D16389" s="3064"/>
      <c r="E16389" s="3064"/>
      <c r="F16389" s="3064"/>
      <c r="G16389" s="3301" t="s">
        <v>676</v>
      </c>
      <c r="H16389" s="3063"/>
      <c r="I16389" s="3030"/>
    </row>
    <row r="16390" spans="2:9">
      <c r="B16390" s="3192" t="s">
        <v>677</v>
      </c>
      <c r="C16390" s="3063"/>
      <c r="D16390" s="3064"/>
      <c r="E16390" s="3064"/>
      <c r="F16390" s="3064"/>
      <c r="G16390" s="3301" t="s">
        <v>677</v>
      </c>
      <c r="H16390" s="3063"/>
      <c r="I16390" s="3030"/>
    </row>
    <row r="16391" spans="2:9">
      <c r="B16391" s="3192" t="s">
        <v>678</v>
      </c>
      <c r="C16391" s="3063"/>
      <c r="D16391" s="3064"/>
      <c r="E16391" s="3064"/>
      <c r="F16391" s="3064"/>
      <c r="G16391" s="3301" t="s">
        <v>678</v>
      </c>
      <c r="H16391" s="3063"/>
      <c r="I16391" s="3030"/>
    </row>
    <row r="16392" spans="2:9">
      <c r="B16392" s="3192" t="s">
        <v>679</v>
      </c>
      <c r="C16392" s="3063"/>
      <c r="D16392" s="3064"/>
      <c r="E16392" s="3064"/>
      <c r="F16392" s="3064"/>
      <c r="G16392" s="3301" t="s">
        <v>679</v>
      </c>
      <c r="H16392" s="3063"/>
      <c r="I16392" s="3030"/>
    </row>
    <row r="16393" spans="2:9" ht="25.5">
      <c r="B16393" s="3192" t="s">
        <v>720</v>
      </c>
      <c r="C16393" s="3063"/>
      <c r="D16393" s="3064"/>
      <c r="E16393" s="3064"/>
      <c r="F16393" s="3064"/>
      <c r="G16393" s="3301" t="s">
        <v>720</v>
      </c>
      <c r="H16393" s="3063"/>
      <c r="I16393" s="3030"/>
    </row>
    <row r="16394" spans="2:9" ht="25.5">
      <c r="B16394" s="3299" t="s">
        <v>682</v>
      </c>
      <c r="C16394" s="3063"/>
      <c r="D16394" s="3064"/>
      <c r="E16394" s="3064"/>
      <c r="F16394" s="3064"/>
      <c r="G16394" s="3300" t="s">
        <v>682</v>
      </c>
      <c r="H16394" s="3063"/>
      <c r="I16394" s="3030"/>
    </row>
    <row r="16395" spans="2:9" ht="25.5">
      <c r="B16395" s="3192" t="s">
        <v>675</v>
      </c>
      <c r="C16395" s="3063"/>
      <c r="D16395" s="3064"/>
      <c r="E16395" s="3064"/>
      <c r="F16395" s="3064"/>
      <c r="G16395" s="3301" t="s">
        <v>675</v>
      </c>
      <c r="H16395" s="3063"/>
      <c r="I16395" s="3030"/>
    </row>
    <row r="16396" spans="2:9" ht="25.5">
      <c r="B16396" s="3192" t="s">
        <v>676</v>
      </c>
      <c r="C16396" s="3063"/>
      <c r="D16396" s="3064"/>
      <c r="E16396" s="3064"/>
      <c r="F16396" s="3064"/>
      <c r="G16396" s="3301" t="s">
        <v>676</v>
      </c>
      <c r="H16396" s="3063"/>
      <c r="I16396" s="3030"/>
    </row>
    <row r="16397" spans="2:9">
      <c r="B16397" s="3192" t="s">
        <v>677</v>
      </c>
      <c r="C16397" s="3063"/>
      <c r="D16397" s="3064"/>
      <c r="E16397" s="3064"/>
      <c r="F16397" s="3064"/>
      <c r="G16397" s="3301" t="s">
        <v>677</v>
      </c>
      <c r="H16397" s="3063"/>
      <c r="I16397" s="3030"/>
    </row>
    <row r="16398" spans="2:9">
      <c r="B16398" s="3192" t="s">
        <v>678</v>
      </c>
      <c r="C16398" s="3063"/>
      <c r="D16398" s="3064"/>
      <c r="E16398" s="3064"/>
      <c r="F16398" s="3064"/>
      <c r="G16398" s="3301" t="s">
        <v>678</v>
      </c>
      <c r="H16398" s="3063"/>
      <c r="I16398" s="3030"/>
    </row>
    <row r="16399" spans="2:9">
      <c r="B16399" s="3192" t="s">
        <v>679</v>
      </c>
      <c r="C16399" s="3063"/>
      <c r="D16399" s="3064"/>
      <c r="E16399" s="3064"/>
      <c r="F16399" s="3064"/>
      <c r="G16399" s="3301" t="s">
        <v>679</v>
      </c>
      <c r="H16399" s="3063"/>
      <c r="I16399" s="3030"/>
    </row>
    <row r="16400" spans="2:9" ht="25.5">
      <c r="B16400" s="3192" t="s">
        <v>720</v>
      </c>
      <c r="C16400" s="3063"/>
      <c r="D16400" s="3064"/>
      <c r="E16400" s="3064"/>
      <c r="F16400" s="3064"/>
      <c r="G16400" s="3301" t="s">
        <v>720</v>
      </c>
      <c r="H16400" s="3063"/>
      <c r="I16400" s="3030"/>
    </row>
    <row r="16401" spans="2:9" ht="25.5">
      <c r="B16401" s="3299" t="s">
        <v>66</v>
      </c>
      <c r="C16401" s="3063"/>
      <c r="D16401" s="3064"/>
      <c r="E16401" s="3064"/>
      <c r="F16401" s="3064"/>
      <c r="G16401" s="3300" t="s">
        <v>66</v>
      </c>
      <c r="H16401" s="3063"/>
      <c r="I16401" s="3030"/>
    </row>
    <row r="16402" spans="2:9" ht="25.5">
      <c r="B16402" s="3192" t="s">
        <v>675</v>
      </c>
      <c r="C16402" s="3063"/>
      <c r="D16402" s="3064"/>
      <c r="E16402" s="3064"/>
      <c r="F16402" s="3064"/>
      <c r="G16402" s="3301" t="s">
        <v>675</v>
      </c>
      <c r="H16402" s="3063"/>
      <c r="I16402" s="3030"/>
    </row>
    <row r="16403" spans="2:9" ht="25.5">
      <c r="B16403" s="3192" t="s">
        <v>676</v>
      </c>
      <c r="C16403" s="3063"/>
      <c r="D16403" s="3064"/>
      <c r="E16403" s="3064"/>
      <c r="F16403" s="3064"/>
      <c r="G16403" s="3301" t="s">
        <v>676</v>
      </c>
      <c r="H16403" s="3063"/>
      <c r="I16403" s="3030"/>
    </row>
    <row r="16404" spans="2:9">
      <c r="B16404" s="3192" t="s">
        <v>677</v>
      </c>
      <c r="C16404" s="3063"/>
      <c r="D16404" s="3064"/>
      <c r="E16404" s="3064"/>
      <c r="F16404" s="3064"/>
      <c r="G16404" s="3301" t="s">
        <v>677</v>
      </c>
      <c r="H16404" s="3063"/>
      <c r="I16404" s="3030"/>
    </row>
    <row r="16405" spans="2:9">
      <c r="B16405" s="3192" t="s">
        <v>678</v>
      </c>
      <c r="C16405" s="3063"/>
      <c r="D16405" s="3064"/>
      <c r="E16405" s="3064"/>
      <c r="F16405" s="3064"/>
      <c r="G16405" s="3301" t="s">
        <v>678</v>
      </c>
      <c r="H16405" s="3063"/>
      <c r="I16405" s="3030"/>
    </row>
    <row r="16406" spans="2:9">
      <c r="B16406" s="3192" t="s">
        <v>679</v>
      </c>
      <c r="C16406" s="3063"/>
      <c r="D16406" s="3064"/>
      <c r="E16406" s="3064"/>
      <c r="F16406" s="3064"/>
      <c r="G16406" s="3301" t="s">
        <v>679</v>
      </c>
      <c r="H16406" s="3063"/>
      <c r="I16406" s="3030"/>
    </row>
    <row r="16407" spans="2:9" ht="25.5">
      <c r="B16407" s="3192" t="s">
        <v>720</v>
      </c>
      <c r="C16407" s="3063"/>
      <c r="D16407" s="3064"/>
      <c r="E16407" s="3064"/>
      <c r="F16407" s="3064"/>
      <c r="G16407" s="3301" t="s">
        <v>720</v>
      </c>
      <c r="H16407" s="3063"/>
      <c r="I16407" s="3030"/>
    </row>
    <row r="16408" spans="2:9">
      <c r="B16408" s="3299" t="s">
        <v>67</v>
      </c>
      <c r="C16408" s="3063"/>
      <c r="D16408" s="3064"/>
      <c r="E16408" s="3064"/>
      <c r="F16408" s="3064"/>
      <c r="G16408" s="3300" t="s">
        <v>67</v>
      </c>
      <c r="H16408" s="3063"/>
      <c r="I16408" s="3030"/>
    </row>
    <row r="16409" spans="2:9" ht="25.5">
      <c r="B16409" s="3192" t="s">
        <v>675</v>
      </c>
      <c r="C16409" s="3063"/>
      <c r="D16409" s="3064"/>
      <c r="E16409" s="3064"/>
      <c r="F16409" s="3064"/>
      <c r="G16409" s="3301" t="s">
        <v>675</v>
      </c>
      <c r="H16409" s="3063"/>
      <c r="I16409" s="3030"/>
    </row>
    <row r="16410" spans="2:9" ht="25.5">
      <c r="B16410" s="3192" t="s">
        <v>676</v>
      </c>
      <c r="C16410" s="3063"/>
      <c r="D16410" s="3064"/>
      <c r="E16410" s="3064"/>
      <c r="F16410" s="3064"/>
      <c r="G16410" s="3301" t="s">
        <v>676</v>
      </c>
      <c r="H16410" s="3063"/>
      <c r="I16410" s="3030"/>
    </row>
    <row r="16411" spans="2:9">
      <c r="B16411" s="3192" t="s">
        <v>677</v>
      </c>
      <c r="C16411" s="3063"/>
      <c r="D16411" s="3064"/>
      <c r="E16411" s="3064"/>
      <c r="F16411" s="3064"/>
      <c r="G16411" s="3301" t="s">
        <v>677</v>
      </c>
      <c r="H16411" s="3063"/>
      <c r="I16411" s="3030"/>
    </row>
    <row r="16412" spans="2:9">
      <c r="B16412" s="3192" t="s">
        <v>678</v>
      </c>
      <c r="C16412" s="3063"/>
      <c r="D16412" s="3064"/>
      <c r="E16412" s="3064"/>
      <c r="F16412" s="3064"/>
      <c r="G16412" s="3301" t="s">
        <v>678</v>
      </c>
      <c r="H16412" s="3063"/>
      <c r="I16412" s="3030"/>
    </row>
    <row r="16413" spans="2:9">
      <c r="B16413" s="3192" t="s">
        <v>679</v>
      </c>
      <c r="C16413" s="3063"/>
      <c r="D16413" s="3064"/>
      <c r="E16413" s="3064"/>
      <c r="F16413" s="3064"/>
      <c r="G16413" s="3301" t="s">
        <v>679</v>
      </c>
      <c r="H16413" s="3063"/>
      <c r="I16413" s="3030"/>
    </row>
    <row r="16414" spans="2:9" ht="25.5">
      <c r="B16414" s="3230" t="s">
        <v>81</v>
      </c>
      <c r="C16414" s="3063"/>
      <c r="D16414" s="3064"/>
      <c r="E16414" s="3064"/>
      <c r="F16414" s="3064"/>
      <c r="G16414" s="3302" t="s">
        <v>81</v>
      </c>
      <c r="H16414" s="3063"/>
      <c r="I16414" s="3030"/>
    </row>
    <row r="16415" spans="2:9" ht="26.25" thickBot="1">
      <c r="B16415" s="3303" t="s">
        <v>81</v>
      </c>
      <c r="C16415" s="3063"/>
      <c r="D16415" s="3064"/>
      <c r="E16415" s="3064"/>
      <c r="F16415" s="3064"/>
      <c r="G16415" s="3302" t="s">
        <v>81</v>
      </c>
      <c r="H16415" s="3063"/>
      <c r="I16415" s="3030"/>
    </row>
    <row r="16416" spans="2:9">
      <c r="B16416" s="3217" t="s">
        <v>697</v>
      </c>
      <c r="C16416" s="3218"/>
      <c r="D16416" s="3219"/>
      <c r="E16416" s="3219"/>
      <c r="F16416" s="3219"/>
      <c r="G16416" s="3217" t="s">
        <v>697</v>
      </c>
      <c r="H16416" s="3297"/>
      <c r="I16416" s="3298"/>
    </row>
    <row r="16417" spans="2:9">
      <c r="B16417" s="3299" t="s">
        <v>64</v>
      </c>
      <c r="C16417" s="3063"/>
      <c r="D16417" s="3064"/>
      <c r="E16417" s="3064"/>
      <c r="F16417" s="3064"/>
      <c r="G16417" s="3300" t="s">
        <v>64</v>
      </c>
      <c r="H16417" s="3063"/>
      <c r="I16417" s="3030"/>
    </row>
    <row r="16418" spans="2:9" ht="25.5">
      <c r="B16418" s="3192" t="s">
        <v>675</v>
      </c>
      <c r="C16418" s="3063"/>
      <c r="D16418" s="3064"/>
      <c r="E16418" s="3064"/>
      <c r="F16418" s="3064"/>
      <c r="G16418" s="3301" t="s">
        <v>675</v>
      </c>
      <c r="H16418" s="3063"/>
      <c r="I16418" s="3030"/>
    </row>
    <row r="16419" spans="2:9" ht="25.5">
      <c r="B16419" s="3192" t="s">
        <v>676</v>
      </c>
      <c r="C16419" s="3063"/>
      <c r="D16419" s="3064"/>
      <c r="E16419" s="3064"/>
      <c r="F16419" s="3064"/>
      <c r="G16419" s="3301" t="s">
        <v>676</v>
      </c>
      <c r="H16419" s="3063"/>
      <c r="I16419" s="3030"/>
    </row>
    <row r="16420" spans="2:9">
      <c r="B16420" s="3192" t="s">
        <v>677</v>
      </c>
      <c r="C16420" s="3063"/>
      <c r="D16420" s="3064"/>
      <c r="E16420" s="3064"/>
      <c r="F16420" s="3064"/>
      <c r="G16420" s="3301" t="s">
        <v>677</v>
      </c>
      <c r="H16420" s="3063"/>
      <c r="I16420" s="3030"/>
    </row>
    <row r="16421" spans="2:9">
      <c r="B16421" s="3192" t="s">
        <v>678</v>
      </c>
      <c r="C16421" s="3063"/>
      <c r="D16421" s="3064"/>
      <c r="E16421" s="3064"/>
      <c r="F16421" s="3064"/>
      <c r="G16421" s="3301" t="s">
        <v>678</v>
      </c>
      <c r="H16421" s="3063"/>
      <c r="I16421" s="3030"/>
    </row>
    <row r="16422" spans="2:9">
      <c r="B16422" s="3192" t="s">
        <v>679</v>
      </c>
      <c r="C16422" s="3063"/>
      <c r="D16422" s="3064"/>
      <c r="E16422" s="3064"/>
      <c r="F16422" s="3064"/>
      <c r="G16422" s="3301" t="s">
        <v>679</v>
      </c>
      <c r="H16422" s="3063"/>
      <c r="I16422" s="3030"/>
    </row>
    <row r="16423" spans="2:9" ht="25.5">
      <c r="B16423" s="3192" t="s">
        <v>720</v>
      </c>
      <c r="C16423" s="3063"/>
      <c r="D16423" s="3064"/>
      <c r="E16423" s="3064"/>
      <c r="F16423" s="3064"/>
      <c r="G16423" s="3301" t="s">
        <v>720</v>
      </c>
      <c r="H16423" s="3063"/>
      <c r="I16423" s="3030"/>
    </row>
    <row r="16424" spans="2:9">
      <c r="B16424" s="3299" t="s">
        <v>65</v>
      </c>
      <c r="C16424" s="3063"/>
      <c r="D16424" s="3064"/>
      <c r="E16424" s="3064"/>
      <c r="F16424" s="3064"/>
      <c r="G16424" s="3300" t="s">
        <v>65</v>
      </c>
      <c r="H16424" s="3063"/>
      <c r="I16424" s="3030"/>
    </row>
    <row r="16425" spans="2:9" ht="25.5">
      <c r="B16425" s="3192" t="s">
        <v>675</v>
      </c>
      <c r="C16425" s="3063"/>
      <c r="D16425" s="3064"/>
      <c r="E16425" s="3064"/>
      <c r="F16425" s="3064"/>
      <c r="G16425" s="3301" t="s">
        <v>675</v>
      </c>
      <c r="H16425" s="3063"/>
      <c r="I16425" s="3030"/>
    </row>
    <row r="16426" spans="2:9" ht="25.5">
      <c r="B16426" s="3192" t="s">
        <v>676</v>
      </c>
      <c r="C16426" s="3063"/>
      <c r="D16426" s="3064"/>
      <c r="E16426" s="3064"/>
      <c r="F16426" s="3064"/>
      <c r="G16426" s="3301" t="s">
        <v>676</v>
      </c>
      <c r="H16426" s="3063"/>
      <c r="I16426" s="3030"/>
    </row>
    <row r="16427" spans="2:9">
      <c r="B16427" s="3192" t="s">
        <v>677</v>
      </c>
      <c r="C16427" s="3063"/>
      <c r="D16427" s="3064"/>
      <c r="E16427" s="3064"/>
      <c r="F16427" s="3064"/>
      <c r="G16427" s="3301" t="s">
        <v>677</v>
      </c>
      <c r="H16427" s="3063"/>
      <c r="I16427" s="3030"/>
    </row>
    <row r="16428" spans="2:9">
      <c r="B16428" s="3192" t="s">
        <v>678</v>
      </c>
      <c r="C16428" s="3063"/>
      <c r="D16428" s="3064"/>
      <c r="E16428" s="3064"/>
      <c r="F16428" s="3064"/>
      <c r="G16428" s="3301" t="s">
        <v>678</v>
      </c>
      <c r="H16428" s="3063"/>
      <c r="I16428" s="3030"/>
    </row>
    <row r="16429" spans="2:9">
      <c r="B16429" s="3192" t="s">
        <v>679</v>
      </c>
      <c r="C16429" s="3063"/>
      <c r="D16429" s="3064"/>
      <c r="E16429" s="3064"/>
      <c r="F16429" s="3064"/>
      <c r="G16429" s="3301" t="s">
        <v>679</v>
      </c>
      <c r="H16429" s="3063"/>
      <c r="I16429" s="3030"/>
    </row>
    <row r="16430" spans="2:9" ht="25.5">
      <c r="B16430" s="3192" t="s">
        <v>720</v>
      </c>
      <c r="C16430" s="3063"/>
      <c r="D16430" s="3064"/>
      <c r="E16430" s="3064"/>
      <c r="F16430" s="3064"/>
      <c r="G16430" s="3301" t="s">
        <v>720</v>
      </c>
      <c r="H16430" s="3063"/>
      <c r="I16430" s="3030"/>
    </row>
    <row r="16431" spans="2:9">
      <c r="B16431" s="3299" t="s">
        <v>82</v>
      </c>
      <c r="C16431" s="3063"/>
      <c r="D16431" s="3064"/>
      <c r="E16431" s="3064"/>
      <c r="F16431" s="3064"/>
      <c r="G16431" s="3300" t="s">
        <v>82</v>
      </c>
      <c r="H16431" s="3063"/>
      <c r="I16431" s="3030"/>
    </row>
    <row r="16432" spans="2:9" ht="25.5">
      <c r="B16432" s="3192" t="s">
        <v>675</v>
      </c>
      <c r="C16432" s="3063"/>
      <c r="D16432" s="3064"/>
      <c r="E16432" s="3064"/>
      <c r="F16432" s="3064"/>
      <c r="G16432" s="3301" t="s">
        <v>675</v>
      </c>
      <c r="H16432" s="3063"/>
      <c r="I16432" s="3030"/>
    </row>
    <row r="16433" spans="2:9" ht="25.5">
      <c r="B16433" s="3192" t="s">
        <v>676</v>
      </c>
      <c r="C16433" s="3063"/>
      <c r="D16433" s="3064"/>
      <c r="E16433" s="3064"/>
      <c r="F16433" s="3064"/>
      <c r="G16433" s="3301" t="s">
        <v>676</v>
      </c>
      <c r="H16433" s="3063"/>
      <c r="I16433" s="3030"/>
    </row>
    <row r="16434" spans="2:9">
      <c r="B16434" s="3192" t="s">
        <v>677</v>
      </c>
      <c r="C16434" s="3063"/>
      <c r="D16434" s="3064"/>
      <c r="E16434" s="3064"/>
      <c r="F16434" s="3064"/>
      <c r="G16434" s="3301" t="s">
        <v>677</v>
      </c>
      <c r="H16434" s="3063"/>
      <c r="I16434" s="3030"/>
    </row>
    <row r="16435" spans="2:9">
      <c r="B16435" s="3192" t="s">
        <v>678</v>
      </c>
      <c r="C16435" s="3063"/>
      <c r="D16435" s="3064"/>
      <c r="E16435" s="3064"/>
      <c r="F16435" s="3064"/>
      <c r="G16435" s="3301" t="s">
        <v>678</v>
      </c>
      <c r="H16435" s="3063"/>
      <c r="I16435" s="3030"/>
    </row>
    <row r="16436" spans="2:9">
      <c r="B16436" s="3192" t="s">
        <v>679</v>
      </c>
      <c r="C16436" s="3063"/>
      <c r="D16436" s="3064"/>
      <c r="E16436" s="3064"/>
      <c r="F16436" s="3064"/>
      <c r="G16436" s="3301" t="s">
        <v>679</v>
      </c>
      <c r="H16436" s="3063"/>
      <c r="I16436" s="3030"/>
    </row>
    <row r="16437" spans="2:9" ht="25.5">
      <c r="B16437" s="3192" t="s">
        <v>720</v>
      </c>
      <c r="C16437" s="3063"/>
      <c r="D16437" s="3064"/>
      <c r="E16437" s="3064"/>
      <c r="F16437" s="3064"/>
      <c r="G16437" s="3301" t="s">
        <v>720</v>
      </c>
      <c r="H16437" s="3063"/>
      <c r="I16437" s="3030"/>
    </row>
    <row r="16438" spans="2:9" ht="38.25">
      <c r="B16438" s="3299" t="s">
        <v>680</v>
      </c>
      <c r="C16438" s="3063"/>
      <c r="D16438" s="3064"/>
      <c r="E16438" s="3064"/>
      <c r="F16438" s="3064"/>
      <c r="G16438" s="3300" t="s">
        <v>680</v>
      </c>
      <c r="H16438" s="3063"/>
      <c r="I16438" s="3030"/>
    </row>
    <row r="16439" spans="2:9" ht="25.5">
      <c r="B16439" s="3192" t="s">
        <v>675</v>
      </c>
      <c r="C16439" s="3063"/>
      <c r="D16439" s="3064"/>
      <c r="E16439" s="3064"/>
      <c r="F16439" s="3064"/>
      <c r="G16439" s="3301" t="s">
        <v>675</v>
      </c>
      <c r="H16439" s="3063"/>
      <c r="I16439" s="3030"/>
    </row>
    <row r="16440" spans="2:9" ht="25.5">
      <c r="B16440" s="3192" t="s">
        <v>676</v>
      </c>
      <c r="C16440" s="3063"/>
      <c r="D16440" s="3064"/>
      <c r="E16440" s="3064"/>
      <c r="F16440" s="3064"/>
      <c r="G16440" s="3301" t="s">
        <v>676</v>
      </c>
      <c r="H16440" s="3063"/>
      <c r="I16440" s="3030"/>
    </row>
    <row r="16441" spans="2:9">
      <c r="B16441" s="3192" t="s">
        <v>677</v>
      </c>
      <c r="C16441" s="3063"/>
      <c r="D16441" s="3064"/>
      <c r="E16441" s="3064"/>
      <c r="F16441" s="3064"/>
      <c r="G16441" s="3301" t="s">
        <v>677</v>
      </c>
      <c r="H16441" s="3063"/>
      <c r="I16441" s="3030"/>
    </row>
    <row r="16442" spans="2:9">
      <c r="B16442" s="3192" t="s">
        <v>678</v>
      </c>
      <c r="C16442" s="3063"/>
      <c r="D16442" s="3064"/>
      <c r="E16442" s="3064"/>
      <c r="F16442" s="3064"/>
      <c r="G16442" s="3301" t="s">
        <v>678</v>
      </c>
      <c r="H16442" s="3063"/>
      <c r="I16442" s="3030"/>
    </row>
    <row r="16443" spans="2:9">
      <c r="B16443" s="3192" t="s">
        <v>679</v>
      </c>
      <c r="C16443" s="3063"/>
      <c r="D16443" s="3064"/>
      <c r="E16443" s="3064"/>
      <c r="F16443" s="3064"/>
      <c r="G16443" s="3301" t="s">
        <v>679</v>
      </c>
      <c r="H16443" s="3063"/>
      <c r="I16443" s="3030"/>
    </row>
    <row r="16444" spans="2:9" ht="25.5">
      <c r="B16444" s="3192" t="s">
        <v>720</v>
      </c>
      <c r="C16444" s="3063"/>
      <c r="D16444" s="3064"/>
      <c r="E16444" s="3064"/>
      <c r="F16444" s="3064"/>
      <c r="G16444" s="3301" t="s">
        <v>720</v>
      </c>
      <c r="H16444" s="3063"/>
      <c r="I16444" s="3030"/>
    </row>
    <row r="16445" spans="2:9" ht="38.25">
      <c r="B16445" s="3299" t="s">
        <v>681</v>
      </c>
      <c r="C16445" s="3063"/>
      <c r="D16445" s="3064"/>
      <c r="E16445" s="3064"/>
      <c r="F16445" s="3064"/>
      <c r="G16445" s="3300" t="s">
        <v>681</v>
      </c>
      <c r="H16445" s="3063">
        <v>1.8124232552027855E-2</v>
      </c>
      <c r="I16445" s="3030"/>
    </row>
    <row r="16446" spans="2:9" ht="25.5">
      <c r="B16446" s="3192" t="s">
        <v>675</v>
      </c>
      <c r="C16446" s="3063">
        <v>2</v>
      </c>
      <c r="D16446" s="3064">
        <v>1</v>
      </c>
      <c r="E16446" s="3064"/>
      <c r="F16446" s="3064"/>
      <c r="G16446" s="3301" t="s">
        <v>675</v>
      </c>
      <c r="H16446" s="3063"/>
      <c r="I16446" s="3030">
        <v>2.0389761621031337E-2</v>
      </c>
    </row>
    <row r="16447" spans="2:9" ht="25.5">
      <c r="B16447" s="3192" t="s">
        <v>676</v>
      </c>
      <c r="C16447" s="3063"/>
      <c r="D16447" s="3064"/>
      <c r="E16447" s="3064"/>
      <c r="F16447" s="3064"/>
      <c r="G16447" s="3301" t="s">
        <v>676</v>
      </c>
      <c r="H16447" s="3063"/>
      <c r="I16447" s="3030"/>
    </row>
    <row r="16448" spans="2:9">
      <c r="B16448" s="3192" t="s">
        <v>677</v>
      </c>
      <c r="C16448" s="3063"/>
      <c r="D16448" s="3064"/>
      <c r="E16448" s="3064"/>
      <c r="F16448" s="3064"/>
      <c r="G16448" s="3301" t="s">
        <v>677</v>
      </c>
      <c r="H16448" s="3063"/>
      <c r="I16448" s="3030"/>
    </row>
    <row r="16449" spans="2:9">
      <c r="B16449" s="3192" t="s">
        <v>678</v>
      </c>
      <c r="C16449" s="3063"/>
      <c r="D16449" s="3064"/>
      <c r="E16449" s="3064"/>
      <c r="F16449" s="3064"/>
      <c r="G16449" s="3301" t="s">
        <v>678</v>
      </c>
      <c r="H16449" s="3063"/>
      <c r="I16449" s="3030"/>
    </row>
    <row r="16450" spans="2:9">
      <c r="B16450" s="3192" t="s">
        <v>679</v>
      </c>
      <c r="C16450" s="3063"/>
      <c r="D16450" s="3064">
        <v>1</v>
      </c>
      <c r="E16450" s="3064"/>
      <c r="F16450" s="3064"/>
      <c r="G16450" s="3301" t="s">
        <v>679</v>
      </c>
      <c r="H16450" s="3063"/>
      <c r="I16450" s="3030"/>
    </row>
    <row r="16451" spans="2:9" ht="25.5">
      <c r="B16451" s="3192" t="s">
        <v>720</v>
      </c>
      <c r="C16451" s="3063"/>
      <c r="D16451" s="3064"/>
      <c r="E16451" s="3064"/>
      <c r="F16451" s="3064"/>
      <c r="G16451" s="3301" t="s">
        <v>720</v>
      </c>
      <c r="H16451" s="3063"/>
      <c r="I16451" s="3030"/>
    </row>
    <row r="16452" spans="2:9" ht="25.5">
      <c r="B16452" s="3299" t="s">
        <v>682</v>
      </c>
      <c r="C16452" s="3063"/>
      <c r="D16452" s="3064"/>
      <c r="E16452" s="3064"/>
      <c r="F16452" s="3064"/>
      <c r="G16452" s="3300" t="s">
        <v>682</v>
      </c>
      <c r="H16452" s="3063"/>
      <c r="I16452" s="3030"/>
    </row>
    <row r="16453" spans="2:9" ht="25.5">
      <c r="B16453" s="3192" t="s">
        <v>675</v>
      </c>
      <c r="C16453" s="3063"/>
      <c r="D16453" s="3064"/>
      <c r="E16453" s="3064"/>
      <c r="F16453" s="3064"/>
      <c r="G16453" s="3301" t="s">
        <v>675</v>
      </c>
      <c r="H16453" s="3063"/>
      <c r="I16453" s="3030"/>
    </row>
    <row r="16454" spans="2:9" ht="25.5">
      <c r="B16454" s="3192" t="s">
        <v>676</v>
      </c>
      <c r="C16454" s="3063"/>
      <c r="D16454" s="3064"/>
      <c r="E16454" s="3064"/>
      <c r="F16454" s="3064"/>
      <c r="G16454" s="3301" t="s">
        <v>676</v>
      </c>
      <c r="H16454" s="3063"/>
      <c r="I16454" s="3030"/>
    </row>
    <row r="16455" spans="2:9">
      <c r="B16455" s="3192" t="s">
        <v>677</v>
      </c>
      <c r="C16455" s="3063"/>
      <c r="D16455" s="3064"/>
      <c r="E16455" s="3064"/>
      <c r="F16455" s="3064"/>
      <c r="G16455" s="3301" t="s">
        <v>677</v>
      </c>
      <c r="H16455" s="3063"/>
      <c r="I16455" s="3030"/>
    </row>
    <row r="16456" spans="2:9">
      <c r="B16456" s="3192" t="s">
        <v>678</v>
      </c>
      <c r="C16456" s="3063"/>
      <c r="D16456" s="3064"/>
      <c r="E16456" s="3064"/>
      <c r="F16456" s="3064"/>
      <c r="G16456" s="3301" t="s">
        <v>678</v>
      </c>
      <c r="H16456" s="3063"/>
      <c r="I16456" s="3030"/>
    </row>
    <row r="16457" spans="2:9">
      <c r="B16457" s="3192" t="s">
        <v>679</v>
      </c>
      <c r="C16457" s="3063"/>
      <c r="D16457" s="3064"/>
      <c r="E16457" s="3064"/>
      <c r="F16457" s="3064"/>
      <c r="G16457" s="3301" t="s">
        <v>679</v>
      </c>
      <c r="H16457" s="3063"/>
      <c r="I16457" s="3030"/>
    </row>
    <row r="16458" spans="2:9" ht="25.5">
      <c r="B16458" s="3192" t="s">
        <v>720</v>
      </c>
      <c r="C16458" s="3063"/>
      <c r="D16458" s="3064"/>
      <c r="E16458" s="3064"/>
      <c r="F16458" s="3064"/>
      <c r="G16458" s="3301" t="s">
        <v>720</v>
      </c>
      <c r="H16458" s="3063"/>
      <c r="I16458" s="3030"/>
    </row>
    <row r="16459" spans="2:9" ht="25.5">
      <c r="B16459" s="3299" t="s">
        <v>66</v>
      </c>
      <c r="C16459" s="3063"/>
      <c r="D16459" s="3064"/>
      <c r="E16459" s="3064"/>
      <c r="F16459" s="3064"/>
      <c r="G16459" s="3300" t="s">
        <v>66</v>
      </c>
      <c r="H16459" s="3063"/>
      <c r="I16459" s="3030"/>
    </row>
    <row r="16460" spans="2:9" ht="25.5">
      <c r="B16460" s="3192" t="s">
        <v>675</v>
      </c>
      <c r="C16460" s="3063"/>
      <c r="D16460" s="3064"/>
      <c r="E16460" s="3064"/>
      <c r="F16460" s="3064"/>
      <c r="G16460" s="3301" t="s">
        <v>675</v>
      </c>
      <c r="H16460" s="3063"/>
      <c r="I16460" s="3030"/>
    </row>
    <row r="16461" spans="2:9" ht="25.5">
      <c r="B16461" s="3192" t="s">
        <v>676</v>
      </c>
      <c r="C16461" s="3063"/>
      <c r="D16461" s="3064"/>
      <c r="E16461" s="3064"/>
      <c r="F16461" s="3064"/>
      <c r="G16461" s="3301" t="s">
        <v>676</v>
      </c>
      <c r="H16461" s="3063"/>
      <c r="I16461" s="3030"/>
    </row>
    <row r="16462" spans="2:9">
      <c r="B16462" s="3192" t="s">
        <v>677</v>
      </c>
      <c r="C16462" s="3063"/>
      <c r="D16462" s="3064"/>
      <c r="E16462" s="3064"/>
      <c r="F16462" s="3064"/>
      <c r="G16462" s="3301" t="s">
        <v>677</v>
      </c>
      <c r="H16462" s="3063"/>
      <c r="I16462" s="3030"/>
    </row>
    <row r="16463" spans="2:9">
      <c r="B16463" s="3192" t="s">
        <v>678</v>
      </c>
      <c r="C16463" s="3063"/>
      <c r="D16463" s="3064"/>
      <c r="E16463" s="3064"/>
      <c r="F16463" s="3064"/>
      <c r="G16463" s="3301" t="s">
        <v>678</v>
      </c>
      <c r="H16463" s="3063"/>
      <c r="I16463" s="3030"/>
    </row>
    <row r="16464" spans="2:9">
      <c r="B16464" s="3192" t="s">
        <v>679</v>
      </c>
      <c r="C16464" s="3063"/>
      <c r="D16464" s="3064"/>
      <c r="E16464" s="3064"/>
      <c r="F16464" s="3064"/>
      <c r="G16464" s="3301" t="s">
        <v>679</v>
      </c>
      <c r="H16464" s="3063"/>
      <c r="I16464" s="3030"/>
    </row>
    <row r="16465" spans="2:9" ht="25.5">
      <c r="B16465" s="3192" t="s">
        <v>720</v>
      </c>
      <c r="C16465" s="3063"/>
      <c r="D16465" s="3064"/>
      <c r="E16465" s="3064"/>
      <c r="F16465" s="3064"/>
      <c r="G16465" s="3301" t="s">
        <v>720</v>
      </c>
      <c r="H16465" s="3063"/>
      <c r="I16465" s="3030"/>
    </row>
    <row r="16466" spans="2:9">
      <c r="B16466" s="3299" t="s">
        <v>67</v>
      </c>
      <c r="C16466" s="3063"/>
      <c r="D16466" s="3064"/>
      <c r="E16466" s="3064"/>
      <c r="F16466" s="3064"/>
      <c r="G16466" s="3300" t="s">
        <v>67</v>
      </c>
      <c r="H16466" s="3063"/>
      <c r="I16466" s="3030"/>
    </row>
    <row r="16467" spans="2:9" ht="25.5">
      <c r="B16467" s="3192" t="s">
        <v>675</v>
      </c>
      <c r="C16467" s="3063"/>
      <c r="D16467" s="3064"/>
      <c r="E16467" s="3064"/>
      <c r="F16467" s="3064"/>
      <c r="G16467" s="3301" t="s">
        <v>675</v>
      </c>
      <c r="H16467" s="3063"/>
      <c r="I16467" s="3030"/>
    </row>
    <row r="16468" spans="2:9" ht="25.5">
      <c r="B16468" s="3192" t="s">
        <v>676</v>
      </c>
      <c r="C16468" s="3063"/>
      <c r="D16468" s="3064"/>
      <c r="E16468" s="3064"/>
      <c r="F16468" s="3064"/>
      <c r="G16468" s="3301" t="s">
        <v>676</v>
      </c>
      <c r="H16468" s="3063"/>
      <c r="I16468" s="3030"/>
    </row>
    <row r="16469" spans="2:9">
      <c r="B16469" s="3192" t="s">
        <v>677</v>
      </c>
      <c r="C16469" s="3063"/>
      <c r="D16469" s="3064"/>
      <c r="E16469" s="3064"/>
      <c r="F16469" s="3064"/>
      <c r="G16469" s="3301" t="s">
        <v>677</v>
      </c>
      <c r="H16469" s="3063"/>
      <c r="I16469" s="3030"/>
    </row>
    <row r="16470" spans="2:9">
      <c r="B16470" s="3192" t="s">
        <v>678</v>
      </c>
      <c r="C16470" s="3063"/>
      <c r="D16470" s="3064"/>
      <c r="E16470" s="3064"/>
      <c r="F16470" s="3064"/>
      <c r="G16470" s="3301" t="s">
        <v>678</v>
      </c>
      <c r="H16470" s="3063"/>
      <c r="I16470" s="3030"/>
    </row>
    <row r="16471" spans="2:9">
      <c r="B16471" s="3192" t="s">
        <v>679</v>
      </c>
      <c r="C16471" s="3063"/>
      <c r="D16471" s="3064"/>
      <c r="E16471" s="3064"/>
      <c r="F16471" s="3064"/>
      <c r="G16471" s="3301" t="s">
        <v>679</v>
      </c>
      <c r="H16471" s="3063"/>
      <c r="I16471" s="3030"/>
    </row>
    <row r="16472" spans="2:9" ht="25.5">
      <c r="B16472" s="3230" t="s">
        <v>81</v>
      </c>
      <c r="C16472" s="3063"/>
      <c r="D16472" s="3064"/>
      <c r="E16472" s="3064"/>
      <c r="F16472" s="3064"/>
      <c r="G16472" s="3302" t="s">
        <v>81</v>
      </c>
      <c r="H16472" s="3063"/>
      <c r="I16472" s="3030"/>
    </row>
    <row r="16473" spans="2:9" ht="26.25" thickBot="1">
      <c r="B16473" s="3303" t="s">
        <v>81</v>
      </c>
      <c r="C16473" s="3068"/>
      <c r="D16473" s="3069"/>
      <c r="E16473" s="3069"/>
      <c r="F16473" s="3069"/>
      <c r="G16473" s="3304" t="s">
        <v>81</v>
      </c>
      <c r="H16473" s="3068"/>
      <c r="I16473" s="3070"/>
    </row>
    <row r="16474" spans="2:9" ht="38.25">
      <c r="B16474" s="4723">
        <v>3550</v>
      </c>
      <c r="C16474" s="3289"/>
      <c r="D16474" s="3290"/>
      <c r="E16474" s="3290"/>
      <c r="F16474" s="3290"/>
      <c r="G16474" s="4723">
        <v>3550</v>
      </c>
      <c r="H16474" s="3291" t="s">
        <v>687</v>
      </c>
      <c r="I16474" s="3292" t="s">
        <v>688</v>
      </c>
    </row>
    <row r="16475" spans="2:9">
      <c r="B16475" s="4724"/>
      <c r="C16475" s="4678" t="s">
        <v>686</v>
      </c>
      <c r="D16475" s="4725"/>
      <c r="E16475" s="4725"/>
      <c r="F16475" s="4726"/>
      <c r="G16475" s="4724"/>
      <c r="H16475" s="3293"/>
      <c r="I16475" s="3294"/>
    </row>
    <row r="16476" spans="2:9" ht="13.5" thickBot="1">
      <c r="B16476" s="4724"/>
      <c r="C16476" s="3215">
        <v>2013</v>
      </c>
      <c r="D16476" s="3215">
        <v>2014</v>
      </c>
      <c r="E16476" s="3215">
        <v>2015</v>
      </c>
      <c r="F16476" s="3215">
        <v>2016</v>
      </c>
      <c r="G16476" s="4724"/>
      <c r="H16476" s="3295" t="s">
        <v>390</v>
      </c>
      <c r="I16476" s="3296" t="s">
        <v>390</v>
      </c>
    </row>
    <row r="16477" spans="2:9">
      <c r="B16477" s="3217" t="s">
        <v>695</v>
      </c>
      <c r="C16477" s="3218"/>
      <c r="D16477" s="3219"/>
      <c r="E16477" s="3219"/>
      <c r="F16477" s="3219"/>
      <c r="G16477" s="3217" t="s">
        <v>695</v>
      </c>
      <c r="H16477" s="3297"/>
      <c r="I16477" s="3298"/>
    </row>
    <row r="16478" spans="2:9">
      <c r="B16478" s="3299" t="s">
        <v>64</v>
      </c>
      <c r="C16478" s="3063"/>
      <c r="D16478" s="3064"/>
      <c r="E16478" s="3064"/>
      <c r="F16478" s="3064">
        <v>22</v>
      </c>
      <c r="G16478" s="3300" t="s">
        <v>64</v>
      </c>
      <c r="H16478" s="3063">
        <v>0.69148323153163516</v>
      </c>
      <c r="I16478" s="3030"/>
    </row>
    <row r="16479" spans="2:9" ht="25.5">
      <c r="B16479" s="3192" t="s">
        <v>675</v>
      </c>
      <c r="C16479" s="3063"/>
      <c r="D16479" s="3064"/>
      <c r="E16479" s="3064"/>
      <c r="F16479" s="3064"/>
      <c r="G16479" s="3301" t="s">
        <v>675</v>
      </c>
      <c r="H16479" s="3063"/>
      <c r="I16479" s="3030"/>
    </row>
    <row r="16480" spans="2:9" ht="25.5">
      <c r="B16480" s="3192" t="s">
        <v>676</v>
      </c>
      <c r="C16480" s="3063"/>
      <c r="D16480" s="3064"/>
      <c r="E16480" s="3064"/>
      <c r="F16480" s="3064"/>
      <c r="G16480" s="3301" t="s">
        <v>676</v>
      </c>
      <c r="H16480" s="3063"/>
      <c r="I16480" s="3030"/>
    </row>
    <row r="16481" spans="2:9">
      <c r="B16481" s="3192" t="s">
        <v>677</v>
      </c>
      <c r="C16481" s="3063"/>
      <c r="D16481" s="3064"/>
      <c r="E16481" s="3064"/>
      <c r="F16481" s="3064"/>
      <c r="G16481" s="3301" t="s">
        <v>677</v>
      </c>
      <c r="H16481" s="3063"/>
      <c r="I16481" s="3030"/>
    </row>
    <row r="16482" spans="2:9">
      <c r="B16482" s="3192" t="s">
        <v>678</v>
      </c>
      <c r="C16482" s="3063"/>
      <c r="D16482" s="3064"/>
      <c r="E16482" s="3064"/>
      <c r="F16482" s="3064"/>
      <c r="G16482" s="3301" t="s">
        <v>678</v>
      </c>
      <c r="H16482" s="3063"/>
      <c r="I16482" s="3030"/>
    </row>
    <row r="16483" spans="2:9">
      <c r="B16483" s="3192" t="s">
        <v>679</v>
      </c>
      <c r="C16483" s="3063"/>
      <c r="D16483" s="3064">
        <v>2</v>
      </c>
      <c r="E16483" s="3064"/>
      <c r="F16483" s="3064"/>
      <c r="G16483" s="3301" t="s">
        <v>679</v>
      </c>
      <c r="H16483" s="3063"/>
      <c r="I16483" s="3030"/>
    </row>
    <row r="16484" spans="2:9" ht="25.5">
      <c r="B16484" s="3192" t="s">
        <v>720</v>
      </c>
      <c r="C16484" s="3063"/>
      <c r="D16484" s="3064"/>
      <c r="E16484" s="3064"/>
      <c r="F16484" s="3064"/>
      <c r="G16484" s="3301" t="s">
        <v>720</v>
      </c>
      <c r="H16484" s="3063"/>
      <c r="I16484" s="3030"/>
    </row>
    <row r="16485" spans="2:9">
      <c r="B16485" s="3299" t="s">
        <v>65</v>
      </c>
      <c r="C16485" s="3063"/>
      <c r="D16485" s="3064"/>
      <c r="E16485" s="3064"/>
      <c r="F16485" s="3064"/>
      <c r="G16485" s="3300" t="s">
        <v>65</v>
      </c>
      <c r="H16485" s="3063">
        <v>5.2985746834101614E-2</v>
      </c>
      <c r="I16485" s="3030"/>
    </row>
    <row r="16486" spans="2:9" ht="25.5">
      <c r="B16486" s="3192" t="s">
        <v>675</v>
      </c>
      <c r="C16486" s="3063"/>
      <c r="D16486" s="3064"/>
      <c r="E16486" s="3064"/>
      <c r="F16486" s="3064"/>
      <c r="G16486" s="3301" t="s">
        <v>675</v>
      </c>
      <c r="H16486" s="3063"/>
      <c r="I16486" s="3030"/>
    </row>
    <row r="16487" spans="2:9" ht="25.5">
      <c r="B16487" s="3192" t="s">
        <v>676</v>
      </c>
      <c r="C16487" s="3063"/>
      <c r="D16487" s="3064"/>
      <c r="E16487" s="3064"/>
      <c r="F16487" s="3064"/>
      <c r="G16487" s="3301" t="s">
        <v>676</v>
      </c>
      <c r="H16487" s="3063"/>
      <c r="I16487" s="3030"/>
    </row>
    <row r="16488" spans="2:9">
      <c r="B16488" s="3192" t="s">
        <v>677</v>
      </c>
      <c r="C16488" s="3063"/>
      <c r="D16488" s="3064"/>
      <c r="E16488" s="3064"/>
      <c r="F16488" s="3064"/>
      <c r="G16488" s="3301" t="s">
        <v>677</v>
      </c>
      <c r="H16488" s="3063"/>
      <c r="I16488" s="3030"/>
    </row>
    <row r="16489" spans="2:9">
      <c r="B16489" s="3192" t="s">
        <v>678</v>
      </c>
      <c r="C16489" s="3063"/>
      <c r="D16489" s="3064"/>
      <c r="E16489" s="3064"/>
      <c r="F16489" s="3064"/>
      <c r="G16489" s="3301" t="s">
        <v>678</v>
      </c>
      <c r="H16489" s="3063"/>
      <c r="I16489" s="3030"/>
    </row>
    <row r="16490" spans="2:9">
      <c r="B16490" s="3192" t="s">
        <v>679</v>
      </c>
      <c r="C16490" s="3063"/>
      <c r="D16490" s="3064">
        <v>1</v>
      </c>
      <c r="E16490" s="3064"/>
      <c r="F16490" s="3064"/>
      <c r="G16490" s="3301" t="s">
        <v>679</v>
      </c>
      <c r="H16490" s="3063"/>
      <c r="I16490" s="3030"/>
    </row>
    <row r="16491" spans="2:9" ht="25.5">
      <c r="B16491" s="3192" t="s">
        <v>720</v>
      </c>
      <c r="C16491" s="3063"/>
      <c r="D16491" s="3064"/>
      <c r="E16491" s="3064"/>
      <c r="F16491" s="3064"/>
      <c r="G16491" s="3301" t="s">
        <v>720</v>
      </c>
      <c r="H16491" s="3063"/>
      <c r="I16491" s="3030"/>
    </row>
    <row r="16492" spans="2:9">
      <c r="B16492" s="3299" t="s">
        <v>82</v>
      </c>
      <c r="C16492" s="3063"/>
      <c r="D16492" s="3064"/>
      <c r="E16492" s="3064"/>
      <c r="F16492" s="3064"/>
      <c r="G16492" s="3300" t="s">
        <v>82</v>
      </c>
      <c r="H16492" s="3063"/>
      <c r="I16492" s="3030"/>
    </row>
    <row r="16493" spans="2:9" ht="25.5">
      <c r="B16493" s="3192" t="s">
        <v>675</v>
      </c>
      <c r="C16493" s="3063"/>
      <c r="D16493" s="3064"/>
      <c r="E16493" s="3064"/>
      <c r="F16493" s="3064"/>
      <c r="G16493" s="3301" t="s">
        <v>675</v>
      </c>
      <c r="H16493" s="3063"/>
      <c r="I16493" s="3030"/>
    </row>
    <row r="16494" spans="2:9" ht="25.5">
      <c r="B16494" s="3192" t="s">
        <v>676</v>
      </c>
      <c r="C16494" s="3063"/>
      <c r="D16494" s="3064"/>
      <c r="E16494" s="3064"/>
      <c r="F16494" s="3064"/>
      <c r="G16494" s="3301" t="s">
        <v>676</v>
      </c>
      <c r="H16494" s="3063"/>
      <c r="I16494" s="3030"/>
    </row>
    <row r="16495" spans="2:9">
      <c r="B16495" s="3192" t="s">
        <v>677</v>
      </c>
      <c r="C16495" s="3063"/>
      <c r="D16495" s="3064"/>
      <c r="E16495" s="3064"/>
      <c r="F16495" s="3064"/>
      <c r="G16495" s="3301" t="s">
        <v>677</v>
      </c>
      <c r="H16495" s="3063"/>
      <c r="I16495" s="3030"/>
    </row>
    <row r="16496" spans="2:9">
      <c r="B16496" s="3192" t="s">
        <v>678</v>
      </c>
      <c r="C16496" s="3063"/>
      <c r="D16496" s="3064"/>
      <c r="E16496" s="3064"/>
      <c r="F16496" s="3064"/>
      <c r="G16496" s="3301" t="s">
        <v>678</v>
      </c>
      <c r="H16496" s="3063"/>
      <c r="I16496" s="3030"/>
    </row>
    <row r="16497" spans="2:9">
      <c r="B16497" s="3192" t="s">
        <v>679</v>
      </c>
      <c r="C16497" s="3063"/>
      <c r="D16497" s="3064"/>
      <c r="E16497" s="3064"/>
      <c r="F16497" s="3064"/>
      <c r="G16497" s="3301" t="s">
        <v>679</v>
      </c>
      <c r="H16497" s="3063"/>
      <c r="I16497" s="3030"/>
    </row>
    <row r="16498" spans="2:9" ht="25.5">
      <c r="B16498" s="3192" t="s">
        <v>720</v>
      </c>
      <c r="C16498" s="3063"/>
      <c r="D16498" s="3064"/>
      <c r="E16498" s="3064"/>
      <c r="F16498" s="3064"/>
      <c r="G16498" s="3301" t="s">
        <v>720</v>
      </c>
      <c r="H16498" s="3063"/>
      <c r="I16498" s="3030"/>
    </row>
    <row r="16499" spans="2:9" ht="38.25">
      <c r="B16499" s="3299" t="s">
        <v>680</v>
      </c>
      <c r="C16499" s="3063"/>
      <c r="D16499" s="3064"/>
      <c r="E16499" s="3064"/>
      <c r="F16499" s="3064"/>
      <c r="G16499" s="3300" t="s">
        <v>680</v>
      </c>
      <c r="H16499" s="3063"/>
      <c r="I16499" s="3030"/>
    </row>
    <row r="16500" spans="2:9" ht="25.5">
      <c r="B16500" s="3192" t="s">
        <v>675</v>
      </c>
      <c r="C16500" s="3063"/>
      <c r="D16500" s="3064"/>
      <c r="E16500" s="3064"/>
      <c r="F16500" s="3064"/>
      <c r="G16500" s="3301" t="s">
        <v>675</v>
      </c>
      <c r="H16500" s="3063"/>
      <c r="I16500" s="3030"/>
    </row>
    <row r="16501" spans="2:9" ht="25.5">
      <c r="B16501" s="3192" t="s">
        <v>676</v>
      </c>
      <c r="C16501" s="3063"/>
      <c r="D16501" s="3064"/>
      <c r="E16501" s="3064"/>
      <c r="F16501" s="3064"/>
      <c r="G16501" s="3301" t="s">
        <v>676</v>
      </c>
      <c r="H16501" s="3063"/>
      <c r="I16501" s="3030"/>
    </row>
    <row r="16502" spans="2:9">
      <c r="B16502" s="3192" t="s">
        <v>677</v>
      </c>
      <c r="C16502" s="3063"/>
      <c r="D16502" s="3064"/>
      <c r="E16502" s="3064"/>
      <c r="F16502" s="3064"/>
      <c r="G16502" s="3301" t="s">
        <v>677</v>
      </c>
      <c r="H16502" s="3063"/>
      <c r="I16502" s="3030"/>
    </row>
    <row r="16503" spans="2:9">
      <c r="B16503" s="3192" t="s">
        <v>678</v>
      </c>
      <c r="C16503" s="3063"/>
      <c r="D16503" s="3064"/>
      <c r="E16503" s="3064"/>
      <c r="F16503" s="3064"/>
      <c r="G16503" s="3301" t="s">
        <v>678</v>
      </c>
      <c r="H16503" s="3063"/>
      <c r="I16503" s="3030"/>
    </row>
    <row r="16504" spans="2:9">
      <c r="B16504" s="3192" t="s">
        <v>679</v>
      </c>
      <c r="C16504" s="3063"/>
      <c r="D16504" s="3064"/>
      <c r="E16504" s="3064"/>
      <c r="F16504" s="3064"/>
      <c r="G16504" s="3301" t="s">
        <v>679</v>
      </c>
      <c r="H16504" s="3063"/>
      <c r="I16504" s="3030"/>
    </row>
    <row r="16505" spans="2:9" ht="25.5">
      <c r="B16505" s="3192" t="s">
        <v>720</v>
      </c>
      <c r="C16505" s="3063"/>
      <c r="D16505" s="3064"/>
      <c r="E16505" s="3064"/>
      <c r="F16505" s="3064"/>
      <c r="G16505" s="3301" t="s">
        <v>720</v>
      </c>
      <c r="H16505" s="3063"/>
      <c r="I16505" s="3030"/>
    </row>
    <row r="16506" spans="2:9" ht="38.25">
      <c r="B16506" s="3299" t="s">
        <v>681</v>
      </c>
      <c r="C16506" s="3063"/>
      <c r="D16506" s="3064"/>
      <c r="E16506" s="3064"/>
      <c r="F16506" s="3064"/>
      <c r="G16506" s="3300" t="s">
        <v>681</v>
      </c>
      <c r="H16506" s="3063"/>
      <c r="I16506" s="3030"/>
    </row>
    <row r="16507" spans="2:9" ht="25.5">
      <c r="B16507" s="3192" t="s">
        <v>675</v>
      </c>
      <c r="C16507" s="3063"/>
      <c r="D16507" s="3064"/>
      <c r="E16507" s="3064"/>
      <c r="F16507" s="3064"/>
      <c r="G16507" s="3301" t="s">
        <v>675</v>
      </c>
      <c r="H16507" s="3063"/>
      <c r="I16507" s="3030"/>
    </row>
    <row r="16508" spans="2:9" ht="25.5">
      <c r="B16508" s="3192" t="s">
        <v>676</v>
      </c>
      <c r="C16508" s="3063"/>
      <c r="D16508" s="3064"/>
      <c r="E16508" s="3064"/>
      <c r="F16508" s="3064"/>
      <c r="G16508" s="3301" t="s">
        <v>676</v>
      </c>
      <c r="H16508" s="3063"/>
      <c r="I16508" s="3030"/>
    </row>
    <row r="16509" spans="2:9">
      <c r="B16509" s="3192" t="s">
        <v>677</v>
      </c>
      <c r="C16509" s="3063"/>
      <c r="D16509" s="3064"/>
      <c r="E16509" s="3064"/>
      <c r="F16509" s="3064"/>
      <c r="G16509" s="3301" t="s">
        <v>677</v>
      </c>
      <c r="H16509" s="3063"/>
      <c r="I16509" s="3030"/>
    </row>
    <row r="16510" spans="2:9">
      <c r="B16510" s="3192" t="s">
        <v>678</v>
      </c>
      <c r="C16510" s="3063"/>
      <c r="D16510" s="3064"/>
      <c r="E16510" s="3064"/>
      <c r="F16510" s="3064"/>
      <c r="G16510" s="3301" t="s">
        <v>678</v>
      </c>
      <c r="H16510" s="3063"/>
      <c r="I16510" s="3030"/>
    </row>
    <row r="16511" spans="2:9">
      <c r="B16511" s="3192" t="s">
        <v>679</v>
      </c>
      <c r="C16511" s="3063"/>
      <c r="D16511" s="3064"/>
      <c r="E16511" s="3064"/>
      <c r="F16511" s="3064"/>
      <c r="G16511" s="3301" t="s">
        <v>679</v>
      </c>
      <c r="H16511" s="3063"/>
      <c r="I16511" s="3030"/>
    </row>
    <row r="16512" spans="2:9" ht="25.5">
      <c r="B16512" s="3192" t="s">
        <v>720</v>
      </c>
      <c r="C16512" s="3063"/>
      <c r="D16512" s="3064"/>
      <c r="E16512" s="3064"/>
      <c r="F16512" s="3064"/>
      <c r="G16512" s="3301" t="s">
        <v>720</v>
      </c>
      <c r="H16512" s="3063"/>
      <c r="I16512" s="3030"/>
    </row>
    <row r="16513" spans="2:9" ht="25.5">
      <c r="B16513" s="3299" t="s">
        <v>682</v>
      </c>
      <c r="C16513" s="3063"/>
      <c r="D16513" s="3064"/>
      <c r="E16513" s="3064"/>
      <c r="F16513" s="3064"/>
      <c r="G16513" s="3300" t="s">
        <v>682</v>
      </c>
      <c r="H16513" s="3063"/>
      <c r="I16513" s="3030"/>
    </row>
    <row r="16514" spans="2:9" ht="25.5">
      <c r="B16514" s="3192" t="s">
        <v>675</v>
      </c>
      <c r="C16514" s="3063"/>
      <c r="D16514" s="3064"/>
      <c r="E16514" s="3064"/>
      <c r="F16514" s="3064"/>
      <c r="G16514" s="3301" t="s">
        <v>675</v>
      </c>
      <c r="H16514" s="3063"/>
      <c r="I16514" s="3030"/>
    </row>
    <row r="16515" spans="2:9" ht="25.5">
      <c r="B16515" s="3192" t="s">
        <v>676</v>
      </c>
      <c r="C16515" s="3063"/>
      <c r="D16515" s="3064"/>
      <c r="E16515" s="3064"/>
      <c r="F16515" s="3064"/>
      <c r="G16515" s="3301" t="s">
        <v>676</v>
      </c>
      <c r="H16515" s="3063"/>
      <c r="I16515" s="3030"/>
    </row>
    <row r="16516" spans="2:9">
      <c r="B16516" s="3192" t="s">
        <v>677</v>
      </c>
      <c r="C16516" s="3063"/>
      <c r="D16516" s="3064"/>
      <c r="E16516" s="3064"/>
      <c r="F16516" s="3064"/>
      <c r="G16516" s="3301" t="s">
        <v>677</v>
      </c>
      <c r="H16516" s="3063"/>
      <c r="I16516" s="3030"/>
    </row>
    <row r="16517" spans="2:9">
      <c r="B16517" s="3192" t="s">
        <v>678</v>
      </c>
      <c r="C16517" s="3063"/>
      <c r="D16517" s="3064"/>
      <c r="E16517" s="3064"/>
      <c r="F16517" s="3064"/>
      <c r="G16517" s="3301" t="s">
        <v>678</v>
      </c>
      <c r="H16517" s="3063"/>
      <c r="I16517" s="3030"/>
    </row>
    <row r="16518" spans="2:9">
      <c r="B16518" s="3192" t="s">
        <v>679</v>
      </c>
      <c r="C16518" s="3063"/>
      <c r="D16518" s="3064"/>
      <c r="E16518" s="3064"/>
      <c r="F16518" s="3064"/>
      <c r="G16518" s="3301" t="s">
        <v>679</v>
      </c>
      <c r="H16518" s="3063"/>
      <c r="I16518" s="3030"/>
    </row>
    <row r="16519" spans="2:9" ht="25.5">
      <c r="B16519" s="3192" t="s">
        <v>720</v>
      </c>
      <c r="C16519" s="3063"/>
      <c r="D16519" s="3064"/>
      <c r="E16519" s="3064"/>
      <c r="F16519" s="3064"/>
      <c r="G16519" s="3301" t="s">
        <v>720</v>
      </c>
      <c r="H16519" s="3063"/>
      <c r="I16519" s="3030"/>
    </row>
    <row r="16520" spans="2:9" ht="25.5">
      <c r="B16520" s="3299" t="s">
        <v>66</v>
      </c>
      <c r="C16520" s="3063"/>
      <c r="D16520" s="3064"/>
      <c r="E16520" s="3064"/>
      <c r="F16520" s="3064">
        <v>1</v>
      </c>
      <c r="G16520" s="3300" t="s">
        <v>66</v>
      </c>
      <c r="H16520" s="3063"/>
      <c r="I16520" s="3030"/>
    </row>
    <row r="16521" spans="2:9" ht="25.5">
      <c r="B16521" s="3192" t="s">
        <v>675</v>
      </c>
      <c r="C16521" s="3063"/>
      <c r="D16521" s="3064"/>
      <c r="E16521" s="3064"/>
      <c r="F16521" s="3064"/>
      <c r="G16521" s="3301" t="s">
        <v>675</v>
      </c>
      <c r="H16521" s="3063"/>
      <c r="I16521" s="3030"/>
    </row>
    <row r="16522" spans="2:9" ht="25.5">
      <c r="B16522" s="3192" t="s">
        <v>676</v>
      </c>
      <c r="C16522" s="3063"/>
      <c r="D16522" s="3064"/>
      <c r="E16522" s="3064"/>
      <c r="F16522" s="3064"/>
      <c r="G16522" s="3301" t="s">
        <v>676</v>
      </c>
      <c r="H16522" s="3063"/>
      <c r="I16522" s="3030"/>
    </row>
    <row r="16523" spans="2:9">
      <c r="B16523" s="3192" t="s">
        <v>677</v>
      </c>
      <c r="C16523" s="3063"/>
      <c r="D16523" s="3064"/>
      <c r="E16523" s="3064"/>
      <c r="F16523" s="3064"/>
      <c r="G16523" s="3301" t="s">
        <v>677</v>
      </c>
      <c r="H16523" s="3063"/>
      <c r="I16523" s="3030"/>
    </row>
    <row r="16524" spans="2:9">
      <c r="B16524" s="3192" t="s">
        <v>678</v>
      </c>
      <c r="C16524" s="3063"/>
      <c r="D16524" s="3064"/>
      <c r="E16524" s="3064"/>
      <c r="F16524" s="3064"/>
      <c r="G16524" s="3301" t="s">
        <v>678</v>
      </c>
      <c r="H16524" s="3063"/>
      <c r="I16524" s="3030"/>
    </row>
    <row r="16525" spans="2:9">
      <c r="B16525" s="3192" t="s">
        <v>679</v>
      </c>
      <c r="C16525" s="3063"/>
      <c r="D16525" s="3064"/>
      <c r="E16525" s="3064"/>
      <c r="F16525" s="3064"/>
      <c r="G16525" s="3301" t="s">
        <v>679</v>
      </c>
      <c r="H16525" s="3063"/>
      <c r="I16525" s="3030"/>
    </row>
    <row r="16526" spans="2:9" ht="25.5">
      <c r="B16526" s="3192" t="s">
        <v>720</v>
      </c>
      <c r="C16526" s="3063"/>
      <c r="D16526" s="3064"/>
      <c r="E16526" s="3064"/>
      <c r="F16526" s="3064"/>
      <c r="G16526" s="3301" t="s">
        <v>720</v>
      </c>
      <c r="H16526" s="3063"/>
      <c r="I16526" s="3030"/>
    </row>
    <row r="16527" spans="2:9">
      <c r="B16527" s="3299" t="s">
        <v>67</v>
      </c>
      <c r="C16527" s="3063"/>
      <c r="D16527" s="3064"/>
      <c r="E16527" s="3064"/>
      <c r="F16527" s="3064"/>
      <c r="G16527" s="3300" t="s">
        <v>67</v>
      </c>
      <c r="H16527" s="3063"/>
      <c r="I16527" s="3030"/>
    </row>
    <row r="16528" spans="2:9" ht="25.5">
      <c r="B16528" s="3192" t="s">
        <v>675</v>
      </c>
      <c r="C16528" s="3063"/>
      <c r="D16528" s="3064"/>
      <c r="E16528" s="3064"/>
      <c r="F16528" s="3064"/>
      <c r="G16528" s="3301" t="s">
        <v>675</v>
      </c>
      <c r="H16528" s="3063"/>
      <c r="I16528" s="3030"/>
    </row>
    <row r="16529" spans="2:9" ht="25.5">
      <c r="B16529" s="3192" t="s">
        <v>676</v>
      </c>
      <c r="C16529" s="3063"/>
      <c r="D16529" s="3064"/>
      <c r="E16529" s="3064"/>
      <c r="F16529" s="3064"/>
      <c r="G16529" s="3301" t="s">
        <v>676</v>
      </c>
      <c r="H16529" s="3063"/>
      <c r="I16529" s="3030"/>
    </row>
    <row r="16530" spans="2:9">
      <c r="B16530" s="3192" t="s">
        <v>677</v>
      </c>
      <c r="C16530" s="3063"/>
      <c r="D16530" s="3064"/>
      <c r="E16530" s="3064"/>
      <c r="F16530" s="3064"/>
      <c r="G16530" s="3301" t="s">
        <v>677</v>
      </c>
      <c r="H16530" s="3063"/>
      <c r="I16530" s="3030"/>
    </row>
    <row r="16531" spans="2:9">
      <c r="B16531" s="3192" t="s">
        <v>678</v>
      </c>
      <c r="C16531" s="3063"/>
      <c r="D16531" s="3064"/>
      <c r="E16531" s="3064"/>
      <c r="F16531" s="3064"/>
      <c r="G16531" s="3301" t="s">
        <v>678</v>
      </c>
      <c r="H16531" s="3063"/>
      <c r="I16531" s="3030"/>
    </row>
    <row r="16532" spans="2:9">
      <c r="B16532" s="3192" t="s">
        <v>679</v>
      </c>
      <c r="C16532" s="3063"/>
      <c r="D16532" s="3064"/>
      <c r="E16532" s="3064"/>
      <c r="F16532" s="3064"/>
      <c r="G16532" s="3301" t="s">
        <v>679</v>
      </c>
      <c r="H16532" s="3063"/>
      <c r="I16532" s="3030"/>
    </row>
    <row r="16533" spans="2:9" ht="25.5">
      <c r="B16533" s="3192" t="s">
        <v>720</v>
      </c>
      <c r="C16533" s="3063"/>
      <c r="D16533" s="3064"/>
      <c r="E16533" s="3064"/>
      <c r="F16533" s="3064"/>
      <c r="G16533" s="3301" t="s">
        <v>720</v>
      </c>
      <c r="H16533" s="3063"/>
      <c r="I16533" s="3030"/>
    </row>
    <row r="16534" spans="2:9" ht="25.5">
      <c r="B16534" s="3230" t="s">
        <v>81</v>
      </c>
      <c r="C16534" s="3063"/>
      <c r="D16534" s="3064"/>
      <c r="E16534" s="3064"/>
      <c r="F16534" s="3064"/>
      <c r="G16534" s="3302" t="s">
        <v>81</v>
      </c>
      <c r="H16534" s="3063"/>
      <c r="I16534" s="3030"/>
    </row>
    <row r="16535" spans="2:9" ht="26.25" thickBot="1">
      <c r="B16535" s="3303" t="s">
        <v>81</v>
      </c>
      <c r="C16535" s="3063"/>
      <c r="D16535" s="3064"/>
      <c r="E16535" s="3064"/>
      <c r="F16535" s="3064"/>
      <c r="G16535" s="3302" t="s">
        <v>81</v>
      </c>
      <c r="H16535" s="3063"/>
      <c r="I16535" s="3030"/>
    </row>
    <row r="16536" spans="2:9" ht="25.5">
      <c r="B16536" s="3217" t="s">
        <v>696</v>
      </c>
      <c r="C16536" s="3218"/>
      <c r="D16536" s="3219"/>
      <c r="E16536" s="3219"/>
      <c r="F16536" s="3219"/>
      <c r="G16536" s="3217" t="s">
        <v>696</v>
      </c>
      <c r="H16536" s="3297"/>
      <c r="I16536" s="3298"/>
    </row>
    <row r="16537" spans="2:9">
      <c r="B16537" s="3299" t="s">
        <v>64</v>
      </c>
      <c r="C16537" s="3063"/>
      <c r="D16537" s="3064"/>
      <c r="E16537" s="3064"/>
      <c r="F16537" s="3064"/>
      <c r="G16537" s="3300" t="s">
        <v>64</v>
      </c>
      <c r="H16537" s="3063"/>
      <c r="I16537" s="3030"/>
    </row>
    <row r="16538" spans="2:9" ht="25.5">
      <c r="B16538" s="3192" t="s">
        <v>675</v>
      </c>
      <c r="C16538" s="3063"/>
      <c r="D16538" s="3064"/>
      <c r="E16538" s="3064"/>
      <c r="F16538" s="3064"/>
      <c r="G16538" s="3301" t="s">
        <v>675</v>
      </c>
      <c r="H16538" s="3063"/>
      <c r="I16538" s="3030"/>
    </row>
    <row r="16539" spans="2:9" ht="25.5">
      <c r="B16539" s="3192" t="s">
        <v>676</v>
      </c>
      <c r="C16539" s="3063"/>
      <c r="D16539" s="3064"/>
      <c r="E16539" s="3064"/>
      <c r="F16539" s="3064"/>
      <c r="G16539" s="3301" t="s">
        <v>676</v>
      </c>
      <c r="H16539" s="3063"/>
      <c r="I16539" s="3030"/>
    </row>
    <row r="16540" spans="2:9">
      <c r="B16540" s="3192" t="s">
        <v>677</v>
      </c>
      <c r="C16540" s="3063"/>
      <c r="D16540" s="3064"/>
      <c r="E16540" s="3064"/>
      <c r="F16540" s="3064"/>
      <c r="G16540" s="3301" t="s">
        <v>677</v>
      </c>
      <c r="H16540" s="3063"/>
      <c r="I16540" s="3030"/>
    </row>
    <row r="16541" spans="2:9">
      <c r="B16541" s="3192" t="s">
        <v>678</v>
      </c>
      <c r="C16541" s="3063"/>
      <c r="D16541" s="3064"/>
      <c r="E16541" s="3064"/>
      <c r="F16541" s="3064"/>
      <c r="G16541" s="3301" t="s">
        <v>678</v>
      </c>
      <c r="H16541" s="3063"/>
      <c r="I16541" s="3030"/>
    </row>
    <row r="16542" spans="2:9">
      <c r="B16542" s="3192" t="s">
        <v>679</v>
      </c>
      <c r="C16542" s="3063"/>
      <c r="D16542" s="3064"/>
      <c r="E16542" s="3064"/>
      <c r="F16542" s="3064"/>
      <c r="G16542" s="3301" t="s">
        <v>679</v>
      </c>
      <c r="H16542" s="3063"/>
      <c r="I16542" s="3030"/>
    </row>
    <row r="16543" spans="2:9" ht="25.5">
      <c r="B16543" s="3192" t="s">
        <v>720</v>
      </c>
      <c r="C16543" s="3063"/>
      <c r="D16543" s="3064"/>
      <c r="E16543" s="3064"/>
      <c r="F16543" s="3064"/>
      <c r="G16543" s="3301" t="s">
        <v>720</v>
      </c>
      <c r="H16543" s="3063"/>
      <c r="I16543" s="3030"/>
    </row>
    <row r="16544" spans="2:9">
      <c r="B16544" s="3299" t="s">
        <v>65</v>
      </c>
      <c r="C16544" s="3063"/>
      <c r="D16544" s="3064"/>
      <c r="E16544" s="3064"/>
      <c r="F16544" s="3064"/>
      <c r="G16544" s="3300" t="s">
        <v>65</v>
      </c>
      <c r="H16544" s="3063"/>
      <c r="I16544" s="3030"/>
    </row>
    <row r="16545" spans="2:9" ht="25.5">
      <c r="B16545" s="3192" t="s">
        <v>675</v>
      </c>
      <c r="C16545" s="3063"/>
      <c r="D16545" s="3064"/>
      <c r="E16545" s="3064"/>
      <c r="F16545" s="3064"/>
      <c r="G16545" s="3301" t="s">
        <v>675</v>
      </c>
      <c r="H16545" s="3063"/>
      <c r="I16545" s="3030"/>
    </row>
    <row r="16546" spans="2:9" ht="25.5">
      <c r="B16546" s="3192" t="s">
        <v>676</v>
      </c>
      <c r="C16546" s="3063"/>
      <c r="D16546" s="3064"/>
      <c r="E16546" s="3064"/>
      <c r="F16546" s="3064"/>
      <c r="G16546" s="3301" t="s">
        <v>676</v>
      </c>
      <c r="H16546" s="3063"/>
      <c r="I16546" s="3030"/>
    </row>
    <row r="16547" spans="2:9">
      <c r="B16547" s="3192" t="s">
        <v>677</v>
      </c>
      <c r="C16547" s="3063"/>
      <c r="D16547" s="3064"/>
      <c r="E16547" s="3064"/>
      <c r="F16547" s="3064"/>
      <c r="G16547" s="3301" t="s">
        <v>677</v>
      </c>
      <c r="H16547" s="3063"/>
      <c r="I16547" s="3030"/>
    </row>
    <row r="16548" spans="2:9">
      <c r="B16548" s="3192" t="s">
        <v>678</v>
      </c>
      <c r="C16548" s="3063"/>
      <c r="D16548" s="3064"/>
      <c r="E16548" s="3064"/>
      <c r="F16548" s="3064"/>
      <c r="G16548" s="3301" t="s">
        <v>678</v>
      </c>
      <c r="H16548" s="3063"/>
      <c r="I16548" s="3030"/>
    </row>
    <row r="16549" spans="2:9">
      <c r="B16549" s="3192" t="s">
        <v>679</v>
      </c>
      <c r="C16549" s="3063"/>
      <c r="D16549" s="3064"/>
      <c r="E16549" s="3064"/>
      <c r="F16549" s="3064"/>
      <c r="G16549" s="3301" t="s">
        <v>679</v>
      </c>
      <c r="H16549" s="3063"/>
      <c r="I16549" s="3030"/>
    </row>
    <row r="16550" spans="2:9" ht="25.5">
      <c r="B16550" s="3192" t="s">
        <v>720</v>
      </c>
      <c r="C16550" s="3063"/>
      <c r="D16550" s="3064"/>
      <c r="E16550" s="3064"/>
      <c r="F16550" s="3064"/>
      <c r="G16550" s="3301" t="s">
        <v>720</v>
      </c>
      <c r="H16550" s="3063"/>
      <c r="I16550" s="3030"/>
    </row>
    <row r="16551" spans="2:9">
      <c r="B16551" s="3299" t="s">
        <v>82</v>
      </c>
      <c r="C16551" s="3063"/>
      <c r="D16551" s="3064"/>
      <c r="E16551" s="3064"/>
      <c r="F16551" s="3064"/>
      <c r="G16551" s="3300" t="s">
        <v>82</v>
      </c>
      <c r="H16551" s="3063"/>
      <c r="I16551" s="3030"/>
    </row>
    <row r="16552" spans="2:9" ht="25.5">
      <c r="B16552" s="3192" t="s">
        <v>675</v>
      </c>
      <c r="C16552" s="3063"/>
      <c r="D16552" s="3064"/>
      <c r="E16552" s="3064"/>
      <c r="F16552" s="3064"/>
      <c r="G16552" s="3301" t="s">
        <v>675</v>
      </c>
      <c r="H16552" s="3063"/>
      <c r="I16552" s="3030"/>
    </row>
    <row r="16553" spans="2:9" ht="25.5">
      <c r="B16553" s="3192" t="s">
        <v>676</v>
      </c>
      <c r="C16553" s="3063"/>
      <c r="D16553" s="3064"/>
      <c r="E16553" s="3064"/>
      <c r="F16553" s="3064"/>
      <c r="G16553" s="3301" t="s">
        <v>676</v>
      </c>
      <c r="H16553" s="3063"/>
      <c r="I16553" s="3030"/>
    </row>
    <row r="16554" spans="2:9">
      <c r="B16554" s="3192" t="s">
        <v>677</v>
      </c>
      <c r="C16554" s="3063"/>
      <c r="D16554" s="3064"/>
      <c r="E16554" s="3064"/>
      <c r="F16554" s="3064"/>
      <c r="G16554" s="3301" t="s">
        <v>677</v>
      </c>
      <c r="H16554" s="3063"/>
      <c r="I16554" s="3030"/>
    </row>
    <row r="16555" spans="2:9">
      <c r="B16555" s="3192" t="s">
        <v>678</v>
      </c>
      <c r="C16555" s="3063"/>
      <c r="D16555" s="3064"/>
      <c r="E16555" s="3064"/>
      <c r="F16555" s="3064"/>
      <c r="G16555" s="3301" t="s">
        <v>678</v>
      </c>
      <c r="H16555" s="3063"/>
      <c r="I16555" s="3030"/>
    </row>
    <row r="16556" spans="2:9">
      <c r="B16556" s="3192" t="s">
        <v>679</v>
      </c>
      <c r="C16556" s="3063"/>
      <c r="D16556" s="3064"/>
      <c r="E16556" s="3064"/>
      <c r="F16556" s="3064"/>
      <c r="G16556" s="3301" t="s">
        <v>679</v>
      </c>
      <c r="H16556" s="3063"/>
      <c r="I16556" s="3030"/>
    </row>
    <row r="16557" spans="2:9" ht="25.5">
      <c r="B16557" s="3192" t="s">
        <v>720</v>
      </c>
      <c r="C16557" s="3063"/>
      <c r="D16557" s="3064"/>
      <c r="E16557" s="3064"/>
      <c r="F16557" s="3064"/>
      <c r="G16557" s="3301" t="s">
        <v>720</v>
      </c>
      <c r="H16557" s="3063"/>
      <c r="I16557" s="3030"/>
    </row>
    <row r="16558" spans="2:9" ht="38.25">
      <c r="B16558" s="3299" t="s">
        <v>680</v>
      </c>
      <c r="C16558" s="3063"/>
      <c r="D16558" s="3064"/>
      <c r="E16558" s="3064"/>
      <c r="F16558" s="3064"/>
      <c r="G16558" s="3300" t="s">
        <v>680</v>
      </c>
      <c r="H16558" s="3063"/>
      <c r="I16558" s="3030"/>
    </row>
    <row r="16559" spans="2:9" ht="25.5">
      <c r="B16559" s="3192" t="s">
        <v>675</v>
      </c>
      <c r="C16559" s="3063"/>
      <c r="D16559" s="3064"/>
      <c r="E16559" s="3064"/>
      <c r="F16559" s="3064"/>
      <c r="G16559" s="3301" t="s">
        <v>675</v>
      </c>
      <c r="H16559" s="3063"/>
      <c r="I16559" s="3030"/>
    </row>
    <row r="16560" spans="2:9" ht="25.5">
      <c r="B16560" s="3192" t="s">
        <v>676</v>
      </c>
      <c r="C16560" s="3063"/>
      <c r="D16560" s="3064"/>
      <c r="E16560" s="3064"/>
      <c r="F16560" s="3064"/>
      <c r="G16560" s="3301" t="s">
        <v>676</v>
      </c>
      <c r="H16560" s="3063"/>
      <c r="I16560" s="3030"/>
    </row>
    <row r="16561" spans="2:9">
      <c r="B16561" s="3192" t="s">
        <v>677</v>
      </c>
      <c r="C16561" s="3063"/>
      <c r="D16561" s="3064"/>
      <c r="E16561" s="3064"/>
      <c r="F16561" s="3064"/>
      <c r="G16561" s="3301" t="s">
        <v>677</v>
      </c>
      <c r="H16561" s="3063"/>
      <c r="I16561" s="3030"/>
    </row>
    <row r="16562" spans="2:9">
      <c r="B16562" s="3192" t="s">
        <v>678</v>
      </c>
      <c r="C16562" s="3063"/>
      <c r="D16562" s="3064"/>
      <c r="E16562" s="3064"/>
      <c r="F16562" s="3064"/>
      <c r="G16562" s="3301" t="s">
        <v>678</v>
      </c>
      <c r="H16562" s="3063"/>
      <c r="I16562" s="3030"/>
    </row>
    <row r="16563" spans="2:9">
      <c r="B16563" s="3192" t="s">
        <v>679</v>
      </c>
      <c r="C16563" s="3063"/>
      <c r="D16563" s="3064"/>
      <c r="E16563" s="3064"/>
      <c r="F16563" s="3064"/>
      <c r="G16563" s="3301" t="s">
        <v>679</v>
      </c>
      <c r="H16563" s="3063"/>
      <c r="I16563" s="3030"/>
    </row>
    <row r="16564" spans="2:9" ht="25.5">
      <c r="B16564" s="3192" t="s">
        <v>720</v>
      </c>
      <c r="C16564" s="3063"/>
      <c r="D16564" s="3064"/>
      <c r="E16564" s="3064"/>
      <c r="F16564" s="3064"/>
      <c r="G16564" s="3301" t="s">
        <v>720</v>
      </c>
      <c r="H16564" s="3063"/>
      <c r="I16564" s="3030"/>
    </row>
    <row r="16565" spans="2:9" ht="38.25">
      <c r="B16565" s="3299" t="s">
        <v>681</v>
      </c>
      <c r="C16565" s="3063"/>
      <c r="D16565" s="3064"/>
      <c r="E16565" s="3064"/>
      <c r="F16565" s="3064"/>
      <c r="G16565" s="3300" t="s">
        <v>681</v>
      </c>
      <c r="H16565" s="3063"/>
      <c r="I16565" s="3030"/>
    </row>
    <row r="16566" spans="2:9" ht="25.5">
      <c r="B16566" s="3192" t="s">
        <v>675</v>
      </c>
      <c r="C16566" s="3063"/>
      <c r="D16566" s="3064"/>
      <c r="E16566" s="3064"/>
      <c r="F16566" s="3064"/>
      <c r="G16566" s="3301" t="s">
        <v>675</v>
      </c>
      <c r="H16566" s="3063"/>
      <c r="I16566" s="3030"/>
    </row>
    <row r="16567" spans="2:9" ht="25.5">
      <c r="B16567" s="3192" t="s">
        <v>676</v>
      </c>
      <c r="C16567" s="3063"/>
      <c r="D16567" s="3064"/>
      <c r="E16567" s="3064"/>
      <c r="F16567" s="3064"/>
      <c r="G16567" s="3301" t="s">
        <v>676</v>
      </c>
      <c r="H16567" s="3063"/>
      <c r="I16567" s="3030"/>
    </row>
    <row r="16568" spans="2:9">
      <c r="B16568" s="3192" t="s">
        <v>677</v>
      </c>
      <c r="C16568" s="3063"/>
      <c r="D16568" s="3064"/>
      <c r="E16568" s="3064"/>
      <c r="F16568" s="3064"/>
      <c r="G16568" s="3301" t="s">
        <v>677</v>
      </c>
      <c r="H16568" s="3063"/>
      <c r="I16568" s="3030"/>
    </row>
    <row r="16569" spans="2:9">
      <c r="B16569" s="3192" t="s">
        <v>678</v>
      </c>
      <c r="C16569" s="3063"/>
      <c r="D16569" s="3064"/>
      <c r="E16569" s="3064"/>
      <c r="F16569" s="3064"/>
      <c r="G16569" s="3301" t="s">
        <v>678</v>
      </c>
      <c r="H16569" s="3063"/>
      <c r="I16569" s="3030"/>
    </row>
    <row r="16570" spans="2:9">
      <c r="B16570" s="3192" t="s">
        <v>679</v>
      </c>
      <c r="C16570" s="3063"/>
      <c r="D16570" s="3064"/>
      <c r="E16570" s="3064"/>
      <c r="F16570" s="3064"/>
      <c r="G16570" s="3301" t="s">
        <v>679</v>
      </c>
      <c r="H16570" s="3063"/>
      <c r="I16570" s="3030"/>
    </row>
    <row r="16571" spans="2:9" ht="25.5">
      <c r="B16571" s="3192" t="s">
        <v>720</v>
      </c>
      <c r="C16571" s="3063"/>
      <c r="D16571" s="3064"/>
      <c r="E16571" s="3064"/>
      <c r="F16571" s="3064"/>
      <c r="G16571" s="3301" t="s">
        <v>720</v>
      </c>
      <c r="H16571" s="3063"/>
      <c r="I16571" s="3030"/>
    </row>
    <row r="16572" spans="2:9" ht="25.5">
      <c r="B16572" s="3299" t="s">
        <v>682</v>
      </c>
      <c r="C16572" s="3063"/>
      <c r="D16572" s="3064"/>
      <c r="E16572" s="3064"/>
      <c r="F16572" s="3064"/>
      <c r="G16572" s="3300" t="s">
        <v>682</v>
      </c>
      <c r="H16572" s="3063"/>
      <c r="I16572" s="3030"/>
    </row>
    <row r="16573" spans="2:9" ht="25.5">
      <c r="B16573" s="3192" t="s">
        <v>675</v>
      </c>
      <c r="C16573" s="3063"/>
      <c r="D16573" s="3064"/>
      <c r="E16573" s="3064"/>
      <c r="F16573" s="3064"/>
      <c r="G16573" s="3301" t="s">
        <v>675</v>
      </c>
      <c r="H16573" s="3063"/>
      <c r="I16573" s="3030"/>
    </row>
    <row r="16574" spans="2:9" ht="25.5">
      <c r="B16574" s="3192" t="s">
        <v>676</v>
      </c>
      <c r="C16574" s="3063"/>
      <c r="D16574" s="3064"/>
      <c r="E16574" s="3064"/>
      <c r="F16574" s="3064"/>
      <c r="G16574" s="3301" t="s">
        <v>676</v>
      </c>
      <c r="H16574" s="3063"/>
      <c r="I16574" s="3030"/>
    </row>
    <row r="16575" spans="2:9">
      <c r="B16575" s="3192" t="s">
        <v>677</v>
      </c>
      <c r="C16575" s="3063"/>
      <c r="D16575" s="3064"/>
      <c r="E16575" s="3064"/>
      <c r="F16575" s="3064"/>
      <c r="G16575" s="3301" t="s">
        <v>677</v>
      </c>
      <c r="H16575" s="3063"/>
      <c r="I16575" s="3030"/>
    </row>
    <row r="16576" spans="2:9">
      <c r="B16576" s="3192" t="s">
        <v>678</v>
      </c>
      <c r="C16576" s="3063"/>
      <c r="D16576" s="3064"/>
      <c r="E16576" s="3064"/>
      <c r="F16576" s="3064"/>
      <c r="G16576" s="3301" t="s">
        <v>678</v>
      </c>
      <c r="H16576" s="3063"/>
      <c r="I16576" s="3030"/>
    </row>
    <row r="16577" spans="2:9">
      <c r="B16577" s="3192" t="s">
        <v>679</v>
      </c>
      <c r="C16577" s="3063"/>
      <c r="D16577" s="3064"/>
      <c r="E16577" s="3064"/>
      <c r="F16577" s="3064"/>
      <c r="G16577" s="3301" t="s">
        <v>679</v>
      </c>
      <c r="H16577" s="3063"/>
      <c r="I16577" s="3030"/>
    </row>
    <row r="16578" spans="2:9" ht="25.5">
      <c r="B16578" s="3192" t="s">
        <v>720</v>
      </c>
      <c r="C16578" s="3063"/>
      <c r="D16578" s="3064"/>
      <c r="E16578" s="3064"/>
      <c r="F16578" s="3064"/>
      <c r="G16578" s="3301" t="s">
        <v>720</v>
      </c>
      <c r="H16578" s="3063"/>
      <c r="I16578" s="3030"/>
    </row>
    <row r="16579" spans="2:9" ht="25.5">
      <c r="B16579" s="3299" t="s">
        <v>66</v>
      </c>
      <c r="C16579" s="3063"/>
      <c r="D16579" s="3064"/>
      <c r="E16579" s="3064"/>
      <c r="F16579" s="3064"/>
      <c r="G16579" s="3300" t="s">
        <v>66</v>
      </c>
      <c r="H16579" s="3063"/>
      <c r="I16579" s="3030"/>
    </row>
    <row r="16580" spans="2:9" ht="25.5">
      <c r="B16580" s="3192" t="s">
        <v>675</v>
      </c>
      <c r="C16580" s="3063"/>
      <c r="D16580" s="3064"/>
      <c r="E16580" s="3064"/>
      <c r="F16580" s="3064"/>
      <c r="G16580" s="3301" t="s">
        <v>675</v>
      </c>
      <c r="H16580" s="3063"/>
      <c r="I16580" s="3030"/>
    </row>
    <row r="16581" spans="2:9" ht="25.5">
      <c r="B16581" s="3192" t="s">
        <v>676</v>
      </c>
      <c r="C16581" s="3063"/>
      <c r="D16581" s="3064"/>
      <c r="E16581" s="3064"/>
      <c r="F16581" s="3064"/>
      <c r="G16581" s="3301" t="s">
        <v>676</v>
      </c>
      <c r="H16581" s="3063"/>
      <c r="I16581" s="3030"/>
    </row>
    <row r="16582" spans="2:9">
      <c r="B16582" s="3192" t="s">
        <v>677</v>
      </c>
      <c r="C16582" s="3063"/>
      <c r="D16582" s="3064"/>
      <c r="E16582" s="3064"/>
      <c r="F16582" s="3064"/>
      <c r="G16582" s="3301" t="s">
        <v>677</v>
      </c>
      <c r="H16582" s="3063"/>
      <c r="I16582" s="3030"/>
    </row>
    <row r="16583" spans="2:9">
      <c r="B16583" s="3192" t="s">
        <v>678</v>
      </c>
      <c r="C16583" s="3063"/>
      <c r="D16583" s="3064"/>
      <c r="E16583" s="3064"/>
      <c r="F16583" s="3064"/>
      <c r="G16583" s="3301" t="s">
        <v>678</v>
      </c>
      <c r="H16583" s="3063"/>
      <c r="I16583" s="3030"/>
    </row>
    <row r="16584" spans="2:9">
      <c r="B16584" s="3192" t="s">
        <v>679</v>
      </c>
      <c r="C16584" s="3063"/>
      <c r="D16584" s="3064"/>
      <c r="E16584" s="3064"/>
      <c r="F16584" s="3064"/>
      <c r="G16584" s="3301" t="s">
        <v>679</v>
      </c>
      <c r="H16584" s="3063"/>
      <c r="I16584" s="3030"/>
    </row>
    <row r="16585" spans="2:9" ht="25.5">
      <c r="B16585" s="3192" t="s">
        <v>720</v>
      </c>
      <c r="C16585" s="3063"/>
      <c r="D16585" s="3064"/>
      <c r="E16585" s="3064"/>
      <c r="F16585" s="3064"/>
      <c r="G16585" s="3301" t="s">
        <v>720</v>
      </c>
      <c r="H16585" s="3063"/>
      <c r="I16585" s="3030"/>
    </row>
    <row r="16586" spans="2:9">
      <c r="B16586" s="3299" t="s">
        <v>67</v>
      </c>
      <c r="C16586" s="3063"/>
      <c r="D16586" s="3064"/>
      <c r="E16586" s="3064"/>
      <c r="F16586" s="3064"/>
      <c r="G16586" s="3300" t="s">
        <v>67</v>
      </c>
      <c r="H16586" s="3063"/>
      <c r="I16586" s="3030"/>
    </row>
    <row r="16587" spans="2:9" ht="25.5">
      <c r="B16587" s="3192" t="s">
        <v>675</v>
      </c>
      <c r="C16587" s="3063"/>
      <c r="D16587" s="3064"/>
      <c r="E16587" s="3064"/>
      <c r="F16587" s="3064"/>
      <c r="G16587" s="3301" t="s">
        <v>675</v>
      </c>
      <c r="H16587" s="3063"/>
      <c r="I16587" s="3030"/>
    </row>
    <row r="16588" spans="2:9" ht="25.5">
      <c r="B16588" s="3192" t="s">
        <v>676</v>
      </c>
      <c r="C16588" s="3063"/>
      <c r="D16588" s="3064"/>
      <c r="E16588" s="3064"/>
      <c r="F16588" s="3064"/>
      <c r="G16588" s="3301" t="s">
        <v>676</v>
      </c>
      <c r="H16588" s="3063"/>
      <c r="I16588" s="3030"/>
    </row>
    <row r="16589" spans="2:9">
      <c r="B16589" s="3192" t="s">
        <v>677</v>
      </c>
      <c r="C16589" s="3063"/>
      <c r="D16589" s="3064"/>
      <c r="E16589" s="3064"/>
      <c r="F16589" s="3064"/>
      <c r="G16589" s="3301" t="s">
        <v>677</v>
      </c>
      <c r="H16589" s="3063"/>
      <c r="I16589" s="3030"/>
    </row>
    <row r="16590" spans="2:9">
      <c r="B16590" s="3192" t="s">
        <v>678</v>
      </c>
      <c r="C16590" s="3063"/>
      <c r="D16590" s="3064"/>
      <c r="E16590" s="3064"/>
      <c r="F16590" s="3064"/>
      <c r="G16590" s="3301" t="s">
        <v>678</v>
      </c>
      <c r="H16590" s="3063"/>
      <c r="I16590" s="3030"/>
    </row>
    <row r="16591" spans="2:9">
      <c r="B16591" s="3192" t="s">
        <v>679</v>
      </c>
      <c r="C16591" s="3063"/>
      <c r="D16591" s="3064"/>
      <c r="E16591" s="3064"/>
      <c r="F16591" s="3064"/>
      <c r="G16591" s="3301" t="s">
        <v>679</v>
      </c>
      <c r="H16591" s="3063"/>
      <c r="I16591" s="3030"/>
    </row>
    <row r="16592" spans="2:9" ht="25.5">
      <c r="B16592" s="3230" t="s">
        <v>81</v>
      </c>
      <c r="C16592" s="3063"/>
      <c r="D16592" s="3064"/>
      <c r="E16592" s="3064"/>
      <c r="F16592" s="3064"/>
      <c r="G16592" s="3302" t="s">
        <v>81</v>
      </c>
      <c r="H16592" s="3063"/>
      <c r="I16592" s="3030"/>
    </row>
    <row r="16593" spans="2:9" ht="26.25" thickBot="1">
      <c r="B16593" s="3303" t="s">
        <v>81</v>
      </c>
      <c r="C16593" s="3063"/>
      <c r="D16593" s="3064"/>
      <c r="E16593" s="3064"/>
      <c r="F16593" s="3064"/>
      <c r="G16593" s="3302" t="s">
        <v>81</v>
      </c>
      <c r="H16593" s="3063"/>
      <c r="I16593" s="3030"/>
    </row>
    <row r="16594" spans="2:9">
      <c r="B16594" s="3217" t="s">
        <v>697</v>
      </c>
      <c r="C16594" s="3218"/>
      <c r="D16594" s="3219"/>
      <c r="E16594" s="3219"/>
      <c r="F16594" s="3219"/>
      <c r="G16594" s="3217" t="s">
        <v>697</v>
      </c>
      <c r="H16594" s="3297"/>
      <c r="I16594" s="3298"/>
    </row>
    <row r="16595" spans="2:9">
      <c r="B16595" s="3299" t="s">
        <v>64</v>
      </c>
      <c r="C16595" s="3063"/>
      <c r="D16595" s="3064"/>
      <c r="E16595" s="3064"/>
      <c r="F16595" s="3064"/>
      <c r="G16595" s="3300" t="s">
        <v>64</v>
      </c>
      <c r="H16595" s="3063"/>
      <c r="I16595" s="3030"/>
    </row>
    <row r="16596" spans="2:9" ht="25.5">
      <c r="B16596" s="3192" t="s">
        <v>675</v>
      </c>
      <c r="C16596" s="3063"/>
      <c r="D16596" s="3064"/>
      <c r="E16596" s="3064"/>
      <c r="F16596" s="3064"/>
      <c r="G16596" s="3301" t="s">
        <v>675</v>
      </c>
      <c r="H16596" s="3063"/>
      <c r="I16596" s="3030"/>
    </row>
    <row r="16597" spans="2:9" ht="25.5">
      <c r="B16597" s="3192" t="s">
        <v>676</v>
      </c>
      <c r="C16597" s="3063"/>
      <c r="D16597" s="3064"/>
      <c r="E16597" s="3064"/>
      <c r="F16597" s="3064"/>
      <c r="G16597" s="3301" t="s">
        <v>676</v>
      </c>
      <c r="H16597" s="3063"/>
      <c r="I16597" s="3030"/>
    </row>
    <row r="16598" spans="2:9">
      <c r="B16598" s="3192" t="s">
        <v>677</v>
      </c>
      <c r="C16598" s="3063"/>
      <c r="D16598" s="3064"/>
      <c r="E16598" s="3064"/>
      <c r="F16598" s="3064"/>
      <c r="G16598" s="3301" t="s">
        <v>677</v>
      </c>
      <c r="H16598" s="3063"/>
      <c r="I16598" s="3030"/>
    </row>
    <row r="16599" spans="2:9">
      <c r="B16599" s="3192" t="s">
        <v>678</v>
      </c>
      <c r="C16599" s="3063"/>
      <c r="D16599" s="3064"/>
      <c r="E16599" s="3064"/>
      <c r="F16599" s="3064"/>
      <c r="G16599" s="3301" t="s">
        <v>678</v>
      </c>
      <c r="H16599" s="3063"/>
      <c r="I16599" s="3030"/>
    </row>
    <row r="16600" spans="2:9">
      <c r="B16600" s="3192" t="s">
        <v>679</v>
      </c>
      <c r="C16600" s="3063"/>
      <c r="D16600" s="3064"/>
      <c r="E16600" s="3064"/>
      <c r="F16600" s="3064"/>
      <c r="G16600" s="3301" t="s">
        <v>679</v>
      </c>
      <c r="H16600" s="3063"/>
      <c r="I16600" s="3030"/>
    </row>
    <row r="16601" spans="2:9" ht="25.5">
      <c r="B16601" s="3192" t="s">
        <v>720</v>
      </c>
      <c r="C16601" s="3063"/>
      <c r="D16601" s="3064"/>
      <c r="E16601" s="3064"/>
      <c r="F16601" s="3064"/>
      <c r="G16601" s="3301" t="s">
        <v>720</v>
      </c>
      <c r="H16601" s="3063"/>
      <c r="I16601" s="3030"/>
    </row>
    <row r="16602" spans="2:9">
      <c r="B16602" s="3299" t="s">
        <v>65</v>
      </c>
      <c r="C16602" s="3063"/>
      <c r="D16602" s="3064"/>
      <c r="E16602" s="3064"/>
      <c r="F16602" s="3064"/>
      <c r="G16602" s="3300" t="s">
        <v>65</v>
      </c>
      <c r="H16602" s="3063"/>
      <c r="I16602" s="3030"/>
    </row>
    <row r="16603" spans="2:9" ht="25.5">
      <c r="B16603" s="3192" t="s">
        <v>675</v>
      </c>
      <c r="C16603" s="3063"/>
      <c r="D16603" s="3064"/>
      <c r="E16603" s="3064"/>
      <c r="F16603" s="3064"/>
      <c r="G16603" s="3301" t="s">
        <v>675</v>
      </c>
      <c r="H16603" s="3063"/>
      <c r="I16603" s="3030"/>
    </row>
    <row r="16604" spans="2:9" ht="25.5">
      <c r="B16604" s="3192" t="s">
        <v>676</v>
      </c>
      <c r="C16604" s="3063"/>
      <c r="D16604" s="3064"/>
      <c r="E16604" s="3064"/>
      <c r="F16604" s="3064"/>
      <c r="G16604" s="3301" t="s">
        <v>676</v>
      </c>
      <c r="H16604" s="3063"/>
      <c r="I16604" s="3030"/>
    </row>
    <row r="16605" spans="2:9">
      <c r="B16605" s="3192" t="s">
        <v>677</v>
      </c>
      <c r="C16605" s="3063"/>
      <c r="D16605" s="3064"/>
      <c r="E16605" s="3064"/>
      <c r="F16605" s="3064"/>
      <c r="G16605" s="3301" t="s">
        <v>677</v>
      </c>
      <c r="H16605" s="3063"/>
      <c r="I16605" s="3030"/>
    </row>
    <row r="16606" spans="2:9">
      <c r="B16606" s="3192" t="s">
        <v>678</v>
      </c>
      <c r="C16606" s="3063"/>
      <c r="D16606" s="3064"/>
      <c r="E16606" s="3064"/>
      <c r="F16606" s="3064"/>
      <c r="G16606" s="3301" t="s">
        <v>678</v>
      </c>
      <c r="H16606" s="3063"/>
      <c r="I16606" s="3030"/>
    </row>
    <row r="16607" spans="2:9">
      <c r="B16607" s="3192" t="s">
        <v>679</v>
      </c>
      <c r="C16607" s="3063"/>
      <c r="D16607" s="3064"/>
      <c r="E16607" s="3064"/>
      <c r="F16607" s="3064"/>
      <c r="G16607" s="3301" t="s">
        <v>679</v>
      </c>
      <c r="H16607" s="3063"/>
      <c r="I16607" s="3030"/>
    </row>
    <row r="16608" spans="2:9" ht="25.5">
      <c r="B16608" s="3192" t="s">
        <v>720</v>
      </c>
      <c r="C16608" s="3063"/>
      <c r="D16608" s="3064"/>
      <c r="E16608" s="3064"/>
      <c r="F16608" s="3064"/>
      <c r="G16608" s="3301" t="s">
        <v>720</v>
      </c>
      <c r="H16608" s="3063"/>
      <c r="I16608" s="3030"/>
    </row>
    <row r="16609" spans="2:9">
      <c r="B16609" s="3299" t="s">
        <v>82</v>
      </c>
      <c r="C16609" s="3063"/>
      <c r="D16609" s="3064"/>
      <c r="E16609" s="3064"/>
      <c r="F16609" s="3064"/>
      <c r="G16609" s="3300" t="s">
        <v>82</v>
      </c>
      <c r="H16609" s="3063"/>
      <c r="I16609" s="3030"/>
    </row>
    <row r="16610" spans="2:9" ht="25.5">
      <c r="B16610" s="3192" t="s">
        <v>675</v>
      </c>
      <c r="C16610" s="3063"/>
      <c r="D16610" s="3064"/>
      <c r="E16610" s="3064"/>
      <c r="F16610" s="3064"/>
      <c r="G16610" s="3301" t="s">
        <v>675</v>
      </c>
      <c r="H16610" s="3063"/>
      <c r="I16610" s="3030"/>
    </row>
    <row r="16611" spans="2:9" ht="25.5">
      <c r="B16611" s="3192" t="s">
        <v>676</v>
      </c>
      <c r="C16611" s="3063"/>
      <c r="D16611" s="3064"/>
      <c r="E16611" s="3064"/>
      <c r="F16611" s="3064"/>
      <c r="G16611" s="3301" t="s">
        <v>676</v>
      </c>
      <c r="H16611" s="3063"/>
      <c r="I16611" s="3030"/>
    </row>
    <row r="16612" spans="2:9">
      <c r="B16612" s="3192" t="s">
        <v>677</v>
      </c>
      <c r="C16612" s="3063"/>
      <c r="D16612" s="3064"/>
      <c r="E16612" s="3064"/>
      <c r="F16612" s="3064"/>
      <c r="G16612" s="3301" t="s">
        <v>677</v>
      </c>
      <c r="H16612" s="3063"/>
      <c r="I16612" s="3030"/>
    </row>
    <row r="16613" spans="2:9">
      <c r="B16613" s="3192" t="s">
        <v>678</v>
      </c>
      <c r="C16613" s="3063"/>
      <c r="D16613" s="3064"/>
      <c r="E16613" s="3064"/>
      <c r="F16613" s="3064"/>
      <c r="G16613" s="3301" t="s">
        <v>678</v>
      </c>
      <c r="H16613" s="3063"/>
      <c r="I16613" s="3030"/>
    </row>
    <row r="16614" spans="2:9">
      <c r="B16614" s="3192" t="s">
        <v>679</v>
      </c>
      <c r="C16614" s="3063"/>
      <c r="D16614" s="3064"/>
      <c r="E16614" s="3064"/>
      <c r="F16614" s="3064"/>
      <c r="G16614" s="3301" t="s">
        <v>679</v>
      </c>
      <c r="H16614" s="3063"/>
      <c r="I16614" s="3030"/>
    </row>
    <row r="16615" spans="2:9" ht="25.5">
      <c r="B16615" s="3192" t="s">
        <v>720</v>
      </c>
      <c r="C16615" s="3063"/>
      <c r="D16615" s="3064"/>
      <c r="E16615" s="3064"/>
      <c r="F16615" s="3064"/>
      <c r="G16615" s="3301" t="s">
        <v>720</v>
      </c>
      <c r="H16615" s="3063"/>
      <c r="I16615" s="3030"/>
    </row>
    <row r="16616" spans="2:9" ht="38.25">
      <c r="B16616" s="3299" t="s">
        <v>680</v>
      </c>
      <c r="C16616" s="3063"/>
      <c r="D16616" s="3064"/>
      <c r="E16616" s="3064"/>
      <c r="F16616" s="3064"/>
      <c r="G16616" s="3300" t="s">
        <v>680</v>
      </c>
      <c r="H16616" s="3063"/>
      <c r="I16616" s="3030"/>
    </row>
    <row r="16617" spans="2:9" ht="25.5">
      <c r="B16617" s="3192" t="s">
        <v>675</v>
      </c>
      <c r="C16617" s="3063"/>
      <c r="D16617" s="3064"/>
      <c r="E16617" s="3064"/>
      <c r="F16617" s="3064"/>
      <c r="G16617" s="3301" t="s">
        <v>675</v>
      </c>
      <c r="H16617" s="3063"/>
      <c r="I16617" s="3030"/>
    </row>
    <row r="16618" spans="2:9" ht="25.5">
      <c r="B16618" s="3192" t="s">
        <v>676</v>
      </c>
      <c r="C16618" s="3063"/>
      <c r="D16618" s="3064"/>
      <c r="E16618" s="3064"/>
      <c r="F16618" s="3064"/>
      <c r="G16618" s="3301" t="s">
        <v>676</v>
      </c>
      <c r="H16618" s="3063"/>
      <c r="I16618" s="3030"/>
    </row>
    <row r="16619" spans="2:9">
      <c r="B16619" s="3192" t="s">
        <v>677</v>
      </c>
      <c r="C16619" s="3063"/>
      <c r="D16619" s="3064"/>
      <c r="E16619" s="3064"/>
      <c r="F16619" s="3064"/>
      <c r="G16619" s="3301" t="s">
        <v>677</v>
      </c>
      <c r="H16619" s="3063"/>
      <c r="I16619" s="3030"/>
    </row>
    <row r="16620" spans="2:9">
      <c r="B16620" s="3192" t="s">
        <v>678</v>
      </c>
      <c r="C16620" s="3063"/>
      <c r="D16620" s="3064"/>
      <c r="E16620" s="3064"/>
      <c r="F16620" s="3064"/>
      <c r="G16620" s="3301" t="s">
        <v>678</v>
      </c>
      <c r="H16620" s="3063"/>
      <c r="I16620" s="3030"/>
    </row>
    <row r="16621" spans="2:9">
      <c r="B16621" s="3192" t="s">
        <v>679</v>
      </c>
      <c r="C16621" s="3063"/>
      <c r="D16621" s="3064"/>
      <c r="E16621" s="3064"/>
      <c r="F16621" s="3064"/>
      <c r="G16621" s="3301" t="s">
        <v>679</v>
      </c>
      <c r="H16621" s="3063"/>
      <c r="I16621" s="3030"/>
    </row>
    <row r="16622" spans="2:9" ht="25.5">
      <c r="B16622" s="3192" t="s">
        <v>720</v>
      </c>
      <c r="C16622" s="3063"/>
      <c r="D16622" s="3064"/>
      <c r="E16622" s="3064"/>
      <c r="F16622" s="3064"/>
      <c r="G16622" s="3301" t="s">
        <v>720</v>
      </c>
      <c r="H16622" s="3063"/>
      <c r="I16622" s="3030"/>
    </row>
    <row r="16623" spans="2:9" ht="38.25">
      <c r="B16623" s="3299" t="s">
        <v>681</v>
      </c>
      <c r="C16623" s="3063"/>
      <c r="D16623" s="3064"/>
      <c r="E16623" s="3064"/>
      <c r="F16623" s="3064">
        <v>2</v>
      </c>
      <c r="G16623" s="3300" t="s">
        <v>681</v>
      </c>
      <c r="H16623" s="3063">
        <v>8.8418372158823189E-3</v>
      </c>
      <c r="I16623" s="3030"/>
    </row>
    <row r="16624" spans="2:9" ht="25.5">
      <c r="B16624" s="3192" t="s">
        <v>675</v>
      </c>
      <c r="C16624" s="3063"/>
      <c r="D16624" s="3064"/>
      <c r="E16624" s="3064"/>
      <c r="F16624" s="3064"/>
      <c r="G16624" s="3301" t="s">
        <v>675</v>
      </c>
      <c r="H16624" s="3063"/>
      <c r="I16624" s="3030"/>
    </row>
    <row r="16625" spans="2:9" ht="25.5">
      <c r="B16625" s="3192" t="s">
        <v>676</v>
      </c>
      <c r="C16625" s="3063"/>
      <c r="D16625" s="3064"/>
      <c r="E16625" s="3064"/>
      <c r="F16625" s="3064"/>
      <c r="G16625" s="3301" t="s">
        <v>676</v>
      </c>
      <c r="H16625" s="3063"/>
      <c r="I16625" s="3030"/>
    </row>
    <row r="16626" spans="2:9">
      <c r="B16626" s="3192" t="s">
        <v>677</v>
      </c>
      <c r="C16626" s="3063"/>
      <c r="D16626" s="3064"/>
      <c r="E16626" s="3064"/>
      <c r="F16626" s="3064"/>
      <c r="G16626" s="3301" t="s">
        <v>677</v>
      </c>
      <c r="H16626" s="3063"/>
      <c r="I16626" s="3030"/>
    </row>
    <row r="16627" spans="2:9">
      <c r="B16627" s="3192" t="s">
        <v>678</v>
      </c>
      <c r="C16627" s="3063"/>
      <c r="D16627" s="3064">
        <v>1</v>
      </c>
      <c r="E16627" s="3064"/>
      <c r="F16627" s="3064"/>
      <c r="G16627" s="3301" t="s">
        <v>678</v>
      </c>
      <c r="H16627" s="3063"/>
      <c r="I16627" s="3030"/>
    </row>
    <row r="16628" spans="2:9">
      <c r="B16628" s="3192" t="s">
        <v>679</v>
      </c>
      <c r="C16628" s="3063"/>
      <c r="D16628" s="3064"/>
      <c r="E16628" s="3064"/>
      <c r="F16628" s="3064"/>
      <c r="G16628" s="3301" t="s">
        <v>679</v>
      </c>
      <c r="H16628" s="3063"/>
      <c r="I16628" s="3030"/>
    </row>
    <row r="16629" spans="2:9" ht="25.5">
      <c r="B16629" s="3192" t="s">
        <v>720</v>
      </c>
      <c r="C16629" s="3063"/>
      <c r="D16629" s="3064"/>
      <c r="E16629" s="3064"/>
      <c r="F16629" s="3064"/>
      <c r="G16629" s="3301" t="s">
        <v>720</v>
      </c>
      <c r="H16629" s="3063"/>
      <c r="I16629" s="3030"/>
    </row>
    <row r="16630" spans="2:9" ht="25.5">
      <c r="B16630" s="3299" t="s">
        <v>682</v>
      </c>
      <c r="C16630" s="3063"/>
      <c r="D16630" s="3064"/>
      <c r="E16630" s="3064"/>
      <c r="F16630" s="3064"/>
      <c r="G16630" s="3300" t="s">
        <v>682</v>
      </c>
      <c r="H16630" s="3063"/>
      <c r="I16630" s="3030"/>
    </row>
    <row r="16631" spans="2:9" ht="25.5">
      <c r="B16631" s="3192" t="s">
        <v>675</v>
      </c>
      <c r="C16631" s="3063"/>
      <c r="D16631" s="3064"/>
      <c r="E16631" s="3064"/>
      <c r="F16631" s="3064"/>
      <c r="G16631" s="3301" t="s">
        <v>675</v>
      </c>
      <c r="H16631" s="3063"/>
      <c r="I16631" s="3030"/>
    </row>
    <row r="16632" spans="2:9" ht="25.5">
      <c r="B16632" s="3192" t="s">
        <v>676</v>
      </c>
      <c r="C16632" s="3063"/>
      <c r="D16632" s="3064"/>
      <c r="E16632" s="3064"/>
      <c r="F16632" s="3064"/>
      <c r="G16632" s="3301" t="s">
        <v>676</v>
      </c>
      <c r="H16632" s="3063"/>
      <c r="I16632" s="3030"/>
    </row>
    <row r="16633" spans="2:9">
      <c r="B16633" s="3192" t="s">
        <v>677</v>
      </c>
      <c r="C16633" s="3063"/>
      <c r="D16633" s="3064"/>
      <c r="E16633" s="3064"/>
      <c r="F16633" s="3064"/>
      <c r="G16633" s="3301" t="s">
        <v>677</v>
      </c>
      <c r="H16633" s="3063"/>
      <c r="I16633" s="3030"/>
    </row>
    <row r="16634" spans="2:9">
      <c r="B16634" s="3192" t="s">
        <v>678</v>
      </c>
      <c r="C16634" s="3063"/>
      <c r="D16634" s="3064"/>
      <c r="E16634" s="3064"/>
      <c r="F16634" s="3064"/>
      <c r="G16634" s="3301" t="s">
        <v>678</v>
      </c>
      <c r="H16634" s="3063"/>
      <c r="I16634" s="3030"/>
    </row>
    <row r="16635" spans="2:9">
      <c r="B16635" s="3192" t="s">
        <v>679</v>
      </c>
      <c r="C16635" s="3063"/>
      <c r="D16635" s="3064"/>
      <c r="E16635" s="3064"/>
      <c r="F16635" s="3064"/>
      <c r="G16635" s="3301" t="s">
        <v>679</v>
      </c>
      <c r="H16635" s="3063"/>
      <c r="I16635" s="3030"/>
    </row>
    <row r="16636" spans="2:9" ht="25.5">
      <c r="B16636" s="3192" t="s">
        <v>720</v>
      </c>
      <c r="C16636" s="3063"/>
      <c r="D16636" s="3064"/>
      <c r="E16636" s="3064"/>
      <c r="F16636" s="3064"/>
      <c r="G16636" s="3301" t="s">
        <v>720</v>
      </c>
      <c r="H16636" s="3063"/>
      <c r="I16636" s="3030"/>
    </row>
    <row r="16637" spans="2:9" ht="25.5">
      <c r="B16637" s="3299" t="s">
        <v>66</v>
      </c>
      <c r="C16637" s="3063"/>
      <c r="D16637" s="3064"/>
      <c r="E16637" s="3064"/>
      <c r="F16637" s="3064"/>
      <c r="G16637" s="3300" t="s">
        <v>66</v>
      </c>
      <c r="H16637" s="3063"/>
      <c r="I16637" s="3030"/>
    </row>
    <row r="16638" spans="2:9" ht="25.5">
      <c r="B16638" s="3192" t="s">
        <v>675</v>
      </c>
      <c r="C16638" s="3063"/>
      <c r="D16638" s="3064"/>
      <c r="E16638" s="3064"/>
      <c r="F16638" s="3064"/>
      <c r="G16638" s="3301" t="s">
        <v>675</v>
      </c>
      <c r="H16638" s="3063"/>
      <c r="I16638" s="3030"/>
    </row>
    <row r="16639" spans="2:9" ht="25.5">
      <c r="B16639" s="3192" t="s">
        <v>676</v>
      </c>
      <c r="C16639" s="3063"/>
      <c r="D16639" s="3064"/>
      <c r="E16639" s="3064"/>
      <c r="F16639" s="3064"/>
      <c r="G16639" s="3301" t="s">
        <v>676</v>
      </c>
      <c r="H16639" s="3063"/>
      <c r="I16639" s="3030"/>
    </row>
    <row r="16640" spans="2:9">
      <c r="B16640" s="3192" t="s">
        <v>677</v>
      </c>
      <c r="C16640" s="3063"/>
      <c r="D16640" s="3064"/>
      <c r="E16640" s="3064"/>
      <c r="F16640" s="3064"/>
      <c r="G16640" s="3301" t="s">
        <v>677</v>
      </c>
      <c r="H16640" s="3063"/>
      <c r="I16640" s="3030"/>
    </row>
    <row r="16641" spans="2:9">
      <c r="B16641" s="3192" t="s">
        <v>678</v>
      </c>
      <c r="C16641" s="3063"/>
      <c r="D16641" s="3064"/>
      <c r="E16641" s="3064"/>
      <c r="F16641" s="3064"/>
      <c r="G16641" s="3301" t="s">
        <v>678</v>
      </c>
      <c r="H16641" s="3063"/>
      <c r="I16641" s="3030"/>
    </row>
    <row r="16642" spans="2:9">
      <c r="B16642" s="3192" t="s">
        <v>679</v>
      </c>
      <c r="C16642" s="3063"/>
      <c r="D16642" s="3064"/>
      <c r="E16642" s="3064"/>
      <c r="F16642" s="3064"/>
      <c r="G16642" s="3301" t="s">
        <v>679</v>
      </c>
      <c r="H16642" s="3063"/>
      <c r="I16642" s="3030"/>
    </row>
    <row r="16643" spans="2:9" ht="25.5">
      <c r="B16643" s="3192" t="s">
        <v>720</v>
      </c>
      <c r="C16643" s="3063"/>
      <c r="D16643" s="3064"/>
      <c r="E16643" s="3064"/>
      <c r="F16643" s="3064"/>
      <c r="G16643" s="3301" t="s">
        <v>720</v>
      </c>
      <c r="H16643" s="3063"/>
      <c r="I16643" s="3030"/>
    </row>
    <row r="16644" spans="2:9">
      <c r="B16644" s="3299" t="s">
        <v>67</v>
      </c>
      <c r="C16644" s="3063"/>
      <c r="D16644" s="3064"/>
      <c r="E16644" s="3064"/>
      <c r="F16644" s="3064">
        <v>1</v>
      </c>
      <c r="G16644" s="3300" t="s">
        <v>67</v>
      </c>
      <c r="H16644" s="3063">
        <v>9.9259031331113464E-3</v>
      </c>
      <c r="I16644" s="3030"/>
    </row>
    <row r="16645" spans="2:9" ht="25.5">
      <c r="B16645" s="3192" t="s">
        <v>675</v>
      </c>
      <c r="C16645" s="3063"/>
      <c r="D16645" s="3064"/>
      <c r="E16645" s="3064"/>
      <c r="F16645" s="3064"/>
      <c r="G16645" s="3301" t="s">
        <v>675</v>
      </c>
      <c r="H16645" s="3063"/>
      <c r="I16645" s="3030"/>
    </row>
    <row r="16646" spans="2:9" ht="25.5">
      <c r="B16646" s="3192" t="s">
        <v>676</v>
      </c>
      <c r="C16646" s="3063"/>
      <c r="D16646" s="3064"/>
      <c r="E16646" s="3064"/>
      <c r="F16646" s="3064"/>
      <c r="G16646" s="3301" t="s">
        <v>676</v>
      </c>
      <c r="H16646" s="3063"/>
      <c r="I16646" s="3030"/>
    </row>
    <row r="16647" spans="2:9">
      <c r="B16647" s="3192" t="s">
        <v>677</v>
      </c>
      <c r="C16647" s="3063"/>
      <c r="D16647" s="3064"/>
      <c r="E16647" s="3064"/>
      <c r="F16647" s="3064"/>
      <c r="G16647" s="3301" t="s">
        <v>677</v>
      </c>
      <c r="H16647" s="3063"/>
      <c r="I16647" s="3030"/>
    </row>
    <row r="16648" spans="2:9">
      <c r="B16648" s="3192" t="s">
        <v>678</v>
      </c>
      <c r="C16648" s="3063"/>
      <c r="D16648" s="3064"/>
      <c r="E16648" s="3064"/>
      <c r="F16648" s="3064"/>
      <c r="G16648" s="3301" t="s">
        <v>678</v>
      </c>
      <c r="H16648" s="3063"/>
      <c r="I16648" s="3030"/>
    </row>
    <row r="16649" spans="2:9">
      <c r="B16649" s="3192" t="s">
        <v>679</v>
      </c>
      <c r="C16649" s="3063">
        <v>2</v>
      </c>
      <c r="D16649" s="3064">
        <v>1</v>
      </c>
      <c r="E16649" s="3064"/>
      <c r="F16649" s="3064"/>
      <c r="G16649" s="3301" t="s">
        <v>679</v>
      </c>
      <c r="H16649" s="3063"/>
      <c r="I16649" s="3030"/>
    </row>
    <row r="16650" spans="2:9" ht="25.5">
      <c r="B16650" s="3230" t="s">
        <v>81</v>
      </c>
      <c r="C16650" s="3063"/>
      <c r="D16650" s="3064"/>
      <c r="E16650" s="3064"/>
      <c r="F16650" s="3064"/>
      <c r="G16650" s="3302" t="s">
        <v>81</v>
      </c>
      <c r="H16650" s="3063"/>
      <c r="I16650" s="3030"/>
    </row>
    <row r="16651" spans="2:9" ht="26.25" thickBot="1">
      <c r="B16651" s="3303" t="s">
        <v>81</v>
      </c>
      <c r="C16651" s="3068"/>
      <c r="D16651" s="3069"/>
      <c r="E16651" s="3069"/>
      <c r="F16651" s="3069"/>
      <c r="G16651" s="3304" t="s">
        <v>81</v>
      </c>
      <c r="H16651" s="3068"/>
      <c r="I16651" s="3070"/>
    </row>
    <row r="16652" spans="2:9" ht="38.25">
      <c r="B16652" s="4723">
        <v>3551</v>
      </c>
      <c r="C16652" s="3289"/>
      <c r="D16652" s="3290"/>
      <c r="E16652" s="3290"/>
      <c r="F16652" s="3290"/>
      <c r="G16652" s="4723">
        <v>3551</v>
      </c>
      <c r="H16652" s="3291" t="s">
        <v>687</v>
      </c>
      <c r="I16652" s="3292" t="s">
        <v>688</v>
      </c>
    </row>
    <row r="16653" spans="2:9">
      <c r="B16653" s="4724"/>
      <c r="C16653" s="4678" t="s">
        <v>686</v>
      </c>
      <c r="D16653" s="4725"/>
      <c r="E16653" s="4725"/>
      <c r="F16653" s="4726"/>
      <c r="G16653" s="4724"/>
      <c r="H16653" s="3293"/>
      <c r="I16653" s="3294"/>
    </row>
    <row r="16654" spans="2:9" ht="13.5" thickBot="1">
      <c r="B16654" s="4724"/>
      <c r="C16654" s="3215">
        <v>2013</v>
      </c>
      <c r="D16654" s="3215">
        <v>2014</v>
      </c>
      <c r="E16654" s="3215">
        <v>2015</v>
      </c>
      <c r="F16654" s="3215">
        <v>2016</v>
      </c>
      <c r="G16654" s="4724"/>
      <c r="H16654" s="3295" t="s">
        <v>390</v>
      </c>
      <c r="I16654" s="3296" t="s">
        <v>390</v>
      </c>
    </row>
    <row r="16655" spans="2:9">
      <c r="B16655" s="3217" t="s">
        <v>695</v>
      </c>
      <c r="C16655" s="3218"/>
      <c r="D16655" s="3219"/>
      <c r="E16655" s="3219"/>
      <c r="F16655" s="3219"/>
      <c r="G16655" s="3217" t="s">
        <v>695</v>
      </c>
      <c r="H16655" s="3297"/>
      <c r="I16655" s="3298"/>
    </row>
    <row r="16656" spans="2:9">
      <c r="B16656" s="3299" t="s">
        <v>64</v>
      </c>
      <c r="C16656" s="3063"/>
      <c r="D16656" s="3064"/>
      <c r="E16656" s="3064"/>
      <c r="F16656" s="3064"/>
      <c r="G16656" s="3300" t="s">
        <v>64</v>
      </c>
      <c r="H16656" s="3063"/>
      <c r="I16656" s="3030"/>
    </row>
    <row r="16657" spans="2:9" ht="25.5">
      <c r="B16657" s="3192" t="s">
        <v>675</v>
      </c>
      <c r="C16657" s="3063"/>
      <c r="D16657" s="3064"/>
      <c r="E16657" s="3064"/>
      <c r="F16657" s="3064"/>
      <c r="G16657" s="3301" t="s">
        <v>675</v>
      </c>
      <c r="H16657" s="3063"/>
      <c r="I16657" s="3030"/>
    </row>
    <row r="16658" spans="2:9" ht="25.5">
      <c r="B16658" s="3192" t="s">
        <v>676</v>
      </c>
      <c r="C16658" s="3063"/>
      <c r="D16658" s="3064"/>
      <c r="E16658" s="3064"/>
      <c r="F16658" s="3064"/>
      <c r="G16658" s="3301" t="s">
        <v>676</v>
      </c>
      <c r="H16658" s="3063"/>
      <c r="I16658" s="3030"/>
    </row>
    <row r="16659" spans="2:9">
      <c r="B16659" s="3192" t="s">
        <v>677</v>
      </c>
      <c r="C16659" s="3063"/>
      <c r="D16659" s="3064"/>
      <c r="E16659" s="3064"/>
      <c r="F16659" s="3064"/>
      <c r="G16659" s="3301" t="s">
        <v>677</v>
      </c>
      <c r="H16659" s="3063"/>
      <c r="I16659" s="3030"/>
    </row>
    <row r="16660" spans="2:9">
      <c r="B16660" s="3192" t="s">
        <v>678</v>
      </c>
      <c r="C16660" s="3063"/>
      <c r="D16660" s="3064"/>
      <c r="E16660" s="3064"/>
      <c r="F16660" s="3064"/>
      <c r="G16660" s="3301" t="s">
        <v>678</v>
      </c>
      <c r="H16660" s="3063"/>
      <c r="I16660" s="3030"/>
    </row>
    <row r="16661" spans="2:9">
      <c r="B16661" s="3192" t="s">
        <v>679</v>
      </c>
      <c r="C16661" s="3063"/>
      <c r="D16661" s="3064"/>
      <c r="E16661" s="3064"/>
      <c r="F16661" s="3064"/>
      <c r="G16661" s="3301" t="s">
        <v>679</v>
      </c>
      <c r="H16661" s="3063"/>
      <c r="I16661" s="3030"/>
    </row>
    <row r="16662" spans="2:9" ht="25.5">
      <c r="B16662" s="3192" t="s">
        <v>720</v>
      </c>
      <c r="C16662" s="3063"/>
      <c r="D16662" s="3064"/>
      <c r="E16662" s="3064"/>
      <c r="F16662" s="3064"/>
      <c r="G16662" s="3301" t="s">
        <v>720</v>
      </c>
      <c r="H16662" s="3063"/>
      <c r="I16662" s="3030"/>
    </row>
    <row r="16663" spans="2:9">
      <c r="B16663" s="3299" t="s">
        <v>65</v>
      </c>
      <c r="C16663" s="3063"/>
      <c r="D16663" s="3064"/>
      <c r="E16663" s="3064"/>
      <c r="F16663" s="3064"/>
      <c r="G16663" s="3300" t="s">
        <v>65</v>
      </c>
      <c r="H16663" s="3063"/>
      <c r="I16663" s="3030"/>
    </row>
    <row r="16664" spans="2:9" ht="25.5">
      <c r="B16664" s="3192" t="s">
        <v>675</v>
      </c>
      <c r="C16664" s="3063"/>
      <c r="D16664" s="3064"/>
      <c r="E16664" s="3064"/>
      <c r="F16664" s="3064"/>
      <c r="G16664" s="3301" t="s">
        <v>675</v>
      </c>
      <c r="H16664" s="3063"/>
      <c r="I16664" s="3030"/>
    </row>
    <row r="16665" spans="2:9" ht="25.5">
      <c r="B16665" s="3192" t="s">
        <v>676</v>
      </c>
      <c r="C16665" s="3063"/>
      <c r="D16665" s="3064"/>
      <c r="E16665" s="3064"/>
      <c r="F16665" s="3064"/>
      <c r="G16665" s="3301" t="s">
        <v>676</v>
      </c>
      <c r="H16665" s="3063"/>
      <c r="I16665" s="3030"/>
    </row>
    <row r="16666" spans="2:9">
      <c r="B16666" s="3192" t="s">
        <v>677</v>
      </c>
      <c r="C16666" s="3063"/>
      <c r="D16666" s="3064"/>
      <c r="E16666" s="3064"/>
      <c r="F16666" s="3064"/>
      <c r="G16666" s="3301" t="s">
        <v>677</v>
      </c>
      <c r="H16666" s="3063"/>
      <c r="I16666" s="3030"/>
    </row>
    <row r="16667" spans="2:9">
      <c r="B16667" s="3192" t="s">
        <v>678</v>
      </c>
      <c r="C16667" s="3063"/>
      <c r="D16667" s="3064"/>
      <c r="E16667" s="3064"/>
      <c r="F16667" s="3064"/>
      <c r="G16667" s="3301" t="s">
        <v>678</v>
      </c>
      <c r="H16667" s="3063"/>
      <c r="I16667" s="3030"/>
    </row>
    <row r="16668" spans="2:9">
      <c r="B16668" s="3192" t="s">
        <v>679</v>
      </c>
      <c r="C16668" s="3063"/>
      <c r="D16668" s="3064"/>
      <c r="E16668" s="3064"/>
      <c r="F16668" s="3064"/>
      <c r="G16668" s="3301" t="s">
        <v>679</v>
      </c>
      <c r="H16668" s="3063"/>
      <c r="I16668" s="3030"/>
    </row>
    <row r="16669" spans="2:9" ht="25.5">
      <c r="B16669" s="3192" t="s">
        <v>720</v>
      </c>
      <c r="C16669" s="3063"/>
      <c r="D16669" s="3064"/>
      <c r="E16669" s="3064"/>
      <c r="F16669" s="3064"/>
      <c r="G16669" s="3301" t="s">
        <v>720</v>
      </c>
      <c r="H16669" s="3063"/>
      <c r="I16669" s="3030"/>
    </row>
    <row r="16670" spans="2:9">
      <c r="B16670" s="3299" t="s">
        <v>82</v>
      </c>
      <c r="C16670" s="3063"/>
      <c r="D16670" s="3064"/>
      <c r="E16670" s="3064"/>
      <c r="F16670" s="3064"/>
      <c r="G16670" s="3300" t="s">
        <v>82</v>
      </c>
      <c r="H16670" s="3063"/>
      <c r="I16670" s="3030"/>
    </row>
    <row r="16671" spans="2:9" ht="25.5">
      <c r="B16671" s="3192" t="s">
        <v>675</v>
      </c>
      <c r="C16671" s="3063"/>
      <c r="D16671" s="3064"/>
      <c r="E16671" s="3064"/>
      <c r="F16671" s="3064"/>
      <c r="G16671" s="3301" t="s">
        <v>675</v>
      </c>
      <c r="H16671" s="3063"/>
      <c r="I16671" s="3030"/>
    </row>
    <row r="16672" spans="2:9" ht="25.5">
      <c r="B16672" s="3192" t="s">
        <v>676</v>
      </c>
      <c r="C16672" s="3063"/>
      <c r="D16672" s="3064"/>
      <c r="E16672" s="3064"/>
      <c r="F16672" s="3064"/>
      <c r="G16672" s="3301" t="s">
        <v>676</v>
      </c>
      <c r="H16672" s="3063"/>
      <c r="I16672" s="3030"/>
    </row>
    <row r="16673" spans="2:9">
      <c r="B16673" s="3192" t="s">
        <v>677</v>
      </c>
      <c r="C16673" s="3063"/>
      <c r="D16673" s="3064"/>
      <c r="E16673" s="3064"/>
      <c r="F16673" s="3064"/>
      <c r="G16673" s="3301" t="s">
        <v>677</v>
      </c>
      <c r="H16673" s="3063"/>
      <c r="I16673" s="3030"/>
    </row>
    <row r="16674" spans="2:9">
      <c r="B16674" s="3192" t="s">
        <v>678</v>
      </c>
      <c r="C16674" s="3063"/>
      <c r="D16674" s="3064"/>
      <c r="E16674" s="3064"/>
      <c r="F16674" s="3064"/>
      <c r="G16674" s="3301" t="s">
        <v>678</v>
      </c>
      <c r="H16674" s="3063"/>
      <c r="I16674" s="3030"/>
    </row>
    <row r="16675" spans="2:9">
      <c r="B16675" s="3192" t="s">
        <v>679</v>
      </c>
      <c r="C16675" s="3063"/>
      <c r="D16675" s="3064"/>
      <c r="E16675" s="3064"/>
      <c r="F16675" s="3064"/>
      <c r="G16675" s="3301" t="s">
        <v>679</v>
      </c>
      <c r="H16675" s="3063"/>
      <c r="I16675" s="3030"/>
    </row>
    <row r="16676" spans="2:9" ht="25.5">
      <c r="B16676" s="3192" t="s">
        <v>720</v>
      </c>
      <c r="C16676" s="3063"/>
      <c r="D16676" s="3064"/>
      <c r="E16676" s="3064"/>
      <c r="F16676" s="3064"/>
      <c r="G16676" s="3301" t="s">
        <v>720</v>
      </c>
      <c r="H16676" s="3063"/>
      <c r="I16676" s="3030"/>
    </row>
    <row r="16677" spans="2:9" ht="38.25">
      <c r="B16677" s="3299" t="s">
        <v>680</v>
      </c>
      <c r="C16677" s="3063"/>
      <c r="D16677" s="3064"/>
      <c r="E16677" s="3064"/>
      <c r="F16677" s="3064"/>
      <c r="G16677" s="3300" t="s">
        <v>680</v>
      </c>
      <c r="H16677" s="3063"/>
      <c r="I16677" s="3030"/>
    </row>
    <row r="16678" spans="2:9" ht="25.5">
      <c r="B16678" s="3192" t="s">
        <v>675</v>
      </c>
      <c r="C16678" s="3063"/>
      <c r="D16678" s="3064"/>
      <c r="E16678" s="3064"/>
      <c r="F16678" s="3064"/>
      <c r="G16678" s="3301" t="s">
        <v>675</v>
      </c>
      <c r="H16678" s="3063"/>
      <c r="I16678" s="3030"/>
    </row>
    <row r="16679" spans="2:9" ht="25.5">
      <c r="B16679" s="3192" t="s">
        <v>676</v>
      </c>
      <c r="C16679" s="3063"/>
      <c r="D16679" s="3064"/>
      <c r="E16679" s="3064"/>
      <c r="F16679" s="3064"/>
      <c r="G16679" s="3301" t="s">
        <v>676</v>
      </c>
      <c r="H16679" s="3063"/>
      <c r="I16679" s="3030"/>
    </row>
    <row r="16680" spans="2:9">
      <c r="B16680" s="3192" t="s">
        <v>677</v>
      </c>
      <c r="C16680" s="3063"/>
      <c r="D16680" s="3064"/>
      <c r="E16680" s="3064"/>
      <c r="F16680" s="3064"/>
      <c r="G16680" s="3301" t="s">
        <v>677</v>
      </c>
      <c r="H16680" s="3063"/>
      <c r="I16680" s="3030"/>
    </row>
    <row r="16681" spans="2:9">
      <c r="B16681" s="3192" t="s">
        <v>678</v>
      </c>
      <c r="C16681" s="3063"/>
      <c r="D16681" s="3064"/>
      <c r="E16681" s="3064"/>
      <c r="F16681" s="3064"/>
      <c r="G16681" s="3301" t="s">
        <v>678</v>
      </c>
      <c r="H16681" s="3063"/>
      <c r="I16681" s="3030"/>
    </row>
    <row r="16682" spans="2:9">
      <c r="B16682" s="3192" t="s">
        <v>679</v>
      </c>
      <c r="C16682" s="3063"/>
      <c r="D16682" s="3064"/>
      <c r="E16682" s="3064"/>
      <c r="F16682" s="3064"/>
      <c r="G16682" s="3301" t="s">
        <v>679</v>
      </c>
      <c r="H16682" s="3063"/>
      <c r="I16682" s="3030"/>
    </row>
    <row r="16683" spans="2:9" ht="25.5">
      <c r="B16683" s="3192" t="s">
        <v>720</v>
      </c>
      <c r="C16683" s="3063"/>
      <c r="D16683" s="3064"/>
      <c r="E16683" s="3064"/>
      <c r="F16683" s="3064"/>
      <c r="G16683" s="3301" t="s">
        <v>720</v>
      </c>
      <c r="H16683" s="3063"/>
      <c r="I16683" s="3030"/>
    </row>
    <row r="16684" spans="2:9" ht="38.25">
      <c r="B16684" s="3299" t="s">
        <v>681</v>
      </c>
      <c r="C16684" s="3063"/>
      <c r="D16684" s="3064"/>
      <c r="E16684" s="3064"/>
      <c r="F16684" s="3064"/>
      <c r="G16684" s="3300" t="s">
        <v>681</v>
      </c>
      <c r="H16684" s="3063"/>
      <c r="I16684" s="3030"/>
    </row>
    <row r="16685" spans="2:9" ht="25.5">
      <c r="B16685" s="3192" t="s">
        <v>675</v>
      </c>
      <c r="C16685" s="3063"/>
      <c r="D16685" s="3064"/>
      <c r="E16685" s="3064"/>
      <c r="F16685" s="3064"/>
      <c r="G16685" s="3301" t="s">
        <v>675</v>
      </c>
      <c r="H16685" s="3063"/>
      <c r="I16685" s="3030"/>
    </row>
    <row r="16686" spans="2:9" ht="25.5">
      <c r="B16686" s="3192" t="s">
        <v>676</v>
      </c>
      <c r="C16686" s="3063"/>
      <c r="D16686" s="3064"/>
      <c r="E16686" s="3064"/>
      <c r="F16686" s="3064"/>
      <c r="G16686" s="3301" t="s">
        <v>676</v>
      </c>
      <c r="H16686" s="3063"/>
      <c r="I16686" s="3030"/>
    </row>
    <row r="16687" spans="2:9">
      <c r="B16687" s="3192" t="s">
        <v>677</v>
      </c>
      <c r="C16687" s="3063"/>
      <c r="D16687" s="3064"/>
      <c r="E16687" s="3064"/>
      <c r="F16687" s="3064"/>
      <c r="G16687" s="3301" t="s">
        <v>677</v>
      </c>
      <c r="H16687" s="3063"/>
      <c r="I16687" s="3030"/>
    </row>
    <row r="16688" spans="2:9">
      <c r="B16688" s="3192" t="s">
        <v>678</v>
      </c>
      <c r="C16688" s="3063"/>
      <c r="D16688" s="3064"/>
      <c r="E16688" s="3064"/>
      <c r="F16688" s="3064"/>
      <c r="G16688" s="3301" t="s">
        <v>678</v>
      </c>
      <c r="H16688" s="3063"/>
      <c r="I16688" s="3030"/>
    </row>
    <row r="16689" spans="2:9">
      <c r="B16689" s="3192" t="s">
        <v>679</v>
      </c>
      <c r="C16689" s="3063"/>
      <c r="D16689" s="3064"/>
      <c r="E16689" s="3064"/>
      <c r="F16689" s="3064"/>
      <c r="G16689" s="3301" t="s">
        <v>679</v>
      </c>
      <c r="H16689" s="3063"/>
      <c r="I16689" s="3030"/>
    </row>
    <row r="16690" spans="2:9" ht="25.5">
      <c r="B16690" s="3192" t="s">
        <v>720</v>
      </c>
      <c r="C16690" s="3063"/>
      <c r="D16690" s="3064"/>
      <c r="E16690" s="3064"/>
      <c r="F16690" s="3064"/>
      <c r="G16690" s="3301" t="s">
        <v>720</v>
      </c>
      <c r="H16690" s="3063"/>
      <c r="I16690" s="3030"/>
    </row>
    <row r="16691" spans="2:9" ht="25.5">
      <c r="B16691" s="3299" t="s">
        <v>682</v>
      </c>
      <c r="C16691" s="3063"/>
      <c r="D16691" s="3064"/>
      <c r="E16691" s="3064"/>
      <c r="F16691" s="3064"/>
      <c r="G16691" s="3300" t="s">
        <v>682</v>
      </c>
      <c r="H16691" s="3063"/>
      <c r="I16691" s="3030"/>
    </row>
    <row r="16692" spans="2:9" ht="25.5">
      <c r="B16692" s="3192" t="s">
        <v>675</v>
      </c>
      <c r="C16692" s="3063"/>
      <c r="D16692" s="3064"/>
      <c r="E16692" s="3064"/>
      <c r="F16692" s="3064"/>
      <c r="G16692" s="3301" t="s">
        <v>675</v>
      </c>
      <c r="H16692" s="3063"/>
      <c r="I16692" s="3030"/>
    </row>
    <row r="16693" spans="2:9" ht="25.5">
      <c r="B16693" s="3192" t="s">
        <v>676</v>
      </c>
      <c r="C16693" s="3063"/>
      <c r="D16693" s="3064"/>
      <c r="E16693" s="3064"/>
      <c r="F16693" s="3064"/>
      <c r="G16693" s="3301" t="s">
        <v>676</v>
      </c>
      <c r="H16693" s="3063"/>
      <c r="I16693" s="3030"/>
    </row>
    <row r="16694" spans="2:9">
      <c r="B16694" s="3192" t="s">
        <v>677</v>
      </c>
      <c r="C16694" s="3063"/>
      <c r="D16694" s="3064"/>
      <c r="E16694" s="3064"/>
      <c r="F16694" s="3064"/>
      <c r="G16694" s="3301" t="s">
        <v>677</v>
      </c>
      <c r="H16694" s="3063"/>
      <c r="I16694" s="3030"/>
    </row>
    <row r="16695" spans="2:9">
      <c r="B16695" s="3192" t="s">
        <v>678</v>
      </c>
      <c r="C16695" s="3063"/>
      <c r="D16695" s="3064"/>
      <c r="E16695" s="3064"/>
      <c r="F16695" s="3064"/>
      <c r="G16695" s="3301" t="s">
        <v>678</v>
      </c>
      <c r="H16695" s="3063"/>
      <c r="I16695" s="3030"/>
    </row>
    <row r="16696" spans="2:9">
      <c r="B16696" s="3192" t="s">
        <v>679</v>
      </c>
      <c r="C16696" s="3063"/>
      <c r="D16696" s="3064"/>
      <c r="E16696" s="3064"/>
      <c r="F16696" s="3064"/>
      <c r="G16696" s="3301" t="s">
        <v>679</v>
      </c>
      <c r="H16696" s="3063"/>
      <c r="I16696" s="3030"/>
    </row>
    <row r="16697" spans="2:9" ht="25.5">
      <c r="B16697" s="3192" t="s">
        <v>720</v>
      </c>
      <c r="C16697" s="3063"/>
      <c r="D16697" s="3064"/>
      <c r="E16697" s="3064"/>
      <c r="F16697" s="3064"/>
      <c r="G16697" s="3301" t="s">
        <v>720</v>
      </c>
      <c r="H16697" s="3063"/>
      <c r="I16697" s="3030"/>
    </row>
    <row r="16698" spans="2:9" ht="25.5">
      <c r="B16698" s="3299" t="s">
        <v>66</v>
      </c>
      <c r="C16698" s="3063"/>
      <c r="D16698" s="3064"/>
      <c r="E16698" s="3064"/>
      <c r="F16698" s="3064"/>
      <c r="G16698" s="3300" t="s">
        <v>66</v>
      </c>
      <c r="H16698" s="3063"/>
      <c r="I16698" s="3030"/>
    </row>
    <row r="16699" spans="2:9" ht="25.5">
      <c r="B16699" s="3192" t="s">
        <v>675</v>
      </c>
      <c r="C16699" s="3063"/>
      <c r="D16699" s="3064"/>
      <c r="E16699" s="3064"/>
      <c r="F16699" s="3064"/>
      <c r="G16699" s="3301" t="s">
        <v>675</v>
      </c>
      <c r="H16699" s="3063"/>
      <c r="I16699" s="3030"/>
    </row>
    <row r="16700" spans="2:9" ht="25.5">
      <c r="B16700" s="3192" t="s">
        <v>676</v>
      </c>
      <c r="C16700" s="3063"/>
      <c r="D16700" s="3064"/>
      <c r="E16700" s="3064"/>
      <c r="F16700" s="3064"/>
      <c r="G16700" s="3301" t="s">
        <v>676</v>
      </c>
      <c r="H16700" s="3063"/>
      <c r="I16700" s="3030"/>
    </row>
    <row r="16701" spans="2:9">
      <c r="B16701" s="3192" t="s">
        <v>677</v>
      </c>
      <c r="C16701" s="3063"/>
      <c r="D16701" s="3064"/>
      <c r="E16701" s="3064"/>
      <c r="F16701" s="3064"/>
      <c r="G16701" s="3301" t="s">
        <v>677</v>
      </c>
      <c r="H16701" s="3063"/>
      <c r="I16701" s="3030"/>
    </row>
    <row r="16702" spans="2:9">
      <c r="B16702" s="3192" t="s">
        <v>678</v>
      </c>
      <c r="C16702" s="3063"/>
      <c r="D16702" s="3064"/>
      <c r="E16702" s="3064"/>
      <c r="F16702" s="3064"/>
      <c r="G16702" s="3301" t="s">
        <v>678</v>
      </c>
      <c r="H16702" s="3063"/>
      <c r="I16702" s="3030"/>
    </row>
    <row r="16703" spans="2:9">
      <c r="B16703" s="3192" t="s">
        <v>679</v>
      </c>
      <c r="C16703" s="3063"/>
      <c r="D16703" s="3064"/>
      <c r="E16703" s="3064"/>
      <c r="F16703" s="3064"/>
      <c r="G16703" s="3301" t="s">
        <v>679</v>
      </c>
      <c r="H16703" s="3063"/>
      <c r="I16703" s="3030"/>
    </row>
    <row r="16704" spans="2:9" ht="25.5">
      <c r="B16704" s="3192" t="s">
        <v>720</v>
      </c>
      <c r="C16704" s="3063"/>
      <c r="D16704" s="3064"/>
      <c r="E16704" s="3064"/>
      <c r="F16704" s="3064"/>
      <c r="G16704" s="3301" t="s">
        <v>720</v>
      </c>
      <c r="H16704" s="3063"/>
      <c r="I16704" s="3030"/>
    </row>
    <row r="16705" spans="2:9">
      <c r="B16705" s="3299" t="s">
        <v>67</v>
      </c>
      <c r="C16705" s="3063"/>
      <c r="D16705" s="3064"/>
      <c r="E16705" s="3064"/>
      <c r="F16705" s="3064"/>
      <c r="G16705" s="3300" t="s">
        <v>67</v>
      </c>
      <c r="H16705" s="3063"/>
      <c r="I16705" s="3030"/>
    </row>
    <row r="16706" spans="2:9" ht="25.5">
      <c r="B16706" s="3192" t="s">
        <v>675</v>
      </c>
      <c r="C16706" s="3063"/>
      <c r="D16706" s="3064"/>
      <c r="E16706" s="3064"/>
      <c r="F16706" s="3064"/>
      <c r="G16706" s="3301" t="s">
        <v>675</v>
      </c>
      <c r="H16706" s="3063"/>
      <c r="I16706" s="3030"/>
    </row>
    <row r="16707" spans="2:9" ht="25.5">
      <c r="B16707" s="3192" t="s">
        <v>676</v>
      </c>
      <c r="C16707" s="3063"/>
      <c r="D16707" s="3064"/>
      <c r="E16707" s="3064"/>
      <c r="F16707" s="3064"/>
      <c r="G16707" s="3301" t="s">
        <v>676</v>
      </c>
      <c r="H16707" s="3063"/>
      <c r="I16707" s="3030"/>
    </row>
    <row r="16708" spans="2:9">
      <c r="B16708" s="3192" t="s">
        <v>677</v>
      </c>
      <c r="C16708" s="3063"/>
      <c r="D16708" s="3064"/>
      <c r="E16708" s="3064"/>
      <c r="F16708" s="3064"/>
      <c r="G16708" s="3301" t="s">
        <v>677</v>
      </c>
      <c r="H16708" s="3063"/>
      <c r="I16708" s="3030"/>
    </row>
    <row r="16709" spans="2:9">
      <c r="B16709" s="3192" t="s">
        <v>678</v>
      </c>
      <c r="C16709" s="3063"/>
      <c r="D16709" s="3064"/>
      <c r="E16709" s="3064"/>
      <c r="F16709" s="3064"/>
      <c r="G16709" s="3301" t="s">
        <v>678</v>
      </c>
      <c r="H16709" s="3063"/>
      <c r="I16709" s="3030"/>
    </row>
    <row r="16710" spans="2:9">
      <c r="B16710" s="3192" t="s">
        <v>679</v>
      </c>
      <c r="C16710" s="3063"/>
      <c r="D16710" s="3064"/>
      <c r="E16710" s="3064"/>
      <c r="F16710" s="3064"/>
      <c r="G16710" s="3301" t="s">
        <v>679</v>
      </c>
      <c r="H16710" s="3063"/>
      <c r="I16710" s="3030"/>
    </row>
    <row r="16711" spans="2:9" ht="25.5">
      <c r="B16711" s="3192" t="s">
        <v>720</v>
      </c>
      <c r="C16711" s="3063"/>
      <c r="D16711" s="3064"/>
      <c r="E16711" s="3064"/>
      <c r="F16711" s="3064"/>
      <c r="G16711" s="3301" t="s">
        <v>720</v>
      </c>
      <c r="H16711" s="3063"/>
      <c r="I16711" s="3030"/>
    </row>
    <row r="16712" spans="2:9" ht="25.5">
      <c r="B16712" s="3230" t="s">
        <v>81</v>
      </c>
      <c r="C16712" s="3063"/>
      <c r="D16712" s="3064"/>
      <c r="E16712" s="3064"/>
      <c r="F16712" s="3064"/>
      <c r="G16712" s="3302" t="s">
        <v>81</v>
      </c>
      <c r="H16712" s="3063"/>
      <c r="I16712" s="3030"/>
    </row>
    <row r="16713" spans="2:9" ht="26.25" thickBot="1">
      <c r="B16713" s="3303" t="s">
        <v>81</v>
      </c>
      <c r="C16713" s="3063"/>
      <c r="D16713" s="3064"/>
      <c r="E16713" s="3064"/>
      <c r="F16713" s="3064"/>
      <c r="G16713" s="3302" t="s">
        <v>81</v>
      </c>
      <c r="H16713" s="3063"/>
      <c r="I16713" s="3030"/>
    </row>
    <row r="16714" spans="2:9" ht="25.5">
      <c r="B16714" s="3217" t="s">
        <v>696</v>
      </c>
      <c r="C16714" s="3218"/>
      <c r="D16714" s="3219"/>
      <c r="E16714" s="3219"/>
      <c r="F16714" s="3219"/>
      <c r="G16714" s="3217" t="s">
        <v>696</v>
      </c>
      <c r="H16714" s="3297"/>
      <c r="I16714" s="3298"/>
    </row>
    <row r="16715" spans="2:9">
      <c r="B16715" s="3299" t="s">
        <v>64</v>
      </c>
      <c r="C16715" s="3063"/>
      <c r="D16715" s="3064"/>
      <c r="E16715" s="3064"/>
      <c r="F16715" s="3064"/>
      <c r="G16715" s="3300" t="s">
        <v>64</v>
      </c>
      <c r="H16715" s="3063"/>
      <c r="I16715" s="3030"/>
    </row>
    <row r="16716" spans="2:9" ht="25.5">
      <c r="B16716" s="3192" t="s">
        <v>675</v>
      </c>
      <c r="C16716" s="3063"/>
      <c r="D16716" s="3064"/>
      <c r="E16716" s="3064"/>
      <c r="F16716" s="3064"/>
      <c r="G16716" s="3301" t="s">
        <v>675</v>
      </c>
      <c r="H16716" s="3063"/>
      <c r="I16716" s="3030"/>
    </row>
    <row r="16717" spans="2:9" ht="25.5">
      <c r="B16717" s="3192" t="s">
        <v>676</v>
      </c>
      <c r="C16717" s="3063"/>
      <c r="D16717" s="3064"/>
      <c r="E16717" s="3064"/>
      <c r="F16717" s="3064"/>
      <c r="G16717" s="3301" t="s">
        <v>676</v>
      </c>
      <c r="H16717" s="3063"/>
      <c r="I16717" s="3030"/>
    </row>
    <row r="16718" spans="2:9">
      <c r="B16718" s="3192" t="s">
        <v>677</v>
      </c>
      <c r="C16718" s="3063"/>
      <c r="D16718" s="3064"/>
      <c r="E16718" s="3064"/>
      <c r="F16718" s="3064"/>
      <c r="G16718" s="3301" t="s">
        <v>677</v>
      </c>
      <c r="H16718" s="3063"/>
      <c r="I16718" s="3030"/>
    </row>
    <row r="16719" spans="2:9">
      <c r="B16719" s="3192" t="s">
        <v>678</v>
      </c>
      <c r="C16719" s="3063"/>
      <c r="D16719" s="3064"/>
      <c r="E16719" s="3064"/>
      <c r="F16719" s="3064"/>
      <c r="G16719" s="3301" t="s">
        <v>678</v>
      </c>
      <c r="H16719" s="3063"/>
      <c r="I16719" s="3030"/>
    </row>
    <row r="16720" spans="2:9">
      <c r="B16720" s="3192" t="s">
        <v>679</v>
      </c>
      <c r="C16720" s="3063"/>
      <c r="D16720" s="3064"/>
      <c r="E16720" s="3064"/>
      <c r="F16720" s="3064"/>
      <c r="G16720" s="3301" t="s">
        <v>679</v>
      </c>
      <c r="H16720" s="3063"/>
      <c r="I16720" s="3030"/>
    </row>
    <row r="16721" spans="2:9" ht="25.5">
      <c r="B16721" s="3192" t="s">
        <v>720</v>
      </c>
      <c r="C16721" s="3063"/>
      <c r="D16721" s="3064"/>
      <c r="E16721" s="3064"/>
      <c r="F16721" s="3064"/>
      <c r="G16721" s="3301" t="s">
        <v>720</v>
      </c>
      <c r="H16721" s="3063"/>
      <c r="I16721" s="3030"/>
    </row>
    <row r="16722" spans="2:9">
      <c r="B16722" s="3299" t="s">
        <v>65</v>
      </c>
      <c r="C16722" s="3063"/>
      <c r="D16722" s="3064"/>
      <c r="E16722" s="3064"/>
      <c r="F16722" s="3064"/>
      <c r="G16722" s="3300" t="s">
        <v>65</v>
      </c>
      <c r="H16722" s="3063"/>
      <c r="I16722" s="3030"/>
    </row>
    <row r="16723" spans="2:9" ht="25.5">
      <c r="B16723" s="3192" t="s">
        <v>675</v>
      </c>
      <c r="C16723" s="3063"/>
      <c r="D16723" s="3064"/>
      <c r="E16723" s="3064"/>
      <c r="F16723" s="3064"/>
      <c r="G16723" s="3301" t="s">
        <v>675</v>
      </c>
      <c r="H16723" s="3063"/>
      <c r="I16723" s="3030"/>
    </row>
    <row r="16724" spans="2:9" ht="25.5">
      <c r="B16724" s="3192" t="s">
        <v>676</v>
      </c>
      <c r="C16724" s="3063"/>
      <c r="D16724" s="3064"/>
      <c r="E16724" s="3064"/>
      <c r="F16724" s="3064"/>
      <c r="G16724" s="3301" t="s">
        <v>676</v>
      </c>
      <c r="H16724" s="3063"/>
      <c r="I16724" s="3030"/>
    </row>
    <row r="16725" spans="2:9">
      <c r="B16725" s="3192" t="s">
        <v>677</v>
      </c>
      <c r="C16725" s="3063"/>
      <c r="D16725" s="3064"/>
      <c r="E16725" s="3064"/>
      <c r="F16725" s="3064"/>
      <c r="G16725" s="3301" t="s">
        <v>677</v>
      </c>
      <c r="H16725" s="3063"/>
      <c r="I16725" s="3030"/>
    </row>
    <row r="16726" spans="2:9">
      <c r="B16726" s="3192" t="s">
        <v>678</v>
      </c>
      <c r="C16726" s="3063"/>
      <c r="D16726" s="3064"/>
      <c r="E16726" s="3064"/>
      <c r="F16726" s="3064"/>
      <c r="G16726" s="3301" t="s">
        <v>678</v>
      </c>
      <c r="H16726" s="3063"/>
      <c r="I16726" s="3030"/>
    </row>
    <row r="16727" spans="2:9">
      <c r="B16727" s="3192" t="s">
        <v>679</v>
      </c>
      <c r="C16727" s="3063"/>
      <c r="D16727" s="3064"/>
      <c r="E16727" s="3064"/>
      <c r="F16727" s="3064"/>
      <c r="G16727" s="3301" t="s">
        <v>679</v>
      </c>
      <c r="H16727" s="3063"/>
      <c r="I16727" s="3030"/>
    </row>
    <row r="16728" spans="2:9" ht="25.5">
      <c r="B16728" s="3192" t="s">
        <v>720</v>
      </c>
      <c r="C16728" s="3063"/>
      <c r="D16728" s="3064"/>
      <c r="E16728" s="3064"/>
      <c r="F16728" s="3064"/>
      <c r="G16728" s="3301" t="s">
        <v>720</v>
      </c>
      <c r="H16728" s="3063"/>
      <c r="I16728" s="3030"/>
    </row>
    <row r="16729" spans="2:9">
      <c r="B16729" s="3299" t="s">
        <v>82</v>
      </c>
      <c r="C16729" s="3063"/>
      <c r="D16729" s="3064"/>
      <c r="E16729" s="3064"/>
      <c r="F16729" s="3064"/>
      <c r="G16729" s="3300" t="s">
        <v>82</v>
      </c>
      <c r="H16729" s="3063"/>
      <c r="I16729" s="3030"/>
    </row>
    <row r="16730" spans="2:9" ht="25.5">
      <c r="B16730" s="3192" t="s">
        <v>675</v>
      </c>
      <c r="C16730" s="3063"/>
      <c r="D16730" s="3064"/>
      <c r="E16730" s="3064"/>
      <c r="F16730" s="3064"/>
      <c r="G16730" s="3301" t="s">
        <v>675</v>
      </c>
      <c r="H16730" s="3063"/>
      <c r="I16730" s="3030"/>
    </row>
    <row r="16731" spans="2:9" ht="25.5">
      <c r="B16731" s="3192" t="s">
        <v>676</v>
      </c>
      <c r="C16731" s="3063"/>
      <c r="D16731" s="3064"/>
      <c r="E16731" s="3064"/>
      <c r="F16731" s="3064"/>
      <c r="G16731" s="3301" t="s">
        <v>676</v>
      </c>
      <c r="H16731" s="3063"/>
      <c r="I16731" s="3030"/>
    </row>
    <row r="16732" spans="2:9">
      <c r="B16732" s="3192" t="s">
        <v>677</v>
      </c>
      <c r="C16732" s="3063"/>
      <c r="D16732" s="3064"/>
      <c r="E16732" s="3064"/>
      <c r="F16732" s="3064"/>
      <c r="G16732" s="3301" t="s">
        <v>677</v>
      </c>
      <c r="H16732" s="3063"/>
      <c r="I16732" s="3030"/>
    </row>
    <row r="16733" spans="2:9">
      <c r="B16733" s="3192" t="s">
        <v>678</v>
      </c>
      <c r="C16733" s="3063"/>
      <c r="D16733" s="3064"/>
      <c r="E16733" s="3064"/>
      <c r="F16733" s="3064"/>
      <c r="G16733" s="3301" t="s">
        <v>678</v>
      </c>
      <c r="H16733" s="3063"/>
      <c r="I16733" s="3030"/>
    </row>
    <row r="16734" spans="2:9">
      <c r="B16734" s="3192" t="s">
        <v>679</v>
      </c>
      <c r="C16734" s="3063"/>
      <c r="D16734" s="3064"/>
      <c r="E16734" s="3064"/>
      <c r="F16734" s="3064"/>
      <c r="G16734" s="3301" t="s">
        <v>679</v>
      </c>
      <c r="H16734" s="3063"/>
      <c r="I16734" s="3030"/>
    </row>
    <row r="16735" spans="2:9" ht="25.5">
      <c r="B16735" s="3192" t="s">
        <v>720</v>
      </c>
      <c r="C16735" s="3063"/>
      <c r="D16735" s="3064"/>
      <c r="E16735" s="3064"/>
      <c r="F16735" s="3064"/>
      <c r="G16735" s="3301" t="s">
        <v>720</v>
      </c>
      <c r="H16735" s="3063"/>
      <c r="I16735" s="3030"/>
    </row>
    <row r="16736" spans="2:9" ht="38.25">
      <c r="B16736" s="3299" t="s">
        <v>680</v>
      </c>
      <c r="C16736" s="3063"/>
      <c r="D16736" s="3064"/>
      <c r="E16736" s="3064"/>
      <c r="F16736" s="3064"/>
      <c r="G16736" s="3300" t="s">
        <v>680</v>
      </c>
      <c r="H16736" s="3063"/>
      <c r="I16736" s="3030"/>
    </row>
    <row r="16737" spans="2:9" ht="25.5">
      <c r="B16737" s="3192" t="s">
        <v>675</v>
      </c>
      <c r="C16737" s="3063"/>
      <c r="D16737" s="3064"/>
      <c r="E16737" s="3064"/>
      <c r="F16737" s="3064"/>
      <c r="G16737" s="3301" t="s">
        <v>675</v>
      </c>
      <c r="H16737" s="3063"/>
      <c r="I16737" s="3030"/>
    </row>
    <row r="16738" spans="2:9" ht="25.5">
      <c r="B16738" s="3192" t="s">
        <v>676</v>
      </c>
      <c r="C16738" s="3063"/>
      <c r="D16738" s="3064"/>
      <c r="E16738" s="3064"/>
      <c r="F16738" s="3064"/>
      <c r="G16738" s="3301" t="s">
        <v>676</v>
      </c>
      <c r="H16738" s="3063"/>
      <c r="I16738" s="3030"/>
    </row>
    <row r="16739" spans="2:9">
      <c r="B16739" s="3192" t="s">
        <v>677</v>
      </c>
      <c r="C16739" s="3063"/>
      <c r="D16739" s="3064"/>
      <c r="E16739" s="3064"/>
      <c r="F16739" s="3064"/>
      <c r="G16739" s="3301" t="s">
        <v>677</v>
      </c>
      <c r="H16739" s="3063"/>
      <c r="I16739" s="3030"/>
    </row>
    <row r="16740" spans="2:9">
      <c r="B16740" s="3192" t="s">
        <v>678</v>
      </c>
      <c r="C16740" s="3063"/>
      <c r="D16740" s="3064"/>
      <c r="E16740" s="3064"/>
      <c r="F16740" s="3064"/>
      <c r="G16740" s="3301" t="s">
        <v>678</v>
      </c>
      <c r="H16740" s="3063"/>
      <c r="I16740" s="3030"/>
    </row>
    <row r="16741" spans="2:9">
      <c r="B16741" s="3192" t="s">
        <v>679</v>
      </c>
      <c r="C16741" s="3063"/>
      <c r="D16741" s="3064"/>
      <c r="E16741" s="3064"/>
      <c r="F16741" s="3064"/>
      <c r="G16741" s="3301" t="s">
        <v>679</v>
      </c>
      <c r="H16741" s="3063"/>
      <c r="I16741" s="3030"/>
    </row>
    <row r="16742" spans="2:9" ht="25.5">
      <c r="B16742" s="3192" t="s">
        <v>720</v>
      </c>
      <c r="C16742" s="3063"/>
      <c r="D16742" s="3064"/>
      <c r="E16742" s="3064"/>
      <c r="F16742" s="3064"/>
      <c r="G16742" s="3301" t="s">
        <v>720</v>
      </c>
      <c r="H16742" s="3063"/>
      <c r="I16742" s="3030"/>
    </row>
    <row r="16743" spans="2:9" ht="38.25">
      <c r="B16743" s="3299" t="s">
        <v>681</v>
      </c>
      <c r="C16743" s="3063"/>
      <c r="D16743" s="3064"/>
      <c r="E16743" s="3064"/>
      <c r="F16743" s="3064"/>
      <c r="G16743" s="3300" t="s">
        <v>681</v>
      </c>
      <c r="H16743" s="3063"/>
      <c r="I16743" s="3030"/>
    </row>
    <row r="16744" spans="2:9" ht="25.5">
      <c r="B16744" s="3192" t="s">
        <v>675</v>
      </c>
      <c r="C16744" s="3063"/>
      <c r="D16744" s="3064"/>
      <c r="E16744" s="3064"/>
      <c r="F16744" s="3064"/>
      <c r="G16744" s="3301" t="s">
        <v>675</v>
      </c>
      <c r="H16744" s="3063"/>
      <c r="I16744" s="3030"/>
    </row>
    <row r="16745" spans="2:9" ht="25.5">
      <c r="B16745" s="3192" t="s">
        <v>676</v>
      </c>
      <c r="C16745" s="3063"/>
      <c r="D16745" s="3064"/>
      <c r="E16745" s="3064"/>
      <c r="F16745" s="3064"/>
      <c r="G16745" s="3301" t="s">
        <v>676</v>
      </c>
      <c r="H16745" s="3063"/>
      <c r="I16745" s="3030"/>
    </row>
    <row r="16746" spans="2:9">
      <c r="B16746" s="3192" t="s">
        <v>677</v>
      </c>
      <c r="C16746" s="3063"/>
      <c r="D16746" s="3064"/>
      <c r="E16746" s="3064"/>
      <c r="F16746" s="3064"/>
      <c r="G16746" s="3301" t="s">
        <v>677</v>
      </c>
      <c r="H16746" s="3063"/>
      <c r="I16746" s="3030"/>
    </row>
    <row r="16747" spans="2:9">
      <c r="B16747" s="3192" t="s">
        <v>678</v>
      </c>
      <c r="C16747" s="3063"/>
      <c r="D16747" s="3064"/>
      <c r="E16747" s="3064"/>
      <c r="F16747" s="3064"/>
      <c r="G16747" s="3301" t="s">
        <v>678</v>
      </c>
      <c r="H16747" s="3063"/>
      <c r="I16747" s="3030"/>
    </row>
    <row r="16748" spans="2:9">
      <c r="B16748" s="3192" t="s">
        <v>679</v>
      </c>
      <c r="C16748" s="3063"/>
      <c r="D16748" s="3064"/>
      <c r="E16748" s="3064"/>
      <c r="F16748" s="3064"/>
      <c r="G16748" s="3301" t="s">
        <v>679</v>
      </c>
      <c r="H16748" s="3063"/>
      <c r="I16748" s="3030"/>
    </row>
    <row r="16749" spans="2:9" ht="25.5">
      <c r="B16749" s="3192" t="s">
        <v>720</v>
      </c>
      <c r="C16749" s="3063"/>
      <c r="D16749" s="3064"/>
      <c r="E16749" s="3064"/>
      <c r="F16749" s="3064"/>
      <c r="G16749" s="3301" t="s">
        <v>720</v>
      </c>
      <c r="H16749" s="3063"/>
      <c r="I16749" s="3030"/>
    </row>
    <row r="16750" spans="2:9" ht="25.5">
      <c r="B16750" s="3299" t="s">
        <v>682</v>
      </c>
      <c r="C16750" s="3063"/>
      <c r="D16750" s="3064"/>
      <c r="E16750" s="3064"/>
      <c r="F16750" s="3064"/>
      <c r="G16750" s="3300" t="s">
        <v>682</v>
      </c>
      <c r="H16750" s="3063"/>
      <c r="I16750" s="3030"/>
    </row>
    <row r="16751" spans="2:9" ht="25.5">
      <c r="B16751" s="3192" t="s">
        <v>675</v>
      </c>
      <c r="C16751" s="3063"/>
      <c r="D16751" s="3064"/>
      <c r="E16751" s="3064"/>
      <c r="F16751" s="3064"/>
      <c r="G16751" s="3301" t="s">
        <v>675</v>
      </c>
      <c r="H16751" s="3063"/>
      <c r="I16751" s="3030"/>
    </row>
    <row r="16752" spans="2:9" ht="25.5">
      <c r="B16752" s="3192" t="s">
        <v>676</v>
      </c>
      <c r="C16752" s="3063"/>
      <c r="D16752" s="3064"/>
      <c r="E16752" s="3064"/>
      <c r="F16752" s="3064"/>
      <c r="G16752" s="3301" t="s">
        <v>676</v>
      </c>
      <c r="H16752" s="3063"/>
      <c r="I16752" s="3030"/>
    </row>
    <row r="16753" spans="2:9">
      <c r="B16753" s="3192" t="s">
        <v>677</v>
      </c>
      <c r="C16753" s="3063"/>
      <c r="D16753" s="3064"/>
      <c r="E16753" s="3064"/>
      <c r="F16753" s="3064"/>
      <c r="G16753" s="3301" t="s">
        <v>677</v>
      </c>
      <c r="H16753" s="3063"/>
      <c r="I16753" s="3030"/>
    </row>
    <row r="16754" spans="2:9">
      <c r="B16754" s="3192" t="s">
        <v>678</v>
      </c>
      <c r="C16754" s="3063"/>
      <c r="D16754" s="3064"/>
      <c r="E16754" s="3064"/>
      <c r="F16754" s="3064"/>
      <c r="G16754" s="3301" t="s">
        <v>678</v>
      </c>
      <c r="H16754" s="3063"/>
      <c r="I16754" s="3030"/>
    </row>
    <row r="16755" spans="2:9">
      <c r="B16755" s="3192" t="s">
        <v>679</v>
      </c>
      <c r="C16755" s="3063"/>
      <c r="D16755" s="3064"/>
      <c r="E16755" s="3064"/>
      <c r="F16755" s="3064"/>
      <c r="G16755" s="3301" t="s">
        <v>679</v>
      </c>
      <c r="H16755" s="3063"/>
      <c r="I16755" s="3030"/>
    </row>
    <row r="16756" spans="2:9" ht="25.5">
      <c r="B16756" s="3192" t="s">
        <v>720</v>
      </c>
      <c r="C16756" s="3063"/>
      <c r="D16756" s="3064"/>
      <c r="E16756" s="3064"/>
      <c r="F16756" s="3064"/>
      <c r="G16756" s="3301" t="s">
        <v>720</v>
      </c>
      <c r="H16756" s="3063"/>
      <c r="I16756" s="3030"/>
    </row>
    <row r="16757" spans="2:9" ht="25.5">
      <c r="B16757" s="3299" t="s">
        <v>66</v>
      </c>
      <c r="C16757" s="3063"/>
      <c r="D16757" s="3064"/>
      <c r="E16757" s="3064"/>
      <c r="F16757" s="3064"/>
      <c r="G16757" s="3300" t="s">
        <v>66</v>
      </c>
      <c r="H16757" s="3063"/>
      <c r="I16757" s="3030"/>
    </row>
    <row r="16758" spans="2:9" ht="25.5">
      <c r="B16758" s="3192" t="s">
        <v>675</v>
      </c>
      <c r="C16758" s="3063"/>
      <c r="D16758" s="3064"/>
      <c r="E16758" s="3064"/>
      <c r="F16758" s="3064"/>
      <c r="G16758" s="3301" t="s">
        <v>675</v>
      </c>
      <c r="H16758" s="3063"/>
      <c r="I16758" s="3030"/>
    </row>
    <row r="16759" spans="2:9" ht="25.5">
      <c r="B16759" s="3192" t="s">
        <v>676</v>
      </c>
      <c r="C16759" s="3063"/>
      <c r="D16759" s="3064"/>
      <c r="E16759" s="3064"/>
      <c r="F16759" s="3064"/>
      <c r="G16759" s="3301" t="s">
        <v>676</v>
      </c>
      <c r="H16759" s="3063"/>
      <c r="I16759" s="3030"/>
    </row>
    <row r="16760" spans="2:9">
      <c r="B16760" s="3192" t="s">
        <v>677</v>
      </c>
      <c r="C16760" s="3063"/>
      <c r="D16760" s="3064"/>
      <c r="E16760" s="3064"/>
      <c r="F16760" s="3064"/>
      <c r="G16760" s="3301" t="s">
        <v>677</v>
      </c>
      <c r="H16760" s="3063"/>
      <c r="I16760" s="3030"/>
    </row>
    <row r="16761" spans="2:9">
      <c r="B16761" s="3192" t="s">
        <v>678</v>
      </c>
      <c r="C16761" s="3063"/>
      <c r="D16761" s="3064"/>
      <c r="E16761" s="3064"/>
      <c r="F16761" s="3064"/>
      <c r="G16761" s="3301" t="s">
        <v>678</v>
      </c>
      <c r="H16761" s="3063"/>
      <c r="I16761" s="3030"/>
    </row>
    <row r="16762" spans="2:9">
      <c r="B16762" s="3192" t="s">
        <v>679</v>
      </c>
      <c r="C16762" s="3063"/>
      <c r="D16762" s="3064"/>
      <c r="E16762" s="3064"/>
      <c r="F16762" s="3064"/>
      <c r="G16762" s="3301" t="s">
        <v>679</v>
      </c>
      <c r="H16762" s="3063"/>
      <c r="I16762" s="3030"/>
    </row>
    <row r="16763" spans="2:9" ht="25.5">
      <c r="B16763" s="3192" t="s">
        <v>720</v>
      </c>
      <c r="C16763" s="3063"/>
      <c r="D16763" s="3064"/>
      <c r="E16763" s="3064"/>
      <c r="F16763" s="3064"/>
      <c r="G16763" s="3301" t="s">
        <v>720</v>
      </c>
      <c r="H16763" s="3063"/>
      <c r="I16763" s="3030"/>
    </row>
    <row r="16764" spans="2:9">
      <c r="B16764" s="3299" t="s">
        <v>67</v>
      </c>
      <c r="C16764" s="3063"/>
      <c r="D16764" s="3064"/>
      <c r="E16764" s="3064"/>
      <c r="F16764" s="3064"/>
      <c r="G16764" s="3300" t="s">
        <v>67</v>
      </c>
      <c r="H16764" s="3063"/>
      <c r="I16764" s="3030"/>
    </row>
    <row r="16765" spans="2:9" ht="25.5">
      <c r="B16765" s="3192" t="s">
        <v>675</v>
      </c>
      <c r="C16765" s="3063"/>
      <c r="D16765" s="3064"/>
      <c r="E16765" s="3064"/>
      <c r="F16765" s="3064"/>
      <c r="G16765" s="3301" t="s">
        <v>675</v>
      </c>
      <c r="H16765" s="3063"/>
      <c r="I16765" s="3030"/>
    </row>
    <row r="16766" spans="2:9" ht="25.5">
      <c r="B16766" s="3192" t="s">
        <v>676</v>
      </c>
      <c r="C16766" s="3063"/>
      <c r="D16766" s="3064"/>
      <c r="E16766" s="3064"/>
      <c r="F16766" s="3064"/>
      <c r="G16766" s="3301" t="s">
        <v>676</v>
      </c>
      <c r="H16766" s="3063"/>
      <c r="I16766" s="3030"/>
    </row>
    <row r="16767" spans="2:9">
      <c r="B16767" s="3192" t="s">
        <v>677</v>
      </c>
      <c r="C16767" s="3063"/>
      <c r="D16767" s="3064"/>
      <c r="E16767" s="3064"/>
      <c r="F16767" s="3064"/>
      <c r="G16767" s="3301" t="s">
        <v>677</v>
      </c>
      <c r="H16767" s="3063"/>
      <c r="I16767" s="3030"/>
    </row>
    <row r="16768" spans="2:9">
      <c r="B16768" s="3192" t="s">
        <v>678</v>
      </c>
      <c r="C16768" s="3063"/>
      <c r="D16768" s="3064"/>
      <c r="E16768" s="3064"/>
      <c r="F16768" s="3064"/>
      <c r="G16768" s="3301" t="s">
        <v>678</v>
      </c>
      <c r="H16768" s="3063"/>
      <c r="I16768" s="3030"/>
    </row>
    <row r="16769" spans="2:9">
      <c r="B16769" s="3192" t="s">
        <v>679</v>
      </c>
      <c r="C16769" s="3063"/>
      <c r="D16769" s="3064"/>
      <c r="E16769" s="3064"/>
      <c r="F16769" s="3064"/>
      <c r="G16769" s="3301" t="s">
        <v>679</v>
      </c>
      <c r="H16769" s="3063"/>
      <c r="I16769" s="3030"/>
    </row>
    <row r="16770" spans="2:9" ht="25.5">
      <c r="B16770" s="3230" t="s">
        <v>81</v>
      </c>
      <c r="C16770" s="3063"/>
      <c r="D16770" s="3064"/>
      <c r="E16770" s="3064"/>
      <c r="F16770" s="3064"/>
      <c r="G16770" s="3302" t="s">
        <v>81</v>
      </c>
      <c r="H16770" s="3063"/>
      <c r="I16770" s="3030"/>
    </row>
    <row r="16771" spans="2:9" ht="26.25" thickBot="1">
      <c r="B16771" s="3303" t="s">
        <v>81</v>
      </c>
      <c r="C16771" s="3063"/>
      <c r="D16771" s="3064"/>
      <c r="E16771" s="3064"/>
      <c r="F16771" s="3064"/>
      <c r="G16771" s="3302" t="s">
        <v>81</v>
      </c>
      <c r="H16771" s="3063"/>
      <c r="I16771" s="3030"/>
    </row>
    <row r="16772" spans="2:9">
      <c r="B16772" s="3217" t="s">
        <v>697</v>
      </c>
      <c r="C16772" s="3218"/>
      <c r="D16772" s="3219"/>
      <c r="E16772" s="3219"/>
      <c r="F16772" s="3219"/>
      <c r="G16772" s="3217" t="s">
        <v>697</v>
      </c>
      <c r="H16772" s="3297"/>
      <c r="I16772" s="3298"/>
    </row>
    <row r="16773" spans="2:9">
      <c r="B16773" s="3299" t="s">
        <v>64</v>
      </c>
      <c r="C16773" s="3063"/>
      <c r="D16773" s="3064"/>
      <c r="E16773" s="3064"/>
      <c r="F16773" s="3064"/>
      <c r="G16773" s="3300" t="s">
        <v>64</v>
      </c>
      <c r="H16773" s="3063"/>
      <c r="I16773" s="3030"/>
    </row>
    <row r="16774" spans="2:9" ht="25.5">
      <c r="B16774" s="3192" t="s">
        <v>675</v>
      </c>
      <c r="C16774" s="3063"/>
      <c r="D16774" s="3064"/>
      <c r="E16774" s="3064"/>
      <c r="F16774" s="3064"/>
      <c r="G16774" s="3301" t="s">
        <v>675</v>
      </c>
      <c r="H16774" s="3063"/>
      <c r="I16774" s="3030"/>
    </row>
    <row r="16775" spans="2:9" ht="25.5">
      <c r="B16775" s="3192" t="s">
        <v>676</v>
      </c>
      <c r="C16775" s="3063"/>
      <c r="D16775" s="3064"/>
      <c r="E16775" s="3064"/>
      <c r="F16775" s="3064"/>
      <c r="G16775" s="3301" t="s">
        <v>676</v>
      </c>
      <c r="H16775" s="3063"/>
      <c r="I16775" s="3030"/>
    </row>
    <row r="16776" spans="2:9">
      <c r="B16776" s="3192" t="s">
        <v>677</v>
      </c>
      <c r="C16776" s="3063"/>
      <c r="D16776" s="3064"/>
      <c r="E16776" s="3064"/>
      <c r="F16776" s="3064"/>
      <c r="G16776" s="3301" t="s">
        <v>677</v>
      </c>
      <c r="H16776" s="3063"/>
      <c r="I16776" s="3030"/>
    </row>
    <row r="16777" spans="2:9">
      <c r="B16777" s="3192" t="s">
        <v>678</v>
      </c>
      <c r="C16777" s="3063"/>
      <c r="D16777" s="3064"/>
      <c r="E16777" s="3064"/>
      <c r="F16777" s="3064"/>
      <c r="G16777" s="3301" t="s">
        <v>678</v>
      </c>
      <c r="H16777" s="3063"/>
      <c r="I16777" s="3030"/>
    </row>
    <row r="16778" spans="2:9">
      <c r="B16778" s="3192" t="s">
        <v>679</v>
      </c>
      <c r="C16778" s="3063"/>
      <c r="D16778" s="3064"/>
      <c r="E16778" s="3064"/>
      <c r="F16778" s="3064"/>
      <c r="G16778" s="3301" t="s">
        <v>679</v>
      </c>
      <c r="H16778" s="3063"/>
      <c r="I16778" s="3030"/>
    </row>
    <row r="16779" spans="2:9" ht="25.5">
      <c r="B16779" s="3192" t="s">
        <v>720</v>
      </c>
      <c r="C16779" s="3063"/>
      <c r="D16779" s="3064"/>
      <c r="E16779" s="3064"/>
      <c r="F16779" s="3064"/>
      <c r="G16779" s="3301" t="s">
        <v>720</v>
      </c>
      <c r="H16779" s="3063"/>
      <c r="I16779" s="3030"/>
    </row>
    <row r="16780" spans="2:9">
      <c r="B16780" s="3299" t="s">
        <v>65</v>
      </c>
      <c r="C16780" s="3063"/>
      <c r="D16780" s="3064"/>
      <c r="E16780" s="3064"/>
      <c r="F16780" s="3064"/>
      <c r="G16780" s="3300" t="s">
        <v>65</v>
      </c>
      <c r="H16780" s="3063"/>
      <c r="I16780" s="3030"/>
    </row>
    <row r="16781" spans="2:9" ht="25.5">
      <c r="B16781" s="3192" t="s">
        <v>675</v>
      </c>
      <c r="C16781" s="3063"/>
      <c r="D16781" s="3064"/>
      <c r="E16781" s="3064"/>
      <c r="F16781" s="3064"/>
      <c r="G16781" s="3301" t="s">
        <v>675</v>
      </c>
      <c r="H16781" s="3063"/>
      <c r="I16781" s="3030"/>
    </row>
    <row r="16782" spans="2:9" ht="25.5">
      <c r="B16782" s="3192" t="s">
        <v>676</v>
      </c>
      <c r="C16782" s="3063"/>
      <c r="D16782" s="3064"/>
      <c r="E16782" s="3064"/>
      <c r="F16782" s="3064"/>
      <c r="G16782" s="3301" t="s">
        <v>676</v>
      </c>
      <c r="H16782" s="3063"/>
      <c r="I16782" s="3030"/>
    </row>
    <row r="16783" spans="2:9">
      <c r="B16783" s="3192" t="s">
        <v>677</v>
      </c>
      <c r="C16783" s="3063"/>
      <c r="D16783" s="3064"/>
      <c r="E16783" s="3064"/>
      <c r="F16783" s="3064"/>
      <c r="G16783" s="3301" t="s">
        <v>677</v>
      </c>
      <c r="H16783" s="3063"/>
      <c r="I16783" s="3030"/>
    </row>
    <row r="16784" spans="2:9">
      <c r="B16784" s="3192" t="s">
        <v>678</v>
      </c>
      <c r="C16784" s="3063"/>
      <c r="D16784" s="3064"/>
      <c r="E16784" s="3064"/>
      <c r="F16784" s="3064"/>
      <c r="G16784" s="3301" t="s">
        <v>678</v>
      </c>
      <c r="H16784" s="3063"/>
      <c r="I16784" s="3030"/>
    </row>
    <row r="16785" spans="2:9">
      <c r="B16785" s="3192" t="s">
        <v>679</v>
      </c>
      <c r="C16785" s="3063"/>
      <c r="D16785" s="3064"/>
      <c r="E16785" s="3064"/>
      <c r="F16785" s="3064"/>
      <c r="G16785" s="3301" t="s">
        <v>679</v>
      </c>
      <c r="H16785" s="3063"/>
      <c r="I16785" s="3030"/>
    </row>
    <row r="16786" spans="2:9" ht="25.5">
      <c r="B16786" s="3192" t="s">
        <v>720</v>
      </c>
      <c r="C16786" s="3063"/>
      <c r="D16786" s="3064"/>
      <c r="E16786" s="3064"/>
      <c r="F16786" s="3064"/>
      <c r="G16786" s="3301" t="s">
        <v>720</v>
      </c>
      <c r="H16786" s="3063"/>
      <c r="I16786" s="3030"/>
    </row>
    <row r="16787" spans="2:9">
      <c r="B16787" s="3299" t="s">
        <v>82</v>
      </c>
      <c r="C16787" s="3063"/>
      <c r="D16787" s="3064"/>
      <c r="E16787" s="3064"/>
      <c r="F16787" s="3064"/>
      <c r="G16787" s="3300" t="s">
        <v>82</v>
      </c>
      <c r="H16787" s="3063"/>
      <c r="I16787" s="3030"/>
    </row>
    <row r="16788" spans="2:9" ht="25.5">
      <c r="B16788" s="3192" t="s">
        <v>675</v>
      </c>
      <c r="C16788" s="3063"/>
      <c r="D16788" s="3064"/>
      <c r="E16788" s="3064"/>
      <c r="F16788" s="3064"/>
      <c r="G16788" s="3301" t="s">
        <v>675</v>
      </c>
      <c r="H16788" s="3063"/>
      <c r="I16788" s="3030"/>
    </row>
    <row r="16789" spans="2:9" ht="25.5">
      <c r="B16789" s="3192" t="s">
        <v>676</v>
      </c>
      <c r="C16789" s="3063"/>
      <c r="D16789" s="3064"/>
      <c r="E16789" s="3064"/>
      <c r="F16789" s="3064"/>
      <c r="G16789" s="3301" t="s">
        <v>676</v>
      </c>
      <c r="H16789" s="3063"/>
      <c r="I16789" s="3030"/>
    </row>
    <row r="16790" spans="2:9">
      <c r="B16790" s="3192" t="s">
        <v>677</v>
      </c>
      <c r="C16790" s="3063"/>
      <c r="D16790" s="3064"/>
      <c r="E16790" s="3064"/>
      <c r="F16790" s="3064"/>
      <c r="G16790" s="3301" t="s">
        <v>677</v>
      </c>
      <c r="H16790" s="3063"/>
      <c r="I16790" s="3030"/>
    </row>
    <row r="16791" spans="2:9">
      <c r="B16791" s="3192" t="s">
        <v>678</v>
      </c>
      <c r="C16791" s="3063"/>
      <c r="D16791" s="3064"/>
      <c r="E16791" s="3064"/>
      <c r="F16791" s="3064"/>
      <c r="G16791" s="3301" t="s">
        <v>678</v>
      </c>
      <c r="H16791" s="3063"/>
      <c r="I16791" s="3030"/>
    </row>
    <row r="16792" spans="2:9">
      <c r="B16792" s="3192" t="s">
        <v>679</v>
      </c>
      <c r="C16792" s="3063"/>
      <c r="D16792" s="3064"/>
      <c r="E16792" s="3064"/>
      <c r="F16792" s="3064"/>
      <c r="G16792" s="3301" t="s">
        <v>679</v>
      </c>
      <c r="H16792" s="3063"/>
      <c r="I16792" s="3030"/>
    </row>
    <row r="16793" spans="2:9" ht="25.5">
      <c r="B16793" s="3192" t="s">
        <v>720</v>
      </c>
      <c r="C16793" s="3063"/>
      <c r="D16793" s="3064"/>
      <c r="E16793" s="3064"/>
      <c r="F16793" s="3064"/>
      <c r="G16793" s="3301" t="s">
        <v>720</v>
      </c>
      <c r="H16793" s="3063"/>
      <c r="I16793" s="3030"/>
    </row>
    <row r="16794" spans="2:9" ht="38.25">
      <c r="B16794" s="3299" t="s">
        <v>680</v>
      </c>
      <c r="C16794" s="3063"/>
      <c r="D16794" s="3064"/>
      <c r="E16794" s="3064"/>
      <c r="F16794" s="3064"/>
      <c r="G16794" s="3300" t="s">
        <v>680</v>
      </c>
      <c r="H16794" s="3063"/>
      <c r="I16794" s="3030"/>
    </row>
    <row r="16795" spans="2:9" ht="25.5">
      <c r="B16795" s="3192" t="s">
        <v>675</v>
      </c>
      <c r="C16795" s="3063"/>
      <c r="D16795" s="3064"/>
      <c r="E16795" s="3064"/>
      <c r="F16795" s="3064"/>
      <c r="G16795" s="3301" t="s">
        <v>675</v>
      </c>
      <c r="H16795" s="3063"/>
      <c r="I16795" s="3030"/>
    </row>
    <row r="16796" spans="2:9" ht="25.5">
      <c r="B16796" s="3192" t="s">
        <v>676</v>
      </c>
      <c r="C16796" s="3063"/>
      <c r="D16796" s="3064"/>
      <c r="E16796" s="3064"/>
      <c r="F16796" s="3064"/>
      <c r="G16796" s="3301" t="s">
        <v>676</v>
      </c>
      <c r="H16796" s="3063"/>
      <c r="I16796" s="3030"/>
    </row>
    <row r="16797" spans="2:9">
      <c r="B16797" s="3192" t="s">
        <v>677</v>
      </c>
      <c r="C16797" s="3063"/>
      <c r="D16797" s="3064"/>
      <c r="E16797" s="3064"/>
      <c r="F16797" s="3064"/>
      <c r="G16797" s="3301" t="s">
        <v>677</v>
      </c>
      <c r="H16797" s="3063"/>
      <c r="I16797" s="3030"/>
    </row>
    <row r="16798" spans="2:9">
      <c r="B16798" s="3192" t="s">
        <v>678</v>
      </c>
      <c r="C16798" s="3063"/>
      <c r="D16798" s="3064"/>
      <c r="E16798" s="3064"/>
      <c r="F16798" s="3064"/>
      <c r="G16798" s="3301" t="s">
        <v>678</v>
      </c>
      <c r="H16798" s="3063"/>
      <c r="I16798" s="3030"/>
    </row>
    <row r="16799" spans="2:9">
      <c r="B16799" s="3192" t="s">
        <v>679</v>
      </c>
      <c r="C16799" s="3063"/>
      <c r="D16799" s="3064"/>
      <c r="E16799" s="3064"/>
      <c r="F16799" s="3064"/>
      <c r="G16799" s="3301" t="s">
        <v>679</v>
      </c>
      <c r="H16799" s="3063"/>
      <c r="I16799" s="3030"/>
    </row>
    <row r="16800" spans="2:9" ht="25.5">
      <c r="B16800" s="3192" t="s">
        <v>720</v>
      </c>
      <c r="C16800" s="3063"/>
      <c r="D16800" s="3064"/>
      <c r="E16800" s="3064"/>
      <c r="F16800" s="3064"/>
      <c r="G16800" s="3301" t="s">
        <v>720</v>
      </c>
      <c r="H16800" s="3063"/>
      <c r="I16800" s="3030"/>
    </row>
    <row r="16801" spans="2:9" ht="38.25">
      <c r="B16801" s="3299" t="s">
        <v>681</v>
      </c>
      <c r="C16801" s="3063"/>
      <c r="D16801" s="3064"/>
      <c r="E16801" s="3064"/>
      <c r="F16801" s="3064">
        <v>1</v>
      </c>
      <c r="G16801" s="3300" t="s">
        <v>681</v>
      </c>
      <c r="H16801" s="3063">
        <v>6.4539863046410538E-3</v>
      </c>
      <c r="I16801" s="3030"/>
    </row>
    <row r="16802" spans="2:9" ht="25.5">
      <c r="B16802" s="3192" t="s">
        <v>675</v>
      </c>
      <c r="C16802" s="3063"/>
      <c r="D16802" s="3064"/>
      <c r="E16802" s="3064"/>
      <c r="F16802" s="3064"/>
      <c r="G16802" s="3301" t="s">
        <v>675</v>
      </c>
      <c r="H16802" s="3063"/>
      <c r="I16802" s="3030"/>
    </row>
    <row r="16803" spans="2:9" ht="25.5">
      <c r="B16803" s="3192" t="s">
        <v>676</v>
      </c>
      <c r="C16803" s="3063"/>
      <c r="D16803" s="3064"/>
      <c r="E16803" s="3064"/>
      <c r="F16803" s="3064"/>
      <c r="G16803" s="3301" t="s">
        <v>676</v>
      </c>
      <c r="H16803" s="3063"/>
      <c r="I16803" s="3030"/>
    </row>
    <row r="16804" spans="2:9">
      <c r="B16804" s="3192" t="s">
        <v>677</v>
      </c>
      <c r="C16804" s="3063"/>
      <c r="D16804" s="3064"/>
      <c r="E16804" s="3064"/>
      <c r="F16804" s="3064"/>
      <c r="G16804" s="3301" t="s">
        <v>677</v>
      </c>
      <c r="H16804" s="3063"/>
      <c r="I16804" s="3030"/>
    </row>
    <row r="16805" spans="2:9">
      <c r="B16805" s="3192" t="s">
        <v>678</v>
      </c>
      <c r="C16805" s="3063"/>
      <c r="D16805" s="3064"/>
      <c r="E16805" s="3064"/>
      <c r="F16805" s="3064"/>
      <c r="G16805" s="3301" t="s">
        <v>678</v>
      </c>
      <c r="H16805" s="3063"/>
      <c r="I16805" s="3030"/>
    </row>
    <row r="16806" spans="2:9">
      <c r="B16806" s="3192" t="s">
        <v>679</v>
      </c>
      <c r="C16806" s="3063"/>
      <c r="D16806" s="3064">
        <v>1</v>
      </c>
      <c r="E16806" s="3064"/>
      <c r="F16806" s="3064"/>
      <c r="G16806" s="3301" t="s">
        <v>679</v>
      </c>
      <c r="H16806" s="3063"/>
      <c r="I16806" s="3030"/>
    </row>
    <row r="16807" spans="2:9" ht="25.5">
      <c r="B16807" s="3192" t="s">
        <v>720</v>
      </c>
      <c r="C16807" s="3063"/>
      <c r="D16807" s="3064"/>
      <c r="E16807" s="3064"/>
      <c r="F16807" s="3064"/>
      <c r="G16807" s="3301" t="s">
        <v>720</v>
      </c>
      <c r="H16807" s="3063"/>
      <c r="I16807" s="3030"/>
    </row>
    <row r="16808" spans="2:9" ht="25.5">
      <c r="B16808" s="3299" t="s">
        <v>682</v>
      </c>
      <c r="C16808" s="3063"/>
      <c r="D16808" s="3064"/>
      <c r="E16808" s="3064"/>
      <c r="F16808" s="3064"/>
      <c r="G16808" s="3300" t="s">
        <v>682</v>
      </c>
      <c r="H16808" s="3063"/>
      <c r="I16808" s="3030"/>
    </row>
    <row r="16809" spans="2:9" ht="25.5">
      <c r="B16809" s="3192" t="s">
        <v>675</v>
      </c>
      <c r="C16809" s="3063"/>
      <c r="D16809" s="3064"/>
      <c r="E16809" s="3064"/>
      <c r="F16809" s="3064"/>
      <c r="G16809" s="3301" t="s">
        <v>675</v>
      </c>
      <c r="H16809" s="3063"/>
      <c r="I16809" s="3030"/>
    </row>
    <row r="16810" spans="2:9" ht="25.5">
      <c r="B16810" s="3192" t="s">
        <v>676</v>
      </c>
      <c r="C16810" s="3063"/>
      <c r="D16810" s="3064"/>
      <c r="E16810" s="3064"/>
      <c r="F16810" s="3064"/>
      <c r="G16810" s="3301" t="s">
        <v>676</v>
      </c>
      <c r="H16810" s="3063"/>
      <c r="I16810" s="3030"/>
    </row>
    <row r="16811" spans="2:9">
      <c r="B16811" s="3192" t="s">
        <v>677</v>
      </c>
      <c r="C16811" s="3063"/>
      <c r="D16811" s="3064"/>
      <c r="E16811" s="3064"/>
      <c r="F16811" s="3064"/>
      <c r="G16811" s="3301" t="s">
        <v>677</v>
      </c>
      <c r="H16811" s="3063"/>
      <c r="I16811" s="3030"/>
    </row>
    <row r="16812" spans="2:9">
      <c r="B16812" s="3192" t="s">
        <v>678</v>
      </c>
      <c r="C16812" s="3063"/>
      <c r="D16812" s="3064"/>
      <c r="E16812" s="3064"/>
      <c r="F16812" s="3064"/>
      <c r="G16812" s="3301" t="s">
        <v>678</v>
      </c>
      <c r="H16812" s="3063"/>
      <c r="I16812" s="3030"/>
    </row>
    <row r="16813" spans="2:9">
      <c r="B16813" s="3192" t="s">
        <v>679</v>
      </c>
      <c r="C16813" s="3063"/>
      <c r="D16813" s="3064"/>
      <c r="E16813" s="3064"/>
      <c r="F16813" s="3064"/>
      <c r="G16813" s="3301" t="s">
        <v>679</v>
      </c>
      <c r="H16813" s="3063"/>
      <c r="I16813" s="3030"/>
    </row>
    <row r="16814" spans="2:9" ht="25.5">
      <c r="B16814" s="3192" t="s">
        <v>720</v>
      </c>
      <c r="C16814" s="3063"/>
      <c r="D16814" s="3064"/>
      <c r="E16814" s="3064"/>
      <c r="F16814" s="3064"/>
      <c r="G16814" s="3301" t="s">
        <v>720</v>
      </c>
      <c r="H16814" s="3063"/>
      <c r="I16814" s="3030"/>
    </row>
    <row r="16815" spans="2:9" ht="25.5">
      <c r="B16815" s="3299" t="s">
        <v>66</v>
      </c>
      <c r="C16815" s="3063"/>
      <c r="D16815" s="3064"/>
      <c r="E16815" s="3064"/>
      <c r="F16815" s="3064"/>
      <c r="G16815" s="3300" t="s">
        <v>66</v>
      </c>
      <c r="H16815" s="3063"/>
      <c r="I16815" s="3030"/>
    </row>
    <row r="16816" spans="2:9" ht="25.5">
      <c r="B16816" s="3192" t="s">
        <v>675</v>
      </c>
      <c r="C16816" s="3063"/>
      <c r="D16816" s="3064"/>
      <c r="E16816" s="3064"/>
      <c r="F16816" s="3064"/>
      <c r="G16816" s="3301" t="s">
        <v>675</v>
      </c>
      <c r="H16816" s="3063"/>
      <c r="I16816" s="3030"/>
    </row>
    <row r="16817" spans="2:9" ht="25.5">
      <c r="B16817" s="3192" t="s">
        <v>676</v>
      </c>
      <c r="C16817" s="3063"/>
      <c r="D16817" s="3064"/>
      <c r="E16817" s="3064"/>
      <c r="F16817" s="3064"/>
      <c r="G16817" s="3301" t="s">
        <v>676</v>
      </c>
      <c r="H16817" s="3063"/>
      <c r="I16817" s="3030"/>
    </row>
    <row r="16818" spans="2:9">
      <c r="B16818" s="3192" t="s">
        <v>677</v>
      </c>
      <c r="C16818" s="3063"/>
      <c r="D16818" s="3064"/>
      <c r="E16818" s="3064"/>
      <c r="F16818" s="3064"/>
      <c r="G16818" s="3301" t="s">
        <v>677</v>
      </c>
      <c r="H16818" s="3063"/>
      <c r="I16818" s="3030"/>
    </row>
    <row r="16819" spans="2:9">
      <c r="B16819" s="3192" t="s">
        <v>678</v>
      </c>
      <c r="C16819" s="3063"/>
      <c r="D16819" s="3064"/>
      <c r="E16819" s="3064"/>
      <c r="F16819" s="3064"/>
      <c r="G16819" s="3301" t="s">
        <v>678</v>
      </c>
      <c r="H16819" s="3063"/>
      <c r="I16819" s="3030"/>
    </row>
    <row r="16820" spans="2:9">
      <c r="B16820" s="3192" t="s">
        <v>679</v>
      </c>
      <c r="C16820" s="3063"/>
      <c r="D16820" s="3064"/>
      <c r="E16820" s="3064"/>
      <c r="F16820" s="3064"/>
      <c r="G16820" s="3301" t="s">
        <v>679</v>
      </c>
      <c r="H16820" s="3063"/>
      <c r="I16820" s="3030"/>
    </row>
    <row r="16821" spans="2:9" ht="25.5">
      <c r="B16821" s="3192" t="s">
        <v>720</v>
      </c>
      <c r="C16821" s="3063"/>
      <c r="D16821" s="3064"/>
      <c r="E16821" s="3064"/>
      <c r="F16821" s="3064"/>
      <c r="G16821" s="3301" t="s">
        <v>720</v>
      </c>
      <c r="H16821" s="3063"/>
      <c r="I16821" s="3030"/>
    </row>
    <row r="16822" spans="2:9">
      <c r="B16822" s="3299" t="s">
        <v>67</v>
      </c>
      <c r="C16822" s="3063"/>
      <c r="D16822" s="3064"/>
      <c r="E16822" s="3064"/>
      <c r="F16822" s="3064"/>
      <c r="G16822" s="3300" t="s">
        <v>67</v>
      </c>
      <c r="H16822" s="3063"/>
      <c r="I16822" s="3030"/>
    </row>
    <row r="16823" spans="2:9" ht="25.5">
      <c r="B16823" s="3192" t="s">
        <v>675</v>
      </c>
      <c r="C16823" s="3063"/>
      <c r="D16823" s="3064"/>
      <c r="E16823" s="3064"/>
      <c r="F16823" s="3064"/>
      <c r="G16823" s="3301" t="s">
        <v>675</v>
      </c>
      <c r="H16823" s="3063"/>
      <c r="I16823" s="3030"/>
    </row>
    <row r="16824" spans="2:9" ht="25.5">
      <c r="B16824" s="3192" t="s">
        <v>676</v>
      </c>
      <c r="C16824" s="3063"/>
      <c r="D16824" s="3064"/>
      <c r="E16824" s="3064"/>
      <c r="F16824" s="3064"/>
      <c r="G16824" s="3301" t="s">
        <v>676</v>
      </c>
      <c r="H16824" s="3063"/>
      <c r="I16824" s="3030"/>
    </row>
    <row r="16825" spans="2:9">
      <c r="B16825" s="3192" t="s">
        <v>677</v>
      </c>
      <c r="C16825" s="3063"/>
      <c r="D16825" s="3064"/>
      <c r="E16825" s="3064"/>
      <c r="F16825" s="3064"/>
      <c r="G16825" s="3301" t="s">
        <v>677</v>
      </c>
      <c r="H16825" s="3063"/>
      <c r="I16825" s="3030"/>
    </row>
    <row r="16826" spans="2:9">
      <c r="B16826" s="3192" t="s">
        <v>678</v>
      </c>
      <c r="C16826" s="3063"/>
      <c r="D16826" s="3064"/>
      <c r="E16826" s="3064"/>
      <c r="F16826" s="3064"/>
      <c r="G16826" s="3301" t="s">
        <v>678</v>
      </c>
      <c r="H16826" s="3063"/>
      <c r="I16826" s="3030"/>
    </row>
    <row r="16827" spans="2:9">
      <c r="B16827" s="3192" t="s">
        <v>679</v>
      </c>
      <c r="C16827" s="3063"/>
      <c r="D16827" s="3064"/>
      <c r="E16827" s="3064"/>
      <c r="F16827" s="3064"/>
      <c r="G16827" s="3301" t="s">
        <v>679</v>
      </c>
      <c r="H16827" s="3063"/>
      <c r="I16827" s="3030"/>
    </row>
    <row r="16828" spans="2:9" ht="25.5">
      <c r="B16828" s="3230" t="s">
        <v>81</v>
      </c>
      <c r="C16828" s="3063"/>
      <c r="D16828" s="3064"/>
      <c r="E16828" s="3064"/>
      <c r="F16828" s="3064"/>
      <c r="G16828" s="3302" t="s">
        <v>81</v>
      </c>
      <c r="H16828" s="3063"/>
      <c r="I16828" s="3030"/>
    </row>
    <row r="16829" spans="2:9" ht="26.25" thickBot="1">
      <c r="B16829" s="3303" t="s">
        <v>81</v>
      </c>
      <c r="C16829" s="3068"/>
      <c r="D16829" s="3069"/>
      <c r="E16829" s="3069"/>
      <c r="F16829" s="3069"/>
      <c r="G16829" s="3304" t="s">
        <v>81</v>
      </c>
      <c r="H16829" s="3068"/>
      <c r="I16829" s="3070"/>
    </row>
    <row r="16830" spans="2:9" ht="38.25">
      <c r="B16830" s="4723">
        <v>3555</v>
      </c>
      <c r="C16830" s="3289"/>
      <c r="D16830" s="3290"/>
      <c r="E16830" s="3290"/>
      <c r="F16830" s="3290"/>
      <c r="G16830" s="4723">
        <v>3555</v>
      </c>
      <c r="H16830" s="3291" t="s">
        <v>687</v>
      </c>
      <c r="I16830" s="3292" t="s">
        <v>688</v>
      </c>
    </row>
    <row r="16831" spans="2:9">
      <c r="B16831" s="4724"/>
      <c r="C16831" s="4678" t="s">
        <v>686</v>
      </c>
      <c r="D16831" s="4725"/>
      <c r="E16831" s="4725"/>
      <c r="F16831" s="4726"/>
      <c r="G16831" s="4724"/>
      <c r="H16831" s="3293"/>
      <c r="I16831" s="3294"/>
    </row>
    <row r="16832" spans="2:9" ht="13.5" thickBot="1">
      <c r="B16832" s="4724"/>
      <c r="C16832" s="3215">
        <v>2013</v>
      </c>
      <c r="D16832" s="3215">
        <v>2014</v>
      </c>
      <c r="E16832" s="3215">
        <v>2015</v>
      </c>
      <c r="F16832" s="3215">
        <v>2016</v>
      </c>
      <c r="G16832" s="4724"/>
      <c r="H16832" s="3295" t="s">
        <v>390</v>
      </c>
      <c r="I16832" s="3296" t="s">
        <v>390</v>
      </c>
    </row>
    <row r="16833" spans="2:9">
      <c r="B16833" s="3217" t="s">
        <v>695</v>
      </c>
      <c r="C16833" s="3218"/>
      <c r="D16833" s="3219"/>
      <c r="E16833" s="3219"/>
      <c r="F16833" s="3219"/>
      <c r="G16833" s="3217" t="s">
        <v>695</v>
      </c>
      <c r="H16833" s="3297"/>
      <c r="I16833" s="3298"/>
    </row>
    <row r="16834" spans="2:9">
      <c r="B16834" s="3299" t="s">
        <v>64</v>
      </c>
      <c r="C16834" s="3063"/>
      <c r="D16834" s="3064"/>
      <c r="E16834" s="3064"/>
      <c r="F16834" s="3064">
        <v>3</v>
      </c>
      <c r="G16834" s="3300" t="s">
        <v>64</v>
      </c>
      <c r="H16834" s="3063">
        <v>0.67827266561157595</v>
      </c>
      <c r="I16834" s="3030"/>
    </row>
    <row r="16835" spans="2:9" ht="25.5">
      <c r="B16835" s="3192" t="s">
        <v>675</v>
      </c>
      <c r="C16835" s="3063"/>
      <c r="D16835" s="3064"/>
      <c r="E16835" s="3064"/>
      <c r="F16835" s="3064"/>
      <c r="G16835" s="3301" t="s">
        <v>675</v>
      </c>
      <c r="H16835" s="3063"/>
      <c r="I16835" s="3030"/>
    </row>
    <row r="16836" spans="2:9" ht="25.5">
      <c r="B16836" s="3192" t="s">
        <v>676</v>
      </c>
      <c r="C16836" s="3063"/>
      <c r="D16836" s="3064"/>
      <c r="E16836" s="3064"/>
      <c r="F16836" s="3064"/>
      <c r="G16836" s="3301" t="s">
        <v>676</v>
      </c>
      <c r="H16836" s="3063"/>
      <c r="I16836" s="3030"/>
    </row>
    <row r="16837" spans="2:9">
      <c r="B16837" s="3192" t="s">
        <v>677</v>
      </c>
      <c r="C16837" s="3063"/>
      <c r="D16837" s="3064"/>
      <c r="E16837" s="3064"/>
      <c r="F16837" s="3064"/>
      <c r="G16837" s="3301" t="s">
        <v>677</v>
      </c>
      <c r="H16837" s="3063"/>
      <c r="I16837" s="3030"/>
    </row>
    <row r="16838" spans="2:9">
      <c r="B16838" s="3192" t="s">
        <v>678</v>
      </c>
      <c r="C16838" s="3063"/>
      <c r="D16838" s="3064"/>
      <c r="E16838" s="3064"/>
      <c r="F16838" s="3064"/>
      <c r="G16838" s="3301" t="s">
        <v>678</v>
      </c>
      <c r="H16838" s="3063"/>
      <c r="I16838" s="3030"/>
    </row>
    <row r="16839" spans="2:9">
      <c r="B16839" s="3192" t="s">
        <v>679</v>
      </c>
      <c r="C16839" s="3063"/>
      <c r="D16839" s="3064"/>
      <c r="E16839" s="3064"/>
      <c r="F16839" s="3064"/>
      <c r="G16839" s="3301" t="s">
        <v>679</v>
      </c>
      <c r="H16839" s="3063"/>
      <c r="I16839" s="3030"/>
    </row>
    <row r="16840" spans="2:9" ht="25.5">
      <c r="B16840" s="3192" t="s">
        <v>720</v>
      </c>
      <c r="C16840" s="3063"/>
      <c r="D16840" s="3064"/>
      <c r="E16840" s="3064"/>
      <c r="F16840" s="3064"/>
      <c r="G16840" s="3301" t="s">
        <v>720</v>
      </c>
      <c r="H16840" s="3063"/>
      <c r="I16840" s="3030"/>
    </row>
    <row r="16841" spans="2:9">
      <c r="B16841" s="3299" t="s">
        <v>65</v>
      </c>
      <c r="C16841" s="3063"/>
      <c r="D16841" s="3064"/>
      <c r="E16841" s="3064"/>
      <c r="F16841" s="3064"/>
      <c r="G16841" s="3300" t="s">
        <v>65</v>
      </c>
      <c r="H16841" s="3063">
        <v>0.14393321498824543</v>
      </c>
      <c r="I16841" s="3030"/>
    </row>
    <row r="16842" spans="2:9" ht="25.5">
      <c r="B16842" s="3192" t="s">
        <v>675</v>
      </c>
      <c r="C16842" s="3063"/>
      <c r="D16842" s="3064"/>
      <c r="E16842" s="3064"/>
      <c r="F16842" s="3064"/>
      <c r="G16842" s="3301" t="s">
        <v>675</v>
      </c>
      <c r="H16842" s="3063"/>
      <c r="I16842" s="3030"/>
    </row>
    <row r="16843" spans="2:9" ht="25.5">
      <c r="B16843" s="3192" t="s">
        <v>676</v>
      </c>
      <c r="C16843" s="3063"/>
      <c r="D16843" s="3064"/>
      <c r="E16843" s="3064"/>
      <c r="F16843" s="3064"/>
      <c r="G16843" s="3301" t="s">
        <v>676</v>
      </c>
      <c r="H16843" s="3063"/>
      <c r="I16843" s="3030"/>
    </row>
    <row r="16844" spans="2:9">
      <c r="B16844" s="3192" t="s">
        <v>677</v>
      </c>
      <c r="C16844" s="3063"/>
      <c r="D16844" s="3064"/>
      <c r="E16844" s="3064"/>
      <c r="F16844" s="3064"/>
      <c r="G16844" s="3301" t="s">
        <v>677</v>
      </c>
      <c r="H16844" s="3063"/>
      <c r="I16844" s="3030"/>
    </row>
    <row r="16845" spans="2:9">
      <c r="B16845" s="3192" t="s">
        <v>678</v>
      </c>
      <c r="C16845" s="3063"/>
      <c r="D16845" s="3064"/>
      <c r="E16845" s="3064"/>
      <c r="F16845" s="3064"/>
      <c r="G16845" s="3301" t="s">
        <v>678</v>
      </c>
      <c r="H16845" s="3063"/>
      <c r="I16845" s="3030"/>
    </row>
    <row r="16846" spans="2:9">
      <c r="B16846" s="3192" t="s">
        <v>679</v>
      </c>
      <c r="C16846" s="3063"/>
      <c r="D16846" s="3064">
        <v>1</v>
      </c>
      <c r="E16846" s="3064"/>
      <c r="F16846" s="3064"/>
      <c r="G16846" s="3301" t="s">
        <v>679</v>
      </c>
      <c r="H16846" s="3063"/>
      <c r="I16846" s="3030"/>
    </row>
    <row r="16847" spans="2:9" ht="25.5">
      <c r="B16847" s="3192" t="s">
        <v>720</v>
      </c>
      <c r="C16847" s="3063"/>
      <c r="D16847" s="3064"/>
      <c r="E16847" s="3064"/>
      <c r="F16847" s="3064"/>
      <c r="G16847" s="3301" t="s">
        <v>720</v>
      </c>
      <c r="H16847" s="3063"/>
      <c r="I16847" s="3030"/>
    </row>
    <row r="16848" spans="2:9">
      <c r="B16848" s="3299" t="s">
        <v>82</v>
      </c>
      <c r="C16848" s="3063"/>
      <c r="D16848" s="3064"/>
      <c r="E16848" s="3064"/>
      <c r="F16848" s="3064"/>
      <c r="G16848" s="3300" t="s">
        <v>82</v>
      </c>
      <c r="H16848" s="3063"/>
      <c r="I16848" s="3030"/>
    </row>
    <row r="16849" spans="2:9" ht="25.5">
      <c r="B16849" s="3192" t="s">
        <v>675</v>
      </c>
      <c r="C16849" s="3063"/>
      <c r="D16849" s="3064"/>
      <c r="E16849" s="3064"/>
      <c r="F16849" s="3064"/>
      <c r="G16849" s="3301" t="s">
        <v>675</v>
      </c>
      <c r="H16849" s="3063"/>
      <c r="I16849" s="3030"/>
    </row>
    <row r="16850" spans="2:9" ht="25.5">
      <c r="B16850" s="3192" t="s">
        <v>676</v>
      </c>
      <c r="C16850" s="3063"/>
      <c r="D16850" s="3064"/>
      <c r="E16850" s="3064"/>
      <c r="F16850" s="3064"/>
      <c r="G16850" s="3301" t="s">
        <v>676</v>
      </c>
      <c r="H16850" s="3063"/>
      <c r="I16850" s="3030"/>
    </row>
    <row r="16851" spans="2:9">
      <c r="B16851" s="3192" t="s">
        <v>677</v>
      </c>
      <c r="C16851" s="3063"/>
      <c r="D16851" s="3064"/>
      <c r="E16851" s="3064"/>
      <c r="F16851" s="3064"/>
      <c r="G16851" s="3301" t="s">
        <v>677</v>
      </c>
      <c r="H16851" s="3063"/>
      <c r="I16851" s="3030"/>
    </row>
    <row r="16852" spans="2:9">
      <c r="B16852" s="3192" t="s">
        <v>678</v>
      </c>
      <c r="C16852" s="3063"/>
      <c r="D16852" s="3064"/>
      <c r="E16852" s="3064"/>
      <c r="F16852" s="3064"/>
      <c r="G16852" s="3301" t="s">
        <v>678</v>
      </c>
      <c r="H16852" s="3063"/>
      <c r="I16852" s="3030"/>
    </row>
    <row r="16853" spans="2:9">
      <c r="B16853" s="3192" t="s">
        <v>679</v>
      </c>
      <c r="C16853" s="3063"/>
      <c r="D16853" s="3064"/>
      <c r="E16853" s="3064"/>
      <c r="F16853" s="3064"/>
      <c r="G16853" s="3301" t="s">
        <v>679</v>
      </c>
      <c r="H16853" s="3063"/>
      <c r="I16853" s="3030"/>
    </row>
    <row r="16854" spans="2:9" ht="25.5">
      <c r="B16854" s="3192" t="s">
        <v>720</v>
      </c>
      <c r="C16854" s="3063"/>
      <c r="D16854" s="3064"/>
      <c r="E16854" s="3064"/>
      <c r="F16854" s="3064"/>
      <c r="G16854" s="3301" t="s">
        <v>720</v>
      </c>
      <c r="H16854" s="3063"/>
      <c r="I16854" s="3030"/>
    </row>
    <row r="16855" spans="2:9" ht="38.25">
      <c r="B16855" s="3299" t="s">
        <v>680</v>
      </c>
      <c r="C16855" s="3063"/>
      <c r="D16855" s="3064"/>
      <c r="E16855" s="3064"/>
      <c r="F16855" s="3064"/>
      <c r="G16855" s="3300" t="s">
        <v>680</v>
      </c>
      <c r="H16855" s="3063"/>
      <c r="I16855" s="3030"/>
    </row>
    <row r="16856" spans="2:9" ht="25.5">
      <c r="B16856" s="3192" t="s">
        <v>675</v>
      </c>
      <c r="C16856" s="3063"/>
      <c r="D16856" s="3064"/>
      <c r="E16856" s="3064"/>
      <c r="F16856" s="3064"/>
      <c r="G16856" s="3301" t="s">
        <v>675</v>
      </c>
      <c r="H16856" s="3063"/>
      <c r="I16856" s="3030"/>
    </row>
    <row r="16857" spans="2:9" ht="25.5">
      <c r="B16857" s="3192" t="s">
        <v>676</v>
      </c>
      <c r="C16857" s="3063"/>
      <c r="D16857" s="3064"/>
      <c r="E16857" s="3064"/>
      <c r="F16857" s="3064"/>
      <c r="G16857" s="3301" t="s">
        <v>676</v>
      </c>
      <c r="H16857" s="3063"/>
      <c r="I16857" s="3030"/>
    </row>
    <row r="16858" spans="2:9">
      <c r="B16858" s="3192" t="s">
        <v>677</v>
      </c>
      <c r="C16858" s="3063"/>
      <c r="D16858" s="3064"/>
      <c r="E16858" s="3064"/>
      <c r="F16858" s="3064"/>
      <c r="G16858" s="3301" t="s">
        <v>677</v>
      </c>
      <c r="H16858" s="3063"/>
      <c r="I16858" s="3030"/>
    </row>
    <row r="16859" spans="2:9">
      <c r="B16859" s="3192" t="s">
        <v>678</v>
      </c>
      <c r="C16859" s="3063"/>
      <c r="D16859" s="3064"/>
      <c r="E16859" s="3064"/>
      <c r="F16859" s="3064"/>
      <c r="G16859" s="3301" t="s">
        <v>678</v>
      </c>
      <c r="H16859" s="3063"/>
      <c r="I16859" s="3030"/>
    </row>
    <row r="16860" spans="2:9">
      <c r="B16860" s="3192" t="s">
        <v>679</v>
      </c>
      <c r="C16860" s="3063"/>
      <c r="D16860" s="3064"/>
      <c r="E16860" s="3064"/>
      <c r="F16860" s="3064"/>
      <c r="G16860" s="3301" t="s">
        <v>679</v>
      </c>
      <c r="H16860" s="3063"/>
      <c r="I16860" s="3030"/>
    </row>
    <row r="16861" spans="2:9" ht="25.5">
      <c r="B16861" s="3192" t="s">
        <v>720</v>
      </c>
      <c r="C16861" s="3063"/>
      <c r="D16861" s="3064"/>
      <c r="E16861" s="3064"/>
      <c r="F16861" s="3064"/>
      <c r="G16861" s="3301" t="s">
        <v>720</v>
      </c>
      <c r="H16861" s="3063"/>
      <c r="I16861" s="3030"/>
    </row>
    <row r="16862" spans="2:9" ht="38.25">
      <c r="B16862" s="3299" t="s">
        <v>681</v>
      </c>
      <c r="C16862" s="3063"/>
      <c r="D16862" s="3064"/>
      <c r="E16862" s="3064"/>
      <c r="F16862" s="3064"/>
      <c r="G16862" s="3300" t="s">
        <v>681</v>
      </c>
      <c r="H16862" s="3063"/>
      <c r="I16862" s="3030"/>
    </row>
    <row r="16863" spans="2:9" ht="25.5">
      <c r="B16863" s="3192" t="s">
        <v>675</v>
      </c>
      <c r="C16863" s="3063"/>
      <c r="D16863" s="3064"/>
      <c r="E16863" s="3064"/>
      <c r="F16863" s="3064"/>
      <c r="G16863" s="3301" t="s">
        <v>675</v>
      </c>
      <c r="H16863" s="3063"/>
      <c r="I16863" s="3030"/>
    </row>
    <row r="16864" spans="2:9" ht="25.5">
      <c r="B16864" s="3192" t="s">
        <v>676</v>
      </c>
      <c r="C16864" s="3063"/>
      <c r="D16864" s="3064"/>
      <c r="E16864" s="3064"/>
      <c r="F16864" s="3064"/>
      <c r="G16864" s="3301" t="s">
        <v>676</v>
      </c>
      <c r="H16864" s="3063"/>
      <c r="I16864" s="3030"/>
    </row>
    <row r="16865" spans="2:9">
      <c r="B16865" s="3192" t="s">
        <v>677</v>
      </c>
      <c r="C16865" s="3063"/>
      <c r="D16865" s="3064"/>
      <c r="E16865" s="3064"/>
      <c r="F16865" s="3064"/>
      <c r="G16865" s="3301" t="s">
        <v>677</v>
      </c>
      <c r="H16865" s="3063"/>
      <c r="I16865" s="3030"/>
    </row>
    <row r="16866" spans="2:9">
      <c r="B16866" s="3192" t="s">
        <v>678</v>
      </c>
      <c r="C16866" s="3063"/>
      <c r="D16866" s="3064"/>
      <c r="E16866" s="3064"/>
      <c r="F16866" s="3064"/>
      <c r="G16866" s="3301" t="s">
        <v>678</v>
      </c>
      <c r="H16866" s="3063"/>
      <c r="I16866" s="3030"/>
    </row>
    <row r="16867" spans="2:9">
      <c r="B16867" s="3192" t="s">
        <v>679</v>
      </c>
      <c r="C16867" s="3063"/>
      <c r="D16867" s="3064"/>
      <c r="E16867" s="3064"/>
      <c r="F16867" s="3064"/>
      <c r="G16867" s="3301" t="s">
        <v>679</v>
      </c>
      <c r="H16867" s="3063"/>
      <c r="I16867" s="3030"/>
    </row>
    <row r="16868" spans="2:9" ht="25.5">
      <c r="B16868" s="3192" t="s">
        <v>720</v>
      </c>
      <c r="C16868" s="3063"/>
      <c r="D16868" s="3064"/>
      <c r="E16868" s="3064"/>
      <c r="F16868" s="3064"/>
      <c r="G16868" s="3301" t="s">
        <v>720</v>
      </c>
      <c r="H16868" s="3063"/>
      <c r="I16868" s="3030"/>
    </row>
    <row r="16869" spans="2:9" ht="25.5">
      <c r="B16869" s="3299" t="s">
        <v>682</v>
      </c>
      <c r="C16869" s="3063"/>
      <c r="D16869" s="3064"/>
      <c r="E16869" s="3064"/>
      <c r="F16869" s="3064"/>
      <c r="G16869" s="3300" t="s">
        <v>682</v>
      </c>
      <c r="H16869" s="3063"/>
      <c r="I16869" s="3030"/>
    </row>
    <row r="16870" spans="2:9" ht="25.5">
      <c r="B16870" s="3192" t="s">
        <v>675</v>
      </c>
      <c r="C16870" s="3063"/>
      <c r="D16870" s="3064"/>
      <c r="E16870" s="3064"/>
      <c r="F16870" s="3064"/>
      <c r="G16870" s="3301" t="s">
        <v>675</v>
      </c>
      <c r="H16870" s="3063"/>
      <c r="I16870" s="3030"/>
    </row>
    <row r="16871" spans="2:9" ht="25.5">
      <c r="B16871" s="3192" t="s">
        <v>676</v>
      </c>
      <c r="C16871" s="3063"/>
      <c r="D16871" s="3064"/>
      <c r="E16871" s="3064"/>
      <c r="F16871" s="3064"/>
      <c r="G16871" s="3301" t="s">
        <v>676</v>
      </c>
      <c r="H16871" s="3063"/>
      <c r="I16871" s="3030"/>
    </row>
    <row r="16872" spans="2:9">
      <c r="B16872" s="3192" t="s">
        <v>677</v>
      </c>
      <c r="C16872" s="3063"/>
      <c r="D16872" s="3064"/>
      <c r="E16872" s="3064"/>
      <c r="F16872" s="3064"/>
      <c r="G16872" s="3301" t="s">
        <v>677</v>
      </c>
      <c r="H16872" s="3063"/>
      <c r="I16872" s="3030"/>
    </row>
    <row r="16873" spans="2:9">
      <c r="B16873" s="3192" t="s">
        <v>678</v>
      </c>
      <c r="C16873" s="3063"/>
      <c r="D16873" s="3064"/>
      <c r="E16873" s="3064"/>
      <c r="F16873" s="3064"/>
      <c r="G16873" s="3301" t="s">
        <v>678</v>
      </c>
      <c r="H16873" s="3063"/>
      <c r="I16873" s="3030"/>
    </row>
    <row r="16874" spans="2:9">
      <c r="B16874" s="3192" t="s">
        <v>679</v>
      </c>
      <c r="C16874" s="3063"/>
      <c r="D16874" s="3064"/>
      <c r="E16874" s="3064"/>
      <c r="F16874" s="3064"/>
      <c r="G16874" s="3301" t="s">
        <v>679</v>
      </c>
      <c r="H16874" s="3063"/>
      <c r="I16874" s="3030"/>
    </row>
    <row r="16875" spans="2:9" ht="25.5">
      <c r="B16875" s="3192" t="s">
        <v>720</v>
      </c>
      <c r="C16875" s="3063"/>
      <c r="D16875" s="3064"/>
      <c r="E16875" s="3064"/>
      <c r="F16875" s="3064"/>
      <c r="G16875" s="3301" t="s">
        <v>720</v>
      </c>
      <c r="H16875" s="3063"/>
      <c r="I16875" s="3030"/>
    </row>
    <row r="16876" spans="2:9" ht="25.5">
      <c r="B16876" s="3299" t="s">
        <v>66</v>
      </c>
      <c r="C16876" s="3063"/>
      <c r="D16876" s="3064"/>
      <c r="E16876" s="3064"/>
      <c r="F16876" s="3064"/>
      <c r="G16876" s="3300" t="s">
        <v>66</v>
      </c>
      <c r="H16876" s="3063"/>
      <c r="I16876" s="3030"/>
    </row>
    <row r="16877" spans="2:9" ht="25.5">
      <c r="B16877" s="3192" t="s">
        <v>675</v>
      </c>
      <c r="C16877" s="3063"/>
      <c r="D16877" s="3064"/>
      <c r="E16877" s="3064"/>
      <c r="F16877" s="3064"/>
      <c r="G16877" s="3301" t="s">
        <v>675</v>
      </c>
      <c r="H16877" s="3063"/>
      <c r="I16877" s="3030"/>
    </row>
    <row r="16878" spans="2:9" ht="25.5">
      <c r="B16878" s="3192" t="s">
        <v>676</v>
      </c>
      <c r="C16878" s="3063"/>
      <c r="D16878" s="3064"/>
      <c r="E16878" s="3064"/>
      <c r="F16878" s="3064"/>
      <c r="G16878" s="3301" t="s">
        <v>676</v>
      </c>
      <c r="H16878" s="3063"/>
      <c r="I16878" s="3030"/>
    </row>
    <row r="16879" spans="2:9">
      <c r="B16879" s="3192" t="s">
        <v>677</v>
      </c>
      <c r="C16879" s="3063"/>
      <c r="D16879" s="3064"/>
      <c r="E16879" s="3064"/>
      <c r="F16879" s="3064"/>
      <c r="G16879" s="3301" t="s">
        <v>677</v>
      </c>
      <c r="H16879" s="3063"/>
      <c r="I16879" s="3030"/>
    </row>
    <row r="16880" spans="2:9">
      <c r="B16880" s="3192" t="s">
        <v>678</v>
      </c>
      <c r="C16880" s="3063"/>
      <c r="D16880" s="3064"/>
      <c r="E16880" s="3064"/>
      <c r="F16880" s="3064"/>
      <c r="G16880" s="3301" t="s">
        <v>678</v>
      </c>
      <c r="H16880" s="3063"/>
      <c r="I16880" s="3030"/>
    </row>
    <row r="16881" spans="2:9">
      <c r="B16881" s="3192" t="s">
        <v>679</v>
      </c>
      <c r="C16881" s="3063"/>
      <c r="D16881" s="3064"/>
      <c r="E16881" s="3064"/>
      <c r="F16881" s="3064"/>
      <c r="G16881" s="3301" t="s">
        <v>679</v>
      </c>
      <c r="H16881" s="3063"/>
      <c r="I16881" s="3030"/>
    </row>
    <row r="16882" spans="2:9" ht="25.5">
      <c r="B16882" s="3192" t="s">
        <v>720</v>
      </c>
      <c r="C16882" s="3063"/>
      <c r="D16882" s="3064"/>
      <c r="E16882" s="3064"/>
      <c r="F16882" s="3064"/>
      <c r="G16882" s="3301" t="s">
        <v>720</v>
      </c>
      <c r="H16882" s="3063"/>
      <c r="I16882" s="3030"/>
    </row>
    <row r="16883" spans="2:9">
      <c r="B16883" s="3299" t="s">
        <v>67</v>
      </c>
      <c r="C16883" s="3063"/>
      <c r="D16883" s="3064"/>
      <c r="E16883" s="3064"/>
      <c r="F16883" s="3064"/>
      <c r="G16883" s="3300" t="s">
        <v>67</v>
      </c>
      <c r="H16883" s="3063"/>
      <c r="I16883" s="3030"/>
    </row>
    <row r="16884" spans="2:9" ht="25.5">
      <c r="B16884" s="3192" t="s">
        <v>675</v>
      </c>
      <c r="C16884" s="3063"/>
      <c r="D16884" s="3064"/>
      <c r="E16884" s="3064"/>
      <c r="F16884" s="3064"/>
      <c r="G16884" s="3301" t="s">
        <v>675</v>
      </c>
      <c r="H16884" s="3063"/>
      <c r="I16884" s="3030"/>
    </row>
    <row r="16885" spans="2:9" ht="25.5">
      <c r="B16885" s="3192" t="s">
        <v>676</v>
      </c>
      <c r="C16885" s="3063"/>
      <c r="D16885" s="3064"/>
      <c r="E16885" s="3064"/>
      <c r="F16885" s="3064"/>
      <c r="G16885" s="3301" t="s">
        <v>676</v>
      </c>
      <c r="H16885" s="3063"/>
      <c r="I16885" s="3030"/>
    </row>
    <row r="16886" spans="2:9">
      <c r="B16886" s="3192" t="s">
        <v>677</v>
      </c>
      <c r="C16886" s="3063"/>
      <c r="D16886" s="3064"/>
      <c r="E16886" s="3064"/>
      <c r="F16886" s="3064"/>
      <c r="G16886" s="3301" t="s">
        <v>677</v>
      </c>
      <c r="H16886" s="3063"/>
      <c r="I16886" s="3030"/>
    </row>
    <row r="16887" spans="2:9">
      <c r="B16887" s="3192" t="s">
        <v>678</v>
      </c>
      <c r="C16887" s="3063"/>
      <c r="D16887" s="3064"/>
      <c r="E16887" s="3064"/>
      <c r="F16887" s="3064"/>
      <c r="G16887" s="3301" t="s">
        <v>678</v>
      </c>
      <c r="H16887" s="3063"/>
      <c r="I16887" s="3030"/>
    </row>
    <row r="16888" spans="2:9">
      <c r="B16888" s="3192" t="s">
        <v>679</v>
      </c>
      <c r="C16888" s="3063"/>
      <c r="D16888" s="3064"/>
      <c r="E16888" s="3064"/>
      <c r="F16888" s="3064"/>
      <c r="G16888" s="3301" t="s">
        <v>679</v>
      </c>
      <c r="H16888" s="3063"/>
      <c r="I16888" s="3030"/>
    </row>
    <row r="16889" spans="2:9" ht="25.5">
      <c r="B16889" s="3192" t="s">
        <v>720</v>
      </c>
      <c r="C16889" s="3063"/>
      <c r="D16889" s="3064"/>
      <c r="E16889" s="3064"/>
      <c r="F16889" s="3064"/>
      <c r="G16889" s="3301" t="s">
        <v>720</v>
      </c>
      <c r="H16889" s="3063"/>
      <c r="I16889" s="3030"/>
    </row>
    <row r="16890" spans="2:9" ht="25.5">
      <c r="B16890" s="3230" t="s">
        <v>81</v>
      </c>
      <c r="C16890" s="3063"/>
      <c r="D16890" s="3064"/>
      <c r="E16890" s="3064"/>
      <c r="F16890" s="3064"/>
      <c r="G16890" s="3302" t="s">
        <v>81</v>
      </c>
      <c r="H16890" s="3063"/>
      <c r="I16890" s="3030"/>
    </row>
    <row r="16891" spans="2:9" ht="26.25" thickBot="1">
      <c r="B16891" s="3303" t="s">
        <v>81</v>
      </c>
      <c r="C16891" s="3063"/>
      <c r="D16891" s="3064"/>
      <c r="E16891" s="3064"/>
      <c r="F16891" s="3064"/>
      <c r="G16891" s="3302" t="s">
        <v>81</v>
      </c>
      <c r="H16891" s="3063"/>
      <c r="I16891" s="3030"/>
    </row>
    <row r="16892" spans="2:9" ht="25.5">
      <c r="B16892" s="3217" t="s">
        <v>696</v>
      </c>
      <c r="C16892" s="3218"/>
      <c r="D16892" s="3219"/>
      <c r="E16892" s="3219"/>
      <c r="F16892" s="3219"/>
      <c r="G16892" s="3217" t="s">
        <v>696</v>
      </c>
      <c r="H16892" s="3297"/>
      <c r="I16892" s="3298"/>
    </row>
    <row r="16893" spans="2:9">
      <c r="B16893" s="3299" t="s">
        <v>64</v>
      </c>
      <c r="C16893" s="3063"/>
      <c r="D16893" s="3064"/>
      <c r="E16893" s="3064"/>
      <c r="F16893" s="3064"/>
      <c r="G16893" s="3300" t="s">
        <v>64</v>
      </c>
      <c r="H16893" s="3063"/>
      <c r="I16893" s="3030"/>
    </row>
    <row r="16894" spans="2:9" ht="25.5">
      <c r="B16894" s="3192" t="s">
        <v>675</v>
      </c>
      <c r="C16894" s="3063"/>
      <c r="D16894" s="3064"/>
      <c r="E16894" s="3064"/>
      <c r="F16894" s="3064"/>
      <c r="G16894" s="3301" t="s">
        <v>675</v>
      </c>
      <c r="H16894" s="3063"/>
      <c r="I16894" s="3030"/>
    </row>
    <row r="16895" spans="2:9" ht="25.5">
      <c r="B16895" s="3192" t="s">
        <v>676</v>
      </c>
      <c r="C16895" s="3063"/>
      <c r="D16895" s="3064"/>
      <c r="E16895" s="3064"/>
      <c r="F16895" s="3064"/>
      <c r="G16895" s="3301" t="s">
        <v>676</v>
      </c>
      <c r="H16895" s="3063"/>
      <c r="I16895" s="3030"/>
    </row>
    <row r="16896" spans="2:9">
      <c r="B16896" s="3192" t="s">
        <v>677</v>
      </c>
      <c r="C16896" s="3063"/>
      <c r="D16896" s="3064"/>
      <c r="E16896" s="3064"/>
      <c r="F16896" s="3064"/>
      <c r="G16896" s="3301" t="s">
        <v>677</v>
      </c>
      <c r="H16896" s="3063"/>
      <c r="I16896" s="3030"/>
    </row>
    <row r="16897" spans="2:9">
      <c r="B16897" s="3192" t="s">
        <v>678</v>
      </c>
      <c r="C16897" s="3063"/>
      <c r="D16897" s="3064"/>
      <c r="E16897" s="3064"/>
      <c r="F16897" s="3064"/>
      <c r="G16897" s="3301" t="s">
        <v>678</v>
      </c>
      <c r="H16897" s="3063"/>
      <c r="I16897" s="3030"/>
    </row>
    <row r="16898" spans="2:9">
      <c r="B16898" s="3192" t="s">
        <v>679</v>
      </c>
      <c r="C16898" s="3063"/>
      <c r="D16898" s="3064"/>
      <c r="E16898" s="3064"/>
      <c r="F16898" s="3064"/>
      <c r="G16898" s="3301" t="s">
        <v>679</v>
      </c>
      <c r="H16898" s="3063"/>
      <c r="I16898" s="3030"/>
    </row>
    <row r="16899" spans="2:9" ht="25.5">
      <c r="B16899" s="3192" t="s">
        <v>720</v>
      </c>
      <c r="C16899" s="3063"/>
      <c r="D16899" s="3064"/>
      <c r="E16899" s="3064"/>
      <c r="F16899" s="3064"/>
      <c r="G16899" s="3301" t="s">
        <v>720</v>
      </c>
      <c r="H16899" s="3063"/>
      <c r="I16899" s="3030"/>
    </row>
    <row r="16900" spans="2:9">
      <c r="B16900" s="3299" t="s">
        <v>65</v>
      </c>
      <c r="C16900" s="3063"/>
      <c r="D16900" s="3064"/>
      <c r="E16900" s="3064"/>
      <c r="F16900" s="3064"/>
      <c r="G16900" s="3300" t="s">
        <v>65</v>
      </c>
      <c r="H16900" s="3063"/>
      <c r="I16900" s="3030"/>
    </row>
    <row r="16901" spans="2:9" ht="25.5">
      <c r="B16901" s="3192" t="s">
        <v>675</v>
      </c>
      <c r="C16901" s="3063"/>
      <c r="D16901" s="3064"/>
      <c r="E16901" s="3064"/>
      <c r="F16901" s="3064"/>
      <c r="G16901" s="3301" t="s">
        <v>675</v>
      </c>
      <c r="H16901" s="3063"/>
      <c r="I16901" s="3030"/>
    </row>
    <row r="16902" spans="2:9" ht="25.5">
      <c r="B16902" s="3192" t="s">
        <v>676</v>
      </c>
      <c r="C16902" s="3063"/>
      <c r="D16902" s="3064"/>
      <c r="E16902" s="3064"/>
      <c r="F16902" s="3064"/>
      <c r="G16902" s="3301" t="s">
        <v>676</v>
      </c>
      <c r="H16902" s="3063"/>
      <c r="I16902" s="3030"/>
    </row>
    <row r="16903" spans="2:9">
      <c r="B16903" s="3192" t="s">
        <v>677</v>
      </c>
      <c r="C16903" s="3063"/>
      <c r="D16903" s="3064"/>
      <c r="E16903" s="3064"/>
      <c r="F16903" s="3064"/>
      <c r="G16903" s="3301" t="s">
        <v>677</v>
      </c>
      <c r="H16903" s="3063"/>
      <c r="I16903" s="3030"/>
    </row>
    <row r="16904" spans="2:9">
      <c r="B16904" s="3192" t="s">
        <v>678</v>
      </c>
      <c r="C16904" s="3063"/>
      <c r="D16904" s="3064"/>
      <c r="E16904" s="3064"/>
      <c r="F16904" s="3064"/>
      <c r="G16904" s="3301" t="s">
        <v>678</v>
      </c>
      <c r="H16904" s="3063"/>
      <c r="I16904" s="3030"/>
    </row>
    <row r="16905" spans="2:9">
      <c r="B16905" s="3192" t="s">
        <v>679</v>
      </c>
      <c r="C16905" s="3063"/>
      <c r="D16905" s="3064"/>
      <c r="E16905" s="3064"/>
      <c r="F16905" s="3064"/>
      <c r="G16905" s="3301" t="s">
        <v>679</v>
      </c>
      <c r="H16905" s="3063"/>
      <c r="I16905" s="3030"/>
    </row>
    <row r="16906" spans="2:9" ht="25.5">
      <c r="B16906" s="3192" t="s">
        <v>720</v>
      </c>
      <c r="C16906" s="3063"/>
      <c r="D16906" s="3064"/>
      <c r="E16906" s="3064"/>
      <c r="F16906" s="3064"/>
      <c r="G16906" s="3301" t="s">
        <v>720</v>
      </c>
      <c r="H16906" s="3063"/>
      <c r="I16906" s="3030"/>
    </row>
    <row r="16907" spans="2:9">
      <c r="B16907" s="3299" t="s">
        <v>82</v>
      </c>
      <c r="C16907" s="3063"/>
      <c r="D16907" s="3064"/>
      <c r="E16907" s="3064"/>
      <c r="F16907" s="3064"/>
      <c r="G16907" s="3300" t="s">
        <v>82</v>
      </c>
      <c r="H16907" s="3063"/>
      <c r="I16907" s="3030"/>
    </row>
    <row r="16908" spans="2:9" ht="25.5">
      <c r="B16908" s="3192" t="s">
        <v>675</v>
      </c>
      <c r="C16908" s="3063"/>
      <c r="D16908" s="3064"/>
      <c r="E16908" s="3064"/>
      <c r="F16908" s="3064"/>
      <c r="G16908" s="3301" t="s">
        <v>675</v>
      </c>
      <c r="H16908" s="3063"/>
      <c r="I16908" s="3030"/>
    </row>
    <row r="16909" spans="2:9" ht="25.5">
      <c r="B16909" s="3192" t="s">
        <v>676</v>
      </c>
      <c r="C16909" s="3063"/>
      <c r="D16909" s="3064"/>
      <c r="E16909" s="3064"/>
      <c r="F16909" s="3064"/>
      <c r="G16909" s="3301" t="s">
        <v>676</v>
      </c>
      <c r="H16909" s="3063"/>
      <c r="I16909" s="3030"/>
    </row>
    <row r="16910" spans="2:9">
      <c r="B16910" s="3192" t="s">
        <v>677</v>
      </c>
      <c r="C16910" s="3063"/>
      <c r="D16910" s="3064"/>
      <c r="E16910" s="3064"/>
      <c r="F16910" s="3064"/>
      <c r="G16910" s="3301" t="s">
        <v>677</v>
      </c>
      <c r="H16910" s="3063"/>
      <c r="I16910" s="3030"/>
    </row>
    <row r="16911" spans="2:9">
      <c r="B16911" s="3192" t="s">
        <v>678</v>
      </c>
      <c r="C16911" s="3063"/>
      <c r="D16911" s="3064"/>
      <c r="E16911" s="3064"/>
      <c r="F16911" s="3064"/>
      <c r="G16911" s="3301" t="s">
        <v>678</v>
      </c>
      <c r="H16911" s="3063"/>
      <c r="I16911" s="3030"/>
    </row>
    <row r="16912" spans="2:9">
      <c r="B16912" s="3192" t="s">
        <v>679</v>
      </c>
      <c r="C16912" s="3063"/>
      <c r="D16912" s="3064"/>
      <c r="E16912" s="3064"/>
      <c r="F16912" s="3064"/>
      <c r="G16912" s="3301" t="s">
        <v>679</v>
      </c>
      <c r="H16912" s="3063"/>
      <c r="I16912" s="3030"/>
    </row>
    <row r="16913" spans="2:9" ht="25.5">
      <c r="B16913" s="3192" t="s">
        <v>720</v>
      </c>
      <c r="C16913" s="3063"/>
      <c r="D16913" s="3064"/>
      <c r="E16913" s="3064"/>
      <c r="F16913" s="3064"/>
      <c r="G16913" s="3301" t="s">
        <v>720</v>
      </c>
      <c r="H16913" s="3063"/>
      <c r="I16913" s="3030"/>
    </row>
    <row r="16914" spans="2:9" ht="38.25">
      <c r="B16914" s="3299" t="s">
        <v>680</v>
      </c>
      <c r="C16914" s="3063"/>
      <c r="D16914" s="3064"/>
      <c r="E16914" s="3064"/>
      <c r="F16914" s="3064"/>
      <c r="G16914" s="3300" t="s">
        <v>680</v>
      </c>
      <c r="H16914" s="3063"/>
      <c r="I16914" s="3030"/>
    </row>
    <row r="16915" spans="2:9" ht="25.5">
      <c r="B16915" s="3192" t="s">
        <v>675</v>
      </c>
      <c r="C16915" s="3063"/>
      <c r="D16915" s="3064"/>
      <c r="E16915" s="3064"/>
      <c r="F16915" s="3064"/>
      <c r="G16915" s="3301" t="s">
        <v>675</v>
      </c>
      <c r="H16915" s="3063"/>
      <c r="I16915" s="3030"/>
    </row>
    <row r="16916" spans="2:9" ht="25.5">
      <c r="B16916" s="3192" t="s">
        <v>676</v>
      </c>
      <c r="C16916" s="3063"/>
      <c r="D16916" s="3064"/>
      <c r="E16916" s="3064"/>
      <c r="F16916" s="3064"/>
      <c r="G16916" s="3301" t="s">
        <v>676</v>
      </c>
      <c r="H16916" s="3063"/>
      <c r="I16916" s="3030"/>
    </row>
    <row r="16917" spans="2:9">
      <c r="B16917" s="3192" t="s">
        <v>677</v>
      </c>
      <c r="C16917" s="3063"/>
      <c r="D16917" s="3064"/>
      <c r="E16917" s="3064"/>
      <c r="F16917" s="3064"/>
      <c r="G16917" s="3301" t="s">
        <v>677</v>
      </c>
      <c r="H16917" s="3063"/>
      <c r="I16917" s="3030"/>
    </row>
    <row r="16918" spans="2:9">
      <c r="B16918" s="3192" t="s">
        <v>678</v>
      </c>
      <c r="C16918" s="3063"/>
      <c r="D16918" s="3064"/>
      <c r="E16918" s="3064"/>
      <c r="F16918" s="3064"/>
      <c r="G16918" s="3301" t="s">
        <v>678</v>
      </c>
      <c r="H16918" s="3063"/>
      <c r="I16918" s="3030"/>
    </row>
    <row r="16919" spans="2:9">
      <c r="B16919" s="3192" t="s">
        <v>679</v>
      </c>
      <c r="C16919" s="3063"/>
      <c r="D16919" s="3064"/>
      <c r="E16919" s="3064"/>
      <c r="F16919" s="3064"/>
      <c r="G16919" s="3301" t="s">
        <v>679</v>
      </c>
      <c r="H16919" s="3063"/>
      <c r="I16919" s="3030"/>
    </row>
    <row r="16920" spans="2:9" ht="25.5">
      <c r="B16920" s="3192" t="s">
        <v>720</v>
      </c>
      <c r="C16920" s="3063"/>
      <c r="D16920" s="3064"/>
      <c r="E16920" s="3064"/>
      <c r="F16920" s="3064"/>
      <c r="G16920" s="3301" t="s">
        <v>720</v>
      </c>
      <c r="H16920" s="3063"/>
      <c r="I16920" s="3030"/>
    </row>
    <row r="16921" spans="2:9" ht="38.25">
      <c r="B16921" s="3299" t="s">
        <v>681</v>
      </c>
      <c r="C16921" s="3063"/>
      <c r="D16921" s="3064"/>
      <c r="E16921" s="3064"/>
      <c r="F16921" s="3064"/>
      <c r="G16921" s="3300" t="s">
        <v>681</v>
      </c>
      <c r="H16921" s="3063"/>
      <c r="I16921" s="3030"/>
    </row>
    <row r="16922" spans="2:9" ht="25.5">
      <c r="B16922" s="3192" t="s">
        <v>675</v>
      </c>
      <c r="C16922" s="3063"/>
      <c r="D16922" s="3064"/>
      <c r="E16922" s="3064"/>
      <c r="F16922" s="3064"/>
      <c r="G16922" s="3301" t="s">
        <v>675</v>
      </c>
      <c r="H16922" s="3063"/>
      <c r="I16922" s="3030"/>
    </row>
    <row r="16923" spans="2:9" ht="25.5">
      <c r="B16923" s="3192" t="s">
        <v>676</v>
      </c>
      <c r="C16923" s="3063"/>
      <c r="D16923" s="3064"/>
      <c r="E16923" s="3064"/>
      <c r="F16923" s="3064"/>
      <c r="G16923" s="3301" t="s">
        <v>676</v>
      </c>
      <c r="H16923" s="3063"/>
      <c r="I16923" s="3030"/>
    </row>
    <row r="16924" spans="2:9">
      <c r="B16924" s="3192" t="s">
        <v>677</v>
      </c>
      <c r="C16924" s="3063"/>
      <c r="D16924" s="3064"/>
      <c r="E16924" s="3064"/>
      <c r="F16924" s="3064"/>
      <c r="G16924" s="3301" t="s">
        <v>677</v>
      </c>
      <c r="H16924" s="3063"/>
      <c r="I16924" s="3030"/>
    </row>
    <row r="16925" spans="2:9">
      <c r="B16925" s="3192" t="s">
        <v>678</v>
      </c>
      <c r="C16925" s="3063"/>
      <c r="D16925" s="3064"/>
      <c r="E16925" s="3064"/>
      <c r="F16925" s="3064"/>
      <c r="G16925" s="3301" t="s">
        <v>678</v>
      </c>
      <c r="H16925" s="3063"/>
      <c r="I16925" s="3030"/>
    </row>
    <row r="16926" spans="2:9">
      <c r="B16926" s="3192" t="s">
        <v>679</v>
      </c>
      <c r="C16926" s="3063"/>
      <c r="D16926" s="3064"/>
      <c r="E16926" s="3064"/>
      <c r="F16926" s="3064"/>
      <c r="G16926" s="3301" t="s">
        <v>679</v>
      </c>
      <c r="H16926" s="3063"/>
      <c r="I16926" s="3030"/>
    </row>
    <row r="16927" spans="2:9" ht="25.5">
      <c r="B16927" s="3192" t="s">
        <v>720</v>
      </c>
      <c r="C16927" s="3063"/>
      <c r="D16927" s="3064"/>
      <c r="E16927" s="3064"/>
      <c r="F16927" s="3064"/>
      <c r="G16927" s="3301" t="s">
        <v>720</v>
      </c>
      <c r="H16927" s="3063"/>
      <c r="I16927" s="3030"/>
    </row>
    <row r="16928" spans="2:9" ht="25.5">
      <c r="B16928" s="3299" t="s">
        <v>682</v>
      </c>
      <c r="C16928" s="3063"/>
      <c r="D16928" s="3064"/>
      <c r="E16928" s="3064"/>
      <c r="F16928" s="3064"/>
      <c r="G16928" s="3300" t="s">
        <v>682</v>
      </c>
      <c r="H16928" s="3063"/>
      <c r="I16928" s="3030"/>
    </row>
    <row r="16929" spans="2:9" ht="25.5">
      <c r="B16929" s="3192" t="s">
        <v>675</v>
      </c>
      <c r="C16929" s="3063"/>
      <c r="D16929" s="3064"/>
      <c r="E16929" s="3064"/>
      <c r="F16929" s="3064"/>
      <c r="G16929" s="3301" t="s">
        <v>675</v>
      </c>
      <c r="H16929" s="3063"/>
      <c r="I16929" s="3030"/>
    </row>
    <row r="16930" spans="2:9" ht="25.5">
      <c r="B16930" s="3192" t="s">
        <v>676</v>
      </c>
      <c r="C16930" s="3063"/>
      <c r="D16930" s="3064"/>
      <c r="E16930" s="3064"/>
      <c r="F16930" s="3064"/>
      <c r="G16930" s="3301" t="s">
        <v>676</v>
      </c>
      <c r="H16930" s="3063"/>
      <c r="I16930" s="3030"/>
    </row>
    <row r="16931" spans="2:9">
      <c r="B16931" s="3192" t="s">
        <v>677</v>
      </c>
      <c r="C16931" s="3063"/>
      <c r="D16931" s="3064"/>
      <c r="E16931" s="3064"/>
      <c r="F16931" s="3064"/>
      <c r="G16931" s="3301" t="s">
        <v>677</v>
      </c>
      <c r="H16931" s="3063"/>
      <c r="I16931" s="3030"/>
    </row>
    <row r="16932" spans="2:9">
      <c r="B16932" s="3192" t="s">
        <v>678</v>
      </c>
      <c r="C16932" s="3063"/>
      <c r="D16932" s="3064"/>
      <c r="E16932" s="3064"/>
      <c r="F16932" s="3064"/>
      <c r="G16932" s="3301" t="s">
        <v>678</v>
      </c>
      <c r="H16932" s="3063"/>
      <c r="I16932" s="3030"/>
    </row>
    <row r="16933" spans="2:9">
      <c r="B16933" s="3192" t="s">
        <v>679</v>
      </c>
      <c r="C16933" s="3063"/>
      <c r="D16933" s="3064"/>
      <c r="E16933" s="3064"/>
      <c r="F16933" s="3064"/>
      <c r="G16933" s="3301" t="s">
        <v>679</v>
      </c>
      <c r="H16933" s="3063"/>
      <c r="I16933" s="3030"/>
    </row>
    <row r="16934" spans="2:9" ht="25.5">
      <c r="B16934" s="3192" t="s">
        <v>720</v>
      </c>
      <c r="C16934" s="3063"/>
      <c r="D16934" s="3064"/>
      <c r="E16934" s="3064"/>
      <c r="F16934" s="3064"/>
      <c r="G16934" s="3301" t="s">
        <v>720</v>
      </c>
      <c r="H16934" s="3063"/>
      <c r="I16934" s="3030"/>
    </row>
    <row r="16935" spans="2:9" ht="25.5">
      <c r="B16935" s="3299" t="s">
        <v>66</v>
      </c>
      <c r="C16935" s="3063"/>
      <c r="D16935" s="3064"/>
      <c r="E16935" s="3064"/>
      <c r="F16935" s="3064"/>
      <c r="G16935" s="3300" t="s">
        <v>66</v>
      </c>
      <c r="H16935" s="3063"/>
      <c r="I16935" s="3030"/>
    </row>
    <row r="16936" spans="2:9" ht="25.5">
      <c r="B16936" s="3192" t="s">
        <v>675</v>
      </c>
      <c r="C16936" s="3063"/>
      <c r="D16936" s="3064"/>
      <c r="E16936" s="3064"/>
      <c r="F16936" s="3064"/>
      <c r="G16936" s="3301" t="s">
        <v>675</v>
      </c>
      <c r="H16936" s="3063"/>
      <c r="I16936" s="3030"/>
    </row>
    <row r="16937" spans="2:9" ht="25.5">
      <c r="B16937" s="3192" t="s">
        <v>676</v>
      </c>
      <c r="C16937" s="3063"/>
      <c r="D16937" s="3064"/>
      <c r="E16937" s="3064"/>
      <c r="F16937" s="3064"/>
      <c r="G16937" s="3301" t="s">
        <v>676</v>
      </c>
      <c r="H16937" s="3063"/>
      <c r="I16937" s="3030"/>
    </row>
    <row r="16938" spans="2:9">
      <c r="B16938" s="3192" t="s">
        <v>677</v>
      </c>
      <c r="C16938" s="3063"/>
      <c r="D16938" s="3064"/>
      <c r="E16938" s="3064"/>
      <c r="F16938" s="3064"/>
      <c r="G16938" s="3301" t="s">
        <v>677</v>
      </c>
      <c r="H16938" s="3063"/>
      <c r="I16938" s="3030"/>
    </row>
    <row r="16939" spans="2:9">
      <c r="B16939" s="3192" t="s">
        <v>678</v>
      </c>
      <c r="C16939" s="3063"/>
      <c r="D16939" s="3064"/>
      <c r="E16939" s="3064"/>
      <c r="F16939" s="3064"/>
      <c r="G16939" s="3301" t="s">
        <v>678</v>
      </c>
      <c r="H16939" s="3063"/>
      <c r="I16939" s="3030"/>
    </row>
    <row r="16940" spans="2:9">
      <c r="B16940" s="3192" t="s">
        <v>679</v>
      </c>
      <c r="C16940" s="3063"/>
      <c r="D16940" s="3064"/>
      <c r="E16940" s="3064"/>
      <c r="F16940" s="3064"/>
      <c r="G16940" s="3301" t="s">
        <v>679</v>
      </c>
      <c r="H16940" s="3063"/>
      <c r="I16940" s="3030"/>
    </row>
    <row r="16941" spans="2:9" ht="25.5">
      <c r="B16941" s="3192" t="s">
        <v>720</v>
      </c>
      <c r="C16941" s="3063"/>
      <c r="D16941" s="3064"/>
      <c r="E16941" s="3064"/>
      <c r="F16941" s="3064"/>
      <c r="G16941" s="3301" t="s">
        <v>720</v>
      </c>
      <c r="H16941" s="3063"/>
      <c r="I16941" s="3030"/>
    </row>
    <row r="16942" spans="2:9">
      <c r="B16942" s="3299" t="s">
        <v>67</v>
      </c>
      <c r="C16942" s="3063"/>
      <c r="D16942" s="3064"/>
      <c r="E16942" s="3064"/>
      <c r="F16942" s="3064"/>
      <c r="G16942" s="3300" t="s">
        <v>67</v>
      </c>
      <c r="H16942" s="3063"/>
      <c r="I16942" s="3030"/>
    </row>
    <row r="16943" spans="2:9" ht="25.5">
      <c r="B16943" s="3192" t="s">
        <v>675</v>
      </c>
      <c r="C16943" s="3063"/>
      <c r="D16943" s="3064"/>
      <c r="E16943" s="3064"/>
      <c r="F16943" s="3064"/>
      <c r="G16943" s="3301" t="s">
        <v>675</v>
      </c>
      <c r="H16943" s="3063"/>
      <c r="I16943" s="3030"/>
    </row>
    <row r="16944" spans="2:9" ht="25.5">
      <c r="B16944" s="3192" t="s">
        <v>676</v>
      </c>
      <c r="C16944" s="3063"/>
      <c r="D16944" s="3064"/>
      <c r="E16944" s="3064"/>
      <c r="F16944" s="3064"/>
      <c r="G16944" s="3301" t="s">
        <v>676</v>
      </c>
      <c r="H16944" s="3063"/>
      <c r="I16944" s="3030"/>
    </row>
    <row r="16945" spans="2:9">
      <c r="B16945" s="3192" t="s">
        <v>677</v>
      </c>
      <c r="C16945" s="3063"/>
      <c r="D16945" s="3064"/>
      <c r="E16945" s="3064"/>
      <c r="F16945" s="3064"/>
      <c r="G16945" s="3301" t="s">
        <v>677</v>
      </c>
      <c r="H16945" s="3063"/>
      <c r="I16945" s="3030"/>
    </row>
    <row r="16946" spans="2:9">
      <c r="B16946" s="3192" t="s">
        <v>678</v>
      </c>
      <c r="C16946" s="3063"/>
      <c r="D16946" s="3064"/>
      <c r="E16946" s="3064"/>
      <c r="F16946" s="3064"/>
      <c r="G16946" s="3301" t="s">
        <v>678</v>
      </c>
      <c r="H16946" s="3063"/>
      <c r="I16946" s="3030"/>
    </row>
    <row r="16947" spans="2:9">
      <c r="B16947" s="3192" t="s">
        <v>679</v>
      </c>
      <c r="C16947" s="3063"/>
      <c r="D16947" s="3064"/>
      <c r="E16947" s="3064"/>
      <c r="F16947" s="3064"/>
      <c r="G16947" s="3301" t="s">
        <v>679</v>
      </c>
      <c r="H16947" s="3063"/>
      <c r="I16947" s="3030"/>
    </row>
    <row r="16948" spans="2:9" ht="25.5">
      <c r="B16948" s="3230" t="s">
        <v>81</v>
      </c>
      <c r="C16948" s="3063"/>
      <c r="D16948" s="3064"/>
      <c r="E16948" s="3064"/>
      <c r="F16948" s="3064"/>
      <c r="G16948" s="3302" t="s">
        <v>81</v>
      </c>
      <c r="H16948" s="3063"/>
      <c r="I16948" s="3030"/>
    </row>
    <row r="16949" spans="2:9" ht="26.25" thickBot="1">
      <c r="B16949" s="3303" t="s">
        <v>81</v>
      </c>
      <c r="C16949" s="3063"/>
      <c r="D16949" s="3064"/>
      <c r="E16949" s="3064"/>
      <c r="F16949" s="3064"/>
      <c r="G16949" s="3302" t="s">
        <v>81</v>
      </c>
      <c r="H16949" s="3063"/>
      <c r="I16949" s="3030"/>
    </row>
    <row r="16950" spans="2:9">
      <c r="B16950" s="3217" t="s">
        <v>697</v>
      </c>
      <c r="C16950" s="3218"/>
      <c r="D16950" s="3219"/>
      <c r="E16950" s="3219"/>
      <c r="F16950" s="3219"/>
      <c r="G16950" s="3217" t="s">
        <v>697</v>
      </c>
      <c r="H16950" s="3297"/>
      <c r="I16950" s="3298"/>
    </row>
    <row r="16951" spans="2:9">
      <c r="B16951" s="3299" t="s">
        <v>64</v>
      </c>
      <c r="C16951" s="3063"/>
      <c r="D16951" s="3064"/>
      <c r="E16951" s="3064"/>
      <c r="F16951" s="3064"/>
      <c r="G16951" s="3300" t="s">
        <v>64</v>
      </c>
      <c r="H16951" s="3063"/>
      <c r="I16951" s="3030"/>
    </row>
    <row r="16952" spans="2:9" ht="25.5">
      <c r="B16952" s="3192" t="s">
        <v>675</v>
      </c>
      <c r="C16952" s="3063"/>
      <c r="D16952" s="3064"/>
      <c r="E16952" s="3064"/>
      <c r="F16952" s="3064"/>
      <c r="G16952" s="3301" t="s">
        <v>675</v>
      </c>
      <c r="H16952" s="3063"/>
      <c r="I16952" s="3030"/>
    </row>
    <row r="16953" spans="2:9" ht="25.5">
      <c r="B16953" s="3192" t="s">
        <v>676</v>
      </c>
      <c r="C16953" s="3063"/>
      <c r="D16953" s="3064"/>
      <c r="E16953" s="3064"/>
      <c r="F16953" s="3064"/>
      <c r="G16953" s="3301" t="s">
        <v>676</v>
      </c>
      <c r="H16953" s="3063"/>
      <c r="I16953" s="3030"/>
    </row>
    <row r="16954" spans="2:9">
      <c r="B16954" s="3192" t="s">
        <v>677</v>
      </c>
      <c r="C16954" s="3063"/>
      <c r="D16954" s="3064"/>
      <c r="E16954" s="3064"/>
      <c r="F16954" s="3064"/>
      <c r="G16954" s="3301" t="s">
        <v>677</v>
      </c>
      <c r="H16954" s="3063"/>
      <c r="I16954" s="3030"/>
    </row>
    <row r="16955" spans="2:9">
      <c r="B16955" s="3192" t="s">
        <v>678</v>
      </c>
      <c r="C16955" s="3063"/>
      <c r="D16955" s="3064"/>
      <c r="E16955" s="3064"/>
      <c r="F16955" s="3064"/>
      <c r="G16955" s="3301" t="s">
        <v>678</v>
      </c>
      <c r="H16955" s="3063"/>
      <c r="I16955" s="3030"/>
    </row>
    <row r="16956" spans="2:9">
      <c r="B16956" s="3192" t="s">
        <v>679</v>
      </c>
      <c r="C16956" s="3063"/>
      <c r="D16956" s="3064"/>
      <c r="E16956" s="3064"/>
      <c r="F16956" s="3064"/>
      <c r="G16956" s="3301" t="s">
        <v>679</v>
      </c>
      <c r="H16956" s="3063"/>
      <c r="I16956" s="3030"/>
    </row>
    <row r="16957" spans="2:9" ht="25.5">
      <c r="B16957" s="3192" t="s">
        <v>720</v>
      </c>
      <c r="C16957" s="3063"/>
      <c r="D16957" s="3064"/>
      <c r="E16957" s="3064"/>
      <c r="F16957" s="3064"/>
      <c r="G16957" s="3301" t="s">
        <v>720</v>
      </c>
      <c r="H16957" s="3063"/>
      <c r="I16957" s="3030"/>
    </row>
    <row r="16958" spans="2:9">
      <c r="B16958" s="3299" t="s">
        <v>65</v>
      </c>
      <c r="C16958" s="3063"/>
      <c r="D16958" s="3064"/>
      <c r="E16958" s="3064"/>
      <c r="F16958" s="3064"/>
      <c r="G16958" s="3300" t="s">
        <v>65</v>
      </c>
      <c r="H16958" s="3063"/>
      <c r="I16958" s="3030"/>
    </row>
    <row r="16959" spans="2:9" ht="25.5">
      <c r="B16959" s="3192" t="s">
        <v>675</v>
      </c>
      <c r="C16959" s="3063"/>
      <c r="D16959" s="3064"/>
      <c r="E16959" s="3064"/>
      <c r="F16959" s="3064"/>
      <c r="G16959" s="3301" t="s">
        <v>675</v>
      </c>
      <c r="H16959" s="3063"/>
      <c r="I16959" s="3030"/>
    </row>
    <row r="16960" spans="2:9" ht="25.5">
      <c r="B16960" s="3192" t="s">
        <v>676</v>
      </c>
      <c r="C16960" s="3063"/>
      <c r="D16960" s="3064"/>
      <c r="E16960" s="3064"/>
      <c r="F16960" s="3064"/>
      <c r="G16960" s="3301" t="s">
        <v>676</v>
      </c>
      <c r="H16960" s="3063"/>
      <c r="I16960" s="3030"/>
    </row>
    <row r="16961" spans="2:9">
      <c r="B16961" s="3192" t="s">
        <v>677</v>
      </c>
      <c r="C16961" s="3063"/>
      <c r="D16961" s="3064"/>
      <c r="E16961" s="3064"/>
      <c r="F16961" s="3064"/>
      <c r="G16961" s="3301" t="s">
        <v>677</v>
      </c>
      <c r="H16961" s="3063"/>
      <c r="I16961" s="3030"/>
    </row>
    <row r="16962" spans="2:9">
      <c r="B16962" s="3192" t="s">
        <v>678</v>
      </c>
      <c r="C16962" s="3063"/>
      <c r="D16962" s="3064"/>
      <c r="E16962" s="3064"/>
      <c r="F16962" s="3064"/>
      <c r="G16962" s="3301" t="s">
        <v>678</v>
      </c>
      <c r="H16962" s="3063"/>
      <c r="I16962" s="3030"/>
    </row>
    <row r="16963" spans="2:9">
      <c r="B16963" s="3192" t="s">
        <v>679</v>
      </c>
      <c r="C16963" s="3063"/>
      <c r="D16963" s="3064"/>
      <c r="E16963" s="3064"/>
      <c r="F16963" s="3064"/>
      <c r="G16963" s="3301" t="s">
        <v>679</v>
      </c>
      <c r="H16963" s="3063"/>
      <c r="I16963" s="3030"/>
    </row>
    <row r="16964" spans="2:9" ht="25.5">
      <c r="B16964" s="3192" t="s">
        <v>720</v>
      </c>
      <c r="C16964" s="3063"/>
      <c r="D16964" s="3064"/>
      <c r="E16964" s="3064"/>
      <c r="F16964" s="3064"/>
      <c r="G16964" s="3301" t="s">
        <v>720</v>
      </c>
      <c r="H16964" s="3063"/>
      <c r="I16964" s="3030"/>
    </row>
    <row r="16965" spans="2:9">
      <c r="B16965" s="3299" t="s">
        <v>82</v>
      </c>
      <c r="C16965" s="3063"/>
      <c r="D16965" s="3064"/>
      <c r="E16965" s="3064"/>
      <c r="F16965" s="3064"/>
      <c r="G16965" s="3300" t="s">
        <v>82</v>
      </c>
      <c r="H16965" s="3063"/>
      <c r="I16965" s="3030"/>
    </row>
    <row r="16966" spans="2:9" ht="25.5">
      <c r="B16966" s="3192" t="s">
        <v>675</v>
      </c>
      <c r="C16966" s="3063"/>
      <c r="D16966" s="3064"/>
      <c r="E16966" s="3064"/>
      <c r="F16966" s="3064"/>
      <c r="G16966" s="3301" t="s">
        <v>675</v>
      </c>
      <c r="H16966" s="3063"/>
      <c r="I16966" s="3030"/>
    </row>
    <row r="16967" spans="2:9" ht="25.5">
      <c r="B16967" s="3192" t="s">
        <v>676</v>
      </c>
      <c r="C16967" s="3063"/>
      <c r="D16967" s="3064"/>
      <c r="E16967" s="3064"/>
      <c r="F16967" s="3064"/>
      <c r="G16967" s="3301" t="s">
        <v>676</v>
      </c>
      <c r="H16967" s="3063"/>
      <c r="I16967" s="3030"/>
    </row>
    <row r="16968" spans="2:9">
      <c r="B16968" s="3192" t="s">
        <v>677</v>
      </c>
      <c r="C16968" s="3063"/>
      <c r="D16968" s="3064"/>
      <c r="E16968" s="3064"/>
      <c r="F16968" s="3064"/>
      <c r="G16968" s="3301" t="s">
        <v>677</v>
      </c>
      <c r="H16968" s="3063"/>
      <c r="I16968" s="3030"/>
    </row>
    <row r="16969" spans="2:9">
      <c r="B16969" s="3192" t="s">
        <v>678</v>
      </c>
      <c r="C16969" s="3063"/>
      <c r="D16969" s="3064"/>
      <c r="E16969" s="3064"/>
      <c r="F16969" s="3064"/>
      <c r="G16969" s="3301" t="s">
        <v>678</v>
      </c>
      <c r="H16969" s="3063"/>
      <c r="I16969" s="3030"/>
    </row>
    <row r="16970" spans="2:9">
      <c r="B16970" s="3192" t="s">
        <v>679</v>
      </c>
      <c r="C16970" s="3063"/>
      <c r="D16970" s="3064"/>
      <c r="E16970" s="3064"/>
      <c r="F16970" s="3064"/>
      <c r="G16970" s="3301" t="s">
        <v>679</v>
      </c>
      <c r="H16970" s="3063"/>
      <c r="I16970" s="3030"/>
    </row>
    <row r="16971" spans="2:9" ht="25.5">
      <c r="B16971" s="3192" t="s">
        <v>720</v>
      </c>
      <c r="C16971" s="3063"/>
      <c r="D16971" s="3064"/>
      <c r="E16971" s="3064"/>
      <c r="F16971" s="3064"/>
      <c r="G16971" s="3301" t="s">
        <v>720</v>
      </c>
      <c r="H16971" s="3063"/>
      <c r="I16971" s="3030"/>
    </row>
    <row r="16972" spans="2:9" ht="38.25">
      <c r="B16972" s="3299" t="s">
        <v>680</v>
      </c>
      <c r="C16972" s="3063"/>
      <c r="D16972" s="3064"/>
      <c r="E16972" s="3064"/>
      <c r="F16972" s="3064"/>
      <c r="G16972" s="3300" t="s">
        <v>680</v>
      </c>
      <c r="H16972" s="3063"/>
      <c r="I16972" s="3030"/>
    </row>
    <row r="16973" spans="2:9" ht="25.5">
      <c r="B16973" s="3192" t="s">
        <v>675</v>
      </c>
      <c r="C16973" s="3063"/>
      <c r="D16973" s="3064"/>
      <c r="E16973" s="3064"/>
      <c r="F16973" s="3064"/>
      <c r="G16973" s="3301" t="s">
        <v>675</v>
      </c>
      <c r="H16973" s="3063"/>
      <c r="I16973" s="3030"/>
    </row>
    <row r="16974" spans="2:9" ht="25.5">
      <c r="B16974" s="3192" t="s">
        <v>676</v>
      </c>
      <c r="C16974" s="3063"/>
      <c r="D16974" s="3064"/>
      <c r="E16974" s="3064"/>
      <c r="F16974" s="3064"/>
      <c r="G16974" s="3301" t="s">
        <v>676</v>
      </c>
      <c r="H16974" s="3063"/>
      <c r="I16974" s="3030"/>
    </row>
    <row r="16975" spans="2:9">
      <c r="B16975" s="3192" t="s">
        <v>677</v>
      </c>
      <c r="C16975" s="3063"/>
      <c r="D16975" s="3064"/>
      <c r="E16975" s="3064"/>
      <c r="F16975" s="3064"/>
      <c r="G16975" s="3301" t="s">
        <v>677</v>
      </c>
      <c r="H16975" s="3063"/>
      <c r="I16975" s="3030"/>
    </row>
    <row r="16976" spans="2:9">
      <c r="B16976" s="3192" t="s">
        <v>678</v>
      </c>
      <c r="C16976" s="3063"/>
      <c r="D16976" s="3064"/>
      <c r="E16976" s="3064"/>
      <c r="F16976" s="3064"/>
      <c r="G16976" s="3301" t="s">
        <v>678</v>
      </c>
      <c r="H16976" s="3063"/>
      <c r="I16976" s="3030"/>
    </row>
    <row r="16977" spans="2:9">
      <c r="B16977" s="3192" t="s">
        <v>679</v>
      </c>
      <c r="C16977" s="3063"/>
      <c r="D16977" s="3064"/>
      <c r="E16977" s="3064"/>
      <c r="F16977" s="3064"/>
      <c r="G16977" s="3301" t="s">
        <v>679</v>
      </c>
      <c r="H16977" s="3063"/>
      <c r="I16977" s="3030"/>
    </row>
    <row r="16978" spans="2:9" ht="25.5">
      <c r="B16978" s="3192" t="s">
        <v>720</v>
      </c>
      <c r="C16978" s="3063"/>
      <c r="D16978" s="3064"/>
      <c r="E16978" s="3064"/>
      <c r="F16978" s="3064"/>
      <c r="G16978" s="3301" t="s">
        <v>720</v>
      </c>
      <c r="H16978" s="3063"/>
      <c r="I16978" s="3030"/>
    </row>
    <row r="16979" spans="2:9" ht="38.25">
      <c r="B16979" s="3299" t="s">
        <v>681</v>
      </c>
      <c r="C16979" s="3063"/>
      <c r="D16979" s="3064"/>
      <c r="E16979" s="3064"/>
      <c r="F16979" s="3064">
        <v>2</v>
      </c>
      <c r="G16979" s="3300" t="s">
        <v>681</v>
      </c>
      <c r="H16979" s="3063">
        <v>2.3733144522983578E-2</v>
      </c>
      <c r="I16979" s="3030"/>
    </row>
    <row r="16980" spans="2:9" ht="25.5">
      <c r="B16980" s="3192" t="s">
        <v>675</v>
      </c>
      <c r="C16980" s="3063"/>
      <c r="D16980" s="3064"/>
      <c r="E16980" s="3064"/>
      <c r="F16980" s="3064"/>
      <c r="G16980" s="3301" t="s">
        <v>675</v>
      </c>
      <c r="H16980" s="3063"/>
      <c r="I16980" s="3030"/>
    </row>
    <row r="16981" spans="2:9" ht="25.5">
      <c r="B16981" s="3192" t="s">
        <v>676</v>
      </c>
      <c r="C16981" s="3063"/>
      <c r="D16981" s="3064"/>
      <c r="E16981" s="3064"/>
      <c r="F16981" s="3064"/>
      <c r="G16981" s="3301" t="s">
        <v>676</v>
      </c>
      <c r="H16981" s="3063"/>
      <c r="I16981" s="3030"/>
    </row>
    <row r="16982" spans="2:9">
      <c r="B16982" s="3192" t="s">
        <v>677</v>
      </c>
      <c r="C16982" s="3063"/>
      <c r="D16982" s="3064"/>
      <c r="E16982" s="3064"/>
      <c r="F16982" s="3064"/>
      <c r="G16982" s="3301" t="s">
        <v>677</v>
      </c>
      <c r="H16982" s="3063"/>
      <c r="I16982" s="3030"/>
    </row>
    <row r="16983" spans="2:9">
      <c r="B16983" s="3192" t="s">
        <v>678</v>
      </c>
      <c r="C16983" s="3063"/>
      <c r="D16983" s="3064"/>
      <c r="E16983" s="3064"/>
      <c r="F16983" s="3064"/>
      <c r="G16983" s="3301" t="s">
        <v>678</v>
      </c>
      <c r="H16983" s="3063"/>
      <c r="I16983" s="3030"/>
    </row>
    <row r="16984" spans="2:9">
      <c r="B16984" s="3192" t="s">
        <v>679</v>
      </c>
      <c r="C16984" s="3063"/>
      <c r="D16984" s="3064"/>
      <c r="E16984" s="3064"/>
      <c r="F16984" s="3064"/>
      <c r="G16984" s="3301" t="s">
        <v>679</v>
      </c>
      <c r="H16984" s="3063"/>
      <c r="I16984" s="3030"/>
    </row>
    <row r="16985" spans="2:9" ht="25.5">
      <c r="B16985" s="3192" t="s">
        <v>720</v>
      </c>
      <c r="C16985" s="3063"/>
      <c r="D16985" s="3064"/>
      <c r="E16985" s="3064"/>
      <c r="F16985" s="3064"/>
      <c r="G16985" s="3301" t="s">
        <v>720</v>
      </c>
      <c r="H16985" s="3063"/>
      <c r="I16985" s="3030"/>
    </row>
    <row r="16986" spans="2:9" ht="25.5">
      <c r="B16986" s="3299" t="s">
        <v>682</v>
      </c>
      <c r="C16986" s="3063"/>
      <c r="D16986" s="3064"/>
      <c r="E16986" s="3064"/>
      <c r="F16986" s="3064"/>
      <c r="G16986" s="3300" t="s">
        <v>682</v>
      </c>
      <c r="H16986" s="3063"/>
      <c r="I16986" s="3030"/>
    </row>
    <row r="16987" spans="2:9" ht="25.5">
      <c r="B16987" s="3192" t="s">
        <v>675</v>
      </c>
      <c r="C16987" s="3063"/>
      <c r="D16987" s="3064"/>
      <c r="E16987" s="3064"/>
      <c r="F16987" s="3064"/>
      <c r="G16987" s="3301" t="s">
        <v>675</v>
      </c>
      <c r="H16987" s="3063"/>
      <c r="I16987" s="3030"/>
    </row>
    <row r="16988" spans="2:9" ht="25.5">
      <c r="B16988" s="3192" t="s">
        <v>676</v>
      </c>
      <c r="C16988" s="3063"/>
      <c r="D16988" s="3064"/>
      <c r="E16988" s="3064"/>
      <c r="F16988" s="3064"/>
      <c r="G16988" s="3301" t="s">
        <v>676</v>
      </c>
      <c r="H16988" s="3063"/>
      <c r="I16988" s="3030"/>
    </row>
    <row r="16989" spans="2:9">
      <c r="B16989" s="3192" t="s">
        <v>677</v>
      </c>
      <c r="C16989" s="3063"/>
      <c r="D16989" s="3064"/>
      <c r="E16989" s="3064"/>
      <c r="F16989" s="3064"/>
      <c r="G16989" s="3301" t="s">
        <v>677</v>
      </c>
      <c r="H16989" s="3063"/>
      <c r="I16989" s="3030"/>
    </row>
    <row r="16990" spans="2:9">
      <c r="B16990" s="3192" t="s">
        <v>678</v>
      </c>
      <c r="C16990" s="3063"/>
      <c r="D16990" s="3064"/>
      <c r="E16990" s="3064"/>
      <c r="F16990" s="3064"/>
      <c r="G16990" s="3301" t="s">
        <v>678</v>
      </c>
      <c r="H16990" s="3063"/>
      <c r="I16990" s="3030"/>
    </row>
    <row r="16991" spans="2:9">
      <c r="B16991" s="3192" t="s">
        <v>679</v>
      </c>
      <c r="C16991" s="3063"/>
      <c r="D16991" s="3064"/>
      <c r="E16991" s="3064"/>
      <c r="F16991" s="3064"/>
      <c r="G16991" s="3301" t="s">
        <v>679</v>
      </c>
      <c r="H16991" s="3063"/>
      <c r="I16991" s="3030"/>
    </row>
    <row r="16992" spans="2:9" ht="25.5">
      <c r="B16992" s="3192" t="s">
        <v>720</v>
      </c>
      <c r="C16992" s="3063"/>
      <c r="D16992" s="3064"/>
      <c r="E16992" s="3064"/>
      <c r="F16992" s="3064"/>
      <c r="G16992" s="3301" t="s">
        <v>720</v>
      </c>
      <c r="H16992" s="3063"/>
      <c r="I16992" s="3030"/>
    </row>
    <row r="16993" spans="2:9" ht="25.5">
      <c r="B16993" s="3299" t="s">
        <v>66</v>
      </c>
      <c r="C16993" s="3063"/>
      <c r="D16993" s="3064"/>
      <c r="E16993" s="3064"/>
      <c r="F16993" s="3064"/>
      <c r="G16993" s="3300" t="s">
        <v>66</v>
      </c>
      <c r="H16993" s="3063"/>
      <c r="I16993" s="3030"/>
    </row>
    <row r="16994" spans="2:9" ht="25.5">
      <c r="B16994" s="3192" t="s">
        <v>675</v>
      </c>
      <c r="C16994" s="3063"/>
      <c r="D16994" s="3064"/>
      <c r="E16994" s="3064"/>
      <c r="F16994" s="3064"/>
      <c r="G16994" s="3301" t="s">
        <v>675</v>
      </c>
      <c r="H16994" s="3063"/>
      <c r="I16994" s="3030"/>
    </row>
    <row r="16995" spans="2:9" ht="25.5">
      <c r="B16995" s="3192" t="s">
        <v>676</v>
      </c>
      <c r="C16995" s="3063"/>
      <c r="D16995" s="3064"/>
      <c r="E16995" s="3064"/>
      <c r="F16995" s="3064"/>
      <c r="G16995" s="3301" t="s">
        <v>676</v>
      </c>
      <c r="H16995" s="3063"/>
      <c r="I16995" s="3030"/>
    </row>
    <row r="16996" spans="2:9">
      <c r="B16996" s="3192" t="s">
        <v>677</v>
      </c>
      <c r="C16996" s="3063"/>
      <c r="D16996" s="3064"/>
      <c r="E16996" s="3064"/>
      <c r="F16996" s="3064"/>
      <c r="G16996" s="3301" t="s">
        <v>677</v>
      </c>
      <c r="H16996" s="3063"/>
      <c r="I16996" s="3030"/>
    </row>
    <row r="16997" spans="2:9">
      <c r="B16997" s="3192" t="s">
        <v>678</v>
      </c>
      <c r="C16997" s="3063"/>
      <c r="D16997" s="3064"/>
      <c r="E16997" s="3064"/>
      <c r="F16997" s="3064"/>
      <c r="G16997" s="3301" t="s">
        <v>678</v>
      </c>
      <c r="H16997" s="3063"/>
      <c r="I16997" s="3030"/>
    </row>
    <row r="16998" spans="2:9">
      <c r="B16998" s="3192" t="s">
        <v>679</v>
      </c>
      <c r="C16998" s="3063"/>
      <c r="D16998" s="3064"/>
      <c r="E16998" s="3064"/>
      <c r="F16998" s="3064"/>
      <c r="G16998" s="3301" t="s">
        <v>679</v>
      </c>
      <c r="H16998" s="3063"/>
      <c r="I16998" s="3030"/>
    </row>
    <row r="16999" spans="2:9" ht="25.5">
      <c r="B16999" s="3192" t="s">
        <v>720</v>
      </c>
      <c r="C16999" s="3063"/>
      <c r="D16999" s="3064"/>
      <c r="E16999" s="3064"/>
      <c r="F16999" s="3064"/>
      <c r="G16999" s="3301" t="s">
        <v>720</v>
      </c>
      <c r="H16999" s="3063"/>
      <c r="I16999" s="3030"/>
    </row>
    <row r="17000" spans="2:9">
      <c r="B17000" s="3299" t="s">
        <v>67</v>
      </c>
      <c r="C17000" s="3063"/>
      <c r="D17000" s="3064"/>
      <c r="E17000" s="3064"/>
      <c r="F17000" s="3064"/>
      <c r="G17000" s="3300" t="s">
        <v>67</v>
      </c>
      <c r="H17000" s="3063"/>
      <c r="I17000" s="3030"/>
    </row>
    <row r="17001" spans="2:9" ht="25.5">
      <c r="B17001" s="3192" t="s">
        <v>675</v>
      </c>
      <c r="C17001" s="3063"/>
      <c r="D17001" s="3064"/>
      <c r="E17001" s="3064"/>
      <c r="F17001" s="3064"/>
      <c r="G17001" s="3301" t="s">
        <v>675</v>
      </c>
      <c r="H17001" s="3063"/>
      <c r="I17001" s="3030"/>
    </row>
    <row r="17002" spans="2:9" ht="25.5">
      <c r="B17002" s="3192" t="s">
        <v>676</v>
      </c>
      <c r="C17002" s="3063"/>
      <c r="D17002" s="3064"/>
      <c r="E17002" s="3064"/>
      <c r="F17002" s="3064"/>
      <c r="G17002" s="3301" t="s">
        <v>676</v>
      </c>
      <c r="H17002" s="3063"/>
      <c r="I17002" s="3030"/>
    </row>
    <row r="17003" spans="2:9">
      <c r="B17003" s="3192" t="s">
        <v>677</v>
      </c>
      <c r="C17003" s="3063"/>
      <c r="D17003" s="3064"/>
      <c r="E17003" s="3064"/>
      <c r="F17003" s="3064"/>
      <c r="G17003" s="3301" t="s">
        <v>677</v>
      </c>
      <c r="H17003" s="3063"/>
      <c r="I17003" s="3030"/>
    </row>
    <row r="17004" spans="2:9">
      <c r="B17004" s="3192" t="s">
        <v>678</v>
      </c>
      <c r="C17004" s="3063"/>
      <c r="D17004" s="3064"/>
      <c r="E17004" s="3064"/>
      <c r="F17004" s="3064"/>
      <c r="G17004" s="3301" t="s">
        <v>678</v>
      </c>
      <c r="H17004" s="3063"/>
      <c r="I17004" s="3030"/>
    </row>
    <row r="17005" spans="2:9">
      <c r="B17005" s="3192" t="s">
        <v>679</v>
      </c>
      <c r="C17005" s="3063"/>
      <c r="D17005" s="3064"/>
      <c r="E17005" s="3064"/>
      <c r="F17005" s="3064"/>
      <c r="G17005" s="3301" t="s">
        <v>679</v>
      </c>
      <c r="H17005" s="3063"/>
      <c r="I17005" s="3030"/>
    </row>
    <row r="17006" spans="2:9" ht="25.5">
      <c r="B17006" s="3230" t="s">
        <v>81</v>
      </c>
      <c r="C17006" s="3063"/>
      <c r="D17006" s="3064"/>
      <c r="E17006" s="3064"/>
      <c r="F17006" s="3064"/>
      <c r="G17006" s="3302" t="s">
        <v>81</v>
      </c>
      <c r="H17006" s="3063"/>
      <c r="I17006" s="3030"/>
    </row>
    <row r="17007" spans="2:9" ht="26.25" thickBot="1">
      <c r="B17007" s="3303" t="s">
        <v>81</v>
      </c>
      <c r="C17007" s="3068"/>
      <c r="D17007" s="3069"/>
      <c r="E17007" s="3069"/>
      <c r="F17007" s="3069"/>
      <c r="G17007" s="3304" t="s">
        <v>81</v>
      </c>
      <c r="H17007" s="3068"/>
      <c r="I17007" s="3070"/>
    </row>
    <row r="17008" spans="2:9" ht="38.25">
      <c r="B17008" s="4723">
        <v>3556</v>
      </c>
      <c r="C17008" s="3289"/>
      <c r="D17008" s="3290"/>
      <c r="E17008" s="3290"/>
      <c r="F17008" s="3290"/>
      <c r="G17008" s="4723">
        <v>3556</v>
      </c>
      <c r="H17008" s="3291" t="s">
        <v>687</v>
      </c>
      <c r="I17008" s="3292" t="s">
        <v>688</v>
      </c>
    </row>
    <row r="17009" spans="2:9">
      <c r="B17009" s="4724"/>
      <c r="C17009" s="4678" t="s">
        <v>686</v>
      </c>
      <c r="D17009" s="4725"/>
      <c r="E17009" s="4725"/>
      <c r="F17009" s="4726"/>
      <c r="G17009" s="4724"/>
      <c r="H17009" s="3293"/>
      <c r="I17009" s="3294"/>
    </row>
    <row r="17010" spans="2:9" ht="13.5" thickBot="1">
      <c r="B17010" s="4724"/>
      <c r="C17010" s="3215">
        <v>2013</v>
      </c>
      <c r="D17010" s="3215">
        <v>2014</v>
      </c>
      <c r="E17010" s="3215">
        <v>2015</v>
      </c>
      <c r="F17010" s="3215">
        <v>2016</v>
      </c>
      <c r="G17010" s="4724"/>
      <c r="H17010" s="3295" t="s">
        <v>390</v>
      </c>
      <c r="I17010" s="3296" t="s">
        <v>390</v>
      </c>
    </row>
    <row r="17011" spans="2:9">
      <c r="B17011" s="3217" t="s">
        <v>695</v>
      </c>
      <c r="C17011" s="3218"/>
      <c r="D17011" s="3219"/>
      <c r="E17011" s="3219"/>
      <c r="F17011" s="3219"/>
      <c r="G17011" s="3217" t="s">
        <v>695</v>
      </c>
      <c r="H17011" s="3297"/>
      <c r="I17011" s="3298"/>
    </row>
    <row r="17012" spans="2:9">
      <c r="B17012" s="3299" t="s">
        <v>64</v>
      </c>
      <c r="C17012" s="3063"/>
      <c r="D17012" s="3064"/>
      <c r="E17012" s="3064"/>
      <c r="F17012" s="3064"/>
      <c r="G17012" s="3300" t="s">
        <v>64</v>
      </c>
      <c r="H17012" s="3063"/>
      <c r="I17012" s="3030"/>
    </row>
    <row r="17013" spans="2:9" ht="25.5">
      <c r="B17013" s="3192" t="s">
        <v>675</v>
      </c>
      <c r="C17013" s="3063"/>
      <c r="D17013" s="3064"/>
      <c r="E17013" s="3064"/>
      <c r="F17013" s="3064"/>
      <c r="G17013" s="3301" t="s">
        <v>675</v>
      </c>
      <c r="H17013" s="3063"/>
      <c r="I17013" s="3030"/>
    </row>
    <row r="17014" spans="2:9" ht="25.5">
      <c r="B17014" s="3192" t="s">
        <v>676</v>
      </c>
      <c r="C17014" s="3063"/>
      <c r="D17014" s="3064"/>
      <c r="E17014" s="3064"/>
      <c r="F17014" s="3064"/>
      <c r="G17014" s="3301" t="s">
        <v>676</v>
      </c>
      <c r="H17014" s="3063"/>
      <c r="I17014" s="3030"/>
    </row>
    <row r="17015" spans="2:9">
      <c r="B17015" s="3192" t="s">
        <v>677</v>
      </c>
      <c r="C17015" s="3063"/>
      <c r="D17015" s="3064"/>
      <c r="E17015" s="3064"/>
      <c r="F17015" s="3064"/>
      <c r="G17015" s="3301" t="s">
        <v>677</v>
      </c>
      <c r="H17015" s="3063"/>
      <c r="I17015" s="3030"/>
    </row>
    <row r="17016" spans="2:9">
      <c r="B17016" s="3192" t="s">
        <v>678</v>
      </c>
      <c r="C17016" s="3063"/>
      <c r="D17016" s="3064"/>
      <c r="E17016" s="3064"/>
      <c r="F17016" s="3064"/>
      <c r="G17016" s="3301" t="s">
        <v>678</v>
      </c>
      <c r="H17016" s="3063"/>
      <c r="I17016" s="3030"/>
    </row>
    <row r="17017" spans="2:9">
      <c r="B17017" s="3192" t="s">
        <v>679</v>
      </c>
      <c r="C17017" s="3063"/>
      <c r="D17017" s="3064"/>
      <c r="E17017" s="3064"/>
      <c r="F17017" s="3064"/>
      <c r="G17017" s="3301" t="s">
        <v>679</v>
      </c>
      <c r="H17017" s="3063"/>
      <c r="I17017" s="3030"/>
    </row>
    <row r="17018" spans="2:9" ht="25.5">
      <c r="B17018" s="3192" t="s">
        <v>720</v>
      </c>
      <c r="C17018" s="3063"/>
      <c r="D17018" s="3064"/>
      <c r="E17018" s="3064"/>
      <c r="F17018" s="3064"/>
      <c r="G17018" s="3301" t="s">
        <v>720</v>
      </c>
      <c r="H17018" s="3063"/>
      <c r="I17018" s="3030"/>
    </row>
    <row r="17019" spans="2:9">
      <c r="B17019" s="3299" t="s">
        <v>65</v>
      </c>
      <c r="C17019" s="3063"/>
      <c r="D17019" s="3064"/>
      <c r="E17019" s="3064"/>
      <c r="F17019" s="3064"/>
      <c r="G17019" s="3300" t="s">
        <v>65</v>
      </c>
      <c r="H17019" s="3063"/>
      <c r="I17019" s="3030"/>
    </row>
    <row r="17020" spans="2:9" ht="25.5">
      <c r="B17020" s="3192" t="s">
        <v>675</v>
      </c>
      <c r="C17020" s="3063"/>
      <c r="D17020" s="3064"/>
      <c r="E17020" s="3064"/>
      <c r="F17020" s="3064"/>
      <c r="G17020" s="3301" t="s">
        <v>675</v>
      </c>
      <c r="H17020" s="3063"/>
      <c r="I17020" s="3030"/>
    </row>
    <row r="17021" spans="2:9" ht="25.5">
      <c r="B17021" s="3192" t="s">
        <v>676</v>
      </c>
      <c r="C17021" s="3063"/>
      <c r="D17021" s="3064"/>
      <c r="E17021" s="3064"/>
      <c r="F17021" s="3064"/>
      <c r="G17021" s="3301" t="s">
        <v>676</v>
      </c>
      <c r="H17021" s="3063"/>
      <c r="I17021" s="3030"/>
    </row>
    <row r="17022" spans="2:9">
      <c r="B17022" s="3192" t="s">
        <v>677</v>
      </c>
      <c r="C17022" s="3063"/>
      <c r="D17022" s="3064"/>
      <c r="E17022" s="3064"/>
      <c r="F17022" s="3064"/>
      <c r="G17022" s="3301" t="s">
        <v>677</v>
      </c>
      <c r="H17022" s="3063"/>
      <c r="I17022" s="3030"/>
    </row>
    <row r="17023" spans="2:9">
      <c r="B17023" s="3192" t="s">
        <v>678</v>
      </c>
      <c r="C17023" s="3063"/>
      <c r="D17023" s="3064"/>
      <c r="E17023" s="3064"/>
      <c r="F17023" s="3064"/>
      <c r="G17023" s="3301" t="s">
        <v>678</v>
      </c>
      <c r="H17023" s="3063"/>
      <c r="I17023" s="3030"/>
    </row>
    <row r="17024" spans="2:9">
      <c r="B17024" s="3192" t="s">
        <v>679</v>
      </c>
      <c r="C17024" s="3063"/>
      <c r="D17024" s="3064"/>
      <c r="E17024" s="3064"/>
      <c r="F17024" s="3064"/>
      <c r="G17024" s="3301" t="s">
        <v>679</v>
      </c>
      <c r="H17024" s="3063"/>
      <c r="I17024" s="3030"/>
    </row>
    <row r="17025" spans="2:9" ht="25.5">
      <c r="B17025" s="3192" t="s">
        <v>720</v>
      </c>
      <c r="C17025" s="3063"/>
      <c r="D17025" s="3064"/>
      <c r="E17025" s="3064"/>
      <c r="F17025" s="3064"/>
      <c r="G17025" s="3301" t="s">
        <v>720</v>
      </c>
      <c r="H17025" s="3063"/>
      <c r="I17025" s="3030"/>
    </row>
    <row r="17026" spans="2:9">
      <c r="B17026" s="3299" t="s">
        <v>82</v>
      </c>
      <c r="C17026" s="3063"/>
      <c r="D17026" s="3064"/>
      <c r="E17026" s="3064"/>
      <c r="F17026" s="3064"/>
      <c r="G17026" s="3300" t="s">
        <v>82</v>
      </c>
      <c r="H17026" s="3063"/>
      <c r="I17026" s="3030"/>
    </row>
    <row r="17027" spans="2:9" ht="25.5">
      <c r="B17027" s="3192" t="s">
        <v>675</v>
      </c>
      <c r="C17027" s="3063"/>
      <c r="D17027" s="3064"/>
      <c r="E17027" s="3064"/>
      <c r="F17027" s="3064"/>
      <c r="G17027" s="3301" t="s">
        <v>675</v>
      </c>
      <c r="H17027" s="3063"/>
      <c r="I17027" s="3030"/>
    </row>
    <row r="17028" spans="2:9" ht="25.5">
      <c r="B17028" s="3192" t="s">
        <v>676</v>
      </c>
      <c r="C17028" s="3063"/>
      <c r="D17028" s="3064"/>
      <c r="E17028" s="3064"/>
      <c r="F17028" s="3064"/>
      <c r="G17028" s="3301" t="s">
        <v>676</v>
      </c>
      <c r="H17028" s="3063"/>
      <c r="I17028" s="3030"/>
    </row>
    <row r="17029" spans="2:9">
      <c r="B17029" s="3192" t="s">
        <v>677</v>
      </c>
      <c r="C17029" s="3063"/>
      <c r="D17029" s="3064"/>
      <c r="E17029" s="3064"/>
      <c r="F17029" s="3064"/>
      <c r="G17029" s="3301" t="s">
        <v>677</v>
      </c>
      <c r="H17029" s="3063"/>
      <c r="I17029" s="3030"/>
    </row>
    <row r="17030" spans="2:9">
      <c r="B17030" s="3192" t="s">
        <v>678</v>
      </c>
      <c r="C17030" s="3063"/>
      <c r="D17030" s="3064"/>
      <c r="E17030" s="3064"/>
      <c r="F17030" s="3064"/>
      <c r="G17030" s="3301" t="s">
        <v>678</v>
      </c>
      <c r="H17030" s="3063"/>
      <c r="I17030" s="3030"/>
    </row>
    <row r="17031" spans="2:9">
      <c r="B17031" s="3192" t="s">
        <v>679</v>
      </c>
      <c r="C17031" s="3063"/>
      <c r="D17031" s="3064"/>
      <c r="E17031" s="3064"/>
      <c r="F17031" s="3064"/>
      <c r="G17031" s="3301" t="s">
        <v>679</v>
      </c>
      <c r="H17031" s="3063"/>
      <c r="I17031" s="3030"/>
    </row>
    <row r="17032" spans="2:9" ht="25.5">
      <c r="B17032" s="3192" t="s">
        <v>720</v>
      </c>
      <c r="C17032" s="3063"/>
      <c r="D17032" s="3064"/>
      <c r="E17032" s="3064"/>
      <c r="F17032" s="3064"/>
      <c r="G17032" s="3301" t="s">
        <v>720</v>
      </c>
      <c r="H17032" s="3063"/>
      <c r="I17032" s="3030"/>
    </row>
    <row r="17033" spans="2:9" ht="38.25">
      <c r="B17033" s="3299" t="s">
        <v>680</v>
      </c>
      <c r="C17033" s="3063"/>
      <c r="D17033" s="3064"/>
      <c r="E17033" s="3064"/>
      <c r="F17033" s="3064"/>
      <c r="G17033" s="3300" t="s">
        <v>680</v>
      </c>
      <c r="H17033" s="3063"/>
      <c r="I17033" s="3030"/>
    </row>
    <row r="17034" spans="2:9" ht="25.5">
      <c r="B17034" s="3192" t="s">
        <v>675</v>
      </c>
      <c r="C17034" s="3063"/>
      <c r="D17034" s="3064"/>
      <c r="E17034" s="3064"/>
      <c r="F17034" s="3064"/>
      <c r="G17034" s="3301" t="s">
        <v>675</v>
      </c>
      <c r="H17034" s="3063"/>
      <c r="I17034" s="3030"/>
    </row>
    <row r="17035" spans="2:9" ht="25.5">
      <c r="B17035" s="3192" t="s">
        <v>676</v>
      </c>
      <c r="C17035" s="3063"/>
      <c r="D17035" s="3064"/>
      <c r="E17035" s="3064"/>
      <c r="F17035" s="3064"/>
      <c r="G17035" s="3301" t="s">
        <v>676</v>
      </c>
      <c r="H17035" s="3063"/>
      <c r="I17035" s="3030"/>
    </row>
    <row r="17036" spans="2:9">
      <c r="B17036" s="3192" t="s">
        <v>677</v>
      </c>
      <c r="C17036" s="3063"/>
      <c r="D17036" s="3064"/>
      <c r="E17036" s="3064"/>
      <c r="F17036" s="3064"/>
      <c r="G17036" s="3301" t="s">
        <v>677</v>
      </c>
      <c r="H17036" s="3063"/>
      <c r="I17036" s="3030"/>
    </row>
    <row r="17037" spans="2:9">
      <c r="B17037" s="3192" t="s">
        <v>678</v>
      </c>
      <c r="C17037" s="3063"/>
      <c r="D17037" s="3064"/>
      <c r="E17037" s="3064"/>
      <c r="F17037" s="3064"/>
      <c r="G17037" s="3301" t="s">
        <v>678</v>
      </c>
      <c r="H17037" s="3063"/>
      <c r="I17037" s="3030"/>
    </row>
    <row r="17038" spans="2:9">
      <c r="B17038" s="3192" t="s">
        <v>679</v>
      </c>
      <c r="C17038" s="3063"/>
      <c r="D17038" s="3064"/>
      <c r="E17038" s="3064"/>
      <c r="F17038" s="3064"/>
      <c r="G17038" s="3301" t="s">
        <v>679</v>
      </c>
      <c r="H17038" s="3063"/>
      <c r="I17038" s="3030"/>
    </row>
    <row r="17039" spans="2:9" ht="25.5">
      <c r="B17039" s="3192" t="s">
        <v>720</v>
      </c>
      <c r="C17039" s="3063"/>
      <c r="D17039" s="3064"/>
      <c r="E17039" s="3064"/>
      <c r="F17039" s="3064"/>
      <c r="G17039" s="3301" t="s">
        <v>720</v>
      </c>
      <c r="H17039" s="3063"/>
      <c r="I17039" s="3030"/>
    </row>
    <row r="17040" spans="2:9" ht="38.25">
      <c r="B17040" s="3299" t="s">
        <v>681</v>
      </c>
      <c r="C17040" s="3063"/>
      <c r="D17040" s="3064"/>
      <c r="E17040" s="3064"/>
      <c r="F17040" s="3064"/>
      <c r="G17040" s="3300" t="s">
        <v>681</v>
      </c>
      <c r="H17040" s="3063"/>
      <c r="I17040" s="3030"/>
    </row>
    <row r="17041" spans="2:9" ht="25.5">
      <c r="B17041" s="3192" t="s">
        <v>675</v>
      </c>
      <c r="C17041" s="3063"/>
      <c r="D17041" s="3064"/>
      <c r="E17041" s="3064"/>
      <c r="F17041" s="3064"/>
      <c r="G17041" s="3301" t="s">
        <v>675</v>
      </c>
      <c r="H17041" s="3063"/>
      <c r="I17041" s="3030"/>
    </row>
    <row r="17042" spans="2:9" ht="25.5">
      <c r="B17042" s="3192" t="s">
        <v>676</v>
      </c>
      <c r="C17042" s="3063"/>
      <c r="D17042" s="3064"/>
      <c r="E17042" s="3064"/>
      <c r="F17042" s="3064"/>
      <c r="G17042" s="3301" t="s">
        <v>676</v>
      </c>
      <c r="H17042" s="3063"/>
      <c r="I17042" s="3030"/>
    </row>
    <row r="17043" spans="2:9">
      <c r="B17043" s="3192" t="s">
        <v>677</v>
      </c>
      <c r="C17043" s="3063"/>
      <c r="D17043" s="3064"/>
      <c r="E17043" s="3064"/>
      <c r="F17043" s="3064"/>
      <c r="G17043" s="3301" t="s">
        <v>677</v>
      </c>
      <c r="H17043" s="3063"/>
      <c r="I17043" s="3030"/>
    </row>
    <row r="17044" spans="2:9">
      <c r="B17044" s="3192" t="s">
        <v>678</v>
      </c>
      <c r="C17044" s="3063"/>
      <c r="D17044" s="3064"/>
      <c r="E17044" s="3064"/>
      <c r="F17044" s="3064"/>
      <c r="G17044" s="3301" t="s">
        <v>678</v>
      </c>
      <c r="H17044" s="3063"/>
      <c r="I17044" s="3030"/>
    </row>
    <row r="17045" spans="2:9">
      <c r="B17045" s="3192" t="s">
        <v>679</v>
      </c>
      <c r="C17045" s="3063"/>
      <c r="D17045" s="3064"/>
      <c r="E17045" s="3064"/>
      <c r="F17045" s="3064"/>
      <c r="G17045" s="3301" t="s">
        <v>679</v>
      </c>
      <c r="H17045" s="3063"/>
      <c r="I17045" s="3030"/>
    </row>
    <row r="17046" spans="2:9" ht="25.5">
      <c r="B17046" s="3192" t="s">
        <v>720</v>
      </c>
      <c r="C17046" s="3063"/>
      <c r="D17046" s="3064"/>
      <c r="E17046" s="3064"/>
      <c r="F17046" s="3064"/>
      <c r="G17046" s="3301" t="s">
        <v>720</v>
      </c>
      <c r="H17046" s="3063"/>
      <c r="I17046" s="3030"/>
    </row>
    <row r="17047" spans="2:9" ht="25.5">
      <c r="B17047" s="3299" t="s">
        <v>682</v>
      </c>
      <c r="C17047" s="3063"/>
      <c r="D17047" s="3064"/>
      <c r="E17047" s="3064"/>
      <c r="F17047" s="3064"/>
      <c r="G17047" s="3300" t="s">
        <v>682</v>
      </c>
      <c r="H17047" s="3063"/>
      <c r="I17047" s="3030"/>
    </row>
    <row r="17048" spans="2:9" ht="25.5">
      <c r="B17048" s="3192" t="s">
        <v>675</v>
      </c>
      <c r="C17048" s="3063"/>
      <c r="D17048" s="3064"/>
      <c r="E17048" s="3064"/>
      <c r="F17048" s="3064"/>
      <c r="G17048" s="3301" t="s">
        <v>675</v>
      </c>
      <c r="H17048" s="3063"/>
      <c r="I17048" s="3030"/>
    </row>
    <row r="17049" spans="2:9" ht="25.5">
      <c r="B17049" s="3192" t="s">
        <v>676</v>
      </c>
      <c r="C17049" s="3063"/>
      <c r="D17049" s="3064"/>
      <c r="E17049" s="3064"/>
      <c r="F17049" s="3064"/>
      <c r="G17049" s="3301" t="s">
        <v>676</v>
      </c>
      <c r="H17049" s="3063"/>
      <c r="I17049" s="3030"/>
    </row>
    <row r="17050" spans="2:9">
      <c r="B17050" s="3192" t="s">
        <v>677</v>
      </c>
      <c r="C17050" s="3063"/>
      <c r="D17050" s="3064"/>
      <c r="E17050" s="3064"/>
      <c r="F17050" s="3064"/>
      <c r="G17050" s="3301" t="s">
        <v>677</v>
      </c>
      <c r="H17050" s="3063"/>
      <c r="I17050" s="3030"/>
    </row>
    <row r="17051" spans="2:9">
      <c r="B17051" s="3192" t="s">
        <v>678</v>
      </c>
      <c r="C17051" s="3063"/>
      <c r="D17051" s="3064"/>
      <c r="E17051" s="3064"/>
      <c r="F17051" s="3064"/>
      <c r="G17051" s="3301" t="s">
        <v>678</v>
      </c>
      <c r="H17051" s="3063"/>
      <c r="I17051" s="3030"/>
    </row>
    <row r="17052" spans="2:9">
      <c r="B17052" s="3192" t="s">
        <v>679</v>
      </c>
      <c r="C17052" s="3063"/>
      <c r="D17052" s="3064"/>
      <c r="E17052" s="3064"/>
      <c r="F17052" s="3064"/>
      <c r="G17052" s="3301" t="s">
        <v>679</v>
      </c>
      <c r="H17052" s="3063"/>
      <c r="I17052" s="3030"/>
    </row>
    <row r="17053" spans="2:9" ht="25.5">
      <c r="B17053" s="3192" t="s">
        <v>720</v>
      </c>
      <c r="C17053" s="3063"/>
      <c r="D17053" s="3064"/>
      <c r="E17053" s="3064"/>
      <c r="F17053" s="3064"/>
      <c r="G17053" s="3301" t="s">
        <v>720</v>
      </c>
      <c r="H17053" s="3063"/>
      <c r="I17053" s="3030"/>
    </row>
    <row r="17054" spans="2:9" ht="25.5">
      <c r="B17054" s="3299" t="s">
        <v>66</v>
      </c>
      <c r="C17054" s="3063"/>
      <c r="D17054" s="3064"/>
      <c r="E17054" s="3064"/>
      <c r="F17054" s="3064"/>
      <c r="G17054" s="3300" t="s">
        <v>66</v>
      </c>
      <c r="H17054" s="3063"/>
      <c r="I17054" s="3030"/>
    </row>
    <row r="17055" spans="2:9" ht="25.5">
      <c r="B17055" s="3192" t="s">
        <v>675</v>
      </c>
      <c r="C17055" s="3063"/>
      <c r="D17055" s="3064"/>
      <c r="E17055" s="3064"/>
      <c r="F17055" s="3064"/>
      <c r="G17055" s="3301" t="s">
        <v>675</v>
      </c>
      <c r="H17055" s="3063"/>
      <c r="I17055" s="3030"/>
    </row>
    <row r="17056" spans="2:9" ht="25.5">
      <c r="B17056" s="3192" t="s">
        <v>676</v>
      </c>
      <c r="C17056" s="3063"/>
      <c r="D17056" s="3064"/>
      <c r="E17056" s="3064"/>
      <c r="F17056" s="3064"/>
      <c r="G17056" s="3301" t="s">
        <v>676</v>
      </c>
      <c r="H17056" s="3063"/>
      <c r="I17056" s="3030"/>
    </row>
    <row r="17057" spans="2:9">
      <c r="B17057" s="3192" t="s">
        <v>677</v>
      </c>
      <c r="C17057" s="3063"/>
      <c r="D17057" s="3064"/>
      <c r="E17057" s="3064"/>
      <c r="F17057" s="3064"/>
      <c r="G17057" s="3301" t="s">
        <v>677</v>
      </c>
      <c r="H17057" s="3063"/>
      <c r="I17057" s="3030"/>
    </row>
    <row r="17058" spans="2:9">
      <c r="B17058" s="3192" t="s">
        <v>678</v>
      </c>
      <c r="C17058" s="3063"/>
      <c r="D17058" s="3064"/>
      <c r="E17058" s="3064"/>
      <c r="F17058" s="3064"/>
      <c r="G17058" s="3301" t="s">
        <v>678</v>
      </c>
      <c r="H17058" s="3063"/>
      <c r="I17058" s="3030"/>
    </row>
    <row r="17059" spans="2:9">
      <c r="B17059" s="3192" t="s">
        <v>679</v>
      </c>
      <c r="C17059" s="3063"/>
      <c r="D17059" s="3064"/>
      <c r="E17059" s="3064"/>
      <c r="F17059" s="3064"/>
      <c r="G17059" s="3301" t="s">
        <v>679</v>
      </c>
      <c r="H17059" s="3063"/>
      <c r="I17059" s="3030"/>
    </row>
    <row r="17060" spans="2:9" ht="25.5">
      <c r="B17060" s="3192" t="s">
        <v>720</v>
      </c>
      <c r="C17060" s="3063"/>
      <c r="D17060" s="3064"/>
      <c r="E17060" s="3064"/>
      <c r="F17060" s="3064"/>
      <c r="G17060" s="3301" t="s">
        <v>720</v>
      </c>
      <c r="H17060" s="3063"/>
      <c r="I17060" s="3030"/>
    </row>
    <row r="17061" spans="2:9">
      <c r="B17061" s="3299" t="s">
        <v>67</v>
      </c>
      <c r="C17061" s="3063"/>
      <c r="D17061" s="3064"/>
      <c r="E17061" s="3064"/>
      <c r="F17061" s="3064"/>
      <c r="G17061" s="3300" t="s">
        <v>67</v>
      </c>
      <c r="H17061" s="3063"/>
      <c r="I17061" s="3030"/>
    </row>
    <row r="17062" spans="2:9" ht="25.5">
      <c r="B17062" s="3192" t="s">
        <v>675</v>
      </c>
      <c r="C17062" s="3063"/>
      <c r="D17062" s="3064"/>
      <c r="E17062" s="3064"/>
      <c r="F17062" s="3064"/>
      <c r="G17062" s="3301" t="s">
        <v>675</v>
      </c>
      <c r="H17062" s="3063"/>
      <c r="I17062" s="3030"/>
    </row>
    <row r="17063" spans="2:9" ht="25.5">
      <c r="B17063" s="3192" t="s">
        <v>676</v>
      </c>
      <c r="C17063" s="3063"/>
      <c r="D17063" s="3064"/>
      <c r="E17063" s="3064"/>
      <c r="F17063" s="3064"/>
      <c r="G17063" s="3301" t="s">
        <v>676</v>
      </c>
      <c r="H17063" s="3063"/>
      <c r="I17063" s="3030"/>
    </row>
    <row r="17064" spans="2:9">
      <c r="B17064" s="3192" t="s">
        <v>677</v>
      </c>
      <c r="C17064" s="3063"/>
      <c r="D17064" s="3064"/>
      <c r="E17064" s="3064"/>
      <c r="F17064" s="3064"/>
      <c r="G17064" s="3301" t="s">
        <v>677</v>
      </c>
      <c r="H17064" s="3063"/>
      <c r="I17064" s="3030"/>
    </row>
    <row r="17065" spans="2:9">
      <c r="B17065" s="3192" t="s">
        <v>678</v>
      </c>
      <c r="C17065" s="3063"/>
      <c r="D17065" s="3064"/>
      <c r="E17065" s="3064"/>
      <c r="F17065" s="3064"/>
      <c r="G17065" s="3301" t="s">
        <v>678</v>
      </c>
      <c r="H17065" s="3063"/>
      <c r="I17065" s="3030"/>
    </row>
    <row r="17066" spans="2:9">
      <c r="B17066" s="3192" t="s">
        <v>679</v>
      </c>
      <c r="C17066" s="3063"/>
      <c r="D17066" s="3064"/>
      <c r="E17066" s="3064"/>
      <c r="F17066" s="3064"/>
      <c r="G17066" s="3301" t="s">
        <v>679</v>
      </c>
      <c r="H17066" s="3063"/>
      <c r="I17066" s="3030"/>
    </row>
    <row r="17067" spans="2:9" ht="25.5">
      <c r="B17067" s="3192" t="s">
        <v>720</v>
      </c>
      <c r="C17067" s="3063"/>
      <c r="D17067" s="3064"/>
      <c r="E17067" s="3064"/>
      <c r="F17067" s="3064"/>
      <c r="G17067" s="3301" t="s">
        <v>720</v>
      </c>
      <c r="H17067" s="3063"/>
      <c r="I17067" s="3030"/>
    </row>
    <row r="17068" spans="2:9" ht="25.5">
      <c r="B17068" s="3230" t="s">
        <v>81</v>
      </c>
      <c r="C17068" s="3063"/>
      <c r="D17068" s="3064"/>
      <c r="E17068" s="3064"/>
      <c r="F17068" s="3064"/>
      <c r="G17068" s="3302" t="s">
        <v>81</v>
      </c>
      <c r="H17068" s="3063"/>
      <c r="I17068" s="3030"/>
    </row>
    <row r="17069" spans="2:9" ht="26.25" thickBot="1">
      <c r="B17069" s="3303" t="s">
        <v>81</v>
      </c>
      <c r="C17069" s="3063"/>
      <c r="D17069" s="3064"/>
      <c r="E17069" s="3064"/>
      <c r="F17069" s="3064"/>
      <c r="G17069" s="3302" t="s">
        <v>81</v>
      </c>
      <c r="H17069" s="3063"/>
      <c r="I17069" s="3030"/>
    </row>
    <row r="17070" spans="2:9" ht="25.5">
      <c r="B17070" s="3217" t="s">
        <v>696</v>
      </c>
      <c r="C17070" s="3218"/>
      <c r="D17070" s="3219"/>
      <c r="E17070" s="3219"/>
      <c r="F17070" s="3219"/>
      <c r="G17070" s="3217" t="s">
        <v>696</v>
      </c>
      <c r="H17070" s="3297"/>
      <c r="I17070" s="3298"/>
    </row>
    <row r="17071" spans="2:9">
      <c r="B17071" s="3299" t="s">
        <v>64</v>
      </c>
      <c r="C17071" s="3063"/>
      <c r="D17071" s="3064"/>
      <c r="E17071" s="3064"/>
      <c r="F17071" s="3064"/>
      <c r="G17071" s="3300" t="s">
        <v>64</v>
      </c>
      <c r="H17071" s="3063"/>
      <c r="I17071" s="3030"/>
    </row>
    <row r="17072" spans="2:9" ht="25.5">
      <c r="B17072" s="3192" t="s">
        <v>675</v>
      </c>
      <c r="C17072" s="3063"/>
      <c r="D17072" s="3064"/>
      <c r="E17072" s="3064"/>
      <c r="F17072" s="3064"/>
      <c r="G17072" s="3301" t="s">
        <v>675</v>
      </c>
      <c r="H17072" s="3063"/>
      <c r="I17072" s="3030"/>
    </row>
    <row r="17073" spans="2:9" ht="25.5">
      <c r="B17073" s="3192" t="s">
        <v>676</v>
      </c>
      <c r="C17073" s="3063"/>
      <c r="D17073" s="3064"/>
      <c r="E17073" s="3064"/>
      <c r="F17073" s="3064"/>
      <c r="G17073" s="3301" t="s">
        <v>676</v>
      </c>
      <c r="H17073" s="3063"/>
      <c r="I17073" s="3030"/>
    </row>
    <row r="17074" spans="2:9">
      <c r="B17074" s="3192" t="s">
        <v>677</v>
      </c>
      <c r="C17074" s="3063"/>
      <c r="D17074" s="3064"/>
      <c r="E17074" s="3064"/>
      <c r="F17074" s="3064"/>
      <c r="G17074" s="3301" t="s">
        <v>677</v>
      </c>
      <c r="H17074" s="3063"/>
      <c r="I17074" s="3030"/>
    </row>
    <row r="17075" spans="2:9">
      <c r="B17075" s="3192" t="s">
        <v>678</v>
      </c>
      <c r="C17075" s="3063"/>
      <c r="D17075" s="3064"/>
      <c r="E17075" s="3064"/>
      <c r="F17075" s="3064"/>
      <c r="G17075" s="3301" t="s">
        <v>678</v>
      </c>
      <c r="H17075" s="3063"/>
      <c r="I17075" s="3030"/>
    </row>
    <row r="17076" spans="2:9">
      <c r="B17076" s="3192" t="s">
        <v>679</v>
      </c>
      <c r="C17076" s="3063"/>
      <c r="D17076" s="3064"/>
      <c r="E17076" s="3064"/>
      <c r="F17076" s="3064"/>
      <c r="G17076" s="3301" t="s">
        <v>679</v>
      </c>
      <c r="H17076" s="3063"/>
      <c r="I17076" s="3030"/>
    </row>
    <row r="17077" spans="2:9" ht="25.5">
      <c r="B17077" s="3192" t="s">
        <v>720</v>
      </c>
      <c r="C17077" s="3063"/>
      <c r="D17077" s="3064"/>
      <c r="E17077" s="3064"/>
      <c r="F17077" s="3064"/>
      <c r="G17077" s="3301" t="s">
        <v>720</v>
      </c>
      <c r="H17077" s="3063"/>
      <c r="I17077" s="3030"/>
    </row>
    <row r="17078" spans="2:9">
      <c r="B17078" s="3299" t="s">
        <v>65</v>
      </c>
      <c r="C17078" s="3063"/>
      <c r="D17078" s="3064"/>
      <c r="E17078" s="3064"/>
      <c r="F17078" s="3064"/>
      <c r="G17078" s="3300" t="s">
        <v>65</v>
      </c>
      <c r="H17078" s="3063"/>
      <c r="I17078" s="3030"/>
    </row>
    <row r="17079" spans="2:9" ht="25.5">
      <c r="B17079" s="3192" t="s">
        <v>675</v>
      </c>
      <c r="C17079" s="3063"/>
      <c r="D17079" s="3064"/>
      <c r="E17079" s="3064"/>
      <c r="F17079" s="3064"/>
      <c r="G17079" s="3301" t="s">
        <v>675</v>
      </c>
      <c r="H17079" s="3063"/>
      <c r="I17079" s="3030"/>
    </row>
    <row r="17080" spans="2:9" ht="25.5">
      <c r="B17080" s="3192" t="s">
        <v>676</v>
      </c>
      <c r="C17080" s="3063"/>
      <c r="D17080" s="3064"/>
      <c r="E17080" s="3064"/>
      <c r="F17080" s="3064"/>
      <c r="G17080" s="3301" t="s">
        <v>676</v>
      </c>
      <c r="H17080" s="3063"/>
      <c r="I17080" s="3030"/>
    </row>
    <row r="17081" spans="2:9">
      <c r="B17081" s="3192" t="s">
        <v>677</v>
      </c>
      <c r="C17081" s="3063"/>
      <c r="D17081" s="3064"/>
      <c r="E17081" s="3064"/>
      <c r="F17081" s="3064"/>
      <c r="G17081" s="3301" t="s">
        <v>677</v>
      </c>
      <c r="H17081" s="3063"/>
      <c r="I17081" s="3030"/>
    </row>
    <row r="17082" spans="2:9">
      <c r="B17082" s="3192" t="s">
        <v>678</v>
      </c>
      <c r="C17082" s="3063"/>
      <c r="D17082" s="3064"/>
      <c r="E17082" s="3064"/>
      <c r="F17082" s="3064"/>
      <c r="G17082" s="3301" t="s">
        <v>678</v>
      </c>
      <c r="H17082" s="3063"/>
      <c r="I17082" s="3030"/>
    </row>
    <row r="17083" spans="2:9">
      <c r="B17083" s="3192" t="s">
        <v>679</v>
      </c>
      <c r="C17083" s="3063"/>
      <c r="D17083" s="3064"/>
      <c r="E17083" s="3064"/>
      <c r="F17083" s="3064"/>
      <c r="G17083" s="3301" t="s">
        <v>679</v>
      </c>
      <c r="H17083" s="3063"/>
      <c r="I17083" s="3030"/>
    </row>
    <row r="17084" spans="2:9" ht="25.5">
      <c r="B17084" s="3192" t="s">
        <v>720</v>
      </c>
      <c r="C17084" s="3063"/>
      <c r="D17084" s="3064"/>
      <c r="E17084" s="3064"/>
      <c r="F17084" s="3064"/>
      <c r="G17084" s="3301" t="s">
        <v>720</v>
      </c>
      <c r="H17084" s="3063"/>
      <c r="I17084" s="3030"/>
    </row>
    <row r="17085" spans="2:9">
      <c r="B17085" s="3299" t="s">
        <v>82</v>
      </c>
      <c r="C17085" s="3063"/>
      <c r="D17085" s="3064"/>
      <c r="E17085" s="3064"/>
      <c r="F17085" s="3064"/>
      <c r="G17085" s="3300" t="s">
        <v>82</v>
      </c>
      <c r="H17085" s="3063"/>
      <c r="I17085" s="3030"/>
    </row>
    <row r="17086" spans="2:9" ht="25.5">
      <c r="B17086" s="3192" t="s">
        <v>675</v>
      </c>
      <c r="C17086" s="3063"/>
      <c r="D17086" s="3064"/>
      <c r="E17086" s="3064"/>
      <c r="F17086" s="3064"/>
      <c r="G17086" s="3301" t="s">
        <v>675</v>
      </c>
      <c r="H17086" s="3063"/>
      <c r="I17086" s="3030"/>
    </row>
    <row r="17087" spans="2:9" ht="25.5">
      <c r="B17087" s="3192" t="s">
        <v>676</v>
      </c>
      <c r="C17087" s="3063"/>
      <c r="D17087" s="3064"/>
      <c r="E17087" s="3064"/>
      <c r="F17087" s="3064"/>
      <c r="G17087" s="3301" t="s">
        <v>676</v>
      </c>
      <c r="H17087" s="3063"/>
      <c r="I17087" s="3030"/>
    </row>
    <row r="17088" spans="2:9">
      <c r="B17088" s="3192" t="s">
        <v>677</v>
      </c>
      <c r="C17088" s="3063"/>
      <c r="D17088" s="3064"/>
      <c r="E17088" s="3064"/>
      <c r="F17088" s="3064"/>
      <c r="G17088" s="3301" t="s">
        <v>677</v>
      </c>
      <c r="H17088" s="3063"/>
      <c r="I17088" s="3030"/>
    </row>
    <row r="17089" spans="2:9">
      <c r="B17089" s="3192" t="s">
        <v>678</v>
      </c>
      <c r="C17089" s="3063"/>
      <c r="D17089" s="3064"/>
      <c r="E17089" s="3064"/>
      <c r="F17089" s="3064"/>
      <c r="G17089" s="3301" t="s">
        <v>678</v>
      </c>
      <c r="H17089" s="3063"/>
      <c r="I17089" s="3030"/>
    </row>
    <row r="17090" spans="2:9">
      <c r="B17090" s="3192" t="s">
        <v>679</v>
      </c>
      <c r="C17090" s="3063"/>
      <c r="D17090" s="3064"/>
      <c r="E17090" s="3064"/>
      <c r="F17090" s="3064"/>
      <c r="G17090" s="3301" t="s">
        <v>679</v>
      </c>
      <c r="H17090" s="3063"/>
      <c r="I17090" s="3030"/>
    </row>
    <row r="17091" spans="2:9" ht="25.5">
      <c r="B17091" s="3192" t="s">
        <v>720</v>
      </c>
      <c r="C17091" s="3063"/>
      <c r="D17091" s="3064"/>
      <c r="E17091" s="3064"/>
      <c r="F17091" s="3064"/>
      <c r="G17091" s="3301" t="s">
        <v>720</v>
      </c>
      <c r="H17091" s="3063"/>
      <c r="I17091" s="3030"/>
    </row>
    <row r="17092" spans="2:9" ht="38.25">
      <c r="B17092" s="3299" t="s">
        <v>680</v>
      </c>
      <c r="C17092" s="3063"/>
      <c r="D17092" s="3064"/>
      <c r="E17092" s="3064"/>
      <c r="F17092" s="3064"/>
      <c r="G17092" s="3300" t="s">
        <v>680</v>
      </c>
      <c r="H17092" s="3063"/>
      <c r="I17092" s="3030"/>
    </row>
    <row r="17093" spans="2:9" ht="25.5">
      <c r="B17093" s="3192" t="s">
        <v>675</v>
      </c>
      <c r="C17093" s="3063"/>
      <c r="D17093" s="3064"/>
      <c r="E17093" s="3064"/>
      <c r="F17093" s="3064"/>
      <c r="G17093" s="3301" t="s">
        <v>675</v>
      </c>
      <c r="H17093" s="3063"/>
      <c r="I17093" s="3030"/>
    </row>
    <row r="17094" spans="2:9" ht="25.5">
      <c r="B17094" s="3192" t="s">
        <v>676</v>
      </c>
      <c r="C17094" s="3063"/>
      <c r="D17094" s="3064"/>
      <c r="E17094" s="3064"/>
      <c r="F17094" s="3064"/>
      <c r="G17094" s="3301" t="s">
        <v>676</v>
      </c>
      <c r="H17094" s="3063"/>
      <c r="I17094" s="3030"/>
    </row>
    <row r="17095" spans="2:9">
      <c r="B17095" s="3192" t="s">
        <v>677</v>
      </c>
      <c r="C17095" s="3063"/>
      <c r="D17095" s="3064"/>
      <c r="E17095" s="3064"/>
      <c r="F17095" s="3064"/>
      <c r="G17095" s="3301" t="s">
        <v>677</v>
      </c>
      <c r="H17095" s="3063"/>
      <c r="I17095" s="3030"/>
    </row>
    <row r="17096" spans="2:9">
      <c r="B17096" s="3192" t="s">
        <v>678</v>
      </c>
      <c r="C17096" s="3063"/>
      <c r="D17096" s="3064"/>
      <c r="E17096" s="3064"/>
      <c r="F17096" s="3064"/>
      <c r="G17096" s="3301" t="s">
        <v>678</v>
      </c>
      <c r="H17096" s="3063"/>
      <c r="I17096" s="3030"/>
    </row>
    <row r="17097" spans="2:9">
      <c r="B17097" s="3192" t="s">
        <v>679</v>
      </c>
      <c r="C17097" s="3063"/>
      <c r="D17097" s="3064"/>
      <c r="E17097" s="3064"/>
      <c r="F17097" s="3064"/>
      <c r="G17097" s="3301" t="s">
        <v>679</v>
      </c>
      <c r="H17097" s="3063"/>
      <c r="I17097" s="3030"/>
    </row>
    <row r="17098" spans="2:9" ht="25.5">
      <c r="B17098" s="3192" t="s">
        <v>720</v>
      </c>
      <c r="C17098" s="3063"/>
      <c r="D17098" s="3064"/>
      <c r="E17098" s="3064"/>
      <c r="F17098" s="3064"/>
      <c r="G17098" s="3301" t="s">
        <v>720</v>
      </c>
      <c r="H17098" s="3063"/>
      <c r="I17098" s="3030"/>
    </row>
    <row r="17099" spans="2:9" ht="38.25">
      <c r="B17099" s="3299" t="s">
        <v>681</v>
      </c>
      <c r="C17099" s="3063"/>
      <c r="D17099" s="3064"/>
      <c r="E17099" s="3064"/>
      <c r="F17099" s="3064">
        <v>1</v>
      </c>
      <c r="G17099" s="3300" t="s">
        <v>681</v>
      </c>
      <c r="H17099" s="3063"/>
      <c r="I17099" s="3030"/>
    </row>
    <row r="17100" spans="2:9" ht="25.5">
      <c r="B17100" s="3192" t="s">
        <v>675</v>
      </c>
      <c r="C17100" s="3063"/>
      <c r="D17100" s="3064"/>
      <c r="E17100" s="3064"/>
      <c r="F17100" s="3064"/>
      <c r="G17100" s="3301" t="s">
        <v>675</v>
      </c>
      <c r="H17100" s="3063"/>
      <c r="I17100" s="3030"/>
    </row>
    <row r="17101" spans="2:9" ht="25.5">
      <c r="B17101" s="3192" t="s">
        <v>676</v>
      </c>
      <c r="C17101" s="3063"/>
      <c r="D17101" s="3064"/>
      <c r="E17101" s="3064"/>
      <c r="F17101" s="3064"/>
      <c r="G17101" s="3301" t="s">
        <v>676</v>
      </c>
      <c r="H17101" s="3063"/>
      <c r="I17101" s="3030"/>
    </row>
    <row r="17102" spans="2:9">
      <c r="B17102" s="3192" t="s">
        <v>677</v>
      </c>
      <c r="C17102" s="3063"/>
      <c r="D17102" s="3064"/>
      <c r="E17102" s="3064"/>
      <c r="F17102" s="3064"/>
      <c r="G17102" s="3301" t="s">
        <v>677</v>
      </c>
      <c r="H17102" s="3063"/>
      <c r="I17102" s="3030"/>
    </row>
    <row r="17103" spans="2:9">
      <c r="B17103" s="3192" t="s">
        <v>678</v>
      </c>
      <c r="C17103" s="3063"/>
      <c r="D17103" s="3064"/>
      <c r="E17103" s="3064"/>
      <c r="F17103" s="3064"/>
      <c r="G17103" s="3301" t="s">
        <v>678</v>
      </c>
      <c r="H17103" s="3063"/>
      <c r="I17103" s="3030"/>
    </row>
    <row r="17104" spans="2:9">
      <c r="B17104" s="3192" t="s">
        <v>679</v>
      </c>
      <c r="C17104" s="3063"/>
      <c r="D17104" s="3064"/>
      <c r="E17104" s="3064"/>
      <c r="F17104" s="3064"/>
      <c r="G17104" s="3301" t="s">
        <v>679</v>
      </c>
      <c r="H17104" s="3063"/>
      <c r="I17104" s="3030"/>
    </row>
    <row r="17105" spans="2:9" ht="25.5">
      <c r="B17105" s="3192" t="s">
        <v>720</v>
      </c>
      <c r="C17105" s="3063"/>
      <c r="D17105" s="3064"/>
      <c r="E17105" s="3064"/>
      <c r="F17105" s="3064"/>
      <c r="G17105" s="3301" t="s">
        <v>720</v>
      </c>
      <c r="H17105" s="3063"/>
      <c r="I17105" s="3030"/>
    </row>
    <row r="17106" spans="2:9" ht="25.5">
      <c r="B17106" s="3299" t="s">
        <v>682</v>
      </c>
      <c r="C17106" s="3063"/>
      <c r="D17106" s="3064"/>
      <c r="E17106" s="3064"/>
      <c r="F17106" s="3064"/>
      <c r="G17106" s="3300" t="s">
        <v>682</v>
      </c>
      <c r="H17106" s="3063"/>
      <c r="I17106" s="3030"/>
    </row>
    <row r="17107" spans="2:9" ht="25.5">
      <c r="B17107" s="3192" t="s">
        <v>675</v>
      </c>
      <c r="C17107" s="3063"/>
      <c r="D17107" s="3064"/>
      <c r="E17107" s="3064"/>
      <c r="F17107" s="3064"/>
      <c r="G17107" s="3301" t="s">
        <v>675</v>
      </c>
      <c r="H17107" s="3063"/>
      <c r="I17107" s="3030"/>
    </row>
    <row r="17108" spans="2:9" ht="25.5">
      <c r="B17108" s="3192" t="s">
        <v>676</v>
      </c>
      <c r="C17108" s="3063"/>
      <c r="D17108" s="3064"/>
      <c r="E17108" s="3064"/>
      <c r="F17108" s="3064"/>
      <c r="G17108" s="3301" t="s">
        <v>676</v>
      </c>
      <c r="H17108" s="3063"/>
      <c r="I17108" s="3030"/>
    </row>
    <row r="17109" spans="2:9">
      <c r="B17109" s="3192" t="s">
        <v>677</v>
      </c>
      <c r="C17109" s="3063"/>
      <c r="D17109" s="3064"/>
      <c r="E17109" s="3064"/>
      <c r="F17109" s="3064"/>
      <c r="G17109" s="3301" t="s">
        <v>677</v>
      </c>
      <c r="H17109" s="3063"/>
      <c r="I17109" s="3030"/>
    </row>
    <row r="17110" spans="2:9">
      <c r="B17110" s="3192" t="s">
        <v>678</v>
      </c>
      <c r="C17110" s="3063"/>
      <c r="D17110" s="3064"/>
      <c r="E17110" s="3064"/>
      <c r="F17110" s="3064"/>
      <c r="G17110" s="3301" t="s">
        <v>678</v>
      </c>
      <c r="H17110" s="3063"/>
      <c r="I17110" s="3030"/>
    </row>
    <row r="17111" spans="2:9">
      <c r="B17111" s="3192" t="s">
        <v>679</v>
      </c>
      <c r="C17111" s="3063"/>
      <c r="D17111" s="3064"/>
      <c r="E17111" s="3064"/>
      <c r="F17111" s="3064"/>
      <c r="G17111" s="3301" t="s">
        <v>679</v>
      </c>
      <c r="H17111" s="3063"/>
      <c r="I17111" s="3030"/>
    </row>
    <row r="17112" spans="2:9" ht="25.5">
      <c r="B17112" s="3192" t="s">
        <v>720</v>
      </c>
      <c r="C17112" s="3063"/>
      <c r="D17112" s="3064"/>
      <c r="E17112" s="3064"/>
      <c r="F17112" s="3064"/>
      <c r="G17112" s="3301" t="s">
        <v>720</v>
      </c>
      <c r="H17112" s="3063"/>
      <c r="I17112" s="3030"/>
    </row>
    <row r="17113" spans="2:9" ht="25.5">
      <c r="B17113" s="3299" t="s">
        <v>66</v>
      </c>
      <c r="C17113" s="3063"/>
      <c r="D17113" s="3064"/>
      <c r="E17113" s="3064"/>
      <c r="F17113" s="3064"/>
      <c r="G17113" s="3300" t="s">
        <v>66</v>
      </c>
      <c r="H17113" s="3063"/>
      <c r="I17113" s="3030"/>
    </row>
    <row r="17114" spans="2:9" ht="25.5">
      <c r="B17114" s="3192" t="s">
        <v>675</v>
      </c>
      <c r="C17114" s="3063"/>
      <c r="D17114" s="3064"/>
      <c r="E17114" s="3064"/>
      <c r="F17114" s="3064"/>
      <c r="G17114" s="3301" t="s">
        <v>675</v>
      </c>
      <c r="H17114" s="3063"/>
      <c r="I17114" s="3030"/>
    </row>
    <row r="17115" spans="2:9" ht="25.5">
      <c r="B17115" s="3192" t="s">
        <v>676</v>
      </c>
      <c r="C17115" s="3063"/>
      <c r="D17115" s="3064"/>
      <c r="E17115" s="3064"/>
      <c r="F17115" s="3064"/>
      <c r="G17115" s="3301" t="s">
        <v>676</v>
      </c>
      <c r="H17115" s="3063"/>
      <c r="I17115" s="3030"/>
    </row>
    <row r="17116" spans="2:9">
      <c r="B17116" s="3192" t="s">
        <v>677</v>
      </c>
      <c r="C17116" s="3063"/>
      <c r="D17116" s="3064"/>
      <c r="E17116" s="3064"/>
      <c r="F17116" s="3064"/>
      <c r="G17116" s="3301" t="s">
        <v>677</v>
      </c>
      <c r="H17116" s="3063"/>
      <c r="I17116" s="3030"/>
    </row>
    <row r="17117" spans="2:9">
      <c r="B17117" s="3192" t="s">
        <v>678</v>
      </c>
      <c r="C17117" s="3063"/>
      <c r="D17117" s="3064"/>
      <c r="E17117" s="3064"/>
      <c r="F17117" s="3064"/>
      <c r="G17117" s="3301" t="s">
        <v>678</v>
      </c>
      <c r="H17117" s="3063"/>
      <c r="I17117" s="3030"/>
    </row>
    <row r="17118" spans="2:9">
      <c r="B17118" s="3192" t="s">
        <v>679</v>
      </c>
      <c r="C17118" s="3063"/>
      <c r="D17118" s="3064"/>
      <c r="E17118" s="3064"/>
      <c r="F17118" s="3064"/>
      <c r="G17118" s="3301" t="s">
        <v>679</v>
      </c>
      <c r="H17118" s="3063"/>
      <c r="I17118" s="3030"/>
    </row>
    <row r="17119" spans="2:9" ht="25.5">
      <c r="B17119" s="3192" t="s">
        <v>720</v>
      </c>
      <c r="C17119" s="3063"/>
      <c r="D17119" s="3064"/>
      <c r="E17119" s="3064"/>
      <c r="F17119" s="3064"/>
      <c r="G17119" s="3301" t="s">
        <v>720</v>
      </c>
      <c r="H17119" s="3063"/>
      <c r="I17119" s="3030"/>
    </row>
    <row r="17120" spans="2:9">
      <c r="B17120" s="3299" t="s">
        <v>67</v>
      </c>
      <c r="C17120" s="3063"/>
      <c r="D17120" s="3064"/>
      <c r="E17120" s="3064"/>
      <c r="F17120" s="3064"/>
      <c r="G17120" s="3300" t="s">
        <v>67</v>
      </c>
      <c r="H17120" s="3063"/>
      <c r="I17120" s="3030"/>
    </row>
    <row r="17121" spans="2:9" ht="25.5">
      <c r="B17121" s="3192" t="s">
        <v>675</v>
      </c>
      <c r="C17121" s="3063"/>
      <c r="D17121" s="3064"/>
      <c r="E17121" s="3064"/>
      <c r="F17121" s="3064"/>
      <c r="G17121" s="3301" t="s">
        <v>675</v>
      </c>
      <c r="H17121" s="3063"/>
      <c r="I17121" s="3030"/>
    </row>
    <row r="17122" spans="2:9" ht="25.5">
      <c r="B17122" s="3192" t="s">
        <v>676</v>
      </c>
      <c r="C17122" s="3063"/>
      <c r="D17122" s="3064"/>
      <c r="E17122" s="3064"/>
      <c r="F17122" s="3064"/>
      <c r="G17122" s="3301" t="s">
        <v>676</v>
      </c>
      <c r="H17122" s="3063"/>
      <c r="I17122" s="3030"/>
    </row>
    <row r="17123" spans="2:9">
      <c r="B17123" s="3192" t="s">
        <v>677</v>
      </c>
      <c r="C17123" s="3063"/>
      <c r="D17123" s="3064"/>
      <c r="E17123" s="3064"/>
      <c r="F17123" s="3064"/>
      <c r="G17123" s="3301" t="s">
        <v>677</v>
      </c>
      <c r="H17123" s="3063"/>
      <c r="I17123" s="3030"/>
    </row>
    <row r="17124" spans="2:9">
      <c r="B17124" s="3192" t="s">
        <v>678</v>
      </c>
      <c r="C17124" s="3063"/>
      <c r="D17124" s="3064"/>
      <c r="E17124" s="3064"/>
      <c r="F17124" s="3064"/>
      <c r="G17124" s="3301" t="s">
        <v>678</v>
      </c>
      <c r="H17124" s="3063"/>
      <c r="I17124" s="3030"/>
    </row>
    <row r="17125" spans="2:9">
      <c r="B17125" s="3192" t="s">
        <v>679</v>
      </c>
      <c r="C17125" s="3063"/>
      <c r="D17125" s="3064"/>
      <c r="E17125" s="3064"/>
      <c r="F17125" s="3064"/>
      <c r="G17125" s="3301" t="s">
        <v>679</v>
      </c>
      <c r="H17125" s="3063"/>
      <c r="I17125" s="3030"/>
    </row>
    <row r="17126" spans="2:9" ht="25.5">
      <c r="B17126" s="3230" t="s">
        <v>81</v>
      </c>
      <c r="C17126" s="3063"/>
      <c r="D17126" s="3064"/>
      <c r="E17126" s="3064"/>
      <c r="F17126" s="3064"/>
      <c r="G17126" s="3302" t="s">
        <v>81</v>
      </c>
      <c r="H17126" s="3063"/>
      <c r="I17126" s="3030"/>
    </row>
    <row r="17127" spans="2:9" ht="26.25" thickBot="1">
      <c r="B17127" s="3303" t="s">
        <v>81</v>
      </c>
      <c r="C17127" s="3063"/>
      <c r="D17127" s="3064"/>
      <c r="E17127" s="3064"/>
      <c r="F17127" s="3064"/>
      <c r="G17127" s="3302" t="s">
        <v>81</v>
      </c>
      <c r="H17127" s="3063"/>
      <c r="I17127" s="3030"/>
    </row>
    <row r="17128" spans="2:9">
      <c r="B17128" s="3217" t="s">
        <v>697</v>
      </c>
      <c r="C17128" s="3218"/>
      <c r="D17128" s="3219"/>
      <c r="E17128" s="3219"/>
      <c r="F17128" s="3219"/>
      <c r="G17128" s="3217" t="s">
        <v>697</v>
      </c>
      <c r="H17128" s="3297"/>
      <c r="I17128" s="3298"/>
    </row>
    <row r="17129" spans="2:9">
      <c r="B17129" s="3299" t="s">
        <v>64</v>
      </c>
      <c r="C17129" s="3063"/>
      <c r="D17129" s="3064"/>
      <c r="E17129" s="3064"/>
      <c r="F17129" s="3064"/>
      <c r="G17129" s="3300" t="s">
        <v>64</v>
      </c>
      <c r="H17129" s="3063"/>
      <c r="I17129" s="3030"/>
    </row>
    <row r="17130" spans="2:9" ht="25.5">
      <c r="B17130" s="3192" t="s">
        <v>675</v>
      </c>
      <c r="C17130" s="3063"/>
      <c r="D17130" s="3064"/>
      <c r="E17130" s="3064"/>
      <c r="F17130" s="3064"/>
      <c r="G17130" s="3301" t="s">
        <v>675</v>
      </c>
      <c r="H17130" s="3063"/>
      <c r="I17130" s="3030"/>
    </row>
    <row r="17131" spans="2:9" ht="25.5">
      <c r="B17131" s="3192" t="s">
        <v>676</v>
      </c>
      <c r="C17131" s="3063"/>
      <c r="D17131" s="3064"/>
      <c r="E17131" s="3064"/>
      <c r="F17131" s="3064"/>
      <c r="G17131" s="3301" t="s">
        <v>676</v>
      </c>
      <c r="H17131" s="3063"/>
      <c r="I17131" s="3030"/>
    </row>
    <row r="17132" spans="2:9">
      <c r="B17132" s="3192" t="s">
        <v>677</v>
      </c>
      <c r="C17132" s="3063"/>
      <c r="D17132" s="3064"/>
      <c r="E17132" s="3064"/>
      <c r="F17132" s="3064"/>
      <c r="G17132" s="3301" t="s">
        <v>677</v>
      </c>
      <c r="H17132" s="3063"/>
      <c r="I17132" s="3030"/>
    </row>
    <row r="17133" spans="2:9">
      <c r="B17133" s="3192" t="s">
        <v>678</v>
      </c>
      <c r="C17133" s="3063"/>
      <c r="D17133" s="3064"/>
      <c r="E17133" s="3064"/>
      <c r="F17133" s="3064"/>
      <c r="G17133" s="3301" t="s">
        <v>678</v>
      </c>
      <c r="H17133" s="3063"/>
      <c r="I17133" s="3030"/>
    </row>
    <row r="17134" spans="2:9">
      <c r="B17134" s="3192" t="s">
        <v>679</v>
      </c>
      <c r="C17134" s="3063"/>
      <c r="D17134" s="3064"/>
      <c r="E17134" s="3064"/>
      <c r="F17134" s="3064"/>
      <c r="G17134" s="3301" t="s">
        <v>679</v>
      </c>
      <c r="H17134" s="3063"/>
      <c r="I17134" s="3030"/>
    </row>
    <row r="17135" spans="2:9" ht="25.5">
      <c r="B17135" s="3192" t="s">
        <v>720</v>
      </c>
      <c r="C17135" s="3063"/>
      <c r="D17135" s="3064"/>
      <c r="E17135" s="3064"/>
      <c r="F17135" s="3064"/>
      <c r="G17135" s="3301" t="s">
        <v>720</v>
      </c>
      <c r="H17135" s="3063"/>
      <c r="I17135" s="3030"/>
    </row>
    <row r="17136" spans="2:9">
      <c r="B17136" s="3299" t="s">
        <v>65</v>
      </c>
      <c r="C17136" s="3063"/>
      <c r="D17136" s="3064"/>
      <c r="E17136" s="3064"/>
      <c r="F17136" s="3064"/>
      <c r="G17136" s="3300" t="s">
        <v>65</v>
      </c>
      <c r="H17136" s="3063"/>
      <c r="I17136" s="3030"/>
    </row>
    <row r="17137" spans="2:9" ht="25.5">
      <c r="B17137" s="3192" t="s">
        <v>675</v>
      </c>
      <c r="C17137" s="3063"/>
      <c r="D17137" s="3064"/>
      <c r="E17137" s="3064"/>
      <c r="F17137" s="3064"/>
      <c r="G17137" s="3301" t="s">
        <v>675</v>
      </c>
      <c r="H17137" s="3063"/>
      <c r="I17137" s="3030"/>
    </row>
    <row r="17138" spans="2:9" ht="25.5">
      <c r="B17138" s="3192" t="s">
        <v>676</v>
      </c>
      <c r="C17138" s="3063"/>
      <c r="D17138" s="3064"/>
      <c r="E17138" s="3064"/>
      <c r="F17138" s="3064"/>
      <c r="G17138" s="3301" t="s">
        <v>676</v>
      </c>
      <c r="H17138" s="3063"/>
      <c r="I17138" s="3030"/>
    </row>
    <row r="17139" spans="2:9">
      <c r="B17139" s="3192" t="s">
        <v>677</v>
      </c>
      <c r="C17139" s="3063"/>
      <c r="D17139" s="3064"/>
      <c r="E17139" s="3064"/>
      <c r="F17139" s="3064"/>
      <c r="G17139" s="3301" t="s">
        <v>677</v>
      </c>
      <c r="H17139" s="3063"/>
      <c r="I17139" s="3030"/>
    </row>
    <row r="17140" spans="2:9">
      <c r="B17140" s="3192" t="s">
        <v>678</v>
      </c>
      <c r="C17140" s="3063"/>
      <c r="D17140" s="3064"/>
      <c r="E17140" s="3064"/>
      <c r="F17140" s="3064"/>
      <c r="G17140" s="3301" t="s">
        <v>678</v>
      </c>
      <c r="H17140" s="3063"/>
      <c r="I17140" s="3030"/>
    </row>
    <row r="17141" spans="2:9">
      <c r="B17141" s="3192" t="s">
        <v>679</v>
      </c>
      <c r="C17141" s="3063"/>
      <c r="D17141" s="3064"/>
      <c r="E17141" s="3064"/>
      <c r="F17141" s="3064"/>
      <c r="G17141" s="3301" t="s">
        <v>679</v>
      </c>
      <c r="H17141" s="3063"/>
      <c r="I17141" s="3030"/>
    </row>
    <row r="17142" spans="2:9" ht="25.5">
      <c r="B17142" s="3192" t="s">
        <v>720</v>
      </c>
      <c r="C17142" s="3063"/>
      <c r="D17142" s="3064"/>
      <c r="E17142" s="3064"/>
      <c r="F17142" s="3064"/>
      <c r="G17142" s="3301" t="s">
        <v>720</v>
      </c>
      <c r="H17142" s="3063"/>
      <c r="I17142" s="3030"/>
    </row>
    <row r="17143" spans="2:9">
      <c r="B17143" s="3299" t="s">
        <v>82</v>
      </c>
      <c r="C17143" s="3063"/>
      <c r="D17143" s="3064"/>
      <c r="E17143" s="3064"/>
      <c r="F17143" s="3064"/>
      <c r="G17143" s="3300" t="s">
        <v>82</v>
      </c>
      <c r="H17143" s="3063"/>
      <c r="I17143" s="3030"/>
    </row>
    <row r="17144" spans="2:9" ht="25.5">
      <c r="B17144" s="3192" t="s">
        <v>675</v>
      </c>
      <c r="C17144" s="3063"/>
      <c r="D17144" s="3064"/>
      <c r="E17144" s="3064"/>
      <c r="F17144" s="3064"/>
      <c r="G17144" s="3301" t="s">
        <v>675</v>
      </c>
      <c r="H17144" s="3063"/>
      <c r="I17144" s="3030"/>
    </row>
    <row r="17145" spans="2:9" ht="25.5">
      <c r="B17145" s="3192" t="s">
        <v>676</v>
      </c>
      <c r="C17145" s="3063"/>
      <c r="D17145" s="3064"/>
      <c r="E17145" s="3064"/>
      <c r="F17145" s="3064"/>
      <c r="G17145" s="3301" t="s">
        <v>676</v>
      </c>
      <c r="H17145" s="3063"/>
      <c r="I17145" s="3030"/>
    </row>
    <row r="17146" spans="2:9">
      <c r="B17146" s="3192" t="s">
        <v>677</v>
      </c>
      <c r="C17146" s="3063"/>
      <c r="D17146" s="3064"/>
      <c r="E17146" s="3064"/>
      <c r="F17146" s="3064"/>
      <c r="G17146" s="3301" t="s">
        <v>677</v>
      </c>
      <c r="H17146" s="3063"/>
      <c r="I17146" s="3030"/>
    </row>
    <row r="17147" spans="2:9">
      <c r="B17147" s="3192" t="s">
        <v>678</v>
      </c>
      <c r="C17147" s="3063"/>
      <c r="D17147" s="3064"/>
      <c r="E17147" s="3064"/>
      <c r="F17147" s="3064"/>
      <c r="G17147" s="3301" t="s">
        <v>678</v>
      </c>
      <c r="H17147" s="3063"/>
      <c r="I17147" s="3030"/>
    </row>
    <row r="17148" spans="2:9">
      <c r="B17148" s="3192" t="s">
        <v>679</v>
      </c>
      <c r="C17148" s="3063"/>
      <c r="D17148" s="3064"/>
      <c r="E17148" s="3064"/>
      <c r="F17148" s="3064"/>
      <c r="G17148" s="3301" t="s">
        <v>679</v>
      </c>
      <c r="H17148" s="3063"/>
      <c r="I17148" s="3030"/>
    </row>
    <row r="17149" spans="2:9" ht="25.5">
      <c r="B17149" s="3192" t="s">
        <v>720</v>
      </c>
      <c r="C17149" s="3063"/>
      <c r="D17149" s="3064"/>
      <c r="E17149" s="3064"/>
      <c r="F17149" s="3064"/>
      <c r="G17149" s="3301" t="s">
        <v>720</v>
      </c>
      <c r="H17149" s="3063"/>
      <c r="I17149" s="3030"/>
    </row>
    <row r="17150" spans="2:9" ht="38.25">
      <c r="B17150" s="3299" t="s">
        <v>680</v>
      </c>
      <c r="C17150" s="3063"/>
      <c r="D17150" s="3064"/>
      <c r="E17150" s="3064"/>
      <c r="F17150" s="3064"/>
      <c r="G17150" s="3300" t="s">
        <v>680</v>
      </c>
      <c r="H17150" s="3063"/>
      <c r="I17150" s="3030"/>
    </row>
    <row r="17151" spans="2:9" ht="25.5">
      <c r="B17151" s="3192" t="s">
        <v>675</v>
      </c>
      <c r="C17151" s="3063"/>
      <c r="D17151" s="3064"/>
      <c r="E17151" s="3064"/>
      <c r="F17151" s="3064"/>
      <c r="G17151" s="3301" t="s">
        <v>675</v>
      </c>
      <c r="H17151" s="3063"/>
      <c r="I17151" s="3030"/>
    </row>
    <row r="17152" spans="2:9" ht="25.5">
      <c r="B17152" s="3192" t="s">
        <v>676</v>
      </c>
      <c r="C17152" s="3063"/>
      <c r="D17152" s="3064"/>
      <c r="E17152" s="3064"/>
      <c r="F17152" s="3064"/>
      <c r="G17152" s="3301" t="s">
        <v>676</v>
      </c>
      <c r="H17152" s="3063"/>
      <c r="I17152" s="3030"/>
    </row>
    <row r="17153" spans="2:9">
      <c r="B17153" s="3192" t="s">
        <v>677</v>
      </c>
      <c r="C17153" s="3063"/>
      <c r="D17153" s="3064"/>
      <c r="E17153" s="3064"/>
      <c r="F17153" s="3064"/>
      <c r="G17153" s="3301" t="s">
        <v>677</v>
      </c>
      <c r="H17153" s="3063"/>
      <c r="I17153" s="3030"/>
    </row>
    <row r="17154" spans="2:9">
      <c r="B17154" s="3192" t="s">
        <v>678</v>
      </c>
      <c r="C17154" s="3063"/>
      <c r="D17154" s="3064"/>
      <c r="E17154" s="3064"/>
      <c r="F17154" s="3064"/>
      <c r="G17154" s="3301" t="s">
        <v>678</v>
      </c>
      <c r="H17154" s="3063"/>
      <c r="I17154" s="3030"/>
    </row>
    <row r="17155" spans="2:9">
      <c r="B17155" s="3192" t="s">
        <v>679</v>
      </c>
      <c r="C17155" s="3063"/>
      <c r="D17155" s="3064"/>
      <c r="E17155" s="3064"/>
      <c r="F17155" s="3064"/>
      <c r="G17155" s="3301" t="s">
        <v>679</v>
      </c>
      <c r="H17155" s="3063"/>
      <c r="I17155" s="3030"/>
    </row>
    <row r="17156" spans="2:9" ht="25.5">
      <c r="B17156" s="3192" t="s">
        <v>720</v>
      </c>
      <c r="C17156" s="3063"/>
      <c r="D17156" s="3064"/>
      <c r="E17156" s="3064"/>
      <c r="F17156" s="3064"/>
      <c r="G17156" s="3301" t="s">
        <v>720</v>
      </c>
      <c r="H17156" s="3063"/>
      <c r="I17156" s="3030"/>
    </row>
    <row r="17157" spans="2:9" ht="38.25">
      <c r="B17157" s="3299" t="s">
        <v>681</v>
      </c>
      <c r="C17157" s="3063"/>
      <c r="D17157" s="3064"/>
      <c r="E17157" s="3064"/>
      <c r="F17157" s="3064"/>
      <c r="G17157" s="3300" t="s">
        <v>681</v>
      </c>
      <c r="H17157" s="3063">
        <v>1.9030461425254691E-2</v>
      </c>
      <c r="I17157" s="3030"/>
    </row>
    <row r="17158" spans="2:9" ht="25.5">
      <c r="B17158" s="3192" t="s">
        <v>675</v>
      </c>
      <c r="C17158" s="3063"/>
      <c r="D17158" s="3064"/>
      <c r="E17158" s="3064"/>
      <c r="F17158" s="3064"/>
      <c r="G17158" s="3301" t="s">
        <v>675</v>
      </c>
      <c r="H17158" s="3063"/>
      <c r="I17158" s="3030"/>
    </row>
    <row r="17159" spans="2:9" ht="25.5">
      <c r="B17159" s="3192" t="s">
        <v>676</v>
      </c>
      <c r="C17159" s="3063"/>
      <c r="D17159" s="3064"/>
      <c r="E17159" s="3064"/>
      <c r="F17159" s="3064"/>
      <c r="G17159" s="3301" t="s">
        <v>676</v>
      </c>
      <c r="H17159" s="3063"/>
      <c r="I17159" s="3030"/>
    </row>
    <row r="17160" spans="2:9">
      <c r="B17160" s="3192" t="s">
        <v>677</v>
      </c>
      <c r="C17160" s="3063"/>
      <c r="D17160" s="3064"/>
      <c r="E17160" s="3064"/>
      <c r="F17160" s="3064"/>
      <c r="G17160" s="3301" t="s">
        <v>677</v>
      </c>
      <c r="H17160" s="3063"/>
      <c r="I17160" s="3030"/>
    </row>
    <row r="17161" spans="2:9">
      <c r="B17161" s="3192" t="s">
        <v>678</v>
      </c>
      <c r="C17161" s="3063"/>
      <c r="D17161" s="3064"/>
      <c r="E17161" s="3064"/>
      <c r="F17161" s="3064"/>
      <c r="G17161" s="3301" t="s">
        <v>678</v>
      </c>
      <c r="H17161" s="3063"/>
      <c r="I17161" s="3030"/>
    </row>
    <row r="17162" spans="2:9">
      <c r="B17162" s="3192" t="s">
        <v>679</v>
      </c>
      <c r="C17162" s="3063">
        <v>1</v>
      </c>
      <c r="D17162" s="3064"/>
      <c r="E17162" s="3064"/>
      <c r="F17162" s="3064"/>
      <c r="G17162" s="3301" t="s">
        <v>679</v>
      </c>
      <c r="H17162" s="3063"/>
      <c r="I17162" s="3030"/>
    </row>
    <row r="17163" spans="2:9" ht="25.5">
      <c r="B17163" s="3192" t="s">
        <v>720</v>
      </c>
      <c r="C17163" s="3063"/>
      <c r="D17163" s="3064"/>
      <c r="E17163" s="3064"/>
      <c r="F17163" s="3064"/>
      <c r="G17163" s="3301" t="s">
        <v>720</v>
      </c>
      <c r="H17163" s="3063"/>
      <c r="I17163" s="3030"/>
    </row>
    <row r="17164" spans="2:9" ht="25.5">
      <c r="B17164" s="3299" t="s">
        <v>682</v>
      </c>
      <c r="C17164" s="3063"/>
      <c r="D17164" s="3064"/>
      <c r="E17164" s="3064"/>
      <c r="F17164" s="3064"/>
      <c r="G17164" s="3300" t="s">
        <v>682</v>
      </c>
      <c r="H17164" s="3063"/>
      <c r="I17164" s="3030"/>
    </row>
    <row r="17165" spans="2:9" ht="25.5">
      <c r="B17165" s="3192" t="s">
        <v>675</v>
      </c>
      <c r="C17165" s="3063"/>
      <c r="D17165" s="3064"/>
      <c r="E17165" s="3064"/>
      <c r="F17165" s="3064"/>
      <c r="G17165" s="3301" t="s">
        <v>675</v>
      </c>
      <c r="H17165" s="3063"/>
      <c r="I17165" s="3030"/>
    </row>
    <row r="17166" spans="2:9" ht="25.5">
      <c r="B17166" s="3192" t="s">
        <v>676</v>
      </c>
      <c r="C17166" s="3063"/>
      <c r="D17166" s="3064"/>
      <c r="E17166" s="3064"/>
      <c r="F17166" s="3064"/>
      <c r="G17166" s="3301" t="s">
        <v>676</v>
      </c>
      <c r="H17166" s="3063"/>
      <c r="I17166" s="3030"/>
    </row>
    <row r="17167" spans="2:9">
      <c r="B17167" s="3192" t="s">
        <v>677</v>
      </c>
      <c r="C17167" s="3063"/>
      <c r="D17167" s="3064"/>
      <c r="E17167" s="3064"/>
      <c r="F17167" s="3064"/>
      <c r="G17167" s="3301" t="s">
        <v>677</v>
      </c>
      <c r="H17167" s="3063"/>
      <c r="I17167" s="3030"/>
    </row>
    <row r="17168" spans="2:9">
      <c r="B17168" s="3192" t="s">
        <v>678</v>
      </c>
      <c r="C17168" s="3063"/>
      <c r="D17168" s="3064"/>
      <c r="E17168" s="3064"/>
      <c r="F17168" s="3064"/>
      <c r="G17168" s="3301" t="s">
        <v>678</v>
      </c>
      <c r="H17168" s="3063"/>
      <c r="I17168" s="3030"/>
    </row>
    <row r="17169" spans="2:9">
      <c r="B17169" s="3192" t="s">
        <v>679</v>
      </c>
      <c r="C17169" s="3063"/>
      <c r="D17169" s="3064"/>
      <c r="E17169" s="3064"/>
      <c r="F17169" s="3064"/>
      <c r="G17169" s="3301" t="s">
        <v>679</v>
      </c>
      <c r="H17169" s="3063"/>
      <c r="I17169" s="3030"/>
    </row>
    <row r="17170" spans="2:9" ht="25.5">
      <c r="B17170" s="3192" t="s">
        <v>720</v>
      </c>
      <c r="C17170" s="3063"/>
      <c r="D17170" s="3064"/>
      <c r="E17170" s="3064"/>
      <c r="F17170" s="3064"/>
      <c r="G17170" s="3301" t="s">
        <v>720</v>
      </c>
      <c r="H17170" s="3063"/>
      <c r="I17170" s="3030"/>
    </row>
    <row r="17171" spans="2:9" ht="25.5">
      <c r="B17171" s="3299" t="s">
        <v>66</v>
      </c>
      <c r="C17171" s="3063"/>
      <c r="D17171" s="3064"/>
      <c r="E17171" s="3064"/>
      <c r="F17171" s="3064"/>
      <c r="G17171" s="3300" t="s">
        <v>66</v>
      </c>
      <c r="H17171" s="3063"/>
      <c r="I17171" s="3030"/>
    </row>
    <row r="17172" spans="2:9" ht="25.5">
      <c r="B17172" s="3192" t="s">
        <v>675</v>
      </c>
      <c r="C17172" s="3063"/>
      <c r="D17172" s="3064"/>
      <c r="E17172" s="3064"/>
      <c r="F17172" s="3064"/>
      <c r="G17172" s="3301" t="s">
        <v>675</v>
      </c>
      <c r="H17172" s="3063"/>
      <c r="I17172" s="3030"/>
    </row>
    <row r="17173" spans="2:9" ht="25.5">
      <c r="B17173" s="3192" t="s">
        <v>676</v>
      </c>
      <c r="C17173" s="3063"/>
      <c r="D17173" s="3064"/>
      <c r="E17173" s="3064"/>
      <c r="F17173" s="3064"/>
      <c r="G17173" s="3301" t="s">
        <v>676</v>
      </c>
      <c r="H17173" s="3063"/>
      <c r="I17173" s="3030"/>
    </row>
    <row r="17174" spans="2:9">
      <c r="B17174" s="3192" t="s">
        <v>677</v>
      </c>
      <c r="C17174" s="3063"/>
      <c r="D17174" s="3064"/>
      <c r="E17174" s="3064"/>
      <c r="F17174" s="3064"/>
      <c r="G17174" s="3301" t="s">
        <v>677</v>
      </c>
      <c r="H17174" s="3063"/>
      <c r="I17174" s="3030"/>
    </row>
    <row r="17175" spans="2:9">
      <c r="B17175" s="3192" t="s">
        <v>678</v>
      </c>
      <c r="C17175" s="3063"/>
      <c r="D17175" s="3064"/>
      <c r="E17175" s="3064"/>
      <c r="F17175" s="3064"/>
      <c r="G17175" s="3301" t="s">
        <v>678</v>
      </c>
      <c r="H17175" s="3063"/>
      <c r="I17175" s="3030"/>
    </row>
    <row r="17176" spans="2:9">
      <c r="B17176" s="3192" t="s">
        <v>679</v>
      </c>
      <c r="C17176" s="3063"/>
      <c r="D17176" s="3064"/>
      <c r="E17176" s="3064"/>
      <c r="F17176" s="3064"/>
      <c r="G17176" s="3301" t="s">
        <v>679</v>
      </c>
      <c r="H17176" s="3063"/>
      <c r="I17176" s="3030"/>
    </row>
    <row r="17177" spans="2:9" ht="25.5">
      <c r="B17177" s="3192" t="s">
        <v>720</v>
      </c>
      <c r="C17177" s="3063"/>
      <c r="D17177" s="3064"/>
      <c r="E17177" s="3064"/>
      <c r="F17177" s="3064"/>
      <c r="G17177" s="3301" t="s">
        <v>720</v>
      </c>
      <c r="H17177" s="3063"/>
      <c r="I17177" s="3030"/>
    </row>
    <row r="17178" spans="2:9">
      <c r="B17178" s="3299" t="s">
        <v>67</v>
      </c>
      <c r="C17178" s="3063"/>
      <c r="D17178" s="3064"/>
      <c r="E17178" s="3064"/>
      <c r="F17178" s="3064"/>
      <c r="G17178" s="3300" t="s">
        <v>67</v>
      </c>
      <c r="H17178" s="3063">
        <v>2.3133689592153048E-2</v>
      </c>
      <c r="I17178" s="3030"/>
    </row>
    <row r="17179" spans="2:9" ht="25.5">
      <c r="B17179" s="3192" t="s">
        <v>675</v>
      </c>
      <c r="C17179" s="3063"/>
      <c r="D17179" s="3064"/>
      <c r="E17179" s="3064"/>
      <c r="F17179" s="3064"/>
      <c r="G17179" s="3301" t="s">
        <v>675</v>
      </c>
      <c r="H17179" s="3063"/>
      <c r="I17179" s="3030"/>
    </row>
    <row r="17180" spans="2:9" ht="25.5">
      <c r="B17180" s="3192" t="s">
        <v>676</v>
      </c>
      <c r="C17180" s="3063"/>
      <c r="D17180" s="3064"/>
      <c r="E17180" s="3064"/>
      <c r="F17180" s="3064"/>
      <c r="G17180" s="3301" t="s">
        <v>676</v>
      </c>
      <c r="H17180" s="3063"/>
      <c r="I17180" s="3030"/>
    </row>
    <row r="17181" spans="2:9">
      <c r="B17181" s="3192" t="s">
        <v>677</v>
      </c>
      <c r="C17181" s="3063"/>
      <c r="D17181" s="3064"/>
      <c r="E17181" s="3064"/>
      <c r="F17181" s="3064"/>
      <c r="G17181" s="3301" t="s">
        <v>677</v>
      </c>
      <c r="H17181" s="3063"/>
      <c r="I17181" s="3030"/>
    </row>
    <row r="17182" spans="2:9">
      <c r="B17182" s="3192" t="s">
        <v>678</v>
      </c>
      <c r="C17182" s="3063"/>
      <c r="D17182" s="3064"/>
      <c r="E17182" s="3064"/>
      <c r="F17182" s="3064"/>
      <c r="G17182" s="3301" t="s">
        <v>678</v>
      </c>
      <c r="H17182" s="3063"/>
      <c r="I17182" s="3030"/>
    </row>
    <row r="17183" spans="2:9">
      <c r="B17183" s="3192" t="s">
        <v>679</v>
      </c>
      <c r="C17183" s="3063">
        <v>1</v>
      </c>
      <c r="D17183" s="3064">
        <v>1</v>
      </c>
      <c r="E17183" s="3064"/>
      <c r="F17183" s="3064"/>
      <c r="G17183" s="3301" t="s">
        <v>679</v>
      </c>
      <c r="H17183" s="3063"/>
      <c r="I17183" s="3030"/>
    </row>
    <row r="17184" spans="2:9" ht="25.5">
      <c r="B17184" s="3230" t="s">
        <v>81</v>
      </c>
      <c r="C17184" s="3063"/>
      <c r="D17184" s="3064"/>
      <c r="E17184" s="3064"/>
      <c r="F17184" s="3064"/>
      <c r="G17184" s="3302" t="s">
        <v>81</v>
      </c>
      <c r="H17184" s="3063"/>
      <c r="I17184" s="3030"/>
    </row>
  </sheetData>
  <mergeCells count="1097">
    <mergeCell ref="B17008:B17010"/>
    <mergeCell ref="G17008:G17010"/>
    <mergeCell ref="C17009:F17009"/>
    <mergeCell ref="B16652:B16654"/>
    <mergeCell ref="G16652:G16654"/>
    <mergeCell ref="C16653:F16653"/>
    <mergeCell ref="B16830:B16832"/>
    <mergeCell ref="G16830:G16832"/>
    <mergeCell ref="C16831:F16831"/>
    <mergeCell ref="B16296:B16298"/>
    <mergeCell ref="G16296:G16298"/>
    <mergeCell ref="C16297:F16297"/>
    <mergeCell ref="B16474:B16476"/>
    <mergeCell ref="G16474:G16476"/>
    <mergeCell ref="C16475:F16475"/>
    <mergeCell ref="B15940:B15942"/>
    <mergeCell ref="G15940:G15942"/>
    <mergeCell ref="C15941:F15941"/>
    <mergeCell ref="B16118:B16120"/>
    <mergeCell ref="G16118:G16120"/>
    <mergeCell ref="C16119:F16119"/>
    <mergeCell ref="B15584:B15586"/>
    <mergeCell ref="G15584:G15586"/>
    <mergeCell ref="C15585:F15585"/>
    <mergeCell ref="B15762:B15764"/>
    <mergeCell ref="G15762:G15764"/>
    <mergeCell ref="C15763:F15763"/>
    <mergeCell ref="B15228:B15230"/>
    <mergeCell ref="G15228:G15230"/>
    <mergeCell ref="C15229:F15229"/>
    <mergeCell ref="B15406:B15408"/>
    <mergeCell ref="G15406:G15408"/>
    <mergeCell ref="C15407:F15407"/>
    <mergeCell ref="B14872:B14874"/>
    <mergeCell ref="G14872:G14874"/>
    <mergeCell ref="C14873:F14873"/>
    <mergeCell ref="B15050:B15052"/>
    <mergeCell ref="G15050:G15052"/>
    <mergeCell ref="C15051:F15051"/>
    <mergeCell ref="B14516:B14518"/>
    <mergeCell ref="G14516:G14518"/>
    <mergeCell ref="C14517:F14517"/>
    <mergeCell ref="B14694:B14696"/>
    <mergeCell ref="G14694:G14696"/>
    <mergeCell ref="C14695:F14695"/>
    <mergeCell ref="B14160:B14162"/>
    <mergeCell ref="G14160:G14162"/>
    <mergeCell ref="C14161:F14161"/>
    <mergeCell ref="B14338:B14340"/>
    <mergeCell ref="G14338:G14340"/>
    <mergeCell ref="C14339:F14339"/>
    <mergeCell ref="B13804:B13806"/>
    <mergeCell ref="G13804:G13806"/>
    <mergeCell ref="C13805:F13805"/>
    <mergeCell ref="B13982:B13984"/>
    <mergeCell ref="G13982:G13984"/>
    <mergeCell ref="C13983:F13983"/>
    <mergeCell ref="B13448:B13450"/>
    <mergeCell ref="G13448:G13450"/>
    <mergeCell ref="C13449:F13449"/>
    <mergeCell ref="B13626:B13628"/>
    <mergeCell ref="G13626:G13628"/>
    <mergeCell ref="C13627:F13627"/>
    <mergeCell ref="B13092:B13094"/>
    <mergeCell ref="G13092:G13094"/>
    <mergeCell ref="C13093:F13093"/>
    <mergeCell ref="B13270:B13272"/>
    <mergeCell ref="G13270:G13272"/>
    <mergeCell ref="C13271:F13271"/>
    <mergeCell ref="B12736:B12738"/>
    <mergeCell ref="G12736:G12738"/>
    <mergeCell ref="C12737:F12737"/>
    <mergeCell ref="B12914:B12916"/>
    <mergeCell ref="G12914:G12916"/>
    <mergeCell ref="C12915:F12915"/>
    <mergeCell ref="B12380:B12382"/>
    <mergeCell ref="G12380:G12382"/>
    <mergeCell ref="C12381:F12381"/>
    <mergeCell ref="B12558:B12560"/>
    <mergeCell ref="G12558:G12560"/>
    <mergeCell ref="C12559:F12559"/>
    <mergeCell ref="B12024:B12026"/>
    <mergeCell ref="G12024:G12026"/>
    <mergeCell ref="C12025:F12025"/>
    <mergeCell ref="B12202:B12204"/>
    <mergeCell ref="G12202:G12204"/>
    <mergeCell ref="C12203:F12203"/>
    <mergeCell ref="B11668:B11670"/>
    <mergeCell ref="G11668:G11670"/>
    <mergeCell ref="C11669:F11669"/>
    <mergeCell ref="B11846:B11848"/>
    <mergeCell ref="G11846:G11848"/>
    <mergeCell ref="C11847:F11847"/>
    <mergeCell ref="B11312:B11314"/>
    <mergeCell ref="G11312:G11314"/>
    <mergeCell ref="C11313:F11313"/>
    <mergeCell ref="B11490:B11492"/>
    <mergeCell ref="G11490:G11492"/>
    <mergeCell ref="C11491:F11491"/>
    <mergeCell ref="B10956:B10958"/>
    <mergeCell ref="G10956:G10958"/>
    <mergeCell ref="C10957:F10957"/>
    <mergeCell ref="B11134:B11136"/>
    <mergeCell ref="G11134:G11136"/>
    <mergeCell ref="C11135:F11135"/>
    <mergeCell ref="B10600:B10602"/>
    <mergeCell ref="G10600:G10602"/>
    <mergeCell ref="C10601:F10601"/>
    <mergeCell ref="B10778:B10780"/>
    <mergeCell ref="G10778:G10780"/>
    <mergeCell ref="C10779:F10779"/>
    <mergeCell ref="B10244:B10246"/>
    <mergeCell ref="G10244:G10246"/>
    <mergeCell ref="C10245:F10245"/>
    <mergeCell ref="B10422:B10424"/>
    <mergeCell ref="G10422:G10424"/>
    <mergeCell ref="C10423:F10423"/>
    <mergeCell ref="B9888:B9890"/>
    <mergeCell ref="G9888:G9890"/>
    <mergeCell ref="C9889:F9889"/>
    <mergeCell ref="B10066:B10068"/>
    <mergeCell ref="G10066:G10068"/>
    <mergeCell ref="C10067:F10067"/>
    <mergeCell ref="B9532:B9534"/>
    <mergeCell ref="G9532:G9534"/>
    <mergeCell ref="C9533:F9533"/>
    <mergeCell ref="B9710:B9712"/>
    <mergeCell ref="G9710:G9712"/>
    <mergeCell ref="C9711:F9711"/>
    <mergeCell ref="B9176:B9178"/>
    <mergeCell ref="G9176:G9178"/>
    <mergeCell ref="C9177:F9177"/>
    <mergeCell ref="B9354:B9356"/>
    <mergeCell ref="G9354:G9356"/>
    <mergeCell ref="C9355:F9355"/>
    <mergeCell ref="B8820:B8822"/>
    <mergeCell ref="G8820:G8822"/>
    <mergeCell ref="C8821:F8821"/>
    <mergeCell ref="B8998:B9000"/>
    <mergeCell ref="G8998:G9000"/>
    <mergeCell ref="C8999:F8999"/>
    <mergeCell ref="B8464:B8466"/>
    <mergeCell ref="G8464:G8466"/>
    <mergeCell ref="C8465:F8465"/>
    <mergeCell ref="B8642:B8644"/>
    <mergeCell ref="G8642:G8644"/>
    <mergeCell ref="C8643:F8643"/>
    <mergeCell ref="B8108:B8110"/>
    <mergeCell ref="G8108:G8110"/>
    <mergeCell ref="C8109:F8109"/>
    <mergeCell ref="B8286:B8288"/>
    <mergeCell ref="G8286:G8288"/>
    <mergeCell ref="C8287:F8287"/>
    <mergeCell ref="B7752:B7754"/>
    <mergeCell ref="G7752:G7754"/>
    <mergeCell ref="C7753:F7753"/>
    <mergeCell ref="B7930:B7932"/>
    <mergeCell ref="G7930:G7932"/>
    <mergeCell ref="C7931:F7931"/>
    <mergeCell ref="B7396:B7398"/>
    <mergeCell ref="G7396:G7398"/>
    <mergeCell ref="C7397:F7397"/>
    <mergeCell ref="B7574:B7576"/>
    <mergeCell ref="G7574:G7576"/>
    <mergeCell ref="C7575:F7575"/>
    <mergeCell ref="B7040:B7042"/>
    <mergeCell ref="G7040:G7042"/>
    <mergeCell ref="C7041:F7041"/>
    <mergeCell ref="B7218:B7220"/>
    <mergeCell ref="G7218:G7220"/>
    <mergeCell ref="C7219:F7219"/>
    <mergeCell ref="B6684:B6686"/>
    <mergeCell ref="G6684:G6686"/>
    <mergeCell ref="C6685:F6685"/>
    <mergeCell ref="B6862:B6864"/>
    <mergeCell ref="G6862:G6864"/>
    <mergeCell ref="C6863:F6863"/>
    <mergeCell ref="B6328:B6330"/>
    <mergeCell ref="G6328:G6330"/>
    <mergeCell ref="C6329:F6329"/>
    <mergeCell ref="B6506:B6508"/>
    <mergeCell ref="G6506:G6508"/>
    <mergeCell ref="C6507:F6507"/>
    <mergeCell ref="B5972:B5974"/>
    <mergeCell ref="G5972:G5974"/>
    <mergeCell ref="C5973:F5973"/>
    <mergeCell ref="B6150:B6152"/>
    <mergeCell ref="G6150:G6152"/>
    <mergeCell ref="C6151:F6151"/>
    <mergeCell ref="B5616:B5618"/>
    <mergeCell ref="G5616:G5618"/>
    <mergeCell ref="C5617:F5617"/>
    <mergeCell ref="B5794:B5796"/>
    <mergeCell ref="G5794:G5796"/>
    <mergeCell ref="C5795:F5795"/>
    <mergeCell ref="B5260:B5262"/>
    <mergeCell ref="G5260:G5262"/>
    <mergeCell ref="C5261:F5261"/>
    <mergeCell ref="B5438:B5440"/>
    <mergeCell ref="G5438:G5440"/>
    <mergeCell ref="C5439:F5439"/>
    <mergeCell ref="B4904:B4906"/>
    <mergeCell ref="G4904:G4906"/>
    <mergeCell ref="C4905:F4905"/>
    <mergeCell ref="B5082:B5084"/>
    <mergeCell ref="G5082:G5084"/>
    <mergeCell ref="C5083:F5083"/>
    <mergeCell ref="B4548:B4550"/>
    <mergeCell ref="G4548:G4550"/>
    <mergeCell ref="C4549:F4549"/>
    <mergeCell ref="B4726:B4728"/>
    <mergeCell ref="G4726:G4728"/>
    <mergeCell ref="C4727:F4727"/>
    <mergeCell ref="B4192:B4194"/>
    <mergeCell ref="G4192:G4194"/>
    <mergeCell ref="C4193:F4193"/>
    <mergeCell ref="B4370:B4372"/>
    <mergeCell ref="G4370:G4372"/>
    <mergeCell ref="C4371:F4371"/>
    <mergeCell ref="B3836:B3838"/>
    <mergeCell ref="G3836:G3838"/>
    <mergeCell ref="C3837:F3837"/>
    <mergeCell ref="B4014:B4016"/>
    <mergeCell ref="G4014:G4016"/>
    <mergeCell ref="C4015:F4015"/>
    <mergeCell ref="B3480:B3482"/>
    <mergeCell ref="G3480:G3482"/>
    <mergeCell ref="C3481:F3481"/>
    <mergeCell ref="B3658:B3660"/>
    <mergeCell ref="G3658:G3660"/>
    <mergeCell ref="C3659:F3659"/>
    <mergeCell ref="B3124:B3126"/>
    <mergeCell ref="G3124:G3126"/>
    <mergeCell ref="C3125:F3125"/>
    <mergeCell ref="B3302:B3304"/>
    <mergeCell ref="G3302:G3304"/>
    <mergeCell ref="C3303:F3303"/>
    <mergeCell ref="B2768:B2770"/>
    <mergeCell ref="G2768:G2770"/>
    <mergeCell ref="C2769:F2769"/>
    <mergeCell ref="B2946:B2948"/>
    <mergeCell ref="G2946:G2948"/>
    <mergeCell ref="C2947:F2947"/>
    <mergeCell ref="B2412:B2414"/>
    <mergeCell ref="G2412:G2414"/>
    <mergeCell ref="C2413:F2413"/>
    <mergeCell ref="B2590:B2592"/>
    <mergeCell ref="G2590:G2592"/>
    <mergeCell ref="C2591:F2591"/>
    <mergeCell ref="B2056:B2058"/>
    <mergeCell ref="G2056:G2058"/>
    <mergeCell ref="C2057:F2057"/>
    <mergeCell ref="B2234:B2236"/>
    <mergeCell ref="G2234:G2236"/>
    <mergeCell ref="C2235:F2235"/>
    <mergeCell ref="B1699:J1699"/>
    <mergeCell ref="B1700:B1702"/>
    <mergeCell ref="G1700:G1702"/>
    <mergeCell ref="C1701:F1701"/>
    <mergeCell ref="B1878:B1880"/>
    <mergeCell ref="G1878:G1880"/>
    <mergeCell ref="C1879:F1879"/>
    <mergeCell ref="B1683:B1686"/>
    <mergeCell ref="C1683:G1683"/>
    <mergeCell ref="H1683:L1683"/>
    <mergeCell ref="M1683:Q1683"/>
    <mergeCell ref="C1684:Q1684"/>
    <mergeCell ref="C1685:J1685"/>
    <mergeCell ref="K1685:Q1685"/>
    <mergeCell ref="B1669:B1672"/>
    <mergeCell ref="C1669:G1669"/>
    <mergeCell ref="H1669:L1669"/>
    <mergeCell ref="M1669:Q1669"/>
    <mergeCell ref="C1670:Q1670"/>
    <mergeCell ref="C1671:J1671"/>
    <mergeCell ref="K1671:Q1671"/>
    <mergeCell ref="B1655:B1658"/>
    <mergeCell ref="C1655:G1655"/>
    <mergeCell ref="H1655:L1655"/>
    <mergeCell ref="M1655:Q1655"/>
    <mergeCell ref="C1656:Q1656"/>
    <mergeCell ref="C1657:J1657"/>
    <mergeCell ref="K1657:Q1657"/>
    <mergeCell ref="B1641:B1644"/>
    <mergeCell ref="C1641:G1641"/>
    <mergeCell ref="H1641:L1641"/>
    <mergeCell ref="M1641:Q1641"/>
    <mergeCell ref="C1642:Q1642"/>
    <mergeCell ref="C1643:J1643"/>
    <mergeCell ref="K1643:Q1643"/>
    <mergeCell ref="B1627:B1630"/>
    <mergeCell ref="C1627:G1627"/>
    <mergeCell ref="H1627:L1627"/>
    <mergeCell ref="M1627:Q1627"/>
    <mergeCell ref="C1628:Q1628"/>
    <mergeCell ref="C1629:J1629"/>
    <mergeCell ref="K1629:Q1629"/>
    <mergeCell ref="B1613:B1616"/>
    <mergeCell ref="C1613:G1613"/>
    <mergeCell ref="H1613:L1613"/>
    <mergeCell ref="M1613:Q1613"/>
    <mergeCell ref="C1614:Q1614"/>
    <mergeCell ref="C1615:J1615"/>
    <mergeCell ref="K1615:Q1615"/>
    <mergeCell ref="B1599:B1602"/>
    <mergeCell ref="C1599:G1599"/>
    <mergeCell ref="H1599:L1599"/>
    <mergeCell ref="M1599:Q1599"/>
    <mergeCell ref="C1600:Q1600"/>
    <mergeCell ref="C1601:J1601"/>
    <mergeCell ref="K1601:Q1601"/>
    <mergeCell ref="B1585:B1588"/>
    <mergeCell ref="C1585:G1585"/>
    <mergeCell ref="H1585:L1585"/>
    <mergeCell ref="M1585:Q1585"/>
    <mergeCell ref="C1586:Q1586"/>
    <mergeCell ref="C1587:J1587"/>
    <mergeCell ref="K1587:Q1587"/>
    <mergeCell ref="B1571:B1574"/>
    <mergeCell ref="C1571:G1571"/>
    <mergeCell ref="H1571:L1571"/>
    <mergeCell ref="M1571:Q1571"/>
    <mergeCell ref="C1572:Q1572"/>
    <mergeCell ref="C1573:J1573"/>
    <mergeCell ref="K1573:Q1573"/>
    <mergeCell ref="B1557:B1560"/>
    <mergeCell ref="C1557:G1557"/>
    <mergeCell ref="H1557:L1557"/>
    <mergeCell ref="M1557:Q1557"/>
    <mergeCell ref="C1558:Q1558"/>
    <mergeCell ref="C1559:J1559"/>
    <mergeCell ref="K1559:Q1559"/>
    <mergeCell ref="B1543:B1546"/>
    <mergeCell ref="C1543:G1543"/>
    <mergeCell ref="H1543:L1543"/>
    <mergeCell ref="M1543:Q1543"/>
    <mergeCell ref="C1544:Q1544"/>
    <mergeCell ref="C1545:J1545"/>
    <mergeCell ref="K1545:Q1545"/>
    <mergeCell ref="B1529:B1532"/>
    <mergeCell ref="C1529:G1529"/>
    <mergeCell ref="H1529:L1529"/>
    <mergeCell ref="M1529:Q1529"/>
    <mergeCell ref="C1530:Q1530"/>
    <mergeCell ref="C1531:J1531"/>
    <mergeCell ref="K1531:Q1531"/>
    <mergeCell ref="B1515:B1518"/>
    <mergeCell ref="C1515:G1515"/>
    <mergeCell ref="H1515:L1515"/>
    <mergeCell ref="M1515:Q1515"/>
    <mergeCell ref="C1516:Q1516"/>
    <mergeCell ref="C1517:J1517"/>
    <mergeCell ref="K1517:Q1517"/>
    <mergeCell ref="B1501:B1504"/>
    <mergeCell ref="C1501:G1501"/>
    <mergeCell ref="H1501:L1501"/>
    <mergeCell ref="M1501:Q1501"/>
    <mergeCell ref="C1502:Q1502"/>
    <mergeCell ref="C1503:J1503"/>
    <mergeCell ref="K1503:Q1503"/>
    <mergeCell ref="B1487:B1490"/>
    <mergeCell ref="C1487:G1487"/>
    <mergeCell ref="H1487:L1487"/>
    <mergeCell ref="M1487:Q1487"/>
    <mergeCell ref="C1488:Q1488"/>
    <mergeCell ref="C1489:J1489"/>
    <mergeCell ref="K1489:Q1489"/>
    <mergeCell ref="B1473:B1476"/>
    <mergeCell ref="C1473:G1473"/>
    <mergeCell ref="H1473:L1473"/>
    <mergeCell ref="M1473:Q1473"/>
    <mergeCell ref="C1474:Q1474"/>
    <mergeCell ref="C1475:J1475"/>
    <mergeCell ref="K1475:Q1475"/>
    <mergeCell ref="B1459:B1462"/>
    <mergeCell ref="C1459:G1459"/>
    <mergeCell ref="H1459:L1459"/>
    <mergeCell ref="M1459:Q1459"/>
    <mergeCell ref="C1460:Q1460"/>
    <mergeCell ref="C1461:J1461"/>
    <mergeCell ref="K1461:Q1461"/>
    <mergeCell ref="B1445:B1448"/>
    <mergeCell ref="C1445:G1445"/>
    <mergeCell ref="H1445:L1445"/>
    <mergeCell ref="M1445:Q1445"/>
    <mergeCell ref="C1446:Q1446"/>
    <mergeCell ref="C1447:J1447"/>
    <mergeCell ref="K1447:Q1447"/>
    <mergeCell ref="B1431:B1434"/>
    <mergeCell ref="C1431:G1431"/>
    <mergeCell ref="H1431:L1431"/>
    <mergeCell ref="M1431:Q1431"/>
    <mergeCell ref="C1432:Q1432"/>
    <mergeCell ref="C1433:J1433"/>
    <mergeCell ref="K1433:Q1433"/>
    <mergeCell ref="B1417:B1420"/>
    <mergeCell ref="C1417:G1417"/>
    <mergeCell ref="H1417:L1417"/>
    <mergeCell ref="M1417:Q1417"/>
    <mergeCell ref="C1418:Q1418"/>
    <mergeCell ref="C1419:J1419"/>
    <mergeCell ref="K1419:Q1419"/>
    <mergeCell ref="B1403:B1406"/>
    <mergeCell ref="C1403:G1403"/>
    <mergeCell ref="H1403:L1403"/>
    <mergeCell ref="M1403:Q1403"/>
    <mergeCell ref="C1404:Q1404"/>
    <mergeCell ref="C1405:J1405"/>
    <mergeCell ref="K1405:Q1405"/>
    <mergeCell ref="B1389:B1392"/>
    <mergeCell ref="C1389:G1389"/>
    <mergeCell ref="H1389:L1389"/>
    <mergeCell ref="M1389:Q1389"/>
    <mergeCell ref="C1390:Q1390"/>
    <mergeCell ref="C1391:J1391"/>
    <mergeCell ref="K1391:Q1391"/>
    <mergeCell ref="B1375:B1378"/>
    <mergeCell ref="C1375:G1375"/>
    <mergeCell ref="H1375:L1375"/>
    <mergeCell ref="M1375:Q1375"/>
    <mergeCell ref="C1376:Q1376"/>
    <mergeCell ref="C1377:J1377"/>
    <mergeCell ref="K1377:Q1377"/>
    <mergeCell ref="B1361:B1364"/>
    <mergeCell ref="C1361:G1361"/>
    <mergeCell ref="H1361:L1361"/>
    <mergeCell ref="M1361:Q1361"/>
    <mergeCell ref="C1362:Q1362"/>
    <mergeCell ref="C1363:J1363"/>
    <mergeCell ref="K1363:Q1363"/>
    <mergeCell ref="B1347:B1350"/>
    <mergeCell ref="C1347:G1347"/>
    <mergeCell ref="H1347:L1347"/>
    <mergeCell ref="M1347:Q1347"/>
    <mergeCell ref="C1348:Q1348"/>
    <mergeCell ref="C1349:J1349"/>
    <mergeCell ref="K1349:Q1349"/>
    <mergeCell ref="B1333:B1336"/>
    <mergeCell ref="C1333:G1333"/>
    <mergeCell ref="H1333:L1333"/>
    <mergeCell ref="M1333:Q1333"/>
    <mergeCell ref="C1334:Q1334"/>
    <mergeCell ref="C1335:J1335"/>
    <mergeCell ref="K1335:Q1335"/>
    <mergeCell ref="B1319:B1322"/>
    <mergeCell ref="C1319:G1319"/>
    <mergeCell ref="H1319:L1319"/>
    <mergeCell ref="M1319:Q1319"/>
    <mergeCell ref="C1320:Q1320"/>
    <mergeCell ref="C1321:J1321"/>
    <mergeCell ref="K1321:Q1321"/>
    <mergeCell ref="B1305:B1308"/>
    <mergeCell ref="C1305:G1305"/>
    <mergeCell ref="H1305:L1305"/>
    <mergeCell ref="M1305:Q1305"/>
    <mergeCell ref="C1306:Q1306"/>
    <mergeCell ref="C1307:J1307"/>
    <mergeCell ref="K1307:Q1307"/>
    <mergeCell ref="B1291:B1294"/>
    <mergeCell ref="C1291:G1291"/>
    <mergeCell ref="H1291:L1291"/>
    <mergeCell ref="M1291:Q1291"/>
    <mergeCell ref="C1292:Q1292"/>
    <mergeCell ref="C1293:J1293"/>
    <mergeCell ref="K1293:Q1293"/>
    <mergeCell ref="B1277:B1280"/>
    <mergeCell ref="C1277:G1277"/>
    <mergeCell ref="H1277:L1277"/>
    <mergeCell ref="M1277:Q1277"/>
    <mergeCell ref="C1278:Q1278"/>
    <mergeCell ref="C1279:J1279"/>
    <mergeCell ref="K1279:Q1279"/>
    <mergeCell ref="B1263:B1266"/>
    <mergeCell ref="C1263:G1263"/>
    <mergeCell ref="H1263:L1263"/>
    <mergeCell ref="M1263:Q1263"/>
    <mergeCell ref="C1264:Q1264"/>
    <mergeCell ref="C1265:J1265"/>
    <mergeCell ref="K1265:Q1265"/>
    <mergeCell ref="B1249:B1252"/>
    <mergeCell ref="C1249:G1249"/>
    <mergeCell ref="H1249:L1249"/>
    <mergeCell ref="M1249:Q1249"/>
    <mergeCell ref="C1250:Q1250"/>
    <mergeCell ref="C1251:J1251"/>
    <mergeCell ref="K1251:Q1251"/>
    <mergeCell ref="B1235:B1238"/>
    <mergeCell ref="C1235:G1235"/>
    <mergeCell ref="H1235:L1235"/>
    <mergeCell ref="M1235:Q1235"/>
    <mergeCell ref="C1236:Q1236"/>
    <mergeCell ref="C1237:J1237"/>
    <mergeCell ref="K1237:Q1237"/>
    <mergeCell ref="B1221:B1224"/>
    <mergeCell ref="C1221:G1221"/>
    <mergeCell ref="H1221:L1221"/>
    <mergeCell ref="M1221:Q1221"/>
    <mergeCell ref="C1222:Q1222"/>
    <mergeCell ref="C1223:J1223"/>
    <mergeCell ref="K1223:Q1223"/>
    <mergeCell ref="B1207:B1210"/>
    <mergeCell ref="C1207:G1207"/>
    <mergeCell ref="H1207:L1207"/>
    <mergeCell ref="M1207:Q1207"/>
    <mergeCell ref="C1208:Q1208"/>
    <mergeCell ref="C1209:J1209"/>
    <mergeCell ref="K1209:Q1209"/>
    <mergeCell ref="B1193:B1196"/>
    <mergeCell ref="C1193:G1193"/>
    <mergeCell ref="H1193:L1193"/>
    <mergeCell ref="M1193:Q1193"/>
    <mergeCell ref="C1194:Q1194"/>
    <mergeCell ref="C1195:J1195"/>
    <mergeCell ref="K1195:Q1195"/>
    <mergeCell ref="B1179:B1182"/>
    <mergeCell ref="C1179:G1179"/>
    <mergeCell ref="H1179:L1179"/>
    <mergeCell ref="M1179:Q1179"/>
    <mergeCell ref="C1180:Q1180"/>
    <mergeCell ref="C1181:J1181"/>
    <mergeCell ref="K1181:Q1181"/>
    <mergeCell ref="B1165:B1168"/>
    <mergeCell ref="C1165:G1165"/>
    <mergeCell ref="H1165:L1165"/>
    <mergeCell ref="M1165:Q1165"/>
    <mergeCell ref="C1166:Q1166"/>
    <mergeCell ref="C1167:J1167"/>
    <mergeCell ref="K1167:Q1167"/>
    <mergeCell ref="B1151:B1154"/>
    <mergeCell ref="C1151:G1151"/>
    <mergeCell ref="H1151:L1151"/>
    <mergeCell ref="M1151:Q1151"/>
    <mergeCell ref="C1152:Q1152"/>
    <mergeCell ref="C1153:J1153"/>
    <mergeCell ref="K1153:Q1153"/>
    <mergeCell ref="B1137:B1140"/>
    <mergeCell ref="C1137:G1137"/>
    <mergeCell ref="H1137:L1137"/>
    <mergeCell ref="M1137:Q1137"/>
    <mergeCell ref="C1138:Q1138"/>
    <mergeCell ref="C1139:J1139"/>
    <mergeCell ref="K1139:Q1139"/>
    <mergeCell ref="B1123:B1126"/>
    <mergeCell ref="C1123:G1123"/>
    <mergeCell ref="H1123:L1123"/>
    <mergeCell ref="M1123:Q1123"/>
    <mergeCell ref="C1124:Q1124"/>
    <mergeCell ref="C1125:J1125"/>
    <mergeCell ref="K1125:Q1125"/>
    <mergeCell ref="B1109:B1112"/>
    <mergeCell ref="C1109:G1109"/>
    <mergeCell ref="H1109:L1109"/>
    <mergeCell ref="M1109:Q1109"/>
    <mergeCell ref="C1110:Q1110"/>
    <mergeCell ref="C1111:J1111"/>
    <mergeCell ref="K1111:Q1111"/>
    <mergeCell ref="B1095:B1098"/>
    <mergeCell ref="C1095:G1095"/>
    <mergeCell ref="H1095:L1095"/>
    <mergeCell ref="M1095:Q1095"/>
    <mergeCell ref="C1096:Q1096"/>
    <mergeCell ref="C1097:J1097"/>
    <mergeCell ref="K1097:Q1097"/>
    <mergeCell ref="B1081:B1084"/>
    <mergeCell ref="C1081:G1081"/>
    <mergeCell ref="H1081:L1081"/>
    <mergeCell ref="M1081:Q1081"/>
    <mergeCell ref="C1082:Q1082"/>
    <mergeCell ref="C1083:J1083"/>
    <mergeCell ref="K1083:Q1083"/>
    <mergeCell ref="B1067:B1070"/>
    <mergeCell ref="C1067:G1067"/>
    <mergeCell ref="H1067:L1067"/>
    <mergeCell ref="M1067:Q1067"/>
    <mergeCell ref="C1068:Q1068"/>
    <mergeCell ref="C1069:J1069"/>
    <mergeCell ref="K1069:Q1069"/>
    <mergeCell ref="B1053:B1056"/>
    <mergeCell ref="C1053:G1053"/>
    <mergeCell ref="H1053:L1053"/>
    <mergeCell ref="M1053:Q1053"/>
    <mergeCell ref="C1054:Q1054"/>
    <mergeCell ref="C1055:J1055"/>
    <mergeCell ref="K1055:Q1055"/>
    <mergeCell ref="B1039:B1042"/>
    <mergeCell ref="C1039:G1039"/>
    <mergeCell ref="H1039:L1039"/>
    <mergeCell ref="M1039:Q1039"/>
    <mergeCell ref="C1040:Q1040"/>
    <mergeCell ref="C1041:J1041"/>
    <mergeCell ref="K1041:Q1041"/>
    <mergeCell ref="B1025:B1028"/>
    <mergeCell ref="C1025:G1025"/>
    <mergeCell ref="H1025:L1025"/>
    <mergeCell ref="M1025:Q1025"/>
    <mergeCell ref="C1026:Q1026"/>
    <mergeCell ref="C1027:J1027"/>
    <mergeCell ref="K1027:Q1027"/>
    <mergeCell ref="B1011:B1014"/>
    <mergeCell ref="C1011:G1011"/>
    <mergeCell ref="H1011:L1011"/>
    <mergeCell ref="M1011:Q1011"/>
    <mergeCell ref="C1012:Q1012"/>
    <mergeCell ref="C1013:J1013"/>
    <mergeCell ref="K1013:Q1013"/>
    <mergeCell ref="B997:B1000"/>
    <mergeCell ref="C997:G997"/>
    <mergeCell ref="H997:L997"/>
    <mergeCell ref="M997:Q997"/>
    <mergeCell ref="C998:Q998"/>
    <mergeCell ref="C999:J999"/>
    <mergeCell ref="K999:Q999"/>
    <mergeCell ref="B983:B986"/>
    <mergeCell ref="C983:G983"/>
    <mergeCell ref="H983:L983"/>
    <mergeCell ref="M983:Q983"/>
    <mergeCell ref="C984:Q984"/>
    <mergeCell ref="C985:J985"/>
    <mergeCell ref="K985:Q985"/>
    <mergeCell ref="B969:B972"/>
    <mergeCell ref="C969:G969"/>
    <mergeCell ref="H969:L969"/>
    <mergeCell ref="M969:Q969"/>
    <mergeCell ref="C970:Q970"/>
    <mergeCell ref="C971:J971"/>
    <mergeCell ref="K971:Q971"/>
    <mergeCell ref="B955:B958"/>
    <mergeCell ref="C955:G955"/>
    <mergeCell ref="H955:L955"/>
    <mergeCell ref="M955:Q955"/>
    <mergeCell ref="C956:Q956"/>
    <mergeCell ref="C957:J957"/>
    <mergeCell ref="K957:Q957"/>
    <mergeCell ref="B941:B944"/>
    <mergeCell ref="C941:G941"/>
    <mergeCell ref="H941:L941"/>
    <mergeCell ref="M941:Q941"/>
    <mergeCell ref="C942:Q942"/>
    <mergeCell ref="C943:J943"/>
    <mergeCell ref="K943:Q943"/>
    <mergeCell ref="B927:B930"/>
    <mergeCell ref="C927:G927"/>
    <mergeCell ref="H927:L927"/>
    <mergeCell ref="M927:Q927"/>
    <mergeCell ref="C928:Q928"/>
    <mergeCell ref="C929:J929"/>
    <mergeCell ref="K929:Q929"/>
    <mergeCell ref="B913:B916"/>
    <mergeCell ref="C913:G913"/>
    <mergeCell ref="H913:L913"/>
    <mergeCell ref="M913:Q913"/>
    <mergeCell ref="C914:Q914"/>
    <mergeCell ref="C915:J915"/>
    <mergeCell ref="K915:Q915"/>
    <mergeCell ref="B899:B902"/>
    <mergeCell ref="C899:G899"/>
    <mergeCell ref="H899:L899"/>
    <mergeCell ref="M899:Q899"/>
    <mergeCell ref="C900:Q900"/>
    <mergeCell ref="C901:J901"/>
    <mergeCell ref="K901:Q901"/>
    <mergeCell ref="B885:B888"/>
    <mergeCell ref="C885:G885"/>
    <mergeCell ref="H885:L885"/>
    <mergeCell ref="M885:Q885"/>
    <mergeCell ref="C886:Q886"/>
    <mergeCell ref="C887:J887"/>
    <mergeCell ref="K887:Q887"/>
    <mergeCell ref="B871:B874"/>
    <mergeCell ref="C871:G871"/>
    <mergeCell ref="H871:L871"/>
    <mergeCell ref="M871:Q871"/>
    <mergeCell ref="C872:Q872"/>
    <mergeCell ref="C873:J873"/>
    <mergeCell ref="K873:Q873"/>
    <mergeCell ref="B857:B860"/>
    <mergeCell ref="C857:G857"/>
    <mergeCell ref="H857:L857"/>
    <mergeCell ref="M857:Q857"/>
    <mergeCell ref="C858:Q858"/>
    <mergeCell ref="C859:J859"/>
    <mergeCell ref="K859:Q859"/>
    <mergeCell ref="B843:B846"/>
    <mergeCell ref="C843:G843"/>
    <mergeCell ref="H843:L843"/>
    <mergeCell ref="M843:Q843"/>
    <mergeCell ref="C844:Q844"/>
    <mergeCell ref="C845:J845"/>
    <mergeCell ref="K845:Q845"/>
    <mergeCell ref="B829:B832"/>
    <mergeCell ref="C829:G829"/>
    <mergeCell ref="H829:L829"/>
    <mergeCell ref="M829:Q829"/>
    <mergeCell ref="C830:Q830"/>
    <mergeCell ref="C831:J831"/>
    <mergeCell ref="K831:Q831"/>
    <mergeCell ref="B815:B818"/>
    <mergeCell ref="C815:G815"/>
    <mergeCell ref="H815:L815"/>
    <mergeCell ref="M815:Q815"/>
    <mergeCell ref="C816:Q816"/>
    <mergeCell ref="C817:J817"/>
    <mergeCell ref="K817:Q817"/>
    <mergeCell ref="B801:B804"/>
    <mergeCell ref="C801:G801"/>
    <mergeCell ref="H801:L801"/>
    <mergeCell ref="M801:Q801"/>
    <mergeCell ref="C802:Q802"/>
    <mergeCell ref="C803:J803"/>
    <mergeCell ref="K803:Q803"/>
    <mergeCell ref="B787:B790"/>
    <mergeCell ref="C787:G787"/>
    <mergeCell ref="H787:L787"/>
    <mergeCell ref="M787:Q787"/>
    <mergeCell ref="C788:Q788"/>
    <mergeCell ref="C789:J789"/>
    <mergeCell ref="K789:Q789"/>
    <mergeCell ref="B773:B776"/>
    <mergeCell ref="C773:G773"/>
    <mergeCell ref="H773:L773"/>
    <mergeCell ref="M773:Q773"/>
    <mergeCell ref="C774:Q774"/>
    <mergeCell ref="C775:J775"/>
    <mergeCell ref="K775:Q775"/>
    <mergeCell ref="B759:B762"/>
    <mergeCell ref="C759:G759"/>
    <mergeCell ref="H759:L759"/>
    <mergeCell ref="M759:Q759"/>
    <mergeCell ref="C760:Q760"/>
    <mergeCell ref="C761:J761"/>
    <mergeCell ref="K761:Q761"/>
    <mergeCell ref="B745:B748"/>
    <mergeCell ref="C745:G745"/>
    <mergeCell ref="H745:L745"/>
    <mergeCell ref="M745:Q745"/>
    <mergeCell ref="C746:Q746"/>
    <mergeCell ref="C747:J747"/>
    <mergeCell ref="K747:Q747"/>
    <mergeCell ref="B731:B734"/>
    <mergeCell ref="C731:G731"/>
    <mergeCell ref="H731:L731"/>
    <mergeCell ref="M731:Q731"/>
    <mergeCell ref="C732:Q732"/>
    <mergeCell ref="C733:J733"/>
    <mergeCell ref="K733:Q733"/>
    <mergeCell ref="B717:B720"/>
    <mergeCell ref="C717:G717"/>
    <mergeCell ref="H717:L717"/>
    <mergeCell ref="M717:Q717"/>
    <mergeCell ref="C718:Q718"/>
    <mergeCell ref="C719:J719"/>
    <mergeCell ref="K719:Q719"/>
    <mergeCell ref="B703:B706"/>
    <mergeCell ref="C703:G703"/>
    <mergeCell ref="H703:L703"/>
    <mergeCell ref="M703:Q703"/>
    <mergeCell ref="C704:Q704"/>
    <mergeCell ref="C705:J705"/>
    <mergeCell ref="K705:Q705"/>
    <mergeCell ref="B689:B692"/>
    <mergeCell ref="C689:G689"/>
    <mergeCell ref="H689:L689"/>
    <mergeCell ref="M689:Q689"/>
    <mergeCell ref="C690:Q690"/>
    <mergeCell ref="C691:J691"/>
    <mergeCell ref="K691:Q691"/>
    <mergeCell ref="B675:B678"/>
    <mergeCell ref="C675:G675"/>
    <mergeCell ref="H675:L675"/>
    <mergeCell ref="M675:Q675"/>
    <mergeCell ref="C676:Q676"/>
    <mergeCell ref="C677:J677"/>
    <mergeCell ref="K677:Q677"/>
    <mergeCell ref="B661:B664"/>
    <mergeCell ref="C661:G661"/>
    <mergeCell ref="H661:L661"/>
    <mergeCell ref="M661:Q661"/>
    <mergeCell ref="C662:Q662"/>
    <mergeCell ref="C663:J663"/>
    <mergeCell ref="K663:Q663"/>
    <mergeCell ref="B647:B650"/>
    <mergeCell ref="C647:G647"/>
    <mergeCell ref="H647:L647"/>
    <mergeCell ref="M647:Q647"/>
    <mergeCell ref="C648:Q648"/>
    <mergeCell ref="C649:J649"/>
    <mergeCell ref="K649:Q649"/>
    <mergeCell ref="B633:B636"/>
    <mergeCell ref="C633:G633"/>
    <mergeCell ref="H633:L633"/>
    <mergeCell ref="M633:Q633"/>
    <mergeCell ref="C634:Q634"/>
    <mergeCell ref="C635:J635"/>
    <mergeCell ref="K635:Q635"/>
    <mergeCell ref="B619:B622"/>
    <mergeCell ref="C619:G619"/>
    <mergeCell ref="H619:L619"/>
    <mergeCell ref="M619:Q619"/>
    <mergeCell ref="C620:Q620"/>
    <mergeCell ref="C621:J621"/>
    <mergeCell ref="K621:Q621"/>
    <mergeCell ref="B605:B608"/>
    <mergeCell ref="C605:G605"/>
    <mergeCell ref="H605:L605"/>
    <mergeCell ref="M605:Q605"/>
    <mergeCell ref="C606:Q606"/>
    <mergeCell ref="C607:J607"/>
    <mergeCell ref="K607:Q607"/>
    <mergeCell ref="B591:B594"/>
    <mergeCell ref="C591:G591"/>
    <mergeCell ref="H591:L591"/>
    <mergeCell ref="M591:Q591"/>
    <mergeCell ref="C592:Q592"/>
    <mergeCell ref="C593:J593"/>
    <mergeCell ref="K593:Q593"/>
    <mergeCell ref="B577:B580"/>
    <mergeCell ref="C577:G577"/>
    <mergeCell ref="H577:L577"/>
    <mergeCell ref="M577:Q577"/>
    <mergeCell ref="C578:Q578"/>
    <mergeCell ref="C579:J579"/>
    <mergeCell ref="K579:Q579"/>
    <mergeCell ref="B563:B566"/>
    <mergeCell ref="C563:G563"/>
    <mergeCell ref="H563:L563"/>
    <mergeCell ref="M563:Q563"/>
    <mergeCell ref="C564:Q564"/>
    <mergeCell ref="C565:J565"/>
    <mergeCell ref="K565:Q565"/>
    <mergeCell ref="B549:B552"/>
    <mergeCell ref="C549:G549"/>
    <mergeCell ref="H549:L549"/>
    <mergeCell ref="M549:Q549"/>
    <mergeCell ref="C550:Q550"/>
    <mergeCell ref="C551:J551"/>
    <mergeCell ref="K551:Q551"/>
    <mergeCell ref="B535:B538"/>
    <mergeCell ref="C535:G535"/>
    <mergeCell ref="H535:L535"/>
    <mergeCell ref="M535:Q535"/>
    <mergeCell ref="C536:Q536"/>
    <mergeCell ref="C537:J537"/>
    <mergeCell ref="K537:Q537"/>
    <mergeCell ref="B521:B524"/>
    <mergeCell ref="C521:G521"/>
    <mergeCell ref="H521:L521"/>
    <mergeCell ref="M521:Q521"/>
    <mergeCell ref="C522:Q522"/>
    <mergeCell ref="C523:J523"/>
    <mergeCell ref="K523:Q523"/>
    <mergeCell ref="B507:B510"/>
    <mergeCell ref="C507:G507"/>
    <mergeCell ref="H507:L507"/>
    <mergeCell ref="M507:Q507"/>
    <mergeCell ref="C508:Q508"/>
    <mergeCell ref="C509:J509"/>
    <mergeCell ref="K509:Q509"/>
    <mergeCell ref="B493:B496"/>
    <mergeCell ref="C493:G493"/>
    <mergeCell ref="H493:L493"/>
    <mergeCell ref="M493:Q493"/>
    <mergeCell ref="C494:Q494"/>
    <mergeCell ref="C495:J495"/>
    <mergeCell ref="K495:Q495"/>
    <mergeCell ref="B479:B482"/>
    <mergeCell ref="C479:G479"/>
    <mergeCell ref="H479:L479"/>
    <mergeCell ref="M479:Q479"/>
    <mergeCell ref="C480:Q480"/>
    <mergeCell ref="C481:J481"/>
    <mergeCell ref="K481:Q481"/>
    <mergeCell ref="B465:B468"/>
    <mergeCell ref="C465:G465"/>
    <mergeCell ref="H465:L465"/>
    <mergeCell ref="M465:Q465"/>
    <mergeCell ref="C466:Q466"/>
    <mergeCell ref="C467:J467"/>
    <mergeCell ref="K467:Q467"/>
    <mergeCell ref="B451:B454"/>
    <mergeCell ref="C451:G451"/>
    <mergeCell ref="H451:L451"/>
    <mergeCell ref="M451:Q451"/>
    <mergeCell ref="C452:Q452"/>
    <mergeCell ref="C453:J453"/>
    <mergeCell ref="K453:Q453"/>
    <mergeCell ref="B437:B440"/>
    <mergeCell ref="C437:G437"/>
    <mergeCell ref="H437:L437"/>
    <mergeCell ref="M437:Q437"/>
    <mergeCell ref="C438:Q438"/>
    <mergeCell ref="C439:J439"/>
    <mergeCell ref="K439:Q439"/>
    <mergeCell ref="B423:B426"/>
    <mergeCell ref="C423:G423"/>
    <mergeCell ref="H423:L423"/>
    <mergeCell ref="M423:Q423"/>
    <mergeCell ref="C424:Q424"/>
    <mergeCell ref="C425:J425"/>
    <mergeCell ref="K425:Q425"/>
    <mergeCell ref="B409:B412"/>
    <mergeCell ref="C409:G409"/>
    <mergeCell ref="H409:L409"/>
    <mergeCell ref="M409:Q409"/>
    <mergeCell ref="C410:Q410"/>
    <mergeCell ref="C411:J411"/>
    <mergeCell ref="K411:Q411"/>
    <mergeCell ref="B395:B398"/>
    <mergeCell ref="C395:G395"/>
    <mergeCell ref="H395:L395"/>
    <mergeCell ref="M395:Q395"/>
    <mergeCell ref="C396:Q396"/>
    <mergeCell ref="C397:J397"/>
    <mergeCell ref="K397:Q397"/>
    <mergeCell ref="B381:B384"/>
    <mergeCell ref="C381:G381"/>
    <mergeCell ref="H381:L381"/>
    <mergeCell ref="M381:Q381"/>
    <mergeCell ref="C382:Q382"/>
    <mergeCell ref="C383:J383"/>
    <mergeCell ref="K383:Q383"/>
    <mergeCell ref="B367:B370"/>
    <mergeCell ref="C367:G367"/>
    <mergeCell ref="H367:L367"/>
    <mergeCell ref="M367:Q367"/>
    <mergeCell ref="C368:Q368"/>
    <mergeCell ref="C369:J369"/>
    <mergeCell ref="K369:Q369"/>
    <mergeCell ref="B353:B356"/>
    <mergeCell ref="C353:G353"/>
    <mergeCell ref="H353:L353"/>
    <mergeCell ref="M353:Q353"/>
    <mergeCell ref="C354:Q354"/>
    <mergeCell ref="C355:J355"/>
    <mergeCell ref="K355:Q355"/>
    <mergeCell ref="B339:B342"/>
    <mergeCell ref="C339:G339"/>
    <mergeCell ref="H339:L339"/>
    <mergeCell ref="M339:Q339"/>
    <mergeCell ref="C340:Q340"/>
    <mergeCell ref="C341:J341"/>
    <mergeCell ref="K341:Q341"/>
    <mergeCell ref="B325:B328"/>
    <mergeCell ref="C325:G325"/>
    <mergeCell ref="H325:L325"/>
    <mergeCell ref="M325:Q325"/>
    <mergeCell ref="C326:Q326"/>
    <mergeCell ref="C327:J327"/>
    <mergeCell ref="K327:Q327"/>
    <mergeCell ref="B311:B314"/>
    <mergeCell ref="C311:G311"/>
    <mergeCell ref="H311:L311"/>
    <mergeCell ref="M311:Q311"/>
    <mergeCell ref="C312:Q312"/>
    <mergeCell ref="C313:J313"/>
    <mergeCell ref="K313:Q313"/>
    <mergeCell ref="B297:B300"/>
    <mergeCell ref="C297:G297"/>
    <mergeCell ref="H297:L297"/>
    <mergeCell ref="M297:Q297"/>
    <mergeCell ref="C298:Q298"/>
    <mergeCell ref="C299:J299"/>
    <mergeCell ref="K299:Q299"/>
    <mergeCell ref="B283:B286"/>
    <mergeCell ref="C283:G283"/>
    <mergeCell ref="H283:L283"/>
    <mergeCell ref="M283:Q283"/>
    <mergeCell ref="C284:Q284"/>
    <mergeCell ref="C285:J285"/>
    <mergeCell ref="K285:Q285"/>
    <mergeCell ref="B269:B272"/>
    <mergeCell ref="C269:G269"/>
    <mergeCell ref="H269:L269"/>
    <mergeCell ref="M269:Q269"/>
    <mergeCell ref="C270:Q270"/>
    <mergeCell ref="C271:J271"/>
    <mergeCell ref="K271:Q271"/>
    <mergeCell ref="B255:B258"/>
    <mergeCell ref="C255:G255"/>
    <mergeCell ref="H255:L255"/>
    <mergeCell ref="M255:Q255"/>
    <mergeCell ref="C256:Q256"/>
    <mergeCell ref="C257:J257"/>
    <mergeCell ref="K257:Q257"/>
    <mergeCell ref="B241:B244"/>
    <mergeCell ref="C241:G241"/>
    <mergeCell ref="H241:L241"/>
    <mergeCell ref="M241:Q241"/>
    <mergeCell ref="C242:Q242"/>
    <mergeCell ref="C243:J243"/>
    <mergeCell ref="K243:Q243"/>
    <mergeCell ref="B227:B230"/>
    <mergeCell ref="C227:G227"/>
    <mergeCell ref="H227:L227"/>
    <mergeCell ref="M227:Q227"/>
    <mergeCell ref="C228:Q228"/>
    <mergeCell ref="C229:J229"/>
    <mergeCell ref="K229:Q229"/>
    <mergeCell ref="B213:B216"/>
    <mergeCell ref="C213:G213"/>
    <mergeCell ref="H213:L213"/>
    <mergeCell ref="M213:Q213"/>
    <mergeCell ref="C214:Q214"/>
    <mergeCell ref="C215:J215"/>
    <mergeCell ref="K215:Q215"/>
    <mergeCell ref="B199:B202"/>
    <mergeCell ref="C199:G199"/>
    <mergeCell ref="H199:L199"/>
    <mergeCell ref="M199:Q199"/>
    <mergeCell ref="C200:Q200"/>
    <mergeCell ref="C201:J201"/>
    <mergeCell ref="K201:Q201"/>
    <mergeCell ref="B185:B188"/>
    <mergeCell ref="C185:G185"/>
    <mergeCell ref="H185:L185"/>
    <mergeCell ref="M185:Q185"/>
    <mergeCell ref="C186:Q186"/>
    <mergeCell ref="C187:J187"/>
    <mergeCell ref="K187:Q187"/>
    <mergeCell ref="B171:B174"/>
    <mergeCell ref="C171:G171"/>
    <mergeCell ref="H171:L171"/>
    <mergeCell ref="M171:Q171"/>
    <mergeCell ref="C172:Q172"/>
    <mergeCell ref="C173:J173"/>
    <mergeCell ref="K173:Q173"/>
    <mergeCell ref="B157:B160"/>
    <mergeCell ref="C157:G157"/>
    <mergeCell ref="H157:L157"/>
    <mergeCell ref="M157:Q157"/>
    <mergeCell ref="C158:Q158"/>
    <mergeCell ref="C159:J159"/>
    <mergeCell ref="K159:Q159"/>
    <mergeCell ref="B142:B145"/>
    <mergeCell ref="C142:G142"/>
    <mergeCell ref="H142:L142"/>
    <mergeCell ref="M142:Q142"/>
    <mergeCell ref="C143:Q143"/>
    <mergeCell ref="C144:J144"/>
    <mergeCell ref="K144:Q144"/>
    <mergeCell ref="B127:B130"/>
    <mergeCell ref="C127:G127"/>
    <mergeCell ref="H127:L127"/>
    <mergeCell ref="M127:Q127"/>
    <mergeCell ref="C128:Q128"/>
    <mergeCell ref="C129:J129"/>
    <mergeCell ref="K129:Q129"/>
    <mergeCell ref="B113:B116"/>
    <mergeCell ref="C113:G113"/>
    <mergeCell ref="H113:L113"/>
    <mergeCell ref="M113:Q113"/>
    <mergeCell ref="C114:Q114"/>
    <mergeCell ref="C115:J115"/>
    <mergeCell ref="K115:Q115"/>
    <mergeCell ref="B99:B102"/>
    <mergeCell ref="C99:G99"/>
    <mergeCell ref="H99:L99"/>
    <mergeCell ref="M99:Q99"/>
    <mergeCell ref="C100:Q100"/>
    <mergeCell ref="C101:J101"/>
    <mergeCell ref="K101:Q101"/>
    <mergeCell ref="C80:Q80"/>
    <mergeCell ref="B84:Q84"/>
    <mergeCell ref="B85:B88"/>
    <mergeCell ref="C85:G85"/>
    <mergeCell ref="H85:L85"/>
    <mergeCell ref="M85:Q85"/>
    <mergeCell ref="C86:Q86"/>
    <mergeCell ref="C87:J87"/>
    <mergeCell ref="K87:Q87"/>
    <mergeCell ref="B73:B76"/>
    <mergeCell ref="C73:G73"/>
    <mergeCell ref="H73:L73"/>
    <mergeCell ref="M73:Q73"/>
    <mergeCell ref="C74:Q74"/>
    <mergeCell ref="C75:J75"/>
    <mergeCell ref="K75:Q75"/>
    <mergeCell ref="B62:B65"/>
    <mergeCell ref="C62:G62"/>
    <mergeCell ref="H62:L62"/>
    <mergeCell ref="M62:Q62"/>
    <mergeCell ref="C63:Q63"/>
    <mergeCell ref="C64:J64"/>
    <mergeCell ref="K64:Q64"/>
    <mergeCell ref="B13:E13"/>
    <mergeCell ref="B19:B22"/>
    <mergeCell ref="C19:G19"/>
    <mergeCell ref="H19:L19"/>
    <mergeCell ref="M19:Q19"/>
    <mergeCell ref="C20:Q20"/>
    <mergeCell ref="C21:J21"/>
    <mergeCell ref="K21:Q21"/>
    <mergeCell ref="B7:E7"/>
    <mergeCell ref="B8:E8"/>
    <mergeCell ref="B9:E9"/>
    <mergeCell ref="B10:E10"/>
    <mergeCell ref="B11:E11"/>
    <mergeCell ref="B12:E12"/>
  </mergeCells>
  <pageMargins left="0.75" right="0.75" top="1" bottom="1" header="0.5" footer="0.5"/>
  <pageSetup paperSize="9" orientation="portrait" r:id="rId1"/>
  <headerFooter alignWithMargins="0"/>
  <customProperties>
    <customPr name="_pios_id" r:id="rId2"/>
  </customProperties>
  <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autoPageBreaks="0"/>
  </sheetPr>
  <dimension ref="A1:AD48"/>
  <sheetViews>
    <sheetView showGridLines="0" topLeftCell="A4" zoomScale="60" zoomScaleNormal="60" workbookViewId="0">
      <selection activeCell="N33" sqref="N33"/>
    </sheetView>
  </sheetViews>
  <sheetFormatPr defaultColWidth="9.140625" defaultRowHeight="12.75"/>
  <cols>
    <col min="1" max="1" width="16.28515625" style="95" bestFit="1" customWidth="1"/>
    <col min="2" max="2" width="40" style="95" bestFit="1" customWidth="1"/>
    <col min="3" max="11" width="15.7109375" style="95" customWidth="1"/>
    <col min="12" max="12" width="23.42578125" style="95" customWidth="1"/>
    <col min="13" max="15" width="8.7109375"/>
    <col min="16" max="23" width="15.7109375" style="1172" customWidth="1"/>
    <col min="24" max="30" width="8.7109375" customWidth="1"/>
    <col min="31" max="16384" width="9.140625" style="95"/>
  </cols>
  <sheetData>
    <row r="1" spans="1:30" s="177" customFormat="1" ht="24.95" customHeight="1">
      <c r="B1" s="2522" t="str">
        <f>IF(dms_DataQuality="backcast",INDEX(dms_Worksheet_List,MATCH(dms_Model,dms_Model_List))&amp;" BACKCAST",INDEX(dms_Worksheet_List,MATCH(dms_Model,dms_Model_List)))</f>
        <v>REGULATORY REPORTING STATEMENT</v>
      </c>
      <c r="C1" s="491"/>
      <c r="D1" s="491"/>
      <c r="E1" s="491"/>
      <c r="F1" s="491"/>
      <c r="G1" s="491"/>
      <c r="H1" s="491"/>
      <c r="I1" s="491"/>
      <c r="J1" s="491"/>
      <c r="K1" s="491"/>
      <c r="L1" s="491"/>
      <c r="M1" s="491"/>
      <c r="N1" s="491"/>
      <c r="O1" s="491"/>
      <c r="P1" s="491"/>
      <c r="Q1" s="491"/>
      <c r="R1" s="491"/>
      <c r="S1" s="491"/>
      <c r="T1" s="491"/>
      <c r="U1" s="491"/>
      <c r="V1" s="491"/>
      <c r="W1" s="491"/>
      <c r="X1"/>
      <c r="Y1"/>
      <c r="Z1"/>
      <c r="AA1"/>
      <c r="AB1"/>
      <c r="AC1"/>
      <c r="AD1"/>
    </row>
    <row r="2" spans="1:30" s="177" customFormat="1" ht="24.95" customHeight="1">
      <c r="B2" s="2526" t="str">
        <f>INDEX(dms_TradingNameFull_List,MATCH(dms_TradingName,dms_TradingName_List))</f>
        <v>AusNet Gas Services</v>
      </c>
      <c r="C2" s="180"/>
      <c r="D2" s="180"/>
      <c r="E2" s="180"/>
      <c r="F2" s="180"/>
      <c r="G2" s="180"/>
      <c r="H2" s="180"/>
      <c r="I2" s="180"/>
      <c r="J2" s="180"/>
      <c r="K2" s="180"/>
      <c r="L2" s="180"/>
      <c r="M2" s="1173"/>
      <c r="N2" s="1173"/>
      <c r="O2" s="1173"/>
      <c r="P2" s="1173"/>
      <c r="Q2" s="1173"/>
      <c r="R2" s="1173"/>
      <c r="S2" s="1173"/>
      <c r="T2" s="1173"/>
      <c r="U2" s="1173"/>
      <c r="V2" s="1173"/>
      <c r="W2" s="1173"/>
      <c r="X2"/>
      <c r="Y2"/>
      <c r="Z2"/>
      <c r="AA2"/>
      <c r="AB2"/>
      <c r="AC2"/>
      <c r="AD2"/>
    </row>
    <row r="3" spans="1:30" s="177" customFormat="1" ht="24.95" customHeight="1">
      <c r="B3" s="2526" t="str">
        <f ca="1">IF(SUM(dms_SingleYear_Model)&gt;0,CRY,CONCATENATE(FRCP_y1," to ",dms_MultiYear_FinalYear_Result))</f>
        <v>2018 to 2022</v>
      </c>
      <c r="C3" s="181"/>
      <c r="D3" s="181"/>
      <c r="E3" s="181"/>
      <c r="F3" s="181"/>
      <c r="G3" s="181"/>
      <c r="H3" s="181"/>
      <c r="I3" s="181"/>
      <c r="J3" s="181"/>
      <c r="K3" s="181"/>
      <c r="L3" s="181"/>
      <c r="M3" s="1171"/>
      <c r="N3" s="1171"/>
      <c r="O3" s="1171"/>
      <c r="P3" s="1171"/>
      <c r="Q3" s="1171"/>
      <c r="R3" s="1171"/>
      <c r="S3" s="1171"/>
      <c r="T3" s="1171"/>
      <c r="U3" s="1171"/>
      <c r="V3" s="1171"/>
      <c r="W3" s="1171"/>
      <c r="X3"/>
      <c r="Y3"/>
      <c r="Z3"/>
      <c r="AA3"/>
      <c r="AB3"/>
      <c r="AC3"/>
      <c r="AD3"/>
    </row>
    <row r="4" spans="1:30" s="159" customFormat="1" ht="24" customHeight="1">
      <c r="B4" s="10" t="s">
        <v>369</v>
      </c>
      <c r="C4" s="12"/>
      <c r="D4" s="12"/>
      <c r="E4" s="12"/>
      <c r="F4" s="12"/>
      <c r="G4" s="12"/>
      <c r="H4" s="12"/>
      <c r="I4" s="12"/>
      <c r="J4" s="12"/>
      <c r="K4" s="12"/>
      <c r="L4" s="12"/>
      <c r="M4" s="12"/>
      <c r="N4" s="12"/>
      <c r="O4" s="12"/>
      <c r="P4" s="12"/>
      <c r="Q4" s="12"/>
      <c r="R4" s="12"/>
      <c r="S4" s="12"/>
      <c r="T4" s="12"/>
      <c r="U4" s="12"/>
      <c r="V4" s="12"/>
      <c r="W4" s="12"/>
      <c r="X4"/>
      <c r="Y4"/>
      <c r="Z4"/>
      <c r="AA4"/>
      <c r="AB4"/>
      <c r="AC4"/>
      <c r="AD4"/>
    </row>
    <row r="5" spans="1:30" customFormat="1" ht="26.25" customHeight="1">
      <c r="A5" s="242"/>
      <c r="B5" s="1167"/>
      <c r="C5" s="1167"/>
      <c r="D5" s="1167"/>
      <c r="E5" s="1167"/>
      <c r="F5" s="1167"/>
      <c r="G5" s="1167"/>
      <c r="H5" s="1167"/>
      <c r="I5" s="1167"/>
      <c r="J5" s="1167"/>
      <c r="K5" s="1167"/>
      <c r="L5" s="1167"/>
      <c r="W5" s="1167"/>
    </row>
    <row r="6" spans="1:30">
      <c r="A6" s="696"/>
      <c r="B6" s="925"/>
      <c r="C6" s="925"/>
      <c r="D6" s="1168"/>
      <c r="E6" s="1168"/>
      <c r="F6" s="1169"/>
      <c r="G6" s="1169"/>
      <c r="H6" s="1170"/>
      <c r="I6" s="1168"/>
      <c r="J6" s="1168"/>
      <c r="K6" s="1168"/>
      <c r="L6" s="1168"/>
      <c r="P6"/>
      <c r="Q6"/>
      <c r="R6"/>
      <c r="S6"/>
      <c r="T6"/>
      <c r="U6"/>
      <c r="V6"/>
      <c r="W6" s="1168"/>
    </row>
    <row r="7" spans="1:30" s="172" customFormat="1">
      <c r="A7" s="247"/>
      <c r="B7" s="1345" t="s">
        <v>59</v>
      </c>
      <c r="C7" s="1345"/>
      <c r="D7" s="1345"/>
      <c r="E7" s="1345"/>
      <c r="F7" s="1345"/>
      <c r="G7" s="1345"/>
      <c r="H7" s="1345"/>
      <c r="I7" s="1165"/>
      <c r="J7" s="1165"/>
      <c r="K7" s="1165"/>
      <c r="L7" s="1165"/>
      <c r="P7"/>
      <c r="Q7"/>
      <c r="R7"/>
      <c r="S7"/>
      <c r="T7"/>
      <c r="U7"/>
      <c r="V7"/>
      <c r="W7" s="1165"/>
    </row>
    <row r="8" spans="1:30" s="172" customFormat="1">
      <c r="A8" s="247"/>
      <c r="B8" s="1346" t="s">
        <v>123</v>
      </c>
      <c r="C8" s="1346"/>
      <c r="D8" s="1346"/>
      <c r="E8" s="1346"/>
      <c r="F8" s="1346"/>
      <c r="G8" s="1346"/>
      <c r="H8" s="1345"/>
      <c r="I8" s="1165"/>
      <c r="J8" s="1165"/>
      <c r="K8" s="1165"/>
      <c r="L8" s="1165"/>
      <c r="P8"/>
      <c r="Q8"/>
      <c r="R8"/>
      <c r="S8"/>
      <c r="T8"/>
      <c r="U8"/>
      <c r="V8"/>
      <c r="W8" s="1165"/>
    </row>
    <row r="9" spans="1:30" s="172" customFormat="1" ht="34.5" customHeight="1">
      <c r="A9" s="247"/>
      <c r="B9" s="4089" t="str">
        <f>CONCATENATE("Reported expenditure is to be entered INCLUSIVE of any profit margins or management fees paid pursuant to arrangements or contracts between ",dms_TradingName, " and any related parties.")</f>
        <v>Reported expenditure is to be entered INCLUSIVE of any profit margins or management fees paid pursuant to arrangements or contracts between AusNet (Gas) and any related parties.</v>
      </c>
      <c r="C9" s="4089"/>
      <c r="D9" s="4089"/>
      <c r="E9" s="4089"/>
      <c r="F9" s="4089"/>
      <c r="G9" s="4089"/>
      <c r="H9" s="4089"/>
      <c r="I9" s="1165"/>
      <c r="J9" s="1165"/>
      <c r="K9" s="1165"/>
      <c r="L9" s="1165"/>
      <c r="P9"/>
      <c r="Q9"/>
      <c r="R9"/>
      <c r="S9"/>
      <c r="T9"/>
      <c r="U9"/>
      <c r="V9"/>
      <c r="W9" s="1165"/>
    </row>
    <row r="10" spans="1:30" s="172" customFormat="1" ht="34.5" customHeight="1">
      <c r="A10" s="247"/>
      <c r="B10" s="4740" t="s">
        <v>225</v>
      </c>
      <c r="C10" s="4091"/>
      <c r="D10" s="4091"/>
      <c r="E10" s="4091"/>
      <c r="F10" s="4091"/>
      <c r="G10" s="4091"/>
      <c r="H10" s="4091"/>
      <c r="I10" s="1165"/>
      <c r="J10" s="1165"/>
      <c r="K10" s="1165"/>
      <c r="L10" s="1165"/>
      <c r="P10"/>
      <c r="Q10"/>
      <c r="R10"/>
      <c r="S10"/>
      <c r="T10"/>
      <c r="U10"/>
      <c r="V10"/>
      <c r="W10" s="1165"/>
    </row>
    <row r="11" spans="1:30" s="172" customFormat="1" ht="18" customHeight="1">
      <c r="A11" s="247"/>
      <c r="B11" s="1346" t="s">
        <v>223</v>
      </c>
      <c r="C11" s="1347"/>
      <c r="D11" s="1347"/>
      <c r="E11" s="1347"/>
      <c r="F11" s="1347"/>
      <c r="G11" s="1347"/>
      <c r="H11" s="1345"/>
      <c r="I11" s="1165"/>
      <c r="J11" s="1165"/>
      <c r="K11" s="1165"/>
      <c r="L11" s="1165"/>
      <c r="P11"/>
      <c r="Q11"/>
      <c r="R11"/>
      <c r="S11"/>
      <c r="T11"/>
      <c r="U11"/>
      <c r="V11"/>
      <c r="W11" s="1165"/>
    </row>
    <row r="12" spans="1:30" s="172" customFormat="1" ht="18" customHeight="1">
      <c r="A12" s="247"/>
      <c r="B12" s="1346" t="s">
        <v>224</v>
      </c>
      <c r="C12" s="1347"/>
      <c r="D12" s="1347"/>
      <c r="E12" s="1347"/>
      <c r="F12" s="1347"/>
      <c r="G12" s="1347"/>
      <c r="H12" s="1345"/>
      <c r="I12" s="1165"/>
      <c r="J12" s="1165"/>
      <c r="K12" s="1165"/>
      <c r="L12" s="1165"/>
      <c r="P12"/>
      <c r="Q12"/>
      <c r="R12"/>
      <c r="S12"/>
      <c r="T12"/>
      <c r="U12"/>
      <c r="V12"/>
      <c r="W12" s="1165"/>
    </row>
    <row r="13" spans="1:30">
      <c r="A13" s="696"/>
      <c r="C13" s="696"/>
      <c r="D13" s="262"/>
      <c r="E13" s="262"/>
      <c r="F13" s="834"/>
      <c r="G13" s="834"/>
      <c r="H13" s="315"/>
      <c r="I13" s="262"/>
      <c r="J13" s="262"/>
      <c r="K13" s="262"/>
      <c r="L13" s="262"/>
      <c r="P13"/>
      <c r="Q13"/>
      <c r="R13"/>
      <c r="S13"/>
      <c r="T13"/>
      <c r="U13"/>
      <c r="V13"/>
      <c r="W13" s="262"/>
    </row>
    <row r="14" spans="1:30" ht="43.5" customHeight="1" thickBot="1">
      <c r="A14" s="696"/>
      <c r="C14" s="696"/>
      <c r="D14" s="262"/>
      <c r="E14" s="834"/>
      <c r="F14" s="834"/>
      <c r="G14" s="315"/>
      <c r="H14" s="262"/>
      <c r="I14" s="262"/>
      <c r="J14" s="262"/>
      <c r="K14" s="262"/>
      <c r="L14" s="696"/>
      <c r="P14" s="1174"/>
      <c r="Q14" s="262"/>
      <c r="R14" s="834"/>
      <c r="S14" s="834"/>
      <c r="T14" s="315"/>
      <c r="U14" s="262"/>
      <c r="V14" s="262"/>
      <c r="W14" s="262"/>
    </row>
    <row r="15" spans="1:30" s="183" customFormat="1" ht="26.25" customHeight="1" thickBot="1">
      <c r="A15" s="262"/>
      <c r="B15" s="815" t="s">
        <v>540</v>
      </c>
      <c r="C15" s="830"/>
      <c r="D15" s="830"/>
      <c r="E15" s="830"/>
      <c r="F15" s="830"/>
      <c r="G15" s="830"/>
      <c r="H15" s="830"/>
      <c r="I15" s="830"/>
      <c r="J15" s="830"/>
      <c r="K15" s="830"/>
      <c r="L15" s="831"/>
      <c r="M15" s="262"/>
      <c r="P15" s="735" t="s">
        <v>642</v>
      </c>
      <c r="Q15" s="830"/>
      <c r="R15" s="830"/>
      <c r="S15" s="830"/>
      <c r="T15" s="830"/>
      <c r="U15" s="830"/>
      <c r="V15" s="830"/>
      <c r="W15" s="831"/>
    </row>
    <row r="16" spans="1:30" s="183" customFormat="1" ht="26.25" customHeight="1" thickBot="1">
      <c r="A16" s="262"/>
      <c r="B16" s="1258" t="s">
        <v>541</v>
      </c>
      <c r="C16" s="1259"/>
      <c r="D16" s="1259"/>
      <c r="E16" s="1259"/>
      <c r="F16" s="1259"/>
      <c r="G16" s="1259"/>
      <c r="H16" s="1259"/>
      <c r="I16" s="1259"/>
      <c r="J16" s="1259"/>
      <c r="K16" s="1259"/>
      <c r="L16" s="1260"/>
      <c r="M16" s="262"/>
      <c r="P16" s="1258"/>
      <c r="Q16" s="1259"/>
      <c r="R16" s="1259"/>
      <c r="S16" s="1259"/>
      <c r="T16" s="1259"/>
      <c r="U16" s="1259"/>
      <c r="V16" s="1259"/>
      <c r="W16" s="1260"/>
      <c r="X16"/>
      <c r="Y16"/>
      <c r="Z16"/>
    </row>
    <row r="17" spans="1:30" s="77" customFormat="1" ht="15" customHeight="1">
      <c r="A17" s="262"/>
      <c r="B17" s="4727"/>
      <c r="C17" s="4729" t="s">
        <v>36</v>
      </c>
      <c r="D17" s="4730"/>
      <c r="E17" s="4730"/>
      <c r="F17" s="4730"/>
      <c r="G17" s="4731"/>
      <c r="H17" s="4732" t="s">
        <v>37</v>
      </c>
      <c r="I17" s="4733"/>
      <c r="J17" s="4733"/>
      <c r="K17" s="4733"/>
      <c r="L17" s="4734"/>
      <c r="M17"/>
      <c r="N17"/>
      <c r="O17"/>
      <c r="P17" s="4729" t="s">
        <v>36</v>
      </c>
      <c r="Q17" s="4730"/>
      <c r="R17" s="4730"/>
      <c r="S17" s="4730"/>
      <c r="T17" s="4731"/>
      <c r="U17" s="4732" t="s">
        <v>37</v>
      </c>
      <c r="V17" s="4733"/>
      <c r="W17" s="4734"/>
      <c r="X17"/>
      <c r="Y17"/>
      <c r="Z17"/>
      <c r="AA17"/>
      <c r="AB17"/>
      <c r="AC17"/>
      <c r="AD17"/>
    </row>
    <row r="18" spans="1:30" s="77" customFormat="1" ht="15" customHeight="1">
      <c r="A18" s="262"/>
      <c r="B18" s="4728"/>
      <c r="C18" s="4367" t="s">
        <v>2098</v>
      </c>
      <c r="D18" s="4368"/>
      <c r="E18" s="4368"/>
      <c r="F18" s="4368"/>
      <c r="G18" s="4368"/>
      <c r="H18" s="4368"/>
      <c r="I18" s="4368"/>
      <c r="J18" s="4368"/>
      <c r="K18" s="4368"/>
      <c r="L18" s="4369"/>
      <c r="M18"/>
      <c r="N18"/>
      <c r="O18"/>
      <c r="P18" s="4367" t="str">
        <f>CONCATENATE("$0's, real ",dms_DollarReal)</f>
        <v>$0's, real December 2017</v>
      </c>
      <c r="Q18" s="4368"/>
      <c r="R18" s="4368"/>
      <c r="S18" s="4368"/>
      <c r="T18" s="4368"/>
      <c r="U18" s="4368"/>
      <c r="V18" s="4368"/>
      <c r="W18" s="4369"/>
      <c r="X18"/>
      <c r="Y18"/>
      <c r="Z18"/>
      <c r="AA18"/>
      <c r="AB18"/>
      <c r="AC18"/>
      <c r="AD18"/>
    </row>
    <row r="19" spans="1:30" s="77" customFormat="1" ht="15" customHeight="1">
      <c r="A19" s="262"/>
      <c r="B19" s="4728"/>
      <c r="C19" s="4737" t="s">
        <v>54</v>
      </c>
      <c r="D19" s="4738"/>
      <c r="E19" s="4738"/>
      <c r="F19" s="4738"/>
      <c r="G19" s="4738"/>
      <c r="H19" s="4738"/>
      <c r="I19" s="4738"/>
      <c r="J19" s="4739"/>
      <c r="K19" s="4735" t="s">
        <v>55</v>
      </c>
      <c r="L19" s="4736"/>
      <c r="M19"/>
      <c r="N19"/>
      <c r="O19"/>
      <c r="P19" s="4737" t="s">
        <v>54</v>
      </c>
      <c r="Q19" s="4738"/>
      <c r="R19" s="4738"/>
      <c r="S19" s="4738"/>
      <c r="T19" s="4738"/>
      <c r="U19" s="4738"/>
      <c r="V19" s="4738"/>
      <c r="W19" s="4744"/>
      <c r="X19"/>
      <c r="Y19"/>
      <c r="Z19"/>
      <c r="AA19"/>
      <c r="AB19"/>
      <c r="AC19"/>
      <c r="AD19"/>
    </row>
    <row r="20" spans="1:30" s="77" customFormat="1" ht="15" customHeight="1" thickBot="1">
      <c r="A20" s="262"/>
      <c r="B20" s="4728"/>
      <c r="C20" s="1814">
        <f t="array" ref="C20:G20">PRCP</f>
        <v>2008</v>
      </c>
      <c r="D20" s="828">
        <v>2009</v>
      </c>
      <c r="E20" s="828">
        <v>2010</v>
      </c>
      <c r="F20" s="828">
        <v>2011</v>
      </c>
      <c r="G20" s="828">
        <v>2012</v>
      </c>
      <c r="H20" s="827">
        <f>CRCP_y1</f>
        <v>2013</v>
      </c>
      <c r="I20" s="827">
        <f>CRCP_y2</f>
        <v>2014</v>
      </c>
      <c r="J20" s="827">
        <f>CRCP_y3</f>
        <v>2015</v>
      </c>
      <c r="K20" s="827">
        <f>CRCP_y4</f>
        <v>2016</v>
      </c>
      <c r="L20" s="1815">
        <f>CRCP_y5</f>
        <v>2017</v>
      </c>
      <c r="M20"/>
      <c r="N20"/>
      <c r="O20"/>
      <c r="P20" s="1814">
        <f t="array" ref="P20:T20">PRCP</f>
        <v>2008</v>
      </c>
      <c r="Q20" s="828">
        <v>2009</v>
      </c>
      <c r="R20" s="828">
        <v>2010</v>
      </c>
      <c r="S20" s="828">
        <v>2011</v>
      </c>
      <c r="T20" s="828">
        <v>2012</v>
      </c>
      <c r="U20" s="827">
        <f>CRCP_y1</f>
        <v>2013</v>
      </c>
      <c r="V20" s="827">
        <f>CRCP_y2</f>
        <v>2014</v>
      </c>
      <c r="W20" s="1815">
        <f>CRCP_y3</f>
        <v>2015</v>
      </c>
      <c r="X20"/>
      <c r="Y20"/>
      <c r="Z20"/>
      <c r="AA20"/>
      <c r="AB20"/>
      <c r="AC20"/>
      <c r="AD20"/>
    </row>
    <row r="21" spans="1:30" ht="13.5" thickBot="1">
      <c r="A21" s="696"/>
      <c r="B21" s="866" t="s">
        <v>1445</v>
      </c>
      <c r="C21" s="862"/>
      <c r="D21" s="863"/>
      <c r="E21" s="863"/>
      <c r="F21" s="863"/>
      <c r="G21" s="868">
        <v>2.5</v>
      </c>
      <c r="H21" s="1550">
        <v>4.3</v>
      </c>
      <c r="I21" s="863">
        <v>0.3</v>
      </c>
      <c r="J21" s="863">
        <v>0.2</v>
      </c>
      <c r="K21" s="863">
        <v>7.6</v>
      </c>
      <c r="L21" s="868"/>
      <c r="P21" s="1775"/>
      <c r="Q21" s="1771"/>
      <c r="R21" s="1771"/>
      <c r="S21" s="1771"/>
      <c r="T21" s="1776"/>
      <c r="U21" s="1775"/>
      <c r="V21" s="1771"/>
      <c r="W21" s="1776"/>
    </row>
    <row r="22" spans="1:30" hidden="1">
      <c r="A22" s="696"/>
      <c r="B22" s="867" t="s">
        <v>122</v>
      </c>
      <c r="C22" s="864"/>
      <c r="D22" s="865"/>
      <c r="E22" s="865"/>
      <c r="F22" s="865"/>
      <c r="G22" s="869"/>
      <c r="H22" s="864"/>
      <c r="I22" s="865"/>
      <c r="J22" s="865"/>
      <c r="K22" s="865"/>
      <c r="L22" s="869"/>
      <c r="P22" s="1772"/>
      <c r="Q22" s="1773"/>
      <c r="R22" s="1773"/>
      <c r="S22" s="1773"/>
      <c r="T22" s="1777"/>
      <c r="U22" s="1772"/>
      <c r="V22" s="1773"/>
      <c r="W22" s="1777"/>
    </row>
    <row r="23" spans="1:30" hidden="1">
      <c r="A23" s="696"/>
      <c r="B23" s="867" t="s">
        <v>122</v>
      </c>
      <c r="C23" s="864"/>
      <c r="D23" s="865"/>
      <c r="E23" s="865"/>
      <c r="F23" s="865"/>
      <c r="G23" s="869"/>
      <c r="H23" s="864"/>
      <c r="I23" s="865"/>
      <c r="J23" s="865"/>
      <c r="K23" s="865"/>
      <c r="L23" s="869"/>
      <c r="P23" s="1772"/>
      <c r="Q23" s="1773"/>
      <c r="R23" s="1773"/>
      <c r="S23" s="1773"/>
      <c r="T23" s="1777"/>
      <c r="U23" s="1772"/>
      <c r="V23" s="1773"/>
      <c r="W23" s="1777"/>
    </row>
    <row r="24" spans="1:30" hidden="1">
      <c r="A24" s="696"/>
      <c r="B24" s="867" t="s">
        <v>122</v>
      </c>
      <c r="C24" s="864"/>
      <c r="D24" s="865"/>
      <c r="E24" s="865"/>
      <c r="F24" s="865"/>
      <c r="G24" s="869"/>
      <c r="H24" s="864"/>
      <c r="I24" s="865"/>
      <c r="J24" s="865"/>
      <c r="K24" s="865"/>
      <c r="L24" s="869"/>
      <c r="P24" s="1772"/>
      <c r="Q24" s="1773"/>
      <c r="R24" s="1773"/>
      <c r="S24" s="1773"/>
      <c r="T24" s="1777"/>
      <c r="U24" s="1772"/>
      <c r="V24" s="1773"/>
      <c r="W24" s="1777"/>
    </row>
    <row r="25" spans="1:30" hidden="1">
      <c r="A25" s="696"/>
      <c r="B25" s="867" t="s">
        <v>122</v>
      </c>
      <c r="C25" s="864"/>
      <c r="D25" s="865"/>
      <c r="E25" s="865"/>
      <c r="F25" s="865"/>
      <c r="G25" s="869"/>
      <c r="H25" s="864"/>
      <c r="I25" s="865"/>
      <c r="J25" s="865"/>
      <c r="K25" s="865"/>
      <c r="L25" s="869"/>
      <c r="P25" s="1772"/>
      <c r="Q25" s="1773"/>
      <c r="R25" s="1773"/>
      <c r="S25" s="1773"/>
      <c r="T25" s="1777"/>
      <c r="U25" s="1772"/>
      <c r="V25" s="1773"/>
      <c r="W25" s="1777"/>
    </row>
    <row r="26" spans="1:30" hidden="1">
      <c r="A26" s="696"/>
      <c r="B26" s="867" t="s">
        <v>122</v>
      </c>
      <c r="C26" s="864"/>
      <c r="D26" s="865"/>
      <c r="E26" s="865"/>
      <c r="F26" s="865"/>
      <c r="G26" s="869"/>
      <c r="H26" s="864"/>
      <c r="I26" s="865"/>
      <c r="J26" s="865"/>
      <c r="K26" s="865"/>
      <c r="L26" s="869"/>
      <c r="P26" s="1772"/>
      <c r="Q26" s="1773"/>
      <c r="R26" s="1773"/>
      <c r="S26" s="1773"/>
      <c r="T26" s="1777"/>
      <c r="U26" s="1772"/>
      <c r="V26" s="1773"/>
      <c r="W26" s="1777"/>
    </row>
    <row r="27" spans="1:30" hidden="1">
      <c r="A27" s="696"/>
      <c r="B27" s="867" t="s">
        <v>122</v>
      </c>
      <c r="C27" s="864"/>
      <c r="D27" s="865"/>
      <c r="E27" s="865"/>
      <c r="F27" s="865"/>
      <c r="G27" s="869"/>
      <c r="H27" s="864"/>
      <c r="I27" s="865"/>
      <c r="J27" s="865"/>
      <c r="K27" s="865"/>
      <c r="L27" s="869"/>
      <c r="P27" s="1772"/>
      <c r="Q27" s="1773"/>
      <c r="R27" s="1773"/>
      <c r="S27" s="1773"/>
      <c r="T27" s="1777"/>
      <c r="U27" s="1772"/>
      <c r="V27" s="1773"/>
      <c r="W27" s="1777"/>
    </row>
    <row r="28" spans="1:30" ht="15" hidden="1" customHeight="1" thickBot="1">
      <c r="A28" s="696"/>
      <c r="B28" s="870" t="s">
        <v>122</v>
      </c>
      <c r="C28" s="871"/>
      <c r="D28" s="872"/>
      <c r="E28" s="872"/>
      <c r="F28" s="872"/>
      <c r="G28" s="873"/>
      <c r="H28" s="1551"/>
      <c r="I28" s="1552"/>
      <c r="J28" s="1552"/>
      <c r="K28" s="1552"/>
      <c r="L28" s="1553"/>
      <c r="P28" s="1816"/>
      <c r="Q28" s="1817"/>
      <c r="R28" s="1817"/>
      <c r="S28" s="1817"/>
      <c r="T28" s="1818"/>
      <c r="U28" s="1778"/>
      <c r="V28" s="1774"/>
      <c r="W28" s="1779"/>
    </row>
    <row r="29" spans="1:30" ht="13.5" thickBot="1">
      <c r="A29" s="696"/>
      <c r="B29" s="875" t="s">
        <v>63</v>
      </c>
      <c r="C29" s="929">
        <f t="shared" ref="C29:L29" si="0">SUM(C21:C24)</f>
        <v>0</v>
      </c>
      <c r="D29" s="930">
        <f t="shared" si="0"/>
        <v>0</v>
      </c>
      <c r="E29" s="930">
        <f t="shared" si="0"/>
        <v>0</v>
      </c>
      <c r="F29" s="930">
        <f t="shared" si="0"/>
        <v>0</v>
      </c>
      <c r="G29" s="931">
        <f t="shared" si="0"/>
        <v>2.5</v>
      </c>
      <c r="H29" s="929">
        <f t="shared" si="0"/>
        <v>4.3</v>
      </c>
      <c r="I29" s="930">
        <f t="shared" si="0"/>
        <v>0.3</v>
      </c>
      <c r="J29" s="930">
        <f t="shared" ref="J29" si="1">SUM(J21:J24)</f>
        <v>0.2</v>
      </c>
      <c r="K29" s="930">
        <f t="shared" si="0"/>
        <v>7.6</v>
      </c>
      <c r="L29" s="931">
        <f t="shared" si="0"/>
        <v>0</v>
      </c>
      <c r="P29" s="929">
        <f t="shared" ref="P29:V29" si="2">SUM(P21:P24)</f>
        <v>0</v>
      </c>
      <c r="Q29" s="930">
        <f t="shared" si="2"/>
        <v>0</v>
      </c>
      <c r="R29" s="930">
        <f t="shared" si="2"/>
        <v>0</v>
      </c>
      <c r="S29" s="930">
        <f t="shared" si="2"/>
        <v>0</v>
      </c>
      <c r="T29" s="931">
        <f t="shared" si="2"/>
        <v>0</v>
      </c>
      <c r="U29" s="932">
        <f t="shared" si="2"/>
        <v>0</v>
      </c>
      <c r="V29" s="930">
        <f t="shared" si="2"/>
        <v>0</v>
      </c>
      <c r="W29" s="931">
        <f t="shared" ref="W29" si="3">SUM(W21:W24)</f>
        <v>0</v>
      </c>
    </row>
    <row r="30" spans="1:30" s="69" customFormat="1" ht="29.25" customHeight="1" thickBot="1">
      <c r="A30" s="314"/>
      <c r="B30" s="1549" t="s">
        <v>121</v>
      </c>
      <c r="C30" s="4741" t="s">
        <v>2097</v>
      </c>
      <c r="D30" s="4742"/>
      <c r="E30" s="4742"/>
      <c r="F30" s="4742"/>
      <c r="G30" s="4742"/>
      <c r="H30" s="4742"/>
      <c r="I30" s="4742"/>
      <c r="J30" s="4742"/>
      <c r="K30" s="4742"/>
      <c r="L30" s="4743"/>
      <c r="M30"/>
      <c r="N30"/>
      <c r="O30"/>
      <c r="P30" s="1663"/>
      <c r="Q30" s="1644"/>
      <c r="R30" s="1644"/>
      <c r="S30" s="1644"/>
      <c r="T30" s="1644"/>
      <c r="U30" s="1644"/>
      <c r="V30" s="1644"/>
      <c r="W30" s="1647"/>
      <c r="X30"/>
      <c r="Y30"/>
      <c r="Z30"/>
      <c r="AA30"/>
      <c r="AB30"/>
      <c r="AC30"/>
      <c r="AD30"/>
    </row>
    <row r="31" spans="1:30" s="96" customFormat="1" ht="30" customHeight="1" thickBot="1">
      <c r="A31" s="696"/>
      <c r="B31" s="876"/>
      <c r="C31" s="877"/>
      <c r="D31" s="877"/>
      <c r="E31" s="877"/>
      <c r="F31" s="877"/>
      <c r="G31" s="877"/>
      <c r="H31" s="877"/>
      <c r="I31" s="877"/>
      <c r="J31" s="877"/>
      <c r="K31" s="877"/>
      <c r="L31" s="877"/>
      <c r="M31"/>
      <c r="N31"/>
      <c r="O31"/>
      <c r="P31" s="877"/>
      <c r="Q31" s="877"/>
      <c r="R31" s="877"/>
      <c r="S31" s="877"/>
      <c r="T31" s="877"/>
      <c r="U31" s="877"/>
      <c r="V31" s="877"/>
      <c r="W31" s="877"/>
      <c r="X31"/>
      <c r="Y31"/>
      <c r="Z31"/>
      <c r="AA31"/>
      <c r="AB31"/>
      <c r="AC31"/>
      <c r="AD31"/>
    </row>
    <row r="32" spans="1:30" s="183" customFormat="1" ht="26.25" customHeight="1" thickBot="1">
      <c r="A32" s="262"/>
      <c r="B32" s="1258" t="s">
        <v>379</v>
      </c>
      <c r="C32" s="1259"/>
      <c r="D32" s="1259"/>
      <c r="E32" s="1259"/>
      <c r="F32" s="1259"/>
      <c r="G32" s="1259"/>
      <c r="H32" s="1259"/>
      <c r="I32" s="1259"/>
      <c r="J32" s="1259"/>
      <c r="K32" s="1259"/>
      <c r="L32" s="1260"/>
      <c r="M32" s="262"/>
      <c r="O32"/>
      <c r="P32"/>
      <c r="Q32"/>
      <c r="R32"/>
      <c r="S32"/>
      <c r="T32"/>
      <c r="U32"/>
      <c r="V32"/>
      <c r="W32"/>
      <c r="X32"/>
      <c r="Y32"/>
      <c r="Z32"/>
    </row>
    <row r="33" spans="1:30" s="474" customFormat="1" ht="15" customHeight="1">
      <c r="A33" s="262"/>
      <c r="B33" s="4727"/>
      <c r="C33" s="4729" t="s">
        <v>36</v>
      </c>
      <c r="D33" s="4730"/>
      <c r="E33" s="4730"/>
      <c r="F33" s="4730"/>
      <c r="G33" s="4731"/>
      <c r="H33" s="4732" t="s">
        <v>37</v>
      </c>
      <c r="I33" s="4733"/>
      <c r="J33" s="4733"/>
      <c r="K33" s="4733"/>
      <c r="L33" s="4734"/>
      <c r="M33"/>
      <c r="N33"/>
      <c r="O33"/>
      <c r="P33"/>
      <c r="Q33"/>
      <c r="R33"/>
      <c r="S33"/>
      <c r="T33"/>
      <c r="U33"/>
      <c r="V33"/>
      <c r="W33"/>
      <c r="X33"/>
      <c r="Y33"/>
      <c r="Z33"/>
      <c r="AA33"/>
      <c r="AB33"/>
      <c r="AC33"/>
      <c r="AD33"/>
    </row>
    <row r="34" spans="1:30" s="474" customFormat="1" ht="15" customHeight="1">
      <c r="A34" s="262"/>
      <c r="B34" s="4728"/>
      <c r="C34" s="4367" t="s">
        <v>2098</v>
      </c>
      <c r="D34" s="4368"/>
      <c r="E34" s="4368"/>
      <c r="F34" s="4368"/>
      <c r="G34" s="4368"/>
      <c r="H34" s="4368"/>
      <c r="I34" s="4368"/>
      <c r="J34" s="4368"/>
      <c r="K34" s="4368"/>
      <c r="L34" s="4369"/>
      <c r="M34"/>
      <c r="N34"/>
      <c r="O34"/>
      <c r="P34"/>
      <c r="Q34"/>
      <c r="R34"/>
      <c r="S34"/>
      <c r="T34"/>
      <c r="U34"/>
      <c r="V34"/>
      <c r="W34"/>
      <c r="X34"/>
      <c r="Y34"/>
      <c r="Z34"/>
      <c r="AA34"/>
      <c r="AB34"/>
      <c r="AC34"/>
      <c r="AD34"/>
    </row>
    <row r="35" spans="1:30" s="474" customFormat="1" ht="15" customHeight="1">
      <c r="A35" s="262"/>
      <c r="B35" s="4728"/>
      <c r="C35" s="4737" t="s">
        <v>74</v>
      </c>
      <c r="D35" s="4738"/>
      <c r="E35" s="4738"/>
      <c r="F35" s="4738"/>
      <c r="G35" s="4738"/>
      <c r="H35" s="4738"/>
      <c r="I35" s="4738"/>
      <c r="J35" s="4738"/>
      <c r="K35" s="4738"/>
      <c r="L35" s="4744"/>
      <c r="M35"/>
      <c r="N35"/>
      <c r="O35"/>
      <c r="P35"/>
      <c r="Q35"/>
      <c r="R35"/>
      <c r="S35"/>
      <c r="T35"/>
      <c r="U35"/>
      <c r="V35"/>
      <c r="W35"/>
      <c r="X35"/>
      <c r="Y35"/>
      <c r="Z35"/>
      <c r="AA35"/>
      <c r="AB35"/>
      <c r="AC35"/>
      <c r="AD35"/>
    </row>
    <row r="36" spans="1:30" s="474" customFormat="1" ht="15" customHeight="1" thickBot="1">
      <c r="A36" s="262"/>
      <c r="B36" s="4728"/>
      <c r="C36" s="1814">
        <f t="array" ref="C36:G36">PRCP</f>
        <v>2008</v>
      </c>
      <c r="D36" s="828">
        <v>2009</v>
      </c>
      <c r="E36" s="828">
        <v>2010</v>
      </c>
      <c r="F36" s="828">
        <v>2011</v>
      </c>
      <c r="G36" s="828">
        <v>2012</v>
      </c>
      <c r="H36" s="827">
        <f>CRCP_y1</f>
        <v>2013</v>
      </c>
      <c r="I36" s="827">
        <f>CRCP_y2</f>
        <v>2014</v>
      </c>
      <c r="J36" s="827">
        <f>CRCP_y3</f>
        <v>2015</v>
      </c>
      <c r="K36" s="827">
        <f>CRCP_y4</f>
        <v>2016</v>
      </c>
      <c r="L36" s="1815">
        <f>CRCP_y5</f>
        <v>2017</v>
      </c>
      <c r="M36"/>
      <c r="N36"/>
      <c r="O36"/>
      <c r="P36"/>
      <c r="Q36"/>
      <c r="R36"/>
      <c r="S36"/>
      <c r="T36"/>
      <c r="U36"/>
      <c r="V36"/>
      <c r="W36"/>
      <c r="X36"/>
      <c r="Y36"/>
      <c r="Z36"/>
      <c r="AA36"/>
      <c r="AB36"/>
      <c r="AC36"/>
      <c r="AD36"/>
    </row>
    <row r="37" spans="1:30" ht="13.5" thickBot="1">
      <c r="A37" s="696"/>
      <c r="B37" s="866" t="s">
        <v>1445</v>
      </c>
      <c r="C37" s="1550"/>
      <c r="D37" s="863"/>
      <c r="E37" s="863"/>
      <c r="F37" s="863"/>
      <c r="G37" s="868">
        <v>2.5</v>
      </c>
      <c r="H37" s="1550">
        <v>4.3</v>
      </c>
      <c r="I37" s="863">
        <v>0.3</v>
      </c>
      <c r="J37" s="863">
        <v>0.2</v>
      </c>
      <c r="K37" s="863">
        <v>7.6</v>
      </c>
      <c r="L37" s="868"/>
      <c r="P37"/>
      <c r="Q37"/>
      <c r="R37"/>
      <c r="S37"/>
      <c r="T37"/>
      <c r="U37"/>
      <c r="V37"/>
      <c r="W37"/>
    </row>
    <row r="38" spans="1:30" hidden="1">
      <c r="A38" s="696"/>
      <c r="B38" s="867" t="s">
        <v>122</v>
      </c>
      <c r="C38" s="864"/>
      <c r="D38" s="865"/>
      <c r="E38" s="865"/>
      <c r="F38" s="865"/>
      <c r="G38" s="869"/>
      <c r="H38" s="864"/>
      <c r="I38" s="865"/>
      <c r="J38" s="865"/>
      <c r="K38" s="865"/>
      <c r="L38" s="869"/>
      <c r="P38"/>
      <c r="Q38"/>
      <c r="R38"/>
      <c r="S38"/>
      <c r="T38"/>
      <c r="U38"/>
      <c r="V38"/>
      <c r="W38"/>
    </row>
    <row r="39" spans="1:30" hidden="1">
      <c r="A39" s="696"/>
      <c r="B39" s="867" t="s">
        <v>122</v>
      </c>
      <c r="C39" s="864"/>
      <c r="D39" s="865"/>
      <c r="E39" s="865"/>
      <c r="F39" s="865"/>
      <c r="G39" s="869"/>
      <c r="H39" s="864"/>
      <c r="I39" s="865"/>
      <c r="J39" s="865"/>
      <c r="K39" s="865"/>
      <c r="L39" s="869"/>
      <c r="P39"/>
      <c r="Q39"/>
      <c r="R39"/>
      <c r="S39"/>
      <c r="T39"/>
      <c r="U39"/>
      <c r="V39"/>
      <c r="W39"/>
    </row>
    <row r="40" spans="1:30" hidden="1">
      <c r="A40" s="696"/>
      <c r="B40" s="867" t="s">
        <v>122</v>
      </c>
      <c r="C40" s="864"/>
      <c r="D40" s="865"/>
      <c r="E40" s="865"/>
      <c r="F40" s="865"/>
      <c r="G40" s="869"/>
      <c r="H40" s="864"/>
      <c r="I40" s="865"/>
      <c r="J40" s="865"/>
      <c r="K40" s="865"/>
      <c r="L40" s="869"/>
      <c r="P40"/>
      <c r="Q40"/>
      <c r="R40"/>
      <c r="S40"/>
      <c r="T40"/>
      <c r="U40"/>
      <c r="V40"/>
      <c r="W40"/>
    </row>
    <row r="41" spans="1:30" hidden="1">
      <c r="A41" s="696"/>
      <c r="B41" s="867" t="s">
        <v>122</v>
      </c>
      <c r="C41" s="864"/>
      <c r="D41" s="865"/>
      <c r="E41" s="865"/>
      <c r="F41" s="865"/>
      <c r="G41" s="869"/>
      <c r="H41" s="864"/>
      <c r="I41" s="865"/>
      <c r="J41" s="865"/>
      <c r="K41" s="865"/>
      <c r="L41" s="869"/>
      <c r="P41"/>
      <c r="Q41"/>
      <c r="R41"/>
      <c r="S41"/>
      <c r="T41"/>
      <c r="U41"/>
      <c r="V41"/>
      <c r="W41"/>
    </row>
    <row r="42" spans="1:30" hidden="1">
      <c r="A42" s="696"/>
      <c r="B42" s="867" t="s">
        <v>122</v>
      </c>
      <c r="C42" s="864"/>
      <c r="D42" s="865"/>
      <c r="E42" s="865"/>
      <c r="F42" s="865"/>
      <c r="G42" s="869"/>
      <c r="H42" s="864"/>
      <c r="I42" s="865"/>
      <c r="J42" s="865"/>
      <c r="K42" s="865"/>
      <c r="L42" s="869"/>
      <c r="P42"/>
      <c r="Q42"/>
      <c r="R42"/>
      <c r="S42"/>
      <c r="T42"/>
      <c r="U42"/>
      <c r="V42"/>
      <c r="W42"/>
    </row>
    <row r="43" spans="1:30" hidden="1">
      <c r="A43" s="696"/>
      <c r="B43" s="867" t="s">
        <v>122</v>
      </c>
      <c r="C43" s="864"/>
      <c r="D43" s="865"/>
      <c r="E43" s="865"/>
      <c r="F43" s="865"/>
      <c r="G43" s="869"/>
      <c r="H43" s="864"/>
      <c r="I43" s="865"/>
      <c r="J43" s="865"/>
      <c r="K43" s="865"/>
      <c r="L43" s="869"/>
      <c r="P43"/>
      <c r="Q43"/>
      <c r="R43"/>
      <c r="S43"/>
      <c r="T43"/>
      <c r="U43"/>
      <c r="V43"/>
      <c r="W43"/>
    </row>
    <row r="44" spans="1:30" ht="13.5" hidden="1" thickBot="1">
      <c r="A44" s="696"/>
      <c r="B44" s="874" t="s">
        <v>122</v>
      </c>
      <c r="C44" s="871"/>
      <c r="D44" s="872"/>
      <c r="E44" s="872"/>
      <c r="F44" s="872"/>
      <c r="G44" s="873"/>
      <c r="H44" s="1551"/>
      <c r="I44" s="1552"/>
      <c r="J44" s="1552"/>
      <c r="K44" s="1552"/>
      <c r="L44" s="1553"/>
      <c r="P44"/>
      <c r="Q44"/>
      <c r="R44"/>
      <c r="S44"/>
      <c r="T44"/>
      <c r="U44"/>
      <c r="V44"/>
      <c r="W44"/>
    </row>
    <row r="45" spans="1:30" ht="13.5" thickBot="1">
      <c r="A45" s="696"/>
      <c r="B45" s="875" t="s">
        <v>63</v>
      </c>
      <c r="C45" s="929">
        <f t="shared" ref="C45:L45" si="4">SUM(C37:C44)</f>
        <v>0</v>
      </c>
      <c r="D45" s="930">
        <f t="shared" si="4"/>
        <v>0</v>
      </c>
      <c r="E45" s="930">
        <f t="shared" si="4"/>
        <v>0</v>
      </c>
      <c r="F45" s="930">
        <f t="shared" si="4"/>
        <v>0</v>
      </c>
      <c r="G45" s="931">
        <f t="shared" si="4"/>
        <v>2.5</v>
      </c>
      <c r="H45" s="929">
        <f t="shared" si="4"/>
        <v>4.3</v>
      </c>
      <c r="I45" s="930">
        <f t="shared" si="4"/>
        <v>0.3</v>
      </c>
      <c r="J45" s="930">
        <f t="shared" ref="J45" si="5">SUM(J37:J44)</f>
        <v>0.2</v>
      </c>
      <c r="K45" s="930">
        <f t="shared" si="4"/>
        <v>7.6</v>
      </c>
      <c r="L45" s="931">
        <f t="shared" si="4"/>
        <v>0</v>
      </c>
      <c r="P45"/>
      <c r="Q45"/>
      <c r="R45"/>
      <c r="S45"/>
      <c r="T45"/>
      <c r="U45"/>
      <c r="V45"/>
      <c r="W45"/>
    </row>
    <row r="46" spans="1:30" s="69" customFormat="1" ht="29.25" customHeight="1" thickBot="1">
      <c r="A46" s="314"/>
      <c r="B46" s="1549" t="s">
        <v>121</v>
      </c>
      <c r="C46" s="4741" t="s">
        <v>2097</v>
      </c>
      <c r="D46" s="4742"/>
      <c r="E46" s="4742"/>
      <c r="F46" s="4742"/>
      <c r="G46" s="4742"/>
      <c r="H46" s="4742"/>
      <c r="I46" s="4742"/>
      <c r="J46" s="4742"/>
      <c r="K46" s="4742"/>
      <c r="L46" s="4743"/>
      <c r="M46"/>
      <c r="N46"/>
      <c r="O46"/>
      <c r="P46"/>
      <c r="Q46"/>
      <c r="R46"/>
      <c r="S46"/>
      <c r="T46"/>
      <c r="U46"/>
      <c r="V46"/>
      <c r="W46"/>
      <c r="X46"/>
      <c r="Y46"/>
      <c r="Z46"/>
      <c r="AA46"/>
      <c r="AB46"/>
      <c r="AC46"/>
      <c r="AD46"/>
    </row>
    <row r="47" spans="1:30" s="96" customFormat="1">
      <c r="B47" s="122"/>
      <c r="C47" s="123"/>
      <c r="D47" s="123"/>
      <c r="E47" s="123"/>
      <c r="F47" s="123"/>
      <c r="G47" s="123"/>
      <c r="M47"/>
      <c r="N47"/>
      <c r="O47"/>
      <c r="P47"/>
      <c r="Q47"/>
      <c r="R47"/>
      <c r="S47"/>
      <c r="T47"/>
      <c r="U47"/>
      <c r="V47"/>
      <c r="W47"/>
      <c r="X47"/>
      <c r="Y47"/>
      <c r="Z47"/>
      <c r="AA47"/>
      <c r="AB47"/>
      <c r="AC47"/>
      <c r="AD47"/>
    </row>
    <row r="48" spans="1:30">
      <c r="P48"/>
      <c r="Q48"/>
      <c r="R48"/>
      <c r="S48"/>
      <c r="T48"/>
      <c r="U48"/>
      <c r="V48"/>
      <c r="W48"/>
    </row>
  </sheetData>
  <mergeCells count="19">
    <mergeCell ref="C46:L46"/>
    <mergeCell ref="C18:L18"/>
    <mergeCell ref="P17:T17"/>
    <mergeCell ref="P18:W18"/>
    <mergeCell ref="P19:W19"/>
    <mergeCell ref="U17:W17"/>
    <mergeCell ref="C35:L35"/>
    <mergeCell ref="C30:L30"/>
    <mergeCell ref="B9:H9"/>
    <mergeCell ref="B17:B20"/>
    <mergeCell ref="C17:G17"/>
    <mergeCell ref="H17:L17"/>
    <mergeCell ref="B10:H10"/>
    <mergeCell ref="B33:B36"/>
    <mergeCell ref="C33:G33"/>
    <mergeCell ref="H33:L33"/>
    <mergeCell ref="K19:L19"/>
    <mergeCell ref="C19:J19"/>
    <mergeCell ref="C34:L34"/>
  </mergeCells>
  <pageMargins left="0.7" right="0.7" top="0.75" bottom="0.75" header="0.3" footer="0.3"/>
  <pageSetup paperSize="9" orientation="portrait" r:id="rId1"/>
  <customProperties>
    <customPr name="_pios_id" r:id="rId2"/>
  </customPropertie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1:AR56"/>
  <sheetViews>
    <sheetView showGridLines="0" topLeftCell="A10" zoomScale="85" zoomScaleNormal="85" workbookViewId="0">
      <selection activeCell="M29" sqref="M29"/>
    </sheetView>
  </sheetViews>
  <sheetFormatPr defaultColWidth="9.140625" defaultRowHeight="12.75"/>
  <cols>
    <col min="1" max="1" width="9.140625" style="95"/>
    <col min="2" max="2" width="17.85546875" style="95" customWidth="1"/>
    <col min="3" max="3" width="19.85546875" style="95" customWidth="1"/>
    <col min="4" max="4" width="17.140625" style="95" customWidth="1"/>
    <col min="5" max="7" width="10.7109375" style="95" customWidth="1"/>
    <col min="8" max="13" width="6.85546875" style="95" bestFit="1" customWidth="1"/>
    <col min="14" max="16" width="6.28515625" style="95" bestFit="1" customWidth="1"/>
    <col min="17" max="17" width="6.85546875" style="95" bestFit="1" customWidth="1"/>
    <col min="18" max="18" width="6.28515625" style="95" bestFit="1" customWidth="1"/>
    <col min="19" max="22" width="6.85546875" style="95" bestFit="1" customWidth="1"/>
    <col min="23" max="24" width="6.28515625" style="95" bestFit="1" customWidth="1"/>
    <col min="25" max="25" width="6.85546875" style="95" bestFit="1" customWidth="1"/>
    <col min="26" max="42" width="6.28515625" style="95" bestFit="1" customWidth="1"/>
    <col min="43" max="16384" width="9.140625" style="95"/>
  </cols>
  <sheetData>
    <row r="1" spans="3:20" s="159" customFormat="1" ht="24" customHeight="1">
      <c r="C1" s="2522" t="str">
        <f>IF(dms_DataQuality="backcast",INDEX(dms_Worksheet_List,MATCH(dms_Model,dms_Model_List))&amp;" BACKCAST",INDEX(dms_Worksheet_List,MATCH(dms_Model,dms_Model_List)))</f>
        <v>REGULATORY REPORTING STATEMENT</v>
      </c>
      <c r="D1" s="157"/>
      <c r="E1" s="157"/>
      <c r="F1" s="157"/>
      <c r="G1" s="157"/>
      <c r="H1" s="157"/>
      <c r="I1" s="157"/>
      <c r="J1" s="157"/>
      <c r="K1" s="157"/>
      <c r="L1" s="157"/>
      <c r="M1" s="157"/>
      <c r="N1" s="157"/>
      <c r="O1" s="157"/>
      <c r="P1" s="157"/>
      <c r="Q1" s="157"/>
      <c r="R1" s="157"/>
      <c r="S1" s="157"/>
      <c r="T1" s="158"/>
    </row>
    <row r="2" spans="3:20" s="159" customFormat="1" ht="24" customHeight="1">
      <c r="C2" s="2526" t="str">
        <f>INDEX(dms_TradingNameFull_List,MATCH(dms_TradingName,dms_TradingName_List))</f>
        <v>AusNet Gas Services</v>
      </c>
      <c r="D2" s="157"/>
      <c r="E2" s="157"/>
      <c r="F2" s="157"/>
      <c r="G2" s="157"/>
      <c r="H2" s="157"/>
      <c r="I2" s="157"/>
      <c r="J2" s="157"/>
      <c r="K2" s="157"/>
      <c r="L2" s="157"/>
      <c r="M2" s="157"/>
      <c r="N2" s="157"/>
      <c r="O2" s="157"/>
      <c r="P2" s="157"/>
      <c r="Q2" s="157"/>
      <c r="R2" s="157"/>
      <c r="S2" s="157"/>
      <c r="T2" s="158"/>
    </row>
    <row r="3" spans="3:20" s="159" customFormat="1" ht="24" customHeight="1">
      <c r="C3" s="2526" t="str">
        <f ca="1">IF(SUM(dms_SingleYear_Model)&gt;0,CRY,CONCATENATE(FRCP_y1," to ",dms_MultiYear_FinalYear_Result))</f>
        <v>2018 to 2022</v>
      </c>
      <c r="D3" s="879"/>
      <c r="E3" s="879"/>
      <c r="F3" s="879"/>
      <c r="G3" s="879"/>
      <c r="H3" s="879"/>
      <c r="I3" s="879"/>
      <c r="J3" s="879"/>
      <c r="K3" s="879"/>
      <c r="L3" s="879"/>
      <c r="M3" s="879"/>
      <c r="N3" s="879"/>
      <c r="O3" s="879"/>
      <c r="P3" s="879"/>
      <c r="Q3" s="879"/>
      <c r="R3" s="879"/>
      <c r="S3" s="879"/>
      <c r="T3" s="879"/>
    </row>
    <row r="4" spans="3:20" s="159" customFormat="1" ht="24" customHeight="1">
      <c r="C4" s="473" t="s">
        <v>346</v>
      </c>
      <c r="D4" s="473"/>
      <c r="E4" s="473"/>
      <c r="F4" s="473"/>
      <c r="G4" s="473"/>
      <c r="H4" s="473"/>
      <c r="I4" s="473"/>
      <c r="J4" s="473"/>
      <c r="K4" s="473"/>
      <c r="L4" s="473"/>
      <c r="M4" s="473"/>
      <c r="N4" s="473"/>
      <c r="O4" s="473"/>
      <c r="P4" s="473"/>
      <c r="Q4" s="473"/>
      <c r="R4" s="473"/>
      <c r="S4" s="473"/>
      <c r="T4" s="473"/>
    </row>
    <row r="5" spans="3:20">
      <c r="C5" s="71"/>
      <c r="D5" s="71"/>
    </row>
    <row r="7" spans="3:20">
      <c r="C7" s="103" t="s">
        <v>59</v>
      </c>
      <c r="D7" s="111"/>
      <c r="E7" s="111"/>
      <c r="F7" s="111"/>
      <c r="G7" s="111"/>
      <c r="H7" s="111"/>
      <c r="I7" s="111"/>
      <c r="J7" s="111"/>
    </row>
    <row r="8" spans="3:20">
      <c r="C8" s="111" t="s">
        <v>244</v>
      </c>
      <c r="D8" s="111"/>
      <c r="E8" s="111"/>
      <c r="F8" s="111"/>
      <c r="G8" s="111"/>
      <c r="H8" s="111"/>
      <c r="I8" s="111"/>
      <c r="J8" s="111"/>
    </row>
    <row r="9" spans="3:20">
      <c r="C9" s="111"/>
      <c r="D9" s="111"/>
      <c r="E9" s="111"/>
      <c r="F9" s="111"/>
      <c r="G9" s="111"/>
      <c r="H9" s="111"/>
      <c r="I9" s="111"/>
      <c r="J9" s="111"/>
    </row>
    <row r="10" spans="3:20">
      <c r="C10" s="111" t="s">
        <v>245</v>
      </c>
      <c r="D10" s="111"/>
      <c r="E10" s="111"/>
      <c r="F10" s="111"/>
      <c r="G10" s="111"/>
      <c r="H10" s="111"/>
      <c r="I10" s="111"/>
      <c r="J10" s="111"/>
    </row>
    <row r="11" spans="3:20">
      <c r="C11" s="103"/>
      <c r="D11" s="111"/>
      <c r="E11" s="111"/>
      <c r="F11" s="111"/>
      <c r="G11" s="111"/>
      <c r="H11" s="111"/>
      <c r="I11" s="111"/>
      <c r="J11" s="111"/>
    </row>
    <row r="12" spans="3:20">
      <c r="C12" s="104" t="s">
        <v>227</v>
      </c>
      <c r="D12" s="111"/>
      <c r="E12" s="111"/>
      <c r="F12" s="111"/>
      <c r="G12" s="111"/>
      <c r="H12" s="111"/>
      <c r="I12" s="111"/>
      <c r="J12" s="111"/>
    </row>
    <row r="13" spans="3:20">
      <c r="C13" s="109"/>
      <c r="D13" s="111"/>
      <c r="E13" s="111"/>
      <c r="F13" s="111"/>
      <c r="G13" s="111"/>
      <c r="H13" s="111"/>
      <c r="I13" s="111"/>
      <c r="J13" s="111"/>
    </row>
    <row r="14" spans="3:20">
      <c r="C14" s="104" t="s">
        <v>246</v>
      </c>
      <c r="D14" s="111"/>
      <c r="E14" s="111"/>
      <c r="F14" s="111"/>
      <c r="G14" s="111"/>
      <c r="H14" s="111"/>
      <c r="I14" s="111"/>
      <c r="J14" s="111"/>
    </row>
    <row r="15" spans="3:20">
      <c r="C15" s="109"/>
      <c r="D15" s="111"/>
      <c r="E15" s="111"/>
      <c r="F15" s="111"/>
      <c r="G15" s="111"/>
      <c r="H15" s="111"/>
      <c r="I15" s="111"/>
      <c r="J15" s="111"/>
    </row>
    <row r="16" spans="3:20" ht="13.5" thickBot="1"/>
    <row r="17" spans="2:21" s="187" customFormat="1" ht="16.5" thickBot="1">
      <c r="B17" s="1172"/>
      <c r="C17" s="735" t="s">
        <v>480</v>
      </c>
      <c r="D17" s="735"/>
      <c r="E17" s="735"/>
      <c r="F17" s="735"/>
      <c r="G17" s="735"/>
      <c r="H17" s="1172"/>
      <c r="I17" s="1172"/>
      <c r="J17" s="1172"/>
      <c r="K17" s="1172"/>
      <c r="L17" s="1172"/>
      <c r="M17" s="1172"/>
      <c r="N17" s="1172"/>
      <c r="O17" s="1172"/>
      <c r="P17" s="1172"/>
      <c r="Q17" s="1172"/>
      <c r="S17" s="1172"/>
      <c r="T17" s="1172"/>
      <c r="U17" s="1172"/>
    </row>
    <row r="18" spans="2:21" s="187" customFormat="1" ht="16.5" thickBot="1">
      <c r="B18" s="1172"/>
      <c r="C18" s="1253" t="s">
        <v>425</v>
      </c>
      <c r="D18" s="1254"/>
      <c r="E18" s="1254"/>
      <c r="F18" s="1254"/>
      <c r="G18" s="1255"/>
      <c r="H18" s="1172"/>
      <c r="I18" s="1172"/>
      <c r="J18" s="1172"/>
      <c r="K18" s="1172"/>
      <c r="L18" s="1172"/>
      <c r="M18" s="1172"/>
      <c r="N18" s="1172"/>
      <c r="O18" s="1172"/>
      <c r="P18" s="1172"/>
      <c r="Q18" s="1172"/>
      <c r="S18" s="1172"/>
      <c r="T18" s="1172"/>
      <c r="U18" s="1172"/>
    </row>
    <row r="19" spans="2:21" ht="20.25">
      <c r="C19" s="722"/>
      <c r="D19" s="723"/>
      <c r="E19" s="723"/>
      <c r="F19" s="582"/>
      <c r="G19" s="583"/>
      <c r="H19"/>
    </row>
    <row r="20" spans="2:21">
      <c r="C20" s="584"/>
      <c r="D20" s="585"/>
      <c r="E20" s="585"/>
      <c r="F20" s="585"/>
      <c r="G20" s="586"/>
      <c r="H20"/>
    </row>
    <row r="21" spans="2:21" ht="76.5">
      <c r="C21" s="587"/>
      <c r="D21" s="588" t="s">
        <v>14</v>
      </c>
      <c r="E21" s="589" t="s">
        <v>240</v>
      </c>
      <c r="F21" s="589" t="s">
        <v>241</v>
      </c>
      <c r="G21" s="590" t="s">
        <v>15</v>
      </c>
      <c r="H21"/>
    </row>
    <row r="22" spans="2:21">
      <c r="C22" s="623" t="s">
        <v>54</v>
      </c>
      <c r="D22" s="591">
        <v>35765</v>
      </c>
      <c r="E22" s="573">
        <v>120</v>
      </c>
      <c r="F22" s="574">
        <v>66.8</v>
      </c>
      <c r="G22" s="575"/>
    </row>
    <row r="23" spans="2:21">
      <c r="C23" s="623" t="s">
        <v>54</v>
      </c>
      <c r="D23" s="591">
        <v>36130</v>
      </c>
      <c r="E23" s="576">
        <v>121.9</v>
      </c>
      <c r="F23" s="574">
        <v>67.8</v>
      </c>
      <c r="G23" s="575">
        <f t="shared" ref="G23:G36" si="0">E23/E22-1</f>
        <v>1.5833333333333366E-2</v>
      </c>
      <c r="I23" s="151"/>
    </row>
    <row r="24" spans="2:21">
      <c r="C24" s="623" t="s">
        <v>54</v>
      </c>
      <c r="D24" s="591">
        <v>36495</v>
      </c>
      <c r="E24" s="576">
        <v>124.1</v>
      </c>
      <c r="F24" s="574">
        <v>69.099999999999994</v>
      </c>
      <c r="G24" s="575">
        <f t="shared" si="0"/>
        <v>1.8047579983593076E-2</v>
      </c>
      <c r="I24" s="151"/>
    </row>
    <row r="25" spans="2:21">
      <c r="C25" s="623" t="s">
        <v>54</v>
      </c>
      <c r="D25" s="591">
        <v>36861</v>
      </c>
      <c r="E25" s="576">
        <v>131.30000000000001</v>
      </c>
      <c r="F25" s="574">
        <v>73.099999999999994</v>
      </c>
      <c r="G25" s="575">
        <f t="shared" si="0"/>
        <v>5.8017727639001038E-2</v>
      </c>
      <c r="I25" s="151"/>
    </row>
    <row r="26" spans="2:21">
      <c r="C26" s="623" t="s">
        <v>54</v>
      </c>
      <c r="D26" s="591">
        <v>37226</v>
      </c>
      <c r="E26" s="576">
        <v>135.4</v>
      </c>
      <c r="F26" s="574">
        <v>75.400000000000006</v>
      </c>
      <c r="G26" s="575">
        <f t="shared" si="0"/>
        <v>3.1226199543031186E-2</v>
      </c>
      <c r="I26" s="151"/>
    </row>
    <row r="27" spans="2:21">
      <c r="C27" s="623" t="s">
        <v>54</v>
      </c>
      <c r="D27" s="591">
        <v>37591</v>
      </c>
      <c r="E27" s="576">
        <v>139.5</v>
      </c>
      <c r="F27" s="574">
        <v>77.599999999999994</v>
      </c>
      <c r="G27" s="575">
        <f t="shared" si="0"/>
        <v>3.0280649926144765E-2</v>
      </c>
      <c r="I27" s="151"/>
    </row>
    <row r="28" spans="2:21">
      <c r="C28" s="623" t="s">
        <v>54</v>
      </c>
      <c r="D28" s="591">
        <v>37956</v>
      </c>
      <c r="E28" s="576">
        <v>142.80000000000001</v>
      </c>
      <c r="F28" s="574">
        <v>79.5</v>
      </c>
      <c r="G28" s="575">
        <f t="shared" si="0"/>
        <v>2.3655913978494647E-2</v>
      </c>
      <c r="I28" s="151"/>
    </row>
    <row r="29" spans="2:21">
      <c r="C29" s="623" t="s">
        <v>54</v>
      </c>
      <c r="D29" s="591">
        <v>38322</v>
      </c>
      <c r="E29" s="576">
        <v>146.5</v>
      </c>
      <c r="F29" s="574">
        <v>81.5</v>
      </c>
      <c r="G29" s="575">
        <f t="shared" si="0"/>
        <v>2.5910364145658171E-2</v>
      </c>
      <c r="H29" s="151"/>
      <c r="I29" s="151"/>
    </row>
    <row r="30" spans="2:21">
      <c r="C30" s="623" t="s">
        <v>54</v>
      </c>
      <c r="D30" s="591">
        <v>38687</v>
      </c>
      <c r="E30" s="576">
        <v>150.6</v>
      </c>
      <c r="F30" s="574">
        <v>83.8</v>
      </c>
      <c r="G30" s="575">
        <f t="shared" si="0"/>
        <v>2.7986348122866822E-2</v>
      </c>
      <c r="H30" s="151"/>
      <c r="I30" s="151"/>
    </row>
    <row r="31" spans="2:21">
      <c r="C31" s="623" t="s">
        <v>54</v>
      </c>
      <c r="D31" s="591">
        <v>39052</v>
      </c>
      <c r="E31" s="576">
        <v>155.5</v>
      </c>
      <c r="F31" s="574">
        <v>86.6</v>
      </c>
      <c r="G31" s="575">
        <f t="shared" si="0"/>
        <v>3.253652058432932E-2</v>
      </c>
      <c r="H31" s="151"/>
      <c r="I31" s="151"/>
    </row>
    <row r="32" spans="2:21">
      <c r="C32" s="623" t="s">
        <v>54</v>
      </c>
      <c r="D32" s="591">
        <v>39417</v>
      </c>
      <c r="E32" s="576">
        <v>160.1</v>
      </c>
      <c r="F32" s="574">
        <v>89.1</v>
      </c>
      <c r="G32" s="575">
        <f t="shared" si="0"/>
        <v>2.9581993569131715E-2</v>
      </c>
      <c r="H32" s="151"/>
      <c r="I32" s="151"/>
    </row>
    <row r="33" spans="3:42">
      <c r="C33" s="623" t="s">
        <v>54</v>
      </c>
      <c r="D33" s="591">
        <v>39783</v>
      </c>
      <c r="E33" s="573">
        <v>166</v>
      </c>
      <c r="F33" s="574">
        <v>92.4</v>
      </c>
      <c r="G33" s="575">
        <f t="shared" si="0"/>
        <v>3.6851967520299844E-2</v>
      </c>
      <c r="H33" s="151"/>
      <c r="I33" s="151"/>
    </row>
    <row r="34" spans="3:42">
      <c r="C34" s="623" t="s">
        <v>54</v>
      </c>
      <c r="D34" s="591">
        <v>40148</v>
      </c>
      <c r="E34" s="576">
        <v>169.5</v>
      </c>
      <c r="F34" s="574">
        <v>94.3</v>
      </c>
      <c r="G34" s="575">
        <f t="shared" si="0"/>
        <v>2.108433734939763E-2</v>
      </c>
      <c r="H34" s="151"/>
      <c r="I34" s="151"/>
    </row>
    <row r="35" spans="3:42">
      <c r="C35" s="623" t="s">
        <v>54</v>
      </c>
      <c r="D35" s="591">
        <v>40513</v>
      </c>
      <c r="E35" s="573">
        <v>174</v>
      </c>
      <c r="F35" s="574">
        <v>96.9</v>
      </c>
      <c r="G35" s="575">
        <f t="shared" si="0"/>
        <v>2.6548672566371723E-2</v>
      </c>
      <c r="H35" s="151"/>
      <c r="I35" s="151"/>
    </row>
    <row r="36" spans="3:42">
      <c r="C36" s="623" t="s">
        <v>54</v>
      </c>
      <c r="D36" s="591">
        <v>40878</v>
      </c>
      <c r="E36" s="576">
        <v>179.4</v>
      </c>
      <c r="F36" s="574">
        <v>99.8</v>
      </c>
      <c r="G36" s="575">
        <f t="shared" si="0"/>
        <v>3.1034482758620641E-2</v>
      </c>
      <c r="H36" s="151"/>
      <c r="I36" s="151"/>
    </row>
    <row r="37" spans="3:42">
      <c r="C37" s="623" t="s">
        <v>54</v>
      </c>
      <c r="D37" s="591">
        <v>41244</v>
      </c>
      <c r="E37" s="577"/>
      <c r="F37" s="577">
        <v>102</v>
      </c>
      <c r="G37" s="578">
        <f>F37/F36-1</f>
        <v>2.2044088176352838E-2</v>
      </c>
      <c r="H37" s="151"/>
    </row>
    <row r="38" spans="3:42">
      <c r="C38" s="623" t="s">
        <v>54</v>
      </c>
      <c r="D38" s="591">
        <v>41609</v>
      </c>
      <c r="E38" s="574"/>
      <c r="F38" s="574">
        <v>104.8</v>
      </c>
      <c r="G38" s="578">
        <f>F38/F37-1</f>
        <v>2.7450980392156765E-2</v>
      </c>
      <c r="H38" s="151"/>
    </row>
    <row r="39" spans="3:42">
      <c r="C39" s="623" t="s">
        <v>54</v>
      </c>
      <c r="D39" s="591">
        <v>41974</v>
      </c>
      <c r="E39" s="574"/>
      <c r="F39" s="574">
        <v>106.6</v>
      </c>
      <c r="G39" s="578">
        <f>F39/F38-1</f>
        <v>1.7175572519083859E-2</v>
      </c>
    </row>
    <row r="40" spans="3:42">
      <c r="C40" s="623" t="s">
        <v>243</v>
      </c>
      <c r="D40" s="591">
        <v>42339</v>
      </c>
      <c r="E40" s="574"/>
      <c r="F40" s="574">
        <v>108.4</v>
      </c>
      <c r="G40" s="579">
        <f>F40/F39-1</f>
        <v>1.6885553470919357E-2</v>
      </c>
    </row>
    <row r="41" spans="3:42">
      <c r="C41" s="623" t="s">
        <v>243</v>
      </c>
      <c r="D41" s="591">
        <v>42705</v>
      </c>
      <c r="E41" s="574"/>
      <c r="F41" s="574"/>
      <c r="G41" s="579">
        <v>1.6500000000000001E-2</v>
      </c>
    </row>
    <row r="42" spans="3:42">
      <c r="C42" s="623" t="s">
        <v>243</v>
      </c>
      <c r="D42" s="591">
        <v>43070</v>
      </c>
      <c r="E42" s="574"/>
      <c r="F42" s="574"/>
      <c r="G42" s="579">
        <v>1.6500000000000001E-2</v>
      </c>
    </row>
    <row r="43" spans="3:42">
      <c r="C43" s="623" t="s">
        <v>243</v>
      </c>
      <c r="D43" s="591">
        <v>43435</v>
      </c>
      <c r="E43" s="574"/>
      <c r="F43" s="574"/>
      <c r="G43" s="579">
        <v>1.6500000000000001E-2</v>
      </c>
    </row>
    <row r="44" spans="3:42">
      <c r="C44" s="623" t="s">
        <v>243</v>
      </c>
      <c r="D44" s="591">
        <v>43800</v>
      </c>
      <c r="E44" s="574"/>
      <c r="F44" s="574"/>
      <c r="G44" s="579">
        <v>1.6500000000000001E-2</v>
      </c>
    </row>
    <row r="45" spans="3:42" ht="13.5" thickBot="1">
      <c r="C45" s="624" t="s">
        <v>243</v>
      </c>
      <c r="D45" s="592">
        <v>44166</v>
      </c>
      <c r="E45" s="580"/>
      <c r="F45" s="580"/>
      <c r="G45" s="581">
        <v>1.6500000000000001E-2</v>
      </c>
      <c r="O45" s="155"/>
      <c r="P45" s="155"/>
      <c r="Q45" s="155"/>
      <c r="R45" s="155"/>
    </row>
    <row r="46" spans="3:42" ht="13.5" thickBot="1">
      <c r="C46" s="114"/>
      <c r="D46" s="114"/>
      <c r="E46" s="114"/>
      <c r="F46" s="115"/>
      <c r="H46" s="64"/>
    </row>
    <row r="47" spans="3:42" ht="16.5" thickBot="1">
      <c r="C47" s="1253" t="s">
        <v>347</v>
      </c>
      <c r="D47" s="1254"/>
      <c r="E47" s="1254"/>
      <c r="F47" s="1254"/>
      <c r="G47" s="1254"/>
      <c r="H47" s="1254"/>
      <c r="I47" s="1254"/>
      <c r="J47" s="1254"/>
      <c r="K47" s="1254"/>
      <c r="L47" s="1254"/>
      <c r="M47" s="1254"/>
      <c r="N47" s="1254"/>
      <c r="O47" s="1254"/>
      <c r="P47" s="1254"/>
      <c r="Q47" s="1254"/>
      <c r="R47" s="1254"/>
      <c r="S47" s="1254"/>
      <c r="T47" s="1254"/>
      <c r="U47" s="1254"/>
      <c r="V47" s="1254"/>
      <c r="W47" s="1254"/>
      <c r="X47" s="1254"/>
      <c r="Y47" s="1254"/>
      <c r="Z47" s="1254"/>
      <c r="AA47" s="1254"/>
      <c r="AB47" s="1254"/>
      <c r="AC47" s="1254"/>
      <c r="AD47" s="1254"/>
      <c r="AE47" s="1254"/>
      <c r="AF47" s="1254"/>
      <c r="AG47" s="1254"/>
      <c r="AH47" s="1254"/>
      <c r="AI47" s="1254"/>
      <c r="AJ47" s="1254"/>
      <c r="AK47" s="1254"/>
      <c r="AL47" s="1254"/>
      <c r="AM47" s="1254"/>
      <c r="AN47" s="1254"/>
      <c r="AO47" s="1254"/>
      <c r="AP47" s="1255"/>
    </row>
    <row r="48" spans="3:42">
      <c r="C48" s="593"/>
      <c r="D48" s="613"/>
      <c r="E48" s="3746">
        <v>2000</v>
      </c>
      <c r="F48" s="3746">
        <v>2001</v>
      </c>
      <c r="G48" s="3746">
        <v>2002</v>
      </c>
      <c r="H48" s="3746">
        <v>2003</v>
      </c>
      <c r="I48" s="3746">
        <v>2004</v>
      </c>
      <c r="J48" s="3746">
        <v>2005</v>
      </c>
      <c r="K48" s="3746">
        <v>2006</v>
      </c>
      <c r="L48" s="3746">
        <v>2007</v>
      </c>
      <c r="M48" s="3746">
        <v>2008</v>
      </c>
      <c r="N48" s="3746">
        <v>2009</v>
      </c>
      <c r="O48" s="3746">
        <v>2010</v>
      </c>
      <c r="P48" s="3746">
        <v>2011</v>
      </c>
      <c r="Q48" s="3746">
        <v>2012</v>
      </c>
      <c r="R48" s="3746">
        <v>2013</v>
      </c>
      <c r="S48" s="3746">
        <v>2014</v>
      </c>
      <c r="T48" s="3746">
        <v>2015</v>
      </c>
      <c r="U48" s="3746">
        <v>2016</v>
      </c>
      <c r="V48" s="3746">
        <v>2017</v>
      </c>
      <c r="W48" s="3746">
        <v>2018</v>
      </c>
      <c r="X48" s="3746">
        <v>2019</v>
      </c>
      <c r="Y48" s="3746">
        <v>2020</v>
      </c>
      <c r="Z48" s="3746">
        <v>2021</v>
      </c>
      <c r="AA48" s="3746">
        <v>2022</v>
      </c>
      <c r="AB48" s="3746">
        <v>2023</v>
      </c>
      <c r="AC48" s="3746">
        <v>2024</v>
      </c>
      <c r="AD48" s="3746">
        <v>2025</v>
      </c>
      <c r="AE48" s="3746">
        <v>2026</v>
      </c>
      <c r="AF48" s="3746">
        <v>2027</v>
      </c>
      <c r="AG48" s="3746">
        <v>2028</v>
      </c>
      <c r="AH48" s="3746">
        <v>2029</v>
      </c>
      <c r="AI48" s="3746">
        <v>2030</v>
      </c>
      <c r="AJ48" s="3746">
        <v>2031</v>
      </c>
      <c r="AK48" s="3746">
        <v>2032</v>
      </c>
      <c r="AL48" s="3746">
        <v>2033</v>
      </c>
      <c r="AM48" s="3746">
        <v>2034</v>
      </c>
      <c r="AN48" s="3746">
        <v>2035</v>
      </c>
      <c r="AO48" s="3746">
        <v>2036</v>
      </c>
      <c r="AP48" s="3747">
        <v>2037</v>
      </c>
    </row>
    <row r="49" spans="3:44">
      <c r="C49" s="594"/>
      <c r="D49" s="614"/>
      <c r="E49" s="609">
        <f>$G24</f>
        <v>1.8047579983593076E-2</v>
      </c>
      <c r="F49" s="599">
        <f>$G25</f>
        <v>5.8017727639001038E-2</v>
      </c>
      <c r="G49" s="599">
        <f>$G26</f>
        <v>3.1226199543031186E-2</v>
      </c>
      <c r="H49" s="599">
        <f>$G27</f>
        <v>3.0280649926144765E-2</v>
      </c>
      <c r="I49" s="599">
        <f>$G28</f>
        <v>2.3655913978494647E-2</v>
      </c>
      <c r="J49" s="599">
        <f>$G29</f>
        <v>2.5910364145658171E-2</v>
      </c>
      <c r="K49" s="599">
        <f>$G30</f>
        <v>2.7986348122866822E-2</v>
      </c>
      <c r="L49" s="599">
        <f>$G31</f>
        <v>3.253652058432932E-2</v>
      </c>
      <c r="M49" s="599">
        <f>$G32</f>
        <v>2.9581993569131715E-2</v>
      </c>
      <c r="N49" s="599">
        <f>$G33</f>
        <v>3.6851967520299844E-2</v>
      </c>
      <c r="O49" s="599">
        <f>$G34</f>
        <v>2.108433734939763E-2</v>
      </c>
      <c r="P49" s="599">
        <f>$G35</f>
        <v>2.6548672566371723E-2</v>
      </c>
      <c r="Q49" s="599">
        <f>$G36</f>
        <v>3.1034482758620641E-2</v>
      </c>
      <c r="R49" s="600">
        <f>$G37</f>
        <v>2.2044088176352838E-2</v>
      </c>
      <c r="S49" s="600">
        <f>$G38</f>
        <v>2.7450980392156765E-2</v>
      </c>
      <c r="T49" s="600">
        <f>$G39</f>
        <v>1.7175572519083859E-2</v>
      </c>
      <c r="U49" s="600">
        <f>$G40</f>
        <v>1.6885553470919357E-2</v>
      </c>
      <c r="V49" s="600">
        <f>$G41</f>
        <v>1.6500000000000001E-2</v>
      </c>
      <c r="W49" s="600">
        <f>$G42</f>
        <v>1.6500000000000001E-2</v>
      </c>
      <c r="X49" s="600">
        <f>$G43</f>
        <v>1.6500000000000001E-2</v>
      </c>
      <c r="Y49" s="600">
        <f>$G44</f>
        <v>1.6500000000000001E-2</v>
      </c>
      <c r="Z49" s="600">
        <f t="shared" ref="Z49:AP49" si="1">$G44</f>
        <v>1.6500000000000001E-2</v>
      </c>
      <c r="AA49" s="600">
        <f t="shared" si="1"/>
        <v>1.6500000000000001E-2</v>
      </c>
      <c r="AB49" s="600">
        <f t="shared" si="1"/>
        <v>1.6500000000000001E-2</v>
      </c>
      <c r="AC49" s="600">
        <f t="shared" si="1"/>
        <v>1.6500000000000001E-2</v>
      </c>
      <c r="AD49" s="600">
        <f t="shared" si="1"/>
        <v>1.6500000000000001E-2</v>
      </c>
      <c r="AE49" s="600">
        <f t="shared" si="1"/>
        <v>1.6500000000000001E-2</v>
      </c>
      <c r="AF49" s="600">
        <f t="shared" si="1"/>
        <v>1.6500000000000001E-2</v>
      </c>
      <c r="AG49" s="600">
        <f t="shared" si="1"/>
        <v>1.6500000000000001E-2</v>
      </c>
      <c r="AH49" s="600">
        <f t="shared" si="1"/>
        <v>1.6500000000000001E-2</v>
      </c>
      <c r="AI49" s="600">
        <f t="shared" si="1"/>
        <v>1.6500000000000001E-2</v>
      </c>
      <c r="AJ49" s="600">
        <f t="shared" si="1"/>
        <v>1.6500000000000001E-2</v>
      </c>
      <c r="AK49" s="600">
        <f t="shared" si="1"/>
        <v>1.6500000000000001E-2</v>
      </c>
      <c r="AL49" s="600">
        <f t="shared" si="1"/>
        <v>1.6500000000000001E-2</v>
      </c>
      <c r="AM49" s="600">
        <f t="shared" si="1"/>
        <v>1.6500000000000001E-2</v>
      </c>
      <c r="AN49" s="600">
        <f t="shared" si="1"/>
        <v>1.6500000000000001E-2</v>
      </c>
      <c r="AO49" s="600">
        <f t="shared" si="1"/>
        <v>1.6500000000000001E-2</v>
      </c>
      <c r="AP49" s="601">
        <f t="shared" si="1"/>
        <v>1.6500000000000001E-2</v>
      </c>
    </row>
    <row r="50" spans="3:44">
      <c r="C50" s="595" t="str">
        <f>CONCATENATE("Escalator : Nominal $ to Real $ ", dms_DollarReal)</f>
        <v>Escalator : Nominal $ to Real $ December 2017</v>
      </c>
      <c r="D50" s="598"/>
      <c r="E50" s="610">
        <f t="shared" ref="E50:R50" si="2">F50*(1+E49)</f>
        <v>1.5985177902975767</v>
      </c>
      <c r="F50" s="602">
        <f t="shared" si="2"/>
        <v>1.5701798439748156</v>
      </c>
      <c r="G50" s="602">
        <f t="shared" si="2"/>
        <v>1.4840770650211315</v>
      </c>
      <c r="H50" s="602">
        <f t="shared" si="2"/>
        <v>1.4391382469518064</v>
      </c>
      <c r="I50" s="602">
        <f t="shared" si="2"/>
        <v>1.3968409938155883</v>
      </c>
      <c r="J50" s="602">
        <f t="shared" si="2"/>
        <v>1.364561054882875</v>
      </c>
      <c r="K50" s="602">
        <f t="shared" si="2"/>
        <v>1.3300977381383929</v>
      </c>
      <c r="L50" s="602">
        <f t="shared" si="2"/>
        <v>1.2938865779367501</v>
      </c>
      <c r="M50" s="602">
        <f t="shared" si="2"/>
        <v>1.253114589307232</v>
      </c>
      <c r="N50" s="602">
        <f t="shared" si="2"/>
        <v>1.2171100477031518</v>
      </c>
      <c r="O50" s="602">
        <f t="shared" si="2"/>
        <v>1.1738513170920157</v>
      </c>
      <c r="P50" s="602">
        <f t="shared" si="2"/>
        <v>1.1496124993349535</v>
      </c>
      <c r="Q50" s="602">
        <f t="shared" si="2"/>
        <v>1.1198811415935321</v>
      </c>
      <c r="R50" s="602">
        <f t="shared" si="2"/>
        <v>1.086172344689379</v>
      </c>
      <c r="S50" s="602">
        <f>T50*(1+S49)</f>
        <v>1.0627450980392157</v>
      </c>
      <c r="T50" s="602">
        <f t="shared" ref="T50:U50" si="3">U50*(1+T49)</f>
        <v>1.0343511450381679</v>
      </c>
      <c r="U50" s="602">
        <f t="shared" si="3"/>
        <v>1.0168855534709194</v>
      </c>
      <c r="V50" s="602">
        <v>1</v>
      </c>
      <c r="W50" s="602">
        <f>V50/(1+V49)</f>
        <v>0.9837678307919332</v>
      </c>
      <c r="X50" s="602">
        <f>W50/(1+W49)</f>
        <v>0.96779914490106567</v>
      </c>
      <c r="Y50" s="602">
        <f>X50/(1+X49)</f>
        <v>0.95208966542160911</v>
      </c>
      <c r="Z50" s="602">
        <f t="shared" ref="Z50:AP50" si="4">Y50/(1+Y49)</f>
        <v>0.93663518487123376</v>
      </c>
      <c r="AA50" s="602">
        <f t="shared" si="4"/>
        <v>0.92143156406417492</v>
      </c>
      <c r="AB50" s="602">
        <f t="shared" si="4"/>
        <v>0.90647473100263154</v>
      </c>
      <c r="AC50" s="602">
        <f t="shared" si="4"/>
        <v>0.89176067978615992</v>
      </c>
      <c r="AD50" s="602">
        <f t="shared" si="4"/>
        <v>0.87728546953877029</v>
      </c>
      <c r="AE50" s="602">
        <f t="shared" si="4"/>
        <v>0.86304522335343858</v>
      </c>
      <c r="AF50" s="602">
        <f t="shared" si="4"/>
        <v>0.84903612725375166</v>
      </c>
      <c r="AG50" s="602">
        <f t="shared" si="4"/>
        <v>0.835254429172407</v>
      </c>
      <c r="AH50" s="602">
        <f t="shared" si="4"/>
        <v>0.82169643794629321</v>
      </c>
      <c r="AI50" s="602">
        <f t="shared" si="4"/>
        <v>0.80835852232788319</v>
      </c>
      <c r="AJ50" s="602">
        <f t="shared" si="4"/>
        <v>0.79523711001267405</v>
      </c>
      <c r="AK50" s="602">
        <f t="shared" si="4"/>
        <v>0.78232868668241429</v>
      </c>
      <c r="AL50" s="602">
        <f t="shared" si="4"/>
        <v>0.76962979506386064</v>
      </c>
      <c r="AM50" s="602">
        <f t="shared" si="4"/>
        <v>0.75713703400281429</v>
      </c>
      <c r="AN50" s="602">
        <f t="shared" si="4"/>
        <v>0.7448470575531867</v>
      </c>
      <c r="AO50" s="602">
        <f t="shared" si="4"/>
        <v>0.73275657408085271</v>
      </c>
      <c r="AP50" s="603">
        <f t="shared" si="4"/>
        <v>0.72086234538204896</v>
      </c>
    </row>
    <row r="51" spans="3:44">
      <c r="C51" s="595"/>
      <c r="D51" s="598"/>
      <c r="E51" s="617"/>
      <c r="F51" s="618"/>
      <c r="G51" s="618"/>
      <c r="H51" s="618"/>
      <c r="I51" s="618"/>
      <c r="J51" s="618"/>
      <c r="K51" s="618"/>
      <c r="L51" s="618"/>
      <c r="M51" s="618"/>
      <c r="N51" s="618"/>
      <c r="O51" s="618"/>
      <c r="P51" s="618"/>
      <c r="Q51" s="618"/>
      <c r="R51" s="618"/>
      <c r="S51" s="618"/>
      <c r="T51" s="618"/>
      <c r="U51" s="618"/>
      <c r="V51" s="618"/>
      <c r="W51" s="618"/>
      <c r="X51" s="618"/>
      <c r="Y51" s="619"/>
    </row>
    <row r="52" spans="3:44" ht="15">
      <c r="C52" s="596" t="s">
        <v>16</v>
      </c>
      <c r="D52" s="615"/>
      <c r="E52" s="620"/>
      <c r="F52" s="621"/>
      <c r="G52" s="621"/>
      <c r="H52" s="621"/>
      <c r="I52" s="621"/>
      <c r="J52" s="621"/>
      <c r="K52" s="621"/>
      <c r="L52" s="621"/>
      <c r="M52" s="621"/>
      <c r="N52" s="621"/>
      <c r="O52" s="621"/>
      <c r="P52" s="621"/>
      <c r="Q52" s="621"/>
      <c r="R52" s="621"/>
      <c r="S52" s="621"/>
      <c r="T52" s="621"/>
      <c r="U52" s="621"/>
      <c r="V52" s="621"/>
      <c r="W52" s="621"/>
      <c r="X52" s="621"/>
      <c r="Y52" s="622"/>
    </row>
    <row r="53" spans="3:44">
      <c r="C53" s="595" t="s">
        <v>17</v>
      </c>
      <c r="D53" s="598"/>
      <c r="E53" s="611">
        <v>75</v>
      </c>
      <c r="F53" s="604">
        <v>76</v>
      </c>
      <c r="G53" s="604">
        <v>77</v>
      </c>
      <c r="H53" s="604">
        <v>78</v>
      </c>
      <c r="I53" s="604">
        <v>79</v>
      </c>
      <c r="J53" s="604">
        <v>80</v>
      </c>
      <c r="K53" s="604">
        <v>80</v>
      </c>
      <c r="L53" s="604">
        <v>80</v>
      </c>
      <c r="M53" s="604">
        <v>80</v>
      </c>
      <c r="N53" s="604">
        <v>80</v>
      </c>
      <c r="O53" s="604">
        <v>80</v>
      </c>
      <c r="P53" s="604">
        <v>80</v>
      </c>
      <c r="Q53" s="604">
        <v>123</v>
      </c>
      <c r="R53" s="604">
        <v>70</v>
      </c>
      <c r="S53" s="605">
        <v>120</v>
      </c>
      <c r="T53" s="604">
        <v>200</v>
      </c>
      <c r="U53" s="604">
        <v>145</v>
      </c>
      <c r="V53" s="604">
        <v>150</v>
      </c>
      <c r="W53" s="605">
        <v>100</v>
      </c>
      <c r="X53" s="604">
        <v>55</v>
      </c>
      <c r="Y53" s="606">
        <v>135</v>
      </c>
    </row>
    <row r="54" spans="3:44" ht="13.5" thickBot="1">
      <c r="C54" s="597" t="s">
        <v>242</v>
      </c>
      <c r="D54" s="616"/>
      <c r="E54" s="612">
        <f t="shared" ref="E54:X54" si="5">E53*E$50</f>
        <v>119.88883427231825</v>
      </c>
      <c r="F54" s="607">
        <f t="shared" si="5"/>
        <v>119.33366814208598</v>
      </c>
      <c r="G54" s="607">
        <f t="shared" si="5"/>
        <v>114.27393400662712</v>
      </c>
      <c r="H54" s="607">
        <f t="shared" si="5"/>
        <v>112.2527832622409</v>
      </c>
      <c r="I54" s="607">
        <f t="shared" si="5"/>
        <v>110.35043851143148</v>
      </c>
      <c r="J54" s="607">
        <f t="shared" si="5"/>
        <v>109.16488439063001</v>
      </c>
      <c r="K54" s="607">
        <f t="shared" si="5"/>
        <v>106.40781905107144</v>
      </c>
      <c r="L54" s="607">
        <f t="shared" si="5"/>
        <v>103.51092623494</v>
      </c>
      <c r="M54" s="607">
        <f t="shared" si="5"/>
        <v>100.24916714457856</v>
      </c>
      <c r="N54" s="607">
        <f t="shared" si="5"/>
        <v>97.368803816252139</v>
      </c>
      <c r="O54" s="607">
        <f t="shared" si="5"/>
        <v>93.908105367361259</v>
      </c>
      <c r="P54" s="607">
        <f t="shared" si="5"/>
        <v>91.968999946796274</v>
      </c>
      <c r="Q54" s="607">
        <f t="shared" si="5"/>
        <v>137.74538041600445</v>
      </c>
      <c r="R54" s="607">
        <f t="shared" si="5"/>
        <v>76.032064128256522</v>
      </c>
      <c r="S54" s="607">
        <f t="shared" si="5"/>
        <v>127.52941176470588</v>
      </c>
      <c r="T54" s="607">
        <f t="shared" si="5"/>
        <v>206.87022900763358</v>
      </c>
      <c r="U54" s="607">
        <f t="shared" si="5"/>
        <v>147.44840525328331</v>
      </c>
      <c r="V54" s="607">
        <f t="shared" si="5"/>
        <v>150</v>
      </c>
      <c r="W54" s="607">
        <f t="shared" si="5"/>
        <v>98.376783079193316</v>
      </c>
      <c r="X54" s="607">
        <f t="shared" si="5"/>
        <v>53.228952969558613</v>
      </c>
      <c r="Y54" s="608">
        <f>Y53*Y$50</f>
        <v>128.53210483191722</v>
      </c>
    </row>
    <row r="55" spans="3:44">
      <c r="H55" s="64"/>
    </row>
    <row r="56" spans="3:44">
      <c r="C56" s="1155"/>
      <c r="D56" s="136"/>
      <c r="E56" s="136"/>
      <c r="F56" s="136"/>
      <c r="G56" s="136"/>
      <c r="H56" s="136"/>
      <c r="I56" s="136"/>
      <c r="J56" s="136"/>
      <c r="K56" s="136"/>
      <c r="L56" s="136"/>
      <c r="M56" s="136"/>
      <c r="N56" s="136"/>
      <c r="O56" s="136"/>
      <c r="P56" s="136"/>
      <c r="Q56" s="136"/>
      <c r="R56" s="136"/>
      <c r="S56" s="136"/>
      <c r="T56" s="136"/>
      <c r="U56" s="136"/>
      <c r="V56" s="136"/>
      <c r="W56" s="136"/>
      <c r="X56" s="136"/>
      <c r="Y56" s="136"/>
      <c r="Z56" s="136"/>
      <c r="AA56" s="136"/>
      <c r="AB56" s="136"/>
      <c r="AC56" s="136"/>
      <c r="AD56" s="136"/>
      <c r="AE56" s="136"/>
      <c r="AF56" s="136"/>
      <c r="AG56" s="136"/>
      <c r="AH56" s="136"/>
      <c r="AI56" s="136"/>
      <c r="AJ56" s="136"/>
      <c r="AK56" s="136"/>
      <c r="AL56" s="136"/>
      <c r="AM56" s="136"/>
      <c r="AN56" s="136"/>
      <c r="AO56" s="136"/>
      <c r="AP56" s="136"/>
      <c r="AQ56" s="1172"/>
      <c r="AR56" s="1172"/>
    </row>
  </sheetData>
  <pageMargins left="0.75" right="0.75" top="1" bottom="1" header="0.5" footer="0.5"/>
  <pageSetup paperSize="9" orientation="portrait" r:id="rId1"/>
  <headerFooter alignWithMargins="0"/>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O52"/>
  <sheetViews>
    <sheetView showGridLines="0" topLeftCell="A3" zoomScale="85" zoomScaleNormal="85" workbookViewId="0">
      <selection activeCell="C77" sqref="C77"/>
    </sheetView>
  </sheetViews>
  <sheetFormatPr defaultColWidth="9.140625" defaultRowHeight="12.75"/>
  <cols>
    <col min="1" max="1" width="16.28515625" style="2879" bestFit="1" customWidth="1"/>
    <col min="2" max="2" width="66.7109375" style="2879" customWidth="1"/>
    <col min="3" max="18" width="14.28515625" style="2879" customWidth="1"/>
    <col min="19" max="19" width="14.28515625" style="2880" customWidth="1"/>
    <col min="20" max="16384" width="9.140625" style="2879"/>
  </cols>
  <sheetData>
    <row r="1" spans="2:41" s="2525" customFormat="1" ht="24" customHeight="1">
      <c r="B1" s="2522" t="str">
        <f>IF(dms_DataQuality="backcast",INDEX(dms_Worksheet_List,MATCH(dms_Model,dms_Model_List))&amp;" BACKCAST",INDEX(dms_Worksheet_List,MATCH(dms_Model,dms_Model_List)))</f>
        <v>REGULATORY REPORTING STATEMENT</v>
      </c>
      <c r="C1" s="2523"/>
      <c r="D1" s="2523"/>
      <c r="E1" s="2523"/>
      <c r="F1" s="2523"/>
      <c r="G1" s="2523"/>
      <c r="H1" s="2523"/>
      <c r="I1" s="2523"/>
      <c r="J1" s="2523"/>
      <c r="K1" s="2523"/>
      <c r="L1" s="2523"/>
      <c r="M1" s="2523"/>
      <c r="N1" s="2523"/>
      <c r="O1" s="2523"/>
      <c r="P1" s="2523"/>
      <c r="Q1" s="2523"/>
      <c r="R1" s="2523"/>
      <c r="S1" s="2878"/>
    </row>
    <row r="2" spans="2:41" s="2525" customFormat="1" ht="24" customHeight="1">
      <c r="B2" s="2526" t="str">
        <f>INDEX(dms_TradingNameFull_List,MATCH(dms_TradingName,dms_TradingName_List))</f>
        <v>AusNet Gas Services</v>
      </c>
      <c r="C2" s="2523"/>
      <c r="D2" s="2523"/>
      <c r="E2" s="2523"/>
      <c r="F2" s="2523"/>
      <c r="G2" s="2523"/>
      <c r="H2" s="2523"/>
      <c r="I2" s="2523"/>
      <c r="J2" s="2523"/>
      <c r="K2" s="2523"/>
      <c r="L2" s="2523"/>
      <c r="M2" s="2523"/>
      <c r="N2" s="2523"/>
      <c r="O2" s="2523"/>
      <c r="P2" s="2523"/>
      <c r="Q2" s="2523"/>
      <c r="R2" s="2523"/>
      <c r="S2" s="2878"/>
    </row>
    <row r="3" spans="2:41" s="2525" customFormat="1" ht="24" customHeight="1">
      <c r="B3" s="2526" t="str">
        <f>IF(SUM(dms_SingleYear_Model)&gt;0,CRY,CONCATENATE(FRCP_y1," to ",dms_MultiYear_FinalYear_Result))</f>
        <v>2018 to 2022</v>
      </c>
      <c r="C3" s="2527" t="s">
        <v>353</v>
      </c>
      <c r="D3" s="2528"/>
      <c r="E3" s="2528"/>
      <c r="F3" s="2528"/>
      <c r="G3" s="2528"/>
      <c r="H3" s="2528"/>
      <c r="I3" s="2528"/>
      <c r="J3" s="2528"/>
      <c r="K3" s="2528"/>
      <c r="L3" s="2528"/>
      <c r="M3" s="2528"/>
      <c r="N3" s="2528"/>
      <c r="O3" s="2528"/>
      <c r="P3" s="2528"/>
      <c r="Q3" s="2528"/>
      <c r="R3" s="2528"/>
      <c r="S3" s="2528"/>
    </row>
    <row r="4" spans="2:41" s="2525" customFormat="1" ht="24" customHeight="1">
      <c r="B4" s="2529" t="s">
        <v>345</v>
      </c>
      <c r="C4" s="2529"/>
      <c r="D4" s="2529"/>
      <c r="E4" s="2529"/>
      <c r="F4" s="2529"/>
      <c r="G4" s="2529"/>
      <c r="H4" s="2529"/>
      <c r="I4" s="2529"/>
      <c r="J4" s="2529"/>
      <c r="K4" s="2529"/>
      <c r="L4" s="2529"/>
      <c r="M4" s="2529"/>
      <c r="N4" s="2529"/>
      <c r="O4" s="2529"/>
      <c r="P4" s="2529"/>
      <c r="Q4" s="2529"/>
      <c r="R4" s="2529"/>
      <c r="S4" s="2529"/>
    </row>
    <row r="5" spans="2:41" s="2525" customFormat="1" ht="14.25">
      <c r="B5" s="2530"/>
      <c r="S5" s="2646"/>
      <c r="AD5" s="2524"/>
      <c r="AE5" s="2524"/>
      <c r="AF5" s="2524"/>
      <c r="AG5" s="2524"/>
      <c r="AH5" s="2524"/>
      <c r="AI5" s="2524"/>
      <c r="AJ5" s="2524"/>
      <c r="AK5" s="2524"/>
      <c r="AL5" s="2524"/>
      <c r="AM5" s="2524"/>
      <c r="AN5" s="2524"/>
      <c r="AO5" s="2524"/>
    </row>
    <row r="6" spans="2:41" ht="21" customHeight="1">
      <c r="AD6" s="2524"/>
      <c r="AE6" s="2524"/>
      <c r="AF6" s="2524"/>
      <c r="AG6" s="2524"/>
      <c r="AH6" s="2524"/>
      <c r="AI6" s="2524"/>
      <c r="AJ6" s="2524"/>
      <c r="AK6" s="2524"/>
      <c r="AL6" s="2524"/>
      <c r="AM6" s="2524"/>
      <c r="AN6" s="2524"/>
      <c r="AO6" s="2524"/>
    </row>
    <row r="7" spans="2:41" s="2883" customFormat="1">
      <c r="B7" s="3932" t="s">
        <v>450</v>
      </c>
      <c r="C7" s="3932"/>
      <c r="D7" s="3932"/>
      <c r="E7" s="3932"/>
      <c r="F7" s="2881"/>
      <c r="G7" s="2881"/>
      <c r="H7" s="2881"/>
      <c r="I7" s="2881"/>
      <c r="J7" s="2882"/>
      <c r="S7" s="2880"/>
    </row>
    <row r="8" spans="2:41" s="2883" customFormat="1" ht="36" customHeight="1">
      <c r="B8" s="3932" t="str">
        <f>CONCATENATE("In Tables 2.1 and 2.2 enter the current access arrangement period data and, subject to cl.6.1 of the ", dms_TradingName, ", enter the next access arrangement period data via link from the ", dms_TradingName, " capex model.")</f>
        <v>In Tables 2.1 and 2.2 enter the current access arrangement period data and, subject to cl.6.1 of the AusNet (Gas), enter the next access arrangement period data via link from the AusNet (Gas) capex model.</v>
      </c>
      <c r="C8" s="3932"/>
      <c r="D8" s="3932"/>
      <c r="E8" s="3932"/>
      <c r="F8" s="2881"/>
      <c r="G8" s="2881"/>
      <c r="H8" s="2881"/>
      <c r="I8" s="2881"/>
      <c r="J8" s="2882"/>
      <c r="S8" s="2880"/>
    </row>
    <row r="9" spans="2:41" s="2883" customFormat="1" ht="51" customHeight="1">
      <c r="B9" s="3932" t="str">
        <f>CONCATENATE("If linked/adjustable escalation is not provided in the ", dms_TradingName, " capex model, ensure the escalation in table 2.2 is linked through to all capex categories/subcategories and projects.")</f>
        <v>If linked/adjustable escalation is not provided in the AusNet (Gas) capex model, ensure the escalation in table 2.2 is linked through to all capex categories/subcategories and projects.</v>
      </c>
      <c r="C9" s="3932"/>
      <c r="D9" s="3932"/>
      <c r="E9" s="3932"/>
      <c r="F9" s="2881"/>
      <c r="G9" s="2881"/>
      <c r="H9" s="2881"/>
      <c r="I9" s="2881"/>
      <c r="J9" s="2882"/>
      <c r="S9" s="2880"/>
    </row>
    <row r="10" spans="2:41" ht="34.5" customHeight="1" thickBot="1"/>
    <row r="11" spans="2:41" ht="36.75" customHeight="1" thickBot="1">
      <c r="B11" s="2884" t="s">
        <v>321</v>
      </c>
      <c r="C11" s="2780"/>
      <c r="D11" s="2780"/>
      <c r="E11" s="2780"/>
      <c r="F11" s="2780"/>
      <c r="G11" s="2780"/>
      <c r="H11" s="2780"/>
      <c r="I11" s="2780"/>
      <c r="J11" s="2780"/>
      <c r="K11" s="2780"/>
      <c r="L11" s="2780"/>
      <c r="M11" s="2524"/>
      <c r="N11" s="2524"/>
      <c r="O11" s="2524"/>
      <c r="S11" s="2879"/>
    </row>
    <row r="12" spans="2:41" ht="41.25" customHeight="1">
      <c r="B12" s="3933"/>
      <c r="C12" s="3935" t="s">
        <v>322</v>
      </c>
      <c r="D12" s="3936"/>
      <c r="E12" s="3936"/>
      <c r="F12" s="3936"/>
      <c r="G12" s="3936"/>
      <c r="H12" s="3927" t="s">
        <v>175</v>
      </c>
      <c r="I12" s="3927"/>
      <c r="J12" s="3927"/>
      <c r="K12" s="3927"/>
      <c r="L12" s="3928"/>
      <c r="O12" s="2880"/>
      <c r="S12" s="2879"/>
    </row>
    <row r="13" spans="2:41" s="2885" customFormat="1" ht="17.25" customHeight="1">
      <c r="B13" s="3934"/>
      <c r="C13" s="3929">
        <v>0</v>
      </c>
      <c r="D13" s="3930"/>
      <c r="E13" s="3930"/>
      <c r="F13" s="3930"/>
      <c r="G13" s="3930"/>
      <c r="H13" s="3930"/>
      <c r="I13" s="3930"/>
      <c r="J13" s="3930"/>
      <c r="K13" s="3930"/>
      <c r="L13" s="3931"/>
      <c r="O13" s="2886"/>
    </row>
    <row r="14" spans="2:41" s="2885" customFormat="1" ht="17.25" customHeight="1">
      <c r="B14" s="2887"/>
      <c r="C14" s="3940" t="s">
        <v>74</v>
      </c>
      <c r="D14" s="3941"/>
      <c r="E14" s="3941"/>
      <c r="F14" s="3941"/>
      <c r="G14" s="3941"/>
      <c r="H14" s="3942" t="s">
        <v>55</v>
      </c>
      <c r="I14" s="3942"/>
      <c r="J14" s="3942"/>
      <c r="K14" s="3942"/>
      <c r="L14" s="3943"/>
      <c r="O14" s="2886"/>
    </row>
    <row r="15" spans="2:41" s="2893" customFormat="1" ht="21" customHeight="1" thickBot="1">
      <c r="B15" s="2888"/>
      <c r="C15" s="2889">
        <f>CRCP_y1</f>
        <v>2013</v>
      </c>
      <c r="D15" s="2890">
        <f>CRCP_y2</f>
        <v>2014</v>
      </c>
      <c r="E15" s="2890">
        <f>CRCP_y3</f>
        <v>2015</v>
      </c>
      <c r="F15" s="2890">
        <f>CRCP_y4</f>
        <v>2016</v>
      </c>
      <c r="G15" s="2890">
        <f>CRCP_y5</f>
        <v>2017</v>
      </c>
      <c r="H15" s="2891" t="str">
        <f>FRCP_y1</f>
        <v>2018</v>
      </c>
      <c r="I15" s="2891">
        <f>FRCP_y2</f>
        <v>2019</v>
      </c>
      <c r="J15" s="2891">
        <f>FRCP_y3</f>
        <v>2020</v>
      </c>
      <c r="K15" s="2891">
        <f>FRCP_y4</f>
        <v>2021</v>
      </c>
      <c r="L15" s="2892">
        <f>FRCP_y5</f>
        <v>2022</v>
      </c>
      <c r="O15" s="2894"/>
    </row>
    <row r="16" spans="2:41" s="2893" customFormat="1" ht="12.75" customHeight="1">
      <c r="B16" s="2895" t="s">
        <v>1430</v>
      </c>
      <c r="C16" s="165"/>
      <c r="D16" s="166"/>
      <c r="E16" s="166"/>
      <c r="F16" s="169">
        <v>8.9064726738030571E-3</v>
      </c>
      <c r="G16" s="169">
        <v>2.7859314930013821E-3</v>
      </c>
      <c r="H16" s="169">
        <v>8.049579633929908E-3</v>
      </c>
      <c r="I16" s="169">
        <v>9.1811794847027894E-3</v>
      </c>
      <c r="J16" s="169">
        <v>1.1306190522843301E-2</v>
      </c>
      <c r="K16" s="169">
        <v>1.3824027038481708E-2</v>
      </c>
      <c r="L16" s="169">
        <v>1.5404296472707225E-2</v>
      </c>
      <c r="O16" s="2894"/>
    </row>
    <row r="17" spans="1:19">
      <c r="B17" s="2895" t="s">
        <v>1431</v>
      </c>
      <c r="C17" s="168"/>
      <c r="D17" s="169"/>
      <c r="E17" s="169"/>
      <c r="F17" s="169">
        <v>0</v>
      </c>
      <c r="G17" s="169">
        <v>0</v>
      </c>
      <c r="H17" s="169">
        <v>0</v>
      </c>
      <c r="I17" s="169">
        <v>0</v>
      </c>
      <c r="J17" s="169">
        <v>0</v>
      </c>
      <c r="K17" s="169">
        <v>0</v>
      </c>
      <c r="L17" s="169">
        <v>0</v>
      </c>
      <c r="O17" s="2880"/>
      <c r="S17" s="2879"/>
    </row>
    <row r="18" spans="1:19" s="2524" customFormat="1" ht="15" customHeight="1" thickBot="1">
      <c r="A18" s="2896"/>
      <c r="B18" s="2897"/>
      <c r="C18" s="2898">
        <f t="shared" ref="C18:L18" si="0">SUM(C16:C17)</f>
        <v>0</v>
      </c>
      <c r="D18" s="2899">
        <f t="shared" si="0"/>
        <v>0</v>
      </c>
      <c r="E18" s="2899">
        <f t="shared" si="0"/>
        <v>0</v>
      </c>
      <c r="F18" s="2899">
        <f t="shared" si="0"/>
        <v>8.9064726738030571E-3</v>
      </c>
      <c r="G18" s="2900">
        <f t="shared" si="0"/>
        <v>2.7859314930013821E-3</v>
      </c>
      <c r="H18" s="2899">
        <f t="shared" si="0"/>
        <v>8.049579633929908E-3</v>
      </c>
      <c r="I18" s="2899">
        <f t="shared" si="0"/>
        <v>9.1811794847027894E-3</v>
      </c>
      <c r="J18" s="2899">
        <f t="shared" si="0"/>
        <v>1.1306190522843301E-2</v>
      </c>
      <c r="K18" s="2899">
        <f t="shared" si="0"/>
        <v>1.3824027038481708E-2</v>
      </c>
      <c r="L18" s="2900">
        <f t="shared" si="0"/>
        <v>1.5404296472707225E-2</v>
      </c>
      <c r="O18" s="2645"/>
    </row>
    <row r="19" spans="1:19" ht="20.25" customHeight="1" thickBot="1">
      <c r="B19" s="2901" t="s">
        <v>121</v>
      </c>
      <c r="C19" s="3937" t="s">
        <v>1429</v>
      </c>
      <c r="D19" s="3938"/>
      <c r="E19" s="3938"/>
      <c r="F19" s="3938"/>
      <c r="G19" s="3938"/>
      <c r="H19" s="3938"/>
      <c r="I19" s="3938"/>
      <c r="J19" s="3938"/>
      <c r="K19" s="3938"/>
      <c r="L19" s="3939"/>
      <c r="N19" s="2880"/>
      <c r="S19" s="2879"/>
    </row>
    <row r="20" spans="1:19" ht="40.5" customHeight="1" thickBot="1">
      <c r="Q20" s="2524"/>
      <c r="R20" s="2524"/>
      <c r="S20" s="2524"/>
    </row>
    <row r="21" spans="1:19" ht="36.75" customHeight="1" thickBot="1">
      <c r="B21" s="2884" t="s">
        <v>323</v>
      </c>
      <c r="C21" s="2780"/>
      <c r="D21" s="2780"/>
      <c r="E21" s="2780"/>
      <c r="F21" s="2780"/>
      <c r="G21" s="2780"/>
      <c r="H21" s="2780"/>
      <c r="I21" s="2780"/>
      <c r="J21" s="2780"/>
      <c r="K21" s="2780"/>
      <c r="L21" s="2780"/>
      <c r="M21" s="2780"/>
      <c r="N21" s="2780"/>
      <c r="O21" s="2780"/>
      <c r="P21" s="2780"/>
      <c r="Q21" s="2780"/>
      <c r="R21" s="2780"/>
      <c r="S21" s="2780"/>
    </row>
    <row r="22" spans="1:19" s="2893" customFormat="1" ht="21.75" customHeight="1">
      <c r="B22" s="2902"/>
      <c r="C22" s="3944" t="s">
        <v>55</v>
      </c>
      <c r="D22" s="3945"/>
      <c r="E22" s="3945"/>
      <c r="F22" s="3945"/>
      <c r="G22" s="3945"/>
      <c r="H22" s="3945"/>
      <c r="I22" s="3945"/>
      <c r="J22" s="3945"/>
      <c r="K22" s="3946"/>
      <c r="L22" s="3947" t="s">
        <v>55</v>
      </c>
      <c r="M22" s="3948"/>
      <c r="N22" s="3948"/>
      <c r="O22" s="3948"/>
      <c r="P22" s="3948"/>
      <c r="Q22" s="3948"/>
      <c r="R22" s="3948"/>
      <c r="S22" s="3949"/>
    </row>
    <row r="23" spans="1:19" s="2885" customFormat="1" ht="21" customHeight="1">
      <c r="B23" s="2903"/>
      <c r="C23" s="3950">
        <v>0</v>
      </c>
      <c r="D23" s="3951"/>
      <c r="E23" s="3951"/>
      <c r="F23" s="3951"/>
      <c r="G23" s="3951"/>
      <c r="H23" s="3951"/>
      <c r="I23" s="3951"/>
      <c r="J23" s="3951"/>
      <c r="K23" s="3952"/>
      <c r="L23" s="3953" t="s">
        <v>324</v>
      </c>
      <c r="M23" s="3954"/>
      <c r="N23" s="3954"/>
      <c r="O23" s="3954"/>
      <c r="P23" s="3954"/>
      <c r="Q23" s="3954"/>
      <c r="R23" s="3954"/>
      <c r="S23" s="3955"/>
    </row>
    <row r="24" spans="1:19" s="2885" customFormat="1" ht="21" customHeight="1">
      <c r="B24" s="2903"/>
      <c r="C24" s="3953" t="s">
        <v>259</v>
      </c>
      <c r="D24" s="3956"/>
      <c r="E24" s="3957" t="s">
        <v>260</v>
      </c>
      <c r="F24" s="3958"/>
      <c r="G24" s="3958"/>
      <c r="H24" s="3958"/>
      <c r="I24" s="3958"/>
      <c r="J24" s="3958"/>
      <c r="K24" s="3959"/>
      <c r="L24" s="3953"/>
      <c r="M24" s="3954"/>
      <c r="N24" s="3954"/>
      <c r="O24" s="3954"/>
      <c r="P24" s="3954"/>
      <c r="Q24" s="3954"/>
      <c r="R24" s="3954"/>
      <c r="S24" s="3955"/>
    </row>
    <row r="25" spans="1:19" s="2885" customFormat="1" ht="21" thickBot="1">
      <c r="B25" s="2904"/>
      <c r="C25" s="2905" t="s">
        <v>144</v>
      </c>
      <c r="D25" s="2906" t="s">
        <v>145</v>
      </c>
      <c r="E25" s="2907" t="s">
        <v>254</v>
      </c>
      <c r="F25" s="2907" t="s">
        <v>254</v>
      </c>
      <c r="G25" s="2907" t="s">
        <v>254</v>
      </c>
      <c r="H25" s="2907" t="s">
        <v>254</v>
      </c>
      <c r="I25" s="2907" t="s">
        <v>254</v>
      </c>
      <c r="J25" s="2907" t="s">
        <v>254</v>
      </c>
      <c r="K25" s="2907" t="s">
        <v>254</v>
      </c>
      <c r="L25" s="2905" t="s">
        <v>102</v>
      </c>
      <c r="M25" s="2908" t="s">
        <v>103</v>
      </c>
      <c r="N25" s="2906" t="s">
        <v>104</v>
      </c>
      <c r="O25" s="2908" t="s">
        <v>106</v>
      </c>
      <c r="P25" s="2908" t="s">
        <v>107</v>
      </c>
      <c r="Q25" s="2908" t="s">
        <v>108</v>
      </c>
      <c r="R25" s="2908" t="s">
        <v>109</v>
      </c>
      <c r="S25" s="2909" t="s">
        <v>207</v>
      </c>
    </row>
    <row r="26" spans="1:19" s="2893" customFormat="1" ht="12.75" customHeight="1">
      <c r="B26" s="2910" t="s">
        <v>1427</v>
      </c>
      <c r="C26" s="165">
        <v>0.84</v>
      </c>
      <c r="D26" s="167"/>
      <c r="E26" s="1238">
        <v>0.16</v>
      </c>
      <c r="F26" s="166"/>
      <c r="G26" s="166"/>
      <c r="H26" s="166"/>
      <c r="I26" s="166"/>
      <c r="J26" s="166"/>
      <c r="K26" s="1239"/>
      <c r="L26" s="1240">
        <v>1</v>
      </c>
      <c r="M26" s="166"/>
      <c r="N26" s="166"/>
      <c r="O26" s="166"/>
      <c r="P26" s="166"/>
      <c r="Q26" s="166"/>
      <c r="R26" s="166"/>
      <c r="S26" s="1241"/>
    </row>
    <row r="27" spans="1:19" s="2893" customFormat="1" ht="12.75" hidden="1" customHeight="1">
      <c r="B27" s="2910"/>
      <c r="C27" s="168"/>
      <c r="D27" s="170"/>
      <c r="E27" s="173"/>
      <c r="F27" s="169"/>
      <c r="G27" s="169"/>
      <c r="H27" s="169"/>
      <c r="I27" s="169"/>
      <c r="J27" s="169"/>
      <c r="K27" s="174"/>
      <c r="L27" s="175"/>
      <c r="M27" s="169"/>
      <c r="N27" s="169"/>
      <c r="O27" s="169"/>
      <c r="P27" s="169"/>
      <c r="Q27" s="169"/>
      <c r="R27" s="169"/>
      <c r="S27" s="176"/>
    </row>
    <row r="28" spans="1:19" hidden="1">
      <c r="B28" s="2910"/>
      <c r="C28" s="168"/>
      <c r="D28" s="170"/>
      <c r="E28" s="173"/>
      <c r="F28" s="169"/>
      <c r="G28" s="169"/>
      <c r="H28" s="169"/>
      <c r="I28" s="169"/>
      <c r="J28" s="169"/>
      <c r="K28" s="174"/>
      <c r="L28" s="175"/>
      <c r="M28" s="169"/>
      <c r="N28" s="169"/>
      <c r="O28" s="169"/>
      <c r="P28" s="169"/>
      <c r="Q28" s="169"/>
      <c r="R28" s="169"/>
      <c r="S28" s="176"/>
    </row>
    <row r="29" spans="1:19" hidden="1">
      <c r="B29" s="2910"/>
      <c r="C29" s="168"/>
      <c r="D29" s="170"/>
      <c r="E29" s="173"/>
      <c r="F29" s="169"/>
      <c r="G29" s="169"/>
      <c r="H29" s="169"/>
      <c r="I29" s="169"/>
      <c r="J29" s="169"/>
      <c r="K29" s="174"/>
      <c r="L29" s="175"/>
      <c r="M29" s="169"/>
      <c r="N29" s="169"/>
      <c r="O29" s="169"/>
      <c r="P29" s="169"/>
      <c r="Q29" s="169"/>
      <c r="R29" s="169"/>
      <c r="S29" s="176"/>
    </row>
    <row r="30" spans="1:19" hidden="1">
      <c r="B30" s="2910"/>
      <c r="C30" s="168"/>
      <c r="D30" s="170"/>
      <c r="E30" s="173"/>
      <c r="F30" s="169"/>
      <c r="G30" s="169"/>
      <c r="H30" s="169"/>
      <c r="I30" s="169"/>
      <c r="J30" s="169"/>
      <c r="K30" s="174"/>
      <c r="L30" s="175"/>
      <c r="M30" s="169"/>
      <c r="N30" s="169"/>
      <c r="O30" s="169"/>
      <c r="P30" s="169"/>
      <c r="Q30" s="169"/>
      <c r="R30" s="169"/>
      <c r="S30" s="176"/>
    </row>
    <row r="31" spans="1:19" hidden="1">
      <c r="B31" s="2910"/>
      <c r="C31" s="168"/>
      <c r="D31" s="170"/>
      <c r="E31" s="173"/>
      <c r="F31" s="169"/>
      <c r="G31" s="169"/>
      <c r="H31" s="169"/>
      <c r="I31" s="169"/>
      <c r="J31" s="169"/>
      <c r="K31" s="174"/>
      <c r="L31" s="175"/>
      <c r="M31" s="169"/>
      <c r="N31" s="169"/>
      <c r="O31" s="169"/>
      <c r="P31" s="169"/>
      <c r="Q31" s="169"/>
      <c r="R31" s="169"/>
      <c r="S31" s="176"/>
    </row>
    <row r="32" spans="1:19" hidden="1">
      <c r="B32" s="2910"/>
      <c r="C32" s="168"/>
      <c r="D32" s="170"/>
      <c r="E32" s="173"/>
      <c r="F32" s="169"/>
      <c r="G32" s="169"/>
      <c r="H32" s="169"/>
      <c r="I32" s="169"/>
      <c r="J32" s="169"/>
      <c r="K32" s="174"/>
      <c r="L32" s="175"/>
      <c r="M32" s="169"/>
      <c r="N32" s="169"/>
      <c r="O32" s="169"/>
      <c r="P32" s="169"/>
      <c r="Q32" s="169"/>
      <c r="R32" s="169"/>
      <c r="S32" s="176"/>
    </row>
    <row r="33" spans="2:19" hidden="1">
      <c r="B33" s="2910"/>
      <c r="C33" s="168"/>
      <c r="D33" s="170"/>
      <c r="E33" s="173"/>
      <c r="F33" s="169"/>
      <c r="G33" s="169"/>
      <c r="H33" s="169"/>
      <c r="I33" s="169"/>
      <c r="J33" s="169"/>
      <c r="K33" s="174"/>
      <c r="L33" s="175"/>
      <c r="M33" s="169"/>
      <c r="N33" s="169"/>
      <c r="O33" s="169"/>
      <c r="P33" s="169"/>
      <c r="Q33" s="169"/>
      <c r="R33" s="169"/>
      <c r="S33" s="176"/>
    </row>
    <row r="34" spans="2:19" hidden="1">
      <c r="B34" s="2910"/>
      <c r="C34" s="168"/>
      <c r="D34" s="170"/>
      <c r="E34" s="173"/>
      <c r="F34" s="169"/>
      <c r="G34" s="169"/>
      <c r="H34" s="169"/>
      <c r="I34" s="169"/>
      <c r="J34" s="169"/>
      <c r="K34" s="174"/>
      <c r="L34" s="175"/>
      <c r="M34" s="169"/>
      <c r="N34" s="169"/>
      <c r="O34" s="169"/>
      <c r="P34" s="169"/>
      <c r="Q34" s="169"/>
      <c r="R34" s="169"/>
      <c r="S34" s="176"/>
    </row>
    <row r="35" spans="2:19" hidden="1">
      <c r="B35" s="2910"/>
      <c r="C35" s="168"/>
      <c r="D35" s="170"/>
      <c r="E35" s="173"/>
      <c r="F35" s="169"/>
      <c r="G35" s="169"/>
      <c r="H35" s="169"/>
      <c r="I35" s="169"/>
      <c r="J35" s="169"/>
      <c r="K35" s="174"/>
      <c r="L35" s="175"/>
      <c r="M35" s="169"/>
      <c r="N35" s="169"/>
      <c r="O35" s="169"/>
      <c r="P35" s="169"/>
      <c r="Q35" s="169"/>
      <c r="R35" s="169"/>
      <c r="S35" s="176"/>
    </row>
    <row r="36" spans="2:19" hidden="1">
      <c r="B36" s="2910"/>
      <c r="C36" s="168"/>
      <c r="D36" s="170"/>
      <c r="E36" s="173"/>
      <c r="F36" s="169"/>
      <c r="G36" s="169"/>
      <c r="H36" s="169"/>
      <c r="I36" s="169"/>
      <c r="J36" s="169"/>
      <c r="K36" s="174"/>
      <c r="L36" s="175"/>
      <c r="M36" s="169"/>
      <c r="N36" s="169"/>
      <c r="O36" s="169"/>
      <c r="P36" s="169"/>
      <c r="Q36" s="169"/>
      <c r="R36" s="169"/>
      <c r="S36" s="176"/>
    </row>
    <row r="37" spans="2:19" hidden="1">
      <c r="B37" s="2910"/>
      <c r="C37" s="168"/>
      <c r="D37" s="170"/>
      <c r="E37" s="173"/>
      <c r="F37" s="169"/>
      <c r="G37" s="169"/>
      <c r="H37" s="169"/>
      <c r="I37" s="169"/>
      <c r="J37" s="169"/>
      <c r="K37" s="174"/>
      <c r="L37" s="175"/>
      <c r="M37" s="169"/>
      <c r="N37" s="169"/>
      <c r="O37" s="169"/>
      <c r="P37" s="169"/>
      <c r="Q37" s="169"/>
      <c r="R37" s="169"/>
      <c r="S37" s="176"/>
    </row>
    <row r="38" spans="2:19" hidden="1">
      <c r="B38" s="2910"/>
      <c r="C38" s="168"/>
      <c r="D38" s="170"/>
      <c r="E38" s="173"/>
      <c r="F38" s="169"/>
      <c r="G38" s="169"/>
      <c r="H38" s="169"/>
      <c r="I38" s="169"/>
      <c r="J38" s="169"/>
      <c r="K38" s="174"/>
      <c r="L38" s="175"/>
      <c r="M38" s="169"/>
      <c r="N38" s="169"/>
      <c r="O38" s="169"/>
      <c r="P38" s="169"/>
      <c r="Q38" s="169"/>
      <c r="R38" s="169"/>
      <c r="S38" s="176"/>
    </row>
    <row r="39" spans="2:19" hidden="1">
      <c r="B39" s="2910"/>
      <c r="C39" s="168"/>
      <c r="D39" s="170"/>
      <c r="E39" s="173"/>
      <c r="F39" s="169"/>
      <c r="G39" s="169"/>
      <c r="H39" s="169"/>
      <c r="I39" s="169"/>
      <c r="J39" s="169"/>
      <c r="K39" s="174"/>
      <c r="L39" s="175"/>
      <c r="M39" s="169"/>
      <c r="N39" s="169"/>
      <c r="O39" s="169"/>
      <c r="P39" s="169"/>
      <c r="Q39" s="169"/>
      <c r="R39" s="169"/>
      <c r="S39" s="176"/>
    </row>
    <row r="40" spans="2:19" hidden="1">
      <c r="B40" s="2910"/>
      <c r="C40" s="168"/>
      <c r="D40" s="170"/>
      <c r="E40" s="173"/>
      <c r="F40" s="169"/>
      <c r="G40" s="169"/>
      <c r="H40" s="169"/>
      <c r="I40" s="169"/>
      <c r="J40" s="169"/>
      <c r="K40" s="174"/>
      <c r="L40" s="175"/>
      <c r="M40" s="169"/>
      <c r="N40" s="169"/>
      <c r="O40" s="169"/>
      <c r="P40" s="169"/>
      <c r="Q40" s="169"/>
      <c r="R40" s="169"/>
      <c r="S40" s="176"/>
    </row>
    <row r="41" spans="2:19" hidden="1">
      <c r="B41" s="2910"/>
      <c r="C41" s="168"/>
      <c r="D41" s="170"/>
      <c r="E41" s="173"/>
      <c r="F41" s="169"/>
      <c r="G41" s="169"/>
      <c r="H41" s="169"/>
      <c r="I41" s="169"/>
      <c r="J41" s="169"/>
      <c r="K41" s="174"/>
      <c r="L41" s="175"/>
      <c r="M41" s="169"/>
      <c r="N41" s="169"/>
      <c r="O41" s="169"/>
      <c r="P41" s="169"/>
      <c r="Q41" s="169"/>
      <c r="R41" s="169"/>
      <c r="S41" s="176"/>
    </row>
    <row r="42" spans="2:19" hidden="1">
      <c r="B42" s="2910"/>
      <c r="C42" s="168"/>
      <c r="D42" s="170"/>
      <c r="E42" s="173"/>
      <c r="F42" s="169"/>
      <c r="G42" s="169"/>
      <c r="H42" s="169"/>
      <c r="I42" s="169"/>
      <c r="J42" s="169"/>
      <c r="K42" s="174"/>
      <c r="L42" s="175"/>
      <c r="M42" s="169"/>
      <c r="N42" s="169"/>
      <c r="O42" s="169"/>
      <c r="P42" s="169"/>
      <c r="Q42" s="169"/>
      <c r="R42" s="169"/>
      <c r="S42" s="176"/>
    </row>
    <row r="43" spans="2:19" hidden="1">
      <c r="B43" s="2910"/>
      <c r="C43" s="168"/>
      <c r="D43" s="170"/>
      <c r="E43" s="173"/>
      <c r="F43" s="169"/>
      <c r="G43" s="169"/>
      <c r="H43" s="169"/>
      <c r="I43" s="169"/>
      <c r="J43" s="169"/>
      <c r="K43" s="174"/>
      <c r="L43" s="175"/>
      <c r="M43" s="169"/>
      <c r="N43" s="169"/>
      <c r="O43" s="169"/>
      <c r="P43" s="169"/>
      <c r="Q43" s="169"/>
      <c r="R43" s="169"/>
      <c r="S43" s="176"/>
    </row>
    <row r="44" spans="2:19" hidden="1">
      <c r="B44" s="2910"/>
      <c r="C44" s="168"/>
      <c r="D44" s="170"/>
      <c r="E44" s="173"/>
      <c r="F44" s="169"/>
      <c r="G44" s="169"/>
      <c r="H44" s="169"/>
      <c r="I44" s="169"/>
      <c r="J44" s="169"/>
      <c r="K44" s="174"/>
      <c r="L44" s="175"/>
      <c r="M44" s="169"/>
      <c r="N44" s="169"/>
      <c r="O44" s="169"/>
      <c r="P44" s="169"/>
      <c r="Q44" s="169"/>
      <c r="R44" s="169"/>
      <c r="S44" s="176"/>
    </row>
    <row r="45" spans="2:19" hidden="1">
      <c r="B45" s="2910"/>
      <c r="C45" s="168"/>
      <c r="D45" s="170"/>
      <c r="E45" s="173"/>
      <c r="F45" s="169"/>
      <c r="G45" s="169"/>
      <c r="H45" s="169"/>
      <c r="I45" s="169"/>
      <c r="J45" s="169"/>
      <c r="K45" s="174"/>
      <c r="L45" s="175"/>
      <c r="M45" s="169"/>
      <c r="N45" s="169"/>
      <c r="O45" s="169"/>
      <c r="P45" s="169"/>
      <c r="Q45" s="169"/>
      <c r="R45" s="169"/>
      <c r="S45" s="176"/>
    </row>
    <row r="46" spans="2:19" hidden="1">
      <c r="B46" s="2910"/>
      <c r="C46" s="168"/>
      <c r="D46" s="170"/>
      <c r="E46" s="173"/>
      <c r="F46" s="169"/>
      <c r="G46" s="169"/>
      <c r="H46" s="169"/>
      <c r="I46" s="169"/>
      <c r="J46" s="169"/>
      <c r="K46" s="174"/>
      <c r="L46" s="175"/>
      <c r="M46" s="169"/>
      <c r="N46" s="169"/>
      <c r="O46" s="169"/>
      <c r="P46" s="169"/>
      <c r="Q46" s="169"/>
      <c r="R46" s="169"/>
      <c r="S46" s="176"/>
    </row>
    <row r="47" spans="2:19" hidden="1">
      <c r="B47" s="2910"/>
      <c r="C47" s="168"/>
      <c r="D47" s="170"/>
      <c r="E47" s="173"/>
      <c r="F47" s="169"/>
      <c r="G47" s="169"/>
      <c r="H47" s="169"/>
      <c r="I47" s="169"/>
      <c r="J47" s="169"/>
      <c r="K47" s="174"/>
      <c r="L47" s="175"/>
      <c r="M47" s="169"/>
      <c r="N47" s="169"/>
      <c r="O47" s="169"/>
      <c r="P47" s="169"/>
      <c r="Q47" s="169"/>
      <c r="R47" s="169"/>
      <c r="S47" s="176"/>
    </row>
    <row r="48" spans="2:19" hidden="1">
      <c r="B48" s="2910"/>
      <c r="C48" s="168"/>
      <c r="D48" s="170"/>
      <c r="E48" s="173"/>
      <c r="F48" s="169"/>
      <c r="G48" s="169"/>
      <c r="H48" s="169"/>
      <c r="I48" s="169"/>
      <c r="J48" s="169"/>
      <c r="K48" s="174"/>
      <c r="L48" s="175"/>
      <c r="M48" s="169"/>
      <c r="N48" s="169"/>
      <c r="O48" s="169"/>
      <c r="P48" s="169"/>
      <c r="Q48" s="169"/>
      <c r="R48" s="169"/>
      <c r="S48" s="176"/>
    </row>
    <row r="49" spans="2:19" hidden="1">
      <c r="B49" s="2910"/>
      <c r="C49" s="168"/>
      <c r="D49" s="170"/>
      <c r="E49" s="173"/>
      <c r="F49" s="169"/>
      <c r="G49" s="169"/>
      <c r="H49" s="169"/>
      <c r="I49" s="169"/>
      <c r="J49" s="169"/>
      <c r="K49" s="174"/>
      <c r="L49" s="175"/>
      <c r="M49" s="169"/>
      <c r="N49" s="169"/>
      <c r="O49" s="169"/>
      <c r="P49" s="169"/>
      <c r="Q49" s="169"/>
      <c r="R49" s="169"/>
      <c r="S49" s="176"/>
    </row>
    <row r="50" spans="2:19" ht="13.5" thickBot="1">
      <c r="B50" s="2911"/>
      <c r="C50" s="2912"/>
      <c r="D50" s="2913"/>
      <c r="E50" s="2913"/>
      <c r="F50" s="2913"/>
      <c r="G50" s="2913"/>
      <c r="H50" s="2913"/>
      <c r="I50" s="2913"/>
      <c r="J50" s="2913"/>
      <c r="K50" s="2914"/>
      <c r="L50" s="2915"/>
      <c r="M50" s="2913"/>
      <c r="N50" s="2913"/>
      <c r="O50" s="2913"/>
      <c r="P50" s="2913"/>
      <c r="Q50" s="2913"/>
      <c r="R50" s="2913"/>
      <c r="S50" s="2914"/>
    </row>
    <row r="51" spans="2:19" ht="20.25" customHeight="1" thickBot="1">
      <c r="B51" s="2916" t="s">
        <v>121</v>
      </c>
      <c r="C51" s="3937" t="s">
        <v>1428</v>
      </c>
      <c r="D51" s="3938"/>
      <c r="E51" s="3938"/>
      <c r="F51" s="3938"/>
      <c r="G51" s="3938"/>
      <c r="H51" s="3938"/>
      <c r="I51" s="3938"/>
      <c r="J51" s="3938"/>
      <c r="K51" s="3938"/>
      <c r="L51" s="3939"/>
      <c r="M51" s="2917"/>
      <c r="N51" s="2917"/>
      <c r="O51" s="2917"/>
      <c r="P51" s="2917"/>
      <c r="Q51" s="2917"/>
      <c r="R51" s="2917"/>
      <c r="S51" s="2918"/>
    </row>
    <row r="52" spans="2:19" ht="35.25" customHeight="1"/>
  </sheetData>
  <mergeCells count="17">
    <mergeCell ref="C51:L51"/>
    <mergeCell ref="C14:G14"/>
    <mergeCell ref="H14:L14"/>
    <mergeCell ref="C19:L19"/>
    <mergeCell ref="C22:K22"/>
    <mergeCell ref="L22:S22"/>
    <mergeCell ref="C23:K23"/>
    <mergeCell ref="L23:S24"/>
    <mergeCell ref="C24:D24"/>
    <mergeCell ref="E24:K24"/>
    <mergeCell ref="H12:L12"/>
    <mergeCell ref="C13:L13"/>
    <mergeCell ref="B7:E7"/>
    <mergeCell ref="B8:E8"/>
    <mergeCell ref="B9:E9"/>
    <mergeCell ref="B12:B13"/>
    <mergeCell ref="C12:G12"/>
  </mergeCells>
  <pageMargins left="0.75" right="0.75" top="1" bottom="1" header="0.5" footer="0.5"/>
  <pageSetup paperSize="9" orientation="portrait" r:id="rId1"/>
  <headerFooter alignWithMargins="0"/>
  <customProperties>
    <customPr name="_pios_id" r:id="rId2"/>
  </customPropertie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U106"/>
  <sheetViews>
    <sheetView showGridLines="0" topLeftCell="A31" zoomScale="55" zoomScaleNormal="55" workbookViewId="0">
      <selection activeCell="B18" sqref="B18"/>
    </sheetView>
  </sheetViews>
  <sheetFormatPr defaultColWidth="9.140625" defaultRowHeight="12.75" outlineLevelRow="2"/>
  <cols>
    <col min="1" max="1" width="20.140625" style="77" customWidth="1"/>
    <col min="2" max="2" width="95.85546875" style="77" customWidth="1"/>
    <col min="3" max="10" width="15.7109375" style="77" customWidth="1"/>
    <col min="11" max="12" width="17.7109375" style="77" customWidth="1"/>
    <col min="13" max="17" width="15.7109375" style="77" customWidth="1"/>
    <col min="18" max="19" width="13.140625" style="77" bestFit="1" customWidth="1"/>
    <col min="20" max="20" width="16.42578125" style="77" bestFit="1" customWidth="1"/>
    <col min="21" max="21" width="18.5703125" style="77" bestFit="1" customWidth="1"/>
    <col min="22" max="16384" width="9.140625" style="77"/>
  </cols>
  <sheetData>
    <row r="1" spans="2:21" s="177" customFormat="1" ht="24" customHeight="1">
      <c r="B1" s="178" t="str">
        <f>SheetHeader</f>
        <v>REGULATORY REPORTING STATEMENT</v>
      </c>
      <c r="C1" s="179"/>
      <c r="D1" s="179"/>
      <c r="E1" s="179"/>
      <c r="F1" s="179"/>
      <c r="G1" s="179"/>
      <c r="H1" s="179"/>
      <c r="I1" s="179"/>
      <c r="J1" s="179"/>
      <c r="K1" s="179"/>
      <c r="L1" s="179"/>
      <c r="M1" s="179"/>
      <c r="N1" s="179"/>
      <c r="O1" s="179"/>
      <c r="P1" s="179"/>
      <c r="Q1" s="179"/>
      <c r="R1" s="179"/>
      <c r="S1" s="65"/>
      <c r="T1" s="65"/>
      <c r="U1" s="65"/>
    </row>
    <row r="2" spans="2:21" s="177" customFormat="1" ht="24" customHeight="1">
      <c r="B2" s="180" t="str">
        <f>dms_TradingName</f>
        <v>AusNet (Gas)</v>
      </c>
      <c r="C2" s="179"/>
      <c r="D2" s="179"/>
      <c r="E2" s="179"/>
      <c r="F2" s="179"/>
      <c r="G2" s="179"/>
      <c r="H2" s="179"/>
      <c r="I2" s="179"/>
      <c r="J2" s="179"/>
      <c r="K2" s="179"/>
      <c r="L2" s="179"/>
      <c r="M2" s="179"/>
      <c r="N2" s="179"/>
      <c r="O2" s="179"/>
      <c r="P2" s="179"/>
      <c r="Q2" s="179"/>
      <c r="R2" s="179"/>
      <c r="S2" s="65"/>
      <c r="T2" s="65"/>
      <c r="U2" s="65"/>
    </row>
    <row r="3" spans="2:21" s="177" customFormat="1" ht="24" customHeight="1">
      <c r="B3" s="181" t="str">
        <f>CONCATENATE(FRCP_y1," to ",FRCP_y5)</f>
        <v>2018 to 2022</v>
      </c>
      <c r="C3" s="182" t="str">
        <f>CONCATENATE(LEFT(FRCP_y1,4),"-",LEFT(FRCP_y5,2),RIGHT(FRCP_y5,2))</f>
        <v>2018-2022</v>
      </c>
      <c r="D3" s="181"/>
      <c r="E3" s="181"/>
      <c r="F3" s="181"/>
      <c r="G3" s="181"/>
      <c r="H3" s="181"/>
      <c r="I3" s="181"/>
      <c r="J3" s="181"/>
      <c r="K3" s="181"/>
      <c r="L3" s="181"/>
      <c r="M3" s="181"/>
      <c r="N3" s="181"/>
      <c r="O3" s="181"/>
      <c r="P3" s="181"/>
      <c r="Q3" s="181"/>
      <c r="R3" s="181"/>
      <c r="S3" s="65"/>
      <c r="T3" s="65"/>
      <c r="U3" s="65"/>
    </row>
    <row r="4" spans="2:21" s="177" customFormat="1" ht="24" customHeight="1">
      <c r="B4" s="163" t="s">
        <v>344</v>
      </c>
      <c r="C4" s="163"/>
      <c r="D4" s="163"/>
      <c r="E4" s="163"/>
      <c r="F4" s="163"/>
      <c r="G4" s="163"/>
      <c r="H4" s="163"/>
      <c r="I4" s="163"/>
      <c r="J4" s="163"/>
      <c r="K4" s="163"/>
      <c r="L4" s="163"/>
      <c r="M4" s="163"/>
      <c r="N4" s="163"/>
      <c r="O4" s="163"/>
      <c r="P4" s="163"/>
      <c r="Q4" s="163"/>
      <c r="R4" s="163"/>
      <c r="S4" s="65"/>
      <c r="T4" s="65"/>
      <c r="U4" s="65"/>
    </row>
    <row r="5" spans="2:21" s="183" customFormat="1" ht="20.25">
      <c r="B5" s="184"/>
      <c r="C5" s="185"/>
      <c r="D5" s="185"/>
      <c r="E5" s="185"/>
      <c r="F5" s="185"/>
      <c r="G5" s="185"/>
      <c r="H5" s="185"/>
      <c r="I5" s="185"/>
      <c r="J5" s="185"/>
      <c r="K5" s="185"/>
      <c r="L5" s="185"/>
      <c r="M5" s="185"/>
      <c r="N5" s="185"/>
      <c r="O5" s="185"/>
      <c r="P5" s="185"/>
      <c r="Q5" s="185"/>
      <c r="R5" s="185"/>
      <c r="S5" s="65"/>
      <c r="T5" s="65"/>
      <c r="U5" s="65"/>
    </row>
    <row r="6" spans="2:21" s="183" customFormat="1" ht="67.5" customHeight="1">
      <c r="B6" s="3974" t="s">
        <v>380</v>
      </c>
      <c r="C6" s="3974"/>
      <c r="D6" s="3974"/>
      <c r="E6" s="3974"/>
      <c r="F6" s="3974"/>
      <c r="G6" s="3974"/>
      <c r="H6" s="186"/>
      <c r="I6" s="185"/>
      <c r="S6" s="65"/>
      <c r="T6" s="65"/>
      <c r="U6" s="65"/>
    </row>
    <row r="7" spans="2:21" s="183" customFormat="1" ht="33" customHeight="1">
      <c r="B7" s="184"/>
      <c r="C7" s="185"/>
      <c r="D7" s="185"/>
      <c r="E7" s="185"/>
      <c r="F7" s="185"/>
      <c r="G7" s="185"/>
      <c r="H7" s="185"/>
      <c r="I7" s="185"/>
      <c r="J7" s="185"/>
      <c r="K7" s="185"/>
      <c r="L7" s="185"/>
      <c r="M7" s="185"/>
      <c r="N7" s="185"/>
      <c r="O7" s="185"/>
      <c r="P7" s="185"/>
      <c r="Q7" s="185"/>
      <c r="R7" s="185"/>
      <c r="S7" s="65"/>
      <c r="T7" s="65"/>
      <c r="U7" s="65"/>
    </row>
    <row r="8" spans="2:21" s="183" customFormat="1" ht="24" customHeight="1" thickBot="1">
      <c r="B8" s="184"/>
      <c r="C8" s="185"/>
      <c r="D8" s="185"/>
      <c r="E8" s="185"/>
      <c r="F8" s="185"/>
      <c r="G8" s="185"/>
      <c r="H8" s="185"/>
      <c r="I8" s="185"/>
      <c r="J8" s="185"/>
      <c r="K8" s="185"/>
      <c r="L8" s="185"/>
      <c r="M8" s="185"/>
      <c r="N8" s="185"/>
      <c r="O8" s="185"/>
      <c r="P8" s="185"/>
      <c r="Q8" s="185"/>
      <c r="R8" s="185"/>
      <c r="S8" s="65"/>
      <c r="T8" s="65"/>
      <c r="U8" s="65"/>
    </row>
    <row r="9" spans="2:21" s="187" customFormat="1" ht="36.75" customHeight="1" thickBot="1">
      <c r="B9" s="735" t="s">
        <v>325</v>
      </c>
      <c r="C9" s="735"/>
      <c r="D9" s="735"/>
      <c r="E9" s="735"/>
      <c r="F9" s="735"/>
      <c r="G9" s="735"/>
      <c r="H9" s="735"/>
      <c r="I9" s="735"/>
      <c r="J9" s="735"/>
      <c r="K9" s="735"/>
      <c r="L9" s="735"/>
      <c r="M9" s="735"/>
      <c r="N9" s="735"/>
      <c r="O9" s="735"/>
      <c r="P9" s="735"/>
      <c r="Q9" s="735"/>
      <c r="R9" s="735"/>
      <c r="S9" s="65"/>
      <c r="T9" s="65"/>
      <c r="U9" s="65"/>
    </row>
    <row r="10" spans="2:21" s="188" customFormat="1" ht="25.5" customHeight="1">
      <c r="B10" s="3967"/>
      <c r="C10" s="3970" t="s">
        <v>36</v>
      </c>
      <c r="D10" s="3971"/>
      <c r="E10" s="3971"/>
      <c r="F10" s="3971"/>
      <c r="G10" s="3971"/>
      <c r="H10" s="3972" t="s">
        <v>37</v>
      </c>
      <c r="I10" s="3972"/>
      <c r="J10" s="3972"/>
      <c r="K10" s="3972"/>
      <c r="L10" s="3972"/>
      <c r="M10" s="3972"/>
      <c r="N10" s="3960" t="s">
        <v>73</v>
      </c>
      <c r="O10" s="3961"/>
      <c r="P10" s="3961"/>
      <c r="Q10" s="3961"/>
      <c r="R10" s="3962"/>
      <c r="S10" s="65"/>
      <c r="T10" s="65"/>
      <c r="U10" s="65"/>
    </row>
    <row r="11" spans="2:21" s="188" customFormat="1" ht="12.75" customHeight="1">
      <c r="B11" s="3968"/>
      <c r="C11" s="3963" t="s">
        <v>359</v>
      </c>
      <c r="D11" s="3964"/>
      <c r="E11" s="3964"/>
      <c r="F11" s="3964"/>
      <c r="G11" s="3964"/>
      <c r="H11" s="3964"/>
      <c r="I11" s="3964"/>
      <c r="J11" s="3964"/>
      <c r="K11" s="3964"/>
      <c r="L11" s="3965" t="str">
        <f>CONCATENATE("$0's, Real ",dms_DollarReal)</f>
        <v>$0's, Real December 2017</v>
      </c>
      <c r="M11" s="3965"/>
      <c r="N11" s="3965" t="str">
        <f>CONCATENATE("Real, $ ",dms_DollarReal)</f>
        <v>Real, $ December 2017</v>
      </c>
      <c r="O11" s="3965"/>
      <c r="P11" s="3965"/>
      <c r="Q11" s="3965"/>
      <c r="R11" s="3966"/>
      <c r="S11" s="65"/>
      <c r="T11" s="65"/>
      <c r="U11" s="65"/>
    </row>
    <row r="12" spans="2:21" s="188" customFormat="1" ht="15" customHeight="1">
      <c r="B12" s="878"/>
      <c r="C12" s="3963" t="s">
        <v>54</v>
      </c>
      <c r="D12" s="3964"/>
      <c r="E12" s="3964"/>
      <c r="F12" s="3964"/>
      <c r="G12" s="3964"/>
      <c r="H12" s="3964"/>
      <c r="I12" s="3964"/>
      <c r="J12" s="3964"/>
      <c r="K12" s="3964"/>
      <c r="L12" s="3965" t="s">
        <v>55</v>
      </c>
      <c r="M12" s="3965"/>
      <c r="N12" s="3965"/>
      <c r="O12" s="3965"/>
      <c r="P12" s="3965"/>
      <c r="Q12" s="3965"/>
      <c r="R12" s="3966"/>
      <c r="S12" s="65"/>
      <c r="T12" s="65"/>
      <c r="U12" s="65"/>
    </row>
    <row r="13" spans="2:21" s="188" customFormat="1" ht="21" thickBot="1">
      <c r="B13" s="189"/>
      <c r="C13" s="233">
        <f>PRCP_y1</f>
        <v>2008</v>
      </c>
      <c r="D13" s="234">
        <f>PRCP_y2</f>
        <v>2009</v>
      </c>
      <c r="E13" s="234">
        <f>PRCP_y3</f>
        <v>2010</v>
      </c>
      <c r="F13" s="234">
        <f>PRCP_y4</f>
        <v>2011</v>
      </c>
      <c r="G13" s="234">
        <f>PRCP_y5</f>
        <v>2012</v>
      </c>
      <c r="H13" s="742">
        <f>CRCP_y1</f>
        <v>2013</v>
      </c>
      <c r="I13" s="742">
        <f>CRCP_y2</f>
        <v>2014</v>
      </c>
      <c r="J13" s="742">
        <f>CRCP_y3</f>
        <v>2015</v>
      </c>
      <c r="K13" s="742">
        <f>CRCP_y4</f>
        <v>2016</v>
      </c>
      <c r="L13" s="742">
        <f>CRCP_y5</f>
        <v>2017</v>
      </c>
      <c r="M13" s="742">
        <f>CRCP_y6</f>
        <v>2018</v>
      </c>
      <c r="N13" s="234" t="str">
        <f t="array" ref="N13:R13">FRCP</f>
        <v>2018</v>
      </c>
      <c r="O13" s="234">
        <v>2019</v>
      </c>
      <c r="P13" s="234">
        <v>2020</v>
      </c>
      <c r="Q13" s="234">
        <v>2021</v>
      </c>
      <c r="R13" s="748">
        <v>2022</v>
      </c>
      <c r="S13" s="65"/>
      <c r="T13" s="65"/>
      <c r="U13" s="65"/>
    </row>
    <row r="14" spans="2:21">
      <c r="B14" s="190" t="s">
        <v>146</v>
      </c>
      <c r="C14" s="743"/>
      <c r="D14" s="744"/>
      <c r="E14" s="744"/>
      <c r="F14" s="744"/>
      <c r="G14" s="745"/>
      <c r="H14" s="743"/>
      <c r="I14" s="744"/>
      <c r="J14" s="744"/>
      <c r="K14" s="744"/>
      <c r="L14" s="744"/>
      <c r="M14" s="746"/>
      <c r="N14" s="747"/>
      <c r="O14" s="744"/>
      <c r="P14" s="744"/>
      <c r="Q14" s="744"/>
      <c r="R14" s="746"/>
    </row>
    <row r="15" spans="2:21" outlineLevel="1">
      <c r="B15" s="191" t="s">
        <v>134</v>
      </c>
      <c r="C15" s="192" t="e">
        <f>#REF!</f>
        <v>#REF!</v>
      </c>
      <c r="D15" s="193" t="e">
        <f>#REF!</f>
        <v>#REF!</v>
      </c>
      <c r="E15" s="193" t="e">
        <f>#REF!</f>
        <v>#REF!</v>
      </c>
      <c r="F15" s="193" t="e">
        <f>#REF!</f>
        <v>#REF!</v>
      </c>
      <c r="G15" s="212" t="e">
        <f>#REF!</f>
        <v>#REF!</v>
      </c>
      <c r="H15" s="192" t="e">
        <f>#REF!</f>
        <v>#REF!</v>
      </c>
      <c r="I15" s="193" t="e">
        <f>#REF!</f>
        <v>#REF!</v>
      </c>
      <c r="J15" s="193" t="e">
        <f>#REF!</f>
        <v>#REF!</v>
      </c>
      <c r="K15" s="193" t="e">
        <f>#REF!</f>
        <v>#REF!</v>
      </c>
      <c r="L15" s="193"/>
      <c r="M15" s="226" t="e">
        <f>#REF!</f>
        <v>#REF!</v>
      </c>
      <c r="N15" s="219" t="e">
        <f>#REF!</f>
        <v>#REF!</v>
      </c>
      <c r="O15" s="193" t="e">
        <f>#REF!</f>
        <v>#REF!</v>
      </c>
      <c r="P15" s="193" t="e">
        <f>#REF!</f>
        <v>#REF!</v>
      </c>
      <c r="Q15" s="193" t="e">
        <f>#REF!</f>
        <v>#REF!</v>
      </c>
      <c r="R15" s="226" t="e">
        <f>#REF!</f>
        <v>#REF!</v>
      </c>
    </row>
    <row r="16" spans="2:21" outlineLevel="1">
      <c r="B16" s="191" t="s">
        <v>135</v>
      </c>
      <c r="C16" s="192" t="e">
        <f>#REF!</f>
        <v>#REF!</v>
      </c>
      <c r="D16" s="193" t="e">
        <f>#REF!</f>
        <v>#REF!</v>
      </c>
      <c r="E16" s="193" t="e">
        <f>#REF!</f>
        <v>#REF!</v>
      </c>
      <c r="F16" s="193" t="e">
        <f>#REF!</f>
        <v>#REF!</v>
      </c>
      <c r="G16" s="212" t="e">
        <f>#REF!</f>
        <v>#REF!</v>
      </c>
      <c r="H16" s="192" t="e">
        <f>#REF!</f>
        <v>#REF!</v>
      </c>
      <c r="I16" s="193" t="e">
        <f>#REF!</f>
        <v>#REF!</v>
      </c>
      <c r="J16" s="193" t="e">
        <f>#REF!</f>
        <v>#REF!</v>
      </c>
      <c r="K16" s="193" t="e">
        <f>#REF!</f>
        <v>#REF!</v>
      </c>
      <c r="L16" s="193"/>
      <c r="M16" s="226" t="e">
        <f>#REF!</f>
        <v>#REF!</v>
      </c>
      <c r="N16" s="219" t="e">
        <f>#REF!</f>
        <v>#REF!</v>
      </c>
      <c r="O16" s="193" t="e">
        <f>#REF!</f>
        <v>#REF!</v>
      </c>
      <c r="P16" s="193" t="e">
        <f>#REF!</f>
        <v>#REF!</v>
      </c>
      <c r="Q16" s="193" t="e">
        <f>#REF!</f>
        <v>#REF!</v>
      </c>
      <c r="R16" s="226" t="e">
        <f>#REF!</f>
        <v>#REF!</v>
      </c>
    </row>
    <row r="17" spans="2:18">
      <c r="B17" s="191" t="s">
        <v>136</v>
      </c>
      <c r="C17" s="192" t="e">
        <f>#REF!</f>
        <v>#REF!</v>
      </c>
      <c r="D17" s="193" t="e">
        <f>#REF!</f>
        <v>#REF!</v>
      </c>
      <c r="E17" s="193" t="e">
        <f>#REF!</f>
        <v>#REF!</v>
      </c>
      <c r="F17" s="193" t="e">
        <f>#REF!</f>
        <v>#REF!</v>
      </c>
      <c r="G17" s="212" t="e">
        <f>#REF!</f>
        <v>#REF!</v>
      </c>
      <c r="H17" s="192" t="e">
        <f>#REF!</f>
        <v>#REF!</v>
      </c>
      <c r="I17" s="193" t="e">
        <f>#REF!</f>
        <v>#REF!</v>
      </c>
      <c r="J17" s="193" t="e">
        <f>#REF!</f>
        <v>#REF!</v>
      </c>
      <c r="K17" s="193" t="e">
        <f>#REF!</f>
        <v>#REF!</v>
      </c>
      <c r="L17" s="193"/>
      <c r="M17" s="226" t="e">
        <f>#REF!</f>
        <v>#REF!</v>
      </c>
      <c r="N17" s="219" t="e">
        <f>#REF!</f>
        <v>#REF!</v>
      </c>
      <c r="O17" s="193" t="e">
        <f>#REF!</f>
        <v>#REF!</v>
      </c>
      <c r="P17" s="193" t="e">
        <f>#REF!</f>
        <v>#REF!</v>
      </c>
      <c r="Q17" s="193" t="e">
        <f>#REF!</f>
        <v>#REF!</v>
      </c>
      <c r="R17" s="226" t="e">
        <f>#REF!</f>
        <v>#REF!</v>
      </c>
    </row>
    <row r="18" spans="2:18">
      <c r="B18" s="194" t="s">
        <v>147</v>
      </c>
      <c r="C18" s="195"/>
      <c r="D18" s="196"/>
      <c r="E18" s="196"/>
      <c r="F18" s="196"/>
      <c r="G18" s="213"/>
      <c r="H18" s="195"/>
      <c r="I18" s="196"/>
      <c r="J18" s="196"/>
      <c r="K18" s="196"/>
      <c r="L18" s="196"/>
      <c r="M18" s="227"/>
      <c r="N18" s="220"/>
      <c r="O18" s="196"/>
      <c r="P18" s="196"/>
      <c r="Q18" s="196"/>
      <c r="R18" s="227"/>
    </row>
    <row r="19" spans="2:18" outlineLevel="1">
      <c r="B19" s="191" t="s">
        <v>134</v>
      </c>
      <c r="C19" s="192">
        <f ca="1">'5. Mains augmentation'!G282</f>
        <v>2452592.2730999999</v>
      </c>
      <c r="D19" s="193">
        <f ca="1">'5. Mains augmentation'!H282</f>
        <v>927696.5613354533</v>
      </c>
      <c r="E19" s="193">
        <f ca="1">'5. Mains augmentation'!I282</f>
        <v>555910.13576308277</v>
      </c>
      <c r="F19" s="193">
        <f ca="1">'5. Mains augmentation'!J282</f>
        <v>3517253.5350226639</v>
      </c>
      <c r="G19" s="212">
        <f ca="1">'5. Mains augmentation'!K282</f>
        <v>2317290.9372351603</v>
      </c>
      <c r="H19" s="192">
        <f ca="1">'5. Mains augmentation'!L282</f>
        <v>220038.58999999997</v>
      </c>
      <c r="I19" s="193">
        <f ca="1">'5. Mains augmentation'!M282</f>
        <v>1896380.0400000003</v>
      </c>
      <c r="J19" s="193">
        <f ca="1">'5. Mains augmentation'!O282</f>
        <v>3806760.34</v>
      </c>
      <c r="K19" s="193">
        <f ca="1">'5. Mains augmentation'!P282</f>
        <v>0</v>
      </c>
      <c r="L19" s="193"/>
      <c r="M19" s="226">
        <f ca="1">'5. Mains augmentation'!R282</f>
        <v>1112180.1452787947</v>
      </c>
      <c r="N19" s="219">
        <f ca="1">'5. Mains augmentation'!S282</f>
        <v>5443452.8689953862</v>
      </c>
      <c r="O19" s="193">
        <f ca="1">'5. Mains augmentation'!T282</f>
        <v>367662.85794340319</v>
      </c>
      <c r="P19" s="193">
        <f ca="1">'5. Mains augmentation'!U282</f>
        <v>1542141.4319292745</v>
      </c>
      <c r="Q19" s="193">
        <f ca="1">'5. Mains augmentation'!V282</f>
        <v>3155772.8640142111</v>
      </c>
      <c r="R19" s="226">
        <f>'5. Mains augmentation'!W282</f>
        <v>0</v>
      </c>
    </row>
    <row r="20" spans="2:18" outlineLevel="1">
      <c r="B20" s="191" t="s">
        <v>135</v>
      </c>
      <c r="C20" s="192" t="e">
        <f>'5. Mains augmentation'!#REF!</f>
        <v>#REF!</v>
      </c>
      <c r="D20" s="193" t="e">
        <f>'5. Mains augmentation'!#REF!</f>
        <v>#REF!</v>
      </c>
      <c r="E20" s="193" t="e">
        <f>'5. Mains augmentation'!#REF!</f>
        <v>#REF!</v>
      </c>
      <c r="F20" s="193" t="e">
        <f>'5. Mains augmentation'!#REF!</f>
        <v>#REF!</v>
      </c>
      <c r="G20" s="212" t="e">
        <f>'5. Mains augmentation'!#REF!</f>
        <v>#REF!</v>
      </c>
      <c r="H20" s="192" t="e">
        <f>'5. Mains augmentation'!#REF!</f>
        <v>#REF!</v>
      </c>
      <c r="I20" s="193" t="e">
        <f>'5. Mains augmentation'!#REF!</f>
        <v>#REF!</v>
      </c>
      <c r="J20" s="193" t="e">
        <f>'5. Mains augmentation'!#REF!</f>
        <v>#REF!</v>
      </c>
      <c r="K20" s="193" t="e">
        <f>'5. Mains augmentation'!#REF!</f>
        <v>#REF!</v>
      </c>
      <c r="L20" s="193"/>
      <c r="M20" s="226" t="e">
        <f>'5. Mains augmentation'!#REF!</f>
        <v>#REF!</v>
      </c>
      <c r="N20" s="219" t="e">
        <f>'5. Mains augmentation'!#REF!</f>
        <v>#REF!</v>
      </c>
      <c r="O20" s="193" t="e">
        <f>'5. Mains augmentation'!#REF!</f>
        <v>#REF!</v>
      </c>
      <c r="P20" s="193" t="e">
        <f>'5. Mains augmentation'!#REF!</f>
        <v>#REF!</v>
      </c>
      <c r="Q20" s="193" t="e">
        <f>'5. Mains augmentation'!#REF!</f>
        <v>#REF!</v>
      </c>
      <c r="R20" s="226" t="e">
        <f>'5. Mains augmentation'!#REF!</f>
        <v>#REF!</v>
      </c>
    </row>
    <row r="21" spans="2:18">
      <c r="B21" s="191" t="s">
        <v>136</v>
      </c>
      <c r="C21" s="192" t="e">
        <f>'5. Mains augmentation'!#REF!</f>
        <v>#REF!</v>
      </c>
      <c r="D21" s="193" t="e">
        <f>'5. Mains augmentation'!#REF!</f>
        <v>#REF!</v>
      </c>
      <c r="E21" s="193" t="e">
        <f>'5. Mains augmentation'!#REF!</f>
        <v>#REF!</v>
      </c>
      <c r="F21" s="193" t="e">
        <f>'5. Mains augmentation'!#REF!</f>
        <v>#REF!</v>
      </c>
      <c r="G21" s="212" t="e">
        <f>'5. Mains augmentation'!#REF!</f>
        <v>#REF!</v>
      </c>
      <c r="H21" s="192" t="e">
        <f>'5. Mains augmentation'!#REF!</f>
        <v>#REF!</v>
      </c>
      <c r="I21" s="193" t="e">
        <f>'5. Mains augmentation'!#REF!</f>
        <v>#REF!</v>
      </c>
      <c r="J21" s="193" t="e">
        <f>'5. Mains augmentation'!#REF!</f>
        <v>#REF!</v>
      </c>
      <c r="K21" s="193" t="e">
        <f>'5. Mains augmentation'!#REF!</f>
        <v>#REF!</v>
      </c>
      <c r="L21" s="193"/>
      <c r="M21" s="226" t="e">
        <f>'5. Mains augmentation'!#REF!</f>
        <v>#REF!</v>
      </c>
      <c r="N21" s="219" t="e">
        <f>'5. Mains augmentation'!#REF!</f>
        <v>#REF!</v>
      </c>
      <c r="O21" s="193" t="e">
        <f>'5. Mains augmentation'!#REF!</f>
        <v>#REF!</v>
      </c>
      <c r="P21" s="193" t="e">
        <f>'5. Mains augmentation'!#REF!</f>
        <v>#REF!</v>
      </c>
      <c r="Q21" s="193" t="e">
        <f>'5. Mains augmentation'!#REF!</f>
        <v>#REF!</v>
      </c>
      <c r="R21" s="226" t="e">
        <f>'5. Mains augmentation'!#REF!</f>
        <v>#REF!</v>
      </c>
    </row>
    <row r="22" spans="2:18">
      <c r="B22" s="194" t="s">
        <v>148</v>
      </c>
      <c r="C22" s="195"/>
      <c r="D22" s="196"/>
      <c r="E22" s="196"/>
      <c r="F22" s="196"/>
      <c r="G22" s="213"/>
      <c r="H22" s="195"/>
      <c r="I22" s="196"/>
      <c r="J22" s="196"/>
      <c r="K22" s="196"/>
      <c r="L22" s="196"/>
      <c r="M22" s="227"/>
      <c r="N22" s="220"/>
      <c r="O22" s="196"/>
      <c r="P22" s="196"/>
      <c r="Q22" s="196"/>
      <c r="R22" s="227"/>
    </row>
    <row r="23" spans="2:18" outlineLevel="1">
      <c r="B23" s="191" t="s">
        <v>134</v>
      </c>
      <c r="C23" s="192">
        <f>'6. Mains replacement'!G892</f>
        <v>8609159</v>
      </c>
      <c r="D23" s="193">
        <f>'6. Mains replacement'!H892</f>
        <v>8360971</v>
      </c>
      <c r="E23" s="193">
        <f>'6. Mains replacement'!I892</f>
        <v>11012071</v>
      </c>
      <c r="F23" s="193">
        <f>'6. Mains replacement'!J892</f>
        <v>13004328</v>
      </c>
      <c r="G23" s="212">
        <f>'6. Mains replacement'!K892</f>
        <v>18916964</v>
      </c>
      <c r="H23" s="192">
        <f>'6. Mains replacement'!L892</f>
        <v>14351668.09</v>
      </c>
      <c r="I23" s="193">
        <f>'6. Mains replacement'!M892</f>
        <v>20434771.350000001</v>
      </c>
      <c r="J23" s="193">
        <f>'6. Mains replacement'!O892</f>
        <v>15197530.556456693</v>
      </c>
      <c r="K23" s="193">
        <f>'6. Mains replacement'!P892</f>
        <v>26023779.445344754</v>
      </c>
      <c r="L23" s="193"/>
      <c r="M23" s="226">
        <f>'6. Mains replacement'!Q892</f>
        <v>30076871.055414498</v>
      </c>
      <c r="N23" s="219">
        <f>'6. Mains replacement'!R892</f>
        <v>27576030.149159774</v>
      </c>
      <c r="O23" s="193">
        <f>'6. Mains replacement'!S892</f>
        <v>29160377.010742746</v>
      </c>
      <c r="P23" s="193">
        <f>'6. Mains replacement'!T892</f>
        <v>20995547.291901991</v>
      </c>
      <c r="Q23" s="193">
        <f>'6. Mains replacement'!U892</f>
        <v>19927735.380563635</v>
      </c>
      <c r="R23" s="226">
        <f>'6. Mains replacement'!W892</f>
        <v>14328943.634734375</v>
      </c>
    </row>
    <row r="24" spans="2:18" outlineLevel="1">
      <c r="B24" s="191" t="s">
        <v>135</v>
      </c>
      <c r="C24" s="192" t="e">
        <f>'6. Mains replacement'!#REF!</f>
        <v>#REF!</v>
      </c>
      <c r="D24" s="193" t="e">
        <f>'6. Mains replacement'!#REF!</f>
        <v>#REF!</v>
      </c>
      <c r="E24" s="193" t="e">
        <f>'6. Mains replacement'!#REF!</f>
        <v>#REF!</v>
      </c>
      <c r="F24" s="193" t="e">
        <f>'6. Mains replacement'!#REF!</f>
        <v>#REF!</v>
      </c>
      <c r="G24" s="212" t="e">
        <f>'6. Mains replacement'!#REF!</f>
        <v>#REF!</v>
      </c>
      <c r="H24" s="192" t="e">
        <f>'6. Mains replacement'!#REF!</f>
        <v>#REF!</v>
      </c>
      <c r="I24" s="193" t="e">
        <f>'6. Mains replacement'!#REF!</f>
        <v>#REF!</v>
      </c>
      <c r="J24" s="193" t="e">
        <f>'6. Mains replacement'!#REF!</f>
        <v>#REF!</v>
      </c>
      <c r="K24" s="193" t="e">
        <f>'6. Mains replacement'!#REF!</f>
        <v>#REF!</v>
      </c>
      <c r="L24" s="193"/>
      <c r="M24" s="226" t="e">
        <f>'6. Mains replacement'!#REF!</f>
        <v>#REF!</v>
      </c>
      <c r="N24" s="219" t="e">
        <f>'6. Mains replacement'!#REF!</f>
        <v>#REF!</v>
      </c>
      <c r="O24" s="193" t="e">
        <f>'6. Mains replacement'!#REF!</f>
        <v>#REF!</v>
      </c>
      <c r="P24" s="193" t="e">
        <f>'6. Mains replacement'!#REF!</f>
        <v>#REF!</v>
      </c>
      <c r="Q24" s="193" t="e">
        <f>'6. Mains replacement'!#REF!</f>
        <v>#REF!</v>
      </c>
      <c r="R24" s="226" t="e">
        <f>'6. Mains replacement'!#REF!</f>
        <v>#REF!</v>
      </c>
    </row>
    <row r="25" spans="2:18">
      <c r="B25" s="191" t="s">
        <v>136</v>
      </c>
      <c r="C25" s="192">
        <f ca="1">'6. Mains replacement'!G894</f>
        <v>0</v>
      </c>
      <c r="D25" s="193">
        <f ca="1">'6. Mains replacement'!H894</f>
        <v>0</v>
      </c>
      <c r="E25" s="193">
        <f ca="1">'6. Mains replacement'!I894</f>
        <v>0</v>
      </c>
      <c r="F25" s="193">
        <f ca="1">'6. Mains replacement'!J894</f>
        <v>0</v>
      </c>
      <c r="G25" s="212">
        <f ca="1">'6. Mains replacement'!K894</f>
        <v>0</v>
      </c>
      <c r="H25" s="192">
        <f>'6. Mains replacement'!L894</f>
        <v>0</v>
      </c>
      <c r="I25" s="193">
        <f>'6. Mains replacement'!M894</f>
        <v>0</v>
      </c>
      <c r="J25" s="193">
        <f>'6. Mains replacement'!O894</f>
        <v>0</v>
      </c>
      <c r="K25" s="193">
        <f>'6. Mains replacement'!P894</f>
        <v>0</v>
      </c>
      <c r="L25" s="193"/>
      <c r="M25" s="226"/>
      <c r="N25" s="219">
        <f>'6. Mains replacement'!R894</f>
        <v>0</v>
      </c>
      <c r="O25" s="193">
        <f>'6. Mains replacement'!S894</f>
        <v>0</v>
      </c>
      <c r="P25" s="193">
        <f>'6. Mains replacement'!T894</f>
        <v>0</v>
      </c>
      <c r="Q25" s="193">
        <f>'6. Mains replacement'!U894</f>
        <v>0</v>
      </c>
      <c r="R25" s="226">
        <f>'6. Mains replacement'!W894</f>
        <v>0</v>
      </c>
    </row>
    <row r="26" spans="2:18">
      <c r="B26" s="194" t="s">
        <v>149</v>
      </c>
      <c r="C26" s="195"/>
      <c r="D26" s="196"/>
      <c r="E26" s="196"/>
      <c r="F26" s="196"/>
      <c r="G26" s="213"/>
      <c r="H26" s="195"/>
      <c r="I26" s="196"/>
      <c r="J26" s="196"/>
      <c r="K26" s="196"/>
      <c r="L26" s="196"/>
      <c r="M26" s="227"/>
      <c r="N26" s="220"/>
      <c r="O26" s="196"/>
      <c r="P26" s="196"/>
      <c r="Q26" s="196"/>
      <c r="R26" s="227"/>
    </row>
    <row r="27" spans="2:18" outlineLevel="1">
      <c r="B27" s="191" t="s">
        <v>134</v>
      </c>
      <c r="C27" s="192"/>
      <c r="D27" s="193"/>
      <c r="E27" s="193"/>
      <c r="F27" s="193"/>
      <c r="G27" s="212"/>
      <c r="H27" s="192"/>
      <c r="I27" s="193"/>
      <c r="J27" s="193"/>
      <c r="K27" s="193"/>
      <c r="L27" s="193"/>
      <c r="M27" s="226"/>
      <c r="N27" s="219"/>
      <c r="O27" s="193"/>
      <c r="P27" s="193"/>
      <c r="Q27" s="193"/>
      <c r="R27" s="226"/>
    </row>
    <row r="28" spans="2:18" outlineLevel="1">
      <c r="B28" s="191" t="s">
        <v>135</v>
      </c>
      <c r="C28" s="192"/>
      <c r="D28" s="193"/>
      <c r="E28" s="193"/>
      <c r="F28" s="193"/>
      <c r="G28" s="212"/>
      <c r="H28" s="192"/>
      <c r="I28" s="193"/>
      <c r="J28" s="193"/>
      <c r="K28" s="193"/>
      <c r="L28" s="193"/>
      <c r="M28" s="226"/>
      <c r="N28" s="219"/>
      <c r="O28" s="193"/>
      <c r="P28" s="193"/>
      <c r="Q28" s="193"/>
      <c r="R28" s="226"/>
    </row>
    <row r="29" spans="2:18">
      <c r="B29" s="191" t="s">
        <v>136</v>
      </c>
      <c r="C29" s="192"/>
      <c r="D29" s="193"/>
      <c r="E29" s="193"/>
      <c r="F29" s="193"/>
      <c r="G29" s="212"/>
      <c r="H29" s="192"/>
      <c r="I29" s="193"/>
      <c r="J29" s="193"/>
      <c r="K29" s="193"/>
      <c r="L29" s="193"/>
      <c r="M29" s="226"/>
      <c r="N29" s="219"/>
      <c r="O29" s="193"/>
      <c r="P29" s="193"/>
      <c r="Q29" s="193"/>
      <c r="R29" s="226"/>
    </row>
    <row r="30" spans="2:18">
      <c r="B30" s="194" t="s">
        <v>150</v>
      </c>
      <c r="C30" s="195"/>
      <c r="D30" s="196"/>
      <c r="E30" s="196"/>
      <c r="F30" s="196"/>
      <c r="G30" s="213"/>
      <c r="H30" s="195"/>
      <c r="I30" s="196"/>
      <c r="J30" s="196"/>
      <c r="K30" s="196"/>
      <c r="L30" s="196"/>
      <c r="M30" s="227"/>
      <c r="N30" s="220"/>
      <c r="O30" s="196"/>
      <c r="P30" s="196"/>
      <c r="Q30" s="196"/>
      <c r="R30" s="227"/>
    </row>
    <row r="31" spans="2:18" outlineLevel="1">
      <c r="B31" s="191" t="s">
        <v>134</v>
      </c>
      <c r="C31" s="192">
        <f>'8. Meter replacement'!D55</f>
        <v>0</v>
      </c>
      <c r="D31" s="193">
        <f>'8. Meter replacement'!E55</f>
        <v>0</v>
      </c>
      <c r="E31" s="193">
        <f>'8. Meter replacement'!F55</f>
        <v>0</v>
      </c>
      <c r="F31" s="193">
        <f>'8. Meter replacement'!G55</f>
        <v>0</v>
      </c>
      <c r="G31" s="212">
        <f>'8. Meter replacement'!H55</f>
        <v>0</v>
      </c>
      <c r="H31" s="192">
        <f>'8. Meter replacement'!I55</f>
        <v>0</v>
      </c>
      <c r="I31" s="193">
        <f>'8. Meter replacement'!K55</f>
        <v>0</v>
      </c>
      <c r="J31" s="193">
        <f>'8. Meter replacement'!L55</f>
        <v>0</v>
      </c>
      <c r="K31" s="193">
        <f>'8. Meter replacement'!M55</f>
        <v>2</v>
      </c>
      <c r="L31" s="193"/>
      <c r="M31" s="226">
        <f>'8. Meter replacement'!N55</f>
        <v>0</v>
      </c>
      <c r="N31" s="219">
        <f>'8. Meter replacement'!O55</f>
        <v>0</v>
      </c>
      <c r="O31" s="193">
        <f>'8. Meter replacement'!P55</f>
        <v>0</v>
      </c>
      <c r="P31" s="193">
        <f>'8. Meter replacement'!Q55</f>
        <v>0</v>
      </c>
      <c r="Q31" s="193">
        <f>'8. Meter replacement'!R55</f>
        <v>0</v>
      </c>
      <c r="R31" s="226"/>
    </row>
    <row r="32" spans="2:18" outlineLevel="1">
      <c r="B32" s="191" t="s">
        <v>135</v>
      </c>
      <c r="C32" s="192" t="e">
        <f>'8. Meter replacement'!#REF!</f>
        <v>#REF!</v>
      </c>
      <c r="D32" s="193" t="e">
        <f>'8. Meter replacement'!#REF!</f>
        <v>#REF!</v>
      </c>
      <c r="E32" s="193" t="e">
        <f>'8. Meter replacement'!#REF!</f>
        <v>#REF!</v>
      </c>
      <c r="F32" s="193" t="e">
        <f>'8. Meter replacement'!#REF!</f>
        <v>#REF!</v>
      </c>
      <c r="G32" s="212" t="e">
        <f>'8. Meter replacement'!#REF!</f>
        <v>#REF!</v>
      </c>
      <c r="H32" s="192" t="e">
        <f>'8. Meter replacement'!#REF!</f>
        <v>#REF!</v>
      </c>
      <c r="I32" s="193" t="e">
        <f>'8. Meter replacement'!#REF!</f>
        <v>#REF!</v>
      </c>
      <c r="J32" s="193" t="e">
        <f>'8. Meter replacement'!#REF!</f>
        <v>#REF!</v>
      </c>
      <c r="K32" s="193" t="e">
        <f>'8. Meter replacement'!#REF!</f>
        <v>#REF!</v>
      </c>
      <c r="L32" s="193"/>
      <c r="M32" s="226" t="e">
        <f>'8. Meter replacement'!#REF!</f>
        <v>#REF!</v>
      </c>
      <c r="N32" s="219" t="e">
        <f>'8. Meter replacement'!#REF!</f>
        <v>#REF!</v>
      </c>
      <c r="O32" s="193" t="e">
        <f>'8. Meter replacement'!#REF!</f>
        <v>#REF!</v>
      </c>
      <c r="P32" s="193" t="e">
        <f>'8. Meter replacement'!#REF!</f>
        <v>#REF!</v>
      </c>
      <c r="Q32" s="193" t="e">
        <f>'8. Meter replacement'!#REF!</f>
        <v>#REF!</v>
      </c>
      <c r="R32" s="226"/>
    </row>
    <row r="33" spans="2:18">
      <c r="B33" s="191" t="s">
        <v>136</v>
      </c>
      <c r="C33" s="192" t="e">
        <f>'8. Meter replacement'!#REF!</f>
        <v>#REF!</v>
      </c>
      <c r="D33" s="193" t="e">
        <f>'8. Meter replacement'!#REF!</f>
        <v>#REF!</v>
      </c>
      <c r="E33" s="193" t="e">
        <f>'8. Meter replacement'!#REF!</f>
        <v>#REF!</v>
      </c>
      <c r="F33" s="193" t="e">
        <f>'8. Meter replacement'!#REF!</f>
        <v>#REF!</v>
      </c>
      <c r="G33" s="212" t="e">
        <f>'8. Meter replacement'!#REF!</f>
        <v>#REF!</v>
      </c>
      <c r="H33" s="192" t="e">
        <f>'8. Meter replacement'!#REF!</f>
        <v>#REF!</v>
      </c>
      <c r="I33" s="193" t="e">
        <f>'8. Meter replacement'!#REF!</f>
        <v>#REF!</v>
      </c>
      <c r="J33" s="193" t="e">
        <f>'8. Meter replacement'!#REF!</f>
        <v>#REF!</v>
      </c>
      <c r="K33" s="193" t="e">
        <f>'8. Meter replacement'!#REF!</f>
        <v>#REF!</v>
      </c>
      <c r="L33" s="193"/>
      <c r="M33" s="226" t="e">
        <f>'8. Meter replacement'!#REF!</f>
        <v>#REF!</v>
      </c>
      <c r="N33" s="219" t="e">
        <f>'8. Meter replacement'!#REF!</f>
        <v>#REF!</v>
      </c>
      <c r="O33" s="193" t="e">
        <f>'8. Meter replacement'!#REF!</f>
        <v>#REF!</v>
      </c>
      <c r="P33" s="193" t="e">
        <f>'8. Meter replacement'!#REF!</f>
        <v>#REF!</v>
      </c>
      <c r="Q33" s="193" t="e">
        <f>'8. Meter replacement'!#REF!</f>
        <v>#REF!</v>
      </c>
      <c r="R33" s="226"/>
    </row>
    <row r="34" spans="2:18">
      <c r="B34" s="194" t="s">
        <v>257</v>
      </c>
      <c r="C34" s="195"/>
      <c r="D34" s="196"/>
      <c r="E34" s="196"/>
      <c r="F34" s="196"/>
      <c r="G34" s="213"/>
      <c r="H34" s="195"/>
      <c r="I34" s="196"/>
      <c r="J34" s="196"/>
      <c r="K34" s="196"/>
      <c r="L34" s="196"/>
      <c r="M34" s="227"/>
      <c r="N34" s="220"/>
      <c r="O34" s="196"/>
      <c r="P34" s="196"/>
      <c r="Q34" s="196"/>
      <c r="R34" s="227"/>
    </row>
    <row r="35" spans="2:18" outlineLevel="1">
      <c r="B35" s="191" t="s">
        <v>134</v>
      </c>
      <c r="C35" s="192"/>
      <c r="D35" s="193"/>
      <c r="E35" s="193"/>
      <c r="F35" s="193"/>
      <c r="G35" s="212"/>
      <c r="H35" s="192"/>
      <c r="I35" s="193"/>
      <c r="J35" s="193"/>
      <c r="K35" s="193"/>
      <c r="L35" s="193"/>
      <c r="M35" s="226"/>
      <c r="N35" s="219"/>
      <c r="O35" s="193"/>
      <c r="P35" s="193"/>
      <c r="Q35" s="193"/>
      <c r="R35" s="226"/>
    </row>
    <row r="36" spans="2:18" outlineLevel="1">
      <c r="B36" s="191" t="s">
        <v>135</v>
      </c>
      <c r="C36" s="192"/>
      <c r="D36" s="193"/>
      <c r="E36" s="193"/>
      <c r="F36" s="193"/>
      <c r="G36" s="212"/>
      <c r="H36" s="192"/>
      <c r="I36" s="193"/>
      <c r="J36" s="193"/>
      <c r="K36" s="193"/>
      <c r="L36" s="193"/>
      <c r="M36" s="226"/>
      <c r="N36" s="219"/>
      <c r="O36" s="193"/>
      <c r="P36" s="193"/>
      <c r="Q36" s="193"/>
      <c r="R36" s="226"/>
    </row>
    <row r="37" spans="2:18">
      <c r="B37" s="191" t="s">
        <v>136</v>
      </c>
      <c r="C37" s="192"/>
      <c r="D37" s="193"/>
      <c r="E37" s="193"/>
      <c r="F37" s="193"/>
      <c r="G37" s="212"/>
      <c r="H37" s="192"/>
      <c r="I37" s="193"/>
      <c r="J37" s="193"/>
      <c r="K37" s="193"/>
      <c r="L37" s="193"/>
      <c r="M37" s="226"/>
      <c r="N37" s="219"/>
      <c r="O37" s="193"/>
      <c r="P37" s="193"/>
      <c r="Q37" s="193"/>
      <c r="R37" s="226"/>
    </row>
    <row r="38" spans="2:18">
      <c r="B38" s="194" t="s">
        <v>258</v>
      </c>
      <c r="C38" s="195"/>
      <c r="D38" s="196"/>
      <c r="E38" s="196"/>
      <c r="F38" s="196"/>
      <c r="G38" s="213"/>
      <c r="H38" s="195"/>
      <c r="I38" s="196"/>
      <c r="J38" s="196"/>
      <c r="K38" s="196"/>
      <c r="L38" s="196"/>
      <c r="M38" s="227"/>
      <c r="N38" s="220"/>
      <c r="O38" s="196"/>
      <c r="P38" s="196"/>
      <c r="Q38" s="196"/>
      <c r="R38" s="227"/>
    </row>
    <row r="39" spans="2:18" outlineLevel="1">
      <c r="B39" s="191" t="s">
        <v>134</v>
      </c>
      <c r="C39" s="192">
        <f>'9. Other capex'!G51</f>
        <v>0</v>
      </c>
      <c r="D39" s="193">
        <f>'9. Other capex'!H51</f>
        <v>0</v>
      </c>
      <c r="E39" s="193">
        <f>'9. Other capex'!I51</f>
        <v>0</v>
      </c>
      <c r="F39" s="193">
        <f>'9. Other capex'!J51</f>
        <v>0</v>
      </c>
      <c r="G39" s="212">
        <f>'9. Other capex'!K51</f>
        <v>0</v>
      </c>
      <c r="H39" s="192">
        <f>'9. Other capex'!M51</f>
        <v>0</v>
      </c>
      <c r="I39" s="193">
        <f>'9. Other capex'!N51</f>
        <v>0</v>
      </c>
      <c r="J39" s="193">
        <f>'9. Other capex'!O51</f>
        <v>0</v>
      </c>
      <c r="K39" s="193">
        <f>'9. Other capex'!P51</f>
        <v>0</v>
      </c>
      <c r="L39" s="193"/>
      <c r="M39" s="226">
        <f>'9. Other capex'!Q51</f>
        <v>0</v>
      </c>
      <c r="N39" s="219">
        <f>'9. Other capex'!R51</f>
        <v>0</v>
      </c>
      <c r="O39" s="193">
        <f>'9. Other capex'!S51</f>
        <v>0</v>
      </c>
      <c r="P39" s="193">
        <f>'9. Other capex'!T51</f>
        <v>0</v>
      </c>
      <c r="Q39" s="193">
        <f>'9. Other capex'!U51</f>
        <v>0</v>
      </c>
      <c r="R39" s="226">
        <f>'9. Other capex'!V51</f>
        <v>0</v>
      </c>
    </row>
    <row r="40" spans="2:18" outlineLevel="1">
      <c r="B40" s="191" t="s">
        <v>135</v>
      </c>
      <c r="C40" s="192" t="e">
        <f>'9. Other capex'!#REF!</f>
        <v>#REF!</v>
      </c>
      <c r="D40" s="193" t="e">
        <f>'9. Other capex'!#REF!</f>
        <v>#REF!</v>
      </c>
      <c r="E40" s="193" t="e">
        <f>'9. Other capex'!#REF!</f>
        <v>#REF!</v>
      </c>
      <c r="F40" s="193" t="e">
        <f>'9. Other capex'!#REF!</f>
        <v>#REF!</v>
      </c>
      <c r="G40" s="212" t="e">
        <f>'9. Other capex'!#REF!</f>
        <v>#REF!</v>
      </c>
      <c r="H40" s="192" t="e">
        <f>'9. Other capex'!#REF!</f>
        <v>#REF!</v>
      </c>
      <c r="I40" s="193" t="e">
        <f>'9. Other capex'!#REF!</f>
        <v>#REF!</v>
      </c>
      <c r="J40" s="193" t="e">
        <f>'9. Other capex'!#REF!</f>
        <v>#REF!</v>
      </c>
      <c r="K40" s="193" t="e">
        <f>'9. Other capex'!#REF!</f>
        <v>#REF!</v>
      </c>
      <c r="L40" s="193"/>
      <c r="M40" s="226" t="e">
        <f>'9. Other capex'!#REF!</f>
        <v>#REF!</v>
      </c>
      <c r="N40" s="219" t="e">
        <f>'9. Other capex'!#REF!</f>
        <v>#REF!</v>
      </c>
      <c r="O40" s="193" t="e">
        <f>'9. Other capex'!#REF!</f>
        <v>#REF!</v>
      </c>
      <c r="P40" s="193" t="e">
        <f>'9. Other capex'!#REF!</f>
        <v>#REF!</v>
      </c>
      <c r="Q40" s="193" t="e">
        <f>'9. Other capex'!#REF!</f>
        <v>#REF!</v>
      </c>
      <c r="R40" s="226" t="e">
        <f>'9. Other capex'!#REF!</f>
        <v>#REF!</v>
      </c>
    </row>
    <row r="41" spans="2:18">
      <c r="B41" s="191" t="s">
        <v>136</v>
      </c>
      <c r="C41" s="192" t="e">
        <f>'9. Other capex'!#REF!</f>
        <v>#REF!</v>
      </c>
      <c r="D41" s="193" t="e">
        <f>'9. Other capex'!#REF!</f>
        <v>#REF!</v>
      </c>
      <c r="E41" s="193" t="e">
        <f>'9. Other capex'!#REF!</f>
        <v>#REF!</v>
      </c>
      <c r="F41" s="193" t="e">
        <f>'9. Other capex'!#REF!</f>
        <v>#REF!</v>
      </c>
      <c r="G41" s="212" t="e">
        <f>'9. Other capex'!#REF!</f>
        <v>#REF!</v>
      </c>
      <c r="H41" s="192" t="e">
        <f>'9. Other capex'!#REF!</f>
        <v>#REF!</v>
      </c>
      <c r="I41" s="193" t="e">
        <f>'9. Other capex'!#REF!</f>
        <v>#REF!</v>
      </c>
      <c r="J41" s="193" t="e">
        <f>'9. Other capex'!#REF!</f>
        <v>#REF!</v>
      </c>
      <c r="K41" s="193" t="e">
        <f>'9. Other capex'!#REF!</f>
        <v>#REF!</v>
      </c>
      <c r="L41" s="193"/>
      <c r="M41" s="226" t="e">
        <f>'9. Other capex'!#REF!</f>
        <v>#REF!</v>
      </c>
      <c r="N41" s="219" t="e">
        <f>'9. Other capex'!#REF!</f>
        <v>#REF!</v>
      </c>
      <c r="O41" s="193" t="e">
        <f>'9. Other capex'!#REF!</f>
        <v>#REF!</v>
      </c>
      <c r="P41" s="193" t="e">
        <f>'9. Other capex'!#REF!</f>
        <v>#REF!</v>
      </c>
      <c r="Q41" s="193" t="e">
        <f>'9. Other capex'!#REF!</f>
        <v>#REF!</v>
      </c>
      <c r="R41" s="226" t="e">
        <f>'9. Other capex'!#REF!</f>
        <v>#REF!</v>
      </c>
    </row>
    <row r="42" spans="2:18">
      <c r="B42" s="194" t="s">
        <v>62</v>
      </c>
      <c r="C42" s="195"/>
      <c r="D42" s="196"/>
      <c r="E42" s="196"/>
      <c r="F42" s="196"/>
      <c r="G42" s="213"/>
      <c r="H42" s="195"/>
      <c r="I42" s="196"/>
      <c r="J42" s="196"/>
      <c r="K42" s="196"/>
      <c r="L42" s="196"/>
      <c r="M42" s="227"/>
      <c r="N42" s="220"/>
      <c r="O42" s="196"/>
      <c r="P42" s="196"/>
      <c r="Q42" s="196"/>
      <c r="R42" s="227"/>
    </row>
    <row r="43" spans="2:18" outlineLevel="1">
      <c r="B43" s="191" t="s">
        <v>134</v>
      </c>
      <c r="C43" s="192" t="e">
        <f>#REF!</f>
        <v>#REF!</v>
      </c>
      <c r="D43" s="193" t="e">
        <f>#REF!</f>
        <v>#REF!</v>
      </c>
      <c r="E43" s="193" t="e">
        <f>#REF!</f>
        <v>#REF!</v>
      </c>
      <c r="F43" s="193" t="e">
        <f>#REF!</f>
        <v>#REF!</v>
      </c>
      <c r="G43" s="212" t="e">
        <f>#REF!</f>
        <v>#REF!</v>
      </c>
      <c r="H43" s="192" t="e">
        <f>#REF!</f>
        <v>#REF!</v>
      </c>
      <c r="I43" s="193" t="e">
        <f>#REF!</f>
        <v>#REF!</v>
      </c>
      <c r="J43" s="193" t="e">
        <f>#REF!</f>
        <v>#REF!</v>
      </c>
      <c r="K43" s="193" t="e">
        <f>#REF!</f>
        <v>#REF!</v>
      </c>
      <c r="L43" s="193"/>
      <c r="M43" s="226" t="e">
        <f>#REF!</f>
        <v>#REF!</v>
      </c>
      <c r="N43" s="219" t="e">
        <f>#REF!</f>
        <v>#REF!</v>
      </c>
      <c r="O43" s="193" t="e">
        <f>#REF!</f>
        <v>#REF!</v>
      </c>
      <c r="P43" s="193" t="e">
        <f>#REF!</f>
        <v>#REF!</v>
      </c>
      <c r="Q43" s="193" t="e">
        <f>#REF!</f>
        <v>#REF!</v>
      </c>
      <c r="R43" s="226" t="e">
        <f>#REF!</f>
        <v>#REF!</v>
      </c>
    </row>
    <row r="44" spans="2:18" outlineLevel="1">
      <c r="B44" s="191" t="s">
        <v>135</v>
      </c>
      <c r="C44" s="192" t="e">
        <f>#REF!</f>
        <v>#REF!</v>
      </c>
      <c r="D44" s="193" t="e">
        <f>#REF!</f>
        <v>#REF!</v>
      </c>
      <c r="E44" s="193" t="e">
        <f>#REF!</f>
        <v>#REF!</v>
      </c>
      <c r="F44" s="193" t="e">
        <f>#REF!</f>
        <v>#REF!</v>
      </c>
      <c r="G44" s="212" t="e">
        <f>#REF!</f>
        <v>#REF!</v>
      </c>
      <c r="H44" s="192" t="e">
        <f>#REF!</f>
        <v>#REF!</v>
      </c>
      <c r="I44" s="193" t="e">
        <f>#REF!</f>
        <v>#REF!</v>
      </c>
      <c r="J44" s="193" t="e">
        <f>#REF!</f>
        <v>#REF!</v>
      </c>
      <c r="K44" s="193" t="e">
        <f>#REF!</f>
        <v>#REF!</v>
      </c>
      <c r="L44" s="193"/>
      <c r="M44" s="226" t="e">
        <f>#REF!</f>
        <v>#REF!</v>
      </c>
      <c r="N44" s="219" t="e">
        <f>#REF!</f>
        <v>#REF!</v>
      </c>
      <c r="O44" s="193" t="e">
        <f>#REF!</f>
        <v>#REF!</v>
      </c>
      <c r="P44" s="193" t="e">
        <f>#REF!</f>
        <v>#REF!</v>
      </c>
      <c r="Q44" s="193" t="e">
        <f>#REF!</f>
        <v>#REF!</v>
      </c>
      <c r="R44" s="226" t="e">
        <f>#REF!</f>
        <v>#REF!</v>
      </c>
    </row>
    <row r="45" spans="2:18">
      <c r="B45" s="191" t="s">
        <v>136</v>
      </c>
      <c r="C45" s="192" t="e">
        <f>#REF!</f>
        <v>#REF!</v>
      </c>
      <c r="D45" s="193" t="e">
        <f>#REF!</f>
        <v>#REF!</v>
      </c>
      <c r="E45" s="193" t="e">
        <f>#REF!</f>
        <v>#REF!</v>
      </c>
      <c r="F45" s="193" t="e">
        <f>#REF!</f>
        <v>#REF!</v>
      </c>
      <c r="G45" s="212" t="e">
        <f>#REF!</f>
        <v>#REF!</v>
      </c>
      <c r="H45" s="192" t="e">
        <f>#REF!</f>
        <v>#REF!</v>
      </c>
      <c r="I45" s="193" t="e">
        <f>#REF!</f>
        <v>#REF!</v>
      </c>
      <c r="J45" s="193" t="e">
        <f>#REF!</f>
        <v>#REF!</v>
      </c>
      <c r="K45" s="193" t="e">
        <f>#REF!</f>
        <v>#REF!</v>
      </c>
      <c r="L45" s="193"/>
      <c r="M45" s="226" t="e">
        <f>#REF!</f>
        <v>#REF!</v>
      </c>
      <c r="N45" s="219" t="e">
        <f>#REF!</f>
        <v>#REF!</v>
      </c>
      <c r="O45" s="193" t="e">
        <f>#REF!</f>
        <v>#REF!</v>
      </c>
      <c r="P45" s="193" t="e">
        <f>#REF!</f>
        <v>#REF!</v>
      </c>
      <c r="Q45" s="193" t="e">
        <f>#REF!</f>
        <v>#REF!</v>
      </c>
      <c r="R45" s="226" t="e">
        <f>#REF!</f>
        <v>#REF!</v>
      </c>
    </row>
    <row r="46" spans="2:18">
      <c r="B46" s="194" t="s">
        <v>86</v>
      </c>
      <c r="C46" s="195"/>
      <c r="D46" s="196"/>
      <c r="E46" s="196"/>
      <c r="F46" s="196"/>
      <c r="G46" s="213"/>
      <c r="H46" s="195"/>
      <c r="I46" s="196"/>
      <c r="J46" s="196"/>
      <c r="K46" s="196"/>
      <c r="L46" s="196"/>
      <c r="M46" s="227"/>
      <c r="N46" s="220"/>
      <c r="O46" s="196"/>
      <c r="P46" s="196"/>
      <c r="Q46" s="196"/>
      <c r="R46" s="227"/>
    </row>
    <row r="47" spans="2:18">
      <c r="B47" s="191" t="s">
        <v>130</v>
      </c>
      <c r="C47" s="192">
        <f>'14. Overheads'!C63</f>
        <v>11070036.706</v>
      </c>
      <c r="D47" s="193">
        <f>'14. Overheads'!D63</f>
        <v>10300520.26443588</v>
      </c>
      <c r="E47" s="193">
        <f>'14. Overheads'!E63</f>
        <v>9946152.6338213198</v>
      </c>
      <c r="F47" s="193">
        <f>'14. Overheads'!F63</f>
        <v>11500827.608085785</v>
      </c>
      <c r="G47" s="212">
        <f>'14. Overheads'!G63</f>
        <v>14788754.827319119</v>
      </c>
      <c r="H47" s="192">
        <f>'14. Overheads'!I63</f>
        <v>13788847.383345798</v>
      </c>
      <c r="I47" s="193">
        <f>'14. Overheads'!J63</f>
        <v>9222827.4544196837</v>
      </c>
      <c r="J47" s="193">
        <f>'14. Overheads'!K63</f>
        <v>6974378.9308659146</v>
      </c>
      <c r="K47" s="193">
        <f>'14. Overheads'!L63</f>
        <v>6942378.2001150195</v>
      </c>
      <c r="L47" s="193"/>
      <c r="M47" s="226">
        <f>'14. Overheads'!M63</f>
        <v>6981529.0890362039</v>
      </c>
      <c r="N47" s="219">
        <f>'14. Overheads'!N63</f>
        <v>7026543.2123594815</v>
      </c>
      <c r="O47" s="193">
        <f>'14. Overheads'!O63</f>
        <v>7082484.9253854239</v>
      </c>
      <c r="P47" s="193">
        <f>'14. Overheads'!P63</f>
        <v>7151657.9398026839</v>
      </c>
      <c r="Q47" s="193">
        <f>'14. Overheads'!Q63</f>
        <v>7229803.9078090414</v>
      </c>
      <c r="R47" s="226"/>
    </row>
    <row r="48" spans="2:18">
      <c r="B48" s="194" t="s">
        <v>151</v>
      </c>
      <c r="C48" s="195"/>
      <c r="D48" s="196"/>
      <c r="E48" s="196"/>
      <c r="F48" s="196"/>
      <c r="G48" s="213"/>
      <c r="H48" s="195"/>
      <c r="I48" s="196"/>
      <c r="J48" s="196"/>
      <c r="K48" s="196"/>
      <c r="L48" s="196"/>
      <c r="M48" s="227"/>
      <c r="N48" s="220"/>
      <c r="O48" s="196"/>
      <c r="P48" s="196"/>
      <c r="Q48" s="196"/>
      <c r="R48" s="227"/>
    </row>
    <row r="49" spans="2:21" ht="13.5" thickBot="1">
      <c r="B49" s="197" t="s">
        <v>19</v>
      </c>
      <c r="C49" s="198">
        <f>'15. Related party transactions'!I123</f>
        <v>0</v>
      </c>
      <c r="D49" s="199">
        <f>'15. Related party transactions'!J123</f>
        <v>0</v>
      </c>
      <c r="E49" s="199">
        <f>'15. Related party transactions'!K123</f>
        <v>0</v>
      </c>
      <c r="F49" s="199">
        <f>'15. Related party transactions'!L123</f>
        <v>0</v>
      </c>
      <c r="G49" s="214">
        <f>'15. Related party transactions'!M123</f>
        <v>0</v>
      </c>
      <c r="H49" s="198">
        <f>'15. Related party transactions'!N123</f>
        <v>0</v>
      </c>
      <c r="I49" s="199">
        <f>'15. Related party transactions'!O123</f>
        <v>0</v>
      </c>
      <c r="J49" s="199">
        <f>'15. Related party transactions'!Q123</f>
        <v>0</v>
      </c>
      <c r="K49" s="199">
        <f>'15. Related party transactions'!R123</f>
        <v>0</v>
      </c>
      <c r="L49" s="199"/>
      <c r="M49" s="228">
        <f>'15. Related party transactions'!S123</f>
        <v>0</v>
      </c>
      <c r="N49" s="221">
        <f>'15. Related party transactions'!T123</f>
        <v>0</v>
      </c>
      <c r="O49" s="199">
        <f>'15. Related party transactions'!U123</f>
        <v>0</v>
      </c>
      <c r="P49" s="199">
        <f>'15. Related party transactions'!V123</f>
        <v>0</v>
      </c>
      <c r="Q49" s="199">
        <f>'15. Related party transactions'!W123</f>
        <v>0</v>
      </c>
      <c r="R49" s="228">
        <f>'15. Related party transactions'!X123</f>
        <v>0</v>
      </c>
    </row>
    <row r="50" spans="2:21">
      <c r="B50" s="200" t="s">
        <v>141</v>
      </c>
      <c r="C50" s="201" t="e">
        <f>SUM(C15,C19,C23,C27,C39,C31,C35,C43,C47,C49)</f>
        <v>#REF!</v>
      </c>
      <c r="D50" s="202" t="e">
        <f t="shared" ref="D50:Q50" si="0">SUM(D15,D19,D23,D27,D39,D31,D35,D43,D47,D49)</f>
        <v>#REF!</v>
      </c>
      <c r="E50" s="202" t="e">
        <f t="shared" si="0"/>
        <v>#REF!</v>
      </c>
      <c r="F50" s="202" t="e">
        <f t="shared" si="0"/>
        <v>#REF!</v>
      </c>
      <c r="G50" s="215" t="e">
        <f t="shared" si="0"/>
        <v>#REF!</v>
      </c>
      <c r="H50" s="201" t="e">
        <f t="shared" si="0"/>
        <v>#REF!</v>
      </c>
      <c r="I50" s="202" t="e">
        <f t="shared" si="0"/>
        <v>#REF!</v>
      </c>
      <c r="J50" s="202" t="e">
        <f t="shared" si="0"/>
        <v>#REF!</v>
      </c>
      <c r="K50" s="202" t="e">
        <f t="shared" si="0"/>
        <v>#REF!</v>
      </c>
      <c r="L50" s="202"/>
      <c r="M50" s="229" t="e">
        <f t="shared" si="0"/>
        <v>#REF!</v>
      </c>
      <c r="N50" s="222" t="e">
        <f t="shared" si="0"/>
        <v>#REF!</v>
      </c>
      <c r="O50" s="202" t="e">
        <f t="shared" si="0"/>
        <v>#REF!</v>
      </c>
      <c r="P50" s="202" t="e">
        <f t="shared" si="0"/>
        <v>#REF!</v>
      </c>
      <c r="Q50" s="202" t="e">
        <f t="shared" si="0"/>
        <v>#REF!</v>
      </c>
      <c r="R50" s="229" t="e">
        <f t="shared" ref="R50" si="1">SUM(R15,R19,R23,R27,R39,R31,R35,R43,R47,R49)</f>
        <v>#REF!</v>
      </c>
    </row>
    <row r="51" spans="2:21">
      <c r="B51" s="203" t="s">
        <v>140</v>
      </c>
      <c r="C51" s="204" t="e">
        <f>SUM(C16,C20,C24,C28,C40,C32,C36,C44)</f>
        <v>#REF!</v>
      </c>
      <c r="D51" s="205" t="e">
        <f t="shared" ref="D51:Q51" si="2">SUM(D16,D20,D24,D28,D40,D32,D36,D44)</f>
        <v>#REF!</v>
      </c>
      <c r="E51" s="205" t="e">
        <f t="shared" si="2"/>
        <v>#REF!</v>
      </c>
      <c r="F51" s="205" t="e">
        <f t="shared" si="2"/>
        <v>#REF!</v>
      </c>
      <c r="G51" s="216" t="e">
        <f t="shared" si="2"/>
        <v>#REF!</v>
      </c>
      <c r="H51" s="204" t="e">
        <f t="shared" si="2"/>
        <v>#REF!</v>
      </c>
      <c r="I51" s="205" t="e">
        <f t="shared" si="2"/>
        <v>#REF!</v>
      </c>
      <c r="J51" s="205" t="e">
        <f t="shared" si="2"/>
        <v>#REF!</v>
      </c>
      <c r="K51" s="205" t="e">
        <f t="shared" si="2"/>
        <v>#REF!</v>
      </c>
      <c r="L51" s="205"/>
      <c r="M51" s="230" t="e">
        <f t="shared" si="2"/>
        <v>#REF!</v>
      </c>
      <c r="N51" s="223" t="e">
        <f t="shared" si="2"/>
        <v>#REF!</v>
      </c>
      <c r="O51" s="205" t="e">
        <f t="shared" si="2"/>
        <v>#REF!</v>
      </c>
      <c r="P51" s="205" t="e">
        <f t="shared" si="2"/>
        <v>#REF!</v>
      </c>
      <c r="Q51" s="205" t="e">
        <f t="shared" si="2"/>
        <v>#REF!</v>
      </c>
      <c r="R51" s="230" t="e">
        <f t="shared" ref="R51" si="3">SUM(R16,R20,R24,R28,R40,R32,R36,R44)</f>
        <v>#REF!</v>
      </c>
    </row>
    <row r="52" spans="2:21">
      <c r="B52" s="203" t="s">
        <v>139</v>
      </c>
      <c r="C52" s="204" t="e">
        <f>SUM(C17,C21,C25,C29,C41,C33,C37,C45,C47,C49)</f>
        <v>#REF!</v>
      </c>
      <c r="D52" s="205" t="e">
        <f t="shared" ref="D52:Q52" si="4">SUM(D17,D21,D25,D29,D41,D33,D37,D45,D47,D49)</f>
        <v>#REF!</v>
      </c>
      <c r="E52" s="205" t="e">
        <f t="shared" si="4"/>
        <v>#REF!</v>
      </c>
      <c r="F52" s="205" t="e">
        <f t="shared" si="4"/>
        <v>#REF!</v>
      </c>
      <c r="G52" s="216" t="e">
        <f t="shared" si="4"/>
        <v>#REF!</v>
      </c>
      <c r="H52" s="204" t="e">
        <f t="shared" si="4"/>
        <v>#REF!</v>
      </c>
      <c r="I52" s="205" t="e">
        <f t="shared" si="4"/>
        <v>#REF!</v>
      </c>
      <c r="J52" s="205" t="e">
        <f t="shared" si="4"/>
        <v>#REF!</v>
      </c>
      <c r="K52" s="205" t="e">
        <f t="shared" si="4"/>
        <v>#REF!</v>
      </c>
      <c r="L52" s="205"/>
      <c r="M52" s="230" t="e">
        <f t="shared" si="4"/>
        <v>#REF!</v>
      </c>
      <c r="N52" s="223" t="e">
        <f t="shared" si="4"/>
        <v>#REF!</v>
      </c>
      <c r="O52" s="205" t="e">
        <f t="shared" si="4"/>
        <v>#REF!</v>
      </c>
      <c r="P52" s="205" t="e">
        <f t="shared" si="4"/>
        <v>#REF!</v>
      </c>
      <c r="Q52" s="205" t="e">
        <f t="shared" si="4"/>
        <v>#REF!</v>
      </c>
      <c r="R52" s="230" t="e">
        <f t="shared" ref="R52" si="5">SUM(R17,R21,R25,R29,R41,R33,R37,R45,R47,R49)</f>
        <v>#REF!</v>
      </c>
    </row>
    <row r="53" spans="2:21">
      <c r="B53" s="206" t="s">
        <v>137</v>
      </c>
      <c r="C53" s="207"/>
      <c r="D53" s="208"/>
      <c r="E53" s="208"/>
      <c r="F53" s="208"/>
      <c r="G53" s="217"/>
      <c r="H53" s="207"/>
      <c r="I53" s="208"/>
      <c r="J53" s="208"/>
      <c r="K53" s="208"/>
      <c r="L53" s="208"/>
      <c r="M53" s="231"/>
      <c r="N53" s="224"/>
      <c r="O53" s="208"/>
      <c r="P53" s="208"/>
      <c r="Q53" s="208"/>
      <c r="R53" s="231"/>
    </row>
    <row r="54" spans="2:21">
      <c r="B54" s="203" t="s">
        <v>142</v>
      </c>
      <c r="C54" s="204" t="e">
        <f>C50-C53</f>
        <v>#REF!</v>
      </c>
      <c r="D54" s="205" t="e">
        <f t="shared" ref="D54:K54" si="6">D50-D53</f>
        <v>#REF!</v>
      </c>
      <c r="E54" s="205" t="e">
        <f t="shared" si="6"/>
        <v>#REF!</v>
      </c>
      <c r="F54" s="205" t="e">
        <f t="shared" si="6"/>
        <v>#REF!</v>
      </c>
      <c r="G54" s="216" t="e">
        <f t="shared" si="6"/>
        <v>#REF!</v>
      </c>
      <c r="H54" s="204" t="e">
        <f t="shared" si="6"/>
        <v>#REF!</v>
      </c>
      <c r="I54" s="205" t="e">
        <f t="shared" si="6"/>
        <v>#REF!</v>
      </c>
      <c r="J54" s="205" t="e">
        <f t="shared" si="6"/>
        <v>#REF!</v>
      </c>
      <c r="K54" s="205" t="e">
        <f t="shared" si="6"/>
        <v>#REF!</v>
      </c>
      <c r="L54" s="205"/>
      <c r="M54" s="230" t="e">
        <f t="shared" ref="M54:R54" si="7">M50-M53</f>
        <v>#REF!</v>
      </c>
      <c r="N54" s="223" t="e">
        <f t="shared" si="7"/>
        <v>#REF!</v>
      </c>
      <c r="O54" s="205" t="e">
        <f t="shared" si="7"/>
        <v>#REF!</v>
      </c>
      <c r="P54" s="205" t="e">
        <f t="shared" si="7"/>
        <v>#REF!</v>
      </c>
      <c r="Q54" s="205" t="e">
        <f t="shared" si="7"/>
        <v>#REF!</v>
      </c>
      <c r="R54" s="230" t="e">
        <f t="shared" si="7"/>
        <v>#REF!</v>
      </c>
    </row>
    <row r="55" spans="2:21" ht="13.5" thickBot="1">
      <c r="B55" s="209" t="s">
        <v>143</v>
      </c>
      <c r="C55" s="210" t="e">
        <f>C52-C53</f>
        <v>#REF!</v>
      </c>
      <c r="D55" s="211" t="e">
        <f t="shared" ref="D55:Q55" si="8">D52-D53</f>
        <v>#REF!</v>
      </c>
      <c r="E55" s="211" t="e">
        <f t="shared" si="8"/>
        <v>#REF!</v>
      </c>
      <c r="F55" s="211" t="e">
        <f t="shared" si="8"/>
        <v>#REF!</v>
      </c>
      <c r="G55" s="218" t="e">
        <f t="shared" si="8"/>
        <v>#REF!</v>
      </c>
      <c r="H55" s="210" t="e">
        <f t="shared" si="8"/>
        <v>#REF!</v>
      </c>
      <c r="I55" s="211" t="e">
        <f t="shared" si="8"/>
        <v>#REF!</v>
      </c>
      <c r="J55" s="211" t="e">
        <f t="shared" si="8"/>
        <v>#REF!</v>
      </c>
      <c r="K55" s="211" t="e">
        <f t="shared" si="8"/>
        <v>#REF!</v>
      </c>
      <c r="L55" s="211"/>
      <c r="M55" s="232" t="e">
        <f>M52-M53</f>
        <v>#REF!</v>
      </c>
      <c r="N55" s="225" t="e">
        <f t="shared" si="8"/>
        <v>#REF!</v>
      </c>
      <c r="O55" s="211" t="e">
        <f t="shared" si="8"/>
        <v>#REF!</v>
      </c>
      <c r="P55" s="211" t="e">
        <f t="shared" si="8"/>
        <v>#REF!</v>
      </c>
      <c r="Q55" s="211" t="e">
        <f t="shared" si="8"/>
        <v>#REF!</v>
      </c>
      <c r="R55" s="232" t="e">
        <f t="shared" ref="R55" si="9">R52-R53</f>
        <v>#REF!</v>
      </c>
    </row>
    <row r="56" spans="2:21" s="78" customFormat="1" ht="12.75" customHeight="1">
      <c r="B56" s="81"/>
      <c r="C56" s="80"/>
      <c r="D56" s="80"/>
      <c r="E56" s="80"/>
      <c r="F56" s="80"/>
      <c r="G56" s="80"/>
      <c r="H56" s="80"/>
      <c r="I56" s="80"/>
      <c r="J56" s="80"/>
      <c r="K56" s="80"/>
      <c r="L56" s="80"/>
      <c r="M56" s="80"/>
      <c r="N56" s="80"/>
      <c r="O56" s="80"/>
      <c r="P56" s="80"/>
      <c r="Q56" s="80"/>
    </row>
    <row r="57" spans="2:21" s="78" customFormat="1" ht="47.25" customHeight="1" thickBot="1">
      <c r="B57" s="99"/>
      <c r="C57" s="23"/>
      <c r="D57" s="23"/>
      <c r="E57" s="23"/>
      <c r="F57" s="23"/>
      <c r="G57" s="23"/>
      <c r="H57" s="23"/>
      <c r="I57" s="23"/>
      <c r="J57" s="23"/>
      <c r="K57" s="23"/>
      <c r="L57" s="23"/>
      <c r="M57" s="23"/>
      <c r="N57" s="23"/>
      <c r="O57" s="23"/>
      <c r="P57" s="23"/>
      <c r="Q57" s="23"/>
    </row>
    <row r="58" spans="2:21" s="187" customFormat="1" ht="36.75" customHeight="1" thickBot="1">
      <c r="B58" s="735" t="s">
        <v>326</v>
      </c>
      <c r="C58" s="815"/>
      <c r="D58" s="815"/>
      <c r="E58" s="815"/>
      <c r="F58" s="815"/>
      <c r="G58" s="815"/>
      <c r="H58" s="815"/>
      <c r="I58" s="815"/>
      <c r="J58" s="815"/>
      <c r="K58" s="815"/>
      <c r="L58" s="815"/>
      <c r="M58" s="815"/>
      <c r="N58" s="65"/>
      <c r="O58" s="65"/>
      <c r="P58" s="65"/>
      <c r="Q58" s="65"/>
      <c r="R58" s="65"/>
      <c r="S58" s="65"/>
      <c r="T58" s="65"/>
      <c r="U58" s="65"/>
    </row>
    <row r="59" spans="2:21" s="188" customFormat="1" ht="15.75" customHeight="1">
      <c r="B59" s="3967"/>
      <c r="C59" s="3970" t="s">
        <v>36</v>
      </c>
      <c r="D59" s="3971"/>
      <c r="E59" s="3971"/>
      <c r="F59" s="3971"/>
      <c r="G59" s="3971"/>
      <c r="H59" s="3972" t="s">
        <v>37</v>
      </c>
      <c r="I59" s="3972"/>
      <c r="J59" s="3972"/>
      <c r="K59" s="3972"/>
      <c r="L59" s="3972"/>
      <c r="M59" s="3973"/>
      <c r="N59" s="65"/>
      <c r="O59" s="65"/>
      <c r="P59" s="65"/>
      <c r="Q59" s="65"/>
      <c r="R59" s="65"/>
      <c r="S59" s="65"/>
      <c r="T59" s="65"/>
      <c r="U59" s="65"/>
    </row>
    <row r="60" spans="2:21" s="188" customFormat="1" ht="15.75" customHeight="1">
      <c r="B60" s="3968"/>
      <c r="C60" s="3978" t="s">
        <v>359</v>
      </c>
      <c r="D60" s="3979"/>
      <c r="E60" s="3979"/>
      <c r="F60" s="3979"/>
      <c r="G60" s="3979"/>
      <c r="H60" s="3976" t="str">
        <f>CONCATENATE("$0's, Real ",dms_DollarReal)</f>
        <v>$0's, Real December 2017</v>
      </c>
      <c r="I60" s="3976"/>
      <c r="J60" s="3976"/>
      <c r="K60" s="3976"/>
      <c r="L60" s="3976"/>
      <c r="M60" s="3977"/>
      <c r="N60" s="65"/>
      <c r="O60" s="65"/>
      <c r="P60" s="65"/>
      <c r="Q60" s="65"/>
      <c r="R60" s="65"/>
      <c r="S60" s="65"/>
      <c r="T60" s="65"/>
      <c r="U60" s="65"/>
    </row>
    <row r="61" spans="2:21" s="188" customFormat="1" ht="15" customHeight="1">
      <c r="B61" s="3968"/>
      <c r="C61" s="3963" t="s">
        <v>74</v>
      </c>
      <c r="D61" s="3964"/>
      <c r="E61" s="3964"/>
      <c r="F61" s="3964"/>
      <c r="G61" s="3964"/>
      <c r="H61" s="3964"/>
      <c r="I61" s="3964"/>
      <c r="J61" s="3964"/>
      <c r="K61" s="3964"/>
      <c r="L61" s="3964"/>
      <c r="M61" s="3975"/>
      <c r="N61" s="65"/>
      <c r="O61" s="65"/>
      <c r="P61" s="65"/>
      <c r="Q61" s="65"/>
      <c r="R61" s="65"/>
      <c r="S61" s="65"/>
      <c r="T61" s="65"/>
      <c r="U61" s="65"/>
    </row>
    <row r="62" spans="2:21" s="188" customFormat="1" ht="16.5" thickBot="1">
      <c r="B62" s="3969"/>
      <c r="C62" s="233">
        <f>PRCP_y1</f>
        <v>2008</v>
      </c>
      <c r="D62" s="234">
        <f>PRCP_y2</f>
        <v>2009</v>
      </c>
      <c r="E62" s="234">
        <f>PRCP_y3</f>
        <v>2010</v>
      </c>
      <c r="F62" s="234">
        <f>PRCP_y4</f>
        <v>2011</v>
      </c>
      <c r="G62" s="234">
        <f>PRCP_y5</f>
        <v>2012</v>
      </c>
      <c r="H62" s="742">
        <f>CRCP_y1</f>
        <v>2013</v>
      </c>
      <c r="I62" s="742">
        <f>CRCP_y2</f>
        <v>2014</v>
      </c>
      <c r="J62" s="742">
        <f>CRCP_y3</f>
        <v>2015</v>
      </c>
      <c r="K62" s="742">
        <f>CRCP_y4</f>
        <v>2016</v>
      </c>
      <c r="L62" s="742">
        <f>CRCP_y5</f>
        <v>2017</v>
      </c>
      <c r="M62" s="749">
        <f>CRCP_y6</f>
        <v>2018</v>
      </c>
      <c r="N62" s="65"/>
      <c r="O62" s="65"/>
      <c r="P62" s="65"/>
      <c r="Q62" s="65"/>
      <c r="R62" s="65"/>
      <c r="S62" s="65"/>
      <c r="T62" s="65"/>
      <c r="U62" s="65"/>
    </row>
    <row r="63" spans="2:21" ht="12.75" customHeight="1">
      <c r="B63" s="190" t="s">
        <v>146</v>
      </c>
      <c r="C63" s="743"/>
      <c r="D63" s="744"/>
      <c r="E63" s="744"/>
      <c r="F63" s="744"/>
      <c r="G63" s="745"/>
      <c r="H63" s="1007"/>
      <c r="I63" s="1008"/>
      <c r="J63" s="1008"/>
      <c r="K63" s="1008"/>
      <c r="L63" s="1008"/>
      <c r="M63" s="1009"/>
    </row>
    <row r="64" spans="2:21" ht="12.75" customHeight="1" outlineLevel="1">
      <c r="B64" s="191" t="s">
        <v>134</v>
      </c>
      <c r="C64" s="192" t="e">
        <f>#REF!</f>
        <v>#REF!</v>
      </c>
      <c r="D64" s="193" t="e">
        <f>#REF!</f>
        <v>#REF!</v>
      </c>
      <c r="E64" s="193" t="e">
        <f>#REF!</f>
        <v>#REF!</v>
      </c>
      <c r="F64" s="193" t="e">
        <f>#REF!</f>
        <v>#REF!</v>
      </c>
      <c r="G64" s="212" t="e">
        <f>#REF!</f>
        <v>#REF!</v>
      </c>
      <c r="H64" s="192" t="e">
        <f>#REF!</f>
        <v>#REF!</v>
      </c>
      <c r="I64" s="193" t="e">
        <f>#REF!</f>
        <v>#REF!</v>
      </c>
      <c r="J64" s="193" t="e">
        <f>#REF!</f>
        <v>#REF!</v>
      </c>
      <c r="K64" s="193" t="e">
        <f>#REF!</f>
        <v>#REF!</v>
      </c>
      <c r="L64" s="193" t="e">
        <f>#REF!</f>
        <v>#REF!</v>
      </c>
      <c r="M64" s="226"/>
      <c r="N64" s="132"/>
      <c r="O64" s="132"/>
      <c r="P64" s="132"/>
      <c r="Q64" s="132"/>
    </row>
    <row r="65" spans="1:17" outlineLevel="1">
      <c r="B65" s="191" t="s">
        <v>135</v>
      </c>
      <c r="C65" s="192" t="e">
        <f>#REF!</f>
        <v>#REF!</v>
      </c>
      <c r="D65" s="235" t="e">
        <f>#REF!</f>
        <v>#REF!</v>
      </c>
      <c r="E65" s="235" t="e">
        <f>#REF!</f>
        <v>#REF!</v>
      </c>
      <c r="F65" s="235" t="e">
        <f>#REF!</f>
        <v>#REF!</v>
      </c>
      <c r="G65" s="236" t="e">
        <f>#REF!</f>
        <v>#REF!</v>
      </c>
      <c r="H65" s="237" t="e">
        <f>#REF!</f>
        <v>#REF!</v>
      </c>
      <c r="I65" s="235" t="e">
        <f>#REF!</f>
        <v>#REF!</v>
      </c>
      <c r="J65" s="235" t="e">
        <f>#REF!</f>
        <v>#REF!</v>
      </c>
      <c r="K65" s="235" t="e">
        <f>#REF!</f>
        <v>#REF!</v>
      </c>
      <c r="L65" s="235" t="e">
        <f>#REF!</f>
        <v>#REF!</v>
      </c>
      <c r="M65" s="1010"/>
      <c r="N65" s="132"/>
      <c r="O65" s="132"/>
      <c r="P65" s="132"/>
      <c r="Q65" s="132"/>
    </row>
    <row r="66" spans="1:17">
      <c r="B66" s="191" t="s">
        <v>136</v>
      </c>
      <c r="C66" s="192" t="e">
        <f>#REF!</f>
        <v>#REF!</v>
      </c>
      <c r="D66" s="199" t="e">
        <f>#REF!</f>
        <v>#REF!</v>
      </c>
      <c r="E66" s="199" t="e">
        <f>#REF!</f>
        <v>#REF!</v>
      </c>
      <c r="F66" s="199" t="e">
        <f>#REF!</f>
        <v>#REF!</v>
      </c>
      <c r="G66" s="214" t="e">
        <f>#REF!</f>
        <v>#REF!</v>
      </c>
      <c r="H66" s="192" t="e">
        <f>#REF!</f>
        <v>#REF!</v>
      </c>
      <c r="I66" s="193" t="e">
        <f>#REF!</f>
        <v>#REF!</v>
      </c>
      <c r="J66" s="193" t="e">
        <f>#REF!</f>
        <v>#REF!</v>
      </c>
      <c r="K66" s="193" t="e">
        <f>#REF!</f>
        <v>#REF!</v>
      </c>
      <c r="L66" s="193" t="e">
        <f>#REF!</f>
        <v>#REF!</v>
      </c>
      <c r="M66" s="226"/>
      <c r="N66" s="132"/>
      <c r="O66" s="132"/>
      <c r="P66" s="132"/>
      <c r="Q66" s="132"/>
    </row>
    <row r="67" spans="1:17">
      <c r="B67" s="194" t="s">
        <v>147</v>
      </c>
      <c r="C67" s="195"/>
      <c r="D67" s="196"/>
      <c r="E67" s="196"/>
      <c r="F67" s="196"/>
      <c r="G67" s="213"/>
      <c r="H67" s="195"/>
      <c r="I67" s="196"/>
      <c r="J67" s="196"/>
      <c r="K67" s="196"/>
      <c r="L67" s="196"/>
      <c r="M67" s="227"/>
    </row>
    <row r="68" spans="1:17" s="69" customFormat="1" ht="15" customHeight="1" outlineLevel="1">
      <c r="A68" s="75"/>
      <c r="B68" s="191" t="s">
        <v>134</v>
      </c>
      <c r="C68" s="192">
        <f ca="1">'5. Mains augmentation'!G319</f>
        <v>2310000</v>
      </c>
      <c r="D68" s="193">
        <f ca="1">'5. Mains augmentation'!H319</f>
        <v>1530000</v>
      </c>
      <c r="E68" s="193">
        <f ca="1">'5. Mains augmentation'!I319</f>
        <v>270000</v>
      </c>
      <c r="F68" s="193">
        <f ca="1">'5. Mains augmentation'!J319</f>
        <v>1730000</v>
      </c>
      <c r="G68" s="212">
        <f ca="1">'5. Mains augmentation'!K319</f>
        <v>530000</v>
      </c>
      <c r="H68" s="192">
        <f ca="1">'5. Mains augmentation'!L319</f>
        <v>6601799.6738789184</v>
      </c>
      <c r="I68" s="193">
        <f ca="1">'5. Mains augmentation'!M319</f>
        <v>6430267.5709097888</v>
      </c>
      <c r="J68" s="193">
        <f ca="1">'5. Mains augmentation'!O319</f>
        <v>1048213.8976059066</v>
      </c>
      <c r="K68" s="193">
        <f ca="1">'5. Mains augmentation'!P319</f>
        <v>2423109.1283217683</v>
      </c>
      <c r="L68" s="193" t="e">
        <f>'5. Mains augmentation'!#REF!</f>
        <v>#REF!</v>
      </c>
      <c r="M68" s="226">
        <f>'5. Mains augmentation'!Q319</f>
        <v>0</v>
      </c>
      <c r="N68" s="132"/>
      <c r="O68" s="132"/>
      <c r="P68" s="132"/>
      <c r="Q68" s="132"/>
    </row>
    <row r="69" spans="1:17" s="69" customFormat="1" ht="15" customHeight="1" outlineLevel="1">
      <c r="A69" s="75"/>
      <c r="B69" s="191" t="s">
        <v>135</v>
      </c>
      <c r="C69" s="192" t="e">
        <f>'5. Mains augmentation'!#REF!</f>
        <v>#REF!</v>
      </c>
      <c r="D69" s="235" t="e">
        <f>'5. Mains augmentation'!#REF!</f>
        <v>#REF!</v>
      </c>
      <c r="E69" s="235" t="e">
        <f>'5. Mains augmentation'!#REF!</f>
        <v>#REF!</v>
      </c>
      <c r="F69" s="235" t="e">
        <f>'5. Mains augmentation'!#REF!</f>
        <v>#REF!</v>
      </c>
      <c r="G69" s="236" t="e">
        <f>'5. Mains augmentation'!#REF!</f>
        <v>#REF!</v>
      </c>
      <c r="H69" s="237" t="e">
        <f>'5. Mains augmentation'!#REF!</f>
        <v>#REF!</v>
      </c>
      <c r="I69" s="235" t="e">
        <f>'5. Mains augmentation'!#REF!</f>
        <v>#REF!</v>
      </c>
      <c r="J69" s="235" t="e">
        <f>'5. Mains augmentation'!#REF!</f>
        <v>#REF!</v>
      </c>
      <c r="K69" s="235" t="e">
        <f>'5. Mains augmentation'!#REF!</f>
        <v>#REF!</v>
      </c>
      <c r="L69" s="235" t="e">
        <f>'5. Mains augmentation'!#REF!</f>
        <v>#REF!</v>
      </c>
      <c r="M69" s="1010" t="e">
        <f>'5. Mains augmentation'!#REF!</f>
        <v>#REF!</v>
      </c>
      <c r="N69" s="132"/>
      <c r="O69" s="132"/>
      <c r="P69" s="132"/>
      <c r="Q69" s="132"/>
    </row>
    <row r="70" spans="1:17" s="69" customFormat="1" ht="15" customHeight="1">
      <c r="A70" s="75"/>
      <c r="B70" s="191" t="s">
        <v>136</v>
      </c>
      <c r="C70" s="192" t="e">
        <f>'5. Mains augmentation'!#REF!</f>
        <v>#REF!</v>
      </c>
      <c r="D70" s="199" t="e">
        <f>'5. Mains augmentation'!#REF!</f>
        <v>#REF!</v>
      </c>
      <c r="E70" s="199" t="e">
        <f>'5. Mains augmentation'!#REF!</f>
        <v>#REF!</v>
      </c>
      <c r="F70" s="199" t="e">
        <f>'5. Mains augmentation'!#REF!</f>
        <v>#REF!</v>
      </c>
      <c r="G70" s="214" t="e">
        <f>'5. Mains augmentation'!#REF!</f>
        <v>#REF!</v>
      </c>
      <c r="H70" s="192" t="e">
        <f>'5. Mains augmentation'!#REF!</f>
        <v>#REF!</v>
      </c>
      <c r="I70" s="193" t="e">
        <f>'5. Mains augmentation'!#REF!</f>
        <v>#REF!</v>
      </c>
      <c r="J70" s="193" t="e">
        <f>'5. Mains augmentation'!#REF!</f>
        <v>#REF!</v>
      </c>
      <c r="K70" s="193" t="e">
        <f>'5. Mains augmentation'!#REF!</f>
        <v>#REF!</v>
      </c>
      <c r="L70" s="193" t="e">
        <f>'5. Mains augmentation'!#REF!</f>
        <v>#REF!</v>
      </c>
      <c r="M70" s="226" t="e">
        <f>'5. Mains augmentation'!#REF!</f>
        <v>#REF!</v>
      </c>
      <c r="N70" s="132"/>
      <c r="O70" s="132"/>
      <c r="P70" s="132"/>
      <c r="Q70" s="132"/>
    </row>
    <row r="71" spans="1:17" ht="12.75" customHeight="1">
      <c r="B71" s="194" t="s">
        <v>148</v>
      </c>
      <c r="C71" s="195"/>
      <c r="D71" s="196"/>
      <c r="E71" s="196"/>
      <c r="F71" s="196"/>
      <c r="G71" s="213"/>
      <c r="H71" s="195"/>
      <c r="I71" s="196"/>
      <c r="J71" s="196"/>
      <c r="K71" s="196"/>
      <c r="L71" s="196"/>
      <c r="M71" s="227"/>
    </row>
    <row r="72" spans="1:17" ht="15" customHeight="1" outlineLevel="2">
      <c r="B72" s="191" t="s">
        <v>134</v>
      </c>
      <c r="C72" s="192">
        <f>'6. Mains replacement'!W892</f>
        <v>14328943.634734375</v>
      </c>
      <c r="D72" s="193">
        <f>'6. Mains replacement'!X892</f>
        <v>14655045.471958956</v>
      </c>
      <c r="E72" s="193">
        <f>'6. Mains replacement'!Y892</f>
        <v>14988568.819865137</v>
      </c>
      <c r="F72" s="193">
        <f>'6. Mains replacement'!Z892</f>
        <v>15329682.579129057</v>
      </c>
      <c r="G72" s="212">
        <f>'6. Mains replacement'!AA892</f>
        <v>15678559.494312506</v>
      </c>
      <c r="H72" s="192">
        <f>'6. Mains replacement'!AC892</f>
        <v>23848.51947368501</v>
      </c>
      <c r="I72" s="193">
        <f>'6. Mains replacement'!AD892</f>
        <v>24832.702834806973</v>
      </c>
      <c r="J72" s="193">
        <f>'6. Mains replacement'!AE892</f>
        <v>27814.786876222093</v>
      </c>
      <c r="K72" s="193">
        <f>'6. Mains replacement'!AG892</f>
        <v>15151.102068286762</v>
      </c>
      <c r="L72" s="193" t="e">
        <f>'6. Mains replacement'!#REF!</f>
        <v>#REF!</v>
      </c>
      <c r="M72" s="226"/>
      <c r="N72" s="132"/>
      <c r="O72" s="132"/>
      <c r="P72" s="132"/>
      <c r="Q72" s="132"/>
    </row>
    <row r="73" spans="1:17" ht="15" customHeight="1" outlineLevel="2">
      <c r="B73" s="191" t="s">
        <v>135</v>
      </c>
      <c r="C73" s="192" t="e">
        <f>'6. Mains replacement'!#REF!</f>
        <v>#REF!</v>
      </c>
      <c r="D73" s="235" t="e">
        <f>'6. Mains replacement'!#REF!</f>
        <v>#REF!</v>
      </c>
      <c r="E73" s="235" t="e">
        <f>'6. Mains replacement'!#REF!</f>
        <v>#REF!</v>
      </c>
      <c r="F73" s="235" t="e">
        <f>'6. Mains replacement'!#REF!</f>
        <v>#REF!</v>
      </c>
      <c r="G73" s="236" t="e">
        <f>'6. Mains replacement'!#REF!</f>
        <v>#REF!</v>
      </c>
      <c r="H73" s="237" t="e">
        <f>'6. Mains replacement'!#REF!</f>
        <v>#REF!</v>
      </c>
      <c r="I73" s="235" t="e">
        <f>'6. Mains replacement'!#REF!</f>
        <v>#REF!</v>
      </c>
      <c r="J73" s="235" t="e">
        <f>'6. Mains replacement'!#REF!</f>
        <v>#REF!</v>
      </c>
      <c r="K73" s="235" t="e">
        <f>'6. Mains replacement'!#REF!</f>
        <v>#REF!</v>
      </c>
      <c r="L73" s="235" t="e">
        <f>'6. Mains replacement'!#REF!</f>
        <v>#REF!</v>
      </c>
      <c r="M73" s="1010"/>
      <c r="N73" s="132"/>
      <c r="O73" s="132"/>
      <c r="P73" s="132"/>
      <c r="Q73" s="132"/>
    </row>
    <row r="74" spans="1:17" ht="12.75" customHeight="1">
      <c r="B74" s="191" t="s">
        <v>136</v>
      </c>
      <c r="C74" s="192">
        <f>'6. Mains replacement'!W894</f>
        <v>0</v>
      </c>
      <c r="D74" s="199">
        <f>'6. Mains replacement'!X894</f>
        <v>0</v>
      </c>
      <c r="E74" s="199">
        <f>'6. Mains replacement'!Y894</f>
        <v>0</v>
      </c>
      <c r="F74" s="199">
        <f>'6. Mains replacement'!Z894</f>
        <v>0</v>
      </c>
      <c r="G74" s="214">
        <f>'6. Mains replacement'!AA894</f>
        <v>0</v>
      </c>
      <c r="H74" s="192">
        <f>'6. Mains replacement'!AC894</f>
        <v>0</v>
      </c>
      <c r="I74" s="193">
        <f>'6. Mains replacement'!AD894</f>
        <v>0</v>
      </c>
      <c r="J74" s="193">
        <f>'6. Mains replacement'!AE894</f>
        <v>0</v>
      </c>
      <c r="K74" s="193">
        <f>'6. Mains replacement'!AG894</f>
        <v>0</v>
      </c>
      <c r="L74" s="193" t="e">
        <f>'6. Mains replacement'!#REF!</f>
        <v>#REF!</v>
      </c>
      <c r="M74" s="226"/>
      <c r="N74" s="132"/>
      <c r="O74" s="132"/>
      <c r="P74" s="132"/>
      <c r="Q74" s="132"/>
    </row>
    <row r="75" spans="1:17">
      <c r="B75" s="194" t="s">
        <v>149</v>
      </c>
      <c r="C75" s="195"/>
      <c r="D75" s="196"/>
      <c r="E75" s="196"/>
      <c r="F75" s="196"/>
      <c r="G75" s="213"/>
      <c r="H75" s="195"/>
      <c r="I75" s="196"/>
      <c r="J75" s="196"/>
      <c r="K75" s="196"/>
      <c r="L75" s="196"/>
      <c r="M75" s="227"/>
    </row>
    <row r="76" spans="1:17">
      <c r="B76" s="191" t="s">
        <v>134</v>
      </c>
      <c r="C76" s="192"/>
      <c r="D76" s="193"/>
      <c r="E76" s="193"/>
      <c r="F76" s="193"/>
      <c r="G76" s="212"/>
      <c r="H76" s="192"/>
      <c r="I76" s="193"/>
      <c r="J76" s="193"/>
      <c r="K76" s="193"/>
      <c r="L76" s="193"/>
      <c r="M76" s="226"/>
      <c r="N76" s="132"/>
      <c r="O76" s="132"/>
      <c r="P76" s="132"/>
      <c r="Q76" s="132"/>
    </row>
    <row r="77" spans="1:17">
      <c r="B77" s="191" t="s">
        <v>135</v>
      </c>
      <c r="C77" s="192"/>
      <c r="D77" s="235"/>
      <c r="E77" s="235"/>
      <c r="F77" s="235"/>
      <c r="G77" s="236"/>
      <c r="H77" s="237"/>
      <c r="I77" s="235"/>
      <c r="J77" s="235"/>
      <c r="K77" s="235"/>
      <c r="L77" s="235"/>
      <c r="M77" s="1010"/>
      <c r="N77" s="132"/>
      <c r="O77" s="132"/>
      <c r="P77" s="132"/>
      <c r="Q77" s="132"/>
    </row>
    <row r="78" spans="1:17">
      <c r="B78" s="191" t="s">
        <v>136</v>
      </c>
      <c r="C78" s="192"/>
      <c r="D78" s="199"/>
      <c r="E78" s="199"/>
      <c r="F78" s="199"/>
      <c r="G78" s="214"/>
      <c r="H78" s="192"/>
      <c r="I78" s="193"/>
      <c r="J78" s="193"/>
      <c r="K78" s="193"/>
      <c r="L78" s="193"/>
      <c r="M78" s="226"/>
      <c r="N78" s="132"/>
      <c r="O78" s="132"/>
      <c r="P78" s="132"/>
      <c r="Q78" s="132"/>
    </row>
    <row r="79" spans="1:17">
      <c r="B79" s="194" t="s">
        <v>150</v>
      </c>
      <c r="C79" s="195"/>
      <c r="D79" s="196"/>
      <c r="E79" s="196"/>
      <c r="F79" s="196"/>
      <c r="G79" s="213"/>
      <c r="H79" s="195"/>
      <c r="I79" s="196"/>
      <c r="J79" s="196"/>
      <c r="K79" s="196"/>
      <c r="L79" s="196"/>
      <c r="M79" s="227"/>
    </row>
    <row r="80" spans="1:17">
      <c r="B80" s="191" t="s">
        <v>134</v>
      </c>
      <c r="C80" s="192">
        <f>'8. Meter replacement'!D158</f>
        <v>0</v>
      </c>
      <c r="D80" s="193">
        <f>'8. Meter replacement'!E158</f>
        <v>1</v>
      </c>
      <c r="E80" s="193">
        <f>'8. Meter replacement'!F158</f>
        <v>1</v>
      </c>
      <c r="F80" s="193">
        <f>'8. Meter replacement'!G158</f>
        <v>0</v>
      </c>
      <c r="G80" s="212">
        <f>'8. Meter replacement'!H158</f>
        <v>2</v>
      </c>
      <c r="H80" s="192">
        <f>'8. Meter replacement'!I158</f>
        <v>0</v>
      </c>
      <c r="I80" s="193">
        <f>'8. Meter replacement'!K158</f>
        <v>0</v>
      </c>
      <c r="J80" s="193">
        <f>'8. Meter replacement'!L158</f>
        <v>0</v>
      </c>
      <c r="K80" s="193">
        <f>'8. Meter replacement'!M158</f>
        <v>3</v>
      </c>
      <c r="L80" s="193" t="e">
        <f>'8. Meter replacement'!#REF!</f>
        <v>#REF!</v>
      </c>
      <c r="M80" s="226">
        <f>'8. Meter replacement'!N158</f>
        <v>0</v>
      </c>
      <c r="N80" s="132"/>
      <c r="O80" s="132"/>
      <c r="P80" s="132"/>
      <c r="Q80" s="132"/>
    </row>
    <row r="81" spans="1:17">
      <c r="B81" s="191" t="s">
        <v>135</v>
      </c>
      <c r="C81" s="192" t="e">
        <f>'8. Meter replacement'!#REF!</f>
        <v>#REF!</v>
      </c>
      <c r="D81" s="235" t="e">
        <f>'8. Meter replacement'!#REF!</f>
        <v>#REF!</v>
      </c>
      <c r="E81" s="235" t="e">
        <f>'8. Meter replacement'!#REF!</f>
        <v>#REF!</v>
      </c>
      <c r="F81" s="235" t="e">
        <f>'8. Meter replacement'!#REF!</f>
        <v>#REF!</v>
      </c>
      <c r="G81" s="236" t="e">
        <f>'8. Meter replacement'!#REF!</f>
        <v>#REF!</v>
      </c>
      <c r="H81" s="237" t="e">
        <f>'8. Meter replacement'!#REF!</f>
        <v>#REF!</v>
      </c>
      <c r="I81" s="235" t="e">
        <f>'8. Meter replacement'!#REF!</f>
        <v>#REF!</v>
      </c>
      <c r="J81" s="235" t="e">
        <f>'8. Meter replacement'!#REF!</f>
        <v>#REF!</v>
      </c>
      <c r="K81" s="235" t="e">
        <f>'8. Meter replacement'!#REF!</f>
        <v>#REF!</v>
      </c>
      <c r="L81" s="235" t="e">
        <f>'8. Meter replacement'!#REF!</f>
        <v>#REF!</v>
      </c>
      <c r="M81" s="1010" t="e">
        <f>'8. Meter replacement'!#REF!</f>
        <v>#REF!</v>
      </c>
      <c r="N81" s="132"/>
      <c r="O81" s="132"/>
      <c r="P81" s="132"/>
      <c r="Q81" s="132"/>
    </row>
    <row r="82" spans="1:17">
      <c r="B82" s="191" t="s">
        <v>136</v>
      </c>
      <c r="C82" s="192" t="e">
        <f>'8. Meter replacement'!#REF!</f>
        <v>#REF!</v>
      </c>
      <c r="D82" s="199" t="e">
        <f>'8. Meter replacement'!#REF!</f>
        <v>#REF!</v>
      </c>
      <c r="E82" s="199" t="e">
        <f>'8. Meter replacement'!#REF!</f>
        <v>#REF!</v>
      </c>
      <c r="F82" s="199" t="e">
        <f>'8. Meter replacement'!#REF!</f>
        <v>#REF!</v>
      </c>
      <c r="G82" s="214" t="e">
        <f>'8. Meter replacement'!#REF!</f>
        <v>#REF!</v>
      </c>
      <c r="H82" s="192" t="e">
        <f>'8. Meter replacement'!#REF!</f>
        <v>#REF!</v>
      </c>
      <c r="I82" s="193" t="e">
        <f>'8. Meter replacement'!#REF!</f>
        <v>#REF!</v>
      </c>
      <c r="J82" s="193" t="e">
        <f>'8. Meter replacement'!#REF!</f>
        <v>#REF!</v>
      </c>
      <c r="K82" s="193" t="e">
        <f>'8. Meter replacement'!#REF!</f>
        <v>#REF!</v>
      </c>
      <c r="L82" s="193" t="e">
        <f>'8. Meter replacement'!#REF!</f>
        <v>#REF!</v>
      </c>
      <c r="M82" s="226" t="e">
        <f>'8. Meter replacement'!#REF!</f>
        <v>#REF!</v>
      </c>
      <c r="N82" s="132"/>
      <c r="O82" s="132"/>
      <c r="P82" s="132"/>
      <c r="Q82" s="132"/>
    </row>
    <row r="83" spans="1:17">
      <c r="B83" s="194" t="s">
        <v>56</v>
      </c>
      <c r="C83" s="195"/>
      <c r="D83" s="196"/>
      <c r="E83" s="196"/>
      <c r="F83" s="196"/>
      <c r="G83" s="213"/>
      <c r="H83" s="195"/>
      <c r="I83" s="196"/>
      <c r="J83" s="196"/>
      <c r="K83" s="196"/>
      <c r="L83" s="196"/>
      <c r="M83" s="227"/>
    </row>
    <row r="84" spans="1:17">
      <c r="B84" s="191" t="s">
        <v>134</v>
      </c>
      <c r="C84" s="238"/>
      <c r="D84" s="193"/>
      <c r="E84" s="193"/>
      <c r="F84" s="193"/>
      <c r="G84" s="212"/>
      <c r="H84" s="192"/>
      <c r="I84" s="193"/>
      <c r="J84" s="193"/>
      <c r="K84" s="193"/>
      <c r="L84" s="193"/>
      <c r="M84" s="226"/>
      <c r="N84" s="132"/>
      <c r="O84" s="132"/>
      <c r="P84" s="132"/>
      <c r="Q84" s="132"/>
    </row>
    <row r="85" spans="1:17" s="78" customFormat="1">
      <c r="B85" s="191" t="s">
        <v>135</v>
      </c>
      <c r="C85" s="238"/>
      <c r="D85" s="235"/>
      <c r="E85" s="235"/>
      <c r="F85" s="235"/>
      <c r="G85" s="236"/>
      <c r="H85" s="237"/>
      <c r="I85" s="235"/>
      <c r="J85" s="235"/>
      <c r="K85" s="235"/>
      <c r="L85" s="235"/>
      <c r="M85" s="1010"/>
      <c r="N85" s="132"/>
      <c r="O85" s="132"/>
      <c r="P85" s="132"/>
      <c r="Q85" s="132"/>
    </row>
    <row r="86" spans="1:17" ht="15" customHeight="1">
      <c r="A86" s="78"/>
      <c r="B86" s="191" t="s">
        <v>136</v>
      </c>
      <c r="C86" s="238"/>
      <c r="D86" s="199"/>
      <c r="E86" s="199"/>
      <c r="F86" s="199"/>
      <c r="G86" s="214"/>
      <c r="H86" s="192"/>
      <c r="I86" s="193"/>
      <c r="J86" s="193"/>
      <c r="K86" s="193"/>
      <c r="L86" s="193"/>
      <c r="M86" s="226"/>
      <c r="N86" s="131"/>
      <c r="O86" s="131"/>
      <c r="P86" s="131"/>
      <c r="Q86" s="131"/>
    </row>
    <row r="87" spans="1:17">
      <c r="B87" s="194" t="s">
        <v>258</v>
      </c>
      <c r="C87" s="195"/>
      <c r="D87" s="196"/>
      <c r="E87" s="196"/>
      <c r="F87" s="196"/>
      <c r="G87" s="213"/>
      <c r="H87" s="195"/>
      <c r="I87" s="196"/>
      <c r="J87" s="196"/>
      <c r="K87" s="196"/>
      <c r="L87" s="196"/>
      <c r="M87" s="227"/>
      <c r="N87" s="132"/>
      <c r="O87" s="132"/>
      <c r="P87" s="132"/>
      <c r="Q87" s="132"/>
    </row>
    <row r="88" spans="1:17" ht="12.75" customHeight="1">
      <c r="B88" s="191" t="s">
        <v>134</v>
      </c>
      <c r="C88" s="192">
        <f>'9. Other capex'!G94</f>
        <v>0</v>
      </c>
      <c r="D88" s="193">
        <f>'9. Other capex'!H94</f>
        <v>0</v>
      </c>
      <c r="E88" s="193">
        <f>'9. Other capex'!I94</f>
        <v>0</v>
      </c>
      <c r="F88" s="193">
        <f>'9. Other capex'!J94</f>
        <v>0</v>
      </c>
      <c r="G88" s="212">
        <f>'9. Other capex'!K94</f>
        <v>0</v>
      </c>
      <c r="H88" s="192">
        <f>'9. Other capex'!M94</f>
        <v>0</v>
      </c>
      <c r="I88" s="193">
        <f>'9. Other capex'!N94</f>
        <v>0</v>
      </c>
      <c r="J88" s="193">
        <f>'9. Other capex'!O94</f>
        <v>0</v>
      </c>
      <c r="K88" s="193">
        <f>'9. Other capex'!P94</f>
        <v>0</v>
      </c>
      <c r="L88" s="193" t="e">
        <f>'9. Other capex'!#REF!</f>
        <v>#REF!</v>
      </c>
      <c r="M88" s="226">
        <f>'9. Other capex'!Q94</f>
        <v>0</v>
      </c>
      <c r="N88" s="132"/>
      <c r="O88" s="132"/>
      <c r="P88" s="132"/>
      <c r="Q88" s="132"/>
    </row>
    <row r="89" spans="1:17">
      <c r="B89" s="191" t="s">
        <v>135</v>
      </c>
      <c r="C89" s="192" t="e">
        <f>'9. Other capex'!#REF!</f>
        <v>#REF!</v>
      </c>
      <c r="D89" s="235" t="e">
        <f>'9. Other capex'!#REF!</f>
        <v>#REF!</v>
      </c>
      <c r="E89" s="235" t="e">
        <f>'9. Other capex'!#REF!</f>
        <v>#REF!</v>
      </c>
      <c r="F89" s="235" t="e">
        <f>'9. Other capex'!#REF!</f>
        <v>#REF!</v>
      </c>
      <c r="G89" s="236" t="e">
        <f>'9. Other capex'!#REF!</f>
        <v>#REF!</v>
      </c>
      <c r="H89" s="237" t="e">
        <f>'9. Other capex'!#REF!</f>
        <v>#REF!</v>
      </c>
      <c r="I89" s="235" t="e">
        <f>'9. Other capex'!#REF!</f>
        <v>#REF!</v>
      </c>
      <c r="J89" s="235" t="e">
        <f>'9. Other capex'!#REF!</f>
        <v>#REF!</v>
      </c>
      <c r="K89" s="235" t="e">
        <f>'9. Other capex'!#REF!</f>
        <v>#REF!</v>
      </c>
      <c r="L89" s="235" t="e">
        <f>'9. Other capex'!#REF!</f>
        <v>#REF!</v>
      </c>
      <c r="M89" s="1010" t="e">
        <f>'9. Other capex'!#REF!</f>
        <v>#REF!</v>
      </c>
      <c r="N89" s="132"/>
      <c r="O89" s="132"/>
      <c r="P89" s="132"/>
      <c r="Q89" s="132"/>
    </row>
    <row r="90" spans="1:17" ht="15.75" customHeight="1">
      <c r="A90" s="78"/>
      <c r="B90" s="191" t="s">
        <v>136</v>
      </c>
      <c r="C90" s="192" t="e">
        <f>'9. Other capex'!#REF!</f>
        <v>#REF!</v>
      </c>
      <c r="D90" s="199" t="e">
        <f>'9. Other capex'!#REF!</f>
        <v>#REF!</v>
      </c>
      <c r="E90" s="199" t="e">
        <f>'9. Other capex'!#REF!</f>
        <v>#REF!</v>
      </c>
      <c r="F90" s="199" t="e">
        <f>'9. Other capex'!#REF!</f>
        <v>#REF!</v>
      </c>
      <c r="G90" s="214" t="e">
        <f>'9. Other capex'!#REF!</f>
        <v>#REF!</v>
      </c>
      <c r="H90" s="192" t="e">
        <f>'9. Other capex'!#REF!</f>
        <v>#REF!</v>
      </c>
      <c r="I90" s="193" t="e">
        <f>'9. Other capex'!#REF!</f>
        <v>#REF!</v>
      </c>
      <c r="J90" s="193" t="e">
        <f>'9. Other capex'!#REF!</f>
        <v>#REF!</v>
      </c>
      <c r="K90" s="193" t="e">
        <f>'9. Other capex'!#REF!</f>
        <v>#REF!</v>
      </c>
      <c r="L90" s="193" t="e">
        <f>'9. Other capex'!#REF!</f>
        <v>#REF!</v>
      </c>
      <c r="M90" s="226" t="e">
        <f>'9. Other capex'!#REF!</f>
        <v>#REF!</v>
      </c>
      <c r="N90" s="132"/>
      <c r="O90" s="132"/>
      <c r="P90" s="132"/>
      <c r="Q90" s="132"/>
    </row>
    <row r="91" spans="1:17">
      <c r="B91" s="194" t="s">
        <v>62</v>
      </c>
      <c r="C91" s="195"/>
      <c r="D91" s="196"/>
      <c r="E91" s="196"/>
      <c r="F91" s="196"/>
      <c r="G91" s="213"/>
      <c r="H91" s="195"/>
      <c r="I91" s="196"/>
      <c r="J91" s="196"/>
      <c r="K91" s="196"/>
      <c r="L91" s="196"/>
      <c r="M91" s="227"/>
      <c r="N91" s="132"/>
      <c r="O91" s="132"/>
      <c r="P91" s="132"/>
      <c r="Q91" s="132"/>
    </row>
    <row r="92" spans="1:17">
      <c r="B92" s="191" t="s">
        <v>134</v>
      </c>
      <c r="C92" s="192" t="e">
        <f>#REF!</f>
        <v>#REF!</v>
      </c>
      <c r="D92" s="193" t="e">
        <f>#REF!</f>
        <v>#REF!</v>
      </c>
      <c r="E92" s="193" t="e">
        <f>#REF!</f>
        <v>#REF!</v>
      </c>
      <c r="F92" s="193" t="e">
        <f>#REF!</f>
        <v>#REF!</v>
      </c>
      <c r="G92" s="212" t="e">
        <f>#REF!</f>
        <v>#REF!</v>
      </c>
      <c r="H92" s="192" t="e">
        <f>#REF!</f>
        <v>#REF!</v>
      </c>
      <c r="I92" s="193" t="e">
        <f>#REF!</f>
        <v>#REF!</v>
      </c>
      <c r="J92" s="193" t="e">
        <f>#REF!</f>
        <v>#REF!</v>
      </c>
      <c r="K92" s="193" t="e">
        <f>#REF!</f>
        <v>#REF!</v>
      </c>
      <c r="L92" s="193" t="e">
        <f>#REF!</f>
        <v>#REF!</v>
      </c>
      <c r="M92" s="226" t="e">
        <f>#REF!</f>
        <v>#REF!</v>
      </c>
      <c r="N92" s="132"/>
      <c r="O92" s="132"/>
      <c r="P92" s="132"/>
      <c r="Q92" s="132"/>
    </row>
    <row r="93" spans="1:17">
      <c r="B93" s="191" t="s">
        <v>135</v>
      </c>
      <c r="C93" s="192" t="e">
        <f>#REF!</f>
        <v>#REF!</v>
      </c>
      <c r="D93" s="235" t="e">
        <f>#REF!</f>
        <v>#REF!</v>
      </c>
      <c r="E93" s="235" t="e">
        <f>#REF!</f>
        <v>#REF!</v>
      </c>
      <c r="F93" s="235" t="e">
        <f>#REF!</f>
        <v>#REF!</v>
      </c>
      <c r="G93" s="236" t="e">
        <f>#REF!</f>
        <v>#REF!</v>
      </c>
      <c r="H93" s="237" t="e">
        <f>#REF!</f>
        <v>#REF!</v>
      </c>
      <c r="I93" s="235" t="e">
        <f>#REF!</f>
        <v>#REF!</v>
      </c>
      <c r="J93" s="235" t="e">
        <f>#REF!</f>
        <v>#REF!</v>
      </c>
      <c r="K93" s="235" t="e">
        <f>#REF!</f>
        <v>#REF!</v>
      </c>
      <c r="L93" s="235" t="e">
        <f>#REF!</f>
        <v>#REF!</v>
      </c>
      <c r="M93" s="1010" t="e">
        <f>#REF!</f>
        <v>#REF!</v>
      </c>
      <c r="N93" s="132"/>
      <c r="O93" s="132"/>
      <c r="P93" s="132"/>
      <c r="Q93" s="132"/>
    </row>
    <row r="94" spans="1:17">
      <c r="B94" s="191" t="s">
        <v>136</v>
      </c>
      <c r="C94" s="192" t="e">
        <f>#REF!</f>
        <v>#REF!</v>
      </c>
      <c r="D94" s="199" t="e">
        <f>#REF!</f>
        <v>#REF!</v>
      </c>
      <c r="E94" s="199" t="e">
        <f>#REF!</f>
        <v>#REF!</v>
      </c>
      <c r="F94" s="199" t="e">
        <f>#REF!</f>
        <v>#REF!</v>
      </c>
      <c r="G94" s="214" t="e">
        <f>#REF!</f>
        <v>#REF!</v>
      </c>
      <c r="H94" s="192" t="e">
        <f>#REF!</f>
        <v>#REF!</v>
      </c>
      <c r="I94" s="193" t="e">
        <f>#REF!</f>
        <v>#REF!</v>
      </c>
      <c r="J94" s="193" t="e">
        <f>#REF!</f>
        <v>#REF!</v>
      </c>
      <c r="K94" s="193" t="e">
        <f>#REF!</f>
        <v>#REF!</v>
      </c>
      <c r="L94" s="193" t="e">
        <f>#REF!</f>
        <v>#REF!</v>
      </c>
      <c r="M94" s="226" t="e">
        <f>#REF!</f>
        <v>#REF!</v>
      </c>
      <c r="N94" s="132"/>
      <c r="O94" s="132"/>
      <c r="P94" s="132"/>
      <c r="Q94" s="132"/>
    </row>
    <row r="95" spans="1:17">
      <c r="B95" s="194" t="s">
        <v>86</v>
      </c>
      <c r="C95" s="195"/>
      <c r="D95" s="196"/>
      <c r="E95" s="196"/>
      <c r="F95" s="196"/>
      <c r="G95" s="213"/>
      <c r="H95" s="195"/>
      <c r="I95" s="196"/>
      <c r="J95" s="196"/>
      <c r="K95" s="196"/>
      <c r="L95" s="196"/>
      <c r="M95" s="227"/>
      <c r="N95" s="132"/>
      <c r="O95" s="132"/>
      <c r="P95" s="132"/>
      <c r="Q95" s="132"/>
    </row>
    <row r="96" spans="1:17">
      <c r="B96" s="191" t="s">
        <v>130</v>
      </c>
      <c r="C96" s="192">
        <f>'14. Overheads'!C83</f>
        <v>0</v>
      </c>
      <c r="D96" s="193">
        <f>'14. Overheads'!D83</f>
        <v>0</v>
      </c>
      <c r="E96" s="193">
        <f>'14. Overheads'!E83</f>
        <v>0</v>
      </c>
      <c r="F96" s="193">
        <f>'14. Overheads'!F83</f>
        <v>0</v>
      </c>
      <c r="G96" s="212">
        <f>'14. Overheads'!G83</f>
        <v>0</v>
      </c>
      <c r="H96" s="192">
        <f>'14. Overheads'!I83</f>
        <v>13473828.707036799</v>
      </c>
      <c r="I96" s="193">
        <f>'14. Overheads'!J83</f>
        <v>13346813.059590008</v>
      </c>
      <c r="J96" s="193">
        <f>'14. Overheads'!K83</f>
        <v>13129296.116182741</v>
      </c>
      <c r="K96" s="193">
        <f>'14. Overheads'!L83</f>
        <v>13153643.521526322</v>
      </c>
      <c r="L96" s="193" t="e">
        <f>'14. Overheads'!#REF!</f>
        <v>#REF!</v>
      </c>
      <c r="M96" s="226"/>
      <c r="N96" s="132"/>
      <c r="O96" s="132"/>
      <c r="P96" s="132"/>
      <c r="Q96" s="132"/>
    </row>
    <row r="97" spans="2:19">
      <c r="B97" s="194" t="s">
        <v>151</v>
      </c>
      <c r="C97" s="237"/>
      <c r="D97" s="235"/>
      <c r="E97" s="235"/>
      <c r="F97" s="235"/>
      <c r="G97" s="236"/>
      <c r="H97" s="237"/>
      <c r="I97" s="235"/>
      <c r="J97" s="235"/>
      <c r="K97" s="235"/>
      <c r="L97" s="235"/>
      <c r="M97" s="1010"/>
      <c r="N97" s="132"/>
      <c r="O97" s="132"/>
      <c r="P97" s="132"/>
      <c r="Q97" s="132"/>
    </row>
    <row r="98" spans="2:19" ht="13.5" thickBot="1">
      <c r="B98" s="197" t="s">
        <v>19</v>
      </c>
      <c r="C98" s="198">
        <f>'15. Related party transactions'!I142</f>
        <v>0</v>
      </c>
      <c r="D98" s="199">
        <f>'15. Related party transactions'!J142</f>
        <v>0</v>
      </c>
      <c r="E98" s="199">
        <f>'15. Related party transactions'!K142</f>
        <v>0</v>
      </c>
      <c r="F98" s="199">
        <f>'15. Related party transactions'!L142</f>
        <v>0</v>
      </c>
      <c r="G98" s="214">
        <f>'15. Related party transactions'!M142</f>
        <v>0</v>
      </c>
      <c r="H98" s="192">
        <f>'15. Related party transactions'!N142</f>
        <v>0</v>
      </c>
      <c r="I98" s="193">
        <f>'15. Related party transactions'!O142</f>
        <v>0</v>
      </c>
      <c r="J98" s="193">
        <f>'15. Related party transactions'!Q142</f>
        <v>0</v>
      </c>
      <c r="K98" s="193">
        <f>'15. Related party transactions'!R142</f>
        <v>0</v>
      </c>
      <c r="L98" s="193" t="e">
        <f>'15. Related party transactions'!#REF!</f>
        <v>#REF!</v>
      </c>
      <c r="M98" s="226">
        <f>'15. Related party transactions'!S142</f>
        <v>0</v>
      </c>
      <c r="N98" s="132"/>
      <c r="O98" s="132"/>
      <c r="P98" s="132"/>
      <c r="Q98" s="132"/>
    </row>
    <row r="99" spans="2:19">
      <c r="B99" s="239" t="s">
        <v>200</v>
      </c>
      <c r="C99" s="201" t="e">
        <f>SUM(C64,C68,C72,C76,C87,C80,C84,C92)</f>
        <v>#REF!</v>
      </c>
      <c r="D99" s="202" t="e">
        <f t="shared" ref="D99:L99" si="10">SUM(D64,D68,D72,D76,D87,D80,D84,D92)</f>
        <v>#REF!</v>
      </c>
      <c r="E99" s="202" t="e">
        <f t="shared" si="10"/>
        <v>#REF!</v>
      </c>
      <c r="F99" s="202" t="e">
        <f t="shared" si="10"/>
        <v>#REF!</v>
      </c>
      <c r="G99" s="215" t="e">
        <f t="shared" si="10"/>
        <v>#REF!</v>
      </c>
      <c r="H99" s="201" t="e">
        <f t="shared" si="10"/>
        <v>#REF!</v>
      </c>
      <c r="I99" s="202" t="e">
        <f t="shared" si="10"/>
        <v>#REF!</v>
      </c>
      <c r="J99" s="202" t="e">
        <f t="shared" si="10"/>
        <v>#REF!</v>
      </c>
      <c r="K99" s="202" t="e">
        <f t="shared" si="10"/>
        <v>#REF!</v>
      </c>
      <c r="L99" s="202" t="e">
        <f t="shared" si="10"/>
        <v>#REF!</v>
      </c>
      <c r="M99" s="229" t="e">
        <f t="shared" ref="M99" si="11">SUM(M64,M68,M72,M76,M87,M80,M84,M92)</f>
        <v>#REF!</v>
      </c>
      <c r="N99" s="132"/>
      <c r="O99" s="132"/>
      <c r="P99" s="132"/>
      <c r="Q99" s="132"/>
      <c r="R99" s="132"/>
      <c r="S99" s="132"/>
    </row>
    <row r="100" spans="2:19">
      <c r="B100" s="240" t="s">
        <v>140</v>
      </c>
      <c r="C100" s="204" t="e">
        <f>SUM(C65,C69,C73,C77,C88,C81,C85,C93)</f>
        <v>#REF!</v>
      </c>
      <c r="D100" s="205" t="e">
        <f t="shared" ref="D100:L100" si="12">SUM(D65,D69,D73,D77,D88,D81,D85,D93)</f>
        <v>#REF!</v>
      </c>
      <c r="E100" s="205" t="e">
        <f t="shared" si="12"/>
        <v>#REF!</v>
      </c>
      <c r="F100" s="205" t="e">
        <f t="shared" si="12"/>
        <v>#REF!</v>
      </c>
      <c r="G100" s="216" t="e">
        <f t="shared" si="12"/>
        <v>#REF!</v>
      </c>
      <c r="H100" s="204" t="e">
        <f t="shared" si="12"/>
        <v>#REF!</v>
      </c>
      <c r="I100" s="205" t="e">
        <f t="shared" si="12"/>
        <v>#REF!</v>
      </c>
      <c r="J100" s="205" t="e">
        <f t="shared" si="12"/>
        <v>#REF!</v>
      </c>
      <c r="K100" s="205" t="e">
        <f t="shared" si="12"/>
        <v>#REF!</v>
      </c>
      <c r="L100" s="205" t="e">
        <f t="shared" si="12"/>
        <v>#REF!</v>
      </c>
      <c r="M100" s="230" t="e">
        <f t="shared" ref="M100" si="13">SUM(M65,M69,M73,M77,M88,M81,M85,M93)</f>
        <v>#REF!</v>
      </c>
      <c r="N100" s="132"/>
      <c r="O100" s="132"/>
      <c r="P100" s="132"/>
      <c r="Q100" s="132"/>
    </row>
    <row r="101" spans="2:19">
      <c r="B101" s="240" t="s">
        <v>201</v>
      </c>
      <c r="C101" s="204" t="e">
        <f>SUM(C66,C70,C74,C78,C89,C82,C90,C94)</f>
        <v>#REF!</v>
      </c>
      <c r="D101" s="205" t="e">
        <f t="shared" ref="D101:L101" si="14">SUM(D66,D70,D74,D78,D89,D82,D90,D94)</f>
        <v>#REF!</v>
      </c>
      <c r="E101" s="205" t="e">
        <f t="shared" si="14"/>
        <v>#REF!</v>
      </c>
      <c r="F101" s="205" t="e">
        <f t="shared" si="14"/>
        <v>#REF!</v>
      </c>
      <c r="G101" s="216" t="e">
        <f t="shared" si="14"/>
        <v>#REF!</v>
      </c>
      <c r="H101" s="204" t="e">
        <f t="shared" si="14"/>
        <v>#REF!</v>
      </c>
      <c r="I101" s="205" t="e">
        <f t="shared" si="14"/>
        <v>#REF!</v>
      </c>
      <c r="J101" s="205" t="e">
        <f t="shared" si="14"/>
        <v>#REF!</v>
      </c>
      <c r="K101" s="205" t="e">
        <f t="shared" si="14"/>
        <v>#REF!</v>
      </c>
      <c r="L101" s="205" t="e">
        <f t="shared" si="14"/>
        <v>#REF!</v>
      </c>
      <c r="M101" s="230" t="e">
        <f t="shared" ref="M101" si="15">SUM(M66,M70,M74,M78,M89,M82,M90,M94)</f>
        <v>#REF!</v>
      </c>
      <c r="N101" s="132"/>
      <c r="O101" s="132"/>
      <c r="P101" s="132"/>
      <c r="Q101" s="132"/>
    </row>
    <row r="102" spans="2:19">
      <c r="B102" s="240" t="s">
        <v>202</v>
      </c>
      <c r="C102" s="204" t="e">
        <f t="shared" ref="C102" si="16">C101+C96</f>
        <v>#REF!</v>
      </c>
      <c r="D102" s="205" t="e">
        <f t="shared" ref="D102" si="17">D101+D96</f>
        <v>#REF!</v>
      </c>
      <c r="E102" s="205" t="e">
        <f t="shared" ref="E102" si="18">E101+E96</f>
        <v>#REF!</v>
      </c>
      <c r="F102" s="205" t="e">
        <f t="shared" ref="F102" si="19">F101+F96</f>
        <v>#REF!</v>
      </c>
      <c r="G102" s="216" t="e">
        <f t="shared" ref="G102" si="20">G101+G96</f>
        <v>#REF!</v>
      </c>
      <c r="H102" s="204" t="e">
        <f t="shared" ref="H102" si="21">H101+H96</f>
        <v>#REF!</v>
      </c>
      <c r="I102" s="205" t="e">
        <f t="shared" ref="I102" si="22">I101+I96</f>
        <v>#REF!</v>
      </c>
      <c r="J102" s="205" t="e">
        <f t="shared" ref="J102" si="23">J101+J96</f>
        <v>#REF!</v>
      </c>
      <c r="K102" s="205" t="e">
        <f t="shared" ref="K102" si="24">K101+K96</f>
        <v>#REF!</v>
      </c>
      <c r="L102" s="205" t="e">
        <f t="shared" ref="L102:M102" si="25">L101+L96</f>
        <v>#REF!</v>
      </c>
      <c r="M102" s="230" t="e">
        <f t="shared" si="25"/>
        <v>#REF!</v>
      </c>
      <c r="N102" s="132"/>
      <c r="O102" s="132"/>
      <c r="P102" s="132"/>
      <c r="Q102" s="132"/>
    </row>
    <row r="103" spans="2:19">
      <c r="B103" s="240" t="s">
        <v>203</v>
      </c>
      <c r="C103" s="204" t="e">
        <f t="shared" ref="C103" si="26">C102+C98</f>
        <v>#REF!</v>
      </c>
      <c r="D103" s="205" t="e">
        <f t="shared" ref="D103" si="27">D102+D98</f>
        <v>#REF!</v>
      </c>
      <c r="E103" s="205" t="e">
        <f t="shared" ref="E103" si="28">E102+E98</f>
        <v>#REF!</v>
      </c>
      <c r="F103" s="205" t="e">
        <f t="shared" ref="F103" si="29">F102+F98</f>
        <v>#REF!</v>
      </c>
      <c r="G103" s="216" t="e">
        <f t="shared" ref="G103" si="30">G102+G98</f>
        <v>#REF!</v>
      </c>
      <c r="H103" s="204" t="e">
        <f t="shared" ref="H103" si="31">H102+H98</f>
        <v>#REF!</v>
      </c>
      <c r="I103" s="205" t="e">
        <f t="shared" ref="I103" si="32">I102+I98</f>
        <v>#REF!</v>
      </c>
      <c r="J103" s="205" t="e">
        <f t="shared" ref="J103" si="33">J102+J98</f>
        <v>#REF!</v>
      </c>
      <c r="K103" s="205" t="e">
        <f t="shared" ref="K103" si="34">K102+K98</f>
        <v>#REF!</v>
      </c>
      <c r="L103" s="205" t="e">
        <f t="shared" ref="L103:M103" si="35">L102+L98</f>
        <v>#REF!</v>
      </c>
      <c r="M103" s="230" t="e">
        <f t="shared" si="35"/>
        <v>#REF!</v>
      </c>
      <c r="N103" s="132"/>
      <c r="O103" s="132"/>
      <c r="P103" s="132"/>
      <c r="Q103" s="132"/>
    </row>
    <row r="104" spans="2:19">
      <c r="B104" s="206" t="s">
        <v>137</v>
      </c>
      <c r="C104" s="207"/>
      <c r="D104" s="208"/>
      <c r="E104" s="208"/>
      <c r="F104" s="208"/>
      <c r="G104" s="217"/>
      <c r="H104" s="207"/>
      <c r="I104" s="456"/>
      <c r="J104" s="456"/>
      <c r="K104" s="456"/>
      <c r="L104" s="456"/>
      <c r="M104" s="457"/>
      <c r="N104" s="132"/>
      <c r="O104" s="132"/>
      <c r="P104" s="132"/>
      <c r="Q104" s="132"/>
    </row>
    <row r="105" spans="2:19" ht="13.5" thickBot="1">
      <c r="B105" s="241" t="s">
        <v>204</v>
      </c>
      <c r="C105" s="210" t="e">
        <f t="shared" ref="C105:L105" si="36">C103-C104</f>
        <v>#REF!</v>
      </c>
      <c r="D105" s="211" t="e">
        <f t="shared" si="36"/>
        <v>#REF!</v>
      </c>
      <c r="E105" s="211" t="e">
        <f t="shared" si="36"/>
        <v>#REF!</v>
      </c>
      <c r="F105" s="211" t="e">
        <f t="shared" si="36"/>
        <v>#REF!</v>
      </c>
      <c r="G105" s="218" t="e">
        <f t="shared" si="36"/>
        <v>#REF!</v>
      </c>
      <c r="H105" s="210" t="e">
        <f t="shared" si="36"/>
        <v>#REF!</v>
      </c>
      <c r="I105" s="211" t="e">
        <f t="shared" si="36"/>
        <v>#REF!</v>
      </c>
      <c r="J105" s="211" t="e">
        <f t="shared" si="36"/>
        <v>#REF!</v>
      </c>
      <c r="K105" s="211" t="e">
        <f t="shared" si="36"/>
        <v>#REF!</v>
      </c>
      <c r="L105" s="211" t="e">
        <f t="shared" si="36"/>
        <v>#REF!</v>
      </c>
      <c r="M105" s="232" t="e">
        <f t="shared" ref="M105" si="37">M103-M104</f>
        <v>#REF!</v>
      </c>
      <c r="N105" s="132"/>
      <c r="O105" s="132"/>
      <c r="P105" s="132"/>
      <c r="Q105" s="132"/>
    </row>
    <row r="106" spans="2:19">
      <c r="H106" s="145"/>
      <c r="I106" s="145"/>
      <c r="J106" s="145"/>
      <c r="K106" s="145"/>
      <c r="L106" s="145"/>
      <c r="M106" s="92"/>
      <c r="N106" s="92"/>
      <c r="O106" s="92"/>
      <c r="P106" s="92"/>
      <c r="Q106" s="92"/>
    </row>
  </sheetData>
  <mergeCells count="15">
    <mergeCell ref="B59:B62"/>
    <mergeCell ref="C59:G59"/>
    <mergeCell ref="H59:M59"/>
    <mergeCell ref="B6:G6"/>
    <mergeCell ref="B10:B11"/>
    <mergeCell ref="C10:G10"/>
    <mergeCell ref="H10:M10"/>
    <mergeCell ref="C61:M61"/>
    <mergeCell ref="H60:M60"/>
    <mergeCell ref="C60:G60"/>
    <mergeCell ref="N10:R10"/>
    <mergeCell ref="C11:K11"/>
    <mergeCell ref="L11:R11"/>
    <mergeCell ref="C12:K12"/>
    <mergeCell ref="L12:R12"/>
  </mergeCells>
  <pageMargins left="0.75" right="0.75" top="1" bottom="1" header="0.5" footer="0.5"/>
  <pageSetup paperSize="9" orientation="portrait" horizontalDpi="4294967293" r:id="rId1"/>
  <headerFooter alignWithMargins="0"/>
  <customProperties>
    <customPr name="_pios_id" r:id="rId2"/>
  </customPropertie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autoPageBreaks="0"/>
  </sheetPr>
  <dimension ref="A1:AR286"/>
  <sheetViews>
    <sheetView showGridLines="0" topLeftCell="A181" zoomScale="60" zoomScaleNormal="60" workbookViewId="0">
      <selection activeCell="C231" sqref="C231:J231"/>
    </sheetView>
  </sheetViews>
  <sheetFormatPr defaultRowHeight="12.75"/>
  <cols>
    <col min="1" max="1" width="16.28515625" customWidth="1"/>
    <col min="2" max="2" width="53.7109375" customWidth="1"/>
    <col min="3" max="17" width="16.7109375" customWidth="1"/>
    <col min="18" max="18" width="4.7109375" customWidth="1"/>
    <col min="19" max="29" width="16.28515625" customWidth="1"/>
    <col min="30" max="30" width="13.85546875" customWidth="1"/>
    <col min="34" max="41" width="13.7109375" style="1172" customWidth="1"/>
  </cols>
  <sheetData>
    <row r="1" spans="1:43" ht="20.25">
      <c r="A1" s="159"/>
      <c r="B1" s="2522" t="str">
        <f>IF(dms_DataQuality="backcast",INDEX(dms_Worksheet_List,MATCH(dms_Model,dms_Model_List))&amp;" BACKCAST",INDEX(dms_Worksheet_List,MATCH(dms_Model,dms_Model_List)))</f>
        <v>REGULATORY REPORTING STATEMENT</v>
      </c>
      <c r="C1" s="157"/>
      <c r="D1" s="157"/>
      <c r="E1" s="157"/>
      <c r="F1" s="157"/>
      <c r="G1" s="157"/>
      <c r="H1" s="157"/>
      <c r="I1" s="157"/>
      <c r="J1" s="157"/>
      <c r="K1" s="157"/>
      <c r="L1" s="157"/>
      <c r="M1" s="157"/>
      <c r="N1" s="157"/>
      <c r="O1" s="157"/>
      <c r="P1" s="157"/>
      <c r="Q1" s="157"/>
      <c r="R1" s="157"/>
      <c r="S1" s="157"/>
      <c r="T1" s="157"/>
      <c r="U1" s="157"/>
      <c r="V1" s="157"/>
      <c r="W1" s="157"/>
      <c r="X1" s="157"/>
      <c r="Y1" s="157"/>
      <c r="Z1" s="157"/>
      <c r="AA1" s="157"/>
      <c r="AB1" s="157"/>
      <c r="AC1" s="157"/>
      <c r="AD1" s="157"/>
      <c r="AE1" s="179"/>
      <c r="AF1" s="179"/>
      <c r="AG1" s="179"/>
      <c r="AH1" s="179"/>
      <c r="AI1" s="179"/>
      <c r="AJ1" s="179"/>
      <c r="AK1" s="179"/>
      <c r="AL1" s="179"/>
      <c r="AM1" s="179"/>
      <c r="AN1" s="179"/>
      <c r="AO1" s="179"/>
    </row>
    <row r="2" spans="1:43" ht="20.25">
      <c r="A2" s="159"/>
      <c r="B2" s="2526" t="str">
        <f>INDEX(dms_TradingNameFull_List,MATCH(dms_TradingName,dms_TradingName_List))</f>
        <v>AusNet Gas Services</v>
      </c>
      <c r="C2" s="157"/>
      <c r="D2" s="157"/>
      <c r="E2" s="157"/>
      <c r="F2" s="157"/>
      <c r="G2" s="157"/>
      <c r="H2" s="157"/>
      <c r="I2" s="157"/>
      <c r="J2" s="157"/>
      <c r="K2" s="157"/>
      <c r="L2" s="157"/>
      <c r="M2" s="157"/>
      <c r="N2" s="157"/>
      <c r="O2" s="157"/>
      <c r="P2" s="157"/>
      <c r="Q2" s="157"/>
      <c r="R2" s="157"/>
      <c r="S2" s="157"/>
      <c r="T2" s="157"/>
      <c r="U2" s="157"/>
      <c r="V2" s="157"/>
      <c r="W2" s="157"/>
      <c r="X2" s="157"/>
      <c r="Y2" s="157"/>
      <c r="Z2" s="157"/>
      <c r="AA2" s="157"/>
      <c r="AB2" s="157"/>
      <c r="AC2" s="157"/>
      <c r="AD2" s="157"/>
      <c r="AE2" s="179"/>
      <c r="AF2" s="179"/>
      <c r="AG2" s="179"/>
      <c r="AH2" s="179"/>
      <c r="AI2" s="179"/>
      <c r="AJ2" s="179"/>
      <c r="AK2" s="179"/>
      <c r="AL2" s="179"/>
      <c r="AM2" s="179"/>
      <c r="AN2" s="179"/>
      <c r="AO2" s="179"/>
    </row>
    <row r="3" spans="1:43" ht="20.25">
      <c r="A3" s="159"/>
      <c r="B3" s="2526" t="str">
        <f ca="1">IF(SUM(dms_SingleYear_Model)&gt;0,CRY,CONCATENATE(FRCP_y1," to ",dms_MultiYear_FinalYear_Result))</f>
        <v>2018 to 2022</v>
      </c>
      <c r="C3" s="162" t="str">
        <f>CONCATENATE(LEFT(FRCP_y1,4),"-",LEFT(FRCP_y5,2),RIGHT(FRCP_y5,2))</f>
        <v>2018-2022</v>
      </c>
      <c r="D3" s="161"/>
      <c r="E3" s="161"/>
      <c r="F3" s="161"/>
      <c r="G3" s="161"/>
      <c r="H3" s="161"/>
      <c r="I3" s="161"/>
      <c r="J3" s="161"/>
      <c r="K3" s="161"/>
      <c r="L3" s="161"/>
      <c r="M3" s="161"/>
      <c r="N3" s="161"/>
      <c r="O3" s="161"/>
      <c r="P3" s="161"/>
      <c r="Q3" s="161"/>
      <c r="R3" s="161"/>
      <c r="S3" s="161"/>
      <c r="T3" s="161"/>
      <c r="U3" s="161"/>
      <c r="V3" s="161"/>
      <c r="W3" s="161"/>
      <c r="X3" s="161"/>
      <c r="Y3" s="161"/>
      <c r="Z3" s="161"/>
      <c r="AA3" s="161"/>
      <c r="AB3" s="161"/>
      <c r="AC3" s="161"/>
      <c r="AD3" s="161"/>
      <c r="AE3" s="1171"/>
      <c r="AF3" s="1171"/>
      <c r="AG3" s="1171"/>
      <c r="AH3" s="1171"/>
      <c r="AI3" s="1171"/>
      <c r="AJ3" s="1171"/>
      <c r="AK3" s="1171"/>
      <c r="AL3" s="1171"/>
      <c r="AM3" s="1171"/>
      <c r="AN3" s="1171"/>
      <c r="AO3" s="1171"/>
    </row>
    <row r="4" spans="1:43" ht="20.25">
      <c r="A4" s="159"/>
      <c r="B4" s="10" t="s">
        <v>426</v>
      </c>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row>
    <row r="5" spans="1:43">
      <c r="A5" s="1174"/>
      <c r="B5" s="1174"/>
      <c r="C5" s="1174"/>
      <c r="D5" s="1174"/>
      <c r="E5" s="1174"/>
      <c r="F5" s="1174"/>
      <c r="G5" s="1174"/>
      <c r="H5" s="1174"/>
      <c r="I5" s="1174"/>
      <c r="J5" s="1174"/>
      <c r="K5" s="1174"/>
      <c r="L5" s="1174"/>
      <c r="M5" s="1174"/>
      <c r="N5" s="1174"/>
      <c r="O5" s="1174"/>
      <c r="P5" s="1174"/>
      <c r="Q5" s="1174"/>
      <c r="R5" s="1174"/>
      <c r="S5" s="1174"/>
      <c r="T5" s="1174"/>
      <c r="U5" s="1174"/>
      <c r="V5" s="1174"/>
      <c r="W5" s="1174"/>
      <c r="X5" s="1174"/>
      <c r="Y5" s="1174"/>
      <c r="Z5" s="1174"/>
      <c r="AA5" s="1174"/>
      <c r="AB5" s="1174"/>
      <c r="AC5" s="1174"/>
      <c r="AH5"/>
      <c r="AI5"/>
      <c r="AJ5"/>
      <c r="AK5"/>
      <c r="AL5"/>
      <c r="AM5"/>
      <c r="AN5"/>
      <c r="AO5"/>
    </row>
    <row r="6" spans="1:43">
      <c r="A6" s="1174"/>
      <c r="B6" s="1174"/>
      <c r="C6" s="1174"/>
      <c r="D6" s="1174"/>
      <c r="E6" s="1174"/>
      <c r="F6" s="1174"/>
      <c r="G6" s="1174"/>
      <c r="H6" s="1174"/>
      <c r="I6" s="1174"/>
      <c r="J6" s="1174"/>
      <c r="K6" s="1174"/>
      <c r="L6" s="1174"/>
      <c r="M6" s="1174"/>
      <c r="N6" s="1174"/>
      <c r="O6" s="1174"/>
      <c r="P6" s="1174"/>
      <c r="Q6" s="1174"/>
      <c r="R6" s="1174"/>
      <c r="S6" s="1174"/>
      <c r="T6" s="1174"/>
      <c r="U6" s="1174"/>
      <c r="V6" s="1174"/>
      <c r="W6" s="1174"/>
      <c r="X6" s="1174"/>
      <c r="Y6" s="1174"/>
      <c r="Z6" s="1174"/>
      <c r="AA6" s="1174"/>
      <c r="AB6" s="1174"/>
      <c r="AC6" s="1174"/>
      <c r="AH6"/>
      <c r="AI6"/>
      <c r="AJ6"/>
      <c r="AK6"/>
      <c r="AL6"/>
      <c r="AM6"/>
      <c r="AN6"/>
      <c r="AO6"/>
    </row>
    <row r="7" spans="1:43" ht="50.25" customHeight="1">
      <c r="A7" s="262"/>
      <c r="B7" s="4024" t="s">
        <v>434</v>
      </c>
      <c r="C7" s="4024"/>
      <c r="D7" s="4024"/>
      <c r="E7" s="4024"/>
      <c r="F7" s="4024"/>
      <c r="G7" s="262"/>
      <c r="H7" s="262"/>
      <c r="I7" s="262"/>
      <c r="J7" s="262"/>
      <c r="K7" s="262"/>
      <c r="L7" s="262"/>
      <c r="M7" s="262"/>
      <c r="N7" s="262"/>
      <c r="O7" s="262"/>
      <c r="P7" s="262"/>
      <c r="Q7" s="262"/>
      <c r="R7" s="1174"/>
      <c r="S7" s="262"/>
      <c r="T7" s="262"/>
      <c r="U7" s="262"/>
      <c r="V7" s="262"/>
      <c r="W7" s="262"/>
      <c r="X7" s="262"/>
      <c r="Y7" s="262"/>
      <c r="Z7" s="262"/>
      <c r="AA7" s="262"/>
      <c r="AB7" s="262"/>
      <c r="AC7" s="262"/>
      <c r="AD7" s="262"/>
      <c r="AH7"/>
      <c r="AI7"/>
      <c r="AJ7"/>
      <c r="AK7"/>
      <c r="AL7" s="262"/>
      <c r="AM7" s="262"/>
      <c r="AN7" s="262"/>
      <c r="AO7" s="262"/>
    </row>
    <row r="8" spans="1:43" ht="20.25" customHeight="1">
      <c r="A8" s="262"/>
      <c r="B8" s="4024" t="s">
        <v>435</v>
      </c>
      <c r="C8" s="4024"/>
      <c r="D8" s="4024"/>
      <c r="E8" s="4024"/>
      <c r="F8" s="4024"/>
      <c r="G8" s="262"/>
      <c r="H8" s="262"/>
      <c r="I8" s="262"/>
      <c r="J8" s="262"/>
      <c r="K8" s="262"/>
      <c r="L8" s="262"/>
      <c r="M8" s="262"/>
      <c r="N8" s="262"/>
      <c r="O8" s="262"/>
      <c r="P8" s="262"/>
      <c r="Q8" s="262"/>
      <c r="R8" s="1174"/>
      <c r="S8" s="262"/>
      <c r="T8" s="262"/>
      <c r="U8" s="262"/>
      <c r="V8" s="262"/>
      <c r="W8" s="262"/>
      <c r="X8" s="262"/>
      <c r="Y8" s="262"/>
      <c r="Z8" s="262"/>
      <c r="AA8" s="262"/>
      <c r="AB8" s="262"/>
      <c r="AC8" s="262"/>
      <c r="AD8" s="262"/>
      <c r="AH8"/>
      <c r="AI8"/>
      <c r="AJ8"/>
      <c r="AK8"/>
      <c r="AL8" s="262"/>
      <c r="AM8" s="262"/>
      <c r="AN8" s="262"/>
      <c r="AO8" s="262"/>
    </row>
    <row r="9" spans="1:43" ht="42" customHeight="1">
      <c r="A9" s="262"/>
      <c r="B9" s="4024" t="str">
        <f>CONCATENATE("As set out in cl.6.1 of the ",dms_TradingName," RIN, for tables 4.1 to 4.3, where the requested data is captured in the ", dms_TradingName," capex model it is not required to be reentered in the RIN template tables.  If the requested data has not been provided in the  ",dms_TradingName,"  RIN please enter into the tables. This may require the insertion of new lines in each table.")</f>
        <v>As set out in cl.6.1 of the AusNet (Gas) RIN, for tables 4.1 to 4.3, where the requested data is captured in the AusNet (Gas) capex model it is not required to be reentered in the RIN template tables.  If the requested data has not been provided in the  AusNet (Gas)  RIN please enter into the tables. This may require the insertion of new lines in each table.</v>
      </c>
      <c r="C9" s="4024"/>
      <c r="D9" s="4024"/>
      <c r="E9" s="4024"/>
      <c r="F9" s="4024"/>
      <c r="G9" s="262"/>
      <c r="H9" s="262"/>
      <c r="I9" s="262"/>
      <c r="J9" s="262"/>
      <c r="K9" s="262"/>
      <c r="L9" s="262"/>
      <c r="M9" s="262"/>
      <c r="N9" s="262"/>
      <c r="O9" s="262"/>
      <c r="P9" s="262"/>
      <c r="Q9" s="262"/>
      <c r="R9" s="1174"/>
      <c r="S9" s="262"/>
      <c r="T9" s="262"/>
      <c r="U9" s="262"/>
      <c r="V9" s="262"/>
      <c r="W9" s="262"/>
      <c r="X9" s="262"/>
      <c r="Y9" s="262"/>
      <c r="Z9" s="262"/>
      <c r="AA9" s="262"/>
      <c r="AB9" s="262"/>
      <c r="AC9" s="262"/>
      <c r="AD9" s="262"/>
      <c r="AH9"/>
      <c r="AI9"/>
      <c r="AJ9"/>
      <c r="AK9"/>
      <c r="AL9" s="262"/>
      <c r="AM9" s="262"/>
      <c r="AN9" s="262"/>
      <c r="AO9" s="262"/>
    </row>
    <row r="10" spans="1:43" ht="42" customHeight="1">
      <c r="A10" s="262"/>
      <c r="B10" s="4024" t="s">
        <v>424</v>
      </c>
      <c r="C10" s="4024"/>
      <c r="D10" s="4024"/>
      <c r="E10" s="4024"/>
      <c r="F10" s="4024"/>
      <c r="G10" s="262"/>
      <c r="H10" s="262"/>
      <c r="I10" s="262"/>
      <c r="J10" s="262"/>
      <c r="K10" s="262"/>
      <c r="L10" s="262"/>
      <c r="M10" s="262"/>
      <c r="N10" s="262"/>
      <c r="O10" s="262"/>
      <c r="P10" s="262"/>
      <c r="Q10" s="262"/>
      <c r="R10" s="1174"/>
      <c r="S10" s="262"/>
      <c r="T10" s="262"/>
      <c r="U10" s="262"/>
      <c r="V10" s="262"/>
      <c r="W10" s="262"/>
      <c r="X10" s="262"/>
      <c r="Y10" s="262"/>
      <c r="Z10" s="262"/>
      <c r="AA10" s="262"/>
      <c r="AB10" s="262"/>
      <c r="AC10" s="262"/>
      <c r="AD10" s="262"/>
      <c r="AH10"/>
      <c r="AI10"/>
      <c r="AJ10"/>
      <c r="AK10"/>
      <c r="AL10" s="262"/>
      <c r="AM10" s="262"/>
      <c r="AN10" s="262"/>
      <c r="AO10" s="262"/>
    </row>
    <row r="11" spans="1:43" ht="42" customHeight="1">
      <c r="A11" s="262"/>
      <c r="B11" s="4024" t="str">
        <f>CONCATENATE("Subject to cl.6.1 of the ", dms_TradingName, " RIN, where linked/adjustable overhead expenditure and related party margin expenditure is not provided in the ", dms_TradingName, " capex model, overhead expenditure and related party margin expenditure should be linked to allocations derived in tabs '14. Overheads' and '15. Related party transactions'.")</f>
        <v>Subject to cl.6.1 of the AusNet (Gas) RIN, where linked/adjustable overhead expenditure and related party margin expenditure is not provided in the AusNet (Gas) capex model, overhead expenditure and related party margin expenditure should be linked to allocations derived in tabs '14. Overheads' and '15. Related party transactions'.</v>
      </c>
      <c r="C11" s="4024"/>
      <c r="D11" s="4024"/>
      <c r="E11" s="4024"/>
      <c r="F11" s="4024"/>
      <c r="G11" s="262"/>
      <c r="H11" s="262"/>
      <c r="I11" s="262"/>
      <c r="J11" s="262"/>
      <c r="K11" s="262"/>
      <c r="L11" s="262"/>
      <c r="M11" s="262"/>
      <c r="N11" s="262"/>
      <c r="O11" s="262"/>
      <c r="P11" s="262"/>
      <c r="Q11" s="262"/>
      <c r="R11" s="1174"/>
      <c r="S11" s="262"/>
      <c r="T11" s="262"/>
      <c r="U11" s="262"/>
      <c r="V11" s="262"/>
      <c r="W11" s="262"/>
      <c r="X11" s="262"/>
      <c r="Y11" s="262"/>
      <c r="Z11" s="262"/>
      <c r="AA11" s="262"/>
      <c r="AB11" s="262"/>
      <c r="AC11" s="262"/>
      <c r="AD11" s="262"/>
      <c r="AH11"/>
      <c r="AI11"/>
      <c r="AJ11"/>
      <c r="AK11"/>
      <c r="AL11" s="262"/>
      <c r="AM11" s="262"/>
      <c r="AN11" s="262"/>
      <c r="AO11" s="262"/>
    </row>
    <row r="12" spans="1:43" ht="42" customHeight="1">
      <c r="A12" s="262"/>
      <c r="B12" s="4024" t="s">
        <v>153</v>
      </c>
      <c r="C12" s="4024"/>
      <c r="D12" s="4024"/>
      <c r="E12" s="4024"/>
      <c r="F12" s="4024"/>
      <c r="G12" s="262"/>
      <c r="H12" s="262"/>
      <c r="I12" s="262"/>
      <c r="J12" s="262"/>
      <c r="K12" s="262"/>
      <c r="L12" s="262"/>
      <c r="M12" s="262"/>
      <c r="N12" s="262"/>
      <c r="O12" s="262"/>
      <c r="P12" s="262"/>
      <c r="Q12" s="262"/>
      <c r="R12" s="1174"/>
      <c r="S12" s="262"/>
      <c r="T12" s="262"/>
      <c r="U12" s="262"/>
      <c r="V12" s="262"/>
      <c r="W12" s="262"/>
      <c r="X12" s="262"/>
      <c r="Y12" s="262"/>
      <c r="Z12" s="262"/>
      <c r="AA12" s="262"/>
      <c r="AB12" s="262"/>
      <c r="AC12" s="262"/>
      <c r="AD12" s="262"/>
      <c r="AH12"/>
      <c r="AI12"/>
      <c r="AJ12"/>
      <c r="AK12"/>
      <c r="AL12" s="262"/>
      <c r="AM12" s="262"/>
      <c r="AN12" s="262"/>
      <c r="AO12" s="262"/>
    </row>
    <row r="13" spans="1:43" ht="33.75" customHeight="1">
      <c r="A13" s="262"/>
      <c r="B13" s="4024" t="s">
        <v>576</v>
      </c>
      <c r="C13" s="4024"/>
      <c r="D13" s="4024"/>
      <c r="E13" s="4024"/>
      <c r="F13" s="4024"/>
      <c r="G13" s="262"/>
      <c r="H13" s="262"/>
      <c r="I13" s="262"/>
      <c r="J13" s="262"/>
      <c r="K13" s="262"/>
      <c r="L13" s="262"/>
      <c r="M13" s="262"/>
      <c r="N13" s="262"/>
      <c r="O13" s="262"/>
      <c r="P13" s="262"/>
      <c r="Q13" s="262"/>
      <c r="R13" s="1174"/>
      <c r="S13" s="262"/>
      <c r="T13" s="262"/>
      <c r="U13" s="262"/>
      <c r="V13" s="262"/>
      <c r="W13" s="262"/>
      <c r="X13" s="262"/>
      <c r="Y13" s="262"/>
      <c r="Z13" s="262"/>
      <c r="AA13" s="262"/>
      <c r="AB13" s="262"/>
      <c r="AC13" s="262"/>
      <c r="AD13" s="262"/>
      <c r="AH13"/>
      <c r="AI13"/>
      <c r="AJ13"/>
      <c r="AK13"/>
      <c r="AL13" s="262"/>
      <c r="AM13" s="262"/>
      <c r="AN13" s="262"/>
      <c r="AO13" s="262"/>
    </row>
    <row r="14" spans="1:43">
      <c r="A14" s="1174"/>
      <c r="B14" s="1174"/>
      <c r="C14" s="1174"/>
      <c r="D14" s="1174"/>
      <c r="E14" s="1174"/>
      <c r="F14" s="1174"/>
      <c r="G14" s="1174"/>
      <c r="H14" s="1174"/>
      <c r="I14" s="1174"/>
      <c r="J14" s="1174"/>
      <c r="K14" s="1174"/>
      <c r="L14" s="1174"/>
      <c r="M14" s="1174"/>
      <c r="N14" s="1174"/>
      <c r="O14" s="1174"/>
      <c r="P14" s="1174"/>
      <c r="Q14" s="1174"/>
      <c r="R14" s="1174"/>
      <c r="S14" s="1174"/>
      <c r="T14" s="1174"/>
      <c r="U14" s="1174"/>
      <c r="V14" s="1174"/>
      <c r="W14" s="1174"/>
      <c r="X14" s="1174"/>
      <c r="Y14" s="1174"/>
      <c r="Z14" s="1174"/>
      <c r="AA14" s="1174"/>
      <c r="AB14" s="1174"/>
      <c r="AC14" s="1174"/>
      <c r="AD14" s="1174"/>
      <c r="AH14" s="1174"/>
      <c r="AI14" s="1174"/>
      <c r="AJ14" s="1174"/>
      <c r="AK14" s="1174"/>
      <c r="AL14" s="1174"/>
      <c r="AM14" s="1174"/>
      <c r="AN14" s="1174"/>
      <c r="AO14" s="1174"/>
    </row>
    <row r="15" spans="1:43" ht="13.5" thickBot="1">
      <c r="A15" s="1174"/>
      <c r="B15" s="1174"/>
      <c r="C15" s="1174"/>
      <c r="D15" s="1174"/>
      <c r="E15" s="1174"/>
      <c r="F15" s="1174"/>
      <c r="G15" s="1174"/>
      <c r="H15" s="1174"/>
      <c r="I15" s="1174"/>
      <c r="J15" s="1174"/>
      <c r="K15" s="1174"/>
      <c r="L15" s="1174"/>
      <c r="M15" s="1174"/>
      <c r="N15" s="1174"/>
      <c r="O15" s="1174"/>
      <c r="P15" s="1174"/>
      <c r="Q15" s="1174"/>
      <c r="R15" s="1174"/>
      <c r="S15" s="1174"/>
      <c r="T15" s="1174"/>
      <c r="U15" s="1174"/>
      <c r="V15" s="1174"/>
      <c r="W15" s="1174"/>
      <c r="X15" s="1174"/>
      <c r="Y15" s="1174"/>
      <c r="Z15" s="1174"/>
      <c r="AA15" s="1174"/>
      <c r="AB15" s="1174"/>
      <c r="AC15" s="1174"/>
      <c r="AD15" s="1174"/>
      <c r="AH15" s="1174"/>
      <c r="AI15" s="1174"/>
      <c r="AJ15" s="1174"/>
      <c r="AK15" s="1174"/>
      <c r="AL15" s="1174"/>
      <c r="AM15" s="1174"/>
      <c r="AN15" s="1174"/>
      <c r="AO15" s="1174"/>
    </row>
    <row r="16" spans="1:43" s="187" customFormat="1" ht="36.75" customHeight="1" thickBot="1">
      <c r="A16" s="832"/>
      <c r="B16" s="735" t="s">
        <v>481</v>
      </c>
      <c r="C16" s="735"/>
      <c r="D16" s="735"/>
      <c r="E16" s="735"/>
      <c r="F16" s="735"/>
      <c r="G16" s="735"/>
      <c r="H16" s="735"/>
      <c r="I16" s="735"/>
      <c r="J16" s="735"/>
      <c r="K16" s="735"/>
      <c r="L16" s="735"/>
      <c r="M16" s="735"/>
      <c r="N16" s="735"/>
      <c r="O16" s="735"/>
      <c r="P16" s="735"/>
      <c r="Q16" s="1201"/>
      <c r="R16" s="1174"/>
      <c r="S16" s="735"/>
      <c r="T16" s="735"/>
      <c r="U16" s="735"/>
      <c r="V16" s="735"/>
      <c r="W16" s="735"/>
      <c r="X16" s="735"/>
      <c r="Y16" s="735"/>
      <c r="Z16" s="735"/>
      <c r="AA16" s="735"/>
      <c r="AB16" s="735"/>
      <c r="AC16" s="735"/>
      <c r="AD16" s="735"/>
      <c r="AE16"/>
      <c r="AG16"/>
      <c r="AH16"/>
      <c r="AI16"/>
      <c r="AJ16"/>
      <c r="AK16"/>
      <c r="AL16"/>
      <c r="AM16"/>
      <c r="AN16"/>
      <c r="AO16"/>
      <c r="AP16"/>
      <c r="AQ16"/>
    </row>
    <row r="17" spans="1:44" s="187" customFormat="1" ht="36.75" customHeight="1" thickBot="1">
      <c r="A17" s="832"/>
      <c r="B17" s="1253" t="s">
        <v>334</v>
      </c>
      <c r="C17" s="1256"/>
      <c r="D17" s="1256"/>
      <c r="E17" s="1256"/>
      <c r="F17" s="1256"/>
      <c r="G17" s="1256"/>
      <c r="H17" s="1256"/>
      <c r="I17" s="1256"/>
      <c r="J17" s="1256"/>
      <c r="K17" s="1256"/>
      <c r="L17" s="1256"/>
      <c r="M17" s="1256"/>
      <c r="N17" s="1256"/>
      <c r="O17" s="1256"/>
      <c r="P17" s="1256"/>
      <c r="Q17" s="1257"/>
      <c r="R17" s="1174"/>
      <c r="S17" s="1821"/>
      <c r="T17" s="1822"/>
      <c r="U17" s="1822"/>
      <c r="V17" s="1822"/>
      <c r="W17" s="1822"/>
      <c r="X17" s="1822"/>
      <c r="Y17" s="1822"/>
      <c r="Z17" s="1822"/>
      <c r="AA17" s="1822"/>
      <c r="AB17" s="1822"/>
      <c r="AC17" s="1822"/>
      <c r="AD17" s="1822"/>
      <c r="AE17"/>
      <c r="AG17"/>
      <c r="AH17"/>
      <c r="AI17"/>
      <c r="AJ17"/>
      <c r="AK17"/>
      <c r="AL17"/>
      <c r="AM17"/>
      <c r="AN17"/>
      <c r="AO17"/>
      <c r="AP17"/>
      <c r="AQ17"/>
      <c r="AR17"/>
    </row>
    <row r="18" spans="1:44" ht="18" customHeight="1">
      <c r="A18" s="1174"/>
      <c r="B18" s="950"/>
      <c r="C18" s="4025" t="s">
        <v>36</v>
      </c>
      <c r="D18" s="4026"/>
      <c r="E18" s="4026"/>
      <c r="F18" s="4026"/>
      <c r="G18" s="4026"/>
      <c r="H18" s="4027" t="s">
        <v>37</v>
      </c>
      <c r="I18" s="4027"/>
      <c r="J18" s="4027"/>
      <c r="K18" s="4027"/>
      <c r="L18" s="4027"/>
      <c r="M18" s="4028" t="s">
        <v>73</v>
      </c>
      <c r="N18" s="4026"/>
      <c r="O18" s="4026"/>
      <c r="P18" s="4026"/>
      <c r="Q18" s="4029"/>
      <c r="R18" s="1174"/>
      <c r="S18" s="4019" t="s">
        <v>36</v>
      </c>
      <c r="T18" s="4020"/>
      <c r="U18" s="4020"/>
      <c r="V18" s="4020"/>
      <c r="W18" s="4020"/>
      <c r="X18" s="4020"/>
      <c r="Y18" s="4008" t="s">
        <v>37</v>
      </c>
      <c r="Z18" s="4008"/>
      <c r="AA18" s="4008"/>
      <c r="AB18" s="4008"/>
      <c r="AC18" s="4008"/>
      <c r="AD18" s="4009"/>
      <c r="AH18"/>
      <c r="AI18"/>
      <c r="AJ18"/>
      <c r="AK18"/>
      <c r="AL18"/>
      <c r="AM18"/>
      <c r="AN18"/>
      <c r="AO18"/>
    </row>
    <row r="19" spans="1:44" ht="15">
      <c r="A19" s="245"/>
      <c r="B19" s="951"/>
      <c r="C19" s="4010" t="s">
        <v>337</v>
      </c>
      <c r="D19" s="4011"/>
      <c r="E19" s="4011"/>
      <c r="F19" s="4011"/>
      <c r="G19" s="4011"/>
      <c r="H19" s="4011"/>
      <c r="I19" s="4011"/>
      <c r="J19" s="4011"/>
      <c r="K19" s="4011"/>
      <c r="L19" s="4011"/>
      <c r="M19" s="4011"/>
      <c r="N19" s="4011"/>
      <c r="O19" s="4011"/>
      <c r="P19" s="4011"/>
      <c r="Q19" s="4012"/>
      <c r="R19" s="1174"/>
      <c r="S19" s="4021" t="s">
        <v>337</v>
      </c>
      <c r="T19" s="4022"/>
      <c r="U19" s="4022"/>
      <c r="V19" s="4022"/>
      <c r="W19" s="4022"/>
      <c r="X19" s="4022"/>
      <c r="Y19" s="4022"/>
      <c r="Z19" s="4022"/>
      <c r="AA19" s="4022"/>
      <c r="AB19" s="4022"/>
      <c r="AC19" s="4022"/>
      <c r="AD19" s="4023"/>
      <c r="AH19"/>
      <c r="AI19"/>
      <c r="AJ19"/>
      <c r="AK19"/>
      <c r="AL19"/>
      <c r="AM19"/>
      <c r="AN19"/>
      <c r="AO19"/>
    </row>
    <row r="20" spans="1:44" ht="30" customHeight="1">
      <c r="A20" s="1174"/>
      <c r="B20" s="952"/>
      <c r="C20" s="4013" t="s">
        <v>54</v>
      </c>
      <c r="D20" s="4014"/>
      <c r="E20" s="4014"/>
      <c r="F20" s="4014"/>
      <c r="G20" s="4014"/>
      <c r="H20" s="4014"/>
      <c r="I20" s="4014"/>
      <c r="J20" s="4015"/>
      <c r="K20" s="4016" t="s">
        <v>55</v>
      </c>
      <c r="L20" s="4017"/>
      <c r="M20" s="4017"/>
      <c r="N20" s="4017"/>
      <c r="O20" s="4017"/>
      <c r="P20" s="4017"/>
      <c r="Q20" s="4018"/>
      <c r="R20" s="1174"/>
      <c r="S20" s="4021" t="s">
        <v>74</v>
      </c>
      <c r="T20" s="4022"/>
      <c r="U20" s="4022"/>
      <c r="V20" s="4022"/>
      <c r="W20" s="4022"/>
      <c r="X20" s="4022"/>
      <c r="Y20" s="4022"/>
      <c r="Z20" s="4022"/>
      <c r="AA20" s="4022"/>
      <c r="AB20" s="4022"/>
      <c r="AC20" s="4022"/>
      <c r="AD20" s="4023"/>
      <c r="AH20"/>
      <c r="AI20"/>
      <c r="AJ20"/>
      <c r="AK20"/>
      <c r="AL20"/>
      <c r="AM20"/>
      <c r="AN20"/>
      <c r="AO20"/>
    </row>
    <row r="21" spans="1:44" ht="60.75" thickBot="1">
      <c r="A21" s="247"/>
      <c r="B21" s="953"/>
      <c r="C21" s="1217">
        <f t="array" ref="C21:G21">PRCP</f>
        <v>2008</v>
      </c>
      <c r="D21" s="248">
        <v>2009</v>
      </c>
      <c r="E21" s="248">
        <v>2010</v>
      </c>
      <c r="F21" s="248">
        <v>2011</v>
      </c>
      <c r="G21" s="248">
        <v>2012</v>
      </c>
      <c r="H21" s="249">
        <f>CRCP_y1</f>
        <v>2013</v>
      </c>
      <c r="I21" s="249">
        <f>CRCP_y2</f>
        <v>2014</v>
      </c>
      <c r="J21" s="249">
        <f>CRCP_y3</f>
        <v>2015</v>
      </c>
      <c r="K21" s="249">
        <f>CRCP_y4</f>
        <v>2016</v>
      </c>
      <c r="L21" s="249">
        <f>CRCP_y5</f>
        <v>2017</v>
      </c>
      <c r="M21" s="248" t="str">
        <f t="array" ref="M21:Q21">FRCP</f>
        <v>2018</v>
      </c>
      <c r="N21" s="248">
        <v>2019</v>
      </c>
      <c r="O21" s="248">
        <v>2020</v>
      </c>
      <c r="P21" s="248">
        <v>2021</v>
      </c>
      <c r="Q21" s="8">
        <v>2022</v>
      </c>
      <c r="R21" s="1174"/>
      <c r="S21" s="1823">
        <f t="array" ref="S21:W21">PRCP</f>
        <v>2008</v>
      </c>
      <c r="T21" s="250">
        <v>2009</v>
      </c>
      <c r="U21" s="250">
        <v>2010</v>
      </c>
      <c r="V21" s="250">
        <v>2011</v>
      </c>
      <c r="W21" s="250">
        <v>2012</v>
      </c>
      <c r="X21" s="1820" t="s">
        <v>644</v>
      </c>
      <c r="Y21" s="251">
        <f>CRCP_y1</f>
        <v>2013</v>
      </c>
      <c r="Z21" s="251">
        <f>CRCP_y2</f>
        <v>2014</v>
      </c>
      <c r="AA21" s="251">
        <f>CRCP_y3</f>
        <v>2015</v>
      </c>
      <c r="AB21" s="251">
        <f>CRCP_y4</f>
        <v>2016</v>
      </c>
      <c r="AC21" s="251">
        <f>CRCP_y5</f>
        <v>2017</v>
      </c>
      <c r="AD21" s="1824" t="s">
        <v>644</v>
      </c>
      <c r="AH21"/>
      <c r="AI21"/>
      <c r="AJ21"/>
      <c r="AK21"/>
      <c r="AL21"/>
      <c r="AM21"/>
      <c r="AN21"/>
      <c r="AO21"/>
    </row>
    <row r="22" spans="1:44" ht="13.5" thickBot="1">
      <c r="A22" s="1174"/>
      <c r="B22" s="1174"/>
      <c r="C22" s="1174"/>
      <c r="D22" s="1174"/>
      <c r="E22" s="1174"/>
      <c r="F22" s="1174"/>
      <c r="G22" s="1174"/>
      <c r="H22" s="1174"/>
      <c r="I22" s="1174"/>
      <c r="J22" s="1174"/>
      <c r="K22" s="1174"/>
      <c r="L22" s="1174"/>
      <c r="M22" s="1174"/>
      <c r="N22" s="1174"/>
      <c r="O22" s="1174"/>
      <c r="P22" s="1174"/>
      <c r="Q22" s="1174"/>
      <c r="R22" s="1174"/>
      <c r="S22" s="1174"/>
      <c r="T22" s="1174"/>
      <c r="U22" s="1174"/>
      <c r="V22" s="1174"/>
      <c r="W22" s="1174"/>
      <c r="X22" s="1174"/>
      <c r="Y22" s="1174"/>
      <c r="Z22" s="1174"/>
      <c r="AA22" s="1174"/>
      <c r="AB22" s="1174"/>
      <c r="AC22" s="1174"/>
      <c r="AD22" s="1174"/>
      <c r="AH22"/>
      <c r="AI22"/>
      <c r="AJ22"/>
      <c r="AK22"/>
      <c r="AL22"/>
      <c r="AM22"/>
      <c r="AN22"/>
      <c r="AO22"/>
    </row>
    <row r="23" spans="1:44" ht="16.5" thickBot="1">
      <c r="A23" s="1174"/>
      <c r="B23" s="252" t="s">
        <v>335</v>
      </c>
      <c r="C23" s="269"/>
      <c r="D23" s="269"/>
      <c r="E23" s="269"/>
      <c r="F23" s="269"/>
      <c r="G23" s="269"/>
      <c r="H23" s="269"/>
      <c r="I23" s="269"/>
      <c r="J23" s="269"/>
      <c r="K23" s="269"/>
      <c r="L23" s="269"/>
      <c r="M23" s="269"/>
      <c r="N23" s="269"/>
      <c r="O23" s="269"/>
      <c r="P23" s="269"/>
      <c r="Q23" s="270"/>
      <c r="R23" s="1174"/>
      <c r="S23" s="252"/>
      <c r="T23" s="269"/>
      <c r="U23" s="269"/>
      <c r="V23" s="269"/>
      <c r="W23" s="269"/>
      <c r="X23" s="269"/>
      <c r="Y23" s="269"/>
      <c r="Z23" s="269"/>
      <c r="AA23" s="269"/>
      <c r="AB23" s="269"/>
      <c r="AC23" s="269"/>
      <c r="AD23" s="270"/>
      <c r="AH23"/>
      <c r="AI23"/>
      <c r="AJ23"/>
      <c r="AK23"/>
      <c r="AL23"/>
      <c r="AM23"/>
      <c r="AN23"/>
      <c r="AO23"/>
    </row>
    <row r="24" spans="1:44">
      <c r="A24" s="262"/>
      <c r="B24" s="1" t="s">
        <v>553</v>
      </c>
      <c r="C24" s="256"/>
      <c r="D24" s="257"/>
      <c r="E24" s="257"/>
      <c r="F24" s="257"/>
      <c r="G24" s="280"/>
      <c r="H24" s="256"/>
      <c r="I24" s="257"/>
      <c r="J24" s="257"/>
      <c r="K24" s="257"/>
      <c r="L24" s="280"/>
      <c r="M24" s="966"/>
      <c r="N24" s="257"/>
      <c r="O24" s="257"/>
      <c r="P24" s="257"/>
      <c r="Q24" s="280"/>
      <c r="R24" s="1174"/>
      <c r="S24" s="3621"/>
      <c r="T24" s="257"/>
      <c r="U24" s="257"/>
      <c r="V24" s="257"/>
      <c r="W24" s="257"/>
      <c r="X24" s="257" t="s">
        <v>381</v>
      </c>
      <c r="Y24" s="257"/>
      <c r="Z24" s="257"/>
      <c r="AA24" s="257"/>
      <c r="AB24" s="257"/>
      <c r="AC24" s="257"/>
      <c r="AD24" s="280"/>
      <c r="AH24"/>
      <c r="AI24"/>
      <c r="AJ24"/>
      <c r="AK24"/>
      <c r="AL24"/>
      <c r="AM24"/>
      <c r="AN24"/>
      <c r="AO24"/>
    </row>
    <row r="25" spans="1:44">
      <c r="A25" s="262"/>
      <c r="B25" s="2" t="s">
        <v>451</v>
      </c>
      <c r="C25" s="255">
        <v>13935</v>
      </c>
      <c r="D25" s="461">
        <v>15213</v>
      </c>
      <c r="E25" s="461">
        <v>16049</v>
      </c>
      <c r="F25" s="461">
        <v>14612</v>
      </c>
      <c r="G25" s="281">
        <v>11732</v>
      </c>
      <c r="H25" s="255">
        <v>10884</v>
      </c>
      <c r="I25" s="461">
        <v>12073</v>
      </c>
      <c r="J25" s="461">
        <v>11657</v>
      </c>
      <c r="K25" s="461">
        <v>10230.463225935935</v>
      </c>
      <c r="L25" s="281">
        <v>11561.731527301743</v>
      </c>
      <c r="M25" s="956">
        <v>12339.649873916049</v>
      </c>
      <c r="N25" s="461">
        <v>12483.143300320768</v>
      </c>
      <c r="O25" s="461">
        <v>12672.529025543947</v>
      </c>
      <c r="P25" s="461">
        <v>12899.928554093585</v>
      </c>
      <c r="Q25" s="281">
        <v>12518.311185936258</v>
      </c>
      <c r="R25" s="1174"/>
      <c r="S25" s="255">
        <v>9908</v>
      </c>
      <c r="T25" s="461">
        <v>10492</v>
      </c>
      <c r="U25" s="461">
        <v>10655</v>
      </c>
      <c r="V25" s="461">
        <v>10388</v>
      </c>
      <c r="W25" s="461">
        <v>9516</v>
      </c>
      <c r="X25" s="2943">
        <v>0.4038933260071822</v>
      </c>
      <c r="Y25" s="461">
        <v>12086</v>
      </c>
      <c r="Z25" s="461">
        <v>12408</v>
      </c>
      <c r="AA25" s="461">
        <v>12761</v>
      </c>
      <c r="AB25" s="461">
        <v>12206</v>
      </c>
      <c r="AC25" s="461">
        <v>11581</v>
      </c>
      <c r="AD25" s="2947">
        <v>-7.5944517656078125E-2</v>
      </c>
      <c r="AH25"/>
      <c r="AI25"/>
      <c r="AJ25"/>
      <c r="AK25"/>
      <c r="AL25"/>
      <c r="AM25"/>
      <c r="AN25"/>
      <c r="AO25"/>
    </row>
    <row r="26" spans="1:44">
      <c r="A26" s="262"/>
      <c r="B26" s="2" t="s">
        <v>556</v>
      </c>
      <c r="C26" s="255">
        <v>2852</v>
      </c>
      <c r="D26" s="461">
        <v>3057</v>
      </c>
      <c r="E26" s="461">
        <v>3298</v>
      </c>
      <c r="F26" s="461">
        <v>3388</v>
      </c>
      <c r="G26" s="281">
        <v>3751</v>
      </c>
      <c r="H26" s="255">
        <v>3268</v>
      </c>
      <c r="I26" s="461">
        <v>3531</v>
      </c>
      <c r="J26" s="461">
        <v>3662</v>
      </c>
      <c r="K26" s="461">
        <v>3109</v>
      </c>
      <c r="L26" s="281">
        <v>3423</v>
      </c>
      <c r="M26" s="956">
        <v>3574</v>
      </c>
      <c r="N26" s="461">
        <v>3667</v>
      </c>
      <c r="O26" s="461">
        <v>3763</v>
      </c>
      <c r="P26" s="461">
        <v>3861</v>
      </c>
      <c r="Q26" s="281">
        <v>3757</v>
      </c>
      <c r="R26" s="1174"/>
      <c r="S26" s="255">
        <v>3391</v>
      </c>
      <c r="T26" s="461">
        <v>3590</v>
      </c>
      <c r="U26" s="461">
        <v>3646</v>
      </c>
      <c r="V26" s="461">
        <v>3555</v>
      </c>
      <c r="W26" s="461">
        <v>3257</v>
      </c>
      <c r="X26" s="890">
        <v>-6.2675612133723302E-2</v>
      </c>
      <c r="Y26" s="461">
        <v>4136</v>
      </c>
      <c r="Z26" s="461">
        <v>4246</v>
      </c>
      <c r="AA26" s="461">
        <v>4367</v>
      </c>
      <c r="AB26" s="461">
        <v>4177</v>
      </c>
      <c r="AC26" s="461">
        <v>3963</v>
      </c>
      <c r="AD26" s="2947">
        <v>-0.18650964622528599</v>
      </c>
      <c r="AH26"/>
      <c r="AI26"/>
      <c r="AJ26"/>
      <c r="AK26"/>
      <c r="AL26"/>
      <c r="AM26"/>
      <c r="AN26"/>
      <c r="AO26"/>
    </row>
    <row r="27" spans="1:44">
      <c r="A27" s="262"/>
      <c r="B27" s="253" t="s">
        <v>452</v>
      </c>
      <c r="C27" s="255">
        <v>173</v>
      </c>
      <c r="D27" s="461">
        <v>234</v>
      </c>
      <c r="E27" s="461">
        <v>248</v>
      </c>
      <c r="F27" s="461">
        <v>229</v>
      </c>
      <c r="G27" s="281">
        <v>285</v>
      </c>
      <c r="H27" s="255">
        <v>226</v>
      </c>
      <c r="I27" s="461">
        <v>252</v>
      </c>
      <c r="J27" s="461">
        <v>332</v>
      </c>
      <c r="K27" s="461">
        <v>275.00649597841584</v>
      </c>
      <c r="L27" s="281">
        <v>268.94896505648143</v>
      </c>
      <c r="M27" s="956">
        <v>277.36617416352158</v>
      </c>
      <c r="N27" s="461">
        <v>280.81457390664502</v>
      </c>
      <c r="O27" s="461">
        <v>284.8425342489333</v>
      </c>
      <c r="P27" s="461">
        <v>289.34898942175346</v>
      </c>
      <c r="Q27" s="281">
        <v>284.48525680429958</v>
      </c>
      <c r="R27" s="1174"/>
      <c r="S27" s="255">
        <v>335</v>
      </c>
      <c r="T27" s="461">
        <v>356</v>
      </c>
      <c r="U27" s="461">
        <v>376</v>
      </c>
      <c r="V27" s="461">
        <v>420</v>
      </c>
      <c r="W27" s="461">
        <v>432</v>
      </c>
      <c r="X27" s="890">
        <v>-0.39082855653986448</v>
      </c>
      <c r="Y27" s="461">
        <v>192</v>
      </c>
      <c r="Z27" s="461">
        <v>200</v>
      </c>
      <c r="AA27" s="461">
        <v>203</v>
      </c>
      <c r="AB27" s="461">
        <v>199</v>
      </c>
      <c r="AC27" s="461">
        <v>194</v>
      </c>
      <c r="AD27" s="2947">
        <v>0.37040026420536165</v>
      </c>
      <c r="AH27"/>
      <c r="AI27"/>
      <c r="AJ27"/>
      <c r="AK27"/>
      <c r="AL27"/>
      <c r="AM27"/>
      <c r="AN27"/>
      <c r="AO27"/>
    </row>
    <row r="28" spans="1:44">
      <c r="A28" s="262"/>
      <c r="B28" s="253" t="s">
        <v>453</v>
      </c>
      <c r="C28" s="255">
        <v>7</v>
      </c>
      <c r="D28" s="461">
        <v>8</v>
      </c>
      <c r="E28" s="461">
        <v>2</v>
      </c>
      <c r="F28" s="461">
        <v>4</v>
      </c>
      <c r="G28" s="281">
        <v>9</v>
      </c>
      <c r="H28" s="255">
        <v>3</v>
      </c>
      <c r="I28" s="461">
        <v>8</v>
      </c>
      <c r="J28" s="461">
        <v>6</v>
      </c>
      <c r="K28" s="461">
        <v>0</v>
      </c>
      <c r="L28" s="281">
        <v>7.7666666666670308</v>
      </c>
      <c r="M28" s="956">
        <v>6.6238095238101478</v>
      </c>
      <c r="N28" s="461">
        <v>6.6238095238083288</v>
      </c>
      <c r="O28" s="461">
        <v>6.6238095238101478</v>
      </c>
      <c r="P28" s="461">
        <v>6.6238095238101478</v>
      </c>
      <c r="Q28" s="281">
        <v>6.6238095238092383</v>
      </c>
      <c r="R28" s="1174"/>
      <c r="S28" s="255">
        <v>10</v>
      </c>
      <c r="T28" s="461">
        <v>11</v>
      </c>
      <c r="U28" s="461">
        <v>11</v>
      </c>
      <c r="V28" s="461">
        <v>12</v>
      </c>
      <c r="W28" s="461">
        <v>13</v>
      </c>
      <c r="X28" s="890">
        <v>-0.45614035087719296</v>
      </c>
      <c r="Y28" s="461">
        <v>5</v>
      </c>
      <c r="Z28" s="461">
        <v>6</v>
      </c>
      <c r="AA28" s="461">
        <v>6</v>
      </c>
      <c r="AB28" s="461">
        <v>6</v>
      </c>
      <c r="AC28" s="461">
        <v>6</v>
      </c>
      <c r="AD28" s="2947">
        <v>0.31954022988507003</v>
      </c>
      <c r="AH28"/>
      <c r="AI28"/>
      <c r="AJ28"/>
      <c r="AK28"/>
      <c r="AL28"/>
      <c r="AM28"/>
      <c r="AN28"/>
      <c r="AO28"/>
    </row>
    <row r="29" spans="1:44">
      <c r="A29" s="262"/>
      <c r="B29" s="501" t="s">
        <v>118</v>
      </c>
      <c r="C29" s="258">
        <f>SUM(C24:C28)</f>
        <v>16967</v>
      </c>
      <c r="D29" s="465">
        <f t="shared" ref="D29:W29" si="0">SUM(D24:D28)</f>
        <v>18512</v>
      </c>
      <c r="E29" s="465">
        <f t="shared" si="0"/>
        <v>19597</v>
      </c>
      <c r="F29" s="465">
        <f t="shared" si="0"/>
        <v>18233</v>
      </c>
      <c r="G29" s="282">
        <f t="shared" si="0"/>
        <v>15777</v>
      </c>
      <c r="H29" s="258">
        <f t="shared" si="0"/>
        <v>14381</v>
      </c>
      <c r="I29" s="465">
        <f t="shared" si="0"/>
        <v>15864</v>
      </c>
      <c r="J29" s="465">
        <f t="shared" si="0"/>
        <v>15657</v>
      </c>
      <c r="K29" s="465">
        <f t="shared" si="0"/>
        <v>13614.469721914351</v>
      </c>
      <c r="L29" s="282">
        <f t="shared" si="0"/>
        <v>15261.44715902489</v>
      </c>
      <c r="M29" s="965">
        <f t="shared" si="0"/>
        <v>16197.639857603381</v>
      </c>
      <c r="N29" s="465">
        <f t="shared" si="0"/>
        <v>16437.581683751221</v>
      </c>
      <c r="O29" s="465">
        <f t="shared" si="0"/>
        <v>16726.99536931669</v>
      </c>
      <c r="P29" s="465">
        <f t="shared" si="0"/>
        <v>17056.901353039149</v>
      </c>
      <c r="Q29" s="282">
        <f t="shared" si="0"/>
        <v>16566.420252264365</v>
      </c>
      <c r="R29" s="1174"/>
      <c r="S29" s="3619">
        <f>SUM(S24:S28)</f>
        <v>13644</v>
      </c>
      <c r="T29" s="3617">
        <f t="shared" si="0"/>
        <v>14449</v>
      </c>
      <c r="U29" s="465">
        <f t="shared" si="0"/>
        <v>14688</v>
      </c>
      <c r="V29" s="465">
        <f t="shared" si="0"/>
        <v>14375</v>
      </c>
      <c r="W29" s="465">
        <f t="shared" si="0"/>
        <v>13218</v>
      </c>
      <c r="X29" s="2944">
        <f>SUM(C29:G29)/SUM(S29:W29)-1</f>
        <v>0.26589365390627218</v>
      </c>
      <c r="Y29" s="465">
        <f t="shared" ref="Y29:AC29" si="1">SUM(Y24:Y28)</f>
        <v>16419</v>
      </c>
      <c r="Z29" s="465">
        <f t="shared" si="1"/>
        <v>16860</v>
      </c>
      <c r="AA29" s="465">
        <f t="shared" si="1"/>
        <v>17337</v>
      </c>
      <c r="AB29" s="465">
        <f t="shared" si="1"/>
        <v>16588</v>
      </c>
      <c r="AC29" s="465">
        <f t="shared" si="1"/>
        <v>15744</v>
      </c>
      <c r="AD29" s="2948">
        <f t="shared" ref="AD29" si="2">SUM(H29:L29)/SUM(Y29:AC29)-1</f>
        <v>-9.8496444990364473E-2</v>
      </c>
      <c r="AH29"/>
      <c r="AI29"/>
      <c r="AJ29"/>
      <c r="AK29"/>
      <c r="AL29"/>
      <c r="AM29"/>
      <c r="AN29"/>
      <c r="AO29"/>
    </row>
    <row r="30" spans="1:44" ht="25.5">
      <c r="A30" s="262"/>
      <c r="B30" s="253" t="s">
        <v>163</v>
      </c>
      <c r="C30" s="259">
        <f>'27. Customer numbers'!D29+'27. Customer numbers'!D35+'27. Customer numbers'!D47+'27. Customer numbers'!D53+'27. Customer numbers'!D65+'27. Customer numbers'!D71+'27. Customer numbers'!D83+'27. Customer numbers'!D89+'27. Customer numbers'!D101+'27. Customer numbers'!D107+'27. Customer numbers'!D119+'27. Customer numbers'!D125</f>
        <v>16967</v>
      </c>
      <c r="D30" s="466">
        <f>'27. Customer numbers'!E29+'27. Customer numbers'!E35+'27. Customer numbers'!E47+'27. Customer numbers'!E53+'27. Customer numbers'!E65+'27. Customer numbers'!E71+'27. Customer numbers'!E83+'27. Customer numbers'!E89+'27. Customer numbers'!E101+'27. Customer numbers'!E107+'27. Customer numbers'!E119+'27. Customer numbers'!E125</f>
        <v>18512</v>
      </c>
      <c r="E30" s="466">
        <f>'27. Customer numbers'!F29+'27. Customer numbers'!F35+'27. Customer numbers'!F47+'27. Customer numbers'!F53+'27. Customer numbers'!F65+'27. Customer numbers'!F71+'27. Customer numbers'!F83+'27. Customer numbers'!F89+'27. Customer numbers'!F101+'27. Customer numbers'!F107+'27. Customer numbers'!F119+'27. Customer numbers'!F125</f>
        <v>19597</v>
      </c>
      <c r="F30" s="466">
        <f>'27. Customer numbers'!G29+'27. Customer numbers'!G35+'27. Customer numbers'!G47+'27. Customer numbers'!G53+'27. Customer numbers'!G65+'27. Customer numbers'!G71+'27. Customer numbers'!G83+'27. Customer numbers'!G89+'27. Customer numbers'!G101+'27. Customer numbers'!G107+'27. Customer numbers'!G119+'27. Customer numbers'!G125</f>
        <v>18233</v>
      </c>
      <c r="G30" s="283">
        <f>'27. Customer numbers'!H29+'27. Customer numbers'!H35+'27. Customer numbers'!H47+'27. Customer numbers'!H53+'27. Customer numbers'!H65+'27. Customer numbers'!H71+'27. Customer numbers'!H83+'27. Customer numbers'!H89+'27. Customer numbers'!H101+'27. Customer numbers'!H107+'27. Customer numbers'!H119+'27. Customer numbers'!H125</f>
        <v>15777</v>
      </c>
      <c r="H30" s="259">
        <f>'27. Customer numbers'!I29+'27. Customer numbers'!I35+'27. Customer numbers'!I47+'27. Customer numbers'!I53+'27. Customer numbers'!I65+'27. Customer numbers'!I71+'27. Customer numbers'!I83+'27. Customer numbers'!I89+'27. Customer numbers'!I101+'27. Customer numbers'!I107+'27. Customer numbers'!I119+'27. Customer numbers'!I125</f>
        <v>14381</v>
      </c>
      <c r="I30" s="466">
        <f>'27. Customer numbers'!J29+'27. Customer numbers'!J35+'27. Customer numbers'!J47+'27. Customer numbers'!J53+'27. Customer numbers'!J65+'27. Customer numbers'!J71+'27. Customer numbers'!J83+'27. Customer numbers'!J89+'27. Customer numbers'!J101+'27. Customer numbers'!J107+'27. Customer numbers'!J119+'27. Customer numbers'!J125</f>
        <v>15864</v>
      </c>
      <c r="J30" s="466">
        <f>'27. Customer numbers'!K29+'27. Customer numbers'!K35+'27. Customer numbers'!K47+'27. Customer numbers'!K53+'27. Customer numbers'!K65+'27. Customer numbers'!K71+'27. Customer numbers'!K83+'27. Customer numbers'!K89+'27. Customer numbers'!K101+'27. Customer numbers'!K107+'27. Customer numbers'!K119+'27. Customer numbers'!K125</f>
        <v>15657</v>
      </c>
      <c r="K30" s="466">
        <f>'27. Customer numbers'!L29+'27. Customer numbers'!L35+'27. Customer numbers'!L47+'27. Customer numbers'!L53+'27. Customer numbers'!L65+'27. Customer numbers'!L71+'27. Customer numbers'!L83+'27. Customer numbers'!L89+'27. Customer numbers'!L101+'27. Customer numbers'!L107+'27. Customer numbers'!L119+'27. Customer numbers'!L125</f>
        <v>13614.469721914353</v>
      </c>
      <c r="L30" s="283">
        <f>'27. Customer numbers'!M29+'27. Customer numbers'!M35+'27. Customer numbers'!M47+'27. Customer numbers'!M53+'27. Customer numbers'!M65+'27. Customer numbers'!M71+'27. Customer numbers'!M83+'27. Customer numbers'!M89+'27. Customer numbers'!M101+'27. Customer numbers'!M107+'27. Customer numbers'!M119+'27. Customer numbers'!M125</f>
        <v>15261.447159024892</v>
      </c>
      <c r="M30" s="957">
        <f>'27. Customer numbers'!N29+'27. Customer numbers'!N35+'27. Customer numbers'!N47+'27. Customer numbers'!N53+'27. Customer numbers'!N65+'27. Customer numbers'!N71+'27. Customer numbers'!N83+'27. Customer numbers'!N89+'27. Customer numbers'!N101+'27. Customer numbers'!N107+'27. Customer numbers'!N119+'27. Customer numbers'!N125</f>
        <v>16197.639857603383</v>
      </c>
      <c r="N30" s="466">
        <f>'27. Customer numbers'!O29+'27. Customer numbers'!O35+'27. Customer numbers'!O47+'27. Customer numbers'!O53+'27. Customer numbers'!O65+'27. Customer numbers'!O71+'27. Customer numbers'!O83+'27. Customer numbers'!O89+'27. Customer numbers'!O101+'27. Customer numbers'!O107+'27. Customer numbers'!O119+'27. Customer numbers'!O125</f>
        <v>16437.581683751225</v>
      </c>
      <c r="O30" s="466">
        <f>'27. Customer numbers'!P29+'27. Customer numbers'!P35+'27. Customer numbers'!P47+'27. Customer numbers'!P53+'27. Customer numbers'!P65+'27. Customer numbers'!P71+'27. Customer numbers'!P83+'27. Customer numbers'!P89+'27. Customer numbers'!P101+'27. Customer numbers'!P107+'27. Customer numbers'!P119+'27. Customer numbers'!P125</f>
        <v>16726.99536931669</v>
      </c>
      <c r="P30" s="466">
        <f>'27. Customer numbers'!Q29+'27. Customer numbers'!Q35+'27. Customer numbers'!Q47+'27. Customer numbers'!Q53+'27. Customer numbers'!Q65+'27. Customer numbers'!Q71+'27. Customer numbers'!Q83+'27. Customer numbers'!Q89+'27. Customer numbers'!Q101+'27. Customer numbers'!Q107+'27. Customer numbers'!Q119+'27. Customer numbers'!Q125</f>
        <v>17056.901353039149</v>
      </c>
      <c r="Q30" s="283">
        <f>'27. Customer numbers'!R29+'27. Customer numbers'!R35+'27. Customer numbers'!R47+'27. Customer numbers'!R53+'27. Customer numbers'!R65+'27. Customer numbers'!R71+'27. Customer numbers'!R83+'27. Customer numbers'!R89+'27. Customer numbers'!R101+'27. Customer numbers'!R107+'27. Customer numbers'!R119+'27. Customer numbers'!R125</f>
        <v>16566.420252264372</v>
      </c>
      <c r="R30" s="1174"/>
      <c r="S30" s="1083"/>
      <c r="T30" s="1084"/>
      <c r="U30" s="957"/>
      <c r="V30" s="466"/>
      <c r="W30" s="466"/>
      <c r="X30" s="2945"/>
      <c r="Y30" s="466"/>
      <c r="Z30" s="466"/>
      <c r="AA30" s="466"/>
      <c r="AB30" s="466"/>
      <c r="AC30" s="466"/>
      <c r="AD30" s="2949"/>
      <c r="AH30"/>
      <c r="AI30"/>
      <c r="AJ30"/>
      <c r="AK30"/>
      <c r="AL30"/>
      <c r="AM30"/>
      <c r="AN30"/>
      <c r="AO30"/>
    </row>
    <row r="31" spans="1:44" ht="13.5" thickBot="1">
      <c r="A31" s="262"/>
      <c r="B31" s="501" t="s">
        <v>117</v>
      </c>
      <c r="C31" s="260">
        <f t="shared" ref="C31:Q31" si="3">C29-C30</f>
        <v>0</v>
      </c>
      <c r="D31" s="261">
        <f t="shared" si="3"/>
        <v>0</v>
      </c>
      <c r="E31" s="261">
        <f t="shared" si="3"/>
        <v>0</v>
      </c>
      <c r="F31" s="261">
        <f t="shared" si="3"/>
        <v>0</v>
      </c>
      <c r="G31" s="341">
        <f t="shared" si="3"/>
        <v>0</v>
      </c>
      <c r="H31" s="260">
        <f t="shared" si="3"/>
        <v>0</v>
      </c>
      <c r="I31" s="261">
        <f t="shared" si="3"/>
        <v>0</v>
      </c>
      <c r="J31" s="261">
        <f t="shared" si="3"/>
        <v>0</v>
      </c>
      <c r="K31" s="261">
        <f t="shared" si="3"/>
        <v>0</v>
      </c>
      <c r="L31" s="341">
        <f t="shared" si="3"/>
        <v>0</v>
      </c>
      <c r="M31" s="967">
        <f t="shared" si="3"/>
        <v>0</v>
      </c>
      <c r="N31" s="261">
        <f t="shared" si="3"/>
        <v>0</v>
      </c>
      <c r="O31" s="261">
        <f t="shared" si="3"/>
        <v>0</v>
      </c>
      <c r="P31" s="261">
        <f t="shared" si="3"/>
        <v>0</v>
      </c>
      <c r="Q31" s="341">
        <f t="shared" si="3"/>
        <v>0</v>
      </c>
      <c r="R31" s="1174"/>
      <c r="S31" s="3620"/>
      <c r="T31" s="3618"/>
      <c r="U31" s="261"/>
      <c r="V31" s="261"/>
      <c r="W31" s="261"/>
      <c r="X31" s="2946"/>
      <c r="Y31" s="261"/>
      <c r="Z31" s="261"/>
      <c r="AA31" s="261"/>
      <c r="AB31" s="261"/>
      <c r="AC31" s="261"/>
      <c r="AD31" s="341"/>
      <c r="AH31"/>
      <c r="AI31"/>
      <c r="AJ31"/>
      <c r="AK31"/>
      <c r="AL31"/>
      <c r="AM31"/>
      <c r="AN31"/>
      <c r="AO31"/>
    </row>
    <row r="32" spans="1:44" ht="31.5" customHeight="1" thickBot="1">
      <c r="A32" s="741"/>
      <c r="B32" s="1383" t="s">
        <v>121</v>
      </c>
      <c r="C32" s="263" t="s">
        <v>2113</v>
      </c>
      <c r="D32" s="1005"/>
      <c r="E32" s="1005"/>
      <c r="F32" s="1005"/>
      <c r="G32" s="1005"/>
      <c r="H32" s="1005"/>
      <c r="I32" s="1005"/>
      <c r="J32" s="1005"/>
      <c r="K32" s="1005"/>
      <c r="L32" s="1005"/>
      <c r="M32" s="1005"/>
      <c r="N32" s="1005"/>
      <c r="O32" s="1005"/>
      <c r="P32" s="1005"/>
      <c r="Q32" s="1006"/>
      <c r="R32" s="1174"/>
      <c r="S32" s="263"/>
      <c r="T32" s="1005"/>
      <c r="U32" s="1005"/>
      <c r="V32" s="1005"/>
      <c r="W32" s="1005"/>
      <c r="X32" s="1005"/>
      <c r="Y32" s="1005"/>
      <c r="Z32" s="1005"/>
      <c r="AA32" s="1005"/>
      <c r="AB32" s="1005"/>
      <c r="AC32" s="1005"/>
      <c r="AD32" s="1006"/>
      <c r="AH32"/>
      <c r="AI32"/>
      <c r="AJ32"/>
      <c r="AK32"/>
      <c r="AL32"/>
      <c r="AM32"/>
      <c r="AN32"/>
      <c r="AO32"/>
    </row>
    <row r="33" spans="1:41" ht="13.5" thickBot="1">
      <c r="A33" s="1174"/>
      <c r="B33" s="1174"/>
      <c r="C33" s="2950"/>
      <c r="D33" s="2950"/>
      <c r="E33" s="2950"/>
      <c r="F33" s="2950"/>
      <c r="G33" s="2950"/>
      <c r="H33" s="2950"/>
      <c r="I33" s="2950"/>
      <c r="J33" s="2950"/>
      <c r="K33" s="2950"/>
      <c r="L33" s="2950"/>
      <c r="M33" s="2950"/>
      <c r="N33" s="2950"/>
      <c r="O33" s="2950"/>
      <c r="P33" s="2950"/>
      <c r="Q33" s="2950"/>
      <c r="R33" s="1174"/>
      <c r="S33" s="1174"/>
      <c r="T33" s="1174"/>
      <c r="U33" s="1174"/>
      <c r="V33" s="1174"/>
      <c r="W33" s="1174"/>
      <c r="X33" s="1174"/>
      <c r="Y33" s="1174"/>
      <c r="Z33" s="1174"/>
      <c r="AA33" s="1174"/>
      <c r="AB33" s="1174"/>
      <c r="AC33" s="1174"/>
      <c r="AD33" s="1174"/>
      <c r="AH33"/>
      <c r="AI33"/>
      <c r="AJ33"/>
      <c r="AK33"/>
      <c r="AL33"/>
      <c r="AM33"/>
      <c r="AN33"/>
      <c r="AO33"/>
    </row>
    <row r="34" spans="1:41" ht="16.5" thickBot="1">
      <c r="A34" s="832"/>
      <c r="B34" s="252" t="s">
        <v>554</v>
      </c>
      <c r="C34" s="271"/>
      <c r="D34" s="271"/>
      <c r="E34" s="271"/>
      <c r="F34" s="271"/>
      <c r="G34" s="271"/>
      <c r="H34" s="271"/>
      <c r="I34" s="271"/>
      <c r="J34" s="271"/>
      <c r="K34" s="271"/>
      <c r="L34" s="271"/>
      <c r="M34" s="271"/>
      <c r="N34" s="271"/>
      <c r="O34" s="271"/>
      <c r="P34" s="271"/>
      <c r="Q34" s="271"/>
      <c r="R34" s="1174"/>
      <c r="S34" s="271"/>
      <c r="T34" s="271"/>
      <c r="U34" s="271"/>
      <c r="V34" s="271"/>
      <c r="W34" s="271"/>
      <c r="X34" s="271"/>
      <c r="Y34" s="271"/>
      <c r="Z34" s="271"/>
      <c r="AA34" s="271"/>
      <c r="AB34" s="271"/>
      <c r="AC34" s="271"/>
      <c r="AD34" s="272"/>
      <c r="AH34"/>
      <c r="AI34"/>
      <c r="AJ34"/>
      <c r="AK34"/>
      <c r="AL34"/>
      <c r="AM34"/>
      <c r="AN34"/>
      <c r="AO34"/>
    </row>
    <row r="35" spans="1:41">
      <c r="A35" s="262"/>
      <c r="B35" s="501" t="s">
        <v>328</v>
      </c>
      <c r="C35" s="273"/>
      <c r="D35" s="274"/>
      <c r="E35" s="274"/>
      <c r="F35" s="274"/>
      <c r="G35" s="338"/>
      <c r="H35" s="273"/>
      <c r="I35" s="274"/>
      <c r="J35" s="274"/>
      <c r="K35" s="274"/>
      <c r="L35" s="338"/>
      <c r="M35" s="954"/>
      <c r="N35" s="274"/>
      <c r="O35" s="274"/>
      <c r="P35" s="274"/>
      <c r="Q35" s="338"/>
      <c r="R35" s="1174"/>
      <c r="S35" s="340"/>
      <c r="T35" s="275"/>
      <c r="U35" s="275"/>
      <c r="V35" s="275"/>
      <c r="W35" s="275"/>
      <c r="X35" s="889"/>
      <c r="Y35" s="275"/>
      <c r="Z35" s="275"/>
      <c r="AA35" s="275"/>
      <c r="AB35" s="275"/>
      <c r="AC35" s="275"/>
      <c r="AD35" s="276"/>
      <c r="AH35"/>
      <c r="AI35"/>
      <c r="AJ35"/>
      <c r="AK35"/>
      <c r="AL35"/>
      <c r="AM35"/>
      <c r="AN35"/>
      <c r="AO35"/>
    </row>
    <row r="36" spans="1:41">
      <c r="A36" s="262"/>
      <c r="B36" s="253" t="str">
        <f>B24</f>
        <v>Electricity to gas</v>
      </c>
      <c r="C36" s="459"/>
      <c r="D36" s="458"/>
      <c r="E36" s="458"/>
      <c r="F36" s="458"/>
      <c r="G36" s="460"/>
      <c r="H36" s="459"/>
      <c r="I36" s="458"/>
      <c r="J36" s="458"/>
      <c r="K36" s="458"/>
      <c r="L36" s="460"/>
      <c r="M36" s="413"/>
      <c r="N36" s="458"/>
      <c r="O36" s="458"/>
      <c r="P36" s="458"/>
      <c r="Q36" s="460"/>
      <c r="R36" s="1174"/>
      <c r="S36" s="459"/>
      <c r="T36" s="458"/>
      <c r="U36" s="458"/>
      <c r="V36" s="458"/>
      <c r="W36" s="458"/>
      <c r="X36" s="890"/>
      <c r="Y36" s="265"/>
      <c r="Z36" s="265"/>
      <c r="AA36" s="265"/>
      <c r="AB36" s="265"/>
      <c r="AC36" s="265"/>
      <c r="AD36" s="277"/>
      <c r="AH36"/>
      <c r="AI36"/>
      <c r="AJ36"/>
      <c r="AK36"/>
      <c r="AL36"/>
      <c r="AM36"/>
      <c r="AN36"/>
      <c r="AO36"/>
    </row>
    <row r="37" spans="1:41">
      <c r="A37" s="262"/>
      <c r="B37" s="253" t="str">
        <f t="shared" ref="B37:B40" si="4">B25</f>
        <v>New homes</v>
      </c>
      <c r="C37" s="459">
        <v>13935</v>
      </c>
      <c r="D37" s="458">
        <v>15213</v>
      </c>
      <c r="E37" s="458">
        <v>16049</v>
      </c>
      <c r="F37" s="458">
        <v>14612</v>
      </c>
      <c r="G37" s="460">
        <v>11732</v>
      </c>
      <c r="H37" s="459">
        <v>10884</v>
      </c>
      <c r="I37" s="458">
        <v>12073</v>
      </c>
      <c r="J37" s="458">
        <v>11657</v>
      </c>
      <c r="K37" s="458">
        <v>10230.463225935935</v>
      </c>
      <c r="L37" s="460">
        <v>11561.731527301743</v>
      </c>
      <c r="M37" s="413">
        <v>12339.649873916049</v>
      </c>
      <c r="N37" s="458">
        <v>12483.143300320768</v>
      </c>
      <c r="O37" s="458">
        <v>12672.529025543947</v>
      </c>
      <c r="P37" s="458">
        <v>12899.928554093585</v>
      </c>
      <c r="Q37" s="460">
        <v>12518.311185936258</v>
      </c>
      <c r="R37" s="1174"/>
      <c r="S37" s="2941">
        <v>9908</v>
      </c>
      <c r="T37" s="2942">
        <v>10492</v>
      </c>
      <c r="U37" s="2942">
        <v>10655</v>
      </c>
      <c r="V37" s="2942">
        <v>10388</v>
      </c>
      <c r="W37" s="2942">
        <v>9516</v>
      </c>
      <c r="X37" s="890">
        <v>0.4038933260071822</v>
      </c>
      <c r="Y37" s="461">
        <v>12086</v>
      </c>
      <c r="Z37" s="461">
        <v>12408</v>
      </c>
      <c r="AA37" s="461">
        <v>12761</v>
      </c>
      <c r="AB37" s="461">
        <v>12206</v>
      </c>
      <c r="AC37" s="461">
        <v>11581</v>
      </c>
      <c r="AD37" s="277">
        <v>-7.5944517656078125E-2</v>
      </c>
      <c r="AH37"/>
      <c r="AI37"/>
      <c r="AJ37"/>
      <c r="AK37"/>
      <c r="AL37"/>
      <c r="AM37"/>
      <c r="AN37"/>
      <c r="AO37"/>
    </row>
    <row r="38" spans="1:41">
      <c r="A38" s="262"/>
      <c r="B38" s="253" t="str">
        <f t="shared" si="4"/>
        <v>New medium density / high rise</v>
      </c>
      <c r="C38" s="459">
        <v>2852</v>
      </c>
      <c r="D38" s="458">
        <v>3057</v>
      </c>
      <c r="E38" s="458">
        <v>3298</v>
      </c>
      <c r="F38" s="458">
        <v>3388</v>
      </c>
      <c r="G38" s="460">
        <v>3751</v>
      </c>
      <c r="H38" s="459">
        <v>3268</v>
      </c>
      <c r="I38" s="458">
        <v>3531</v>
      </c>
      <c r="J38" s="458">
        <v>3662</v>
      </c>
      <c r="K38" s="458">
        <v>3109</v>
      </c>
      <c r="L38" s="460">
        <v>3423</v>
      </c>
      <c r="M38" s="413">
        <v>3574</v>
      </c>
      <c r="N38" s="458">
        <v>3667</v>
      </c>
      <c r="O38" s="458">
        <v>3763</v>
      </c>
      <c r="P38" s="458">
        <v>3861</v>
      </c>
      <c r="Q38" s="460">
        <v>3757</v>
      </c>
      <c r="R38" s="1174"/>
      <c r="S38" s="2941">
        <v>3391</v>
      </c>
      <c r="T38" s="2942">
        <v>3590</v>
      </c>
      <c r="U38" s="2942">
        <v>3646</v>
      </c>
      <c r="V38" s="2942">
        <v>3555</v>
      </c>
      <c r="W38" s="2942">
        <v>3257</v>
      </c>
      <c r="X38" s="890">
        <v>-6.2675612133723302E-2</v>
      </c>
      <c r="Y38" s="461">
        <v>4136</v>
      </c>
      <c r="Z38" s="461">
        <v>4246</v>
      </c>
      <c r="AA38" s="461">
        <v>4367</v>
      </c>
      <c r="AB38" s="461">
        <v>4177</v>
      </c>
      <c r="AC38" s="461">
        <v>3963</v>
      </c>
      <c r="AD38" s="277">
        <v>-0.18650964622528599</v>
      </c>
      <c r="AH38"/>
      <c r="AI38"/>
      <c r="AJ38"/>
      <c r="AK38"/>
      <c r="AL38"/>
      <c r="AM38"/>
      <c r="AN38"/>
      <c r="AO38"/>
    </row>
    <row r="39" spans="1:41">
      <c r="A39" s="262"/>
      <c r="B39" s="253" t="str">
        <f t="shared" si="4"/>
        <v>I&amp;C tariff</v>
      </c>
      <c r="C39" s="459">
        <v>173</v>
      </c>
      <c r="D39" s="458">
        <v>234</v>
      </c>
      <c r="E39" s="458">
        <v>248</v>
      </c>
      <c r="F39" s="458">
        <v>229</v>
      </c>
      <c r="G39" s="460">
        <v>285</v>
      </c>
      <c r="H39" s="459">
        <v>226</v>
      </c>
      <c r="I39" s="458">
        <v>252</v>
      </c>
      <c r="J39" s="458">
        <v>332</v>
      </c>
      <c r="K39" s="458">
        <v>275.00649597841584</v>
      </c>
      <c r="L39" s="460">
        <v>268.94896505648143</v>
      </c>
      <c r="M39" s="413">
        <v>277.36617416352158</v>
      </c>
      <c r="N39" s="458">
        <v>280.81457390664502</v>
      </c>
      <c r="O39" s="458">
        <v>284.8425342489333</v>
      </c>
      <c r="P39" s="458">
        <v>289.34898942175346</v>
      </c>
      <c r="Q39" s="460">
        <v>284.48525680429958</v>
      </c>
      <c r="R39" s="1174"/>
      <c r="S39" s="255">
        <v>335</v>
      </c>
      <c r="T39" s="461">
        <v>356</v>
      </c>
      <c r="U39" s="461">
        <v>376</v>
      </c>
      <c r="V39" s="461">
        <v>420</v>
      </c>
      <c r="W39" s="461">
        <v>432</v>
      </c>
      <c r="X39" s="890">
        <v>-0.39082855653986448</v>
      </c>
      <c r="Y39" s="461">
        <v>192</v>
      </c>
      <c r="Z39" s="461">
        <v>200</v>
      </c>
      <c r="AA39" s="461">
        <v>203</v>
      </c>
      <c r="AB39" s="461">
        <v>199</v>
      </c>
      <c r="AC39" s="461">
        <v>194</v>
      </c>
      <c r="AD39" s="277">
        <v>0.37040026420536165</v>
      </c>
      <c r="AH39"/>
      <c r="AI39"/>
      <c r="AJ39"/>
      <c r="AK39"/>
      <c r="AL39"/>
      <c r="AM39"/>
      <c r="AN39"/>
      <c r="AO39"/>
    </row>
    <row r="40" spans="1:41">
      <c r="A40" s="262"/>
      <c r="B40" s="253" t="str">
        <f t="shared" si="4"/>
        <v>I&amp;C contract</v>
      </c>
      <c r="C40" s="459">
        <v>7</v>
      </c>
      <c r="D40" s="458">
        <v>8</v>
      </c>
      <c r="E40" s="458">
        <v>2</v>
      </c>
      <c r="F40" s="458">
        <v>4</v>
      </c>
      <c r="G40" s="460">
        <v>9</v>
      </c>
      <c r="H40" s="459">
        <v>3</v>
      </c>
      <c r="I40" s="458">
        <v>8</v>
      </c>
      <c r="J40" s="458">
        <v>6</v>
      </c>
      <c r="K40" s="458">
        <v>0</v>
      </c>
      <c r="L40" s="460">
        <v>7.7666666666670308</v>
      </c>
      <c r="M40" s="413">
        <v>6.6238095238101478</v>
      </c>
      <c r="N40" s="458">
        <v>6.6238095238083288</v>
      </c>
      <c r="O40" s="458">
        <v>6.6238095238101478</v>
      </c>
      <c r="P40" s="458">
        <v>6.6238095238101478</v>
      </c>
      <c r="Q40" s="460">
        <v>6.6238095238092383</v>
      </c>
      <c r="R40" s="1174"/>
      <c r="S40" s="255">
        <v>10</v>
      </c>
      <c r="T40" s="461">
        <v>11</v>
      </c>
      <c r="U40" s="461">
        <v>11</v>
      </c>
      <c r="V40" s="461">
        <v>12</v>
      </c>
      <c r="W40" s="461">
        <v>13</v>
      </c>
      <c r="X40" s="890">
        <v>-0.45614035087719296</v>
      </c>
      <c r="Y40" s="461">
        <v>5</v>
      </c>
      <c r="Z40" s="461">
        <v>6</v>
      </c>
      <c r="AA40" s="461">
        <v>6</v>
      </c>
      <c r="AB40" s="461">
        <v>6</v>
      </c>
      <c r="AC40" s="461">
        <v>6</v>
      </c>
      <c r="AD40" s="277">
        <v>0.31954022988507003</v>
      </c>
      <c r="AH40"/>
      <c r="AI40"/>
      <c r="AJ40"/>
      <c r="AK40"/>
      <c r="AL40"/>
      <c r="AM40"/>
      <c r="AN40"/>
      <c r="AO40"/>
    </row>
    <row r="41" spans="1:41">
      <c r="A41" s="262"/>
      <c r="B41" s="501" t="s">
        <v>427</v>
      </c>
      <c r="C41" s="278"/>
      <c r="D41" s="266"/>
      <c r="E41" s="266"/>
      <c r="F41" s="266"/>
      <c r="G41" s="339"/>
      <c r="H41" s="278"/>
      <c r="I41" s="266"/>
      <c r="J41" s="266"/>
      <c r="K41" s="266"/>
      <c r="L41" s="339"/>
      <c r="M41" s="955"/>
      <c r="N41" s="266"/>
      <c r="O41" s="266"/>
      <c r="P41" s="266"/>
      <c r="Q41" s="339"/>
      <c r="R41" s="1174"/>
      <c r="S41" s="268"/>
      <c r="T41" s="267"/>
      <c r="U41" s="267"/>
      <c r="V41" s="267"/>
      <c r="W41" s="267"/>
      <c r="X41" s="891"/>
      <c r="Y41" s="267"/>
      <c r="Z41" s="267"/>
      <c r="AA41" s="267"/>
      <c r="AB41" s="267"/>
      <c r="AC41" s="267"/>
      <c r="AD41" s="279"/>
      <c r="AH41"/>
      <c r="AI41"/>
      <c r="AJ41"/>
      <c r="AK41"/>
      <c r="AL41"/>
      <c r="AM41"/>
      <c r="AN41"/>
      <c r="AO41"/>
    </row>
    <row r="42" spans="1:41">
      <c r="A42" s="262"/>
      <c r="B42" s="253" t="str">
        <f>B24</f>
        <v>Electricity to gas</v>
      </c>
      <c r="C42" s="459"/>
      <c r="D42" s="458"/>
      <c r="E42" s="458"/>
      <c r="F42" s="458"/>
      <c r="G42" s="460"/>
      <c r="H42" s="459"/>
      <c r="I42" s="458"/>
      <c r="J42" s="458"/>
      <c r="K42" s="458"/>
      <c r="L42" s="460"/>
      <c r="M42" s="413"/>
      <c r="N42" s="458"/>
      <c r="O42" s="458"/>
      <c r="P42" s="458"/>
      <c r="Q42" s="460"/>
      <c r="R42" s="1174"/>
      <c r="S42" s="459"/>
      <c r="T42" s="458"/>
      <c r="U42" s="458"/>
      <c r="V42" s="458"/>
      <c r="W42" s="458"/>
      <c r="X42" s="890"/>
      <c r="Y42" s="461"/>
      <c r="Z42" s="461"/>
      <c r="AA42" s="461"/>
      <c r="AB42" s="461"/>
      <c r="AC42" s="461"/>
      <c r="AD42" s="277"/>
      <c r="AH42"/>
      <c r="AI42"/>
      <c r="AJ42"/>
      <c r="AK42"/>
      <c r="AL42"/>
      <c r="AM42"/>
      <c r="AN42"/>
      <c r="AO42"/>
    </row>
    <row r="43" spans="1:41">
      <c r="A43" s="262"/>
      <c r="B43" s="253" t="str">
        <f t="shared" ref="B43:B46" si="5">B25</f>
        <v>New homes</v>
      </c>
      <c r="C43" s="459">
        <v>13935</v>
      </c>
      <c r="D43" s="458">
        <v>15213</v>
      </c>
      <c r="E43" s="458">
        <v>16049</v>
      </c>
      <c r="F43" s="458">
        <v>14612</v>
      </c>
      <c r="G43" s="460">
        <v>11732</v>
      </c>
      <c r="H43" s="459">
        <v>10884</v>
      </c>
      <c r="I43" s="458">
        <v>12073</v>
      </c>
      <c r="J43" s="458">
        <v>11657</v>
      </c>
      <c r="K43" s="458">
        <v>10230.463225935935</v>
      </c>
      <c r="L43" s="460">
        <v>11561.731527301743</v>
      </c>
      <c r="M43" s="413">
        <v>12339.649873916049</v>
      </c>
      <c r="N43" s="458">
        <v>12483.143300320768</v>
      </c>
      <c r="O43" s="458">
        <v>12672.529025543947</v>
      </c>
      <c r="P43" s="458">
        <v>12899.928554093585</v>
      </c>
      <c r="Q43" s="460">
        <v>12518.311185936258</v>
      </c>
      <c r="R43" s="1174"/>
      <c r="S43" s="2941">
        <v>9908</v>
      </c>
      <c r="T43" s="2942">
        <v>10492</v>
      </c>
      <c r="U43" s="2942">
        <v>10655</v>
      </c>
      <c r="V43" s="2942">
        <v>10388</v>
      </c>
      <c r="W43" s="2942">
        <v>9516</v>
      </c>
      <c r="X43" s="890">
        <v>0.4038933260071822</v>
      </c>
      <c r="Y43" s="461">
        <v>12086</v>
      </c>
      <c r="Z43" s="461">
        <v>12408</v>
      </c>
      <c r="AA43" s="461">
        <v>12761</v>
      </c>
      <c r="AB43" s="461">
        <v>12206</v>
      </c>
      <c r="AC43" s="461">
        <v>11581</v>
      </c>
      <c r="AD43" s="277">
        <v>-7.5944517656078125E-2</v>
      </c>
      <c r="AH43"/>
      <c r="AI43"/>
      <c r="AJ43"/>
      <c r="AK43"/>
      <c r="AL43"/>
      <c r="AM43"/>
      <c r="AN43"/>
      <c r="AO43"/>
    </row>
    <row r="44" spans="1:41">
      <c r="A44" s="262"/>
      <c r="B44" s="253" t="str">
        <f t="shared" si="5"/>
        <v>New medium density / high rise</v>
      </c>
      <c r="C44" s="459">
        <v>2852</v>
      </c>
      <c r="D44" s="458">
        <v>3057</v>
      </c>
      <c r="E44" s="458">
        <v>3298</v>
      </c>
      <c r="F44" s="458">
        <v>3388</v>
      </c>
      <c r="G44" s="460">
        <v>3751</v>
      </c>
      <c r="H44" s="459">
        <v>3268</v>
      </c>
      <c r="I44" s="458">
        <v>3531</v>
      </c>
      <c r="J44" s="458">
        <v>3662</v>
      </c>
      <c r="K44" s="458">
        <v>3109</v>
      </c>
      <c r="L44" s="460">
        <v>3423</v>
      </c>
      <c r="M44" s="413">
        <v>3574</v>
      </c>
      <c r="N44" s="458">
        <v>3667</v>
      </c>
      <c r="O44" s="458">
        <v>3763</v>
      </c>
      <c r="P44" s="458">
        <v>3861</v>
      </c>
      <c r="Q44" s="460">
        <v>3757</v>
      </c>
      <c r="R44" s="1174"/>
      <c r="S44" s="2941">
        <v>3391</v>
      </c>
      <c r="T44" s="2942">
        <v>3590</v>
      </c>
      <c r="U44" s="2942">
        <v>3646</v>
      </c>
      <c r="V44" s="2942">
        <v>3555</v>
      </c>
      <c r="W44" s="2942">
        <v>3257</v>
      </c>
      <c r="X44" s="890">
        <v>-6.2675612133723302E-2</v>
      </c>
      <c r="Y44" s="461">
        <v>4136</v>
      </c>
      <c r="Z44" s="461">
        <v>4246</v>
      </c>
      <c r="AA44" s="461">
        <v>4367</v>
      </c>
      <c r="AB44" s="461">
        <v>4177</v>
      </c>
      <c r="AC44" s="461">
        <v>3963</v>
      </c>
      <c r="AD44" s="277">
        <v>-0.18650964622528599</v>
      </c>
      <c r="AH44"/>
      <c r="AI44"/>
      <c r="AJ44"/>
      <c r="AK44"/>
      <c r="AL44"/>
      <c r="AM44"/>
      <c r="AN44"/>
      <c r="AO44"/>
    </row>
    <row r="45" spans="1:41">
      <c r="A45" s="262"/>
      <c r="B45" s="253" t="str">
        <f t="shared" si="5"/>
        <v>I&amp;C tariff</v>
      </c>
      <c r="C45" s="459">
        <v>173</v>
      </c>
      <c r="D45" s="458">
        <v>234</v>
      </c>
      <c r="E45" s="458">
        <v>248</v>
      </c>
      <c r="F45" s="458">
        <v>229</v>
      </c>
      <c r="G45" s="460">
        <v>285</v>
      </c>
      <c r="H45" s="459">
        <v>226</v>
      </c>
      <c r="I45" s="458">
        <v>252</v>
      </c>
      <c r="J45" s="458">
        <v>332</v>
      </c>
      <c r="K45" s="458">
        <v>275.00649597841584</v>
      </c>
      <c r="L45" s="460">
        <v>268.94896505648143</v>
      </c>
      <c r="M45" s="413">
        <v>277.36617416352158</v>
      </c>
      <c r="N45" s="458">
        <v>280.81457390664502</v>
      </c>
      <c r="O45" s="458">
        <v>284.8425342489333</v>
      </c>
      <c r="P45" s="458">
        <v>289.34898942175346</v>
      </c>
      <c r="Q45" s="460">
        <v>284.48525680429958</v>
      </c>
      <c r="R45" s="1174"/>
      <c r="S45" s="255">
        <v>335</v>
      </c>
      <c r="T45" s="461">
        <v>356</v>
      </c>
      <c r="U45" s="461">
        <v>376</v>
      </c>
      <c r="V45" s="461">
        <v>420</v>
      </c>
      <c r="W45" s="461">
        <v>432</v>
      </c>
      <c r="X45" s="890">
        <v>-0.39082855653986448</v>
      </c>
      <c r="Y45" s="461">
        <v>192</v>
      </c>
      <c r="Z45" s="461">
        <v>200</v>
      </c>
      <c r="AA45" s="461">
        <v>203</v>
      </c>
      <c r="AB45" s="461">
        <v>199</v>
      </c>
      <c r="AC45" s="461">
        <v>194</v>
      </c>
      <c r="AD45" s="277">
        <v>0.37040026420536165</v>
      </c>
      <c r="AH45"/>
      <c r="AI45"/>
      <c r="AJ45"/>
      <c r="AK45"/>
      <c r="AL45"/>
      <c r="AM45"/>
      <c r="AN45"/>
      <c r="AO45"/>
    </row>
    <row r="46" spans="1:41">
      <c r="A46" s="262"/>
      <c r="B46" s="253" t="str">
        <f t="shared" si="5"/>
        <v>I&amp;C contract</v>
      </c>
      <c r="C46" s="459">
        <v>7</v>
      </c>
      <c r="D46" s="458">
        <v>8</v>
      </c>
      <c r="E46" s="458">
        <v>2</v>
      </c>
      <c r="F46" s="458">
        <v>4</v>
      </c>
      <c r="G46" s="460">
        <v>9</v>
      </c>
      <c r="H46" s="459">
        <v>3</v>
      </c>
      <c r="I46" s="458">
        <v>8</v>
      </c>
      <c r="J46" s="458">
        <v>6</v>
      </c>
      <c r="K46" s="458">
        <v>0</v>
      </c>
      <c r="L46" s="460">
        <v>7.7666666666670308</v>
      </c>
      <c r="M46" s="413">
        <v>6.6238095238101478</v>
      </c>
      <c r="N46" s="458">
        <v>6.6238095238083288</v>
      </c>
      <c r="O46" s="458">
        <v>6.6238095238101478</v>
      </c>
      <c r="P46" s="458">
        <v>6.6238095238101478</v>
      </c>
      <c r="Q46" s="460">
        <v>6.6238095238092383</v>
      </c>
      <c r="R46" s="1174"/>
      <c r="S46" s="255">
        <v>10</v>
      </c>
      <c r="T46" s="461">
        <v>11</v>
      </c>
      <c r="U46" s="461">
        <v>11</v>
      </c>
      <c r="V46" s="461">
        <v>12</v>
      </c>
      <c r="W46" s="461">
        <v>13</v>
      </c>
      <c r="X46" s="890">
        <v>-0.45614035087719296</v>
      </c>
      <c r="Y46" s="461">
        <v>5</v>
      </c>
      <c r="Z46" s="461">
        <v>6</v>
      </c>
      <c r="AA46" s="461">
        <v>6</v>
      </c>
      <c r="AB46" s="461">
        <v>6</v>
      </c>
      <c r="AC46" s="461">
        <v>6</v>
      </c>
      <c r="AD46" s="277">
        <v>0.31954022988507003</v>
      </c>
      <c r="AH46"/>
      <c r="AI46"/>
      <c r="AJ46"/>
      <c r="AK46"/>
      <c r="AL46"/>
      <c r="AM46"/>
      <c r="AN46"/>
      <c r="AO46"/>
    </row>
    <row r="47" spans="1:41">
      <c r="A47" s="262"/>
      <c r="B47" s="501" t="s">
        <v>329</v>
      </c>
      <c r="C47" s="278"/>
      <c r="D47" s="266"/>
      <c r="E47" s="266"/>
      <c r="F47" s="266"/>
      <c r="G47" s="339"/>
      <c r="H47" s="278"/>
      <c r="I47" s="266"/>
      <c r="J47" s="266"/>
      <c r="K47" s="266"/>
      <c r="L47" s="339"/>
      <c r="M47" s="955"/>
      <c r="N47" s="266"/>
      <c r="O47" s="266"/>
      <c r="P47" s="266"/>
      <c r="Q47" s="339"/>
      <c r="R47" s="1174"/>
      <c r="S47" s="268"/>
      <c r="T47" s="267"/>
      <c r="U47" s="267"/>
      <c r="V47" s="267"/>
      <c r="W47" s="267"/>
      <c r="X47" s="891"/>
      <c r="Y47" s="267"/>
      <c r="Z47" s="267"/>
      <c r="AA47" s="267"/>
      <c r="AB47" s="267"/>
      <c r="AC47" s="267"/>
      <c r="AD47" s="279"/>
      <c r="AH47"/>
      <c r="AI47"/>
      <c r="AJ47"/>
      <c r="AK47"/>
      <c r="AL47"/>
      <c r="AM47"/>
      <c r="AN47"/>
      <c r="AO47"/>
    </row>
    <row r="48" spans="1:41">
      <c r="A48" s="262"/>
      <c r="B48" s="253" t="str">
        <f>B24</f>
        <v>Electricity to gas</v>
      </c>
      <c r="C48" s="459"/>
      <c r="D48" s="458"/>
      <c r="E48" s="458"/>
      <c r="F48" s="458"/>
      <c r="G48" s="460"/>
      <c r="H48" s="459"/>
      <c r="I48" s="458"/>
      <c r="J48" s="458"/>
      <c r="K48" s="458"/>
      <c r="L48" s="460"/>
      <c r="M48" s="413"/>
      <c r="N48" s="458"/>
      <c r="O48" s="458"/>
      <c r="P48" s="458"/>
      <c r="Q48" s="460"/>
      <c r="R48" s="1174"/>
      <c r="S48" s="459"/>
      <c r="T48" s="458"/>
      <c r="U48" s="458"/>
      <c r="V48" s="458"/>
      <c r="W48" s="458"/>
      <c r="X48" s="890"/>
      <c r="Y48" s="461"/>
      <c r="Z48" s="461"/>
      <c r="AA48" s="461"/>
      <c r="AB48" s="461"/>
      <c r="AC48" s="461"/>
      <c r="AD48" s="277"/>
      <c r="AH48"/>
      <c r="AI48"/>
      <c r="AJ48"/>
      <c r="AK48"/>
      <c r="AL48"/>
      <c r="AM48"/>
      <c r="AN48"/>
      <c r="AO48"/>
    </row>
    <row r="49" spans="1:43">
      <c r="A49" s="262"/>
      <c r="B49" s="253" t="str">
        <f t="shared" ref="B49:B52" si="6">B25</f>
        <v>New homes</v>
      </c>
      <c r="C49" s="459">
        <v>13935</v>
      </c>
      <c r="D49" s="458">
        <v>15213</v>
      </c>
      <c r="E49" s="458">
        <v>16049</v>
      </c>
      <c r="F49" s="458">
        <v>14612</v>
      </c>
      <c r="G49" s="460">
        <v>11732</v>
      </c>
      <c r="H49" s="459">
        <v>10884</v>
      </c>
      <c r="I49" s="458">
        <v>12073</v>
      </c>
      <c r="J49" s="458">
        <v>11657</v>
      </c>
      <c r="K49" s="458">
        <v>10230.463225935935</v>
      </c>
      <c r="L49" s="460">
        <v>11561.731527301743</v>
      </c>
      <c r="M49" s="413">
        <v>12339.649873916049</v>
      </c>
      <c r="N49" s="458">
        <v>12483.143300320768</v>
      </c>
      <c r="O49" s="458">
        <v>12672.529025543947</v>
      </c>
      <c r="P49" s="458">
        <v>12899.928554093585</v>
      </c>
      <c r="Q49" s="460">
        <v>12518.311185936258</v>
      </c>
      <c r="R49" s="1174"/>
      <c r="S49" s="2941">
        <v>9908</v>
      </c>
      <c r="T49" s="2942">
        <v>10492</v>
      </c>
      <c r="U49" s="2942">
        <v>10655</v>
      </c>
      <c r="V49" s="2942">
        <v>10388</v>
      </c>
      <c r="W49" s="2942">
        <v>9516</v>
      </c>
      <c r="X49" s="890">
        <v>0.4038933260071822</v>
      </c>
      <c r="Y49" s="461">
        <v>12086</v>
      </c>
      <c r="Z49" s="461">
        <v>12408</v>
      </c>
      <c r="AA49" s="461">
        <v>12761</v>
      </c>
      <c r="AB49" s="461">
        <v>12206</v>
      </c>
      <c r="AC49" s="461">
        <v>11581</v>
      </c>
      <c r="AD49" s="277">
        <v>-7.5944517656078125E-2</v>
      </c>
      <c r="AH49"/>
      <c r="AI49"/>
      <c r="AJ49"/>
      <c r="AK49"/>
      <c r="AL49"/>
      <c r="AM49"/>
      <c r="AN49"/>
      <c r="AO49"/>
    </row>
    <row r="50" spans="1:43">
      <c r="A50" s="262"/>
      <c r="B50" s="253" t="str">
        <f t="shared" si="6"/>
        <v>New medium density / high rise</v>
      </c>
      <c r="C50" s="459">
        <v>2852</v>
      </c>
      <c r="D50" s="458">
        <v>3057</v>
      </c>
      <c r="E50" s="458">
        <v>3298</v>
      </c>
      <c r="F50" s="458">
        <v>3388</v>
      </c>
      <c r="G50" s="460">
        <v>3751</v>
      </c>
      <c r="H50" s="459">
        <v>3268</v>
      </c>
      <c r="I50" s="458">
        <v>3531</v>
      </c>
      <c r="J50" s="458">
        <v>3662</v>
      </c>
      <c r="K50" s="458">
        <v>3109</v>
      </c>
      <c r="L50" s="460">
        <v>3423</v>
      </c>
      <c r="M50" s="413">
        <v>3574</v>
      </c>
      <c r="N50" s="458">
        <v>3667</v>
      </c>
      <c r="O50" s="458">
        <v>3763</v>
      </c>
      <c r="P50" s="458">
        <v>3861</v>
      </c>
      <c r="Q50" s="460">
        <v>3757</v>
      </c>
      <c r="R50" s="1174"/>
      <c r="S50" s="2941">
        <v>3391</v>
      </c>
      <c r="T50" s="2942">
        <v>3590</v>
      </c>
      <c r="U50" s="2942">
        <v>3646</v>
      </c>
      <c r="V50" s="2942">
        <v>3555</v>
      </c>
      <c r="W50" s="2942">
        <v>3257</v>
      </c>
      <c r="X50" s="890">
        <v>-6.2675612133723302E-2</v>
      </c>
      <c r="Y50" s="461">
        <v>4136</v>
      </c>
      <c r="Z50" s="461">
        <v>4246</v>
      </c>
      <c r="AA50" s="461">
        <v>4367</v>
      </c>
      <c r="AB50" s="461">
        <v>4177</v>
      </c>
      <c r="AC50" s="461">
        <v>3963</v>
      </c>
      <c r="AD50" s="277">
        <v>-0.18650964622528599</v>
      </c>
      <c r="AH50"/>
      <c r="AI50"/>
      <c r="AJ50"/>
      <c r="AK50"/>
      <c r="AL50"/>
      <c r="AM50"/>
      <c r="AN50"/>
      <c r="AO50"/>
    </row>
    <row r="51" spans="1:43">
      <c r="A51" s="262"/>
      <c r="B51" s="253" t="str">
        <f t="shared" si="6"/>
        <v>I&amp;C tariff</v>
      </c>
      <c r="C51" s="459">
        <v>173</v>
      </c>
      <c r="D51" s="458">
        <v>234</v>
      </c>
      <c r="E51" s="458">
        <v>248</v>
      </c>
      <c r="F51" s="458">
        <v>229</v>
      </c>
      <c r="G51" s="460">
        <v>285</v>
      </c>
      <c r="H51" s="459">
        <v>226</v>
      </c>
      <c r="I51" s="458">
        <v>252</v>
      </c>
      <c r="J51" s="458">
        <v>332</v>
      </c>
      <c r="K51" s="458">
        <v>275.00649597841584</v>
      </c>
      <c r="L51" s="460">
        <v>268.94896505648143</v>
      </c>
      <c r="M51" s="413">
        <v>277.36617416352158</v>
      </c>
      <c r="N51" s="458">
        <v>280.81457390664502</v>
      </c>
      <c r="O51" s="458">
        <v>284.8425342489333</v>
      </c>
      <c r="P51" s="458">
        <v>289.34898942175346</v>
      </c>
      <c r="Q51" s="460">
        <v>284.48525680429958</v>
      </c>
      <c r="R51" s="1174"/>
      <c r="S51" s="255">
        <v>335</v>
      </c>
      <c r="T51" s="461">
        <v>356</v>
      </c>
      <c r="U51" s="461">
        <v>376</v>
      </c>
      <c r="V51" s="461">
        <v>420</v>
      </c>
      <c r="W51" s="461">
        <v>432</v>
      </c>
      <c r="X51" s="890">
        <v>-0.39082855653986448</v>
      </c>
      <c r="Y51" s="461">
        <v>192</v>
      </c>
      <c r="Z51" s="461">
        <v>200</v>
      </c>
      <c r="AA51" s="461">
        <v>203</v>
      </c>
      <c r="AB51" s="461">
        <v>199</v>
      </c>
      <c r="AC51" s="461">
        <v>194</v>
      </c>
      <c r="AD51" s="277">
        <v>0.37040026420536165</v>
      </c>
      <c r="AH51"/>
      <c r="AI51"/>
      <c r="AJ51"/>
      <c r="AK51"/>
      <c r="AL51"/>
      <c r="AM51"/>
      <c r="AN51"/>
      <c r="AO51"/>
    </row>
    <row r="52" spans="1:43" ht="13.5" thickBot="1">
      <c r="A52" s="262"/>
      <c r="B52" s="253" t="str">
        <f t="shared" si="6"/>
        <v>I&amp;C contract</v>
      </c>
      <c r="C52" s="459">
        <v>7</v>
      </c>
      <c r="D52" s="458">
        <v>8</v>
      </c>
      <c r="E52" s="458">
        <v>2</v>
      </c>
      <c r="F52" s="458">
        <v>4</v>
      </c>
      <c r="G52" s="460">
        <v>9</v>
      </c>
      <c r="H52" s="459">
        <v>3</v>
      </c>
      <c r="I52" s="458">
        <v>8</v>
      </c>
      <c r="J52" s="458">
        <v>6</v>
      </c>
      <c r="K52" s="458">
        <v>0</v>
      </c>
      <c r="L52" s="460">
        <v>7.7666666666670308</v>
      </c>
      <c r="M52" s="413">
        <v>6.6238095238101478</v>
      </c>
      <c r="N52" s="458">
        <v>6.6238095238083288</v>
      </c>
      <c r="O52" s="458">
        <v>6.6238095238101478</v>
      </c>
      <c r="P52" s="458">
        <v>6.6238095238101478</v>
      </c>
      <c r="Q52" s="460">
        <v>6.6238095238092383</v>
      </c>
      <c r="R52" s="1174"/>
      <c r="S52" s="255">
        <v>10</v>
      </c>
      <c r="T52" s="461">
        <v>11</v>
      </c>
      <c r="U52" s="461">
        <v>11</v>
      </c>
      <c r="V52" s="461">
        <v>12</v>
      </c>
      <c r="W52" s="461">
        <v>13</v>
      </c>
      <c r="X52" s="890">
        <v>-0.45614035087719296</v>
      </c>
      <c r="Y52" s="461">
        <v>5</v>
      </c>
      <c r="Z52" s="461">
        <v>6</v>
      </c>
      <c r="AA52" s="461">
        <v>6</v>
      </c>
      <c r="AB52" s="461">
        <v>6</v>
      </c>
      <c r="AC52" s="461">
        <v>6</v>
      </c>
      <c r="AD52" s="277">
        <v>0.31954022988507003</v>
      </c>
      <c r="AH52"/>
      <c r="AI52"/>
      <c r="AJ52"/>
      <c r="AK52"/>
      <c r="AL52"/>
      <c r="AM52"/>
      <c r="AN52"/>
      <c r="AO52"/>
    </row>
    <row r="53" spans="1:43" s="164" customFormat="1" ht="31.5" customHeight="1" thickBot="1">
      <c r="A53" s="741"/>
      <c r="B53" s="1383" t="s">
        <v>121</v>
      </c>
      <c r="C53" s="263" t="s">
        <v>1566</v>
      </c>
      <c r="D53" s="1005"/>
      <c r="E53" s="1005"/>
      <c r="F53" s="1005"/>
      <c r="G53" s="1005"/>
      <c r="H53" s="1005"/>
      <c r="I53" s="1005"/>
      <c r="J53" s="1005"/>
      <c r="K53" s="1005"/>
      <c r="L53" s="1005"/>
      <c r="M53" s="1005"/>
      <c r="N53" s="1005"/>
      <c r="O53" s="1005"/>
      <c r="P53" s="1005"/>
      <c r="Q53" s="1006"/>
      <c r="R53" s="1174"/>
      <c r="S53" s="263"/>
      <c r="T53" s="1005"/>
      <c r="U53" s="1005"/>
      <c r="V53" s="1005"/>
      <c r="W53" s="1005"/>
      <c r="X53" s="1005"/>
      <c r="Y53" s="1005"/>
      <c r="Z53" s="1005"/>
      <c r="AA53" s="1005"/>
      <c r="AB53" s="1005"/>
      <c r="AC53" s="1005"/>
      <c r="AD53" s="1006"/>
      <c r="AE53"/>
      <c r="AG53"/>
      <c r="AH53"/>
      <c r="AI53"/>
      <c r="AJ53"/>
      <c r="AK53"/>
      <c r="AL53"/>
      <c r="AM53"/>
      <c r="AN53"/>
      <c r="AO53"/>
      <c r="AP53"/>
      <c r="AQ53"/>
    </row>
    <row r="54" spans="1:43" ht="13.5" thickBot="1">
      <c r="A54" s="1174"/>
      <c r="B54" s="1174"/>
      <c r="C54" s="1174"/>
      <c r="D54" s="1174"/>
      <c r="E54" s="1174"/>
      <c r="F54" s="1174"/>
      <c r="G54" s="1174"/>
      <c r="H54" s="1174"/>
      <c r="I54" s="1174"/>
      <c r="J54" s="1174"/>
      <c r="K54" s="1174"/>
      <c r="L54" s="1174"/>
      <c r="M54" s="1174"/>
      <c r="N54" s="1174"/>
      <c r="O54" s="1174"/>
      <c r="P54" s="1174"/>
      <c r="Q54" s="1174"/>
      <c r="R54" s="1174"/>
      <c r="S54" s="1174"/>
      <c r="T54" s="1174"/>
      <c r="U54" s="1174"/>
      <c r="V54" s="1174"/>
      <c r="W54" s="1174"/>
      <c r="X54" s="1174"/>
      <c r="Y54" s="1174"/>
      <c r="Z54" s="1174"/>
      <c r="AA54" s="1174"/>
      <c r="AB54" s="1174"/>
      <c r="AC54" s="1174"/>
      <c r="AD54" s="1174"/>
      <c r="AH54" s="1174"/>
      <c r="AI54" s="1174"/>
      <c r="AJ54" s="1174"/>
      <c r="AK54" s="1174"/>
      <c r="AL54" s="1174"/>
      <c r="AM54" s="1174"/>
      <c r="AN54" s="1174"/>
      <c r="AO54" s="1174"/>
    </row>
    <row r="55" spans="1:43" s="187" customFormat="1" ht="36.75" customHeight="1" thickBot="1">
      <c r="A55" s="832"/>
      <c r="B55" s="1253" t="s">
        <v>561</v>
      </c>
      <c r="C55" s="1256"/>
      <c r="D55" s="1256"/>
      <c r="E55" s="1256"/>
      <c r="F55" s="1256"/>
      <c r="G55" s="1256"/>
      <c r="H55" s="1256"/>
      <c r="I55" s="1256"/>
      <c r="J55" s="1256"/>
      <c r="K55" s="1256"/>
      <c r="L55" s="1256"/>
      <c r="M55" s="1256"/>
      <c r="N55" s="1256"/>
      <c r="O55" s="1256"/>
      <c r="P55" s="1256"/>
      <c r="Q55" s="1257"/>
      <c r="R55" s="1174"/>
      <c r="S55" s="1253"/>
      <c r="T55" s="1256"/>
      <c r="U55" s="1256"/>
      <c r="V55" s="1256"/>
      <c r="W55" s="1256"/>
      <c r="X55" s="1256"/>
      <c r="Y55" s="1256"/>
      <c r="Z55" s="1256"/>
      <c r="AA55" s="1256"/>
      <c r="AB55" s="1256"/>
      <c r="AC55" s="1256"/>
      <c r="AD55" s="1257"/>
      <c r="AE55" s="1172"/>
      <c r="AH55" s="1253" t="s">
        <v>642</v>
      </c>
      <c r="AI55" s="1256"/>
      <c r="AJ55" s="1256"/>
      <c r="AK55" s="1256"/>
      <c r="AL55" s="1256"/>
      <c r="AM55" s="1256"/>
      <c r="AN55" s="1256"/>
      <c r="AO55" s="1257"/>
    </row>
    <row r="56" spans="1:43" ht="35.25" customHeight="1">
      <c r="A56" s="1174"/>
      <c r="B56" s="950"/>
      <c r="C56" s="3970" t="s">
        <v>36</v>
      </c>
      <c r="D56" s="3997"/>
      <c r="E56" s="3997"/>
      <c r="F56" s="3997"/>
      <c r="G56" s="3997"/>
      <c r="H56" s="4005" t="s">
        <v>37</v>
      </c>
      <c r="I56" s="4005"/>
      <c r="J56" s="4005"/>
      <c r="K56" s="4005"/>
      <c r="L56" s="4005"/>
      <c r="M56" s="4004" t="s">
        <v>73</v>
      </c>
      <c r="N56" s="3997"/>
      <c r="O56" s="3997"/>
      <c r="P56" s="3997"/>
      <c r="Q56" s="4000"/>
      <c r="R56" s="1174"/>
      <c r="S56" s="4003" t="s">
        <v>36</v>
      </c>
      <c r="T56" s="4004"/>
      <c r="U56" s="4004"/>
      <c r="V56" s="4004"/>
      <c r="W56" s="4004"/>
      <c r="X56" s="4004"/>
      <c r="Y56" s="4005" t="s">
        <v>37</v>
      </c>
      <c r="Z56" s="4005"/>
      <c r="AA56" s="4005"/>
      <c r="AB56" s="4005"/>
      <c r="AC56" s="4005"/>
      <c r="AD56" s="4006"/>
      <c r="AH56" s="4003" t="s">
        <v>36</v>
      </c>
      <c r="AI56" s="3997"/>
      <c r="AJ56" s="3997"/>
      <c r="AK56" s="3997"/>
      <c r="AL56" s="3997"/>
      <c r="AM56" s="4032" t="s">
        <v>37</v>
      </c>
      <c r="AN56" s="4033"/>
      <c r="AO56" s="4034"/>
    </row>
    <row r="57" spans="1:43" ht="15" customHeight="1">
      <c r="A57" s="245"/>
      <c r="B57" s="951"/>
      <c r="C57" s="3985" t="s">
        <v>543</v>
      </c>
      <c r="D57" s="3986"/>
      <c r="E57" s="3986"/>
      <c r="F57" s="3986"/>
      <c r="G57" s="3986"/>
      <c r="H57" s="3986"/>
      <c r="I57" s="3986"/>
      <c r="J57" s="3987"/>
      <c r="K57" s="3988" t="str">
        <f>CONCATENATE("$0's, real ",dms_DollarReal)</f>
        <v>$0's, real December 2017</v>
      </c>
      <c r="L57" s="3989"/>
      <c r="M57" s="3989"/>
      <c r="N57" s="3989"/>
      <c r="O57" s="3989"/>
      <c r="P57" s="3989"/>
      <c r="Q57" s="3990"/>
      <c r="R57" s="1174"/>
      <c r="S57" s="3991" t="str">
        <f>CONCATENATE("$0's, real ",dms_DollarReal)</f>
        <v>$0's, real December 2017</v>
      </c>
      <c r="T57" s="3992"/>
      <c r="U57" s="3992"/>
      <c r="V57" s="3992"/>
      <c r="W57" s="3992"/>
      <c r="X57" s="1002" t="s">
        <v>114</v>
      </c>
      <c r="Y57" s="3993" t="str">
        <f>CONCATENATE("$0's, real ",dms_DollarReal)</f>
        <v>$0's, real December 2017</v>
      </c>
      <c r="Z57" s="3993"/>
      <c r="AA57" s="3993"/>
      <c r="AB57" s="3993"/>
      <c r="AC57" s="3993"/>
      <c r="AD57" s="1208" t="s">
        <v>114</v>
      </c>
      <c r="AH57" s="3985" t="str">
        <f>CONCATENATE("$0's, real ",dms_DollarReal)</f>
        <v>$0's, real December 2017</v>
      </c>
      <c r="AI57" s="3986"/>
      <c r="AJ57" s="3986"/>
      <c r="AK57" s="3986"/>
      <c r="AL57" s="3986"/>
      <c r="AM57" s="3986"/>
      <c r="AN57" s="3986"/>
      <c r="AO57" s="4030"/>
    </row>
    <row r="58" spans="1:43" ht="30">
      <c r="A58" s="1174"/>
      <c r="B58" s="952"/>
      <c r="C58" s="3994" t="s">
        <v>54</v>
      </c>
      <c r="D58" s="3995"/>
      <c r="E58" s="3995"/>
      <c r="F58" s="3995"/>
      <c r="G58" s="3995"/>
      <c r="H58" s="3995"/>
      <c r="I58" s="3995"/>
      <c r="J58" s="4007"/>
      <c r="K58" s="3988" t="s">
        <v>55</v>
      </c>
      <c r="L58" s="3989"/>
      <c r="M58" s="3989"/>
      <c r="N58" s="3989"/>
      <c r="O58" s="3989"/>
      <c r="P58" s="3989"/>
      <c r="Q58" s="3990"/>
      <c r="R58" s="1174"/>
      <c r="S58" s="3991" t="s">
        <v>74</v>
      </c>
      <c r="T58" s="3992"/>
      <c r="U58" s="3992"/>
      <c r="V58" s="3992"/>
      <c r="W58" s="3992"/>
      <c r="X58" s="1002" t="s">
        <v>327</v>
      </c>
      <c r="Y58" s="3993" t="s">
        <v>74</v>
      </c>
      <c r="Z58" s="3993"/>
      <c r="AA58" s="3993"/>
      <c r="AB58" s="3993"/>
      <c r="AC58" s="3993"/>
      <c r="AD58" s="1208" t="s">
        <v>327</v>
      </c>
      <c r="AH58" s="3994" t="s">
        <v>54</v>
      </c>
      <c r="AI58" s="3995"/>
      <c r="AJ58" s="3995"/>
      <c r="AK58" s="3995"/>
      <c r="AL58" s="3995"/>
      <c r="AM58" s="3995"/>
      <c r="AN58" s="3995"/>
      <c r="AO58" s="4031"/>
    </row>
    <row r="59" spans="1:43" ht="15.75" thickBot="1">
      <c r="A59" s="247"/>
      <c r="B59" s="953"/>
      <c r="C59" s="343">
        <f t="array" ref="C59:G59">PRCP</f>
        <v>2008</v>
      </c>
      <c r="D59" s="342">
        <v>2009</v>
      </c>
      <c r="E59" s="342">
        <v>2010</v>
      </c>
      <c r="F59" s="342">
        <v>2011</v>
      </c>
      <c r="G59" s="342">
        <v>2012</v>
      </c>
      <c r="H59" s="344">
        <f>CRCP_y1</f>
        <v>2013</v>
      </c>
      <c r="I59" s="344">
        <f>CRCP_y2</f>
        <v>2014</v>
      </c>
      <c r="J59" s="344">
        <f>CRCP_y3</f>
        <v>2015</v>
      </c>
      <c r="K59" s="344">
        <f>CRCP_y4</f>
        <v>2016</v>
      </c>
      <c r="L59" s="344">
        <f>CRCP_y5</f>
        <v>2017</v>
      </c>
      <c r="M59" s="342" t="str">
        <f t="array" ref="M59:Q59">FRCP</f>
        <v>2018</v>
      </c>
      <c r="N59" s="342">
        <v>2019</v>
      </c>
      <c r="O59" s="342">
        <v>2020</v>
      </c>
      <c r="P59" s="342">
        <v>2021</v>
      </c>
      <c r="Q59" s="443">
        <v>2022</v>
      </c>
      <c r="R59" s="1174"/>
      <c r="S59" s="1438">
        <f t="array" ref="S59:W59">PRCP</f>
        <v>2008</v>
      </c>
      <c r="T59" s="342">
        <v>2009</v>
      </c>
      <c r="U59" s="342">
        <v>2010</v>
      </c>
      <c r="V59" s="342">
        <v>2011</v>
      </c>
      <c r="W59" s="342">
        <v>2012</v>
      </c>
      <c r="X59" s="1003" t="s">
        <v>112</v>
      </c>
      <c r="Y59" s="344">
        <f>CRCP_y1</f>
        <v>2013</v>
      </c>
      <c r="Z59" s="344">
        <f>CRCP_y2</f>
        <v>2014</v>
      </c>
      <c r="AA59" s="344">
        <f>CRCP_y3</f>
        <v>2015</v>
      </c>
      <c r="AB59" s="344">
        <f>CRCP_y4</f>
        <v>2016</v>
      </c>
      <c r="AC59" s="344">
        <f>CRCP_y5</f>
        <v>2017</v>
      </c>
      <c r="AD59" s="1209" t="s">
        <v>112</v>
      </c>
      <c r="AH59" s="1438">
        <f t="array" ref="AH59:AL59">PRCP</f>
        <v>2008</v>
      </c>
      <c r="AI59" s="342">
        <v>2009</v>
      </c>
      <c r="AJ59" s="342">
        <v>2010</v>
      </c>
      <c r="AK59" s="342">
        <v>2011</v>
      </c>
      <c r="AL59" s="342">
        <v>2012</v>
      </c>
      <c r="AM59" s="344">
        <f>CRCP_y1</f>
        <v>2013</v>
      </c>
      <c r="AN59" s="344">
        <f>CRCP_y2</f>
        <v>2014</v>
      </c>
      <c r="AO59" s="542">
        <f>CRCP_y3</f>
        <v>2015</v>
      </c>
    </row>
    <row r="60" spans="1:43" ht="13.5" thickBot="1">
      <c r="A60" s="1174"/>
      <c r="B60" s="1174"/>
      <c r="C60" s="1174"/>
      <c r="D60" s="1174"/>
      <c r="E60" s="1174"/>
      <c r="F60" s="1174"/>
      <c r="G60" s="1174"/>
      <c r="H60" s="1174"/>
      <c r="I60" s="1174"/>
      <c r="J60" s="1174"/>
      <c r="K60" s="1174"/>
      <c r="L60" s="1174"/>
      <c r="M60" s="1174"/>
      <c r="N60" s="1174"/>
      <c r="O60" s="1174"/>
      <c r="P60" s="1174"/>
      <c r="Q60" s="1174"/>
      <c r="R60" s="1174"/>
      <c r="S60" s="1174"/>
      <c r="T60" s="1174"/>
      <c r="U60" s="1174"/>
      <c r="V60" s="1174"/>
      <c r="W60" s="1174"/>
      <c r="X60" s="1174"/>
      <c r="Y60" s="1174"/>
      <c r="Z60" s="1174"/>
      <c r="AA60" s="1174"/>
      <c r="AB60" s="1174"/>
      <c r="AC60" s="1174"/>
      <c r="AD60" s="1174"/>
      <c r="AH60" s="1174"/>
      <c r="AI60" s="1174"/>
      <c r="AJ60" s="1174"/>
      <c r="AK60" s="1174"/>
      <c r="AL60" s="1174"/>
      <c r="AM60" s="1174"/>
      <c r="AN60" s="1174"/>
      <c r="AO60" s="1174"/>
    </row>
    <row r="61" spans="1:43" ht="16.5" thickBot="1">
      <c r="A61" s="833"/>
      <c r="B61" s="252" t="s">
        <v>555</v>
      </c>
      <c r="C61" s="269"/>
      <c r="D61" s="269"/>
      <c r="E61" s="269"/>
      <c r="F61" s="269"/>
      <c r="G61" s="269"/>
      <c r="H61" s="269"/>
      <c r="I61" s="269"/>
      <c r="J61" s="269"/>
      <c r="K61" s="269"/>
      <c r="L61" s="269"/>
      <c r="M61" s="269"/>
      <c r="N61" s="269"/>
      <c r="O61" s="269"/>
      <c r="P61" s="269"/>
      <c r="Q61" s="270"/>
      <c r="R61" s="1174"/>
      <c r="S61" s="252"/>
      <c r="T61" s="269"/>
      <c r="U61" s="269"/>
      <c r="V61" s="269"/>
      <c r="W61" s="269"/>
      <c r="X61" s="269"/>
      <c r="Y61" s="269"/>
      <c r="Z61" s="269"/>
      <c r="AA61" s="269"/>
      <c r="AB61" s="269"/>
      <c r="AC61" s="269"/>
      <c r="AD61" s="270"/>
      <c r="AH61" s="252"/>
      <c r="AI61" s="269"/>
      <c r="AJ61" s="269"/>
      <c r="AK61" s="269"/>
      <c r="AL61" s="269"/>
      <c r="AM61" s="269"/>
      <c r="AN61" s="269"/>
      <c r="AO61" s="270"/>
    </row>
    <row r="62" spans="1:43">
      <c r="A62" s="262"/>
      <c r="B62" s="501" t="s">
        <v>330</v>
      </c>
      <c r="C62" s="273"/>
      <c r="D62" s="274"/>
      <c r="E62" s="274"/>
      <c r="F62" s="274"/>
      <c r="G62" s="338"/>
      <c r="H62" s="273"/>
      <c r="I62" s="274"/>
      <c r="J62" s="274"/>
      <c r="K62" s="274"/>
      <c r="L62" s="274"/>
      <c r="M62" s="273"/>
      <c r="N62" s="274"/>
      <c r="O62" s="274"/>
      <c r="P62" s="274"/>
      <c r="Q62" s="338"/>
      <c r="R62" s="1174"/>
      <c r="S62" s="340"/>
      <c r="T62" s="275"/>
      <c r="U62" s="275"/>
      <c r="V62" s="275"/>
      <c r="W62" s="276"/>
      <c r="X62" s="1211"/>
      <c r="Y62" s="340"/>
      <c r="Z62" s="275"/>
      <c r="AA62" s="275"/>
      <c r="AB62" s="275"/>
      <c r="AC62" s="275"/>
      <c r="AD62" s="1214"/>
      <c r="AH62" s="1634"/>
      <c r="AI62" s="274"/>
      <c r="AJ62" s="274"/>
      <c r="AK62" s="274"/>
      <c r="AL62" s="338"/>
      <c r="AM62" s="1634"/>
      <c r="AN62" s="274"/>
      <c r="AO62" s="338"/>
    </row>
    <row r="63" spans="1:43">
      <c r="A63" s="262"/>
      <c r="B63" s="253" t="str">
        <f>B24</f>
        <v>Electricity to gas</v>
      </c>
      <c r="C63" s="459"/>
      <c r="D63" s="458"/>
      <c r="E63" s="458"/>
      <c r="F63" s="458"/>
      <c r="G63" s="460"/>
      <c r="H63" s="459"/>
      <c r="I63" s="458"/>
      <c r="J63" s="458"/>
      <c r="K63" s="458"/>
      <c r="L63" s="458"/>
      <c r="M63" s="459"/>
      <c r="N63" s="458"/>
      <c r="O63" s="458"/>
      <c r="P63" s="458"/>
      <c r="Q63" s="460"/>
      <c r="R63" s="1174"/>
      <c r="S63" s="459"/>
      <c r="T63" s="458"/>
      <c r="U63" s="458"/>
      <c r="V63" s="458"/>
      <c r="W63" s="460"/>
      <c r="X63" s="1212"/>
      <c r="Y63" s="1001"/>
      <c r="Z63" s="265"/>
      <c r="AA63" s="265"/>
      <c r="AB63" s="265"/>
      <c r="AC63" s="265"/>
      <c r="AD63" s="1215"/>
      <c r="AH63" s="462"/>
      <c r="AI63" s="463"/>
      <c r="AJ63" s="463"/>
      <c r="AK63" s="463"/>
      <c r="AL63" s="464"/>
      <c r="AM63" s="462"/>
      <c r="AN63" s="463"/>
      <c r="AO63" s="464"/>
    </row>
    <row r="64" spans="1:43">
      <c r="A64" s="262"/>
      <c r="B64" s="253" t="str">
        <f>B25</f>
        <v>New homes</v>
      </c>
      <c r="C64" s="459">
        <v>584.02663924827812</v>
      </c>
      <c r="D64" s="458">
        <v>608.23698631902528</v>
      </c>
      <c r="E64" s="458">
        <v>681.54656036775805</v>
      </c>
      <c r="F64" s="458">
        <v>734.55194352323622</v>
      </c>
      <c r="G64" s="460">
        <v>766.23604162426864</v>
      </c>
      <c r="H64" s="459">
        <v>647.10654639753136</v>
      </c>
      <c r="I64" s="458">
        <v>537.46256864062661</v>
      </c>
      <c r="J64" s="458">
        <v>717.60761792454332</v>
      </c>
      <c r="K64" s="458">
        <v>1143.325250171499</v>
      </c>
      <c r="L64" s="458">
        <v>774.71240761257559</v>
      </c>
      <c r="M64" s="459">
        <v>765.50811138489109</v>
      </c>
      <c r="N64" s="458">
        <v>771.21745428853467</v>
      </c>
      <c r="O64" s="458">
        <v>778.42921847009075</v>
      </c>
      <c r="P64" s="458">
        <v>788.06267264987207</v>
      </c>
      <c r="Q64" s="460">
        <v>798.53567292193316</v>
      </c>
      <c r="R64" s="1174"/>
      <c r="S64" s="459">
        <v>737.37263665566547</v>
      </c>
      <c r="T64" s="458">
        <v>752.48273166910133</v>
      </c>
      <c r="U64" s="458">
        <v>768.09649651631833</v>
      </c>
      <c r="V64" s="458">
        <v>784.21393119731636</v>
      </c>
      <c r="W64" s="460">
        <v>800.3313658783145</v>
      </c>
      <c r="X64" s="1212">
        <v>-0.12176950850387935</v>
      </c>
      <c r="Y64" s="1001">
        <v>925.22008304657709</v>
      </c>
      <c r="Z64" s="265">
        <v>899.34838769346891</v>
      </c>
      <c r="AA64" s="265">
        <v>894.16290100027095</v>
      </c>
      <c r="AB64" s="265">
        <v>904.00146680461694</v>
      </c>
      <c r="AC64" s="265">
        <v>919.66625307022275</v>
      </c>
      <c r="AD64" s="1215">
        <v>-0.15898750556758989</v>
      </c>
      <c r="AH64" s="462"/>
      <c r="AI64" s="463"/>
      <c r="AJ64" s="463"/>
      <c r="AK64" s="463"/>
      <c r="AL64" s="464"/>
      <c r="AM64" s="462"/>
      <c r="AN64" s="463"/>
      <c r="AO64" s="464"/>
    </row>
    <row r="65" spans="1:41">
      <c r="A65" s="262"/>
      <c r="B65" s="253" t="str">
        <f>B26</f>
        <v>New medium density / high rise</v>
      </c>
      <c r="C65" s="459">
        <v>584.02663924827812</v>
      </c>
      <c r="D65" s="458">
        <v>608.23698631902528</v>
      </c>
      <c r="E65" s="458">
        <v>681.54656036775805</v>
      </c>
      <c r="F65" s="458">
        <v>734.55194352323622</v>
      </c>
      <c r="G65" s="460">
        <v>766.23604162426864</v>
      </c>
      <c r="H65" s="459">
        <v>647.10654639753136</v>
      </c>
      <c r="I65" s="458">
        <v>537.46256864062661</v>
      </c>
      <c r="J65" s="458">
        <v>717.60761792454332</v>
      </c>
      <c r="K65" s="458">
        <v>1143.325250171499</v>
      </c>
      <c r="L65" s="458">
        <v>774.71240761257559</v>
      </c>
      <c r="M65" s="459">
        <v>765.50811138489109</v>
      </c>
      <c r="N65" s="458">
        <v>771.21745428853467</v>
      </c>
      <c r="O65" s="458">
        <v>778.42921847009075</v>
      </c>
      <c r="P65" s="458">
        <v>788.06267264987207</v>
      </c>
      <c r="Q65" s="460">
        <v>798.53567292193316</v>
      </c>
      <c r="R65" s="1174"/>
      <c r="S65" s="459">
        <v>737.37263665566547</v>
      </c>
      <c r="T65" s="458">
        <v>752.48273166910133</v>
      </c>
      <c r="U65" s="458">
        <v>768.09649651631833</v>
      </c>
      <c r="V65" s="458">
        <v>784.21393119731636</v>
      </c>
      <c r="W65" s="460">
        <v>800.3313658783145</v>
      </c>
      <c r="X65" s="1212">
        <v>-0.12176950850387935</v>
      </c>
      <c r="Y65" s="1001">
        <v>925.22008304657709</v>
      </c>
      <c r="Z65" s="265">
        <v>899.34838769346891</v>
      </c>
      <c r="AA65" s="265">
        <v>894.16290100027095</v>
      </c>
      <c r="AB65" s="265">
        <v>904.00146680461694</v>
      </c>
      <c r="AC65" s="265">
        <v>919.66625307022275</v>
      </c>
      <c r="AD65" s="1215">
        <v>-0.15898750556758989</v>
      </c>
      <c r="AH65" s="462"/>
      <c r="AI65" s="463"/>
      <c r="AJ65" s="463"/>
      <c r="AK65" s="463"/>
      <c r="AL65" s="464"/>
      <c r="AM65" s="462"/>
      <c r="AN65" s="463"/>
      <c r="AO65" s="464"/>
    </row>
    <row r="66" spans="1:41">
      <c r="A66" s="262"/>
      <c r="B66" s="253" t="str">
        <f>B27</f>
        <v>I&amp;C tariff</v>
      </c>
      <c r="C66" s="459">
        <v>9776.6081082469154</v>
      </c>
      <c r="D66" s="458">
        <v>3520.9700557108226</v>
      </c>
      <c r="E66" s="458">
        <v>2603.8018365481494</v>
      </c>
      <c r="F66" s="458">
        <v>7077.610698178195</v>
      </c>
      <c r="G66" s="460">
        <v>7648.6296356123439</v>
      </c>
      <c r="H66" s="459">
        <v>11739.064113755243</v>
      </c>
      <c r="I66" s="458">
        <v>10604.028952613646</v>
      </c>
      <c r="J66" s="458">
        <v>4497.3500522665909</v>
      </c>
      <c r="K66" s="458">
        <v>9129.3914569618282</v>
      </c>
      <c r="L66" s="458">
        <v>6386.9207477679893</v>
      </c>
      <c r="M66" s="459">
        <v>8591.1187820129999</v>
      </c>
      <c r="N66" s="458">
        <v>8624.2621610331353</v>
      </c>
      <c r="O66" s="458">
        <v>8683.1756137539833</v>
      </c>
      <c r="P66" s="458">
        <v>8754.0062315909963</v>
      </c>
      <c r="Q66" s="460">
        <v>8892.6063950806765</v>
      </c>
      <c r="R66" s="1174"/>
      <c r="S66" s="459">
        <v>5592.2461644725781</v>
      </c>
      <c r="T66" s="458">
        <v>5708.0902262422524</v>
      </c>
      <c r="U66" s="458">
        <v>5825.9489673470507</v>
      </c>
      <c r="V66" s="458">
        <v>5946.8297274545375</v>
      </c>
      <c r="W66" s="460">
        <v>6069.7251668971485</v>
      </c>
      <c r="X66" s="1212">
        <v>8.1903509314085632E-2</v>
      </c>
      <c r="Y66" s="1001">
        <v>6738.1457605749547</v>
      </c>
      <c r="Z66" s="265">
        <v>6658.2855864286839</v>
      </c>
      <c r="AA66" s="265">
        <v>6654.8138705997089</v>
      </c>
      <c r="AB66" s="265">
        <v>6709.0283485198825</v>
      </c>
      <c r="AC66" s="265">
        <v>6793.2862848704126</v>
      </c>
      <c r="AD66" s="1215">
        <v>0.33858072106326098</v>
      </c>
      <c r="AH66" s="462"/>
      <c r="AI66" s="463"/>
      <c r="AJ66" s="463"/>
      <c r="AK66" s="463"/>
      <c r="AL66" s="464"/>
      <c r="AM66" s="462"/>
      <c r="AN66" s="463"/>
      <c r="AO66" s="464"/>
    </row>
    <row r="67" spans="1:41">
      <c r="A67" s="262"/>
      <c r="B67" s="253" t="str">
        <f>B28</f>
        <v>I&amp;C contract</v>
      </c>
      <c r="C67" s="459">
        <v>9776.6081082469154</v>
      </c>
      <c r="D67" s="458">
        <v>3520.9700557108226</v>
      </c>
      <c r="E67" s="458">
        <v>2603.8018365481494</v>
      </c>
      <c r="F67" s="458">
        <v>7077.610698178195</v>
      </c>
      <c r="G67" s="460">
        <v>7648.6296356123439</v>
      </c>
      <c r="H67" s="459">
        <v>11739.064113755243</v>
      </c>
      <c r="I67" s="458">
        <v>10604.028952613646</v>
      </c>
      <c r="J67" s="458">
        <v>4497.3500522665909</v>
      </c>
      <c r="K67" s="458">
        <v>9129.3914569618282</v>
      </c>
      <c r="L67" s="458">
        <v>6386.9207477679893</v>
      </c>
      <c r="M67" s="459">
        <v>8591.1187820129999</v>
      </c>
      <c r="N67" s="458">
        <v>8624.2621610331353</v>
      </c>
      <c r="O67" s="458">
        <v>8683.1756137539833</v>
      </c>
      <c r="P67" s="458">
        <v>8754.0062315909963</v>
      </c>
      <c r="Q67" s="460">
        <v>8892.6063950806765</v>
      </c>
      <c r="R67" s="1174"/>
      <c r="S67" s="459">
        <v>5592.2461644725781</v>
      </c>
      <c r="T67" s="458">
        <v>5708.0902262422524</v>
      </c>
      <c r="U67" s="458">
        <v>5825.9489673470507</v>
      </c>
      <c r="V67" s="458">
        <v>5946.8297274545375</v>
      </c>
      <c r="W67" s="460">
        <v>6069.7251668971485</v>
      </c>
      <c r="X67" s="1212">
        <v>8.1903509314085632E-2</v>
      </c>
      <c r="Y67" s="1001">
        <v>6738.1457605749547</v>
      </c>
      <c r="Z67" s="265">
        <v>6658.2855864286839</v>
      </c>
      <c r="AA67" s="265">
        <v>6654.8138705997089</v>
      </c>
      <c r="AB67" s="265">
        <v>6709.0283485198825</v>
      </c>
      <c r="AC67" s="265">
        <v>6793.2862848704126</v>
      </c>
      <c r="AD67" s="1215">
        <v>0.33858072106326098</v>
      </c>
      <c r="AH67" s="462"/>
      <c r="AI67" s="463"/>
      <c r="AJ67" s="463"/>
      <c r="AK67" s="463"/>
      <c r="AL67" s="464"/>
      <c r="AM67" s="462"/>
      <c r="AN67" s="463"/>
      <c r="AO67" s="464"/>
    </row>
    <row r="68" spans="1:41">
      <c r="A68" s="262"/>
      <c r="B68" s="501" t="s">
        <v>331</v>
      </c>
      <c r="C68" s="278"/>
      <c r="D68" s="266"/>
      <c r="E68" s="266"/>
      <c r="F68" s="266"/>
      <c r="G68" s="339"/>
      <c r="H68" s="278"/>
      <c r="I68" s="266"/>
      <c r="J68" s="266"/>
      <c r="K68" s="266"/>
      <c r="L68" s="266"/>
      <c r="M68" s="278"/>
      <c r="N68" s="266"/>
      <c r="O68" s="266"/>
      <c r="P68" s="266"/>
      <c r="Q68" s="339"/>
      <c r="R68" s="1174"/>
      <c r="S68" s="268"/>
      <c r="T68" s="267"/>
      <c r="U68" s="267"/>
      <c r="V68" s="267"/>
      <c r="W68" s="279"/>
      <c r="X68" s="1213"/>
      <c r="Y68" s="268"/>
      <c r="Z68" s="267"/>
      <c r="AA68" s="267"/>
      <c r="AB68" s="267"/>
      <c r="AC68" s="267"/>
      <c r="AD68" s="1216"/>
      <c r="AH68" s="278"/>
      <c r="AI68" s="266"/>
      <c r="AJ68" s="266"/>
      <c r="AK68" s="266"/>
      <c r="AL68" s="339"/>
      <c r="AM68" s="278"/>
      <c r="AN68" s="266"/>
      <c r="AO68" s="339"/>
    </row>
    <row r="69" spans="1:41">
      <c r="A69" s="262"/>
      <c r="B69" s="253" t="str">
        <f>B24</f>
        <v>Electricity to gas</v>
      </c>
      <c r="C69" s="459"/>
      <c r="D69" s="458"/>
      <c r="E69" s="458"/>
      <c r="F69" s="458"/>
      <c r="G69" s="460"/>
      <c r="H69" s="459"/>
      <c r="I69" s="458"/>
      <c r="J69" s="458"/>
      <c r="K69" s="458"/>
      <c r="L69" s="458"/>
      <c r="M69" s="459"/>
      <c r="N69" s="458"/>
      <c r="O69" s="458"/>
      <c r="P69" s="458"/>
      <c r="Q69" s="460"/>
      <c r="R69" s="1174"/>
      <c r="S69" s="459"/>
      <c r="T69" s="458"/>
      <c r="U69" s="458"/>
      <c r="V69" s="458"/>
      <c r="W69" s="460"/>
      <c r="X69" s="1212"/>
      <c r="Y69" s="1001"/>
      <c r="Z69" s="265"/>
      <c r="AA69" s="265"/>
      <c r="AB69" s="265"/>
      <c r="AC69" s="265"/>
      <c r="AD69" s="1215"/>
      <c r="AH69" s="462"/>
      <c r="AI69" s="463"/>
      <c r="AJ69" s="463"/>
      <c r="AK69" s="463"/>
      <c r="AL69" s="464"/>
      <c r="AM69" s="462"/>
      <c r="AN69" s="463"/>
      <c r="AO69" s="464"/>
    </row>
    <row r="70" spans="1:41">
      <c r="A70" s="262"/>
      <c r="B70" s="253" t="str">
        <f>B25</f>
        <v>New homes</v>
      </c>
      <c r="C70" s="459">
        <v>761.75031097356054</v>
      </c>
      <c r="D70" s="458">
        <v>793.32804762210981</v>
      </c>
      <c r="E70" s="458">
        <v>888.94627301819742</v>
      </c>
      <c r="F70" s="458">
        <v>958.08159046523872</v>
      </c>
      <c r="G70" s="460">
        <v>999.40739644635573</v>
      </c>
      <c r="H70" s="459">
        <v>844.02590536934929</v>
      </c>
      <c r="I70" s="458">
        <v>701.01644562928732</v>
      </c>
      <c r="J70" s="458">
        <v>935.98097993374813</v>
      </c>
      <c r="K70" s="458">
        <v>1491.2476697690822</v>
      </c>
      <c r="L70" s="458">
        <v>1010.4631839628797</v>
      </c>
      <c r="M70" s="459">
        <v>998.45795159410272</v>
      </c>
      <c r="N70" s="458">
        <v>1005.9046902187366</v>
      </c>
      <c r="O70" s="458">
        <v>1015.3110481462436</v>
      </c>
      <c r="P70" s="458">
        <v>1027.8760344397513</v>
      </c>
      <c r="Q70" s="460">
        <v>1041.5360469767429</v>
      </c>
      <c r="R70" s="1174"/>
      <c r="S70" s="459">
        <v>961.76064160159535</v>
      </c>
      <c r="T70" s="458">
        <v>981.46885147048056</v>
      </c>
      <c r="U70" s="458">
        <v>1001.8340016683286</v>
      </c>
      <c r="V70" s="458">
        <v>1022.8560921951394</v>
      </c>
      <c r="W70" s="460">
        <v>1043.8781827219502</v>
      </c>
      <c r="X70" s="1212">
        <v>-0.12176950850387935</v>
      </c>
      <c r="Y70" s="1001">
        <v>1206.7714700255285</v>
      </c>
      <c r="Z70" s="265">
        <v>1173.0268243942778</v>
      </c>
      <c r="AA70" s="265">
        <v>1166.2633553405767</v>
      </c>
      <c r="AB70" s="265">
        <v>1179.0958702591442</v>
      </c>
      <c r="AC70" s="265">
        <v>1199.5275680743646</v>
      </c>
      <c r="AD70" s="1215">
        <v>-0.15898750556759</v>
      </c>
      <c r="AH70" s="462"/>
      <c r="AI70" s="463"/>
      <c r="AJ70" s="463"/>
      <c r="AK70" s="463"/>
      <c r="AL70" s="464"/>
      <c r="AM70" s="462"/>
      <c r="AN70" s="463"/>
      <c r="AO70" s="464"/>
    </row>
    <row r="71" spans="1:41">
      <c r="A71" s="262"/>
      <c r="B71" s="253" t="str">
        <f>B26</f>
        <v>New medium density / high rise</v>
      </c>
      <c r="C71" s="459">
        <v>761.75031097356054</v>
      </c>
      <c r="D71" s="458">
        <v>793.32804762210981</v>
      </c>
      <c r="E71" s="458">
        <v>888.94627301819742</v>
      </c>
      <c r="F71" s="458">
        <v>958.08159046523872</v>
      </c>
      <c r="G71" s="460">
        <v>999.40739644635573</v>
      </c>
      <c r="H71" s="459">
        <v>844.02590536934929</v>
      </c>
      <c r="I71" s="458">
        <v>701.01644562928732</v>
      </c>
      <c r="J71" s="458">
        <v>935.98097993374813</v>
      </c>
      <c r="K71" s="458">
        <v>1491.2476697690822</v>
      </c>
      <c r="L71" s="458">
        <v>1010.4631839628797</v>
      </c>
      <c r="M71" s="459">
        <v>998.45795159410272</v>
      </c>
      <c r="N71" s="458">
        <v>1005.9046902187366</v>
      </c>
      <c r="O71" s="458">
        <v>1015.3110481462436</v>
      </c>
      <c r="P71" s="458">
        <v>1027.8760344397513</v>
      </c>
      <c r="Q71" s="460">
        <v>1041.5360469767429</v>
      </c>
      <c r="R71" s="1174"/>
      <c r="S71" s="459">
        <v>961.76064160159535</v>
      </c>
      <c r="T71" s="458">
        <v>981.46885147048056</v>
      </c>
      <c r="U71" s="458">
        <v>1001.8340016683286</v>
      </c>
      <c r="V71" s="458">
        <v>1022.8560921951394</v>
      </c>
      <c r="W71" s="460">
        <v>1043.8781827219502</v>
      </c>
      <c r="X71" s="1212">
        <v>-0.12176950850387935</v>
      </c>
      <c r="Y71" s="1001">
        <v>1206.7714700255285</v>
      </c>
      <c r="Z71" s="265">
        <v>1173.0268243942778</v>
      </c>
      <c r="AA71" s="265">
        <v>1166.2633553405767</v>
      </c>
      <c r="AB71" s="265">
        <v>1179.0958702591442</v>
      </c>
      <c r="AC71" s="265">
        <v>1199.5275680743646</v>
      </c>
      <c r="AD71" s="1215">
        <v>-0.15898750556759</v>
      </c>
      <c r="AH71" s="462"/>
      <c r="AI71" s="463"/>
      <c r="AJ71" s="463"/>
      <c r="AK71" s="463"/>
      <c r="AL71" s="464"/>
      <c r="AM71" s="462"/>
      <c r="AN71" s="463"/>
      <c r="AO71" s="464"/>
    </row>
    <row r="72" spans="1:41">
      <c r="A72" s="262"/>
      <c r="B72" s="253" t="str">
        <f>B27</f>
        <v>I&amp;C tariff</v>
      </c>
      <c r="C72" s="459">
        <v>12751.703032432655</v>
      </c>
      <c r="D72" s="458">
        <v>4592.4275617265375</v>
      </c>
      <c r="E72" s="458">
        <v>3396.15819794975</v>
      </c>
      <c r="F72" s="458">
        <v>9231.3805363852407</v>
      </c>
      <c r="G72" s="460">
        <v>9976.1648046544506</v>
      </c>
      <c r="H72" s="459">
        <v>15311.349069113519</v>
      </c>
      <c r="I72" s="458">
        <v>13830.914224431755</v>
      </c>
      <c r="J72" s="458">
        <v>5865.9272893451925</v>
      </c>
      <c r="K72" s="458">
        <v>11907.533516435473</v>
      </c>
      <c r="L72" s="458">
        <v>8330.5084713909237</v>
      </c>
      <c r="M72" s="459">
        <v>11205.460443093127</v>
      </c>
      <c r="N72" s="458">
        <v>11248.689600084659</v>
      </c>
      <c r="O72" s="458">
        <v>11325.530856826637</v>
      </c>
      <c r="P72" s="458">
        <v>11417.915761106418</v>
      </c>
      <c r="Q72" s="460">
        <v>11598.692990335458</v>
      </c>
      <c r="R72" s="1174"/>
      <c r="S72" s="459">
        <v>7294.0084724743938</v>
      </c>
      <c r="T72" s="458">
        <v>7445.1047481358473</v>
      </c>
      <c r="U72" s="458">
        <v>7598.8287851131508</v>
      </c>
      <c r="V72" s="458">
        <v>7756.4944640642325</v>
      </c>
      <c r="W72" s="460">
        <v>7916.787904331165</v>
      </c>
      <c r="X72" s="1212">
        <v>8.1903509314085854E-2</v>
      </c>
      <c r="Y72" s="1001">
        <v>8788.6138808834876</v>
      </c>
      <c r="Z72" s="265">
        <v>8684.4516588166553</v>
      </c>
      <c r="AA72" s="265">
        <v>8679.9234739110198</v>
      </c>
      <c r="AB72" s="265">
        <v>8750.6358226972279</v>
      </c>
      <c r="AC72" s="265">
        <v>8860.5340788788635</v>
      </c>
      <c r="AD72" s="1215">
        <v>0.33858072106326076</v>
      </c>
      <c r="AH72" s="462"/>
      <c r="AI72" s="463"/>
      <c r="AJ72" s="463"/>
      <c r="AK72" s="463"/>
      <c r="AL72" s="464"/>
      <c r="AM72" s="462"/>
      <c r="AN72" s="463"/>
      <c r="AO72" s="464"/>
    </row>
    <row r="73" spans="1:41">
      <c r="A73" s="262"/>
      <c r="B73" s="253" t="str">
        <f>B28</f>
        <v>I&amp;C contract</v>
      </c>
      <c r="C73" s="459">
        <v>12751.703032432655</v>
      </c>
      <c r="D73" s="458">
        <v>4592.4275617265375</v>
      </c>
      <c r="E73" s="458">
        <v>3396.15819794975</v>
      </c>
      <c r="F73" s="458">
        <v>9231.3805363852407</v>
      </c>
      <c r="G73" s="460">
        <v>9976.1648046544506</v>
      </c>
      <c r="H73" s="459">
        <v>15311.349069113519</v>
      </c>
      <c r="I73" s="458">
        <v>13830.914224431755</v>
      </c>
      <c r="J73" s="458">
        <v>5865.9272893451925</v>
      </c>
      <c r="K73" s="458">
        <v>11907.533516435473</v>
      </c>
      <c r="L73" s="458">
        <v>8330.5084713909237</v>
      </c>
      <c r="M73" s="459">
        <v>11205.460443093127</v>
      </c>
      <c r="N73" s="458">
        <v>11248.689600084659</v>
      </c>
      <c r="O73" s="458">
        <v>11325.530856826637</v>
      </c>
      <c r="P73" s="458">
        <v>11417.915761106418</v>
      </c>
      <c r="Q73" s="460">
        <v>11598.692990335458</v>
      </c>
      <c r="R73" s="1174"/>
      <c r="S73" s="459">
        <v>7294.0084724743938</v>
      </c>
      <c r="T73" s="458">
        <v>7445.1047481358473</v>
      </c>
      <c r="U73" s="458">
        <v>7598.8287851131508</v>
      </c>
      <c r="V73" s="458">
        <v>7756.4944640642325</v>
      </c>
      <c r="W73" s="460">
        <v>7916.787904331165</v>
      </c>
      <c r="X73" s="1212">
        <v>8.1903509314085854E-2</v>
      </c>
      <c r="Y73" s="1001">
        <v>8788.6138808834876</v>
      </c>
      <c r="Z73" s="265">
        <v>8684.4516588166553</v>
      </c>
      <c r="AA73" s="265">
        <v>8679.9234739110198</v>
      </c>
      <c r="AB73" s="265">
        <v>8750.6358226972279</v>
      </c>
      <c r="AC73" s="265">
        <v>8860.5340788788635</v>
      </c>
      <c r="AD73" s="1215">
        <v>0.33858072106326076</v>
      </c>
      <c r="AH73" s="462"/>
      <c r="AI73" s="463"/>
      <c r="AJ73" s="463"/>
      <c r="AK73" s="463"/>
      <c r="AL73" s="464"/>
      <c r="AM73" s="462"/>
      <c r="AN73" s="463"/>
      <c r="AO73" s="464"/>
    </row>
    <row r="74" spans="1:41">
      <c r="A74" s="262"/>
      <c r="B74" s="501" t="s">
        <v>329</v>
      </c>
      <c r="C74" s="278"/>
      <c r="D74" s="266"/>
      <c r="E74" s="266"/>
      <c r="F74" s="266"/>
      <c r="G74" s="339"/>
      <c r="H74" s="278"/>
      <c r="I74" s="266"/>
      <c r="J74" s="266"/>
      <c r="K74" s="266"/>
      <c r="L74" s="266"/>
      <c r="M74" s="278"/>
      <c r="N74" s="266"/>
      <c r="O74" s="266"/>
      <c r="P74" s="266"/>
      <c r="Q74" s="339"/>
      <c r="R74" s="1174"/>
      <c r="S74" s="268"/>
      <c r="T74" s="267"/>
      <c r="U74" s="267"/>
      <c r="V74" s="267"/>
      <c r="W74" s="279"/>
      <c r="X74" s="1213"/>
      <c r="Y74" s="268"/>
      <c r="Z74" s="267"/>
      <c r="AA74" s="267"/>
      <c r="AB74" s="267"/>
      <c r="AC74" s="267"/>
      <c r="AD74" s="1216"/>
      <c r="AH74" s="278"/>
      <c r="AI74" s="266"/>
      <c r="AJ74" s="266"/>
      <c r="AK74" s="266"/>
      <c r="AL74" s="339"/>
      <c r="AM74" s="278"/>
      <c r="AN74" s="266"/>
      <c r="AO74" s="339"/>
    </row>
    <row r="75" spans="1:41">
      <c r="A75" s="262"/>
      <c r="B75" s="253" t="str">
        <f>B24</f>
        <v>Electricity to gas</v>
      </c>
      <c r="C75" s="459"/>
      <c r="D75" s="458"/>
      <c r="E75" s="458"/>
      <c r="F75" s="458"/>
      <c r="G75" s="460"/>
      <c r="H75" s="459"/>
      <c r="I75" s="458"/>
      <c r="J75" s="458"/>
      <c r="K75" s="458"/>
      <c r="L75" s="458"/>
      <c r="M75" s="459"/>
      <c r="N75" s="458"/>
      <c r="O75" s="458"/>
      <c r="P75" s="458"/>
      <c r="Q75" s="460"/>
      <c r="R75" s="1174"/>
      <c r="S75" s="459"/>
      <c r="T75" s="458"/>
      <c r="U75" s="458"/>
      <c r="V75" s="458"/>
      <c r="W75" s="460"/>
      <c r="X75" s="1212"/>
      <c r="Y75" s="1001"/>
      <c r="Z75" s="265"/>
      <c r="AA75" s="265"/>
      <c r="AB75" s="265"/>
      <c r="AC75" s="265"/>
      <c r="AD75" s="1215"/>
      <c r="AH75" s="462"/>
      <c r="AI75" s="463"/>
      <c r="AJ75" s="463"/>
      <c r="AK75" s="463"/>
      <c r="AL75" s="464"/>
      <c r="AM75" s="462"/>
      <c r="AN75" s="463"/>
      <c r="AO75" s="464"/>
    </row>
    <row r="76" spans="1:41">
      <c r="A76" s="262"/>
      <c r="B76" s="253" t="str">
        <f>B25</f>
        <v>New homes</v>
      </c>
      <c r="C76" s="459">
        <v>175.56031864412125</v>
      </c>
      <c r="D76" s="458">
        <v>182.83802818780907</v>
      </c>
      <c r="E76" s="458">
        <v>204.87512600962438</v>
      </c>
      <c r="F76" s="458">
        <v>220.80871761532086</v>
      </c>
      <c r="G76" s="460">
        <v>230.33306117219786</v>
      </c>
      <c r="H76" s="459">
        <v>194.52234512534247</v>
      </c>
      <c r="I76" s="458">
        <v>161.56300666573489</v>
      </c>
      <c r="J76" s="458">
        <v>215.71519789994423</v>
      </c>
      <c r="K76" s="458">
        <v>343.68731106569948</v>
      </c>
      <c r="L76" s="458">
        <v>232.88108452224017</v>
      </c>
      <c r="M76" s="459">
        <v>230.11424296051433</v>
      </c>
      <c r="N76" s="458">
        <v>231.8304901178399</v>
      </c>
      <c r="O76" s="458">
        <v>233.99837002710206</v>
      </c>
      <c r="P76" s="458">
        <v>236.89421787339685</v>
      </c>
      <c r="Q76" s="460">
        <v>240.04243602195527</v>
      </c>
      <c r="R76" s="1174"/>
      <c r="S76" s="459">
        <v>221.6566272</v>
      </c>
      <c r="T76" s="458">
        <v>226.19877120000001</v>
      </c>
      <c r="U76" s="458">
        <v>230.89232000000001</v>
      </c>
      <c r="V76" s="458">
        <v>235.73727360000001</v>
      </c>
      <c r="W76" s="460">
        <v>240.58222720000001</v>
      </c>
      <c r="X76" s="1212">
        <v>-0.12176950850387913</v>
      </c>
      <c r="Y76" s="1001">
        <v>278.12418420616814</v>
      </c>
      <c r="Z76" s="265">
        <v>270.34706793301058</v>
      </c>
      <c r="AA76" s="265">
        <v>268.7882936665585</v>
      </c>
      <c r="AB76" s="265">
        <v>271.7457987383055</v>
      </c>
      <c r="AC76" s="265">
        <v>276.45468474361098</v>
      </c>
      <c r="AD76" s="1215">
        <v>-0.15898750556758978</v>
      </c>
      <c r="AH76" s="462"/>
      <c r="AI76" s="463"/>
      <c r="AJ76" s="463"/>
      <c r="AK76" s="463"/>
      <c r="AL76" s="464"/>
      <c r="AM76" s="462"/>
      <c r="AN76" s="463"/>
      <c r="AO76" s="464"/>
    </row>
    <row r="77" spans="1:41">
      <c r="A77" s="262"/>
      <c r="B77" s="253" t="str">
        <f>B26</f>
        <v>New medium density / high rise</v>
      </c>
      <c r="C77" s="459">
        <v>175.56031864412125</v>
      </c>
      <c r="D77" s="458">
        <v>182.83802818780907</v>
      </c>
      <c r="E77" s="458">
        <v>204.87512600962438</v>
      </c>
      <c r="F77" s="458">
        <v>220.80871761532086</v>
      </c>
      <c r="G77" s="460">
        <v>230.33306117219786</v>
      </c>
      <c r="H77" s="459">
        <v>194.52234512534247</v>
      </c>
      <c r="I77" s="458">
        <v>161.56300666573489</v>
      </c>
      <c r="J77" s="458">
        <v>215.71519789994423</v>
      </c>
      <c r="K77" s="458">
        <v>343.68731106569948</v>
      </c>
      <c r="L77" s="458">
        <v>232.88108452224017</v>
      </c>
      <c r="M77" s="459">
        <v>230.11424296051433</v>
      </c>
      <c r="N77" s="458">
        <v>231.8304901178399</v>
      </c>
      <c r="O77" s="458">
        <v>233.99837002710206</v>
      </c>
      <c r="P77" s="458">
        <v>236.89421787339685</v>
      </c>
      <c r="Q77" s="460">
        <v>240.04243602195527</v>
      </c>
      <c r="R77" s="1174"/>
      <c r="S77" s="459">
        <v>221.6566272</v>
      </c>
      <c r="T77" s="458">
        <v>226.19877120000001</v>
      </c>
      <c r="U77" s="458">
        <v>230.89232000000001</v>
      </c>
      <c r="V77" s="458">
        <v>235.73727360000001</v>
      </c>
      <c r="W77" s="460">
        <v>240.58222720000001</v>
      </c>
      <c r="X77" s="1212">
        <v>-0.12176950850387913</v>
      </c>
      <c r="Y77" s="1001">
        <v>278.12418420616814</v>
      </c>
      <c r="Z77" s="265">
        <v>270.34706793301058</v>
      </c>
      <c r="AA77" s="265">
        <v>268.7882936665585</v>
      </c>
      <c r="AB77" s="265">
        <v>271.7457987383055</v>
      </c>
      <c r="AC77" s="265">
        <v>276.45468474361098</v>
      </c>
      <c r="AD77" s="1215">
        <v>-0.15898750556758978</v>
      </c>
      <c r="AH77" s="462"/>
      <c r="AI77" s="463"/>
      <c r="AJ77" s="463"/>
      <c r="AK77" s="463"/>
      <c r="AL77" s="464"/>
      <c r="AM77" s="462"/>
      <c r="AN77" s="463"/>
      <c r="AO77" s="464"/>
    </row>
    <row r="78" spans="1:41">
      <c r="A78" s="262"/>
      <c r="B78" s="253" t="str">
        <f>B27</f>
        <v>I&amp;C tariff</v>
      </c>
      <c r="C78" s="459">
        <v>2938.8803855792412</v>
      </c>
      <c r="D78" s="458">
        <v>1058.4151190648345</v>
      </c>
      <c r="E78" s="458">
        <v>782.71135148718986</v>
      </c>
      <c r="F78" s="458">
        <v>2127.5529332198503</v>
      </c>
      <c r="G78" s="460">
        <v>2299.2030941385369</v>
      </c>
      <c r="H78" s="459">
        <v>3528.8010818261928</v>
      </c>
      <c r="I78" s="458">
        <v>3187.6057986473561</v>
      </c>
      <c r="J78" s="458">
        <v>1351.9181406628038</v>
      </c>
      <c r="K78" s="458">
        <v>2744.3249425644462</v>
      </c>
      <c r="L78" s="458">
        <v>1919.9292742470625</v>
      </c>
      <c r="M78" s="459">
        <v>2582.5184152918659</v>
      </c>
      <c r="N78" s="458">
        <v>2592.4814234676696</v>
      </c>
      <c r="O78" s="458">
        <v>2610.1910001154229</v>
      </c>
      <c r="P78" s="458">
        <v>2631.4829155890588</v>
      </c>
      <c r="Q78" s="460">
        <v>2673.1465782221453</v>
      </c>
      <c r="R78" s="1174"/>
      <c r="S78" s="459">
        <v>1681.0474944</v>
      </c>
      <c r="T78" s="458">
        <v>1715.8705984000001</v>
      </c>
      <c r="U78" s="458">
        <v>1751.2993216</v>
      </c>
      <c r="V78" s="458">
        <v>1787.6364736000003</v>
      </c>
      <c r="W78" s="460">
        <v>1824.5792448</v>
      </c>
      <c r="X78" s="1212">
        <v>8.1903509314085632E-2</v>
      </c>
      <c r="Y78" s="1001">
        <v>2025.508662275565</v>
      </c>
      <c r="Z78" s="265">
        <v>2001.5024326314167</v>
      </c>
      <c r="AA78" s="265">
        <v>2000.4588234940643</v>
      </c>
      <c r="AB78" s="265">
        <v>2016.7558729420848</v>
      </c>
      <c r="AC78" s="265">
        <v>2042.0840842939419</v>
      </c>
      <c r="AD78" s="1215">
        <v>0.28495866193045227</v>
      </c>
      <c r="AH78" s="462"/>
      <c r="AI78" s="463"/>
      <c r="AJ78" s="463"/>
      <c r="AK78" s="463"/>
      <c r="AL78" s="464"/>
      <c r="AM78" s="462"/>
      <c r="AN78" s="463"/>
      <c r="AO78" s="464"/>
    </row>
    <row r="79" spans="1:41" ht="13.5" thickBot="1">
      <c r="A79" s="262"/>
      <c r="B79" s="253" t="str">
        <f>B28</f>
        <v>I&amp;C contract</v>
      </c>
      <c r="C79" s="459">
        <v>2938.8803855792412</v>
      </c>
      <c r="D79" s="458">
        <v>1058.4151190648345</v>
      </c>
      <c r="E79" s="458">
        <v>782.71135148718986</v>
      </c>
      <c r="F79" s="458">
        <v>2127.5529332198503</v>
      </c>
      <c r="G79" s="460">
        <v>2299.2030941385369</v>
      </c>
      <c r="H79" s="459">
        <v>3528.8010818261928</v>
      </c>
      <c r="I79" s="458">
        <v>3187.6057986473561</v>
      </c>
      <c r="J79" s="458">
        <v>1351.9181406628038</v>
      </c>
      <c r="K79" s="458">
        <v>2744.3249425644462</v>
      </c>
      <c r="L79" s="458">
        <v>1919.9292742470625</v>
      </c>
      <c r="M79" s="459">
        <v>2582.5184152918659</v>
      </c>
      <c r="N79" s="458">
        <v>2592.4814234676696</v>
      </c>
      <c r="O79" s="458">
        <v>2610.1910001154229</v>
      </c>
      <c r="P79" s="458">
        <v>2631.4829155890588</v>
      </c>
      <c r="Q79" s="460">
        <v>2673.1465782221453</v>
      </c>
      <c r="R79" s="1174"/>
      <c r="S79" s="459">
        <v>1681.0474944</v>
      </c>
      <c r="T79" s="458">
        <v>1715.8705984000001</v>
      </c>
      <c r="U79" s="458">
        <v>1751.2993216</v>
      </c>
      <c r="V79" s="458">
        <v>1787.6364736000003</v>
      </c>
      <c r="W79" s="460">
        <v>1824.5792448</v>
      </c>
      <c r="X79" s="1212">
        <v>8.1903509314085632E-2</v>
      </c>
      <c r="Y79" s="1001">
        <v>2025.508662275565</v>
      </c>
      <c r="Z79" s="265">
        <v>2001.5024326314167</v>
      </c>
      <c r="AA79" s="265">
        <v>2000.4588234940643</v>
      </c>
      <c r="AB79" s="265">
        <v>2016.7558729420848</v>
      </c>
      <c r="AC79" s="265">
        <v>2042.0840842939419</v>
      </c>
      <c r="AD79" s="1215">
        <v>0.28495866193045227</v>
      </c>
      <c r="AH79" s="462"/>
      <c r="AI79" s="463"/>
      <c r="AJ79" s="463"/>
      <c r="AK79" s="463"/>
      <c r="AL79" s="464"/>
      <c r="AM79" s="462"/>
      <c r="AN79" s="463"/>
      <c r="AO79" s="464"/>
    </row>
    <row r="80" spans="1:41" s="164" customFormat="1" ht="31.5" customHeight="1" thickBot="1">
      <c r="A80" s="741"/>
      <c r="B80" s="1383" t="s">
        <v>121</v>
      </c>
      <c r="C80" s="263" t="s">
        <v>1566</v>
      </c>
      <c r="D80" s="1005"/>
      <c r="E80" s="1005"/>
      <c r="F80" s="1005"/>
      <c r="G80" s="1005"/>
      <c r="H80" s="1005"/>
      <c r="I80" s="1005"/>
      <c r="J80" s="3980" t="s">
        <v>2114</v>
      </c>
      <c r="K80" s="3980"/>
      <c r="L80" s="3980"/>
      <c r="M80" s="3980"/>
      <c r="N80" s="3980"/>
      <c r="O80" s="3980"/>
      <c r="P80" s="3980"/>
      <c r="Q80" s="3981"/>
      <c r="R80" s="1174"/>
      <c r="S80" s="3982" t="s">
        <v>1787</v>
      </c>
      <c r="T80" s="3980"/>
      <c r="U80" s="3980"/>
      <c r="V80" s="3980"/>
      <c r="W80" s="3980"/>
      <c r="X80" s="3983" t="s">
        <v>1788</v>
      </c>
      <c r="Y80" s="3983"/>
      <c r="Z80" s="3983"/>
      <c r="AA80" s="3983"/>
      <c r="AB80" s="3984"/>
      <c r="AC80" s="1005"/>
      <c r="AD80" s="1006"/>
      <c r="AE80"/>
      <c r="AH80" s="1635"/>
      <c r="AI80" s="1636"/>
      <c r="AJ80" s="1636"/>
      <c r="AK80" s="1636"/>
      <c r="AL80" s="1636"/>
      <c r="AM80" s="1636"/>
      <c r="AN80" s="1636"/>
      <c r="AO80" s="1637"/>
    </row>
    <row r="81" spans="1:41" ht="13.5" thickBot="1">
      <c r="A81" s="1174"/>
      <c r="B81" s="1174"/>
      <c r="C81" s="1174"/>
      <c r="D81" s="1174"/>
      <c r="E81" s="1174"/>
      <c r="F81" s="1174"/>
      <c r="G81" s="1174"/>
      <c r="H81" s="1174"/>
      <c r="I81" s="1174"/>
      <c r="J81" s="1174"/>
      <c r="K81" s="1174"/>
      <c r="L81" s="1174"/>
      <c r="M81" s="1174"/>
      <c r="N81" s="1174"/>
      <c r="O81" s="1174"/>
      <c r="P81" s="1174"/>
      <c r="Q81" s="1174"/>
      <c r="R81" s="1174"/>
      <c r="S81" s="1174"/>
      <c r="T81" s="1174"/>
      <c r="U81" s="1174"/>
      <c r="V81" s="1174"/>
      <c r="W81" s="1174"/>
      <c r="X81" s="1174"/>
      <c r="Y81" s="1174"/>
      <c r="Z81" s="1174"/>
      <c r="AA81" s="1174"/>
      <c r="AB81" s="1174"/>
      <c r="AC81" s="1174"/>
      <c r="AD81" s="1174"/>
      <c r="AH81" s="1174"/>
      <c r="AI81" s="1174"/>
      <c r="AJ81" s="1174"/>
      <c r="AK81" s="1174"/>
      <c r="AL81" s="1174"/>
      <c r="AM81" s="1174"/>
      <c r="AN81" s="1174"/>
      <c r="AO81" s="1174"/>
    </row>
    <row r="82" spans="1:41" ht="16.5" thickBot="1">
      <c r="A82" s="833"/>
      <c r="B82" s="252" t="str">
        <f>CONCATENATE("Table 4.2.2 - ", B24)</f>
        <v>Table 4.2.2 - Electricity to gas</v>
      </c>
      <c r="C82" s="269"/>
      <c r="D82" s="269"/>
      <c r="E82" s="269"/>
      <c r="F82" s="269"/>
      <c r="G82" s="269"/>
      <c r="H82" s="269"/>
      <c r="I82" s="269"/>
      <c r="J82" s="269"/>
      <c r="K82" s="269"/>
      <c r="L82" s="269"/>
      <c r="M82" s="269"/>
      <c r="N82" s="269"/>
      <c r="O82" s="269"/>
      <c r="P82" s="269"/>
      <c r="Q82" s="270"/>
      <c r="R82" s="1174"/>
      <c r="S82" s="252"/>
      <c r="T82" s="269"/>
      <c r="U82" s="269"/>
      <c r="V82" s="269"/>
      <c r="W82" s="269"/>
      <c r="X82" s="269"/>
      <c r="Y82" s="269"/>
      <c r="Z82" s="269"/>
      <c r="AA82" s="269"/>
      <c r="AB82" s="269"/>
      <c r="AC82" s="269"/>
      <c r="AD82" s="270"/>
      <c r="AH82" s="252"/>
      <c r="AI82" s="269"/>
      <c r="AJ82" s="269"/>
      <c r="AK82" s="269"/>
      <c r="AL82" s="269"/>
      <c r="AM82" s="269"/>
      <c r="AN82" s="269"/>
      <c r="AO82" s="270"/>
    </row>
    <row r="83" spans="1:41">
      <c r="A83" s="262"/>
      <c r="B83" s="293" t="str">
        <f>CONCATENATE("Number of new ", B24, " connections")</f>
        <v>Number of new Electricity to gas connections</v>
      </c>
      <c r="C83" s="295">
        <f t="shared" ref="C83:Q83" si="7">C24</f>
        <v>0</v>
      </c>
      <c r="D83" s="968">
        <f t="shared" si="7"/>
        <v>0</v>
      </c>
      <c r="E83" s="968">
        <f t="shared" si="7"/>
        <v>0</v>
      </c>
      <c r="F83" s="968">
        <f t="shared" si="7"/>
        <v>0</v>
      </c>
      <c r="G83" s="973">
        <f t="shared" si="7"/>
        <v>0</v>
      </c>
      <c r="H83" s="295">
        <f t="shared" si="7"/>
        <v>0</v>
      </c>
      <c r="I83" s="968">
        <f t="shared" si="7"/>
        <v>0</v>
      </c>
      <c r="J83" s="968">
        <f t="shared" si="7"/>
        <v>0</v>
      </c>
      <c r="K83" s="968">
        <f t="shared" si="7"/>
        <v>0</v>
      </c>
      <c r="L83" s="968">
        <f t="shared" si="7"/>
        <v>0</v>
      </c>
      <c r="M83" s="295">
        <f t="shared" si="7"/>
        <v>0</v>
      </c>
      <c r="N83" s="968">
        <f t="shared" si="7"/>
        <v>0</v>
      </c>
      <c r="O83" s="968">
        <f t="shared" si="7"/>
        <v>0</v>
      </c>
      <c r="P83" s="968">
        <f t="shared" si="7"/>
        <v>0</v>
      </c>
      <c r="Q83" s="973">
        <f t="shared" si="7"/>
        <v>0</v>
      </c>
      <c r="R83" s="1174"/>
      <c r="S83" s="295">
        <f t="shared" ref="S83:AC83" si="8">S24</f>
        <v>0</v>
      </c>
      <c r="T83" s="296">
        <f t="shared" si="8"/>
        <v>0</v>
      </c>
      <c r="U83" s="296">
        <f t="shared" si="8"/>
        <v>0</v>
      </c>
      <c r="V83" s="296">
        <f t="shared" si="8"/>
        <v>0</v>
      </c>
      <c r="W83" s="958">
        <f t="shared" si="8"/>
        <v>0</v>
      </c>
      <c r="X83" s="991" t="str">
        <f t="shared" si="8"/>
        <v xml:space="preserve"> </v>
      </c>
      <c r="Y83" s="295">
        <f t="shared" si="8"/>
        <v>0</v>
      </c>
      <c r="Z83" s="296">
        <f t="shared" si="8"/>
        <v>0</v>
      </c>
      <c r="AA83" s="296">
        <f t="shared" si="8"/>
        <v>0</v>
      </c>
      <c r="AB83" s="296">
        <f t="shared" si="8"/>
        <v>0</v>
      </c>
      <c r="AC83" s="296">
        <f t="shared" si="8"/>
        <v>0</v>
      </c>
      <c r="AD83" s="297"/>
      <c r="AH83" s="1632">
        <f t="shared" ref="AH83:AO83" si="9">AH24</f>
        <v>0</v>
      </c>
      <c r="AI83" s="968">
        <f t="shared" si="9"/>
        <v>0</v>
      </c>
      <c r="AJ83" s="968">
        <f t="shared" si="9"/>
        <v>0</v>
      </c>
      <c r="AK83" s="968">
        <f t="shared" si="9"/>
        <v>0</v>
      </c>
      <c r="AL83" s="973">
        <f t="shared" si="9"/>
        <v>0</v>
      </c>
      <c r="AM83" s="1632">
        <f t="shared" si="9"/>
        <v>0</v>
      </c>
      <c r="AN83" s="968">
        <f t="shared" si="9"/>
        <v>0</v>
      </c>
      <c r="AO83" s="973">
        <f t="shared" si="9"/>
        <v>0</v>
      </c>
    </row>
    <row r="84" spans="1:41">
      <c r="A84" s="262"/>
      <c r="B84" s="1355" t="s">
        <v>558</v>
      </c>
      <c r="C84" s="969"/>
      <c r="D84" s="970"/>
      <c r="E84" s="970"/>
      <c r="F84" s="970"/>
      <c r="G84" s="974"/>
      <c r="H84" s="969"/>
      <c r="I84" s="970"/>
      <c r="J84" s="970"/>
      <c r="K84" s="970"/>
      <c r="L84" s="970"/>
      <c r="M84" s="969"/>
      <c r="N84" s="970"/>
      <c r="O84" s="970"/>
      <c r="P84" s="970"/>
      <c r="Q84" s="974"/>
      <c r="R84" s="1174"/>
      <c r="S84" s="298"/>
      <c r="T84" s="288"/>
      <c r="U84" s="288"/>
      <c r="V84" s="288"/>
      <c r="W84" s="299"/>
      <c r="X84" s="288"/>
      <c r="Y84" s="298"/>
      <c r="Z84" s="288"/>
      <c r="AA84" s="288"/>
      <c r="AB84" s="288"/>
      <c r="AC84" s="288"/>
      <c r="AD84" s="299"/>
      <c r="AH84" s="969"/>
      <c r="AI84" s="970"/>
      <c r="AJ84" s="970"/>
      <c r="AK84" s="970"/>
      <c r="AL84" s="974"/>
      <c r="AM84" s="969"/>
      <c r="AN84" s="970"/>
      <c r="AO84" s="974"/>
    </row>
    <row r="85" spans="1:41">
      <c r="A85" s="262"/>
      <c r="B85" s="1356" t="s">
        <v>57</v>
      </c>
      <c r="C85" s="255"/>
      <c r="D85" s="461"/>
      <c r="E85" s="461"/>
      <c r="F85" s="461"/>
      <c r="G85" s="281"/>
      <c r="H85" s="255"/>
      <c r="I85" s="461"/>
      <c r="J85" s="461"/>
      <c r="K85" s="461"/>
      <c r="L85" s="461"/>
      <c r="M85" s="255"/>
      <c r="N85" s="461"/>
      <c r="O85" s="461"/>
      <c r="P85" s="461"/>
      <c r="Q85" s="281"/>
      <c r="R85" s="1174"/>
      <c r="S85" s="255"/>
      <c r="T85" s="461"/>
      <c r="U85" s="461"/>
      <c r="V85" s="461"/>
      <c r="W85" s="281"/>
      <c r="X85" s="992"/>
      <c r="Y85" s="255"/>
      <c r="Z85" s="461"/>
      <c r="AA85" s="461"/>
      <c r="AB85" s="461"/>
      <c r="AC85" s="461"/>
      <c r="AD85" s="995"/>
      <c r="AH85" s="259"/>
      <c r="AI85" s="466"/>
      <c r="AJ85" s="466"/>
      <c r="AK85" s="466"/>
      <c r="AL85" s="283"/>
      <c r="AM85" s="259"/>
      <c r="AN85" s="466"/>
      <c r="AO85" s="283"/>
    </row>
    <row r="86" spans="1:41">
      <c r="A86" s="262"/>
      <c r="B86" s="1356" t="s">
        <v>562</v>
      </c>
      <c r="C86" s="255"/>
      <c r="D86" s="461"/>
      <c r="E86" s="461"/>
      <c r="F86" s="461"/>
      <c r="G86" s="281"/>
      <c r="H86" s="255"/>
      <c r="I86" s="461"/>
      <c r="J86" s="461"/>
      <c r="K86" s="461"/>
      <c r="L86" s="461"/>
      <c r="M86" s="255"/>
      <c r="N86" s="461"/>
      <c r="O86" s="461"/>
      <c r="P86" s="461"/>
      <c r="Q86" s="281"/>
      <c r="R86" s="1174"/>
      <c r="S86" s="255"/>
      <c r="T86" s="461"/>
      <c r="U86" s="461"/>
      <c r="V86" s="461"/>
      <c r="W86" s="281"/>
      <c r="X86" s="992"/>
      <c r="Y86" s="255"/>
      <c r="Z86" s="461"/>
      <c r="AA86" s="461"/>
      <c r="AB86" s="461"/>
      <c r="AC86" s="461"/>
      <c r="AD86" s="995"/>
      <c r="AH86" s="259"/>
      <c r="AI86" s="466"/>
      <c r="AJ86" s="466"/>
      <c r="AK86" s="466"/>
      <c r="AL86" s="283"/>
      <c r="AM86" s="259"/>
      <c r="AN86" s="466"/>
      <c r="AO86" s="283"/>
    </row>
    <row r="87" spans="1:41">
      <c r="A87" s="262"/>
      <c r="B87" s="1356" t="s">
        <v>61</v>
      </c>
      <c r="C87" s="255"/>
      <c r="D87" s="461"/>
      <c r="E87" s="461"/>
      <c r="F87" s="461"/>
      <c r="G87" s="281"/>
      <c r="H87" s="255"/>
      <c r="I87" s="461"/>
      <c r="J87" s="461"/>
      <c r="K87" s="461"/>
      <c r="L87" s="461"/>
      <c r="M87" s="255"/>
      <c r="N87" s="461"/>
      <c r="O87" s="461"/>
      <c r="P87" s="461"/>
      <c r="Q87" s="281"/>
      <c r="R87" s="1174"/>
      <c r="S87" s="255"/>
      <c r="T87" s="461"/>
      <c r="U87" s="461"/>
      <c r="V87" s="461"/>
      <c r="W87" s="281"/>
      <c r="X87" s="992"/>
      <c r="Y87" s="255"/>
      <c r="Z87" s="461"/>
      <c r="AA87" s="461"/>
      <c r="AB87" s="461"/>
      <c r="AC87" s="461"/>
      <c r="AD87" s="995"/>
      <c r="AH87" s="259"/>
      <c r="AI87" s="466"/>
      <c r="AJ87" s="466"/>
      <c r="AK87" s="466"/>
      <c r="AL87" s="283"/>
      <c r="AM87" s="259"/>
      <c r="AN87" s="466"/>
      <c r="AO87" s="283"/>
    </row>
    <row r="88" spans="1:41">
      <c r="A88" s="262"/>
      <c r="B88" s="1358" t="s">
        <v>563</v>
      </c>
      <c r="C88" s="300">
        <f>SUM(C85:C87)</f>
        <v>0</v>
      </c>
      <c r="D88" s="971">
        <f t="shared" ref="D88:W88" si="10">SUM(D85:D87)</f>
        <v>0</v>
      </c>
      <c r="E88" s="971">
        <f t="shared" si="10"/>
        <v>0</v>
      </c>
      <c r="F88" s="971">
        <f t="shared" si="10"/>
        <v>0</v>
      </c>
      <c r="G88" s="975">
        <f t="shared" si="10"/>
        <v>0</v>
      </c>
      <c r="H88" s="300">
        <f t="shared" si="10"/>
        <v>0</v>
      </c>
      <c r="I88" s="971">
        <f t="shared" si="10"/>
        <v>0</v>
      </c>
      <c r="J88" s="971">
        <f t="shared" si="10"/>
        <v>0</v>
      </c>
      <c r="K88" s="971">
        <f t="shared" si="10"/>
        <v>0</v>
      </c>
      <c r="L88" s="971">
        <f t="shared" si="10"/>
        <v>0</v>
      </c>
      <c r="M88" s="300">
        <f t="shared" si="10"/>
        <v>0</v>
      </c>
      <c r="N88" s="971">
        <f t="shared" si="10"/>
        <v>0</v>
      </c>
      <c r="O88" s="971">
        <f t="shared" si="10"/>
        <v>0</v>
      </c>
      <c r="P88" s="971">
        <f t="shared" si="10"/>
        <v>0</v>
      </c>
      <c r="Q88" s="975">
        <f t="shared" si="10"/>
        <v>0</v>
      </c>
      <c r="R88" s="1174"/>
      <c r="S88" s="300">
        <f t="shared" si="10"/>
        <v>0</v>
      </c>
      <c r="T88" s="289">
        <f t="shared" si="10"/>
        <v>0</v>
      </c>
      <c r="U88" s="289">
        <f t="shared" si="10"/>
        <v>0</v>
      </c>
      <c r="V88" s="289">
        <f t="shared" si="10"/>
        <v>0</v>
      </c>
      <c r="W88" s="959">
        <f t="shared" si="10"/>
        <v>0</v>
      </c>
      <c r="X88" s="998"/>
      <c r="Y88" s="300">
        <f t="shared" ref="Y88:AC88" si="11">SUM(Y85:Y87)</f>
        <v>0</v>
      </c>
      <c r="Z88" s="289">
        <f t="shared" si="11"/>
        <v>0</v>
      </c>
      <c r="AA88" s="289">
        <f t="shared" si="11"/>
        <v>0</v>
      </c>
      <c r="AB88" s="289">
        <f t="shared" si="11"/>
        <v>0</v>
      </c>
      <c r="AC88" s="289">
        <f t="shared" si="11"/>
        <v>0</v>
      </c>
      <c r="AD88" s="301"/>
      <c r="AH88" s="300">
        <f>SUM(AH85:AH87)</f>
        <v>0</v>
      </c>
      <c r="AI88" s="971">
        <f t="shared" ref="AI88:AO88" si="12">SUM(AI85:AI87)</f>
        <v>0</v>
      </c>
      <c r="AJ88" s="971">
        <f t="shared" si="12"/>
        <v>0</v>
      </c>
      <c r="AK88" s="971">
        <f t="shared" si="12"/>
        <v>0</v>
      </c>
      <c r="AL88" s="975">
        <f t="shared" si="12"/>
        <v>0</v>
      </c>
      <c r="AM88" s="300">
        <f t="shared" si="12"/>
        <v>0</v>
      </c>
      <c r="AN88" s="971">
        <f t="shared" si="12"/>
        <v>0</v>
      </c>
      <c r="AO88" s="975">
        <f t="shared" si="12"/>
        <v>0</v>
      </c>
    </row>
    <row r="89" spans="1:41">
      <c r="A89" s="262"/>
      <c r="B89" s="1354" t="s">
        <v>559</v>
      </c>
      <c r="C89" s="969"/>
      <c r="D89" s="970"/>
      <c r="E89" s="970"/>
      <c r="F89" s="970"/>
      <c r="G89" s="974"/>
      <c r="H89" s="969"/>
      <c r="I89" s="970"/>
      <c r="J89" s="970"/>
      <c r="K89" s="970"/>
      <c r="L89" s="970"/>
      <c r="M89" s="969"/>
      <c r="N89" s="970"/>
      <c r="O89" s="970"/>
      <c r="P89" s="970"/>
      <c r="Q89" s="974"/>
      <c r="R89" s="1174"/>
      <c r="S89" s="298"/>
      <c r="T89" s="288"/>
      <c r="U89" s="288"/>
      <c r="V89" s="288"/>
      <c r="W89" s="299"/>
      <c r="X89" s="288"/>
      <c r="Y89" s="298"/>
      <c r="Z89" s="288"/>
      <c r="AA89" s="288"/>
      <c r="AB89" s="288"/>
      <c r="AC89" s="288"/>
      <c r="AD89" s="299"/>
      <c r="AH89" s="969"/>
      <c r="AI89" s="970"/>
      <c r="AJ89" s="970"/>
      <c r="AK89" s="970"/>
      <c r="AL89" s="974"/>
      <c r="AM89" s="969"/>
      <c r="AN89" s="970"/>
      <c r="AO89" s="974"/>
    </row>
    <row r="90" spans="1:41">
      <c r="A90" s="262"/>
      <c r="B90" s="294" t="s">
        <v>57</v>
      </c>
      <c r="C90" s="255"/>
      <c r="D90" s="461"/>
      <c r="E90" s="461"/>
      <c r="F90" s="461"/>
      <c r="G90" s="281"/>
      <c r="H90" s="255"/>
      <c r="I90" s="461"/>
      <c r="J90" s="461"/>
      <c r="K90" s="461"/>
      <c r="L90" s="461"/>
      <c r="M90" s="255"/>
      <c r="N90" s="461"/>
      <c r="O90" s="461"/>
      <c r="P90" s="461"/>
      <c r="Q90" s="281"/>
      <c r="R90" s="1174"/>
      <c r="S90" s="255"/>
      <c r="T90" s="461"/>
      <c r="U90" s="461"/>
      <c r="V90" s="461"/>
      <c r="W90" s="281"/>
      <c r="X90" s="992"/>
      <c r="Y90" s="255"/>
      <c r="Z90" s="461"/>
      <c r="AA90" s="461"/>
      <c r="AB90" s="461"/>
      <c r="AC90" s="461"/>
      <c r="AD90" s="995"/>
      <c r="AH90" s="259"/>
      <c r="AI90" s="466"/>
      <c r="AJ90" s="466"/>
      <c r="AK90" s="466"/>
      <c r="AL90" s="283"/>
      <c r="AM90" s="259"/>
      <c r="AN90" s="466"/>
      <c r="AO90" s="283"/>
    </row>
    <row r="91" spans="1:41">
      <c r="A91" s="262"/>
      <c r="B91" s="294" t="s">
        <v>562</v>
      </c>
      <c r="C91" s="255"/>
      <c r="D91" s="461"/>
      <c r="E91" s="461"/>
      <c r="F91" s="461"/>
      <c r="G91" s="281"/>
      <c r="H91" s="255"/>
      <c r="I91" s="461"/>
      <c r="J91" s="461"/>
      <c r="K91" s="461"/>
      <c r="L91" s="461"/>
      <c r="M91" s="255"/>
      <c r="N91" s="461"/>
      <c r="O91" s="461"/>
      <c r="P91" s="461"/>
      <c r="Q91" s="281"/>
      <c r="R91" s="1174"/>
      <c r="S91" s="255"/>
      <c r="T91" s="461"/>
      <c r="U91" s="461"/>
      <c r="V91" s="461"/>
      <c r="W91" s="281"/>
      <c r="X91" s="992"/>
      <c r="Y91" s="255"/>
      <c r="Z91" s="461"/>
      <c r="AA91" s="461"/>
      <c r="AB91" s="461"/>
      <c r="AC91" s="461"/>
      <c r="AD91" s="995"/>
      <c r="AH91" s="259"/>
      <c r="AI91" s="466"/>
      <c r="AJ91" s="466"/>
      <c r="AK91" s="466"/>
      <c r="AL91" s="283"/>
      <c r="AM91" s="259"/>
      <c r="AN91" s="466"/>
      <c r="AO91" s="283"/>
    </row>
    <row r="92" spans="1:41">
      <c r="A92" s="262"/>
      <c r="B92" s="294" t="s">
        <v>61</v>
      </c>
      <c r="C92" s="255"/>
      <c r="D92" s="461"/>
      <c r="E92" s="461"/>
      <c r="F92" s="461"/>
      <c r="G92" s="281"/>
      <c r="H92" s="255"/>
      <c r="I92" s="461"/>
      <c r="J92" s="461"/>
      <c r="K92" s="461"/>
      <c r="L92" s="461"/>
      <c r="M92" s="255"/>
      <c r="N92" s="461"/>
      <c r="O92" s="461"/>
      <c r="P92" s="461"/>
      <c r="Q92" s="281"/>
      <c r="R92" s="1174"/>
      <c r="S92" s="255"/>
      <c r="T92" s="461"/>
      <c r="U92" s="461"/>
      <c r="V92" s="461"/>
      <c r="W92" s="281"/>
      <c r="X92" s="992"/>
      <c r="Y92" s="255"/>
      <c r="Z92" s="461"/>
      <c r="AA92" s="461"/>
      <c r="AB92" s="461"/>
      <c r="AC92" s="461"/>
      <c r="AD92" s="995"/>
      <c r="AH92" s="259"/>
      <c r="AI92" s="466"/>
      <c r="AJ92" s="466"/>
      <c r="AK92" s="466"/>
      <c r="AL92" s="283"/>
      <c r="AM92" s="259"/>
      <c r="AN92" s="466"/>
      <c r="AO92" s="283"/>
    </row>
    <row r="93" spans="1:41">
      <c r="A93" s="262"/>
      <c r="B93" s="1358" t="s">
        <v>560</v>
      </c>
      <c r="C93" s="259">
        <f>SUM(C90:C92)</f>
        <v>0</v>
      </c>
      <c r="D93" s="466">
        <f t="shared" ref="D93:W93" si="13">SUM(D90:D92)</f>
        <v>0</v>
      </c>
      <c r="E93" s="466">
        <f t="shared" si="13"/>
        <v>0</v>
      </c>
      <c r="F93" s="466">
        <f t="shared" si="13"/>
        <v>0</v>
      </c>
      <c r="G93" s="283">
        <f t="shared" si="13"/>
        <v>0</v>
      </c>
      <c r="H93" s="259">
        <f t="shared" si="13"/>
        <v>0</v>
      </c>
      <c r="I93" s="466">
        <f t="shared" si="13"/>
        <v>0</v>
      </c>
      <c r="J93" s="466">
        <f t="shared" si="13"/>
        <v>0</v>
      </c>
      <c r="K93" s="466">
        <f t="shared" si="13"/>
        <v>0</v>
      </c>
      <c r="L93" s="466">
        <f t="shared" si="13"/>
        <v>0</v>
      </c>
      <c r="M93" s="259">
        <f t="shared" si="13"/>
        <v>0</v>
      </c>
      <c r="N93" s="466">
        <f t="shared" si="13"/>
        <v>0</v>
      </c>
      <c r="O93" s="466">
        <f t="shared" si="13"/>
        <v>0</v>
      </c>
      <c r="P93" s="466">
        <f t="shared" si="13"/>
        <v>0</v>
      </c>
      <c r="Q93" s="283">
        <f t="shared" si="13"/>
        <v>0</v>
      </c>
      <c r="R93" s="1174"/>
      <c r="S93" s="259">
        <f t="shared" si="13"/>
        <v>0</v>
      </c>
      <c r="T93" s="466">
        <f t="shared" si="13"/>
        <v>0</v>
      </c>
      <c r="U93" s="466">
        <f t="shared" si="13"/>
        <v>0</v>
      </c>
      <c r="V93" s="466">
        <f t="shared" si="13"/>
        <v>0</v>
      </c>
      <c r="W93" s="283">
        <f t="shared" si="13"/>
        <v>0</v>
      </c>
      <c r="X93" s="992"/>
      <c r="Y93" s="259">
        <f t="shared" ref="Y93:AC93" si="14">SUM(Y90:Y92)</f>
        <v>0</v>
      </c>
      <c r="Z93" s="466">
        <f t="shared" si="14"/>
        <v>0</v>
      </c>
      <c r="AA93" s="466">
        <f t="shared" si="14"/>
        <v>0</v>
      </c>
      <c r="AB93" s="466">
        <f t="shared" si="14"/>
        <v>0</v>
      </c>
      <c r="AC93" s="466">
        <f t="shared" si="14"/>
        <v>0</v>
      </c>
      <c r="AD93" s="995"/>
      <c r="AH93" s="259">
        <f>SUM(AH90:AH92)</f>
        <v>0</v>
      </c>
      <c r="AI93" s="466">
        <f t="shared" ref="AI93:AO93" si="15">SUM(AI90:AI92)</f>
        <v>0</v>
      </c>
      <c r="AJ93" s="466">
        <f t="shared" si="15"/>
        <v>0</v>
      </c>
      <c r="AK93" s="466">
        <f t="shared" si="15"/>
        <v>0</v>
      </c>
      <c r="AL93" s="283">
        <f t="shared" si="15"/>
        <v>0</v>
      </c>
      <c r="AM93" s="259">
        <f t="shared" si="15"/>
        <v>0</v>
      </c>
      <c r="AN93" s="466">
        <f t="shared" si="15"/>
        <v>0</v>
      </c>
      <c r="AO93" s="283">
        <f t="shared" si="15"/>
        <v>0</v>
      </c>
    </row>
    <row r="94" spans="1:41">
      <c r="A94" s="262"/>
      <c r="B94" s="1357" t="s">
        <v>564</v>
      </c>
      <c r="C94" s="969"/>
      <c r="D94" s="970"/>
      <c r="E94" s="970"/>
      <c r="F94" s="970"/>
      <c r="G94" s="974"/>
      <c r="H94" s="969"/>
      <c r="I94" s="970"/>
      <c r="J94" s="970"/>
      <c r="K94" s="970"/>
      <c r="L94" s="970"/>
      <c r="M94" s="969"/>
      <c r="N94" s="970"/>
      <c r="O94" s="970"/>
      <c r="P94" s="970"/>
      <c r="Q94" s="974"/>
      <c r="R94" s="1174"/>
      <c r="S94" s="298"/>
      <c r="T94" s="288"/>
      <c r="U94" s="288"/>
      <c r="V94" s="288"/>
      <c r="W94" s="299"/>
      <c r="X94" s="288"/>
      <c r="Y94" s="298"/>
      <c r="Z94" s="288"/>
      <c r="AA94" s="288"/>
      <c r="AB94" s="288"/>
      <c r="AC94" s="288"/>
      <c r="AD94" s="299"/>
      <c r="AH94" s="969"/>
      <c r="AI94" s="970"/>
      <c r="AJ94" s="970"/>
      <c r="AK94" s="970"/>
      <c r="AL94" s="974"/>
      <c r="AM94" s="969"/>
      <c r="AN94" s="970"/>
      <c r="AO94" s="974"/>
    </row>
    <row r="95" spans="1:41">
      <c r="A95" s="262"/>
      <c r="B95" s="1356" t="s">
        <v>57</v>
      </c>
      <c r="C95" s="255"/>
      <c r="D95" s="461"/>
      <c r="E95" s="461"/>
      <c r="F95" s="461"/>
      <c r="G95" s="281"/>
      <c r="H95" s="255"/>
      <c r="I95" s="461"/>
      <c r="J95" s="461"/>
      <c r="K95" s="461"/>
      <c r="L95" s="461"/>
      <c r="M95" s="255"/>
      <c r="N95" s="461"/>
      <c r="O95" s="461"/>
      <c r="P95" s="461"/>
      <c r="Q95" s="281"/>
      <c r="R95" s="1174"/>
      <c r="S95" s="255"/>
      <c r="T95" s="461"/>
      <c r="U95" s="461"/>
      <c r="V95" s="461"/>
      <c r="W95" s="281"/>
      <c r="X95" s="992"/>
      <c r="Y95" s="255"/>
      <c r="Z95" s="461"/>
      <c r="AA95" s="461"/>
      <c r="AB95" s="461"/>
      <c r="AC95" s="461"/>
      <c r="AD95" s="995"/>
      <c r="AH95" s="259"/>
      <c r="AI95" s="466"/>
      <c r="AJ95" s="466"/>
      <c r="AK95" s="466"/>
      <c r="AL95" s="283"/>
      <c r="AM95" s="259"/>
      <c r="AN95" s="466"/>
      <c r="AO95" s="283"/>
    </row>
    <row r="96" spans="1:41">
      <c r="A96" s="262"/>
      <c r="B96" s="1356" t="s">
        <v>562</v>
      </c>
      <c r="C96" s="255"/>
      <c r="D96" s="461"/>
      <c r="E96" s="461"/>
      <c r="F96" s="461"/>
      <c r="G96" s="281"/>
      <c r="H96" s="255"/>
      <c r="I96" s="461"/>
      <c r="J96" s="461"/>
      <c r="K96" s="461"/>
      <c r="L96" s="461"/>
      <c r="M96" s="255"/>
      <c r="N96" s="461"/>
      <c r="O96" s="461"/>
      <c r="P96" s="461"/>
      <c r="Q96" s="281"/>
      <c r="R96" s="1174"/>
      <c r="S96" s="255"/>
      <c r="T96" s="461"/>
      <c r="U96" s="461"/>
      <c r="V96" s="461"/>
      <c r="W96" s="281"/>
      <c r="X96" s="992"/>
      <c r="Y96" s="255"/>
      <c r="Z96" s="461"/>
      <c r="AA96" s="461"/>
      <c r="AB96" s="461"/>
      <c r="AC96" s="461"/>
      <c r="AD96" s="995"/>
      <c r="AH96" s="259"/>
      <c r="AI96" s="466"/>
      <c r="AJ96" s="466"/>
      <c r="AK96" s="466"/>
      <c r="AL96" s="283"/>
      <c r="AM96" s="259"/>
      <c r="AN96" s="466"/>
      <c r="AO96" s="283"/>
    </row>
    <row r="97" spans="1:41">
      <c r="A97" s="262"/>
      <c r="B97" s="1356" t="s">
        <v>61</v>
      </c>
      <c r="C97" s="255"/>
      <c r="D97" s="461"/>
      <c r="E97" s="461"/>
      <c r="F97" s="461"/>
      <c r="G97" s="281"/>
      <c r="H97" s="255"/>
      <c r="I97" s="461"/>
      <c r="J97" s="461"/>
      <c r="K97" s="461"/>
      <c r="L97" s="461"/>
      <c r="M97" s="255"/>
      <c r="N97" s="461"/>
      <c r="O97" s="461"/>
      <c r="P97" s="461"/>
      <c r="Q97" s="281"/>
      <c r="R97" s="1174"/>
      <c r="S97" s="255"/>
      <c r="T97" s="461"/>
      <c r="U97" s="461"/>
      <c r="V97" s="461"/>
      <c r="W97" s="281"/>
      <c r="X97" s="992"/>
      <c r="Y97" s="255"/>
      <c r="Z97" s="461"/>
      <c r="AA97" s="461"/>
      <c r="AB97" s="461"/>
      <c r="AC97" s="461"/>
      <c r="AD97" s="995"/>
      <c r="AH97" s="259"/>
      <c r="AI97" s="466"/>
      <c r="AJ97" s="466"/>
      <c r="AK97" s="466"/>
      <c r="AL97" s="283"/>
      <c r="AM97" s="259"/>
      <c r="AN97" s="466"/>
      <c r="AO97" s="283"/>
    </row>
    <row r="98" spans="1:41">
      <c r="A98" s="262"/>
      <c r="B98" s="1358" t="s">
        <v>568</v>
      </c>
      <c r="C98" s="300">
        <f>SUM(C95:C97)</f>
        <v>0</v>
      </c>
      <c r="D98" s="971">
        <f t="shared" ref="D98:W98" si="16">SUM(D95:D97)</f>
        <v>0</v>
      </c>
      <c r="E98" s="971">
        <f t="shared" si="16"/>
        <v>0</v>
      </c>
      <c r="F98" s="971">
        <f t="shared" si="16"/>
        <v>0</v>
      </c>
      <c r="G98" s="975">
        <f t="shared" si="16"/>
        <v>0</v>
      </c>
      <c r="H98" s="300">
        <f t="shared" si="16"/>
        <v>0</v>
      </c>
      <c r="I98" s="971">
        <f t="shared" si="16"/>
        <v>0</v>
      </c>
      <c r="J98" s="971">
        <f t="shared" si="16"/>
        <v>0</v>
      </c>
      <c r="K98" s="971">
        <f t="shared" si="16"/>
        <v>0</v>
      </c>
      <c r="L98" s="971">
        <f t="shared" si="16"/>
        <v>0</v>
      </c>
      <c r="M98" s="300">
        <f t="shared" si="16"/>
        <v>0</v>
      </c>
      <c r="N98" s="971">
        <f t="shared" si="16"/>
        <v>0</v>
      </c>
      <c r="O98" s="971">
        <f t="shared" si="16"/>
        <v>0</v>
      </c>
      <c r="P98" s="971">
        <f t="shared" si="16"/>
        <v>0</v>
      </c>
      <c r="Q98" s="975">
        <f t="shared" si="16"/>
        <v>0</v>
      </c>
      <c r="R98" s="1174"/>
      <c r="S98" s="300">
        <f t="shared" si="16"/>
        <v>0</v>
      </c>
      <c r="T98" s="289">
        <f t="shared" si="16"/>
        <v>0</v>
      </c>
      <c r="U98" s="289">
        <f t="shared" si="16"/>
        <v>0</v>
      </c>
      <c r="V98" s="289">
        <f t="shared" si="16"/>
        <v>0</v>
      </c>
      <c r="W98" s="959">
        <f t="shared" si="16"/>
        <v>0</v>
      </c>
      <c r="X98" s="998"/>
      <c r="Y98" s="300">
        <f t="shared" ref="Y98:AC98" si="17">SUM(Y95:Y97)</f>
        <v>0</v>
      </c>
      <c r="Z98" s="289">
        <f t="shared" si="17"/>
        <v>0</v>
      </c>
      <c r="AA98" s="289">
        <f t="shared" si="17"/>
        <v>0</v>
      </c>
      <c r="AB98" s="289">
        <f t="shared" si="17"/>
        <v>0</v>
      </c>
      <c r="AC98" s="289">
        <f t="shared" si="17"/>
        <v>0</v>
      </c>
      <c r="AD98" s="301"/>
      <c r="AH98" s="300">
        <f>SUM(AH95:AH97)</f>
        <v>0</v>
      </c>
      <c r="AI98" s="971">
        <f t="shared" ref="AI98:AO98" si="18">SUM(AI95:AI97)</f>
        <v>0</v>
      </c>
      <c r="AJ98" s="971">
        <f t="shared" si="18"/>
        <v>0</v>
      </c>
      <c r="AK98" s="971">
        <f t="shared" si="18"/>
        <v>0</v>
      </c>
      <c r="AL98" s="975">
        <f t="shared" si="18"/>
        <v>0</v>
      </c>
      <c r="AM98" s="300">
        <f t="shared" si="18"/>
        <v>0</v>
      </c>
      <c r="AN98" s="971">
        <f t="shared" si="18"/>
        <v>0</v>
      </c>
      <c r="AO98" s="975">
        <f t="shared" si="18"/>
        <v>0</v>
      </c>
    </row>
    <row r="99" spans="1:41">
      <c r="A99" s="262"/>
      <c r="B99" s="1360" t="s">
        <v>566</v>
      </c>
      <c r="C99" s="969"/>
      <c r="D99" s="970"/>
      <c r="E99" s="970"/>
      <c r="F99" s="970"/>
      <c r="G99" s="974"/>
      <c r="H99" s="969"/>
      <c r="I99" s="970"/>
      <c r="J99" s="970"/>
      <c r="K99" s="970"/>
      <c r="L99" s="970"/>
      <c r="M99" s="969"/>
      <c r="N99" s="970"/>
      <c r="O99" s="970"/>
      <c r="P99" s="970"/>
      <c r="Q99" s="974"/>
      <c r="R99" s="1174"/>
      <c r="S99" s="298"/>
      <c r="T99" s="288"/>
      <c r="U99" s="288"/>
      <c r="V99" s="288"/>
      <c r="W99" s="299"/>
      <c r="X99" s="288"/>
      <c r="Y99" s="298"/>
      <c r="Z99" s="288"/>
      <c r="AA99" s="288"/>
      <c r="AB99" s="288"/>
      <c r="AC99" s="288"/>
      <c r="AD99" s="299"/>
      <c r="AH99" s="969"/>
      <c r="AI99" s="970"/>
      <c r="AJ99" s="970"/>
      <c r="AK99" s="970"/>
      <c r="AL99" s="974"/>
      <c r="AM99" s="969"/>
      <c r="AN99" s="970"/>
      <c r="AO99" s="974"/>
    </row>
    <row r="100" spans="1:41">
      <c r="A100" s="262"/>
      <c r="B100" s="1361" t="s">
        <v>57</v>
      </c>
      <c r="C100" s="302">
        <f t="shared" ref="C100:W102" si="19">C90+C85+C95</f>
        <v>0</v>
      </c>
      <c r="D100" s="284">
        <f t="shared" si="19"/>
        <v>0</v>
      </c>
      <c r="E100" s="284">
        <f t="shared" si="19"/>
        <v>0</v>
      </c>
      <c r="F100" s="284">
        <f t="shared" si="19"/>
        <v>0</v>
      </c>
      <c r="G100" s="960">
        <f t="shared" si="19"/>
        <v>0</v>
      </c>
      <c r="H100" s="302">
        <f t="shared" si="19"/>
        <v>0</v>
      </c>
      <c r="I100" s="284">
        <f t="shared" si="19"/>
        <v>0</v>
      </c>
      <c r="J100" s="284">
        <f t="shared" si="19"/>
        <v>0</v>
      </c>
      <c r="K100" s="284">
        <f t="shared" si="19"/>
        <v>0</v>
      </c>
      <c r="L100" s="284">
        <f t="shared" si="19"/>
        <v>0</v>
      </c>
      <c r="M100" s="302">
        <f t="shared" si="19"/>
        <v>0</v>
      </c>
      <c r="N100" s="284">
        <f t="shared" si="19"/>
        <v>0</v>
      </c>
      <c r="O100" s="284">
        <f t="shared" si="19"/>
        <v>0</v>
      </c>
      <c r="P100" s="284">
        <f t="shared" si="19"/>
        <v>0</v>
      </c>
      <c r="Q100" s="960">
        <f t="shared" si="19"/>
        <v>0</v>
      </c>
      <c r="R100" s="1174"/>
      <c r="S100" s="302">
        <f t="shared" si="19"/>
        <v>0</v>
      </c>
      <c r="T100" s="284">
        <f t="shared" si="19"/>
        <v>0</v>
      </c>
      <c r="U100" s="284">
        <f t="shared" si="19"/>
        <v>0</v>
      </c>
      <c r="V100" s="284">
        <f t="shared" si="19"/>
        <v>0</v>
      </c>
      <c r="W100" s="960">
        <f t="shared" si="19"/>
        <v>0</v>
      </c>
      <c r="X100" s="285"/>
      <c r="Y100" s="302">
        <f t="shared" ref="Y100:AC102" si="20">Y90+Y85+Y95</f>
        <v>0</v>
      </c>
      <c r="Z100" s="284">
        <f t="shared" si="20"/>
        <v>0</v>
      </c>
      <c r="AA100" s="284">
        <f t="shared" si="20"/>
        <v>0</v>
      </c>
      <c r="AB100" s="284">
        <f t="shared" si="20"/>
        <v>0</v>
      </c>
      <c r="AC100" s="284">
        <f t="shared" si="20"/>
        <v>0</v>
      </c>
      <c r="AD100" s="304"/>
      <c r="AH100" s="302">
        <f t="shared" ref="AH100:AO100" si="21">AH90+AH85+AH95</f>
        <v>0</v>
      </c>
      <c r="AI100" s="284">
        <f t="shared" si="21"/>
        <v>0</v>
      </c>
      <c r="AJ100" s="284">
        <f t="shared" si="21"/>
        <v>0</v>
      </c>
      <c r="AK100" s="284">
        <f t="shared" si="21"/>
        <v>0</v>
      </c>
      <c r="AL100" s="960">
        <f t="shared" si="21"/>
        <v>0</v>
      </c>
      <c r="AM100" s="302">
        <f t="shared" si="21"/>
        <v>0</v>
      </c>
      <c r="AN100" s="284">
        <f t="shared" si="21"/>
        <v>0</v>
      </c>
      <c r="AO100" s="960">
        <f t="shared" si="21"/>
        <v>0</v>
      </c>
    </row>
    <row r="101" spans="1:41">
      <c r="A101" s="262"/>
      <c r="B101" s="1361" t="s">
        <v>562</v>
      </c>
      <c r="C101" s="302">
        <f t="shared" si="19"/>
        <v>0</v>
      </c>
      <c r="D101" s="284">
        <f t="shared" si="19"/>
        <v>0</v>
      </c>
      <c r="E101" s="284">
        <f t="shared" si="19"/>
        <v>0</v>
      </c>
      <c r="F101" s="284">
        <f t="shared" si="19"/>
        <v>0</v>
      </c>
      <c r="G101" s="960">
        <f t="shared" si="19"/>
        <v>0</v>
      </c>
      <c r="H101" s="302">
        <f t="shared" si="19"/>
        <v>0</v>
      </c>
      <c r="I101" s="284">
        <f t="shared" si="19"/>
        <v>0</v>
      </c>
      <c r="J101" s="284">
        <f t="shared" si="19"/>
        <v>0</v>
      </c>
      <c r="K101" s="284">
        <f t="shared" si="19"/>
        <v>0</v>
      </c>
      <c r="L101" s="284">
        <f t="shared" si="19"/>
        <v>0</v>
      </c>
      <c r="M101" s="302">
        <f t="shared" si="19"/>
        <v>0</v>
      </c>
      <c r="N101" s="284">
        <f t="shared" si="19"/>
        <v>0</v>
      </c>
      <c r="O101" s="284">
        <f t="shared" si="19"/>
        <v>0</v>
      </c>
      <c r="P101" s="284">
        <f t="shared" si="19"/>
        <v>0</v>
      </c>
      <c r="Q101" s="960">
        <f t="shared" si="19"/>
        <v>0</v>
      </c>
      <c r="R101" s="1174"/>
      <c r="S101" s="302">
        <f t="shared" si="19"/>
        <v>0</v>
      </c>
      <c r="T101" s="284">
        <f t="shared" si="19"/>
        <v>0</v>
      </c>
      <c r="U101" s="284">
        <f t="shared" si="19"/>
        <v>0</v>
      </c>
      <c r="V101" s="284">
        <f t="shared" si="19"/>
        <v>0</v>
      </c>
      <c r="W101" s="960">
        <f t="shared" si="19"/>
        <v>0</v>
      </c>
      <c r="X101" s="285"/>
      <c r="Y101" s="302">
        <f t="shared" si="20"/>
        <v>0</v>
      </c>
      <c r="Z101" s="284">
        <f t="shared" si="20"/>
        <v>0</v>
      </c>
      <c r="AA101" s="284">
        <f t="shared" si="20"/>
        <v>0</v>
      </c>
      <c r="AB101" s="284">
        <f t="shared" si="20"/>
        <v>0</v>
      </c>
      <c r="AC101" s="284">
        <f t="shared" si="20"/>
        <v>0</v>
      </c>
      <c r="AD101" s="304"/>
      <c r="AH101" s="302">
        <f t="shared" ref="AH101:AO101" si="22">AH91+AH86+AH96</f>
        <v>0</v>
      </c>
      <c r="AI101" s="284">
        <f t="shared" si="22"/>
        <v>0</v>
      </c>
      <c r="AJ101" s="284">
        <f t="shared" si="22"/>
        <v>0</v>
      </c>
      <c r="AK101" s="284">
        <f t="shared" si="22"/>
        <v>0</v>
      </c>
      <c r="AL101" s="960">
        <f t="shared" si="22"/>
        <v>0</v>
      </c>
      <c r="AM101" s="302">
        <f t="shared" si="22"/>
        <v>0</v>
      </c>
      <c r="AN101" s="284">
        <f t="shared" si="22"/>
        <v>0</v>
      </c>
      <c r="AO101" s="960">
        <f t="shared" si="22"/>
        <v>0</v>
      </c>
    </row>
    <row r="102" spans="1:41">
      <c r="A102" s="262"/>
      <c r="B102" s="1361" t="s">
        <v>61</v>
      </c>
      <c r="C102" s="302">
        <f t="shared" si="19"/>
        <v>0</v>
      </c>
      <c r="D102" s="284">
        <f t="shared" si="19"/>
        <v>0</v>
      </c>
      <c r="E102" s="284">
        <f t="shared" si="19"/>
        <v>0</v>
      </c>
      <c r="F102" s="284">
        <f t="shared" si="19"/>
        <v>0</v>
      </c>
      <c r="G102" s="960">
        <f t="shared" si="19"/>
        <v>0</v>
      </c>
      <c r="H102" s="302">
        <f t="shared" si="19"/>
        <v>0</v>
      </c>
      <c r="I102" s="284">
        <f t="shared" si="19"/>
        <v>0</v>
      </c>
      <c r="J102" s="284">
        <f t="shared" si="19"/>
        <v>0</v>
      </c>
      <c r="K102" s="284">
        <f t="shared" si="19"/>
        <v>0</v>
      </c>
      <c r="L102" s="284">
        <f t="shared" si="19"/>
        <v>0</v>
      </c>
      <c r="M102" s="302">
        <f t="shared" si="19"/>
        <v>0</v>
      </c>
      <c r="N102" s="284">
        <f t="shared" si="19"/>
        <v>0</v>
      </c>
      <c r="O102" s="284">
        <f t="shared" si="19"/>
        <v>0</v>
      </c>
      <c r="P102" s="284">
        <f t="shared" si="19"/>
        <v>0</v>
      </c>
      <c r="Q102" s="960">
        <f t="shared" si="19"/>
        <v>0</v>
      </c>
      <c r="R102" s="1174"/>
      <c r="S102" s="302">
        <f t="shared" si="19"/>
        <v>0</v>
      </c>
      <c r="T102" s="284">
        <f t="shared" si="19"/>
        <v>0</v>
      </c>
      <c r="U102" s="284">
        <f t="shared" si="19"/>
        <v>0</v>
      </c>
      <c r="V102" s="284">
        <f t="shared" si="19"/>
        <v>0</v>
      </c>
      <c r="W102" s="960">
        <f t="shared" si="19"/>
        <v>0</v>
      </c>
      <c r="X102" s="285"/>
      <c r="Y102" s="302">
        <f t="shared" si="20"/>
        <v>0</v>
      </c>
      <c r="Z102" s="284">
        <f t="shared" si="20"/>
        <v>0</v>
      </c>
      <c r="AA102" s="284">
        <f t="shared" si="20"/>
        <v>0</v>
      </c>
      <c r="AB102" s="284">
        <f t="shared" si="20"/>
        <v>0</v>
      </c>
      <c r="AC102" s="284">
        <f t="shared" si="20"/>
        <v>0</v>
      </c>
      <c r="AD102" s="304"/>
      <c r="AH102" s="302">
        <f t="shared" ref="AH102:AO102" si="23">AH92+AH87+AH97</f>
        <v>0</v>
      </c>
      <c r="AI102" s="284">
        <f t="shared" si="23"/>
        <v>0</v>
      </c>
      <c r="AJ102" s="284">
        <f t="shared" si="23"/>
        <v>0</v>
      </c>
      <c r="AK102" s="284">
        <f t="shared" si="23"/>
        <v>0</v>
      </c>
      <c r="AL102" s="960">
        <f t="shared" si="23"/>
        <v>0</v>
      </c>
      <c r="AM102" s="302">
        <f t="shared" si="23"/>
        <v>0</v>
      </c>
      <c r="AN102" s="284">
        <f t="shared" si="23"/>
        <v>0</v>
      </c>
      <c r="AO102" s="960">
        <f t="shared" si="23"/>
        <v>0</v>
      </c>
    </row>
    <row r="103" spans="1:41">
      <c r="A103" s="262"/>
      <c r="B103" s="1362" t="s">
        <v>566</v>
      </c>
      <c r="C103" s="303">
        <f>SUM(C100:C102)</f>
        <v>0</v>
      </c>
      <c r="D103" s="972">
        <f t="shared" ref="D103:V103" si="24">SUM(D100:D102)</f>
        <v>0</v>
      </c>
      <c r="E103" s="972">
        <f t="shared" si="24"/>
        <v>0</v>
      </c>
      <c r="F103" s="972">
        <f t="shared" si="24"/>
        <v>0</v>
      </c>
      <c r="G103" s="976">
        <f t="shared" si="24"/>
        <v>0</v>
      </c>
      <c r="H103" s="303">
        <f t="shared" si="24"/>
        <v>0</v>
      </c>
      <c r="I103" s="972">
        <f t="shared" si="24"/>
        <v>0</v>
      </c>
      <c r="J103" s="972">
        <f t="shared" si="24"/>
        <v>0</v>
      </c>
      <c r="K103" s="972">
        <f t="shared" si="24"/>
        <v>0</v>
      </c>
      <c r="L103" s="972">
        <f t="shared" si="24"/>
        <v>0</v>
      </c>
      <c r="M103" s="303">
        <f t="shared" si="24"/>
        <v>0</v>
      </c>
      <c r="N103" s="972">
        <f t="shared" si="24"/>
        <v>0</v>
      </c>
      <c r="O103" s="972">
        <f t="shared" si="24"/>
        <v>0</v>
      </c>
      <c r="P103" s="972">
        <f t="shared" si="24"/>
        <v>0</v>
      </c>
      <c r="Q103" s="976">
        <f t="shared" si="24"/>
        <v>0</v>
      </c>
      <c r="R103" s="1174"/>
      <c r="S103" s="303">
        <f t="shared" si="24"/>
        <v>0</v>
      </c>
      <c r="T103" s="290">
        <f t="shared" si="24"/>
        <v>0</v>
      </c>
      <c r="U103" s="290">
        <f t="shared" si="24"/>
        <v>0</v>
      </c>
      <c r="V103" s="290">
        <f t="shared" si="24"/>
        <v>0</v>
      </c>
      <c r="W103" s="301">
        <f>SUM(W100:W102)</f>
        <v>0</v>
      </c>
      <c r="X103" s="998"/>
      <c r="Y103" s="303">
        <f t="shared" ref="Y103:AC103" si="25">SUM(Y100:Y102)</f>
        <v>0</v>
      </c>
      <c r="Z103" s="290">
        <f t="shared" si="25"/>
        <v>0</v>
      </c>
      <c r="AA103" s="290">
        <f t="shared" si="25"/>
        <v>0</v>
      </c>
      <c r="AB103" s="290">
        <f t="shared" si="25"/>
        <v>0</v>
      </c>
      <c r="AC103" s="290">
        <f t="shared" si="25"/>
        <v>0</v>
      </c>
      <c r="AD103" s="301"/>
      <c r="AH103" s="303">
        <f>SUM(AH100:AH102)</f>
        <v>0</v>
      </c>
      <c r="AI103" s="972">
        <f t="shared" ref="AI103:AO103" si="26">SUM(AI100:AI102)</f>
        <v>0</v>
      </c>
      <c r="AJ103" s="972">
        <f t="shared" si="26"/>
        <v>0</v>
      </c>
      <c r="AK103" s="972">
        <f t="shared" si="26"/>
        <v>0</v>
      </c>
      <c r="AL103" s="976">
        <f t="shared" si="26"/>
        <v>0</v>
      </c>
      <c r="AM103" s="303">
        <f t="shared" si="26"/>
        <v>0</v>
      </c>
      <c r="AN103" s="972">
        <f t="shared" si="26"/>
        <v>0</v>
      </c>
      <c r="AO103" s="976">
        <f t="shared" si="26"/>
        <v>0</v>
      </c>
    </row>
    <row r="104" spans="1:41">
      <c r="A104" s="262"/>
      <c r="B104" s="1359" t="s">
        <v>567</v>
      </c>
      <c r="C104" s="308"/>
      <c r="D104" s="287"/>
      <c r="E104" s="287"/>
      <c r="F104" s="287"/>
      <c r="G104" s="309"/>
      <c r="H104" s="308"/>
      <c r="I104" s="287"/>
      <c r="J104" s="287"/>
      <c r="K104" s="287"/>
      <c r="L104" s="287"/>
      <c r="M104" s="308"/>
      <c r="N104" s="287"/>
      <c r="O104" s="287"/>
      <c r="P104" s="287"/>
      <c r="Q104" s="309"/>
      <c r="R104" s="1174"/>
      <c r="S104" s="305"/>
      <c r="T104" s="291"/>
      <c r="U104" s="291"/>
      <c r="V104" s="291"/>
      <c r="W104" s="961"/>
      <c r="X104" s="285"/>
      <c r="Y104" s="305"/>
      <c r="Z104" s="291"/>
      <c r="AA104" s="291"/>
      <c r="AB104" s="291"/>
      <c r="AC104" s="291"/>
      <c r="AD104" s="304"/>
      <c r="AH104" s="302"/>
      <c r="AI104" s="284"/>
      <c r="AJ104" s="284"/>
      <c r="AK104" s="284"/>
      <c r="AL104" s="960"/>
      <c r="AM104" s="302"/>
      <c r="AN104" s="284"/>
      <c r="AO104" s="960"/>
    </row>
    <row r="105" spans="1:41">
      <c r="A105" s="262"/>
      <c r="B105" s="310" t="s">
        <v>151</v>
      </c>
      <c r="C105" s="308"/>
      <c r="D105" s="287"/>
      <c r="E105" s="287"/>
      <c r="F105" s="287"/>
      <c r="G105" s="309"/>
      <c r="H105" s="308"/>
      <c r="I105" s="287"/>
      <c r="J105" s="287"/>
      <c r="K105" s="287"/>
      <c r="L105" s="287"/>
      <c r="M105" s="308"/>
      <c r="N105" s="287"/>
      <c r="O105" s="287"/>
      <c r="P105" s="287"/>
      <c r="Q105" s="309"/>
      <c r="R105" s="1174"/>
      <c r="S105" s="305"/>
      <c r="T105" s="291"/>
      <c r="U105" s="291"/>
      <c r="V105" s="291"/>
      <c r="W105" s="961"/>
      <c r="X105" s="285"/>
      <c r="Y105" s="305"/>
      <c r="Z105" s="291"/>
      <c r="AA105" s="291"/>
      <c r="AB105" s="291"/>
      <c r="AC105" s="291"/>
      <c r="AD105" s="304"/>
      <c r="AH105" s="302"/>
      <c r="AI105" s="284"/>
      <c r="AJ105" s="284"/>
      <c r="AK105" s="284"/>
      <c r="AL105" s="960"/>
      <c r="AM105" s="302"/>
      <c r="AN105" s="284"/>
      <c r="AO105" s="960"/>
    </row>
    <row r="106" spans="1:41" ht="25.5">
      <c r="A106" s="262"/>
      <c r="B106" s="501" t="str">
        <f>CONCATENATE("Total gross expenditure on new ", B24, " connections")</f>
        <v>Total gross expenditure on new Electricity to gas connections</v>
      </c>
      <c r="C106" s="306">
        <f>SUM(C103,C104,C105)</f>
        <v>0</v>
      </c>
      <c r="D106" s="286">
        <f t="shared" ref="D106:Q106" si="27">SUM(D103,D104,D105)</f>
        <v>0</v>
      </c>
      <c r="E106" s="286">
        <f t="shared" si="27"/>
        <v>0</v>
      </c>
      <c r="F106" s="286">
        <f t="shared" si="27"/>
        <v>0</v>
      </c>
      <c r="G106" s="307">
        <f t="shared" si="27"/>
        <v>0</v>
      </c>
      <c r="H106" s="306">
        <f t="shared" si="27"/>
        <v>0</v>
      </c>
      <c r="I106" s="286">
        <f t="shared" si="27"/>
        <v>0</v>
      </c>
      <c r="J106" s="286">
        <f t="shared" si="27"/>
        <v>0</v>
      </c>
      <c r="K106" s="286">
        <f t="shared" si="27"/>
        <v>0</v>
      </c>
      <c r="L106" s="286">
        <f t="shared" si="27"/>
        <v>0</v>
      </c>
      <c r="M106" s="306">
        <f t="shared" si="27"/>
        <v>0</v>
      </c>
      <c r="N106" s="286">
        <f t="shared" si="27"/>
        <v>0</v>
      </c>
      <c r="O106" s="286">
        <f t="shared" si="27"/>
        <v>0</v>
      </c>
      <c r="P106" s="286">
        <f t="shared" si="27"/>
        <v>0</v>
      </c>
      <c r="Q106" s="307">
        <f t="shared" si="27"/>
        <v>0</v>
      </c>
      <c r="R106" s="1174"/>
      <c r="S106" s="306">
        <f t="shared" ref="S106" si="28">SUM(S103,S104,S105)</f>
        <v>0</v>
      </c>
      <c r="T106" s="286">
        <f t="shared" ref="T106" si="29">SUM(T103,T104,T105)</f>
        <v>0</v>
      </c>
      <c r="U106" s="286">
        <f t="shared" ref="U106" si="30">SUM(U103,U104,U105)</f>
        <v>0</v>
      </c>
      <c r="V106" s="286">
        <f t="shared" ref="V106" si="31">SUM(V103,V104,V105)</f>
        <v>0</v>
      </c>
      <c r="W106" s="307">
        <f t="shared" ref="W106" si="32">SUM(W103,W104,W105)</f>
        <v>0</v>
      </c>
      <c r="X106" s="993"/>
      <c r="Y106" s="306">
        <f t="shared" ref="Y106" si="33">SUM(Y103,Y104,Y105)</f>
        <v>0</v>
      </c>
      <c r="Z106" s="286">
        <f t="shared" ref="Z106" si="34">SUM(Z103,Z104,Z105)</f>
        <v>0</v>
      </c>
      <c r="AA106" s="286">
        <f t="shared" ref="AA106" si="35">SUM(AA103,AA104,AA105)</f>
        <v>0</v>
      </c>
      <c r="AB106" s="286">
        <f t="shared" ref="AB106" si="36">SUM(AB103,AB104,AB105)</f>
        <v>0</v>
      </c>
      <c r="AC106" s="286">
        <f t="shared" ref="AC106" si="37">SUM(AC103,AC104,AC105)</f>
        <v>0</v>
      </c>
      <c r="AD106" s="996"/>
      <c r="AH106" s="306">
        <f>SUM(AH103,AH104,AH105)</f>
        <v>0</v>
      </c>
      <c r="AI106" s="286">
        <f t="shared" ref="AI106:AO106" si="38">SUM(AI103,AI104,AI105)</f>
        <v>0</v>
      </c>
      <c r="AJ106" s="286">
        <f t="shared" si="38"/>
        <v>0</v>
      </c>
      <c r="AK106" s="286">
        <f t="shared" si="38"/>
        <v>0</v>
      </c>
      <c r="AL106" s="307">
        <f t="shared" si="38"/>
        <v>0</v>
      </c>
      <c r="AM106" s="306">
        <f t="shared" si="38"/>
        <v>0</v>
      </c>
      <c r="AN106" s="286">
        <f t="shared" si="38"/>
        <v>0</v>
      </c>
      <c r="AO106" s="307">
        <f t="shared" si="38"/>
        <v>0</v>
      </c>
    </row>
    <row r="107" spans="1:41">
      <c r="A107" s="262"/>
      <c r="B107" s="1348" t="s">
        <v>35</v>
      </c>
      <c r="C107" s="308"/>
      <c r="D107" s="287"/>
      <c r="E107" s="287"/>
      <c r="F107" s="287"/>
      <c r="G107" s="309"/>
      <c r="H107" s="308"/>
      <c r="I107" s="287"/>
      <c r="J107" s="287"/>
      <c r="K107" s="287"/>
      <c r="L107" s="287"/>
      <c r="M107" s="308"/>
      <c r="N107" s="287"/>
      <c r="O107" s="287"/>
      <c r="P107" s="287"/>
      <c r="Q107" s="309"/>
      <c r="R107" s="1174"/>
      <c r="S107" s="308"/>
      <c r="T107" s="287"/>
      <c r="U107" s="287"/>
      <c r="V107" s="287"/>
      <c r="W107" s="309"/>
      <c r="X107" s="994"/>
      <c r="Y107" s="308"/>
      <c r="Z107" s="287"/>
      <c r="AA107" s="287"/>
      <c r="AB107" s="287"/>
      <c r="AC107" s="287"/>
      <c r="AD107" s="997"/>
      <c r="AH107" s="302"/>
      <c r="AI107" s="284"/>
      <c r="AJ107" s="284"/>
      <c r="AK107" s="284"/>
      <c r="AL107" s="960"/>
      <c r="AM107" s="302"/>
      <c r="AN107" s="284"/>
      <c r="AO107" s="960"/>
    </row>
    <row r="108" spans="1:41" ht="26.25" thickBot="1">
      <c r="A108" s="262"/>
      <c r="B108" s="1353" t="str">
        <f>CONCATENATE("Total net expenditure on new ", B24, " connections")</f>
        <v>Total net expenditure on new Electricity to gas connections</v>
      </c>
      <c r="C108" s="962">
        <f>C106-C107</f>
        <v>0</v>
      </c>
      <c r="D108" s="963">
        <f t="shared" ref="D108:V108" si="39">D106-D107</f>
        <v>0</v>
      </c>
      <c r="E108" s="963">
        <f t="shared" si="39"/>
        <v>0</v>
      </c>
      <c r="F108" s="963">
        <f t="shared" si="39"/>
        <v>0</v>
      </c>
      <c r="G108" s="964">
        <f t="shared" si="39"/>
        <v>0</v>
      </c>
      <c r="H108" s="962">
        <f t="shared" si="39"/>
        <v>0</v>
      </c>
      <c r="I108" s="963">
        <f t="shared" si="39"/>
        <v>0</v>
      </c>
      <c r="J108" s="963">
        <f t="shared" si="39"/>
        <v>0</v>
      </c>
      <c r="K108" s="963">
        <f t="shared" si="39"/>
        <v>0</v>
      </c>
      <c r="L108" s="963">
        <f t="shared" si="39"/>
        <v>0</v>
      </c>
      <c r="M108" s="962">
        <f t="shared" si="39"/>
        <v>0</v>
      </c>
      <c r="N108" s="963">
        <f t="shared" si="39"/>
        <v>0</v>
      </c>
      <c r="O108" s="963">
        <f t="shared" si="39"/>
        <v>0</v>
      </c>
      <c r="P108" s="963">
        <f t="shared" si="39"/>
        <v>0</v>
      </c>
      <c r="Q108" s="964">
        <f t="shared" si="39"/>
        <v>0</v>
      </c>
      <c r="R108" s="1174"/>
      <c r="S108" s="962">
        <f t="shared" si="39"/>
        <v>0</v>
      </c>
      <c r="T108" s="963">
        <f t="shared" si="39"/>
        <v>0</v>
      </c>
      <c r="U108" s="963">
        <f t="shared" si="39"/>
        <v>0</v>
      </c>
      <c r="V108" s="963">
        <f t="shared" si="39"/>
        <v>0</v>
      </c>
      <c r="W108" s="964">
        <f>W106-W107</f>
        <v>0</v>
      </c>
      <c r="X108" s="999"/>
      <c r="Y108" s="962">
        <f t="shared" ref="Y108:AC108" si="40">Y106-Y107</f>
        <v>0</v>
      </c>
      <c r="Z108" s="963">
        <f t="shared" si="40"/>
        <v>0</v>
      </c>
      <c r="AA108" s="963">
        <f t="shared" si="40"/>
        <v>0</v>
      </c>
      <c r="AB108" s="963">
        <f t="shared" si="40"/>
        <v>0</v>
      </c>
      <c r="AC108" s="963">
        <f t="shared" si="40"/>
        <v>0</v>
      </c>
      <c r="AD108" s="1000"/>
      <c r="AH108" s="1633">
        <f>AH106-AH107</f>
        <v>0</v>
      </c>
      <c r="AI108" s="963">
        <f t="shared" ref="AI108:AO108" si="41">AI106-AI107</f>
        <v>0</v>
      </c>
      <c r="AJ108" s="963">
        <f t="shared" si="41"/>
        <v>0</v>
      </c>
      <c r="AK108" s="963">
        <f t="shared" si="41"/>
        <v>0</v>
      </c>
      <c r="AL108" s="964">
        <f t="shared" si="41"/>
        <v>0</v>
      </c>
      <c r="AM108" s="1633">
        <f t="shared" si="41"/>
        <v>0</v>
      </c>
      <c r="AN108" s="963">
        <f t="shared" si="41"/>
        <v>0</v>
      </c>
      <c r="AO108" s="964">
        <f t="shared" si="41"/>
        <v>0</v>
      </c>
    </row>
    <row r="109" spans="1:41" s="164" customFormat="1" ht="31.5" customHeight="1" thickBot="1">
      <c r="A109" s="741"/>
      <c r="B109" s="1383" t="s">
        <v>121</v>
      </c>
      <c r="C109" s="263"/>
      <c r="D109" s="1005"/>
      <c r="E109" s="1005"/>
      <c r="F109" s="1005"/>
      <c r="G109" s="1005"/>
      <c r="H109" s="1005"/>
      <c r="I109" s="1005"/>
      <c r="J109" s="1005"/>
      <c r="K109" s="1005"/>
      <c r="L109" s="1005"/>
      <c r="M109" s="1005"/>
      <c r="N109" s="1005"/>
      <c r="O109" s="1005"/>
      <c r="P109" s="1005"/>
      <c r="Q109" s="1006"/>
      <c r="R109" s="1174"/>
      <c r="S109" s="3982" t="s">
        <v>1787</v>
      </c>
      <c r="T109" s="3980"/>
      <c r="U109" s="3980"/>
      <c r="V109" s="3980"/>
      <c r="W109" s="3980"/>
      <c r="X109" s="3983" t="s">
        <v>1788</v>
      </c>
      <c r="Y109" s="3983"/>
      <c r="Z109" s="3983"/>
      <c r="AA109" s="3983"/>
      <c r="AB109" s="3984"/>
      <c r="AC109" s="1005"/>
      <c r="AD109" s="1006"/>
      <c r="AE109"/>
      <c r="AH109" s="1635"/>
      <c r="AI109" s="1636"/>
      <c r="AJ109" s="1636"/>
      <c r="AK109" s="1636"/>
      <c r="AL109" s="1636"/>
      <c r="AM109" s="1636"/>
      <c r="AN109" s="1636"/>
      <c r="AO109" s="1637"/>
    </row>
    <row r="110" spans="1:41" ht="13.5" thickBot="1">
      <c r="A110" s="1174"/>
      <c r="B110" s="1174"/>
      <c r="C110" s="1174"/>
      <c r="D110" s="1174"/>
      <c r="E110" s="1174"/>
      <c r="F110" s="1174"/>
      <c r="G110" s="1174"/>
      <c r="H110" s="1174"/>
      <c r="I110" s="1174"/>
      <c r="J110" s="1174"/>
      <c r="K110" s="1174"/>
      <c r="L110" s="1174"/>
      <c r="M110" s="1174"/>
      <c r="N110" s="1174"/>
      <c r="O110" s="1174"/>
      <c r="P110" s="1174"/>
      <c r="Q110" s="1174"/>
      <c r="R110" s="1174"/>
      <c r="S110" s="1174"/>
      <c r="T110" s="1174"/>
      <c r="U110" s="1174"/>
      <c r="V110" s="1174"/>
      <c r="W110" s="1174"/>
      <c r="X110" s="1174"/>
      <c r="Y110" s="1174"/>
      <c r="Z110" s="1174"/>
      <c r="AA110" s="1174"/>
      <c r="AB110" s="1174"/>
      <c r="AC110" s="1174"/>
      <c r="AD110" s="1174"/>
      <c r="AH110" s="1174"/>
      <c r="AI110" s="1174"/>
      <c r="AJ110" s="1174"/>
      <c r="AK110" s="1174"/>
      <c r="AL110" s="1174"/>
      <c r="AM110" s="1174"/>
      <c r="AN110" s="1174"/>
      <c r="AO110" s="1174"/>
    </row>
    <row r="111" spans="1:41" ht="16.5" thickBot="1">
      <c r="A111" s="833"/>
      <c r="B111" s="252" t="str">
        <f>CONCATENATE("Table 4.2.3 - ", B25)</f>
        <v>Table 4.2.3 - New homes</v>
      </c>
      <c r="C111" s="269"/>
      <c r="D111" s="269"/>
      <c r="E111" s="269"/>
      <c r="F111" s="269"/>
      <c r="G111" s="269"/>
      <c r="H111" s="269"/>
      <c r="I111" s="269"/>
      <c r="J111" s="269"/>
      <c r="K111" s="269"/>
      <c r="L111" s="269"/>
      <c r="M111" s="269"/>
      <c r="N111" s="269"/>
      <c r="O111" s="269"/>
      <c r="P111" s="269"/>
      <c r="Q111" s="270"/>
      <c r="R111" s="1174"/>
      <c r="S111" s="252"/>
      <c r="T111" s="269"/>
      <c r="U111" s="269"/>
      <c r="V111" s="269"/>
      <c r="W111" s="269"/>
      <c r="X111" s="269"/>
      <c r="Y111" s="269"/>
      <c r="Z111" s="269"/>
      <c r="AA111" s="269"/>
      <c r="AB111" s="269"/>
      <c r="AC111" s="269"/>
      <c r="AD111" s="270"/>
      <c r="AH111" s="252"/>
      <c r="AI111" s="269"/>
      <c r="AJ111" s="269"/>
      <c r="AK111" s="269"/>
      <c r="AL111" s="269"/>
      <c r="AM111" s="269"/>
      <c r="AN111" s="269"/>
      <c r="AO111" s="270"/>
    </row>
    <row r="112" spans="1:41">
      <c r="A112" s="262"/>
      <c r="B112" s="293" t="str">
        <f>CONCATENATE("Number of new ", B25, " connections")</f>
        <v>Number of new New homes connections</v>
      </c>
      <c r="C112" s="295">
        <v>13935</v>
      </c>
      <c r="D112" s="968">
        <v>15213</v>
      </c>
      <c r="E112" s="968">
        <v>16049</v>
      </c>
      <c r="F112" s="968">
        <v>14612</v>
      </c>
      <c r="G112" s="973">
        <v>11732</v>
      </c>
      <c r="H112" s="295">
        <v>10884</v>
      </c>
      <c r="I112" s="968">
        <v>12073</v>
      </c>
      <c r="J112" s="968">
        <v>11657</v>
      </c>
      <c r="K112" s="968">
        <v>10230.463225935935</v>
      </c>
      <c r="L112" s="968">
        <v>11561.731527301743</v>
      </c>
      <c r="M112" s="295">
        <v>12339.649873916049</v>
      </c>
      <c r="N112" s="968">
        <v>12483.143300320768</v>
      </c>
      <c r="O112" s="968">
        <v>12672.529025543947</v>
      </c>
      <c r="P112" s="968">
        <v>12899.928554093585</v>
      </c>
      <c r="Q112" s="973">
        <v>12518.311185936258</v>
      </c>
      <c r="R112" s="1174"/>
      <c r="S112" s="295">
        <v>9908</v>
      </c>
      <c r="T112" s="968">
        <v>10492</v>
      </c>
      <c r="U112" s="968">
        <v>10655</v>
      </c>
      <c r="V112" s="968">
        <v>10388</v>
      </c>
      <c r="W112" s="973">
        <v>9516</v>
      </c>
      <c r="X112" s="3560">
        <v>0.4038933260071822</v>
      </c>
      <c r="Y112" s="295">
        <v>12086</v>
      </c>
      <c r="Z112" s="968">
        <v>12408</v>
      </c>
      <c r="AA112" s="968">
        <v>12761</v>
      </c>
      <c r="AB112" s="968">
        <v>12206</v>
      </c>
      <c r="AC112" s="3779">
        <v>11581</v>
      </c>
      <c r="AD112" s="3773">
        <f>SUM(H112:L112)/SUM(Y112:AC112)-1</f>
        <v>-7.5944517656078125E-2</v>
      </c>
      <c r="AH112" s="1632">
        <f t="shared" ref="AH112:AO112" si="42">AH25</f>
        <v>0</v>
      </c>
      <c r="AI112" s="968">
        <f t="shared" si="42"/>
        <v>0</v>
      </c>
      <c r="AJ112" s="968">
        <f t="shared" si="42"/>
        <v>0</v>
      </c>
      <c r="AK112" s="968">
        <f t="shared" si="42"/>
        <v>0</v>
      </c>
      <c r="AL112" s="973">
        <f t="shared" si="42"/>
        <v>0</v>
      </c>
      <c r="AM112" s="1632">
        <f t="shared" si="42"/>
        <v>0</v>
      </c>
      <c r="AN112" s="968">
        <f t="shared" si="42"/>
        <v>0</v>
      </c>
      <c r="AO112" s="973">
        <f t="shared" si="42"/>
        <v>0</v>
      </c>
    </row>
    <row r="113" spans="1:41">
      <c r="A113" s="262"/>
      <c r="B113" s="1355" t="s">
        <v>558</v>
      </c>
      <c r="C113" s="969"/>
      <c r="D113" s="970"/>
      <c r="E113" s="970"/>
      <c r="F113" s="970"/>
      <c r="G113" s="974"/>
      <c r="H113" s="969"/>
      <c r="I113" s="970"/>
      <c r="J113" s="970"/>
      <c r="K113" s="970"/>
      <c r="L113" s="970"/>
      <c r="M113" s="969"/>
      <c r="N113" s="970"/>
      <c r="O113" s="970"/>
      <c r="P113" s="970"/>
      <c r="Q113" s="974"/>
      <c r="R113" s="1174"/>
      <c r="S113" s="969"/>
      <c r="T113" s="970"/>
      <c r="U113" s="970"/>
      <c r="V113" s="970"/>
      <c r="W113" s="974"/>
      <c r="X113" s="3561"/>
      <c r="Y113" s="298"/>
      <c r="Z113" s="288"/>
      <c r="AA113" s="288"/>
      <c r="AB113" s="288"/>
      <c r="AC113" s="288"/>
      <c r="AD113" s="3774"/>
      <c r="AH113" s="969"/>
      <c r="AI113" s="970"/>
      <c r="AJ113" s="970"/>
      <c r="AK113" s="970"/>
      <c r="AL113" s="974"/>
      <c r="AM113" s="969"/>
      <c r="AN113" s="970"/>
      <c r="AO113" s="974"/>
    </row>
    <row r="114" spans="1:41">
      <c r="A114" s="262"/>
      <c r="B114" s="1356" t="s">
        <v>57</v>
      </c>
      <c r="C114" s="255">
        <v>8138411.217924756</v>
      </c>
      <c r="D114" s="461">
        <v>9253109.2728713322</v>
      </c>
      <c r="E114" s="461">
        <v>10938140.747342149</v>
      </c>
      <c r="F114" s="461">
        <v>10733272.998761527</v>
      </c>
      <c r="G114" s="281">
        <v>8989481.240335919</v>
      </c>
      <c r="H114" s="255">
        <v>7043107.6509907311</v>
      </c>
      <c r="I114" s="461">
        <v>6488785.5911982851</v>
      </c>
      <c r="J114" s="461">
        <v>8365152.0021464014</v>
      </c>
      <c r="K114" s="461">
        <v>11696746.927163523</v>
      </c>
      <c r="L114" s="461">
        <v>8957016.8676861543</v>
      </c>
      <c r="M114" s="255">
        <v>9446102.0701322835</v>
      </c>
      <c r="N114" s="461">
        <v>9627217.9975923598</v>
      </c>
      <c r="O114" s="461">
        <v>9864666.865393715</v>
      </c>
      <c r="P114" s="461">
        <v>10165952.173331391</v>
      </c>
      <c r="Q114" s="281">
        <v>9996318.0467077736</v>
      </c>
      <c r="R114" s="1174"/>
      <c r="S114" s="255">
        <v>7305888.0839843331</v>
      </c>
      <c r="T114" s="461">
        <v>7895048.8206722112</v>
      </c>
      <c r="U114" s="461">
        <v>8184068.1703813719</v>
      </c>
      <c r="V114" s="461">
        <v>8146414.3172777221</v>
      </c>
      <c r="W114" s="281">
        <v>7615953.2776980409</v>
      </c>
      <c r="X114" s="3562">
        <v>0.22747485207463569</v>
      </c>
      <c r="Y114" s="255">
        <v>11182209.923700931</v>
      </c>
      <c r="Z114" s="461">
        <v>11159114.794500561</v>
      </c>
      <c r="AA114" s="461">
        <v>11410412.779664457</v>
      </c>
      <c r="AB114" s="461">
        <v>11034241.903817154</v>
      </c>
      <c r="AC114" s="3765">
        <v>10650654.87680625</v>
      </c>
      <c r="AD114" s="3775">
        <f>SUM(H114:L114)/SUM(Y114:AC114)-1</f>
        <v>-0.23244241658993081</v>
      </c>
      <c r="AH114" s="259"/>
      <c r="AI114" s="466"/>
      <c r="AJ114" s="466"/>
      <c r="AK114" s="466"/>
      <c r="AL114" s="283"/>
      <c r="AM114" s="259"/>
      <c r="AN114" s="466"/>
      <c r="AO114" s="283"/>
    </row>
    <row r="115" spans="1:41">
      <c r="A115" s="262"/>
      <c r="B115" s="1356" t="s">
        <v>562</v>
      </c>
      <c r="C115" s="255">
        <v>10614990.583416566</v>
      </c>
      <c r="D115" s="461">
        <v>12068899.588475157</v>
      </c>
      <c r="E115" s="461">
        <v>14266698.73566905</v>
      </c>
      <c r="F115" s="461">
        <v>13999488.199878069</v>
      </c>
      <c r="G115" s="281">
        <v>11725047.575108645</v>
      </c>
      <c r="H115" s="255">
        <v>9186377.9540399984</v>
      </c>
      <c r="I115" s="461">
        <v>8463371.5480823852</v>
      </c>
      <c r="J115" s="461">
        <v>10910730.283087702</v>
      </c>
      <c r="K115" s="461">
        <v>15256154.446335251</v>
      </c>
      <c r="L115" s="461">
        <v>11682704.051201327</v>
      </c>
      <c r="M115" s="255">
        <v>12320621.536498645</v>
      </c>
      <c r="N115" s="461">
        <v>12556852.394465258</v>
      </c>
      <c r="O115" s="461">
        <v>12866558.727588719</v>
      </c>
      <c r="P115" s="461">
        <v>13259527.406737829</v>
      </c>
      <c r="Q115" s="281">
        <v>13038272.347424792</v>
      </c>
      <c r="R115" s="1174"/>
      <c r="S115" s="255">
        <v>9529124.436988607</v>
      </c>
      <c r="T115" s="461">
        <v>10297571.189628283</v>
      </c>
      <c r="U115" s="461">
        <v>10674541.287776042</v>
      </c>
      <c r="V115" s="461">
        <v>10625429.085723108</v>
      </c>
      <c r="W115" s="281">
        <v>9933544.7867820784</v>
      </c>
      <c r="X115" s="3562">
        <v>0.22747485207463591</v>
      </c>
      <c r="Y115" s="255">
        <v>14585039.986728538</v>
      </c>
      <c r="Z115" s="461">
        <v>14554916.837084198</v>
      </c>
      <c r="AA115" s="461">
        <v>14882686.677501099</v>
      </c>
      <c r="AB115" s="461">
        <v>14392044.192383114</v>
      </c>
      <c r="AC115" s="3765">
        <v>13891728.765869217</v>
      </c>
      <c r="AD115" s="3775">
        <f>SUM(H115:L115)/SUM(Y115:AC115)-1</f>
        <v>-0.2324424165899307</v>
      </c>
      <c r="AH115" s="259"/>
      <c r="AI115" s="466"/>
      <c r="AJ115" s="466"/>
      <c r="AK115" s="466"/>
      <c r="AL115" s="283"/>
      <c r="AM115" s="259"/>
      <c r="AN115" s="466"/>
      <c r="AO115" s="283"/>
    </row>
    <row r="116" spans="1:41">
      <c r="A116" s="262"/>
      <c r="B116" s="1356" t="s">
        <v>61</v>
      </c>
      <c r="C116" s="255">
        <v>2446433.0403058296</v>
      </c>
      <c r="D116" s="461">
        <v>2781514.9228211395</v>
      </c>
      <c r="E116" s="461">
        <v>3288040.8973284615</v>
      </c>
      <c r="F116" s="461">
        <v>3226456.9817950684</v>
      </c>
      <c r="G116" s="281">
        <v>2702267.4736722251</v>
      </c>
      <c r="H116" s="255">
        <v>2117181.2043442274</v>
      </c>
      <c r="I116" s="461">
        <v>1950550.1794754174</v>
      </c>
      <c r="J116" s="461">
        <v>2514592.0619196501</v>
      </c>
      <c r="K116" s="461">
        <v>3516080.3970784429</v>
      </c>
      <c r="L116" s="461">
        <v>2692508.5770330061</v>
      </c>
      <c r="M116" s="255">
        <v>2839529.1891339975</v>
      </c>
      <c r="N116" s="461">
        <v>2893973.2295245929</v>
      </c>
      <c r="O116" s="461">
        <v>2965351.1360984235</v>
      </c>
      <c r="P116" s="461">
        <v>3055918.4854446989</v>
      </c>
      <c r="Q116" s="281">
        <v>3004925.9119530311</v>
      </c>
      <c r="R116" s="1174"/>
      <c r="S116" s="255">
        <v>2196173.8622976001</v>
      </c>
      <c r="T116" s="461">
        <v>2373277.5074304002</v>
      </c>
      <c r="U116" s="461">
        <v>2460157.6696000001</v>
      </c>
      <c r="V116" s="461">
        <v>2448838.7981568002</v>
      </c>
      <c r="W116" s="281">
        <v>2289380.4740352002</v>
      </c>
      <c r="X116" s="3562">
        <v>0.22747485207463591</v>
      </c>
      <c r="Y116" s="255">
        <v>3361408.8903157483</v>
      </c>
      <c r="Z116" s="461">
        <v>3354466.4189127954</v>
      </c>
      <c r="AA116" s="461">
        <v>3430007.4154789532</v>
      </c>
      <c r="AB116" s="461">
        <v>3316929.2193997568</v>
      </c>
      <c r="AC116" s="3765">
        <v>3201621.7040157588</v>
      </c>
      <c r="AD116" s="3775">
        <f>SUM(H116:L116)/SUM(Y116:AC116)-1</f>
        <v>-0.2324424165899307</v>
      </c>
      <c r="AH116" s="259"/>
      <c r="AI116" s="466"/>
      <c r="AJ116" s="466"/>
      <c r="AK116" s="466"/>
      <c r="AL116" s="283"/>
      <c r="AM116" s="259"/>
      <c r="AN116" s="466"/>
      <c r="AO116" s="283"/>
    </row>
    <row r="117" spans="1:41">
      <c r="A117" s="262"/>
      <c r="B117" s="1358" t="s">
        <v>563</v>
      </c>
      <c r="C117" s="300">
        <v>21199834.841647152</v>
      </c>
      <c r="D117" s="971">
        <v>24103523.784167629</v>
      </c>
      <c r="E117" s="971">
        <v>28492880.380339663</v>
      </c>
      <c r="F117" s="971">
        <v>27959218.180434663</v>
      </c>
      <c r="G117" s="975">
        <v>23416796.289116792</v>
      </c>
      <c r="H117" s="300">
        <v>18346666.809374958</v>
      </c>
      <c r="I117" s="971">
        <v>16902707.318756089</v>
      </c>
      <c r="J117" s="971">
        <v>21790474.347153753</v>
      </c>
      <c r="K117" s="971">
        <v>30468981.770577218</v>
      </c>
      <c r="L117" s="971">
        <v>23332229.495920487</v>
      </c>
      <c r="M117" s="300">
        <v>24606252.795764927</v>
      </c>
      <c r="N117" s="971">
        <v>25078043.621582214</v>
      </c>
      <c r="O117" s="971">
        <v>25696576.729080856</v>
      </c>
      <c r="P117" s="971">
        <v>26481398.06551392</v>
      </c>
      <c r="Q117" s="975">
        <v>26039516.306085598</v>
      </c>
      <c r="R117" s="1174"/>
      <c r="S117" s="300">
        <v>19031186.383270539</v>
      </c>
      <c r="T117" s="971">
        <v>20565897.517730895</v>
      </c>
      <c r="U117" s="971">
        <v>21318767.127757411</v>
      </c>
      <c r="V117" s="971">
        <v>21220682.201157633</v>
      </c>
      <c r="W117" s="975">
        <v>19838878.538515318</v>
      </c>
      <c r="X117" s="3561">
        <v>0.22747485207463569</v>
      </c>
      <c r="Y117" s="300">
        <v>29128658.800745219</v>
      </c>
      <c r="Z117" s="289">
        <v>29068498.050497554</v>
      </c>
      <c r="AA117" s="289">
        <v>29723106.872644506</v>
      </c>
      <c r="AB117" s="289">
        <v>28743215.315600026</v>
      </c>
      <c r="AC117" s="3780">
        <v>27744005.346691225</v>
      </c>
      <c r="AD117" s="3774">
        <f>SUM(H117:L117)/SUM(Y117:AC117)-1</f>
        <v>-0.23244241658993059</v>
      </c>
      <c r="AH117" s="300">
        <f t="shared" ref="AH117:AO117" si="43">SUM(AH114:AH116)</f>
        <v>0</v>
      </c>
      <c r="AI117" s="971">
        <f t="shared" si="43"/>
        <v>0</v>
      </c>
      <c r="AJ117" s="971">
        <f t="shared" si="43"/>
        <v>0</v>
      </c>
      <c r="AK117" s="971">
        <f t="shared" si="43"/>
        <v>0</v>
      </c>
      <c r="AL117" s="975">
        <f t="shared" si="43"/>
        <v>0</v>
      </c>
      <c r="AM117" s="300">
        <f t="shared" si="43"/>
        <v>0</v>
      </c>
      <c r="AN117" s="971">
        <f t="shared" si="43"/>
        <v>0</v>
      </c>
      <c r="AO117" s="975">
        <f t="shared" si="43"/>
        <v>0</v>
      </c>
    </row>
    <row r="118" spans="1:41">
      <c r="A118" s="262"/>
      <c r="B118" s="1354" t="s">
        <v>559</v>
      </c>
      <c r="C118" s="969"/>
      <c r="D118" s="970"/>
      <c r="E118" s="970"/>
      <c r="F118" s="970"/>
      <c r="G118" s="974"/>
      <c r="H118" s="969"/>
      <c r="I118" s="970"/>
      <c r="J118" s="970"/>
      <c r="K118" s="970"/>
      <c r="L118" s="970"/>
      <c r="M118" s="969"/>
      <c r="N118" s="970"/>
      <c r="O118" s="970"/>
      <c r="P118" s="970"/>
      <c r="Q118" s="974"/>
      <c r="R118" s="1174"/>
      <c r="S118" s="969"/>
      <c r="T118" s="970"/>
      <c r="U118" s="970"/>
      <c r="V118" s="970"/>
      <c r="W118" s="974"/>
      <c r="X118" s="3561"/>
      <c r="Y118" s="298"/>
      <c r="Z118" s="288"/>
      <c r="AA118" s="288"/>
      <c r="AB118" s="288"/>
      <c r="AC118" s="288"/>
      <c r="AD118" s="3774"/>
      <c r="AH118" s="969"/>
      <c r="AI118" s="970"/>
      <c r="AJ118" s="970"/>
      <c r="AK118" s="970"/>
      <c r="AL118" s="974"/>
      <c r="AM118" s="969"/>
      <c r="AN118" s="970"/>
      <c r="AO118" s="974"/>
    </row>
    <row r="119" spans="1:41">
      <c r="A119" s="262"/>
      <c r="B119" s="294" t="s">
        <v>57</v>
      </c>
      <c r="C119" s="255"/>
      <c r="D119" s="461"/>
      <c r="E119" s="461"/>
      <c r="F119" s="461"/>
      <c r="G119" s="281"/>
      <c r="H119" s="255"/>
      <c r="I119" s="461"/>
      <c r="J119" s="461"/>
      <c r="K119" s="461"/>
      <c r="L119" s="461"/>
      <c r="M119" s="255"/>
      <c r="N119" s="461"/>
      <c r="O119" s="461"/>
      <c r="P119" s="461"/>
      <c r="Q119" s="281"/>
      <c r="R119" s="1174"/>
      <c r="S119" s="255"/>
      <c r="T119" s="461"/>
      <c r="U119" s="461"/>
      <c r="V119" s="461"/>
      <c r="W119" s="281"/>
      <c r="X119" s="3562"/>
      <c r="Y119" s="255"/>
      <c r="Z119" s="461"/>
      <c r="AA119" s="461"/>
      <c r="AB119" s="461"/>
      <c r="AC119" s="3765"/>
      <c r="AD119" s="3775"/>
      <c r="AH119" s="259"/>
      <c r="AI119" s="466"/>
      <c r="AJ119" s="466"/>
      <c r="AK119" s="466"/>
      <c r="AL119" s="283"/>
      <c r="AM119" s="259"/>
      <c r="AN119" s="466"/>
      <c r="AO119" s="283"/>
    </row>
    <row r="120" spans="1:41">
      <c r="A120" s="262"/>
      <c r="B120" s="294" t="s">
        <v>562</v>
      </c>
      <c r="C120" s="255"/>
      <c r="D120" s="461"/>
      <c r="E120" s="461"/>
      <c r="F120" s="461"/>
      <c r="G120" s="281"/>
      <c r="H120" s="255"/>
      <c r="I120" s="461"/>
      <c r="J120" s="461"/>
      <c r="K120" s="461"/>
      <c r="L120" s="461"/>
      <c r="M120" s="255"/>
      <c r="N120" s="461"/>
      <c r="O120" s="461"/>
      <c r="P120" s="461"/>
      <c r="Q120" s="281"/>
      <c r="R120" s="1174"/>
      <c r="S120" s="255"/>
      <c r="T120" s="461"/>
      <c r="U120" s="461"/>
      <c r="V120" s="461"/>
      <c r="W120" s="281"/>
      <c r="X120" s="3562"/>
      <c r="Y120" s="255"/>
      <c r="Z120" s="461"/>
      <c r="AA120" s="461"/>
      <c r="AB120" s="461"/>
      <c r="AC120" s="3765"/>
      <c r="AD120" s="3775"/>
      <c r="AH120" s="259"/>
      <c r="AI120" s="466"/>
      <c r="AJ120" s="466"/>
      <c r="AK120" s="466"/>
      <c r="AL120" s="283"/>
      <c r="AM120" s="259"/>
      <c r="AN120" s="466"/>
      <c r="AO120" s="283"/>
    </row>
    <row r="121" spans="1:41">
      <c r="A121" s="262"/>
      <c r="B121" s="294" t="s">
        <v>61</v>
      </c>
      <c r="C121" s="255"/>
      <c r="D121" s="461"/>
      <c r="E121" s="461"/>
      <c r="F121" s="461"/>
      <c r="G121" s="281"/>
      <c r="H121" s="255"/>
      <c r="I121" s="461"/>
      <c r="J121" s="461"/>
      <c r="K121" s="461"/>
      <c r="L121" s="461"/>
      <c r="M121" s="255"/>
      <c r="N121" s="461"/>
      <c r="O121" s="461"/>
      <c r="P121" s="461"/>
      <c r="Q121" s="281"/>
      <c r="R121" s="1174"/>
      <c r="S121" s="255"/>
      <c r="T121" s="461"/>
      <c r="U121" s="461"/>
      <c r="V121" s="461"/>
      <c r="W121" s="281"/>
      <c r="X121" s="3562"/>
      <c r="Y121" s="255"/>
      <c r="Z121" s="461"/>
      <c r="AA121" s="461"/>
      <c r="AB121" s="461"/>
      <c r="AC121" s="3765"/>
      <c r="AD121" s="3775"/>
      <c r="AH121" s="259"/>
      <c r="AI121" s="466"/>
      <c r="AJ121" s="466"/>
      <c r="AK121" s="466"/>
      <c r="AL121" s="283"/>
      <c r="AM121" s="259"/>
      <c r="AN121" s="466"/>
      <c r="AO121" s="283"/>
    </row>
    <row r="122" spans="1:41">
      <c r="A122" s="262"/>
      <c r="B122" s="1358" t="s">
        <v>560</v>
      </c>
      <c r="C122" s="259">
        <v>0</v>
      </c>
      <c r="D122" s="466">
        <v>0</v>
      </c>
      <c r="E122" s="466">
        <v>0</v>
      </c>
      <c r="F122" s="466">
        <v>0</v>
      </c>
      <c r="G122" s="283">
        <v>0</v>
      </c>
      <c r="H122" s="259">
        <v>0</v>
      </c>
      <c r="I122" s="466">
        <v>0</v>
      </c>
      <c r="J122" s="466">
        <v>0</v>
      </c>
      <c r="K122" s="466">
        <v>0</v>
      </c>
      <c r="L122" s="466">
        <v>0</v>
      </c>
      <c r="M122" s="259">
        <v>0</v>
      </c>
      <c r="N122" s="466">
        <v>0</v>
      </c>
      <c r="O122" s="466">
        <v>0</v>
      </c>
      <c r="P122" s="466">
        <v>0</v>
      </c>
      <c r="Q122" s="283">
        <v>0</v>
      </c>
      <c r="R122" s="1174"/>
      <c r="S122" s="259">
        <v>0</v>
      </c>
      <c r="T122" s="466">
        <v>0</v>
      </c>
      <c r="U122" s="466">
        <v>0</v>
      </c>
      <c r="V122" s="466">
        <v>0</v>
      </c>
      <c r="W122" s="283">
        <v>0</v>
      </c>
      <c r="X122" s="3562"/>
      <c r="Y122" s="259">
        <v>0</v>
      </c>
      <c r="Z122" s="466">
        <v>0</v>
      </c>
      <c r="AA122" s="466">
        <v>0</v>
      </c>
      <c r="AB122" s="466">
        <v>0</v>
      </c>
      <c r="AC122" s="3766">
        <v>0</v>
      </c>
      <c r="AD122" s="3775"/>
      <c r="AH122" s="259">
        <f t="shared" ref="AH122:AO122" si="44">SUM(AH119:AH121)</f>
        <v>0</v>
      </c>
      <c r="AI122" s="466">
        <f t="shared" si="44"/>
        <v>0</v>
      </c>
      <c r="AJ122" s="466">
        <f t="shared" si="44"/>
        <v>0</v>
      </c>
      <c r="AK122" s="466">
        <f t="shared" si="44"/>
        <v>0</v>
      </c>
      <c r="AL122" s="283">
        <f t="shared" si="44"/>
        <v>0</v>
      </c>
      <c r="AM122" s="259">
        <f t="shared" si="44"/>
        <v>0</v>
      </c>
      <c r="AN122" s="466">
        <f t="shared" si="44"/>
        <v>0</v>
      </c>
      <c r="AO122" s="283">
        <f t="shared" si="44"/>
        <v>0</v>
      </c>
    </row>
    <row r="123" spans="1:41">
      <c r="A123" s="262"/>
      <c r="B123" s="1357" t="s">
        <v>564</v>
      </c>
      <c r="C123" s="969"/>
      <c r="D123" s="970"/>
      <c r="E123" s="970"/>
      <c r="F123" s="970"/>
      <c r="G123" s="974"/>
      <c r="H123" s="969"/>
      <c r="I123" s="970"/>
      <c r="J123" s="970"/>
      <c r="K123" s="970"/>
      <c r="L123" s="970"/>
      <c r="M123" s="969"/>
      <c r="N123" s="970"/>
      <c r="O123" s="970"/>
      <c r="P123" s="970"/>
      <c r="Q123" s="974"/>
      <c r="R123" s="1174"/>
      <c r="S123" s="969"/>
      <c r="T123" s="970"/>
      <c r="U123" s="970"/>
      <c r="V123" s="970"/>
      <c r="W123" s="974"/>
      <c r="X123" s="3561"/>
      <c r="Y123" s="298"/>
      <c r="Z123" s="288"/>
      <c r="AA123" s="288"/>
      <c r="AB123" s="288"/>
      <c r="AC123" s="288"/>
      <c r="AD123" s="3774"/>
      <c r="AH123" s="969"/>
      <c r="AI123" s="970"/>
      <c r="AJ123" s="970"/>
      <c r="AK123" s="970"/>
      <c r="AL123" s="974"/>
      <c r="AM123" s="969"/>
      <c r="AN123" s="970"/>
      <c r="AO123" s="974"/>
    </row>
    <row r="124" spans="1:41">
      <c r="A124" s="262"/>
      <c r="B124" s="1356" t="s">
        <v>57</v>
      </c>
      <c r="C124" s="255"/>
      <c r="D124" s="461"/>
      <c r="E124" s="461"/>
      <c r="F124" s="461"/>
      <c r="G124" s="281"/>
      <c r="H124" s="255"/>
      <c r="I124" s="461"/>
      <c r="J124" s="461"/>
      <c r="K124" s="461"/>
      <c r="L124" s="461"/>
      <c r="M124" s="255"/>
      <c r="N124" s="461"/>
      <c r="O124" s="461"/>
      <c r="P124" s="461"/>
      <c r="Q124" s="281"/>
      <c r="R124" s="1174"/>
      <c r="S124" s="255"/>
      <c r="T124" s="461"/>
      <c r="U124" s="461"/>
      <c r="V124" s="461"/>
      <c r="W124" s="281"/>
      <c r="X124" s="3562"/>
      <c r="Y124" s="255"/>
      <c r="Z124" s="461"/>
      <c r="AA124" s="461"/>
      <c r="AB124" s="461"/>
      <c r="AC124" s="3765"/>
      <c r="AD124" s="3775"/>
      <c r="AH124" s="259"/>
      <c r="AI124" s="466"/>
      <c r="AJ124" s="466"/>
      <c r="AK124" s="466"/>
      <c r="AL124" s="283"/>
      <c r="AM124" s="259"/>
      <c r="AN124" s="466"/>
      <c r="AO124" s="283"/>
    </row>
    <row r="125" spans="1:41">
      <c r="A125" s="262"/>
      <c r="B125" s="1356" t="s">
        <v>562</v>
      </c>
      <c r="C125" s="255"/>
      <c r="D125" s="461"/>
      <c r="E125" s="461"/>
      <c r="F125" s="461"/>
      <c r="G125" s="281"/>
      <c r="H125" s="255"/>
      <c r="I125" s="461"/>
      <c r="J125" s="461"/>
      <c r="K125" s="461"/>
      <c r="L125" s="461"/>
      <c r="M125" s="255"/>
      <c r="N125" s="461"/>
      <c r="O125" s="461"/>
      <c r="P125" s="461"/>
      <c r="Q125" s="281"/>
      <c r="R125" s="1174"/>
      <c r="S125" s="255"/>
      <c r="T125" s="461"/>
      <c r="U125" s="461"/>
      <c r="V125" s="461"/>
      <c r="W125" s="281"/>
      <c r="X125" s="3562"/>
      <c r="Y125" s="255"/>
      <c r="Z125" s="461"/>
      <c r="AA125" s="461"/>
      <c r="AB125" s="461"/>
      <c r="AC125" s="3765"/>
      <c r="AD125" s="3775"/>
      <c r="AH125" s="259"/>
      <c r="AI125" s="466"/>
      <c r="AJ125" s="466"/>
      <c r="AK125" s="466"/>
      <c r="AL125" s="283"/>
      <c r="AM125" s="259"/>
      <c r="AN125" s="466"/>
      <c r="AO125" s="283"/>
    </row>
    <row r="126" spans="1:41">
      <c r="A126" s="262"/>
      <c r="B126" s="1356" t="s">
        <v>61</v>
      </c>
      <c r="C126" s="255"/>
      <c r="D126" s="461"/>
      <c r="E126" s="461"/>
      <c r="F126" s="461"/>
      <c r="G126" s="281"/>
      <c r="H126" s="255"/>
      <c r="I126" s="461"/>
      <c r="J126" s="461"/>
      <c r="K126" s="461"/>
      <c r="L126" s="461"/>
      <c r="M126" s="255"/>
      <c r="N126" s="461"/>
      <c r="O126" s="461"/>
      <c r="P126" s="461"/>
      <c r="Q126" s="281"/>
      <c r="R126" s="1174"/>
      <c r="S126" s="255"/>
      <c r="T126" s="461"/>
      <c r="U126" s="461"/>
      <c r="V126" s="461"/>
      <c r="W126" s="281"/>
      <c r="X126" s="3562"/>
      <c r="Y126" s="255"/>
      <c r="Z126" s="461"/>
      <c r="AA126" s="461"/>
      <c r="AB126" s="461"/>
      <c r="AC126" s="3765"/>
      <c r="AD126" s="3775"/>
      <c r="AH126" s="259"/>
      <c r="AI126" s="466"/>
      <c r="AJ126" s="466"/>
      <c r="AK126" s="466"/>
      <c r="AL126" s="283"/>
      <c r="AM126" s="259"/>
      <c r="AN126" s="466"/>
      <c r="AO126" s="283"/>
    </row>
    <row r="127" spans="1:41">
      <c r="A127" s="262"/>
      <c r="B127" s="1358" t="s">
        <v>568</v>
      </c>
      <c r="C127" s="300">
        <v>0</v>
      </c>
      <c r="D127" s="971">
        <v>0</v>
      </c>
      <c r="E127" s="971">
        <v>0</v>
      </c>
      <c r="F127" s="971">
        <v>0</v>
      </c>
      <c r="G127" s="975">
        <v>0</v>
      </c>
      <c r="H127" s="300">
        <v>0</v>
      </c>
      <c r="I127" s="971">
        <v>0</v>
      </c>
      <c r="J127" s="971">
        <v>0</v>
      </c>
      <c r="K127" s="971">
        <v>0</v>
      </c>
      <c r="L127" s="971">
        <v>0</v>
      </c>
      <c r="M127" s="300">
        <v>0</v>
      </c>
      <c r="N127" s="971">
        <v>0</v>
      </c>
      <c r="O127" s="971">
        <v>0</v>
      </c>
      <c r="P127" s="971">
        <v>0</v>
      </c>
      <c r="Q127" s="975">
        <v>0</v>
      </c>
      <c r="R127" s="1174"/>
      <c r="S127" s="300">
        <v>0</v>
      </c>
      <c r="T127" s="971">
        <v>0</v>
      </c>
      <c r="U127" s="971">
        <v>0</v>
      </c>
      <c r="V127" s="971">
        <v>0</v>
      </c>
      <c r="W127" s="975">
        <v>0</v>
      </c>
      <c r="X127" s="3561"/>
      <c r="Y127" s="300">
        <v>0</v>
      </c>
      <c r="Z127" s="289">
        <v>0</v>
      </c>
      <c r="AA127" s="289">
        <v>0</v>
      </c>
      <c r="AB127" s="289">
        <v>0</v>
      </c>
      <c r="AC127" s="3780">
        <v>0</v>
      </c>
      <c r="AD127" s="3774"/>
      <c r="AH127" s="300">
        <f t="shared" ref="AH127:AO127" si="45">SUM(AH124:AH126)</f>
        <v>0</v>
      </c>
      <c r="AI127" s="971">
        <f t="shared" si="45"/>
        <v>0</v>
      </c>
      <c r="AJ127" s="971">
        <f t="shared" si="45"/>
        <v>0</v>
      </c>
      <c r="AK127" s="971">
        <f t="shared" si="45"/>
        <v>0</v>
      </c>
      <c r="AL127" s="975">
        <f t="shared" si="45"/>
        <v>0</v>
      </c>
      <c r="AM127" s="300">
        <f t="shared" si="45"/>
        <v>0</v>
      </c>
      <c r="AN127" s="971">
        <f t="shared" si="45"/>
        <v>0</v>
      </c>
      <c r="AO127" s="975">
        <f t="shared" si="45"/>
        <v>0</v>
      </c>
    </row>
    <row r="128" spans="1:41">
      <c r="A128" s="262"/>
      <c r="B128" s="1360" t="s">
        <v>566</v>
      </c>
      <c r="C128" s="969"/>
      <c r="D128" s="970"/>
      <c r="E128" s="970"/>
      <c r="F128" s="970"/>
      <c r="G128" s="974"/>
      <c r="H128" s="969"/>
      <c r="I128" s="970"/>
      <c r="J128" s="970"/>
      <c r="K128" s="970"/>
      <c r="L128" s="970"/>
      <c r="M128" s="969"/>
      <c r="N128" s="970"/>
      <c r="O128" s="970"/>
      <c r="P128" s="970"/>
      <c r="Q128" s="974"/>
      <c r="R128" s="1174"/>
      <c r="S128" s="969"/>
      <c r="T128" s="970"/>
      <c r="U128" s="970"/>
      <c r="V128" s="970"/>
      <c r="W128" s="974"/>
      <c r="X128" s="3561"/>
      <c r="Y128" s="298"/>
      <c r="Z128" s="288"/>
      <c r="AA128" s="288"/>
      <c r="AB128" s="288"/>
      <c r="AC128" s="288"/>
      <c r="AD128" s="3774"/>
      <c r="AH128" s="969"/>
      <c r="AI128" s="970"/>
      <c r="AJ128" s="970"/>
      <c r="AK128" s="970"/>
      <c r="AL128" s="974"/>
      <c r="AM128" s="969"/>
      <c r="AN128" s="970"/>
      <c r="AO128" s="974"/>
    </row>
    <row r="129" spans="1:41">
      <c r="A129" s="262"/>
      <c r="B129" s="1361" t="s">
        <v>57</v>
      </c>
      <c r="C129" s="302">
        <v>8138411.217924756</v>
      </c>
      <c r="D129" s="284">
        <v>9253109.2728713322</v>
      </c>
      <c r="E129" s="284">
        <v>10938140.747342149</v>
      </c>
      <c r="F129" s="284">
        <v>10733272.998761527</v>
      </c>
      <c r="G129" s="960">
        <v>8989481.240335919</v>
      </c>
      <c r="H129" s="302">
        <v>7043107.6509907311</v>
      </c>
      <c r="I129" s="284">
        <v>6488785.5911982851</v>
      </c>
      <c r="J129" s="284">
        <v>8365152.0021464014</v>
      </c>
      <c r="K129" s="284">
        <v>11696746.927163523</v>
      </c>
      <c r="L129" s="284">
        <v>8957016.8676861543</v>
      </c>
      <c r="M129" s="302">
        <v>9446102.0701322835</v>
      </c>
      <c r="N129" s="284">
        <v>9627217.9975923598</v>
      </c>
      <c r="O129" s="284">
        <v>9864666.865393715</v>
      </c>
      <c r="P129" s="284">
        <v>10165952.173331391</v>
      </c>
      <c r="Q129" s="960">
        <v>9996318.0467077736</v>
      </c>
      <c r="R129" s="1174"/>
      <c r="S129" s="302">
        <v>7305888.0839843331</v>
      </c>
      <c r="T129" s="284">
        <v>7895048.8206722112</v>
      </c>
      <c r="U129" s="284">
        <v>8184068.1703813719</v>
      </c>
      <c r="V129" s="284">
        <v>8146414.3172777221</v>
      </c>
      <c r="W129" s="960">
        <v>7615953.2776980409</v>
      </c>
      <c r="X129" s="3562">
        <v>0.22747485207463569</v>
      </c>
      <c r="Y129" s="302">
        <v>11182209.923700931</v>
      </c>
      <c r="Z129" s="284">
        <v>11159114.794500561</v>
      </c>
      <c r="AA129" s="284">
        <v>11410412.779664457</v>
      </c>
      <c r="AB129" s="284">
        <v>11034241.903817154</v>
      </c>
      <c r="AC129" s="3767">
        <v>10650654.87680625</v>
      </c>
      <c r="AD129" s="3775">
        <f t="shared" ref="AD129:AD135" si="46">SUM(H129:L129)/SUM(Y129:AC129)-1</f>
        <v>-0.23244241658993081</v>
      </c>
      <c r="AH129" s="302">
        <f t="shared" ref="AH129:AO129" si="47">AH119+AH114+AH124</f>
        <v>0</v>
      </c>
      <c r="AI129" s="284">
        <f t="shared" si="47"/>
        <v>0</v>
      </c>
      <c r="AJ129" s="284">
        <f t="shared" si="47"/>
        <v>0</v>
      </c>
      <c r="AK129" s="284">
        <f t="shared" si="47"/>
        <v>0</v>
      </c>
      <c r="AL129" s="960">
        <f t="shared" si="47"/>
        <v>0</v>
      </c>
      <c r="AM129" s="302">
        <f t="shared" si="47"/>
        <v>0</v>
      </c>
      <c r="AN129" s="284">
        <f t="shared" si="47"/>
        <v>0</v>
      </c>
      <c r="AO129" s="960">
        <f t="shared" si="47"/>
        <v>0</v>
      </c>
    </row>
    <row r="130" spans="1:41">
      <c r="A130" s="262"/>
      <c r="B130" s="1361" t="s">
        <v>562</v>
      </c>
      <c r="C130" s="302">
        <v>10614990.583416566</v>
      </c>
      <c r="D130" s="284">
        <v>12068899.588475157</v>
      </c>
      <c r="E130" s="284">
        <v>14266698.73566905</v>
      </c>
      <c r="F130" s="284">
        <v>13999488.199878069</v>
      </c>
      <c r="G130" s="960">
        <v>11725047.575108645</v>
      </c>
      <c r="H130" s="302">
        <v>9186377.9540399984</v>
      </c>
      <c r="I130" s="284">
        <v>8463371.5480823852</v>
      </c>
      <c r="J130" s="284">
        <v>10910730.283087702</v>
      </c>
      <c r="K130" s="284">
        <v>15256154.446335251</v>
      </c>
      <c r="L130" s="284">
        <v>11682704.051201327</v>
      </c>
      <c r="M130" s="302">
        <v>12320621.536498645</v>
      </c>
      <c r="N130" s="284">
        <v>12556852.394465258</v>
      </c>
      <c r="O130" s="284">
        <v>12866558.727588719</v>
      </c>
      <c r="P130" s="284">
        <v>13259527.406737829</v>
      </c>
      <c r="Q130" s="960">
        <v>13038272.347424792</v>
      </c>
      <c r="R130" s="1174"/>
      <c r="S130" s="302">
        <v>9529124.436988607</v>
      </c>
      <c r="T130" s="284">
        <v>10297571.189628283</v>
      </c>
      <c r="U130" s="284">
        <v>10674541.287776042</v>
      </c>
      <c r="V130" s="284">
        <v>10625429.085723108</v>
      </c>
      <c r="W130" s="960">
        <v>9933544.7867820784</v>
      </c>
      <c r="X130" s="3562">
        <v>0.22747485207463591</v>
      </c>
      <c r="Y130" s="302">
        <v>14585039.986728538</v>
      </c>
      <c r="Z130" s="284">
        <v>14554916.837084198</v>
      </c>
      <c r="AA130" s="284">
        <v>14882686.677501099</v>
      </c>
      <c r="AB130" s="284">
        <v>14392044.192383114</v>
      </c>
      <c r="AC130" s="3767">
        <v>13891728.765869217</v>
      </c>
      <c r="AD130" s="3775">
        <f t="shared" si="46"/>
        <v>-0.2324424165899307</v>
      </c>
      <c r="AH130" s="302">
        <f t="shared" ref="AH130:AO130" si="48">AH120+AH115+AH125</f>
        <v>0</v>
      </c>
      <c r="AI130" s="284">
        <f t="shared" si="48"/>
        <v>0</v>
      </c>
      <c r="AJ130" s="284">
        <f t="shared" si="48"/>
        <v>0</v>
      </c>
      <c r="AK130" s="284">
        <f t="shared" si="48"/>
        <v>0</v>
      </c>
      <c r="AL130" s="960">
        <f t="shared" si="48"/>
        <v>0</v>
      </c>
      <c r="AM130" s="302">
        <f t="shared" si="48"/>
        <v>0</v>
      </c>
      <c r="AN130" s="284">
        <f t="shared" si="48"/>
        <v>0</v>
      </c>
      <c r="AO130" s="960">
        <f t="shared" si="48"/>
        <v>0</v>
      </c>
    </row>
    <row r="131" spans="1:41">
      <c r="A131" s="262"/>
      <c r="B131" s="1361" t="s">
        <v>61</v>
      </c>
      <c r="C131" s="302">
        <v>2446433.0403058296</v>
      </c>
      <c r="D131" s="284">
        <v>2781514.9228211395</v>
      </c>
      <c r="E131" s="284">
        <v>3288040.8973284615</v>
      </c>
      <c r="F131" s="284">
        <v>3226456.9817950684</v>
      </c>
      <c r="G131" s="960">
        <v>2702267.4736722251</v>
      </c>
      <c r="H131" s="302">
        <v>2117181.2043442274</v>
      </c>
      <c r="I131" s="284">
        <v>1950550.1794754174</v>
      </c>
      <c r="J131" s="284">
        <v>2514592.0619196501</v>
      </c>
      <c r="K131" s="284">
        <v>3516080.3970784429</v>
      </c>
      <c r="L131" s="284">
        <v>2692508.5770330061</v>
      </c>
      <c r="M131" s="302">
        <v>2839529.1891339975</v>
      </c>
      <c r="N131" s="284">
        <v>2893973.2295245929</v>
      </c>
      <c r="O131" s="284">
        <v>2965351.1360984235</v>
      </c>
      <c r="P131" s="284">
        <v>3055918.4854446989</v>
      </c>
      <c r="Q131" s="960">
        <v>3004925.9119530311</v>
      </c>
      <c r="R131" s="1174"/>
      <c r="S131" s="302">
        <v>2196173.8622976001</v>
      </c>
      <c r="T131" s="284">
        <v>2373277.5074304002</v>
      </c>
      <c r="U131" s="284">
        <v>2460157.6696000001</v>
      </c>
      <c r="V131" s="284">
        <v>2448838.7981568002</v>
      </c>
      <c r="W131" s="960">
        <v>2289380.4740352002</v>
      </c>
      <c r="X131" s="3562">
        <v>0.22747485207463591</v>
      </c>
      <c r="Y131" s="302">
        <v>3361408.8903157483</v>
      </c>
      <c r="Z131" s="284">
        <v>3354466.4189127954</v>
      </c>
      <c r="AA131" s="284">
        <v>3430007.4154789532</v>
      </c>
      <c r="AB131" s="284">
        <v>3316929.2193997568</v>
      </c>
      <c r="AC131" s="3767">
        <v>3201621.7040157588</v>
      </c>
      <c r="AD131" s="3775">
        <f t="shared" si="46"/>
        <v>-0.2324424165899307</v>
      </c>
      <c r="AH131" s="302">
        <f t="shared" ref="AH131:AO131" si="49">AH121+AH116+AH126</f>
        <v>0</v>
      </c>
      <c r="AI131" s="284">
        <f t="shared" si="49"/>
        <v>0</v>
      </c>
      <c r="AJ131" s="284">
        <f t="shared" si="49"/>
        <v>0</v>
      </c>
      <c r="AK131" s="284">
        <f t="shared" si="49"/>
        <v>0</v>
      </c>
      <c r="AL131" s="960">
        <f t="shared" si="49"/>
        <v>0</v>
      </c>
      <c r="AM131" s="302">
        <f t="shared" si="49"/>
        <v>0</v>
      </c>
      <c r="AN131" s="284">
        <f t="shared" si="49"/>
        <v>0</v>
      </c>
      <c r="AO131" s="960">
        <f t="shared" si="49"/>
        <v>0</v>
      </c>
    </row>
    <row r="132" spans="1:41">
      <c r="A132" s="262"/>
      <c r="B132" s="1362" t="s">
        <v>566</v>
      </c>
      <c r="C132" s="303">
        <v>21199834.841647152</v>
      </c>
      <c r="D132" s="972">
        <v>24103523.784167629</v>
      </c>
      <c r="E132" s="972">
        <v>28492880.380339663</v>
      </c>
      <c r="F132" s="972">
        <v>27959218.180434663</v>
      </c>
      <c r="G132" s="976">
        <v>23416796.289116792</v>
      </c>
      <c r="H132" s="303">
        <v>18346666.809374958</v>
      </c>
      <c r="I132" s="972">
        <v>16902707.318756089</v>
      </c>
      <c r="J132" s="972">
        <v>21790474.347153753</v>
      </c>
      <c r="K132" s="972">
        <v>30468981.770577218</v>
      </c>
      <c r="L132" s="972">
        <v>23332229.495920487</v>
      </c>
      <c r="M132" s="303">
        <v>24606252.795764927</v>
      </c>
      <c r="N132" s="972">
        <v>25078043.621582214</v>
      </c>
      <c r="O132" s="972">
        <v>25696576.729080856</v>
      </c>
      <c r="P132" s="972">
        <v>26481398.06551392</v>
      </c>
      <c r="Q132" s="976">
        <v>26039516.306085598</v>
      </c>
      <c r="R132" s="1174"/>
      <c r="S132" s="303">
        <v>19031186.383270539</v>
      </c>
      <c r="T132" s="972">
        <v>20565897.517730895</v>
      </c>
      <c r="U132" s="972">
        <v>21318767.127757411</v>
      </c>
      <c r="V132" s="972">
        <v>21220682.201157633</v>
      </c>
      <c r="W132" s="976">
        <v>19838878.538515318</v>
      </c>
      <c r="X132" s="3561">
        <v>0.22747485207463569</v>
      </c>
      <c r="Y132" s="303">
        <v>29128658.800745219</v>
      </c>
      <c r="Z132" s="290">
        <v>29068498.050497554</v>
      </c>
      <c r="AA132" s="290">
        <v>29723106.872644506</v>
      </c>
      <c r="AB132" s="290">
        <v>28743215.315600026</v>
      </c>
      <c r="AC132" s="998">
        <v>27744005.346691225</v>
      </c>
      <c r="AD132" s="3774">
        <f t="shared" si="46"/>
        <v>-0.23244241658993059</v>
      </c>
      <c r="AH132" s="303">
        <f>SUM(AH129:AH131)</f>
        <v>0</v>
      </c>
      <c r="AI132" s="972">
        <f t="shared" ref="AI132:AO132" si="50">SUM(AI129:AI131)</f>
        <v>0</v>
      </c>
      <c r="AJ132" s="972">
        <f t="shared" si="50"/>
        <v>0</v>
      </c>
      <c r="AK132" s="972">
        <f t="shared" si="50"/>
        <v>0</v>
      </c>
      <c r="AL132" s="976">
        <f t="shared" si="50"/>
        <v>0</v>
      </c>
      <c r="AM132" s="303">
        <f t="shared" si="50"/>
        <v>0</v>
      </c>
      <c r="AN132" s="972">
        <f t="shared" si="50"/>
        <v>0</v>
      </c>
      <c r="AO132" s="976">
        <f t="shared" si="50"/>
        <v>0</v>
      </c>
    </row>
    <row r="133" spans="1:41">
      <c r="A133" s="262"/>
      <c r="B133" s="1359" t="s">
        <v>567</v>
      </c>
      <c r="C133" s="308">
        <v>4181663.8608656037</v>
      </c>
      <c r="D133" s="287">
        <v>5259081.9616882922</v>
      </c>
      <c r="E133" s="287">
        <v>5191562.8052597567</v>
      </c>
      <c r="F133" s="287">
        <v>5323447.2428342719</v>
      </c>
      <c r="G133" s="309">
        <v>5725289.7356063202</v>
      </c>
      <c r="H133" s="308">
        <v>5920140.0702488655</v>
      </c>
      <c r="I133" s="287">
        <v>5934510.3053054642</v>
      </c>
      <c r="J133" s="287">
        <v>3706310.9394176402</v>
      </c>
      <c r="K133" s="287">
        <v>2350360.8897146359</v>
      </c>
      <c r="L133" s="287">
        <v>1749643.9478825794</v>
      </c>
      <c r="M133" s="308">
        <v>1712360.9485737314</v>
      </c>
      <c r="N133" s="287">
        <v>1854110.6916575136</v>
      </c>
      <c r="O133" s="287">
        <v>1929430.5513744927</v>
      </c>
      <c r="P133" s="287">
        <v>2121225.5920436615</v>
      </c>
      <c r="Q133" s="309">
        <v>2115441.2180670183</v>
      </c>
      <c r="R133" s="1174"/>
      <c r="S133" s="308"/>
      <c r="T133" s="287"/>
      <c r="U133" s="287"/>
      <c r="V133" s="287"/>
      <c r="W133" s="309"/>
      <c r="X133" s="3562"/>
      <c r="Y133" s="305"/>
      <c r="Z133" s="291"/>
      <c r="AA133" s="291"/>
      <c r="AB133" s="291"/>
      <c r="AC133" s="3769"/>
      <c r="AD133" s="3775"/>
      <c r="AH133" s="302"/>
      <c r="AI133" s="284"/>
      <c r="AJ133" s="284"/>
      <c r="AK133" s="284"/>
      <c r="AL133" s="960"/>
      <c r="AM133" s="302"/>
      <c r="AN133" s="284"/>
      <c r="AO133" s="960"/>
    </row>
    <row r="134" spans="1:41">
      <c r="A134" s="262"/>
      <c r="B134" s="310" t="s">
        <v>151</v>
      </c>
      <c r="C134" s="308"/>
      <c r="D134" s="287"/>
      <c r="E134" s="287"/>
      <c r="F134" s="287"/>
      <c r="G134" s="309"/>
      <c r="H134" s="308"/>
      <c r="I134" s="287"/>
      <c r="J134" s="287"/>
      <c r="K134" s="287"/>
      <c r="L134" s="287"/>
      <c r="M134" s="308"/>
      <c r="N134" s="287"/>
      <c r="O134" s="287"/>
      <c r="P134" s="287"/>
      <c r="Q134" s="309"/>
      <c r="R134" s="1174"/>
      <c r="S134" s="308"/>
      <c r="T134" s="287"/>
      <c r="U134" s="287"/>
      <c r="V134" s="287"/>
      <c r="W134" s="309"/>
      <c r="X134" s="3562"/>
      <c r="Y134" s="305"/>
      <c r="Z134" s="291"/>
      <c r="AA134" s="291"/>
      <c r="AB134" s="291"/>
      <c r="AC134" s="3769"/>
      <c r="AD134" s="3775"/>
      <c r="AH134" s="302"/>
      <c r="AI134" s="284"/>
      <c r="AJ134" s="284"/>
      <c r="AK134" s="284"/>
      <c r="AL134" s="960"/>
      <c r="AM134" s="302"/>
      <c r="AN134" s="284"/>
      <c r="AO134" s="960"/>
    </row>
    <row r="135" spans="1:41" ht="25.5">
      <c r="A135" s="262"/>
      <c r="B135" s="501" t="str">
        <f>CONCATENATE("Tottal Gross expenditure on new ", B25, " connections")</f>
        <v>Tottal Gross expenditure on new New homes connections</v>
      </c>
      <c r="C135" s="306">
        <v>25381498.702512756</v>
      </c>
      <c r="D135" s="286">
        <v>29362605.74585592</v>
      </c>
      <c r="E135" s="286">
        <v>33684443.185599416</v>
      </c>
      <c r="F135" s="286">
        <v>33282665.423268937</v>
      </c>
      <c r="G135" s="307">
        <v>29142086.024723113</v>
      </c>
      <c r="H135" s="306">
        <v>24266806.879623823</v>
      </c>
      <c r="I135" s="286">
        <v>22837217.624061555</v>
      </c>
      <c r="J135" s="286">
        <v>25496785.286571395</v>
      </c>
      <c r="K135" s="286">
        <v>32819342.660291854</v>
      </c>
      <c r="L135" s="286">
        <v>25081873.443803065</v>
      </c>
      <c r="M135" s="306">
        <v>26318613.744338658</v>
      </c>
      <c r="N135" s="286">
        <v>26932154.313239727</v>
      </c>
      <c r="O135" s="286">
        <v>27626007.280455347</v>
      </c>
      <c r="P135" s="286">
        <v>28602623.657557581</v>
      </c>
      <c r="Q135" s="307">
        <v>28154957.524152614</v>
      </c>
      <c r="R135" s="1174"/>
      <c r="S135" s="306">
        <v>19031186.383270539</v>
      </c>
      <c r="T135" s="286">
        <v>20565897.517730895</v>
      </c>
      <c r="U135" s="286">
        <v>21318767.127757411</v>
      </c>
      <c r="V135" s="286">
        <v>21220682.201157633</v>
      </c>
      <c r="W135" s="307">
        <v>19838878.538515318</v>
      </c>
      <c r="X135" s="3563">
        <v>0.47931051677949021</v>
      </c>
      <c r="Y135" s="306">
        <v>29128658.800745219</v>
      </c>
      <c r="Z135" s="286">
        <v>29068498.050497554</v>
      </c>
      <c r="AA135" s="286">
        <v>29723106.872644506</v>
      </c>
      <c r="AB135" s="286">
        <v>28743215.315600026</v>
      </c>
      <c r="AC135" s="3770">
        <v>27744005.346691225</v>
      </c>
      <c r="AD135" s="3776">
        <f t="shared" si="46"/>
        <v>-9.6293198035639627E-2</v>
      </c>
      <c r="AH135" s="306">
        <f>SUM(AH132,AH133,AH134)</f>
        <v>0</v>
      </c>
      <c r="AI135" s="286">
        <f t="shared" ref="AI135:AO135" si="51">SUM(AI132,AI133,AI134)</f>
        <v>0</v>
      </c>
      <c r="AJ135" s="286">
        <f t="shared" si="51"/>
        <v>0</v>
      </c>
      <c r="AK135" s="286">
        <f t="shared" si="51"/>
        <v>0</v>
      </c>
      <c r="AL135" s="307">
        <f t="shared" si="51"/>
        <v>0</v>
      </c>
      <c r="AM135" s="306">
        <f t="shared" si="51"/>
        <v>0</v>
      </c>
      <c r="AN135" s="286">
        <f t="shared" si="51"/>
        <v>0</v>
      </c>
      <c r="AO135" s="307">
        <f t="shared" si="51"/>
        <v>0</v>
      </c>
    </row>
    <row r="136" spans="1:41">
      <c r="A136" s="262"/>
      <c r="B136" s="1348" t="s">
        <v>35</v>
      </c>
      <c r="C136" s="308"/>
      <c r="D136" s="287"/>
      <c r="E136" s="287"/>
      <c r="F136" s="287"/>
      <c r="G136" s="309"/>
      <c r="H136" s="308"/>
      <c r="I136" s="287"/>
      <c r="J136" s="287"/>
      <c r="K136" s="287"/>
      <c r="L136" s="287"/>
      <c r="M136" s="308"/>
      <c r="N136" s="287"/>
      <c r="O136" s="287"/>
      <c r="P136" s="287"/>
      <c r="Q136" s="309"/>
      <c r="R136" s="1174"/>
      <c r="S136" s="308">
        <v>724000</v>
      </c>
      <c r="T136" s="287">
        <v>782000</v>
      </c>
      <c r="U136" s="287">
        <v>812000</v>
      </c>
      <c r="V136" s="287">
        <v>802000</v>
      </c>
      <c r="W136" s="309">
        <v>773000</v>
      </c>
      <c r="X136" s="3564"/>
      <c r="Y136" s="308"/>
      <c r="Z136" s="287"/>
      <c r="AA136" s="287"/>
      <c r="AB136" s="287"/>
      <c r="AC136" s="3771"/>
      <c r="AD136" s="3777"/>
      <c r="AH136" s="302"/>
      <c r="AI136" s="284"/>
      <c r="AJ136" s="284"/>
      <c r="AK136" s="284"/>
      <c r="AL136" s="960"/>
      <c r="AM136" s="302"/>
      <c r="AN136" s="284"/>
      <c r="AO136" s="960"/>
    </row>
    <row r="137" spans="1:41" ht="13.5" thickBot="1">
      <c r="A137" s="262"/>
      <c r="B137" s="1353" t="str">
        <f>CONCATENATE("Total Net expenditure on new ", B25, " connections")</f>
        <v>Total Net expenditure on new New homes connections</v>
      </c>
      <c r="C137" s="962">
        <v>25381498.702512756</v>
      </c>
      <c r="D137" s="963">
        <v>29362605.74585592</v>
      </c>
      <c r="E137" s="963">
        <v>33684443.185599416</v>
      </c>
      <c r="F137" s="963">
        <v>33282665.423268937</v>
      </c>
      <c r="G137" s="964">
        <v>29142086.024723113</v>
      </c>
      <c r="H137" s="962">
        <v>24266806.879623823</v>
      </c>
      <c r="I137" s="963">
        <v>22837217.624061555</v>
      </c>
      <c r="J137" s="963">
        <v>25496785.286571395</v>
      </c>
      <c r="K137" s="963">
        <v>32819342.660291854</v>
      </c>
      <c r="L137" s="963">
        <v>25081873.443803065</v>
      </c>
      <c r="M137" s="962">
        <v>26318613.744338658</v>
      </c>
      <c r="N137" s="963">
        <v>26932154.313239727</v>
      </c>
      <c r="O137" s="963">
        <v>27626007.280455347</v>
      </c>
      <c r="P137" s="963">
        <v>28602623.657557581</v>
      </c>
      <c r="Q137" s="964">
        <v>28154957.524152614</v>
      </c>
      <c r="R137" s="1174"/>
      <c r="S137" s="962">
        <v>19030462.383270539</v>
      </c>
      <c r="T137" s="963">
        <v>20565115.517730895</v>
      </c>
      <c r="U137" s="963">
        <v>21317955.127757411</v>
      </c>
      <c r="V137" s="963">
        <v>21219880.201157633</v>
      </c>
      <c r="W137" s="964">
        <v>19838105.538515318</v>
      </c>
      <c r="X137" s="3565">
        <v>0.47936699290058127</v>
      </c>
      <c r="Y137" s="962">
        <v>29128658.800745219</v>
      </c>
      <c r="Z137" s="963">
        <v>29068498.050497554</v>
      </c>
      <c r="AA137" s="963">
        <v>29723106.872644506</v>
      </c>
      <c r="AB137" s="963">
        <v>28743215.315600026</v>
      </c>
      <c r="AC137" s="3772">
        <v>27744005.346691225</v>
      </c>
      <c r="AD137" s="3778">
        <f>SUM(H137:L137)/SUM(Y137:AC137)-1</f>
        <v>-9.6293198035639627E-2</v>
      </c>
      <c r="AH137" s="1633">
        <f>AH135-AH136</f>
        <v>0</v>
      </c>
      <c r="AI137" s="963">
        <f t="shared" ref="AI137:AO137" si="52">AI135-AI136</f>
        <v>0</v>
      </c>
      <c r="AJ137" s="963">
        <f t="shared" si="52"/>
        <v>0</v>
      </c>
      <c r="AK137" s="963">
        <f t="shared" si="52"/>
        <v>0</v>
      </c>
      <c r="AL137" s="964">
        <f t="shared" si="52"/>
        <v>0</v>
      </c>
      <c r="AM137" s="1633">
        <f t="shared" si="52"/>
        <v>0</v>
      </c>
      <c r="AN137" s="963">
        <f t="shared" si="52"/>
        <v>0</v>
      </c>
      <c r="AO137" s="964">
        <f t="shared" si="52"/>
        <v>0</v>
      </c>
    </row>
    <row r="138" spans="1:41" s="164" customFormat="1" ht="31.5" customHeight="1" thickBot="1">
      <c r="A138" s="741"/>
      <c r="B138" s="1383" t="s">
        <v>121</v>
      </c>
      <c r="C138" s="263"/>
      <c r="D138" s="1005"/>
      <c r="E138" s="1005"/>
      <c r="F138" s="1005"/>
      <c r="G138" s="1005"/>
      <c r="H138" s="1005"/>
      <c r="I138" s="1005"/>
      <c r="J138" s="1005"/>
      <c r="K138" s="1005"/>
      <c r="L138" s="1005"/>
      <c r="M138" s="1005"/>
      <c r="N138" s="1005"/>
      <c r="O138" s="1005"/>
      <c r="P138" s="1005"/>
      <c r="Q138" s="1006"/>
      <c r="R138" s="1174"/>
      <c r="S138" s="3982" t="s">
        <v>1787</v>
      </c>
      <c r="T138" s="3980"/>
      <c r="U138" s="3980"/>
      <c r="V138" s="3980"/>
      <c r="W138" s="3980"/>
      <c r="X138" s="3983" t="s">
        <v>1788</v>
      </c>
      <c r="Y138" s="3983"/>
      <c r="Z138" s="3983"/>
      <c r="AA138" s="3983"/>
      <c r="AB138" s="3984"/>
      <c r="AC138" s="1005"/>
      <c r="AD138" s="1006"/>
      <c r="AE138"/>
      <c r="AH138" s="1635"/>
      <c r="AI138" s="1636"/>
      <c r="AJ138" s="1636"/>
      <c r="AK138" s="1636"/>
      <c r="AL138" s="1636"/>
      <c r="AM138" s="1636"/>
      <c r="AN138" s="1636"/>
      <c r="AO138" s="1637"/>
    </row>
    <row r="139" spans="1:41" ht="13.5" thickBot="1">
      <c r="A139" s="1174"/>
      <c r="B139" s="1174"/>
      <c r="C139" s="2951"/>
      <c r="D139" s="1174"/>
      <c r="E139" s="1174"/>
      <c r="F139" s="1174"/>
      <c r="G139" s="1174"/>
      <c r="H139" s="1174"/>
      <c r="I139" s="1174"/>
      <c r="J139" s="1174"/>
      <c r="K139" s="1174"/>
      <c r="L139" s="1174"/>
      <c r="M139" s="1174"/>
      <c r="N139" s="1174"/>
      <c r="O139" s="1174"/>
      <c r="P139" s="1174"/>
      <c r="Q139" s="1174"/>
      <c r="R139" s="1174"/>
      <c r="S139" s="1174"/>
      <c r="T139" s="1174"/>
      <c r="U139" s="1174"/>
      <c r="V139" s="1174"/>
      <c r="W139" s="1174"/>
      <c r="X139" s="1174"/>
      <c r="Y139" s="1174"/>
      <c r="Z139" s="1174"/>
      <c r="AA139" s="1174"/>
      <c r="AB139" s="1174"/>
      <c r="AC139" s="1174"/>
      <c r="AD139" s="1174"/>
      <c r="AH139" s="1174"/>
      <c r="AI139" s="1174"/>
      <c r="AJ139" s="1174"/>
      <c r="AK139" s="1174"/>
      <c r="AL139" s="1174"/>
      <c r="AM139" s="1174"/>
      <c r="AN139" s="1174"/>
      <c r="AO139" s="1174"/>
    </row>
    <row r="140" spans="1:41" ht="16.5" thickBot="1">
      <c r="A140" s="833"/>
      <c r="B140" s="252" t="str">
        <f>CONCATENATE("Table 4.2.4 - ", B26)</f>
        <v>Table 4.2.4 - New medium density / high rise</v>
      </c>
      <c r="C140" s="269"/>
      <c r="D140" s="269"/>
      <c r="E140" s="269"/>
      <c r="F140" s="269"/>
      <c r="G140" s="269"/>
      <c r="H140" s="269"/>
      <c r="I140" s="269"/>
      <c r="J140" s="269"/>
      <c r="K140" s="269"/>
      <c r="L140" s="269"/>
      <c r="M140" s="269"/>
      <c r="N140" s="269"/>
      <c r="O140" s="269"/>
      <c r="P140" s="269"/>
      <c r="Q140" s="270"/>
      <c r="R140" s="1174"/>
      <c r="S140" s="252"/>
      <c r="T140" s="269"/>
      <c r="U140" s="269"/>
      <c r="V140" s="269"/>
      <c r="W140" s="269"/>
      <c r="X140" s="269"/>
      <c r="Y140" s="269"/>
      <c r="Z140" s="269"/>
      <c r="AA140" s="269"/>
      <c r="AB140" s="269"/>
      <c r="AC140" s="269"/>
      <c r="AD140" s="270"/>
      <c r="AH140" s="252"/>
      <c r="AI140" s="269"/>
      <c r="AJ140" s="269"/>
      <c r="AK140" s="269"/>
      <c r="AL140" s="269"/>
      <c r="AM140" s="269"/>
      <c r="AN140" s="269"/>
      <c r="AO140" s="270"/>
    </row>
    <row r="141" spans="1:41">
      <c r="A141" s="262"/>
      <c r="B141" s="293" t="str">
        <f>CONCATENATE("Number of new ", B26, " connections")</f>
        <v>Number of new New medium density / high rise connections</v>
      </c>
      <c r="C141" s="295">
        <v>2852</v>
      </c>
      <c r="D141" s="296">
        <v>3057</v>
      </c>
      <c r="E141" s="296">
        <v>3298</v>
      </c>
      <c r="F141" s="296">
        <v>3388</v>
      </c>
      <c r="G141" s="958">
        <v>3751</v>
      </c>
      <c r="H141" s="295">
        <v>3268</v>
      </c>
      <c r="I141" s="296">
        <v>3531</v>
      </c>
      <c r="J141" s="296">
        <v>3662</v>
      </c>
      <c r="K141" s="296">
        <v>3109</v>
      </c>
      <c r="L141" s="296">
        <v>3423</v>
      </c>
      <c r="M141" s="295">
        <v>3574</v>
      </c>
      <c r="N141" s="296">
        <v>3667</v>
      </c>
      <c r="O141" s="296">
        <v>3763</v>
      </c>
      <c r="P141" s="296">
        <v>3861</v>
      </c>
      <c r="Q141" s="958">
        <v>3757</v>
      </c>
      <c r="R141" s="1174"/>
      <c r="S141" s="295">
        <v>3391</v>
      </c>
      <c r="T141" s="296">
        <v>3590</v>
      </c>
      <c r="U141" s="296">
        <v>3646</v>
      </c>
      <c r="V141" s="296">
        <v>3555</v>
      </c>
      <c r="W141" s="958">
        <v>3257</v>
      </c>
      <c r="X141" s="3560">
        <v>-6.2675612133723302E-2</v>
      </c>
      <c r="Y141" s="295">
        <v>4136</v>
      </c>
      <c r="Z141" s="296">
        <v>4246</v>
      </c>
      <c r="AA141" s="296">
        <v>4367</v>
      </c>
      <c r="AB141" s="296">
        <v>4177</v>
      </c>
      <c r="AC141" s="3764">
        <v>3963</v>
      </c>
      <c r="AD141" s="3773">
        <v>-0.18650964622528599</v>
      </c>
      <c r="AH141" s="1632">
        <f t="shared" ref="AH141:AO141" si="53">AH26</f>
        <v>0</v>
      </c>
      <c r="AI141" s="296">
        <f t="shared" si="53"/>
        <v>0</v>
      </c>
      <c r="AJ141" s="296">
        <f t="shared" si="53"/>
        <v>0</v>
      </c>
      <c r="AK141" s="296">
        <f t="shared" si="53"/>
        <v>0</v>
      </c>
      <c r="AL141" s="958">
        <f t="shared" si="53"/>
        <v>0</v>
      </c>
      <c r="AM141" s="1632">
        <f t="shared" si="53"/>
        <v>0</v>
      </c>
      <c r="AN141" s="296">
        <f t="shared" si="53"/>
        <v>0</v>
      </c>
      <c r="AO141" s="958">
        <f t="shared" si="53"/>
        <v>0</v>
      </c>
    </row>
    <row r="142" spans="1:41">
      <c r="A142" s="262"/>
      <c r="B142" s="1355" t="s">
        <v>558</v>
      </c>
      <c r="C142" s="298"/>
      <c r="D142" s="288"/>
      <c r="E142" s="288"/>
      <c r="F142" s="288"/>
      <c r="G142" s="299"/>
      <c r="H142" s="298"/>
      <c r="I142" s="288"/>
      <c r="J142" s="288"/>
      <c r="K142" s="288"/>
      <c r="L142" s="288"/>
      <c r="M142" s="298"/>
      <c r="N142" s="288"/>
      <c r="O142" s="288"/>
      <c r="P142" s="288"/>
      <c r="Q142" s="299"/>
      <c r="R142" s="1174"/>
      <c r="S142" s="298"/>
      <c r="T142" s="288"/>
      <c r="U142" s="288"/>
      <c r="V142" s="288"/>
      <c r="W142" s="299"/>
      <c r="X142" s="3561"/>
      <c r="Y142" s="298"/>
      <c r="Z142" s="288"/>
      <c r="AA142" s="288"/>
      <c r="AB142" s="288"/>
      <c r="AC142" s="288"/>
      <c r="AD142" s="3774"/>
      <c r="AH142" s="298"/>
      <c r="AI142" s="288"/>
      <c r="AJ142" s="288"/>
      <c r="AK142" s="288"/>
      <c r="AL142" s="299"/>
      <c r="AM142" s="298"/>
      <c r="AN142" s="288"/>
      <c r="AO142" s="299"/>
    </row>
    <row r="143" spans="1:41">
      <c r="A143" s="262"/>
      <c r="B143" s="1356" t="s">
        <v>57</v>
      </c>
      <c r="C143" s="255">
        <v>1665643.9751360891</v>
      </c>
      <c r="D143" s="461">
        <v>1859380.4671772602</v>
      </c>
      <c r="E143" s="461">
        <v>2247740.5560928662</v>
      </c>
      <c r="F143" s="461">
        <v>2488661.9846567241</v>
      </c>
      <c r="G143" s="281">
        <v>2874151.3921326315</v>
      </c>
      <c r="H143" s="255">
        <v>2114744.1936271326</v>
      </c>
      <c r="I143" s="461">
        <v>1897780.3298700526</v>
      </c>
      <c r="J143" s="461">
        <v>2627879.0968396775</v>
      </c>
      <c r="K143" s="461">
        <v>3554598.2027831902</v>
      </c>
      <c r="L143" s="461">
        <v>2651840.5712578464</v>
      </c>
      <c r="M143" s="255">
        <v>2735925.9900896009</v>
      </c>
      <c r="N143" s="461">
        <v>2828054.4048760566</v>
      </c>
      <c r="O143" s="461">
        <v>2929229.1491029514</v>
      </c>
      <c r="P143" s="461">
        <v>3042709.9791011559</v>
      </c>
      <c r="Q143" s="281">
        <v>3000098.5231677028</v>
      </c>
      <c r="R143" s="1174"/>
      <c r="S143" s="255">
        <v>2500430.6108993618</v>
      </c>
      <c r="T143" s="461">
        <v>2701413.0066920738</v>
      </c>
      <c r="U143" s="461">
        <v>2800479.8262984967</v>
      </c>
      <c r="V143" s="461">
        <v>2787880.5254064598</v>
      </c>
      <c r="W143" s="281">
        <v>2606679.2586656702</v>
      </c>
      <c r="X143" s="3562">
        <v>-0.16879335396808426</v>
      </c>
      <c r="Y143" s="255">
        <v>3826710.2634806428</v>
      </c>
      <c r="Z143" s="461">
        <v>3818633.2541464688</v>
      </c>
      <c r="AA143" s="461">
        <v>3904809.3886681832</v>
      </c>
      <c r="AB143" s="461">
        <v>3776014.1268428848</v>
      </c>
      <c r="AC143" s="3765">
        <v>3644637.3609172925</v>
      </c>
      <c r="AD143" s="3775">
        <v>-0.32280982252900803</v>
      </c>
      <c r="AH143" s="259"/>
      <c r="AI143" s="466"/>
      <c r="AJ143" s="466"/>
      <c r="AK143" s="466"/>
      <c r="AL143" s="283"/>
      <c r="AM143" s="259"/>
      <c r="AN143" s="466"/>
      <c r="AO143" s="283"/>
    </row>
    <row r="144" spans="1:41">
      <c r="A144" s="262"/>
      <c r="B144" s="1356" t="s">
        <v>562</v>
      </c>
      <c r="C144" s="255">
        <v>2172511.8868965949</v>
      </c>
      <c r="D144" s="461">
        <v>2425203.8415807895</v>
      </c>
      <c r="E144" s="461">
        <v>2931744.808414015</v>
      </c>
      <c r="F144" s="461">
        <v>3245980.428496229</v>
      </c>
      <c r="G144" s="281">
        <v>3748777.1440702803</v>
      </c>
      <c r="H144" s="255">
        <v>2758276.6587470337</v>
      </c>
      <c r="I144" s="461">
        <v>2475289.0695170136</v>
      </c>
      <c r="J144" s="461">
        <v>3427562.3485173858</v>
      </c>
      <c r="K144" s="461">
        <v>4636289.0053120768</v>
      </c>
      <c r="L144" s="461">
        <v>3458815.4787049373</v>
      </c>
      <c r="M144" s="255">
        <v>3568488.718997323</v>
      </c>
      <c r="N144" s="461">
        <v>3688652.4990321072</v>
      </c>
      <c r="O144" s="461">
        <v>3820615.4741743146</v>
      </c>
      <c r="P144" s="461">
        <v>3968629.3689718796</v>
      </c>
      <c r="Q144" s="281">
        <v>3913050.9284916231</v>
      </c>
      <c r="R144" s="1174"/>
      <c r="S144" s="255">
        <v>3261330.33567101</v>
      </c>
      <c r="T144" s="461">
        <v>3523473.1767790252</v>
      </c>
      <c r="U144" s="461">
        <v>3652686.7700827261</v>
      </c>
      <c r="V144" s="461">
        <v>3636253.4077537204</v>
      </c>
      <c r="W144" s="281">
        <v>3399911.2411253918</v>
      </c>
      <c r="X144" s="3562">
        <v>-0.16879335396808437</v>
      </c>
      <c r="Y144" s="255">
        <v>4991206.800025586</v>
      </c>
      <c r="Z144" s="461">
        <v>4980671.8963781036</v>
      </c>
      <c r="AA144" s="461">
        <v>5093072.0727722989</v>
      </c>
      <c r="AB144" s="461">
        <v>4925083.4500724459</v>
      </c>
      <c r="AC144" s="3765">
        <v>4753727.752278707</v>
      </c>
      <c r="AD144" s="3775">
        <v>-0.32280982252900803</v>
      </c>
      <c r="AH144" s="259"/>
      <c r="AI144" s="466"/>
      <c r="AJ144" s="466"/>
      <c r="AK144" s="466"/>
      <c r="AL144" s="283"/>
      <c r="AM144" s="259"/>
      <c r="AN144" s="466"/>
      <c r="AO144" s="283"/>
    </row>
    <row r="145" spans="1:41">
      <c r="A145" s="262"/>
      <c r="B145" s="1356" t="s">
        <v>61</v>
      </c>
      <c r="C145" s="255">
        <v>500698.02877303382</v>
      </c>
      <c r="D145" s="461">
        <v>558935.85217013233</v>
      </c>
      <c r="E145" s="461">
        <v>675678.16557974124</v>
      </c>
      <c r="F145" s="461">
        <v>748099.93528070708</v>
      </c>
      <c r="G145" s="281">
        <v>863979.31245691422</v>
      </c>
      <c r="H145" s="255">
        <v>635699.02386961924</v>
      </c>
      <c r="I145" s="461">
        <v>570478.97653670993</v>
      </c>
      <c r="J145" s="461">
        <v>789949.05470959574</v>
      </c>
      <c r="K145" s="461">
        <v>1068523.8501032598</v>
      </c>
      <c r="L145" s="461">
        <v>797151.95231962809</v>
      </c>
      <c r="M145" s="255">
        <v>822428.30434087827</v>
      </c>
      <c r="N145" s="461">
        <v>850122.40726211888</v>
      </c>
      <c r="O145" s="461">
        <v>880535.86641198501</v>
      </c>
      <c r="P145" s="461">
        <v>914648.57520918525</v>
      </c>
      <c r="Q145" s="281">
        <v>901839.43213448592</v>
      </c>
      <c r="R145" s="1174"/>
      <c r="S145" s="255">
        <v>751637.62283520005</v>
      </c>
      <c r="T145" s="461">
        <v>812053.58860800008</v>
      </c>
      <c r="U145" s="461">
        <v>841833.39872000006</v>
      </c>
      <c r="V145" s="461">
        <v>838046.00764800003</v>
      </c>
      <c r="W145" s="281">
        <v>783576.31399040006</v>
      </c>
      <c r="X145" s="3562">
        <v>-0.16879335396808415</v>
      </c>
      <c r="Y145" s="255">
        <v>1150321.6258767114</v>
      </c>
      <c r="Z145" s="461">
        <v>1147893.650443563</v>
      </c>
      <c r="AA145" s="461">
        <v>1173798.478441861</v>
      </c>
      <c r="AB145" s="461">
        <v>1135082.201329902</v>
      </c>
      <c r="AC145" s="3765">
        <v>1095589.9156389304</v>
      </c>
      <c r="AD145" s="3775">
        <v>-0.32280982252900803</v>
      </c>
      <c r="AH145" s="259"/>
      <c r="AI145" s="466"/>
      <c r="AJ145" s="466"/>
      <c r="AK145" s="466"/>
      <c r="AL145" s="283"/>
      <c r="AM145" s="259"/>
      <c r="AN145" s="466"/>
      <c r="AO145" s="283"/>
    </row>
    <row r="146" spans="1:41">
      <c r="A146" s="262"/>
      <c r="B146" s="1358" t="s">
        <v>563</v>
      </c>
      <c r="C146" s="259">
        <v>4338853.8908057176</v>
      </c>
      <c r="D146" s="466">
        <v>4843520.1609281823</v>
      </c>
      <c r="E146" s="466">
        <v>5855163.5300866226</v>
      </c>
      <c r="F146" s="466">
        <v>6482742.3484336603</v>
      </c>
      <c r="G146" s="283">
        <v>7486907.8486598255</v>
      </c>
      <c r="H146" s="259">
        <v>5508719.876243785</v>
      </c>
      <c r="I146" s="466">
        <v>4943548.3759237761</v>
      </c>
      <c r="J146" s="466">
        <v>6845390.5000666594</v>
      </c>
      <c r="K146" s="466">
        <v>9259411.0581985265</v>
      </c>
      <c r="L146" s="466">
        <v>6907808.0022824109</v>
      </c>
      <c r="M146" s="259">
        <v>7126843.0134278024</v>
      </c>
      <c r="N146" s="466">
        <v>7366829.3111702818</v>
      </c>
      <c r="O146" s="466">
        <v>7630380.4896892505</v>
      </c>
      <c r="P146" s="466">
        <v>7925987.923282221</v>
      </c>
      <c r="Q146" s="283">
        <v>7814988.8837938113</v>
      </c>
      <c r="R146" s="1174"/>
      <c r="S146" s="259">
        <v>6513398.5694055725</v>
      </c>
      <c r="T146" s="466">
        <v>7036939.772079099</v>
      </c>
      <c r="U146" s="466">
        <v>7294999.9951012228</v>
      </c>
      <c r="V146" s="466">
        <v>7262179.9408081807</v>
      </c>
      <c r="W146" s="283">
        <v>6790166.8137814617</v>
      </c>
      <c r="X146" s="3562">
        <v>-0.16879335396808415</v>
      </c>
      <c r="Y146" s="259">
        <v>9968238.6893829405</v>
      </c>
      <c r="Z146" s="466">
        <v>9947198.8009681348</v>
      </c>
      <c r="AA146" s="466">
        <v>10171679.939882342</v>
      </c>
      <c r="AB146" s="466">
        <v>9836179.778245233</v>
      </c>
      <c r="AC146" s="3766">
        <v>9493955.0288349316</v>
      </c>
      <c r="AD146" s="3775">
        <v>-0.32280982252900803</v>
      </c>
      <c r="AH146" s="259">
        <f t="shared" ref="AH146:AO146" si="54">SUM(AH143:AH145)</f>
        <v>0</v>
      </c>
      <c r="AI146" s="466">
        <f t="shared" si="54"/>
        <v>0</v>
      </c>
      <c r="AJ146" s="466">
        <f t="shared" si="54"/>
        <v>0</v>
      </c>
      <c r="AK146" s="466">
        <f t="shared" si="54"/>
        <v>0</v>
      </c>
      <c r="AL146" s="283">
        <f t="shared" si="54"/>
        <v>0</v>
      </c>
      <c r="AM146" s="259">
        <f t="shared" si="54"/>
        <v>0</v>
      </c>
      <c r="AN146" s="466">
        <f t="shared" si="54"/>
        <v>0</v>
      </c>
      <c r="AO146" s="283">
        <f t="shared" si="54"/>
        <v>0</v>
      </c>
    </row>
    <row r="147" spans="1:41">
      <c r="A147" s="262"/>
      <c r="B147" s="1354" t="s">
        <v>559</v>
      </c>
      <c r="C147" s="298"/>
      <c r="D147" s="288"/>
      <c r="E147" s="288"/>
      <c r="F147" s="288"/>
      <c r="G147" s="299"/>
      <c r="H147" s="298"/>
      <c r="I147" s="288"/>
      <c r="J147" s="288"/>
      <c r="K147" s="288"/>
      <c r="L147" s="288"/>
      <c r="M147" s="298"/>
      <c r="N147" s="288"/>
      <c r="O147" s="288"/>
      <c r="P147" s="288"/>
      <c r="Q147" s="299"/>
      <c r="R147" s="1174"/>
      <c r="S147" s="298"/>
      <c r="T147" s="288"/>
      <c r="U147" s="288"/>
      <c r="V147" s="288"/>
      <c r="W147" s="299"/>
      <c r="X147" s="3561"/>
      <c r="Y147" s="298"/>
      <c r="Z147" s="288"/>
      <c r="AA147" s="288"/>
      <c r="AB147" s="288"/>
      <c r="AC147" s="288"/>
      <c r="AD147" s="3774"/>
      <c r="AH147" s="298"/>
      <c r="AI147" s="288"/>
      <c r="AJ147" s="288"/>
      <c r="AK147" s="288"/>
      <c r="AL147" s="299"/>
      <c r="AM147" s="298"/>
      <c r="AN147" s="288"/>
      <c r="AO147" s="299"/>
    </row>
    <row r="148" spans="1:41">
      <c r="A148" s="262"/>
      <c r="B148" s="294" t="s">
        <v>57</v>
      </c>
      <c r="C148" s="255"/>
      <c r="D148" s="461"/>
      <c r="E148" s="461"/>
      <c r="F148" s="461"/>
      <c r="G148" s="281"/>
      <c r="H148" s="255"/>
      <c r="I148" s="461"/>
      <c r="J148" s="461"/>
      <c r="K148" s="461"/>
      <c r="L148" s="461"/>
      <c r="M148" s="255"/>
      <c r="N148" s="461"/>
      <c r="O148" s="461"/>
      <c r="P148" s="461"/>
      <c r="Q148" s="281"/>
      <c r="R148" s="1174"/>
      <c r="S148" s="255"/>
      <c r="T148" s="461"/>
      <c r="U148" s="461"/>
      <c r="V148" s="461"/>
      <c r="W148" s="281"/>
      <c r="X148" s="3562"/>
      <c r="Y148" s="255"/>
      <c r="Z148" s="461"/>
      <c r="AA148" s="461"/>
      <c r="AB148" s="461"/>
      <c r="AC148" s="3765"/>
      <c r="AD148" s="3775"/>
      <c r="AH148" s="259"/>
      <c r="AI148" s="466"/>
      <c r="AJ148" s="466"/>
      <c r="AK148" s="466"/>
      <c r="AL148" s="283"/>
      <c r="AM148" s="259"/>
      <c r="AN148" s="466"/>
      <c r="AO148" s="283"/>
    </row>
    <row r="149" spans="1:41">
      <c r="A149" s="262"/>
      <c r="B149" s="294" t="s">
        <v>562</v>
      </c>
      <c r="C149" s="255"/>
      <c r="D149" s="461"/>
      <c r="E149" s="461"/>
      <c r="F149" s="461"/>
      <c r="G149" s="281"/>
      <c r="H149" s="255"/>
      <c r="I149" s="461"/>
      <c r="J149" s="461"/>
      <c r="K149" s="461"/>
      <c r="L149" s="461"/>
      <c r="M149" s="255"/>
      <c r="N149" s="461"/>
      <c r="O149" s="461"/>
      <c r="P149" s="461"/>
      <c r="Q149" s="281"/>
      <c r="R149" s="1174"/>
      <c r="S149" s="255"/>
      <c r="T149" s="461"/>
      <c r="U149" s="461"/>
      <c r="V149" s="461"/>
      <c r="W149" s="281"/>
      <c r="X149" s="3562"/>
      <c r="Y149" s="255"/>
      <c r="Z149" s="461"/>
      <c r="AA149" s="461"/>
      <c r="AB149" s="461"/>
      <c r="AC149" s="3765"/>
      <c r="AD149" s="3775"/>
      <c r="AH149" s="259"/>
      <c r="AI149" s="466"/>
      <c r="AJ149" s="466"/>
      <c r="AK149" s="466"/>
      <c r="AL149" s="283"/>
      <c r="AM149" s="259"/>
      <c r="AN149" s="466"/>
      <c r="AO149" s="283"/>
    </row>
    <row r="150" spans="1:41">
      <c r="A150" s="262"/>
      <c r="B150" s="294" t="s">
        <v>61</v>
      </c>
      <c r="C150" s="255"/>
      <c r="D150" s="461"/>
      <c r="E150" s="461"/>
      <c r="F150" s="461"/>
      <c r="G150" s="281"/>
      <c r="H150" s="255"/>
      <c r="I150" s="461"/>
      <c r="J150" s="461"/>
      <c r="K150" s="461"/>
      <c r="L150" s="461"/>
      <c r="M150" s="255"/>
      <c r="N150" s="461"/>
      <c r="O150" s="461"/>
      <c r="P150" s="461"/>
      <c r="Q150" s="281"/>
      <c r="R150" s="1174"/>
      <c r="S150" s="255"/>
      <c r="T150" s="461"/>
      <c r="U150" s="461"/>
      <c r="V150" s="461"/>
      <c r="W150" s="281"/>
      <c r="X150" s="3562"/>
      <c r="Y150" s="255"/>
      <c r="Z150" s="461"/>
      <c r="AA150" s="461"/>
      <c r="AB150" s="461"/>
      <c r="AC150" s="3765"/>
      <c r="AD150" s="3775"/>
      <c r="AH150" s="259"/>
      <c r="AI150" s="466"/>
      <c r="AJ150" s="466"/>
      <c r="AK150" s="466"/>
      <c r="AL150" s="283"/>
      <c r="AM150" s="259"/>
      <c r="AN150" s="466"/>
      <c r="AO150" s="283"/>
    </row>
    <row r="151" spans="1:41">
      <c r="A151" s="262"/>
      <c r="B151" s="1358" t="s">
        <v>560</v>
      </c>
      <c r="C151" s="259">
        <f t="shared" ref="C151:W151" si="55">SUM(C148:C150)</f>
        <v>0</v>
      </c>
      <c r="D151" s="466">
        <f t="shared" si="55"/>
        <v>0</v>
      </c>
      <c r="E151" s="466">
        <f t="shared" si="55"/>
        <v>0</v>
      </c>
      <c r="F151" s="466">
        <f t="shared" si="55"/>
        <v>0</v>
      </c>
      <c r="G151" s="283">
        <f t="shared" si="55"/>
        <v>0</v>
      </c>
      <c r="H151" s="259">
        <f t="shared" si="55"/>
        <v>0</v>
      </c>
      <c r="I151" s="466">
        <f t="shared" si="55"/>
        <v>0</v>
      </c>
      <c r="J151" s="466">
        <f t="shared" si="55"/>
        <v>0</v>
      </c>
      <c r="K151" s="466">
        <f t="shared" si="55"/>
        <v>0</v>
      </c>
      <c r="L151" s="466">
        <f t="shared" si="55"/>
        <v>0</v>
      </c>
      <c r="M151" s="259">
        <f t="shared" si="55"/>
        <v>0</v>
      </c>
      <c r="N151" s="466">
        <f t="shared" si="55"/>
        <v>0</v>
      </c>
      <c r="O151" s="466">
        <f t="shared" si="55"/>
        <v>0</v>
      </c>
      <c r="P151" s="466">
        <f t="shared" si="55"/>
        <v>0</v>
      </c>
      <c r="Q151" s="283">
        <f t="shared" si="55"/>
        <v>0</v>
      </c>
      <c r="R151" s="1174"/>
      <c r="S151" s="259">
        <f t="shared" si="55"/>
        <v>0</v>
      </c>
      <c r="T151" s="466">
        <f t="shared" si="55"/>
        <v>0</v>
      </c>
      <c r="U151" s="466">
        <f t="shared" si="55"/>
        <v>0</v>
      </c>
      <c r="V151" s="466">
        <f t="shared" si="55"/>
        <v>0</v>
      </c>
      <c r="W151" s="283">
        <f t="shared" si="55"/>
        <v>0</v>
      </c>
      <c r="X151" s="3562"/>
      <c r="Y151" s="259">
        <f t="shared" ref="Y151:AC151" si="56">SUM(Y148:Y150)</f>
        <v>0</v>
      </c>
      <c r="Z151" s="466">
        <f t="shared" si="56"/>
        <v>0</v>
      </c>
      <c r="AA151" s="466">
        <f t="shared" si="56"/>
        <v>0</v>
      </c>
      <c r="AB151" s="466">
        <f t="shared" si="56"/>
        <v>0</v>
      </c>
      <c r="AC151" s="3766">
        <f t="shared" si="56"/>
        <v>0</v>
      </c>
      <c r="AD151" s="3775"/>
      <c r="AH151" s="259">
        <f t="shared" ref="AH151:AO151" si="57">SUM(AH148:AH150)</f>
        <v>0</v>
      </c>
      <c r="AI151" s="466">
        <f t="shared" si="57"/>
        <v>0</v>
      </c>
      <c r="AJ151" s="466">
        <f t="shared" si="57"/>
        <v>0</v>
      </c>
      <c r="AK151" s="466">
        <f t="shared" si="57"/>
        <v>0</v>
      </c>
      <c r="AL151" s="283">
        <f t="shared" si="57"/>
        <v>0</v>
      </c>
      <c r="AM151" s="259">
        <f t="shared" si="57"/>
        <v>0</v>
      </c>
      <c r="AN151" s="466">
        <f t="shared" si="57"/>
        <v>0</v>
      </c>
      <c r="AO151" s="283">
        <f t="shared" si="57"/>
        <v>0</v>
      </c>
    </row>
    <row r="152" spans="1:41">
      <c r="A152" s="262"/>
      <c r="B152" s="1357" t="s">
        <v>564</v>
      </c>
      <c r="C152" s="298"/>
      <c r="D152" s="288"/>
      <c r="E152" s="288"/>
      <c r="F152" s="288"/>
      <c r="G152" s="299"/>
      <c r="H152" s="298"/>
      <c r="I152" s="288"/>
      <c r="J152" s="288"/>
      <c r="K152" s="288"/>
      <c r="L152" s="288"/>
      <c r="M152" s="298"/>
      <c r="N152" s="288"/>
      <c r="O152" s="288"/>
      <c r="P152" s="288"/>
      <c r="Q152" s="299"/>
      <c r="R152" s="1174"/>
      <c r="S152" s="298"/>
      <c r="T152" s="288"/>
      <c r="U152" s="288"/>
      <c r="V152" s="288"/>
      <c r="W152" s="299"/>
      <c r="X152" s="3561"/>
      <c r="Y152" s="298"/>
      <c r="Z152" s="288"/>
      <c r="AA152" s="288"/>
      <c r="AB152" s="288"/>
      <c r="AC152" s="288"/>
      <c r="AD152" s="3774"/>
      <c r="AH152" s="298"/>
      <c r="AI152" s="288"/>
      <c r="AJ152" s="288"/>
      <c r="AK152" s="288"/>
      <c r="AL152" s="299"/>
      <c r="AM152" s="298"/>
      <c r="AN152" s="288"/>
      <c r="AO152" s="299"/>
    </row>
    <row r="153" spans="1:41">
      <c r="A153" s="262"/>
      <c r="B153" s="1356" t="s">
        <v>57</v>
      </c>
      <c r="C153" s="255"/>
      <c r="D153" s="461"/>
      <c r="E153" s="461"/>
      <c r="F153" s="461"/>
      <c r="G153" s="281"/>
      <c r="H153" s="255"/>
      <c r="I153" s="461"/>
      <c r="J153" s="461"/>
      <c r="K153" s="461"/>
      <c r="L153" s="461"/>
      <c r="M153" s="255"/>
      <c r="N153" s="461"/>
      <c r="O153" s="461"/>
      <c r="P153" s="461"/>
      <c r="Q153" s="281"/>
      <c r="R153" s="1174"/>
      <c r="S153" s="255"/>
      <c r="T153" s="461"/>
      <c r="U153" s="461"/>
      <c r="V153" s="461"/>
      <c r="W153" s="281"/>
      <c r="X153" s="3562"/>
      <c r="Y153" s="255"/>
      <c r="Z153" s="461"/>
      <c r="AA153" s="461"/>
      <c r="AB153" s="461"/>
      <c r="AC153" s="3765"/>
      <c r="AD153" s="3775"/>
      <c r="AH153" s="259"/>
      <c r="AI153" s="466"/>
      <c r="AJ153" s="466"/>
      <c r="AK153" s="466"/>
      <c r="AL153" s="283"/>
      <c r="AM153" s="259"/>
      <c r="AN153" s="466"/>
      <c r="AO153" s="283"/>
    </row>
    <row r="154" spans="1:41">
      <c r="A154" s="262"/>
      <c r="B154" s="1356" t="s">
        <v>562</v>
      </c>
      <c r="C154" s="255"/>
      <c r="D154" s="461"/>
      <c r="E154" s="461"/>
      <c r="F154" s="461"/>
      <c r="G154" s="281"/>
      <c r="H154" s="255"/>
      <c r="I154" s="461"/>
      <c r="J154" s="461"/>
      <c r="K154" s="461"/>
      <c r="L154" s="461"/>
      <c r="M154" s="255"/>
      <c r="N154" s="461"/>
      <c r="O154" s="461"/>
      <c r="P154" s="461"/>
      <c r="Q154" s="281"/>
      <c r="R154" s="1174"/>
      <c r="S154" s="255"/>
      <c r="T154" s="461"/>
      <c r="U154" s="461"/>
      <c r="V154" s="461"/>
      <c r="W154" s="281"/>
      <c r="X154" s="3562"/>
      <c r="Y154" s="255"/>
      <c r="Z154" s="461"/>
      <c r="AA154" s="461"/>
      <c r="AB154" s="461"/>
      <c r="AC154" s="3765"/>
      <c r="AD154" s="3775"/>
      <c r="AH154" s="259"/>
      <c r="AI154" s="466"/>
      <c r="AJ154" s="466"/>
      <c r="AK154" s="466"/>
      <c r="AL154" s="283"/>
      <c r="AM154" s="259"/>
      <c r="AN154" s="466"/>
      <c r="AO154" s="283"/>
    </row>
    <row r="155" spans="1:41">
      <c r="A155" s="262"/>
      <c r="B155" s="1356" t="s">
        <v>61</v>
      </c>
      <c r="C155" s="255"/>
      <c r="D155" s="461"/>
      <c r="E155" s="461"/>
      <c r="F155" s="461"/>
      <c r="G155" s="281"/>
      <c r="H155" s="255"/>
      <c r="I155" s="461"/>
      <c r="J155" s="461"/>
      <c r="K155" s="461"/>
      <c r="L155" s="461"/>
      <c r="M155" s="255"/>
      <c r="N155" s="461"/>
      <c r="O155" s="461"/>
      <c r="P155" s="461"/>
      <c r="Q155" s="281"/>
      <c r="R155" s="1174"/>
      <c r="S155" s="255"/>
      <c r="T155" s="461"/>
      <c r="U155" s="461"/>
      <c r="V155" s="461"/>
      <c r="W155" s="281"/>
      <c r="X155" s="3562"/>
      <c r="Y155" s="255"/>
      <c r="Z155" s="461"/>
      <c r="AA155" s="461"/>
      <c r="AB155" s="461"/>
      <c r="AC155" s="3765"/>
      <c r="AD155" s="3775"/>
      <c r="AH155" s="259"/>
      <c r="AI155" s="466"/>
      <c r="AJ155" s="466"/>
      <c r="AK155" s="466"/>
      <c r="AL155" s="283"/>
      <c r="AM155" s="259"/>
      <c r="AN155" s="466"/>
      <c r="AO155" s="283"/>
    </row>
    <row r="156" spans="1:41">
      <c r="A156" s="262"/>
      <c r="B156" s="1358" t="s">
        <v>565</v>
      </c>
      <c r="C156" s="259">
        <f t="shared" ref="C156:W156" si="58">SUM(C153:C155)</f>
        <v>0</v>
      </c>
      <c r="D156" s="466">
        <f t="shared" si="58"/>
        <v>0</v>
      </c>
      <c r="E156" s="466">
        <f t="shared" si="58"/>
        <v>0</v>
      </c>
      <c r="F156" s="466">
        <f t="shared" si="58"/>
        <v>0</v>
      </c>
      <c r="G156" s="283">
        <f t="shared" si="58"/>
        <v>0</v>
      </c>
      <c r="H156" s="259">
        <f t="shared" si="58"/>
        <v>0</v>
      </c>
      <c r="I156" s="466">
        <f t="shared" si="58"/>
        <v>0</v>
      </c>
      <c r="J156" s="466">
        <f t="shared" si="58"/>
        <v>0</v>
      </c>
      <c r="K156" s="466">
        <f t="shared" si="58"/>
        <v>0</v>
      </c>
      <c r="L156" s="466">
        <f t="shared" si="58"/>
        <v>0</v>
      </c>
      <c r="M156" s="259">
        <f t="shared" si="58"/>
        <v>0</v>
      </c>
      <c r="N156" s="466">
        <f t="shared" si="58"/>
        <v>0</v>
      </c>
      <c r="O156" s="466">
        <f t="shared" si="58"/>
        <v>0</v>
      </c>
      <c r="P156" s="466">
        <f t="shared" si="58"/>
        <v>0</v>
      </c>
      <c r="Q156" s="283">
        <f t="shared" si="58"/>
        <v>0</v>
      </c>
      <c r="R156" s="1174"/>
      <c r="S156" s="259">
        <f t="shared" si="58"/>
        <v>0</v>
      </c>
      <c r="T156" s="466">
        <f t="shared" si="58"/>
        <v>0</v>
      </c>
      <c r="U156" s="466">
        <f t="shared" si="58"/>
        <v>0</v>
      </c>
      <c r="V156" s="466">
        <f t="shared" si="58"/>
        <v>0</v>
      </c>
      <c r="W156" s="283">
        <f t="shared" si="58"/>
        <v>0</v>
      </c>
      <c r="X156" s="3562"/>
      <c r="Y156" s="259">
        <f t="shared" ref="Y156:AC156" si="59">SUM(Y153:Y155)</f>
        <v>0</v>
      </c>
      <c r="Z156" s="466">
        <f t="shared" si="59"/>
        <v>0</v>
      </c>
      <c r="AA156" s="466">
        <f t="shared" si="59"/>
        <v>0</v>
      </c>
      <c r="AB156" s="466">
        <f t="shared" si="59"/>
        <v>0</v>
      </c>
      <c r="AC156" s="3766">
        <f t="shared" si="59"/>
        <v>0</v>
      </c>
      <c r="AD156" s="3775"/>
      <c r="AH156" s="259">
        <f t="shared" ref="AH156:AO156" si="60">SUM(AH153:AH155)</f>
        <v>0</v>
      </c>
      <c r="AI156" s="466">
        <f t="shared" si="60"/>
        <v>0</v>
      </c>
      <c r="AJ156" s="466">
        <f t="shared" si="60"/>
        <v>0</v>
      </c>
      <c r="AK156" s="466">
        <f t="shared" si="60"/>
        <v>0</v>
      </c>
      <c r="AL156" s="283">
        <f t="shared" si="60"/>
        <v>0</v>
      </c>
      <c r="AM156" s="259">
        <f t="shared" si="60"/>
        <v>0</v>
      </c>
      <c r="AN156" s="466">
        <f t="shared" si="60"/>
        <v>0</v>
      </c>
      <c r="AO156" s="283">
        <f t="shared" si="60"/>
        <v>0</v>
      </c>
    </row>
    <row r="157" spans="1:41">
      <c r="A157" s="262"/>
      <c r="B157" s="1360" t="s">
        <v>566</v>
      </c>
      <c r="C157" s="298"/>
      <c r="D157" s="288"/>
      <c r="E157" s="288"/>
      <c r="F157" s="288"/>
      <c r="G157" s="299"/>
      <c r="H157" s="298"/>
      <c r="I157" s="288"/>
      <c r="J157" s="288"/>
      <c r="K157" s="288"/>
      <c r="L157" s="288"/>
      <c r="M157" s="298"/>
      <c r="N157" s="288"/>
      <c r="O157" s="288"/>
      <c r="P157" s="288"/>
      <c r="Q157" s="299"/>
      <c r="R157" s="1174"/>
      <c r="S157" s="298"/>
      <c r="T157" s="288"/>
      <c r="U157" s="288"/>
      <c r="V157" s="288"/>
      <c r="W157" s="299"/>
      <c r="X157" s="3561"/>
      <c r="Y157" s="298"/>
      <c r="Z157" s="288"/>
      <c r="AA157" s="288"/>
      <c r="AB157" s="288"/>
      <c r="AC157" s="288"/>
      <c r="AD157" s="3774"/>
      <c r="AH157" s="298"/>
      <c r="AI157" s="288"/>
      <c r="AJ157" s="288"/>
      <c r="AK157" s="288"/>
      <c r="AL157" s="299"/>
      <c r="AM157" s="298"/>
      <c r="AN157" s="288"/>
      <c r="AO157" s="299"/>
    </row>
    <row r="158" spans="1:41">
      <c r="A158" s="262"/>
      <c r="B158" s="1361" t="s">
        <v>57</v>
      </c>
      <c r="C158" s="302">
        <v>1665643.9751360891</v>
      </c>
      <c r="D158" s="284">
        <v>1859380.4671772602</v>
      </c>
      <c r="E158" s="284">
        <v>2247740.5560928662</v>
      </c>
      <c r="F158" s="284">
        <v>2488661.9846567241</v>
      </c>
      <c r="G158" s="960">
        <v>2874151.3921326315</v>
      </c>
      <c r="H158" s="302">
        <v>2114744.1936271326</v>
      </c>
      <c r="I158" s="284">
        <v>1897780.3298700526</v>
      </c>
      <c r="J158" s="284">
        <v>2627879.0968396775</v>
      </c>
      <c r="K158" s="284">
        <v>3554598.2027831902</v>
      </c>
      <c r="L158" s="284">
        <v>2651840.5712578464</v>
      </c>
      <c r="M158" s="302">
        <v>2735925.9900896009</v>
      </c>
      <c r="N158" s="284">
        <v>2828054.4048760566</v>
      </c>
      <c r="O158" s="284">
        <v>2929229.1491029514</v>
      </c>
      <c r="P158" s="284">
        <v>3042709.9791011559</v>
      </c>
      <c r="Q158" s="960">
        <v>3000098.5231677028</v>
      </c>
      <c r="R158" s="1174"/>
      <c r="S158" s="302">
        <v>2500430.6108993618</v>
      </c>
      <c r="T158" s="284">
        <v>2701413.0066920738</v>
      </c>
      <c r="U158" s="284">
        <v>2800479.8262984967</v>
      </c>
      <c r="V158" s="284">
        <v>2787880.5254064598</v>
      </c>
      <c r="W158" s="960">
        <v>2606679.2586656702</v>
      </c>
      <c r="X158" s="3562">
        <v>-0.16879335396808426</v>
      </c>
      <c r="Y158" s="302">
        <v>3826710.2634806428</v>
      </c>
      <c r="Z158" s="284">
        <v>3818633.2541464688</v>
      </c>
      <c r="AA158" s="284">
        <v>3904809.3886681832</v>
      </c>
      <c r="AB158" s="284">
        <v>3776014.1268428848</v>
      </c>
      <c r="AC158" s="3767">
        <v>3644637.3609172925</v>
      </c>
      <c r="AD158" s="3775">
        <v>-0.32280982252900803</v>
      </c>
      <c r="AH158" s="302">
        <f t="shared" ref="AH158:AO158" si="61">AH148+AH143+AH153</f>
        <v>0</v>
      </c>
      <c r="AI158" s="284">
        <f t="shared" si="61"/>
        <v>0</v>
      </c>
      <c r="AJ158" s="284">
        <f t="shared" si="61"/>
        <v>0</v>
      </c>
      <c r="AK158" s="284">
        <f t="shared" si="61"/>
        <v>0</v>
      </c>
      <c r="AL158" s="960">
        <f t="shared" si="61"/>
        <v>0</v>
      </c>
      <c r="AM158" s="302">
        <f t="shared" si="61"/>
        <v>0</v>
      </c>
      <c r="AN158" s="284">
        <f t="shared" si="61"/>
        <v>0</v>
      </c>
      <c r="AO158" s="960">
        <f t="shared" si="61"/>
        <v>0</v>
      </c>
    </row>
    <row r="159" spans="1:41">
      <c r="A159" s="262"/>
      <c r="B159" s="1361" t="s">
        <v>562</v>
      </c>
      <c r="C159" s="302">
        <v>2172511.8868965949</v>
      </c>
      <c r="D159" s="284">
        <v>2425203.8415807895</v>
      </c>
      <c r="E159" s="284">
        <v>2931744.808414015</v>
      </c>
      <c r="F159" s="284">
        <v>3245980.428496229</v>
      </c>
      <c r="G159" s="960">
        <v>3748777.1440702803</v>
      </c>
      <c r="H159" s="302">
        <v>2758276.6587470337</v>
      </c>
      <c r="I159" s="284">
        <v>2475289.0695170136</v>
      </c>
      <c r="J159" s="284">
        <v>3427562.3485173858</v>
      </c>
      <c r="K159" s="284">
        <v>4636289.0053120768</v>
      </c>
      <c r="L159" s="284">
        <v>3458815.4787049373</v>
      </c>
      <c r="M159" s="302">
        <v>3568488.718997323</v>
      </c>
      <c r="N159" s="284">
        <v>3688652.4990321072</v>
      </c>
      <c r="O159" s="284">
        <v>3820615.4741743146</v>
      </c>
      <c r="P159" s="284">
        <v>3968629.3689718796</v>
      </c>
      <c r="Q159" s="960">
        <v>3913050.9284916231</v>
      </c>
      <c r="R159" s="1174"/>
      <c r="S159" s="302">
        <v>3261330.33567101</v>
      </c>
      <c r="T159" s="284">
        <v>3523473.1767790252</v>
      </c>
      <c r="U159" s="284">
        <v>3652686.7700827261</v>
      </c>
      <c r="V159" s="284">
        <v>3636253.4077537204</v>
      </c>
      <c r="W159" s="960">
        <v>3399911.2411253918</v>
      </c>
      <c r="X159" s="3562">
        <v>-0.16879335396808437</v>
      </c>
      <c r="Y159" s="302">
        <v>4991206.800025586</v>
      </c>
      <c r="Z159" s="284">
        <v>4980671.8963781036</v>
      </c>
      <c r="AA159" s="284">
        <v>5093072.0727722989</v>
      </c>
      <c r="AB159" s="284">
        <v>4925083.4500724459</v>
      </c>
      <c r="AC159" s="3767">
        <v>4753727.752278707</v>
      </c>
      <c r="AD159" s="3775">
        <v>-0.32280982252900803</v>
      </c>
      <c r="AH159" s="302">
        <f t="shared" ref="AH159:AO159" si="62">AH149+AH144+AH154</f>
        <v>0</v>
      </c>
      <c r="AI159" s="284">
        <f t="shared" si="62"/>
        <v>0</v>
      </c>
      <c r="AJ159" s="284">
        <f t="shared" si="62"/>
        <v>0</v>
      </c>
      <c r="AK159" s="284">
        <f t="shared" si="62"/>
        <v>0</v>
      </c>
      <c r="AL159" s="960">
        <f t="shared" si="62"/>
        <v>0</v>
      </c>
      <c r="AM159" s="302">
        <f t="shared" si="62"/>
        <v>0</v>
      </c>
      <c r="AN159" s="284">
        <f t="shared" si="62"/>
        <v>0</v>
      </c>
      <c r="AO159" s="960">
        <f t="shared" si="62"/>
        <v>0</v>
      </c>
    </row>
    <row r="160" spans="1:41">
      <c r="A160" s="262"/>
      <c r="B160" s="1361" t="s">
        <v>61</v>
      </c>
      <c r="C160" s="302">
        <v>500698.02877303382</v>
      </c>
      <c r="D160" s="284">
        <v>558935.85217013233</v>
      </c>
      <c r="E160" s="284">
        <v>675678.16557974124</v>
      </c>
      <c r="F160" s="284">
        <v>748099.93528070708</v>
      </c>
      <c r="G160" s="960">
        <v>863979.31245691422</v>
      </c>
      <c r="H160" s="302">
        <v>635699.02386961924</v>
      </c>
      <c r="I160" s="284">
        <v>570478.97653670993</v>
      </c>
      <c r="J160" s="284">
        <v>789949.05470959574</v>
      </c>
      <c r="K160" s="284">
        <v>1068523.8501032598</v>
      </c>
      <c r="L160" s="284">
        <v>797151.95231962809</v>
      </c>
      <c r="M160" s="302">
        <v>822428.30434087827</v>
      </c>
      <c r="N160" s="284">
        <v>850122.40726211888</v>
      </c>
      <c r="O160" s="284">
        <v>880535.86641198501</v>
      </c>
      <c r="P160" s="284">
        <v>914648.57520918525</v>
      </c>
      <c r="Q160" s="960">
        <v>901839.43213448592</v>
      </c>
      <c r="R160" s="1174"/>
      <c r="S160" s="302">
        <v>751637.62283520005</v>
      </c>
      <c r="T160" s="284">
        <v>812053.58860800008</v>
      </c>
      <c r="U160" s="284">
        <v>841833.39872000006</v>
      </c>
      <c r="V160" s="284">
        <v>838046.00764800003</v>
      </c>
      <c r="W160" s="960">
        <v>783576.31399040006</v>
      </c>
      <c r="X160" s="3562">
        <v>-0.16879335396808415</v>
      </c>
      <c r="Y160" s="302">
        <v>1150321.6258767114</v>
      </c>
      <c r="Z160" s="284">
        <v>1147893.650443563</v>
      </c>
      <c r="AA160" s="284">
        <v>1173798.478441861</v>
      </c>
      <c r="AB160" s="284">
        <v>1135082.201329902</v>
      </c>
      <c r="AC160" s="3767">
        <v>1095589.9156389304</v>
      </c>
      <c r="AD160" s="3775">
        <v>-0.32280982252900803</v>
      </c>
      <c r="AH160" s="302">
        <f t="shared" ref="AH160:AO160" si="63">AH150+AH145+AH155</f>
        <v>0</v>
      </c>
      <c r="AI160" s="284">
        <f t="shared" si="63"/>
        <v>0</v>
      </c>
      <c r="AJ160" s="284">
        <f t="shared" si="63"/>
        <v>0</v>
      </c>
      <c r="AK160" s="284">
        <f t="shared" si="63"/>
        <v>0</v>
      </c>
      <c r="AL160" s="960">
        <f t="shared" si="63"/>
        <v>0</v>
      </c>
      <c r="AM160" s="302">
        <f t="shared" si="63"/>
        <v>0</v>
      </c>
      <c r="AN160" s="284">
        <f t="shared" si="63"/>
        <v>0</v>
      </c>
      <c r="AO160" s="960">
        <f t="shared" si="63"/>
        <v>0</v>
      </c>
    </row>
    <row r="161" spans="1:41">
      <c r="A161" s="262"/>
      <c r="B161" s="1362" t="s">
        <v>566</v>
      </c>
      <c r="C161" s="311">
        <v>4338853.8908057176</v>
      </c>
      <c r="D161" s="312">
        <v>4843520.1609281823</v>
      </c>
      <c r="E161" s="312">
        <v>5855163.5300866226</v>
      </c>
      <c r="F161" s="312">
        <v>6482742.3484336603</v>
      </c>
      <c r="G161" s="313">
        <v>7486907.8486598255</v>
      </c>
      <c r="H161" s="311">
        <v>5508719.876243785</v>
      </c>
      <c r="I161" s="312">
        <v>4943548.3759237761</v>
      </c>
      <c r="J161" s="312">
        <v>6845390.5000666594</v>
      </c>
      <c r="K161" s="312">
        <v>9259411.0581985265</v>
      </c>
      <c r="L161" s="312">
        <v>6907808.0022824109</v>
      </c>
      <c r="M161" s="311">
        <v>7126843.0134278024</v>
      </c>
      <c r="N161" s="312">
        <v>7366829.3111702818</v>
      </c>
      <c r="O161" s="312">
        <v>7630380.4896892505</v>
      </c>
      <c r="P161" s="312">
        <v>7925987.923282221</v>
      </c>
      <c r="Q161" s="313">
        <v>7814988.8837938113</v>
      </c>
      <c r="R161" s="1174"/>
      <c r="S161" s="311">
        <v>6513398.5694055725</v>
      </c>
      <c r="T161" s="312">
        <v>7036939.772079099</v>
      </c>
      <c r="U161" s="312">
        <v>7294999.9951012228</v>
      </c>
      <c r="V161" s="312">
        <v>7262179.9408081807</v>
      </c>
      <c r="W161" s="313">
        <v>6790166.8137814617</v>
      </c>
      <c r="X161" s="3562">
        <v>-0.16879335396808415</v>
      </c>
      <c r="Y161" s="311">
        <v>9968238.6893829405</v>
      </c>
      <c r="Z161" s="312">
        <v>9947198.8009681348</v>
      </c>
      <c r="AA161" s="312">
        <v>10171679.939882342</v>
      </c>
      <c r="AB161" s="312">
        <v>9836179.778245233</v>
      </c>
      <c r="AC161" s="3768">
        <v>9493955.0288349316</v>
      </c>
      <c r="AD161" s="3775">
        <v>-0.32280982252900803</v>
      </c>
      <c r="AH161" s="311">
        <f>SUM(AH158:AH160)</f>
        <v>0</v>
      </c>
      <c r="AI161" s="312">
        <f t="shared" ref="AI161:AO161" si="64">SUM(AI158:AI160)</f>
        <v>0</v>
      </c>
      <c r="AJ161" s="312">
        <f t="shared" si="64"/>
        <v>0</v>
      </c>
      <c r="AK161" s="312">
        <f t="shared" si="64"/>
        <v>0</v>
      </c>
      <c r="AL161" s="313">
        <f t="shared" si="64"/>
        <v>0</v>
      </c>
      <c r="AM161" s="311">
        <f t="shared" si="64"/>
        <v>0</v>
      </c>
      <c r="AN161" s="312">
        <f t="shared" si="64"/>
        <v>0</v>
      </c>
      <c r="AO161" s="313">
        <f t="shared" si="64"/>
        <v>0</v>
      </c>
    </row>
    <row r="162" spans="1:41">
      <c r="A162" s="262"/>
      <c r="B162" s="1359" t="s">
        <v>567</v>
      </c>
      <c r="C162" s="305">
        <v>855838.20101820608</v>
      </c>
      <c r="D162" s="291">
        <v>1056794.4229856774</v>
      </c>
      <c r="E162" s="291">
        <v>1066843.6744810692</v>
      </c>
      <c r="F162" s="291">
        <v>1234316.9489955183</v>
      </c>
      <c r="G162" s="961">
        <v>1830511.5750306263</v>
      </c>
      <c r="H162" s="305">
        <v>1777565.026605411</v>
      </c>
      <c r="I162" s="291">
        <v>1735670.9921339843</v>
      </c>
      <c r="J162" s="291">
        <v>1164322.7811741785</v>
      </c>
      <c r="K162" s="291">
        <v>714265.99604968494</v>
      </c>
      <c r="L162" s="291">
        <v>518004.69674110995</v>
      </c>
      <c r="M162" s="305">
        <v>495960.42778645799</v>
      </c>
      <c r="N162" s="291">
        <v>544656.40125539491</v>
      </c>
      <c r="O162" s="291">
        <v>572928.03592616541</v>
      </c>
      <c r="P162" s="291">
        <v>634891.26909013733</v>
      </c>
      <c r="Q162" s="961">
        <v>634886.96983397205</v>
      </c>
      <c r="R162" s="1174"/>
      <c r="S162" s="305"/>
      <c r="T162" s="291"/>
      <c r="U162" s="291"/>
      <c r="V162" s="291"/>
      <c r="W162" s="961"/>
      <c r="X162" s="3562"/>
      <c r="Y162" s="305"/>
      <c r="Z162" s="291"/>
      <c r="AA162" s="291"/>
      <c r="AB162" s="291"/>
      <c r="AC162" s="3769"/>
      <c r="AD162" s="3775"/>
      <c r="AH162" s="1638"/>
      <c r="AI162" s="1639"/>
      <c r="AJ162" s="1639"/>
      <c r="AK162" s="1639"/>
      <c r="AL162" s="1640"/>
      <c r="AM162" s="1638"/>
      <c r="AN162" s="1639"/>
      <c r="AO162" s="1640"/>
    </row>
    <row r="163" spans="1:41">
      <c r="A163" s="262"/>
      <c r="B163" s="310" t="s">
        <v>151</v>
      </c>
      <c r="C163" s="305"/>
      <c r="D163" s="291"/>
      <c r="E163" s="291"/>
      <c r="F163" s="291"/>
      <c r="G163" s="961"/>
      <c r="H163" s="305"/>
      <c r="I163" s="291"/>
      <c r="J163" s="291"/>
      <c r="K163" s="291"/>
      <c r="L163" s="291"/>
      <c r="M163" s="305"/>
      <c r="N163" s="291"/>
      <c r="O163" s="291"/>
      <c r="P163" s="291"/>
      <c r="Q163" s="961"/>
      <c r="R163" s="1174"/>
      <c r="S163" s="305"/>
      <c r="T163" s="291"/>
      <c r="U163" s="291"/>
      <c r="V163" s="291"/>
      <c r="W163" s="961"/>
      <c r="X163" s="3562"/>
      <c r="Y163" s="305"/>
      <c r="Z163" s="291"/>
      <c r="AA163" s="291"/>
      <c r="AB163" s="291"/>
      <c r="AC163" s="3769"/>
      <c r="AD163" s="3775"/>
      <c r="AH163" s="1638"/>
      <c r="AI163" s="1639"/>
      <c r="AJ163" s="1639"/>
      <c r="AK163" s="1639"/>
      <c r="AL163" s="1640"/>
      <c r="AM163" s="1638"/>
      <c r="AN163" s="1639"/>
      <c r="AO163" s="1640"/>
    </row>
    <row r="164" spans="1:41" ht="25.5">
      <c r="A164" s="262"/>
      <c r="B164" s="501" t="str">
        <f>CONCATENATE("Tottal Gross expenditure on new ", B26, " connections")</f>
        <v>Tottal Gross expenditure on new New medium density / high rise connections</v>
      </c>
      <c r="C164" s="306">
        <v>5194692.0918239234</v>
      </c>
      <c r="D164" s="286">
        <v>5900314.5839138599</v>
      </c>
      <c r="E164" s="286">
        <v>6922007.2045676913</v>
      </c>
      <c r="F164" s="286">
        <v>7717059.2974291788</v>
      </c>
      <c r="G164" s="307">
        <v>9317419.4236904513</v>
      </c>
      <c r="H164" s="306">
        <v>7286284.9028491955</v>
      </c>
      <c r="I164" s="286">
        <v>6679219.3680577604</v>
      </c>
      <c r="J164" s="286">
        <v>8009713.2812408376</v>
      </c>
      <c r="K164" s="286">
        <v>9973677.0542482119</v>
      </c>
      <c r="L164" s="286">
        <v>7425812.6990235206</v>
      </c>
      <c r="M164" s="306">
        <v>7622803.4412142606</v>
      </c>
      <c r="N164" s="286">
        <v>7911485.7124256771</v>
      </c>
      <c r="O164" s="286">
        <v>8203308.5256154155</v>
      </c>
      <c r="P164" s="286">
        <v>8560879.1923723575</v>
      </c>
      <c r="Q164" s="307">
        <v>8449875.8536277842</v>
      </c>
      <c r="R164" s="1174"/>
      <c r="S164" s="306">
        <v>6513398.5694055725</v>
      </c>
      <c r="T164" s="286">
        <v>7036939.772079099</v>
      </c>
      <c r="U164" s="286">
        <v>7294999.9951012228</v>
      </c>
      <c r="V164" s="286">
        <v>7262179.9408081807</v>
      </c>
      <c r="W164" s="307">
        <v>6790166.8137814617</v>
      </c>
      <c r="X164" s="3563">
        <v>4.4073843249980982E-3</v>
      </c>
      <c r="Y164" s="306">
        <v>9968238.6893829405</v>
      </c>
      <c r="Z164" s="286">
        <v>9947198.8009681348</v>
      </c>
      <c r="AA164" s="286">
        <v>10171679.939882342</v>
      </c>
      <c r="AB164" s="286">
        <v>9836179.778245233</v>
      </c>
      <c r="AC164" s="3770">
        <v>9493955.0288349316</v>
      </c>
      <c r="AD164" s="3776">
        <v>-0.20321941178897041</v>
      </c>
      <c r="AH164" s="306">
        <f>SUM(AH161,AH162,AH163)</f>
        <v>0</v>
      </c>
      <c r="AI164" s="286">
        <f t="shared" ref="AI164:AO164" si="65">SUM(AI161,AI162,AI163)</f>
        <v>0</v>
      </c>
      <c r="AJ164" s="286">
        <f t="shared" si="65"/>
        <v>0</v>
      </c>
      <c r="AK164" s="286">
        <f t="shared" si="65"/>
        <v>0</v>
      </c>
      <c r="AL164" s="307">
        <f t="shared" si="65"/>
        <v>0</v>
      </c>
      <c r="AM164" s="306">
        <f t="shared" si="65"/>
        <v>0</v>
      </c>
      <c r="AN164" s="286">
        <f t="shared" si="65"/>
        <v>0</v>
      </c>
      <c r="AO164" s="307">
        <f t="shared" si="65"/>
        <v>0</v>
      </c>
    </row>
    <row r="165" spans="1:41">
      <c r="A165" s="262"/>
      <c r="B165" s="1348" t="s">
        <v>35</v>
      </c>
      <c r="C165" s="308"/>
      <c r="D165" s="287"/>
      <c r="E165" s="287"/>
      <c r="F165" s="287"/>
      <c r="G165" s="309"/>
      <c r="H165" s="308"/>
      <c r="I165" s="287"/>
      <c r="J165" s="287"/>
      <c r="K165" s="287"/>
      <c r="L165" s="287"/>
      <c r="M165" s="308"/>
      <c r="N165" s="287"/>
      <c r="O165" s="287"/>
      <c r="P165" s="287"/>
      <c r="Q165" s="309"/>
      <c r="R165" s="1174"/>
      <c r="S165" s="308">
        <v>540000</v>
      </c>
      <c r="T165" s="287">
        <v>583000</v>
      </c>
      <c r="U165" s="287">
        <v>605000</v>
      </c>
      <c r="V165" s="287">
        <v>598000</v>
      </c>
      <c r="W165" s="309">
        <v>576000</v>
      </c>
      <c r="X165" s="3564"/>
      <c r="Y165" s="308">
        <v>4700773.1365924198</v>
      </c>
      <c r="Z165" s="287">
        <v>4621956.3235320803</v>
      </c>
      <c r="AA165" s="287">
        <v>4882598.6398708699</v>
      </c>
      <c r="AB165" s="287">
        <v>5248589.5982537596</v>
      </c>
      <c r="AC165" s="3771">
        <v>5607551.0018573096</v>
      </c>
      <c r="AD165" s="3777"/>
      <c r="AH165" s="302"/>
      <c r="AI165" s="284"/>
      <c r="AJ165" s="284"/>
      <c r="AK165" s="284"/>
      <c r="AL165" s="960"/>
      <c r="AM165" s="302"/>
      <c r="AN165" s="284"/>
      <c r="AO165" s="960"/>
    </row>
    <row r="166" spans="1:41" ht="26.25" thickBot="1">
      <c r="A166" s="262"/>
      <c r="B166" s="1353" t="str">
        <f>CONCATENATE("Total Net expenditure on new ", B26, " connections")</f>
        <v>Total Net expenditure on new New medium density / high rise connections</v>
      </c>
      <c r="C166" s="962">
        <v>5194692.0918239234</v>
      </c>
      <c r="D166" s="963">
        <v>5900314.5839138599</v>
      </c>
      <c r="E166" s="963">
        <v>6922007.2045676913</v>
      </c>
      <c r="F166" s="963">
        <v>7717059.2974291788</v>
      </c>
      <c r="G166" s="964">
        <v>9317419.4236904513</v>
      </c>
      <c r="H166" s="962">
        <v>7286284.9028491955</v>
      </c>
      <c r="I166" s="963">
        <v>6679219.3680577604</v>
      </c>
      <c r="J166" s="963">
        <v>8009713.2812408376</v>
      </c>
      <c r="K166" s="963">
        <v>9973677.0542482119</v>
      </c>
      <c r="L166" s="963">
        <v>7425812.6990235206</v>
      </c>
      <c r="M166" s="962">
        <v>7622803.4412142606</v>
      </c>
      <c r="N166" s="963">
        <v>7911485.7124256771</v>
      </c>
      <c r="O166" s="963">
        <v>8203308.5256154155</v>
      </c>
      <c r="P166" s="963">
        <v>8560879.1923723575</v>
      </c>
      <c r="Q166" s="964">
        <v>8449875.8536277842</v>
      </c>
      <c r="R166" s="1174"/>
      <c r="S166" s="962">
        <v>6512858.5694055725</v>
      </c>
      <c r="T166" s="963">
        <v>7036356.772079099</v>
      </c>
      <c r="U166" s="963">
        <v>7294394.9951012228</v>
      </c>
      <c r="V166" s="963">
        <v>7261581.9408081807</v>
      </c>
      <c r="W166" s="964">
        <v>6789590.8137814617</v>
      </c>
      <c r="X166" s="3563">
        <v>4.4909151560021954E-3</v>
      </c>
      <c r="Y166" s="962">
        <v>9963537.916246349</v>
      </c>
      <c r="Z166" s="963">
        <v>9942576.8446446024</v>
      </c>
      <c r="AA166" s="963">
        <v>10166797.341242472</v>
      </c>
      <c r="AB166" s="963">
        <v>9830931.1886469796</v>
      </c>
      <c r="AC166" s="3772">
        <v>9488347.4778330736</v>
      </c>
      <c r="AD166" s="3778">
        <v>-0.20281512739782359</v>
      </c>
      <c r="AH166" s="1633">
        <f>AH164-AH165</f>
        <v>0</v>
      </c>
      <c r="AI166" s="963">
        <f t="shared" ref="AI166:AO166" si="66">AI164-AI165</f>
        <v>0</v>
      </c>
      <c r="AJ166" s="963">
        <f t="shared" si="66"/>
        <v>0</v>
      </c>
      <c r="AK166" s="963">
        <f t="shared" si="66"/>
        <v>0</v>
      </c>
      <c r="AL166" s="964">
        <f t="shared" si="66"/>
        <v>0</v>
      </c>
      <c r="AM166" s="1633">
        <f t="shared" si="66"/>
        <v>0</v>
      </c>
      <c r="AN166" s="963">
        <f t="shared" si="66"/>
        <v>0</v>
      </c>
      <c r="AO166" s="964">
        <f t="shared" si="66"/>
        <v>0</v>
      </c>
    </row>
    <row r="167" spans="1:41" s="164" customFormat="1" ht="31.5" customHeight="1" thickBot="1">
      <c r="A167" s="741"/>
      <c r="B167" s="1383" t="s">
        <v>121</v>
      </c>
      <c r="C167" s="263"/>
      <c r="D167" s="1005"/>
      <c r="E167" s="1005"/>
      <c r="F167" s="1005"/>
      <c r="G167" s="1005"/>
      <c r="H167" s="1005"/>
      <c r="I167" s="1005"/>
      <c r="J167" s="1005"/>
      <c r="K167" s="1005"/>
      <c r="L167" s="1005"/>
      <c r="M167" s="1005"/>
      <c r="N167" s="1005"/>
      <c r="O167" s="1005"/>
      <c r="P167" s="1005"/>
      <c r="Q167" s="1006"/>
      <c r="R167" s="1174"/>
      <c r="S167" s="3982" t="s">
        <v>1787</v>
      </c>
      <c r="T167" s="3980"/>
      <c r="U167" s="3980"/>
      <c r="V167" s="3980"/>
      <c r="W167" s="3980"/>
      <c r="X167" s="3983" t="s">
        <v>1788</v>
      </c>
      <c r="Y167" s="3983"/>
      <c r="Z167" s="3983"/>
      <c r="AA167" s="3983"/>
      <c r="AB167" s="3984"/>
      <c r="AC167" s="1005"/>
      <c r="AD167" s="3568"/>
      <c r="AE167"/>
      <c r="AH167" s="1635"/>
      <c r="AI167" s="1636"/>
      <c r="AJ167" s="1636"/>
      <c r="AK167" s="1636"/>
      <c r="AL167" s="1636"/>
      <c r="AM167" s="1636"/>
      <c r="AN167" s="1636"/>
      <c r="AO167" s="1637"/>
    </row>
    <row r="168" spans="1:41" ht="13.5" thickBot="1">
      <c r="A168" s="1174"/>
      <c r="B168" s="1174"/>
      <c r="C168" s="1174">
        <f>C170*C66</f>
        <v>1691353.2027267164</v>
      </c>
      <c r="D168" s="1174"/>
      <c r="E168" s="1174"/>
      <c r="F168" s="1174"/>
      <c r="G168" s="1174"/>
      <c r="H168" s="1174"/>
      <c r="I168" s="1174"/>
      <c r="J168" s="1174"/>
      <c r="K168" s="1174"/>
      <c r="L168" s="1174"/>
      <c r="M168" s="1174"/>
      <c r="N168" s="1174"/>
      <c r="O168" s="1174"/>
      <c r="P168" s="1174"/>
      <c r="Q168" s="1174"/>
      <c r="R168" s="1174"/>
      <c r="S168" s="1174"/>
      <c r="T168" s="1174"/>
      <c r="U168" s="1174"/>
      <c r="V168" s="1174"/>
      <c r="W168" s="1174"/>
      <c r="X168" s="3566"/>
      <c r="Y168" s="1174"/>
      <c r="Z168" s="1174"/>
      <c r="AA168" s="1174"/>
      <c r="AB168" s="1174"/>
      <c r="AC168" s="1174"/>
      <c r="AD168" s="3566"/>
      <c r="AH168" s="1174"/>
      <c r="AI168" s="1174"/>
      <c r="AJ168" s="1174"/>
      <c r="AK168" s="1174"/>
      <c r="AL168" s="1174"/>
      <c r="AM168" s="1174"/>
      <c r="AN168" s="1174"/>
      <c r="AO168" s="1174"/>
    </row>
    <row r="169" spans="1:41" ht="16.5" thickBot="1">
      <c r="A169" s="833"/>
      <c r="B169" s="252" t="s">
        <v>428</v>
      </c>
      <c r="C169" s="269"/>
      <c r="D169" s="269"/>
      <c r="E169" s="269"/>
      <c r="F169" s="269"/>
      <c r="G169" s="269"/>
      <c r="H169" s="269"/>
      <c r="I169" s="269"/>
      <c r="J169" s="269"/>
      <c r="K169" s="269"/>
      <c r="L169" s="269"/>
      <c r="M169" s="269"/>
      <c r="N169" s="269"/>
      <c r="O169" s="269"/>
      <c r="P169" s="269"/>
      <c r="Q169" s="270"/>
      <c r="R169" s="1174"/>
      <c r="S169" s="252"/>
      <c r="T169" s="269"/>
      <c r="U169" s="269"/>
      <c r="V169" s="269"/>
      <c r="W169" s="269"/>
      <c r="X169" s="3567"/>
      <c r="Y169" s="269"/>
      <c r="Z169" s="269"/>
      <c r="AA169" s="269"/>
      <c r="AB169" s="269"/>
      <c r="AC169" s="269"/>
      <c r="AD169" s="3569"/>
      <c r="AH169" s="252"/>
      <c r="AI169" s="269"/>
      <c r="AJ169" s="269"/>
      <c r="AK169" s="269"/>
      <c r="AL169" s="269"/>
      <c r="AM169" s="269"/>
      <c r="AN169" s="269"/>
      <c r="AO169" s="270"/>
    </row>
    <row r="170" spans="1:41">
      <c r="A170" s="262"/>
      <c r="B170" s="293" t="s">
        <v>116</v>
      </c>
      <c r="C170" s="295">
        <v>173</v>
      </c>
      <c r="D170" s="296">
        <v>234</v>
      </c>
      <c r="E170" s="296">
        <v>248</v>
      </c>
      <c r="F170" s="296">
        <v>229</v>
      </c>
      <c r="G170" s="958">
        <v>285</v>
      </c>
      <c r="H170" s="295">
        <v>226</v>
      </c>
      <c r="I170" s="296">
        <v>252</v>
      </c>
      <c r="J170" s="296">
        <v>332</v>
      </c>
      <c r="K170" s="296">
        <v>275.00649597841584</v>
      </c>
      <c r="L170" s="296">
        <v>268.94896505648143</v>
      </c>
      <c r="M170" s="295">
        <v>277.36617416352158</v>
      </c>
      <c r="N170" s="296">
        <v>280.81457390664502</v>
      </c>
      <c r="O170" s="296">
        <v>284.8425342489333</v>
      </c>
      <c r="P170" s="296">
        <v>289.34898942175346</v>
      </c>
      <c r="Q170" s="958">
        <v>284.48525680429958</v>
      </c>
      <c r="R170" s="1174"/>
      <c r="S170" s="295">
        <v>335</v>
      </c>
      <c r="T170" s="296">
        <v>356</v>
      </c>
      <c r="U170" s="296">
        <v>376</v>
      </c>
      <c r="V170" s="296">
        <v>420</v>
      </c>
      <c r="W170" s="958">
        <v>432</v>
      </c>
      <c r="X170" s="3560">
        <v>-0.39082855653986448</v>
      </c>
      <c r="Y170" s="295">
        <v>192</v>
      </c>
      <c r="Z170" s="296">
        <v>200</v>
      </c>
      <c r="AA170" s="296">
        <v>203</v>
      </c>
      <c r="AB170" s="296">
        <v>199</v>
      </c>
      <c r="AC170" s="3764">
        <v>194</v>
      </c>
      <c r="AD170" s="3773">
        <v>0.37040026420536165</v>
      </c>
      <c r="AH170" s="1632">
        <f t="shared" ref="AH170:AO170" si="67">AH27</f>
        <v>0</v>
      </c>
      <c r="AI170" s="296">
        <f t="shared" si="67"/>
        <v>0</v>
      </c>
      <c r="AJ170" s="296">
        <f t="shared" si="67"/>
        <v>0</v>
      </c>
      <c r="AK170" s="296">
        <f t="shared" si="67"/>
        <v>0</v>
      </c>
      <c r="AL170" s="958">
        <f t="shared" si="67"/>
        <v>0</v>
      </c>
      <c r="AM170" s="1632">
        <f t="shared" si="67"/>
        <v>0</v>
      </c>
      <c r="AN170" s="296">
        <f t="shared" si="67"/>
        <v>0</v>
      </c>
      <c r="AO170" s="958">
        <f t="shared" si="67"/>
        <v>0</v>
      </c>
    </row>
    <row r="171" spans="1:41">
      <c r="A171" s="262"/>
      <c r="B171" s="1355" t="s">
        <v>558</v>
      </c>
      <c r="C171" s="298"/>
      <c r="D171" s="288"/>
      <c r="E171" s="288"/>
      <c r="F171" s="288"/>
      <c r="G171" s="299"/>
      <c r="H171" s="298"/>
      <c r="I171" s="288"/>
      <c r="J171" s="288"/>
      <c r="K171" s="288"/>
      <c r="L171" s="288"/>
      <c r="M171" s="298"/>
      <c r="N171" s="288"/>
      <c r="O171" s="288"/>
      <c r="P171" s="288"/>
      <c r="Q171" s="299"/>
      <c r="R171" s="1174"/>
      <c r="S171" s="298"/>
      <c r="T171" s="288"/>
      <c r="U171" s="288"/>
      <c r="V171" s="288"/>
      <c r="W171" s="299"/>
      <c r="X171" s="3561"/>
      <c r="Y171" s="298"/>
      <c r="Z171" s="288"/>
      <c r="AA171" s="288"/>
      <c r="AB171" s="288"/>
      <c r="AC171" s="288"/>
      <c r="AD171" s="3774"/>
      <c r="AH171" s="298"/>
      <c r="AI171" s="288"/>
      <c r="AJ171" s="288"/>
      <c r="AK171" s="288"/>
      <c r="AL171" s="299"/>
      <c r="AM171" s="298"/>
      <c r="AN171" s="288"/>
      <c r="AO171" s="299"/>
    </row>
    <row r="172" spans="1:41">
      <c r="A172" s="262"/>
      <c r="B172" s="1356" t="s">
        <v>57</v>
      </c>
      <c r="C172" s="255">
        <v>1691353.2027267164</v>
      </c>
      <c r="D172" s="461">
        <v>823906.99303633254</v>
      </c>
      <c r="E172" s="461">
        <v>645742.855463941</v>
      </c>
      <c r="F172" s="461">
        <v>1620772.8498828067</v>
      </c>
      <c r="G172" s="281">
        <v>2179859.4461495182</v>
      </c>
      <c r="H172" s="255">
        <v>2653028.4897086849</v>
      </c>
      <c r="I172" s="461">
        <v>2672215.296058639</v>
      </c>
      <c r="J172" s="461">
        <v>1493120.2173525081</v>
      </c>
      <c r="K172" s="461">
        <v>2510641.9549943567</v>
      </c>
      <c r="L172" s="461">
        <v>1717755.7250099692</v>
      </c>
      <c r="M172" s="255">
        <v>2382885.7483513192</v>
      </c>
      <c r="N172" s="461">
        <v>2421818.5040097213</v>
      </c>
      <c r="O172" s="461">
        <v>2473337.7471502214</v>
      </c>
      <c r="P172" s="461">
        <v>2532962.856502587</v>
      </c>
      <c r="Q172" s="281">
        <v>2529815.413964083</v>
      </c>
      <c r="R172" s="1174"/>
      <c r="S172" s="255">
        <v>1873402.4650983138</v>
      </c>
      <c r="T172" s="461">
        <v>2032080.1205422417</v>
      </c>
      <c r="U172" s="461">
        <v>2190556.8117224909</v>
      </c>
      <c r="V172" s="461">
        <v>2497668.4855309059</v>
      </c>
      <c r="W172" s="281">
        <v>2622121.272099568</v>
      </c>
      <c r="X172" s="3562">
        <v>-0.36156346724833943</v>
      </c>
      <c r="Y172" s="255">
        <v>1293723.9860303914</v>
      </c>
      <c r="Z172" s="461">
        <v>1331657.1172857368</v>
      </c>
      <c r="AA172" s="461">
        <v>1350927.2157317409</v>
      </c>
      <c r="AB172" s="461">
        <v>1335096.6413554566</v>
      </c>
      <c r="AC172" s="3765">
        <v>1317897.5392648601</v>
      </c>
      <c r="AD172" s="3775">
        <v>0.76900906556625293</v>
      </c>
      <c r="AH172" s="259"/>
      <c r="AI172" s="466"/>
      <c r="AJ172" s="466"/>
      <c r="AK172" s="466"/>
      <c r="AL172" s="283"/>
      <c r="AM172" s="259"/>
      <c r="AN172" s="466"/>
      <c r="AO172" s="283"/>
    </row>
    <row r="173" spans="1:41">
      <c r="A173" s="262"/>
      <c r="B173" s="1356" t="s">
        <v>60</v>
      </c>
      <c r="C173" s="255">
        <v>2206044.6246108492</v>
      </c>
      <c r="D173" s="461">
        <v>1074628.0494440098</v>
      </c>
      <c r="E173" s="461">
        <v>842247.23309153796</v>
      </c>
      <c r="F173" s="461">
        <v>2113986.1428322201</v>
      </c>
      <c r="G173" s="281">
        <v>2843206.9693265185</v>
      </c>
      <c r="H173" s="255">
        <v>3460364.8896196554</v>
      </c>
      <c r="I173" s="461">
        <v>3485390.3845568025</v>
      </c>
      <c r="J173" s="461">
        <v>1947487.8600626038</v>
      </c>
      <c r="K173" s="461">
        <v>3274649.0681004636</v>
      </c>
      <c r="L173" s="461">
        <v>2240481.6317748399</v>
      </c>
      <c r="M173" s="255">
        <v>3108015.69284142</v>
      </c>
      <c r="N173" s="461">
        <v>3158795.9770558826</v>
      </c>
      <c r="O173" s="461">
        <v>3225992.9109729924</v>
      </c>
      <c r="P173" s="461">
        <v>3303762.3867788529</v>
      </c>
      <c r="Q173" s="281">
        <v>3299657.1539498121</v>
      </c>
      <c r="R173" s="1174"/>
      <c r="S173" s="255">
        <v>2443492.8382789218</v>
      </c>
      <c r="T173" s="461">
        <v>2650457.2903363616</v>
      </c>
      <c r="U173" s="461">
        <v>2857159.6232025446</v>
      </c>
      <c r="V173" s="461">
        <v>3257727.6749069775</v>
      </c>
      <c r="W173" s="281">
        <v>3420052.3746710634</v>
      </c>
      <c r="X173" s="3562">
        <v>-0.36156346724833954</v>
      </c>
      <c r="Y173" s="255">
        <v>1687413.8651296296</v>
      </c>
      <c r="Z173" s="461">
        <v>1736890.3317633311</v>
      </c>
      <c r="AA173" s="461">
        <v>1762024.4652039369</v>
      </c>
      <c r="AB173" s="461">
        <v>1741376.5287167483</v>
      </c>
      <c r="AC173" s="3765">
        <v>1718943.6113024994</v>
      </c>
      <c r="AD173" s="3775">
        <v>0.76900906556625315</v>
      </c>
      <c r="AH173" s="259"/>
      <c r="AI173" s="466"/>
      <c r="AJ173" s="466"/>
      <c r="AK173" s="466"/>
      <c r="AL173" s="283"/>
      <c r="AM173" s="259"/>
      <c r="AN173" s="466"/>
      <c r="AO173" s="283"/>
    </row>
    <row r="174" spans="1:41">
      <c r="A174" s="262"/>
      <c r="B174" s="1356" t="s">
        <v>61</v>
      </c>
      <c r="C174" s="255">
        <v>508426.30670520873</v>
      </c>
      <c r="D174" s="461">
        <v>247669.13786117127</v>
      </c>
      <c r="E174" s="461">
        <v>194112.41516882309</v>
      </c>
      <c r="F174" s="461">
        <v>487209.62170734571</v>
      </c>
      <c r="G174" s="281">
        <v>655272.88182948297</v>
      </c>
      <c r="H174" s="255">
        <v>797509.04449271958</v>
      </c>
      <c r="I174" s="461">
        <v>803276.66125913372</v>
      </c>
      <c r="J174" s="461">
        <v>448836.82270005089</v>
      </c>
      <c r="K174" s="461">
        <v>754707.18628081563</v>
      </c>
      <c r="L174" s="461">
        <v>516362.99129038898</v>
      </c>
      <c r="M174" s="255">
        <v>716303.25255634543</v>
      </c>
      <c r="N174" s="461">
        <v>728006.56629196624</v>
      </c>
      <c r="O174" s="461">
        <v>743493.41934663476</v>
      </c>
      <c r="P174" s="461">
        <v>761416.92230630352</v>
      </c>
      <c r="Q174" s="281">
        <v>760470.79078106175</v>
      </c>
      <c r="R174" s="1174"/>
      <c r="S174" s="255">
        <v>563150.91062400001</v>
      </c>
      <c r="T174" s="461">
        <v>610849.93303040008</v>
      </c>
      <c r="U174" s="461">
        <v>658488.54492160003</v>
      </c>
      <c r="V174" s="461">
        <v>750807.31891200016</v>
      </c>
      <c r="W174" s="281">
        <v>788218.23375360004</v>
      </c>
      <c r="X174" s="3562">
        <v>-0.36156346724833943</v>
      </c>
      <c r="Y174" s="255">
        <v>388897.66315690847</v>
      </c>
      <c r="Z174" s="461">
        <v>400300.48652628332</v>
      </c>
      <c r="AA174" s="461">
        <v>406093.14116929506</v>
      </c>
      <c r="AB174" s="461">
        <v>401334.41871547489</v>
      </c>
      <c r="AC174" s="3765">
        <v>396164.31235302472</v>
      </c>
      <c r="AD174" s="3775">
        <v>0.6960155751584769</v>
      </c>
      <c r="AH174" s="259"/>
      <c r="AI174" s="466"/>
      <c r="AJ174" s="466"/>
      <c r="AK174" s="466"/>
      <c r="AL174" s="283"/>
      <c r="AM174" s="259"/>
      <c r="AN174" s="466"/>
      <c r="AO174" s="283"/>
    </row>
    <row r="175" spans="1:41">
      <c r="A175" s="262"/>
      <c r="B175" s="1358" t="s">
        <v>563</v>
      </c>
      <c r="C175" s="259">
        <v>4405824.1340427743</v>
      </c>
      <c r="D175" s="466">
        <v>2146204.1803415138</v>
      </c>
      <c r="E175" s="466">
        <v>1682102.5037243022</v>
      </c>
      <c r="F175" s="466">
        <v>4221968.6144223725</v>
      </c>
      <c r="G175" s="283">
        <v>5678339.2973055206</v>
      </c>
      <c r="H175" s="259">
        <v>6910902.42382106</v>
      </c>
      <c r="I175" s="466">
        <v>6960882.3418745752</v>
      </c>
      <c r="J175" s="466">
        <v>3889444.9001151631</v>
      </c>
      <c r="K175" s="466">
        <v>6539998.2093756357</v>
      </c>
      <c r="L175" s="466">
        <v>4474600.348075198</v>
      </c>
      <c r="M175" s="259">
        <v>6207204.6937490841</v>
      </c>
      <c r="N175" s="466">
        <v>6308621.0473575704</v>
      </c>
      <c r="O175" s="466">
        <v>6442824.0774698481</v>
      </c>
      <c r="P175" s="466">
        <v>6598142.1655877437</v>
      </c>
      <c r="Q175" s="283">
        <v>6589943.3586949576</v>
      </c>
      <c r="R175" s="1174"/>
      <c r="S175" s="259">
        <v>4880046.2140012356</v>
      </c>
      <c r="T175" s="466">
        <v>5293387.3439090038</v>
      </c>
      <c r="U175" s="466">
        <v>5706204.9798466358</v>
      </c>
      <c r="V175" s="466">
        <v>6506203.4793498842</v>
      </c>
      <c r="W175" s="283">
        <v>6830391.8805242321</v>
      </c>
      <c r="X175" s="3562">
        <v>-0.36156346724833954</v>
      </c>
      <c r="Y175" s="259">
        <v>3370035.5143169295</v>
      </c>
      <c r="Z175" s="466">
        <v>3468847.9355753511</v>
      </c>
      <c r="AA175" s="466">
        <v>3519044.8221049733</v>
      </c>
      <c r="AB175" s="466">
        <v>3477807.5887876796</v>
      </c>
      <c r="AC175" s="3766">
        <v>3433005.462920384</v>
      </c>
      <c r="AD175" s="3775">
        <v>0.76058571283757925</v>
      </c>
      <c r="AH175" s="259">
        <f t="shared" ref="AH175:AO175" si="68">SUM(AH172:AH174)</f>
        <v>0</v>
      </c>
      <c r="AI175" s="466">
        <f t="shared" si="68"/>
        <v>0</v>
      </c>
      <c r="AJ175" s="466">
        <f t="shared" si="68"/>
        <v>0</v>
      </c>
      <c r="AK175" s="466">
        <f t="shared" si="68"/>
        <v>0</v>
      </c>
      <c r="AL175" s="283">
        <f t="shared" si="68"/>
        <v>0</v>
      </c>
      <c r="AM175" s="259">
        <f t="shared" si="68"/>
        <v>0</v>
      </c>
      <c r="AN175" s="466">
        <f t="shared" si="68"/>
        <v>0</v>
      </c>
      <c r="AO175" s="283">
        <f t="shared" si="68"/>
        <v>0</v>
      </c>
    </row>
    <row r="176" spans="1:41">
      <c r="A176" s="262"/>
      <c r="B176" s="1354" t="s">
        <v>559</v>
      </c>
      <c r="C176" s="298"/>
      <c r="D176" s="288"/>
      <c r="E176" s="288"/>
      <c r="F176" s="288"/>
      <c r="G176" s="299"/>
      <c r="H176" s="298"/>
      <c r="I176" s="288"/>
      <c r="J176" s="288"/>
      <c r="K176" s="288"/>
      <c r="L176" s="288"/>
      <c r="M176" s="298"/>
      <c r="N176" s="288"/>
      <c r="O176" s="288"/>
      <c r="P176" s="288"/>
      <c r="Q176" s="299"/>
      <c r="R176" s="1174"/>
      <c r="S176" s="298"/>
      <c r="T176" s="288"/>
      <c r="U176" s="288"/>
      <c r="V176" s="288"/>
      <c r="W176" s="299"/>
      <c r="X176" s="3561"/>
      <c r="Y176" s="298"/>
      <c r="Z176" s="288"/>
      <c r="AA176" s="288"/>
      <c r="AB176" s="288"/>
      <c r="AC176" s="288"/>
      <c r="AD176" s="3774"/>
      <c r="AH176" s="298"/>
      <c r="AI176" s="288"/>
      <c r="AJ176" s="288"/>
      <c r="AK176" s="288"/>
      <c r="AL176" s="299"/>
      <c r="AM176" s="298"/>
      <c r="AN176" s="288"/>
      <c r="AO176" s="299"/>
    </row>
    <row r="177" spans="1:41">
      <c r="A177" s="262"/>
      <c r="B177" s="294" t="s">
        <v>57</v>
      </c>
      <c r="C177" s="255"/>
      <c r="D177" s="461"/>
      <c r="E177" s="461"/>
      <c r="F177" s="461"/>
      <c r="G177" s="281"/>
      <c r="H177" s="255"/>
      <c r="I177" s="461"/>
      <c r="J177" s="461"/>
      <c r="K177" s="461"/>
      <c r="L177" s="461"/>
      <c r="M177" s="255"/>
      <c r="N177" s="461"/>
      <c r="O177" s="461"/>
      <c r="P177" s="461"/>
      <c r="Q177" s="281"/>
      <c r="R177" s="1174"/>
      <c r="S177" s="255"/>
      <c r="T177" s="461"/>
      <c r="U177" s="461"/>
      <c r="V177" s="461"/>
      <c r="W177" s="281"/>
      <c r="X177" s="3562"/>
      <c r="Y177" s="255"/>
      <c r="Z177" s="461"/>
      <c r="AA177" s="461"/>
      <c r="AB177" s="461"/>
      <c r="AC177" s="3765"/>
      <c r="AD177" s="3775"/>
      <c r="AH177" s="259"/>
      <c r="AI177" s="466"/>
      <c r="AJ177" s="466"/>
      <c r="AK177" s="466"/>
      <c r="AL177" s="283"/>
      <c r="AM177" s="259"/>
      <c r="AN177" s="466"/>
      <c r="AO177" s="283"/>
    </row>
    <row r="178" spans="1:41">
      <c r="A178" s="262"/>
      <c r="B178" s="294" t="s">
        <v>60</v>
      </c>
      <c r="C178" s="255"/>
      <c r="D178" s="461"/>
      <c r="E178" s="461"/>
      <c r="F178" s="461"/>
      <c r="G178" s="281"/>
      <c r="H178" s="255"/>
      <c r="I178" s="461"/>
      <c r="J178" s="461"/>
      <c r="K178" s="461"/>
      <c r="L178" s="461"/>
      <c r="M178" s="255"/>
      <c r="N178" s="461"/>
      <c r="O178" s="461"/>
      <c r="P178" s="461"/>
      <c r="Q178" s="281"/>
      <c r="R178" s="1174"/>
      <c r="S178" s="255"/>
      <c r="T178" s="461"/>
      <c r="U178" s="461"/>
      <c r="V178" s="461"/>
      <c r="W178" s="281"/>
      <c r="X178" s="3562"/>
      <c r="Y178" s="255"/>
      <c r="Z178" s="461"/>
      <c r="AA178" s="461"/>
      <c r="AB178" s="461"/>
      <c r="AC178" s="3765"/>
      <c r="AD178" s="3775"/>
      <c r="AH178" s="259"/>
      <c r="AI178" s="466"/>
      <c r="AJ178" s="466"/>
      <c r="AK178" s="466"/>
      <c r="AL178" s="283"/>
      <c r="AM178" s="259"/>
      <c r="AN178" s="466"/>
      <c r="AO178" s="283"/>
    </row>
    <row r="179" spans="1:41">
      <c r="A179" s="262"/>
      <c r="B179" s="294" t="s">
        <v>61</v>
      </c>
      <c r="C179" s="255"/>
      <c r="D179" s="461"/>
      <c r="E179" s="461"/>
      <c r="F179" s="461"/>
      <c r="G179" s="281"/>
      <c r="H179" s="255"/>
      <c r="I179" s="461"/>
      <c r="J179" s="461"/>
      <c r="K179" s="461"/>
      <c r="L179" s="461"/>
      <c r="M179" s="255"/>
      <c r="N179" s="461"/>
      <c r="O179" s="461"/>
      <c r="P179" s="461"/>
      <c r="Q179" s="281"/>
      <c r="R179" s="1174"/>
      <c r="S179" s="255"/>
      <c r="T179" s="461"/>
      <c r="U179" s="461"/>
      <c r="V179" s="461"/>
      <c r="W179" s="281"/>
      <c r="X179" s="3562"/>
      <c r="Y179" s="255"/>
      <c r="Z179" s="461"/>
      <c r="AA179" s="461"/>
      <c r="AB179" s="461"/>
      <c r="AC179" s="3765"/>
      <c r="AD179" s="3775"/>
      <c r="AH179" s="259"/>
      <c r="AI179" s="466"/>
      <c r="AJ179" s="466"/>
      <c r="AK179" s="466"/>
      <c r="AL179" s="283"/>
      <c r="AM179" s="259"/>
      <c r="AN179" s="466"/>
      <c r="AO179" s="283"/>
    </row>
    <row r="180" spans="1:41">
      <c r="A180" s="262"/>
      <c r="B180" s="1358" t="s">
        <v>560</v>
      </c>
      <c r="C180" s="259">
        <v>0</v>
      </c>
      <c r="D180" s="466">
        <v>0</v>
      </c>
      <c r="E180" s="466">
        <v>0</v>
      </c>
      <c r="F180" s="466">
        <v>0</v>
      </c>
      <c r="G180" s="283">
        <v>0</v>
      </c>
      <c r="H180" s="259">
        <v>0</v>
      </c>
      <c r="I180" s="466">
        <v>0</v>
      </c>
      <c r="J180" s="466">
        <v>0</v>
      </c>
      <c r="K180" s="466">
        <v>0</v>
      </c>
      <c r="L180" s="466">
        <v>0</v>
      </c>
      <c r="M180" s="259">
        <v>0</v>
      </c>
      <c r="N180" s="466">
        <v>0</v>
      </c>
      <c r="O180" s="466">
        <v>0</v>
      </c>
      <c r="P180" s="466">
        <v>0</v>
      </c>
      <c r="Q180" s="283">
        <v>0</v>
      </c>
      <c r="R180" s="1174"/>
      <c r="S180" s="259">
        <v>0</v>
      </c>
      <c r="T180" s="466">
        <v>0</v>
      </c>
      <c r="U180" s="466">
        <v>0</v>
      </c>
      <c r="V180" s="466">
        <v>0</v>
      </c>
      <c r="W180" s="283">
        <v>0</v>
      </c>
      <c r="X180" s="3562"/>
      <c r="Y180" s="259">
        <v>0</v>
      </c>
      <c r="Z180" s="466">
        <v>0</v>
      </c>
      <c r="AA180" s="466">
        <v>0</v>
      </c>
      <c r="AB180" s="466">
        <v>0</v>
      </c>
      <c r="AC180" s="3766">
        <v>0</v>
      </c>
      <c r="AD180" s="3775"/>
      <c r="AH180" s="259">
        <f t="shared" ref="AH180:AO180" si="69">SUM(AH177:AH179)</f>
        <v>0</v>
      </c>
      <c r="AI180" s="466">
        <f t="shared" si="69"/>
        <v>0</v>
      </c>
      <c r="AJ180" s="466">
        <f t="shared" si="69"/>
        <v>0</v>
      </c>
      <c r="AK180" s="466">
        <f t="shared" si="69"/>
        <v>0</v>
      </c>
      <c r="AL180" s="283">
        <f t="shared" si="69"/>
        <v>0</v>
      </c>
      <c r="AM180" s="259">
        <f t="shared" si="69"/>
        <v>0</v>
      </c>
      <c r="AN180" s="466">
        <f t="shared" si="69"/>
        <v>0</v>
      </c>
      <c r="AO180" s="283">
        <f t="shared" si="69"/>
        <v>0</v>
      </c>
    </row>
    <row r="181" spans="1:41">
      <c r="A181" s="262"/>
      <c r="B181" s="1357" t="s">
        <v>564</v>
      </c>
      <c r="C181" s="298"/>
      <c r="D181" s="288"/>
      <c r="E181" s="288"/>
      <c r="F181" s="288"/>
      <c r="G181" s="299"/>
      <c r="H181" s="298"/>
      <c r="I181" s="288"/>
      <c r="J181" s="288"/>
      <c r="K181" s="288"/>
      <c r="L181" s="288"/>
      <c r="M181" s="298"/>
      <c r="N181" s="288"/>
      <c r="O181" s="288"/>
      <c r="P181" s="288"/>
      <c r="Q181" s="299"/>
      <c r="R181" s="1174"/>
      <c r="S181" s="298"/>
      <c r="T181" s="288"/>
      <c r="U181" s="288"/>
      <c r="V181" s="288"/>
      <c r="W181" s="299"/>
      <c r="X181" s="3561"/>
      <c r="Y181" s="298"/>
      <c r="Z181" s="288"/>
      <c r="AA181" s="288"/>
      <c r="AB181" s="288"/>
      <c r="AC181" s="288"/>
      <c r="AD181" s="3774"/>
      <c r="AH181" s="298"/>
      <c r="AI181" s="288"/>
      <c r="AJ181" s="288"/>
      <c r="AK181" s="288"/>
      <c r="AL181" s="299"/>
      <c r="AM181" s="298"/>
      <c r="AN181" s="288"/>
      <c r="AO181" s="299"/>
    </row>
    <row r="182" spans="1:41">
      <c r="A182" s="262"/>
      <c r="B182" s="1356" t="s">
        <v>57</v>
      </c>
      <c r="C182" s="255"/>
      <c r="D182" s="461"/>
      <c r="E182" s="461"/>
      <c r="F182" s="461"/>
      <c r="G182" s="281"/>
      <c r="H182" s="255"/>
      <c r="I182" s="461"/>
      <c r="J182" s="461"/>
      <c r="K182" s="461"/>
      <c r="L182" s="461"/>
      <c r="M182" s="255"/>
      <c r="N182" s="461"/>
      <c r="O182" s="461"/>
      <c r="P182" s="461"/>
      <c r="Q182" s="281"/>
      <c r="R182" s="1174"/>
      <c r="S182" s="255"/>
      <c r="T182" s="461"/>
      <c r="U182" s="461"/>
      <c r="V182" s="461"/>
      <c r="W182" s="281"/>
      <c r="X182" s="3562"/>
      <c r="Y182" s="255"/>
      <c r="Z182" s="461"/>
      <c r="AA182" s="461"/>
      <c r="AB182" s="461"/>
      <c r="AC182" s="3765"/>
      <c r="AD182" s="3775"/>
      <c r="AH182" s="259"/>
      <c r="AI182" s="466"/>
      <c r="AJ182" s="466"/>
      <c r="AK182" s="466"/>
      <c r="AL182" s="283"/>
      <c r="AM182" s="259"/>
      <c r="AN182" s="466"/>
      <c r="AO182" s="283"/>
    </row>
    <row r="183" spans="1:41">
      <c r="A183" s="262"/>
      <c r="B183" s="1356" t="s">
        <v>60</v>
      </c>
      <c r="C183" s="255"/>
      <c r="D183" s="461"/>
      <c r="E183" s="461"/>
      <c r="F183" s="461"/>
      <c r="G183" s="281"/>
      <c r="H183" s="255"/>
      <c r="I183" s="461"/>
      <c r="J183" s="461"/>
      <c r="K183" s="461"/>
      <c r="L183" s="461"/>
      <c r="M183" s="255"/>
      <c r="N183" s="461"/>
      <c r="O183" s="461"/>
      <c r="P183" s="461"/>
      <c r="Q183" s="281"/>
      <c r="R183" s="1174"/>
      <c r="S183" s="255"/>
      <c r="T183" s="461"/>
      <c r="U183" s="461"/>
      <c r="V183" s="461"/>
      <c r="W183" s="281"/>
      <c r="X183" s="3562"/>
      <c r="Y183" s="255"/>
      <c r="Z183" s="461"/>
      <c r="AA183" s="461"/>
      <c r="AB183" s="461"/>
      <c r="AC183" s="3765"/>
      <c r="AD183" s="3775"/>
      <c r="AH183" s="259"/>
      <c r="AI183" s="466"/>
      <c r="AJ183" s="466"/>
      <c r="AK183" s="466"/>
      <c r="AL183" s="283"/>
      <c r="AM183" s="259"/>
      <c r="AN183" s="466"/>
      <c r="AO183" s="283"/>
    </row>
    <row r="184" spans="1:41">
      <c r="A184" s="262"/>
      <c r="B184" s="1356" t="s">
        <v>61</v>
      </c>
      <c r="C184" s="255"/>
      <c r="D184" s="461"/>
      <c r="E184" s="461"/>
      <c r="F184" s="461"/>
      <c r="G184" s="281"/>
      <c r="H184" s="255"/>
      <c r="I184" s="461"/>
      <c r="J184" s="461"/>
      <c r="K184" s="461"/>
      <c r="L184" s="461"/>
      <c r="M184" s="255"/>
      <c r="N184" s="461"/>
      <c r="O184" s="461"/>
      <c r="P184" s="461"/>
      <c r="Q184" s="281"/>
      <c r="R184" s="1174"/>
      <c r="S184" s="255"/>
      <c r="T184" s="461"/>
      <c r="U184" s="461"/>
      <c r="V184" s="461"/>
      <c r="W184" s="281"/>
      <c r="X184" s="3562"/>
      <c r="Y184" s="255"/>
      <c r="Z184" s="461"/>
      <c r="AA184" s="461"/>
      <c r="AB184" s="461"/>
      <c r="AC184" s="3765"/>
      <c r="AD184" s="3775"/>
      <c r="AH184" s="259"/>
      <c r="AI184" s="466"/>
      <c r="AJ184" s="466"/>
      <c r="AK184" s="466"/>
      <c r="AL184" s="283"/>
      <c r="AM184" s="259"/>
      <c r="AN184" s="466"/>
      <c r="AO184" s="283"/>
    </row>
    <row r="185" spans="1:41">
      <c r="A185" s="262"/>
      <c r="B185" s="1358" t="s">
        <v>565</v>
      </c>
      <c r="C185" s="259">
        <v>0</v>
      </c>
      <c r="D185" s="466">
        <v>0</v>
      </c>
      <c r="E185" s="466">
        <v>0</v>
      </c>
      <c r="F185" s="466">
        <v>0</v>
      </c>
      <c r="G185" s="283">
        <v>0</v>
      </c>
      <c r="H185" s="259">
        <v>0</v>
      </c>
      <c r="I185" s="466">
        <v>0</v>
      </c>
      <c r="J185" s="466">
        <v>0</v>
      </c>
      <c r="K185" s="466">
        <v>0</v>
      </c>
      <c r="L185" s="466">
        <v>0</v>
      </c>
      <c r="M185" s="259">
        <v>0</v>
      </c>
      <c r="N185" s="466">
        <v>0</v>
      </c>
      <c r="O185" s="466">
        <v>0</v>
      </c>
      <c r="P185" s="466">
        <v>0</v>
      </c>
      <c r="Q185" s="283">
        <v>0</v>
      </c>
      <c r="R185" s="1174"/>
      <c r="S185" s="259">
        <v>0</v>
      </c>
      <c r="T185" s="466">
        <v>0</v>
      </c>
      <c r="U185" s="466">
        <v>0</v>
      </c>
      <c r="V185" s="466">
        <v>0</v>
      </c>
      <c r="W185" s="283">
        <v>0</v>
      </c>
      <c r="X185" s="3562"/>
      <c r="Y185" s="259">
        <v>0</v>
      </c>
      <c r="Z185" s="466">
        <v>0</v>
      </c>
      <c r="AA185" s="466">
        <v>0</v>
      </c>
      <c r="AB185" s="466">
        <v>0</v>
      </c>
      <c r="AC185" s="3766">
        <v>0</v>
      </c>
      <c r="AD185" s="3775"/>
      <c r="AH185" s="259">
        <f t="shared" ref="AH185:AO185" si="70">SUM(AH182:AH184)</f>
        <v>0</v>
      </c>
      <c r="AI185" s="466">
        <f t="shared" si="70"/>
        <v>0</v>
      </c>
      <c r="AJ185" s="466">
        <f t="shared" si="70"/>
        <v>0</v>
      </c>
      <c r="AK185" s="466">
        <f t="shared" si="70"/>
        <v>0</v>
      </c>
      <c r="AL185" s="283">
        <f t="shared" si="70"/>
        <v>0</v>
      </c>
      <c r="AM185" s="259">
        <f t="shared" si="70"/>
        <v>0</v>
      </c>
      <c r="AN185" s="466">
        <f t="shared" si="70"/>
        <v>0</v>
      </c>
      <c r="AO185" s="283">
        <f t="shared" si="70"/>
        <v>0</v>
      </c>
    </row>
    <row r="186" spans="1:41">
      <c r="A186" s="262"/>
      <c r="B186" s="1360" t="s">
        <v>566</v>
      </c>
      <c r="C186" s="298"/>
      <c r="D186" s="288"/>
      <c r="E186" s="288"/>
      <c r="F186" s="288"/>
      <c r="G186" s="299"/>
      <c r="H186" s="298"/>
      <c r="I186" s="288"/>
      <c r="J186" s="288"/>
      <c r="K186" s="288"/>
      <c r="L186" s="288"/>
      <c r="M186" s="298"/>
      <c r="N186" s="288"/>
      <c r="O186" s="288"/>
      <c r="P186" s="288"/>
      <c r="Q186" s="299"/>
      <c r="R186" s="1174"/>
      <c r="S186" s="298"/>
      <c r="T186" s="288"/>
      <c r="U186" s="288"/>
      <c r="V186" s="288"/>
      <c r="W186" s="299"/>
      <c r="X186" s="3561"/>
      <c r="Y186" s="298"/>
      <c r="Z186" s="288"/>
      <c r="AA186" s="288"/>
      <c r="AB186" s="288"/>
      <c r="AC186" s="288"/>
      <c r="AD186" s="3774"/>
      <c r="AH186" s="298"/>
      <c r="AI186" s="288"/>
      <c r="AJ186" s="288"/>
      <c r="AK186" s="288"/>
      <c r="AL186" s="299"/>
      <c r="AM186" s="298"/>
      <c r="AN186" s="288"/>
      <c r="AO186" s="299"/>
    </row>
    <row r="187" spans="1:41">
      <c r="A187" s="262"/>
      <c r="B187" s="1361" t="s">
        <v>57</v>
      </c>
      <c r="C187" s="302">
        <v>1691353.2027267164</v>
      </c>
      <c r="D187" s="284">
        <v>823906.99303633254</v>
      </c>
      <c r="E187" s="284">
        <v>645742.855463941</v>
      </c>
      <c r="F187" s="284">
        <v>1620772.8498828067</v>
      </c>
      <c r="G187" s="960">
        <v>2179859.4461495182</v>
      </c>
      <c r="H187" s="302">
        <v>2653028.4897086849</v>
      </c>
      <c r="I187" s="284">
        <v>2672215.296058639</v>
      </c>
      <c r="J187" s="284">
        <v>1493120.2173525081</v>
      </c>
      <c r="K187" s="284">
        <v>2510641.9549943567</v>
      </c>
      <c r="L187" s="284">
        <v>1717755.7250099692</v>
      </c>
      <c r="M187" s="302">
        <v>2382885.7483513192</v>
      </c>
      <c r="N187" s="284">
        <v>2421818.5040097213</v>
      </c>
      <c r="O187" s="284">
        <v>2473337.7471502214</v>
      </c>
      <c r="P187" s="284">
        <v>2532962.856502587</v>
      </c>
      <c r="Q187" s="960">
        <v>2529815.413964083</v>
      </c>
      <c r="R187" s="1174"/>
      <c r="S187" s="302">
        <v>1873402.4650983138</v>
      </c>
      <c r="T187" s="284">
        <v>2032080.1205422417</v>
      </c>
      <c r="U187" s="284">
        <v>2190556.8117224909</v>
      </c>
      <c r="V187" s="284">
        <v>2497668.4855309059</v>
      </c>
      <c r="W187" s="960">
        <v>2622121.272099568</v>
      </c>
      <c r="X187" s="3562">
        <v>-0.36156346724833943</v>
      </c>
      <c r="Y187" s="302">
        <v>1293723.9860303914</v>
      </c>
      <c r="Z187" s="284">
        <v>1331657.1172857368</v>
      </c>
      <c r="AA187" s="284">
        <v>1350927.2157317409</v>
      </c>
      <c r="AB187" s="284">
        <v>1335096.6413554566</v>
      </c>
      <c r="AC187" s="3767">
        <v>1317897.5392648601</v>
      </c>
      <c r="AD187" s="3775">
        <v>0.76900906556625293</v>
      </c>
      <c r="AH187" s="302">
        <f t="shared" ref="AH187:AO187" si="71">AH177+AH172+AH182</f>
        <v>0</v>
      </c>
      <c r="AI187" s="284">
        <f t="shared" si="71"/>
        <v>0</v>
      </c>
      <c r="AJ187" s="284">
        <f t="shared" si="71"/>
        <v>0</v>
      </c>
      <c r="AK187" s="284">
        <f t="shared" si="71"/>
        <v>0</v>
      </c>
      <c r="AL187" s="960">
        <f t="shared" si="71"/>
        <v>0</v>
      </c>
      <c r="AM187" s="302">
        <f t="shared" si="71"/>
        <v>0</v>
      </c>
      <c r="AN187" s="284">
        <f t="shared" si="71"/>
        <v>0</v>
      </c>
      <c r="AO187" s="960">
        <f t="shared" si="71"/>
        <v>0</v>
      </c>
    </row>
    <row r="188" spans="1:41">
      <c r="A188" s="262"/>
      <c r="B188" s="1361" t="s">
        <v>60</v>
      </c>
      <c r="C188" s="302">
        <v>2206044.6246108492</v>
      </c>
      <c r="D188" s="284">
        <v>1074628.0494440098</v>
      </c>
      <c r="E188" s="284">
        <v>842247.23309153796</v>
      </c>
      <c r="F188" s="284">
        <v>2113986.1428322201</v>
      </c>
      <c r="G188" s="960">
        <v>2843206.9693265185</v>
      </c>
      <c r="H188" s="302">
        <v>3460364.8896196554</v>
      </c>
      <c r="I188" s="284">
        <v>3485390.3845568025</v>
      </c>
      <c r="J188" s="284">
        <v>1947487.8600626038</v>
      </c>
      <c r="K188" s="284">
        <v>3274649.0681004636</v>
      </c>
      <c r="L188" s="284">
        <v>2240481.6317748399</v>
      </c>
      <c r="M188" s="302">
        <v>3108015.69284142</v>
      </c>
      <c r="N188" s="284">
        <v>3158795.9770558826</v>
      </c>
      <c r="O188" s="284">
        <v>3225992.9109729924</v>
      </c>
      <c r="P188" s="284">
        <v>3303762.3867788529</v>
      </c>
      <c r="Q188" s="960">
        <v>3299657.1539498121</v>
      </c>
      <c r="R188" s="1174"/>
      <c r="S188" s="302">
        <v>2443492.8382789218</v>
      </c>
      <c r="T188" s="284">
        <v>2650457.2903363616</v>
      </c>
      <c r="U188" s="284">
        <v>2857159.6232025446</v>
      </c>
      <c r="V188" s="284">
        <v>3257727.6749069775</v>
      </c>
      <c r="W188" s="960">
        <v>3420052.3746710634</v>
      </c>
      <c r="X188" s="3562">
        <v>-0.36156346724833954</v>
      </c>
      <c r="Y188" s="302">
        <v>1687413.8651296296</v>
      </c>
      <c r="Z188" s="284">
        <v>1736890.3317633311</v>
      </c>
      <c r="AA188" s="284">
        <v>1762024.4652039369</v>
      </c>
      <c r="AB188" s="284">
        <v>1741376.5287167483</v>
      </c>
      <c r="AC188" s="3767">
        <v>1718943.6113024994</v>
      </c>
      <c r="AD188" s="3775">
        <v>0.76900906556625315</v>
      </c>
      <c r="AH188" s="302">
        <f t="shared" ref="AH188:AO188" si="72">AH178+AH173+AH183</f>
        <v>0</v>
      </c>
      <c r="AI188" s="284">
        <f t="shared" si="72"/>
        <v>0</v>
      </c>
      <c r="AJ188" s="284">
        <f t="shared" si="72"/>
        <v>0</v>
      </c>
      <c r="AK188" s="284">
        <f t="shared" si="72"/>
        <v>0</v>
      </c>
      <c r="AL188" s="960">
        <f t="shared" si="72"/>
        <v>0</v>
      </c>
      <c r="AM188" s="302">
        <f t="shared" si="72"/>
        <v>0</v>
      </c>
      <c r="AN188" s="284">
        <f t="shared" si="72"/>
        <v>0</v>
      </c>
      <c r="AO188" s="960">
        <f t="shared" si="72"/>
        <v>0</v>
      </c>
    </row>
    <row r="189" spans="1:41">
      <c r="A189" s="262"/>
      <c r="B189" s="1361" t="s">
        <v>61</v>
      </c>
      <c r="C189" s="302">
        <v>508426.30670520873</v>
      </c>
      <c r="D189" s="284">
        <v>247669.13786117127</v>
      </c>
      <c r="E189" s="284">
        <v>194112.41516882309</v>
      </c>
      <c r="F189" s="284">
        <v>487209.62170734571</v>
      </c>
      <c r="G189" s="960">
        <v>655272.88182948297</v>
      </c>
      <c r="H189" s="302">
        <v>797509.04449271958</v>
      </c>
      <c r="I189" s="284">
        <v>803276.66125913372</v>
      </c>
      <c r="J189" s="284">
        <v>448836.82270005089</v>
      </c>
      <c r="K189" s="284">
        <v>754707.18628081563</v>
      </c>
      <c r="L189" s="284">
        <v>516362.99129038898</v>
      </c>
      <c r="M189" s="302">
        <v>716303.25255634543</v>
      </c>
      <c r="N189" s="284">
        <v>728006.56629196624</v>
      </c>
      <c r="O189" s="284">
        <v>743493.41934663476</v>
      </c>
      <c r="P189" s="284">
        <v>761416.92230630352</v>
      </c>
      <c r="Q189" s="960">
        <v>760470.79078106175</v>
      </c>
      <c r="R189" s="1174"/>
      <c r="S189" s="302">
        <v>563150.91062400001</v>
      </c>
      <c r="T189" s="284">
        <v>610849.93303040008</v>
      </c>
      <c r="U189" s="284">
        <v>658488.54492160003</v>
      </c>
      <c r="V189" s="284">
        <v>750807.31891200016</v>
      </c>
      <c r="W189" s="960">
        <v>788218.23375360004</v>
      </c>
      <c r="X189" s="3562">
        <v>-0.36156346724833943</v>
      </c>
      <c r="Y189" s="302">
        <v>388897.66315690847</v>
      </c>
      <c r="Z189" s="284">
        <v>400300.48652628332</v>
      </c>
      <c r="AA189" s="284">
        <v>406093.14116929506</v>
      </c>
      <c r="AB189" s="284">
        <v>401334.41871547489</v>
      </c>
      <c r="AC189" s="3767">
        <v>396164.31235302472</v>
      </c>
      <c r="AD189" s="3775">
        <v>0.6960155751584769</v>
      </c>
      <c r="AH189" s="302">
        <f t="shared" ref="AH189:AO189" si="73">AH179+AH174+AH184</f>
        <v>0</v>
      </c>
      <c r="AI189" s="284">
        <f t="shared" si="73"/>
        <v>0</v>
      </c>
      <c r="AJ189" s="284">
        <f t="shared" si="73"/>
        <v>0</v>
      </c>
      <c r="AK189" s="284">
        <f t="shared" si="73"/>
        <v>0</v>
      </c>
      <c r="AL189" s="960">
        <f t="shared" si="73"/>
        <v>0</v>
      </c>
      <c r="AM189" s="302">
        <f t="shared" si="73"/>
        <v>0</v>
      </c>
      <c r="AN189" s="284">
        <f t="shared" si="73"/>
        <v>0</v>
      </c>
      <c r="AO189" s="960">
        <f t="shared" si="73"/>
        <v>0</v>
      </c>
    </row>
    <row r="190" spans="1:41">
      <c r="A190" s="262"/>
      <c r="B190" s="1362" t="s">
        <v>566</v>
      </c>
      <c r="C190" s="311">
        <v>4405824.1340427743</v>
      </c>
      <c r="D190" s="312">
        <v>2146204.1803415138</v>
      </c>
      <c r="E190" s="312">
        <v>1682102.5037243022</v>
      </c>
      <c r="F190" s="312">
        <v>4221968.6144223725</v>
      </c>
      <c r="G190" s="313">
        <v>5678339.2973055206</v>
      </c>
      <c r="H190" s="311">
        <v>6910902.42382106</v>
      </c>
      <c r="I190" s="312">
        <v>6960882.3418745752</v>
      </c>
      <c r="J190" s="312">
        <v>3889444.9001151631</v>
      </c>
      <c r="K190" s="312">
        <v>6539998.2093756357</v>
      </c>
      <c r="L190" s="312">
        <v>4474600.348075198</v>
      </c>
      <c r="M190" s="311">
        <v>6207204.6937490841</v>
      </c>
      <c r="N190" s="312">
        <v>6308621.0473575704</v>
      </c>
      <c r="O190" s="312">
        <v>6442824.0774698481</v>
      </c>
      <c r="P190" s="312">
        <v>6598142.1655877437</v>
      </c>
      <c r="Q190" s="313">
        <v>6589943.3586949576</v>
      </c>
      <c r="R190" s="1174"/>
      <c r="S190" s="311">
        <v>4880046.2140012356</v>
      </c>
      <c r="T190" s="312">
        <v>5293387.3439090038</v>
      </c>
      <c r="U190" s="312">
        <v>5706204.9798466358</v>
      </c>
      <c r="V190" s="312">
        <v>6506203.4793498842</v>
      </c>
      <c r="W190" s="313">
        <v>6830391.8805242321</v>
      </c>
      <c r="X190" s="3562">
        <v>-0.36156346724833954</v>
      </c>
      <c r="Y190" s="311">
        <v>3370035.5143169295</v>
      </c>
      <c r="Z190" s="312">
        <v>3468847.9355753511</v>
      </c>
      <c r="AA190" s="312">
        <v>3519044.8221049733</v>
      </c>
      <c r="AB190" s="312">
        <v>3477807.5887876796</v>
      </c>
      <c r="AC190" s="3768">
        <v>3433005.462920384</v>
      </c>
      <c r="AD190" s="3775">
        <v>0.76058571283757925</v>
      </c>
      <c r="AH190" s="311">
        <f>SUM(AH187:AH189)</f>
        <v>0</v>
      </c>
      <c r="AI190" s="312">
        <f t="shared" ref="AI190:AO190" si="74">SUM(AI187:AI189)</f>
        <v>0</v>
      </c>
      <c r="AJ190" s="312">
        <f t="shared" si="74"/>
        <v>0</v>
      </c>
      <c r="AK190" s="312">
        <f t="shared" si="74"/>
        <v>0</v>
      </c>
      <c r="AL190" s="313">
        <f t="shared" si="74"/>
        <v>0</v>
      </c>
      <c r="AM190" s="311">
        <f t="shared" si="74"/>
        <v>0</v>
      </c>
      <c r="AN190" s="312">
        <f t="shared" si="74"/>
        <v>0</v>
      </c>
      <c r="AO190" s="313">
        <f t="shared" si="74"/>
        <v>0</v>
      </c>
    </row>
    <row r="191" spans="1:41">
      <c r="A191" s="262"/>
      <c r="B191" s="1359" t="s">
        <v>567</v>
      </c>
      <c r="C191" s="305">
        <v>1212392.6908975618</v>
      </c>
      <c r="D191" s="291">
        <v>119341.57603468532</v>
      </c>
      <c r="E191" s="291">
        <v>317358.61484388128</v>
      </c>
      <c r="F191" s="291">
        <v>795560.74251912208</v>
      </c>
      <c r="G191" s="961">
        <v>1387488.0374410506</v>
      </c>
      <c r="H191" s="305">
        <v>1840865.1048822799</v>
      </c>
      <c r="I191" s="291">
        <v>1750088.2133345632</v>
      </c>
      <c r="J191" s="291">
        <v>713223.77790474531</v>
      </c>
      <c r="K191" s="291">
        <v>550236.66206665232</v>
      </c>
      <c r="L191" s="291">
        <v>427412.77295267099</v>
      </c>
      <c r="M191" s="305">
        <v>431962.35548750084</v>
      </c>
      <c r="N191" s="291">
        <v>466419.22751322412</v>
      </c>
      <c r="O191" s="291">
        <v>483760.22001924337</v>
      </c>
      <c r="P191" s="291">
        <v>528527.53419442591</v>
      </c>
      <c r="Q191" s="961">
        <v>535364.69886164111</v>
      </c>
      <c r="R191" s="1174"/>
      <c r="S191" s="305"/>
      <c r="T191" s="291"/>
      <c r="U191" s="291"/>
      <c r="V191" s="291"/>
      <c r="W191" s="961"/>
      <c r="X191" s="3562"/>
      <c r="Y191" s="305"/>
      <c r="Z191" s="291"/>
      <c r="AA191" s="291"/>
      <c r="AB191" s="291"/>
      <c r="AC191" s="3769"/>
      <c r="AD191" s="3775"/>
      <c r="AH191" s="1638"/>
      <c r="AI191" s="1639"/>
      <c r="AJ191" s="1639"/>
      <c r="AK191" s="1639"/>
      <c r="AL191" s="1640"/>
      <c r="AM191" s="1638"/>
      <c r="AN191" s="1639"/>
      <c r="AO191" s="1640"/>
    </row>
    <row r="192" spans="1:41">
      <c r="A192" s="262"/>
      <c r="B192" s="310" t="s">
        <v>151</v>
      </c>
      <c r="C192" s="305"/>
      <c r="D192" s="291"/>
      <c r="E192" s="291"/>
      <c r="F192" s="291"/>
      <c r="G192" s="961"/>
      <c r="H192" s="305"/>
      <c r="I192" s="291"/>
      <c r="J192" s="291"/>
      <c r="K192" s="291"/>
      <c r="L192" s="291"/>
      <c r="M192" s="305"/>
      <c r="N192" s="291"/>
      <c r="O192" s="291"/>
      <c r="P192" s="291"/>
      <c r="Q192" s="961"/>
      <c r="R192" s="1174"/>
      <c r="S192" s="305"/>
      <c r="T192" s="291"/>
      <c r="U192" s="291"/>
      <c r="V192" s="291"/>
      <c r="W192" s="961"/>
      <c r="X192" s="3562"/>
      <c r="Y192" s="305"/>
      <c r="Z192" s="291"/>
      <c r="AA192" s="291"/>
      <c r="AB192" s="291"/>
      <c r="AC192" s="3769"/>
      <c r="AD192" s="3775"/>
      <c r="AH192" s="1638"/>
      <c r="AI192" s="1639"/>
      <c r="AJ192" s="1639"/>
      <c r="AK192" s="1639"/>
      <c r="AL192" s="1640"/>
      <c r="AM192" s="1638"/>
      <c r="AN192" s="1639"/>
      <c r="AO192" s="1640"/>
    </row>
    <row r="193" spans="1:41">
      <c r="A193" s="262"/>
      <c r="B193" s="501" t="s">
        <v>569</v>
      </c>
      <c r="C193" s="306">
        <v>5618216.8249403359</v>
      </c>
      <c r="D193" s="286">
        <v>2265545.756376199</v>
      </c>
      <c r="E193" s="286">
        <v>1999461.1185681834</v>
      </c>
      <c r="F193" s="286">
        <v>5017529.3569414951</v>
      </c>
      <c r="G193" s="307">
        <v>7065827.3347465713</v>
      </c>
      <c r="H193" s="306">
        <v>8751767.5287033394</v>
      </c>
      <c r="I193" s="286">
        <v>8710970.5552091375</v>
      </c>
      <c r="J193" s="286">
        <v>4602668.6780199083</v>
      </c>
      <c r="K193" s="286">
        <v>7090234.8714422882</v>
      </c>
      <c r="L193" s="286">
        <v>4902013.1210278692</v>
      </c>
      <c r="M193" s="306">
        <v>6639167.0492365854</v>
      </c>
      <c r="N193" s="286">
        <v>6775040.2748707943</v>
      </c>
      <c r="O193" s="286">
        <v>6926584.2974890918</v>
      </c>
      <c r="P193" s="286">
        <v>7126669.6997821694</v>
      </c>
      <c r="Q193" s="307">
        <v>7125308.0575565984</v>
      </c>
      <c r="R193" s="1174"/>
      <c r="S193" s="306">
        <v>4880046.2140012356</v>
      </c>
      <c r="T193" s="286">
        <v>5293387.3439090038</v>
      </c>
      <c r="U193" s="286">
        <v>5706204.9798466358</v>
      </c>
      <c r="V193" s="286">
        <v>6506203.4793498842</v>
      </c>
      <c r="W193" s="307">
        <v>6830391.8805242321</v>
      </c>
      <c r="X193" s="3563">
        <v>-0.36143407128291927</v>
      </c>
      <c r="Y193" s="306">
        <v>3370035.5143169295</v>
      </c>
      <c r="Z193" s="286">
        <v>3468847.9355753511</v>
      </c>
      <c r="AA193" s="286">
        <v>3519044.8221049733</v>
      </c>
      <c r="AB193" s="286">
        <v>3477807.5887876796</v>
      </c>
      <c r="AC193" s="3770">
        <v>3433005.462920384</v>
      </c>
      <c r="AD193" s="3776">
        <v>0.81668149195131079</v>
      </c>
      <c r="AH193" s="306">
        <f>SUM(AH190,AH191,AH192)</f>
        <v>0</v>
      </c>
      <c r="AI193" s="286">
        <f t="shared" ref="AI193:AO193" si="75">SUM(AI190,AI191,AI192)</f>
        <v>0</v>
      </c>
      <c r="AJ193" s="286">
        <f t="shared" si="75"/>
        <v>0</v>
      </c>
      <c r="AK193" s="286">
        <f t="shared" si="75"/>
        <v>0</v>
      </c>
      <c r="AL193" s="307">
        <f t="shared" si="75"/>
        <v>0</v>
      </c>
      <c r="AM193" s="306">
        <f t="shared" si="75"/>
        <v>0</v>
      </c>
      <c r="AN193" s="286">
        <f t="shared" si="75"/>
        <v>0</v>
      </c>
      <c r="AO193" s="307">
        <f t="shared" si="75"/>
        <v>0</v>
      </c>
    </row>
    <row r="194" spans="1:41">
      <c r="A194" s="262"/>
      <c r="B194" s="1348" t="s">
        <v>35</v>
      </c>
      <c r="C194" s="308">
        <v>1689854.43276</v>
      </c>
      <c r="D194" s="287">
        <v>1459760.679</v>
      </c>
      <c r="E194" s="287">
        <v>1592636.1001200001</v>
      </c>
      <c r="F194" s="287">
        <v>1638720.5234400001</v>
      </c>
      <c r="G194" s="309">
        <v>2431015.5457641343</v>
      </c>
      <c r="H194" s="308">
        <v>3250901.8557950919</v>
      </c>
      <c r="I194" s="287">
        <v>2172306.7178548924</v>
      </c>
      <c r="J194" s="287">
        <v>1532239.3441574452</v>
      </c>
      <c r="K194" s="287">
        <v>1014610.788336179</v>
      </c>
      <c r="L194" s="287">
        <v>2353938.8537499211</v>
      </c>
      <c r="M194" s="308">
        <v>1352623.87694452</v>
      </c>
      <c r="N194" s="287">
        <v>1382934.2182694599</v>
      </c>
      <c r="O194" s="287">
        <v>1417446.0617734501</v>
      </c>
      <c r="P194" s="287">
        <v>1461936.8722799099</v>
      </c>
      <c r="Q194" s="309">
        <v>1457124.33035797</v>
      </c>
      <c r="R194" s="1174"/>
      <c r="S194" s="308">
        <v>140320</v>
      </c>
      <c r="T194" s="287">
        <v>153440</v>
      </c>
      <c r="U194" s="287">
        <v>165560</v>
      </c>
      <c r="V194" s="287">
        <v>178680</v>
      </c>
      <c r="W194" s="309">
        <v>191800</v>
      </c>
      <c r="X194" s="3564"/>
      <c r="Y194" s="308"/>
      <c r="Z194" s="287"/>
      <c r="AA194" s="287"/>
      <c r="AB194" s="287"/>
      <c r="AC194" s="3771"/>
      <c r="AD194" s="3777"/>
      <c r="AH194" s="302"/>
      <c r="AI194" s="284"/>
      <c r="AJ194" s="284"/>
      <c r="AK194" s="284"/>
      <c r="AL194" s="960"/>
      <c r="AM194" s="302"/>
      <c r="AN194" s="284"/>
      <c r="AO194" s="960"/>
    </row>
    <row r="195" spans="1:41" ht="13.5" thickBot="1">
      <c r="A195" s="262"/>
      <c r="B195" s="1353" t="s">
        <v>570</v>
      </c>
      <c r="C195" s="962">
        <v>3928362.3921803357</v>
      </c>
      <c r="D195" s="963">
        <v>805785.07737619895</v>
      </c>
      <c r="E195" s="963">
        <v>406825.01844818331</v>
      </c>
      <c r="F195" s="963">
        <v>3378808.833501495</v>
      </c>
      <c r="G195" s="964">
        <v>4634811.788982437</v>
      </c>
      <c r="H195" s="962">
        <v>5500865.6729082474</v>
      </c>
      <c r="I195" s="963">
        <v>6538663.8373542447</v>
      </c>
      <c r="J195" s="963">
        <v>3070429.333862463</v>
      </c>
      <c r="K195" s="963">
        <v>6075624.0831061089</v>
      </c>
      <c r="L195" s="963">
        <v>2548074.2672779481</v>
      </c>
      <c r="M195" s="962">
        <v>5286543.1722920649</v>
      </c>
      <c r="N195" s="963">
        <v>5392106.0566013344</v>
      </c>
      <c r="O195" s="963">
        <v>5509138.2357156416</v>
      </c>
      <c r="P195" s="963">
        <v>5664732.82750226</v>
      </c>
      <c r="Q195" s="964">
        <v>5668183.7271986287</v>
      </c>
      <c r="R195" s="1174"/>
      <c r="S195" s="962">
        <v>4879905.8940012353</v>
      </c>
      <c r="T195" s="963">
        <v>5293233.9039090034</v>
      </c>
      <c r="U195" s="963">
        <v>5706039.4198466362</v>
      </c>
      <c r="V195" s="963">
        <v>6506024.7993498845</v>
      </c>
      <c r="W195" s="964">
        <v>6830200.0805242322</v>
      </c>
      <c r="X195" s="3563">
        <v>-0.38202551773890125</v>
      </c>
      <c r="Y195" s="962">
        <v>3370035.5143169295</v>
      </c>
      <c r="Z195" s="963">
        <v>3468847.9355753511</v>
      </c>
      <c r="AA195" s="963">
        <v>3519044.8221049733</v>
      </c>
      <c r="AB195" s="963">
        <v>3477807.5887876796</v>
      </c>
      <c r="AC195" s="3772">
        <v>3433005.462920384</v>
      </c>
      <c r="AD195" s="3778">
        <v>0.6315560002463525</v>
      </c>
      <c r="AH195" s="1633">
        <f>AH193-AH194</f>
        <v>0</v>
      </c>
      <c r="AI195" s="963">
        <f t="shared" ref="AI195:AO195" si="76">AI193-AI194</f>
        <v>0</v>
      </c>
      <c r="AJ195" s="963">
        <f t="shared" si="76"/>
        <v>0</v>
      </c>
      <c r="AK195" s="963">
        <f t="shared" si="76"/>
        <v>0</v>
      </c>
      <c r="AL195" s="964">
        <f t="shared" si="76"/>
        <v>0</v>
      </c>
      <c r="AM195" s="1633">
        <f t="shared" si="76"/>
        <v>0</v>
      </c>
      <c r="AN195" s="963">
        <f t="shared" si="76"/>
        <v>0</v>
      </c>
      <c r="AO195" s="964">
        <f t="shared" si="76"/>
        <v>0</v>
      </c>
    </row>
    <row r="196" spans="1:41" s="164" customFormat="1" ht="31.5" customHeight="1" thickBot="1">
      <c r="A196" s="741"/>
      <c r="B196" s="1383" t="s">
        <v>121</v>
      </c>
      <c r="C196" s="263"/>
      <c r="D196" s="1005"/>
      <c r="E196" s="1005"/>
      <c r="F196" s="1005"/>
      <c r="G196" s="1005"/>
      <c r="H196" s="1005"/>
      <c r="I196" s="1005"/>
      <c r="J196" s="1005"/>
      <c r="K196" s="1005"/>
      <c r="L196" s="1005"/>
      <c r="M196" s="1005"/>
      <c r="N196" s="1005"/>
      <c r="O196" s="1005"/>
      <c r="P196" s="1005"/>
      <c r="Q196" s="1006"/>
      <c r="R196" s="1174"/>
      <c r="S196" s="3982" t="s">
        <v>1787</v>
      </c>
      <c r="T196" s="3980"/>
      <c r="U196" s="3980"/>
      <c r="V196" s="3980"/>
      <c r="W196" s="3980"/>
      <c r="X196" s="3983" t="s">
        <v>1788</v>
      </c>
      <c r="Y196" s="3983"/>
      <c r="Z196" s="3983"/>
      <c r="AA196" s="3983"/>
      <c r="AB196" s="3984"/>
      <c r="AC196" s="1005"/>
      <c r="AD196" s="3568"/>
      <c r="AE196"/>
      <c r="AH196" s="1635"/>
      <c r="AI196" s="1636"/>
      <c r="AJ196" s="1636"/>
      <c r="AK196" s="1636"/>
      <c r="AL196" s="1636"/>
      <c r="AM196" s="1636"/>
      <c r="AN196" s="1636"/>
      <c r="AO196" s="1637"/>
    </row>
    <row r="197" spans="1:41" ht="13.5" thickBot="1">
      <c r="A197" s="1174"/>
      <c r="B197" s="1174"/>
      <c r="C197" s="1174"/>
      <c r="D197" s="1174"/>
      <c r="E197" s="1174"/>
      <c r="F197" s="1174"/>
      <c r="G197" s="1174"/>
      <c r="H197" s="1174"/>
      <c r="I197" s="1174"/>
      <c r="J197" s="1174"/>
      <c r="K197" s="1174"/>
      <c r="L197" s="1174"/>
      <c r="M197" s="1174"/>
      <c r="N197" s="1174"/>
      <c r="O197" s="1174"/>
      <c r="P197" s="1174"/>
      <c r="Q197" s="1174"/>
      <c r="R197" s="1174"/>
      <c r="S197" s="1174"/>
      <c r="T197" s="1174"/>
      <c r="U197" s="1174"/>
      <c r="V197" s="1174"/>
      <c r="W197" s="1174"/>
      <c r="X197" s="1174"/>
      <c r="Y197" s="1174"/>
      <c r="Z197" s="1174"/>
      <c r="AA197" s="1174"/>
      <c r="AB197" s="1174"/>
      <c r="AC197" s="1174"/>
      <c r="AD197" s="1174"/>
      <c r="AH197" s="1174"/>
      <c r="AI197" s="1174"/>
      <c r="AJ197" s="1174"/>
      <c r="AK197" s="1174"/>
      <c r="AL197" s="1174"/>
      <c r="AM197" s="1174"/>
      <c r="AN197" s="1174"/>
      <c r="AO197" s="1174"/>
    </row>
    <row r="198" spans="1:41" ht="16.5" thickBot="1">
      <c r="A198" s="833"/>
      <c r="B198" s="252" t="s">
        <v>332</v>
      </c>
      <c r="C198" s="269"/>
      <c r="D198" s="269"/>
      <c r="E198" s="269"/>
      <c r="F198" s="269"/>
      <c r="G198" s="269"/>
      <c r="H198" s="269"/>
      <c r="I198" s="269"/>
      <c r="J198" s="269"/>
      <c r="K198" s="269"/>
      <c r="L198" s="269"/>
      <c r="M198" s="269"/>
      <c r="N198" s="269"/>
      <c r="O198" s="269"/>
      <c r="P198" s="269"/>
      <c r="Q198" s="270"/>
      <c r="R198" s="1174"/>
      <c r="S198" s="252"/>
      <c r="T198" s="269"/>
      <c r="U198" s="269"/>
      <c r="V198" s="269"/>
      <c r="W198" s="269"/>
      <c r="X198" s="269"/>
      <c r="Y198" s="269"/>
      <c r="Z198" s="269"/>
      <c r="AA198" s="269"/>
      <c r="AB198" s="269"/>
      <c r="AC198" s="269"/>
      <c r="AD198" s="270"/>
      <c r="AH198" s="252"/>
      <c r="AI198" s="269"/>
      <c r="AJ198" s="269"/>
      <c r="AK198" s="269"/>
      <c r="AL198" s="269"/>
      <c r="AM198" s="269"/>
      <c r="AN198" s="269"/>
      <c r="AO198" s="270"/>
    </row>
    <row r="199" spans="1:41">
      <c r="A199" s="262"/>
      <c r="B199" s="293" t="s">
        <v>115</v>
      </c>
      <c r="C199" s="295">
        <v>7</v>
      </c>
      <c r="D199" s="296">
        <v>8</v>
      </c>
      <c r="E199" s="296">
        <v>2</v>
      </c>
      <c r="F199" s="296">
        <v>4</v>
      </c>
      <c r="G199" s="958">
        <v>9</v>
      </c>
      <c r="H199" s="295">
        <v>3</v>
      </c>
      <c r="I199" s="296">
        <v>8</v>
      </c>
      <c r="J199" s="296">
        <v>6</v>
      </c>
      <c r="K199" s="296">
        <v>0</v>
      </c>
      <c r="L199" s="296">
        <v>7.7666666666670308</v>
      </c>
      <c r="M199" s="295">
        <v>6.6238095238101478</v>
      </c>
      <c r="N199" s="296">
        <v>6.6238095238083288</v>
      </c>
      <c r="O199" s="296">
        <v>6.6238095238101478</v>
      </c>
      <c r="P199" s="296">
        <v>6.6238095238101478</v>
      </c>
      <c r="Q199" s="958">
        <v>6.6238095238092383</v>
      </c>
      <c r="R199" s="1174"/>
      <c r="S199" s="295">
        <v>10</v>
      </c>
      <c r="T199" s="296">
        <v>11</v>
      </c>
      <c r="U199" s="296">
        <v>11</v>
      </c>
      <c r="V199" s="296">
        <v>12</v>
      </c>
      <c r="W199" s="958">
        <v>13</v>
      </c>
      <c r="X199" s="3560">
        <v>-0.45614035087719296</v>
      </c>
      <c r="Y199" s="295">
        <v>5</v>
      </c>
      <c r="Z199" s="296">
        <v>6</v>
      </c>
      <c r="AA199" s="296">
        <v>6</v>
      </c>
      <c r="AB199" s="296">
        <v>6</v>
      </c>
      <c r="AC199" s="3764">
        <v>6</v>
      </c>
      <c r="AD199" s="3773">
        <v>0.31954022988507003</v>
      </c>
      <c r="AH199" s="1632">
        <f t="shared" ref="AH199:AO199" si="77">AH28</f>
        <v>0</v>
      </c>
      <c r="AI199" s="296">
        <f t="shared" si="77"/>
        <v>0</v>
      </c>
      <c r="AJ199" s="296">
        <f t="shared" si="77"/>
        <v>0</v>
      </c>
      <c r="AK199" s="296">
        <f t="shared" si="77"/>
        <v>0</v>
      </c>
      <c r="AL199" s="958">
        <f t="shared" si="77"/>
        <v>0</v>
      </c>
      <c r="AM199" s="1632">
        <f t="shared" si="77"/>
        <v>0</v>
      </c>
      <c r="AN199" s="296">
        <f t="shared" si="77"/>
        <v>0</v>
      </c>
      <c r="AO199" s="958">
        <f t="shared" si="77"/>
        <v>0</v>
      </c>
    </row>
    <row r="200" spans="1:41">
      <c r="A200" s="262"/>
      <c r="B200" s="1355" t="s">
        <v>558</v>
      </c>
      <c r="C200" s="298"/>
      <c r="D200" s="288"/>
      <c r="E200" s="288"/>
      <c r="F200" s="288"/>
      <c r="G200" s="299"/>
      <c r="H200" s="298"/>
      <c r="I200" s="288"/>
      <c r="J200" s="288"/>
      <c r="K200" s="288"/>
      <c r="L200" s="288"/>
      <c r="M200" s="298"/>
      <c r="N200" s="288"/>
      <c r="O200" s="288"/>
      <c r="P200" s="288"/>
      <c r="Q200" s="299"/>
      <c r="R200" s="1174"/>
      <c r="S200" s="298"/>
      <c r="T200" s="288"/>
      <c r="U200" s="288"/>
      <c r="V200" s="288"/>
      <c r="W200" s="299"/>
      <c r="X200" s="3561"/>
      <c r="Y200" s="298"/>
      <c r="Z200" s="288"/>
      <c r="AA200" s="288"/>
      <c r="AB200" s="288"/>
      <c r="AC200" s="288"/>
      <c r="AD200" s="3774"/>
      <c r="AH200" s="298"/>
      <c r="AI200" s="288"/>
      <c r="AJ200" s="288"/>
      <c r="AK200" s="288"/>
      <c r="AL200" s="299"/>
      <c r="AM200" s="298"/>
      <c r="AN200" s="288"/>
      <c r="AO200" s="299"/>
    </row>
    <row r="201" spans="1:41">
      <c r="A201" s="262"/>
      <c r="B201" s="1356" t="s">
        <v>57</v>
      </c>
      <c r="C201" s="255">
        <v>68436.256757728406</v>
      </c>
      <c r="D201" s="461">
        <v>28167.760445686581</v>
      </c>
      <c r="E201" s="461">
        <v>5207.6036730962987</v>
      </c>
      <c r="F201" s="461">
        <v>28310.44279271278</v>
      </c>
      <c r="G201" s="281">
        <v>68837.666720511101</v>
      </c>
      <c r="H201" s="255">
        <v>35217.192341265727</v>
      </c>
      <c r="I201" s="461">
        <v>84832.231620909166</v>
      </c>
      <c r="J201" s="461">
        <v>26984.100313599545</v>
      </c>
      <c r="K201" s="461">
        <v>0</v>
      </c>
      <c r="L201" s="461">
        <v>49605.084474333707</v>
      </c>
      <c r="M201" s="255">
        <v>56905.934408481946</v>
      </c>
      <c r="N201" s="461">
        <v>57125.469838071083</v>
      </c>
      <c r="O201" s="461">
        <v>57515.701327299663</v>
      </c>
      <c r="P201" s="461">
        <v>57984.869848305825</v>
      </c>
      <c r="Q201" s="281">
        <v>58902.930931222319</v>
      </c>
      <c r="R201" s="1174"/>
      <c r="S201" s="255">
        <v>55922.461644725779</v>
      </c>
      <c r="T201" s="461">
        <v>62788.992488664779</v>
      </c>
      <c r="U201" s="461">
        <v>64085.438640817556</v>
      </c>
      <c r="V201" s="461">
        <v>71361.956729454454</v>
      </c>
      <c r="W201" s="281">
        <v>78906.427169662929</v>
      </c>
      <c r="X201" s="3562">
        <v>-0.15097747670614248</v>
      </c>
      <c r="Y201" s="255">
        <v>33690.728802874772</v>
      </c>
      <c r="Z201" s="461">
        <v>39949.713518572105</v>
      </c>
      <c r="AA201" s="461">
        <v>39928.883223598255</v>
      </c>
      <c r="AB201" s="461">
        <v>40254.170091119297</v>
      </c>
      <c r="AC201" s="3765">
        <v>40759.717709222474</v>
      </c>
      <c r="AD201" s="3775">
        <v>0.65819977349008996</v>
      </c>
      <c r="AH201" s="259"/>
      <c r="AI201" s="466"/>
      <c r="AJ201" s="466"/>
      <c r="AK201" s="466"/>
      <c r="AL201" s="283"/>
      <c r="AM201" s="259"/>
      <c r="AN201" s="466"/>
      <c r="AO201" s="283"/>
    </row>
    <row r="202" spans="1:41">
      <c r="A202" s="262"/>
      <c r="B202" s="1356" t="s">
        <v>60</v>
      </c>
      <c r="C202" s="255">
        <v>89261.921227028593</v>
      </c>
      <c r="D202" s="461">
        <v>36739.4204938123</v>
      </c>
      <c r="E202" s="461">
        <v>6792.3163958995001</v>
      </c>
      <c r="F202" s="461">
        <v>36925.522145540963</v>
      </c>
      <c r="G202" s="281">
        <v>89785.483241890062</v>
      </c>
      <c r="H202" s="255">
        <v>45934.047207340554</v>
      </c>
      <c r="I202" s="461">
        <v>110647.31379545404</v>
      </c>
      <c r="J202" s="461">
        <v>35195.563736071155</v>
      </c>
      <c r="K202" s="461">
        <v>0</v>
      </c>
      <c r="L202" s="461">
        <v>64700.282461139206</v>
      </c>
      <c r="M202" s="255">
        <v>74222.835601638129</v>
      </c>
      <c r="N202" s="461">
        <v>74509.17730340446</v>
      </c>
      <c r="O202" s="461">
        <v>75018.159151653977</v>
      </c>
      <c r="P202" s="461">
        <v>75630.099160478683</v>
      </c>
      <c r="Q202" s="281">
        <v>76827.533093123464</v>
      </c>
      <c r="R202" s="1174"/>
      <c r="S202" s="255">
        <v>72940.084724743938</v>
      </c>
      <c r="T202" s="461">
        <v>81896.152229494328</v>
      </c>
      <c r="U202" s="461">
        <v>83587.116636244653</v>
      </c>
      <c r="V202" s="461">
        <v>93077.933568770793</v>
      </c>
      <c r="W202" s="281">
        <v>102918.24275630515</v>
      </c>
      <c r="X202" s="3562">
        <v>-0.15097747670614226</v>
      </c>
      <c r="Y202" s="255">
        <v>43943.069404417438</v>
      </c>
      <c r="Z202" s="461">
        <v>52106.709952899932</v>
      </c>
      <c r="AA202" s="461">
        <v>52079.540843466122</v>
      </c>
      <c r="AB202" s="461">
        <v>52503.814936183364</v>
      </c>
      <c r="AC202" s="3765">
        <v>53163.204473273181</v>
      </c>
      <c r="AD202" s="3775">
        <v>0.65819977349008996</v>
      </c>
      <c r="AH202" s="259"/>
      <c r="AI202" s="466"/>
      <c r="AJ202" s="466"/>
      <c r="AK202" s="466"/>
      <c r="AL202" s="283"/>
      <c r="AM202" s="259"/>
      <c r="AN202" s="466"/>
      <c r="AO202" s="283"/>
    </row>
    <row r="203" spans="1:41">
      <c r="A203" s="262"/>
      <c r="B203" s="1356" t="s">
        <v>61</v>
      </c>
      <c r="C203" s="255">
        <v>20572.162699054687</v>
      </c>
      <c r="D203" s="461">
        <v>8467.3209525186758</v>
      </c>
      <c r="E203" s="461">
        <v>1565.4227029743797</v>
      </c>
      <c r="F203" s="461">
        <v>8510.2117328794011</v>
      </c>
      <c r="G203" s="281">
        <v>20692.827847246834</v>
      </c>
      <c r="H203" s="255">
        <v>10586.403245478577</v>
      </c>
      <c r="I203" s="461">
        <v>25500.846389178849</v>
      </c>
      <c r="J203" s="461">
        <v>8111.5088439768224</v>
      </c>
      <c r="K203" s="461">
        <v>0</v>
      </c>
      <c r="L203" s="461">
        <v>14911.450696652884</v>
      </c>
      <c r="M203" s="255">
        <v>17106.110074625351</v>
      </c>
      <c r="N203" s="461">
        <v>17172.103143061322</v>
      </c>
      <c r="O203" s="461">
        <v>17289.408005528072</v>
      </c>
      <c r="P203" s="461">
        <v>17430.441598022502</v>
      </c>
      <c r="Q203" s="281">
        <v>17706.413763365923</v>
      </c>
      <c r="R203" s="1174"/>
      <c r="S203" s="255">
        <v>16810.474944000001</v>
      </c>
      <c r="T203" s="461">
        <v>18874.576582400001</v>
      </c>
      <c r="U203" s="461">
        <v>19264.292537599998</v>
      </c>
      <c r="V203" s="461">
        <v>21451.637683200002</v>
      </c>
      <c r="W203" s="281">
        <v>23719.530182399998</v>
      </c>
      <c r="X203" s="3562">
        <v>-0.15097747670614237</v>
      </c>
      <c r="Y203" s="255">
        <v>10127.543311377825</v>
      </c>
      <c r="Z203" s="461">
        <v>12009.0145957885</v>
      </c>
      <c r="AA203" s="461">
        <v>12002.752940964387</v>
      </c>
      <c r="AB203" s="461">
        <v>12100.535237652508</v>
      </c>
      <c r="AC203" s="3765">
        <v>12252.504505763653</v>
      </c>
      <c r="AD203" s="3775">
        <v>0.55402269717135</v>
      </c>
      <c r="AH203" s="259"/>
      <c r="AI203" s="466"/>
      <c r="AJ203" s="466"/>
      <c r="AK203" s="466"/>
      <c r="AL203" s="283"/>
      <c r="AM203" s="259"/>
      <c r="AN203" s="466"/>
      <c r="AO203" s="283"/>
    </row>
    <row r="204" spans="1:41">
      <c r="A204" s="262"/>
      <c r="B204" s="1358" t="s">
        <v>563</v>
      </c>
      <c r="C204" s="259">
        <v>178270.34068381169</v>
      </c>
      <c r="D204" s="466">
        <v>73374.50189201755</v>
      </c>
      <c r="E204" s="466">
        <v>13565.342771970178</v>
      </c>
      <c r="F204" s="466">
        <v>73746.176671133144</v>
      </c>
      <c r="G204" s="283">
        <v>179315.977809648</v>
      </c>
      <c r="H204" s="259">
        <v>91737.642794084852</v>
      </c>
      <c r="I204" s="466">
        <v>220980.39180554208</v>
      </c>
      <c r="J204" s="466">
        <v>70291.172893647512</v>
      </c>
      <c r="K204" s="466">
        <v>0</v>
      </c>
      <c r="L204" s="466">
        <v>129216.81763212579</v>
      </c>
      <c r="M204" s="259">
        <v>148234.88008474541</v>
      </c>
      <c r="N204" s="466">
        <v>148806.75028453686</v>
      </c>
      <c r="O204" s="466">
        <v>149823.2684844817</v>
      </c>
      <c r="P204" s="466">
        <v>151045.41060680701</v>
      </c>
      <c r="Q204" s="283">
        <v>153436.87778771171</v>
      </c>
      <c r="R204" s="1174"/>
      <c r="S204" s="259">
        <v>145673.02131346974</v>
      </c>
      <c r="T204" s="466">
        <v>163559.72130055912</v>
      </c>
      <c r="U204" s="466">
        <v>166936.84781466221</v>
      </c>
      <c r="V204" s="466">
        <v>185891.52798142526</v>
      </c>
      <c r="W204" s="283">
        <v>205544.20010836807</v>
      </c>
      <c r="X204" s="3562">
        <v>-0.15097747670614226</v>
      </c>
      <c r="Y204" s="259">
        <v>87761.341518670044</v>
      </c>
      <c r="Z204" s="466">
        <v>104065.43806726053</v>
      </c>
      <c r="AA204" s="466">
        <v>104011.17700802877</v>
      </c>
      <c r="AB204" s="466">
        <v>104858.52026495518</v>
      </c>
      <c r="AC204" s="3766">
        <v>106175.42668825929</v>
      </c>
      <c r="AD204" s="3775">
        <v>0.64617787598700405</v>
      </c>
      <c r="AH204" s="259">
        <f t="shared" ref="AH204:AO204" si="78">SUM(AH201:AH203)</f>
        <v>0</v>
      </c>
      <c r="AI204" s="466">
        <f t="shared" si="78"/>
        <v>0</v>
      </c>
      <c r="AJ204" s="466">
        <f t="shared" si="78"/>
        <v>0</v>
      </c>
      <c r="AK204" s="466">
        <f t="shared" si="78"/>
        <v>0</v>
      </c>
      <c r="AL204" s="283">
        <f t="shared" si="78"/>
        <v>0</v>
      </c>
      <c r="AM204" s="259">
        <f t="shared" si="78"/>
        <v>0</v>
      </c>
      <c r="AN204" s="466">
        <f t="shared" si="78"/>
        <v>0</v>
      </c>
      <c r="AO204" s="283">
        <f t="shared" si="78"/>
        <v>0</v>
      </c>
    </row>
    <row r="205" spans="1:41">
      <c r="A205" s="262"/>
      <c r="B205" s="1354" t="s">
        <v>559</v>
      </c>
      <c r="C205" s="298"/>
      <c r="D205" s="288"/>
      <c r="E205" s="288"/>
      <c r="F205" s="288"/>
      <c r="G205" s="299"/>
      <c r="H205" s="298"/>
      <c r="I205" s="288"/>
      <c r="J205" s="288"/>
      <c r="K205" s="288"/>
      <c r="L205" s="288"/>
      <c r="M205" s="298"/>
      <c r="N205" s="288"/>
      <c r="O205" s="288"/>
      <c r="P205" s="288"/>
      <c r="Q205" s="299"/>
      <c r="R205" s="1174"/>
      <c r="S205" s="298"/>
      <c r="T205" s="288"/>
      <c r="U205" s="288"/>
      <c r="V205" s="288"/>
      <c r="W205" s="299"/>
      <c r="X205" s="3561"/>
      <c r="Y205" s="298"/>
      <c r="Z205" s="288"/>
      <c r="AA205" s="288"/>
      <c r="AB205" s="288"/>
      <c r="AC205" s="288"/>
      <c r="AD205" s="3774"/>
      <c r="AH205" s="298"/>
      <c r="AI205" s="288"/>
      <c r="AJ205" s="288"/>
      <c r="AK205" s="288"/>
      <c r="AL205" s="299"/>
      <c r="AM205" s="298"/>
      <c r="AN205" s="288"/>
      <c r="AO205" s="299"/>
    </row>
    <row r="206" spans="1:41">
      <c r="A206" s="262"/>
      <c r="B206" s="294" t="s">
        <v>57</v>
      </c>
      <c r="C206" s="255"/>
      <c r="D206" s="461"/>
      <c r="E206" s="461"/>
      <c r="F206" s="461"/>
      <c r="G206" s="281"/>
      <c r="H206" s="255"/>
      <c r="I206" s="461"/>
      <c r="J206" s="461"/>
      <c r="K206" s="461"/>
      <c r="L206" s="461"/>
      <c r="M206" s="255"/>
      <c r="N206" s="461"/>
      <c r="O206" s="461"/>
      <c r="P206" s="461"/>
      <c r="Q206" s="281"/>
      <c r="R206" s="1174"/>
      <c r="S206" s="255"/>
      <c r="T206" s="461"/>
      <c r="U206" s="461"/>
      <c r="V206" s="461"/>
      <c r="W206" s="281"/>
      <c r="X206" s="3562"/>
      <c r="Y206" s="255"/>
      <c r="Z206" s="461"/>
      <c r="AA206" s="461"/>
      <c r="AB206" s="461"/>
      <c r="AC206" s="3765"/>
      <c r="AD206" s="3775"/>
      <c r="AH206" s="259"/>
      <c r="AI206" s="466"/>
      <c r="AJ206" s="466"/>
      <c r="AK206" s="466"/>
      <c r="AL206" s="283"/>
      <c r="AM206" s="259"/>
      <c r="AN206" s="466"/>
      <c r="AO206" s="283"/>
    </row>
    <row r="207" spans="1:41">
      <c r="A207" s="262"/>
      <c r="B207" s="294" t="s">
        <v>60</v>
      </c>
      <c r="C207" s="255"/>
      <c r="D207" s="461"/>
      <c r="E207" s="461"/>
      <c r="F207" s="461"/>
      <c r="G207" s="281"/>
      <c r="H207" s="255"/>
      <c r="I207" s="461"/>
      <c r="J207" s="461"/>
      <c r="K207" s="461"/>
      <c r="L207" s="461"/>
      <c r="M207" s="255"/>
      <c r="N207" s="461"/>
      <c r="O207" s="461"/>
      <c r="P207" s="461"/>
      <c r="Q207" s="281"/>
      <c r="R207" s="1174"/>
      <c r="S207" s="255"/>
      <c r="T207" s="461"/>
      <c r="U207" s="461"/>
      <c r="V207" s="461"/>
      <c r="W207" s="281"/>
      <c r="X207" s="3562"/>
      <c r="Y207" s="255"/>
      <c r="Z207" s="461"/>
      <c r="AA207" s="461"/>
      <c r="AB207" s="461"/>
      <c r="AC207" s="3765"/>
      <c r="AD207" s="3775"/>
      <c r="AH207" s="259"/>
      <c r="AI207" s="466"/>
      <c r="AJ207" s="466"/>
      <c r="AK207" s="466"/>
      <c r="AL207" s="283"/>
      <c r="AM207" s="259"/>
      <c r="AN207" s="466"/>
      <c r="AO207" s="283"/>
    </row>
    <row r="208" spans="1:41">
      <c r="A208" s="262"/>
      <c r="B208" s="294" t="s">
        <v>61</v>
      </c>
      <c r="C208" s="255"/>
      <c r="D208" s="461"/>
      <c r="E208" s="461"/>
      <c r="F208" s="461"/>
      <c r="G208" s="281"/>
      <c r="H208" s="255"/>
      <c r="I208" s="461"/>
      <c r="J208" s="461"/>
      <c r="K208" s="461"/>
      <c r="L208" s="461"/>
      <c r="M208" s="255"/>
      <c r="N208" s="461"/>
      <c r="O208" s="461"/>
      <c r="P208" s="461"/>
      <c r="Q208" s="281"/>
      <c r="R208" s="1174"/>
      <c r="S208" s="255"/>
      <c r="T208" s="461"/>
      <c r="U208" s="461"/>
      <c r="V208" s="461"/>
      <c r="W208" s="281"/>
      <c r="X208" s="3562"/>
      <c r="Y208" s="255"/>
      <c r="Z208" s="461"/>
      <c r="AA208" s="461"/>
      <c r="AB208" s="461"/>
      <c r="AC208" s="3765"/>
      <c r="AD208" s="3775"/>
      <c r="AH208" s="259"/>
      <c r="AI208" s="466"/>
      <c r="AJ208" s="466"/>
      <c r="AK208" s="466"/>
      <c r="AL208" s="283"/>
      <c r="AM208" s="259"/>
      <c r="AN208" s="466"/>
      <c r="AO208" s="283"/>
    </row>
    <row r="209" spans="1:41">
      <c r="A209" s="262"/>
      <c r="B209" s="1358" t="s">
        <v>560</v>
      </c>
      <c r="C209" s="259">
        <v>0</v>
      </c>
      <c r="D209" s="466">
        <v>0</v>
      </c>
      <c r="E209" s="466">
        <v>0</v>
      </c>
      <c r="F209" s="466">
        <v>0</v>
      </c>
      <c r="G209" s="283">
        <v>0</v>
      </c>
      <c r="H209" s="259">
        <v>0</v>
      </c>
      <c r="I209" s="466">
        <v>0</v>
      </c>
      <c r="J209" s="466">
        <v>0</v>
      </c>
      <c r="K209" s="466">
        <v>0</v>
      </c>
      <c r="L209" s="466">
        <v>0</v>
      </c>
      <c r="M209" s="259">
        <v>0</v>
      </c>
      <c r="N209" s="466">
        <v>0</v>
      </c>
      <c r="O209" s="466">
        <v>0</v>
      </c>
      <c r="P209" s="466">
        <v>0</v>
      </c>
      <c r="Q209" s="283">
        <v>0</v>
      </c>
      <c r="R209" s="1174"/>
      <c r="S209" s="259">
        <v>0</v>
      </c>
      <c r="T209" s="466">
        <v>0</v>
      </c>
      <c r="U209" s="466">
        <v>0</v>
      </c>
      <c r="V209" s="466">
        <v>0</v>
      </c>
      <c r="W209" s="283">
        <v>0</v>
      </c>
      <c r="X209" s="3562"/>
      <c r="Y209" s="259">
        <v>0</v>
      </c>
      <c r="Z209" s="466">
        <v>0</v>
      </c>
      <c r="AA209" s="466">
        <v>0</v>
      </c>
      <c r="AB209" s="466">
        <v>0</v>
      </c>
      <c r="AC209" s="3766">
        <v>0</v>
      </c>
      <c r="AD209" s="3775"/>
      <c r="AH209" s="259">
        <f t="shared" ref="AH209:AO209" si="79">SUM(AH206:AH208)</f>
        <v>0</v>
      </c>
      <c r="AI209" s="466">
        <f t="shared" si="79"/>
        <v>0</v>
      </c>
      <c r="AJ209" s="466">
        <f t="shared" si="79"/>
        <v>0</v>
      </c>
      <c r="AK209" s="466">
        <f t="shared" si="79"/>
        <v>0</v>
      </c>
      <c r="AL209" s="283">
        <f t="shared" si="79"/>
        <v>0</v>
      </c>
      <c r="AM209" s="259">
        <f t="shared" si="79"/>
        <v>0</v>
      </c>
      <c r="AN209" s="466">
        <f t="shared" si="79"/>
        <v>0</v>
      </c>
      <c r="AO209" s="283">
        <f t="shared" si="79"/>
        <v>0</v>
      </c>
    </row>
    <row r="210" spans="1:41">
      <c r="A210" s="262"/>
      <c r="B210" s="1357" t="s">
        <v>564</v>
      </c>
      <c r="C210" s="298"/>
      <c r="D210" s="288"/>
      <c r="E210" s="288"/>
      <c r="F210" s="288"/>
      <c r="G210" s="299"/>
      <c r="H210" s="298"/>
      <c r="I210" s="288"/>
      <c r="J210" s="288"/>
      <c r="K210" s="288"/>
      <c r="L210" s="288"/>
      <c r="M210" s="298"/>
      <c r="N210" s="288"/>
      <c r="O210" s="288"/>
      <c r="P210" s="288"/>
      <c r="Q210" s="299"/>
      <c r="R210" s="1174"/>
      <c r="S210" s="298"/>
      <c r="T210" s="288"/>
      <c r="U210" s="288"/>
      <c r="V210" s="288"/>
      <c r="W210" s="299"/>
      <c r="X210" s="3561"/>
      <c r="Y210" s="298"/>
      <c r="Z210" s="288"/>
      <c r="AA210" s="288"/>
      <c r="AB210" s="288"/>
      <c r="AC210" s="288"/>
      <c r="AD210" s="3774"/>
      <c r="AH210" s="298"/>
      <c r="AI210" s="288"/>
      <c r="AJ210" s="288"/>
      <c r="AK210" s="288"/>
      <c r="AL210" s="299"/>
      <c r="AM210" s="298"/>
      <c r="AN210" s="288"/>
      <c r="AO210" s="299"/>
    </row>
    <row r="211" spans="1:41">
      <c r="A211" s="262"/>
      <c r="B211" s="1356" t="s">
        <v>57</v>
      </c>
      <c r="C211" s="255"/>
      <c r="D211" s="461"/>
      <c r="E211" s="461"/>
      <c r="F211" s="461"/>
      <c r="G211" s="281"/>
      <c r="H211" s="255"/>
      <c r="I211" s="461"/>
      <c r="J211" s="461"/>
      <c r="K211" s="461"/>
      <c r="L211" s="461"/>
      <c r="M211" s="255"/>
      <c r="N211" s="461"/>
      <c r="O211" s="461"/>
      <c r="P211" s="461"/>
      <c r="Q211" s="281"/>
      <c r="R211" s="1174"/>
      <c r="S211" s="255"/>
      <c r="T211" s="461"/>
      <c r="U211" s="461"/>
      <c r="V211" s="461"/>
      <c r="W211" s="281"/>
      <c r="X211" s="3562"/>
      <c r="Y211" s="255"/>
      <c r="Z211" s="461"/>
      <c r="AA211" s="461"/>
      <c r="AB211" s="461"/>
      <c r="AC211" s="3765"/>
      <c r="AD211" s="3775"/>
      <c r="AH211" s="259"/>
      <c r="AI211" s="466"/>
      <c r="AJ211" s="466"/>
      <c r="AK211" s="466"/>
      <c r="AL211" s="283"/>
      <c r="AM211" s="259"/>
      <c r="AN211" s="466"/>
      <c r="AO211" s="283"/>
    </row>
    <row r="212" spans="1:41">
      <c r="A212" s="262"/>
      <c r="B212" s="1356" t="s">
        <v>60</v>
      </c>
      <c r="C212" s="255"/>
      <c r="D212" s="461"/>
      <c r="E212" s="461"/>
      <c r="F212" s="461"/>
      <c r="G212" s="281"/>
      <c r="H212" s="255"/>
      <c r="I212" s="461"/>
      <c r="J212" s="461"/>
      <c r="K212" s="461"/>
      <c r="L212" s="461"/>
      <c r="M212" s="255"/>
      <c r="N212" s="461"/>
      <c r="O212" s="461"/>
      <c r="P212" s="461"/>
      <c r="Q212" s="281"/>
      <c r="R212" s="1174"/>
      <c r="S212" s="255"/>
      <c r="T212" s="461"/>
      <c r="U212" s="461"/>
      <c r="V212" s="461"/>
      <c r="W212" s="281"/>
      <c r="X212" s="3562"/>
      <c r="Y212" s="255"/>
      <c r="Z212" s="461"/>
      <c r="AA212" s="461"/>
      <c r="AB212" s="461"/>
      <c r="AC212" s="3765"/>
      <c r="AD212" s="3775"/>
      <c r="AH212" s="259"/>
      <c r="AI212" s="466"/>
      <c r="AJ212" s="466"/>
      <c r="AK212" s="466"/>
      <c r="AL212" s="283"/>
      <c r="AM212" s="259"/>
      <c r="AN212" s="466"/>
      <c r="AO212" s="283"/>
    </row>
    <row r="213" spans="1:41">
      <c r="A213" s="262"/>
      <c r="B213" s="1356" t="s">
        <v>61</v>
      </c>
      <c r="C213" s="255"/>
      <c r="D213" s="461"/>
      <c r="E213" s="461"/>
      <c r="F213" s="461"/>
      <c r="G213" s="281"/>
      <c r="H213" s="255"/>
      <c r="I213" s="461"/>
      <c r="J213" s="461"/>
      <c r="K213" s="461"/>
      <c r="L213" s="461"/>
      <c r="M213" s="255"/>
      <c r="N213" s="461"/>
      <c r="O213" s="461"/>
      <c r="P213" s="461"/>
      <c r="Q213" s="281"/>
      <c r="R213" s="1174"/>
      <c r="S213" s="255"/>
      <c r="T213" s="461"/>
      <c r="U213" s="461"/>
      <c r="V213" s="461"/>
      <c r="W213" s="281"/>
      <c r="X213" s="3562"/>
      <c r="Y213" s="255"/>
      <c r="Z213" s="461"/>
      <c r="AA213" s="461"/>
      <c r="AB213" s="461"/>
      <c r="AC213" s="3765"/>
      <c r="AD213" s="3775"/>
      <c r="AH213" s="259"/>
      <c r="AI213" s="466"/>
      <c r="AJ213" s="466"/>
      <c r="AK213" s="466"/>
      <c r="AL213" s="283"/>
      <c r="AM213" s="259"/>
      <c r="AN213" s="466"/>
      <c r="AO213" s="283"/>
    </row>
    <row r="214" spans="1:41">
      <c r="A214" s="262"/>
      <c r="B214" s="1358" t="s">
        <v>565</v>
      </c>
      <c r="C214" s="259">
        <v>0</v>
      </c>
      <c r="D214" s="466">
        <v>0</v>
      </c>
      <c r="E214" s="466">
        <v>0</v>
      </c>
      <c r="F214" s="466">
        <v>0</v>
      </c>
      <c r="G214" s="283">
        <v>0</v>
      </c>
      <c r="H214" s="259">
        <v>0</v>
      </c>
      <c r="I214" s="466">
        <v>0</v>
      </c>
      <c r="J214" s="466">
        <v>0</v>
      </c>
      <c r="K214" s="466">
        <v>0</v>
      </c>
      <c r="L214" s="466">
        <v>0</v>
      </c>
      <c r="M214" s="259">
        <v>0</v>
      </c>
      <c r="N214" s="466">
        <v>0</v>
      </c>
      <c r="O214" s="466">
        <v>0</v>
      </c>
      <c r="P214" s="466">
        <v>0</v>
      </c>
      <c r="Q214" s="283">
        <v>0</v>
      </c>
      <c r="R214" s="1174"/>
      <c r="S214" s="259">
        <v>0</v>
      </c>
      <c r="T214" s="466">
        <v>0</v>
      </c>
      <c r="U214" s="466">
        <v>0</v>
      </c>
      <c r="V214" s="466">
        <v>0</v>
      </c>
      <c r="W214" s="283">
        <v>0</v>
      </c>
      <c r="X214" s="3562"/>
      <c r="Y214" s="259">
        <v>0</v>
      </c>
      <c r="Z214" s="466">
        <v>0</v>
      </c>
      <c r="AA214" s="466">
        <v>0</v>
      </c>
      <c r="AB214" s="466">
        <v>0</v>
      </c>
      <c r="AC214" s="3766">
        <v>0</v>
      </c>
      <c r="AD214" s="3775"/>
      <c r="AH214" s="259">
        <f t="shared" ref="AH214:AO214" si="80">SUM(AH211:AH213)</f>
        <v>0</v>
      </c>
      <c r="AI214" s="466">
        <f t="shared" si="80"/>
        <v>0</v>
      </c>
      <c r="AJ214" s="466">
        <f t="shared" si="80"/>
        <v>0</v>
      </c>
      <c r="AK214" s="466">
        <f t="shared" si="80"/>
        <v>0</v>
      </c>
      <c r="AL214" s="283">
        <f t="shared" si="80"/>
        <v>0</v>
      </c>
      <c r="AM214" s="259">
        <f t="shared" si="80"/>
        <v>0</v>
      </c>
      <c r="AN214" s="466">
        <f t="shared" si="80"/>
        <v>0</v>
      </c>
      <c r="AO214" s="283">
        <f t="shared" si="80"/>
        <v>0</v>
      </c>
    </row>
    <row r="215" spans="1:41">
      <c r="A215" s="262"/>
      <c r="B215" s="1360" t="s">
        <v>566</v>
      </c>
      <c r="C215" s="298"/>
      <c r="D215" s="288"/>
      <c r="E215" s="288"/>
      <c r="F215" s="288"/>
      <c r="G215" s="299"/>
      <c r="H215" s="298"/>
      <c r="I215" s="288"/>
      <c r="J215" s="288"/>
      <c r="K215" s="288"/>
      <c r="L215" s="288"/>
      <c r="M215" s="298"/>
      <c r="N215" s="288"/>
      <c r="O215" s="288"/>
      <c r="P215" s="288"/>
      <c r="Q215" s="299"/>
      <c r="R215" s="1174"/>
      <c r="S215" s="298"/>
      <c r="T215" s="288"/>
      <c r="U215" s="288"/>
      <c r="V215" s="288"/>
      <c r="W215" s="299"/>
      <c r="X215" s="3561"/>
      <c r="Y215" s="298"/>
      <c r="Z215" s="288"/>
      <c r="AA215" s="288"/>
      <c r="AB215" s="288"/>
      <c r="AC215" s="288"/>
      <c r="AD215" s="3774"/>
      <c r="AH215" s="298"/>
      <c r="AI215" s="288"/>
      <c r="AJ215" s="288"/>
      <c r="AK215" s="288"/>
      <c r="AL215" s="299"/>
      <c r="AM215" s="298"/>
      <c r="AN215" s="288"/>
      <c r="AO215" s="299"/>
    </row>
    <row r="216" spans="1:41">
      <c r="A216" s="262"/>
      <c r="B216" s="1361" t="s">
        <v>57</v>
      </c>
      <c r="C216" s="302">
        <v>91549.740666820828</v>
      </c>
      <c r="D216" s="284">
        <v>25489.41570245356</v>
      </c>
      <c r="E216" s="284">
        <v>-23623.202146102161</v>
      </c>
      <c r="F216" s="284">
        <v>0</v>
      </c>
      <c r="G216" s="960">
        <v>189363.96739958139</v>
      </c>
      <c r="H216" s="302">
        <v>47579.569593804437</v>
      </c>
      <c r="I216" s="284">
        <v>98465.983131412417</v>
      </c>
      <c r="J216" s="284">
        <v>45786.274628497224</v>
      </c>
      <c r="K216" s="284">
        <v>36517.565827847313</v>
      </c>
      <c r="L216" s="284">
        <v>94308.447112733018</v>
      </c>
      <c r="M216" s="302">
        <v>89051.905296406316</v>
      </c>
      <c r="N216" s="284">
        <v>89369.850938614982</v>
      </c>
      <c r="O216" s="284">
        <v>89951.026143703217</v>
      </c>
      <c r="P216" s="284">
        <v>90652.679728189192</v>
      </c>
      <c r="Q216" s="960">
        <v>92123.197275348895</v>
      </c>
      <c r="R216" s="1174"/>
      <c r="S216" s="302">
        <v>55922.461644725779</v>
      </c>
      <c r="T216" s="284">
        <v>62788.992488664779</v>
      </c>
      <c r="U216" s="284">
        <v>64085.438640817556</v>
      </c>
      <c r="V216" s="284">
        <v>71361.956729454454</v>
      </c>
      <c r="W216" s="960">
        <v>78906.427169662929</v>
      </c>
      <c r="X216" s="3562">
        <v>-0.15097747670614248</v>
      </c>
      <c r="Y216" s="302">
        <v>33690.728802874772</v>
      </c>
      <c r="Z216" s="284">
        <v>39949.713518572105</v>
      </c>
      <c r="AA216" s="284">
        <v>39928.883223598255</v>
      </c>
      <c r="AB216" s="284">
        <v>40254.170091119297</v>
      </c>
      <c r="AC216" s="3767">
        <v>40759.717709222474</v>
      </c>
      <c r="AD216" s="3775">
        <v>0.65819977349008996</v>
      </c>
      <c r="AH216" s="302">
        <f t="shared" ref="AH216:AO216" si="81">AH206+AH201+AH211</f>
        <v>0</v>
      </c>
      <c r="AI216" s="284">
        <f t="shared" si="81"/>
        <v>0</v>
      </c>
      <c r="AJ216" s="284">
        <f t="shared" si="81"/>
        <v>0</v>
      </c>
      <c r="AK216" s="284">
        <f t="shared" si="81"/>
        <v>0</v>
      </c>
      <c r="AL216" s="960">
        <f t="shared" si="81"/>
        <v>0</v>
      </c>
      <c r="AM216" s="302">
        <f t="shared" si="81"/>
        <v>0</v>
      </c>
      <c r="AN216" s="284">
        <f t="shared" si="81"/>
        <v>0</v>
      </c>
      <c r="AO216" s="960">
        <f t="shared" si="81"/>
        <v>0</v>
      </c>
    </row>
    <row r="217" spans="1:41">
      <c r="A217" s="262"/>
      <c r="B217" s="1361" t="s">
        <v>60</v>
      </c>
      <c r="C217" s="302">
        <v>119409.01105514972</v>
      </c>
      <c r="D217" s="284">
        <v>33246.035425490401</v>
      </c>
      <c r="E217" s="284">
        <v>-30811.919134624746</v>
      </c>
      <c r="F217" s="284">
        <v>0</v>
      </c>
      <c r="G217" s="960">
        <v>246988.83811102388</v>
      </c>
      <c r="H217" s="302">
        <v>62058.388262424705</v>
      </c>
      <c r="I217" s="284">
        <v>128429.91779829487</v>
      </c>
      <c r="J217" s="284">
        <v>59719.380234899843</v>
      </c>
      <c r="K217" s="284">
        <v>47630.134065741891</v>
      </c>
      <c r="L217" s="284">
        <v>123007.21249295268</v>
      </c>
      <c r="M217" s="302">
        <v>116151.06571104167</v>
      </c>
      <c r="N217" s="284">
        <v>116565.76458871079</v>
      </c>
      <c r="O217" s="284">
        <v>117323.79575279589</v>
      </c>
      <c r="P217" s="284">
        <v>118238.96776766468</v>
      </c>
      <c r="Q217" s="960">
        <v>120156.97479604749</v>
      </c>
      <c r="R217" s="1174"/>
      <c r="S217" s="302">
        <v>72940.084724743938</v>
      </c>
      <c r="T217" s="284">
        <v>81896.152229494328</v>
      </c>
      <c r="U217" s="284">
        <v>83587.116636244653</v>
      </c>
      <c r="V217" s="284">
        <v>93077.933568770793</v>
      </c>
      <c r="W217" s="960">
        <v>102918.24275630515</v>
      </c>
      <c r="X217" s="3562">
        <v>-0.15097747670614226</v>
      </c>
      <c r="Y217" s="302">
        <v>43943.069404417438</v>
      </c>
      <c r="Z217" s="284">
        <v>52106.709952899932</v>
      </c>
      <c r="AA217" s="284">
        <v>52079.540843466122</v>
      </c>
      <c r="AB217" s="284">
        <v>52503.814936183364</v>
      </c>
      <c r="AC217" s="3767">
        <v>53163.204473273181</v>
      </c>
      <c r="AD217" s="3775">
        <v>0.65819977349008996</v>
      </c>
      <c r="AH217" s="302">
        <f t="shared" ref="AH217:AO217" si="82">AH207+AH202+AH212</f>
        <v>0</v>
      </c>
      <c r="AI217" s="284">
        <f t="shared" si="82"/>
        <v>0</v>
      </c>
      <c r="AJ217" s="284">
        <f t="shared" si="82"/>
        <v>0</v>
      </c>
      <c r="AK217" s="284">
        <f t="shared" si="82"/>
        <v>0</v>
      </c>
      <c r="AL217" s="960">
        <f t="shared" si="82"/>
        <v>0</v>
      </c>
      <c r="AM217" s="302">
        <f t="shared" si="82"/>
        <v>0</v>
      </c>
      <c r="AN217" s="284">
        <f t="shared" si="82"/>
        <v>0</v>
      </c>
      <c r="AO217" s="960">
        <f t="shared" si="82"/>
        <v>0</v>
      </c>
    </row>
    <row r="218" spans="1:41">
      <c r="A218" s="262"/>
      <c r="B218" s="1361" t="s">
        <v>61</v>
      </c>
      <c r="C218" s="302">
        <v>27520.151587505032</v>
      </c>
      <c r="D218" s="284">
        <v>7662.2017593838873</v>
      </c>
      <c r="E218" s="284">
        <v>-7101.2118582507146</v>
      </c>
      <c r="F218" s="284">
        <v>0</v>
      </c>
      <c r="G218" s="960">
        <v>56923.428183303564</v>
      </c>
      <c r="H218" s="302">
        <v>14302.574296251294</v>
      </c>
      <c r="I218" s="284">
        <v>29599.19670172545</v>
      </c>
      <c r="J218" s="284">
        <v>13763.503962169507</v>
      </c>
      <c r="K218" s="284">
        <v>10977.299770257785</v>
      </c>
      <c r="L218" s="284">
        <v>22255.86569976385</v>
      </c>
      <c r="M218" s="302">
        <v>26769.294102450989</v>
      </c>
      <c r="N218" s="284">
        <v>26864.869602790339</v>
      </c>
      <c r="O218" s="284">
        <v>27039.572770996296</v>
      </c>
      <c r="P218" s="284">
        <v>27250.492134244352</v>
      </c>
      <c r="Q218" s="960">
        <v>27692.534520330402</v>
      </c>
      <c r="R218" s="1174"/>
      <c r="S218" s="302">
        <v>16810.474944000001</v>
      </c>
      <c r="T218" s="284">
        <v>18874.576582400001</v>
      </c>
      <c r="U218" s="284">
        <v>19264.292537599998</v>
      </c>
      <c r="V218" s="284">
        <v>21451.637683200002</v>
      </c>
      <c r="W218" s="960">
        <v>23719.530182399998</v>
      </c>
      <c r="X218" s="3562">
        <v>-0.15097747670614237</v>
      </c>
      <c r="Y218" s="302">
        <v>10127.543311377825</v>
      </c>
      <c r="Z218" s="284">
        <v>12009.0145957885</v>
      </c>
      <c r="AA218" s="284">
        <v>12002.752940964387</v>
      </c>
      <c r="AB218" s="284">
        <v>12100.535237652508</v>
      </c>
      <c r="AC218" s="3767">
        <v>12252.504505763653</v>
      </c>
      <c r="AD218" s="3775">
        <v>0.55402269717135</v>
      </c>
      <c r="AH218" s="302">
        <f t="shared" ref="AH218:AO218" si="83">AH208+AH203+AH213</f>
        <v>0</v>
      </c>
      <c r="AI218" s="284">
        <f t="shared" si="83"/>
        <v>0</v>
      </c>
      <c r="AJ218" s="284">
        <f t="shared" si="83"/>
        <v>0</v>
      </c>
      <c r="AK218" s="284">
        <f t="shared" si="83"/>
        <v>0</v>
      </c>
      <c r="AL218" s="960">
        <f t="shared" si="83"/>
        <v>0</v>
      </c>
      <c r="AM218" s="302">
        <f t="shared" si="83"/>
        <v>0</v>
      </c>
      <c r="AN218" s="284">
        <f t="shared" si="83"/>
        <v>0</v>
      </c>
      <c r="AO218" s="960">
        <f t="shared" si="83"/>
        <v>0</v>
      </c>
    </row>
    <row r="219" spans="1:41">
      <c r="A219" s="262"/>
      <c r="B219" s="1362" t="s">
        <v>566</v>
      </c>
      <c r="C219" s="311">
        <v>238478.9033094756</v>
      </c>
      <c r="D219" s="312">
        <v>66397.652887327844</v>
      </c>
      <c r="E219" s="312">
        <v>-61536.333138977621</v>
      </c>
      <c r="F219" s="312">
        <v>0</v>
      </c>
      <c r="G219" s="313">
        <v>493276.23369390884</v>
      </c>
      <c r="H219" s="311">
        <v>123940.53215248043</v>
      </c>
      <c r="I219" s="312">
        <v>256495.09763143273</v>
      </c>
      <c r="J219" s="312">
        <v>119269.15882556657</v>
      </c>
      <c r="K219" s="312">
        <v>95124.999663846989</v>
      </c>
      <c r="L219" s="312">
        <v>239571.52530544953</v>
      </c>
      <c r="M219" s="311">
        <v>231972.26510989896</v>
      </c>
      <c r="N219" s="312">
        <v>232800.48513011611</v>
      </c>
      <c r="O219" s="312">
        <v>234314.39466749539</v>
      </c>
      <c r="P219" s="312">
        <v>236142.13963009825</v>
      </c>
      <c r="Q219" s="313">
        <v>239972.70659172678</v>
      </c>
      <c r="R219" s="1174"/>
      <c r="S219" s="311">
        <v>145673.02131346974</v>
      </c>
      <c r="T219" s="312">
        <v>163559.72130055912</v>
      </c>
      <c r="U219" s="312">
        <v>166936.84781466221</v>
      </c>
      <c r="V219" s="312">
        <v>185891.52798142526</v>
      </c>
      <c r="W219" s="313">
        <v>205544.20010836807</v>
      </c>
      <c r="X219" s="3562">
        <v>-0.15097747670614226</v>
      </c>
      <c r="Y219" s="311">
        <v>87761.341518670044</v>
      </c>
      <c r="Z219" s="312">
        <v>104065.43806726053</v>
      </c>
      <c r="AA219" s="312">
        <v>104011.17700802877</v>
      </c>
      <c r="AB219" s="312">
        <v>104858.52026495518</v>
      </c>
      <c r="AC219" s="3768">
        <v>106175.42668825929</v>
      </c>
      <c r="AD219" s="3775">
        <v>0.64617787598700405</v>
      </c>
      <c r="AH219" s="311">
        <f>SUM(AH216:AH218)</f>
        <v>0</v>
      </c>
      <c r="AI219" s="312">
        <f t="shared" ref="AI219:AO219" si="84">SUM(AI216:AI218)</f>
        <v>0</v>
      </c>
      <c r="AJ219" s="312">
        <f t="shared" si="84"/>
        <v>0</v>
      </c>
      <c r="AK219" s="312">
        <f t="shared" si="84"/>
        <v>0</v>
      </c>
      <c r="AL219" s="313">
        <f t="shared" si="84"/>
        <v>0</v>
      </c>
      <c r="AM219" s="311">
        <f t="shared" si="84"/>
        <v>0</v>
      </c>
      <c r="AN219" s="312">
        <f t="shared" si="84"/>
        <v>0</v>
      </c>
      <c r="AO219" s="313">
        <f t="shared" si="84"/>
        <v>0</v>
      </c>
    </row>
    <row r="220" spans="1:41">
      <c r="A220" s="262"/>
      <c r="B220" s="1359" t="s">
        <v>567</v>
      </c>
      <c r="C220" s="305">
        <v>49056.351654814636</v>
      </c>
      <c r="D220" s="291">
        <v>4080.0538815277032</v>
      </c>
      <c r="E220" s="291">
        <v>2559.3436680958171</v>
      </c>
      <c r="F220" s="291">
        <v>13896.25751125104</v>
      </c>
      <c r="G220" s="961">
        <v>43815.41170866476</v>
      </c>
      <c r="H220" s="305">
        <v>24436.262454189557</v>
      </c>
      <c r="I220" s="291">
        <v>55558.355978875021</v>
      </c>
      <c r="J220" s="291">
        <v>12889.586347676121</v>
      </c>
      <c r="K220" s="291">
        <v>0</v>
      </c>
      <c r="L220" s="291">
        <v>12342.760032194572</v>
      </c>
      <c r="M220" s="305">
        <v>10315.736491064434</v>
      </c>
      <c r="N220" s="291">
        <v>11001.822584594534</v>
      </c>
      <c r="O220" s="291">
        <v>11249.498116750998</v>
      </c>
      <c r="P220" s="291">
        <v>12099.111600801514</v>
      </c>
      <c r="Q220" s="961">
        <v>12465.15840879037</v>
      </c>
      <c r="R220" s="1174"/>
      <c r="S220" s="305"/>
      <c r="T220" s="291"/>
      <c r="U220" s="291"/>
      <c r="V220" s="291"/>
      <c r="W220" s="961"/>
      <c r="X220" s="3562"/>
      <c r="Y220" s="305"/>
      <c r="Z220" s="291"/>
      <c r="AA220" s="291"/>
      <c r="AB220" s="291"/>
      <c r="AC220" s="3769"/>
      <c r="AD220" s="3775"/>
      <c r="AH220" s="1638"/>
      <c r="AI220" s="1639"/>
      <c r="AJ220" s="1639"/>
      <c r="AK220" s="1639"/>
      <c r="AL220" s="1640"/>
      <c r="AM220" s="1638"/>
      <c r="AN220" s="1639"/>
      <c r="AO220" s="1640"/>
    </row>
    <row r="221" spans="1:41">
      <c r="A221" s="262"/>
      <c r="B221" s="310" t="s">
        <v>151</v>
      </c>
      <c r="C221" s="305"/>
      <c r="D221" s="291"/>
      <c r="E221" s="291"/>
      <c r="F221" s="291"/>
      <c r="G221" s="961"/>
      <c r="H221" s="305"/>
      <c r="I221" s="291"/>
      <c r="J221" s="291"/>
      <c r="K221" s="291"/>
      <c r="L221" s="291"/>
      <c r="M221" s="305"/>
      <c r="N221" s="291"/>
      <c r="O221" s="291"/>
      <c r="P221" s="291"/>
      <c r="Q221" s="961"/>
      <c r="R221" s="1174"/>
      <c r="S221" s="305"/>
      <c r="T221" s="291"/>
      <c r="U221" s="291"/>
      <c r="V221" s="291"/>
      <c r="W221" s="961"/>
      <c r="X221" s="3562"/>
      <c r="Y221" s="305"/>
      <c r="Z221" s="291"/>
      <c r="AA221" s="291"/>
      <c r="AB221" s="291"/>
      <c r="AC221" s="3769"/>
      <c r="AD221" s="3775"/>
      <c r="AH221" s="1638"/>
      <c r="AI221" s="1639"/>
      <c r="AJ221" s="1639"/>
      <c r="AK221" s="1639"/>
      <c r="AL221" s="1640"/>
      <c r="AM221" s="1638"/>
      <c r="AN221" s="1639"/>
      <c r="AO221" s="1640"/>
    </row>
    <row r="222" spans="1:41" ht="25.5">
      <c r="A222" s="262"/>
      <c r="B222" s="501" t="s">
        <v>571</v>
      </c>
      <c r="C222" s="306">
        <v>227326.69233862634</v>
      </c>
      <c r="D222" s="286">
        <v>77454.55577354526</v>
      </c>
      <c r="E222" s="286">
        <v>16124.686440065994</v>
      </c>
      <c r="F222" s="286">
        <v>87642.434182384182</v>
      </c>
      <c r="G222" s="307">
        <v>223131.38951831276</v>
      </c>
      <c r="H222" s="306">
        <v>116173.90524827442</v>
      </c>
      <c r="I222" s="286">
        <v>276538.74778441712</v>
      </c>
      <c r="J222" s="286">
        <v>83180.759241323627</v>
      </c>
      <c r="K222" s="286">
        <v>0</v>
      </c>
      <c r="L222" s="286">
        <v>141559.57766432036</v>
      </c>
      <c r="M222" s="306">
        <v>158550.61657580984</v>
      </c>
      <c r="N222" s="286">
        <v>159808.5728691314</v>
      </c>
      <c r="O222" s="286">
        <v>161072.7666012327</v>
      </c>
      <c r="P222" s="286">
        <v>163144.52220760853</v>
      </c>
      <c r="Q222" s="307">
        <v>165902.03619650207</v>
      </c>
      <c r="R222" s="1174"/>
      <c r="S222" s="306">
        <v>145673.02131346974</v>
      </c>
      <c r="T222" s="286">
        <v>163559.72130055912</v>
      </c>
      <c r="U222" s="286">
        <v>166936.84781466221</v>
      </c>
      <c r="V222" s="286">
        <v>185891.52798142526</v>
      </c>
      <c r="W222" s="307">
        <v>205544.20010836807</v>
      </c>
      <c r="X222" s="3563">
        <v>-0.15097747670614226</v>
      </c>
      <c r="Y222" s="306">
        <v>87761.341518670044</v>
      </c>
      <c r="Z222" s="286">
        <v>104065.43806726053</v>
      </c>
      <c r="AA222" s="286">
        <v>104011.17700802877</v>
      </c>
      <c r="AB222" s="286">
        <v>104858.52026495518</v>
      </c>
      <c r="AC222" s="3770">
        <v>106175.42668825929</v>
      </c>
      <c r="AD222" s="3776">
        <v>0.64617787598700405</v>
      </c>
      <c r="AH222" s="1641">
        <f>SUM(AH219,AH220,AH221)</f>
        <v>0</v>
      </c>
      <c r="AI222" s="1642">
        <f t="shared" ref="AI222:AO222" si="85">SUM(AI219,AI220,AI221)</f>
        <v>0</v>
      </c>
      <c r="AJ222" s="1642">
        <f t="shared" si="85"/>
        <v>0</v>
      </c>
      <c r="AK222" s="1642">
        <f t="shared" si="85"/>
        <v>0</v>
      </c>
      <c r="AL222" s="1643">
        <f t="shared" si="85"/>
        <v>0</v>
      </c>
      <c r="AM222" s="1641">
        <f t="shared" si="85"/>
        <v>0</v>
      </c>
      <c r="AN222" s="1642">
        <f t="shared" si="85"/>
        <v>0</v>
      </c>
      <c r="AO222" s="1643">
        <f t="shared" si="85"/>
        <v>0</v>
      </c>
    </row>
    <row r="223" spans="1:41">
      <c r="A223" s="262"/>
      <c r="B223" s="1348" t="s">
        <v>35</v>
      </c>
      <c r="C223" s="308">
        <v>187761.60363999999</v>
      </c>
      <c r="D223" s="287">
        <v>162195.63100000002</v>
      </c>
      <c r="E223" s="287">
        <v>176959.56668000002</v>
      </c>
      <c r="F223" s="287">
        <v>182080.05816000002</v>
      </c>
      <c r="G223" s="309">
        <v>270112.83841823711</v>
      </c>
      <c r="H223" s="308">
        <v>361211.31731056579</v>
      </c>
      <c r="I223" s="287">
        <v>241367.41309498806</v>
      </c>
      <c r="J223" s="287">
        <v>170248.81601749393</v>
      </c>
      <c r="K223" s="287">
        <v>112734.53203735322</v>
      </c>
      <c r="L223" s="287">
        <v>261548.76152776901</v>
      </c>
      <c r="M223" s="308">
        <v>1387149.67805639</v>
      </c>
      <c r="N223" s="287">
        <v>1403038.3315695999</v>
      </c>
      <c r="O223" s="287">
        <v>1417797.6318061601</v>
      </c>
      <c r="P223" s="287">
        <v>1441989.76243232</v>
      </c>
      <c r="Q223" s="309">
        <v>1462635.86811262</v>
      </c>
      <c r="R223" s="1174"/>
      <c r="S223" s="308"/>
      <c r="T223" s="287"/>
      <c r="U223" s="287"/>
      <c r="V223" s="287"/>
      <c r="W223" s="309"/>
      <c r="X223" s="3564"/>
      <c r="Y223" s="308"/>
      <c r="Z223" s="287"/>
      <c r="AA223" s="287"/>
      <c r="AB223" s="287"/>
      <c r="AC223" s="3771"/>
      <c r="AD223" s="3777"/>
      <c r="AH223" s="302"/>
      <c r="AI223" s="284"/>
      <c r="AJ223" s="284"/>
      <c r="AK223" s="284"/>
      <c r="AL223" s="960"/>
      <c r="AM223" s="302"/>
      <c r="AN223" s="284"/>
      <c r="AO223" s="960"/>
    </row>
    <row r="224" spans="1:41" ht="13.5" thickBot="1">
      <c r="A224" s="262"/>
      <c r="B224" s="1353" t="s">
        <v>572</v>
      </c>
      <c r="C224" s="962">
        <v>39565.08869862635</v>
      </c>
      <c r="D224" s="963">
        <v>-84741.075226454763</v>
      </c>
      <c r="E224" s="963">
        <v>-160834.88023993402</v>
      </c>
      <c r="F224" s="963">
        <v>-94437.623977615833</v>
      </c>
      <c r="G224" s="964">
        <v>-46981.448899924348</v>
      </c>
      <c r="H224" s="962">
        <v>-245037.41206229138</v>
      </c>
      <c r="I224" s="963">
        <v>35171.334689429059</v>
      </c>
      <c r="J224" s="963">
        <v>-87068.056776170299</v>
      </c>
      <c r="K224" s="963">
        <v>-112734.53203735322</v>
      </c>
      <c r="L224" s="963">
        <v>-119989.18386344865</v>
      </c>
      <c r="M224" s="962">
        <v>-1228599.0614805801</v>
      </c>
      <c r="N224" s="963">
        <v>-1243229.7587004686</v>
      </c>
      <c r="O224" s="963">
        <v>-1256724.8652049275</v>
      </c>
      <c r="P224" s="963">
        <v>-1278845.2402247116</v>
      </c>
      <c r="Q224" s="964">
        <v>-1296733.8319161178</v>
      </c>
      <c r="R224" s="1174"/>
      <c r="S224" s="962">
        <v>145673.02131346974</v>
      </c>
      <c r="T224" s="963">
        <v>163559.72130055912</v>
      </c>
      <c r="U224" s="963">
        <v>166936.84781466221</v>
      </c>
      <c r="V224" s="963">
        <v>185891.52798142526</v>
      </c>
      <c r="W224" s="964">
        <v>205544.20010836807</v>
      </c>
      <c r="X224" s="3563">
        <v>-0.93217940395055832</v>
      </c>
      <c r="Y224" s="962">
        <v>87761.341518670044</v>
      </c>
      <c r="Z224" s="963">
        <v>104065.43806726053</v>
      </c>
      <c r="AA224" s="963">
        <v>104011.17700802877</v>
      </c>
      <c r="AB224" s="963">
        <v>104858.52026495518</v>
      </c>
      <c r="AC224" s="3772">
        <v>106175.42668825929</v>
      </c>
      <c r="AD224" s="3778">
        <v>-6.4635699131723614</v>
      </c>
      <c r="AH224" s="1633">
        <f>AH222-AH223</f>
        <v>0</v>
      </c>
      <c r="AI224" s="963">
        <f t="shared" ref="AI224:AO224" si="86">AI222-AI223</f>
        <v>0</v>
      </c>
      <c r="AJ224" s="963">
        <f t="shared" si="86"/>
        <v>0</v>
      </c>
      <c r="AK224" s="963">
        <f t="shared" si="86"/>
        <v>0</v>
      </c>
      <c r="AL224" s="964">
        <f t="shared" si="86"/>
        <v>0</v>
      </c>
      <c r="AM224" s="1633">
        <f t="shared" si="86"/>
        <v>0</v>
      </c>
      <c r="AN224" s="963">
        <f t="shared" si="86"/>
        <v>0</v>
      </c>
      <c r="AO224" s="964">
        <f t="shared" si="86"/>
        <v>0</v>
      </c>
    </row>
    <row r="225" spans="1:44" s="164" customFormat="1" ht="31.5" customHeight="1" thickBot="1">
      <c r="A225" s="741"/>
      <c r="B225" s="1383" t="s">
        <v>121</v>
      </c>
      <c r="C225" s="263"/>
      <c r="D225" s="1005"/>
      <c r="E225" s="1005"/>
      <c r="F225" s="1005"/>
      <c r="G225" s="1005"/>
      <c r="H225" s="1005"/>
      <c r="I225" s="1005"/>
      <c r="J225" s="1005"/>
      <c r="K225" s="1005"/>
      <c r="L225" s="1005"/>
      <c r="M225" s="1005"/>
      <c r="N225" s="1005"/>
      <c r="O225" s="1005"/>
      <c r="P225" s="1005"/>
      <c r="Q225" s="1006"/>
      <c r="R225" s="1174"/>
      <c r="S225" s="3982" t="s">
        <v>1787</v>
      </c>
      <c r="T225" s="3980"/>
      <c r="U225" s="3980"/>
      <c r="V225" s="3980"/>
      <c r="W225" s="3980"/>
      <c r="X225" s="3983" t="s">
        <v>1788</v>
      </c>
      <c r="Y225" s="3983"/>
      <c r="Z225" s="3983"/>
      <c r="AA225" s="3983"/>
      <c r="AB225" s="3984"/>
      <c r="AC225" s="1005"/>
      <c r="AD225" s="1006"/>
      <c r="AE225"/>
      <c r="AH225" s="1635"/>
      <c r="AI225" s="1636"/>
      <c r="AJ225" s="1636"/>
      <c r="AK225" s="1636"/>
      <c r="AL225" s="1636"/>
      <c r="AM225" s="1636"/>
      <c r="AN225" s="1636"/>
      <c r="AO225" s="1637"/>
    </row>
    <row r="226" spans="1:44" ht="13.5" thickBot="1">
      <c r="A226" s="1174"/>
      <c r="B226" s="1174"/>
      <c r="C226" s="1174"/>
      <c r="D226" s="1174"/>
      <c r="E226" s="1174"/>
      <c r="F226" s="1174"/>
      <c r="G226" s="1174"/>
      <c r="H226" s="1174"/>
      <c r="I226" s="1174"/>
      <c r="J226" s="1174"/>
      <c r="K226" s="1174"/>
      <c r="L226" s="1174"/>
      <c r="M226" s="1174"/>
      <c r="N226" s="1174"/>
      <c r="O226" s="1174"/>
      <c r="P226" s="1174"/>
      <c r="Q226" s="1174"/>
      <c r="R226" s="1174"/>
      <c r="S226" s="1174"/>
      <c r="T226" s="1174"/>
      <c r="U226" s="1174"/>
      <c r="V226" s="1174"/>
      <c r="W226" s="1174"/>
      <c r="X226" s="1174"/>
      <c r="Y226" s="1174"/>
      <c r="Z226" s="1174"/>
      <c r="AA226" s="1174"/>
      <c r="AB226" s="1174"/>
      <c r="AC226" s="1174"/>
      <c r="AD226" s="1174"/>
      <c r="AH226" s="1174"/>
      <c r="AI226" s="1174"/>
      <c r="AJ226" s="1174"/>
      <c r="AK226" s="1174"/>
      <c r="AL226" s="1174"/>
      <c r="AM226" s="1174"/>
      <c r="AN226" s="1174"/>
      <c r="AO226" s="1174"/>
    </row>
    <row r="227" spans="1:44" ht="16.5" thickBot="1">
      <c r="A227" s="833"/>
      <c r="B227" s="252" t="s">
        <v>557</v>
      </c>
      <c r="C227" s="269"/>
      <c r="D227" s="269"/>
      <c r="E227" s="269"/>
      <c r="F227" s="269"/>
      <c r="G227" s="269"/>
      <c r="H227" s="269"/>
      <c r="I227" s="269"/>
      <c r="J227" s="269"/>
      <c r="K227" s="269"/>
      <c r="L227" s="269"/>
      <c r="M227" s="269"/>
      <c r="N227" s="269"/>
      <c r="O227" s="269"/>
      <c r="P227" s="269"/>
      <c r="Q227" s="270"/>
      <c r="R227" s="1174"/>
      <c r="S227" s="252"/>
      <c r="T227" s="269"/>
      <c r="U227" s="269"/>
      <c r="V227" s="269"/>
      <c r="W227" s="269"/>
      <c r="X227" s="269"/>
      <c r="Y227" s="269"/>
      <c r="Z227" s="269"/>
      <c r="AA227" s="269"/>
      <c r="AB227" s="269"/>
      <c r="AC227" s="269"/>
      <c r="AD227" s="270"/>
      <c r="AH227" s="252"/>
      <c r="AI227" s="269"/>
      <c r="AJ227" s="269"/>
      <c r="AK227" s="269"/>
      <c r="AL227" s="269"/>
      <c r="AM227" s="269"/>
      <c r="AN227" s="269"/>
      <c r="AO227" s="270"/>
    </row>
    <row r="228" spans="1:44">
      <c r="A228" s="262"/>
      <c r="B228" s="330" t="s">
        <v>566</v>
      </c>
      <c r="C228" s="331">
        <f>SUM(C103,C132,C161,C190,C219)</f>
        <v>30182991.769805118</v>
      </c>
      <c r="D228" s="332">
        <f t="shared" ref="D228:Q228" si="87">SUM(D103,D132,D161,D190,D219)</f>
        <v>31159645.778324656</v>
      </c>
      <c r="E228" s="332">
        <f t="shared" si="87"/>
        <v>35968610.081011608</v>
      </c>
      <c r="F228" s="332">
        <f t="shared" si="87"/>
        <v>38663929.143290699</v>
      </c>
      <c r="G228" s="977">
        <f t="shared" si="87"/>
        <v>37075319.668776043</v>
      </c>
      <c r="H228" s="331">
        <f t="shared" si="87"/>
        <v>30890229.641592287</v>
      </c>
      <c r="I228" s="332">
        <f t="shared" si="87"/>
        <v>29063633.134185873</v>
      </c>
      <c r="J228" s="332">
        <f t="shared" si="87"/>
        <v>32644578.906161141</v>
      </c>
      <c r="K228" s="332">
        <f t="shared" si="87"/>
        <v>46363516.037815228</v>
      </c>
      <c r="L228" s="332">
        <f t="shared" si="87"/>
        <v>34954209.371583544</v>
      </c>
      <c r="M228" s="331">
        <f t="shared" si="87"/>
        <v>38172272.768051706</v>
      </c>
      <c r="N228" s="332">
        <f t="shared" si="87"/>
        <v>38986294.46524018</v>
      </c>
      <c r="O228" s="332">
        <f t="shared" si="87"/>
        <v>40004095.690907456</v>
      </c>
      <c r="P228" s="332">
        <f t="shared" si="87"/>
        <v>41241670.294013992</v>
      </c>
      <c r="Q228" s="977">
        <f t="shared" si="87"/>
        <v>40684421.255166091</v>
      </c>
      <c r="R228" s="1174"/>
      <c r="S228" s="331">
        <f t="shared" ref="S228:W230" si="88">SUM(S103,S132,S161,S190,S219)</f>
        <v>30570304.187990814</v>
      </c>
      <c r="T228" s="332">
        <f t="shared" si="88"/>
        <v>33059784.355019554</v>
      </c>
      <c r="U228" s="332">
        <f t="shared" si="88"/>
        <v>34486908.950519934</v>
      </c>
      <c r="V228" s="332">
        <f t="shared" si="88"/>
        <v>35174957.149297118</v>
      </c>
      <c r="W228" s="977">
        <f t="shared" si="88"/>
        <v>33664981.432929382</v>
      </c>
      <c r="X228" s="988">
        <f t="shared" ref="X228:X233" si="89">SUM(C228:G228)/SUM(S228:W228)-1</f>
        <v>3.6497797028848034E-2</v>
      </c>
      <c r="Y228" s="1621">
        <f t="shared" ref="Y228:AC230" si="90">SUM(Y103,Y132,Y161,Y190,Y219)</f>
        <v>42554694.345963761</v>
      </c>
      <c r="Z228" s="332">
        <f t="shared" si="90"/>
        <v>42588610.225108296</v>
      </c>
      <c r="AA228" s="332">
        <f t="shared" si="90"/>
        <v>43517842.811639853</v>
      </c>
      <c r="AB228" s="332">
        <f t="shared" si="90"/>
        <v>42162061.202897899</v>
      </c>
      <c r="AC228" s="332">
        <f t="shared" si="90"/>
        <v>40777141.265134804</v>
      </c>
      <c r="AD228" s="1622">
        <f t="shared" ref="AD228:AD233" si="91">SUM(H228:L228)/SUM(Y228:AC228)-1</f>
        <v>-0.17809130649352733</v>
      </c>
      <c r="AH228" s="331">
        <f t="shared" ref="AH228:AO228" si="92">SUM(AH103,AH132,AH161,AH190,AH219)</f>
        <v>0</v>
      </c>
      <c r="AI228" s="332">
        <f t="shared" si="92"/>
        <v>0</v>
      </c>
      <c r="AJ228" s="332">
        <f t="shared" si="92"/>
        <v>0</v>
      </c>
      <c r="AK228" s="332">
        <f t="shared" si="92"/>
        <v>0</v>
      </c>
      <c r="AL228" s="977">
        <f t="shared" si="92"/>
        <v>0</v>
      </c>
      <c r="AM228" s="331">
        <f t="shared" si="92"/>
        <v>0</v>
      </c>
      <c r="AN228" s="332">
        <f t="shared" si="92"/>
        <v>0</v>
      </c>
      <c r="AO228" s="332">
        <f t="shared" si="92"/>
        <v>0</v>
      </c>
    </row>
    <row r="229" spans="1:44">
      <c r="A229" s="262"/>
      <c r="B229" s="856" t="s">
        <v>567</v>
      </c>
      <c r="C229" s="511">
        <f>SUM(C104,C133,C162,C191,C220)</f>
        <v>6298951.1044361861</v>
      </c>
      <c r="D229" s="512">
        <f t="shared" ref="D229:Q229" si="93">SUM(D104,D133,D162,D191,D220)</f>
        <v>6439298.0145901833</v>
      </c>
      <c r="E229" s="512">
        <f t="shared" si="93"/>
        <v>6578324.4382528039</v>
      </c>
      <c r="F229" s="512">
        <f t="shared" si="93"/>
        <v>7367221.1918601636</v>
      </c>
      <c r="G229" s="547">
        <f t="shared" si="93"/>
        <v>8987104.7597866617</v>
      </c>
      <c r="H229" s="511">
        <f t="shared" si="93"/>
        <v>9563006.4641907457</v>
      </c>
      <c r="I229" s="512">
        <f t="shared" si="93"/>
        <v>9475827.8667528871</v>
      </c>
      <c r="J229" s="512">
        <f t="shared" si="93"/>
        <v>5596747.08484424</v>
      </c>
      <c r="K229" s="512">
        <f t="shared" si="93"/>
        <v>3614863.5478309733</v>
      </c>
      <c r="L229" s="512">
        <f t="shared" si="93"/>
        <v>2707404.1776085552</v>
      </c>
      <c r="M229" s="511">
        <f t="shared" si="93"/>
        <v>2650599.4683387545</v>
      </c>
      <c r="N229" s="512">
        <f t="shared" si="93"/>
        <v>2876188.1430107271</v>
      </c>
      <c r="O229" s="512">
        <f t="shared" si="93"/>
        <v>2997368.3054366526</v>
      </c>
      <c r="P229" s="512">
        <f t="shared" si="93"/>
        <v>3296743.506929026</v>
      </c>
      <c r="Q229" s="547">
        <f t="shared" si="93"/>
        <v>3298158.0451714215</v>
      </c>
      <c r="R229" s="1174"/>
      <c r="S229" s="511">
        <f t="shared" si="88"/>
        <v>0</v>
      </c>
      <c r="T229" s="512">
        <f t="shared" si="88"/>
        <v>0</v>
      </c>
      <c r="U229" s="512">
        <f t="shared" si="88"/>
        <v>0</v>
      </c>
      <c r="V229" s="512">
        <f t="shared" si="88"/>
        <v>0</v>
      </c>
      <c r="W229" s="547">
        <f t="shared" si="88"/>
        <v>0</v>
      </c>
      <c r="X229" s="989"/>
      <c r="Y229" s="511">
        <f t="shared" si="90"/>
        <v>0</v>
      </c>
      <c r="Z229" s="512">
        <f t="shared" si="90"/>
        <v>0</v>
      </c>
      <c r="AA229" s="512">
        <f t="shared" si="90"/>
        <v>0</v>
      </c>
      <c r="AB229" s="512">
        <f t="shared" si="90"/>
        <v>0</v>
      </c>
      <c r="AC229" s="512">
        <f t="shared" si="90"/>
        <v>0</v>
      </c>
      <c r="AD229" s="1623"/>
      <c r="AH229" s="511">
        <f t="shared" ref="AH229:AO229" si="94">SUM(AH104,AH133,AH162,AH191,AH220)</f>
        <v>0</v>
      </c>
      <c r="AI229" s="512">
        <f t="shared" si="94"/>
        <v>0</v>
      </c>
      <c r="AJ229" s="512">
        <f t="shared" si="94"/>
        <v>0</v>
      </c>
      <c r="AK229" s="512">
        <f t="shared" si="94"/>
        <v>0</v>
      </c>
      <c r="AL229" s="547">
        <f t="shared" si="94"/>
        <v>0</v>
      </c>
      <c r="AM229" s="511">
        <f t="shared" si="94"/>
        <v>0</v>
      </c>
      <c r="AN229" s="512">
        <f t="shared" si="94"/>
        <v>0</v>
      </c>
      <c r="AO229" s="512">
        <f t="shared" si="94"/>
        <v>0</v>
      </c>
    </row>
    <row r="230" spans="1:44">
      <c r="A230" s="262"/>
      <c r="B230" s="856" t="s">
        <v>151</v>
      </c>
      <c r="C230" s="511">
        <f t="shared" ref="C230:Q230" si="95">SUM(C105,C134,C163,C192,C221)</f>
        <v>0</v>
      </c>
      <c r="D230" s="512">
        <f t="shared" si="95"/>
        <v>0</v>
      </c>
      <c r="E230" s="512">
        <f t="shared" si="95"/>
        <v>0</v>
      </c>
      <c r="F230" s="512">
        <f t="shared" si="95"/>
        <v>0</v>
      </c>
      <c r="G230" s="547">
        <f t="shared" si="95"/>
        <v>0</v>
      </c>
      <c r="H230" s="511">
        <f t="shared" si="95"/>
        <v>0</v>
      </c>
      <c r="I230" s="512">
        <f t="shared" si="95"/>
        <v>0</v>
      </c>
      <c r="J230" s="512">
        <f t="shared" si="95"/>
        <v>0</v>
      </c>
      <c r="K230" s="512">
        <f t="shared" si="95"/>
        <v>0</v>
      </c>
      <c r="L230" s="512">
        <f t="shared" si="95"/>
        <v>0</v>
      </c>
      <c r="M230" s="511">
        <f t="shared" si="95"/>
        <v>0</v>
      </c>
      <c r="N230" s="512">
        <f t="shared" si="95"/>
        <v>0</v>
      </c>
      <c r="O230" s="512">
        <f t="shared" si="95"/>
        <v>0</v>
      </c>
      <c r="P230" s="512">
        <f t="shared" si="95"/>
        <v>0</v>
      </c>
      <c r="Q230" s="547">
        <f t="shared" si="95"/>
        <v>0</v>
      </c>
      <c r="R230" s="1174"/>
      <c r="S230" s="511">
        <f t="shared" si="88"/>
        <v>0</v>
      </c>
      <c r="T230" s="512">
        <f t="shared" si="88"/>
        <v>0</v>
      </c>
      <c r="U230" s="512">
        <f t="shared" si="88"/>
        <v>0</v>
      </c>
      <c r="V230" s="512">
        <f t="shared" si="88"/>
        <v>0</v>
      </c>
      <c r="W230" s="547">
        <f t="shared" si="88"/>
        <v>0</v>
      </c>
      <c r="X230" s="989"/>
      <c r="Y230" s="511">
        <f t="shared" si="90"/>
        <v>0</v>
      </c>
      <c r="Z230" s="512">
        <f t="shared" si="90"/>
        <v>0</v>
      </c>
      <c r="AA230" s="512">
        <f t="shared" si="90"/>
        <v>0</v>
      </c>
      <c r="AB230" s="512">
        <f t="shared" si="90"/>
        <v>0</v>
      </c>
      <c r="AC230" s="512">
        <f t="shared" si="90"/>
        <v>0</v>
      </c>
      <c r="AD230" s="1623"/>
      <c r="AH230" s="511">
        <f t="shared" ref="AH230:AO230" si="96">SUM(AH105,AH134,AH163,AH192,AH221)</f>
        <v>0</v>
      </c>
      <c r="AI230" s="512">
        <f t="shared" si="96"/>
        <v>0</v>
      </c>
      <c r="AJ230" s="512">
        <f t="shared" si="96"/>
        <v>0</v>
      </c>
      <c r="AK230" s="512">
        <f t="shared" si="96"/>
        <v>0</v>
      </c>
      <c r="AL230" s="547">
        <f t="shared" si="96"/>
        <v>0</v>
      </c>
      <c r="AM230" s="511">
        <f t="shared" si="96"/>
        <v>0</v>
      </c>
      <c r="AN230" s="512">
        <f t="shared" si="96"/>
        <v>0</v>
      </c>
      <c r="AO230" s="512">
        <f t="shared" si="96"/>
        <v>0</v>
      </c>
    </row>
    <row r="231" spans="1:44">
      <c r="A231" s="262"/>
      <c r="B231" s="845" t="s">
        <v>573</v>
      </c>
      <c r="C231" s="333">
        <f>SUM(C228,C229,C230)</f>
        <v>36481942.874241307</v>
      </c>
      <c r="D231" s="334">
        <f t="shared" ref="D231:Q231" si="97">SUM(D228,D229,D230)</f>
        <v>37598943.792914838</v>
      </c>
      <c r="E231" s="334">
        <f t="shared" si="97"/>
        <v>42546934.519264415</v>
      </c>
      <c r="F231" s="334">
        <f t="shared" si="97"/>
        <v>46031150.33515086</v>
      </c>
      <c r="G231" s="978">
        <f t="shared" si="97"/>
        <v>46062424.428562701</v>
      </c>
      <c r="H231" s="333">
        <f t="shared" si="97"/>
        <v>40453236.10578303</v>
      </c>
      <c r="I231" s="334">
        <f t="shared" si="97"/>
        <v>38539461.000938758</v>
      </c>
      <c r="J231" s="334">
        <f t="shared" si="97"/>
        <v>38241325.991005383</v>
      </c>
      <c r="K231" s="334">
        <f t="shared" si="97"/>
        <v>49978379.585646205</v>
      </c>
      <c r="L231" s="334">
        <f t="shared" si="97"/>
        <v>37661613.549192101</v>
      </c>
      <c r="M231" s="333">
        <f t="shared" si="97"/>
        <v>40822872.236390464</v>
      </c>
      <c r="N231" s="334">
        <f t="shared" si="97"/>
        <v>41862482.608250909</v>
      </c>
      <c r="O231" s="334">
        <f t="shared" si="97"/>
        <v>43001463.996344112</v>
      </c>
      <c r="P231" s="334">
        <f t="shared" si="97"/>
        <v>44538413.800943017</v>
      </c>
      <c r="Q231" s="978">
        <f t="shared" si="97"/>
        <v>43982579.300337516</v>
      </c>
      <c r="R231" s="1174"/>
      <c r="S231" s="333">
        <f t="shared" ref="S231:W231" si="98">SUM(S228,S229,S230)</f>
        <v>30570304.187990814</v>
      </c>
      <c r="T231" s="334">
        <f t="shared" si="98"/>
        <v>33059784.355019554</v>
      </c>
      <c r="U231" s="334">
        <f t="shared" si="98"/>
        <v>34486908.950519934</v>
      </c>
      <c r="V231" s="334">
        <f t="shared" si="98"/>
        <v>35174957.149297118</v>
      </c>
      <c r="W231" s="978">
        <f t="shared" si="98"/>
        <v>33664981.432929382</v>
      </c>
      <c r="X231" s="990">
        <f t="shared" si="89"/>
        <v>0.25015109198833585</v>
      </c>
      <c r="Y231" s="333">
        <f t="shared" ref="Y231:AC231" si="99">SUM(Y228,Y229,Y230)</f>
        <v>42554694.345963761</v>
      </c>
      <c r="Z231" s="334">
        <f t="shared" si="99"/>
        <v>42588610.225108296</v>
      </c>
      <c r="AA231" s="334">
        <f t="shared" si="99"/>
        <v>43517842.811639853</v>
      </c>
      <c r="AB231" s="334">
        <f t="shared" si="99"/>
        <v>42162061.202897899</v>
      </c>
      <c r="AC231" s="334">
        <f t="shared" si="99"/>
        <v>40777141.265134804</v>
      </c>
      <c r="AD231" s="1624">
        <f t="shared" si="91"/>
        <v>-3.1787913502617782E-2</v>
      </c>
      <c r="AH231" s="333">
        <f>SUM(AH228,AH229,AH230)</f>
        <v>0</v>
      </c>
      <c r="AI231" s="334">
        <f t="shared" ref="AI231:AO231" si="100">SUM(AI228,AI229,AI230)</f>
        <v>0</v>
      </c>
      <c r="AJ231" s="334">
        <f t="shared" si="100"/>
        <v>0</v>
      </c>
      <c r="AK231" s="334">
        <f t="shared" si="100"/>
        <v>0</v>
      </c>
      <c r="AL231" s="978">
        <f t="shared" si="100"/>
        <v>0</v>
      </c>
      <c r="AM231" s="333">
        <f t="shared" si="100"/>
        <v>0</v>
      </c>
      <c r="AN231" s="334">
        <f t="shared" si="100"/>
        <v>0</v>
      </c>
      <c r="AO231" s="334">
        <f t="shared" si="100"/>
        <v>0</v>
      </c>
    </row>
    <row r="232" spans="1:44">
      <c r="A232" s="262"/>
      <c r="B232" s="856" t="s">
        <v>35</v>
      </c>
      <c r="C232" s="511">
        <f t="shared" ref="C232:Q232" si="101">SUM(C107,C136,C165,C194,C223)</f>
        <v>1877616.0364000001</v>
      </c>
      <c r="D232" s="512">
        <f t="shared" si="101"/>
        <v>1621956.31</v>
      </c>
      <c r="E232" s="512">
        <f t="shared" si="101"/>
        <v>1769595.6668</v>
      </c>
      <c r="F232" s="512">
        <f t="shared" si="101"/>
        <v>1820800.5816000002</v>
      </c>
      <c r="G232" s="547">
        <f t="shared" si="101"/>
        <v>2701128.3841823712</v>
      </c>
      <c r="H232" s="511">
        <f t="shared" si="101"/>
        <v>3612113.1731056576</v>
      </c>
      <c r="I232" s="512">
        <f t="shared" si="101"/>
        <v>2413674.1309498805</v>
      </c>
      <c r="J232" s="512">
        <f t="shared" si="101"/>
        <v>1702488.1601749391</v>
      </c>
      <c r="K232" s="512">
        <f t="shared" si="101"/>
        <v>1127345.3203735321</v>
      </c>
      <c r="L232" s="512">
        <f t="shared" si="101"/>
        <v>2615487.6152776899</v>
      </c>
      <c r="M232" s="511">
        <f t="shared" si="101"/>
        <v>2739773.5550009101</v>
      </c>
      <c r="N232" s="512">
        <f t="shared" si="101"/>
        <v>2785972.5498390598</v>
      </c>
      <c r="O232" s="512">
        <f t="shared" si="101"/>
        <v>2835243.6935796104</v>
      </c>
      <c r="P232" s="512">
        <f t="shared" si="101"/>
        <v>2903926.6347122299</v>
      </c>
      <c r="Q232" s="547">
        <f t="shared" si="101"/>
        <v>2919760.1984705897</v>
      </c>
      <c r="R232" s="1174"/>
      <c r="S232" s="511">
        <f>SUM(S107,S136,S165,S194,S223)</f>
        <v>1404320</v>
      </c>
      <c r="T232" s="512">
        <f>SUM(T107,T136,T165,T194,T223)</f>
        <v>1518440</v>
      </c>
      <c r="U232" s="512">
        <f>SUM(U107,U136,U165,U194,U223)</f>
        <v>1582560</v>
      </c>
      <c r="V232" s="512">
        <f>SUM(V107,V136,V165,V194,V223)</f>
        <v>1578680</v>
      </c>
      <c r="W232" s="547">
        <f>SUM(W107,W136,W165,W194,W223)</f>
        <v>1540800</v>
      </c>
      <c r="X232" s="989">
        <f t="shared" si="89"/>
        <v>0.2841119739511031</v>
      </c>
      <c r="Y232" s="511">
        <f>SUM(Y107,Y136,Y165,Y194,Y223)</f>
        <v>4700773.1365924198</v>
      </c>
      <c r="Z232" s="512">
        <f>SUM(Z107,Z136,Z165,Z194,Z223)</f>
        <v>4621956.3235320803</v>
      </c>
      <c r="AA232" s="512">
        <f>SUM(AA107,AA136,AA165,AA194,AA223)</f>
        <v>4882598.6398708699</v>
      </c>
      <c r="AB232" s="512">
        <f>SUM(AB107,AB136,AB165,AB194,AB223)</f>
        <v>5248589.5982537596</v>
      </c>
      <c r="AC232" s="512">
        <f>SUM(AC107,AC136,AC165,AC194,AC223)</f>
        <v>5607551.0018573096</v>
      </c>
      <c r="AD232" s="1623">
        <f t="shared" si="91"/>
        <v>-0.54228107948705428</v>
      </c>
      <c r="AH232" s="511">
        <f t="shared" ref="AH232:AO232" si="102">SUM(AH107,AH136,AH165,AH194,AH223)</f>
        <v>0</v>
      </c>
      <c r="AI232" s="512">
        <f t="shared" si="102"/>
        <v>0</v>
      </c>
      <c r="AJ232" s="512">
        <f t="shared" si="102"/>
        <v>0</v>
      </c>
      <c r="AK232" s="512">
        <f t="shared" si="102"/>
        <v>0</v>
      </c>
      <c r="AL232" s="547">
        <f t="shared" si="102"/>
        <v>0</v>
      </c>
      <c r="AM232" s="511">
        <f t="shared" si="102"/>
        <v>0</v>
      </c>
      <c r="AN232" s="512">
        <f t="shared" si="102"/>
        <v>0</v>
      </c>
      <c r="AO232" s="512">
        <f t="shared" si="102"/>
        <v>0</v>
      </c>
    </row>
    <row r="233" spans="1:44" ht="13.5" thickBot="1">
      <c r="A233" s="315"/>
      <c r="B233" s="335" t="s">
        <v>574</v>
      </c>
      <c r="C233" s="329">
        <f t="shared" ref="C233:W233" si="103">C231-C232</f>
        <v>34604326.83784131</v>
      </c>
      <c r="D233" s="327">
        <f t="shared" si="103"/>
        <v>35976987.482914835</v>
      </c>
      <c r="E233" s="327">
        <f t="shared" si="103"/>
        <v>40777338.852464415</v>
      </c>
      <c r="F233" s="327">
        <f t="shared" si="103"/>
        <v>44210349.753550857</v>
      </c>
      <c r="G233" s="328">
        <f t="shared" si="103"/>
        <v>43361296.04438033</v>
      </c>
      <c r="H233" s="329">
        <f t="shared" si="103"/>
        <v>36841122.932677373</v>
      </c>
      <c r="I233" s="327">
        <f t="shared" si="103"/>
        <v>36125786.869988881</v>
      </c>
      <c r="J233" s="327">
        <f t="shared" si="103"/>
        <v>36538837.830830447</v>
      </c>
      <c r="K233" s="327">
        <f t="shared" si="103"/>
        <v>48851034.265272669</v>
      </c>
      <c r="L233" s="327">
        <f t="shared" si="103"/>
        <v>35046125.933914408</v>
      </c>
      <c r="M233" s="329">
        <f t="shared" si="103"/>
        <v>38083098.681389555</v>
      </c>
      <c r="N233" s="327">
        <f t="shared" si="103"/>
        <v>39076510.058411852</v>
      </c>
      <c r="O233" s="327">
        <f t="shared" si="103"/>
        <v>40166220.302764505</v>
      </c>
      <c r="P233" s="327">
        <f t="shared" si="103"/>
        <v>41634487.16623079</v>
      </c>
      <c r="Q233" s="328">
        <f t="shared" si="103"/>
        <v>41062819.101866923</v>
      </c>
      <c r="R233" s="1174"/>
      <c r="S233" s="329">
        <f t="shared" si="103"/>
        <v>29165984.187990814</v>
      </c>
      <c r="T233" s="327">
        <f t="shared" si="103"/>
        <v>31541344.355019554</v>
      </c>
      <c r="U233" s="327">
        <f t="shared" si="103"/>
        <v>32904348.950519934</v>
      </c>
      <c r="V233" s="327">
        <f t="shared" si="103"/>
        <v>33596277.149297118</v>
      </c>
      <c r="W233" s="328">
        <f t="shared" si="103"/>
        <v>32124181.432929382</v>
      </c>
      <c r="X233" s="981">
        <f t="shared" si="89"/>
        <v>0.24852590237394057</v>
      </c>
      <c r="Y233" s="1625">
        <f t="shared" ref="Y233:AC233" si="104">Y231-Y232</f>
        <v>37853921.209371343</v>
      </c>
      <c r="Z233" s="327">
        <f t="shared" si="104"/>
        <v>37966653.901576214</v>
      </c>
      <c r="AA233" s="327">
        <f t="shared" si="104"/>
        <v>38635244.171768986</v>
      </c>
      <c r="AB233" s="327">
        <f t="shared" si="104"/>
        <v>36913471.604644142</v>
      </c>
      <c r="AC233" s="327">
        <f t="shared" si="104"/>
        <v>35169590.263277493</v>
      </c>
      <c r="AD233" s="987">
        <f t="shared" si="91"/>
        <v>3.6796761295585512E-2</v>
      </c>
      <c r="AH233" s="329">
        <f t="shared" ref="AH233:AO233" si="105">AH231-AH232</f>
        <v>0</v>
      </c>
      <c r="AI233" s="327">
        <f t="shared" si="105"/>
        <v>0</v>
      </c>
      <c r="AJ233" s="327">
        <f t="shared" si="105"/>
        <v>0</v>
      </c>
      <c r="AK233" s="327">
        <f t="shared" si="105"/>
        <v>0</v>
      </c>
      <c r="AL233" s="328">
        <f t="shared" si="105"/>
        <v>0</v>
      </c>
      <c r="AM233" s="329">
        <f t="shared" si="105"/>
        <v>0</v>
      </c>
      <c r="AN233" s="327">
        <f t="shared" si="105"/>
        <v>0</v>
      </c>
      <c r="AO233" s="327">
        <f t="shared" si="105"/>
        <v>0</v>
      </c>
    </row>
    <row r="234" spans="1:44" ht="36.75" customHeight="1" thickBot="1">
      <c r="A234" s="1174"/>
      <c r="B234" s="1174"/>
      <c r="C234" s="1174"/>
      <c r="D234" s="1174"/>
      <c r="E234" s="1174"/>
      <c r="F234" s="1174"/>
      <c r="G234" s="1174"/>
      <c r="H234" s="1174"/>
      <c r="I234" s="1174"/>
      <c r="J234" s="1174"/>
      <c r="K234" s="1174"/>
      <c r="L234" s="1174"/>
      <c r="M234" s="1174"/>
      <c r="N234" s="1174"/>
      <c r="O234" s="1174"/>
      <c r="P234" s="1174"/>
      <c r="Q234" s="1174"/>
      <c r="R234" s="1174"/>
      <c r="S234" s="1174"/>
      <c r="T234" s="1174"/>
      <c r="U234" s="1174"/>
      <c r="V234" s="1174"/>
      <c r="W234" s="1174"/>
      <c r="X234" s="1174"/>
      <c r="Y234" s="1174"/>
      <c r="Z234" s="1174"/>
      <c r="AA234" s="1174"/>
      <c r="AB234" s="1174"/>
      <c r="AC234" s="1174"/>
      <c r="AD234" s="1174"/>
      <c r="AH234" s="1174"/>
      <c r="AI234" s="1174"/>
      <c r="AJ234" s="1174"/>
      <c r="AK234" s="1174"/>
      <c r="AL234" s="1174"/>
      <c r="AM234" s="1174"/>
      <c r="AN234" s="1174"/>
      <c r="AO234" s="1174"/>
    </row>
    <row r="235" spans="1:44" s="187" customFormat="1" ht="36.75" customHeight="1" thickBot="1">
      <c r="A235" s="832"/>
      <c r="B235" s="1253" t="s">
        <v>333</v>
      </c>
      <c r="C235" s="1256"/>
      <c r="D235" s="1256"/>
      <c r="E235" s="1256"/>
      <c r="F235" s="1256"/>
      <c r="G235" s="1256"/>
      <c r="H235" s="1256"/>
      <c r="I235" s="1256"/>
      <c r="J235" s="1256"/>
      <c r="K235" s="1256"/>
      <c r="L235" s="1256"/>
      <c r="M235" s="1256"/>
      <c r="N235" s="1256"/>
      <c r="O235" s="1256"/>
      <c r="P235" s="1256"/>
      <c r="Q235" s="1257"/>
      <c r="R235" s="1174"/>
      <c r="S235" s="1253"/>
      <c r="T235" s="1256"/>
      <c r="U235" s="1256"/>
      <c r="V235" s="1256"/>
      <c r="W235" s="1256"/>
      <c r="X235" s="1256"/>
      <c r="Y235" s="1256"/>
      <c r="Z235" s="1256"/>
      <c r="AA235" s="1256"/>
      <c r="AB235" s="1256"/>
      <c r="AC235" s="1256"/>
      <c r="AD235" s="1257"/>
      <c r="AE235" s="1172"/>
      <c r="AH235" s="1620"/>
      <c r="AI235" s="1256"/>
      <c r="AJ235" s="1256"/>
      <c r="AK235" s="1256"/>
      <c r="AL235" s="1256"/>
      <c r="AM235" s="1256"/>
      <c r="AN235" s="1256"/>
      <c r="AO235" s="1257"/>
      <c r="AP235"/>
      <c r="AQ235"/>
      <c r="AR235"/>
    </row>
    <row r="236" spans="1:44" ht="32.25" customHeight="1">
      <c r="A236" s="1174"/>
      <c r="B236" s="950"/>
      <c r="C236" s="3996" t="s">
        <v>36</v>
      </c>
      <c r="D236" s="3997"/>
      <c r="E236" s="3997"/>
      <c r="F236" s="3997"/>
      <c r="G236" s="3997"/>
      <c r="H236" s="3998" t="s">
        <v>37</v>
      </c>
      <c r="I236" s="3998"/>
      <c r="J236" s="3998"/>
      <c r="K236" s="3998"/>
      <c r="L236" s="3998"/>
      <c r="M236" s="3999" t="s">
        <v>73</v>
      </c>
      <c r="N236" s="3997"/>
      <c r="O236" s="3997"/>
      <c r="P236" s="3997"/>
      <c r="Q236" s="4000"/>
      <c r="R236" s="1174"/>
      <c r="S236" s="4001" t="s">
        <v>36</v>
      </c>
      <c r="T236" s="3999"/>
      <c r="U236" s="3999"/>
      <c r="V236" s="3999"/>
      <c r="W236" s="3999"/>
      <c r="X236" s="3999"/>
      <c r="Y236" s="3998" t="s">
        <v>37</v>
      </c>
      <c r="Z236" s="3998"/>
      <c r="AA236" s="3998"/>
      <c r="AB236" s="3998"/>
      <c r="AC236" s="3998"/>
      <c r="AD236" s="4002"/>
      <c r="AH236" s="4001" t="s">
        <v>36</v>
      </c>
      <c r="AI236" s="3997"/>
      <c r="AJ236" s="3997"/>
      <c r="AK236" s="3997"/>
      <c r="AL236" s="3997"/>
      <c r="AM236" s="4035" t="s">
        <v>37</v>
      </c>
      <c r="AN236" s="4036"/>
      <c r="AO236" s="4037"/>
    </row>
    <row r="237" spans="1:44" ht="15" customHeight="1">
      <c r="A237" s="245"/>
      <c r="B237" s="951"/>
      <c r="C237" s="3985" t="s">
        <v>543</v>
      </c>
      <c r="D237" s="3986"/>
      <c r="E237" s="3986"/>
      <c r="F237" s="3986"/>
      <c r="G237" s="3986"/>
      <c r="H237" s="3986"/>
      <c r="I237" s="3986"/>
      <c r="J237" s="3987"/>
      <c r="K237" s="3988" t="str">
        <f>CONCATENATE("$0's, real ",dms_DollarReal)</f>
        <v>$0's, real December 2017</v>
      </c>
      <c r="L237" s="3989"/>
      <c r="M237" s="3989"/>
      <c r="N237" s="3989"/>
      <c r="O237" s="3989"/>
      <c r="P237" s="3989"/>
      <c r="Q237" s="3990"/>
      <c r="R237" s="1174"/>
      <c r="S237" s="3991" t="str">
        <f>CONCATENATE("$0's, real ",dms_DollarReal)</f>
        <v>$0's, real December 2017</v>
      </c>
      <c r="T237" s="3992"/>
      <c r="U237" s="3992"/>
      <c r="V237" s="3992"/>
      <c r="W237" s="3992"/>
      <c r="X237" s="1002" t="s">
        <v>114</v>
      </c>
      <c r="Y237" s="3993" t="str">
        <f>CONCATENATE("$0's, real ",dms_DollarReal)</f>
        <v>$0's, real December 2017</v>
      </c>
      <c r="Z237" s="3993"/>
      <c r="AA237" s="3993"/>
      <c r="AB237" s="3993"/>
      <c r="AC237" s="3993"/>
      <c r="AD237" s="1208" t="s">
        <v>114</v>
      </c>
      <c r="AH237" s="3985" t="str">
        <f>CONCATENATE("$0's, real ",dms_DollarReal)</f>
        <v>$0's, real December 2017</v>
      </c>
      <c r="AI237" s="3986"/>
      <c r="AJ237" s="3986"/>
      <c r="AK237" s="3986"/>
      <c r="AL237" s="3986"/>
      <c r="AM237" s="3986"/>
      <c r="AN237" s="3986"/>
      <c r="AO237" s="4030"/>
    </row>
    <row r="238" spans="1:44" ht="30">
      <c r="A238" s="1174"/>
      <c r="B238" s="952"/>
      <c r="C238" s="3994" t="s">
        <v>54</v>
      </c>
      <c r="D238" s="3995"/>
      <c r="E238" s="3995"/>
      <c r="F238" s="3995"/>
      <c r="G238" s="3995"/>
      <c r="H238" s="3995"/>
      <c r="I238" s="3995"/>
      <c r="J238" s="3995"/>
      <c r="K238" s="3989" t="s">
        <v>55</v>
      </c>
      <c r="L238" s="3989"/>
      <c r="M238" s="3989"/>
      <c r="N238" s="3989"/>
      <c r="O238" s="3989"/>
      <c r="P238" s="3989"/>
      <c r="Q238" s="3990"/>
      <c r="R238" s="1174"/>
      <c r="S238" s="3991" t="s">
        <v>74</v>
      </c>
      <c r="T238" s="3992"/>
      <c r="U238" s="3992"/>
      <c r="V238" s="3992"/>
      <c r="W238" s="3992"/>
      <c r="X238" s="1002" t="s">
        <v>327</v>
      </c>
      <c r="Y238" s="3993" t="s">
        <v>74</v>
      </c>
      <c r="Z238" s="3993"/>
      <c r="AA238" s="3993"/>
      <c r="AB238" s="3993"/>
      <c r="AC238" s="3993"/>
      <c r="AD238" s="1208" t="s">
        <v>327</v>
      </c>
      <c r="AH238" s="3994" t="s">
        <v>54</v>
      </c>
      <c r="AI238" s="3995"/>
      <c r="AJ238" s="3995"/>
      <c r="AK238" s="3995"/>
      <c r="AL238" s="3995"/>
      <c r="AM238" s="3995"/>
      <c r="AN238" s="3995"/>
      <c r="AO238" s="4031"/>
    </row>
    <row r="239" spans="1:44" ht="15.75" thickBot="1">
      <c r="A239" s="247"/>
      <c r="B239" s="953"/>
      <c r="C239" s="343">
        <f t="array" ref="C239:G239">PRCP</f>
        <v>2008</v>
      </c>
      <c r="D239" s="342">
        <v>2009</v>
      </c>
      <c r="E239" s="342">
        <v>2010</v>
      </c>
      <c r="F239" s="342">
        <v>2011</v>
      </c>
      <c r="G239" s="342">
        <v>2012</v>
      </c>
      <c r="H239" s="344">
        <f>CRCP_y1</f>
        <v>2013</v>
      </c>
      <c r="I239" s="344">
        <f>CRCP_y2</f>
        <v>2014</v>
      </c>
      <c r="J239" s="344">
        <f>CRCP_y3</f>
        <v>2015</v>
      </c>
      <c r="K239" s="344">
        <f>CRCP_y4</f>
        <v>2016</v>
      </c>
      <c r="L239" s="344">
        <f>CRCP_y5</f>
        <v>2017</v>
      </c>
      <c r="M239" s="342" t="str">
        <f t="array" ref="M239:Q239">FRCP</f>
        <v>2018</v>
      </c>
      <c r="N239" s="342">
        <v>2019</v>
      </c>
      <c r="O239" s="342">
        <v>2020</v>
      </c>
      <c r="P239" s="342">
        <v>2021</v>
      </c>
      <c r="Q239" s="443">
        <v>2022</v>
      </c>
      <c r="R239" s="1174"/>
      <c r="S239" s="1438">
        <f t="array" ref="S239:W239">PRCP</f>
        <v>2008</v>
      </c>
      <c r="T239" s="342">
        <v>2009</v>
      </c>
      <c r="U239" s="342">
        <v>2010</v>
      </c>
      <c r="V239" s="342">
        <v>2011</v>
      </c>
      <c r="W239" s="342">
        <v>2012</v>
      </c>
      <c r="X239" s="1003" t="s">
        <v>112</v>
      </c>
      <c r="Y239" s="344">
        <f>CRCP_y1</f>
        <v>2013</v>
      </c>
      <c r="Z239" s="344">
        <f>CRCP_y2</f>
        <v>2014</v>
      </c>
      <c r="AA239" s="344">
        <f>CRCP_y3</f>
        <v>2015</v>
      </c>
      <c r="AB239" s="344">
        <f>CRCP_y4</f>
        <v>2016</v>
      </c>
      <c r="AC239" s="344">
        <f>CRCP_y5</f>
        <v>2017</v>
      </c>
      <c r="AD239" s="1209" t="s">
        <v>112</v>
      </c>
      <c r="AH239" s="1438">
        <f t="array" ref="AH239:AL239">PRCP</f>
        <v>2008</v>
      </c>
      <c r="AI239" s="342">
        <v>2009</v>
      </c>
      <c r="AJ239" s="342">
        <v>2010</v>
      </c>
      <c r="AK239" s="342">
        <v>2011</v>
      </c>
      <c r="AL239" s="342">
        <v>2012</v>
      </c>
      <c r="AM239" s="344">
        <f>CRCP_y1</f>
        <v>2013</v>
      </c>
      <c r="AN239" s="344">
        <f>CRCP_y2</f>
        <v>2014</v>
      </c>
      <c r="AO239" s="542">
        <f>CRCP_y3</f>
        <v>2015</v>
      </c>
    </row>
    <row r="240" spans="1:44">
      <c r="A240" s="262"/>
      <c r="B240" s="336" t="s">
        <v>575</v>
      </c>
      <c r="C240" s="922"/>
      <c r="D240" s="923"/>
      <c r="E240" s="923"/>
      <c r="F240" s="923"/>
      <c r="G240" s="316"/>
      <c r="H240" s="922"/>
      <c r="I240" s="923"/>
      <c r="J240" s="923"/>
      <c r="K240" s="923"/>
      <c r="L240" s="923"/>
      <c r="M240" s="922"/>
      <c r="N240" s="923"/>
      <c r="O240" s="923"/>
      <c r="P240" s="923"/>
      <c r="Q240" s="316"/>
      <c r="R240" s="1174"/>
      <c r="S240" s="2960"/>
      <c r="T240" s="861"/>
      <c r="U240" s="861"/>
      <c r="V240" s="861"/>
      <c r="W240" s="317"/>
      <c r="X240" s="1365"/>
      <c r="Y240" s="2952"/>
      <c r="Z240" s="861"/>
      <c r="AA240" s="861"/>
      <c r="AB240" s="861"/>
      <c r="AC240" s="861"/>
      <c r="AD240" s="316"/>
      <c r="AH240" s="922"/>
      <c r="AI240" s="923"/>
      <c r="AJ240" s="923"/>
      <c r="AK240" s="923"/>
      <c r="AL240" s="316"/>
      <c r="AM240" s="922"/>
      <c r="AN240" s="923"/>
      <c r="AO240" s="316"/>
    </row>
    <row r="241" spans="1:41">
      <c r="A241" s="262"/>
      <c r="B241" s="253" t="str">
        <f>B24</f>
        <v>Electricity to gas</v>
      </c>
      <c r="C241" s="459"/>
      <c r="D241" s="458"/>
      <c r="E241" s="458"/>
      <c r="F241" s="458"/>
      <c r="G241" s="460"/>
      <c r="H241" s="459"/>
      <c r="I241" s="458"/>
      <c r="J241" s="458"/>
      <c r="K241" s="458"/>
      <c r="L241" s="458"/>
      <c r="M241" s="459"/>
      <c r="N241" s="458"/>
      <c r="O241" s="458"/>
      <c r="P241" s="458"/>
      <c r="Q241" s="460"/>
      <c r="R241" s="1174"/>
      <c r="S241" s="459"/>
      <c r="T241" s="458"/>
      <c r="U241" s="458"/>
      <c r="V241" s="458"/>
      <c r="W241" s="460"/>
      <c r="X241" s="1183"/>
      <c r="Y241" s="413"/>
      <c r="Z241" s="458"/>
      <c r="AA241" s="458"/>
      <c r="AB241" s="458"/>
      <c r="AC241" s="458"/>
      <c r="AD241" s="982"/>
      <c r="AH241" s="462"/>
      <c r="AI241" s="463"/>
      <c r="AJ241" s="463"/>
      <c r="AK241" s="463"/>
      <c r="AL241" s="464"/>
      <c r="AM241" s="462"/>
      <c r="AN241" s="463"/>
      <c r="AO241" s="464"/>
    </row>
    <row r="242" spans="1:41">
      <c r="A242" s="262"/>
      <c r="B242" s="253" t="str">
        <f>B25</f>
        <v>New homes</v>
      </c>
      <c r="C242" s="459"/>
      <c r="D242" s="458"/>
      <c r="E242" s="458"/>
      <c r="F242" s="458"/>
      <c r="G242" s="460"/>
      <c r="H242" s="459"/>
      <c r="I242" s="458"/>
      <c r="J242" s="458"/>
      <c r="K242" s="458"/>
      <c r="L242" s="458"/>
      <c r="M242" s="459"/>
      <c r="N242" s="458"/>
      <c r="O242" s="458"/>
      <c r="P242" s="458"/>
      <c r="Q242" s="460"/>
      <c r="R242" s="1174"/>
      <c r="S242" s="459"/>
      <c r="T242" s="458"/>
      <c r="U242" s="458"/>
      <c r="V242" s="458"/>
      <c r="W242" s="460"/>
      <c r="X242" s="1183"/>
      <c r="Y242" s="413"/>
      <c r="Z242" s="458"/>
      <c r="AA242" s="458"/>
      <c r="AB242" s="458"/>
      <c r="AC242" s="458"/>
      <c r="AD242" s="982"/>
      <c r="AH242" s="462"/>
      <c r="AI242" s="463"/>
      <c r="AJ242" s="463"/>
      <c r="AK242" s="463"/>
      <c r="AL242" s="464"/>
      <c r="AM242" s="462"/>
      <c r="AN242" s="463"/>
      <c r="AO242" s="464"/>
    </row>
    <row r="243" spans="1:41">
      <c r="A243" s="262"/>
      <c r="B243" s="253" t="str">
        <f>B26</f>
        <v>New medium density / high rise</v>
      </c>
      <c r="C243" s="459"/>
      <c r="D243" s="458"/>
      <c r="E243" s="458"/>
      <c r="F243" s="458"/>
      <c r="G243" s="460"/>
      <c r="H243" s="459"/>
      <c r="I243" s="458"/>
      <c r="J243" s="458"/>
      <c r="K243" s="458"/>
      <c r="L243" s="458"/>
      <c r="M243" s="459"/>
      <c r="N243" s="458"/>
      <c r="O243" s="458"/>
      <c r="P243" s="458"/>
      <c r="Q243" s="460"/>
      <c r="R243" s="1174"/>
      <c r="S243" s="459"/>
      <c r="T243" s="458"/>
      <c r="U243" s="458"/>
      <c r="V243" s="458"/>
      <c r="W243" s="460"/>
      <c r="X243" s="1183"/>
      <c r="Y243" s="413"/>
      <c r="Z243" s="458"/>
      <c r="AA243" s="458"/>
      <c r="AB243" s="458"/>
      <c r="AC243" s="458"/>
      <c r="AD243" s="982"/>
      <c r="AH243" s="462"/>
      <c r="AI243" s="463"/>
      <c r="AJ243" s="463"/>
      <c r="AK243" s="463"/>
      <c r="AL243" s="464"/>
      <c r="AM243" s="462"/>
      <c r="AN243" s="463"/>
      <c r="AO243" s="464"/>
    </row>
    <row r="244" spans="1:41">
      <c r="A244" s="262"/>
      <c r="B244" s="253" t="str">
        <f>B27</f>
        <v>I&amp;C tariff</v>
      </c>
      <c r="C244" s="459">
        <v>173</v>
      </c>
      <c r="D244" s="458">
        <v>234</v>
      </c>
      <c r="E244" s="458">
        <v>248</v>
      </c>
      <c r="F244" s="458">
        <v>229</v>
      </c>
      <c r="G244" s="460">
        <v>285</v>
      </c>
      <c r="H244" s="459">
        <v>226</v>
      </c>
      <c r="I244" s="458">
        <v>252</v>
      </c>
      <c r="J244" s="458">
        <v>332</v>
      </c>
      <c r="K244" s="458">
        <v>275.00649597841584</v>
      </c>
      <c r="L244" s="458">
        <v>268.94896505648143</v>
      </c>
      <c r="M244" s="459">
        <v>277.36617416352158</v>
      </c>
      <c r="N244" s="458">
        <v>280.81457390664502</v>
      </c>
      <c r="O244" s="458">
        <v>284.8425342489333</v>
      </c>
      <c r="P244" s="458">
        <v>289.34898942175346</v>
      </c>
      <c r="Q244" s="460">
        <v>284.48525680429958</v>
      </c>
      <c r="R244" s="1174"/>
      <c r="S244" s="459"/>
      <c r="T244" s="458"/>
      <c r="U244" s="458"/>
      <c r="V244" s="458"/>
      <c r="W244" s="460"/>
      <c r="X244" s="1183"/>
      <c r="Y244" s="413"/>
      <c r="Z244" s="458"/>
      <c r="AA244" s="458"/>
      <c r="AB244" s="458"/>
      <c r="AC244" s="458"/>
      <c r="AD244" s="982"/>
      <c r="AH244" s="462"/>
      <c r="AI244" s="463"/>
      <c r="AJ244" s="463"/>
      <c r="AK244" s="463"/>
      <c r="AL244" s="464"/>
      <c r="AM244" s="462"/>
      <c r="AN244" s="463"/>
      <c r="AO244" s="464"/>
    </row>
    <row r="245" spans="1:41">
      <c r="A245" s="262"/>
      <c r="B245" s="253" t="str">
        <f>B28</f>
        <v>I&amp;C contract</v>
      </c>
      <c r="C245" s="459">
        <v>7</v>
      </c>
      <c r="D245" s="458">
        <v>8</v>
      </c>
      <c r="E245" s="458">
        <v>2</v>
      </c>
      <c r="F245" s="458">
        <v>4</v>
      </c>
      <c r="G245" s="460">
        <v>9</v>
      </c>
      <c r="H245" s="459">
        <v>3</v>
      </c>
      <c r="I245" s="458">
        <v>8</v>
      </c>
      <c r="J245" s="458">
        <v>6</v>
      </c>
      <c r="K245" s="458">
        <v>0</v>
      </c>
      <c r="L245" s="458">
        <v>7.7666666666670308</v>
      </c>
      <c r="M245" s="459">
        <v>6.6238095238101478</v>
      </c>
      <c r="N245" s="458">
        <v>6.6238095238083288</v>
      </c>
      <c r="O245" s="458">
        <v>6.6238095238101478</v>
      </c>
      <c r="P245" s="458">
        <v>6.6238095238101478</v>
      </c>
      <c r="Q245" s="460">
        <v>6.6238095238092383</v>
      </c>
      <c r="R245" s="1174"/>
      <c r="S245" s="462"/>
      <c r="T245" s="463"/>
      <c r="U245" s="463"/>
      <c r="V245" s="463"/>
      <c r="W245" s="464"/>
      <c r="X245" s="2956"/>
      <c r="Y245" s="513"/>
      <c r="Z245" s="463"/>
      <c r="AA245" s="463"/>
      <c r="AB245" s="463"/>
      <c r="AC245" s="463"/>
      <c r="AD245" s="983"/>
      <c r="AH245" s="462"/>
      <c r="AI245" s="463"/>
      <c r="AJ245" s="463"/>
      <c r="AK245" s="463"/>
      <c r="AL245" s="464"/>
      <c r="AM245" s="462"/>
      <c r="AN245" s="463"/>
      <c r="AO245" s="464"/>
    </row>
    <row r="246" spans="1:41">
      <c r="A246" s="262"/>
      <c r="B246" s="336" t="s">
        <v>159</v>
      </c>
      <c r="C246" s="825"/>
      <c r="D246" s="924"/>
      <c r="E246" s="924"/>
      <c r="F246" s="924"/>
      <c r="G246" s="318"/>
      <c r="H246" s="825"/>
      <c r="I246" s="924"/>
      <c r="J246" s="924"/>
      <c r="K246" s="924"/>
      <c r="L246" s="924"/>
      <c r="M246" s="825"/>
      <c r="N246" s="924"/>
      <c r="O246" s="924"/>
      <c r="P246" s="924"/>
      <c r="Q246" s="318"/>
      <c r="R246" s="1174"/>
      <c r="S246" s="825"/>
      <c r="T246" s="924"/>
      <c r="U246" s="924"/>
      <c r="V246" s="924"/>
      <c r="W246" s="318"/>
      <c r="X246" s="1367"/>
      <c r="Y246" s="924"/>
      <c r="Z246" s="924"/>
      <c r="AA246" s="924"/>
      <c r="AB246" s="924"/>
      <c r="AC246" s="924"/>
      <c r="AD246" s="318"/>
      <c r="AH246" s="825"/>
      <c r="AI246" s="924"/>
      <c r="AJ246" s="924"/>
      <c r="AK246" s="924"/>
      <c r="AL246" s="318"/>
      <c r="AM246" s="825"/>
      <c r="AN246" s="924"/>
      <c r="AO246" s="318"/>
    </row>
    <row r="247" spans="1:41">
      <c r="A247" s="262"/>
      <c r="B247" s="253" t="str">
        <f>B24</f>
        <v>Electricity to gas</v>
      </c>
      <c r="C247" s="319"/>
      <c r="D247" s="320"/>
      <c r="E247" s="320"/>
      <c r="F247" s="320"/>
      <c r="G247" s="321"/>
      <c r="H247" s="319"/>
      <c r="I247" s="320"/>
      <c r="J247" s="320"/>
      <c r="K247" s="320"/>
      <c r="L247" s="320"/>
      <c r="M247" s="319"/>
      <c r="N247" s="320"/>
      <c r="O247" s="320"/>
      <c r="P247" s="320"/>
      <c r="Q247" s="321"/>
      <c r="R247" s="1174"/>
      <c r="S247" s="459"/>
      <c r="T247" s="458"/>
      <c r="U247" s="458"/>
      <c r="V247" s="458"/>
      <c r="W247" s="460"/>
      <c r="X247" s="1183"/>
      <c r="Y247" s="413"/>
      <c r="Z247" s="458"/>
      <c r="AA247" s="458"/>
      <c r="AB247" s="458"/>
      <c r="AC247" s="458"/>
      <c r="AD247" s="984"/>
      <c r="AH247" s="319"/>
      <c r="AI247" s="320"/>
      <c r="AJ247" s="320"/>
      <c r="AK247" s="320"/>
      <c r="AL247" s="321"/>
      <c r="AM247" s="319"/>
      <c r="AN247" s="320"/>
      <c r="AO247" s="321"/>
    </row>
    <row r="248" spans="1:41">
      <c r="A248" s="262"/>
      <c r="B248" s="253" t="str">
        <f>B25</f>
        <v>New homes</v>
      </c>
      <c r="C248" s="319">
        <f t="shared" ref="C248:Q248" si="106">C242/C25</f>
        <v>0</v>
      </c>
      <c r="D248" s="320">
        <f t="shared" si="106"/>
        <v>0</v>
      </c>
      <c r="E248" s="320">
        <f t="shared" si="106"/>
        <v>0</v>
      </c>
      <c r="F248" s="320">
        <f t="shared" si="106"/>
        <v>0</v>
      </c>
      <c r="G248" s="321">
        <f t="shared" si="106"/>
        <v>0</v>
      </c>
      <c r="H248" s="319">
        <f t="shared" si="106"/>
        <v>0</v>
      </c>
      <c r="I248" s="320">
        <f t="shared" si="106"/>
        <v>0</v>
      </c>
      <c r="J248" s="320">
        <f t="shared" si="106"/>
        <v>0</v>
      </c>
      <c r="K248" s="320">
        <f t="shared" si="106"/>
        <v>0</v>
      </c>
      <c r="L248" s="320">
        <f t="shared" si="106"/>
        <v>0</v>
      </c>
      <c r="M248" s="319">
        <f t="shared" si="106"/>
        <v>0</v>
      </c>
      <c r="N248" s="320">
        <f t="shared" si="106"/>
        <v>0</v>
      </c>
      <c r="O248" s="320">
        <f t="shared" si="106"/>
        <v>0</v>
      </c>
      <c r="P248" s="320">
        <f t="shared" si="106"/>
        <v>0</v>
      </c>
      <c r="Q248" s="321">
        <f t="shared" si="106"/>
        <v>0</v>
      </c>
      <c r="R248" s="1174"/>
      <c r="S248" s="459"/>
      <c r="T248" s="458"/>
      <c r="U248" s="458"/>
      <c r="V248" s="458"/>
      <c r="W248" s="460"/>
      <c r="X248" s="1183"/>
      <c r="Y248" s="413"/>
      <c r="Z248" s="458"/>
      <c r="AA248" s="458"/>
      <c r="AB248" s="458"/>
      <c r="AC248" s="458"/>
      <c r="AD248" s="984"/>
      <c r="AH248" s="319"/>
      <c r="AI248" s="320"/>
      <c r="AJ248" s="320"/>
      <c r="AK248" s="320"/>
      <c r="AL248" s="321"/>
      <c r="AM248" s="319"/>
      <c r="AN248" s="320"/>
      <c r="AO248" s="321"/>
    </row>
    <row r="249" spans="1:41">
      <c r="A249" s="262"/>
      <c r="B249" s="253" t="str">
        <f>B26</f>
        <v>New medium density / high rise</v>
      </c>
      <c r="C249" s="319">
        <f t="shared" ref="C249:Q249" si="107">C243/C26</f>
        <v>0</v>
      </c>
      <c r="D249" s="320">
        <f t="shared" si="107"/>
        <v>0</v>
      </c>
      <c r="E249" s="320">
        <f t="shared" si="107"/>
        <v>0</v>
      </c>
      <c r="F249" s="320">
        <f t="shared" si="107"/>
        <v>0</v>
      </c>
      <c r="G249" s="321">
        <f t="shared" si="107"/>
        <v>0</v>
      </c>
      <c r="H249" s="319">
        <f t="shared" si="107"/>
        <v>0</v>
      </c>
      <c r="I249" s="320">
        <f t="shared" si="107"/>
        <v>0</v>
      </c>
      <c r="J249" s="320">
        <f t="shared" si="107"/>
        <v>0</v>
      </c>
      <c r="K249" s="320">
        <f t="shared" si="107"/>
        <v>0</v>
      </c>
      <c r="L249" s="320">
        <f t="shared" si="107"/>
        <v>0</v>
      </c>
      <c r="M249" s="319">
        <f t="shared" si="107"/>
        <v>0</v>
      </c>
      <c r="N249" s="320">
        <f t="shared" si="107"/>
        <v>0</v>
      </c>
      <c r="O249" s="320">
        <f t="shared" si="107"/>
        <v>0</v>
      </c>
      <c r="P249" s="320">
        <f t="shared" si="107"/>
        <v>0</v>
      </c>
      <c r="Q249" s="321">
        <f t="shared" si="107"/>
        <v>0</v>
      </c>
      <c r="R249" s="1174"/>
      <c r="S249" s="459"/>
      <c r="T249" s="458"/>
      <c r="U249" s="458"/>
      <c r="V249" s="458"/>
      <c r="W249" s="460"/>
      <c r="X249" s="1183"/>
      <c r="Y249" s="413"/>
      <c r="Z249" s="458"/>
      <c r="AA249" s="458"/>
      <c r="AB249" s="458"/>
      <c r="AC249" s="458"/>
      <c r="AD249" s="984"/>
      <c r="AH249" s="319"/>
      <c r="AI249" s="320"/>
      <c r="AJ249" s="320"/>
      <c r="AK249" s="320"/>
      <c r="AL249" s="321"/>
      <c r="AM249" s="319"/>
      <c r="AN249" s="320"/>
      <c r="AO249" s="321"/>
    </row>
    <row r="250" spans="1:41">
      <c r="A250" s="262"/>
      <c r="B250" s="253" t="str">
        <f>B27</f>
        <v>I&amp;C tariff</v>
      </c>
      <c r="C250" s="319">
        <f t="shared" ref="C250:Q250" si="108">C244/C27</f>
        <v>1</v>
      </c>
      <c r="D250" s="320">
        <f t="shared" si="108"/>
        <v>1</v>
      </c>
      <c r="E250" s="320">
        <f t="shared" si="108"/>
        <v>1</v>
      </c>
      <c r="F250" s="320">
        <f t="shared" si="108"/>
        <v>1</v>
      </c>
      <c r="G250" s="321">
        <f t="shared" si="108"/>
        <v>1</v>
      </c>
      <c r="H250" s="319">
        <f t="shared" si="108"/>
        <v>1</v>
      </c>
      <c r="I250" s="320">
        <f t="shared" si="108"/>
        <v>1</v>
      </c>
      <c r="J250" s="320">
        <f t="shared" si="108"/>
        <v>1</v>
      </c>
      <c r="K250" s="320">
        <f t="shared" si="108"/>
        <v>1</v>
      </c>
      <c r="L250" s="320">
        <f t="shared" si="108"/>
        <v>1</v>
      </c>
      <c r="M250" s="319">
        <f t="shared" si="108"/>
        <v>1</v>
      </c>
      <c r="N250" s="320">
        <f t="shared" si="108"/>
        <v>1</v>
      </c>
      <c r="O250" s="320">
        <f t="shared" si="108"/>
        <v>1</v>
      </c>
      <c r="P250" s="320">
        <f t="shared" si="108"/>
        <v>1</v>
      </c>
      <c r="Q250" s="321">
        <f t="shared" si="108"/>
        <v>1</v>
      </c>
      <c r="R250" s="1174"/>
      <c r="S250" s="459"/>
      <c r="T250" s="458"/>
      <c r="U250" s="458"/>
      <c r="V250" s="458"/>
      <c r="W250" s="460"/>
      <c r="X250" s="1183"/>
      <c r="Y250" s="413"/>
      <c r="Z250" s="458"/>
      <c r="AA250" s="458"/>
      <c r="AB250" s="458"/>
      <c r="AC250" s="458"/>
      <c r="AD250" s="984"/>
      <c r="AH250" s="319"/>
      <c r="AI250" s="320"/>
      <c r="AJ250" s="320"/>
      <c r="AK250" s="320"/>
      <c r="AL250" s="321"/>
      <c r="AM250" s="319"/>
      <c r="AN250" s="320"/>
      <c r="AO250" s="321"/>
    </row>
    <row r="251" spans="1:41">
      <c r="A251" s="262"/>
      <c r="B251" s="253" t="str">
        <f>B28</f>
        <v>I&amp;C contract</v>
      </c>
      <c r="C251" s="319">
        <f t="shared" ref="C251:Q251" si="109">C245/C28</f>
        <v>1</v>
      </c>
      <c r="D251" s="320">
        <f t="shared" si="109"/>
        <v>1</v>
      </c>
      <c r="E251" s="320">
        <f t="shared" si="109"/>
        <v>1</v>
      </c>
      <c r="F251" s="320">
        <f>F245/F28</f>
        <v>1</v>
      </c>
      <c r="G251" s="321">
        <f t="shared" si="109"/>
        <v>1</v>
      </c>
      <c r="H251" s="319">
        <f t="shared" si="109"/>
        <v>1</v>
      </c>
      <c r="I251" s="320">
        <f t="shared" si="109"/>
        <v>1</v>
      </c>
      <c r="J251" s="320">
        <f t="shared" si="109"/>
        <v>1</v>
      </c>
      <c r="K251" s="320">
        <v>0</v>
      </c>
      <c r="L251" s="320">
        <f t="shared" si="109"/>
        <v>1</v>
      </c>
      <c r="M251" s="319">
        <f t="shared" si="109"/>
        <v>1</v>
      </c>
      <c r="N251" s="320">
        <f t="shared" si="109"/>
        <v>1</v>
      </c>
      <c r="O251" s="320">
        <f t="shared" si="109"/>
        <v>1</v>
      </c>
      <c r="P251" s="320">
        <f t="shared" si="109"/>
        <v>1</v>
      </c>
      <c r="Q251" s="321">
        <f t="shared" si="109"/>
        <v>1</v>
      </c>
      <c r="R251" s="1174"/>
      <c r="S251" s="319"/>
      <c r="T251" s="320"/>
      <c r="U251" s="320"/>
      <c r="V251" s="320"/>
      <c r="W251" s="321"/>
      <c r="X251" s="2957"/>
      <c r="Y251" s="2953"/>
      <c r="Z251" s="320"/>
      <c r="AA251" s="320"/>
      <c r="AB251" s="320"/>
      <c r="AC251" s="320"/>
      <c r="AD251" s="984"/>
      <c r="AH251" s="319"/>
      <c r="AI251" s="320"/>
      <c r="AJ251" s="320"/>
      <c r="AK251" s="320"/>
      <c r="AL251" s="321"/>
      <c r="AM251" s="319"/>
      <c r="AN251" s="320"/>
      <c r="AO251" s="321"/>
    </row>
    <row r="252" spans="1:41">
      <c r="A252" s="262"/>
      <c r="B252" s="336" t="s">
        <v>160</v>
      </c>
      <c r="C252" s="825"/>
      <c r="D252" s="924"/>
      <c r="E252" s="924"/>
      <c r="F252" s="924"/>
      <c r="G252" s="318"/>
      <c r="H252" s="825"/>
      <c r="I252" s="924"/>
      <c r="J252" s="924"/>
      <c r="K252" s="924"/>
      <c r="L252" s="924"/>
      <c r="M252" s="825"/>
      <c r="N252" s="924"/>
      <c r="O252" s="924"/>
      <c r="P252" s="924"/>
      <c r="Q252" s="318"/>
      <c r="R252" s="1174"/>
      <c r="S252" s="825"/>
      <c r="T252" s="924"/>
      <c r="U252" s="924"/>
      <c r="V252" s="924"/>
      <c r="W252" s="318"/>
      <c r="X252" s="1367"/>
      <c r="Y252" s="924"/>
      <c r="Z252" s="924"/>
      <c r="AA252" s="924"/>
      <c r="AB252" s="924"/>
      <c r="AC252" s="924"/>
      <c r="AD252" s="318"/>
      <c r="AH252" s="825"/>
      <c r="AI252" s="924"/>
      <c r="AJ252" s="924"/>
      <c r="AK252" s="924"/>
      <c r="AL252" s="318"/>
      <c r="AM252" s="825"/>
      <c r="AN252" s="924"/>
      <c r="AO252" s="318"/>
    </row>
    <row r="253" spans="1:41">
      <c r="A253" s="262"/>
      <c r="B253" s="253" t="str">
        <f>B24</f>
        <v>Electricity to gas</v>
      </c>
      <c r="C253" s="459"/>
      <c r="D253" s="458"/>
      <c r="E253" s="458"/>
      <c r="F253" s="458"/>
      <c r="G253" s="460"/>
      <c r="H253" s="459"/>
      <c r="I253" s="458"/>
      <c r="J253" s="458"/>
      <c r="K253" s="458"/>
      <c r="L253" s="458"/>
      <c r="M253" s="459"/>
      <c r="N253" s="458"/>
      <c r="O253" s="458"/>
      <c r="P253" s="458"/>
      <c r="Q253" s="460"/>
      <c r="R253" s="1174"/>
      <c r="S253" s="459">
        <f t="shared" ref="S253:AC253" si="110">S107</f>
        <v>0</v>
      </c>
      <c r="T253" s="458">
        <f t="shared" si="110"/>
        <v>0</v>
      </c>
      <c r="U253" s="458">
        <f t="shared" si="110"/>
        <v>0</v>
      </c>
      <c r="V253" s="458">
        <f t="shared" si="110"/>
        <v>0</v>
      </c>
      <c r="W253" s="460">
        <f t="shared" si="110"/>
        <v>0</v>
      </c>
      <c r="X253" s="1183"/>
      <c r="Y253" s="458">
        <f t="shared" si="110"/>
        <v>0</v>
      </c>
      <c r="Z253" s="458">
        <f t="shared" si="110"/>
        <v>0</v>
      </c>
      <c r="AA253" s="458">
        <f t="shared" si="110"/>
        <v>0</v>
      </c>
      <c r="AB253" s="458">
        <f t="shared" si="110"/>
        <v>0</v>
      </c>
      <c r="AC253" s="458">
        <f t="shared" si="110"/>
        <v>0</v>
      </c>
      <c r="AD253" s="982"/>
      <c r="AH253" s="462"/>
      <c r="AI253" s="463"/>
      <c r="AJ253" s="463"/>
      <c r="AK253" s="463"/>
      <c r="AL253" s="464"/>
      <c r="AM253" s="462"/>
      <c r="AN253" s="463"/>
      <c r="AO253" s="464"/>
    </row>
    <row r="254" spans="1:41">
      <c r="A254" s="262"/>
      <c r="B254" s="253" t="str">
        <f>B25</f>
        <v>New homes</v>
      </c>
      <c r="C254" s="459"/>
      <c r="D254" s="458"/>
      <c r="E254" s="458"/>
      <c r="F254" s="458"/>
      <c r="G254" s="460"/>
      <c r="H254" s="459"/>
      <c r="I254" s="458"/>
      <c r="J254" s="458"/>
      <c r="K254" s="458"/>
      <c r="L254" s="458"/>
      <c r="M254" s="459"/>
      <c r="N254" s="458"/>
      <c r="O254" s="458"/>
      <c r="P254" s="458"/>
      <c r="Q254" s="460"/>
      <c r="R254" s="1174"/>
      <c r="S254" s="472">
        <f>S136</f>
        <v>724000</v>
      </c>
      <c r="T254" s="467">
        <f t="shared" ref="T254:W254" si="111">T136</f>
        <v>782000</v>
      </c>
      <c r="U254" s="467">
        <f t="shared" si="111"/>
        <v>812000</v>
      </c>
      <c r="V254" s="467">
        <f t="shared" si="111"/>
        <v>802000</v>
      </c>
      <c r="W254" s="480">
        <f t="shared" si="111"/>
        <v>773000</v>
      </c>
      <c r="X254" s="3786"/>
      <c r="Y254" s="1011">
        <f>Y136</f>
        <v>0</v>
      </c>
      <c r="Z254" s="467">
        <f t="shared" ref="Z254:AC254" si="112">Z136</f>
        <v>0</v>
      </c>
      <c r="AA254" s="467">
        <f t="shared" si="112"/>
        <v>0</v>
      </c>
      <c r="AB254" s="467">
        <f t="shared" si="112"/>
        <v>0</v>
      </c>
      <c r="AC254" s="467">
        <f t="shared" si="112"/>
        <v>0</v>
      </c>
      <c r="AD254" s="982"/>
      <c r="AH254" s="462"/>
      <c r="AI254" s="463"/>
      <c r="AJ254" s="463"/>
      <c r="AK254" s="463"/>
      <c r="AL254" s="464"/>
      <c r="AM254" s="462"/>
      <c r="AN254" s="463"/>
      <c r="AO254" s="464"/>
    </row>
    <row r="255" spans="1:41">
      <c r="A255" s="262"/>
      <c r="B255" s="253" t="str">
        <f>B26</f>
        <v>New medium density / high rise</v>
      </c>
      <c r="C255" s="459"/>
      <c r="D255" s="458"/>
      <c r="E255" s="458"/>
      <c r="F255" s="458"/>
      <c r="G255" s="460"/>
      <c r="H255" s="459"/>
      <c r="I255" s="458"/>
      <c r="J255" s="458"/>
      <c r="K255" s="458"/>
      <c r="L255" s="458"/>
      <c r="M255" s="459"/>
      <c r="N255" s="458"/>
      <c r="O255" s="458"/>
      <c r="P255" s="458"/>
      <c r="Q255" s="460"/>
      <c r="R255" s="1174"/>
      <c r="S255" s="472">
        <f>S165</f>
        <v>540000</v>
      </c>
      <c r="T255" s="467">
        <f t="shared" ref="T255:AC255" si="113">T165</f>
        <v>583000</v>
      </c>
      <c r="U255" s="467">
        <f t="shared" si="113"/>
        <v>605000</v>
      </c>
      <c r="V255" s="467">
        <f t="shared" si="113"/>
        <v>598000</v>
      </c>
      <c r="W255" s="480">
        <f t="shared" si="113"/>
        <v>576000</v>
      </c>
      <c r="X255" s="3786"/>
      <c r="Y255" s="1011">
        <f t="shared" si="113"/>
        <v>4700773.1365924198</v>
      </c>
      <c r="Z255" s="467">
        <f t="shared" si="113"/>
        <v>4621956.3235320803</v>
      </c>
      <c r="AA255" s="467">
        <f t="shared" si="113"/>
        <v>4882598.6398708699</v>
      </c>
      <c r="AB255" s="467">
        <f t="shared" si="113"/>
        <v>5248589.5982537596</v>
      </c>
      <c r="AC255" s="467">
        <f t="shared" si="113"/>
        <v>5607551.0018573096</v>
      </c>
      <c r="AD255" s="3763"/>
      <c r="AH255" s="462"/>
      <c r="AI255" s="463"/>
      <c r="AJ255" s="463"/>
      <c r="AK255" s="463"/>
      <c r="AL255" s="464"/>
      <c r="AM255" s="462"/>
      <c r="AN255" s="463"/>
      <c r="AO255" s="464"/>
    </row>
    <row r="256" spans="1:41">
      <c r="A256" s="262"/>
      <c r="B256" s="253" t="str">
        <f>B27</f>
        <v>I&amp;C tariff</v>
      </c>
      <c r="C256" s="459">
        <v>1689854.43276</v>
      </c>
      <c r="D256" s="458">
        <v>1459760.679</v>
      </c>
      <c r="E256" s="458">
        <v>1592636.1001200001</v>
      </c>
      <c r="F256" s="458">
        <v>1638720.5234400001</v>
      </c>
      <c r="G256" s="460">
        <v>2431015.5457641343</v>
      </c>
      <c r="H256" s="459">
        <v>3250901.8557950919</v>
      </c>
      <c r="I256" s="458">
        <v>2172306.7178548924</v>
      </c>
      <c r="J256" s="458">
        <v>1532239.3441574452</v>
      </c>
      <c r="K256" s="458">
        <v>1014610.788336179</v>
      </c>
      <c r="L256" s="458">
        <v>2353938.8537499211</v>
      </c>
      <c r="M256" s="459">
        <v>1352623.87694452</v>
      </c>
      <c r="N256" s="458">
        <v>1382934.2182694599</v>
      </c>
      <c r="O256" s="458">
        <v>1417446.0617734501</v>
      </c>
      <c r="P256" s="458">
        <v>1461936.8722799099</v>
      </c>
      <c r="Q256" s="460">
        <v>1457124.33035797</v>
      </c>
      <c r="R256" s="1174"/>
      <c r="S256" s="472">
        <f>S194</f>
        <v>140320</v>
      </c>
      <c r="T256" s="467">
        <f t="shared" ref="T256:AC256" si="114">T194</f>
        <v>153440</v>
      </c>
      <c r="U256" s="467">
        <f t="shared" si="114"/>
        <v>165560</v>
      </c>
      <c r="V256" s="467">
        <f t="shared" si="114"/>
        <v>178680</v>
      </c>
      <c r="W256" s="480">
        <f t="shared" si="114"/>
        <v>191800</v>
      </c>
      <c r="X256" s="3786"/>
      <c r="Y256" s="1011">
        <f t="shared" si="114"/>
        <v>0</v>
      </c>
      <c r="Z256" s="467">
        <f t="shared" si="114"/>
        <v>0</v>
      </c>
      <c r="AA256" s="467">
        <f t="shared" si="114"/>
        <v>0</v>
      </c>
      <c r="AB256" s="467">
        <f t="shared" si="114"/>
        <v>0</v>
      </c>
      <c r="AC256" s="467">
        <f t="shared" si="114"/>
        <v>0</v>
      </c>
      <c r="AD256" s="982"/>
      <c r="AH256" s="462"/>
      <c r="AI256" s="463"/>
      <c r="AJ256" s="463"/>
      <c r="AK256" s="463"/>
      <c r="AL256" s="464"/>
      <c r="AM256" s="462"/>
      <c r="AN256" s="463"/>
      <c r="AO256" s="464"/>
    </row>
    <row r="257" spans="1:41">
      <c r="A257" s="262"/>
      <c r="B257" s="253" t="str">
        <f>B28</f>
        <v>I&amp;C contract</v>
      </c>
      <c r="C257" s="459">
        <v>187761.60363999999</v>
      </c>
      <c r="D257" s="458">
        <v>162195.63100000002</v>
      </c>
      <c r="E257" s="458">
        <v>176959.56668000002</v>
      </c>
      <c r="F257" s="458">
        <v>182080.05816000002</v>
      </c>
      <c r="G257" s="460">
        <v>270112.83841823711</v>
      </c>
      <c r="H257" s="459">
        <v>361211.31731056579</v>
      </c>
      <c r="I257" s="458">
        <v>241367.41309498806</v>
      </c>
      <c r="J257" s="458">
        <v>170248.81601749393</v>
      </c>
      <c r="K257" s="458">
        <v>112734.53203735322</v>
      </c>
      <c r="L257" s="458">
        <v>261548.76152776901</v>
      </c>
      <c r="M257" s="459">
        <v>1387149.67805639</v>
      </c>
      <c r="N257" s="458">
        <v>1403038.3315695999</v>
      </c>
      <c r="O257" s="458">
        <v>1417797.6318061601</v>
      </c>
      <c r="P257" s="458">
        <v>1441989.76243232</v>
      </c>
      <c r="Q257" s="460">
        <v>1462635.86811262</v>
      </c>
      <c r="R257" s="1174"/>
      <c r="S257" s="462">
        <f>S223</f>
        <v>0</v>
      </c>
      <c r="T257" s="463">
        <f t="shared" ref="T257:W257" si="115">T223</f>
        <v>0</v>
      </c>
      <c r="U257" s="463">
        <f t="shared" si="115"/>
        <v>0</v>
      </c>
      <c r="V257" s="463">
        <f t="shared" si="115"/>
        <v>0</v>
      </c>
      <c r="W257" s="464">
        <f t="shared" si="115"/>
        <v>0</v>
      </c>
      <c r="X257" s="2956"/>
      <c r="Y257" s="513"/>
      <c r="Z257" s="463"/>
      <c r="AA257" s="463"/>
      <c r="AB257" s="463"/>
      <c r="AC257" s="463"/>
      <c r="AD257" s="983"/>
      <c r="AH257" s="462"/>
      <c r="AI257" s="463"/>
      <c r="AJ257" s="463"/>
      <c r="AK257" s="463"/>
      <c r="AL257" s="464"/>
      <c r="AM257" s="462"/>
      <c r="AN257" s="463"/>
      <c r="AO257" s="464"/>
    </row>
    <row r="258" spans="1:41">
      <c r="A258" s="262"/>
      <c r="B258" s="336" t="s">
        <v>161</v>
      </c>
      <c r="C258" s="825"/>
      <c r="D258" s="924"/>
      <c r="E258" s="924"/>
      <c r="F258" s="924"/>
      <c r="G258" s="318"/>
      <c r="H258" s="825"/>
      <c r="I258" s="924"/>
      <c r="J258" s="924"/>
      <c r="K258" s="924"/>
      <c r="L258" s="924"/>
      <c r="M258" s="825"/>
      <c r="N258" s="924"/>
      <c r="O258" s="924"/>
      <c r="P258" s="924"/>
      <c r="Q258" s="318"/>
      <c r="R258" s="1174"/>
      <c r="S258" s="825"/>
      <c r="T258" s="924"/>
      <c r="U258" s="924"/>
      <c r="V258" s="924"/>
      <c r="W258" s="318"/>
      <c r="X258" s="1367"/>
      <c r="Y258" s="924"/>
      <c r="Z258" s="924"/>
      <c r="AA258" s="924"/>
      <c r="AB258" s="924"/>
      <c r="AC258" s="924"/>
      <c r="AD258" s="318"/>
      <c r="AH258" s="825"/>
      <c r="AI258" s="924"/>
      <c r="AJ258" s="924"/>
      <c r="AK258" s="924"/>
      <c r="AL258" s="318"/>
      <c r="AM258" s="825"/>
      <c r="AN258" s="924"/>
      <c r="AO258" s="318"/>
    </row>
    <row r="259" spans="1:41">
      <c r="A259" s="262"/>
      <c r="B259" s="253" t="str">
        <f>B24</f>
        <v>Electricity to gas</v>
      </c>
      <c r="C259" s="322"/>
      <c r="D259" s="323"/>
      <c r="E259" s="323"/>
      <c r="F259" s="323"/>
      <c r="G259" s="324"/>
      <c r="H259" s="322"/>
      <c r="I259" s="323"/>
      <c r="J259" s="323"/>
      <c r="K259" s="323"/>
      <c r="L259" s="323"/>
      <c r="M259" s="322"/>
      <c r="N259" s="323"/>
      <c r="O259" s="323"/>
      <c r="P259" s="323"/>
      <c r="Q259" s="324"/>
      <c r="R259" s="1174"/>
      <c r="S259" s="322"/>
      <c r="T259" s="323"/>
      <c r="U259" s="323"/>
      <c r="V259" s="323"/>
      <c r="W259" s="324"/>
      <c r="X259" s="2958"/>
      <c r="Y259" s="2954"/>
      <c r="Z259" s="323"/>
      <c r="AA259" s="323"/>
      <c r="AB259" s="323"/>
      <c r="AC259" s="323"/>
      <c r="AD259" s="985"/>
      <c r="AH259" s="322"/>
      <c r="AI259" s="323"/>
      <c r="AJ259" s="323"/>
      <c r="AK259" s="323"/>
      <c r="AL259" s="324"/>
      <c r="AM259" s="322"/>
      <c r="AN259" s="323"/>
      <c r="AO259" s="324"/>
    </row>
    <row r="260" spans="1:41">
      <c r="A260" s="262"/>
      <c r="B260" s="253" t="str">
        <f>B25</f>
        <v>New homes</v>
      </c>
      <c r="C260" s="322"/>
      <c r="D260" s="323"/>
      <c r="E260" s="323"/>
      <c r="F260" s="323"/>
      <c r="G260" s="324"/>
      <c r="H260" s="322"/>
      <c r="I260" s="323"/>
      <c r="J260" s="323"/>
      <c r="K260" s="323"/>
      <c r="L260" s="323"/>
      <c r="M260" s="322"/>
      <c r="N260" s="323"/>
      <c r="O260" s="323"/>
      <c r="P260" s="323"/>
      <c r="Q260" s="324"/>
      <c r="R260" s="1174"/>
      <c r="S260" s="322"/>
      <c r="T260" s="323"/>
      <c r="U260" s="323"/>
      <c r="V260" s="323"/>
      <c r="W260" s="324"/>
      <c r="X260" s="2958"/>
      <c r="Y260" s="2954"/>
      <c r="Z260" s="323"/>
      <c r="AA260" s="323"/>
      <c r="AB260" s="323"/>
      <c r="AC260" s="323"/>
      <c r="AD260" s="985"/>
      <c r="AH260" s="322"/>
      <c r="AI260" s="323"/>
      <c r="AJ260" s="323"/>
      <c r="AK260" s="323"/>
      <c r="AL260" s="324"/>
      <c r="AM260" s="322"/>
      <c r="AN260" s="323"/>
      <c r="AO260" s="324"/>
    </row>
    <row r="261" spans="1:41">
      <c r="A261" s="262"/>
      <c r="B261" s="253" t="str">
        <f>B26</f>
        <v>New medium density / high rise</v>
      </c>
      <c r="C261" s="322"/>
      <c r="D261" s="323"/>
      <c r="E261" s="323"/>
      <c r="F261" s="323"/>
      <c r="G261" s="324"/>
      <c r="H261" s="322"/>
      <c r="I261" s="323"/>
      <c r="J261" s="323"/>
      <c r="K261" s="323"/>
      <c r="L261" s="323"/>
      <c r="M261" s="322"/>
      <c r="N261" s="323"/>
      <c r="O261" s="323"/>
      <c r="P261" s="323"/>
      <c r="Q261" s="324"/>
      <c r="R261" s="1174"/>
      <c r="S261" s="322"/>
      <c r="T261" s="323"/>
      <c r="U261" s="323"/>
      <c r="V261" s="323"/>
      <c r="W261" s="324"/>
      <c r="X261" s="2958"/>
      <c r="Y261" s="2954"/>
      <c r="Z261" s="323"/>
      <c r="AA261" s="323"/>
      <c r="AB261" s="323"/>
      <c r="AC261" s="323"/>
      <c r="AD261" s="985"/>
      <c r="AH261" s="322"/>
      <c r="AI261" s="323"/>
      <c r="AJ261" s="323"/>
      <c r="AK261" s="323"/>
      <c r="AL261" s="324"/>
      <c r="AM261" s="322"/>
      <c r="AN261" s="323"/>
      <c r="AO261" s="324"/>
    </row>
    <row r="262" spans="1:41">
      <c r="A262" s="262"/>
      <c r="B262" s="253" t="str">
        <f>B27</f>
        <v>I&amp;C tariff</v>
      </c>
      <c r="C262" s="462">
        <f t="shared" ref="C262:L262" si="116">C256/C244</f>
        <v>9767.944698034682</v>
      </c>
      <c r="D262" s="463">
        <f t="shared" si="116"/>
        <v>6238.2934999999998</v>
      </c>
      <c r="E262" s="463">
        <f t="shared" si="116"/>
        <v>6421.9197585483871</v>
      </c>
      <c r="F262" s="463">
        <f t="shared" si="116"/>
        <v>7155.9848185152841</v>
      </c>
      <c r="G262" s="464">
        <f t="shared" si="116"/>
        <v>8529.8791079443308</v>
      </c>
      <c r="H262" s="462">
        <f t="shared" si="116"/>
        <v>14384.52148581899</v>
      </c>
      <c r="I262" s="463">
        <f t="shared" si="116"/>
        <v>8620.2647533924301</v>
      </c>
      <c r="J262" s="463">
        <f t="shared" si="116"/>
        <v>4615.1787474621842</v>
      </c>
      <c r="K262" s="463">
        <f t="shared" si="116"/>
        <v>3689.4066255649891</v>
      </c>
      <c r="L262" s="463">
        <f t="shared" si="116"/>
        <v>8752.3625653498057</v>
      </c>
      <c r="M262" s="462">
        <f>AVERAGE($H$262:$L$262)</f>
        <v>8012.3468355176792</v>
      </c>
      <c r="N262" s="463">
        <f>AVERAGE($H$262:$L$262)</f>
        <v>8012.3468355176792</v>
      </c>
      <c r="O262" s="463">
        <f>AVERAGE($H$262:$L$262)</f>
        <v>8012.3468355176792</v>
      </c>
      <c r="P262" s="463">
        <f>AVERAGE($H$262:$L$262)</f>
        <v>8012.3468355176792</v>
      </c>
      <c r="Q262" s="464">
        <f>AVERAGE($H$262:$L$262)</f>
        <v>8012.3468355176792</v>
      </c>
      <c r="R262" s="1174"/>
      <c r="S262" s="322"/>
      <c r="T262" s="323"/>
      <c r="U262" s="323"/>
      <c r="V262" s="323"/>
      <c r="W262" s="324"/>
      <c r="X262" s="2958"/>
      <c r="Y262" s="2954"/>
      <c r="Z262" s="323"/>
      <c r="AA262" s="323"/>
      <c r="AB262" s="323"/>
      <c r="AC262" s="323"/>
      <c r="AD262" s="985"/>
      <c r="AH262" s="322"/>
      <c r="AI262" s="323"/>
      <c r="AJ262" s="323"/>
      <c r="AK262" s="323"/>
      <c r="AL262" s="324"/>
      <c r="AM262" s="322"/>
      <c r="AN262" s="323"/>
      <c r="AO262" s="324"/>
    </row>
    <row r="263" spans="1:41">
      <c r="A263" s="262"/>
      <c r="B263" s="253" t="str">
        <f>B28</f>
        <v>I&amp;C contract</v>
      </c>
      <c r="C263" s="462">
        <f t="shared" ref="C263:L263" si="117">C257/C245</f>
        <v>26823.086234285711</v>
      </c>
      <c r="D263" s="463">
        <f t="shared" si="117"/>
        <v>20274.453875000003</v>
      </c>
      <c r="E263" s="463">
        <f t="shared" si="117"/>
        <v>88479.783340000009</v>
      </c>
      <c r="F263" s="463">
        <f t="shared" si="117"/>
        <v>45520.014540000004</v>
      </c>
      <c r="G263" s="464">
        <f t="shared" si="117"/>
        <v>30012.537602026347</v>
      </c>
      <c r="H263" s="462">
        <f t="shared" si="117"/>
        <v>120403.77243685526</v>
      </c>
      <c r="I263" s="463">
        <f t="shared" si="117"/>
        <v>30170.926636873508</v>
      </c>
      <c r="J263" s="463">
        <f t="shared" si="117"/>
        <v>28374.802669582321</v>
      </c>
      <c r="K263" s="463">
        <v>0</v>
      </c>
      <c r="L263" s="463">
        <f t="shared" si="117"/>
        <v>33675.806205290566</v>
      </c>
      <c r="M263" s="462">
        <f>AVERAGE($H$263:$L$263)</f>
        <v>42525.061589720324</v>
      </c>
      <c r="N263" s="463">
        <f>AVERAGE($H$263:$L$263)</f>
        <v>42525.061589720324</v>
      </c>
      <c r="O263" s="463">
        <f>AVERAGE($H$263:$L$263)</f>
        <v>42525.061589720324</v>
      </c>
      <c r="P263" s="463">
        <f>AVERAGE($H$263:$L$263)</f>
        <v>42525.061589720324</v>
      </c>
      <c r="Q263" s="464">
        <f>AVERAGE($H$263:$L$263)</f>
        <v>42525.061589720324</v>
      </c>
      <c r="R263" s="1174"/>
      <c r="S263" s="322"/>
      <c r="T263" s="323"/>
      <c r="U263" s="323"/>
      <c r="V263" s="323"/>
      <c r="W263" s="324"/>
      <c r="X263" s="2958"/>
      <c r="Y263" s="2954"/>
      <c r="Z263" s="323"/>
      <c r="AA263" s="323"/>
      <c r="AB263" s="323"/>
      <c r="AC263" s="323"/>
      <c r="AD263" s="985"/>
      <c r="AH263" s="322"/>
      <c r="AI263" s="323"/>
      <c r="AJ263" s="323"/>
      <c r="AK263" s="323"/>
      <c r="AL263" s="324"/>
      <c r="AM263" s="322"/>
      <c r="AN263" s="323"/>
      <c r="AO263" s="324"/>
    </row>
    <row r="264" spans="1:41" ht="25.5">
      <c r="A264" s="262"/>
      <c r="B264" s="336" t="s">
        <v>162</v>
      </c>
      <c r="C264" s="825"/>
      <c r="D264" s="924"/>
      <c r="E264" s="924"/>
      <c r="F264" s="924"/>
      <c r="G264" s="318"/>
      <c r="H264" s="825"/>
      <c r="I264" s="924"/>
      <c r="J264" s="924"/>
      <c r="K264" s="924"/>
      <c r="L264" s="924"/>
      <c r="M264" s="825"/>
      <c r="N264" s="924"/>
      <c r="O264" s="924"/>
      <c r="P264" s="924"/>
      <c r="Q264" s="318"/>
      <c r="R264" s="1174"/>
      <c r="S264" s="825"/>
      <c r="T264" s="924"/>
      <c r="U264" s="924"/>
      <c r="V264" s="924"/>
      <c r="W264" s="318"/>
      <c r="X264" s="1367"/>
      <c r="Y264" s="924"/>
      <c r="Z264" s="924"/>
      <c r="AA264" s="924"/>
      <c r="AB264" s="924"/>
      <c r="AC264" s="924"/>
      <c r="AD264" s="318"/>
      <c r="AH264" s="825"/>
      <c r="AI264" s="924"/>
      <c r="AJ264" s="924"/>
      <c r="AK264" s="924"/>
      <c r="AL264" s="318"/>
      <c r="AM264" s="825"/>
      <c r="AN264" s="924"/>
      <c r="AO264" s="318"/>
    </row>
    <row r="265" spans="1:41">
      <c r="A265" s="262"/>
      <c r="B265" s="253" t="str">
        <f>B24</f>
        <v>Electricity to gas</v>
      </c>
      <c r="C265" s="470"/>
      <c r="D265" s="468"/>
      <c r="E265" s="468"/>
      <c r="F265" s="468"/>
      <c r="G265" s="530"/>
      <c r="H265" s="470"/>
      <c r="I265" s="468"/>
      <c r="J265" s="468"/>
      <c r="K265" s="468"/>
      <c r="L265" s="468">
        <f t="shared" ref="L265:Q269" si="118">L247*L241*L259</f>
        <v>0</v>
      </c>
      <c r="M265" s="3760">
        <f t="shared" si="118"/>
        <v>0</v>
      </c>
      <c r="N265" s="3761">
        <f t="shared" si="118"/>
        <v>0</v>
      </c>
      <c r="O265" s="3761">
        <f t="shared" si="118"/>
        <v>0</v>
      </c>
      <c r="P265" s="3761">
        <f t="shared" si="118"/>
        <v>0</v>
      </c>
      <c r="Q265" s="3762">
        <f t="shared" si="118"/>
        <v>0</v>
      </c>
      <c r="R265" s="1174"/>
      <c r="S265" s="459"/>
      <c r="T265" s="458"/>
      <c r="U265" s="458"/>
      <c r="V265" s="458"/>
      <c r="W265" s="460"/>
      <c r="X265" s="1183"/>
      <c r="Y265" s="413"/>
      <c r="Z265" s="458"/>
      <c r="AA265" s="458"/>
      <c r="AB265" s="458"/>
      <c r="AC265" s="458"/>
      <c r="AD265" s="986"/>
      <c r="AH265" s="470"/>
      <c r="AI265" s="468"/>
      <c r="AJ265" s="468"/>
      <c r="AK265" s="468"/>
      <c r="AL265" s="530"/>
      <c r="AM265" s="470"/>
      <c r="AN265" s="468"/>
      <c r="AO265" s="530"/>
    </row>
    <row r="266" spans="1:41">
      <c r="A266" s="262"/>
      <c r="B266" s="253" t="str">
        <f>B25</f>
        <v>New homes</v>
      </c>
      <c r="C266" s="470"/>
      <c r="D266" s="468"/>
      <c r="E266" s="468"/>
      <c r="F266" s="468"/>
      <c r="G266" s="530"/>
      <c r="H266" s="470"/>
      <c r="I266" s="468"/>
      <c r="J266" s="468"/>
      <c r="K266" s="468"/>
      <c r="L266" s="468">
        <f t="shared" si="118"/>
        <v>0</v>
      </c>
      <c r="M266" s="3760">
        <f t="shared" si="118"/>
        <v>0</v>
      </c>
      <c r="N266" s="3761">
        <f t="shared" si="118"/>
        <v>0</v>
      </c>
      <c r="O266" s="3761">
        <f t="shared" si="118"/>
        <v>0</v>
      </c>
      <c r="P266" s="3761">
        <f t="shared" si="118"/>
        <v>0</v>
      </c>
      <c r="Q266" s="3762">
        <f t="shared" si="118"/>
        <v>0</v>
      </c>
      <c r="R266" s="1174"/>
      <c r="S266" s="459"/>
      <c r="T266" s="458"/>
      <c r="U266" s="458"/>
      <c r="V266" s="458"/>
      <c r="W266" s="460"/>
      <c r="X266" s="1183"/>
      <c r="Y266" s="413"/>
      <c r="Z266" s="458"/>
      <c r="AA266" s="458"/>
      <c r="AB266" s="458"/>
      <c r="AC266" s="458"/>
      <c r="AD266" s="986"/>
      <c r="AH266" s="470"/>
      <c r="AI266" s="468"/>
      <c r="AJ266" s="468"/>
      <c r="AK266" s="468"/>
      <c r="AL266" s="530"/>
      <c r="AM266" s="470"/>
      <c r="AN266" s="468"/>
      <c r="AO266" s="530"/>
    </row>
    <row r="267" spans="1:41">
      <c r="A267" s="262"/>
      <c r="B267" s="253" t="str">
        <f>B26</f>
        <v>New medium density / high rise</v>
      </c>
      <c r="C267" s="470"/>
      <c r="D267" s="468"/>
      <c r="E267" s="468"/>
      <c r="F267" s="468"/>
      <c r="G267" s="530"/>
      <c r="H267" s="470"/>
      <c r="I267" s="468"/>
      <c r="J267" s="468"/>
      <c r="K267" s="468"/>
      <c r="L267" s="468">
        <f t="shared" si="118"/>
        <v>0</v>
      </c>
      <c r="M267" s="3760">
        <f t="shared" si="118"/>
        <v>0</v>
      </c>
      <c r="N267" s="3761">
        <f t="shared" si="118"/>
        <v>0</v>
      </c>
      <c r="O267" s="3761">
        <f t="shared" si="118"/>
        <v>0</v>
      </c>
      <c r="P267" s="3761">
        <f t="shared" si="118"/>
        <v>0</v>
      </c>
      <c r="Q267" s="3762">
        <f t="shared" si="118"/>
        <v>0</v>
      </c>
      <c r="R267" s="1174"/>
      <c r="S267" s="459"/>
      <c r="T267" s="458"/>
      <c r="U267" s="458"/>
      <c r="V267" s="458"/>
      <c r="W267" s="460"/>
      <c r="X267" s="1183"/>
      <c r="Y267" s="413"/>
      <c r="Z267" s="458"/>
      <c r="AA267" s="458"/>
      <c r="AB267" s="458"/>
      <c r="AC267" s="458"/>
      <c r="AD267" s="986"/>
      <c r="AH267" s="470"/>
      <c r="AI267" s="468"/>
      <c r="AJ267" s="468"/>
      <c r="AK267" s="468"/>
      <c r="AL267" s="530"/>
      <c r="AM267" s="470"/>
      <c r="AN267" s="468"/>
      <c r="AO267" s="530"/>
    </row>
    <row r="268" spans="1:41">
      <c r="A268" s="262"/>
      <c r="B268" s="253" t="str">
        <f>B27</f>
        <v>I&amp;C tariff</v>
      </c>
      <c r="C268" s="470"/>
      <c r="D268" s="468"/>
      <c r="E268" s="468"/>
      <c r="F268" s="468"/>
      <c r="G268" s="530"/>
      <c r="H268" s="470"/>
      <c r="I268" s="468"/>
      <c r="J268" s="468"/>
      <c r="K268" s="468"/>
      <c r="L268" s="468">
        <f t="shared" si="118"/>
        <v>2353938.8537499211</v>
      </c>
      <c r="M268" s="3760">
        <f t="shared" si="118"/>
        <v>2222353.9878387377</v>
      </c>
      <c r="N268" s="3761">
        <f t="shared" si="118"/>
        <v>2249983.7626081528</v>
      </c>
      <c r="O268" s="3761">
        <f t="shared" si="118"/>
        <v>2282257.1779102772</v>
      </c>
      <c r="P268" s="3761">
        <f t="shared" si="118"/>
        <v>2318364.4597536246</v>
      </c>
      <c r="Q268" s="3762">
        <f t="shared" si="118"/>
        <v>2279394.5471073641</v>
      </c>
      <c r="R268" s="1174"/>
      <c r="S268" s="459"/>
      <c r="T268" s="458"/>
      <c r="U268" s="458"/>
      <c r="V268" s="458"/>
      <c r="W268" s="460"/>
      <c r="X268" s="1183"/>
      <c r="Y268" s="413"/>
      <c r="Z268" s="458"/>
      <c r="AA268" s="458"/>
      <c r="AB268" s="458"/>
      <c r="AC268" s="458"/>
      <c r="AD268" s="986"/>
      <c r="AH268" s="470"/>
      <c r="AI268" s="468"/>
      <c r="AJ268" s="468"/>
      <c r="AK268" s="468"/>
      <c r="AL268" s="530"/>
      <c r="AM268" s="470"/>
      <c r="AN268" s="468"/>
      <c r="AO268" s="530"/>
    </row>
    <row r="269" spans="1:41" ht="13.5" thickBot="1">
      <c r="A269" s="262"/>
      <c r="B269" s="253" t="str">
        <f>B28</f>
        <v>I&amp;C contract</v>
      </c>
      <c r="C269" s="471"/>
      <c r="D269" s="469"/>
      <c r="E269" s="469"/>
      <c r="F269" s="469"/>
      <c r="G269" s="531"/>
      <c r="H269" s="471"/>
      <c r="I269" s="469"/>
      <c r="J269" s="469"/>
      <c r="K269" s="469"/>
      <c r="L269" s="469">
        <f t="shared" si="118"/>
        <v>261548.76152776901</v>
      </c>
      <c r="M269" s="3760">
        <f t="shared" si="118"/>
        <v>281677.90795860259</v>
      </c>
      <c r="N269" s="3761">
        <f t="shared" si="118"/>
        <v>281677.90795852523</v>
      </c>
      <c r="O269" s="3761">
        <f t="shared" si="118"/>
        <v>281677.90795860259</v>
      </c>
      <c r="P269" s="3761">
        <f t="shared" si="118"/>
        <v>281677.90795860259</v>
      </c>
      <c r="Q269" s="3762">
        <f t="shared" si="118"/>
        <v>281677.90795856388</v>
      </c>
      <c r="R269" s="1174"/>
      <c r="S269" s="462"/>
      <c r="T269" s="463"/>
      <c r="U269" s="463"/>
      <c r="V269" s="463"/>
      <c r="W269" s="464"/>
      <c r="X269" s="2956"/>
      <c r="Y269" s="513"/>
      <c r="Z269" s="463"/>
      <c r="AA269" s="463"/>
      <c r="AB269" s="463"/>
      <c r="AC269" s="463"/>
      <c r="AD269" s="986"/>
      <c r="AH269" s="1629"/>
      <c r="AI269" s="1630"/>
      <c r="AJ269" s="1630"/>
      <c r="AK269" s="1630"/>
      <c r="AL269" s="1631"/>
      <c r="AM269" s="1629"/>
      <c r="AN269" s="1630"/>
      <c r="AO269" s="1631"/>
    </row>
    <row r="270" spans="1:41" ht="13.5" thickBot="1">
      <c r="A270" s="262"/>
      <c r="B270" s="209" t="s">
        <v>53</v>
      </c>
      <c r="C270" s="325"/>
      <c r="D270" s="326"/>
      <c r="E270" s="326"/>
      <c r="F270" s="326"/>
      <c r="G270" s="979"/>
      <c r="H270" s="325"/>
      <c r="I270" s="326"/>
      <c r="J270" s="326"/>
      <c r="K270" s="326"/>
      <c r="L270" s="326">
        <f t="shared" ref="L270:AC270" si="119">SUM(L265:L269)</f>
        <v>2615487.6152776899</v>
      </c>
      <c r="M270" s="1109">
        <f t="shared" si="119"/>
        <v>2504031.8957973402</v>
      </c>
      <c r="N270" s="1110">
        <f t="shared" si="119"/>
        <v>2531661.670566678</v>
      </c>
      <c r="O270" s="1110">
        <f t="shared" si="119"/>
        <v>2563935.0858688797</v>
      </c>
      <c r="P270" s="1110">
        <f t="shared" si="119"/>
        <v>2600042.3677122272</v>
      </c>
      <c r="Q270" s="1111">
        <f t="shared" si="119"/>
        <v>2561072.4550659279</v>
      </c>
      <c r="R270" s="1174"/>
      <c r="S270" s="1625">
        <f t="shared" si="119"/>
        <v>0</v>
      </c>
      <c r="T270" s="327">
        <f t="shared" si="119"/>
        <v>0</v>
      </c>
      <c r="U270" s="327">
        <f t="shared" si="119"/>
        <v>0</v>
      </c>
      <c r="V270" s="327">
        <f t="shared" si="119"/>
        <v>0</v>
      </c>
      <c r="W270" s="328">
        <f t="shared" si="119"/>
        <v>0</v>
      </c>
      <c r="X270" s="2959">
        <f t="shared" si="119"/>
        <v>0</v>
      </c>
      <c r="Y270" s="2955">
        <f t="shared" si="119"/>
        <v>0</v>
      </c>
      <c r="Z270" s="327">
        <f t="shared" ref="Z270" si="120">SUM(Z265:Z269)</f>
        <v>0</v>
      </c>
      <c r="AA270" s="327">
        <f t="shared" si="119"/>
        <v>0</v>
      </c>
      <c r="AB270" s="327">
        <f t="shared" si="119"/>
        <v>0</v>
      </c>
      <c r="AC270" s="327">
        <f t="shared" si="119"/>
        <v>0</v>
      </c>
      <c r="AD270" s="987"/>
      <c r="AH270" s="1626"/>
      <c r="AI270" s="1627"/>
      <c r="AJ270" s="1627"/>
      <c r="AK270" s="1627"/>
      <c r="AL270" s="1628"/>
      <c r="AM270" s="1626"/>
      <c r="AN270" s="1627"/>
      <c r="AO270" s="1627"/>
    </row>
    <row r="271" spans="1:41" s="164" customFormat="1" ht="31.5" customHeight="1" thickBot="1">
      <c r="A271" s="741"/>
      <c r="B271" s="1383" t="s">
        <v>121</v>
      </c>
      <c r="C271" s="263" t="s">
        <v>2112</v>
      </c>
      <c r="D271" s="1005"/>
      <c r="E271" s="1005"/>
      <c r="F271" s="1005"/>
      <c r="G271" s="1005"/>
      <c r="H271" s="1005"/>
      <c r="I271" s="1005"/>
      <c r="J271" s="1005"/>
      <c r="K271" s="3980" t="s">
        <v>2095</v>
      </c>
      <c r="L271" s="3980"/>
      <c r="M271" s="3980"/>
      <c r="N271" s="3980"/>
      <c r="O271" s="3980"/>
      <c r="P271" s="3980"/>
      <c r="Q271" s="3981"/>
      <c r="R271" s="1174"/>
      <c r="S271" s="3982" t="s">
        <v>1787</v>
      </c>
      <c r="T271" s="3980"/>
      <c r="U271" s="3980"/>
      <c r="V271" s="3980"/>
      <c r="W271" s="3980"/>
      <c r="X271" s="3983" t="s">
        <v>1788</v>
      </c>
      <c r="Y271" s="3983"/>
      <c r="Z271" s="3983"/>
      <c r="AA271" s="3983"/>
      <c r="AB271" s="3984"/>
      <c r="AC271" s="1005"/>
      <c r="AD271" s="1006"/>
      <c r="AE271"/>
      <c r="AH271" s="1635"/>
      <c r="AI271" s="1636"/>
      <c r="AJ271" s="1636"/>
      <c r="AK271" s="1636"/>
      <c r="AL271" s="1636"/>
      <c r="AM271" s="1636"/>
      <c r="AN271" s="1636"/>
      <c r="AO271" s="1637"/>
    </row>
    <row r="275" spans="3:30">
      <c r="C275" s="3504"/>
      <c r="D275" s="3504"/>
      <c r="E275" s="3504"/>
      <c r="F275" s="3504"/>
      <c r="G275" s="3504"/>
      <c r="H275" s="3504"/>
      <c r="I275" s="3504"/>
      <c r="J275" s="3504"/>
      <c r="K275" s="3504"/>
      <c r="L275" s="3504"/>
      <c r="M275" s="3504"/>
      <c r="N275" s="3504"/>
      <c r="O275" s="3504"/>
      <c r="P275" s="3504"/>
      <c r="Q275" s="3504"/>
    </row>
    <row r="277" spans="3:30">
      <c r="C277" s="3504"/>
      <c r="D277" s="3504"/>
      <c r="E277" s="3504"/>
      <c r="F277" s="3504"/>
      <c r="G277" s="3504"/>
      <c r="H277" s="3504"/>
      <c r="I277" s="3504"/>
      <c r="J277" s="3504"/>
      <c r="K277" s="3504"/>
      <c r="L277" s="3504"/>
      <c r="M277" s="3504"/>
      <c r="N277" s="3504"/>
      <c r="O277" s="3504"/>
      <c r="P277" s="3504"/>
      <c r="Q277" s="3504"/>
    </row>
    <row r="281" spans="3:30">
      <c r="C281" s="3504"/>
      <c r="D281" s="3504"/>
      <c r="E281" s="3504"/>
      <c r="F281" s="3504"/>
      <c r="G281" s="3504"/>
      <c r="H281" s="3504"/>
      <c r="I281" s="3504"/>
      <c r="J281" s="3504"/>
      <c r="K281" s="3504"/>
      <c r="L281" s="3504"/>
      <c r="M281" s="3504"/>
      <c r="N281" s="3504"/>
      <c r="O281" s="3504"/>
      <c r="P281" s="3504"/>
      <c r="Q281" s="3504"/>
      <c r="R281" s="3504"/>
      <c r="S281" s="3504"/>
      <c r="T281" s="3504"/>
      <c r="U281" s="3504"/>
      <c r="V281" s="3504"/>
      <c r="W281" s="3504"/>
      <c r="X281" s="3504"/>
      <c r="Y281" s="3504"/>
      <c r="Z281" s="3504"/>
      <c r="AA281" s="3504"/>
      <c r="AB281" s="3504"/>
      <c r="AC281" s="3504"/>
      <c r="AD281" s="3504"/>
    </row>
    <row r="282" spans="3:30">
      <c r="C282" s="3504"/>
      <c r="D282" s="3504"/>
      <c r="E282" s="3504"/>
      <c r="F282" s="3504"/>
      <c r="G282" s="3504"/>
      <c r="H282" s="3504"/>
      <c r="I282" s="3504"/>
      <c r="J282" s="3504"/>
      <c r="K282" s="3504"/>
      <c r="L282" s="3504"/>
      <c r="M282" s="3504"/>
      <c r="N282" s="3504"/>
      <c r="O282" s="3504"/>
      <c r="P282" s="3504"/>
      <c r="Q282" s="3504"/>
      <c r="R282" s="3504"/>
      <c r="S282" s="3504"/>
      <c r="T282" s="3504"/>
      <c r="U282" s="3504"/>
      <c r="V282" s="3504"/>
      <c r="W282" s="3504"/>
      <c r="X282" s="3504"/>
      <c r="Y282" s="3504"/>
      <c r="Z282" s="3504"/>
      <c r="AA282" s="3504"/>
      <c r="AB282" s="3504"/>
      <c r="AC282" s="3504"/>
      <c r="AD282" s="3504"/>
    </row>
    <row r="283" spans="3:30">
      <c r="C283" s="3504"/>
      <c r="D283" s="3504"/>
      <c r="E283" s="3504"/>
      <c r="F283" s="3504"/>
      <c r="G283" s="3504"/>
      <c r="H283" s="3504"/>
      <c r="I283" s="3504"/>
      <c r="J283" s="3504"/>
      <c r="K283" s="3504"/>
      <c r="L283" s="3504"/>
      <c r="M283" s="3504"/>
      <c r="N283" s="3504"/>
      <c r="O283" s="3504"/>
      <c r="P283" s="3504"/>
      <c r="Q283" s="3504"/>
      <c r="R283" s="3504"/>
      <c r="S283" s="3504"/>
      <c r="T283" s="3504"/>
      <c r="U283" s="3504"/>
      <c r="V283" s="3504"/>
      <c r="W283" s="3504"/>
      <c r="X283" s="3504"/>
      <c r="Y283" s="3504"/>
      <c r="Z283" s="3504"/>
      <c r="AA283" s="3504"/>
      <c r="AB283" s="3504"/>
      <c r="AC283" s="3504"/>
      <c r="AD283" s="3504"/>
    </row>
    <row r="284" spans="3:30">
      <c r="C284" s="3504"/>
      <c r="D284" s="3504"/>
      <c r="E284" s="3504"/>
      <c r="F284" s="3504"/>
      <c r="G284" s="3504"/>
      <c r="H284" s="3504"/>
      <c r="I284" s="3504"/>
      <c r="J284" s="3504"/>
      <c r="K284" s="3504"/>
      <c r="L284" s="3504"/>
      <c r="M284" s="3504"/>
      <c r="N284" s="3504"/>
      <c r="O284" s="3504"/>
      <c r="P284" s="3504"/>
      <c r="Q284" s="3504"/>
      <c r="R284" s="3504"/>
      <c r="S284" s="3504"/>
      <c r="T284" s="3504"/>
      <c r="U284" s="3504"/>
      <c r="V284" s="3504"/>
      <c r="W284" s="3504"/>
      <c r="X284" s="3504"/>
      <c r="Y284" s="3504"/>
      <c r="Z284" s="3504"/>
      <c r="AA284" s="3504"/>
      <c r="AB284" s="3504"/>
      <c r="AC284" s="3504"/>
      <c r="AD284" s="3504"/>
    </row>
    <row r="285" spans="3:30">
      <c r="C285" s="3504"/>
      <c r="D285" s="3504"/>
      <c r="E285" s="3504"/>
      <c r="F285" s="3504"/>
      <c r="G285" s="3504"/>
      <c r="H285" s="3504"/>
      <c r="I285" s="3504"/>
      <c r="J285" s="3504"/>
      <c r="K285" s="3504"/>
      <c r="L285" s="3504"/>
      <c r="M285" s="3504"/>
      <c r="N285" s="3504"/>
      <c r="O285" s="3504"/>
      <c r="P285" s="3504"/>
      <c r="Q285" s="3504"/>
      <c r="R285" s="3504"/>
      <c r="S285" s="3504"/>
      <c r="T285" s="3504"/>
      <c r="U285" s="3504"/>
      <c r="V285" s="3504"/>
      <c r="W285" s="3504"/>
      <c r="X285" s="3504"/>
      <c r="Y285" s="3504"/>
      <c r="Z285" s="3504"/>
      <c r="AA285" s="3504"/>
      <c r="AB285" s="3504"/>
      <c r="AC285" s="3504"/>
      <c r="AD285" s="3504"/>
    </row>
    <row r="286" spans="3:30">
      <c r="C286" s="3504"/>
      <c r="D286" s="3504"/>
      <c r="E286" s="3504"/>
      <c r="F286" s="3504"/>
      <c r="G286" s="3504"/>
      <c r="H286" s="3504"/>
      <c r="I286" s="3504"/>
      <c r="J286" s="3504"/>
      <c r="K286" s="3504"/>
      <c r="L286" s="3504"/>
      <c r="M286" s="3504"/>
      <c r="N286" s="3504"/>
      <c r="O286" s="3504"/>
      <c r="P286" s="3504"/>
      <c r="Q286" s="3504"/>
      <c r="R286" s="3504"/>
      <c r="S286" s="3504"/>
      <c r="T286" s="3504"/>
      <c r="U286" s="3504"/>
      <c r="V286" s="3504"/>
      <c r="W286" s="3504"/>
      <c r="X286" s="3504"/>
      <c r="Y286" s="3504"/>
      <c r="Z286" s="3504"/>
      <c r="AA286" s="3504"/>
      <c r="AB286" s="3504"/>
      <c r="AC286" s="3504"/>
      <c r="AD286" s="3504"/>
    </row>
  </sheetData>
  <mergeCells count="67">
    <mergeCell ref="AH236:AL236"/>
    <mergeCell ref="AH237:AO237"/>
    <mergeCell ref="AH238:AO238"/>
    <mergeCell ref="AM56:AO56"/>
    <mergeCell ref="AM236:AO236"/>
    <mergeCell ref="AH56:AL56"/>
    <mergeCell ref="AH57:AO57"/>
    <mergeCell ref="AH58:AO58"/>
    <mergeCell ref="B11:F11"/>
    <mergeCell ref="B7:F7"/>
    <mergeCell ref="B8:F8"/>
    <mergeCell ref="B9:F9"/>
    <mergeCell ref="B10:F10"/>
    <mergeCell ref="B12:F12"/>
    <mergeCell ref="B13:F13"/>
    <mergeCell ref="C18:G18"/>
    <mergeCell ref="H18:L18"/>
    <mergeCell ref="M18:Q18"/>
    <mergeCell ref="Y18:AD18"/>
    <mergeCell ref="C19:Q19"/>
    <mergeCell ref="C20:J20"/>
    <mergeCell ref="K20:Q20"/>
    <mergeCell ref="S18:X18"/>
    <mergeCell ref="S19:AD19"/>
    <mergeCell ref="S20:AD20"/>
    <mergeCell ref="S56:X56"/>
    <mergeCell ref="Y56:AD56"/>
    <mergeCell ref="C58:J58"/>
    <mergeCell ref="K58:Q58"/>
    <mergeCell ref="S58:W58"/>
    <mergeCell ref="Y58:AC58"/>
    <mergeCell ref="C57:J57"/>
    <mergeCell ref="K57:Q57"/>
    <mergeCell ref="S57:W57"/>
    <mergeCell ref="Y57:AC57"/>
    <mergeCell ref="C56:G56"/>
    <mergeCell ref="H56:L56"/>
    <mergeCell ref="M56:Q56"/>
    <mergeCell ref="C236:G236"/>
    <mergeCell ref="H236:L236"/>
    <mergeCell ref="M236:Q236"/>
    <mergeCell ref="S236:X236"/>
    <mergeCell ref="Y236:AD236"/>
    <mergeCell ref="C237:J237"/>
    <mergeCell ref="K237:Q237"/>
    <mergeCell ref="S237:W237"/>
    <mergeCell ref="Y237:AC237"/>
    <mergeCell ref="C238:J238"/>
    <mergeCell ref="K238:Q238"/>
    <mergeCell ref="S238:W238"/>
    <mergeCell ref="Y238:AC238"/>
    <mergeCell ref="K271:Q271"/>
    <mergeCell ref="S271:W271"/>
    <mergeCell ref="X271:AB271"/>
    <mergeCell ref="J80:Q80"/>
    <mergeCell ref="S225:W225"/>
    <mergeCell ref="X225:AB225"/>
    <mergeCell ref="S196:W196"/>
    <mergeCell ref="X196:AB196"/>
    <mergeCell ref="S167:W167"/>
    <mergeCell ref="X167:AB167"/>
    <mergeCell ref="S138:W138"/>
    <mergeCell ref="X138:AB138"/>
    <mergeCell ref="S109:W109"/>
    <mergeCell ref="X109:AB109"/>
    <mergeCell ref="S80:W80"/>
    <mergeCell ref="X80:AB80"/>
  </mergeCells>
  <pageMargins left="0.7" right="0.7" top="0.75" bottom="0.75" header="0.3" footer="0.3"/>
  <pageSetup paperSize="9" orientation="portrait" r:id="rId1"/>
  <customProperties>
    <customPr name="_pios_id" r:id="rId2"/>
  </customPropertie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autoPageBreaks="0"/>
  </sheetPr>
  <dimension ref="A1:AI413"/>
  <sheetViews>
    <sheetView showGridLines="0" topLeftCell="D267" zoomScale="70" zoomScaleNormal="70" workbookViewId="0">
      <selection activeCell="N285" sqref="G285:N285"/>
    </sheetView>
  </sheetViews>
  <sheetFormatPr defaultRowHeight="12.75" outlineLevelRow="2"/>
  <cols>
    <col min="1" max="1" width="12" style="77" hidden="1" customWidth="1"/>
    <col min="2" max="2" width="16.28515625" style="77" hidden="1" customWidth="1"/>
    <col min="3" max="3" width="11.85546875" style="77" hidden="1" customWidth="1"/>
    <col min="4" max="4" width="24.140625" style="262" customWidth="1"/>
    <col min="5" max="5" width="48.85546875" style="76" customWidth="1"/>
    <col min="6" max="6" width="61.28515625" style="77" customWidth="1"/>
    <col min="7" max="21" width="15.7109375" style="77" customWidth="1"/>
    <col min="22" max="22" width="19.140625" style="77" customWidth="1"/>
    <col min="23" max="23" width="22.5703125" customWidth="1"/>
    <col min="27" max="34" width="15.7109375" style="474" customWidth="1"/>
    <col min="35" max="235" width="9.140625" style="77"/>
    <col min="236" max="237" width="16.28515625" style="77" customWidth="1"/>
    <col min="238" max="238" width="93.28515625" style="77" customWidth="1"/>
    <col min="239" max="239" width="26.140625" style="77" customWidth="1"/>
    <col min="240" max="241" width="11.7109375" style="77" bestFit="1" customWidth="1"/>
    <col min="242" max="242" width="11.7109375" style="77" customWidth="1"/>
    <col min="243" max="244" width="17.42578125" style="77" bestFit="1" customWidth="1"/>
    <col min="245" max="246" width="14" style="77" bestFit="1" customWidth="1"/>
    <col min="247" max="247" width="20" style="77" bestFit="1" customWidth="1"/>
    <col min="248" max="248" width="17.42578125" style="77" customWidth="1"/>
    <col min="249" max="249" width="10.7109375" style="77" bestFit="1" customWidth="1"/>
    <col min="250" max="250" width="11" style="77" bestFit="1" customWidth="1"/>
    <col min="251" max="251" width="10.5703125" style="77" bestFit="1" customWidth="1"/>
    <col min="252" max="252" width="15.85546875" style="77" bestFit="1" customWidth="1"/>
    <col min="253" max="253" width="17.42578125" style="77" bestFit="1" customWidth="1"/>
    <col min="254" max="491" width="9.140625" style="77"/>
    <col min="492" max="493" width="16.28515625" style="77" customWidth="1"/>
    <col min="494" max="494" width="93.28515625" style="77" customWidth="1"/>
    <col min="495" max="495" width="26.140625" style="77" customWidth="1"/>
    <col min="496" max="497" width="11.7109375" style="77" bestFit="1" customWidth="1"/>
    <col min="498" max="498" width="11.7109375" style="77" customWidth="1"/>
    <col min="499" max="500" width="17.42578125" style="77" bestFit="1" customWidth="1"/>
    <col min="501" max="502" width="14" style="77" bestFit="1" customWidth="1"/>
    <col min="503" max="503" width="20" style="77" bestFit="1" customWidth="1"/>
    <col min="504" max="504" width="17.42578125" style="77" customWidth="1"/>
    <col min="505" max="505" width="10.7109375" style="77" bestFit="1" customWidth="1"/>
    <col min="506" max="506" width="11" style="77" bestFit="1" customWidth="1"/>
    <col min="507" max="507" width="10.5703125" style="77" bestFit="1" customWidth="1"/>
    <col min="508" max="508" width="15.85546875" style="77" bestFit="1" customWidth="1"/>
    <col min="509" max="509" width="17.42578125" style="77" bestFit="1" customWidth="1"/>
    <col min="510" max="747" width="9.140625" style="77"/>
    <col min="748" max="749" width="16.28515625" style="77" customWidth="1"/>
    <col min="750" max="750" width="93.28515625" style="77" customWidth="1"/>
    <col min="751" max="751" width="26.140625" style="77" customWidth="1"/>
    <col min="752" max="753" width="11.7109375" style="77" bestFit="1" customWidth="1"/>
    <col min="754" max="754" width="11.7109375" style="77" customWidth="1"/>
    <col min="755" max="756" width="17.42578125" style="77" bestFit="1" customWidth="1"/>
    <col min="757" max="758" width="14" style="77" bestFit="1" customWidth="1"/>
    <col min="759" max="759" width="20" style="77" bestFit="1" customWidth="1"/>
    <col min="760" max="760" width="17.42578125" style="77" customWidth="1"/>
    <col min="761" max="761" width="10.7109375" style="77" bestFit="1" customWidth="1"/>
    <col min="762" max="762" width="11" style="77" bestFit="1" customWidth="1"/>
    <col min="763" max="763" width="10.5703125" style="77" bestFit="1" customWidth="1"/>
    <col min="764" max="764" width="15.85546875" style="77" bestFit="1" customWidth="1"/>
    <col min="765" max="765" width="17.42578125" style="77" bestFit="1" customWidth="1"/>
    <col min="766" max="1003" width="9.140625" style="77"/>
    <col min="1004" max="1005" width="16.28515625" style="77" customWidth="1"/>
    <col min="1006" max="1006" width="93.28515625" style="77" customWidth="1"/>
    <col min="1007" max="1007" width="26.140625" style="77" customWidth="1"/>
    <col min="1008" max="1009" width="11.7109375" style="77" bestFit="1" customWidth="1"/>
    <col min="1010" max="1010" width="11.7109375" style="77" customWidth="1"/>
    <col min="1011" max="1012" width="17.42578125" style="77" bestFit="1" customWidth="1"/>
    <col min="1013" max="1014" width="14" style="77" bestFit="1" customWidth="1"/>
    <col min="1015" max="1015" width="20" style="77" bestFit="1" customWidth="1"/>
    <col min="1016" max="1016" width="17.42578125" style="77" customWidth="1"/>
    <col min="1017" max="1017" width="10.7109375" style="77" bestFit="1" customWidth="1"/>
    <col min="1018" max="1018" width="11" style="77" bestFit="1" customWidth="1"/>
    <col min="1019" max="1019" width="10.5703125" style="77" bestFit="1" customWidth="1"/>
    <col min="1020" max="1020" width="15.85546875" style="77" bestFit="1" customWidth="1"/>
    <col min="1021" max="1021" width="17.42578125" style="77" bestFit="1" customWidth="1"/>
    <col min="1022" max="1259" width="9.140625" style="77"/>
    <col min="1260" max="1261" width="16.28515625" style="77" customWidth="1"/>
    <col min="1262" max="1262" width="93.28515625" style="77" customWidth="1"/>
    <col min="1263" max="1263" width="26.140625" style="77" customWidth="1"/>
    <col min="1264" max="1265" width="11.7109375" style="77" bestFit="1" customWidth="1"/>
    <col min="1266" max="1266" width="11.7109375" style="77" customWidth="1"/>
    <col min="1267" max="1268" width="17.42578125" style="77" bestFit="1" customWidth="1"/>
    <col min="1269" max="1270" width="14" style="77" bestFit="1" customWidth="1"/>
    <col min="1271" max="1271" width="20" style="77" bestFit="1" customWidth="1"/>
    <col min="1272" max="1272" width="17.42578125" style="77" customWidth="1"/>
    <col min="1273" max="1273" width="10.7109375" style="77" bestFit="1" customWidth="1"/>
    <col min="1274" max="1274" width="11" style="77" bestFit="1" customWidth="1"/>
    <col min="1275" max="1275" width="10.5703125" style="77" bestFit="1" customWidth="1"/>
    <col min="1276" max="1276" width="15.85546875" style="77" bestFit="1" customWidth="1"/>
    <col min="1277" max="1277" width="17.42578125" style="77" bestFit="1" customWidth="1"/>
    <col min="1278" max="1515" width="9.140625" style="77"/>
    <col min="1516" max="1517" width="16.28515625" style="77" customWidth="1"/>
    <col min="1518" max="1518" width="93.28515625" style="77" customWidth="1"/>
    <col min="1519" max="1519" width="26.140625" style="77" customWidth="1"/>
    <col min="1520" max="1521" width="11.7109375" style="77" bestFit="1" customWidth="1"/>
    <col min="1522" max="1522" width="11.7109375" style="77" customWidth="1"/>
    <col min="1523" max="1524" width="17.42578125" style="77" bestFit="1" customWidth="1"/>
    <col min="1525" max="1526" width="14" style="77" bestFit="1" customWidth="1"/>
    <col min="1527" max="1527" width="20" style="77" bestFit="1" customWidth="1"/>
    <col min="1528" max="1528" width="17.42578125" style="77" customWidth="1"/>
    <col min="1529" max="1529" width="10.7109375" style="77" bestFit="1" customWidth="1"/>
    <col min="1530" max="1530" width="11" style="77" bestFit="1" customWidth="1"/>
    <col min="1531" max="1531" width="10.5703125" style="77" bestFit="1" customWidth="1"/>
    <col min="1532" max="1532" width="15.85546875" style="77" bestFit="1" customWidth="1"/>
    <col min="1533" max="1533" width="17.42578125" style="77" bestFit="1" customWidth="1"/>
    <col min="1534" max="1771" width="9.140625" style="77"/>
    <col min="1772" max="1773" width="16.28515625" style="77" customWidth="1"/>
    <col min="1774" max="1774" width="93.28515625" style="77" customWidth="1"/>
    <col min="1775" max="1775" width="26.140625" style="77" customWidth="1"/>
    <col min="1776" max="1777" width="11.7109375" style="77" bestFit="1" customWidth="1"/>
    <col min="1778" max="1778" width="11.7109375" style="77" customWidth="1"/>
    <col min="1779" max="1780" width="17.42578125" style="77" bestFit="1" customWidth="1"/>
    <col min="1781" max="1782" width="14" style="77" bestFit="1" customWidth="1"/>
    <col min="1783" max="1783" width="20" style="77" bestFit="1" customWidth="1"/>
    <col min="1784" max="1784" width="17.42578125" style="77" customWidth="1"/>
    <col min="1785" max="1785" width="10.7109375" style="77" bestFit="1" customWidth="1"/>
    <col min="1786" max="1786" width="11" style="77" bestFit="1" customWidth="1"/>
    <col min="1787" max="1787" width="10.5703125" style="77" bestFit="1" customWidth="1"/>
    <col min="1788" max="1788" width="15.85546875" style="77" bestFit="1" customWidth="1"/>
    <col min="1789" max="1789" width="17.42578125" style="77" bestFit="1" customWidth="1"/>
    <col min="1790" max="2027" width="9.140625" style="77"/>
    <col min="2028" max="2029" width="16.28515625" style="77" customWidth="1"/>
    <col min="2030" max="2030" width="93.28515625" style="77" customWidth="1"/>
    <col min="2031" max="2031" width="26.140625" style="77" customWidth="1"/>
    <col min="2032" max="2033" width="11.7109375" style="77" bestFit="1" customWidth="1"/>
    <col min="2034" max="2034" width="11.7109375" style="77" customWidth="1"/>
    <col min="2035" max="2036" width="17.42578125" style="77" bestFit="1" customWidth="1"/>
    <col min="2037" max="2038" width="14" style="77" bestFit="1" customWidth="1"/>
    <col min="2039" max="2039" width="20" style="77" bestFit="1" customWidth="1"/>
    <col min="2040" max="2040" width="17.42578125" style="77" customWidth="1"/>
    <col min="2041" max="2041" width="10.7109375" style="77" bestFit="1" customWidth="1"/>
    <col min="2042" max="2042" width="11" style="77" bestFit="1" customWidth="1"/>
    <col min="2043" max="2043" width="10.5703125" style="77" bestFit="1" customWidth="1"/>
    <col min="2044" max="2044" width="15.85546875" style="77" bestFit="1" customWidth="1"/>
    <col min="2045" max="2045" width="17.42578125" style="77" bestFit="1" customWidth="1"/>
    <col min="2046" max="2283" width="9.140625" style="77"/>
    <col min="2284" max="2285" width="16.28515625" style="77" customWidth="1"/>
    <col min="2286" max="2286" width="93.28515625" style="77" customWidth="1"/>
    <col min="2287" max="2287" width="26.140625" style="77" customWidth="1"/>
    <col min="2288" max="2289" width="11.7109375" style="77" bestFit="1" customWidth="1"/>
    <col min="2290" max="2290" width="11.7109375" style="77" customWidth="1"/>
    <col min="2291" max="2292" width="17.42578125" style="77" bestFit="1" customWidth="1"/>
    <col min="2293" max="2294" width="14" style="77" bestFit="1" customWidth="1"/>
    <col min="2295" max="2295" width="20" style="77" bestFit="1" customWidth="1"/>
    <col min="2296" max="2296" width="17.42578125" style="77" customWidth="1"/>
    <col min="2297" max="2297" width="10.7109375" style="77" bestFit="1" customWidth="1"/>
    <col min="2298" max="2298" width="11" style="77" bestFit="1" customWidth="1"/>
    <col min="2299" max="2299" width="10.5703125" style="77" bestFit="1" customWidth="1"/>
    <col min="2300" max="2300" width="15.85546875" style="77" bestFit="1" customWidth="1"/>
    <col min="2301" max="2301" width="17.42578125" style="77" bestFit="1" customWidth="1"/>
    <col min="2302" max="2539" width="9.140625" style="77"/>
    <col min="2540" max="2541" width="16.28515625" style="77" customWidth="1"/>
    <col min="2542" max="2542" width="93.28515625" style="77" customWidth="1"/>
    <col min="2543" max="2543" width="26.140625" style="77" customWidth="1"/>
    <col min="2544" max="2545" width="11.7109375" style="77" bestFit="1" customWidth="1"/>
    <col min="2546" max="2546" width="11.7109375" style="77" customWidth="1"/>
    <col min="2547" max="2548" width="17.42578125" style="77" bestFit="1" customWidth="1"/>
    <col min="2549" max="2550" width="14" style="77" bestFit="1" customWidth="1"/>
    <col min="2551" max="2551" width="20" style="77" bestFit="1" customWidth="1"/>
    <col min="2552" max="2552" width="17.42578125" style="77" customWidth="1"/>
    <col min="2553" max="2553" width="10.7109375" style="77" bestFit="1" customWidth="1"/>
    <col min="2554" max="2554" width="11" style="77" bestFit="1" customWidth="1"/>
    <col min="2555" max="2555" width="10.5703125" style="77" bestFit="1" customWidth="1"/>
    <col min="2556" max="2556" width="15.85546875" style="77" bestFit="1" customWidth="1"/>
    <col min="2557" max="2557" width="17.42578125" style="77" bestFit="1" customWidth="1"/>
    <col min="2558" max="2795" width="9.140625" style="77"/>
    <col min="2796" max="2797" width="16.28515625" style="77" customWidth="1"/>
    <col min="2798" max="2798" width="93.28515625" style="77" customWidth="1"/>
    <col min="2799" max="2799" width="26.140625" style="77" customWidth="1"/>
    <col min="2800" max="2801" width="11.7109375" style="77" bestFit="1" customWidth="1"/>
    <col min="2802" max="2802" width="11.7109375" style="77" customWidth="1"/>
    <col min="2803" max="2804" width="17.42578125" style="77" bestFit="1" customWidth="1"/>
    <col min="2805" max="2806" width="14" style="77" bestFit="1" customWidth="1"/>
    <col min="2807" max="2807" width="20" style="77" bestFit="1" customWidth="1"/>
    <col min="2808" max="2808" width="17.42578125" style="77" customWidth="1"/>
    <col min="2809" max="2809" width="10.7109375" style="77" bestFit="1" customWidth="1"/>
    <col min="2810" max="2810" width="11" style="77" bestFit="1" customWidth="1"/>
    <col min="2811" max="2811" width="10.5703125" style="77" bestFit="1" customWidth="1"/>
    <col min="2812" max="2812" width="15.85546875" style="77" bestFit="1" customWidth="1"/>
    <col min="2813" max="2813" width="17.42578125" style="77" bestFit="1" customWidth="1"/>
    <col min="2814" max="3051" width="9.140625" style="77"/>
    <col min="3052" max="3053" width="16.28515625" style="77" customWidth="1"/>
    <col min="3054" max="3054" width="93.28515625" style="77" customWidth="1"/>
    <col min="3055" max="3055" width="26.140625" style="77" customWidth="1"/>
    <col min="3056" max="3057" width="11.7109375" style="77" bestFit="1" customWidth="1"/>
    <col min="3058" max="3058" width="11.7109375" style="77" customWidth="1"/>
    <col min="3059" max="3060" width="17.42578125" style="77" bestFit="1" customWidth="1"/>
    <col min="3061" max="3062" width="14" style="77" bestFit="1" customWidth="1"/>
    <col min="3063" max="3063" width="20" style="77" bestFit="1" customWidth="1"/>
    <col min="3064" max="3064" width="17.42578125" style="77" customWidth="1"/>
    <col min="3065" max="3065" width="10.7109375" style="77" bestFit="1" customWidth="1"/>
    <col min="3066" max="3066" width="11" style="77" bestFit="1" customWidth="1"/>
    <col min="3067" max="3067" width="10.5703125" style="77" bestFit="1" customWidth="1"/>
    <col min="3068" max="3068" width="15.85546875" style="77" bestFit="1" customWidth="1"/>
    <col min="3069" max="3069" width="17.42578125" style="77" bestFit="1" customWidth="1"/>
    <col min="3070" max="3307" width="9.140625" style="77"/>
    <col min="3308" max="3309" width="16.28515625" style="77" customWidth="1"/>
    <col min="3310" max="3310" width="93.28515625" style="77" customWidth="1"/>
    <col min="3311" max="3311" width="26.140625" style="77" customWidth="1"/>
    <col min="3312" max="3313" width="11.7109375" style="77" bestFit="1" customWidth="1"/>
    <col min="3314" max="3314" width="11.7109375" style="77" customWidth="1"/>
    <col min="3315" max="3316" width="17.42578125" style="77" bestFit="1" customWidth="1"/>
    <col min="3317" max="3318" width="14" style="77" bestFit="1" customWidth="1"/>
    <col min="3319" max="3319" width="20" style="77" bestFit="1" customWidth="1"/>
    <col min="3320" max="3320" width="17.42578125" style="77" customWidth="1"/>
    <col min="3321" max="3321" width="10.7109375" style="77" bestFit="1" customWidth="1"/>
    <col min="3322" max="3322" width="11" style="77" bestFit="1" customWidth="1"/>
    <col min="3323" max="3323" width="10.5703125" style="77" bestFit="1" customWidth="1"/>
    <col min="3324" max="3324" width="15.85546875" style="77" bestFit="1" customWidth="1"/>
    <col min="3325" max="3325" width="17.42578125" style="77" bestFit="1" customWidth="1"/>
    <col min="3326" max="3563" width="9.140625" style="77"/>
    <col min="3564" max="3565" width="16.28515625" style="77" customWidth="1"/>
    <col min="3566" max="3566" width="93.28515625" style="77" customWidth="1"/>
    <col min="3567" max="3567" width="26.140625" style="77" customWidth="1"/>
    <col min="3568" max="3569" width="11.7109375" style="77" bestFit="1" customWidth="1"/>
    <col min="3570" max="3570" width="11.7109375" style="77" customWidth="1"/>
    <col min="3571" max="3572" width="17.42578125" style="77" bestFit="1" customWidth="1"/>
    <col min="3573" max="3574" width="14" style="77" bestFit="1" customWidth="1"/>
    <col min="3575" max="3575" width="20" style="77" bestFit="1" customWidth="1"/>
    <col min="3576" max="3576" width="17.42578125" style="77" customWidth="1"/>
    <col min="3577" max="3577" width="10.7109375" style="77" bestFit="1" customWidth="1"/>
    <col min="3578" max="3578" width="11" style="77" bestFit="1" customWidth="1"/>
    <col min="3579" max="3579" width="10.5703125" style="77" bestFit="1" customWidth="1"/>
    <col min="3580" max="3580" width="15.85546875" style="77" bestFit="1" customWidth="1"/>
    <col min="3581" max="3581" width="17.42578125" style="77" bestFit="1" customWidth="1"/>
    <col min="3582" max="3819" width="9.140625" style="77"/>
    <col min="3820" max="3821" width="16.28515625" style="77" customWidth="1"/>
    <col min="3822" max="3822" width="93.28515625" style="77" customWidth="1"/>
    <col min="3823" max="3823" width="26.140625" style="77" customWidth="1"/>
    <col min="3824" max="3825" width="11.7109375" style="77" bestFit="1" customWidth="1"/>
    <col min="3826" max="3826" width="11.7109375" style="77" customWidth="1"/>
    <col min="3827" max="3828" width="17.42578125" style="77" bestFit="1" customWidth="1"/>
    <col min="3829" max="3830" width="14" style="77" bestFit="1" customWidth="1"/>
    <col min="3831" max="3831" width="20" style="77" bestFit="1" customWidth="1"/>
    <col min="3832" max="3832" width="17.42578125" style="77" customWidth="1"/>
    <col min="3833" max="3833" width="10.7109375" style="77" bestFit="1" customWidth="1"/>
    <col min="3834" max="3834" width="11" style="77" bestFit="1" customWidth="1"/>
    <col min="3835" max="3835" width="10.5703125" style="77" bestFit="1" customWidth="1"/>
    <col min="3836" max="3836" width="15.85546875" style="77" bestFit="1" customWidth="1"/>
    <col min="3837" max="3837" width="17.42578125" style="77" bestFit="1" customWidth="1"/>
    <col min="3838" max="4075" width="9.140625" style="77"/>
    <col min="4076" max="4077" width="16.28515625" style="77" customWidth="1"/>
    <col min="4078" max="4078" width="93.28515625" style="77" customWidth="1"/>
    <col min="4079" max="4079" width="26.140625" style="77" customWidth="1"/>
    <col min="4080" max="4081" width="11.7109375" style="77" bestFit="1" customWidth="1"/>
    <col min="4082" max="4082" width="11.7109375" style="77" customWidth="1"/>
    <col min="4083" max="4084" width="17.42578125" style="77" bestFit="1" customWidth="1"/>
    <col min="4085" max="4086" width="14" style="77" bestFit="1" customWidth="1"/>
    <col min="4087" max="4087" width="20" style="77" bestFit="1" customWidth="1"/>
    <col min="4088" max="4088" width="17.42578125" style="77" customWidth="1"/>
    <col min="4089" max="4089" width="10.7109375" style="77" bestFit="1" customWidth="1"/>
    <col min="4090" max="4090" width="11" style="77" bestFit="1" customWidth="1"/>
    <col min="4091" max="4091" width="10.5703125" style="77" bestFit="1" customWidth="1"/>
    <col min="4092" max="4092" width="15.85546875" style="77" bestFit="1" customWidth="1"/>
    <col min="4093" max="4093" width="17.42578125" style="77" bestFit="1" customWidth="1"/>
    <col min="4094" max="4331" width="9.140625" style="77"/>
    <col min="4332" max="4333" width="16.28515625" style="77" customWidth="1"/>
    <col min="4334" max="4334" width="93.28515625" style="77" customWidth="1"/>
    <col min="4335" max="4335" width="26.140625" style="77" customWidth="1"/>
    <col min="4336" max="4337" width="11.7109375" style="77" bestFit="1" customWidth="1"/>
    <col min="4338" max="4338" width="11.7109375" style="77" customWidth="1"/>
    <col min="4339" max="4340" width="17.42578125" style="77" bestFit="1" customWidth="1"/>
    <col min="4341" max="4342" width="14" style="77" bestFit="1" customWidth="1"/>
    <col min="4343" max="4343" width="20" style="77" bestFit="1" customWidth="1"/>
    <col min="4344" max="4344" width="17.42578125" style="77" customWidth="1"/>
    <col min="4345" max="4345" width="10.7109375" style="77" bestFit="1" customWidth="1"/>
    <col min="4346" max="4346" width="11" style="77" bestFit="1" customWidth="1"/>
    <col min="4347" max="4347" width="10.5703125" style="77" bestFit="1" customWidth="1"/>
    <col min="4348" max="4348" width="15.85546875" style="77" bestFit="1" customWidth="1"/>
    <col min="4349" max="4349" width="17.42578125" style="77" bestFit="1" customWidth="1"/>
    <col min="4350" max="4587" width="9.140625" style="77"/>
    <col min="4588" max="4589" width="16.28515625" style="77" customWidth="1"/>
    <col min="4590" max="4590" width="93.28515625" style="77" customWidth="1"/>
    <col min="4591" max="4591" width="26.140625" style="77" customWidth="1"/>
    <col min="4592" max="4593" width="11.7109375" style="77" bestFit="1" customWidth="1"/>
    <col min="4594" max="4594" width="11.7109375" style="77" customWidth="1"/>
    <col min="4595" max="4596" width="17.42578125" style="77" bestFit="1" customWidth="1"/>
    <col min="4597" max="4598" width="14" style="77" bestFit="1" customWidth="1"/>
    <col min="4599" max="4599" width="20" style="77" bestFit="1" customWidth="1"/>
    <col min="4600" max="4600" width="17.42578125" style="77" customWidth="1"/>
    <col min="4601" max="4601" width="10.7109375" style="77" bestFit="1" customWidth="1"/>
    <col min="4602" max="4602" width="11" style="77" bestFit="1" customWidth="1"/>
    <col min="4603" max="4603" width="10.5703125" style="77" bestFit="1" customWidth="1"/>
    <col min="4604" max="4604" width="15.85546875" style="77" bestFit="1" customWidth="1"/>
    <col min="4605" max="4605" width="17.42578125" style="77" bestFit="1" customWidth="1"/>
    <col min="4606" max="4843" width="9.140625" style="77"/>
    <col min="4844" max="4845" width="16.28515625" style="77" customWidth="1"/>
    <col min="4846" max="4846" width="93.28515625" style="77" customWidth="1"/>
    <col min="4847" max="4847" width="26.140625" style="77" customWidth="1"/>
    <col min="4848" max="4849" width="11.7109375" style="77" bestFit="1" customWidth="1"/>
    <col min="4850" max="4850" width="11.7109375" style="77" customWidth="1"/>
    <col min="4851" max="4852" width="17.42578125" style="77" bestFit="1" customWidth="1"/>
    <col min="4853" max="4854" width="14" style="77" bestFit="1" customWidth="1"/>
    <col min="4855" max="4855" width="20" style="77" bestFit="1" customWidth="1"/>
    <col min="4856" max="4856" width="17.42578125" style="77" customWidth="1"/>
    <col min="4857" max="4857" width="10.7109375" style="77" bestFit="1" customWidth="1"/>
    <col min="4858" max="4858" width="11" style="77" bestFit="1" customWidth="1"/>
    <col min="4859" max="4859" width="10.5703125" style="77" bestFit="1" customWidth="1"/>
    <col min="4860" max="4860" width="15.85546875" style="77" bestFit="1" customWidth="1"/>
    <col min="4861" max="4861" width="17.42578125" style="77" bestFit="1" customWidth="1"/>
    <col min="4862" max="5099" width="9.140625" style="77"/>
    <col min="5100" max="5101" width="16.28515625" style="77" customWidth="1"/>
    <col min="5102" max="5102" width="93.28515625" style="77" customWidth="1"/>
    <col min="5103" max="5103" width="26.140625" style="77" customWidth="1"/>
    <col min="5104" max="5105" width="11.7109375" style="77" bestFit="1" customWidth="1"/>
    <col min="5106" max="5106" width="11.7109375" style="77" customWidth="1"/>
    <col min="5107" max="5108" width="17.42578125" style="77" bestFit="1" customWidth="1"/>
    <col min="5109" max="5110" width="14" style="77" bestFit="1" customWidth="1"/>
    <col min="5111" max="5111" width="20" style="77" bestFit="1" customWidth="1"/>
    <col min="5112" max="5112" width="17.42578125" style="77" customWidth="1"/>
    <col min="5113" max="5113" width="10.7109375" style="77" bestFit="1" customWidth="1"/>
    <col min="5114" max="5114" width="11" style="77" bestFit="1" customWidth="1"/>
    <col min="5115" max="5115" width="10.5703125" style="77" bestFit="1" customWidth="1"/>
    <col min="5116" max="5116" width="15.85546875" style="77" bestFit="1" customWidth="1"/>
    <col min="5117" max="5117" width="17.42578125" style="77" bestFit="1" customWidth="1"/>
    <col min="5118" max="5355" width="9.140625" style="77"/>
    <col min="5356" max="5357" width="16.28515625" style="77" customWidth="1"/>
    <col min="5358" max="5358" width="93.28515625" style="77" customWidth="1"/>
    <col min="5359" max="5359" width="26.140625" style="77" customWidth="1"/>
    <col min="5360" max="5361" width="11.7109375" style="77" bestFit="1" customWidth="1"/>
    <col min="5362" max="5362" width="11.7109375" style="77" customWidth="1"/>
    <col min="5363" max="5364" width="17.42578125" style="77" bestFit="1" customWidth="1"/>
    <col min="5365" max="5366" width="14" style="77" bestFit="1" customWidth="1"/>
    <col min="5367" max="5367" width="20" style="77" bestFit="1" customWidth="1"/>
    <col min="5368" max="5368" width="17.42578125" style="77" customWidth="1"/>
    <col min="5369" max="5369" width="10.7109375" style="77" bestFit="1" customWidth="1"/>
    <col min="5370" max="5370" width="11" style="77" bestFit="1" customWidth="1"/>
    <col min="5371" max="5371" width="10.5703125" style="77" bestFit="1" customWidth="1"/>
    <col min="5372" max="5372" width="15.85546875" style="77" bestFit="1" customWidth="1"/>
    <col min="5373" max="5373" width="17.42578125" style="77" bestFit="1" customWidth="1"/>
    <col min="5374" max="5611" width="9.140625" style="77"/>
    <col min="5612" max="5613" width="16.28515625" style="77" customWidth="1"/>
    <col min="5614" max="5614" width="93.28515625" style="77" customWidth="1"/>
    <col min="5615" max="5615" width="26.140625" style="77" customWidth="1"/>
    <col min="5616" max="5617" width="11.7109375" style="77" bestFit="1" customWidth="1"/>
    <col min="5618" max="5618" width="11.7109375" style="77" customWidth="1"/>
    <col min="5619" max="5620" width="17.42578125" style="77" bestFit="1" customWidth="1"/>
    <col min="5621" max="5622" width="14" style="77" bestFit="1" customWidth="1"/>
    <col min="5623" max="5623" width="20" style="77" bestFit="1" customWidth="1"/>
    <col min="5624" max="5624" width="17.42578125" style="77" customWidth="1"/>
    <col min="5625" max="5625" width="10.7109375" style="77" bestFit="1" customWidth="1"/>
    <col min="5626" max="5626" width="11" style="77" bestFit="1" customWidth="1"/>
    <col min="5627" max="5627" width="10.5703125" style="77" bestFit="1" customWidth="1"/>
    <col min="5628" max="5628" width="15.85546875" style="77" bestFit="1" customWidth="1"/>
    <col min="5629" max="5629" width="17.42578125" style="77" bestFit="1" customWidth="1"/>
    <col min="5630" max="5867" width="9.140625" style="77"/>
    <col min="5868" max="5869" width="16.28515625" style="77" customWidth="1"/>
    <col min="5870" max="5870" width="93.28515625" style="77" customWidth="1"/>
    <col min="5871" max="5871" width="26.140625" style="77" customWidth="1"/>
    <col min="5872" max="5873" width="11.7109375" style="77" bestFit="1" customWidth="1"/>
    <col min="5874" max="5874" width="11.7109375" style="77" customWidth="1"/>
    <col min="5875" max="5876" width="17.42578125" style="77" bestFit="1" customWidth="1"/>
    <col min="5877" max="5878" width="14" style="77" bestFit="1" customWidth="1"/>
    <col min="5879" max="5879" width="20" style="77" bestFit="1" customWidth="1"/>
    <col min="5880" max="5880" width="17.42578125" style="77" customWidth="1"/>
    <col min="5881" max="5881" width="10.7109375" style="77" bestFit="1" customWidth="1"/>
    <col min="5882" max="5882" width="11" style="77" bestFit="1" customWidth="1"/>
    <col min="5883" max="5883" width="10.5703125" style="77" bestFit="1" customWidth="1"/>
    <col min="5884" max="5884" width="15.85546875" style="77" bestFit="1" customWidth="1"/>
    <col min="5885" max="5885" width="17.42578125" style="77" bestFit="1" customWidth="1"/>
    <col min="5886" max="6123" width="9.140625" style="77"/>
    <col min="6124" max="6125" width="16.28515625" style="77" customWidth="1"/>
    <col min="6126" max="6126" width="93.28515625" style="77" customWidth="1"/>
    <col min="6127" max="6127" width="26.140625" style="77" customWidth="1"/>
    <col min="6128" max="6129" width="11.7109375" style="77" bestFit="1" customWidth="1"/>
    <col min="6130" max="6130" width="11.7109375" style="77" customWidth="1"/>
    <col min="6131" max="6132" width="17.42578125" style="77" bestFit="1" customWidth="1"/>
    <col min="6133" max="6134" width="14" style="77" bestFit="1" customWidth="1"/>
    <col min="6135" max="6135" width="20" style="77" bestFit="1" customWidth="1"/>
    <col min="6136" max="6136" width="17.42578125" style="77" customWidth="1"/>
    <col min="6137" max="6137" width="10.7109375" style="77" bestFit="1" customWidth="1"/>
    <col min="6138" max="6138" width="11" style="77" bestFit="1" customWidth="1"/>
    <col min="6139" max="6139" width="10.5703125" style="77" bestFit="1" customWidth="1"/>
    <col min="6140" max="6140" width="15.85546875" style="77" bestFit="1" customWidth="1"/>
    <col min="6141" max="6141" width="17.42578125" style="77" bestFit="1" customWidth="1"/>
    <col min="6142" max="6379" width="9.140625" style="77"/>
    <col min="6380" max="6381" width="16.28515625" style="77" customWidth="1"/>
    <col min="6382" max="6382" width="93.28515625" style="77" customWidth="1"/>
    <col min="6383" max="6383" width="26.140625" style="77" customWidth="1"/>
    <col min="6384" max="6385" width="11.7109375" style="77" bestFit="1" customWidth="1"/>
    <col min="6386" max="6386" width="11.7109375" style="77" customWidth="1"/>
    <col min="6387" max="6388" width="17.42578125" style="77" bestFit="1" customWidth="1"/>
    <col min="6389" max="6390" width="14" style="77" bestFit="1" customWidth="1"/>
    <col min="6391" max="6391" width="20" style="77" bestFit="1" customWidth="1"/>
    <col min="6392" max="6392" width="17.42578125" style="77" customWidth="1"/>
    <col min="6393" max="6393" width="10.7109375" style="77" bestFit="1" customWidth="1"/>
    <col min="6394" max="6394" width="11" style="77" bestFit="1" customWidth="1"/>
    <col min="6395" max="6395" width="10.5703125" style="77" bestFit="1" customWidth="1"/>
    <col min="6396" max="6396" width="15.85546875" style="77" bestFit="1" customWidth="1"/>
    <col min="6397" max="6397" width="17.42578125" style="77" bestFit="1" customWidth="1"/>
    <col min="6398" max="6635" width="9.140625" style="77"/>
    <col min="6636" max="6637" width="16.28515625" style="77" customWidth="1"/>
    <col min="6638" max="6638" width="93.28515625" style="77" customWidth="1"/>
    <col min="6639" max="6639" width="26.140625" style="77" customWidth="1"/>
    <col min="6640" max="6641" width="11.7109375" style="77" bestFit="1" customWidth="1"/>
    <col min="6642" max="6642" width="11.7109375" style="77" customWidth="1"/>
    <col min="6643" max="6644" width="17.42578125" style="77" bestFit="1" customWidth="1"/>
    <col min="6645" max="6646" width="14" style="77" bestFit="1" customWidth="1"/>
    <col min="6647" max="6647" width="20" style="77" bestFit="1" customWidth="1"/>
    <col min="6648" max="6648" width="17.42578125" style="77" customWidth="1"/>
    <col min="6649" max="6649" width="10.7109375" style="77" bestFit="1" customWidth="1"/>
    <col min="6650" max="6650" width="11" style="77" bestFit="1" customWidth="1"/>
    <col min="6651" max="6651" width="10.5703125" style="77" bestFit="1" customWidth="1"/>
    <col min="6652" max="6652" width="15.85546875" style="77" bestFit="1" customWidth="1"/>
    <col min="6653" max="6653" width="17.42578125" style="77" bestFit="1" customWidth="1"/>
    <col min="6654" max="6891" width="9.140625" style="77"/>
    <col min="6892" max="6893" width="16.28515625" style="77" customWidth="1"/>
    <col min="6894" max="6894" width="93.28515625" style="77" customWidth="1"/>
    <col min="6895" max="6895" width="26.140625" style="77" customWidth="1"/>
    <col min="6896" max="6897" width="11.7109375" style="77" bestFit="1" customWidth="1"/>
    <col min="6898" max="6898" width="11.7109375" style="77" customWidth="1"/>
    <col min="6899" max="6900" width="17.42578125" style="77" bestFit="1" customWidth="1"/>
    <col min="6901" max="6902" width="14" style="77" bestFit="1" customWidth="1"/>
    <col min="6903" max="6903" width="20" style="77" bestFit="1" customWidth="1"/>
    <col min="6904" max="6904" width="17.42578125" style="77" customWidth="1"/>
    <col min="6905" max="6905" width="10.7109375" style="77" bestFit="1" customWidth="1"/>
    <col min="6906" max="6906" width="11" style="77" bestFit="1" customWidth="1"/>
    <col min="6907" max="6907" width="10.5703125" style="77" bestFit="1" customWidth="1"/>
    <col min="6908" max="6908" width="15.85546875" style="77" bestFit="1" customWidth="1"/>
    <col min="6909" max="6909" width="17.42578125" style="77" bestFit="1" customWidth="1"/>
    <col min="6910" max="7147" width="9.140625" style="77"/>
    <col min="7148" max="7149" width="16.28515625" style="77" customWidth="1"/>
    <col min="7150" max="7150" width="93.28515625" style="77" customWidth="1"/>
    <col min="7151" max="7151" width="26.140625" style="77" customWidth="1"/>
    <col min="7152" max="7153" width="11.7109375" style="77" bestFit="1" customWidth="1"/>
    <col min="7154" max="7154" width="11.7109375" style="77" customWidth="1"/>
    <col min="7155" max="7156" width="17.42578125" style="77" bestFit="1" customWidth="1"/>
    <col min="7157" max="7158" width="14" style="77" bestFit="1" customWidth="1"/>
    <col min="7159" max="7159" width="20" style="77" bestFit="1" customWidth="1"/>
    <col min="7160" max="7160" width="17.42578125" style="77" customWidth="1"/>
    <col min="7161" max="7161" width="10.7109375" style="77" bestFit="1" customWidth="1"/>
    <col min="7162" max="7162" width="11" style="77" bestFit="1" customWidth="1"/>
    <col min="7163" max="7163" width="10.5703125" style="77" bestFit="1" customWidth="1"/>
    <col min="7164" max="7164" width="15.85546875" style="77" bestFit="1" customWidth="1"/>
    <col min="7165" max="7165" width="17.42578125" style="77" bestFit="1" customWidth="1"/>
    <col min="7166" max="7403" width="9.140625" style="77"/>
    <col min="7404" max="7405" width="16.28515625" style="77" customWidth="1"/>
    <col min="7406" max="7406" width="93.28515625" style="77" customWidth="1"/>
    <col min="7407" max="7407" width="26.140625" style="77" customWidth="1"/>
    <col min="7408" max="7409" width="11.7109375" style="77" bestFit="1" customWidth="1"/>
    <col min="7410" max="7410" width="11.7109375" style="77" customWidth="1"/>
    <col min="7411" max="7412" width="17.42578125" style="77" bestFit="1" customWidth="1"/>
    <col min="7413" max="7414" width="14" style="77" bestFit="1" customWidth="1"/>
    <col min="7415" max="7415" width="20" style="77" bestFit="1" customWidth="1"/>
    <col min="7416" max="7416" width="17.42578125" style="77" customWidth="1"/>
    <col min="7417" max="7417" width="10.7109375" style="77" bestFit="1" customWidth="1"/>
    <col min="7418" max="7418" width="11" style="77" bestFit="1" customWidth="1"/>
    <col min="7419" max="7419" width="10.5703125" style="77" bestFit="1" customWidth="1"/>
    <col min="7420" max="7420" width="15.85546875" style="77" bestFit="1" customWidth="1"/>
    <col min="7421" max="7421" width="17.42578125" style="77" bestFit="1" customWidth="1"/>
    <col min="7422" max="7659" width="9.140625" style="77"/>
    <col min="7660" max="7661" width="16.28515625" style="77" customWidth="1"/>
    <col min="7662" max="7662" width="93.28515625" style="77" customWidth="1"/>
    <col min="7663" max="7663" width="26.140625" style="77" customWidth="1"/>
    <col min="7664" max="7665" width="11.7109375" style="77" bestFit="1" customWidth="1"/>
    <col min="7666" max="7666" width="11.7109375" style="77" customWidth="1"/>
    <col min="7667" max="7668" width="17.42578125" style="77" bestFit="1" customWidth="1"/>
    <col min="7669" max="7670" width="14" style="77" bestFit="1" customWidth="1"/>
    <col min="7671" max="7671" width="20" style="77" bestFit="1" customWidth="1"/>
    <col min="7672" max="7672" width="17.42578125" style="77" customWidth="1"/>
    <col min="7673" max="7673" width="10.7109375" style="77" bestFit="1" customWidth="1"/>
    <col min="7674" max="7674" width="11" style="77" bestFit="1" customWidth="1"/>
    <col min="7675" max="7675" width="10.5703125" style="77" bestFit="1" customWidth="1"/>
    <col min="7676" max="7676" width="15.85546875" style="77" bestFit="1" customWidth="1"/>
    <col min="7677" max="7677" width="17.42578125" style="77" bestFit="1" customWidth="1"/>
    <col min="7678" max="7915" width="9.140625" style="77"/>
    <col min="7916" max="7917" width="16.28515625" style="77" customWidth="1"/>
    <col min="7918" max="7918" width="93.28515625" style="77" customWidth="1"/>
    <col min="7919" max="7919" width="26.140625" style="77" customWidth="1"/>
    <col min="7920" max="7921" width="11.7109375" style="77" bestFit="1" customWidth="1"/>
    <col min="7922" max="7922" width="11.7109375" style="77" customWidth="1"/>
    <col min="7923" max="7924" width="17.42578125" style="77" bestFit="1" customWidth="1"/>
    <col min="7925" max="7926" width="14" style="77" bestFit="1" customWidth="1"/>
    <col min="7927" max="7927" width="20" style="77" bestFit="1" customWidth="1"/>
    <col min="7928" max="7928" width="17.42578125" style="77" customWidth="1"/>
    <col min="7929" max="7929" width="10.7109375" style="77" bestFit="1" customWidth="1"/>
    <col min="7930" max="7930" width="11" style="77" bestFit="1" customWidth="1"/>
    <col min="7931" max="7931" width="10.5703125" style="77" bestFit="1" customWidth="1"/>
    <col min="7932" max="7932" width="15.85546875" style="77" bestFit="1" customWidth="1"/>
    <col min="7933" max="7933" width="17.42578125" style="77" bestFit="1" customWidth="1"/>
    <col min="7934" max="8171" width="9.140625" style="77"/>
    <col min="8172" max="8173" width="16.28515625" style="77" customWidth="1"/>
    <col min="8174" max="8174" width="93.28515625" style="77" customWidth="1"/>
    <col min="8175" max="8175" width="26.140625" style="77" customWidth="1"/>
    <col min="8176" max="8177" width="11.7109375" style="77" bestFit="1" customWidth="1"/>
    <col min="8178" max="8178" width="11.7109375" style="77" customWidth="1"/>
    <col min="8179" max="8180" width="17.42578125" style="77" bestFit="1" customWidth="1"/>
    <col min="8181" max="8182" width="14" style="77" bestFit="1" customWidth="1"/>
    <col min="8183" max="8183" width="20" style="77" bestFit="1" customWidth="1"/>
    <col min="8184" max="8184" width="17.42578125" style="77" customWidth="1"/>
    <col min="8185" max="8185" width="10.7109375" style="77" bestFit="1" customWidth="1"/>
    <col min="8186" max="8186" width="11" style="77" bestFit="1" customWidth="1"/>
    <col min="8187" max="8187" width="10.5703125" style="77" bestFit="1" customWidth="1"/>
    <col min="8188" max="8188" width="15.85546875" style="77" bestFit="1" customWidth="1"/>
    <col min="8189" max="8189" width="17.42578125" style="77" bestFit="1" customWidth="1"/>
    <col min="8190" max="8427" width="9.140625" style="77"/>
    <col min="8428" max="8429" width="16.28515625" style="77" customWidth="1"/>
    <col min="8430" max="8430" width="93.28515625" style="77" customWidth="1"/>
    <col min="8431" max="8431" width="26.140625" style="77" customWidth="1"/>
    <col min="8432" max="8433" width="11.7109375" style="77" bestFit="1" customWidth="1"/>
    <col min="8434" max="8434" width="11.7109375" style="77" customWidth="1"/>
    <col min="8435" max="8436" width="17.42578125" style="77" bestFit="1" customWidth="1"/>
    <col min="8437" max="8438" width="14" style="77" bestFit="1" customWidth="1"/>
    <col min="8439" max="8439" width="20" style="77" bestFit="1" customWidth="1"/>
    <col min="8440" max="8440" width="17.42578125" style="77" customWidth="1"/>
    <col min="8441" max="8441" width="10.7109375" style="77" bestFit="1" customWidth="1"/>
    <col min="8442" max="8442" width="11" style="77" bestFit="1" customWidth="1"/>
    <col min="8443" max="8443" width="10.5703125" style="77" bestFit="1" customWidth="1"/>
    <col min="8444" max="8444" width="15.85546875" style="77" bestFit="1" customWidth="1"/>
    <col min="8445" max="8445" width="17.42578125" style="77" bestFit="1" customWidth="1"/>
    <col min="8446" max="8683" width="9.140625" style="77"/>
    <col min="8684" max="8685" width="16.28515625" style="77" customWidth="1"/>
    <col min="8686" max="8686" width="93.28515625" style="77" customWidth="1"/>
    <col min="8687" max="8687" width="26.140625" style="77" customWidth="1"/>
    <col min="8688" max="8689" width="11.7109375" style="77" bestFit="1" customWidth="1"/>
    <col min="8690" max="8690" width="11.7109375" style="77" customWidth="1"/>
    <col min="8691" max="8692" width="17.42578125" style="77" bestFit="1" customWidth="1"/>
    <col min="8693" max="8694" width="14" style="77" bestFit="1" customWidth="1"/>
    <col min="8695" max="8695" width="20" style="77" bestFit="1" customWidth="1"/>
    <col min="8696" max="8696" width="17.42578125" style="77" customWidth="1"/>
    <col min="8697" max="8697" width="10.7109375" style="77" bestFit="1" customWidth="1"/>
    <col min="8698" max="8698" width="11" style="77" bestFit="1" customWidth="1"/>
    <col min="8699" max="8699" width="10.5703125" style="77" bestFit="1" customWidth="1"/>
    <col min="8700" max="8700" width="15.85546875" style="77" bestFit="1" customWidth="1"/>
    <col min="8701" max="8701" width="17.42578125" style="77" bestFit="1" customWidth="1"/>
    <col min="8702" max="8939" width="9.140625" style="77"/>
    <col min="8940" max="8941" width="16.28515625" style="77" customWidth="1"/>
    <col min="8942" max="8942" width="93.28515625" style="77" customWidth="1"/>
    <col min="8943" max="8943" width="26.140625" style="77" customWidth="1"/>
    <col min="8944" max="8945" width="11.7109375" style="77" bestFit="1" customWidth="1"/>
    <col min="8946" max="8946" width="11.7109375" style="77" customWidth="1"/>
    <col min="8947" max="8948" width="17.42578125" style="77" bestFit="1" customWidth="1"/>
    <col min="8949" max="8950" width="14" style="77" bestFit="1" customWidth="1"/>
    <col min="8951" max="8951" width="20" style="77" bestFit="1" customWidth="1"/>
    <col min="8952" max="8952" width="17.42578125" style="77" customWidth="1"/>
    <col min="8953" max="8953" width="10.7109375" style="77" bestFit="1" customWidth="1"/>
    <col min="8954" max="8954" width="11" style="77" bestFit="1" customWidth="1"/>
    <col min="8955" max="8955" width="10.5703125" style="77" bestFit="1" customWidth="1"/>
    <col min="8956" max="8956" width="15.85546875" style="77" bestFit="1" customWidth="1"/>
    <col min="8957" max="8957" width="17.42578125" style="77" bestFit="1" customWidth="1"/>
    <col min="8958" max="9195" width="9.140625" style="77"/>
    <col min="9196" max="9197" width="16.28515625" style="77" customWidth="1"/>
    <col min="9198" max="9198" width="93.28515625" style="77" customWidth="1"/>
    <col min="9199" max="9199" width="26.140625" style="77" customWidth="1"/>
    <col min="9200" max="9201" width="11.7109375" style="77" bestFit="1" customWidth="1"/>
    <col min="9202" max="9202" width="11.7109375" style="77" customWidth="1"/>
    <col min="9203" max="9204" width="17.42578125" style="77" bestFit="1" customWidth="1"/>
    <col min="9205" max="9206" width="14" style="77" bestFit="1" customWidth="1"/>
    <col min="9207" max="9207" width="20" style="77" bestFit="1" customWidth="1"/>
    <col min="9208" max="9208" width="17.42578125" style="77" customWidth="1"/>
    <col min="9209" max="9209" width="10.7109375" style="77" bestFit="1" customWidth="1"/>
    <col min="9210" max="9210" width="11" style="77" bestFit="1" customWidth="1"/>
    <col min="9211" max="9211" width="10.5703125" style="77" bestFit="1" customWidth="1"/>
    <col min="9212" max="9212" width="15.85546875" style="77" bestFit="1" customWidth="1"/>
    <col min="9213" max="9213" width="17.42578125" style="77" bestFit="1" customWidth="1"/>
    <col min="9214" max="9451" width="9.140625" style="77"/>
    <col min="9452" max="9453" width="16.28515625" style="77" customWidth="1"/>
    <col min="9454" max="9454" width="93.28515625" style="77" customWidth="1"/>
    <col min="9455" max="9455" width="26.140625" style="77" customWidth="1"/>
    <col min="9456" max="9457" width="11.7109375" style="77" bestFit="1" customWidth="1"/>
    <col min="9458" max="9458" width="11.7109375" style="77" customWidth="1"/>
    <col min="9459" max="9460" width="17.42578125" style="77" bestFit="1" customWidth="1"/>
    <col min="9461" max="9462" width="14" style="77" bestFit="1" customWidth="1"/>
    <col min="9463" max="9463" width="20" style="77" bestFit="1" customWidth="1"/>
    <col min="9464" max="9464" width="17.42578125" style="77" customWidth="1"/>
    <col min="9465" max="9465" width="10.7109375" style="77" bestFit="1" customWidth="1"/>
    <col min="9466" max="9466" width="11" style="77" bestFit="1" customWidth="1"/>
    <col min="9467" max="9467" width="10.5703125" style="77" bestFit="1" customWidth="1"/>
    <col min="9468" max="9468" width="15.85546875" style="77" bestFit="1" customWidth="1"/>
    <col min="9469" max="9469" width="17.42578125" style="77" bestFit="1" customWidth="1"/>
    <col min="9470" max="9707" width="9.140625" style="77"/>
    <col min="9708" max="9709" width="16.28515625" style="77" customWidth="1"/>
    <col min="9710" max="9710" width="93.28515625" style="77" customWidth="1"/>
    <col min="9711" max="9711" width="26.140625" style="77" customWidth="1"/>
    <col min="9712" max="9713" width="11.7109375" style="77" bestFit="1" customWidth="1"/>
    <col min="9714" max="9714" width="11.7109375" style="77" customWidth="1"/>
    <col min="9715" max="9716" width="17.42578125" style="77" bestFit="1" customWidth="1"/>
    <col min="9717" max="9718" width="14" style="77" bestFit="1" customWidth="1"/>
    <col min="9719" max="9719" width="20" style="77" bestFit="1" customWidth="1"/>
    <col min="9720" max="9720" width="17.42578125" style="77" customWidth="1"/>
    <col min="9721" max="9721" width="10.7109375" style="77" bestFit="1" customWidth="1"/>
    <col min="9722" max="9722" width="11" style="77" bestFit="1" customWidth="1"/>
    <col min="9723" max="9723" width="10.5703125" style="77" bestFit="1" customWidth="1"/>
    <col min="9724" max="9724" width="15.85546875" style="77" bestFit="1" customWidth="1"/>
    <col min="9725" max="9725" width="17.42578125" style="77" bestFit="1" customWidth="1"/>
    <col min="9726" max="9963" width="9.140625" style="77"/>
    <col min="9964" max="9965" width="16.28515625" style="77" customWidth="1"/>
    <col min="9966" max="9966" width="93.28515625" style="77" customWidth="1"/>
    <col min="9967" max="9967" width="26.140625" style="77" customWidth="1"/>
    <col min="9968" max="9969" width="11.7109375" style="77" bestFit="1" customWidth="1"/>
    <col min="9970" max="9970" width="11.7109375" style="77" customWidth="1"/>
    <col min="9971" max="9972" width="17.42578125" style="77" bestFit="1" customWidth="1"/>
    <col min="9973" max="9974" width="14" style="77" bestFit="1" customWidth="1"/>
    <col min="9975" max="9975" width="20" style="77" bestFit="1" customWidth="1"/>
    <col min="9976" max="9976" width="17.42578125" style="77" customWidth="1"/>
    <col min="9977" max="9977" width="10.7109375" style="77" bestFit="1" customWidth="1"/>
    <col min="9978" max="9978" width="11" style="77" bestFit="1" customWidth="1"/>
    <col min="9979" max="9979" width="10.5703125" style="77" bestFit="1" customWidth="1"/>
    <col min="9980" max="9980" width="15.85546875" style="77" bestFit="1" customWidth="1"/>
    <col min="9981" max="9981" width="17.42578125" style="77" bestFit="1" customWidth="1"/>
    <col min="9982" max="10219" width="9.140625" style="77"/>
    <col min="10220" max="10221" width="16.28515625" style="77" customWidth="1"/>
    <col min="10222" max="10222" width="93.28515625" style="77" customWidth="1"/>
    <col min="10223" max="10223" width="26.140625" style="77" customWidth="1"/>
    <col min="10224" max="10225" width="11.7109375" style="77" bestFit="1" customWidth="1"/>
    <col min="10226" max="10226" width="11.7109375" style="77" customWidth="1"/>
    <col min="10227" max="10228" width="17.42578125" style="77" bestFit="1" customWidth="1"/>
    <col min="10229" max="10230" width="14" style="77" bestFit="1" customWidth="1"/>
    <col min="10231" max="10231" width="20" style="77" bestFit="1" customWidth="1"/>
    <col min="10232" max="10232" width="17.42578125" style="77" customWidth="1"/>
    <col min="10233" max="10233" width="10.7109375" style="77" bestFit="1" customWidth="1"/>
    <col min="10234" max="10234" width="11" style="77" bestFit="1" customWidth="1"/>
    <col min="10235" max="10235" width="10.5703125" style="77" bestFit="1" customWidth="1"/>
    <col min="10236" max="10236" width="15.85546875" style="77" bestFit="1" customWidth="1"/>
    <col min="10237" max="10237" width="17.42578125" style="77" bestFit="1" customWidth="1"/>
    <col min="10238" max="10475" width="9.140625" style="77"/>
    <col min="10476" max="10477" width="16.28515625" style="77" customWidth="1"/>
    <col min="10478" max="10478" width="93.28515625" style="77" customWidth="1"/>
    <col min="10479" max="10479" width="26.140625" style="77" customWidth="1"/>
    <col min="10480" max="10481" width="11.7109375" style="77" bestFit="1" customWidth="1"/>
    <col min="10482" max="10482" width="11.7109375" style="77" customWidth="1"/>
    <col min="10483" max="10484" width="17.42578125" style="77" bestFit="1" customWidth="1"/>
    <col min="10485" max="10486" width="14" style="77" bestFit="1" customWidth="1"/>
    <col min="10487" max="10487" width="20" style="77" bestFit="1" customWidth="1"/>
    <col min="10488" max="10488" width="17.42578125" style="77" customWidth="1"/>
    <col min="10489" max="10489" width="10.7109375" style="77" bestFit="1" customWidth="1"/>
    <col min="10490" max="10490" width="11" style="77" bestFit="1" customWidth="1"/>
    <col min="10491" max="10491" width="10.5703125" style="77" bestFit="1" customWidth="1"/>
    <col min="10492" max="10492" width="15.85546875" style="77" bestFit="1" customWidth="1"/>
    <col min="10493" max="10493" width="17.42578125" style="77" bestFit="1" customWidth="1"/>
    <col min="10494" max="10731" width="9.140625" style="77"/>
    <col min="10732" max="10733" width="16.28515625" style="77" customWidth="1"/>
    <col min="10734" max="10734" width="93.28515625" style="77" customWidth="1"/>
    <col min="10735" max="10735" width="26.140625" style="77" customWidth="1"/>
    <col min="10736" max="10737" width="11.7109375" style="77" bestFit="1" customWidth="1"/>
    <col min="10738" max="10738" width="11.7109375" style="77" customWidth="1"/>
    <col min="10739" max="10740" width="17.42578125" style="77" bestFit="1" customWidth="1"/>
    <col min="10741" max="10742" width="14" style="77" bestFit="1" customWidth="1"/>
    <col min="10743" max="10743" width="20" style="77" bestFit="1" customWidth="1"/>
    <col min="10744" max="10744" width="17.42578125" style="77" customWidth="1"/>
    <col min="10745" max="10745" width="10.7109375" style="77" bestFit="1" customWidth="1"/>
    <col min="10746" max="10746" width="11" style="77" bestFit="1" customWidth="1"/>
    <col min="10747" max="10747" width="10.5703125" style="77" bestFit="1" customWidth="1"/>
    <col min="10748" max="10748" width="15.85546875" style="77" bestFit="1" customWidth="1"/>
    <col min="10749" max="10749" width="17.42578125" style="77" bestFit="1" customWidth="1"/>
    <col min="10750" max="10987" width="9.140625" style="77"/>
    <col min="10988" max="10989" width="16.28515625" style="77" customWidth="1"/>
    <col min="10990" max="10990" width="93.28515625" style="77" customWidth="1"/>
    <col min="10991" max="10991" width="26.140625" style="77" customWidth="1"/>
    <col min="10992" max="10993" width="11.7109375" style="77" bestFit="1" customWidth="1"/>
    <col min="10994" max="10994" width="11.7109375" style="77" customWidth="1"/>
    <col min="10995" max="10996" width="17.42578125" style="77" bestFit="1" customWidth="1"/>
    <col min="10997" max="10998" width="14" style="77" bestFit="1" customWidth="1"/>
    <col min="10999" max="10999" width="20" style="77" bestFit="1" customWidth="1"/>
    <col min="11000" max="11000" width="17.42578125" style="77" customWidth="1"/>
    <col min="11001" max="11001" width="10.7109375" style="77" bestFit="1" customWidth="1"/>
    <col min="11002" max="11002" width="11" style="77" bestFit="1" customWidth="1"/>
    <col min="11003" max="11003" width="10.5703125" style="77" bestFit="1" customWidth="1"/>
    <col min="11004" max="11004" width="15.85546875" style="77" bestFit="1" customWidth="1"/>
    <col min="11005" max="11005" width="17.42578125" style="77" bestFit="1" customWidth="1"/>
    <col min="11006" max="11243" width="9.140625" style="77"/>
    <col min="11244" max="11245" width="16.28515625" style="77" customWidth="1"/>
    <col min="11246" max="11246" width="93.28515625" style="77" customWidth="1"/>
    <col min="11247" max="11247" width="26.140625" style="77" customWidth="1"/>
    <col min="11248" max="11249" width="11.7109375" style="77" bestFit="1" customWidth="1"/>
    <col min="11250" max="11250" width="11.7109375" style="77" customWidth="1"/>
    <col min="11251" max="11252" width="17.42578125" style="77" bestFit="1" customWidth="1"/>
    <col min="11253" max="11254" width="14" style="77" bestFit="1" customWidth="1"/>
    <col min="11255" max="11255" width="20" style="77" bestFit="1" customWidth="1"/>
    <col min="11256" max="11256" width="17.42578125" style="77" customWidth="1"/>
    <col min="11257" max="11257" width="10.7109375" style="77" bestFit="1" customWidth="1"/>
    <col min="11258" max="11258" width="11" style="77" bestFit="1" customWidth="1"/>
    <col min="11259" max="11259" width="10.5703125" style="77" bestFit="1" customWidth="1"/>
    <col min="11260" max="11260" width="15.85546875" style="77" bestFit="1" customWidth="1"/>
    <col min="11261" max="11261" width="17.42578125" style="77" bestFit="1" customWidth="1"/>
    <col min="11262" max="11499" width="9.140625" style="77"/>
    <col min="11500" max="11501" width="16.28515625" style="77" customWidth="1"/>
    <col min="11502" max="11502" width="93.28515625" style="77" customWidth="1"/>
    <col min="11503" max="11503" width="26.140625" style="77" customWidth="1"/>
    <col min="11504" max="11505" width="11.7109375" style="77" bestFit="1" customWidth="1"/>
    <col min="11506" max="11506" width="11.7109375" style="77" customWidth="1"/>
    <col min="11507" max="11508" width="17.42578125" style="77" bestFit="1" customWidth="1"/>
    <col min="11509" max="11510" width="14" style="77" bestFit="1" customWidth="1"/>
    <col min="11511" max="11511" width="20" style="77" bestFit="1" customWidth="1"/>
    <col min="11512" max="11512" width="17.42578125" style="77" customWidth="1"/>
    <col min="11513" max="11513" width="10.7109375" style="77" bestFit="1" customWidth="1"/>
    <col min="11514" max="11514" width="11" style="77" bestFit="1" customWidth="1"/>
    <col min="11515" max="11515" width="10.5703125" style="77" bestFit="1" customWidth="1"/>
    <col min="11516" max="11516" width="15.85546875" style="77" bestFit="1" customWidth="1"/>
    <col min="11517" max="11517" width="17.42578125" style="77" bestFit="1" customWidth="1"/>
    <col min="11518" max="11755" width="9.140625" style="77"/>
    <col min="11756" max="11757" width="16.28515625" style="77" customWidth="1"/>
    <col min="11758" max="11758" width="93.28515625" style="77" customWidth="1"/>
    <col min="11759" max="11759" width="26.140625" style="77" customWidth="1"/>
    <col min="11760" max="11761" width="11.7109375" style="77" bestFit="1" customWidth="1"/>
    <col min="11762" max="11762" width="11.7109375" style="77" customWidth="1"/>
    <col min="11763" max="11764" width="17.42578125" style="77" bestFit="1" customWidth="1"/>
    <col min="11765" max="11766" width="14" style="77" bestFit="1" customWidth="1"/>
    <col min="11767" max="11767" width="20" style="77" bestFit="1" customWidth="1"/>
    <col min="11768" max="11768" width="17.42578125" style="77" customWidth="1"/>
    <col min="11769" max="11769" width="10.7109375" style="77" bestFit="1" customWidth="1"/>
    <col min="11770" max="11770" width="11" style="77" bestFit="1" customWidth="1"/>
    <col min="11771" max="11771" width="10.5703125" style="77" bestFit="1" customWidth="1"/>
    <col min="11772" max="11772" width="15.85546875" style="77" bestFit="1" customWidth="1"/>
    <col min="11773" max="11773" width="17.42578125" style="77" bestFit="1" customWidth="1"/>
    <col min="11774" max="12011" width="9.140625" style="77"/>
    <col min="12012" max="12013" width="16.28515625" style="77" customWidth="1"/>
    <col min="12014" max="12014" width="93.28515625" style="77" customWidth="1"/>
    <col min="12015" max="12015" width="26.140625" style="77" customWidth="1"/>
    <col min="12016" max="12017" width="11.7109375" style="77" bestFit="1" customWidth="1"/>
    <col min="12018" max="12018" width="11.7109375" style="77" customWidth="1"/>
    <col min="12019" max="12020" width="17.42578125" style="77" bestFit="1" customWidth="1"/>
    <col min="12021" max="12022" width="14" style="77" bestFit="1" customWidth="1"/>
    <col min="12023" max="12023" width="20" style="77" bestFit="1" customWidth="1"/>
    <col min="12024" max="12024" width="17.42578125" style="77" customWidth="1"/>
    <col min="12025" max="12025" width="10.7109375" style="77" bestFit="1" customWidth="1"/>
    <col min="12026" max="12026" width="11" style="77" bestFit="1" customWidth="1"/>
    <col min="12027" max="12027" width="10.5703125" style="77" bestFit="1" customWidth="1"/>
    <col min="12028" max="12028" width="15.85546875" style="77" bestFit="1" customWidth="1"/>
    <col min="12029" max="12029" width="17.42578125" style="77" bestFit="1" customWidth="1"/>
    <col min="12030" max="12267" width="9.140625" style="77"/>
    <col min="12268" max="12269" width="16.28515625" style="77" customWidth="1"/>
    <col min="12270" max="12270" width="93.28515625" style="77" customWidth="1"/>
    <col min="12271" max="12271" width="26.140625" style="77" customWidth="1"/>
    <col min="12272" max="12273" width="11.7109375" style="77" bestFit="1" customWidth="1"/>
    <col min="12274" max="12274" width="11.7109375" style="77" customWidth="1"/>
    <col min="12275" max="12276" width="17.42578125" style="77" bestFit="1" customWidth="1"/>
    <col min="12277" max="12278" width="14" style="77" bestFit="1" customWidth="1"/>
    <col min="12279" max="12279" width="20" style="77" bestFit="1" customWidth="1"/>
    <col min="12280" max="12280" width="17.42578125" style="77" customWidth="1"/>
    <col min="12281" max="12281" width="10.7109375" style="77" bestFit="1" customWidth="1"/>
    <col min="12282" max="12282" width="11" style="77" bestFit="1" customWidth="1"/>
    <col min="12283" max="12283" width="10.5703125" style="77" bestFit="1" customWidth="1"/>
    <col min="12284" max="12284" width="15.85546875" style="77" bestFit="1" customWidth="1"/>
    <col min="12285" max="12285" width="17.42578125" style="77" bestFit="1" customWidth="1"/>
    <col min="12286" max="12523" width="9.140625" style="77"/>
    <col min="12524" max="12525" width="16.28515625" style="77" customWidth="1"/>
    <col min="12526" max="12526" width="93.28515625" style="77" customWidth="1"/>
    <col min="12527" max="12527" width="26.140625" style="77" customWidth="1"/>
    <col min="12528" max="12529" width="11.7109375" style="77" bestFit="1" customWidth="1"/>
    <col min="12530" max="12530" width="11.7109375" style="77" customWidth="1"/>
    <col min="12531" max="12532" width="17.42578125" style="77" bestFit="1" customWidth="1"/>
    <col min="12533" max="12534" width="14" style="77" bestFit="1" customWidth="1"/>
    <col min="12535" max="12535" width="20" style="77" bestFit="1" customWidth="1"/>
    <col min="12536" max="12536" width="17.42578125" style="77" customWidth="1"/>
    <col min="12537" max="12537" width="10.7109375" style="77" bestFit="1" customWidth="1"/>
    <col min="12538" max="12538" width="11" style="77" bestFit="1" customWidth="1"/>
    <col min="12539" max="12539" width="10.5703125" style="77" bestFit="1" customWidth="1"/>
    <col min="12540" max="12540" width="15.85546875" style="77" bestFit="1" customWidth="1"/>
    <col min="12541" max="12541" width="17.42578125" style="77" bestFit="1" customWidth="1"/>
    <col min="12542" max="12779" width="9.140625" style="77"/>
    <col min="12780" max="12781" width="16.28515625" style="77" customWidth="1"/>
    <col min="12782" max="12782" width="93.28515625" style="77" customWidth="1"/>
    <col min="12783" max="12783" width="26.140625" style="77" customWidth="1"/>
    <col min="12784" max="12785" width="11.7109375" style="77" bestFit="1" customWidth="1"/>
    <col min="12786" max="12786" width="11.7109375" style="77" customWidth="1"/>
    <col min="12787" max="12788" width="17.42578125" style="77" bestFit="1" customWidth="1"/>
    <col min="12789" max="12790" width="14" style="77" bestFit="1" customWidth="1"/>
    <col min="12791" max="12791" width="20" style="77" bestFit="1" customWidth="1"/>
    <col min="12792" max="12792" width="17.42578125" style="77" customWidth="1"/>
    <col min="12793" max="12793" width="10.7109375" style="77" bestFit="1" customWidth="1"/>
    <col min="12794" max="12794" width="11" style="77" bestFit="1" customWidth="1"/>
    <col min="12795" max="12795" width="10.5703125" style="77" bestFit="1" customWidth="1"/>
    <col min="12796" max="12796" width="15.85546875" style="77" bestFit="1" customWidth="1"/>
    <col min="12797" max="12797" width="17.42578125" style="77" bestFit="1" customWidth="1"/>
    <col min="12798" max="13035" width="9.140625" style="77"/>
    <col min="13036" max="13037" width="16.28515625" style="77" customWidth="1"/>
    <col min="13038" max="13038" width="93.28515625" style="77" customWidth="1"/>
    <col min="13039" max="13039" width="26.140625" style="77" customWidth="1"/>
    <col min="13040" max="13041" width="11.7109375" style="77" bestFit="1" customWidth="1"/>
    <col min="13042" max="13042" width="11.7109375" style="77" customWidth="1"/>
    <col min="13043" max="13044" width="17.42578125" style="77" bestFit="1" customWidth="1"/>
    <col min="13045" max="13046" width="14" style="77" bestFit="1" customWidth="1"/>
    <col min="13047" max="13047" width="20" style="77" bestFit="1" customWidth="1"/>
    <col min="13048" max="13048" width="17.42578125" style="77" customWidth="1"/>
    <col min="13049" max="13049" width="10.7109375" style="77" bestFit="1" customWidth="1"/>
    <col min="13050" max="13050" width="11" style="77" bestFit="1" customWidth="1"/>
    <col min="13051" max="13051" width="10.5703125" style="77" bestFit="1" customWidth="1"/>
    <col min="13052" max="13052" width="15.85546875" style="77" bestFit="1" customWidth="1"/>
    <col min="13053" max="13053" width="17.42578125" style="77" bestFit="1" customWidth="1"/>
    <col min="13054" max="13291" width="9.140625" style="77"/>
    <col min="13292" max="13293" width="16.28515625" style="77" customWidth="1"/>
    <col min="13294" max="13294" width="93.28515625" style="77" customWidth="1"/>
    <col min="13295" max="13295" width="26.140625" style="77" customWidth="1"/>
    <col min="13296" max="13297" width="11.7109375" style="77" bestFit="1" customWidth="1"/>
    <col min="13298" max="13298" width="11.7109375" style="77" customWidth="1"/>
    <col min="13299" max="13300" width="17.42578125" style="77" bestFit="1" customWidth="1"/>
    <col min="13301" max="13302" width="14" style="77" bestFit="1" customWidth="1"/>
    <col min="13303" max="13303" width="20" style="77" bestFit="1" customWidth="1"/>
    <col min="13304" max="13304" width="17.42578125" style="77" customWidth="1"/>
    <col min="13305" max="13305" width="10.7109375" style="77" bestFit="1" customWidth="1"/>
    <col min="13306" max="13306" width="11" style="77" bestFit="1" customWidth="1"/>
    <col min="13307" max="13307" width="10.5703125" style="77" bestFit="1" customWidth="1"/>
    <col min="13308" max="13308" width="15.85546875" style="77" bestFit="1" customWidth="1"/>
    <col min="13309" max="13309" width="17.42578125" style="77" bestFit="1" customWidth="1"/>
    <col min="13310" max="13547" width="9.140625" style="77"/>
    <col min="13548" max="13549" width="16.28515625" style="77" customWidth="1"/>
    <col min="13550" max="13550" width="93.28515625" style="77" customWidth="1"/>
    <col min="13551" max="13551" width="26.140625" style="77" customWidth="1"/>
    <col min="13552" max="13553" width="11.7109375" style="77" bestFit="1" customWidth="1"/>
    <col min="13554" max="13554" width="11.7109375" style="77" customWidth="1"/>
    <col min="13555" max="13556" width="17.42578125" style="77" bestFit="1" customWidth="1"/>
    <col min="13557" max="13558" width="14" style="77" bestFit="1" customWidth="1"/>
    <col min="13559" max="13559" width="20" style="77" bestFit="1" customWidth="1"/>
    <col min="13560" max="13560" width="17.42578125" style="77" customWidth="1"/>
    <col min="13561" max="13561" width="10.7109375" style="77" bestFit="1" customWidth="1"/>
    <col min="13562" max="13562" width="11" style="77" bestFit="1" customWidth="1"/>
    <col min="13563" max="13563" width="10.5703125" style="77" bestFit="1" customWidth="1"/>
    <col min="13564" max="13564" width="15.85546875" style="77" bestFit="1" customWidth="1"/>
    <col min="13565" max="13565" width="17.42578125" style="77" bestFit="1" customWidth="1"/>
    <col min="13566" max="13803" width="9.140625" style="77"/>
    <col min="13804" max="13805" width="16.28515625" style="77" customWidth="1"/>
    <col min="13806" max="13806" width="93.28515625" style="77" customWidth="1"/>
    <col min="13807" max="13807" width="26.140625" style="77" customWidth="1"/>
    <col min="13808" max="13809" width="11.7109375" style="77" bestFit="1" customWidth="1"/>
    <col min="13810" max="13810" width="11.7109375" style="77" customWidth="1"/>
    <col min="13811" max="13812" width="17.42578125" style="77" bestFit="1" customWidth="1"/>
    <col min="13813" max="13814" width="14" style="77" bestFit="1" customWidth="1"/>
    <col min="13815" max="13815" width="20" style="77" bestFit="1" customWidth="1"/>
    <col min="13816" max="13816" width="17.42578125" style="77" customWidth="1"/>
    <col min="13817" max="13817" width="10.7109375" style="77" bestFit="1" customWidth="1"/>
    <col min="13818" max="13818" width="11" style="77" bestFit="1" customWidth="1"/>
    <col min="13819" max="13819" width="10.5703125" style="77" bestFit="1" customWidth="1"/>
    <col min="13820" max="13820" width="15.85546875" style="77" bestFit="1" customWidth="1"/>
    <col min="13821" max="13821" width="17.42578125" style="77" bestFit="1" customWidth="1"/>
    <col min="13822" max="14059" width="9.140625" style="77"/>
    <col min="14060" max="14061" width="16.28515625" style="77" customWidth="1"/>
    <col min="14062" max="14062" width="93.28515625" style="77" customWidth="1"/>
    <col min="14063" max="14063" width="26.140625" style="77" customWidth="1"/>
    <col min="14064" max="14065" width="11.7109375" style="77" bestFit="1" customWidth="1"/>
    <col min="14066" max="14066" width="11.7109375" style="77" customWidth="1"/>
    <col min="14067" max="14068" width="17.42578125" style="77" bestFit="1" customWidth="1"/>
    <col min="14069" max="14070" width="14" style="77" bestFit="1" customWidth="1"/>
    <col min="14071" max="14071" width="20" style="77" bestFit="1" customWidth="1"/>
    <col min="14072" max="14072" width="17.42578125" style="77" customWidth="1"/>
    <col min="14073" max="14073" width="10.7109375" style="77" bestFit="1" customWidth="1"/>
    <col min="14074" max="14074" width="11" style="77" bestFit="1" customWidth="1"/>
    <col min="14075" max="14075" width="10.5703125" style="77" bestFit="1" customWidth="1"/>
    <col min="14076" max="14076" width="15.85546875" style="77" bestFit="1" customWidth="1"/>
    <col min="14077" max="14077" width="17.42578125" style="77" bestFit="1" customWidth="1"/>
    <col min="14078" max="14315" width="9.140625" style="77"/>
    <col min="14316" max="14317" width="16.28515625" style="77" customWidth="1"/>
    <col min="14318" max="14318" width="93.28515625" style="77" customWidth="1"/>
    <col min="14319" max="14319" width="26.140625" style="77" customWidth="1"/>
    <col min="14320" max="14321" width="11.7109375" style="77" bestFit="1" customWidth="1"/>
    <col min="14322" max="14322" width="11.7109375" style="77" customWidth="1"/>
    <col min="14323" max="14324" width="17.42578125" style="77" bestFit="1" customWidth="1"/>
    <col min="14325" max="14326" width="14" style="77" bestFit="1" customWidth="1"/>
    <col min="14327" max="14327" width="20" style="77" bestFit="1" customWidth="1"/>
    <col min="14328" max="14328" width="17.42578125" style="77" customWidth="1"/>
    <col min="14329" max="14329" width="10.7109375" style="77" bestFit="1" customWidth="1"/>
    <col min="14330" max="14330" width="11" style="77" bestFit="1" customWidth="1"/>
    <col min="14331" max="14331" width="10.5703125" style="77" bestFit="1" customWidth="1"/>
    <col min="14332" max="14332" width="15.85546875" style="77" bestFit="1" customWidth="1"/>
    <col min="14333" max="14333" width="17.42578125" style="77" bestFit="1" customWidth="1"/>
    <col min="14334" max="14571" width="9.140625" style="77"/>
    <col min="14572" max="14573" width="16.28515625" style="77" customWidth="1"/>
    <col min="14574" max="14574" width="93.28515625" style="77" customWidth="1"/>
    <col min="14575" max="14575" width="26.140625" style="77" customWidth="1"/>
    <col min="14576" max="14577" width="11.7109375" style="77" bestFit="1" customWidth="1"/>
    <col min="14578" max="14578" width="11.7109375" style="77" customWidth="1"/>
    <col min="14579" max="14580" width="17.42578125" style="77" bestFit="1" customWidth="1"/>
    <col min="14581" max="14582" width="14" style="77" bestFit="1" customWidth="1"/>
    <col min="14583" max="14583" width="20" style="77" bestFit="1" customWidth="1"/>
    <col min="14584" max="14584" width="17.42578125" style="77" customWidth="1"/>
    <col min="14585" max="14585" width="10.7109375" style="77" bestFit="1" customWidth="1"/>
    <col min="14586" max="14586" width="11" style="77" bestFit="1" customWidth="1"/>
    <col min="14587" max="14587" width="10.5703125" style="77" bestFit="1" customWidth="1"/>
    <col min="14588" max="14588" width="15.85546875" style="77" bestFit="1" customWidth="1"/>
    <col min="14589" max="14589" width="17.42578125" style="77" bestFit="1" customWidth="1"/>
    <col min="14590" max="14827" width="9.140625" style="77"/>
    <col min="14828" max="14829" width="16.28515625" style="77" customWidth="1"/>
    <col min="14830" max="14830" width="93.28515625" style="77" customWidth="1"/>
    <col min="14831" max="14831" width="26.140625" style="77" customWidth="1"/>
    <col min="14832" max="14833" width="11.7109375" style="77" bestFit="1" customWidth="1"/>
    <col min="14834" max="14834" width="11.7109375" style="77" customWidth="1"/>
    <col min="14835" max="14836" width="17.42578125" style="77" bestFit="1" customWidth="1"/>
    <col min="14837" max="14838" width="14" style="77" bestFit="1" customWidth="1"/>
    <col min="14839" max="14839" width="20" style="77" bestFit="1" customWidth="1"/>
    <col min="14840" max="14840" width="17.42578125" style="77" customWidth="1"/>
    <col min="14841" max="14841" width="10.7109375" style="77" bestFit="1" customWidth="1"/>
    <col min="14842" max="14842" width="11" style="77" bestFit="1" customWidth="1"/>
    <col min="14843" max="14843" width="10.5703125" style="77" bestFit="1" customWidth="1"/>
    <col min="14844" max="14844" width="15.85546875" style="77" bestFit="1" customWidth="1"/>
    <col min="14845" max="14845" width="17.42578125" style="77" bestFit="1" customWidth="1"/>
    <col min="14846" max="15083" width="9.140625" style="77"/>
    <col min="15084" max="15085" width="16.28515625" style="77" customWidth="1"/>
    <col min="15086" max="15086" width="93.28515625" style="77" customWidth="1"/>
    <col min="15087" max="15087" width="26.140625" style="77" customWidth="1"/>
    <col min="15088" max="15089" width="11.7109375" style="77" bestFit="1" customWidth="1"/>
    <col min="15090" max="15090" width="11.7109375" style="77" customWidth="1"/>
    <col min="15091" max="15092" width="17.42578125" style="77" bestFit="1" customWidth="1"/>
    <col min="15093" max="15094" width="14" style="77" bestFit="1" customWidth="1"/>
    <col min="15095" max="15095" width="20" style="77" bestFit="1" customWidth="1"/>
    <col min="15096" max="15096" width="17.42578125" style="77" customWidth="1"/>
    <col min="15097" max="15097" width="10.7109375" style="77" bestFit="1" customWidth="1"/>
    <col min="15098" max="15098" width="11" style="77" bestFit="1" customWidth="1"/>
    <col min="15099" max="15099" width="10.5703125" style="77" bestFit="1" customWidth="1"/>
    <col min="15100" max="15100" width="15.85546875" style="77" bestFit="1" customWidth="1"/>
    <col min="15101" max="15101" width="17.42578125" style="77" bestFit="1" customWidth="1"/>
    <col min="15102" max="15339" width="9.140625" style="77"/>
    <col min="15340" max="15341" width="16.28515625" style="77" customWidth="1"/>
    <col min="15342" max="15342" width="93.28515625" style="77" customWidth="1"/>
    <col min="15343" max="15343" width="26.140625" style="77" customWidth="1"/>
    <col min="15344" max="15345" width="11.7109375" style="77" bestFit="1" customWidth="1"/>
    <col min="15346" max="15346" width="11.7109375" style="77" customWidth="1"/>
    <col min="15347" max="15348" width="17.42578125" style="77" bestFit="1" customWidth="1"/>
    <col min="15349" max="15350" width="14" style="77" bestFit="1" customWidth="1"/>
    <col min="15351" max="15351" width="20" style="77" bestFit="1" customWidth="1"/>
    <col min="15352" max="15352" width="17.42578125" style="77" customWidth="1"/>
    <col min="15353" max="15353" width="10.7109375" style="77" bestFit="1" customWidth="1"/>
    <col min="15354" max="15354" width="11" style="77" bestFit="1" customWidth="1"/>
    <col min="15355" max="15355" width="10.5703125" style="77" bestFit="1" customWidth="1"/>
    <col min="15356" max="15356" width="15.85546875" style="77" bestFit="1" customWidth="1"/>
    <col min="15357" max="15357" width="17.42578125" style="77" bestFit="1" customWidth="1"/>
    <col min="15358" max="15595" width="9.140625" style="77"/>
    <col min="15596" max="15597" width="16.28515625" style="77" customWidth="1"/>
    <col min="15598" max="15598" width="93.28515625" style="77" customWidth="1"/>
    <col min="15599" max="15599" width="26.140625" style="77" customWidth="1"/>
    <col min="15600" max="15601" width="11.7109375" style="77" bestFit="1" customWidth="1"/>
    <col min="15602" max="15602" width="11.7109375" style="77" customWidth="1"/>
    <col min="15603" max="15604" width="17.42578125" style="77" bestFit="1" customWidth="1"/>
    <col min="15605" max="15606" width="14" style="77" bestFit="1" customWidth="1"/>
    <col min="15607" max="15607" width="20" style="77" bestFit="1" customWidth="1"/>
    <col min="15608" max="15608" width="17.42578125" style="77" customWidth="1"/>
    <col min="15609" max="15609" width="10.7109375" style="77" bestFit="1" customWidth="1"/>
    <col min="15610" max="15610" width="11" style="77" bestFit="1" customWidth="1"/>
    <col min="15611" max="15611" width="10.5703125" style="77" bestFit="1" customWidth="1"/>
    <col min="15612" max="15612" width="15.85546875" style="77" bestFit="1" customWidth="1"/>
    <col min="15613" max="15613" width="17.42578125" style="77" bestFit="1" customWidth="1"/>
    <col min="15614" max="15851" width="9.140625" style="77"/>
    <col min="15852" max="15853" width="16.28515625" style="77" customWidth="1"/>
    <col min="15854" max="15854" width="93.28515625" style="77" customWidth="1"/>
    <col min="15855" max="15855" width="26.140625" style="77" customWidth="1"/>
    <col min="15856" max="15857" width="11.7109375" style="77" bestFit="1" customWidth="1"/>
    <col min="15858" max="15858" width="11.7109375" style="77" customWidth="1"/>
    <col min="15859" max="15860" width="17.42578125" style="77" bestFit="1" customWidth="1"/>
    <col min="15861" max="15862" width="14" style="77" bestFit="1" customWidth="1"/>
    <col min="15863" max="15863" width="20" style="77" bestFit="1" customWidth="1"/>
    <col min="15864" max="15864" width="17.42578125" style="77" customWidth="1"/>
    <col min="15865" max="15865" width="10.7109375" style="77" bestFit="1" customWidth="1"/>
    <col min="15866" max="15866" width="11" style="77" bestFit="1" customWidth="1"/>
    <col min="15867" max="15867" width="10.5703125" style="77" bestFit="1" customWidth="1"/>
    <col min="15868" max="15868" width="15.85546875" style="77" bestFit="1" customWidth="1"/>
    <col min="15869" max="15869" width="17.42578125" style="77" bestFit="1" customWidth="1"/>
    <col min="15870" max="16107" width="9.140625" style="77"/>
    <col min="16108" max="16109" width="16.28515625" style="77" customWidth="1"/>
    <col min="16110" max="16110" width="93.28515625" style="77" customWidth="1"/>
    <col min="16111" max="16111" width="26.140625" style="77" customWidth="1"/>
    <col min="16112" max="16113" width="11.7109375" style="77" bestFit="1" customWidth="1"/>
    <col min="16114" max="16114" width="11.7109375" style="77" customWidth="1"/>
    <col min="16115" max="16116" width="17.42578125" style="77" bestFit="1" customWidth="1"/>
    <col min="16117" max="16118" width="14" style="77" bestFit="1" customWidth="1"/>
    <col min="16119" max="16119" width="20" style="77" bestFit="1" customWidth="1"/>
    <col min="16120" max="16120" width="17.42578125" style="77" customWidth="1"/>
    <col min="16121" max="16121" width="10.7109375" style="77" bestFit="1" customWidth="1"/>
    <col min="16122" max="16122" width="11" style="77" bestFit="1" customWidth="1"/>
    <col min="16123" max="16123" width="10.5703125" style="77" bestFit="1" customWidth="1"/>
    <col min="16124" max="16124" width="15.85546875" style="77" bestFit="1" customWidth="1"/>
    <col min="16125" max="16125" width="17.42578125" style="77" bestFit="1" customWidth="1"/>
    <col min="16126" max="16384" width="9.140625" style="77"/>
  </cols>
  <sheetData>
    <row r="1" spans="1:35" s="177" customFormat="1" ht="20.25">
      <c r="E1" s="2522" t="str">
        <f>IF(dms_DataQuality="backcast",INDEX(dms_Worksheet_List,MATCH(dms_Model,dms_Model_List))&amp;" BACKCAST",INDEX(dms_Worksheet_List,MATCH(dms_Model,dms_Model_List)))</f>
        <v>REGULATORY REPORTING STATEMENT</v>
      </c>
      <c r="F1" s="179"/>
      <c r="G1" s="179"/>
      <c r="H1" s="179"/>
      <c r="I1" s="179"/>
      <c r="J1" s="179"/>
      <c r="K1" s="179"/>
      <c r="L1" s="179"/>
      <c r="M1" s="179"/>
      <c r="N1" s="179"/>
      <c r="O1" s="179"/>
      <c r="P1" s="179"/>
      <c r="Q1" s="179"/>
      <c r="R1" s="179"/>
      <c r="S1" s="179"/>
      <c r="T1" s="179"/>
      <c r="U1" s="179"/>
      <c r="V1" s="179"/>
      <c r="W1" s="179"/>
      <c r="X1" s="179"/>
      <c r="Y1" s="179"/>
      <c r="Z1" s="179"/>
      <c r="AA1" s="179"/>
      <c r="AB1" s="179"/>
      <c r="AC1" s="179"/>
      <c r="AD1" s="179"/>
      <c r="AE1" s="179"/>
      <c r="AF1" s="179"/>
      <c r="AG1" s="179"/>
      <c r="AH1" s="179"/>
      <c r="AI1"/>
    </row>
    <row r="2" spans="1:35" s="177" customFormat="1" ht="20.25">
      <c r="E2" s="2526" t="str">
        <f>INDEX(dms_TradingNameFull_List,MATCH(dms_TradingName,dms_TradingName_List))</f>
        <v>AusNet Gas Services</v>
      </c>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c r="AE2" s="179"/>
      <c r="AF2" s="179"/>
      <c r="AG2" s="179"/>
      <c r="AH2" s="179"/>
      <c r="AI2"/>
    </row>
    <row r="3" spans="1:35" s="177" customFormat="1" ht="20.25">
      <c r="E3" s="2526" t="str">
        <f ca="1">IF(SUM(dms_SingleYear_Model)&gt;0,CRY,CONCATENATE(FRCP_y1," to ",dms_MultiYear_FinalYear_Result))</f>
        <v>2018 to 2022</v>
      </c>
      <c r="F3" s="182" t="str">
        <f>CONCATENATE(LEFT(FRCP_y1,4),"-",LEFT(FRCP_y5,2),RIGHT(FRCP_y5,2))</f>
        <v>2018-2022</v>
      </c>
      <c r="G3" s="181"/>
      <c r="H3" s="181"/>
      <c r="I3" s="181"/>
      <c r="J3" s="181"/>
      <c r="K3" s="181"/>
      <c r="L3" s="181"/>
      <c r="M3" s="181"/>
      <c r="N3" s="181"/>
      <c r="O3" s="181"/>
      <c r="P3" s="181"/>
      <c r="Q3" s="181"/>
      <c r="R3" s="181"/>
      <c r="S3" s="181"/>
      <c r="T3" s="181"/>
      <c r="U3" s="181"/>
      <c r="V3" s="181"/>
      <c r="W3" s="1171"/>
      <c r="X3" s="1171"/>
      <c r="Y3" s="1171"/>
      <c r="Z3" s="1171"/>
      <c r="AA3" s="1171"/>
      <c r="AB3" s="1171"/>
      <c r="AC3" s="1171"/>
      <c r="AD3" s="1171"/>
      <c r="AE3" s="1171"/>
      <c r="AF3" s="1171"/>
      <c r="AG3" s="1171"/>
      <c r="AH3" s="1171"/>
      <c r="AI3"/>
    </row>
    <row r="4" spans="1:35" s="159" customFormat="1" ht="20.25">
      <c r="B4" s="10"/>
      <c r="C4" s="12"/>
      <c r="D4"/>
      <c r="E4" s="12" t="s">
        <v>429</v>
      </c>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row>
    <row r="5" spans="1:35" ht="13.5" thickBot="1">
      <c r="A5" s="360"/>
      <c r="B5" s="360"/>
      <c r="C5" s="360"/>
      <c r="D5" s="360"/>
      <c r="E5" s="490"/>
      <c r="F5" s="262"/>
      <c r="G5" s="262"/>
      <c r="H5" s="262"/>
      <c r="I5" s="262"/>
      <c r="J5" s="262"/>
      <c r="K5" s="262"/>
      <c r="L5" s="262"/>
      <c r="M5" s="262"/>
      <c r="N5" s="262"/>
      <c r="O5" s="262"/>
      <c r="P5" s="262"/>
      <c r="Q5" s="262"/>
      <c r="R5" s="262"/>
      <c r="S5" s="262"/>
      <c r="T5" s="262"/>
      <c r="U5" s="262"/>
      <c r="V5" s="262"/>
      <c r="AA5"/>
      <c r="AB5"/>
      <c r="AC5"/>
      <c r="AD5"/>
      <c r="AE5"/>
      <c r="AF5"/>
      <c r="AG5"/>
      <c r="AH5"/>
      <c r="AI5"/>
    </row>
    <row r="6" spans="1:35" ht="21" customHeight="1">
      <c r="A6" s="892" t="s">
        <v>186</v>
      </c>
      <c r="B6" s="893" t="s">
        <v>192</v>
      </c>
      <c r="C6" s="262"/>
      <c r="E6" s="918" t="s">
        <v>59</v>
      </c>
      <c r="F6" s="85"/>
      <c r="G6" s="85"/>
      <c r="H6" s="242"/>
      <c r="I6" s="242"/>
      <c r="J6" s="242"/>
      <c r="K6" s="242"/>
      <c r="L6" s="242"/>
      <c r="M6" s="242"/>
      <c r="N6" s="242"/>
      <c r="O6" s="242"/>
      <c r="P6" s="262"/>
      <c r="Q6" s="262"/>
      <c r="R6" s="262"/>
      <c r="S6" s="262"/>
      <c r="T6" s="262"/>
      <c r="U6" s="262"/>
      <c r="V6" s="262"/>
      <c r="AA6"/>
      <c r="AB6"/>
      <c r="AC6"/>
      <c r="AD6"/>
      <c r="AE6"/>
      <c r="AF6"/>
      <c r="AG6"/>
      <c r="AH6"/>
      <c r="AI6"/>
    </row>
    <row r="7" spans="1:35" ht="21" customHeight="1">
      <c r="A7" s="894" t="s">
        <v>187</v>
      </c>
      <c r="B7" s="895" t="s">
        <v>193</v>
      </c>
      <c r="C7" s="262"/>
      <c r="E7" s="4077" t="s">
        <v>433</v>
      </c>
      <c r="F7" s="4077"/>
      <c r="G7" s="4077"/>
      <c r="H7" s="242"/>
      <c r="I7" s="242"/>
      <c r="J7" s="242"/>
      <c r="K7" s="242"/>
      <c r="L7" s="242"/>
      <c r="M7" s="242"/>
      <c r="N7" s="242"/>
      <c r="O7" s="242"/>
      <c r="P7" s="262"/>
      <c r="Q7" s="262"/>
      <c r="R7" s="262"/>
      <c r="S7" s="262"/>
      <c r="T7" s="262"/>
      <c r="U7" s="262"/>
      <c r="V7" s="262"/>
      <c r="AA7"/>
      <c r="AB7"/>
      <c r="AC7"/>
      <c r="AD7"/>
      <c r="AE7"/>
      <c r="AF7"/>
      <c r="AG7"/>
      <c r="AH7"/>
      <c r="AI7"/>
    </row>
    <row r="8" spans="1:35" s="69" customFormat="1" ht="43.5" customHeight="1">
      <c r="A8" s="894" t="s">
        <v>189</v>
      </c>
      <c r="B8" s="895" t="s">
        <v>195</v>
      </c>
      <c r="C8" s="361"/>
      <c r="D8" s="361"/>
      <c r="E8" s="4077" t="str">
        <f>CONCATENATE("As set out in cl.6.1 of the ", dms_TradingName, " RIN, for tables 5.1 to 5.2, where the requested data is captured in the ", dms_TradingName, " capex model it is not required to be reentered in the RIN template tables.  If the requested data has not been provided in the ", dms_TradingName, " RIN please enter into the tables. This may require the insertion of new lines in each table.")</f>
        <v>As set out in cl.6.1 of the AusNet (Gas) RIN, for tables 5.1 to 5.2, where the requested data is captured in the AusNet (Gas) capex model it is not required to be reentered in the RIN template tables.  If the requested data has not been provided in the AusNet (Gas) RIN please enter into the tables. This may require the insertion of new lines in each table.</v>
      </c>
      <c r="F8" s="4077"/>
      <c r="G8" s="4077"/>
      <c r="H8" s="242"/>
      <c r="I8" s="242"/>
      <c r="J8" s="242"/>
      <c r="K8" s="242"/>
      <c r="L8" s="242"/>
      <c r="M8" s="242"/>
      <c r="N8" s="242"/>
      <c r="O8" s="242"/>
      <c r="P8" s="484"/>
      <c r="Q8" s="484"/>
      <c r="R8" s="484"/>
      <c r="S8" s="484"/>
      <c r="T8" s="484"/>
      <c r="U8" s="361"/>
      <c r="V8" s="361"/>
      <c r="W8"/>
      <c r="X8"/>
      <c r="Y8"/>
      <c r="Z8"/>
      <c r="AA8"/>
      <c r="AB8" s="1174"/>
      <c r="AC8" s="1174"/>
      <c r="AD8" s="1174"/>
      <c r="AE8" s="1174"/>
      <c r="AF8" s="1174"/>
      <c r="AG8" s="1174"/>
      <c r="AH8" s="1174"/>
    </row>
    <row r="9" spans="1:35" s="69" customFormat="1" ht="43.5" customHeight="1">
      <c r="A9" s="894" t="s">
        <v>261</v>
      </c>
      <c r="B9" s="895" t="s">
        <v>255</v>
      </c>
      <c r="C9" s="361"/>
      <c r="D9" s="361"/>
      <c r="E9" s="4077" t="s">
        <v>582</v>
      </c>
      <c r="F9" s="4077"/>
      <c r="G9" s="4077"/>
      <c r="H9" s="242"/>
      <c r="I9" s="242"/>
      <c r="J9" s="242"/>
      <c r="K9" s="242"/>
      <c r="L9" s="242"/>
      <c r="M9" s="242"/>
      <c r="N9" s="242"/>
      <c r="O9" s="242"/>
      <c r="P9" s="484"/>
      <c r="Q9" s="484"/>
      <c r="R9" s="484"/>
      <c r="S9" s="484"/>
      <c r="T9" s="484"/>
      <c r="U9" s="361"/>
      <c r="V9" s="361"/>
      <c r="W9"/>
      <c r="X9"/>
      <c r="Y9"/>
      <c r="Z9"/>
      <c r="AA9"/>
      <c r="AB9" s="1174"/>
      <c r="AC9" s="1174"/>
      <c r="AD9" s="1174"/>
      <c r="AE9" s="1174"/>
      <c r="AF9" s="1174"/>
      <c r="AG9" s="1174"/>
      <c r="AH9" s="1174"/>
    </row>
    <row r="10" spans="1:35" ht="43.5" customHeight="1">
      <c r="A10" s="894" t="s">
        <v>190</v>
      </c>
      <c r="B10" s="895" t="s">
        <v>196</v>
      </c>
      <c r="C10" s="262"/>
      <c r="E10" s="4077" t="str">
        <f>CONCATENATE("Subject to cl.6.1 of the ", dms_TradingName, " RIN, where linked/adjustable overhead expenditure and Related party margin expenditure is not provided in the ", dms_TradingName, " capex model, overhead expenditure and Related party margin expenditure should be linked to allocations derived in tabs '14. Overheads' and '15. Related party transactions'.")</f>
        <v>Subject to cl.6.1 of the AusNet (Gas) RIN, where linked/adjustable overhead expenditure and Related party margin expenditure is not provided in the AusNet (Gas) capex model, overhead expenditure and Related party margin expenditure should be linked to allocations derived in tabs '14. Overheads' and '15. Related party transactions'.</v>
      </c>
      <c r="F10" s="4077"/>
      <c r="G10" s="4077"/>
      <c r="H10" s="262"/>
      <c r="I10" s="483"/>
      <c r="J10" s="483"/>
      <c r="K10" s="482"/>
      <c r="L10" s="483"/>
      <c r="M10" s="483"/>
      <c r="N10" s="483"/>
      <c r="O10" s="483"/>
      <c r="P10" s="262"/>
      <c r="Q10" s="262"/>
      <c r="R10" s="262"/>
      <c r="S10" s="262"/>
      <c r="T10" s="262"/>
      <c r="U10" s="262"/>
      <c r="V10" s="262"/>
      <c r="AA10"/>
      <c r="AB10" s="262"/>
      <c r="AC10" s="483"/>
      <c r="AD10" s="483"/>
      <c r="AE10" s="842"/>
      <c r="AF10" s="483"/>
      <c r="AG10" s="483"/>
      <c r="AH10" s="483"/>
    </row>
    <row r="11" spans="1:35" s="78" customFormat="1" ht="32.25" customHeight="1">
      <c r="A11" s="894" t="s">
        <v>262</v>
      </c>
      <c r="B11" s="895" t="s">
        <v>256</v>
      </c>
      <c r="C11" s="262"/>
      <c r="D11" s="262"/>
      <c r="E11" s="4077" t="s">
        <v>153</v>
      </c>
      <c r="F11" s="4078"/>
      <c r="G11" s="4078"/>
      <c r="H11" s="489"/>
      <c r="I11" s="483"/>
      <c r="J11" s="483"/>
      <c r="K11" s="483"/>
      <c r="L11" s="483"/>
      <c r="M11" s="483"/>
      <c r="N11" s="483"/>
      <c r="O11" s="483"/>
      <c r="P11" s="262"/>
      <c r="Q11" s="262"/>
      <c r="R11" s="262"/>
      <c r="S11" s="262"/>
      <c r="T11" s="262"/>
      <c r="U11" s="262"/>
      <c r="V11" s="262"/>
      <c r="W11"/>
      <c r="X11"/>
      <c r="Y11"/>
      <c r="Z11"/>
      <c r="AA11"/>
      <c r="AB11" s="489"/>
      <c r="AC11" s="483"/>
      <c r="AD11" s="483"/>
      <c r="AE11" s="483"/>
      <c r="AF11" s="483"/>
      <c r="AG11" s="483"/>
      <c r="AH11" s="483"/>
    </row>
    <row r="12" spans="1:35" s="78" customFormat="1" ht="13.5" thickBot="1">
      <c r="A12" s="896" t="s">
        <v>265</v>
      </c>
      <c r="B12" s="897" t="s">
        <v>131</v>
      </c>
      <c r="C12" s="262"/>
      <c r="D12"/>
      <c r="E12"/>
      <c r="F12"/>
      <c r="G12"/>
      <c r="H12" s="262"/>
      <c r="I12" s="262"/>
      <c r="J12" s="262"/>
      <c r="K12" s="262"/>
      <c r="L12" s="262"/>
      <c r="M12" s="262"/>
      <c r="N12" s="262"/>
      <c r="O12" s="262"/>
      <c r="P12" s="262"/>
      <c r="Q12" s="262"/>
      <c r="R12" s="262"/>
      <c r="S12" s="262"/>
      <c r="T12" s="262"/>
      <c r="U12" s="262"/>
      <c r="V12" s="262"/>
      <c r="W12"/>
      <c r="X12"/>
      <c r="Y12"/>
      <c r="Z12"/>
      <c r="AA12" s="1172"/>
      <c r="AB12" s="262"/>
      <c r="AC12" s="262"/>
      <c r="AD12" s="262"/>
      <c r="AE12" s="262"/>
      <c r="AF12" s="262"/>
      <c r="AG12" s="262"/>
      <c r="AH12" s="262"/>
    </row>
    <row r="13" spans="1:35" s="78" customFormat="1" ht="21" thickBot="1">
      <c r="A13" s="262"/>
      <c r="B13" s="262"/>
      <c r="C13" s="262"/>
      <c r="D13" s="262"/>
      <c r="F13" s="489"/>
      <c r="G13" s="489"/>
      <c r="H13" s="489"/>
      <c r="I13" s="489"/>
      <c r="J13" s="489"/>
      <c r="K13" s="489"/>
      <c r="L13" s="489"/>
      <c r="M13" s="489"/>
      <c r="N13" s="489"/>
      <c r="O13" s="489"/>
      <c r="P13" s="489"/>
      <c r="Q13" s="489"/>
      <c r="R13" s="489"/>
      <c r="S13" s="489"/>
      <c r="T13" s="489"/>
      <c r="U13" s="262"/>
      <c r="V13" s="262"/>
      <c r="W13"/>
      <c r="X13"/>
      <c r="Y13"/>
      <c r="Z13"/>
      <c r="AA13" s="489"/>
      <c r="AB13" s="489"/>
      <c r="AC13" s="489"/>
      <c r="AD13" s="489"/>
      <c r="AE13" s="489"/>
      <c r="AF13" s="489"/>
      <c r="AG13" s="489"/>
      <c r="AH13" s="489"/>
    </row>
    <row r="14" spans="1:35" s="1172" customFormat="1" ht="16.5" thickBot="1">
      <c r="A14" s="262"/>
      <c r="B14" s="262"/>
      <c r="C14" s="262"/>
      <c r="D14" s="262"/>
      <c r="E14" s="735" t="s">
        <v>546</v>
      </c>
      <c r="F14" s="735"/>
      <c r="G14" s="735"/>
      <c r="H14" s="735"/>
      <c r="I14" s="735"/>
      <c r="J14" s="735"/>
      <c r="K14" s="735"/>
      <c r="L14" s="735"/>
      <c r="M14" s="735"/>
      <c r="N14" s="735"/>
      <c r="O14" s="735"/>
      <c r="P14" s="735"/>
      <c r="Q14" s="735"/>
      <c r="R14" s="735"/>
      <c r="S14" s="735"/>
      <c r="T14" s="735"/>
      <c r="U14" s="735"/>
      <c r="V14" s="735"/>
      <c r="W14" s="735"/>
      <c r="AA14" s="735" t="s">
        <v>642</v>
      </c>
      <c r="AB14" s="735"/>
      <c r="AC14" s="735"/>
      <c r="AD14" s="735"/>
      <c r="AE14" s="735"/>
      <c r="AF14" s="735"/>
      <c r="AG14" s="735"/>
      <c r="AH14" s="1201"/>
    </row>
    <row r="15" spans="1:35" s="65" customFormat="1" ht="16.5" thickBot="1">
      <c r="A15" s="243"/>
      <c r="B15" s="243"/>
      <c r="C15" s="243"/>
      <c r="D15" s="243"/>
      <c r="E15" s="1258" t="s">
        <v>577</v>
      </c>
      <c r="F15" s="1258"/>
      <c r="G15" s="1259"/>
      <c r="H15" s="1259"/>
      <c r="I15" s="1259"/>
      <c r="J15" s="1259"/>
      <c r="K15" s="1259"/>
      <c r="L15" s="1259"/>
      <c r="M15" s="1259"/>
      <c r="N15" s="1259"/>
      <c r="O15" s="1259"/>
      <c r="P15" s="1259"/>
      <c r="Q15" s="1259"/>
      <c r="R15" s="1259"/>
      <c r="S15" s="1259"/>
      <c r="T15" s="1259"/>
      <c r="U15" s="1259"/>
      <c r="V15" s="1259"/>
      <c r="W15" s="1260"/>
      <c r="X15"/>
      <c r="Y15"/>
      <c r="Z15"/>
      <c r="AA15" s="1258"/>
      <c r="AB15" s="1259"/>
      <c r="AC15" s="1259"/>
      <c r="AD15" s="1259"/>
      <c r="AE15" s="1259"/>
      <c r="AF15" s="1259"/>
      <c r="AG15" s="1259"/>
      <c r="AH15" s="1260"/>
    </row>
    <row r="16" spans="1:35" ht="18" customHeight="1">
      <c r="A16" s="262"/>
      <c r="B16" s="262"/>
      <c r="C16" s="262"/>
      <c r="E16" s="4061"/>
      <c r="F16" s="4062"/>
      <c r="G16" s="4073" t="s">
        <v>36</v>
      </c>
      <c r="H16" s="3997"/>
      <c r="I16" s="3997"/>
      <c r="J16" s="3997"/>
      <c r="K16" s="3997"/>
      <c r="L16" s="4074" t="s">
        <v>37</v>
      </c>
      <c r="M16" s="4075"/>
      <c r="N16" s="4075"/>
      <c r="O16" s="4075"/>
      <c r="P16" s="4075"/>
      <c r="Q16" s="4039" t="s">
        <v>336</v>
      </c>
      <c r="R16" s="3960" t="s">
        <v>73</v>
      </c>
      <c r="S16" s="3997"/>
      <c r="T16" s="3997"/>
      <c r="U16" s="3997"/>
      <c r="V16" s="4038"/>
      <c r="W16" s="4042" t="s">
        <v>154</v>
      </c>
      <c r="AA16" s="4073" t="s">
        <v>36</v>
      </c>
      <c r="AB16" s="3997"/>
      <c r="AC16" s="3997"/>
      <c r="AD16" s="3997"/>
      <c r="AE16" s="3997"/>
      <c r="AF16" s="4074" t="s">
        <v>37</v>
      </c>
      <c r="AG16" s="4075"/>
      <c r="AH16" s="4082"/>
    </row>
    <row r="17" spans="1:34" ht="15" customHeight="1">
      <c r="A17" s="262"/>
      <c r="B17" s="262"/>
      <c r="C17" s="262"/>
      <c r="E17" s="4063"/>
      <c r="F17" s="4064"/>
      <c r="G17" s="3985" t="s">
        <v>543</v>
      </c>
      <c r="H17" s="3986"/>
      <c r="I17" s="3986"/>
      <c r="J17" s="3986"/>
      <c r="K17" s="3986"/>
      <c r="L17" s="3986"/>
      <c r="M17" s="3986"/>
      <c r="N17" s="3986"/>
      <c r="O17" s="3989" t="str">
        <f>CONCATENATE("$0's, real ",dms_DollarReal)</f>
        <v>$0's, real December 2017</v>
      </c>
      <c r="P17" s="4076"/>
      <c r="Q17" s="4040"/>
      <c r="R17" s="3993" t="str">
        <f>CONCATENATE("$0's, real ",dms_DollarReal)</f>
        <v>$0's, real December 2017</v>
      </c>
      <c r="S17" s="3993"/>
      <c r="T17" s="3993"/>
      <c r="U17" s="3993"/>
      <c r="V17" s="4041"/>
      <c r="W17" s="4043"/>
      <c r="AA17" s="4083" t="str">
        <f>CONCATENATE("$0's, real ",dms_DollarReal)</f>
        <v>$0's, real December 2017</v>
      </c>
      <c r="AB17" s="3989"/>
      <c r="AC17" s="3989"/>
      <c r="AD17" s="3989"/>
      <c r="AE17" s="3989"/>
      <c r="AF17" s="3989"/>
      <c r="AG17" s="3989"/>
      <c r="AH17" s="3990"/>
    </row>
    <row r="18" spans="1:34" ht="25.5">
      <c r="A18" s="4045" t="s">
        <v>183</v>
      </c>
      <c r="B18" s="4045" t="s">
        <v>184</v>
      </c>
      <c r="C18" s="4045" t="s">
        <v>197</v>
      </c>
      <c r="E18" s="4063"/>
      <c r="F18" s="4064"/>
      <c r="G18" s="3985" t="s">
        <v>54</v>
      </c>
      <c r="H18" s="3986"/>
      <c r="I18" s="3986"/>
      <c r="J18" s="3986"/>
      <c r="K18" s="3986"/>
      <c r="L18" s="3986"/>
      <c r="M18" s="3986"/>
      <c r="N18" s="3987"/>
      <c r="O18" s="3988" t="s">
        <v>55</v>
      </c>
      <c r="P18" s="4076"/>
      <c r="Q18" s="3636" t="s">
        <v>327</v>
      </c>
      <c r="R18" s="3993" t="s">
        <v>55</v>
      </c>
      <c r="S18" s="3993"/>
      <c r="T18" s="3993"/>
      <c r="U18" s="3993"/>
      <c r="V18" s="4041"/>
      <c r="W18" s="4043"/>
      <c r="AA18" s="3985" t="s">
        <v>54</v>
      </c>
      <c r="AB18" s="3986"/>
      <c r="AC18" s="3986"/>
      <c r="AD18" s="3986"/>
      <c r="AE18" s="3986"/>
      <c r="AF18" s="3986"/>
      <c r="AG18" s="3986"/>
      <c r="AH18" s="4030"/>
    </row>
    <row r="19" spans="1:34" ht="15.75" customHeight="1" thickBot="1">
      <c r="A19" s="4046"/>
      <c r="B19" s="4046"/>
      <c r="C19" s="4046"/>
      <c r="E19" s="4065"/>
      <c r="F19" s="4066"/>
      <c r="G19" s="1438">
        <f t="array" ref="G19:K19">PRCP</f>
        <v>2008</v>
      </c>
      <c r="H19" s="342">
        <v>2009</v>
      </c>
      <c r="I19" s="342">
        <v>2010</v>
      </c>
      <c r="J19" s="342">
        <v>2011</v>
      </c>
      <c r="K19" s="342">
        <v>2012</v>
      </c>
      <c r="L19" s="344">
        <f>CRCP_y1</f>
        <v>2013</v>
      </c>
      <c r="M19" s="344">
        <f>CRCP_y2</f>
        <v>2014</v>
      </c>
      <c r="N19" s="344">
        <f>CRCP_y3</f>
        <v>2015</v>
      </c>
      <c r="O19" s="344">
        <f>CRCP_y4</f>
        <v>2016</v>
      </c>
      <c r="P19" s="344">
        <f>CRCP_y5</f>
        <v>2017</v>
      </c>
      <c r="Q19" s="3743" t="s">
        <v>112</v>
      </c>
      <c r="R19" s="342" t="str">
        <f t="array" ref="R19:V19">FRCP</f>
        <v>2018</v>
      </c>
      <c r="S19" s="342">
        <v>2019</v>
      </c>
      <c r="T19" s="342">
        <v>2020</v>
      </c>
      <c r="U19" s="342">
        <v>2021</v>
      </c>
      <c r="V19" s="686">
        <v>2022</v>
      </c>
      <c r="W19" s="4044"/>
      <c r="AA19" s="1206">
        <f t="array" ref="AA19:AE19">PRCP</f>
        <v>2008</v>
      </c>
      <c r="AB19" s="1207">
        <v>2009</v>
      </c>
      <c r="AC19" s="1207">
        <v>2010</v>
      </c>
      <c r="AD19" s="1207">
        <v>2011</v>
      </c>
      <c r="AE19" s="1207">
        <v>2012</v>
      </c>
      <c r="AF19" s="347">
        <f>CRCP_y1</f>
        <v>2013</v>
      </c>
      <c r="AG19" s="347">
        <f>CRCP_y2</f>
        <v>2014</v>
      </c>
      <c r="AH19" s="1645">
        <f>CRCP_y3</f>
        <v>2015</v>
      </c>
    </row>
    <row r="20" spans="1:34" ht="18" customHeight="1" outlineLevel="1">
      <c r="A20" s="262"/>
      <c r="B20" s="262"/>
      <c r="C20" s="262"/>
      <c r="E20" s="4053" t="s">
        <v>1448</v>
      </c>
      <c r="F20" s="351" t="s">
        <v>559</v>
      </c>
      <c r="G20" s="374"/>
      <c r="H20" s="375"/>
      <c r="I20" s="375"/>
      <c r="J20" s="375"/>
      <c r="K20" s="1017"/>
      <c r="L20" s="374"/>
      <c r="M20" s="375"/>
      <c r="N20" s="375"/>
      <c r="O20" s="375"/>
      <c r="P20" s="375"/>
      <c r="Q20" s="375"/>
      <c r="R20" s="412"/>
      <c r="S20" s="494"/>
      <c r="T20" s="494"/>
      <c r="U20" s="494"/>
      <c r="V20" s="506"/>
      <c r="W20" s="1030"/>
      <c r="AA20" s="378"/>
      <c r="AB20" s="379"/>
      <c r="AC20" s="379"/>
      <c r="AD20" s="379"/>
      <c r="AE20" s="381"/>
      <c r="AF20" s="378"/>
      <c r="AG20" s="379"/>
      <c r="AH20" s="381"/>
    </row>
    <row r="21" spans="1:34" ht="12.75" customHeight="1" outlineLevel="1">
      <c r="A21" s="262"/>
      <c r="B21" s="262"/>
      <c r="C21" s="262"/>
      <c r="E21" s="4054"/>
      <c r="F21" s="191" t="s">
        <v>558</v>
      </c>
      <c r="G21" s="374"/>
      <c r="H21" s="375"/>
      <c r="I21" s="375"/>
      <c r="J21" s="375"/>
      <c r="K21" s="1017"/>
      <c r="L21" s="374"/>
      <c r="M21" s="375"/>
      <c r="N21" s="375"/>
      <c r="O21" s="375"/>
      <c r="P21" s="375"/>
      <c r="Q21" s="375"/>
      <c r="R21" s="459"/>
      <c r="S21" s="458"/>
      <c r="T21" s="458"/>
      <c r="U21" s="458"/>
      <c r="V21" s="460"/>
      <c r="W21" s="1030"/>
      <c r="AA21" s="374"/>
      <c r="AB21" s="375"/>
      <c r="AC21" s="375"/>
      <c r="AD21" s="375"/>
      <c r="AE21" s="1017"/>
      <c r="AF21" s="374"/>
      <c r="AG21" s="375"/>
      <c r="AH21" s="1017"/>
    </row>
    <row r="22" spans="1:34" ht="12.75" customHeight="1" outlineLevel="1">
      <c r="A22" s="262"/>
      <c r="B22" s="262"/>
      <c r="C22" s="262"/>
      <c r="E22" s="4054"/>
      <c r="F22" s="191" t="s">
        <v>578</v>
      </c>
      <c r="G22" s="374"/>
      <c r="H22" s="375"/>
      <c r="I22" s="375"/>
      <c r="J22" s="375"/>
      <c r="K22" s="1017"/>
      <c r="L22" s="374"/>
      <c r="M22" s="375"/>
      <c r="N22" s="375"/>
      <c r="O22" s="375"/>
      <c r="P22" s="375"/>
      <c r="Q22" s="375"/>
      <c r="R22" s="459"/>
      <c r="S22" s="458"/>
      <c r="T22" s="458"/>
      <c r="U22" s="458"/>
      <c r="V22" s="460"/>
      <c r="W22" s="1030"/>
      <c r="AA22" s="374"/>
      <c r="AB22" s="375"/>
      <c r="AC22" s="375"/>
      <c r="AD22" s="375"/>
      <c r="AE22" s="1017"/>
      <c r="AF22" s="374"/>
      <c r="AG22" s="375"/>
      <c r="AH22" s="1017"/>
    </row>
    <row r="23" spans="1:34" ht="12.75" customHeight="1" outlineLevel="1">
      <c r="A23" s="262"/>
      <c r="B23" s="262"/>
      <c r="C23" s="262"/>
      <c r="E23" s="4054"/>
      <c r="F23" s="194" t="s">
        <v>579</v>
      </c>
      <c r="G23" s="459"/>
      <c r="H23" s="458"/>
      <c r="I23" s="458"/>
      <c r="J23" s="458"/>
      <c r="K23" s="460"/>
      <c r="L23" s="429">
        <v>68789.77</v>
      </c>
      <c r="M23" s="476"/>
      <c r="N23" s="476"/>
      <c r="O23" s="476"/>
      <c r="P23" s="477"/>
      <c r="Q23" s="980"/>
      <c r="R23" s="353">
        <f>SUM(R20:R22)</f>
        <v>0</v>
      </c>
      <c r="S23" s="354">
        <f>SUM(S20:S22)</f>
        <v>0</v>
      </c>
      <c r="T23" s="354">
        <f>SUM(T20:T22)</f>
        <v>0</v>
      </c>
      <c r="U23" s="354">
        <f>SUM(U20:U22)</f>
        <v>0</v>
      </c>
      <c r="V23" s="450">
        <f>SUM(V20:V22)</f>
        <v>0</v>
      </c>
      <c r="W23" s="1030"/>
      <c r="AA23" s="462"/>
      <c r="AB23" s="463"/>
      <c r="AC23" s="463"/>
      <c r="AD23" s="463"/>
      <c r="AE23" s="464"/>
      <c r="AF23" s="511"/>
      <c r="AG23" s="512"/>
      <c r="AH23" s="547"/>
    </row>
    <row r="24" spans="1:34" ht="12.75" customHeight="1" outlineLevel="1">
      <c r="A24" s="262"/>
      <c r="B24" s="262"/>
      <c r="C24" s="262"/>
      <c r="E24" s="4054"/>
      <c r="F24" s="191" t="s">
        <v>583</v>
      </c>
      <c r="G24" s="459"/>
      <c r="H24" s="458"/>
      <c r="I24" s="458"/>
      <c r="J24" s="458"/>
      <c r="K24" s="460"/>
      <c r="L24" s="429">
        <v>6191.09</v>
      </c>
      <c r="M24" s="476"/>
      <c r="N24" s="476"/>
      <c r="O24" s="476"/>
      <c r="P24" s="477"/>
      <c r="Q24" s="980"/>
      <c r="R24" s="564"/>
      <c r="S24" s="477"/>
      <c r="T24" s="477"/>
      <c r="U24" s="477"/>
      <c r="V24" s="519"/>
      <c r="W24" s="1030"/>
      <c r="AA24" s="462"/>
      <c r="AB24" s="463"/>
      <c r="AC24" s="463"/>
      <c r="AD24" s="463"/>
      <c r="AE24" s="464"/>
      <c r="AF24" s="511"/>
      <c r="AG24" s="512"/>
      <c r="AH24" s="547"/>
    </row>
    <row r="25" spans="1:34" ht="12.75" customHeight="1" outlineLevel="1">
      <c r="A25" s="262"/>
      <c r="B25" s="262"/>
      <c r="C25" s="262"/>
      <c r="E25" s="4054"/>
      <c r="F25" s="191" t="s">
        <v>581</v>
      </c>
      <c r="G25" s="459"/>
      <c r="H25" s="458"/>
      <c r="I25" s="458"/>
      <c r="J25" s="458"/>
      <c r="K25" s="460"/>
      <c r="L25" s="459"/>
      <c r="M25" s="458"/>
      <c r="N25" s="458"/>
      <c r="O25" s="458"/>
      <c r="P25" s="475"/>
      <c r="Q25" s="980"/>
      <c r="R25" s="1034"/>
      <c r="S25" s="475"/>
      <c r="T25" s="475"/>
      <c r="U25" s="475"/>
      <c r="V25" s="518"/>
      <c r="W25" s="1030"/>
      <c r="AA25" s="462"/>
      <c r="AB25" s="463"/>
      <c r="AC25" s="463"/>
      <c r="AD25" s="463"/>
      <c r="AE25" s="464"/>
      <c r="AF25" s="462"/>
      <c r="AG25" s="463"/>
      <c r="AH25" s="464"/>
    </row>
    <row r="26" spans="1:34" ht="12.75" customHeight="1" outlineLevel="1">
      <c r="A26" s="262"/>
      <c r="B26" s="262"/>
      <c r="C26" s="262"/>
      <c r="E26" s="4054"/>
      <c r="F26" s="194" t="s">
        <v>584</v>
      </c>
      <c r="G26" s="353">
        <f>SUM(G23:G25)</f>
        <v>0</v>
      </c>
      <c r="H26" s="354">
        <f t="shared" ref="H26:V26" si="0">SUM(H23:H25)</f>
        <v>0</v>
      </c>
      <c r="I26" s="354">
        <f t="shared" si="0"/>
        <v>0</v>
      </c>
      <c r="J26" s="354">
        <f t="shared" si="0"/>
        <v>0</v>
      </c>
      <c r="K26" s="450">
        <f t="shared" si="0"/>
        <v>0</v>
      </c>
      <c r="L26" s="353">
        <v>74980.86</v>
      </c>
      <c r="M26" s="354">
        <f t="shared" si="0"/>
        <v>0</v>
      </c>
      <c r="N26" s="354">
        <f t="shared" si="0"/>
        <v>0</v>
      </c>
      <c r="O26" s="354">
        <f t="shared" si="0"/>
        <v>0</v>
      </c>
      <c r="P26" s="354">
        <f t="shared" si="0"/>
        <v>0</v>
      </c>
      <c r="Q26" s="1027">
        <f t="shared" si="0"/>
        <v>0</v>
      </c>
      <c r="R26" s="353">
        <f t="shared" si="0"/>
        <v>0</v>
      </c>
      <c r="S26" s="354">
        <f t="shared" si="0"/>
        <v>0</v>
      </c>
      <c r="T26" s="354">
        <f t="shared" si="0"/>
        <v>0</v>
      </c>
      <c r="U26" s="354">
        <f t="shared" si="0"/>
        <v>0</v>
      </c>
      <c r="V26" s="450">
        <f t="shared" si="0"/>
        <v>0</v>
      </c>
      <c r="W26" s="1030"/>
      <c r="AA26" s="353">
        <f>SUM(AA23:AA25)</f>
        <v>0</v>
      </c>
      <c r="AB26" s="354">
        <f t="shared" ref="AB26:AH26" si="1">SUM(AB23:AB25)</f>
        <v>0</v>
      </c>
      <c r="AC26" s="354">
        <f t="shared" si="1"/>
        <v>0</v>
      </c>
      <c r="AD26" s="354">
        <f t="shared" si="1"/>
        <v>0</v>
      </c>
      <c r="AE26" s="450">
        <f t="shared" si="1"/>
        <v>0</v>
      </c>
      <c r="AF26" s="353">
        <f t="shared" si="1"/>
        <v>0</v>
      </c>
      <c r="AG26" s="354">
        <f t="shared" si="1"/>
        <v>0</v>
      </c>
      <c r="AH26" s="450">
        <f t="shared" si="1"/>
        <v>0</v>
      </c>
    </row>
    <row r="27" spans="1:34" ht="12.75" customHeight="1" outlineLevel="1">
      <c r="A27" s="262"/>
      <c r="B27" s="262"/>
      <c r="C27" s="262"/>
      <c r="E27" s="4054"/>
      <c r="F27" s="191" t="s">
        <v>35</v>
      </c>
      <c r="G27" s="459"/>
      <c r="H27" s="458"/>
      <c r="I27" s="458"/>
      <c r="J27" s="458"/>
      <c r="K27" s="460"/>
      <c r="L27" s="459"/>
      <c r="M27" s="458"/>
      <c r="N27" s="458"/>
      <c r="O27" s="458"/>
      <c r="P27" s="458"/>
      <c r="Q27" s="980"/>
      <c r="R27" s="459"/>
      <c r="S27" s="458"/>
      <c r="T27" s="458"/>
      <c r="U27" s="458"/>
      <c r="V27" s="460"/>
      <c r="W27" s="1030"/>
      <c r="AA27" s="462"/>
      <c r="AB27" s="463"/>
      <c r="AC27" s="463"/>
      <c r="AD27" s="463"/>
      <c r="AE27" s="464"/>
      <c r="AF27" s="462"/>
      <c r="AG27" s="463"/>
      <c r="AH27" s="464"/>
    </row>
    <row r="28" spans="1:34" ht="13.5" customHeight="1" outlineLevel="1" thickBot="1">
      <c r="A28" s="262"/>
      <c r="B28" s="262"/>
      <c r="C28" s="262"/>
      <c r="E28" s="4055"/>
      <c r="F28" s="357" t="s">
        <v>585</v>
      </c>
      <c r="G28" s="1370">
        <f t="shared" ref="G28:V28" si="2">G26-G27</f>
        <v>0</v>
      </c>
      <c r="H28" s="356">
        <f t="shared" si="2"/>
        <v>0</v>
      </c>
      <c r="I28" s="356">
        <f t="shared" si="2"/>
        <v>0</v>
      </c>
      <c r="J28" s="356">
        <f t="shared" si="2"/>
        <v>0</v>
      </c>
      <c r="K28" s="503">
        <f t="shared" si="2"/>
        <v>0</v>
      </c>
      <c r="L28" s="1370">
        <v>74980.86</v>
      </c>
      <c r="M28" s="356">
        <f t="shared" si="2"/>
        <v>0</v>
      </c>
      <c r="N28" s="356">
        <f t="shared" si="2"/>
        <v>0</v>
      </c>
      <c r="O28" s="356">
        <f t="shared" si="2"/>
        <v>0</v>
      </c>
      <c r="P28" s="356">
        <f t="shared" si="2"/>
        <v>0</v>
      </c>
      <c r="Q28" s="1028">
        <f t="shared" si="2"/>
        <v>0</v>
      </c>
      <c r="R28" s="1370">
        <f t="shared" si="2"/>
        <v>0</v>
      </c>
      <c r="S28" s="356">
        <f t="shared" si="2"/>
        <v>0</v>
      </c>
      <c r="T28" s="356">
        <f t="shared" si="2"/>
        <v>0</v>
      </c>
      <c r="U28" s="356">
        <f t="shared" si="2"/>
        <v>0</v>
      </c>
      <c r="V28" s="503">
        <f t="shared" si="2"/>
        <v>0</v>
      </c>
      <c r="W28" s="1031"/>
      <c r="AA28" s="1370">
        <f>AA26-AA27</f>
        <v>0</v>
      </c>
      <c r="AB28" s="356">
        <f>AB26-AB27</f>
        <v>0</v>
      </c>
      <c r="AC28" s="356">
        <f>AC26-AC27</f>
        <v>0</v>
      </c>
      <c r="AD28" s="356">
        <f>AD26-AD27</f>
        <v>0</v>
      </c>
      <c r="AE28" s="503">
        <f>AE26-AE27</f>
        <v>0</v>
      </c>
      <c r="AF28" s="1370">
        <f t="shared" ref="AF28:AH28" si="3">AF26-AF27</f>
        <v>0</v>
      </c>
      <c r="AG28" s="356">
        <f t="shared" si="3"/>
        <v>0</v>
      </c>
      <c r="AH28" s="503">
        <f t="shared" si="3"/>
        <v>0</v>
      </c>
    </row>
    <row r="29" spans="1:34" s="474" customFormat="1" ht="12.75" customHeight="1" outlineLevel="1">
      <c r="A29" s="262"/>
      <c r="B29" s="262"/>
      <c r="C29" s="262"/>
      <c r="D29" s="262"/>
      <c r="E29" s="4053" t="s">
        <v>1449</v>
      </c>
      <c r="F29" s="565" t="s">
        <v>559</v>
      </c>
      <c r="G29" s="374"/>
      <c r="H29" s="375"/>
      <c r="I29" s="375"/>
      <c r="J29" s="375"/>
      <c r="K29" s="1017"/>
      <c r="L29" s="374"/>
      <c r="M29" s="375"/>
      <c r="N29" s="375"/>
      <c r="O29" s="375"/>
      <c r="P29" s="375"/>
      <c r="Q29" s="375"/>
      <c r="R29" s="459"/>
      <c r="S29" s="458"/>
      <c r="T29" s="458"/>
      <c r="U29" s="458"/>
      <c r="V29" s="460"/>
      <c r="W29" s="1029"/>
      <c r="X29" s="1172"/>
      <c r="Y29" s="1172"/>
      <c r="Z29" s="1172"/>
      <c r="AA29" s="374"/>
      <c r="AB29" s="375"/>
      <c r="AC29" s="375"/>
      <c r="AD29" s="375"/>
      <c r="AE29" s="1017"/>
      <c r="AF29" s="374"/>
      <c r="AG29" s="375"/>
      <c r="AH29" s="1017"/>
    </row>
    <row r="30" spans="1:34" s="474" customFormat="1" ht="12.75" customHeight="1" outlineLevel="1">
      <c r="A30" s="262"/>
      <c r="B30" s="262"/>
      <c r="C30" s="262"/>
      <c r="D30" s="262"/>
      <c r="E30" s="4054"/>
      <c r="F30" s="2928" t="s">
        <v>558</v>
      </c>
      <c r="G30" s="374"/>
      <c r="H30" s="375"/>
      <c r="I30" s="375"/>
      <c r="J30" s="375"/>
      <c r="K30" s="1017"/>
      <c r="L30" s="374"/>
      <c r="M30" s="375"/>
      <c r="N30" s="375"/>
      <c r="O30" s="375"/>
      <c r="P30" s="375"/>
      <c r="Q30" s="375"/>
      <c r="R30" s="459"/>
      <c r="S30" s="458"/>
      <c r="T30" s="458"/>
      <c r="U30" s="458"/>
      <c r="V30" s="460"/>
      <c r="W30" s="1030"/>
      <c r="X30" s="1172"/>
      <c r="Y30" s="1172"/>
      <c r="Z30" s="1172"/>
      <c r="AA30" s="374"/>
      <c r="AB30" s="375"/>
      <c r="AC30" s="375"/>
      <c r="AD30" s="375"/>
      <c r="AE30" s="1017"/>
      <c r="AF30" s="374"/>
      <c r="AG30" s="375"/>
      <c r="AH30" s="1017"/>
    </row>
    <row r="31" spans="1:34" s="474" customFormat="1" ht="12.75" customHeight="1" outlineLevel="1">
      <c r="A31" s="262"/>
      <c r="B31" s="262"/>
      <c r="C31" s="262"/>
      <c r="D31" s="262"/>
      <c r="E31" s="4054"/>
      <c r="F31" s="2928" t="s">
        <v>578</v>
      </c>
      <c r="G31" s="374"/>
      <c r="H31" s="375"/>
      <c r="I31" s="375"/>
      <c r="J31" s="375"/>
      <c r="K31" s="1017"/>
      <c r="L31" s="374"/>
      <c r="M31" s="375"/>
      <c r="N31" s="375"/>
      <c r="O31" s="375"/>
      <c r="P31" s="375"/>
      <c r="Q31" s="375"/>
      <c r="R31" s="459"/>
      <c r="S31" s="458"/>
      <c r="T31" s="458"/>
      <c r="U31" s="458"/>
      <c r="V31" s="460"/>
      <c r="W31" s="1030"/>
      <c r="X31" s="1172"/>
      <c r="Y31" s="1172"/>
      <c r="Z31" s="1172"/>
      <c r="AA31" s="374"/>
      <c r="AB31" s="375"/>
      <c r="AC31" s="375"/>
      <c r="AD31" s="375"/>
      <c r="AE31" s="1017"/>
      <c r="AF31" s="374"/>
      <c r="AG31" s="375"/>
      <c r="AH31" s="1017"/>
    </row>
    <row r="32" spans="1:34" s="474" customFormat="1" ht="12.75" customHeight="1" outlineLevel="1">
      <c r="A32" s="262"/>
      <c r="B32" s="262"/>
      <c r="C32" s="262"/>
      <c r="D32" s="262"/>
      <c r="E32" s="4054"/>
      <c r="F32" s="2930" t="s">
        <v>579</v>
      </c>
      <c r="G32" s="459"/>
      <c r="H32" s="458"/>
      <c r="I32" s="458"/>
      <c r="J32" s="458"/>
      <c r="K32" s="460"/>
      <c r="L32" s="429">
        <v>94671.949999999983</v>
      </c>
      <c r="M32" s="476"/>
      <c r="N32" s="476"/>
      <c r="O32" s="476"/>
      <c r="P32" s="477"/>
      <c r="Q32" s="980"/>
      <c r="R32" s="353">
        <f>SUM(R29:R31)</f>
        <v>0</v>
      </c>
      <c r="S32" s="354">
        <f>SUM(S29:S31)</f>
        <v>0</v>
      </c>
      <c r="T32" s="354">
        <f>SUM(T29:T31)</f>
        <v>0</v>
      </c>
      <c r="U32" s="354">
        <f>SUM(U29:U31)</f>
        <v>0</v>
      </c>
      <c r="V32" s="450">
        <f>SUM(V29:V31)</f>
        <v>0</v>
      </c>
      <c r="W32" s="1030"/>
      <c r="X32" s="1172"/>
      <c r="Y32" s="1172"/>
      <c r="Z32" s="1172"/>
      <c r="AA32" s="462"/>
      <c r="AB32" s="463"/>
      <c r="AC32" s="463"/>
      <c r="AD32" s="463"/>
      <c r="AE32" s="464"/>
      <c r="AF32" s="511"/>
      <c r="AG32" s="512"/>
      <c r="AH32" s="547"/>
    </row>
    <row r="33" spans="1:34" s="474" customFormat="1" ht="12.75" customHeight="1" outlineLevel="1">
      <c r="A33" s="262"/>
      <c r="B33" s="262"/>
      <c r="C33" s="262"/>
      <c r="D33" s="262"/>
      <c r="E33" s="4054"/>
      <c r="F33" s="2928" t="s">
        <v>583</v>
      </c>
      <c r="G33" s="459"/>
      <c r="H33" s="458"/>
      <c r="I33" s="458"/>
      <c r="J33" s="458"/>
      <c r="K33" s="460"/>
      <c r="L33" s="429">
        <v>8520.4699999999993</v>
      </c>
      <c r="M33" s="476"/>
      <c r="N33" s="476"/>
      <c r="O33" s="476"/>
      <c r="P33" s="477"/>
      <c r="Q33" s="980"/>
      <c r="R33" s="564"/>
      <c r="S33" s="477"/>
      <c r="T33" s="477"/>
      <c r="U33" s="477"/>
      <c r="V33" s="519"/>
      <c r="W33" s="1030"/>
      <c r="X33" s="1172"/>
      <c r="Y33" s="1172"/>
      <c r="Z33" s="1172"/>
      <c r="AA33" s="462"/>
      <c r="AB33" s="463"/>
      <c r="AC33" s="463"/>
      <c r="AD33" s="463"/>
      <c r="AE33" s="464"/>
      <c r="AF33" s="511"/>
      <c r="AG33" s="512"/>
      <c r="AH33" s="547"/>
    </row>
    <row r="34" spans="1:34" s="474" customFormat="1" ht="12.75" customHeight="1" outlineLevel="1">
      <c r="A34" s="262"/>
      <c r="B34" s="262"/>
      <c r="C34" s="262"/>
      <c r="D34" s="262"/>
      <c r="E34" s="4054"/>
      <c r="F34" s="2928" t="s">
        <v>581</v>
      </c>
      <c r="G34" s="459"/>
      <c r="H34" s="458"/>
      <c r="I34" s="458"/>
      <c r="J34" s="458"/>
      <c r="K34" s="460"/>
      <c r="L34" s="459"/>
      <c r="M34" s="458"/>
      <c r="N34" s="458"/>
      <c r="O34" s="458"/>
      <c r="P34" s="475"/>
      <c r="Q34" s="980"/>
      <c r="R34" s="1034"/>
      <c r="S34" s="475"/>
      <c r="T34" s="475"/>
      <c r="U34" s="475"/>
      <c r="V34" s="518"/>
      <c r="W34" s="1030"/>
      <c r="X34" s="1172"/>
      <c r="Y34" s="1172"/>
      <c r="Z34" s="1172"/>
      <c r="AA34" s="462"/>
      <c r="AB34" s="463"/>
      <c r="AC34" s="463"/>
      <c r="AD34" s="463"/>
      <c r="AE34" s="464"/>
      <c r="AF34" s="462"/>
      <c r="AG34" s="463"/>
      <c r="AH34" s="464"/>
    </row>
    <row r="35" spans="1:34" s="474" customFormat="1" ht="12.75" customHeight="1" outlineLevel="1">
      <c r="A35" s="262"/>
      <c r="B35" s="262"/>
      <c r="C35" s="262"/>
      <c r="D35" s="262"/>
      <c r="E35" s="4054"/>
      <c r="F35" s="2930" t="s">
        <v>584</v>
      </c>
      <c r="G35" s="353">
        <f>SUM(G32:G34)</f>
        <v>0</v>
      </c>
      <c r="H35" s="354">
        <f t="shared" ref="H35:V35" si="4">SUM(H32:H34)</f>
        <v>0</v>
      </c>
      <c r="I35" s="354">
        <f t="shared" si="4"/>
        <v>0</v>
      </c>
      <c r="J35" s="354">
        <f t="shared" si="4"/>
        <v>0</v>
      </c>
      <c r="K35" s="450">
        <f t="shared" si="4"/>
        <v>0</v>
      </c>
      <c r="L35" s="353">
        <v>103192.41999999998</v>
      </c>
      <c r="M35" s="354">
        <f t="shared" si="4"/>
        <v>0</v>
      </c>
      <c r="N35" s="354">
        <f t="shared" si="4"/>
        <v>0</v>
      </c>
      <c r="O35" s="354">
        <f t="shared" si="4"/>
        <v>0</v>
      </c>
      <c r="P35" s="354">
        <f t="shared" si="4"/>
        <v>0</v>
      </c>
      <c r="Q35" s="1027">
        <f t="shared" si="4"/>
        <v>0</v>
      </c>
      <c r="R35" s="353">
        <f t="shared" si="4"/>
        <v>0</v>
      </c>
      <c r="S35" s="354">
        <f t="shared" si="4"/>
        <v>0</v>
      </c>
      <c r="T35" s="354">
        <f t="shared" si="4"/>
        <v>0</v>
      </c>
      <c r="U35" s="354">
        <f t="shared" si="4"/>
        <v>0</v>
      </c>
      <c r="V35" s="450">
        <f t="shared" si="4"/>
        <v>0</v>
      </c>
      <c r="W35" s="1030"/>
      <c r="X35" s="1172"/>
      <c r="Y35" s="1172"/>
      <c r="Z35" s="1172"/>
      <c r="AA35" s="353">
        <f>SUM(AA32:AA34)</f>
        <v>0</v>
      </c>
      <c r="AB35" s="354">
        <f t="shared" ref="AB35:AH35" si="5">SUM(AB32:AB34)</f>
        <v>0</v>
      </c>
      <c r="AC35" s="354">
        <f t="shared" si="5"/>
        <v>0</v>
      </c>
      <c r="AD35" s="354">
        <f t="shared" si="5"/>
        <v>0</v>
      </c>
      <c r="AE35" s="450">
        <f t="shared" si="5"/>
        <v>0</v>
      </c>
      <c r="AF35" s="353">
        <f t="shared" si="5"/>
        <v>0</v>
      </c>
      <c r="AG35" s="354">
        <f t="shared" si="5"/>
        <v>0</v>
      </c>
      <c r="AH35" s="450">
        <f t="shared" si="5"/>
        <v>0</v>
      </c>
    </row>
    <row r="36" spans="1:34" s="474" customFormat="1" ht="12.75" customHeight="1" outlineLevel="1">
      <c r="A36" s="262"/>
      <c r="B36" s="262"/>
      <c r="C36" s="262"/>
      <c r="D36" s="262"/>
      <c r="E36" s="4054"/>
      <c r="F36" s="2928" t="s">
        <v>35</v>
      </c>
      <c r="G36" s="459"/>
      <c r="H36" s="458"/>
      <c r="I36" s="458"/>
      <c r="J36" s="458"/>
      <c r="K36" s="460"/>
      <c r="L36" s="459"/>
      <c r="M36" s="458"/>
      <c r="N36" s="458"/>
      <c r="O36" s="458"/>
      <c r="P36" s="458"/>
      <c r="Q36" s="980"/>
      <c r="R36" s="459"/>
      <c r="S36" s="458"/>
      <c r="T36" s="458"/>
      <c r="U36" s="458"/>
      <c r="V36" s="460"/>
      <c r="W36" s="1030"/>
      <c r="X36" s="1172"/>
      <c r="Y36" s="1172"/>
      <c r="Z36" s="1172"/>
      <c r="AA36" s="462"/>
      <c r="AB36" s="463"/>
      <c r="AC36" s="463"/>
      <c r="AD36" s="463"/>
      <c r="AE36" s="464"/>
      <c r="AF36" s="462"/>
      <c r="AG36" s="463"/>
      <c r="AH36" s="464"/>
    </row>
    <row r="37" spans="1:34" s="474" customFormat="1" ht="13.5" customHeight="1" outlineLevel="1" thickBot="1">
      <c r="A37" s="262"/>
      <c r="B37" s="262"/>
      <c r="C37" s="262"/>
      <c r="D37" s="262"/>
      <c r="E37" s="4055"/>
      <c r="F37" s="357" t="s">
        <v>585</v>
      </c>
      <c r="G37" s="1370">
        <f t="shared" ref="G37:V37" si="6">G35-G36</f>
        <v>0</v>
      </c>
      <c r="H37" s="356">
        <f t="shared" si="6"/>
        <v>0</v>
      </c>
      <c r="I37" s="356">
        <f t="shared" si="6"/>
        <v>0</v>
      </c>
      <c r="J37" s="356">
        <f t="shared" si="6"/>
        <v>0</v>
      </c>
      <c r="K37" s="503">
        <f t="shared" si="6"/>
        <v>0</v>
      </c>
      <c r="L37" s="1370">
        <v>103192.41999999998</v>
      </c>
      <c r="M37" s="356">
        <f t="shared" si="6"/>
        <v>0</v>
      </c>
      <c r="N37" s="356">
        <f t="shared" si="6"/>
        <v>0</v>
      </c>
      <c r="O37" s="356">
        <f t="shared" si="6"/>
        <v>0</v>
      </c>
      <c r="P37" s="356">
        <f t="shared" si="6"/>
        <v>0</v>
      </c>
      <c r="Q37" s="1028">
        <f t="shared" si="6"/>
        <v>0</v>
      </c>
      <c r="R37" s="1370">
        <f t="shared" si="6"/>
        <v>0</v>
      </c>
      <c r="S37" s="356">
        <f t="shared" si="6"/>
        <v>0</v>
      </c>
      <c r="T37" s="356">
        <f t="shared" si="6"/>
        <v>0</v>
      </c>
      <c r="U37" s="356">
        <f t="shared" si="6"/>
        <v>0</v>
      </c>
      <c r="V37" s="503">
        <f t="shared" si="6"/>
        <v>0</v>
      </c>
      <c r="W37" s="1031"/>
      <c r="X37" s="1172"/>
      <c r="Y37" s="1172"/>
      <c r="Z37" s="1172"/>
      <c r="AA37" s="1370">
        <f t="shared" ref="AA37:AH37" si="7">AA35-AA36</f>
        <v>0</v>
      </c>
      <c r="AB37" s="356">
        <f t="shared" si="7"/>
        <v>0</v>
      </c>
      <c r="AC37" s="356">
        <f t="shared" si="7"/>
        <v>0</v>
      </c>
      <c r="AD37" s="356">
        <f t="shared" si="7"/>
        <v>0</v>
      </c>
      <c r="AE37" s="503">
        <f t="shared" si="7"/>
        <v>0</v>
      </c>
      <c r="AF37" s="1370">
        <f t="shared" si="7"/>
        <v>0</v>
      </c>
      <c r="AG37" s="356">
        <f t="shared" si="7"/>
        <v>0</v>
      </c>
      <c r="AH37" s="503">
        <f t="shared" si="7"/>
        <v>0</v>
      </c>
    </row>
    <row r="38" spans="1:34" s="474" customFormat="1" ht="12.75" customHeight="1" outlineLevel="1">
      <c r="A38" s="262"/>
      <c r="B38" s="262"/>
      <c r="C38" s="262"/>
      <c r="D38" s="262"/>
      <c r="E38" s="4053" t="s">
        <v>1450</v>
      </c>
      <c r="F38" s="565" t="s">
        <v>559</v>
      </c>
      <c r="G38" s="374"/>
      <c r="H38" s="375"/>
      <c r="I38" s="375"/>
      <c r="J38" s="375"/>
      <c r="K38" s="1017"/>
      <c r="L38" s="374"/>
      <c r="M38" s="375"/>
      <c r="N38" s="375"/>
      <c r="O38" s="375"/>
      <c r="P38" s="375"/>
      <c r="Q38" s="375"/>
      <c r="R38" s="459"/>
      <c r="S38" s="458"/>
      <c r="T38" s="458"/>
      <c r="U38" s="458"/>
      <c r="V38" s="460"/>
      <c r="W38" s="1029"/>
      <c r="X38" s="1172"/>
      <c r="Y38" s="1172"/>
      <c r="Z38" s="1172"/>
      <c r="AA38" s="374"/>
      <c r="AB38" s="375"/>
      <c r="AC38" s="375"/>
      <c r="AD38" s="375"/>
      <c r="AE38" s="1017"/>
      <c r="AF38" s="374"/>
      <c r="AG38" s="375"/>
      <c r="AH38" s="1017"/>
    </row>
    <row r="39" spans="1:34" s="474" customFormat="1" ht="12.75" customHeight="1" outlineLevel="1">
      <c r="A39" s="262"/>
      <c r="B39" s="262"/>
      <c r="C39" s="262"/>
      <c r="D39" s="262"/>
      <c r="E39" s="4054"/>
      <c r="F39" s="2928" t="s">
        <v>558</v>
      </c>
      <c r="G39" s="374"/>
      <c r="H39" s="375"/>
      <c r="I39" s="375"/>
      <c r="J39" s="375"/>
      <c r="K39" s="1017"/>
      <c r="L39" s="374"/>
      <c r="M39" s="375"/>
      <c r="N39" s="375"/>
      <c r="O39" s="375"/>
      <c r="P39" s="375"/>
      <c r="Q39" s="375"/>
      <c r="R39" s="459"/>
      <c r="S39" s="458"/>
      <c r="T39" s="458"/>
      <c r="U39" s="458"/>
      <c r="V39" s="460"/>
      <c r="W39" s="1030"/>
      <c r="X39" s="1172"/>
      <c r="Y39" s="1172"/>
      <c r="Z39" s="1172"/>
      <c r="AA39" s="374"/>
      <c r="AB39" s="375"/>
      <c r="AC39" s="375"/>
      <c r="AD39" s="375"/>
      <c r="AE39" s="1017"/>
      <c r="AF39" s="374"/>
      <c r="AG39" s="375"/>
      <c r="AH39" s="1017"/>
    </row>
    <row r="40" spans="1:34" s="474" customFormat="1" ht="12.75" customHeight="1" outlineLevel="1">
      <c r="A40" s="262"/>
      <c r="B40" s="262"/>
      <c r="C40" s="262"/>
      <c r="D40" s="262"/>
      <c r="E40" s="4054"/>
      <c r="F40" s="2928" t="s">
        <v>578</v>
      </c>
      <c r="G40" s="374"/>
      <c r="H40" s="375"/>
      <c r="I40" s="375"/>
      <c r="J40" s="375"/>
      <c r="K40" s="1017"/>
      <c r="L40" s="374"/>
      <c r="M40" s="375"/>
      <c r="N40" s="375"/>
      <c r="O40" s="375"/>
      <c r="P40" s="375"/>
      <c r="Q40" s="375"/>
      <c r="R40" s="459"/>
      <c r="S40" s="458"/>
      <c r="T40" s="458"/>
      <c r="U40" s="458"/>
      <c r="V40" s="460"/>
      <c r="W40" s="1030"/>
      <c r="X40" s="1172"/>
      <c r="Y40" s="1172"/>
      <c r="Z40" s="1172"/>
      <c r="AA40" s="374"/>
      <c r="AB40" s="375"/>
      <c r="AC40" s="375"/>
      <c r="AD40" s="375"/>
      <c r="AE40" s="1017"/>
      <c r="AF40" s="374"/>
      <c r="AG40" s="375"/>
      <c r="AH40" s="1017"/>
    </row>
    <row r="41" spans="1:34" s="474" customFormat="1" ht="12.75" customHeight="1" outlineLevel="1">
      <c r="A41" s="262"/>
      <c r="B41" s="262"/>
      <c r="C41" s="262"/>
      <c r="D41" s="262"/>
      <c r="E41" s="4054"/>
      <c r="F41" s="2930" t="s">
        <v>579</v>
      </c>
      <c r="G41" s="459"/>
      <c r="H41" s="458"/>
      <c r="I41" s="458"/>
      <c r="J41" s="458"/>
      <c r="K41" s="460"/>
      <c r="L41" s="429"/>
      <c r="M41" s="476">
        <v>1582188.3500000003</v>
      </c>
      <c r="N41" s="476"/>
      <c r="O41" s="476"/>
      <c r="P41" s="477"/>
      <c r="Q41" s="980"/>
      <c r="R41" s="353">
        <f>SUM(R38:R40)</f>
        <v>0</v>
      </c>
      <c r="S41" s="354">
        <f>SUM(S38:S40)</f>
        <v>0</v>
      </c>
      <c r="T41" s="354">
        <f>SUM(T38:T40)</f>
        <v>0</v>
      </c>
      <c r="U41" s="354">
        <f>SUM(U38:U40)</f>
        <v>0</v>
      </c>
      <c r="V41" s="450">
        <f>SUM(V38:V40)</f>
        <v>0</v>
      </c>
      <c r="W41" s="1030"/>
      <c r="X41" s="1172"/>
      <c r="Y41" s="1172"/>
      <c r="Z41" s="1172"/>
      <c r="AA41" s="462"/>
      <c r="AB41" s="463"/>
      <c r="AC41" s="463"/>
      <c r="AD41" s="463"/>
      <c r="AE41" s="464"/>
      <c r="AF41" s="511"/>
      <c r="AG41" s="512"/>
      <c r="AH41" s="547"/>
    </row>
    <row r="42" spans="1:34" s="474" customFormat="1" ht="12.75" customHeight="1" outlineLevel="1">
      <c r="A42" s="262"/>
      <c r="B42" s="262"/>
      <c r="C42" s="262"/>
      <c r="D42" s="262"/>
      <c r="E42" s="4054"/>
      <c r="F42" s="2928" t="s">
        <v>583</v>
      </c>
      <c r="G42" s="459"/>
      <c r="H42" s="458"/>
      <c r="I42" s="458"/>
      <c r="J42" s="458"/>
      <c r="K42" s="460"/>
      <c r="L42" s="429"/>
      <c r="M42" s="476">
        <v>142396.96</v>
      </c>
      <c r="N42" s="476"/>
      <c r="O42" s="476"/>
      <c r="P42" s="477"/>
      <c r="Q42" s="980"/>
      <c r="R42" s="564"/>
      <c r="S42" s="477"/>
      <c r="T42" s="477"/>
      <c r="U42" s="477"/>
      <c r="V42" s="519"/>
      <c r="W42" s="1030"/>
      <c r="X42" s="1172"/>
      <c r="Y42" s="1172"/>
      <c r="Z42" s="1172"/>
      <c r="AA42" s="462"/>
      <c r="AB42" s="463"/>
      <c r="AC42" s="463"/>
      <c r="AD42" s="463"/>
      <c r="AE42" s="464"/>
      <c r="AF42" s="511"/>
      <c r="AG42" s="512"/>
      <c r="AH42" s="547"/>
    </row>
    <row r="43" spans="1:34" s="474" customFormat="1" ht="12.75" customHeight="1" outlineLevel="1">
      <c r="A43" s="262"/>
      <c r="B43" s="262"/>
      <c r="C43" s="262"/>
      <c r="D43" s="262"/>
      <c r="E43" s="4054"/>
      <c r="F43" s="2928" t="s">
        <v>581</v>
      </c>
      <c r="G43" s="459"/>
      <c r="H43" s="458"/>
      <c r="I43" s="458"/>
      <c r="J43" s="458"/>
      <c r="K43" s="460"/>
      <c r="L43" s="459"/>
      <c r="M43" s="458"/>
      <c r="N43" s="458"/>
      <c r="O43" s="458"/>
      <c r="P43" s="475"/>
      <c r="Q43" s="980"/>
      <c r="R43" s="1034"/>
      <c r="S43" s="475"/>
      <c r="T43" s="475"/>
      <c r="U43" s="475"/>
      <c r="V43" s="518"/>
      <c r="W43" s="1030"/>
      <c r="X43" s="1172"/>
      <c r="Y43" s="1172"/>
      <c r="Z43" s="1172"/>
      <c r="AA43" s="462"/>
      <c r="AB43" s="463"/>
      <c r="AC43" s="463"/>
      <c r="AD43" s="463"/>
      <c r="AE43" s="464"/>
      <c r="AF43" s="462"/>
      <c r="AG43" s="463"/>
      <c r="AH43" s="464"/>
    </row>
    <row r="44" spans="1:34" s="474" customFormat="1" ht="12.75" customHeight="1" outlineLevel="1">
      <c r="A44" s="262"/>
      <c r="B44" s="262"/>
      <c r="C44" s="262"/>
      <c r="D44" s="262"/>
      <c r="E44" s="4054"/>
      <c r="F44" s="2930" t="s">
        <v>584</v>
      </c>
      <c r="G44" s="353">
        <f>SUM(G41:G43)</f>
        <v>0</v>
      </c>
      <c r="H44" s="354">
        <f t="shared" ref="H44:V44" si="8">SUM(H41:H43)</f>
        <v>0</v>
      </c>
      <c r="I44" s="354">
        <f t="shared" si="8"/>
        <v>0</v>
      </c>
      <c r="J44" s="354">
        <f t="shared" si="8"/>
        <v>0</v>
      </c>
      <c r="K44" s="450">
        <f t="shared" si="8"/>
        <v>0</v>
      </c>
      <c r="L44" s="353">
        <f t="shared" si="8"/>
        <v>0</v>
      </c>
      <c r="M44" s="354">
        <v>1724585.3100000003</v>
      </c>
      <c r="N44" s="354">
        <f t="shared" si="8"/>
        <v>0</v>
      </c>
      <c r="O44" s="354">
        <f t="shared" si="8"/>
        <v>0</v>
      </c>
      <c r="P44" s="354">
        <f t="shared" si="8"/>
        <v>0</v>
      </c>
      <c r="Q44" s="1027">
        <f t="shared" si="8"/>
        <v>0</v>
      </c>
      <c r="R44" s="353">
        <f t="shared" si="8"/>
        <v>0</v>
      </c>
      <c r="S44" s="354">
        <f t="shared" si="8"/>
        <v>0</v>
      </c>
      <c r="T44" s="354">
        <f t="shared" si="8"/>
        <v>0</v>
      </c>
      <c r="U44" s="354">
        <f t="shared" si="8"/>
        <v>0</v>
      </c>
      <c r="V44" s="450">
        <f t="shared" si="8"/>
        <v>0</v>
      </c>
      <c r="W44" s="1030"/>
      <c r="X44" s="1172"/>
      <c r="Y44" s="1172"/>
      <c r="Z44" s="1172"/>
      <c r="AA44" s="353">
        <f>SUM(AA41:AA43)</f>
        <v>0</v>
      </c>
      <c r="AB44" s="354">
        <f t="shared" ref="AB44:AH44" si="9">SUM(AB41:AB43)</f>
        <v>0</v>
      </c>
      <c r="AC44" s="354">
        <f t="shared" si="9"/>
        <v>0</v>
      </c>
      <c r="AD44" s="354">
        <f t="shared" si="9"/>
        <v>0</v>
      </c>
      <c r="AE44" s="450">
        <f t="shared" si="9"/>
        <v>0</v>
      </c>
      <c r="AF44" s="353">
        <f t="shared" si="9"/>
        <v>0</v>
      </c>
      <c r="AG44" s="354">
        <f t="shared" si="9"/>
        <v>0</v>
      </c>
      <c r="AH44" s="450">
        <f t="shared" si="9"/>
        <v>0</v>
      </c>
    </row>
    <row r="45" spans="1:34" s="474" customFormat="1" ht="12.75" customHeight="1" outlineLevel="1">
      <c r="A45" s="262"/>
      <c r="B45" s="262"/>
      <c r="C45" s="262"/>
      <c r="D45" s="262"/>
      <c r="E45" s="4054"/>
      <c r="F45" s="2928" t="s">
        <v>35</v>
      </c>
      <c r="G45" s="459"/>
      <c r="H45" s="458"/>
      <c r="I45" s="458"/>
      <c r="J45" s="458"/>
      <c r="K45" s="460"/>
      <c r="L45" s="459"/>
      <c r="M45" s="458"/>
      <c r="N45" s="458"/>
      <c r="O45" s="458"/>
      <c r="P45" s="458"/>
      <c r="Q45" s="980"/>
      <c r="R45" s="459"/>
      <c r="S45" s="458"/>
      <c r="T45" s="458"/>
      <c r="U45" s="458"/>
      <c r="V45" s="460"/>
      <c r="W45" s="1030"/>
      <c r="X45" s="1172"/>
      <c r="Y45" s="1172"/>
      <c r="Z45" s="1172"/>
      <c r="AA45" s="462"/>
      <c r="AB45" s="463"/>
      <c r="AC45" s="463"/>
      <c r="AD45" s="463"/>
      <c r="AE45" s="464"/>
      <c r="AF45" s="462"/>
      <c r="AG45" s="463"/>
      <c r="AH45" s="464"/>
    </row>
    <row r="46" spans="1:34" s="474" customFormat="1" ht="13.5" customHeight="1" outlineLevel="1" thickBot="1">
      <c r="A46" s="262"/>
      <c r="B46" s="262"/>
      <c r="C46" s="262"/>
      <c r="D46" s="262"/>
      <c r="E46" s="4055"/>
      <c r="F46" s="357" t="s">
        <v>585</v>
      </c>
      <c r="G46" s="1370">
        <f t="shared" ref="G46:V46" si="10">G44-G45</f>
        <v>0</v>
      </c>
      <c r="H46" s="356">
        <f t="shared" si="10"/>
        <v>0</v>
      </c>
      <c r="I46" s="356">
        <f t="shared" si="10"/>
        <v>0</v>
      </c>
      <c r="J46" s="356">
        <f t="shared" si="10"/>
        <v>0</v>
      </c>
      <c r="K46" s="503">
        <f t="shared" si="10"/>
        <v>0</v>
      </c>
      <c r="L46" s="1370">
        <f t="shared" si="10"/>
        <v>0</v>
      </c>
      <c r="M46" s="356">
        <v>1724585.3100000003</v>
      </c>
      <c r="N46" s="356">
        <f t="shared" si="10"/>
        <v>0</v>
      </c>
      <c r="O46" s="356">
        <f t="shared" si="10"/>
        <v>0</v>
      </c>
      <c r="P46" s="356">
        <f t="shared" si="10"/>
        <v>0</v>
      </c>
      <c r="Q46" s="1028">
        <f t="shared" si="10"/>
        <v>0</v>
      </c>
      <c r="R46" s="1370">
        <f t="shared" si="10"/>
        <v>0</v>
      </c>
      <c r="S46" s="356">
        <f t="shared" si="10"/>
        <v>0</v>
      </c>
      <c r="T46" s="356">
        <f t="shared" si="10"/>
        <v>0</v>
      </c>
      <c r="U46" s="356">
        <f t="shared" si="10"/>
        <v>0</v>
      </c>
      <c r="V46" s="503">
        <f t="shared" si="10"/>
        <v>0</v>
      </c>
      <c r="W46" s="1031"/>
      <c r="X46" s="1172"/>
      <c r="Y46" s="1172"/>
      <c r="Z46" s="1172"/>
      <c r="AA46" s="1370">
        <f t="shared" ref="AA46:AH46" si="11">AA44-AA45</f>
        <v>0</v>
      </c>
      <c r="AB46" s="356">
        <f t="shared" si="11"/>
        <v>0</v>
      </c>
      <c r="AC46" s="356">
        <f t="shared" si="11"/>
        <v>0</v>
      </c>
      <c r="AD46" s="356">
        <f t="shared" si="11"/>
        <v>0</v>
      </c>
      <c r="AE46" s="503">
        <f t="shared" si="11"/>
        <v>0</v>
      </c>
      <c r="AF46" s="1370">
        <f t="shared" si="11"/>
        <v>0</v>
      </c>
      <c r="AG46" s="356">
        <f t="shared" si="11"/>
        <v>0</v>
      </c>
      <c r="AH46" s="503">
        <f t="shared" si="11"/>
        <v>0</v>
      </c>
    </row>
    <row r="47" spans="1:34" s="474" customFormat="1" ht="18" customHeight="1" outlineLevel="1">
      <c r="A47" s="262"/>
      <c r="B47" s="262"/>
      <c r="C47" s="262"/>
      <c r="D47" s="262"/>
      <c r="E47" s="4053" t="s">
        <v>1451</v>
      </c>
      <c r="F47" s="565" t="s">
        <v>559</v>
      </c>
      <c r="G47" s="374"/>
      <c r="H47" s="375"/>
      <c r="I47" s="375"/>
      <c r="J47" s="375"/>
      <c r="K47" s="1017"/>
      <c r="L47" s="374"/>
      <c r="M47" s="375"/>
      <c r="N47" s="375"/>
      <c r="O47" s="375"/>
      <c r="P47" s="375"/>
      <c r="Q47" s="375"/>
      <c r="R47" s="459"/>
      <c r="S47" s="458"/>
      <c r="T47" s="458"/>
      <c r="U47" s="458"/>
      <c r="V47" s="460"/>
      <c r="W47" s="1029"/>
      <c r="X47" s="1172"/>
      <c r="Y47" s="1172"/>
      <c r="Z47" s="1172"/>
      <c r="AA47" s="378"/>
      <c r="AB47" s="379"/>
      <c r="AC47" s="379"/>
      <c r="AD47" s="379"/>
      <c r="AE47" s="381"/>
      <c r="AF47" s="378"/>
      <c r="AG47" s="379"/>
      <c r="AH47" s="381"/>
    </row>
    <row r="48" spans="1:34" s="474" customFormat="1" ht="12.75" customHeight="1" outlineLevel="1">
      <c r="A48" s="262"/>
      <c r="B48" s="262"/>
      <c r="C48" s="262"/>
      <c r="D48" s="262"/>
      <c r="E48" s="4054"/>
      <c r="F48" s="2928" t="s">
        <v>558</v>
      </c>
      <c r="G48" s="374"/>
      <c r="H48" s="375"/>
      <c r="I48" s="375"/>
      <c r="J48" s="375"/>
      <c r="K48" s="1017"/>
      <c r="L48" s="374"/>
      <c r="M48" s="375"/>
      <c r="N48" s="375"/>
      <c r="O48" s="375"/>
      <c r="P48" s="375"/>
      <c r="Q48" s="375"/>
      <c r="R48" s="459"/>
      <c r="S48" s="458"/>
      <c r="T48" s="458"/>
      <c r="U48" s="458"/>
      <c r="V48" s="460"/>
      <c r="W48" s="1030"/>
      <c r="X48" s="1172"/>
      <c r="Y48" s="1172"/>
      <c r="Z48" s="1172"/>
      <c r="AA48" s="374"/>
      <c r="AB48" s="375"/>
      <c r="AC48" s="375"/>
      <c r="AD48" s="375"/>
      <c r="AE48" s="1017"/>
      <c r="AF48" s="374"/>
      <c r="AG48" s="375"/>
      <c r="AH48" s="1017"/>
    </row>
    <row r="49" spans="1:34" s="474" customFormat="1" ht="12.75" customHeight="1" outlineLevel="1">
      <c r="A49" s="262"/>
      <c r="B49" s="262"/>
      <c r="C49" s="262"/>
      <c r="D49" s="262"/>
      <c r="E49" s="4054"/>
      <c r="F49" s="2928" t="s">
        <v>578</v>
      </c>
      <c r="G49" s="374"/>
      <c r="H49" s="375"/>
      <c r="I49" s="375"/>
      <c r="J49" s="375"/>
      <c r="K49" s="1017"/>
      <c r="L49" s="374"/>
      <c r="M49" s="375"/>
      <c r="N49" s="375"/>
      <c r="O49" s="375"/>
      <c r="P49" s="375"/>
      <c r="Q49" s="375"/>
      <c r="R49" s="459"/>
      <c r="S49" s="458"/>
      <c r="T49" s="458"/>
      <c r="U49" s="458"/>
      <c r="V49" s="460"/>
      <c r="W49" s="1030"/>
      <c r="X49" s="1172"/>
      <c r="Y49" s="1172"/>
      <c r="Z49" s="1172"/>
      <c r="AA49" s="374"/>
      <c r="AB49" s="375"/>
      <c r="AC49" s="375"/>
      <c r="AD49" s="375"/>
      <c r="AE49" s="1017"/>
      <c r="AF49" s="374"/>
      <c r="AG49" s="375"/>
      <c r="AH49" s="1017"/>
    </row>
    <row r="50" spans="1:34" s="474" customFormat="1" ht="12.75" customHeight="1" outlineLevel="1">
      <c r="A50" s="262"/>
      <c r="B50" s="262"/>
      <c r="C50" s="262"/>
      <c r="D50" s="262"/>
      <c r="E50" s="4054"/>
      <c r="F50" s="2930" t="s">
        <v>579</v>
      </c>
      <c r="G50" s="459"/>
      <c r="H50" s="458"/>
      <c r="I50" s="458"/>
      <c r="J50" s="458"/>
      <c r="K50" s="460"/>
      <c r="L50" s="429"/>
      <c r="M50" s="476">
        <v>116016.95000000004</v>
      </c>
      <c r="N50" s="476"/>
      <c r="O50" s="476"/>
      <c r="P50" s="477"/>
      <c r="Q50" s="980"/>
      <c r="R50" s="353">
        <f>SUM(R47:R49)</f>
        <v>0</v>
      </c>
      <c r="S50" s="354">
        <f>SUM(S47:S49)</f>
        <v>0</v>
      </c>
      <c r="T50" s="354">
        <f>SUM(T47:T49)</f>
        <v>0</v>
      </c>
      <c r="U50" s="354">
        <f>SUM(U47:U49)</f>
        <v>0</v>
      </c>
      <c r="V50" s="450">
        <f>SUM(V47:V49)</f>
        <v>0</v>
      </c>
      <c r="W50" s="1030"/>
      <c r="X50" s="1172"/>
      <c r="Y50" s="1172"/>
      <c r="Z50" s="1172"/>
      <c r="AA50" s="462"/>
      <c r="AB50" s="463"/>
      <c r="AC50" s="463"/>
      <c r="AD50" s="463"/>
      <c r="AE50" s="464"/>
      <c r="AF50" s="511"/>
      <c r="AG50" s="512"/>
      <c r="AH50" s="547"/>
    </row>
    <row r="51" spans="1:34" s="474" customFormat="1" ht="12.75" customHeight="1" outlineLevel="1">
      <c r="A51" s="262"/>
      <c r="B51" s="262"/>
      <c r="C51" s="262"/>
      <c r="D51" s="262"/>
      <c r="E51" s="4054"/>
      <c r="F51" s="2928" t="s">
        <v>583</v>
      </c>
      <c r="G51" s="459"/>
      <c r="H51" s="458"/>
      <c r="I51" s="458"/>
      <c r="J51" s="458"/>
      <c r="K51" s="460"/>
      <c r="L51" s="429"/>
      <c r="M51" s="476">
        <v>10441.51</v>
      </c>
      <c r="N51" s="476"/>
      <c r="O51" s="476"/>
      <c r="P51" s="477"/>
      <c r="Q51" s="980"/>
      <c r="R51" s="564"/>
      <c r="S51" s="477"/>
      <c r="T51" s="477"/>
      <c r="U51" s="477"/>
      <c r="V51" s="519"/>
      <c r="W51" s="1030"/>
      <c r="X51" s="1172"/>
      <c r="Y51" s="1172"/>
      <c r="Z51" s="1172"/>
      <c r="AA51" s="462"/>
      <c r="AB51" s="463"/>
      <c r="AC51" s="463"/>
      <c r="AD51" s="463"/>
      <c r="AE51" s="464"/>
      <c r="AF51" s="511"/>
      <c r="AG51" s="512"/>
      <c r="AH51" s="547"/>
    </row>
    <row r="52" spans="1:34" s="474" customFormat="1" ht="12.75" customHeight="1" outlineLevel="1">
      <c r="A52" s="262"/>
      <c r="B52" s="262"/>
      <c r="C52" s="262"/>
      <c r="D52" s="262"/>
      <c r="E52" s="4054"/>
      <c r="F52" s="2928" t="s">
        <v>581</v>
      </c>
      <c r="G52" s="459"/>
      <c r="H52" s="458"/>
      <c r="I52" s="458"/>
      <c r="J52" s="458"/>
      <c r="K52" s="460"/>
      <c r="L52" s="459"/>
      <c r="M52" s="458"/>
      <c r="N52" s="458"/>
      <c r="O52" s="458"/>
      <c r="P52" s="475"/>
      <c r="Q52" s="980"/>
      <c r="R52" s="1034"/>
      <c r="S52" s="475"/>
      <c r="T52" s="475"/>
      <c r="U52" s="475"/>
      <c r="V52" s="518"/>
      <c r="W52" s="1030"/>
      <c r="X52" s="1172"/>
      <c r="Y52" s="1172"/>
      <c r="Z52" s="1172"/>
      <c r="AA52" s="462"/>
      <c r="AB52" s="463"/>
      <c r="AC52" s="463"/>
      <c r="AD52" s="463"/>
      <c r="AE52" s="464"/>
      <c r="AF52" s="462"/>
      <c r="AG52" s="463"/>
      <c r="AH52" s="464"/>
    </row>
    <row r="53" spans="1:34" s="474" customFormat="1" ht="12.75" customHeight="1" outlineLevel="1">
      <c r="A53" s="262"/>
      <c r="B53" s="262"/>
      <c r="C53" s="262"/>
      <c r="D53" s="262"/>
      <c r="E53" s="4054"/>
      <c r="F53" s="2930" t="s">
        <v>584</v>
      </c>
      <c r="G53" s="353">
        <f>SUM(G50:G52)</f>
        <v>0</v>
      </c>
      <c r="H53" s="354">
        <f t="shared" ref="H53:V53" si="12">SUM(H50:H52)</f>
        <v>0</v>
      </c>
      <c r="I53" s="354">
        <f t="shared" si="12"/>
        <v>0</v>
      </c>
      <c r="J53" s="354">
        <f t="shared" si="12"/>
        <v>0</v>
      </c>
      <c r="K53" s="450">
        <f t="shared" si="12"/>
        <v>0</v>
      </c>
      <c r="L53" s="353">
        <f t="shared" si="12"/>
        <v>0</v>
      </c>
      <c r="M53" s="354">
        <v>126458.46000000004</v>
      </c>
      <c r="N53" s="354">
        <f t="shared" si="12"/>
        <v>0</v>
      </c>
      <c r="O53" s="354">
        <f t="shared" si="12"/>
        <v>0</v>
      </c>
      <c r="P53" s="354">
        <f t="shared" si="12"/>
        <v>0</v>
      </c>
      <c r="Q53" s="1027">
        <f t="shared" si="12"/>
        <v>0</v>
      </c>
      <c r="R53" s="353">
        <f t="shared" si="12"/>
        <v>0</v>
      </c>
      <c r="S53" s="354">
        <f t="shared" si="12"/>
        <v>0</v>
      </c>
      <c r="T53" s="354">
        <f t="shared" si="12"/>
        <v>0</v>
      </c>
      <c r="U53" s="354">
        <f t="shared" si="12"/>
        <v>0</v>
      </c>
      <c r="V53" s="450">
        <f t="shared" si="12"/>
        <v>0</v>
      </c>
      <c r="W53" s="1030"/>
      <c r="X53" s="1172"/>
      <c r="Y53" s="1172"/>
      <c r="Z53" s="1172"/>
      <c r="AA53" s="353">
        <f>SUM(AA50:AA52)</f>
        <v>0</v>
      </c>
      <c r="AB53" s="354">
        <f t="shared" ref="AB53:AH53" si="13">SUM(AB50:AB52)</f>
        <v>0</v>
      </c>
      <c r="AC53" s="354">
        <f t="shared" si="13"/>
        <v>0</v>
      </c>
      <c r="AD53" s="354">
        <f t="shared" si="13"/>
        <v>0</v>
      </c>
      <c r="AE53" s="450">
        <f t="shared" si="13"/>
        <v>0</v>
      </c>
      <c r="AF53" s="353">
        <f t="shared" si="13"/>
        <v>0</v>
      </c>
      <c r="AG53" s="354">
        <f t="shared" si="13"/>
        <v>0</v>
      </c>
      <c r="AH53" s="450">
        <f t="shared" si="13"/>
        <v>0</v>
      </c>
    </row>
    <row r="54" spans="1:34" s="474" customFormat="1" ht="12.75" customHeight="1" outlineLevel="1">
      <c r="A54" s="262"/>
      <c r="B54" s="262"/>
      <c r="C54" s="262"/>
      <c r="D54" s="262"/>
      <c r="E54" s="4054"/>
      <c r="F54" s="2928" t="s">
        <v>35</v>
      </c>
      <c r="G54" s="459"/>
      <c r="H54" s="458"/>
      <c r="I54" s="458"/>
      <c r="J54" s="458"/>
      <c r="K54" s="460"/>
      <c r="L54" s="459"/>
      <c r="M54" s="458"/>
      <c r="N54" s="458"/>
      <c r="O54" s="458"/>
      <c r="P54" s="458"/>
      <c r="Q54" s="980"/>
      <c r="R54" s="459"/>
      <c r="S54" s="458"/>
      <c r="T54" s="458"/>
      <c r="U54" s="458"/>
      <c r="V54" s="460"/>
      <c r="W54" s="1030"/>
      <c r="X54" s="1172"/>
      <c r="Y54" s="1172"/>
      <c r="Z54" s="1172"/>
      <c r="AA54" s="462"/>
      <c r="AB54" s="463"/>
      <c r="AC54" s="463"/>
      <c r="AD54" s="463"/>
      <c r="AE54" s="464"/>
      <c r="AF54" s="462"/>
      <c r="AG54" s="463"/>
      <c r="AH54" s="464"/>
    </row>
    <row r="55" spans="1:34" s="474" customFormat="1" ht="13.5" customHeight="1" outlineLevel="1" thickBot="1">
      <c r="A55" s="262"/>
      <c r="B55" s="262"/>
      <c r="C55" s="262"/>
      <c r="D55" s="262"/>
      <c r="E55" s="4055"/>
      <c r="F55" s="357" t="s">
        <v>585</v>
      </c>
      <c r="G55" s="1370">
        <f t="shared" ref="G55:V55" si="14">G53-G54</f>
        <v>0</v>
      </c>
      <c r="H55" s="356">
        <f t="shared" si="14"/>
        <v>0</v>
      </c>
      <c r="I55" s="356">
        <f t="shared" si="14"/>
        <v>0</v>
      </c>
      <c r="J55" s="356">
        <f t="shared" si="14"/>
        <v>0</v>
      </c>
      <c r="K55" s="503">
        <f t="shared" si="14"/>
        <v>0</v>
      </c>
      <c r="L55" s="1370">
        <f t="shared" si="14"/>
        <v>0</v>
      </c>
      <c r="M55" s="356">
        <v>126458.46000000004</v>
      </c>
      <c r="N55" s="356">
        <f t="shared" si="14"/>
        <v>0</v>
      </c>
      <c r="O55" s="356">
        <f t="shared" si="14"/>
        <v>0</v>
      </c>
      <c r="P55" s="356">
        <f t="shared" si="14"/>
        <v>0</v>
      </c>
      <c r="Q55" s="1028">
        <f t="shared" si="14"/>
        <v>0</v>
      </c>
      <c r="R55" s="1370">
        <f t="shared" si="14"/>
        <v>0</v>
      </c>
      <c r="S55" s="356">
        <f t="shared" si="14"/>
        <v>0</v>
      </c>
      <c r="T55" s="356">
        <f t="shared" si="14"/>
        <v>0</v>
      </c>
      <c r="U55" s="356">
        <f t="shared" si="14"/>
        <v>0</v>
      </c>
      <c r="V55" s="503">
        <f t="shared" si="14"/>
        <v>0</v>
      </c>
      <c r="W55" s="1031"/>
      <c r="X55" s="1172"/>
      <c r="Y55" s="1172"/>
      <c r="Z55" s="1172"/>
      <c r="AA55" s="1370">
        <f>AA53-AA54</f>
        <v>0</v>
      </c>
      <c r="AB55" s="356">
        <f>AB53-AB54</f>
        <v>0</v>
      </c>
      <c r="AC55" s="356">
        <f>AC53-AC54</f>
        <v>0</v>
      </c>
      <c r="AD55" s="356">
        <f>AD53-AD54</f>
        <v>0</v>
      </c>
      <c r="AE55" s="503">
        <f>AE53-AE54</f>
        <v>0</v>
      </c>
      <c r="AF55" s="1370">
        <f t="shared" ref="AF55:AH55" si="15">AF53-AF54</f>
        <v>0</v>
      </c>
      <c r="AG55" s="356">
        <f t="shared" si="15"/>
        <v>0</v>
      </c>
      <c r="AH55" s="503">
        <f t="shared" si="15"/>
        <v>0</v>
      </c>
    </row>
    <row r="56" spans="1:34" s="474" customFormat="1" ht="12.75" customHeight="1" outlineLevel="1">
      <c r="A56" s="262"/>
      <c r="B56" s="262"/>
      <c r="C56" s="262"/>
      <c r="D56" s="262"/>
      <c r="E56" s="4053" t="s">
        <v>1452</v>
      </c>
      <c r="F56" s="565" t="s">
        <v>559</v>
      </c>
      <c r="G56" s="374"/>
      <c r="H56" s="375"/>
      <c r="I56" s="375"/>
      <c r="J56" s="375"/>
      <c r="K56" s="1017"/>
      <c r="L56" s="374"/>
      <c r="M56" s="375"/>
      <c r="N56" s="375"/>
      <c r="O56" s="375"/>
      <c r="P56" s="375"/>
      <c r="Q56" s="375"/>
      <c r="R56" s="459"/>
      <c r="S56" s="458"/>
      <c r="T56" s="458"/>
      <c r="U56" s="458"/>
      <c r="V56" s="460"/>
      <c r="W56" s="1029"/>
      <c r="X56" s="1172"/>
      <c r="Y56" s="1172"/>
      <c r="Z56" s="1172"/>
      <c r="AA56" s="374"/>
      <c r="AB56" s="375"/>
      <c r="AC56" s="375"/>
      <c r="AD56" s="375"/>
      <c r="AE56" s="1017"/>
      <c r="AF56" s="374"/>
      <c r="AG56" s="375"/>
      <c r="AH56" s="1017"/>
    </row>
    <row r="57" spans="1:34" s="474" customFormat="1" ht="12.75" customHeight="1" outlineLevel="1">
      <c r="A57" s="262"/>
      <c r="B57" s="262"/>
      <c r="C57" s="262"/>
      <c r="D57" s="262"/>
      <c r="E57" s="4054"/>
      <c r="F57" s="2928" t="s">
        <v>558</v>
      </c>
      <c r="G57" s="374"/>
      <c r="H57" s="375"/>
      <c r="I57" s="375"/>
      <c r="J57" s="375"/>
      <c r="K57" s="1017"/>
      <c r="L57" s="374"/>
      <c r="M57" s="375"/>
      <c r="N57" s="375"/>
      <c r="O57" s="375"/>
      <c r="P57" s="375"/>
      <c r="Q57" s="375"/>
      <c r="R57" s="459"/>
      <c r="S57" s="458"/>
      <c r="T57" s="458"/>
      <c r="U57" s="458"/>
      <c r="V57" s="460"/>
      <c r="W57" s="1030"/>
      <c r="X57" s="1172"/>
      <c r="Y57" s="1172"/>
      <c r="Z57" s="1172"/>
      <c r="AA57" s="374"/>
      <c r="AB57" s="375"/>
      <c r="AC57" s="375"/>
      <c r="AD57" s="375"/>
      <c r="AE57" s="1017"/>
      <c r="AF57" s="374"/>
      <c r="AG57" s="375"/>
      <c r="AH57" s="1017"/>
    </row>
    <row r="58" spans="1:34" s="474" customFormat="1" ht="12.75" customHeight="1" outlineLevel="1">
      <c r="A58" s="262"/>
      <c r="B58" s="262"/>
      <c r="C58" s="262"/>
      <c r="D58" s="262"/>
      <c r="E58" s="4054"/>
      <c r="F58" s="2928" t="s">
        <v>578</v>
      </c>
      <c r="G58" s="374"/>
      <c r="H58" s="375"/>
      <c r="I58" s="375"/>
      <c r="J58" s="375"/>
      <c r="K58" s="1017"/>
      <c r="L58" s="374"/>
      <c r="M58" s="375"/>
      <c r="N58" s="375"/>
      <c r="O58" s="375"/>
      <c r="P58" s="375"/>
      <c r="Q58" s="375"/>
      <c r="R58" s="459"/>
      <c r="S58" s="458"/>
      <c r="T58" s="458"/>
      <c r="U58" s="458"/>
      <c r="V58" s="460"/>
      <c r="W58" s="1030"/>
      <c r="X58" s="1172"/>
      <c r="Y58" s="1172"/>
      <c r="Z58" s="1172"/>
      <c r="AA58" s="374"/>
      <c r="AB58" s="375"/>
      <c r="AC58" s="375"/>
      <c r="AD58" s="375"/>
      <c r="AE58" s="1017"/>
      <c r="AF58" s="374"/>
      <c r="AG58" s="375"/>
      <c r="AH58" s="1017"/>
    </row>
    <row r="59" spans="1:34" s="474" customFormat="1" ht="12.75" customHeight="1" outlineLevel="1">
      <c r="A59" s="262"/>
      <c r="B59" s="262"/>
      <c r="C59" s="262"/>
      <c r="D59" s="262"/>
      <c r="E59" s="4054"/>
      <c r="F59" s="2930" t="s">
        <v>579</v>
      </c>
      <c r="G59" s="459"/>
      <c r="H59" s="458"/>
      <c r="I59" s="458"/>
      <c r="J59" s="458"/>
      <c r="K59" s="460"/>
      <c r="L59" s="429"/>
      <c r="M59" s="476"/>
      <c r="N59" s="476">
        <v>317795.17</v>
      </c>
      <c r="O59" s="476"/>
      <c r="P59" s="477"/>
      <c r="Q59" s="980"/>
      <c r="R59" s="353">
        <f>SUM(R56:R58)</f>
        <v>0</v>
      </c>
      <c r="S59" s="354">
        <f>SUM(S56:S58)</f>
        <v>0</v>
      </c>
      <c r="T59" s="354">
        <f>SUM(T56:T58)</f>
        <v>0</v>
      </c>
      <c r="U59" s="354">
        <f>SUM(U56:U58)</f>
        <v>0</v>
      </c>
      <c r="V59" s="450">
        <f>SUM(V56:V58)</f>
        <v>0</v>
      </c>
      <c r="W59" s="1030"/>
      <c r="X59" s="1172"/>
      <c r="Y59" s="1172"/>
      <c r="Z59" s="1172"/>
      <c r="AA59" s="462"/>
      <c r="AB59" s="463"/>
      <c r="AC59" s="463"/>
      <c r="AD59" s="463"/>
      <c r="AE59" s="464"/>
      <c r="AF59" s="511"/>
      <c r="AG59" s="512"/>
      <c r="AH59" s="547"/>
    </row>
    <row r="60" spans="1:34" s="474" customFormat="1" ht="12.75" customHeight="1" outlineLevel="1">
      <c r="A60" s="262"/>
      <c r="B60" s="262"/>
      <c r="C60" s="262"/>
      <c r="D60" s="262"/>
      <c r="E60" s="4054"/>
      <c r="F60" s="2928" t="s">
        <v>583</v>
      </c>
      <c r="G60" s="459"/>
      <c r="H60" s="458"/>
      <c r="I60" s="458"/>
      <c r="J60" s="458"/>
      <c r="K60" s="460"/>
      <c r="L60" s="429"/>
      <c r="M60" s="476"/>
      <c r="N60" s="476">
        <v>28601.56</v>
      </c>
      <c r="O60" s="476"/>
      <c r="P60" s="477"/>
      <c r="Q60" s="980"/>
      <c r="R60" s="564"/>
      <c r="S60" s="477"/>
      <c r="T60" s="477"/>
      <c r="U60" s="477"/>
      <c r="V60" s="519"/>
      <c r="W60" s="1030"/>
      <c r="X60" s="1172"/>
      <c r="Y60" s="1172"/>
      <c r="Z60" s="1172"/>
      <c r="AA60" s="462"/>
      <c r="AB60" s="463"/>
      <c r="AC60" s="463"/>
      <c r="AD60" s="463"/>
      <c r="AE60" s="464"/>
      <c r="AF60" s="511"/>
      <c r="AG60" s="512"/>
      <c r="AH60" s="547"/>
    </row>
    <row r="61" spans="1:34" s="474" customFormat="1" ht="12.75" customHeight="1" outlineLevel="1">
      <c r="A61" s="262"/>
      <c r="B61" s="262"/>
      <c r="C61" s="262"/>
      <c r="D61" s="262"/>
      <c r="E61" s="4054"/>
      <c r="F61" s="2928" t="s">
        <v>581</v>
      </c>
      <c r="G61" s="459"/>
      <c r="H61" s="458"/>
      <c r="I61" s="458"/>
      <c r="J61" s="458"/>
      <c r="K61" s="460"/>
      <c r="L61" s="459"/>
      <c r="M61" s="458"/>
      <c r="N61" s="458"/>
      <c r="O61" s="458"/>
      <c r="P61" s="475"/>
      <c r="Q61" s="980"/>
      <c r="R61" s="1034"/>
      <c r="S61" s="475"/>
      <c r="T61" s="475"/>
      <c r="U61" s="475"/>
      <c r="V61" s="518"/>
      <c r="W61" s="1030"/>
      <c r="X61" s="1172"/>
      <c r="Y61" s="1172"/>
      <c r="Z61" s="1172"/>
      <c r="AA61" s="462"/>
      <c r="AB61" s="463"/>
      <c r="AC61" s="463"/>
      <c r="AD61" s="463"/>
      <c r="AE61" s="464"/>
      <c r="AF61" s="462"/>
      <c r="AG61" s="463"/>
      <c r="AH61" s="464"/>
    </row>
    <row r="62" spans="1:34" s="474" customFormat="1" ht="12.75" customHeight="1" outlineLevel="1">
      <c r="A62" s="262"/>
      <c r="B62" s="262"/>
      <c r="C62" s="262"/>
      <c r="D62" s="262"/>
      <c r="E62" s="4054"/>
      <c r="F62" s="2930" t="s">
        <v>584</v>
      </c>
      <c r="G62" s="353">
        <f>SUM(G59:G61)</f>
        <v>0</v>
      </c>
      <c r="H62" s="354">
        <f t="shared" ref="H62:V62" si="16">SUM(H59:H61)</f>
        <v>0</v>
      </c>
      <c r="I62" s="354">
        <f t="shared" si="16"/>
        <v>0</v>
      </c>
      <c r="J62" s="354">
        <f t="shared" si="16"/>
        <v>0</v>
      </c>
      <c r="K62" s="450">
        <f t="shared" si="16"/>
        <v>0</v>
      </c>
      <c r="L62" s="353">
        <f t="shared" si="16"/>
        <v>0</v>
      </c>
      <c r="M62" s="354">
        <f t="shared" si="16"/>
        <v>0</v>
      </c>
      <c r="N62" s="354">
        <f t="shared" si="16"/>
        <v>346396.73</v>
      </c>
      <c r="O62" s="354">
        <f t="shared" si="16"/>
        <v>0</v>
      </c>
      <c r="P62" s="354">
        <f t="shared" si="16"/>
        <v>0</v>
      </c>
      <c r="Q62" s="1027">
        <f t="shared" si="16"/>
        <v>0</v>
      </c>
      <c r="R62" s="353">
        <f t="shared" si="16"/>
        <v>0</v>
      </c>
      <c r="S62" s="354">
        <f t="shared" si="16"/>
        <v>0</v>
      </c>
      <c r="T62" s="354">
        <f t="shared" si="16"/>
        <v>0</v>
      </c>
      <c r="U62" s="354">
        <f t="shared" si="16"/>
        <v>0</v>
      </c>
      <c r="V62" s="450">
        <f t="shared" si="16"/>
        <v>0</v>
      </c>
      <c r="W62" s="1030"/>
      <c r="X62" s="1172"/>
      <c r="Y62" s="1172"/>
      <c r="Z62" s="1172"/>
      <c r="AA62" s="353">
        <f>SUM(AA59:AA61)</f>
        <v>0</v>
      </c>
      <c r="AB62" s="354">
        <f t="shared" ref="AB62:AH62" si="17">SUM(AB59:AB61)</f>
        <v>0</v>
      </c>
      <c r="AC62" s="354">
        <f t="shared" si="17"/>
        <v>0</v>
      </c>
      <c r="AD62" s="354">
        <f t="shared" si="17"/>
        <v>0</v>
      </c>
      <c r="AE62" s="450">
        <f t="shared" si="17"/>
        <v>0</v>
      </c>
      <c r="AF62" s="353">
        <f t="shared" si="17"/>
        <v>0</v>
      </c>
      <c r="AG62" s="354">
        <f t="shared" si="17"/>
        <v>0</v>
      </c>
      <c r="AH62" s="450">
        <f t="shared" si="17"/>
        <v>0</v>
      </c>
    </row>
    <row r="63" spans="1:34" s="474" customFormat="1" ht="12.75" customHeight="1" outlineLevel="1">
      <c r="A63" s="262"/>
      <c r="B63" s="262"/>
      <c r="C63" s="262"/>
      <c r="D63" s="262"/>
      <c r="E63" s="4054"/>
      <c r="F63" s="2928" t="s">
        <v>35</v>
      </c>
      <c r="G63" s="459"/>
      <c r="H63" s="458"/>
      <c r="I63" s="458"/>
      <c r="J63" s="458"/>
      <c r="K63" s="460"/>
      <c r="L63" s="459"/>
      <c r="M63" s="458"/>
      <c r="N63" s="458"/>
      <c r="O63" s="458"/>
      <c r="P63" s="458"/>
      <c r="Q63" s="980"/>
      <c r="R63" s="459"/>
      <c r="S63" s="458"/>
      <c r="T63" s="458"/>
      <c r="U63" s="458"/>
      <c r="V63" s="460"/>
      <c r="W63" s="1030"/>
      <c r="X63" s="1172"/>
      <c r="Y63" s="1172"/>
      <c r="Z63" s="1172"/>
      <c r="AA63" s="462"/>
      <c r="AB63" s="463"/>
      <c r="AC63" s="463"/>
      <c r="AD63" s="463"/>
      <c r="AE63" s="464"/>
      <c r="AF63" s="462"/>
      <c r="AG63" s="463"/>
      <c r="AH63" s="464"/>
    </row>
    <row r="64" spans="1:34" s="474" customFormat="1" ht="13.5" customHeight="1" outlineLevel="1" thickBot="1">
      <c r="A64" s="262"/>
      <c r="B64" s="262"/>
      <c r="C64" s="262"/>
      <c r="D64" s="262"/>
      <c r="E64" s="4055"/>
      <c r="F64" s="357" t="s">
        <v>585</v>
      </c>
      <c r="G64" s="1370">
        <f t="shared" ref="G64:V64" si="18">G62-G63</f>
        <v>0</v>
      </c>
      <c r="H64" s="356">
        <f t="shared" si="18"/>
        <v>0</v>
      </c>
      <c r="I64" s="356">
        <f t="shared" si="18"/>
        <v>0</v>
      </c>
      <c r="J64" s="356">
        <f t="shared" si="18"/>
        <v>0</v>
      </c>
      <c r="K64" s="503">
        <f t="shared" si="18"/>
        <v>0</v>
      </c>
      <c r="L64" s="1370">
        <f t="shared" si="18"/>
        <v>0</v>
      </c>
      <c r="M64" s="356">
        <f t="shared" si="18"/>
        <v>0</v>
      </c>
      <c r="N64" s="356">
        <f t="shared" si="18"/>
        <v>346396.73</v>
      </c>
      <c r="O64" s="356">
        <f t="shared" si="18"/>
        <v>0</v>
      </c>
      <c r="P64" s="356">
        <f t="shared" si="18"/>
        <v>0</v>
      </c>
      <c r="Q64" s="1028">
        <f t="shared" si="18"/>
        <v>0</v>
      </c>
      <c r="R64" s="1370">
        <f t="shared" si="18"/>
        <v>0</v>
      </c>
      <c r="S64" s="356">
        <f t="shared" si="18"/>
        <v>0</v>
      </c>
      <c r="T64" s="356">
        <f t="shared" si="18"/>
        <v>0</v>
      </c>
      <c r="U64" s="356">
        <f t="shared" si="18"/>
        <v>0</v>
      </c>
      <c r="V64" s="503">
        <f t="shared" si="18"/>
        <v>0</v>
      </c>
      <c r="W64" s="1031"/>
      <c r="X64" s="1172"/>
      <c r="Y64" s="1172"/>
      <c r="Z64" s="1172"/>
      <c r="AA64" s="1370">
        <f t="shared" ref="AA64:AH64" si="19">AA62-AA63</f>
        <v>0</v>
      </c>
      <c r="AB64" s="356">
        <f t="shared" si="19"/>
        <v>0</v>
      </c>
      <c r="AC64" s="356">
        <f t="shared" si="19"/>
        <v>0</v>
      </c>
      <c r="AD64" s="356">
        <f t="shared" si="19"/>
        <v>0</v>
      </c>
      <c r="AE64" s="503">
        <f t="shared" si="19"/>
        <v>0</v>
      </c>
      <c r="AF64" s="1370">
        <f t="shared" si="19"/>
        <v>0</v>
      </c>
      <c r="AG64" s="356">
        <f t="shared" si="19"/>
        <v>0</v>
      </c>
      <c r="AH64" s="503">
        <f t="shared" si="19"/>
        <v>0</v>
      </c>
    </row>
    <row r="65" spans="1:34" s="474" customFormat="1" ht="12.75" customHeight="1" outlineLevel="1">
      <c r="A65" s="262"/>
      <c r="B65" s="262"/>
      <c r="C65" s="262"/>
      <c r="D65" s="262"/>
      <c r="E65" s="4053" t="s">
        <v>1453</v>
      </c>
      <c r="F65" s="565" t="s">
        <v>559</v>
      </c>
      <c r="G65" s="374"/>
      <c r="H65" s="375"/>
      <c r="I65" s="375"/>
      <c r="J65" s="375"/>
      <c r="K65" s="1017"/>
      <c r="L65" s="374"/>
      <c r="M65" s="375"/>
      <c r="N65" s="375"/>
      <c r="O65" s="375"/>
      <c r="P65" s="375"/>
      <c r="Q65" s="375"/>
      <c r="R65" s="459"/>
      <c r="S65" s="458"/>
      <c r="T65" s="458"/>
      <c r="U65" s="458"/>
      <c r="V65" s="460"/>
      <c r="W65" s="1029"/>
      <c r="X65" s="1172"/>
      <c r="Y65" s="1172"/>
      <c r="Z65" s="1172"/>
      <c r="AA65" s="374"/>
      <c r="AB65" s="375"/>
      <c r="AC65" s="375"/>
      <c r="AD65" s="375"/>
      <c r="AE65" s="1017"/>
      <c r="AF65" s="374"/>
      <c r="AG65" s="375"/>
      <c r="AH65" s="1017"/>
    </row>
    <row r="66" spans="1:34" s="474" customFormat="1" ht="12.75" customHeight="1" outlineLevel="1">
      <c r="A66" s="262"/>
      <c r="B66" s="262"/>
      <c r="C66" s="262"/>
      <c r="D66" s="262"/>
      <c r="E66" s="4054"/>
      <c r="F66" s="2928" t="s">
        <v>558</v>
      </c>
      <c r="G66" s="374"/>
      <c r="H66" s="375"/>
      <c r="I66" s="375"/>
      <c r="J66" s="375"/>
      <c r="K66" s="1017"/>
      <c r="L66" s="374"/>
      <c r="M66" s="375"/>
      <c r="N66" s="375"/>
      <c r="O66" s="375"/>
      <c r="P66" s="375"/>
      <c r="Q66" s="375"/>
      <c r="R66" s="459"/>
      <c r="S66" s="458"/>
      <c r="T66" s="458"/>
      <c r="U66" s="458"/>
      <c r="V66" s="460"/>
      <c r="W66" s="1030"/>
      <c r="X66" s="1172"/>
      <c r="Y66" s="1172"/>
      <c r="Z66" s="1172"/>
      <c r="AA66" s="374"/>
      <c r="AB66" s="375"/>
      <c r="AC66" s="375"/>
      <c r="AD66" s="375"/>
      <c r="AE66" s="1017"/>
      <c r="AF66" s="374"/>
      <c r="AG66" s="375"/>
      <c r="AH66" s="1017"/>
    </row>
    <row r="67" spans="1:34" s="474" customFormat="1" ht="12.75" customHeight="1" outlineLevel="1">
      <c r="A67" s="262"/>
      <c r="B67" s="262"/>
      <c r="C67" s="262"/>
      <c r="D67" s="262"/>
      <c r="E67" s="4054"/>
      <c r="F67" s="2928" t="s">
        <v>578</v>
      </c>
      <c r="G67" s="374"/>
      <c r="H67" s="375"/>
      <c r="I67" s="375"/>
      <c r="J67" s="375"/>
      <c r="K67" s="1017"/>
      <c r="L67" s="374"/>
      <c r="M67" s="375"/>
      <c r="N67" s="375"/>
      <c r="O67" s="375"/>
      <c r="P67" s="375"/>
      <c r="Q67" s="375"/>
      <c r="R67" s="459"/>
      <c r="S67" s="458"/>
      <c r="T67" s="458"/>
      <c r="U67" s="458"/>
      <c r="V67" s="460"/>
      <c r="W67" s="1030"/>
      <c r="X67" s="1172"/>
      <c r="Y67" s="1172"/>
      <c r="Z67" s="1172"/>
      <c r="AA67" s="374"/>
      <c r="AB67" s="375"/>
      <c r="AC67" s="375"/>
      <c r="AD67" s="375"/>
      <c r="AE67" s="1017"/>
      <c r="AF67" s="374"/>
      <c r="AG67" s="375"/>
      <c r="AH67" s="1017"/>
    </row>
    <row r="68" spans="1:34" s="474" customFormat="1" ht="12.75" customHeight="1" outlineLevel="1">
      <c r="A68" s="262"/>
      <c r="B68" s="262"/>
      <c r="C68" s="262"/>
      <c r="D68" s="262"/>
      <c r="E68" s="4054"/>
      <c r="F68" s="2930" t="s">
        <v>579</v>
      </c>
      <c r="G68" s="459"/>
      <c r="H68" s="458"/>
      <c r="I68" s="458"/>
      <c r="J68" s="458"/>
      <c r="K68" s="460"/>
      <c r="L68" s="429"/>
      <c r="M68" s="476"/>
      <c r="N68" s="476">
        <v>412104.58</v>
      </c>
      <c r="O68" s="476"/>
      <c r="P68" s="477"/>
      <c r="Q68" s="980"/>
      <c r="R68" s="353">
        <f>SUM(R65:R67)</f>
        <v>0</v>
      </c>
      <c r="S68" s="354">
        <f>SUM(S65:S67)</f>
        <v>0</v>
      </c>
      <c r="T68" s="354">
        <f>SUM(T65:T67)</f>
        <v>0</v>
      </c>
      <c r="U68" s="354">
        <f>SUM(U65:U67)</f>
        <v>0</v>
      </c>
      <c r="V68" s="450">
        <f>SUM(V65:V67)</f>
        <v>0</v>
      </c>
      <c r="W68" s="1030"/>
      <c r="X68" s="1172"/>
      <c r="Y68" s="1172"/>
      <c r="Z68" s="1172"/>
      <c r="AA68" s="462"/>
      <c r="AB68" s="463"/>
      <c r="AC68" s="463"/>
      <c r="AD68" s="463"/>
      <c r="AE68" s="464"/>
      <c r="AF68" s="511"/>
      <c r="AG68" s="512"/>
      <c r="AH68" s="547"/>
    </row>
    <row r="69" spans="1:34" s="474" customFormat="1" ht="12.75" customHeight="1" outlineLevel="1">
      <c r="A69" s="262"/>
      <c r="B69" s="262"/>
      <c r="C69" s="262"/>
      <c r="D69" s="262"/>
      <c r="E69" s="4054"/>
      <c r="F69" s="2928" t="s">
        <v>583</v>
      </c>
      <c r="G69" s="459"/>
      <c r="H69" s="458"/>
      <c r="I69" s="458"/>
      <c r="J69" s="458"/>
      <c r="K69" s="460"/>
      <c r="L69" s="429"/>
      <c r="M69" s="476"/>
      <c r="N69" s="476">
        <v>37089.42</v>
      </c>
      <c r="O69" s="476"/>
      <c r="P69" s="477"/>
      <c r="Q69" s="980"/>
      <c r="R69" s="564"/>
      <c r="S69" s="477"/>
      <c r="T69" s="477"/>
      <c r="U69" s="477"/>
      <c r="V69" s="519"/>
      <c r="W69" s="1030"/>
      <c r="X69" s="1172"/>
      <c r="Y69" s="1172"/>
      <c r="Z69" s="1172"/>
      <c r="AA69" s="462"/>
      <c r="AB69" s="463"/>
      <c r="AC69" s="463"/>
      <c r="AD69" s="463"/>
      <c r="AE69" s="464"/>
      <c r="AF69" s="511"/>
      <c r="AG69" s="512"/>
      <c r="AH69" s="547"/>
    </row>
    <row r="70" spans="1:34" s="474" customFormat="1" ht="12.75" customHeight="1" outlineLevel="1">
      <c r="A70" s="262"/>
      <c r="B70" s="262"/>
      <c r="C70" s="262"/>
      <c r="D70" s="262"/>
      <c r="E70" s="4054"/>
      <c r="F70" s="2928" t="s">
        <v>581</v>
      </c>
      <c r="G70" s="459"/>
      <c r="H70" s="458"/>
      <c r="I70" s="458"/>
      <c r="J70" s="458"/>
      <c r="K70" s="460"/>
      <c r="L70" s="459"/>
      <c r="M70" s="458"/>
      <c r="N70" s="458"/>
      <c r="O70" s="458"/>
      <c r="P70" s="475"/>
      <c r="Q70" s="980"/>
      <c r="R70" s="1034"/>
      <c r="S70" s="475"/>
      <c r="T70" s="475"/>
      <c r="U70" s="475"/>
      <c r="V70" s="518"/>
      <c r="W70" s="1030"/>
      <c r="X70" s="1172"/>
      <c r="Y70" s="1172"/>
      <c r="Z70" s="1172"/>
      <c r="AA70" s="462"/>
      <c r="AB70" s="463"/>
      <c r="AC70" s="463"/>
      <c r="AD70" s="463"/>
      <c r="AE70" s="464"/>
      <c r="AF70" s="462"/>
      <c r="AG70" s="463"/>
      <c r="AH70" s="464"/>
    </row>
    <row r="71" spans="1:34" s="474" customFormat="1" ht="12.75" customHeight="1" outlineLevel="1">
      <c r="A71" s="262"/>
      <c r="B71" s="262"/>
      <c r="C71" s="262"/>
      <c r="D71" s="262"/>
      <c r="E71" s="4054"/>
      <c r="F71" s="2930" t="s">
        <v>584</v>
      </c>
      <c r="G71" s="353">
        <f>SUM(G68:G70)</f>
        <v>0</v>
      </c>
      <c r="H71" s="354">
        <f t="shared" ref="H71:V71" si="20">SUM(H68:H70)</f>
        <v>0</v>
      </c>
      <c r="I71" s="354">
        <f t="shared" si="20"/>
        <v>0</v>
      </c>
      <c r="J71" s="354">
        <f t="shared" si="20"/>
        <v>0</v>
      </c>
      <c r="K71" s="450">
        <f t="shared" si="20"/>
        <v>0</v>
      </c>
      <c r="L71" s="353">
        <f t="shared" si="20"/>
        <v>0</v>
      </c>
      <c r="M71" s="354">
        <f t="shared" si="20"/>
        <v>0</v>
      </c>
      <c r="N71" s="354">
        <f t="shared" si="20"/>
        <v>449194</v>
      </c>
      <c r="O71" s="354">
        <f t="shared" si="20"/>
        <v>0</v>
      </c>
      <c r="P71" s="354">
        <f t="shared" si="20"/>
        <v>0</v>
      </c>
      <c r="Q71" s="1027">
        <f t="shared" si="20"/>
        <v>0</v>
      </c>
      <c r="R71" s="353">
        <f t="shared" si="20"/>
        <v>0</v>
      </c>
      <c r="S71" s="354">
        <f t="shared" si="20"/>
        <v>0</v>
      </c>
      <c r="T71" s="354">
        <f t="shared" si="20"/>
        <v>0</v>
      </c>
      <c r="U71" s="354">
        <f t="shared" si="20"/>
        <v>0</v>
      </c>
      <c r="V71" s="450">
        <f t="shared" si="20"/>
        <v>0</v>
      </c>
      <c r="W71" s="1030"/>
      <c r="X71" s="1172"/>
      <c r="Y71" s="1172"/>
      <c r="Z71" s="1172"/>
      <c r="AA71" s="353">
        <f>SUM(AA68:AA70)</f>
        <v>0</v>
      </c>
      <c r="AB71" s="354">
        <f t="shared" ref="AB71:AH71" si="21">SUM(AB68:AB70)</f>
        <v>0</v>
      </c>
      <c r="AC71" s="354">
        <f t="shared" si="21"/>
        <v>0</v>
      </c>
      <c r="AD71" s="354">
        <f t="shared" si="21"/>
        <v>0</v>
      </c>
      <c r="AE71" s="450">
        <f t="shared" si="21"/>
        <v>0</v>
      </c>
      <c r="AF71" s="353">
        <f t="shared" si="21"/>
        <v>0</v>
      </c>
      <c r="AG71" s="354">
        <f t="shared" si="21"/>
        <v>0</v>
      </c>
      <c r="AH71" s="450">
        <f t="shared" si="21"/>
        <v>0</v>
      </c>
    </row>
    <row r="72" spans="1:34" s="474" customFormat="1" ht="12.75" customHeight="1" outlineLevel="1">
      <c r="A72" s="262"/>
      <c r="B72" s="262"/>
      <c r="C72" s="262"/>
      <c r="D72" s="262"/>
      <c r="E72" s="4054"/>
      <c r="F72" s="2928" t="s">
        <v>35</v>
      </c>
      <c r="G72" s="459"/>
      <c r="H72" s="458"/>
      <c r="I72" s="458"/>
      <c r="J72" s="458"/>
      <c r="K72" s="460"/>
      <c r="L72" s="459"/>
      <c r="M72" s="458"/>
      <c r="N72" s="458"/>
      <c r="O72" s="458"/>
      <c r="P72" s="458"/>
      <c r="Q72" s="980"/>
      <c r="R72" s="459"/>
      <c r="S72" s="458"/>
      <c r="T72" s="458"/>
      <c r="U72" s="458"/>
      <c r="V72" s="460"/>
      <c r="W72" s="1030"/>
      <c r="X72" s="1172"/>
      <c r="Y72" s="1172"/>
      <c r="Z72" s="1172"/>
      <c r="AA72" s="462"/>
      <c r="AB72" s="463"/>
      <c r="AC72" s="463"/>
      <c r="AD72" s="463"/>
      <c r="AE72" s="464"/>
      <c r="AF72" s="462"/>
      <c r="AG72" s="463"/>
      <c r="AH72" s="464"/>
    </row>
    <row r="73" spans="1:34" s="474" customFormat="1" ht="13.5" customHeight="1" outlineLevel="1" thickBot="1">
      <c r="A73" s="262"/>
      <c r="B73" s="262"/>
      <c r="C73" s="262"/>
      <c r="D73" s="262"/>
      <c r="E73" s="4055"/>
      <c r="F73" s="357" t="s">
        <v>585</v>
      </c>
      <c r="G73" s="1370">
        <f t="shared" ref="G73:V73" si="22">G71-G72</f>
        <v>0</v>
      </c>
      <c r="H73" s="356">
        <f t="shared" si="22"/>
        <v>0</v>
      </c>
      <c r="I73" s="356">
        <f t="shared" si="22"/>
        <v>0</v>
      </c>
      <c r="J73" s="356">
        <f t="shared" si="22"/>
        <v>0</v>
      </c>
      <c r="K73" s="503">
        <f t="shared" si="22"/>
        <v>0</v>
      </c>
      <c r="L73" s="1370">
        <f t="shared" si="22"/>
        <v>0</v>
      </c>
      <c r="M73" s="356">
        <f t="shared" si="22"/>
        <v>0</v>
      </c>
      <c r="N73" s="356">
        <f t="shared" si="22"/>
        <v>449194</v>
      </c>
      <c r="O73" s="356">
        <f t="shared" si="22"/>
        <v>0</v>
      </c>
      <c r="P73" s="356">
        <f t="shared" si="22"/>
        <v>0</v>
      </c>
      <c r="Q73" s="1028">
        <f t="shared" si="22"/>
        <v>0</v>
      </c>
      <c r="R73" s="1370">
        <f t="shared" si="22"/>
        <v>0</v>
      </c>
      <c r="S73" s="356">
        <f t="shared" si="22"/>
        <v>0</v>
      </c>
      <c r="T73" s="356">
        <f t="shared" si="22"/>
        <v>0</v>
      </c>
      <c r="U73" s="356">
        <f t="shared" si="22"/>
        <v>0</v>
      </c>
      <c r="V73" s="503">
        <f t="shared" si="22"/>
        <v>0</v>
      </c>
      <c r="W73" s="1031"/>
      <c r="X73" s="1172"/>
      <c r="Y73" s="1172"/>
      <c r="Z73" s="1172"/>
      <c r="AA73" s="1370">
        <f t="shared" ref="AA73:AH73" si="23">AA71-AA72</f>
        <v>0</v>
      </c>
      <c r="AB73" s="356">
        <f t="shared" si="23"/>
        <v>0</v>
      </c>
      <c r="AC73" s="356">
        <f t="shared" si="23"/>
        <v>0</v>
      </c>
      <c r="AD73" s="356">
        <f t="shared" si="23"/>
        <v>0</v>
      </c>
      <c r="AE73" s="503">
        <f t="shared" si="23"/>
        <v>0</v>
      </c>
      <c r="AF73" s="1370">
        <f t="shared" si="23"/>
        <v>0</v>
      </c>
      <c r="AG73" s="356">
        <f t="shared" si="23"/>
        <v>0</v>
      </c>
      <c r="AH73" s="503">
        <f t="shared" si="23"/>
        <v>0</v>
      </c>
    </row>
    <row r="74" spans="1:34" s="474" customFormat="1" ht="12.75" customHeight="1" outlineLevel="1">
      <c r="A74" s="262"/>
      <c r="B74" s="262"/>
      <c r="C74" s="262"/>
      <c r="D74" s="262"/>
      <c r="E74" s="4053" t="s">
        <v>1454</v>
      </c>
      <c r="F74" s="565" t="s">
        <v>559</v>
      </c>
      <c r="G74" s="374"/>
      <c r="H74" s="375"/>
      <c r="I74" s="375"/>
      <c r="J74" s="375"/>
      <c r="K74" s="1017"/>
      <c r="L74" s="374"/>
      <c r="M74" s="375"/>
      <c r="N74" s="375"/>
      <c r="O74" s="375"/>
      <c r="P74" s="375"/>
      <c r="Q74" s="375"/>
      <c r="R74" s="459"/>
      <c r="S74" s="458"/>
      <c r="T74" s="458"/>
      <c r="U74" s="458"/>
      <c r="V74" s="460"/>
      <c r="W74" s="1029"/>
      <c r="X74" s="1172"/>
      <c r="Y74" s="1172"/>
      <c r="Z74" s="1172"/>
      <c r="AA74" s="374"/>
      <c r="AB74" s="375"/>
      <c r="AC74" s="375"/>
      <c r="AD74" s="375"/>
      <c r="AE74" s="1017"/>
      <c r="AF74" s="374"/>
      <c r="AG74" s="375"/>
      <c r="AH74" s="1017"/>
    </row>
    <row r="75" spans="1:34" s="474" customFormat="1" ht="12.75" customHeight="1" outlineLevel="1">
      <c r="A75" s="262"/>
      <c r="B75" s="262"/>
      <c r="C75" s="262"/>
      <c r="D75" s="262"/>
      <c r="E75" s="4054"/>
      <c r="F75" s="2928" t="s">
        <v>558</v>
      </c>
      <c r="G75" s="374"/>
      <c r="H75" s="375"/>
      <c r="I75" s="375"/>
      <c r="J75" s="375"/>
      <c r="K75" s="1017"/>
      <c r="L75" s="374"/>
      <c r="M75" s="375"/>
      <c r="N75" s="375"/>
      <c r="O75" s="375"/>
      <c r="P75" s="375"/>
      <c r="Q75" s="375"/>
      <c r="R75" s="459"/>
      <c r="S75" s="458"/>
      <c r="T75" s="458"/>
      <c r="U75" s="458"/>
      <c r="V75" s="460"/>
      <c r="W75" s="1030"/>
      <c r="X75" s="1172"/>
      <c r="Y75" s="1172"/>
      <c r="Z75" s="1172"/>
      <c r="AA75" s="374"/>
      <c r="AB75" s="375"/>
      <c r="AC75" s="375"/>
      <c r="AD75" s="375"/>
      <c r="AE75" s="1017"/>
      <c r="AF75" s="374"/>
      <c r="AG75" s="375"/>
      <c r="AH75" s="1017"/>
    </row>
    <row r="76" spans="1:34" s="474" customFormat="1" ht="12.75" customHeight="1" outlineLevel="1">
      <c r="A76" s="262"/>
      <c r="B76" s="262"/>
      <c r="C76" s="262"/>
      <c r="D76" s="262"/>
      <c r="E76" s="4054"/>
      <c r="F76" s="2928" t="s">
        <v>578</v>
      </c>
      <c r="G76" s="374"/>
      <c r="H76" s="375"/>
      <c r="I76" s="375"/>
      <c r="J76" s="375"/>
      <c r="K76" s="1017"/>
      <c r="L76" s="374"/>
      <c r="M76" s="375"/>
      <c r="N76" s="375"/>
      <c r="O76" s="375"/>
      <c r="P76" s="375"/>
      <c r="Q76" s="375"/>
      <c r="R76" s="459"/>
      <c r="S76" s="458"/>
      <c r="T76" s="458"/>
      <c r="U76" s="458"/>
      <c r="V76" s="460"/>
      <c r="W76" s="1030"/>
      <c r="X76" s="1172"/>
      <c r="Y76" s="1172"/>
      <c r="Z76" s="1172"/>
      <c r="AA76" s="374"/>
      <c r="AB76" s="375"/>
      <c r="AC76" s="375"/>
      <c r="AD76" s="375"/>
      <c r="AE76" s="1017"/>
      <c r="AF76" s="374"/>
      <c r="AG76" s="375"/>
      <c r="AH76" s="1017"/>
    </row>
    <row r="77" spans="1:34" s="474" customFormat="1" ht="12.75" customHeight="1" outlineLevel="1">
      <c r="A77" s="262"/>
      <c r="B77" s="262"/>
      <c r="C77" s="262"/>
      <c r="D77" s="262"/>
      <c r="E77" s="4054"/>
      <c r="F77" s="2930" t="s">
        <v>579</v>
      </c>
      <c r="G77" s="459"/>
      <c r="H77" s="458"/>
      <c r="I77" s="458"/>
      <c r="J77" s="458"/>
      <c r="K77" s="460"/>
      <c r="L77" s="429"/>
      <c r="M77" s="476">
        <v>198174.74</v>
      </c>
      <c r="N77" s="476"/>
      <c r="O77" s="476"/>
      <c r="P77" s="477"/>
      <c r="Q77" s="980"/>
      <c r="R77" s="353">
        <f>SUM(R74:R76)</f>
        <v>0</v>
      </c>
      <c r="S77" s="354">
        <f>SUM(S74:S76)</f>
        <v>0</v>
      </c>
      <c r="T77" s="354">
        <f>SUM(T74:T76)</f>
        <v>0</v>
      </c>
      <c r="U77" s="354">
        <f>SUM(U74:U76)</f>
        <v>0</v>
      </c>
      <c r="V77" s="450">
        <f>SUM(V74:V76)</f>
        <v>0</v>
      </c>
      <c r="W77" s="1030"/>
      <c r="X77" s="1172"/>
      <c r="Y77" s="1172"/>
      <c r="Z77" s="1172"/>
      <c r="AA77" s="462"/>
      <c r="AB77" s="463"/>
      <c r="AC77" s="463"/>
      <c r="AD77" s="463"/>
      <c r="AE77" s="464"/>
      <c r="AF77" s="511"/>
      <c r="AG77" s="512"/>
      <c r="AH77" s="547"/>
    </row>
    <row r="78" spans="1:34" s="474" customFormat="1" ht="12.75" customHeight="1" outlineLevel="1">
      <c r="A78" s="262"/>
      <c r="B78" s="262"/>
      <c r="C78" s="262"/>
      <c r="D78" s="262"/>
      <c r="E78" s="4054"/>
      <c r="F78" s="2928" t="s">
        <v>583</v>
      </c>
      <c r="G78" s="459"/>
      <c r="H78" s="458"/>
      <c r="I78" s="458"/>
      <c r="J78" s="458"/>
      <c r="K78" s="460"/>
      <c r="L78" s="429"/>
      <c r="M78" s="476">
        <v>17835.750000000004</v>
      </c>
      <c r="N78" s="476"/>
      <c r="O78" s="476"/>
      <c r="P78" s="477"/>
      <c r="Q78" s="980"/>
      <c r="R78" s="564"/>
      <c r="S78" s="477"/>
      <c r="T78" s="477"/>
      <c r="U78" s="477"/>
      <c r="V78" s="519"/>
      <c r="W78" s="1030"/>
      <c r="X78" s="1172"/>
      <c r="Y78" s="1172"/>
      <c r="Z78" s="1172"/>
      <c r="AA78" s="462"/>
      <c r="AB78" s="463"/>
      <c r="AC78" s="463"/>
      <c r="AD78" s="463"/>
      <c r="AE78" s="464"/>
      <c r="AF78" s="511"/>
      <c r="AG78" s="512"/>
      <c r="AH78" s="547"/>
    </row>
    <row r="79" spans="1:34" s="474" customFormat="1" ht="12.75" customHeight="1" outlineLevel="1">
      <c r="A79" s="262"/>
      <c r="B79" s="262"/>
      <c r="C79" s="262"/>
      <c r="D79" s="262"/>
      <c r="E79" s="4054"/>
      <c r="F79" s="2928" t="s">
        <v>581</v>
      </c>
      <c r="G79" s="459"/>
      <c r="H79" s="458"/>
      <c r="I79" s="458"/>
      <c r="J79" s="458"/>
      <c r="K79" s="460"/>
      <c r="L79" s="459"/>
      <c r="M79" s="458"/>
      <c r="N79" s="458"/>
      <c r="O79" s="458"/>
      <c r="P79" s="475"/>
      <c r="Q79" s="980"/>
      <c r="R79" s="1034"/>
      <c r="S79" s="475"/>
      <c r="T79" s="475"/>
      <c r="U79" s="475"/>
      <c r="V79" s="518"/>
      <c r="W79" s="1030"/>
      <c r="X79" s="1172"/>
      <c r="Y79" s="1172"/>
      <c r="Z79" s="1172"/>
      <c r="AA79" s="462"/>
      <c r="AB79" s="463"/>
      <c r="AC79" s="463"/>
      <c r="AD79" s="463"/>
      <c r="AE79" s="464"/>
      <c r="AF79" s="462"/>
      <c r="AG79" s="463"/>
      <c r="AH79" s="464"/>
    </row>
    <row r="80" spans="1:34" s="474" customFormat="1" ht="12.75" customHeight="1" outlineLevel="1">
      <c r="A80" s="262"/>
      <c r="B80" s="262"/>
      <c r="C80" s="262"/>
      <c r="D80" s="262"/>
      <c r="E80" s="4054"/>
      <c r="F80" s="2930" t="s">
        <v>584</v>
      </c>
      <c r="G80" s="353">
        <f>SUM(G77:G79)</f>
        <v>0</v>
      </c>
      <c r="H80" s="354">
        <f t="shared" ref="H80:V80" si="24">SUM(H77:H79)</f>
        <v>0</v>
      </c>
      <c r="I80" s="354">
        <f t="shared" si="24"/>
        <v>0</v>
      </c>
      <c r="J80" s="354">
        <f t="shared" si="24"/>
        <v>0</v>
      </c>
      <c r="K80" s="450">
        <f t="shared" si="24"/>
        <v>0</v>
      </c>
      <c r="L80" s="353">
        <f t="shared" si="24"/>
        <v>0</v>
      </c>
      <c r="M80" s="354">
        <v>216010.49</v>
      </c>
      <c r="N80" s="354">
        <f t="shared" si="24"/>
        <v>0</v>
      </c>
      <c r="O80" s="354">
        <f t="shared" si="24"/>
        <v>0</v>
      </c>
      <c r="P80" s="354">
        <f t="shared" si="24"/>
        <v>0</v>
      </c>
      <c r="Q80" s="1027">
        <f t="shared" si="24"/>
        <v>0</v>
      </c>
      <c r="R80" s="353">
        <f t="shared" si="24"/>
        <v>0</v>
      </c>
      <c r="S80" s="354">
        <f t="shared" si="24"/>
        <v>0</v>
      </c>
      <c r="T80" s="354">
        <f t="shared" si="24"/>
        <v>0</v>
      </c>
      <c r="U80" s="354">
        <f t="shared" si="24"/>
        <v>0</v>
      </c>
      <c r="V80" s="450">
        <f t="shared" si="24"/>
        <v>0</v>
      </c>
      <c r="W80" s="1030"/>
      <c r="X80" s="1172"/>
      <c r="Y80" s="1172"/>
      <c r="Z80" s="1172"/>
      <c r="AA80" s="353">
        <f>SUM(AA77:AA79)</f>
        <v>0</v>
      </c>
      <c r="AB80" s="354">
        <f t="shared" ref="AB80:AH80" si="25">SUM(AB77:AB79)</f>
        <v>0</v>
      </c>
      <c r="AC80" s="354">
        <f t="shared" si="25"/>
        <v>0</v>
      </c>
      <c r="AD80" s="354">
        <f t="shared" si="25"/>
        <v>0</v>
      </c>
      <c r="AE80" s="450">
        <f t="shared" si="25"/>
        <v>0</v>
      </c>
      <c r="AF80" s="353">
        <f t="shared" si="25"/>
        <v>0</v>
      </c>
      <c r="AG80" s="354">
        <f t="shared" si="25"/>
        <v>0</v>
      </c>
      <c r="AH80" s="450">
        <f t="shared" si="25"/>
        <v>0</v>
      </c>
    </row>
    <row r="81" spans="1:34" s="474" customFormat="1" ht="12.75" customHeight="1" outlineLevel="1">
      <c r="A81" s="262"/>
      <c r="B81" s="262"/>
      <c r="C81" s="262"/>
      <c r="D81" s="262"/>
      <c r="E81" s="4054"/>
      <c r="F81" s="2928" t="s">
        <v>35</v>
      </c>
      <c r="G81" s="459"/>
      <c r="H81" s="458"/>
      <c r="I81" s="458"/>
      <c r="J81" s="458"/>
      <c r="K81" s="460"/>
      <c r="L81" s="459"/>
      <c r="M81" s="458"/>
      <c r="N81" s="458"/>
      <c r="O81" s="458"/>
      <c r="P81" s="458"/>
      <c r="Q81" s="980"/>
      <c r="R81" s="459"/>
      <c r="S81" s="458"/>
      <c r="T81" s="458"/>
      <c r="U81" s="458"/>
      <c r="V81" s="460"/>
      <c r="W81" s="1030"/>
      <c r="X81" s="1172"/>
      <c r="Y81" s="1172"/>
      <c r="Z81" s="1172"/>
      <c r="AA81" s="462"/>
      <c r="AB81" s="463"/>
      <c r="AC81" s="463"/>
      <c r="AD81" s="463"/>
      <c r="AE81" s="464"/>
      <c r="AF81" s="462"/>
      <c r="AG81" s="463"/>
      <c r="AH81" s="464"/>
    </row>
    <row r="82" spans="1:34" s="474" customFormat="1" ht="13.5" customHeight="1" outlineLevel="1" thickBot="1">
      <c r="A82" s="262"/>
      <c r="B82" s="262"/>
      <c r="C82" s="262"/>
      <c r="D82" s="262"/>
      <c r="E82" s="4055"/>
      <c r="F82" s="357" t="s">
        <v>585</v>
      </c>
      <c r="G82" s="1370">
        <f t="shared" ref="G82:V82" si="26">G80-G81</f>
        <v>0</v>
      </c>
      <c r="H82" s="356">
        <f t="shared" si="26"/>
        <v>0</v>
      </c>
      <c r="I82" s="356">
        <f t="shared" si="26"/>
        <v>0</v>
      </c>
      <c r="J82" s="356">
        <f t="shared" si="26"/>
        <v>0</v>
      </c>
      <c r="K82" s="503">
        <f t="shared" si="26"/>
        <v>0</v>
      </c>
      <c r="L82" s="1370">
        <f t="shared" si="26"/>
        <v>0</v>
      </c>
      <c r="M82" s="356">
        <v>216010.49</v>
      </c>
      <c r="N82" s="356">
        <f t="shared" si="26"/>
        <v>0</v>
      </c>
      <c r="O82" s="356">
        <f t="shared" si="26"/>
        <v>0</v>
      </c>
      <c r="P82" s="356">
        <f t="shared" si="26"/>
        <v>0</v>
      </c>
      <c r="Q82" s="1028">
        <f t="shared" si="26"/>
        <v>0</v>
      </c>
      <c r="R82" s="1370">
        <f t="shared" si="26"/>
        <v>0</v>
      </c>
      <c r="S82" s="356">
        <f t="shared" si="26"/>
        <v>0</v>
      </c>
      <c r="T82" s="356">
        <f t="shared" si="26"/>
        <v>0</v>
      </c>
      <c r="U82" s="356">
        <f t="shared" si="26"/>
        <v>0</v>
      </c>
      <c r="V82" s="503">
        <f t="shared" si="26"/>
        <v>0</v>
      </c>
      <c r="W82" s="1031"/>
      <c r="X82" s="1172"/>
      <c r="Y82" s="1172"/>
      <c r="Z82" s="1172"/>
      <c r="AA82" s="1370">
        <f t="shared" ref="AA82:AH82" si="27">AA80-AA81</f>
        <v>0</v>
      </c>
      <c r="AB82" s="356">
        <f t="shared" si="27"/>
        <v>0</v>
      </c>
      <c r="AC82" s="356">
        <f t="shared" si="27"/>
        <v>0</v>
      </c>
      <c r="AD82" s="356">
        <f t="shared" si="27"/>
        <v>0</v>
      </c>
      <c r="AE82" s="503">
        <f t="shared" si="27"/>
        <v>0</v>
      </c>
      <c r="AF82" s="1370">
        <f t="shared" si="27"/>
        <v>0</v>
      </c>
      <c r="AG82" s="356">
        <f t="shared" si="27"/>
        <v>0</v>
      </c>
      <c r="AH82" s="503">
        <f t="shared" si="27"/>
        <v>0</v>
      </c>
    </row>
    <row r="83" spans="1:34" s="474" customFormat="1" ht="12.75" customHeight="1" outlineLevel="1">
      <c r="A83" s="262"/>
      <c r="B83" s="262"/>
      <c r="C83" s="262"/>
      <c r="D83" s="262"/>
      <c r="E83" s="4053" t="s">
        <v>1455</v>
      </c>
      <c r="F83" s="565" t="s">
        <v>559</v>
      </c>
      <c r="G83" s="374"/>
      <c r="H83" s="375"/>
      <c r="I83" s="375"/>
      <c r="J83" s="375"/>
      <c r="K83" s="1017"/>
      <c r="L83" s="374"/>
      <c r="M83" s="375"/>
      <c r="N83" s="375"/>
      <c r="O83" s="375"/>
      <c r="P83" s="375"/>
      <c r="Q83" s="375"/>
      <c r="R83" s="459"/>
      <c r="S83" s="458"/>
      <c r="T83" s="458"/>
      <c r="U83" s="458"/>
      <c r="V83" s="460"/>
      <c r="W83" s="1029"/>
      <c r="X83" s="1172"/>
      <c r="Y83" s="1172"/>
      <c r="Z83" s="1172"/>
      <c r="AA83" s="374"/>
      <c r="AB83" s="375"/>
      <c r="AC83" s="375"/>
      <c r="AD83" s="375"/>
      <c r="AE83" s="1017"/>
      <c r="AF83" s="374"/>
      <c r="AG83" s="375"/>
      <c r="AH83" s="1017"/>
    </row>
    <row r="84" spans="1:34" s="474" customFormat="1" ht="12.75" customHeight="1" outlineLevel="1">
      <c r="A84" s="262"/>
      <c r="B84" s="262"/>
      <c r="C84" s="262"/>
      <c r="D84" s="262"/>
      <c r="E84" s="4054"/>
      <c r="F84" s="2928" t="s">
        <v>558</v>
      </c>
      <c r="G84" s="374"/>
      <c r="H84" s="375"/>
      <c r="I84" s="375"/>
      <c r="J84" s="375"/>
      <c r="K84" s="1017"/>
      <c r="L84" s="374"/>
      <c r="M84" s="375"/>
      <c r="N84" s="375"/>
      <c r="O84" s="375"/>
      <c r="P84" s="375"/>
      <c r="Q84" s="375"/>
      <c r="R84" s="459"/>
      <c r="S84" s="458"/>
      <c r="T84" s="458"/>
      <c r="U84" s="458"/>
      <c r="V84" s="460"/>
      <c r="W84" s="1030"/>
      <c r="X84" s="1172"/>
      <c r="Y84" s="1172"/>
      <c r="Z84" s="1172"/>
      <c r="AA84" s="374"/>
      <c r="AB84" s="375"/>
      <c r="AC84" s="375"/>
      <c r="AD84" s="375"/>
      <c r="AE84" s="1017"/>
      <c r="AF84" s="374"/>
      <c r="AG84" s="375"/>
      <c r="AH84" s="1017"/>
    </row>
    <row r="85" spans="1:34" s="474" customFormat="1" ht="12.75" customHeight="1" outlineLevel="1">
      <c r="A85" s="262"/>
      <c r="B85" s="262"/>
      <c r="C85" s="262"/>
      <c r="D85" s="262"/>
      <c r="E85" s="4054"/>
      <c r="F85" s="2928" t="s">
        <v>578</v>
      </c>
      <c r="G85" s="374"/>
      <c r="H85" s="375"/>
      <c r="I85" s="375"/>
      <c r="J85" s="375"/>
      <c r="K85" s="1017"/>
      <c r="L85" s="374"/>
      <c r="M85" s="375"/>
      <c r="N85" s="375"/>
      <c r="O85" s="375"/>
      <c r="P85" s="375"/>
      <c r="Q85" s="375"/>
      <c r="R85" s="459"/>
      <c r="S85" s="458"/>
      <c r="T85" s="458"/>
      <c r="U85" s="458"/>
      <c r="V85" s="460"/>
      <c r="W85" s="1030"/>
      <c r="X85" s="1172"/>
      <c r="Y85" s="1172"/>
      <c r="Z85" s="1172"/>
      <c r="AA85" s="374"/>
      <c r="AB85" s="375"/>
      <c r="AC85" s="375"/>
      <c r="AD85" s="375"/>
      <c r="AE85" s="1017"/>
      <c r="AF85" s="374"/>
      <c r="AG85" s="375"/>
      <c r="AH85" s="1017"/>
    </row>
    <row r="86" spans="1:34" s="474" customFormat="1" ht="12.75" customHeight="1" outlineLevel="1">
      <c r="A86" s="262"/>
      <c r="B86" s="262"/>
      <c r="C86" s="262"/>
      <c r="D86" s="262"/>
      <c r="E86" s="4054"/>
      <c r="F86" s="2930" t="s">
        <v>579</v>
      </c>
      <c r="G86" s="459"/>
      <c r="H86" s="458"/>
      <c r="I86" s="458"/>
      <c r="J86" s="458"/>
      <c r="K86" s="460"/>
      <c r="L86" s="429">
        <v>56576.869999999995</v>
      </c>
      <c r="M86" s="476"/>
      <c r="N86" s="476"/>
      <c r="O86" s="476"/>
      <c r="P86" s="477"/>
      <c r="Q86" s="980"/>
      <c r="R86" s="353">
        <f>SUM(R83:R85)</f>
        <v>0</v>
      </c>
      <c r="S86" s="354">
        <f>SUM(S83:S85)</f>
        <v>0</v>
      </c>
      <c r="T86" s="354">
        <f>SUM(T83:T85)</f>
        <v>0</v>
      </c>
      <c r="U86" s="354">
        <f>SUM(U83:U85)</f>
        <v>0</v>
      </c>
      <c r="V86" s="450">
        <f>SUM(V83:V85)</f>
        <v>0</v>
      </c>
      <c r="W86" s="1030"/>
      <c r="X86" s="1172"/>
      <c r="Y86" s="1172"/>
      <c r="Z86" s="1172"/>
      <c r="AA86" s="462"/>
      <c r="AB86" s="463"/>
      <c r="AC86" s="463"/>
      <c r="AD86" s="463"/>
      <c r="AE86" s="464"/>
      <c r="AF86" s="511"/>
      <c r="AG86" s="512"/>
      <c r="AH86" s="547"/>
    </row>
    <row r="87" spans="1:34" s="474" customFormat="1" ht="12.75" customHeight="1" outlineLevel="1">
      <c r="A87" s="262"/>
      <c r="B87" s="262"/>
      <c r="C87" s="262"/>
      <c r="D87" s="262"/>
      <c r="E87" s="4054"/>
      <c r="F87" s="2928" t="s">
        <v>583</v>
      </c>
      <c r="G87" s="459"/>
      <c r="H87" s="458"/>
      <c r="I87" s="458"/>
      <c r="J87" s="458"/>
      <c r="K87" s="460"/>
      <c r="L87" s="429">
        <v>5091.9299999999994</v>
      </c>
      <c r="M87" s="476"/>
      <c r="N87" s="476"/>
      <c r="O87" s="476"/>
      <c r="P87" s="477"/>
      <c r="Q87" s="980"/>
      <c r="R87" s="564"/>
      <c r="S87" s="477"/>
      <c r="T87" s="477"/>
      <c r="U87" s="477"/>
      <c r="V87" s="519"/>
      <c r="W87" s="1030"/>
      <c r="X87" s="1172"/>
      <c r="Y87" s="1172"/>
      <c r="Z87" s="1172"/>
      <c r="AA87" s="462"/>
      <c r="AB87" s="463"/>
      <c r="AC87" s="463"/>
      <c r="AD87" s="463"/>
      <c r="AE87" s="464"/>
      <c r="AF87" s="511"/>
      <c r="AG87" s="512"/>
      <c r="AH87" s="547"/>
    </row>
    <row r="88" spans="1:34" s="474" customFormat="1" ht="12.75" customHeight="1" outlineLevel="1">
      <c r="A88" s="262"/>
      <c r="B88" s="262"/>
      <c r="C88" s="262"/>
      <c r="D88" s="262"/>
      <c r="E88" s="4054"/>
      <c r="F88" s="2928" t="s">
        <v>581</v>
      </c>
      <c r="G88" s="459"/>
      <c r="H88" s="458"/>
      <c r="I88" s="458"/>
      <c r="J88" s="458"/>
      <c r="K88" s="460"/>
      <c r="L88" s="459"/>
      <c r="M88" s="458"/>
      <c r="N88" s="458"/>
      <c r="O88" s="458"/>
      <c r="P88" s="475"/>
      <c r="Q88" s="980"/>
      <c r="R88" s="1034"/>
      <c r="S88" s="475"/>
      <c r="T88" s="475"/>
      <c r="U88" s="475"/>
      <c r="V88" s="518"/>
      <c r="W88" s="1030"/>
      <c r="X88" s="1172"/>
      <c r="Y88" s="1172"/>
      <c r="Z88" s="1172"/>
      <c r="AA88" s="462"/>
      <c r="AB88" s="463"/>
      <c r="AC88" s="463"/>
      <c r="AD88" s="463"/>
      <c r="AE88" s="464"/>
      <c r="AF88" s="462"/>
      <c r="AG88" s="463"/>
      <c r="AH88" s="464"/>
    </row>
    <row r="89" spans="1:34" s="474" customFormat="1" ht="12.75" customHeight="1" outlineLevel="1">
      <c r="A89" s="262"/>
      <c r="B89" s="262"/>
      <c r="C89" s="262"/>
      <c r="D89" s="262"/>
      <c r="E89" s="4054"/>
      <c r="F89" s="2930" t="s">
        <v>584</v>
      </c>
      <c r="G89" s="353">
        <f>SUM(G86:G88)</f>
        <v>0</v>
      </c>
      <c r="H89" s="354">
        <f t="shared" ref="H89:V89" si="28">SUM(H86:H88)</f>
        <v>0</v>
      </c>
      <c r="I89" s="354">
        <f t="shared" si="28"/>
        <v>0</v>
      </c>
      <c r="J89" s="354">
        <f t="shared" si="28"/>
        <v>0</v>
      </c>
      <c r="K89" s="450">
        <f t="shared" si="28"/>
        <v>0</v>
      </c>
      <c r="L89" s="353">
        <v>61668.799999999996</v>
      </c>
      <c r="M89" s="354">
        <f t="shared" si="28"/>
        <v>0</v>
      </c>
      <c r="N89" s="354">
        <f t="shared" si="28"/>
        <v>0</v>
      </c>
      <c r="O89" s="354">
        <f t="shared" si="28"/>
        <v>0</v>
      </c>
      <c r="P89" s="354">
        <f t="shared" si="28"/>
        <v>0</v>
      </c>
      <c r="Q89" s="1027">
        <f t="shared" si="28"/>
        <v>0</v>
      </c>
      <c r="R89" s="353">
        <f t="shared" si="28"/>
        <v>0</v>
      </c>
      <c r="S89" s="354">
        <f t="shared" si="28"/>
        <v>0</v>
      </c>
      <c r="T89" s="354">
        <f t="shared" si="28"/>
        <v>0</v>
      </c>
      <c r="U89" s="354">
        <f t="shared" si="28"/>
        <v>0</v>
      </c>
      <c r="V89" s="450">
        <f t="shared" si="28"/>
        <v>0</v>
      </c>
      <c r="W89" s="1030"/>
      <c r="X89" s="1172"/>
      <c r="Y89" s="1172"/>
      <c r="Z89" s="1172"/>
      <c r="AA89" s="353">
        <f>SUM(AA86:AA88)</f>
        <v>0</v>
      </c>
      <c r="AB89" s="354">
        <f t="shared" ref="AB89:AH89" si="29">SUM(AB86:AB88)</f>
        <v>0</v>
      </c>
      <c r="AC89" s="354">
        <f t="shared" si="29"/>
        <v>0</v>
      </c>
      <c r="AD89" s="354">
        <f t="shared" si="29"/>
        <v>0</v>
      </c>
      <c r="AE89" s="450">
        <f t="shared" si="29"/>
        <v>0</v>
      </c>
      <c r="AF89" s="353">
        <f t="shared" si="29"/>
        <v>0</v>
      </c>
      <c r="AG89" s="354">
        <f t="shared" si="29"/>
        <v>0</v>
      </c>
      <c r="AH89" s="450">
        <f t="shared" si="29"/>
        <v>0</v>
      </c>
    </row>
    <row r="90" spans="1:34" s="474" customFormat="1" ht="12.75" customHeight="1" outlineLevel="1">
      <c r="A90" s="262"/>
      <c r="B90" s="262"/>
      <c r="C90" s="262"/>
      <c r="D90" s="262"/>
      <c r="E90" s="4054"/>
      <c r="F90" s="2928" t="s">
        <v>35</v>
      </c>
      <c r="G90" s="459"/>
      <c r="H90" s="458"/>
      <c r="I90" s="458"/>
      <c r="J90" s="458"/>
      <c r="K90" s="460"/>
      <c r="L90" s="459"/>
      <c r="M90" s="458"/>
      <c r="N90" s="458"/>
      <c r="O90" s="458"/>
      <c r="P90" s="458"/>
      <c r="Q90" s="980"/>
      <c r="R90" s="459"/>
      <c r="S90" s="458"/>
      <c r="T90" s="458"/>
      <c r="U90" s="458"/>
      <c r="V90" s="460"/>
      <c r="W90" s="1030"/>
      <c r="X90" s="1172"/>
      <c r="Y90" s="1172"/>
      <c r="Z90" s="1172"/>
      <c r="AA90" s="462"/>
      <c r="AB90" s="463"/>
      <c r="AC90" s="463"/>
      <c r="AD90" s="463"/>
      <c r="AE90" s="464"/>
      <c r="AF90" s="462"/>
      <c r="AG90" s="463"/>
      <c r="AH90" s="464"/>
    </row>
    <row r="91" spans="1:34" s="474" customFormat="1" ht="13.5" customHeight="1" outlineLevel="1" thickBot="1">
      <c r="A91" s="262"/>
      <c r="B91" s="262"/>
      <c r="C91" s="262"/>
      <c r="D91" s="262"/>
      <c r="E91" s="4055"/>
      <c r="F91" s="357" t="s">
        <v>585</v>
      </c>
      <c r="G91" s="1370">
        <f t="shared" ref="G91:V91" si="30">G89-G90</f>
        <v>0</v>
      </c>
      <c r="H91" s="356">
        <f t="shared" si="30"/>
        <v>0</v>
      </c>
      <c r="I91" s="356">
        <f t="shared" si="30"/>
        <v>0</v>
      </c>
      <c r="J91" s="356">
        <f t="shared" si="30"/>
        <v>0</v>
      </c>
      <c r="K91" s="503">
        <f t="shared" si="30"/>
        <v>0</v>
      </c>
      <c r="L91" s="1370">
        <v>61668.799999999996</v>
      </c>
      <c r="M91" s="356">
        <f t="shared" si="30"/>
        <v>0</v>
      </c>
      <c r="N91" s="356">
        <f t="shared" si="30"/>
        <v>0</v>
      </c>
      <c r="O91" s="356">
        <f t="shared" si="30"/>
        <v>0</v>
      </c>
      <c r="P91" s="356">
        <f t="shared" si="30"/>
        <v>0</v>
      </c>
      <c r="Q91" s="1028">
        <f t="shared" si="30"/>
        <v>0</v>
      </c>
      <c r="R91" s="1370">
        <f t="shared" si="30"/>
        <v>0</v>
      </c>
      <c r="S91" s="356">
        <f t="shared" si="30"/>
        <v>0</v>
      </c>
      <c r="T91" s="356">
        <f t="shared" si="30"/>
        <v>0</v>
      </c>
      <c r="U91" s="356">
        <f t="shared" si="30"/>
        <v>0</v>
      </c>
      <c r="V91" s="503">
        <f t="shared" si="30"/>
        <v>0</v>
      </c>
      <c r="W91" s="1031"/>
      <c r="X91" s="1172"/>
      <c r="Y91" s="1172"/>
      <c r="Z91" s="1172"/>
      <c r="AA91" s="1370">
        <f t="shared" ref="AA91:AH91" si="31">AA89-AA90</f>
        <v>0</v>
      </c>
      <c r="AB91" s="356">
        <f t="shared" si="31"/>
        <v>0</v>
      </c>
      <c r="AC91" s="356">
        <f t="shared" si="31"/>
        <v>0</v>
      </c>
      <c r="AD91" s="356">
        <f t="shared" si="31"/>
        <v>0</v>
      </c>
      <c r="AE91" s="503">
        <f t="shared" si="31"/>
        <v>0</v>
      </c>
      <c r="AF91" s="1370">
        <f t="shared" si="31"/>
        <v>0</v>
      </c>
      <c r="AG91" s="356">
        <f t="shared" si="31"/>
        <v>0</v>
      </c>
      <c r="AH91" s="503">
        <f t="shared" si="31"/>
        <v>0</v>
      </c>
    </row>
    <row r="92" spans="1:34" s="474" customFormat="1" ht="12.75" customHeight="1" outlineLevel="1">
      <c r="A92" s="262"/>
      <c r="B92" s="262"/>
      <c r="C92" s="262"/>
      <c r="D92" s="262"/>
      <c r="E92" s="4053" t="s">
        <v>1456</v>
      </c>
      <c r="F92" s="565" t="s">
        <v>559</v>
      </c>
      <c r="G92" s="374"/>
      <c r="H92" s="375"/>
      <c r="I92" s="375"/>
      <c r="J92" s="375"/>
      <c r="K92" s="1017"/>
      <c r="L92" s="374"/>
      <c r="M92" s="375"/>
      <c r="N92" s="375"/>
      <c r="O92" s="375"/>
      <c r="P92" s="375"/>
      <c r="Q92" s="375"/>
      <c r="R92" s="459"/>
      <c r="S92" s="458"/>
      <c r="T92" s="458"/>
      <c r="U92" s="458"/>
      <c r="V92" s="460"/>
      <c r="W92" s="1029"/>
      <c r="X92" s="1172"/>
      <c r="Y92" s="1172"/>
      <c r="Z92" s="1172"/>
      <c r="AA92" s="374"/>
      <c r="AB92" s="375"/>
      <c r="AC92" s="375"/>
      <c r="AD92" s="375"/>
      <c r="AE92" s="1017"/>
      <c r="AF92" s="374"/>
      <c r="AG92" s="375"/>
      <c r="AH92" s="1017"/>
    </row>
    <row r="93" spans="1:34" s="474" customFormat="1" ht="12.75" customHeight="1" outlineLevel="1">
      <c r="A93" s="262"/>
      <c r="B93" s="262"/>
      <c r="C93" s="262"/>
      <c r="D93" s="262"/>
      <c r="E93" s="4054"/>
      <c r="F93" s="2928" t="s">
        <v>558</v>
      </c>
      <c r="G93" s="374"/>
      <c r="H93" s="375"/>
      <c r="I93" s="375"/>
      <c r="J93" s="375"/>
      <c r="K93" s="1017"/>
      <c r="L93" s="374"/>
      <c r="M93" s="375"/>
      <c r="N93" s="375"/>
      <c r="O93" s="375"/>
      <c r="P93" s="375"/>
      <c r="Q93" s="375"/>
      <c r="R93" s="459"/>
      <c r="S93" s="458"/>
      <c r="T93" s="458"/>
      <c r="U93" s="458"/>
      <c r="V93" s="460"/>
      <c r="W93" s="1030"/>
      <c r="X93" s="1172"/>
      <c r="Y93" s="1172"/>
      <c r="Z93" s="1172"/>
      <c r="AA93" s="374"/>
      <c r="AB93" s="375"/>
      <c r="AC93" s="375"/>
      <c r="AD93" s="375"/>
      <c r="AE93" s="1017"/>
      <c r="AF93" s="374"/>
      <c r="AG93" s="375"/>
      <c r="AH93" s="1017"/>
    </row>
    <row r="94" spans="1:34" s="474" customFormat="1" ht="12.75" customHeight="1" outlineLevel="1">
      <c r="A94" s="262"/>
      <c r="B94" s="262"/>
      <c r="C94" s="262"/>
      <c r="D94" s="262"/>
      <c r="E94" s="4054"/>
      <c r="F94" s="2928" t="s">
        <v>578</v>
      </c>
      <c r="G94" s="374"/>
      <c r="H94" s="375"/>
      <c r="I94" s="375"/>
      <c r="J94" s="375"/>
      <c r="K94" s="1017"/>
      <c r="L94" s="374"/>
      <c r="M94" s="375"/>
      <c r="N94" s="375"/>
      <c r="O94" s="375"/>
      <c r="P94" s="375"/>
      <c r="Q94" s="375"/>
      <c r="R94" s="459"/>
      <c r="S94" s="458"/>
      <c r="T94" s="458"/>
      <c r="U94" s="458"/>
      <c r="V94" s="460"/>
      <c r="W94" s="1030"/>
      <c r="X94" s="1172"/>
      <c r="Y94" s="1172"/>
      <c r="Z94" s="1172"/>
      <c r="AA94" s="374"/>
      <c r="AB94" s="375"/>
      <c r="AC94" s="375"/>
      <c r="AD94" s="375"/>
      <c r="AE94" s="1017"/>
      <c r="AF94" s="374"/>
      <c r="AG94" s="375"/>
      <c r="AH94" s="1017"/>
    </row>
    <row r="95" spans="1:34" s="474" customFormat="1" ht="12.75" customHeight="1" outlineLevel="1">
      <c r="A95" s="262"/>
      <c r="B95" s="262"/>
      <c r="C95" s="262"/>
      <c r="D95" s="262"/>
      <c r="E95" s="4054"/>
      <c r="F95" s="2930" t="s">
        <v>579</v>
      </c>
      <c r="G95" s="459"/>
      <c r="H95" s="458"/>
      <c r="I95" s="458"/>
      <c r="J95" s="458"/>
      <c r="K95" s="460"/>
      <c r="L95" s="429"/>
      <c r="M95" s="476"/>
      <c r="N95" s="476">
        <v>1520573.12</v>
      </c>
      <c r="O95" s="476"/>
      <c r="P95" s="477"/>
      <c r="Q95" s="980"/>
      <c r="R95" s="353">
        <f>SUM(R92:R94)</f>
        <v>0</v>
      </c>
      <c r="S95" s="354">
        <f>SUM(S92:S94)</f>
        <v>0</v>
      </c>
      <c r="T95" s="354">
        <f>SUM(T92:T94)</f>
        <v>0</v>
      </c>
      <c r="U95" s="354">
        <f>SUM(U92:U94)</f>
        <v>0</v>
      </c>
      <c r="V95" s="450">
        <f>SUM(V92:V94)</f>
        <v>0</v>
      </c>
      <c r="W95" s="1030"/>
      <c r="X95" s="1172"/>
      <c r="Y95" s="1172"/>
      <c r="Z95" s="1172"/>
      <c r="AA95" s="462"/>
      <c r="AB95" s="463"/>
      <c r="AC95" s="463"/>
      <c r="AD95" s="463"/>
      <c r="AE95" s="464"/>
      <c r="AF95" s="511"/>
      <c r="AG95" s="512"/>
      <c r="AH95" s="547"/>
    </row>
    <row r="96" spans="1:34" s="474" customFormat="1" ht="12.75" customHeight="1" outlineLevel="1">
      <c r="A96" s="262"/>
      <c r="B96" s="262"/>
      <c r="C96" s="262"/>
      <c r="D96" s="262"/>
      <c r="E96" s="4054"/>
      <c r="F96" s="2928" t="s">
        <v>583</v>
      </c>
      <c r="G96" s="459"/>
      <c r="H96" s="458"/>
      <c r="I96" s="458"/>
      <c r="J96" s="458"/>
      <c r="K96" s="460"/>
      <c r="L96" s="429"/>
      <c r="M96" s="476"/>
      <c r="N96" s="476">
        <v>139129.26</v>
      </c>
      <c r="O96" s="476"/>
      <c r="P96" s="477"/>
      <c r="Q96" s="980"/>
      <c r="R96" s="564"/>
      <c r="S96" s="477"/>
      <c r="T96" s="477"/>
      <c r="U96" s="477"/>
      <c r="V96" s="519"/>
      <c r="W96" s="1030"/>
      <c r="X96" s="1172"/>
      <c r="Y96" s="1172"/>
      <c r="Z96" s="1172"/>
      <c r="AA96" s="462"/>
      <c r="AB96" s="463"/>
      <c r="AC96" s="463"/>
      <c r="AD96" s="463"/>
      <c r="AE96" s="464"/>
      <c r="AF96" s="511"/>
      <c r="AG96" s="512"/>
      <c r="AH96" s="547"/>
    </row>
    <row r="97" spans="1:34" s="474" customFormat="1" ht="12.75" customHeight="1" outlineLevel="1">
      <c r="A97" s="262"/>
      <c r="B97" s="262"/>
      <c r="C97" s="262"/>
      <c r="D97" s="262"/>
      <c r="E97" s="4054"/>
      <c r="F97" s="2928" t="s">
        <v>581</v>
      </c>
      <c r="G97" s="459"/>
      <c r="H97" s="458"/>
      <c r="I97" s="458"/>
      <c r="J97" s="458"/>
      <c r="K97" s="460"/>
      <c r="L97" s="459"/>
      <c r="M97" s="458"/>
      <c r="N97" s="458"/>
      <c r="O97" s="458"/>
      <c r="P97" s="475"/>
      <c r="Q97" s="980"/>
      <c r="R97" s="1034"/>
      <c r="S97" s="475"/>
      <c r="T97" s="475"/>
      <c r="U97" s="475"/>
      <c r="V97" s="518"/>
      <c r="W97" s="1030"/>
      <c r="X97" s="1172"/>
      <c r="Y97" s="1172"/>
      <c r="Z97" s="1172"/>
      <c r="AA97" s="462"/>
      <c r="AB97" s="463"/>
      <c r="AC97" s="463"/>
      <c r="AD97" s="463"/>
      <c r="AE97" s="464"/>
      <c r="AF97" s="462"/>
      <c r="AG97" s="463"/>
      <c r="AH97" s="464"/>
    </row>
    <row r="98" spans="1:34" s="474" customFormat="1" ht="12.75" customHeight="1" outlineLevel="1">
      <c r="A98" s="262"/>
      <c r="B98" s="262"/>
      <c r="C98" s="262"/>
      <c r="D98" s="262"/>
      <c r="E98" s="4054"/>
      <c r="F98" s="2930" t="s">
        <v>584</v>
      </c>
      <c r="G98" s="353">
        <f>SUM(G95:G97)</f>
        <v>0</v>
      </c>
      <c r="H98" s="354">
        <f t="shared" ref="H98:V98" si="32">SUM(H95:H97)</f>
        <v>0</v>
      </c>
      <c r="I98" s="354">
        <f t="shared" si="32"/>
        <v>0</v>
      </c>
      <c r="J98" s="354">
        <f t="shared" si="32"/>
        <v>0</v>
      </c>
      <c r="K98" s="450">
        <f t="shared" si="32"/>
        <v>0</v>
      </c>
      <c r="L98" s="353">
        <f t="shared" si="32"/>
        <v>0</v>
      </c>
      <c r="M98" s="354">
        <f t="shared" si="32"/>
        <v>0</v>
      </c>
      <c r="N98" s="354">
        <f t="shared" si="32"/>
        <v>1659702.3800000001</v>
      </c>
      <c r="O98" s="354">
        <f t="shared" si="32"/>
        <v>0</v>
      </c>
      <c r="P98" s="354">
        <f t="shared" si="32"/>
        <v>0</v>
      </c>
      <c r="Q98" s="1027">
        <f t="shared" si="32"/>
        <v>0</v>
      </c>
      <c r="R98" s="353">
        <f t="shared" si="32"/>
        <v>0</v>
      </c>
      <c r="S98" s="354">
        <f t="shared" si="32"/>
        <v>0</v>
      </c>
      <c r="T98" s="354">
        <f t="shared" si="32"/>
        <v>0</v>
      </c>
      <c r="U98" s="354">
        <f t="shared" si="32"/>
        <v>0</v>
      </c>
      <c r="V98" s="450">
        <f t="shared" si="32"/>
        <v>0</v>
      </c>
      <c r="W98" s="1030"/>
      <c r="X98" s="1172"/>
      <c r="Y98" s="1172"/>
      <c r="Z98" s="1172"/>
      <c r="AA98" s="353">
        <f>SUM(AA95:AA97)</f>
        <v>0</v>
      </c>
      <c r="AB98" s="354">
        <f t="shared" ref="AB98:AH98" si="33">SUM(AB95:AB97)</f>
        <v>0</v>
      </c>
      <c r="AC98" s="354">
        <f t="shared" si="33"/>
        <v>0</v>
      </c>
      <c r="AD98" s="354">
        <f t="shared" si="33"/>
        <v>0</v>
      </c>
      <c r="AE98" s="450">
        <f t="shared" si="33"/>
        <v>0</v>
      </c>
      <c r="AF98" s="353">
        <f t="shared" si="33"/>
        <v>0</v>
      </c>
      <c r="AG98" s="354">
        <f t="shared" si="33"/>
        <v>0</v>
      </c>
      <c r="AH98" s="450">
        <f t="shared" si="33"/>
        <v>0</v>
      </c>
    </row>
    <row r="99" spans="1:34" s="474" customFormat="1" ht="12.75" customHeight="1" outlineLevel="1">
      <c r="A99" s="262"/>
      <c r="B99" s="262"/>
      <c r="C99" s="262"/>
      <c r="D99" s="262"/>
      <c r="E99" s="4054"/>
      <c r="F99" s="2928" t="s">
        <v>35</v>
      </c>
      <c r="G99" s="459"/>
      <c r="H99" s="458"/>
      <c r="I99" s="458"/>
      <c r="J99" s="458"/>
      <c r="K99" s="460"/>
      <c r="L99" s="459"/>
      <c r="M99" s="458"/>
      <c r="N99" s="458"/>
      <c r="O99" s="458"/>
      <c r="P99" s="458"/>
      <c r="Q99" s="980"/>
      <c r="R99" s="459"/>
      <c r="S99" s="458"/>
      <c r="T99" s="458"/>
      <c r="U99" s="458"/>
      <c r="V99" s="460"/>
      <c r="W99" s="1030"/>
      <c r="X99" s="1172"/>
      <c r="Y99" s="1172"/>
      <c r="Z99" s="1172"/>
      <c r="AA99" s="462"/>
      <c r="AB99" s="463"/>
      <c r="AC99" s="463"/>
      <c r="AD99" s="463"/>
      <c r="AE99" s="464"/>
      <c r="AF99" s="462"/>
      <c r="AG99" s="463"/>
      <c r="AH99" s="464"/>
    </row>
    <row r="100" spans="1:34" s="474" customFormat="1" ht="13.5" customHeight="1" outlineLevel="1" thickBot="1">
      <c r="A100" s="262"/>
      <c r="B100" s="262"/>
      <c r="C100" s="262"/>
      <c r="D100" s="262"/>
      <c r="E100" s="4055"/>
      <c r="F100" s="357" t="s">
        <v>585</v>
      </c>
      <c r="G100" s="1370">
        <f t="shared" ref="G100:V100" si="34">G98-G99</f>
        <v>0</v>
      </c>
      <c r="H100" s="356">
        <f t="shared" si="34"/>
        <v>0</v>
      </c>
      <c r="I100" s="356">
        <f t="shared" si="34"/>
        <v>0</v>
      </c>
      <c r="J100" s="356">
        <f t="shared" si="34"/>
        <v>0</v>
      </c>
      <c r="K100" s="503">
        <f t="shared" si="34"/>
        <v>0</v>
      </c>
      <c r="L100" s="1370">
        <f t="shared" si="34"/>
        <v>0</v>
      </c>
      <c r="M100" s="356">
        <f t="shared" si="34"/>
        <v>0</v>
      </c>
      <c r="N100" s="356">
        <f t="shared" si="34"/>
        <v>1659702.3800000001</v>
      </c>
      <c r="O100" s="356">
        <f t="shared" si="34"/>
        <v>0</v>
      </c>
      <c r="P100" s="356">
        <f t="shared" si="34"/>
        <v>0</v>
      </c>
      <c r="Q100" s="1028">
        <f t="shared" si="34"/>
        <v>0</v>
      </c>
      <c r="R100" s="1370">
        <f t="shared" si="34"/>
        <v>0</v>
      </c>
      <c r="S100" s="356">
        <f t="shared" si="34"/>
        <v>0</v>
      </c>
      <c r="T100" s="356">
        <f t="shared" si="34"/>
        <v>0</v>
      </c>
      <c r="U100" s="356">
        <f t="shared" si="34"/>
        <v>0</v>
      </c>
      <c r="V100" s="503">
        <f t="shared" si="34"/>
        <v>0</v>
      </c>
      <c r="W100" s="1031"/>
      <c r="X100" s="1172"/>
      <c r="Y100" s="1172"/>
      <c r="Z100" s="1172"/>
      <c r="AA100" s="1370">
        <f t="shared" ref="AA100:AH100" si="35">AA98-AA99</f>
        <v>0</v>
      </c>
      <c r="AB100" s="356">
        <f t="shared" si="35"/>
        <v>0</v>
      </c>
      <c r="AC100" s="356">
        <f t="shared" si="35"/>
        <v>0</v>
      </c>
      <c r="AD100" s="356">
        <f t="shared" si="35"/>
        <v>0</v>
      </c>
      <c r="AE100" s="503">
        <f t="shared" si="35"/>
        <v>0</v>
      </c>
      <c r="AF100" s="1370">
        <f t="shared" si="35"/>
        <v>0</v>
      </c>
      <c r="AG100" s="356">
        <f t="shared" si="35"/>
        <v>0</v>
      </c>
      <c r="AH100" s="503">
        <f t="shared" si="35"/>
        <v>0</v>
      </c>
    </row>
    <row r="101" spans="1:34" s="474" customFormat="1" ht="18" customHeight="1" outlineLevel="1">
      <c r="A101" s="262"/>
      <c r="B101" s="262"/>
      <c r="C101" s="262"/>
      <c r="D101" s="262"/>
      <c r="E101" s="4053" t="s">
        <v>1457</v>
      </c>
      <c r="F101" s="565" t="s">
        <v>559</v>
      </c>
      <c r="G101" s="374"/>
      <c r="H101" s="375"/>
      <c r="I101" s="375"/>
      <c r="J101" s="375"/>
      <c r="K101" s="1017"/>
      <c r="L101" s="374"/>
      <c r="M101" s="375"/>
      <c r="N101" s="375"/>
      <c r="O101" s="375"/>
      <c r="P101" s="375"/>
      <c r="Q101" s="375"/>
      <c r="R101" s="459"/>
      <c r="S101" s="458"/>
      <c r="T101" s="458"/>
      <c r="U101" s="458"/>
      <c r="V101" s="460"/>
      <c r="W101" s="1029"/>
      <c r="X101" s="1172"/>
      <c r="Y101" s="1172"/>
      <c r="Z101" s="1172"/>
      <c r="AA101" s="378"/>
      <c r="AB101" s="379"/>
      <c r="AC101" s="379"/>
      <c r="AD101" s="379"/>
      <c r="AE101" s="381"/>
      <c r="AF101" s="378"/>
      <c r="AG101" s="379"/>
      <c r="AH101" s="381"/>
    </row>
    <row r="102" spans="1:34" s="474" customFormat="1" ht="12.75" customHeight="1" outlineLevel="1">
      <c r="A102" s="262"/>
      <c r="B102" s="262"/>
      <c r="C102" s="262"/>
      <c r="D102" s="262"/>
      <c r="E102" s="4054"/>
      <c r="F102" s="2928" t="s">
        <v>558</v>
      </c>
      <c r="G102" s="374"/>
      <c r="H102" s="375"/>
      <c r="I102" s="375"/>
      <c r="J102" s="375"/>
      <c r="K102" s="1017"/>
      <c r="L102" s="374"/>
      <c r="M102" s="375"/>
      <c r="N102" s="375"/>
      <c r="O102" s="375"/>
      <c r="P102" s="375"/>
      <c r="Q102" s="375"/>
      <c r="R102" s="459"/>
      <c r="S102" s="458"/>
      <c r="T102" s="458"/>
      <c r="U102" s="458"/>
      <c r="V102" s="460"/>
      <c r="W102" s="1030"/>
      <c r="X102" s="1172"/>
      <c r="Y102" s="1172"/>
      <c r="Z102" s="1172"/>
      <c r="AA102" s="374"/>
      <c r="AB102" s="375"/>
      <c r="AC102" s="375"/>
      <c r="AD102" s="375"/>
      <c r="AE102" s="1017"/>
      <c r="AF102" s="374"/>
      <c r="AG102" s="375"/>
      <c r="AH102" s="1017"/>
    </row>
    <row r="103" spans="1:34" s="474" customFormat="1" ht="12.75" customHeight="1" outlineLevel="1">
      <c r="A103" s="262"/>
      <c r="B103" s="262"/>
      <c r="C103" s="262"/>
      <c r="D103" s="262"/>
      <c r="E103" s="4054"/>
      <c r="F103" s="2928" t="s">
        <v>578</v>
      </c>
      <c r="G103" s="374"/>
      <c r="H103" s="375"/>
      <c r="I103" s="375"/>
      <c r="J103" s="375"/>
      <c r="K103" s="1017"/>
      <c r="L103" s="374"/>
      <c r="M103" s="375"/>
      <c r="N103" s="375"/>
      <c r="O103" s="375"/>
      <c r="P103" s="375"/>
      <c r="Q103" s="375"/>
      <c r="R103" s="459"/>
      <c r="S103" s="458"/>
      <c r="T103" s="458"/>
      <c r="U103" s="458"/>
      <c r="V103" s="460"/>
      <c r="W103" s="1030"/>
      <c r="X103" s="1172"/>
      <c r="Y103" s="1172"/>
      <c r="Z103" s="1172"/>
      <c r="AA103" s="374"/>
      <c r="AB103" s="375"/>
      <c r="AC103" s="375"/>
      <c r="AD103" s="375"/>
      <c r="AE103" s="1017"/>
      <c r="AF103" s="374"/>
      <c r="AG103" s="375"/>
      <c r="AH103" s="1017"/>
    </row>
    <row r="104" spans="1:34" s="474" customFormat="1" ht="12.75" customHeight="1" outlineLevel="1">
      <c r="A104" s="262"/>
      <c r="B104" s="262"/>
      <c r="C104" s="262"/>
      <c r="D104" s="262"/>
      <c r="E104" s="4054"/>
      <c r="F104" s="2930" t="s">
        <v>579</v>
      </c>
      <c r="G104" s="459"/>
      <c r="H104" s="458"/>
      <c r="I104" s="458"/>
      <c r="J104" s="458"/>
      <c r="K104" s="460"/>
      <c r="L104" s="429"/>
      <c r="M104" s="476"/>
      <c r="N104" s="476">
        <v>506962.95</v>
      </c>
      <c r="O104" s="476"/>
      <c r="P104" s="477"/>
      <c r="Q104" s="980"/>
      <c r="R104" s="353">
        <f>SUM(R101:R103)</f>
        <v>0</v>
      </c>
      <c r="S104" s="354">
        <f>SUM(S101:S103)</f>
        <v>0</v>
      </c>
      <c r="T104" s="354">
        <f>SUM(T101:T103)</f>
        <v>0</v>
      </c>
      <c r="U104" s="354">
        <f>SUM(U101:U103)</f>
        <v>0</v>
      </c>
      <c r="V104" s="450">
        <f>SUM(V101:V103)</f>
        <v>0</v>
      </c>
      <c r="W104" s="1030"/>
      <c r="X104" s="1172"/>
      <c r="Y104" s="1172"/>
      <c r="Z104" s="1172"/>
      <c r="AA104" s="462"/>
      <c r="AB104" s="463"/>
      <c r="AC104" s="463"/>
      <c r="AD104" s="463"/>
      <c r="AE104" s="464"/>
      <c r="AF104" s="511"/>
      <c r="AG104" s="512"/>
      <c r="AH104" s="547"/>
    </row>
    <row r="105" spans="1:34" s="474" customFormat="1" ht="12.75" customHeight="1" outlineLevel="1">
      <c r="A105" s="262"/>
      <c r="B105" s="262"/>
      <c r="C105" s="262"/>
      <c r="D105" s="262"/>
      <c r="E105" s="4054"/>
      <c r="F105" s="2928" t="s">
        <v>583</v>
      </c>
      <c r="G105" s="459"/>
      <c r="H105" s="458"/>
      <c r="I105" s="458"/>
      <c r="J105" s="458"/>
      <c r="K105" s="460"/>
      <c r="L105" s="429"/>
      <c r="M105" s="476"/>
      <c r="N105" s="476">
        <v>34889.289999999994</v>
      </c>
      <c r="O105" s="476"/>
      <c r="P105" s="477"/>
      <c r="Q105" s="980"/>
      <c r="R105" s="564"/>
      <c r="S105" s="477"/>
      <c r="T105" s="477"/>
      <c r="U105" s="477"/>
      <c r="V105" s="519"/>
      <c r="W105" s="1030"/>
      <c r="X105" s="1172"/>
      <c r="Y105" s="1172"/>
      <c r="Z105" s="1172"/>
      <c r="AA105" s="462"/>
      <c r="AB105" s="463"/>
      <c r="AC105" s="463"/>
      <c r="AD105" s="463"/>
      <c r="AE105" s="464"/>
      <c r="AF105" s="511"/>
      <c r="AG105" s="512"/>
      <c r="AH105" s="547"/>
    </row>
    <row r="106" spans="1:34" s="474" customFormat="1" ht="12.75" customHeight="1" outlineLevel="1">
      <c r="A106" s="262"/>
      <c r="B106" s="262"/>
      <c r="C106" s="262"/>
      <c r="D106" s="262"/>
      <c r="E106" s="4054"/>
      <c r="F106" s="2928" t="s">
        <v>581</v>
      </c>
      <c r="G106" s="459"/>
      <c r="H106" s="458"/>
      <c r="I106" s="458"/>
      <c r="J106" s="458"/>
      <c r="K106" s="460"/>
      <c r="L106" s="459"/>
      <c r="M106" s="458"/>
      <c r="N106" s="458"/>
      <c r="O106" s="458"/>
      <c r="P106" s="475"/>
      <c r="Q106" s="980"/>
      <c r="R106" s="1034"/>
      <c r="S106" s="475"/>
      <c r="T106" s="475"/>
      <c r="U106" s="475"/>
      <c r="V106" s="518"/>
      <c r="W106" s="1030"/>
      <c r="X106" s="1172"/>
      <c r="Y106" s="1172"/>
      <c r="Z106" s="1172"/>
      <c r="AA106" s="462"/>
      <c r="AB106" s="463"/>
      <c r="AC106" s="463"/>
      <c r="AD106" s="463"/>
      <c r="AE106" s="464"/>
      <c r="AF106" s="462"/>
      <c r="AG106" s="463"/>
      <c r="AH106" s="464"/>
    </row>
    <row r="107" spans="1:34" s="474" customFormat="1" ht="12.75" customHeight="1" outlineLevel="1">
      <c r="A107" s="262"/>
      <c r="B107" s="262"/>
      <c r="C107" s="262"/>
      <c r="D107" s="262"/>
      <c r="E107" s="4054"/>
      <c r="F107" s="2930" t="s">
        <v>584</v>
      </c>
      <c r="G107" s="353">
        <f>SUM(G104:G106)</f>
        <v>0</v>
      </c>
      <c r="H107" s="354">
        <f t="shared" ref="H107:V107" si="36">SUM(H104:H106)</f>
        <v>0</v>
      </c>
      <c r="I107" s="354">
        <f t="shared" si="36"/>
        <v>0</v>
      </c>
      <c r="J107" s="354">
        <f t="shared" si="36"/>
        <v>0</v>
      </c>
      <c r="K107" s="450">
        <f t="shared" si="36"/>
        <v>0</v>
      </c>
      <c r="L107" s="353">
        <f t="shared" si="36"/>
        <v>0</v>
      </c>
      <c r="M107" s="354">
        <f t="shared" si="36"/>
        <v>0</v>
      </c>
      <c r="N107" s="354">
        <f t="shared" si="36"/>
        <v>541852.24</v>
      </c>
      <c r="O107" s="354">
        <f t="shared" si="36"/>
        <v>0</v>
      </c>
      <c r="P107" s="354">
        <f t="shared" si="36"/>
        <v>0</v>
      </c>
      <c r="Q107" s="1027">
        <f t="shared" si="36"/>
        <v>0</v>
      </c>
      <c r="R107" s="353">
        <f t="shared" si="36"/>
        <v>0</v>
      </c>
      <c r="S107" s="354">
        <f t="shared" si="36"/>
        <v>0</v>
      </c>
      <c r="T107" s="354">
        <f t="shared" si="36"/>
        <v>0</v>
      </c>
      <c r="U107" s="354">
        <f t="shared" si="36"/>
        <v>0</v>
      </c>
      <c r="V107" s="450">
        <f t="shared" si="36"/>
        <v>0</v>
      </c>
      <c r="W107" s="1030"/>
      <c r="X107" s="1172"/>
      <c r="Y107" s="1172"/>
      <c r="Z107" s="1172"/>
      <c r="AA107" s="353">
        <f>SUM(AA104:AA106)</f>
        <v>0</v>
      </c>
      <c r="AB107" s="354">
        <f t="shared" ref="AB107:AH107" si="37">SUM(AB104:AB106)</f>
        <v>0</v>
      </c>
      <c r="AC107" s="354">
        <f t="shared" si="37"/>
        <v>0</v>
      </c>
      <c r="AD107" s="354">
        <f t="shared" si="37"/>
        <v>0</v>
      </c>
      <c r="AE107" s="450">
        <f t="shared" si="37"/>
        <v>0</v>
      </c>
      <c r="AF107" s="353">
        <f t="shared" si="37"/>
        <v>0</v>
      </c>
      <c r="AG107" s="354">
        <f t="shared" si="37"/>
        <v>0</v>
      </c>
      <c r="AH107" s="450">
        <f t="shared" si="37"/>
        <v>0</v>
      </c>
    </row>
    <row r="108" spans="1:34" s="474" customFormat="1" ht="12.75" customHeight="1" outlineLevel="1">
      <c r="A108" s="262"/>
      <c r="B108" s="262"/>
      <c r="C108" s="262"/>
      <c r="D108" s="262"/>
      <c r="E108" s="4054"/>
      <c r="F108" s="2928" t="s">
        <v>35</v>
      </c>
      <c r="G108" s="459"/>
      <c r="H108" s="458"/>
      <c r="I108" s="458"/>
      <c r="J108" s="458"/>
      <c r="K108" s="460"/>
      <c r="L108" s="459"/>
      <c r="M108" s="458"/>
      <c r="N108" s="458"/>
      <c r="O108" s="458"/>
      <c r="P108" s="458"/>
      <c r="Q108" s="980"/>
      <c r="R108" s="459"/>
      <c r="S108" s="458"/>
      <c r="T108" s="458"/>
      <c r="U108" s="458"/>
      <c r="V108" s="460"/>
      <c r="W108" s="1030"/>
      <c r="X108" s="1172"/>
      <c r="Y108" s="1172"/>
      <c r="Z108" s="1172"/>
      <c r="AA108" s="462"/>
      <c r="AB108" s="463"/>
      <c r="AC108" s="463"/>
      <c r="AD108" s="463"/>
      <c r="AE108" s="464"/>
      <c r="AF108" s="462"/>
      <c r="AG108" s="463"/>
      <c r="AH108" s="464"/>
    </row>
    <row r="109" spans="1:34" s="474" customFormat="1" ht="13.5" customHeight="1" outlineLevel="1" thickBot="1">
      <c r="A109" s="262"/>
      <c r="B109" s="262"/>
      <c r="C109" s="262"/>
      <c r="D109" s="262"/>
      <c r="E109" s="4055"/>
      <c r="F109" s="357" t="s">
        <v>585</v>
      </c>
      <c r="G109" s="1370">
        <f t="shared" ref="G109:V109" si="38">G107-G108</f>
        <v>0</v>
      </c>
      <c r="H109" s="356">
        <f t="shared" si="38"/>
        <v>0</v>
      </c>
      <c r="I109" s="356">
        <f t="shared" si="38"/>
        <v>0</v>
      </c>
      <c r="J109" s="356">
        <f t="shared" si="38"/>
        <v>0</v>
      </c>
      <c r="K109" s="503">
        <f t="shared" si="38"/>
        <v>0</v>
      </c>
      <c r="L109" s="1370">
        <f t="shared" si="38"/>
        <v>0</v>
      </c>
      <c r="M109" s="356">
        <f t="shared" si="38"/>
        <v>0</v>
      </c>
      <c r="N109" s="356">
        <f t="shared" si="38"/>
        <v>541852.24</v>
      </c>
      <c r="O109" s="356">
        <f t="shared" si="38"/>
        <v>0</v>
      </c>
      <c r="P109" s="356">
        <f t="shared" si="38"/>
        <v>0</v>
      </c>
      <c r="Q109" s="1028">
        <f t="shared" si="38"/>
        <v>0</v>
      </c>
      <c r="R109" s="1370">
        <f t="shared" si="38"/>
        <v>0</v>
      </c>
      <c r="S109" s="356">
        <f t="shared" si="38"/>
        <v>0</v>
      </c>
      <c r="T109" s="356">
        <f t="shared" si="38"/>
        <v>0</v>
      </c>
      <c r="U109" s="356">
        <f t="shared" si="38"/>
        <v>0</v>
      </c>
      <c r="V109" s="503">
        <f t="shared" si="38"/>
        <v>0</v>
      </c>
      <c r="W109" s="1031"/>
      <c r="X109" s="1172"/>
      <c r="Y109" s="1172"/>
      <c r="Z109" s="1172"/>
      <c r="AA109" s="1370">
        <f>AA107-AA108</f>
        <v>0</v>
      </c>
      <c r="AB109" s="356">
        <f>AB107-AB108</f>
        <v>0</v>
      </c>
      <c r="AC109" s="356">
        <f>AC107-AC108</f>
        <v>0</v>
      </c>
      <c r="AD109" s="356">
        <f>AD107-AD108</f>
        <v>0</v>
      </c>
      <c r="AE109" s="503">
        <f>AE107-AE108</f>
        <v>0</v>
      </c>
      <c r="AF109" s="1370">
        <f t="shared" ref="AF109:AH109" si="39">AF107-AF108</f>
        <v>0</v>
      </c>
      <c r="AG109" s="356">
        <f t="shared" si="39"/>
        <v>0</v>
      </c>
      <c r="AH109" s="503">
        <f t="shared" si="39"/>
        <v>0</v>
      </c>
    </row>
    <row r="110" spans="1:34" s="474" customFormat="1" ht="12.75" customHeight="1" outlineLevel="1">
      <c r="A110" s="262"/>
      <c r="B110" s="262"/>
      <c r="C110" s="262"/>
      <c r="D110" s="262"/>
      <c r="E110" s="4053" t="s">
        <v>1458</v>
      </c>
      <c r="F110" s="565" t="s">
        <v>559</v>
      </c>
      <c r="G110" s="374"/>
      <c r="H110" s="375"/>
      <c r="I110" s="375"/>
      <c r="J110" s="375"/>
      <c r="K110" s="1017"/>
      <c r="L110" s="374"/>
      <c r="M110" s="375"/>
      <c r="N110" s="375"/>
      <c r="O110" s="375"/>
      <c r="P110" s="375"/>
      <c r="Q110" s="375"/>
      <c r="R110" s="459"/>
      <c r="S110" s="458"/>
      <c r="T110" s="458"/>
      <c r="U110" s="458"/>
      <c r="V110" s="460"/>
      <c r="W110" s="1029"/>
      <c r="X110" s="1172"/>
      <c r="Y110" s="1172"/>
      <c r="Z110" s="1172"/>
      <c r="AA110" s="374"/>
      <c r="AB110" s="375"/>
      <c r="AC110" s="375"/>
      <c r="AD110" s="375"/>
      <c r="AE110" s="1017"/>
      <c r="AF110" s="374"/>
      <c r="AG110" s="375"/>
      <c r="AH110" s="1017"/>
    </row>
    <row r="111" spans="1:34" s="474" customFormat="1" ht="12.75" customHeight="1" outlineLevel="1">
      <c r="A111" s="262"/>
      <c r="B111" s="262"/>
      <c r="C111" s="262"/>
      <c r="D111" s="262"/>
      <c r="E111" s="4054"/>
      <c r="F111" s="2928" t="s">
        <v>558</v>
      </c>
      <c r="G111" s="374"/>
      <c r="H111" s="375"/>
      <c r="I111" s="375"/>
      <c r="J111" s="375"/>
      <c r="K111" s="1017"/>
      <c r="L111" s="374"/>
      <c r="M111" s="375"/>
      <c r="N111" s="375"/>
      <c r="O111" s="375"/>
      <c r="P111" s="375"/>
      <c r="Q111" s="375"/>
      <c r="R111" s="459"/>
      <c r="S111" s="458"/>
      <c r="T111" s="458"/>
      <c r="U111" s="458"/>
      <c r="V111" s="460"/>
      <c r="W111" s="1030"/>
      <c r="X111" s="1172"/>
      <c r="Y111" s="1172"/>
      <c r="Z111" s="1172"/>
      <c r="AA111" s="374"/>
      <c r="AB111" s="375"/>
      <c r="AC111" s="375"/>
      <c r="AD111" s="375"/>
      <c r="AE111" s="1017"/>
      <c r="AF111" s="374"/>
      <c r="AG111" s="375"/>
      <c r="AH111" s="1017"/>
    </row>
    <row r="112" spans="1:34" s="474" customFormat="1" ht="12.75" customHeight="1" outlineLevel="1">
      <c r="A112" s="262"/>
      <c r="B112" s="262"/>
      <c r="C112" s="262"/>
      <c r="D112" s="262"/>
      <c r="E112" s="4054"/>
      <c r="F112" s="2928" t="s">
        <v>578</v>
      </c>
      <c r="G112" s="374"/>
      <c r="H112" s="375"/>
      <c r="I112" s="375"/>
      <c r="J112" s="375"/>
      <c r="K112" s="1017"/>
      <c r="L112" s="374"/>
      <c r="M112" s="375"/>
      <c r="N112" s="375"/>
      <c r="O112" s="375"/>
      <c r="P112" s="375"/>
      <c r="Q112" s="375"/>
      <c r="R112" s="459"/>
      <c r="S112" s="458"/>
      <c r="T112" s="458"/>
      <c r="U112" s="458"/>
      <c r="V112" s="460"/>
      <c r="W112" s="1030"/>
      <c r="X112" s="1172"/>
      <c r="Y112" s="1172"/>
      <c r="Z112" s="1172"/>
      <c r="AA112" s="374"/>
      <c r="AB112" s="375"/>
      <c r="AC112" s="375"/>
      <c r="AD112" s="375"/>
      <c r="AE112" s="1017"/>
      <c r="AF112" s="374"/>
      <c r="AG112" s="375"/>
      <c r="AH112" s="1017"/>
    </row>
    <row r="113" spans="1:34" s="474" customFormat="1" ht="12.75" customHeight="1" outlineLevel="1">
      <c r="A113" s="262"/>
      <c r="B113" s="262"/>
      <c r="C113" s="262"/>
      <c r="D113" s="262"/>
      <c r="E113" s="4054"/>
      <c r="F113" s="2930" t="s">
        <v>579</v>
      </c>
      <c r="G113" s="459"/>
      <c r="H113" s="458"/>
      <c r="I113" s="458"/>
      <c r="J113" s="458"/>
      <c r="K113" s="460"/>
      <c r="L113" s="429"/>
      <c r="M113" s="476"/>
      <c r="N113" s="476">
        <v>126845.12</v>
      </c>
      <c r="O113" s="476"/>
      <c r="P113" s="477"/>
      <c r="Q113" s="980"/>
      <c r="R113" s="353">
        <f>SUM(R110:R112)</f>
        <v>0</v>
      </c>
      <c r="S113" s="354">
        <f>SUM(S110:S112)</f>
        <v>0</v>
      </c>
      <c r="T113" s="354">
        <f>SUM(T110:T112)</f>
        <v>0</v>
      </c>
      <c r="U113" s="354">
        <f>SUM(U110:U112)</f>
        <v>0</v>
      </c>
      <c r="V113" s="450">
        <f>SUM(V110:V112)</f>
        <v>0</v>
      </c>
      <c r="W113" s="1030"/>
      <c r="X113" s="1172"/>
      <c r="Y113" s="1172"/>
      <c r="Z113" s="1172"/>
      <c r="AA113" s="462"/>
      <c r="AB113" s="463"/>
      <c r="AC113" s="463"/>
      <c r="AD113" s="463"/>
      <c r="AE113" s="464"/>
      <c r="AF113" s="511"/>
      <c r="AG113" s="512"/>
      <c r="AH113" s="547"/>
    </row>
    <row r="114" spans="1:34" s="474" customFormat="1" ht="12.75" customHeight="1" outlineLevel="1">
      <c r="A114" s="262"/>
      <c r="B114" s="262"/>
      <c r="C114" s="262"/>
      <c r="D114" s="262"/>
      <c r="E114" s="4054"/>
      <c r="F114" s="2928" t="s">
        <v>583</v>
      </c>
      <c r="G114" s="459"/>
      <c r="H114" s="458"/>
      <c r="I114" s="458"/>
      <c r="J114" s="458"/>
      <c r="K114" s="460"/>
      <c r="L114" s="429"/>
      <c r="M114" s="476"/>
      <c r="N114" s="476">
        <v>4179.18</v>
      </c>
      <c r="O114" s="476"/>
      <c r="P114" s="477"/>
      <c r="Q114" s="980"/>
      <c r="R114" s="564"/>
      <c r="S114" s="477"/>
      <c r="T114" s="477"/>
      <c r="U114" s="477"/>
      <c r="V114" s="519"/>
      <c r="W114" s="1030"/>
      <c r="X114" s="1172"/>
      <c r="Y114" s="1172"/>
      <c r="Z114" s="1172"/>
      <c r="AA114" s="462"/>
      <c r="AB114" s="463"/>
      <c r="AC114" s="463"/>
      <c r="AD114" s="463"/>
      <c r="AE114" s="464"/>
      <c r="AF114" s="511"/>
      <c r="AG114" s="512"/>
      <c r="AH114" s="547"/>
    </row>
    <row r="115" spans="1:34" s="474" customFormat="1" ht="12.75" customHeight="1" outlineLevel="1">
      <c r="A115" s="262"/>
      <c r="B115" s="262"/>
      <c r="C115" s="262"/>
      <c r="D115" s="262"/>
      <c r="E115" s="4054"/>
      <c r="F115" s="2928" t="s">
        <v>581</v>
      </c>
      <c r="G115" s="459"/>
      <c r="H115" s="458"/>
      <c r="I115" s="458"/>
      <c r="J115" s="458"/>
      <c r="K115" s="460"/>
      <c r="L115" s="459"/>
      <c r="M115" s="458"/>
      <c r="N115" s="458">
        <v>0</v>
      </c>
      <c r="O115" s="458"/>
      <c r="P115" s="475"/>
      <c r="Q115" s="980"/>
      <c r="R115" s="1034"/>
      <c r="S115" s="475"/>
      <c r="T115" s="475"/>
      <c r="U115" s="475"/>
      <c r="V115" s="518"/>
      <c r="W115" s="1030"/>
      <c r="X115" s="1172"/>
      <c r="Y115" s="1172"/>
      <c r="Z115" s="1172"/>
      <c r="AA115" s="462"/>
      <c r="AB115" s="463"/>
      <c r="AC115" s="463"/>
      <c r="AD115" s="463"/>
      <c r="AE115" s="464"/>
      <c r="AF115" s="462"/>
      <c r="AG115" s="463"/>
      <c r="AH115" s="464"/>
    </row>
    <row r="116" spans="1:34" s="474" customFormat="1" ht="12.75" customHeight="1" outlineLevel="1">
      <c r="A116" s="262"/>
      <c r="B116" s="262"/>
      <c r="C116" s="262"/>
      <c r="D116" s="262"/>
      <c r="E116" s="4054"/>
      <c r="F116" s="2930" t="s">
        <v>584</v>
      </c>
      <c r="G116" s="353">
        <f>SUM(G113:G115)</f>
        <v>0</v>
      </c>
      <c r="H116" s="354">
        <f t="shared" ref="H116:V116" si="40">SUM(H113:H115)</f>
        <v>0</v>
      </c>
      <c r="I116" s="354">
        <f t="shared" si="40"/>
        <v>0</v>
      </c>
      <c r="J116" s="354">
        <f t="shared" si="40"/>
        <v>0</v>
      </c>
      <c r="K116" s="450">
        <f t="shared" si="40"/>
        <v>0</v>
      </c>
      <c r="L116" s="353">
        <f t="shared" si="40"/>
        <v>0</v>
      </c>
      <c r="M116" s="354">
        <f t="shared" si="40"/>
        <v>0</v>
      </c>
      <c r="N116" s="354">
        <f t="shared" si="40"/>
        <v>131024.29999999999</v>
      </c>
      <c r="O116" s="354">
        <f t="shared" si="40"/>
        <v>0</v>
      </c>
      <c r="P116" s="354">
        <f t="shared" si="40"/>
        <v>0</v>
      </c>
      <c r="Q116" s="1027">
        <f t="shared" si="40"/>
        <v>0</v>
      </c>
      <c r="R116" s="353">
        <f t="shared" si="40"/>
        <v>0</v>
      </c>
      <c r="S116" s="354">
        <f t="shared" si="40"/>
        <v>0</v>
      </c>
      <c r="T116" s="354">
        <f t="shared" si="40"/>
        <v>0</v>
      </c>
      <c r="U116" s="354">
        <f t="shared" si="40"/>
        <v>0</v>
      </c>
      <c r="V116" s="450">
        <f t="shared" si="40"/>
        <v>0</v>
      </c>
      <c r="W116" s="1030"/>
      <c r="X116" s="1172"/>
      <c r="Y116" s="1172"/>
      <c r="Z116" s="1172"/>
      <c r="AA116" s="353">
        <f>SUM(AA113:AA115)</f>
        <v>0</v>
      </c>
      <c r="AB116" s="354">
        <f t="shared" ref="AB116:AH116" si="41">SUM(AB113:AB115)</f>
        <v>0</v>
      </c>
      <c r="AC116" s="354">
        <f t="shared" si="41"/>
        <v>0</v>
      </c>
      <c r="AD116" s="354">
        <f t="shared" si="41"/>
        <v>0</v>
      </c>
      <c r="AE116" s="450">
        <f t="shared" si="41"/>
        <v>0</v>
      </c>
      <c r="AF116" s="353">
        <f t="shared" si="41"/>
        <v>0</v>
      </c>
      <c r="AG116" s="354">
        <f t="shared" si="41"/>
        <v>0</v>
      </c>
      <c r="AH116" s="450">
        <f t="shared" si="41"/>
        <v>0</v>
      </c>
    </row>
    <row r="117" spans="1:34" s="474" customFormat="1" ht="12.75" customHeight="1" outlineLevel="1">
      <c r="A117" s="262"/>
      <c r="B117" s="262"/>
      <c r="C117" s="262"/>
      <c r="D117" s="262"/>
      <c r="E117" s="4054"/>
      <c r="F117" s="2928" t="s">
        <v>35</v>
      </c>
      <c r="G117" s="459"/>
      <c r="H117" s="458"/>
      <c r="I117" s="458"/>
      <c r="J117" s="458"/>
      <c r="K117" s="460"/>
      <c r="L117" s="459"/>
      <c r="M117" s="458"/>
      <c r="N117" s="458">
        <v>0</v>
      </c>
      <c r="O117" s="458"/>
      <c r="P117" s="458"/>
      <c r="Q117" s="980"/>
      <c r="R117" s="459"/>
      <c r="S117" s="458"/>
      <c r="T117" s="458"/>
      <c r="U117" s="458"/>
      <c r="V117" s="460"/>
      <c r="W117" s="1030"/>
      <c r="X117" s="1172"/>
      <c r="Y117" s="1172"/>
      <c r="Z117" s="1172"/>
      <c r="AA117" s="462"/>
      <c r="AB117" s="463"/>
      <c r="AC117" s="463"/>
      <c r="AD117" s="463"/>
      <c r="AE117" s="464"/>
      <c r="AF117" s="462"/>
      <c r="AG117" s="463"/>
      <c r="AH117" s="464"/>
    </row>
    <row r="118" spans="1:34" s="474" customFormat="1" ht="13.5" customHeight="1" outlineLevel="1" thickBot="1">
      <c r="A118" s="262"/>
      <c r="B118" s="262"/>
      <c r="C118" s="262"/>
      <c r="D118" s="262"/>
      <c r="E118" s="4055"/>
      <c r="F118" s="357" t="s">
        <v>585</v>
      </c>
      <c r="G118" s="1370">
        <f t="shared" ref="G118:V118" si="42">G116-G117</f>
        <v>0</v>
      </c>
      <c r="H118" s="356">
        <f t="shared" si="42"/>
        <v>0</v>
      </c>
      <c r="I118" s="356">
        <f t="shared" si="42"/>
        <v>0</v>
      </c>
      <c r="J118" s="356">
        <f t="shared" si="42"/>
        <v>0</v>
      </c>
      <c r="K118" s="503">
        <f t="shared" si="42"/>
        <v>0</v>
      </c>
      <c r="L118" s="1370">
        <f t="shared" si="42"/>
        <v>0</v>
      </c>
      <c r="M118" s="356">
        <f t="shared" si="42"/>
        <v>0</v>
      </c>
      <c r="N118" s="356">
        <f t="shared" si="42"/>
        <v>131024.29999999999</v>
      </c>
      <c r="O118" s="356">
        <f t="shared" si="42"/>
        <v>0</v>
      </c>
      <c r="P118" s="356">
        <f t="shared" si="42"/>
        <v>0</v>
      </c>
      <c r="Q118" s="1028">
        <f t="shared" si="42"/>
        <v>0</v>
      </c>
      <c r="R118" s="1370">
        <f t="shared" si="42"/>
        <v>0</v>
      </c>
      <c r="S118" s="356">
        <f t="shared" si="42"/>
        <v>0</v>
      </c>
      <c r="T118" s="356">
        <f t="shared" si="42"/>
        <v>0</v>
      </c>
      <c r="U118" s="356">
        <f t="shared" si="42"/>
        <v>0</v>
      </c>
      <c r="V118" s="503">
        <f t="shared" si="42"/>
        <v>0</v>
      </c>
      <c r="W118" s="1031"/>
      <c r="X118" s="1172"/>
      <c r="Y118" s="1172"/>
      <c r="Z118" s="1172"/>
      <c r="AA118" s="1370">
        <f t="shared" ref="AA118:AH118" si="43">AA116-AA117</f>
        <v>0</v>
      </c>
      <c r="AB118" s="356">
        <f t="shared" si="43"/>
        <v>0</v>
      </c>
      <c r="AC118" s="356">
        <f t="shared" si="43"/>
        <v>0</v>
      </c>
      <c r="AD118" s="356">
        <f t="shared" si="43"/>
        <v>0</v>
      </c>
      <c r="AE118" s="503">
        <f t="shared" si="43"/>
        <v>0</v>
      </c>
      <c r="AF118" s="1370">
        <f t="shared" si="43"/>
        <v>0</v>
      </c>
      <c r="AG118" s="356">
        <f t="shared" si="43"/>
        <v>0</v>
      </c>
      <c r="AH118" s="503">
        <f t="shared" si="43"/>
        <v>0</v>
      </c>
    </row>
    <row r="119" spans="1:34" s="474" customFormat="1" ht="12.75" customHeight="1" outlineLevel="1">
      <c r="A119" s="262"/>
      <c r="B119" s="262"/>
      <c r="C119" s="262"/>
      <c r="D119" s="262"/>
      <c r="E119" s="4053" t="s">
        <v>1459</v>
      </c>
      <c r="F119" s="565" t="s">
        <v>559</v>
      </c>
      <c r="G119" s="374"/>
      <c r="H119" s="375"/>
      <c r="I119" s="375"/>
      <c r="J119" s="375"/>
      <c r="K119" s="1017"/>
      <c r="L119" s="374"/>
      <c r="M119" s="375"/>
      <c r="N119" s="375"/>
      <c r="O119" s="375"/>
      <c r="P119" s="375"/>
      <c r="Q119" s="375"/>
      <c r="R119" s="459">
        <v>36929.691508981836</v>
      </c>
      <c r="S119" s="458"/>
      <c r="T119" s="458"/>
      <c r="U119" s="458"/>
      <c r="V119" s="460"/>
      <c r="W119" s="1029"/>
      <c r="X119" s="1172"/>
      <c r="Y119" s="1172"/>
      <c r="Z119" s="1172"/>
      <c r="AA119" s="374"/>
      <c r="AB119" s="375"/>
      <c r="AC119" s="375"/>
      <c r="AD119" s="375"/>
      <c r="AE119" s="1017"/>
      <c r="AF119" s="374"/>
      <c r="AG119" s="375"/>
      <c r="AH119" s="1017"/>
    </row>
    <row r="120" spans="1:34" s="474" customFormat="1" ht="12.75" customHeight="1" outlineLevel="1">
      <c r="A120" s="262"/>
      <c r="B120" s="262"/>
      <c r="C120" s="262"/>
      <c r="D120" s="262"/>
      <c r="E120" s="4054"/>
      <c r="F120" s="2928" t="s">
        <v>558</v>
      </c>
      <c r="G120" s="374"/>
      <c r="H120" s="375"/>
      <c r="I120" s="375"/>
      <c r="J120" s="375"/>
      <c r="K120" s="1017"/>
      <c r="L120" s="374"/>
      <c r="M120" s="375"/>
      <c r="N120" s="375"/>
      <c r="O120" s="375"/>
      <c r="P120" s="375"/>
      <c r="Q120" s="375"/>
      <c r="R120" s="459">
        <v>886312.59621556394</v>
      </c>
      <c r="S120" s="458"/>
      <c r="T120" s="458"/>
      <c r="U120" s="458"/>
      <c r="V120" s="460"/>
      <c r="W120" s="1030"/>
      <c r="X120" s="1172"/>
      <c r="Y120" s="1172"/>
      <c r="Z120" s="1172"/>
      <c r="AA120" s="374"/>
      <c r="AB120" s="375"/>
      <c r="AC120" s="375"/>
      <c r="AD120" s="375"/>
      <c r="AE120" s="1017"/>
      <c r="AF120" s="374"/>
      <c r="AG120" s="375"/>
      <c r="AH120" s="1017"/>
    </row>
    <row r="121" spans="1:34" s="474" customFormat="1" ht="12.75" customHeight="1" outlineLevel="1">
      <c r="A121" s="262"/>
      <c r="B121" s="262"/>
      <c r="C121" s="262"/>
      <c r="D121" s="262"/>
      <c r="E121" s="4054"/>
      <c r="F121" s="2928" t="s">
        <v>578</v>
      </c>
      <c r="G121" s="374"/>
      <c r="H121" s="375"/>
      <c r="I121" s="375"/>
      <c r="J121" s="375"/>
      <c r="K121" s="1017"/>
      <c r="L121" s="374"/>
      <c r="M121" s="375"/>
      <c r="N121" s="375"/>
      <c r="O121" s="375"/>
      <c r="P121" s="375"/>
      <c r="Q121" s="375"/>
      <c r="R121" s="459">
        <v>0</v>
      </c>
      <c r="S121" s="458"/>
      <c r="T121" s="458"/>
      <c r="U121" s="458"/>
      <c r="V121" s="460"/>
      <c r="W121" s="1030"/>
      <c r="X121" s="1172"/>
      <c r="Y121" s="1172"/>
      <c r="Z121" s="1172"/>
      <c r="AA121" s="374"/>
      <c r="AB121" s="375"/>
      <c r="AC121" s="375"/>
      <c r="AD121" s="375"/>
      <c r="AE121" s="1017"/>
      <c r="AF121" s="374"/>
      <c r="AG121" s="375"/>
      <c r="AH121" s="1017"/>
    </row>
    <row r="122" spans="1:34" s="474" customFormat="1" ht="12.75" customHeight="1" outlineLevel="1">
      <c r="A122" s="262"/>
      <c r="B122" s="262"/>
      <c r="C122" s="262"/>
      <c r="D122" s="262"/>
      <c r="E122" s="4054"/>
      <c r="F122" s="2930" t="s">
        <v>579</v>
      </c>
      <c r="G122" s="459"/>
      <c r="H122" s="458"/>
      <c r="I122" s="458"/>
      <c r="J122" s="458"/>
      <c r="K122" s="460"/>
      <c r="L122" s="429"/>
      <c r="M122" s="476"/>
      <c r="N122" s="476"/>
      <c r="O122" s="476"/>
      <c r="P122" s="477"/>
      <c r="Q122" s="980"/>
      <c r="R122" s="353">
        <f>SUM(R119:R121)</f>
        <v>923242.28772454581</v>
      </c>
      <c r="S122" s="354">
        <f>SUM(S119:S121)</f>
        <v>0</v>
      </c>
      <c r="T122" s="354">
        <f>SUM(T119:T121)</f>
        <v>0</v>
      </c>
      <c r="U122" s="354">
        <f>SUM(U119:U121)</f>
        <v>0</v>
      </c>
      <c r="V122" s="450">
        <f>SUM(V119:V121)</f>
        <v>0</v>
      </c>
      <c r="W122" s="1030"/>
      <c r="X122" s="1172"/>
      <c r="Y122" s="1172"/>
      <c r="Z122" s="1172"/>
      <c r="AA122" s="462"/>
      <c r="AB122" s="463"/>
      <c r="AC122" s="463"/>
      <c r="AD122" s="463"/>
      <c r="AE122" s="464"/>
      <c r="AF122" s="511"/>
      <c r="AG122" s="512"/>
      <c r="AH122" s="547"/>
    </row>
    <row r="123" spans="1:34" s="474" customFormat="1" ht="12.75" customHeight="1" outlineLevel="1">
      <c r="A123" s="262"/>
      <c r="B123" s="262"/>
      <c r="C123" s="262"/>
      <c r="D123" s="262"/>
      <c r="E123" s="4054"/>
      <c r="F123" s="2928" t="s">
        <v>583</v>
      </c>
      <c r="G123" s="459"/>
      <c r="H123" s="458"/>
      <c r="I123" s="458"/>
      <c r="J123" s="458"/>
      <c r="K123" s="460"/>
      <c r="L123" s="429"/>
      <c r="M123" s="476"/>
      <c r="N123" s="476"/>
      <c r="O123" s="476"/>
      <c r="P123" s="477"/>
      <c r="Q123" s="980"/>
      <c r="R123" s="459">
        <v>69233.148237441274</v>
      </c>
      <c r="S123" s="477"/>
      <c r="T123" s="477"/>
      <c r="U123" s="477"/>
      <c r="V123" s="519"/>
      <c r="W123" s="1030"/>
      <c r="X123" s="1172"/>
      <c r="Y123" s="1172"/>
      <c r="Z123" s="1172"/>
      <c r="AA123" s="462"/>
      <c r="AB123" s="463"/>
      <c r="AC123" s="463"/>
      <c r="AD123" s="463"/>
      <c r="AE123" s="464"/>
      <c r="AF123" s="511"/>
      <c r="AG123" s="512"/>
      <c r="AH123" s="547"/>
    </row>
    <row r="124" spans="1:34" s="474" customFormat="1" ht="12.75" customHeight="1" outlineLevel="1">
      <c r="A124" s="262"/>
      <c r="B124" s="262"/>
      <c r="C124" s="262"/>
      <c r="D124" s="262"/>
      <c r="E124" s="4054"/>
      <c r="F124" s="2928" t="s">
        <v>581</v>
      </c>
      <c r="G124" s="459"/>
      <c r="H124" s="458"/>
      <c r="I124" s="458"/>
      <c r="J124" s="458"/>
      <c r="K124" s="460"/>
      <c r="L124" s="459"/>
      <c r="M124" s="458"/>
      <c r="N124" s="458"/>
      <c r="O124" s="458"/>
      <c r="P124" s="475"/>
      <c r="Q124" s="980"/>
      <c r="R124" s="1034">
        <v>0</v>
      </c>
      <c r="S124" s="475"/>
      <c r="T124" s="475"/>
      <c r="U124" s="475"/>
      <c r="V124" s="518"/>
      <c r="W124" s="1030"/>
      <c r="X124" s="1172"/>
      <c r="Y124" s="1172"/>
      <c r="Z124" s="1172"/>
      <c r="AA124" s="462"/>
      <c r="AB124" s="463"/>
      <c r="AC124" s="463"/>
      <c r="AD124" s="463"/>
      <c r="AE124" s="464"/>
      <c r="AF124" s="462"/>
      <c r="AG124" s="463"/>
      <c r="AH124" s="464"/>
    </row>
    <row r="125" spans="1:34" s="474" customFormat="1" ht="12.75" customHeight="1" outlineLevel="1">
      <c r="A125" s="262"/>
      <c r="B125" s="262"/>
      <c r="C125" s="262"/>
      <c r="D125" s="262"/>
      <c r="E125" s="4054"/>
      <c r="F125" s="2930" t="s">
        <v>584</v>
      </c>
      <c r="G125" s="353">
        <f>SUM(G122:G124)</f>
        <v>0</v>
      </c>
      <c r="H125" s="354">
        <f t="shared" ref="H125:V125" si="44">SUM(H122:H124)</f>
        <v>0</v>
      </c>
      <c r="I125" s="354">
        <f t="shared" si="44"/>
        <v>0</v>
      </c>
      <c r="J125" s="354">
        <f t="shared" si="44"/>
        <v>0</v>
      </c>
      <c r="K125" s="450">
        <f t="shared" si="44"/>
        <v>0</v>
      </c>
      <c r="L125" s="353">
        <f t="shared" si="44"/>
        <v>0</v>
      </c>
      <c r="M125" s="354">
        <f t="shared" si="44"/>
        <v>0</v>
      </c>
      <c r="N125" s="354">
        <f t="shared" si="44"/>
        <v>0</v>
      </c>
      <c r="O125" s="354">
        <f t="shared" si="44"/>
        <v>0</v>
      </c>
      <c r="P125" s="354">
        <f t="shared" si="44"/>
        <v>0</v>
      </c>
      <c r="Q125" s="1027">
        <f t="shared" si="44"/>
        <v>0</v>
      </c>
      <c r="R125" s="353">
        <f t="shared" si="44"/>
        <v>992475.43596198712</v>
      </c>
      <c r="S125" s="354">
        <f t="shared" si="44"/>
        <v>0</v>
      </c>
      <c r="T125" s="354">
        <f t="shared" si="44"/>
        <v>0</v>
      </c>
      <c r="U125" s="354">
        <f t="shared" si="44"/>
        <v>0</v>
      </c>
      <c r="V125" s="450">
        <f t="shared" si="44"/>
        <v>0</v>
      </c>
      <c r="W125" s="1030"/>
      <c r="X125" s="1172"/>
      <c r="Y125" s="1172"/>
      <c r="Z125" s="1172"/>
      <c r="AA125" s="353">
        <f>SUM(AA122:AA124)</f>
        <v>0</v>
      </c>
      <c r="AB125" s="354">
        <f t="shared" ref="AB125:AH125" si="45">SUM(AB122:AB124)</f>
        <v>0</v>
      </c>
      <c r="AC125" s="354">
        <f t="shared" si="45"/>
        <v>0</v>
      </c>
      <c r="AD125" s="354">
        <f t="shared" si="45"/>
        <v>0</v>
      </c>
      <c r="AE125" s="450">
        <f t="shared" si="45"/>
        <v>0</v>
      </c>
      <c r="AF125" s="353">
        <f t="shared" si="45"/>
        <v>0</v>
      </c>
      <c r="AG125" s="354">
        <f t="shared" si="45"/>
        <v>0</v>
      </c>
      <c r="AH125" s="450">
        <f t="shared" si="45"/>
        <v>0</v>
      </c>
    </row>
    <row r="126" spans="1:34" s="474" customFormat="1" ht="12.75" customHeight="1" outlineLevel="1">
      <c r="A126" s="262"/>
      <c r="B126" s="262"/>
      <c r="C126" s="262"/>
      <c r="D126" s="262"/>
      <c r="E126" s="4054"/>
      <c r="F126" s="2928" t="s">
        <v>35</v>
      </c>
      <c r="G126" s="459"/>
      <c r="H126" s="458"/>
      <c r="I126" s="458"/>
      <c r="J126" s="458"/>
      <c r="K126" s="460"/>
      <c r="L126" s="459"/>
      <c r="M126" s="458"/>
      <c r="N126" s="458"/>
      <c r="O126" s="458"/>
      <c r="P126" s="458"/>
      <c r="Q126" s="980"/>
      <c r="R126" s="459">
        <v>0</v>
      </c>
      <c r="S126" s="458"/>
      <c r="T126" s="458"/>
      <c r="U126" s="458"/>
      <c r="V126" s="460"/>
      <c r="W126" s="1030"/>
      <c r="X126" s="1172"/>
      <c r="Y126" s="1172"/>
      <c r="Z126" s="1172"/>
      <c r="AA126" s="462"/>
      <c r="AB126" s="463"/>
      <c r="AC126" s="463"/>
      <c r="AD126" s="463"/>
      <c r="AE126" s="464"/>
      <c r="AF126" s="462"/>
      <c r="AG126" s="463"/>
      <c r="AH126" s="464"/>
    </row>
    <row r="127" spans="1:34" s="474" customFormat="1" ht="13.5" customHeight="1" outlineLevel="1" thickBot="1">
      <c r="A127" s="262"/>
      <c r="B127" s="262"/>
      <c r="C127" s="262"/>
      <c r="D127" s="262"/>
      <c r="E127" s="4055"/>
      <c r="F127" s="357" t="s">
        <v>585</v>
      </c>
      <c r="G127" s="1370">
        <f t="shared" ref="G127:V127" si="46">G125-G126</f>
        <v>0</v>
      </c>
      <c r="H127" s="356">
        <f t="shared" si="46"/>
        <v>0</v>
      </c>
      <c r="I127" s="356">
        <f t="shared" si="46"/>
        <v>0</v>
      </c>
      <c r="J127" s="356">
        <f t="shared" si="46"/>
        <v>0</v>
      </c>
      <c r="K127" s="503">
        <f t="shared" si="46"/>
        <v>0</v>
      </c>
      <c r="L127" s="1370">
        <f t="shared" si="46"/>
        <v>0</v>
      </c>
      <c r="M127" s="356">
        <f t="shared" si="46"/>
        <v>0</v>
      </c>
      <c r="N127" s="356">
        <f t="shared" si="46"/>
        <v>0</v>
      </c>
      <c r="O127" s="356">
        <f t="shared" si="46"/>
        <v>0</v>
      </c>
      <c r="P127" s="356">
        <f t="shared" si="46"/>
        <v>0</v>
      </c>
      <c r="Q127" s="1028">
        <f t="shared" si="46"/>
        <v>0</v>
      </c>
      <c r="R127" s="1370">
        <f t="shared" si="46"/>
        <v>992475.43596198712</v>
      </c>
      <c r="S127" s="356">
        <f t="shared" si="46"/>
        <v>0</v>
      </c>
      <c r="T127" s="356">
        <f t="shared" si="46"/>
        <v>0</v>
      </c>
      <c r="U127" s="356">
        <f t="shared" si="46"/>
        <v>0</v>
      </c>
      <c r="V127" s="503">
        <f t="shared" si="46"/>
        <v>0</v>
      </c>
      <c r="W127" s="1031"/>
      <c r="X127" s="1172"/>
      <c r="Y127" s="1172"/>
      <c r="Z127" s="1172"/>
      <c r="AA127" s="1370">
        <f t="shared" ref="AA127:AH127" si="47">AA125-AA126</f>
        <v>0</v>
      </c>
      <c r="AB127" s="356">
        <f t="shared" si="47"/>
        <v>0</v>
      </c>
      <c r="AC127" s="356">
        <f t="shared" si="47"/>
        <v>0</v>
      </c>
      <c r="AD127" s="356">
        <f t="shared" si="47"/>
        <v>0</v>
      </c>
      <c r="AE127" s="503">
        <f t="shared" si="47"/>
        <v>0</v>
      </c>
      <c r="AF127" s="1370">
        <f t="shared" si="47"/>
        <v>0</v>
      </c>
      <c r="AG127" s="356">
        <f t="shared" si="47"/>
        <v>0</v>
      </c>
      <c r="AH127" s="503">
        <f t="shared" si="47"/>
        <v>0</v>
      </c>
    </row>
    <row r="128" spans="1:34" s="474" customFormat="1" ht="12.75" customHeight="1" outlineLevel="1">
      <c r="A128" s="262"/>
      <c r="B128" s="262"/>
      <c r="C128" s="262"/>
      <c r="D128" s="262"/>
      <c r="E128" s="4053" t="s">
        <v>1460</v>
      </c>
      <c r="F128" s="565" t="s">
        <v>559</v>
      </c>
      <c r="G128" s="374"/>
      <c r="H128" s="375"/>
      <c r="I128" s="375"/>
      <c r="J128" s="375"/>
      <c r="K128" s="1017"/>
      <c r="L128" s="374"/>
      <c r="M128" s="375"/>
      <c r="N128" s="375"/>
      <c r="O128" s="375"/>
      <c r="P128" s="375"/>
      <c r="Q128" s="375"/>
      <c r="R128" s="459"/>
      <c r="S128" s="458"/>
      <c r="T128" s="458"/>
      <c r="U128" s="458">
        <v>23285.314336415533</v>
      </c>
      <c r="V128" s="460"/>
      <c r="W128" s="1029"/>
      <c r="X128" s="1172"/>
      <c r="Y128" s="1172"/>
      <c r="Z128" s="1172"/>
      <c r="AA128" s="374"/>
      <c r="AB128" s="375"/>
      <c r="AC128" s="375"/>
      <c r="AD128" s="375"/>
      <c r="AE128" s="1017"/>
      <c r="AF128" s="374"/>
      <c r="AG128" s="375"/>
      <c r="AH128" s="1017"/>
    </row>
    <row r="129" spans="1:34" s="474" customFormat="1" ht="12.75" customHeight="1" outlineLevel="1">
      <c r="A129" s="262"/>
      <c r="B129" s="262"/>
      <c r="C129" s="262"/>
      <c r="D129" s="262"/>
      <c r="E129" s="4054"/>
      <c r="F129" s="2928" t="s">
        <v>558</v>
      </c>
      <c r="G129" s="374"/>
      <c r="H129" s="375"/>
      <c r="I129" s="375"/>
      <c r="J129" s="375"/>
      <c r="K129" s="1017"/>
      <c r="L129" s="374"/>
      <c r="M129" s="375"/>
      <c r="N129" s="375"/>
      <c r="O129" s="375"/>
      <c r="P129" s="375"/>
      <c r="Q129" s="375"/>
      <c r="R129" s="459"/>
      <c r="S129" s="458"/>
      <c r="T129" s="458"/>
      <c r="U129" s="458">
        <v>558847.54407397285</v>
      </c>
      <c r="V129" s="460"/>
      <c r="W129" s="1030"/>
      <c r="X129" s="1172"/>
      <c r="Y129" s="1172"/>
      <c r="Z129" s="1172"/>
      <c r="AA129" s="374"/>
      <c r="AB129" s="375"/>
      <c r="AC129" s="375"/>
      <c r="AD129" s="375"/>
      <c r="AE129" s="1017"/>
      <c r="AF129" s="374"/>
      <c r="AG129" s="375"/>
      <c r="AH129" s="1017"/>
    </row>
    <row r="130" spans="1:34" s="474" customFormat="1" ht="12.75" customHeight="1" outlineLevel="1">
      <c r="A130" s="262"/>
      <c r="B130" s="262"/>
      <c r="C130" s="262"/>
      <c r="D130" s="262"/>
      <c r="E130" s="4054"/>
      <c r="F130" s="2928" t="s">
        <v>578</v>
      </c>
      <c r="G130" s="374"/>
      <c r="H130" s="375"/>
      <c r="I130" s="375"/>
      <c r="J130" s="375"/>
      <c r="K130" s="1017"/>
      <c r="L130" s="374"/>
      <c r="M130" s="375"/>
      <c r="N130" s="375"/>
      <c r="O130" s="375"/>
      <c r="P130" s="375"/>
      <c r="Q130" s="375"/>
      <c r="R130" s="459"/>
      <c r="S130" s="458"/>
      <c r="T130" s="458"/>
      <c r="U130" s="458">
        <v>0</v>
      </c>
      <c r="V130" s="460"/>
      <c r="W130" s="1030"/>
      <c r="X130" s="1172"/>
      <c r="Y130" s="1172"/>
      <c r="Z130" s="1172"/>
      <c r="AA130" s="374"/>
      <c r="AB130" s="375"/>
      <c r="AC130" s="375"/>
      <c r="AD130" s="375"/>
      <c r="AE130" s="1017"/>
      <c r="AF130" s="374"/>
      <c r="AG130" s="375"/>
      <c r="AH130" s="1017"/>
    </row>
    <row r="131" spans="1:34" s="474" customFormat="1" ht="12.75" customHeight="1" outlineLevel="1">
      <c r="A131" s="262"/>
      <c r="B131" s="262"/>
      <c r="C131" s="262"/>
      <c r="D131" s="262"/>
      <c r="E131" s="4054"/>
      <c r="F131" s="2930" t="s">
        <v>579</v>
      </c>
      <c r="G131" s="459"/>
      <c r="H131" s="458"/>
      <c r="I131" s="458"/>
      <c r="J131" s="458"/>
      <c r="K131" s="460"/>
      <c r="L131" s="429"/>
      <c r="M131" s="476"/>
      <c r="N131" s="476"/>
      <c r="O131" s="476"/>
      <c r="P131" s="477"/>
      <c r="Q131" s="980"/>
      <c r="R131" s="353">
        <f>SUM(R128:R130)</f>
        <v>0</v>
      </c>
      <c r="S131" s="354">
        <f>SUM(S128:S130)</f>
        <v>0</v>
      </c>
      <c r="T131" s="354">
        <f>SUM(T128:T130)</f>
        <v>0</v>
      </c>
      <c r="U131" s="354">
        <f>SUM(U128:U130)</f>
        <v>582132.85841038835</v>
      </c>
      <c r="V131" s="450">
        <f>SUM(V128:V130)</f>
        <v>0</v>
      </c>
      <c r="W131" s="1030"/>
      <c r="X131" s="1172"/>
      <c r="Y131" s="1172"/>
      <c r="Z131" s="1172"/>
      <c r="AA131" s="462"/>
      <c r="AB131" s="463"/>
      <c r="AC131" s="463"/>
      <c r="AD131" s="463"/>
      <c r="AE131" s="464"/>
      <c r="AF131" s="511"/>
      <c r="AG131" s="512"/>
      <c r="AH131" s="547"/>
    </row>
    <row r="132" spans="1:34" s="474" customFormat="1" ht="12.75" customHeight="1" outlineLevel="1">
      <c r="A132" s="262"/>
      <c r="B132" s="262"/>
      <c r="C132" s="262"/>
      <c r="D132" s="262"/>
      <c r="E132" s="4054"/>
      <c r="F132" s="2928" t="s">
        <v>583</v>
      </c>
      <c r="G132" s="459"/>
      <c r="H132" s="458"/>
      <c r="I132" s="458"/>
      <c r="J132" s="458"/>
      <c r="K132" s="460"/>
      <c r="L132" s="429"/>
      <c r="M132" s="476"/>
      <c r="N132" s="476"/>
      <c r="O132" s="476"/>
      <c r="P132" s="477"/>
      <c r="Q132" s="980"/>
      <c r="R132" s="564"/>
      <c r="S132" s="477"/>
      <c r="T132" s="477"/>
      <c r="U132" s="458">
        <v>43653.644353253898</v>
      </c>
      <c r="V132" s="519"/>
      <c r="W132" s="1030"/>
      <c r="X132" s="1172"/>
      <c r="Y132" s="1172"/>
      <c r="Z132" s="1172"/>
      <c r="AA132" s="462"/>
      <c r="AB132" s="463"/>
      <c r="AC132" s="463"/>
      <c r="AD132" s="463"/>
      <c r="AE132" s="464"/>
      <c r="AF132" s="511"/>
      <c r="AG132" s="512"/>
      <c r="AH132" s="547"/>
    </row>
    <row r="133" spans="1:34" s="474" customFormat="1" ht="12.75" customHeight="1" outlineLevel="1">
      <c r="A133" s="262"/>
      <c r="B133" s="262"/>
      <c r="C133" s="262"/>
      <c r="D133" s="262"/>
      <c r="E133" s="4054"/>
      <c r="F133" s="2928" t="s">
        <v>581</v>
      </c>
      <c r="G133" s="459"/>
      <c r="H133" s="458"/>
      <c r="I133" s="458"/>
      <c r="J133" s="458"/>
      <c r="K133" s="460"/>
      <c r="L133" s="459"/>
      <c r="M133" s="458"/>
      <c r="N133" s="458"/>
      <c r="O133" s="458"/>
      <c r="P133" s="475"/>
      <c r="Q133" s="980"/>
      <c r="R133" s="1034"/>
      <c r="S133" s="475"/>
      <c r="T133" s="475"/>
      <c r="U133" s="458">
        <v>0</v>
      </c>
      <c r="V133" s="518"/>
      <c r="W133" s="1030"/>
      <c r="X133" s="1172"/>
      <c r="Y133" s="1172"/>
      <c r="Z133" s="1172"/>
      <c r="AA133" s="462"/>
      <c r="AB133" s="463"/>
      <c r="AC133" s="463"/>
      <c r="AD133" s="463"/>
      <c r="AE133" s="464"/>
      <c r="AF133" s="462"/>
      <c r="AG133" s="463"/>
      <c r="AH133" s="464"/>
    </row>
    <row r="134" spans="1:34" s="474" customFormat="1" ht="12.75" customHeight="1" outlineLevel="1">
      <c r="A134" s="262"/>
      <c r="B134" s="262"/>
      <c r="C134" s="262"/>
      <c r="D134" s="262"/>
      <c r="E134" s="4054"/>
      <c r="F134" s="2930" t="s">
        <v>584</v>
      </c>
      <c r="G134" s="353">
        <f>SUM(G131:G133)</f>
        <v>0</v>
      </c>
      <c r="H134" s="354">
        <f t="shared" ref="H134:V134" si="48">SUM(H131:H133)</f>
        <v>0</v>
      </c>
      <c r="I134" s="354">
        <f t="shared" si="48"/>
        <v>0</v>
      </c>
      <c r="J134" s="354">
        <f t="shared" si="48"/>
        <v>0</v>
      </c>
      <c r="K134" s="450">
        <f t="shared" si="48"/>
        <v>0</v>
      </c>
      <c r="L134" s="353">
        <f t="shared" si="48"/>
        <v>0</v>
      </c>
      <c r="M134" s="354">
        <f t="shared" si="48"/>
        <v>0</v>
      </c>
      <c r="N134" s="354">
        <f t="shared" si="48"/>
        <v>0</v>
      </c>
      <c r="O134" s="354">
        <f t="shared" si="48"/>
        <v>0</v>
      </c>
      <c r="P134" s="354">
        <f t="shared" si="48"/>
        <v>0</v>
      </c>
      <c r="Q134" s="1027">
        <f t="shared" si="48"/>
        <v>0</v>
      </c>
      <c r="R134" s="353">
        <f t="shared" si="48"/>
        <v>0</v>
      </c>
      <c r="S134" s="354">
        <f t="shared" si="48"/>
        <v>0</v>
      </c>
      <c r="T134" s="354">
        <f t="shared" si="48"/>
        <v>0</v>
      </c>
      <c r="U134" s="354">
        <f t="shared" si="48"/>
        <v>625786.50276364223</v>
      </c>
      <c r="V134" s="450">
        <f t="shared" si="48"/>
        <v>0</v>
      </c>
      <c r="W134" s="1030"/>
      <c r="X134" s="1172"/>
      <c r="Y134" s="1172"/>
      <c r="Z134" s="1172"/>
      <c r="AA134" s="353">
        <f>SUM(AA131:AA133)</f>
        <v>0</v>
      </c>
      <c r="AB134" s="354">
        <f t="shared" ref="AB134:AH134" si="49">SUM(AB131:AB133)</f>
        <v>0</v>
      </c>
      <c r="AC134" s="354">
        <f t="shared" si="49"/>
        <v>0</v>
      </c>
      <c r="AD134" s="354">
        <f t="shared" si="49"/>
        <v>0</v>
      </c>
      <c r="AE134" s="450">
        <f t="shared" si="49"/>
        <v>0</v>
      </c>
      <c r="AF134" s="353">
        <f t="shared" si="49"/>
        <v>0</v>
      </c>
      <c r="AG134" s="354">
        <f t="shared" si="49"/>
        <v>0</v>
      </c>
      <c r="AH134" s="450">
        <f t="shared" si="49"/>
        <v>0</v>
      </c>
    </row>
    <row r="135" spans="1:34" s="474" customFormat="1" ht="12.75" customHeight="1" outlineLevel="1">
      <c r="A135" s="262"/>
      <c r="B135" s="262"/>
      <c r="C135" s="262"/>
      <c r="D135" s="262"/>
      <c r="E135" s="4054"/>
      <c r="F135" s="2928" t="s">
        <v>35</v>
      </c>
      <c r="G135" s="459"/>
      <c r="H135" s="458"/>
      <c r="I135" s="458"/>
      <c r="J135" s="458"/>
      <c r="K135" s="460"/>
      <c r="L135" s="459"/>
      <c r="M135" s="458"/>
      <c r="N135" s="458"/>
      <c r="O135" s="458"/>
      <c r="P135" s="458"/>
      <c r="Q135" s="980"/>
      <c r="R135" s="459"/>
      <c r="S135" s="458"/>
      <c r="T135" s="458"/>
      <c r="U135" s="458">
        <v>0</v>
      </c>
      <c r="V135" s="460"/>
      <c r="W135" s="1030"/>
      <c r="X135" s="1172"/>
      <c r="Y135" s="1172"/>
      <c r="Z135" s="1172"/>
      <c r="AA135" s="462"/>
      <c r="AB135" s="463"/>
      <c r="AC135" s="463"/>
      <c r="AD135" s="463"/>
      <c r="AE135" s="464"/>
      <c r="AF135" s="462"/>
      <c r="AG135" s="463"/>
      <c r="AH135" s="464"/>
    </row>
    <row r="136" spans="1:34" s="474" customFormat="1" ht="13.5" customHeight="1" outlineLevel="1" thickBot="1">
      <c r="A136" s="262"/>
      <c r="B136" s="262"/>
      <c r="C136" s="262"/>
      <c r="D136" s="262"/>
      <c r="E136" s="4055"/>
      <c r="F136" s="357" t="s">
        <v>585</v>
      </c>
      <c r="G136" s="1370">
        <f t="shared" ref="G136:V136" si="50">G134-G135</f>
        <v>0</v>
      </c>
      <c r="H136" s="356">
        <f t="shared" si="50"/>
        <v>0</v>
      </c>
      <c r="I136" s="356">
        <f t="shared" si="50"/>
        <v>0</v>
      </c>
      <c r="J136" s="356">
        <f t="shared" si="50"/>
        <v>0</v>
      </c>
      <c r="K136" s="503">
        <f t="shared" si="50"/>
        <v>0</v>
      </c>
      <c r="L136" s="1370">
        <f t="shared" si="50"/>
        <v>0</v>
      </c>
      <c r="M136" s="356">
        <f t="shared" si="50"/>
        <v>0</v>
      </c>
      <c r="N136" s="356">
        <f t="shared" si="50"/>
        <v>0</v>
      </c>
      <c r="O136" s="356">
        <f t="shared" si="50"/>
        <v>0</v>
      </c>
      <c r="P136" s="356">
        <f t="shared" si="50"/>
        <v>0</v>
      </c>
      <c r="Q136" s="1028">
        <f t="shared" si="50"/>
        <v>0</v>
      </c>
      <c r="R136" s="1370">
        <f t="shared" si="50"/>
        <v>0</v>
      </c>
      <c r="S136" s="356">
        <f t="shared" si="50"/>
        <v>0</v>
      </c>
      <c r="T136" s="356">
        <f t="shared" si="50"/>
        <v>0</v>
      </c>
      <c r="U136" s="356">
        <f t="shared" si="50"/>
        <v>625786.50276364223</v>
      </c>
      <c r="V136" s="503">
        <f t="shared" si="50"/>
        <v>0</v>
      </c>
      <c r="W136" s="1031"/>
      <c r="X136" s="1172"/>
      <c r="Y136" s="1172"/>
      <c r="Z136" s="1172"/>
      <c r="AA136" s="1370">
        <f t="shared" ref="AA136:AH136" si="51">AA134-AA135</f>
        <v>0</v>
      </c>
      <c r="AB136" s="356">
        <f t="shared" si="51"/>
        <v>0</v>
      </c>
      <c r="AC136" s="356">
        <f t="shared" si="51"/>
        <v>0</v>
      </c>
      <c r="AD136" s="356">
        <f t="shared" si="51"/>
        <v>0</v>
      </c>
      <c r="AE136" s="503">
        <f t="shared" si="51"/>
        <v>0</v>
      </c>
      <c r="AF136" s="1370">
        <f t="shared" si="51"/>
        <v>0</v>
      </c>
      <c r="AG136" s="356">
        <f t="shared" si="51"/>
        <v>0</v>
      </c>
      <c r="AH136" s="503">
        <f t="shared" si="51"/>
        <v>0</v>
      </c>
    </row>
    <row r="137" spans="1:34" s="474" customFormat="1" ht="12.75" customHeight="1" outlineLevel="1">
      <c r="A137" s="262"/>
      <c r="B137" s="262"/>
      <c r="C137" s="262"/>
      <c r="D137" s="262"/>
      <c r="E137" s="4053" t="s">
        <v>1461</v>
      </c>
      <c r="F137" s="565" t="s">
        <v>559</v>
      </c>
      <c r="G137" s="374"/>
      <c r="H137" s="375"/>
      <c r="I137" s="375"/>
      <c r="J137" s="375"/>
      <c r="K137" s="1017"/>
      <c r="L137" s="374"/>
      <c r="M137" s="375"/>
      <c r="N137" s="375"/>
      <c r="O137" s="375"/>
      <c r="P137" s="375"/>
      <c r="Q137" s="375"/>
      <c r="R137" s="459"/>
      <c r="S137" s="458">
        <v>9395.8285918869715</v>
      </c>
      <c r="T137" s="458"/>
      <c r="U137" s="458"/>
      <c r="V137" s="460"/>
      <c r="W137" s="1029"/>
      <c r="X137" s="1172"/>
      <c r="Y137" s="1172"/>
      <c r="Z137" s="1172"/>
      <c r="AA137" s="374"/>
      <c r="AB137" s="375"/>
      <c r="AC137" s="375"/>
      <c r="AD137" s="375"/>
      <c r="AE137" s="1017"/>
      <c r="AF137" s="374"/>
      <c r="AG137" s="375"/>
      <c r="AH137" s="1017"/>
    </row>
    <row r="138" spans="1:34" s="474" customFormat="1" ht="12.75" customHeight="1" outlineLevel="1">
      <c r="A138" s="262"/>
      <c r="B138" s="262"/>
      <c r="C138" s="262"/>
      <c r="D138" s="262"/>
      <c r="E138" s="4054"/>
      <c r="F138" s="2928" t="s">
        <v>558</v>
      </c>
      <c r="G138" s="374"/>
      <c r="H138" s="375"/>
      <c r="I138" s="375"/>
      <c r="J138" s="375"/>
      <c r="K138" s="1017"/>
      <c r="L138" s="374"/>
      <c r="M138" s="375"/>
      <c r="N138" s="375"/>
      <c r="O138" s="375"/>
      <c r="P138" s="375"/>
      <c r="Q138" s="375"/>
      <c r="R138" s="459"/>
      <c r="S138" s="458">
        <v>225499.8862052873</v>
      </c>
      <c r="T138" s="458"/>
      <c r="U138" s="458"/>
      <c r="V138" s="460"/>
      <c r="W138" s="1030"/>
      <c r="X138" s="1172"/>
      <c r="Y138" s="1172"/>
      <c r="Z138" s="1172"/>
      <c r="AA138" s="374"/>
      <c r="AB138" s="375"/>
      <c r="AC138" s="375"/>
      <c r="AD138" s="375"/>
      <c r="AE138" s="1017"/>
      <c r="AF138" s="374"/>
      <c r="AG138" s="375"/>
      <c r="AH138" s="1017"/>
    </row>
    <row r="139" spans="1:34" s="474" customFormat="1" ht="12.75" customHeight="1" outlineLevel="1">
      <c r="A139" s="262"/>
      <c r="B139" s="262"/>
      <c r="C139" s="262"/>
      <c r="D139" s="262"/>
      <c r="E139" s="4054"/>
      <c r="F139" s="2928" t="s">
        <v>578</v>
      </c>
      <c r="G139" s="374"/>
      <c r="H139" s="375"/>
      <c r="I139" s="375"/>
      <c r="J139" s="375"/>
      <c r="K139" s="1017"/>
      <c r="L139" s="374"/>
      <c r="M139" s="375"/>
      <c r="N139" s="375"/>
      <c r="O139" s="375"/>
      <c r="P139" s="375"/>
      <c r="Q139" s="375"/>
      <c r="R139" s="459"/>
      <c r="S139" s="458">
        <v>0</v>
      </c>
      <c r="T139" s="458"/>
      <c r="U139" s="458"/>
      <c r="V139" s="460"/>
      <c r="W139" s="1030"/>
      <c r="X139" s="1172"/>
      <c r="Y139" s="1172"/>
      <c r="Z139" s="1172"/>
      <c r="AA139" s="374"/>
      <c r="AB139" s="375"/>
      <c r="AC139" s="375"/>
      <c r="AD139" s="375"/>
      <c r="AE139" s="1017"/>
      <c r="AF139" s="374"/>
      <c r="AG139" s="375"/>
      <c r="AH139" s="1017"/>
    </row>
    <row r="140" spans="1:34" s="474" customFormat="1" ht="12.75" customHeight="1" outlineLevel="1">
      <c r="A140" s="262"/>
      <c r="B140" s="262"/>
      <c r="C140" s="262"/>
      <c r="D140" s="262"/>
      <c r="E140" s="4054"/>
      <c r="F140" s="2930" t="s">
        <v>579</v>
      </c>
      <c r="G140" s="459"/>
      <c r="H140" s="458"/>
      <c r="I140" s="458"/>
      <c r="J140" s="458"/>
      <c r="K140" s="460"/>
      <c r="L140" s="429"/>
      <c r="M140" s="476"/>
      <c r="N140" s="476"/>
      <c r="O140" s="476"/>
      <c r="P140" s="477"/>
      <c r="Q140" s="980"/>
      <c r="R140" s="353">
        <f>SUM(R137:R139)</f>
        <v>0</v>
      </c>
      <c r="S140" s="354">
        <f>SUM(S137:S139)</f>
        <v>234895.71479717427</v>
      </c>
      <c r="T140" s="354">
        <f>SUM(T137:T139)</f>
        <v>0</v>
      </c>
      <c r="U140" s="354">
        <f>SUM(U137:U139)</f>
        <v>0</v>
      </c>
      <c r="V140" s="450">
        <f>SUM(V137:V139)</f>
        <v>0</v>
      </c>
      <c r="W140" s="1030"/>
      <c r="X140" s="1172"/>
      <c r="Y140" s="1172"/>
      <c r="Z140" s="1172"/>
      <c r="AA140" s="462"/>
      <c r="AB140" s="463"/>
      <c r="AC140" s="463"/>
      <c r="AD140" s="463"/>
      <c r="AE140" s="464"/>
      <c r="AF140" s="511"/>
      <c r="AG140" s="512"/>
      <c r="AH140" s="547"/>
    </row>
    <row r="141" spans="1:34" s="474" customFormat="1" ht="12.75" customHeight="1" outlineLevel="1">
      <c r="A141" s="262"/>
      <c r="B141" s="262"/>
      <c r="C141" s="262"/>
      <c r="D141" s="262"/>
      <c r="E141" s="4054"/>
      <c r="F141" s="2928" t="s">
        <v>583</v>
      </c>
      <c r="G141" s="459"/>
      <c r="H141" s="458"/>
      <c r="I141" s="458"/>
      <c r="J141" s="458"/>
      <c r="K141" s="460"/>
      <c r="L141" s="429"/>
      <c r="M141" s="476"/>
      <c r="N141" s="476"/>
      <c r="O141" s="476"/>
      <c r="P141" s="477"/>
      <c r="Q141" s="980"/>
      <c r="R141" s="564"/>
      <c r="S141" s="458">
        <v>17614.628423242801</v>
      </c>
      <c r="T141" s="477"/>
      <c r="U141" s="477"/>
      <c r="V141" s="519"/>
      <c r="W141" s="1030"/>
      <c r="X141" s="1172"/>
      <c r="Y141" s="1172"/>
      <c r="Z141" s="1172"/>
      <c r="AA141" s="462"/>
      <c r="AB141" s="463"/>
      <c r="AC141" s="463"/>
      <c r="AD141" s="463"/>
      <c r="AE141" s="464"/>
      <c r="AF141" s="511"/>
      <c r="AG141" s="512"/>
      <c r="AH141" s="547"/>
    </row>
    <row r="142" spans="1:34" s="474" customFormat="1" ht="12.75" customHeight="1" outlineLevel="1">
      <c r="A142" s="262"/>
      <c r="B142" s="262"/>
      <c r="C142" s="262"/>
      <c r="D142" s="262"/>
      <c r="E142" s="4054"/>
      <c r="F142" s="2928" t="s">
        <v>581</v>
      </c>
      <c r="G142" s="459"/>
      <c r="H142" s="458"/>
      <c r="I142" s="458"/>
      <c r="J142" s="458"/>
      <c r="K142" s="460"/>
      <c r="L142" s="459"/>
      <c r="M142" s="458"/>
      <c r="N142" s="458"/>
      <c r="O142" s="458"/>
      <c r="P142" s="475"/>
      <c r="Q142" s="980"/>
      <c r="R142" s="1034"/>
      <c r="S142" s="458">
        <v>0</v>
      </c>
      <c r="T142" s="475"/>
      <c r="U142" s="475"/>
      <c r="V142" s="518"/>
      <c r="W142" s="1030"/>
      <c r="X142" s="1172"/>
      <c r="Y142" s="1172"/>
      <c r="Z142" s="1172"/>
      <c r="AA142" s="462"/>
      <c r="AB142" s="463"/>
      <c r="AC142" s="463"/>
      <c r="AD142" s="463"/>
      <c r="AE142" s="464"/>
      <c r="AF142" s="462"/>
      <c r="AG142" s="463"/>
      <c r="AH142" s="464"/>
    </row>
    <row r="143" spans="1:34" s="474" customFormat="1" ht="12.75" customHeight="1" outlineLevel="1">
      <c r="A143" s="262"/>
      <c r="B143" s="262"/>
      <c r="C143" s="262"/>
      <c r="D143" s="262"/>
      <c r="E143" s="4054"/>
      <c r="F143" s="2930" t="s">
        <v>584</v>
      </c>
      <c r="G143" s="353">
        <f>SUM(G140:G142)</f>
        <v>0</v>
      </c>
      <c r="H143" s="354">
        <f t="shared" ref="H143:V143" si="52">SUM(H140:H142)</f>
        <v>0</v>
      </c>
      <c r="I143" s="354">
        <f t="shared" si="52"/>
        <v>0</v>
      </c>
      <c r="J143" s="354">
        <f t="shared" si="52"/>
        <v>0</v>
      </c>
      <c r="K143" s="450">
        <f t="shared" si="52"/>
        <v>0</v>
      </c>
      <c r="L143" s="353">
        <f t="shared" si="52"/>
        <v>0</v>
      </c>
      <c r="M143" s="354">
        <f t="shared" si="52"/>
        <v>0</v>
      </c>
      <c r="N143" s="354">
        <f t="shared" si="52"/>
        <v>0</v>
      </c>
      <c r="O143" s="354">
        <f t="shared" si="52"/>
        <v>0</v>
      </c>
      <c r="P143" s="354">
        <f t="shared" si="52"/>
        <v>0</v>
      </c>
      <c r="Q143" s="1027">
        <f t="shared" si="52"/>
        <v>0</v>
      </c>
      <c r="R143" s="353">
        <f t="shared" si="52"/>
        <v>0</v>
      </c>
      <c r="S143" s="354">
        <f t="shared" si="52"/>
        <v>252510.34322041707</v>
      </c>
      <c r="T143" s="354">
        <f t="shared" si="52"/>
        <v>0</v>
      </c>
      <c r="U143" s="354">
        <f t="shared" si="52"/>
        <v>0</v>
      </c>
      <c r="V143" s="450">
        <f t="shared" si="52"/>
        <v>0</v>
      </c>
      <c r="W143" s="1030"/>
      <c r="X143" s="1172"/>
      <c r="Y143" s="1172"/>
      <c r="Z143" s="1172"/>
      <c r="AA143" s="353">
        <f>SUM(AA140:AA142)</f>
        <v>0</v>
      </c>
      <c r="AB143" s="354">
        <f t="shared" ref="AB143:AH143" si="53">SUM(AB140:AB142)</f>
        <v>0</v>
      </c>
      <c r="AC143" s="354">
        <f t="shared" si="53"/>
        <v>0</v>
      </c>
      <c r="AD143" s="354">
        <f t="shared" si="53"/>
        <v>0</v>
      </c>
      <c r="AE143" s="450">
        <f t="shared" si="53"/>
        <v>0</v>
      </c>
      <c r="AF143" s="353">
        <f t="shared" si="53"/>
        <v>0</v>
      </c>
      <c r="AG143" s="354">
        <f t="shared" si="53"/>
        <v>0</v>
      </c>
      <c r="AH143" s="450">
        <f t="shared" si="53"/>
        <v>0</v>
      </c>
    </row>
    <row r="144" spans="1:34" s="474" customFormat="1" ht="12.75" customHeight="1" outlineLevel="1">
      <c r="A144" s="262"/>
      <c r="B144" s="262"/>
      <c r="C144" s="262"/>
      <c r="D144" s="262"/>
      <c r="E144" s="4054"/>
      <c r="F144" s="2928" t="s">
        <v>35</v>
      </c>
      <c r="G144" s="459"/>
      <c r="H144" s="458"/>
      <c r="I144" s="458"/>
      <c r="J144" s="458"/>
      <c r="K144" s="460"/>
      <c r="L144" s="459"/>
      <c r="M144" s="458"/>
      <c r="N144" s="458"/>
      <c r="O144" s="458"/>
      <c r="P144" s="458"/>
      <c r="Q144" s="980"/>
      <c r="R144" s="459"/>
      <c r="S144" s="458">
        <v>0</v>
      </c>
      <c r="T144" s="458"/>
      <c r="U144" s="458"/>
      <c r="V144" s="460"/>
      <c r="W144" s="1030"/>
      <c r="X144" s="1172"/>
      <c r="Y144" s="1172"/>
      <c r="Z144" s="1172"/>
      <c r="AA144" s="462"/>
      <c r="AB144" s="463"/>
      <c r="AC144" s="463"/>
      <c r="AD144" s="463"/>
      <c r="AE144" s="464"/>
      <c r="AF144" s="462"/>
      <c r="AG144" s="463"/>
      <c r="AH144" s="464"/>
    </row>
    <row r="145" spans="1:34" s="474" customFormat="1" ht="13.5" customHeight="1" outlineLevel="1" thickBot="1">
      <c r="A145" s="262"/>
      <c r="B145" s="262"/>
      <c r="C145" s="262"/>
      <c r="D145" s="262"/>
      <c r="E145" s="4055"/>
      <c r="F145" s="357" t="s">
        <v>585</v>
      </c>
      <c r="G145" s="1370">
        <f t="shared" ref="G145:V145" si="54">G143-G144</f>
        <v>0</v>
      </c>
      <c r="H145" s="356">
        <f t="shared" si="54"/>
        <v>0</v>
      </c>
      <c r="I145" s="356">
        <f t="shared" si="54"/>
        <v>0</v>
      </c>
      <c r="J145" s="356">
        <f t="shared" si="54"/>
        <v>0</v>
      </c>
      <c r="K145" s="503">
        <f t="shared" si="54"/>
        <v>0</v>
      </c>
      <c r="L145" s="1370">
        <f t="shared" si="54"/>
        <v>0</v>
      </c>
      <c r="M145" s="356">
        <f t="shared" si="54"/>
        <v>0</v>
      </c>
      <c r="N145" s="356">
        <f t="shared" si="54"/>
        <v>0</v>
      </c>
      <c r="O145" s="356">
        <f t="shared" si="54"/>
        <v>0</v>
      </c>
      <c r="P145" s="356">
        <f t="shared" si="54"/>
        <v>0</v>
      </c>
      <c r="Q145" s="1028">
        <f t="shared" si="54"/>
        <v>0</v>
      </c>
      <c r="R145" s="1370">
        <f t="shared" si="54"/>
        <v>0</v>
      </c>
      <c r="S145" s="356">
        <f t="shared" si="54"/>
        <v>252510.34322041707</v>
      </c>
      <c r="T145" s="356">
        <f t="shared" si="54"/>
        <v>0</v>
      </c>
      <c r="U145" s="356">
        <f t="shared" si="54"/>
        <v>0</v>
      </c>
      <c r="V145" s="503">
        <f t="shared" si="54"/>
        <v>0</v>
      </c>
      <c r="W145" s="1031"/>
      <c r="X145" s="1172"/>
      <c r="Y145" s="1172"/>
      <c r="Z145" s="1172"/>
      <c r="AA145" s="1370">
        <f t="shared" ref="AA145:AH145" si="55">AA143-AA144</f>
        <v>0</v>
      </c>
      <c r="AB145" s="356">
        <f t="shared" si="55"/>
        <v>0</v>
      </c>
      <c r="AC145" s="356">
        <f t="shared" si="55"/>
        <v>0</v>
      </c>
      <c r="AD145" s="356">
        <f t="shared" si="55"/>
        <v>0</v>
      </c>
      <c r="AE145" s="503">
        <f t="shared" si="55"/>
        <v>0</v>
      </c>
      <c r="AF145" s="1370">
        <f t="shared" si="55"/>
        <v>0</v>
      </c>
      <c r="AG145" s="356">
        <f t="shared" si="55"/>
        <v>0</v>
      </c>
      <c r="AH145" s="503">
        <f t="shared" si="55"/>
        <v>0</v>
      </c>
    </row>
    <row r="146" spans="1:34" s="474" customFormat="1" ht="12.75" customHeight="1" outlineLevel="1">
      <c r="A146" s="262"/>
      <c r="B146" s="262"/>
      <c r="C146" s="262"/>
      <c r="D146" s="262"/>
      <c r="E146" s="4053" t="s">
        <v>1462</v>
      </c>
      <c r="F146" s="565" t="s">
        <v>559</v>
      </c>
      <c r="G146" s="374"/>
      <c r="H146" s="375"/>
      <c r="I146" s="375"/>
      <c r="J146" s="375"/>
      <c r="K146" s="1017"/>
      <c r="L146" s="374"/>
      <c r="M146" s="375"/>
      <c r="N146" s="375"/>
      <c r="O146" s="375"/>
      <c r="P146" s="375"/>
      <c r="Q146" s="375"/>
      <c r="R146" s="459"/>
      <c r="S146" s="458"/>
      <c r="T146" s="458">
        <v>5310.6857258491573</v>
      </c>
      <c r="U146" s="458"/>
      <c r="V146" s="460"/>
      <c r="W146" s="1029"/>
      <c r="X146" s="1172"/>
      <c r="Y146" s="1172"/>
      <c r="Z146" s="1172"/>
      <c r="AA146" s="374"/>
      <c r="AB146" s="375"/>
      <c r="AC146" s="375"/>
      <c r="AD146" s="375"/>
      <c r="AE146" s="1017"/>
      <c r="AF146" s="374"/>
      <c r="AG146" s="375"/>
      <c r="AH146" s="1017"/>
    </row>
    <row r="147" spans="1:34" s="474" customFormat="1" ht="12.75" customHeight="1" outlineLevel="1">
      <c r="A147" s="262"/>
      <c r="B147" s="262"/>
      <c r="C147" s="262"/>
      <c r="D147" s="262"/>
      <c r="E147" s="4054"/>
      <c r="F147" s="2928" t="s">
        <v>558</v>
      </c>
      <c r="G147" s="374"/>
      <c r="H147" s="375"/>
      <c r="I147" s="375"/>
      <c r="J147" s="375"/>
      <c r="K147" s="1017"/>
      <c r="L147" s="374"/>
      <c r="M147" s="375"/>
      <c r="N147" s="375"/>
      <c r="O147" s="375"/>
      <c r="P147" s="375"/>
      <c r="Q147" s="375"/>
      <c r="R147" s="459"/>
      <c r="S147" s="458"/>
      <c r="T147" s="458">
        <v>127456.45742037975</v>
      </c>
      <c r="U147" s="458"/>
      <c r="V147" s="460"/>
      <c r="W147" s="1030"/>
      <c r="X147" s="1172"/>
      <c r="Y147" s="1172"/>
      <c r="Z147" s="1172"/>
      <c r="AA147" s="374"/>
      <c r="AB147" s="375"/>
      <c r="AC147" s="375"/>
      <c r="AD147" s="375"/>
      <c r="AE147" s="1017"/>
      <c r="AF147" s="374"/>
      <c r="AG147" s="375"/>
      <c r="AH147" s="1017"/>
    </row>
    <row r="148" spans="1:34" s="474" customFormat="1" ht="12.75" customHeight="1" outlineLevel="1">
      <c r="A148" s="262"/>
      <c r="B148" s="262"/>
      <c r="C148" s="262"/>
      <c r="D148" s="262"/>
      <c r="E148" s="4054"/>
      <c r="F148" s="2928" t="s">
        <v>578</v>
      </c>
      <c r="G148" s="374"/>
      <c r="H148" s="375"/>
      <c r="I148" s="375"/>
      <c r="J148" s="375"/>
      <c r="K148" s="1017"/>
      <c r="L148" s="374"/>
      <c r="M148" s="375"/>
      <c r="N148" s="375"/>
      <c r="O148" s="375"/>
      <c r="P148" s="375"/>
      <c r="Q148" s="375"/>
      <c r="R148" s="459"/>
      <c r="S148" s="458"/>
      <c r="T148" s="458">
        <v>0</v>
      </c>
      <c r="U148" s="458"/>
      <c r="V148" s="460"/>
      <c r="W148" s="1030"/>
      <c r="X148" s="1172"/>
      <c r="Y148" s="1172"/>
      <c r="Z148" s="1172"/>
      <c r="AA148" s="374"/>
      <c r="AB148" s="375"/>
      <c r="AC148" s="375"/>
      <c r="AD148" s="375"/>
      <c r="AE148" s="1017"/>
      <c r="AF148" s="374"/>
      <c r="AG148" s="375"/>
      <c r="AH148" s="1017"/>
    </row>
    <row r="149" spans="1:34" s="474" customFormat="1" ht="12.75" customHeight="1" outlineLevel="1">
      <c r="A149" s="262"/>
      <c r="B149" s="262"/>
      <c r="C149" s="262"/>
      <c r="D149" s="262"/>
      <c r="E149" s="4054"/>
      <c r="F149" s="2930" t="s">
        <v>579</v>
      </c>
      <c r="G149" s="459"/>
      <c r="H149" s="458"/>
      <c r="I149" s="458"/>
      <c r="J149" s="458"/>
      <c r="K149" s="460"/>
      <c r="L149" s="429"/>
      <c r="M149" s="476"/>
      <c r="N149" s="476"/>
      <c r="O149" s="476"/>
      <c r="P149" s="477"/>
      <c r="Q149" s="980"/>
      <c r="R149" s="353">
        <f>SUM(R146:R148)</f>
        <v>0</v>
      </c>
      <c r="S149" s="354">
        <f>SUM(S146:S148)</f>
        <v>0</v>
      </c>
      <c r="T149" s="354">
        <f>SUM(T146:T148)</f>
        <v>132767.14314622892</v>
      </c>
      <c r="U149" s="354">
        <f>SUM(U146:U148)</f>
        <v>0</v>
      </c>
      <c r="V149" s="450">
        <f>SUM(V146:V148)</f>
        <v>0</v>
      </c>
      <c r="W149" s="1030"/>
      <c r="X149" s="1172"/>
      <c r="Y149" s="1172"/>
      <c r="Z149" s="1172"/>
      <c r="AA149" s="462"/>
      <c r="AB149" s="463"/>
      <c r="AC149" s="463"/>
      <c r="AD149" s="463"/>
      <c r="AE149" s="464"/>
      <c r="AF149" s="511"/>
      <c r="AG149" s="512"/>
      <c r="AH149" s="547"/>
    </row>
    <row r="150" spans="1:34" s="474" customFormat="1" ht="12.75" customHeight="1" outlineLevel="1">
      <c r="A150" s="262"/>
      <c r="B150" s="262"/>
      <c r="C150" s="262"/>
      <c r="D150" s="262"/>
      <c r="E150" s="4054"/>
      <c r="F150" s="2928" t="s">
        <v>583</v>
      </c>
      <c r="G150" s="459"/>
      <c r="H150" s="458"/>
      <c r="I150" s="458"/>
      <c r="J150" s="458"/>
      <c r="K150" s="460"/>
      <c r="L150" s="429"/>
      <c r="M150" s="476"/>
      <c r="N150" s="476"/>
      <c r="O150" s="476"/>
      <c r="P150" s="477"/>
      <c r="Q150" s="980"/>
      <c r="R150" s="564"/>
      <c r="S150" s="477"/>
      <c r="T150" s="458">
        <v>9956.0943261807133</v>
      </c>
      <c r="U150" s="477"/>
      <c r="V150" s="519"/>
      <c r="W150" s="1030"/>
      <c r="X150" s="1172"/>
      <c r="Y150" s="1172"/>
      <c r="Z150" s="1172"/>
      <c r="AA150" s="462"/>
      <c r="AB150" s="463"/>
      <c r="AC150" s="463"/>
      <c r="AD150" s="463"/>
      <c r="AE150" s="464"/>
      <c r="AF150" s="511"/>
      <c r="AG150" s="512"/>
      <c r="AH150" s="547"/>
    </row>
    <row r="151" spans="1:34" s="474" customFormat="1" ht="12.75" customHeight="1" outlineLevel="1">
      <c r="A151" s="262"/>
      <c r="B151" s="262"/>
      <c r="C151" s="262"/>
      <c r="D151" s="262"/>
      <c r="E151" s="4054"/>
      <c r="F151" s="2928" t="s">
        <v>581</v>
      </c>
      <c r="G151" s="459"/>
      <c r="H151" s="458"/>
      <c r="I151" s="458"/>
      <c r="J151" s="458"/>
      <c r="K151" s="460"/>
      <c r="L151" s="459"/>
      <c r="M151" s="458"/>
      <c r="N151" s="458"/>
      <c r="O151" s="458"/>
      <c r="P151" s="475"/>
      <c r="Q151" s="980"/>
      <c r="R151" s="1034"/>
      <c r="S151" s="475"/>
      <c r="T151" s="475">
        <v>0</v>
      </c>
      <c r="U151" s="475"/>
      <c r="V151" s="518"/>
      <c r="W151" s="1030"/>
      <c r="X151" s="1172"/>
      <c r="Y151" s="1172"/>
      <c r="Z151" s="1172"/>
      <c r="AA151" s="462"/>
      <c r="AB151" s="463"/>
      <c r="AC151" s="463"/>
      <c r="AD151" s="463"/>
      <c r="AE151" s="464"/>
      <c r="AF151" s="462"/>
      <c r="AG151" s="463"/>
      <c r="AH151" s="464"/>
    </row>
    <row r="152" spans="1:34" s="474" customFormat="1" ht="12.75" customHeight="1" outlineLevel="1">
      <c r="A152" s="262"/>
      <c r="B152" s="262"/>
      <c r="C152" s="262"/>
      <c r="D152" s="262"/>
      <c r="E152" s="4054"/>
      <c r="F152" s="2930" t="s">
        <v>584</v>
      </c>
      <c r="G152" s="353">
        <f>SUM(G149:G151)</f>
        <v>0</v>
      </c>
      <c r="H152" s="354">
        <f t="shared" ref="H152:V152" si="56">SUM(H149:H151)</f>
        <v>0</v>
      </c>
      <c r="I152" s="354">
        <f t="shared" si="56"/>
        <v>0</v>
      </c>
      <c r="J152" s="354">
        <f t="shared" si="56"/>
        <v>0</v>
      </c>
      <c r="K152" s="450">
        <f t="shared" si="56"/>
        <v>0</v>
      </c>
      <c r="L152" s="353">
        <f t="shared" si="56"/>
        <v>0</v>
      </c>
      <c r="M152" s="354">
        <f t="shared" si="56"/>
        <v>0</v>
      </c>
      <c r="N152" s="354">
        <f t="shared" si="56"/>
        <v>0</v>
      </c>
      <c r="O152" s="354">
        <f t="shared" si="56"/>
        <v>0</v>
      </c>
      <c r="P152" s="354">
        <f t="shared" si="56"/>
        <v>0</v>
      </c>
      <c r="Q152" s="1027">
        <f t="shared" si="56"/>
        <v>0</v>
      </c>
      <c r="R152" s="353">
        <f t="shared" si="56"/>
        <v>0</v>
      </c>
      <c r="S152" s="354">
        <f t="shared" si="56"/>
        <v>0</v>
      </c>
      <c r="T152" s="354">
        <f t="shared" si="56"/>
        <v>142723.23747240964</v>
      </c>
      <c r="U152" s="354">
        <f t="shared" si="56"/>
        <v>0</v>
      </c>
      <c r="V152" s="450">
        <f t="shared" si="56"/>
        <v>0</v>
      </c>
      <c r="W152" s="1030"/>
      <c r="X152" s="1172"/>
      <c r="Y152" s="1172"/>
      <c r="Z152" s="1172"/>
      <c r="AA152" s="353">
        <f>SUM(AA149:AA151)</f>
        <v>0</v>
      </c>
      <c r="AB152" s="354">
        <f t="shared" ref="AB152:AH152" si="57">SUM(AB149:AB151)</f>
        <v>0</v>
      </c>
      <c r="AC152" s="354">
        <f t="shared" si="57"/>
        <v>0</v>
      </c>
      <c r="AD152" s="354">
        <f t="shared" si="57"/>
        <v>0</v>
      </c>
      <c r="AE152" s="450">
        <f t="shared" si="57"/>
        <v>0</v>
      </c>
      <c r="AF152" s="353">
        <f t="shared" si="57"/>
        <v>0</v>
      </c>
      <c r="AG152" s="354">
        <f t="shared" si="57"/>
        <v>0</v>
      </c>
      <c r="AH152" s="450">
        <f t="shared" si="57"/>
        <v>0</v>
      </c>
    </row>
    <row r="153" spans="1:34" s="474" customFormat="1" ht="9.75" customHeight="1" outlineLevel="1">
      <c r="A153" s="262"/>
      <c r="B153" s="262"/>
      <c r="C153" s="262"/>
      <c r="D153" s="262"/>
      <c r="E153" s="4054"/>
      <c r="F153" s="2928" t="s">
        <v>35</v>
      </c>
      <c r="G153" s="459"/>
      <c r="H153" s="458"/>
      <c r="I153" s="458"/>
      <c r="J153" s="458"/>
      <c r="K153" s="460"/>
      <c r="L153" s="459"/>
      <c r="M153" s="458"/>
      <c r="N153" s="458"/>
      <c r="O153" s="458"/>
      <c r="P153" s="458"/>
      <c r="Q153" s="980"/>
      <c r="R153" s="459"/>
      <c r="S153" s="458"/>
      <c r="T153" s="458">
        <v>0</v>
      </c>
      <c r="U153" s="458"/>
      <c r="V153" s="460"/>
      <c r="W153" s="1030"/>
      <c r="X153" s="1172"/>
      <c r="Y153" s="1172"/>
      <c r="Z153" s="1172"/>
      <c r="AA153" s="462"/>
      <c r="AB153" s="463"/>
      <c r="AC153" s="463"/>
      <c r="AD153" s="463"/>
      <c r="AE153" s="464"/>
      <c r="AF153" s="462"/>
      <c r="AG153" s="463"/>
      <c r="AH153" s="464"/>
    </row>
    <row r="154" spans="1:34" s="474" customFormat="1" ht="13.5" customHeight="1" outlineLevel="1" thickBot="1">
      <c r="A154" s="262"/>
      <c r="B154" s="262"/>
      <c r="C154" s="262"/>
      <c r="D154" s="262"/>
      <c r="E154" s="4055"/>
      <c r="F154" s="357" t="s">
        <v>585</v>
      </c>
      <c r="G154" s="1370">
        <f t="shared" ref="G154:V154" si="58">G152-G153</f>
        <v>0</v>
      </c>
      <c r="H154" s="356">
        <f t="shared" si="58"/>
        <v>0</v>
      </c>
      <c r="I154" s="356">
        <f t="shared" si="58"/>
        <v>0</v>
      </c>
      <c r="J154" s="356">
        <f t="shared" si="58"/>
        <v>0</v>
      </c>
      <c r="K154" s="503">
        <f t="shared" si="58"/>
        <v>0</v>
      </c>
      <c r="L154" s="1370">
        <f t="shared" si="58"/>
        <v>0</v>
      </c>
      <c r="M154" s="356">
        <f t="shared" si="58"/>
        <v>0</v>
      </c>
      <c r="N154" s="356">
        <f t="shared" si="58"/>
        <v>0</v>
      </c>
      <c r="O154" s="356">
        <f t="shared" si="58"/>
        <v>0</v>
      </c>
      <c r="P154" s="356">
        <f t="shared" si="58"/>
        <v>0</v>
      </c>
      <c r="Q154" s="1028">
        <f t="shared" si="58"/>
        <v>0</v>
      </c>
      <c r="R154" s="1370">
        <f t="shared" si="58"/>
        <v>0</v>
      </c>
      <c r="S154" s="356">
        <f t="shared" si="58"/>
        <v>0</v>
      </c>
      <c r="T154" s="356">
        <f t="shared" si="58"/>
        <v>142723.23747240964</v>
      </c>
      <c r="U154" s="356">
        <f t="shared" si="58"/>
        <v>0</v>
      </c>
      <c r="V154" s="503">
        <f t="shared" si="58"/>
        <v>0</v>
      </c>
      <c r="W154" s="1031"/>
      <c r="X154" s="1172"/>
      <c r="Y154" s="1172"/>
      <c r="Z154" s="1172"/>
      <c r="AA154" s="1370">
        <f t="shared" ref="AA154:AH154" si="59">AA152-AA153</f>
        <v>0</v>
      </c>
      <c r="AB154" s="356">
        <f t="shared" si="59"/>
        <v>0</v>
      </c>
      <c r="AC154" s="356">
        <f t="shared" si="59"/>
        <v>0</v>
      </c>
      <c r="AD154" s="356">
        <f t="shared" si="59"/>
        <v>0</v>
      </c>
      <c r="AE154" s="503">
        <f t="shared" si="59"/>
        <v>0</v>
      </c>
      <c r="AF154" s="1370">
        <f t="shared" si="59"/>
        <v>0</v>
      </c>
      <c r="AG154" s="356">
        <f t="shared" si="59"/>
        <v>0</v>
      </c>
      <c r="AH154" s="503">
        <f t="shared" si="59"/>
        <v>0</v>
      </c>
    </row>
    <row r="155" spans="1:34" s="474" customFormat="1" ht="12.75" customHeight="1" outlineLevel="1">
      <c r="A155" s="262"/>
      <c r="B155" s="262"/>
      <c r="C155" s="262"/>
      <c r="D155" s="262"/>
      <c r="E155" s="4053" t="s">
        <v>1463</v>
      </c>
      <c r="F155" s="565" t="s">
        <v>559</v>
      </c>
      <c r="G155" s="374"/>
      <c r="H155" s="375"/>
      <c r="I155" s="375"/>
      <c r="J155" s="375"/>
      <c r="K155" s="1017"/>
      <c r="L155" s="374"/>
      <c r="M155" s="375"/>
      <c r="N155" s="375"/>
      <c r="O155" s="375"/>
      <c r="P155" s="375"/>
      <c r="Q155" s="375"/>
      <c r="R155" s="459"/>
      <c r="S155" s="458"/>
      <c r="T155" s="458"/>
      <c r="U155" s="458"/>
      <c r="V155" s="460">
        <v>85379.48590019031</v>
      </c>
      <c r="W155" s="1029"/>
      <c r="X155" s="1172"/>
      <c r="Y155" s="1172"/>
      <c r="Z155" s="1172"/>
      <c r="AA155" s="374"/>
      <c r="AB155" s="375"/>
      <c r="AC155" s="375"/>
      <c r="AD155" s="375"/>
      <c r="AE155" s="1017"/>
      <c r="AF155" s="374"/>
      <c r="AG155" s="375"/>
      <c r="AH155" s="1017"/>
    </row>
    <row r="156" spans="1:34" s="474" customFormat="1" ht="12.75" customHeight="1" outlineLevel="1">
      <c r="A156" s="262"/>
      <c r="B156" s="262"/>
      <c r="C156" s="262"/>
      <c r="D156" s="262"/>
      <c r="E156" s="4054"/>
      <c r="F156" s="2928" t="s">
        <v>558</v>
      </c>
      <c r="G156" s="374"/>
      <c r="H156" s="375"/>
      <c r="I156" s="375"/>
      <c r="J156" s="375"/>
      <c r="K156" s="1017"/>
      <c r="L156" s="374"/>
      <c r="M156" s="375"/>
      <c r="N156" s="375"/>
      <c r="O156" s="375"/>
      <c r="P156" s="375"/>
      <c r="Q156" s="375"/>
      <c r="R156" s="459"/>
      <c r="S156" s="458"/>
      <c r="T156" s="458"/>
      <c r="U156" s="458"/>
      <c r="V156" s="460">
        <v>2049107.6616045672</v>
      </c>
      <c r="W156" s="1030"/>
      <c r="X156" s="1172"/>
      <c r="Y156" s="1172"/>
      <c r="Z156" s="1172"/>
      <c r="AA156" s="374"/>
      <c r="AB156" s="375"/>
      <c r="AC156" s="375"/>
      <c r="AD156" s="375"/>
      <c r="AE156" s="1017"/>
      <c r="AF156" s="374"/>
      <c r="AG156" s="375"/>
      <c r="AH156" s="1017"/>
    </row>
    <row r="157" spans="1:34" s="474" customFormat="1" ht="12.75" customHeight="1" outlineLevel="1">
      <c r="A157" s="262"/>
      <c r="B157" s="262"/>
      <c r="C157" s="262"/>
      <c r="D157" s="262"/>
      <c r="E157" s="4054"/>
      <c r="F157" s="2928" t="s">
        <v>578</v>
      </c>
      <c r="G157" s="374"/>
      <c r="H157" s="375"/>
      <c r="I157" s="375"/>
      <c r="J157" s="375"/>
      <c r="K157" s="1017"/>
      <c r="L157" s="374"/>
      <c r="M157" s="375"/>
      <c r="N157" s="375"/>
      <c r="O157" s="375"/>
      <c r="P157" s="375"/>
      <c r="Q157" s="375"/>
      <c r="R157" s="459"/>
      <c r="S157" s="458"/>
      <c r="T157" s="458"/>
      <c r="U157" s="458"/>
      <c r="V157" s="460">
        <v>0</v>
      </c>
      <c r="W157" s="1030"/>
      <c r="X157" s="1172"/>
      <c r="Y157" s="1172"/>
      <c r="Z157" s="1172"/>
      <c r="AA157" s="374"/>
      <c r="AB157" s="375"/>
      <c r="AC157" s="375"/>
      <c r="AD157" s="375"/>
      <c r="AE157" s="1017"/>
      <c r="AF157" s="374"/>
      <c r="AG157" s="375"/>
      <c r="AH157" s="1017"/>
    </row>
    <row r="158" spans="1:34" s="474" customFormat="1" ht="12.75" customHeight="1" outlineLevel="1">
      <c r="A158" s="262"/>
      <c r="B158" s="262"/>
      <c r="C158" s="262"/>
      <c r="D158" s="262"/>
      <c r="E158" s="4054"/>
      <c r="F158" s="2930" t="s">
        <v>579</v>
      </c>
      <c r="G158" s="459"/>
      <c r="H158" s="458"/>
      <c r="I158" s="458"/>
      <c r="J158" s="458"/>
      <c r="K158" s="460"/>
      <c r="L158" s="429"/>
      <c r="M158" s="476"/>
      <c r="N158" s="476"/>
      <c r="O158" s="476"/>
      <c r="P158" s="477"/>
      <c r="Q158" s="980"/>
      <c r="R158" s="353">
        <f>SUM(R155:R157)</f>
        <v>0</v>
      </c>
      <c r="S158" s="354">
        <f>SUM(S155:S157)</f>
        <v>0</v>
      </c>
      <c r="T158" s="354">
        <f>SUM(T155:T157)</f>
        <v>0</v>
      </c>
      <c r="U158" s="354">
        <f>SUM(U155:U157)</f>
        <v>0</v>
      </c>
      <c r="V158" s="450">
        <f>SUM(V155:V157)</f>
        <v>2134487.1475047576</v>
      </c>
      <c r="W158" s="1030"/>
      <c r="X158" s="1172"/>
      <c r="Y158" s="1172"/>
      <c r="Z158" s="1172"/>
      <c r="AA158" s="462"/>
      <c r="AB158" s="463"/>
      <c r="AC158" s="463"/>
      <c r="AD158" s="463"/>
      <c r="AE158" s="464"/>
      <c r="AF158" s="511"/>
      <c r="AG158" s="512"/>
      <c r="AH158" s="547"/>
    </row>
    <row r="159" spans="1:34" s="474" customFormat="1" ht="12.75" customHeight="1" outlineLevel="1">
      <c r="A159" s="262"/>
      <c r="B159" s="262"/>
      <c r="C159" s="262"/>
      <c r="D159" s="262"/>
      <c r="E159" s="4054"/>
      <c r="F159" s="2928" t="s">
        <v>583</v>
      </c>
      <c r="G159" s="459"/>
      <c r="H159" s="458"/>
      <c r="I159" s="458"/>
      <c r="J159" s="458"/>
      <c r="K159" s="460"/>
      <c r="L159" s="429"/>
      <c r="M159" s="476"/>
      <c r="N159" s="476"/>
      <c r="O159" s="476"/>
      <c r="P159" s="477"/>
      <c r="Q159" s="980"/>
      <c r="R159" s="564"/>
      <c r="S159" s="477"/>
      <c r="T159" s="477"/>
      <c r="U159" s="477"/>
      <c r="V159" s="460">
        <v>160063.36262859765</v>
      </c>
      <c r="W159" s="1030"/>
      <c r="X159" s="1172"/>
      <c r="Y159" s="1172"/>
      <c r="Z159" s="1172"/>
      <c r="AA159" s="462"/>
      <c r="AB159" s="463"/>
      <c r="AC159" s="463"/>
      <c r="AD159" s="463"/>
      <c r="AE159" s="464"/>
      <c r="AF159" s="511"/>
      <c r="AG159" s="512"/>
      <c r="AH159" s="547"/>
    </row>
    <row r="160" spans="1:34" s="474" customFormat="1" ht="12.75" customHeight="1" outlineLevel="1">
      <c r="A160" s="262"/>
      <c r="B160" s="262"/>
      <c r="C160" s="262"/>
      <c r="D160" s="262"/>
      <c r="E160" s="4054"/>
      <c r="F160" s="2928" t="s">
        <v>581</v>
      </c>
      <c r="G160" s="459"/>
      <c r="H160" s="458"/>
      <c r="I160" s="458"/>
      <c r="J160" s="458"/>
      <c r="K160" s="460"/>
      <c r="L160" s="459"/>
      <c r="M160" s="458"/>
      <c r="N160" s="458"/>
      <c r="O160" s="458"/>
      <c r="P160" s="475"/>
      <c r="Q160" s="980"/>
      <c r="R160" s="1034"/>
      <c r="S160" s="475"/>
      <c r="T160" s="475"/>
      <c r="U160" s="475"/>
      <c r="V160" s="518">
        <v>0</v>
      </c>
      <c r="W160" s="1030"/>
      <c r="X160" s="1172"/>
      <c r="Y160" s="1172"/>
      <c r="Z160" s="1172"/>
      <c r="AA160" s="462"/>
      <c r="AB160" s="463"/>
      <c r="AC160" s="463"/>
      <c r="AD160" s="463"/>
      <c r="AE160" s="464"/>
      <c r="AF160" s="462"/>
      <c r="AG160" s="463"/>
      <c r="AH160" s="464"/>
    </row>
    <row r="161" spans="1:34" s="474" customFormat="1" ht="12.75" customHeight="1" outlineLevel="1">
      <c r="A161" s="262"/>
      <c r="B161" s="262"/>
      <c r="C161" s="262"/>
      <c r="D161" s="262"/>
      <c r="E161" s="4054"/>
      <c r="F161" s="2930" t="s">
        <v>584</v>
      </c>
      <c r="G161" s="353">
        <f>SUM(G158:G160)</f>
        <v>0</v>
      </c>
      <c r="H161" s="354">
        <f t="shared" ref="H161:V161" si="60">SUM(H158:H160)</f>
        <v>0</v>
      </c>
      <c r="I161" s="354">
        <f t="shared" si="60"/>
        <v>0</v>
      </c>
      <c r="J161" s="354">
        <f t="shared" si="60"/>
        <v>0</v>
      </c>
      <c r="K161" s="450">
        <f t="shared" si="60"/>
        <v>0</v>
      </c>
      <c r="L161" s="353">
        <f t="shared" si="60"/>
        <v>0</v>
      </c>
      <c r="M161" s="354">
        <f t="shared" si="60"/>
        <v>0</v>
      </c>
      <c r="N161" s="354">
        <f t="shared" si="60"/>
        <v>0</v>
      </c>
      <c r="O161" s="354">
        <f t="shared" si="60"/>
        <v>0</v>
      </c>
      <c r="P161" s="354">
        <f t="shared" si="60"/>
        <v>0</v>
      </c>
      <c r="Q161" s="1027">
        <f t="shared" si="60"/>
        <v>0</v>
      </c>
      <c r="R161" s="353">
        <f t="shared" si="60"/>
        <v>0</v>
      </c>
      <c r="S161" s="354">
        <f t="shared" si="60"/>
        <v>0</v>
      </c>
      <c r="T161" s="354">
        <f t="shared" si="60"/>
        <v>0</v>
      </c>
      <c r="U161" s="354">
        <f t="shared" si="60"/>
        <v>0</v>
      </c>
      <c r="V161" s="450">
        <f t="shared" si="60"/>
        <v>2294550.5101333554</v>
      </c>
      <c r="W161" s="1030"/>
      <c r="X161" s="1172"/>
      <c r="Y161" s="1172"/>
      <c r="Z161" s="1172"/>
      <c r="AA161" s="353">
        <f>SUM(AA158:AA160)</f>
        <v>0</v>
      </c>
      <c r="AB161" s="354">
        <f t="shared" ref="AB161:AH161" si="61">SUM(AB158:AB160)</f>
        <v>0</v>
      </c>
      <c r="AC161" s="354">
        <f t="shared" si="61"/>
        <v>0</v>
      </c>
      <c r="AD161" s="354">
        <f t="shared" si="61"/>
        <v>0</v>
      </c>
      <c r="AE161" s="450">
        <f t="shared" si="61"/>
        <v>0</v>
      </c>
      <c r="AF161" s="353">
        <f t="shared" si="61"/>
        <v>0</v>
      </c>
      <c r="AG161" s="354">
        <f t="shared" si="61"/>
        <v>0</v>
      </c>
      <c r="AH161" s="450">
        <f t="shared" si="61"/>
        <v>0</v>
      </c>
    </row>
    <row r="162" spans="1:34" s="474" customFormat="1" ht="12.75" customHeight="1" outlineLevel="1">
      <c r="A162" s="262"/>
      <c r="B162" s="262"/>
      <c r="C162" s="262"/>
      <c r="D162" s="262"/>
      <c r="E162" s="4054"/>
      <c r="F162" s="2928" t="s">
        <v>35</v>
      </c>
      <c r="G162" s="459"/>
      <c r="H162" s="458"/>
      <c r="I162" s="458"/>
      <c r="J162" s="458"/>
      <c r="K162" s="460"/>
      <c r="L162" s="459"/>
      <c r="M162" s="458"/>
      <c r="N162" s="458"/>
      <c r="O162" s="458"/>
      <c r="P162" s="458"/>
      <c r="Q162" s="980"/>
      <c r="R162" s="459"/>
      <c r="S162" s="458"/>
      <c r="T162" s="458"/>
      <c r="U162" s="458"/>
      <c r="V162" s="460">
        <v>0</v>
      </c>
      <c r="W162" s="1030"/>
      <c r="X162" s="1172"/>
      <c r="Y162" s="1172"/>
      <c r="Z162" s="1172"/>
      <c r="AA162" s="462"/>
      <c r="AB162" s="463"/>
      <c r="AC162" s="463"/>
      <c r="AD162" s="463"/>
      <c r="AE162" s="464"/>
      <c r="AF162" s="462"/>
      <c r="AG162" s="463"/>
      <c r="AH162" s="464"/>
    </row>
    <row r="163" spans="1:34" s="474" customFormat="1" ht="13.5" customHeight="1" outlineLevel="1" thickBot="1">
      <c r="A163" s="262"/>
      <c r="B163" s="262"/>
      <c r="C163" s="262"/>
      <c r="D163" s="262"/>
      <c r="E163" s="4055"/>
      <c r="F163" s="357" t="s">
        <v>585</v>
      </c>
      <c r="G163" s="1370">
        <f t="shared" ref="G163:V163" si="62">G161-G162</f>
        <v>0</v>
      </c>
      <c r="H163" s="356">
        <f t="shared" si="62"/>
        <v>0</v>
      </c>
      <c r="I163" s="356">
        <f t="shared" si="62"/>
        <v>0</v>
      </c>
      <c r="J163" s="356">
        <f t="shared" si="62"/>
        <v>0</v>
      </c>
      <c r="K163" s="503">
        <f t="shared" si="62"/>
        <v>0</v>
      </c>
      <c r="L163" s="1370">
        <f t="shared" si="62"/>
        <v>0</v>
      </c>
      <c r="M163" s="356">
        <f t="shared" si="62"/>
        <v>0</v>
      </c>
      <c r="N163" s="356">
        <f t="shared" si="62"/>
        <v>0</v>
      </c>
      <c r="O163" s="356">
        <f t="shared" si="62"/>
        <v>0</v>
      </c>
      <c r="P163" s="356">
        <f t="shared" si="62"/>
        <v>0</v>
      </c>
      <c r="Q163" s="1028">
        <f t="shared" si="62"/>
        <v>0</v>
      </c>
      <c r="R163" s="1370">
        <f t="shared" si="62"/>
        <v>0</v>
      </c>
      <c r="S163" s="356">
        <f t="shared" si="62"/>
        <v>0</v>
      </c>
      <c r="T163" s="356">
        <f t="shared" si="62"/>
        <v>0</v>
      </c>
      <c r="U163" s="356">
        <f t="shared" si="62"/>
        <v>0</v>
      </c>
      <c r="V163" s="503">
        <f t="shared" si="62"/>
        <v>2294550.5101333554</v>
      </c>
      <c r="W163" s="1031"/>
      <c r="X163" s="1172"/>
      <c r="Y163" s="1172"/>
      <c r="Z163" s="1172"/>
      <c r="AA163" s="1370">
        <f t="shared" ref="AA163:AH163" si="63">AA161-AA162</f>
        <v>0</v>
      </c>
      <c r="AB163" s="356">
        <f t="shared" si="63"/>
        <v>0</v>
      </c>
      <c r="AC163" s="356">
        <f t="shared" si="63"/>
        <v>0</v>
      </c>
      <c r="AD163" s="356">
        <f t="shared" si="63"/>
        <v>0</v>
      </c>
      <c r="AE163" s="503">
        <f t="shared" si="63"/>
        <v>0</v>
      </c>
      <c r="AF163" s="1370">
        <f t="shared" si="63"/>
        <v>0</v>
      </c>
      <c r="AG163" s="356">
        <f t="shared" si="63"/>
        <v>0</v>
      </c>
      <c r="AH163" s="503">
        <f t="shared" si="63"/>
        <v>0</v>
      </c>
    </row>
    <row r="164" spans="1:34" s="474" customFormat="1" ht="12.75" customHeight="1" outlineLevel="1">
      <c r="A164" s="262"/>
      <c r="B164" s="262"/>
      <c r="C164" s="262"/>
      <c r="D164" s="262"/>
      <c r="E164" s="4053" t="s">
        <v>1464</v>
      </c>
      <c r="F164" s="565" t="s">
        <v>559</v>
      </c>
      <c r="G164" s="378"/>
      <c r="H164" s="379"/>
      <c r="I164" s="379"/>
      <c r="J164" s="379"/>
      <c r="K164" s="381"/>
      <c r="L164" s="378"/>
      <c r="M164" s="379"/>
      <c r="N164" s="379"/>
      <c r="O164" s="379"/>
      <c r="P164" s="379"/>
      <c r="Q164" s="379"/>
      <c r="R164" s="1369"/>
      <c r="S164" s="409"/>
      <c r="T164" s="409"/>
      <c r="U164" s="409"/>
      <c r="V164" s="505"/>
      <c r="W164" s="1029"/>
      <c r="X164" s="1172"/>
      <c r="Y164" s="1172"/>
      <c r="Z164" s="1172"/>
      <c r="AA164" s="374"/>
      <c r="AB164" s="375"/>
      <c r="AC164" s="375"/>
      <c r="AD164" s="375"/>
      <c r="AE164" s="1017"/>
      <c r="AF164" s="374"/>
      <c r="AG164" s="375"/>
      <c r="AH164" s="1017"/>
    </row>
    <row r="165" spans="1:34" s="474" customFormat="1" ht="12.75" customHeight="1" outlineLevel="1">
      <c r="A165" s="262"/>
      <c r="B165" s="262"/>
      <c r="C165" s="262"/>
      <c r="D165" s="262"/>
      <c r="E165" s="4054"/>
      <c r="F165" s="2928" t="s">
        <v>558</v>
      </c>
      <c r="G165" s="374"/>
      <c r="H165" s="375"/>
      <c r="I165" s="375"/>
      <c r="J165" s="375"/>
      <c r="K165" s="1017"/>
      <c r="L165" s="374"/>
      <c r="M165" s="375"/>
      <c r="N165" s="375"/>
      <c r="O165" s="375"/>
      <c r="P165" s="375"/>
      <c r="Q165" s="375"/>
      <c r="R165" s="459"/>
      <c r="S165" s="458"/>
      <c r="T165" s="458"/>
      <c r="U165" s="458"/>
      <c r="V165" s="460"/>
      <c r="W165" s="1030"/>
      <c r="X165" s="1172"/>
      <c r="Y165" s="1172"/>
      <c r="Z165" s="1172"/>
      <c r="AA165" s="374"/>
      <c r="AB165" s="375"/>
      <c r="AC165" s="375"/>
      <c r="AD165" s="375"/>
      <c r="AE165" s="1017"/>
      <c r="AF165" s="374"/>
      <c r="AG165" s="375"/>
      <c r="AH165" s="1017"/>
    </row>
    <row r="166" spans="1:34" s="474" customFormat="1" ht="12.75" customHeight="1" outlineLevel="1">
      <c r="A166" s="262"/>
      <c r="B166" s="262"/>
      <c r="C166" s="262"/>
      <c r="D166" s="262"/>
      <c r="E166" s="4054"/>
      <c r="F166" s="2928" t="s">
        <v>578</v>
      </c>
      <c r="G166" s="374"/>
      <c r="H166" s="375"/>
      <c r="I166" s="375"/>
      <c r="J166" s="375"/>
      <c r="K166" s="1017"/>
      <c r="L166" s="374"/>
      <c r="M166" s="375"/>
      <c r="N166" s="375"/>
      <c r="O166" s="375"/>
      <c r="P166" s="375"/>
      <c r="Q166" s="375"/>
      <c r="R166" s="459"/>
      <c r="S166" s="458"/>
      <c r="T166" s="458"/>
      <c r="U166" s="458"/>
      <c r="V166" s="460"/>
      <c r="W166" s="1030"/>
      <c r="X166" s="1172"/>
      <c r="Y166" s="1172"/>
      <c r="Z166" s="1172"/>
      <c r="AA166" s="374"/>
      <c r="AB166" s="375"/>
      <c r="AC166" s="375"/>
      <c r="AD166" s="375"/>
      <c r="AE166" s="1017"/>
      <c r="AF166" s="374"/>
      <c r="AG166" s="375"/>
      <c r="AH166" s="1017"/>
    </row>
    <row r="167" spans="1:34" s="474" customFormat="1" ht="12.75" customHeight="1" outlineLevel="1">
      <c r="A167" s="262"/>
      <c r="B167" s="262"/>
      <c r="C167" s="262"/>
      <c r="D167" s="262"/>
      <c r="E167" s="4054"/>
      <c r="F167" s="2930" t="s">
        <v>579</v>
      </c>
      <c r="G167" s="459"/>
      <c r="H167" s="458"/>
      <c r="I167" s="458"/>
      <c r="J167" s="458"/>
      <c r="K167" s="460"/>
      <c r="L167" s="429"/>
      <c r="M167" s="476"/>
      <c r="N167" s="476"/>
      <c r="O167" s="476">
        <v>3107030.2499999995</v>
      </c>
      <c r="P167" s="477"/>
      <c r="Q167" s="980"/>
      <c r="R167" s="353">
        <f>SUM(R164:R166)</f>
        <v>0</v>
      </c>
      <c r="S167" s="354">
        <f>SUM(S164:S166)</f>
        <v>0</v>
      </c>
      <c r="T167" s="354">
        <f>SUM(T164:T166)</f>
        <v>0</v>
      </c>
      <c r="U167" s="354">
        <f>SUM(U164:U166)</f>
        <v>0</v>
      </c>
      <c r="V167" s="450">
        <f>SUM(V164:V166)</f>
        <v>0</v>
      </c>
      <c r="W167" s="1030"/>
      <c r="X167" s="1172"/>
      <c r="Y167" s="1172"/>
      <c r="Z167" s="1172"/>
      <c r="AA167" s="462"/>
      <c r="AB167" s="463"/>
      <c r="AC167" s="463"/>
      <c r="AD167" s="463"/>
      <c r="AE167" s="464"/>
      <c r="AF167" s="511"/>
      <c r="AG167" s="512"/>
      <c r="AH167" s="547"/>
    </row>
    <row r="168" spans="1:34" s="474" customFormat="1" ht="12.75" customHeight="1" outlineLevel="1">
      <c r="A168" s="262"/>
      <c r="B168" s="262"/>
      <c r="C168" s="262"/>
      <c r="D168" s="262"/>
      <c r="E168" s="4054"/>
      <c r="F168" s="2928" t="s">
        <v>583</v>
      </c>
      <c r="G168" s="459"/>
      <c r="H168" s="458"/>
      <c r="I168" s="458"/>
      <c r="J168" s="458"/>
      <c r="K168" s="460"/>
      <c r="L168" s="429"/>
      <c r="M168" s="476"/>
      <c r="N168" s="476"/>
      <c r="O168" s="476">
        <v>234391.26</v>
      </c>
      <c r="P168" s="477"/>
      <c r="Q168" s="980"/>
      <c r="R168" s="564"/>
      <c r="S168" s="477"/>
      <c r="T168" s="477"/>
      <c r="U168" s="477"/>
      <c r="V168" s="519"/>
      <c r="W168" s="1030"/>
      <c r="X168" s="1172"/>
      <c r="Y168" s="1172"/>
      <c r="Z168" s="1172"/>
      <c r="AA168" s="462"/>
      <c r="AB168" s="463"/>
      <c r="AC168" s="463"/>
      <c r="AD168" s="463"/>
      <c r="AE168" s="464"/>
      <c r="AF168" s="511"/>
      <c r="AG168" s="512"/>
      <c r="AH168" s="547"/>
    </row>
    <row r="169" spans="1:34" s="474" customFormat="1" ht="12.75" customHeight="1" outlineLevel="1">
      <c r="A169" s="262"/>
      <c r="B169" s="262"/>
      <c r="C169" s="262"/>
      <c r="D169" s="262"/>
      <c r="E169" s="4054"/>
      <c r="F169" s="2928" t="s">
        <v>581</v>
      </c>
      <c r="G169" s="459"/>
      <c r="H169" s="458"/>
      <c r="I169" s="458"/>
      <c r="J169" s="458"/>
      <c r="K169" s="460"/>
      <c r="L169" s="459"/>
      <c r="M169" s="458"/>
      <c r="N169" s="458"/>
      <c r="O169" s="458"/>
      <c r="P169" s="475"/>
      <c r="Q169" s="980"/>
      <c r="R169" s="1034"/>
      <c r="S169" s="475"/>
      <c r="T169" s="475"/>
      <c r="U169" s="475"/>
      <c r="V169" s="518"/>
      <c r="W169" s="1030"/>
      <c r="X169" s="1172"/>
      <c r="Y169" s="1172"/>
      <c r="Z169" s="1172"/>
      <c r="AA169" s="462"/>
      <c r="AB169" s="463"/>
      <c r="AC169" s="463"/>
      <c r="AD169" s="463"/>
      <c r="AE169" s="464"/>
      <c r="AF169" s="462"/>
      <c r="AG169" s="463"/>
      <c r="AH169" s="464"/>
    </row>
    <row r="170" spans="1:34" s="474" customFormat="1" ht="12.75" customHeight="1" outlineLevel="1">
      <c r="A170" s="262"/>
      <c r="B170" s="262"/>
      <c r="C170" s="262"/>
      <c r="D170" s="262"/>
      <c r="E170" s="4054"/>
      <c r="F170" s="2930" t="s">
        <v>584</v>
      </c>
      <c r="G170" s="353">
        <f>SUM(G167:G169)</f>
        <v>0</v>
      </c>
      <c r="H170" s="354">
        <f t="shared" ref="H170:V170" si="64">SUM(H167:H169)</f>
        <v>0</v>
      </c>
      <c r="I170" s="354">
        <f t="shared" si="64"/>
        <v>0</v>
      </c>
      <c r="J170" s="354">
        <f t="shared" si="64"/>
        <v>0</v>
      </c>
      <c r="K170" s="450">
        <f t="shared" si="64"/>
        <v>0</v>
      </c>
      <c r="L170" s="353">
        <f t="shared" si="64"/>
        <v>0</v>
      </c>
      <c r="M170" s="354">
        <f t="shared" si="64"/>
        <v>0</v>
      </c>
      <c r="N170" s="354">
        <f t="shared" si="64"/>
        <v>0</v>
      </c>
      <c r="O170" s="354">
        <f t="shared" si="64"/>
        <v>3341421.51</v>
      </c>
      <c r="P170" s="354">
        <f t="shared" si="64"/>
        <v>0</v>
      </c>
      <c r="Q170" s="1027">
        <f t="shared" si="64"/>
        <v>0</v>
      </c>
      <c r="R170" s="353">
        <f t="shared" si="64"/>
        <v>0</v>
      </c>
      <c r="S170" s="354">
        <f t="shared" si="64"/>
        <v>0</v>
      </c>
      <c r="T170" s="354">
        <f t="shared" si="64"/>
        <v>0</v>
      </c>
      <c r="U170" s="354">
        <f t="shared" si="64"/>
        <v>0</v>
      </c>
      <c r="V170" s="450">
        <f t="shared" si="64"/>
        <v>0</v>
      </c>
      <c r="W170" s="1030"/>
      <c r="X170" s="1172"/>
      <c r="Y170" s="1172"/>
      <c r="Z170" s="1172"/>
      <c r="AA170" s="353">
        <f>SUM(AA167:AA169)</f>
        <v>0</v>
      </c>
      <c r="AB170" s="354">
        <f t="shared" ref="AB170:AH170" si="65">SUM(AB167:AB169)</f>
        <v>0</v>
      </c>
      <c r="AC170" s="354">
        <f t="shared" si="65"/>
        <v>0</v>
      </c>
      <c r="AD170" s="354">
        <f t="shared" si="65"/>
        <v>0</v>
      </c>
      <c r="AE170" s="450">
        <f t="shared" si="65"/>
        <v>0</v>
      </c>
      <c r="AF170" s="353">
        <f t="shared" si="65"/>
        <v>0</v>
      </c>
      <c r="AG170" s="354">
        <f t="shared" si="65"/>
        <v>0</v>
      </c>
      <c r="AH170" s="450">
        <f t="shared" si="65"/>
        <v>0</v>
      </c>
    </row>
    <row r="171" spans="1:34" s="474" customFormat="1" ht="12.75" customHeight="1" outlineLevel="1">
      <c r="A171" s="262"/>
      <c r="B171" s="262"/>
      <c r="C171" s="262"/>
      <c r="D171" s="262"/>
      <c r="E171" s="4054"/>
      <c r="F171" s="2928" t="s">
        <v>35</v>
      </c>
      <c r="G171" s="459"/>
      <c r="H171" s="458"/>
      <c r="I171" s="458"/>
      <c r="J171" s="458"/>
      <c r="K171" s="460"/>
      <c r="L171" s="459"/>
      <c r="M171" s="458"/>
      <c r="N171" s="458"/>
      <c r="O171" s="458"/>
      <c r="P171" s="458"/>
      <c r="Q171" s="980"/>
      <c r="R171" s="459"/>
      <c r="S171" s="458"/>
      <c r="T171" s="458"/>
      <c r="U171" s="458"/>
      <c r="V171" s="460"/>
      <c r="W171" s="1030"/>
      <c r="X171" s="1172"/>
      <c r="Y171" s="1172"/>
      <c r="Z171" s="1172"/>
      <c r="AA171" s="462"/>
      <c r="AB171" s="463"/>
      <c r="AC171" s="463"/>
      <c r="AD171" s="463"/>
      <c r="AE171" s="464"/>
      <c r="AF171" s="462"/>
      <c r="AG171" s="463"/>
      <c r="AH171" s="464"/>
    </row>
    <row r="172" spans="1:34" s="474" customFormat="1" ht="13.5" customHeight="1" outlineLevel="1" thickBot="1">
      <c r="A172" s="262"/>
      <c r="B172" s="262"/>
      <c r="C172" s="262"/>
      <c r="D172" s="262"/>
      <c r="E172" s="4055"/>
      <c r="F172" s="357" t="s">
        <v>585</v>
      </c>
      <c r="G172" s="1370">
        <f>G170-G171</f>
        <v>0</v>
      </c>
      <c r="H172" s="356">
        <f>H170-H171</f>
        <v>0</v>
      </c>
      <c r="I172" s="356">
        <f>I170-I171</f>
        <v>0</v>
      </c>
      <c r="J172" s="356">
        <f>J170-J171</f>
        <v>0</v>
      </c>
      <c r="K172" s="503">
        <f>K170-K171</f>
        <v>0</v>
      </c>
      <c r="L172" s="1370">
        <f t="shared" ref="L172:V172" si="66">L170-L171</f>
        <v>0</v>
      </c>
      <c r="M172" s="356">
        <f t="shared" si="66"/>
        <v>0</v>
      </c>
      <c r="N172" s="356">
        <f t="shared" si="66"/>
        <v>0</v>
      </c>
      <c r="O172" s="356">
        <f t="shared" si="66"/>
        <v>3341421.51</v>
      </c>
      <c r="P172" s="356">
        <f t="shared" si="66"/>
        <v>0</v>
      </c>
      <c r="Q172" s="1028">
        <f t="shared" si="66"/>
        <v>0</v>
      </c>
      <c r="R172" s="1370">
        <f>R170-R171</f>
        <v>0</v>
      </c>
      <c r="S172" s="356">
        <f t="shared" si="66"/>
        <v>0</v>
      </c>
      <c r="T172" s="356">
        <f t="shared" si="66"/>
        <v>0</v>
      </c>
      <c r="U172" s="356">
        <f t="shared" si="66"/>
        <v>0</v>
      </c>
      <c r="V172" s="503">
        <f t="shared" si="66"/>
        <v>0</v>
      </c>
      <c r="W172" s="1031"/>
      <c r="X172" s="1172"/>
      <c r="Y172" s="1172"/>
      <c r="Z172" s="1172"/>
      <c r="AA172" s="1370">
        <f t="shared" ref="AA172:AH172" si="67">AA170-AA171</f>
        <v>0</v>
      </c>
      <c r="AB172" s="356">
        <f t="shared" si="67"/>
        <v>0</v>
      </c>
      <c r="AC172" s="356">
        <f t="shared" si="67"/>
        <v>0</v>
      </c>
      <c r="AD172" s="356">
        <f t="shared" si="67"/>
        <v>0</v>
      </c>
      <c r="AE172" s="503">
        <f t="shared" si="67"/>
        <v>0</v>
      </c>
      <c r="AF172" s="1370">
        <f t="shared" si="67"/>
        <v>0</v>
      </c>
      <c r="AG172" s="356">
        <f t="shared" si="67"/>
        <v>0</v>
      </c>
      <c r="AH172" s="503">
        <f t="shared" si="67"/>
        <v>0</v>
      </c>
    </row>
    <row r="173" spans="1:34" s="474" customFormat="1" ht="12.75" customHeight="1" outlineLevel="1">
      <c r="A173" s="262"/>
      <c r="B173" s="262"/>
      <c r="C173" s="262"/>
      <c r="D173" s="262"/>
      <c r="E173" s="4053" t="s">
        <v>1465</v>
      </c>
      <c r="F173" s="565" t="s">
        <v>559</v>
      </c>
      <c r="G173" s="374"/>
      <c r="H173" s="375"/>
      <c r="I173" s="375"/>
      <c r="J173" s="375"/>
      <c r="K173" s="1017"/>
      <c r="L173" s="374"/>
      <c r="M173" s="375"/>
      <c r="N173" s="375"/>
      <c r="O173" s="375"/>
      <c r="P173" s="375"/>
      <c r="Q173" s="375"/>
      <c r="R173" s="459"/>
      <c r="S173" s="458"/>
      <c r="T173" s="458"/>
      <c r="U173" s="458"/>
      <c r="V173" s="460"/>
      <c r="W173" s="1029"/>
      <c r="X173" s="1172"/>
      <c r="Y173" s="1172"/>
      <c r="Z173" s="1172"/>
      <c r="AA173" s="374"/>
      <c r="AB173" s="375"/>
      <c r="AC173" s="375"/>
      <c r="AD173" s="375"/>
      <c r="AE173" s="1017"/>
      <c r="AF173" s="374"/>
      <c r="AG173" s="375"/>
      <c r="AH173" s="1017"/>
    </row>
    <row r="174" spans="1:34" s="474" customFormat="1" ht="12.75" customHeight="1" outlineLevel="1">
      <c r="A174" s="262"/>
      <c r="B174" s="262"/>
      <c r="C174" s="262"/>
      <c r="D174" s="262"/>
      <c r="E174" s="4054"/>
      <c r="F174" s="2928" t="s">
        <v>558</v>
      </c>
      <c r="G174" s="374"/>
      <c r="H174" s="375"/>
      <c r="I174" s="375"/>
      <c r="J174" s="375"/>
      <c r="K174" s="1017"/>
      <c r="L174" s="374"/>
      <c r="M174" s="375"/>
      <c r="N174" s="375"/>
      <c r="O174" s="375"/>
      <c r="P174" s="375"/>
      <c r="Q174" s="375"/>
      <c r="R174" s="459"/>
      <c r="S174" s="458"/>
      <c r="T174" s="458"/>
      <c r="U174" s="458"/>
      <c r="V174" s="460"/>
      <c r="W174" s="1030"/>
      <c r="X174" s="1172"/>
      <c r="Y174" s="1172"/>
      <c r="Z174" s="1172"/>
      <c r="AA174" s="374"/>
      <c r="AB174" s="375"/>
      <c r="AC174" s="375"/>
      <c r="AD174" s="375"/>
      <c r="AE174" s="1017"/>
      <c r="AF174" s="374"/>
      <c r="AG174" s="375"/>
      <c r="AH174" s="1017"/>
    </row>
    <row r="175" spans="1:34" s="474" customFormat="1" ht="12.75" customHeight="1" outlineLevel="1">
      <c r="A175" s="262"/>
      <c r="B175" s="262"/>
      <c r="C175" s="262"/>
      <c r="D175" s="262"/>
      <c r="E175" s="4054"/>
      <c r="F175" s="2928" t="s">
        <v>578</v>
      </c>
      <c r="G175" s="374"/>
      <c r="H175" s="375"/>
      <c r="I175" s="375"/>
      <c r="J175" s="375"/>
      <c r="K175" s="1017"/>
      <c r="L175" s="374"/>
      <c r="M175" s="375"/>
      <c r="N175" s="375"/>
      <c r="O175" s="375"/>
      <c r="P175" s="375"/>
      <c r="Q175" s="375"/>
      <c r="R175" s="459"/>
      <c r="S175" s="458"/>
      <c r="T175" s="458"/>
      <c r="U175" s="458"/>
      <c r="V175" s="460"/>
      <c r="W175" s="1030"/>
      <c r="X175" s="1172"/>
      <c r="Y175" s="1172"/>
      <c r="Z175" s="1172"/>
      <c r="AA175" s="374"/>
      <c r="AB175" s="375"/>
      <c r="AC175" s="375"/>
      <c r="AD175" s="375"/>
      <c r="AE175" s="1017"/>
      <c r="AF175" s="374"/>
      <c r="AG175" s="375"/>
      <c r="AH175" s="1017"/>
    </row>
    <row r="176" spans="1:34" s="474" customFormat="1" ht="12.75" customHeight="1" outlineLevel="1">
      <c r="A176" s="262"/>
      <c r="B176" s="262"/>
      <c r="C176" s="262"/>
      <c r="D176" s="262"/>
      <c r="E176" s="4054"/>
      <c r="F176" s="2930" t="s">
        <v>579</v>
      </c>
      <c r="G176" s="459"/>
      <c r="H176" s="458"/>
      <c r="I176" s="458"/>
      <c r="J176" s="458"/>
      <c r="K176" s="460"/>
      <c r="L176" s="429"/>
      <c r="M176" s="476"/>
      <c r="N176" s="476"/>
      <c r="O176" s="476">
        <v>699730.09000000008</v>
      </c>
      <c r="P176" s="477"/>
      <c r="Q176" s="980"/>
      <c r="R176" s="353">
        <f>SUM(R173:R175)</f>
        <v>0</v>
      </c>
      <c r="S176" s="354">
        <f>SUM(S173:S175)</f>
        <v>0</v>
      </c>
      <c r="T176" s="354">
        <f>SUM(T173:T175)</f>
        <v>0</v>
      </c>
      <c r="U176" s="354">
        <f>SUM(U173:U175)</f>
        <v>0</v>
      </c>
      <c r="V176" s="450">
        <f>SUM(V173:V175)</f>
        <v>0</v>
      </c>
      <c r="W176" s="1030"/>
      <c r="X176" s="1172"/>
      <c r="Y176" s="1172"/>
      <c r="Z176" s="1172"/>
      <c r="AA176" s="462"/>
      <c r="AB176" s="463"/>
      <c r="AC176" s="463"/>
      <c r="AD176" s="463"/>
      <c r="AE176" s="464"/>
      <c r="AF176" s="511"/>
      <c r="AG176" s="512"/>
      <c r="AH176" s="547"/>
    </row>
    <row r="177" spans="1:34" s="474" customFormat="1" ht="12.75" customHeight="1" outlineLevel="1">
      <c r="A177" s="262"/>
      <c r="B177" s="262"/>
      <c r="C177" s="262"/>
      <c r="D177" s="262"/>
      <c r="E177" s="4054"/>
      <c r="F177" s="2928" t="s">
        <v>583</v>
      </c>
      <c r="G177" s="459"/>
      <c r="H177" s="458"/>
      <c r="I177" s="458"/>
      <c r="J177" s="458"/>
      <c r="K177" s="460"/>
      <c r="L177" s="429"/>
      <c r="M177" s="476"/>
      <c r="N177" s="476"/>
      <c r="O177" s="476">
        <v>44612.619999999988</v>
      </c>
      <c r="P177" s="477"/>
      <c r="Q177" s="980"/>
      <c r="R177" s="564"/>
      <c r="S177" s="477"/>
      <c r="T177" s="477"/>
      <c r="U177" s="477"/>
      <c r="V177" s="519"/>
      <c r="W177" s="1030"/>
      <c r="X177" s="1172"/>
      <c r="Y177" s="1172"/>
      <c r="Z177" s="1172"/>
      <c r="AA177" s="462"/>
      <c r="AB177" s="463"/>
      <c r="AC177" s="463"/>
      <c r="AD177" s="463"/>
      <c r="AE177" s="464"/>
      <c r="AF177" s="511"/>
      <c r="AG177" s="512"/>
      <c r="AH177" s="547"/>
    </row>
    <row r="178" spans="1:34" s="474" customFormat="1" ht="12.75" customHeight="1" outlineLevel="1">
      <c r="A178" s="262"/>
      <c r="B178" s="262"/>
      <c r="C178" s="262"/>
      <c r="D178" s="262"/>
      <c r="E178" s="4054"/>
      <c r="F178" s="2928" t="s">
        <v>581</v>
      </c>
      <c r="G178" s="459"/>
      <c r="H178" s="458"/>
      <c r="I178" s="458"/>
      <c r="J178" s="458"/>
      <c r="K178" s="460"/>
      <c r="L178" s="459"/>
      <c r="M178" s="458"/>
      <c r="N178" s="458"/>
      <c r="O178" s="458"/>
      <c r="P178" s="475"/>
      <c r="Q178" s="980"/>
      <c r="R178" s="1034"/>
      <c r="S178" s="475"/>
      <c r="T178" s="475"/>
      <c r="U178" s="475"/>
      <c r="V178" s="518"/>
      <c r="W178" s="1030"/>
      <c r="X178" s="1172"/>
      <c r="Y178" s="1172"/>
      <c r="Z178" s="1172"/>
      <c r="AA178" s="462"/>
      <c r="AB178" s="463"/>
      <c r="AC178" s="463"/>
      <c r="AD178" s="463"/>
      <c r="AE178" s="464"/>
      <c r="AF178" s="462"/>
      <c r="AG178" s="463"/>
      <c r="AH178" s="464"/>
    </row>
    <row r="179" spans="1:34" s="474" customFormat="1" ht="12.75" customHeight="1" outlineLevel="1">
      <c r="A179" s="262"/>
      <c r="B179" s="262"/>
      <c r="C179" s="262"/>
      <c r="D179" s="262"/>
      <c r="E179" s="4054"/>
      <c r="F179" s="2930" t="s">
        <v>584</v>
      </c>
      <c r="G179" s="353">
        <f>SUM(G176:G178)</f>
        <v>0</v>
      </c>
      <c r="H179" s="354">
        <f t="shared" ref="H179:V179" si="68">SUM(H176:H178)</f>
        <v>0</v>
      </c>
      <c r="I179" s="354">
        <f t="shared" si="68"/>
        <v>0</v>
      </c>
      <c r="J179" s="354">
        <f t="shared" si="68"/>
        <v>0</v>
      </c>
      <c r="K179" s="450">
        <f t="shared" si="68"/>
        <v>0</v>
      </c>
      <c r="L179" s="353">
        <f t="shared" si="68"/>
        <v>0</v>
      </c>
      <c r="M179" s="354">
        <f t="shared" si="68"/>
        <v>0</v>
      </c>
      <c r="N179" s="354">
        <f t="shared" si="68"/>
        <v>0</v>
      </c>
      <c r="O179" s="354">
        <f t="shared" si="68"/>
        <v>744342.71000000008</v>
      </c>
      <c r="P179" s="354">
        <f t="shared" si="68"/>
        <v>0</v>
      </c>
      <c r="Q179" s="1027">
        <f t="shared" si="68"/>
        <v>0</v>
      </c>
      <c r="R179" s="353">
        <f t="shared" si="68"/>
        <v>0</v>
      </c>
      <c r="S179" s="354">
        <f t="shared" si="68"/>
        <v>0</v>
      </c>
      <c r="T179" s="354">
        <f t="shared" si="68"/>
        <v>0</v>
      </c>
      <c r="U179" s="354">
        <f t="shared" si="68"/>
        <v>0</v>
      </c>
      <c r="V179" s="450">
        <f t="shared" si="68"/>
        <v>0</v>
      </c>
      <c r="W179" s="1030"/>
      <c r="X179" s="1172"/>
      <c r="Y179" s="1172"/>
      <c r="Z179" s="1172"/>
      <c r="AA179" s="353">
        <f>SUM(AA176:AA178)</f>
        <v>0</v>
      </c>
      <c r="AB179" s="354">
        <f t="shared" ref="AB179:AH179" si="69">SUM(AB176:AB178)</f>
        <v>0</v>
      </c>
      <c r="AC179" s="354">
        <f t="shared" si="69"/>
        <v>0</v>
      </c>
      <c r="AD179" s="354">
        <f t="shared" si="69"/>
        <v>0</v>
      </c>
      <c r="AE179" s="450">
        <f t="shared" si="69"/>
        <v>0</v>
      </c>
      <c r="AF179" s="353">
        <f t="shared" si="69"/>
        <v>0</v>
      </c>
      <c r="AG179" s="354">
        <f t="shared" si="69"/>
        <v>0</v>
      </c>
      <c r="AH179" s="450">
        <f t="shared" si="69"/>
        <v>0</v>
      </c>
    </row>
    <row r="180" spans="1:34" s="474" customFormat="1" ht="12.75" customHeight="1" outlineLevel="1">
      <c r="A180" s="262"/>
      <c r="B180" s="262"/>
      <c r="C180" s="262"/>
      <c r="D180" s="262"/>
      <c r="E180" s="4054"/>
      <c r="F180" s="2928" t="s">
        <v>35</v>
      </c>
      <c r="G180" s="459"/>
      <c r="H180" s="458"/>
      <c r="I180" s="458"/>
      <c r="J180" s="458"/>
      <c r="K180" s="460"/>
      <c r="L180" s="459"/>
      <c r="M180" s="458"/>
      <c r="N180" s="458"/>
      <c r="O180" s="458"/>
      <c r="P180" s="458"/>
      <c r="Q180" s="980"/>
      <c r="R180" s="459"/>
      <c r="S180" s="458"/>
      <c r="T180" s="458"/>
      <c r="U180" s="458"/>
      <c r="V180" s="460"/>
      <c r="W180" s="1030"/>
      <c r="X180" s="1172"/>
      <c r="Y180" s="1172"/>
      <c r="Z180" s="1172"/>
      <c r="AA180" s="462"/>
      <c r="AB180" s="463"/>
      <c r="AC180" s="463"/>
      <c r="AD180" s="463"/>
      <c r="AE180" s="464"/>
      <c r="AF180" s="462"/>
      <c r="AG180" s="463"/>
      <c r="AH180" s="464"/>
    </row>
    <row r="181" spans="1:34" s="474" customFormat="1" ht="13.5" customHeight="1" outlineLevel="1" thickBot="1">
      <c r="A181" s="262"/>
      <c r="B181" s="262"/>
      <c r="C181" s="262"/>
      <c r="D181" s="262"/>
      <c r="E181" s="4055"/>
      <c r="F181" s="357" t="s">
        <v>585</v>
      </c>
      <c r="G181" s="1370">
        <f t="shared" ref="G181:V181" si="70">G179-G180</f>
        <v>0</v>
      </c>
      <c r="H181" s="356">
        <f t="shared" si="70"/>
        <v>0</v>
      </c>
      <c r="I181" s="356">
        <f t="shared" si="70"/>
        <v>0</v>
      </c>
      <c r="J181" s="356">
        <f t="shared" si="70"/>
        <v>0</v>
      </c>
      <c r="K181" s="503">
        <f t="shared" si="70"/>
        <v>0</v>
      </c>
      <c r="L181" s="1370">
        <f t="shared" si="70"/>
        <v>0</v>
      </c>
      <c r="M181" s="356">
        <f t="shared" si="70"/>
        <v>0</v>
      </c>
      <c r="N181" s="356">
        <f t="shared" si="70"/>
        <v>0</v>
      </c>
      <c r="O181" s="356">
        <f t="shared" si="70"/>
        <v>744342.71000000008</v>
      </c>
      <c r="P181" s="356">
        <f t="shared" si="70"/>
        <v>0</v>
      </c>
      <c r="Q181" s="1028">
        <f t="shared" si="70"/>
        <v>0</v>
      </c>
      <c r="R181" s="1370">
        <f t="shared" si="70"/>
        <v>0</v>
      </c>
      <c r="S181" s="356">
        <f t="shared" si="70"/>
        <v>0</v>
      </c>
      <c r="T181" s="356">
        <f t="shared" si="70"/>
        <v>0</v>
      </c>
      <c r="U181" s="356">
        <f t="shared" si="70"/>
        <v>0</v>
      </c>
      <c r="V181" s="503">
        <f t="shared" si="70"/>
        <v>0</v>
      </c>
      <c r="W181" s="1031"/>
      <c r="X181" s="1172"/>
      <c r="Y181" s="1172"/>
      <c r="Z181" s="1172"/>
      <c r="AA181" s="1370">
        <f t="shared" ref="AA181:AH181" si="71">AA179-AA180</f>
        <v>0</v>
      </c>
      <c r="AB181" s="356">
        <f t="shared" si="71"/>
        <v>0</v>
      </c>
      <c r="AC181" s="356">
        <f t="shared" si="71"/>
        <v>0</v>
      </c>
      <c r="AD181" s="356">
        <f t="shared" si="71"/>
        <v>0</v>
      </c>
      <c r="AE181" s="503">
        <f t="shared" si="71"/>
        <v>0</v>
      </c>
      <c r="AF181" s="1370">
        <f t="shared" si="71"/>
        <v>0</v>
      </c>
      <c r="AG181" s="356">
        <f t="shared" si="71"/>
        <v>0</v>
      </c>
      <c r="AH181" s="503">
        <f t="shared" si="71"/>
        <v>0</v>
      </c>
    </row>
    <row r="182" spans="1:34" s="474" customFormat="1" ht="12.75" customHeight="1" outlineLevel="1">
      <c r="A182" s="262"/>
      <c r="B182" s="262"/>
      <c r="C182" s="262"/>
      <c r="D182" s="262"/>
      <c r="E182" s="4053" t="s">
        <v>1466</v>
      </c>
      <c r="F182" s="565" t="s">
        <v>559</v>
      </c>
      <c r="G182" s="374"/>
      <c r="H182" s="375"/>
      <c r="I182" s="375"/>
      <c r="J182" s="375"/>
      <c r="K182" s="1017"/>
      <c r="L182" s="374"/>
      <c r="M182" s="375"/>
      <c r="N182" s="375"/>
      <c r="O182" s="375"/>
      <c r="P182" s="375"/>
      <c r="Q182" s="375"/>
      <c r="R182" s="459">
        <v>7557.5143021699541</v>
      </c>
      <c r="S182" s="458"/>
      <c r="T182" s="458"/>
      <c r="U182" s="458"/>
      <c r="V182" s="460"/>
      <c r="W182" s="1029"/>
      <c r="X182" s="1172"/>
      <c r="Y182" s="1172"/>
      <c r="Z182" s="1172"/>
      <c r="AA182" s="374"/>
      <c r="AB182" s="375"/>
      <c r="AC182" s="375"/>
      <c r="AD182" s="375"/>
      <c r="AE182" s="1017"/>
      <c r="AF182" s="374"/>
      <c r="AG182" s="375"/>
      <c r="AH182" s="1017"/>
    </row>
    <row r="183" spans="1:34" s="474" customFormat="1" ht="12.75" customHeight="1" outlineLevel="1">
      <c r="A183" s="262"/>
      <c r="B183" s="262"/>
      <c r="C183" s="262"/>
      <c r="D183" s="262"/>
      <c r="E183" s="4054"/>
      <c r="F183" s="2928" t="s">
        <v>558</v>
      </c>
      <c r="G183" s="374"/>
      <c r="H183" s="375"/>
      <c r="I183" s="375"/>
      <c r="J183" s="375"/>
      <c r="K183" s="1017"/>
      <c r="L183" s="374"/>
      <c r="M183" s="375"/>
      <c r="N183" s="375"/>
      <c r="O183" s="375"/>
      <c r="P183" s="375"/>
      <c r="Q183" s="375"/>
      <c r="R183" s="459">
        <v>181380.34325207889</v>
      </c>
      <c r="S183" s="458"/>
      <c r="T183" s="458"/>
      <c r="U183" s="458"/>
      <c r="V183" s="460"/>
      <c r="W183" s="1030"/>
      <c r="X183" s="1172"/>
      <c r="Y183" s="1172"/>
      <c r="Z183" s="1172"/>
      <c r="AA183" s="374"/>
      <c r="AB183" s="375"/>
      <c r="AC183" s="375"/>
      <c r="AD183" s="375"/>
      <c r="AE183" s="1017"/>
      <c r="AF183" s="374"/>
      <c r="AG183" s="375"/>
      <c r="AH183" s="1017"/>
    </row>
    <row r="184" spans="1:34" s="474" customFormat="1" ht="12.75" customHeight="1" outlineLevel="1">
      <c r="A184" s="262"/>
      <c r="B184" s="262"/>
      <c r="C184" s="262"/>
      <c r="D184" s="262"/>
      <c r="E184" s="4054"/>
      <c r="F184" s="2928" t="s">
        <v>578</v>
      </c>
      <c r="G184" s="374"/>
      <c r="H184" s="375"/>
      <c r="I184" s="375"/>
      <c r="J184" s="375"/>
      <c r="K184" s="1017"/>
      <c r="L184" s="374"/>
      <c r="M184" s="375"/>
      <c r="N184" s="375"/>
      <c r="O184" s="375"/>
      <c r="P184" s="375"/>
      <c r="Q184" s="375"/>
      <c r="R184" s="459">
        <v>0</v>
      </c>
      <c r="S184" s="458"/>
      <c r="T184" s="458"/>
      <c r="U184" s="458"/>
      <c r="V184" s="460"/>
      <c r="W184" s="1030"/>
      <c r="X184" s="1172"/>
      <c r="Y184" s="1172"/>
      <c r="Z184" s="1172"/>
      <c r="AA184" s="374"/>
      <c r="AB184" s="375"/>
      <c r="AC184" s="375"/>
      <c r="AD184" s="375"/>
      <c r="AE184" s="1017"/>
      <c r="AF184" s="374"/>
      <c r="AG184" s="375"/>
      <c r="AH184" s="1017"/>
    </row>
    <row r="185" spans="1:34" s="474" customFormat="1" ht="12.75" customHeight="1" outlineLevel="1">
      <c r="A185" s="262"/>
      <c r="B185" s="262"/>
      <c r="C185" s="262"/>
      <c r="D185" s="262"/>
      <c r="E185" s="4054"/>
      <c r="F185" s="2930" t="s">
        <v>579</v>
      </c>
      <c r="G185" s="459"/>
      <c r="H185" s="458"/>
      <c r="I185" s="458"/>
      <c r="J185" s="458"/>
      <c r="K185" s="460"/>
      <c r="L185" s="429"/>
      <c r="M185" s="476"/>
      <c r="N185" s="476"/>
      <c r="O185" s="476"/>
      <c r="P185" s="477"/>
      <c r="Q185" s="980"/>
      <c r="R185" s="353">
        <f>SUM(R182:R184)</f>
        <v>188937.85755424885</v>
      </c>
      <c r="S185" s="354">
        <f>SUM(S182:S184)</f>
        <v>0</v>
      </c>
      <c r="T185" s="354">
        <f>SUM(T182:T184)</f>
        <v>0</v>
      </c>
      <c r="U185" s="354">
        <f>SUM(U182:U184)</f>
        <v>0</v>
      </c>
      <c r="V185" s="450">
        <f>SUM(V182:V184)</f>
        <v>0</v>
      </c>
      <c r="W185" s="1030"/>
      <c r="X185" s="1172"/>
      <c r="Y185" s="1172"/>
      <c r="Z185" s="1172"/>
      <c r="AA185" s="462"/>
      <c r="AB185" s="463"/>
      <c r="AC185" s="463"/>
      <c r="AD185" s="463"/>
      <c r="AE185" s="464"/>
      <c r="AF185" s="511"/>
      <c r="AG185" s="512"/>
      <c r="AH185" s="547"/>
    </row>
    <row r="186" spans="1:34" s="474" customFormat="1" ht="12.75" customHeight="1" outlineLevel="1">
      <c r="A186" s="262"/>
      <c r="B186" s="262"/>
      <c r="C186" s="262"/>
      <c r="D186" s="262"/>
      <c r="E186" s="4054"/>
      <c r="F186" s="2928" t="s">
        <v>583</v>
      </c>
      <c r="G186" s="459"/>
      <c r="H186" s="458"/>
      <c r="I186" s="458"/>
      <c r="J186" s="458"/>
      <c r="K186" s="460"/>
      <c r="L186" s="429"/>
      <c r="M186" s="476"/>
      <c r="N186" s="476"/>
      <c r="O186" s="476"/>
      <c r="P186" s="477"/>
      <c r="Q186" s="980"/>
      <c r="R186" s="459">
        <v>14168.288079564862</v>
      </c>
      <c r="S186" s="477"/>
      <c r="T186" s="477"/>
      <c r="U186" s="477"/>
      <c r="V186" s="519"/>
      <c r="W186" s="1030"/>
      <c r="X186" s="1172"/>
      <c r="Y186" s="1172"/>
      <c r="Z186" s="1172"/>
      <c r="AA186" s="462"/>
      <c r="AB186" s="463"/>
      <c r="AC186" s="463"/>
      <c r="AD186" s="463"/>
      <c r="AE186" s="464"/>
      <c r="AF186" s="511"/>
      <c r="AG186" s="512"/>
      <c r="AH186" s="547"/>
    </row>
    <row r="187" spans="1:34" s="474" customFormat="1" ht="12.75" customHeight="1" outlineLevel="1">
      <c r="A187" s="262"/>
      <c r="B187" s="262"/>
      <c r="C187" s="262"/>
      <c r="D187" s="262"/>
      <c r="E187" s="4054"/>
      <c r="F187" s="2928" t="s">
        <v>581</v>
      </c>
      <c r="G187" s="459"/>
      <c r="H187" s="458"/>
      <c r="I187" s="458"/>
      <c r="J187" s="458"/>
      <c r="K187" s="460"/>
      <c r="L187" s="459"/>
      <c r="M187" s="458"/>
      <c r="N187" s="458"/>
      <c r="O187" s="458"/>
      <c r="P187" s="475"/>
      <c r="Q187" s="980"/>
      <c r="R187" s="1034">
        <v>0</v>
      </c>
      <c r="S187" s="475"/>
      <c r="T187" s="475"/>
      <c r="U187" s="475"/>
      <c r="V187" s="518"/>
      <c r="W187" s="1030"/>
      <c r="X187" s="1172"/>
      <c r="Y187" s="1172"/>
      <c r="Z187" s="1172"/>
      <c r="AA187" s="462"/>
      <c r="AB187" s="463"/>
      <c r="AC187" s="463"/>
      <c r="AD187" s="463"/>
      <c r="AE187" s="464"/>
      <c r="AF187" s="462"/>
      <c r="AG187" s="463"/>
      <c r="AH187" s="464"/>
    </row>
    <row r="188" spans="1:34" s="474" customFormat="1" ht="12.75" customHeight="1" outlineLevel="1">
      <c r="A188" s="262"/>
      <c r="B188" s="262"/>
      <c r="C188" s="262"/>
      <c r="D188" s="262"/>
      <c r="E188" s="4054"/>
      <c r="F188" s="2930" t="s">
        <v>584</v>
      </c>
      <c r="G188" s="353">
        <f>SUM(G185:G187)</f>
        <v>0</v>
      </c>
      <c r="H188" s="354">
        <f t="shared" ref="H188:V188" si="72">SUM(H185:H187)</f>
        <v>0</v>
      </c>
      <c r="I188" s="354">
        <f t="shared" si="72"/>
        <v>0</v>
      </c>
      <c r="J188" s="354">
        <f t="shared" si="72"/>
        <v>0</v>
      </c>
      <c r="K188" s="450">
        <f t="shared" si="72"/>
        <v>0</v>
      </c>
      <c r="L188" s="353">
        <f t="shared" si="72"/>
        <v>0</v>
      </c>
      <c r="M188" s="354">
        <f t="shared" si="72"/>
        <v>0</v>
      </c>
      <c r="N188" s="354">
        <f t="shared" si="72"/>
        <v>0</v>
      </c>
      <c r="O188" s="354">
        <f t="shared" si="72"/>
        <v>0</v>
      </c>
      <c r="P188" s="354">
        <f t="shared" si="72"/>
        <v>0</v>
      </c>
      <c r="Q188" s="1027">
        <f t="shared" si="72"/>
        <v>0</v>
      </c>
      <c r="R188" s="353">
        <f t="shared" si="72"/>
        <v>203106.14563381372</v>
      </c>
      <c r="S188" s="354">
        <f t="shared" si="72"/>
        <v>0</v>
      </c>
      <c r="T188" s="354">
        <f t="shared" si="72"/>
        <v>0</v>
      </c>
      <c r="U188" s="354">
        <f t="shared" si="72"/>
        <v>0</v>
      </c>
      <c r="V188" s="450">
        <f t="shared" si="72"/>
        <v>0</v>
      </c>
      <c r="W188" s="1030"/>
      <c r="X188" s="1172"/>
      <c r="Y188" s="1172"/>
      <c r="Z188" s="1172"/>
      <c r="AA188" s="353">
        <f>SUM(AA185:AA187)</f>
        <v>0</v>
      </c>
      <c r="AB188" s="354">
        <f t="shared" ref="AB188:AH188" si="73">SUM(AB185:AB187)</f>
        <v>0</v>
      </c>
      <c r="AC188" s="354">
        <f t="shared" si="73"/>
        <v>0</v>
      </c>
      <c r="AD188" s="354">
        <f t="shared" si="73"/>
        <v>0</v>
      </c>
      <c r="AE188" s="450">
        <f t="shared" si="73"/>
        <v>0</v>
      </c>
      <c r="AF188" s="353">
        <f t="shared" si="73"/>
        <v>0</v>
      </c>
      <c r="AG188" s="354">
        <f t="shared" si="73"/>
        <v>0</v>
      </c>
      <c r="AH188" s="450">
        <f t="shared" si="73"/>
        <v>0</v>
      </c>
    </row>
    <row r="189" spans="1:34" s="474" customFormat="1" ht="12.75" customHeight="1" outlineLevel="1">
      <c r="A189" s="262"/>
      <c r="B189" s="262"/>
      <c r="C189" s="262"/>
      <c r="D189" s="262"/>
      <c r="E189" s="4054"/>
      <c r="F189" s="2928" t="s">
        <v>35</v>
      </c>
      <c r="G189" s="459"/>
      <c r="H189" s="458"/>
      <c r="I189" s="458"/>
      <c r="J189" s="458"/>
      <c r="K189" s="460"/>
      <c r="L189" s="459"/>
      <c r="M189" s="458"/>
      <c r="N189" s="458"/>
      <c r="O189" s="458"/>
      <c r="P189" s="458"/>
      <c r="Q189" s="980"/>
      <c r="R189" s="459">
        <v>0</v>
      </c>
      <c r="S189" s="458"/>
      <c r="T189" s="458"/>
      <c r="U189" s="458"/>
      <c r="V189" s="460"/>
      <c r="W189" s="1030"/>
      <c r="X189" s="1172"/>
      <c r="Y189" s="1172"/>
      <c r="Z189" s="1172"/>
      <c r="AA189" s="462"/>
      <c r="AB189" s="463"/>
      <c r="AC189" s="463"/>
      <c r="AD189" s="463"/>
      <c r="AE189" s="464"/>
      <c r="AF189" s="462"/>
      <c r="AG189" s="463"/>
      <c r="AH189" s="464"/>
    </row>
    <row r="190" spans="1:34" s="474" customFormat="1" ht="13.5" customHeight="1" outlineLevel="1" thickBot="1">
      <c r="A190" s="262"/>
      <c r="B190" s="262"/>
      <c r="C190" s="262"/>
      <c r="D190" s="262"/>
      <c r="E190" s="4055"/>
      <c r="F190" s="357" t="s">
        <v>585</v>
      </c>
      <c r="G190" s="1370">
        <f t="shared" ref="G190:V190" si="74">G188-G189</f>
        <v>0</v>
      </c>
      <c r="H190" s="356">
        <f t="shared" si="74"/>
        <v>0</v>
      </c>
      <c r="I190" s="356">
        <f t="shared" si="74"/>
        <v>0</v>
      </c>
      <c r="J190" s="356">
        <f t="shared" si="74"/>
        <v>0</v>
      </c>
      <c r="K190" s="503">
        <f t="shared" si="74"/>
        <v>0</v>
      </c>
      <c r="L190" s="1370">
        <f t="shared" si="74"/>
        <v>0</v>
      </c>
      <c r="M190" s="356">
        <f t="shared" si="74"/>
        <v>0</v>
      </c>
      <c r="N190" s="356">
        <f t="shared" si="74"/>
        <v>0</v>
      </c>
      <c r="O190" s="356">
        <f t="shared" si="74"/>
        <v>0</v>
      </c>
      <c r="P190" s="356">
        <f t="shared" si="74"/>
        <v>0</v>
      </c>
      <c r="Q190" s="1028">
        <f t="shared" si="74"/>
        <v>0</v>
      </c>
      <c r="R190" s="1370">
        <f t="shared" si="74"/>
        <v>203106.14563381372</v>
      </c>
      <c r="S190" s="356">
        <f t="shared" si="74"/>
        <v>0</v>
      </c>
      <c r="T190" s="356">
        <f t="shared" si="74"/>
        <v>0</v>
      </c>
      <c r="U190" s="356">
        <f t="shared" si="74"/>
        <v>0</v>
      </c>
      <c r="V190" s="503">
        <f t="shared" si="74"/>
        <v>0</v>
      </c>
      <c r="W190" s="1031"/>
      <c r="X190" s="1172"/>
      <c r="Y190" s="1172"/>
      <c r="Z190" s="1172"/>
      <c r="AA190" s="1370">
        <f t="shared" ref="AA190:AH190" si="75">AA188-AA189</f>
        <v>0</v>
      </c>
      <c r="AB190" s="356">
        <f t="shared" si="75"/>
        <v>0</v>
      </c>
      <c r="AC190" s="356">
        <f t="shared" si="75"/>
        <v>0</v>
      </c>
      <c r="AD190" s="356">
        <f t="shared" si="75"/>
        <v>0</v>
      </c>
      <c r="AE190" s="503">
        <f t="shared" si="75"/>
        <v>0</v>
      </c>
      <c r="AF190" s="1370">
        <f t="shared" si="75"/>
        <v>0</v>
      </c>
      <c r="AG190" s="356">
        <f t="shared" si="75"/>
        <v>0</v>
      </c>
      <c r="AH190" s="503">
        <f t="shared" si="75"/>
        <v>0</v>
      </c>
    </row>
    <row r="191" spans="1:34" s="474" customFormat="1" ht="12.75" customHeight="1" outlineLevel="1">
      <c r="A191" s="262"/>
      <c r="B191" s="262"/>
      <c r="C191" s="262"/>
      <c r="D191" s="262"/>
      <c r="E191" s="4053" t="s">
        <v>1467</v>
      </c>
      <c r="F191" s="565" t="s">
        <v>559</v>
      </c>
      <c r="G191" s="374"/>
      <c r="H191" s="375"/>
      <c r="I191" s="375"/>
      <c r="J191" s="375"/>
      <c r="K191" s="1017"/>
      <c r="L191" s="374"/>
      <c r="M191" s="375"/>
      <c r="N191" s="375"/>
      <c r="O191" s="375"/>
      <c r="P191" s="375"/>
      <c r="Q191" s="375"/>
      <c r="R191" s="459"/>
      <c r="S191" s="458"/>
      <c r="T191" s="458">
        <v>9395.8285918869715</v>
      </c>
      <c r="U191" s="458"/>
      <c r="V191" s="460"/>
      <c r="W191" s="1029"/>
      <c r="X191" s="1172"/>
      <c r="Y191" s="1172"/>
      <c r="Z191" s="1172"/>
      <c r="AA191" s="374"/>
      <c r="AB191" s="375"/>
      <c r="AC191" s="375"/>
      <c r="AD191" s="375"/>
      <c r="AE191" s="1017"/>
      <c r="AF191" s="374"/>
      <c r="AG191" s="375"/>
      <c r="AH191" s="1017"/>
    </row>
    <row r="192" spans="1:34" s="474" customFormat="1" ht="12.75" customHeight="1" outlineLevel="1">
      <c r="A192" s="262"/>
      <c r="B192" s="262"/>
      <c r="C192" s="262"/>
      <c r="D192" s="262"/>
      <c r="E192" s="4054"/>
      <c r="F192" s="2928" t="s">
        <v>558</v>
      </c>
      <c r="G192" s="374"/>
      <c r="H192" s="375"/>
      <c r="I192" s="375"/>
      <c r="J192" s="375"/>
      <c r="K192" s="1017"/>
      <c r="L192" s="374"/>
      <c r="M192" s="375"/>
      <c r="N192" s="375"/>
      <c r="O192" s="375"/>
      <c r="P192" s="375"/>
      <c r="Q192" s="375"/>
      <c r="R192" s="459"/>
      <c r="S192" s="458"/>
      <c r="T192" s="458">
        <v>225499.8862052873</v>
      </c>
      <c r="U192" s="458"/>
      <c r="V192" s="460"/>
      <c r="W192" s="1030"/>
      <c r="X192" s="1172"/>
      <c r="Y192" s="1172"/>
      <c r="Z192" s="1172"/>
      <c r="AA192" s="374"/>
      <c r="AB192" s="375"/>
      <c r="AC192" s="375"/>
      <c r="AD192" s="375"/>
      <c r="AE192" s="1017"/>
      <c r="AF192" s="374"/>
      <c r="AG192" s="375"/>
      <c r="AH192" s="1017"/>
    </row>
    <row r="193" spans="1:34" s="474" customFormat="1" ht="12.75" customHeight="1" outlineLevel="1">
      <c r="A193" s="262"/>
      <c r="B193" s="262"/>
      <c r="C193" s="262"/>
      <c r="D193" s="262"/>
      <c r="E193" s="4054"/>
      <c r="F193" s="2928" t="s">
        <v>578</v>
      </c>
      <c r="G193" s="374"/>
      <c r="H193" s="375"/>
      <c r="I193" s="375"/>
      <c r="J193" s="375"/>
      <c r="K193" s="1017"/>
      <c r="L193" s="374"/>
      <c r="M193" s="375"/>
      <c r="N193" s="375"/>
      <c r="O193" s="375"/>
      <c r="P193" s="375"/>
      <c r="Q193" s="375"/>
      <c r="R193" s="459"/>
      <c r="S193" s="458"/>
      <c r="T193" s="458">
        <v>0</v>
      </c>
      <c r="U193" s="458"/>
      <c r="V193" s="460"/>
      <c r="W193" s="1030"/>
      <c r="X193" s="1172"/>
      <c r="Y193" s="1172"/>
      <c r="Z193" s="1172"/>
      <c r="AA193" s="374"/>
      <c r="AB193" s="375"/>
      <c r="AC193" s="375"/>
      <c r="AD193" s="375"/>
      <c r="AE193" s="1017"/>
      <c r="AF193" s="374"/>
      <c r="AG193" s="375"/>
      <c r="AH193" s="1017"/>
    </row>
    <row r="194" spans="1:34" s="474" customFormat="1" ht="12.75" customHeight="1" outlineLevel="1">
      <c r="A194" s="262"/>
      <c r="B194" s="262"/>
      <c r="C194" s="262"/>
      <c r="D194" s="262"/>
      <c r="E194" s="4054"/>
      <c r="F194" s="2930" t="s">
        <v>579</v>
      </c>
      <c r="G194" s="459"/>
      <c r="H194" s="458"/>
      <c r="I194" s="458"/>
      <c r="J194" s="458"/>
      <c r="K194" s="460"/>
      <c r="L194" s="429"/>
      <c r="M194" s="476"/>
      <c r="N194" s="476"/>
      <c r="O194" s="476"/>
      <c r="P194" s="477"/>
      <c r="Q194" s="980"/>
      <c r="R194" s="353">
        <f>SUM(R191:R193)</f>
        <v>0</v>
      </c>
      <c r="S194" s="354">
        <f>SUM(S191:S193)</f>
        <v>0</v>
      </c>
      <c r="T194" s="354">
        <f>SUM(T191:T193)</f>
        <v>234895.71479717427</v>
      </c>
      <c r="U194" s="354">
        <f>SUM(U191:U193)</f>
        <v>0</v>
      </c>
      <c r="V194" s="450">
        <f>SUM(V191:V193)</f>
        <v>0</v>
      </c>
      <c r="W194" s="1030"/>
      <c r="X194" s="1172"/>
      <c r="Y194" s="1172"/>
      <c r="Z194" s="1172"/>
      <c r="AA194" s="462"/>
      <c r="AB194" s="463"/>
      <c r="AC194" s="463"/>
      <c r="AD194" s="463"/>
      <c r="AE194" s="464"/>
      <c r="AF194" s="511"/>
      <c r="AG194" s="512"/>
      <c r="AH194" s="547"/>
    </row>
    <row r="195" spans="1:34" s="474" customFormat="1" ht="12.75" customHeight="1" outlineLevel="1">
      <c r="A195" s="262"/>
      <c r="B195" s="262"/>
      <c r="C195" s="262"/>
      <c r="D195" s="262"/>
      <c r="E195" s="4054"/>
      <c r="F195" s="2928" t="s">
        <v>583</v>
      </c>
      <c r="G195" s="459"/>
      <c r="H195" s="458"/>
      <c r="I195" s="458"/>
      <c r="J195" s="458"/>
      <c r="K195" s="460"/>
      <c r="L195" s="429"/>
      <c r="M195" s="476"/>
      <c r="N195" s="476"/>
      <c r="O195" s="476"/>
      <c r="P195" s="477"/>
      <c r="Q195" s="980"/>
      <c r="R195" s="564"/>
      <c r="S195" s="477"/>
      <c r="T195" s="458">
        <v>17614.628423242801</v>
      </c>
      <c r="U195" s="477"/>
      <c r="V195" s="519"/>
      <c r="W195" s="1030"/>
      <c r="X195" s="1172"/>
      <c r="Y195" s="1172"/>
      <c r="Z195" s="1172"/>
      <c r="AA195" s="462"/>
      <c r="AB195" s="463"/>
      <c r="AC195" s="463"/>
      <c r="AD195" s="463"/>
      <c r="AE195" s="464"/>
      <c r="AF195" s="511"/>
      <c r="AG195" s="512"/>
      <c r="AH195" s="547"/>
    </row>
    <row r="196" spans="1:34" s="474" customFormat="1" ht="12.75" customHeight="1" outlineLevel="1">
      <c r="A196" s="262"/>
      <c r="B196" s="262"/>
      <c r="C196" s="262"/>
      <c r="D196" s="262"/>
      <c r="E196" s="4054"/>
      <c r="F196" s="2928" t="s">
        <v>581</v>
      </c>
      <c r="G196" s="459"/>
      <c r="H196" s="458"/>
      <c r="I196" s="458"/>
      <c r="J196" s="458"/>
      <c r="K196" s="460"/>
      <c r="L196" s="459"/>
      <c r="M196" s="458"/>
      <c r="N196" s="458"/>
      <c r="O196" s="458"/>
      <c r="P196" s="475"/>
      <c r="Q196" s="980"/>
      <c r="R196" s="1034"/>
      <c r="S196" s="475"/>
      <c r="T196" s="475">
        <v>0</v>
      </c>
      <c r="U196" s="475"/>
      <c r="V196" s="518"/>
      <c r="W196" s="1030"/>
      <c r="X196" s="1172"/>
      <c r="Y196" s="1172"/>
      <c r="Z196" s="1172"/>
      <c r="AA196" s="462"/>
      <c r="AB196" s="463"/>
      <c r="AC196" s="463"/>
      <c r="AD196" s="463"/>
      <c r="AE196" s="464"/>
      <c r="AF196" s="462"/>
      <c r="AG196" s="463"/>
      <c r="AH196" s="464"/>
    </row>
    <row r="197" spans="1:34" s="474" customFormat="1" ht="12.75" customHeight="1" outlineLevel="1">
      <c r="A197" s="262"/>
      <c r="B197" s="262"/>
      <c r="C197" s="262"/>
      <c r="D197" s="262"/>
      <c r="E197" s="4054"/>
      <c r="F197" s="2930" t="s">
        <v>584</v>
      </c>
      <c r="G197" s="353">
        <f>SUM(G194:G196)</f>
        <v>0</v>
      </c>
      <c r="H197" s="354">
        <f t="shared" ref="H197:V197" si="76">SUM(H194:H196)</f>
        <v>0</v>
      </c>
      <c r="I197" s="354">
        <f t="shared" si="76"/>
        <v>0</v>
      </c>
      <c r="J197" s="354">
        <f t="shared" si="76"/>
        <v>0</v>
      </c>
      <c r="K197" s="450">
        <f t="shared" si="76"/>
        <v>0</v>
      </c>
      <c r="L197" s="353">
        <f t="shared" si="76"/>
        <v>0</v>
      </c>
      <c r="M197" s="354">
        <f t="shared" si="76"/>
        <v>0</v>
      </c>
      <c r="N197" s="354">
        <f t="shared" si="76"/>
        <v>0</v>
      </c>
      <c r="O197" s="354">
        <f t="shared" si="76"/>
        <v>0</v>
      </c>
      <c r="P197" s="354">
        <f t="shared" si="76"/>
        <v>0</v>
      </c>
      <c r="Q197" s="1027">
        <f t="shared" si="76"/>
        <v>0</v>
      </c>
      <c r="R197" s="353">
        <f t="shared" si="76"/>
        <v>0</v>
      </c>
      <c r="S197" s="354">
        <f t="shared" si="76"/>
        <v>0</v>
      </c>
      <c r="T197" s="354">
        <f t="shared" si="76"/>
        <v>252510.34322041707</v>
      </c>
      <c r="U197" s="354">
        <f t="shared" si="76"/>
        <v>0</v>
      </c>
      <c r="V197" s="450">
        <f t="shared" si="76"/>
        <v>0</v>
      </c>
      <c r="W197" s="1030"/>
      <c r="X197" s="1172"/>
      <c r="Y197" s="1172"/>
      <c r="Z197" s="1172"/>
      <c r="AA197" s="353">
        <f>SUM(AA194:AA196)</f>
        <v>0</v>
      </c>
      <c r="AB197" s="354">
        <f t="shared" ref="AB197:AH197" si="77">SUM(AB194:AB196)</f>
        <v>0</v>
      </c>
      <c r="AC197" s="354">
        <f t="shared" si="77"/>
        <v>0</v>
      </c>
      <c r="AD197" s="354">
        <f t="shared" si="77"/>
        <v>0</v>
      </c>
      <c r="AE197" s="450">
        <f t="shared" si="77"/>
        <v>0</v>
      </c>
      <c r="AF197" s="353">
        <f t="shared" si="77"/>
        <v>0</v>
      </c>
      <c r="AG197" s="354">
        <f t="shared" si="77"/>
        <v>0</v>
      </c>
      <c r="AH197" s="450">
        <f t="shared" si="77"/>
        <v>0</v>
      </c>
    </row>
    <row r="198" spans="1:34" s="474" customFormat="1" ht="12.75" customHeight="1" outlineLevel="1">
      <c r="A198" s="262"/>
      <c r="B198" s="262"/>
      <c r="C198" s="262"/>
      <c r="D198" s="262"/>
      <c r="E198" s="4054"/>
      <c r="F198" s="2928" t="s">
        <v>35</v>
      </c>
      <c r="G198" s="459"/>
      <c r="H198" s="458"/>
      <c r="I198" s="458"/>
      <c r="J198" s="458"/>
      <c r="K198" s="460"/>
      <c r="L198" s="459"/>
      <c r="M198" s="458"/>
      <c r="N198" s="458"/>
      <c r="O198" s="458"/>
      <c r="P198" s="458"/>
      <c r="Q198" s="980"/>
      <c r="R198" s="459"/>
      <c r="S198" s="458"/>
      <c r="T198" s="458">
        <v>0</v>
      </c>
      <c r="U198" s="458"/>
      <c r="V198" s="460"/>
      <c r="W198" s="1030"/>
      <c r="X198" s="1172"/>
      <c r="Y198" s="1172"/>
      <c r="Z198" s="1172"/>
      <c r="AA198" s="462"/>
      <c r="AB198" s="463"/>
      <c r="AC198" s="463"/>
      <c r="AD198" s="463"/>
      <c r="AE198" s="464"/>
      <c r="AF198" s="462"/>
      <c r="AG198" s="463"/>
      <c r="AH198" s="464"/>
    </row>
    <row r="199" spans="1:34" s="474" customFormat="1" ht="13.5" customHeight="1" outlineLevel="1" thickBot="1">
      <c r="A199" s="262"/>
      <c r="B199" s="262"/>
      <c r="C199" s="262"/>
      <c r="D199" s="262"/>
      <c r="E199" s="4055"/>
      <c r="F199" s="357" t="s">
        <v>585</v>
      </c>
      <c r="G199" s="1370">
        <f t="shared" ref="G199:V199" si="78">G197-G198</f>
        <v>0</v>
      </c>
      <c r="H199" s="356">
        <f t="shared" si="78"/>
        <v>0</v>
      </c>
      <c r="I199" s="356">
        <f t="shared" si="78"/>
        <v>0</v>
      </c>
      <c r="J199" s="356">
        <f t="shared" si="78"/>
        <v>0</v>
      </c>
      <c r="K199" s="503">
        <f t="shared" si="78"/>
        <v>0</v>
      </c>
      <c r="L199" s="1370">
        <f t="shared" si="78"/>
        <v>0</v>
      </c>
      <c r="M199" s="356">
        <f t="shared" si="78"/>
        <v>0</v>
      </c>
      <c r="N199" s="356">
        <f t="shared" si="78"/>
        <v>0</v>
      </c>
      <c r="O199" s="356">
        <f t="shared" si="78"/>
        <v>0</v>
      </c>
      <c r="P199" s="356">
        <f t="shared" si="78"/>
        <v>0</v>
      </c>
      <c r="Q199" s="1028">
        <f t="shared" si="78"/>
        <v>0</v>
      </c>
      <c r="R199" s="1370">
        <f t="shared" si="78"/>
        <v>0</v>
      </c>
      <c r="S199" s="356">
        <f t="shared" si="78"/>
        <v>0</v>
      </c>
      <c r="T199" s="356">
        <f t="shared" si="78"/>
        <v>252510.34322041707</v>
      </c>
      <c r="U199" s="356">
        <f t="shared" si="78"/>
        <v>0</v>
      </c>
      <c r="V199" s="503">
        <f t="shared" si="78"/>
        <v>0</v>
      </c>
      <c r="W199" s="1031"/>
      <c r="X199" s="1172"/>
      <c r="Y199" s="1172"/>
      <c r="Z199" s="1172"/>
      <c r="AA199" s="1370">
        <f t="shared" ref="AA199:AH199" si="79">AA197-AA198</f>
        <v>0</v>
      </c>
      <c r="AB199" s="356">
        <f t="shared" si="79"/>
        <v>0</v>
      </c>
      <c r="AC199" s="356">
        <f t="shared" si="79"/>
        <v>0</v>
      </c>
      <c r="AD199" s="356">
        <f t="shared" si="79"/>
        <v>0</v>
      </c>
      <c r="AE199" s="503">
        <f t="shared" si="79"/>
        <v>0</v>
      </c>
      <c r="AF199" s="1370">
        <f t="shared" si="79"/>
        <v>0</v>
      </c>
      <c r="AG199" s="356">
        <f t="shared" si="79"/>
        <v>0</v>
      </c>
      <c r="AH199" s="503">
        <f t="shared" si="79"/>
        <v>0</v>
      </c>
    </row>
    <row r="200" spans="1:34" s="474" customFormat="1" ht="12.75" customHeight="1" outlineLevel="1">
      <c r="A200" s="262"/>
      <c r="B200" s="262"/>
      <c r="C200" s="262"/>
      <c r="D200" s="262"/>
      <c r="E200" s="4053" t="s">
        <v>1468</v>
      </c>
      <c r="F200" s="565" t="s">
        <v>559</v>
      </c>
      <c r="G200" s="374"/>
      <c r="H200" s="375"/>
      <c r="I200" s="375"/>
      <c r="J200" s="375"/>
      <c r="K200" s="1017"/>
      <c r="L200" s="374"/>
      <c r="M200" s="375"/>
      <c r="N200" s="375"/>
      <c r="O200" s="375"/>
      <c r="P200" s="375"/>
      <c r="Q200" s="375"/>
      <c r="R200" s="459"/>
      <c r="S200" s="458"/>
      <c r="T200" s="458"/>
      <c r="U200" s="458">
        <v>38400.342940755443</v>
      </c>
      <c r="V200" s="460"/>
      <c r="W200" s="1029"/>
      <c r="X200" s="1172"/>
      <c r="Y200" s="1172"/>
      <c r="Z200" s="1172"/>
      <c r="AA200" s="374"/>
      <c r="AB200" s="375"/>
      <c r="AC200" s="375"/>
      <c r="AD200" s="375"/>
      <c r="AE200" s="1017"/>
      <c r="AF200" s="374"/>
      <c r="AG200" s="375"/>
      <c r="AH200" s="1017"/>
    </row>
    <row r="201" spans="1:34" s="474" customFormat="1" ht="12.75" customHeight="1" outlineLevel="1">
      <c r="A201" s="262"/>
      <c r="B201" s="262"/>
      <c r="C201" s="262"/>
      <c r="D201" s="262"/>
      <c r="E201" s="4054"/>
      <c r="F201" s="2928" t="s">
        <v>558</v>
      </c>
      <c r="G201" s="374"/>
      <c r="H201" s="375"/>
      <c r="I201" s="375"/>
      <c r="J201" s="375"/>
      <c r="K201" s="1017"/>
      <c r="L201" s="374"/>
      <c r="M201" s="375"/>
      <c r="N201" s="375"/>
      <c r="O201" s="375"/>
      <c r="P201" s="375"/>
      <c r="Q201" s="375"/>
      <c r="R201" s="459"/>
      <c r="S201" s="458"/>
      <c r="T201" s="458"/>
      <c r="U201" s="458">
        <v>921608.23057813069</v>
      </c>
      <c r="V201" s="460"/>
      <c r="W201" s="1030"/>
      <c r="X201" s="1172"/>
      <c r="Y201" s="1172"/>
      <c r="Z201" s="1172"/>
      <c r="AA201" s="374"/>
      <c r="AB201" s="375"/>
      <c r="AC201" s="375"/>
      <c r="AD201" s="375"/>
      <c r="AE201" s="1017"/>
      <c r="AF201" s="374"/>
      <c r="AG201" s="375"/>
      <c r="AH201" s="1017"/>
    </row>
    <row r="202" spans="1:34" s="474" customFormat="1" ht="12.75" customHeight="1" outlineLevel="1">
      <c r="A202" s="262"/>
      <c r="B202" s="262"/>
      <c r="C202" s="262"/>
      <c r="D202" s="262"/>
      <c r="E202" s="4054"/>
      <c r="F202" s="2928" t="s">
        <v>578</v>
      </c>
      <c r="G202" s="374"/>
      <c r="H202" s="375"/>
      <c r="I202" s="375"/>
      <c r="J202" s="375"/>
      <c r="K202" s="1017"/>
      <c r="L202" s="374"/>
      <c r="M202" s="375"/>
      <c r="N202" s="375"/>
      <c r="O202" s="375"/>
      <c r="P202" s="375"/>
      <c r="Q202" s="375"/>
      <c r="R202" s="459"/>
      <c r="S202" s="458"/>
      <c r="T202" s="458"/>
      <c r="U202" s="458">
        <v>0</v>
      </c>
      <c r="V202" s="460"/>
      <c r="W202" s="1030"/>
      <c r="X202" s="1172"/>
      <c r="Y202" s="1172"/>
      <c r="Z202" s="1172"/>
      <c r="AA202" s="374"/>
      <c r="AB202" s="375"/>
      <c r="AC202" s="375"/>
      <c r="AD202" s="375"/>
      <c r="AE202" s="1017"/>
      <c r="AF202" s="374"/>
      <c r="AG202" s="375"/>
      <c r="AH202" s="1017"/>
    </row>
    <row r="203" spans="1:34" s="474" customFormat="1" ht="12.75" customHeight="1" outlineLevel="1">
      <c r="A203" s="262"/>
      <c r="B203" s="262"/>
      <c r="C203" s="262"/>
      <c r="D203" s="262"/>
      <c r="E203" s="4054"/>
      <c r="F203" s="2930" t="s">
        <v>579</v>
      </c>
      <c r="G203" s="459"/>
      <c r="H203" s="458"/>
      <c r="I203" s="458"/>
      <c r="J203" s="458"/>
      <c r="K203" s="460"/>
      <c r="L203" s="429"/>
      <c r="M203" s="476"/>
      <c r="N203" s="476"/>
      <c r="O203" s="476"/>
      <c r="P203" s="477"/>
      <c r="Q203" s="980"/>
      <c r="R203" s="353">
        <f>SUM(R200:R202)</f>
        <v>0</v>
      </c>
      <c r="S203" s="354">
        <f>SUM(S200:S202)</f>
        <v>0</v>
      </c>
      <c r="T203" s="354">
        <f>SUM(T200:T202)</f>
        <v>0</v>
      </c>
      <c r="U203" s="354">
        <f>SUM(U200:U202)</f>
        <v>960008.57351888611</v>
      </c>
      <c r="V203" s="450">
        <f>SUM(V200:V202)</f>
        <v>0</v>
      </c>
      <c r="W203" s="1030"/>
      <c r="X203" s="1172"/>
      <c r="Y203" s="1172"/>
      <c r="Z203" s="1172"/>
      <c r="AA203" s="462"/>
      <c r="AB203" s="463"/>
      <c r="AC203" s="463"/>
      <c r="AD203" s="463"/>
      <c r="AE203" s="464"/>
      <c r="AF203" s="511"/>
      <c r="AG203" s="512"/>
      <c r="AH203" s="547"/>
    </row>
    <row r="204" spans="1:34" s="474" customFormat="1" ht="12.75" customHeight="1" outlineLevel="1">
      <c r="A204" s="262"/>
      <c r="B204" s="262"/>
      <c r="C204" s="262"/>
      <c r="D204" s="262"/>
      <c r="E204" s="4054"/>
      <c r="F204" s="2928" t="s">
        <v>583</v>
      </c>
      <c r="G204" s="459"/>
      <c r="H204" s="458"/>
      <c r="I204" s="458"/>
      <c r="J204" s="458"/>
      <c r="K204" s="460"/>
      <c r="L204" s="429"/>
      <c r="M204" s="476"/>
      <c r="N204" s="476"/>
      <c r="O204" s="476"/>
      <c r="P204" s="477"/>
      <c r="Q204" s="980"/>
      <c r="R204" s="564"/>
      <c r="S204" s="477"/>
      <c r="T204" s="477"/>
      <c r="U204" s="458">
        <v>71990.220512383617</v>
      </c>
      <c r="V204" s="519"/>
      <c r="W204" s="1030"/>
      <c r="X204" s="1172"/>
      <c r="Y204" s="1172"/>
      <c r="Z204" s="1172"/>
      <c r="AA204" s="462"/>
      <c r="AB204" s="463"/>
      <c r="AC204" s="463"/>
      <c r="AD204" s="463"/>
      <c r="AE204" s="464"/>
      <c r="AF204" s="511"/>
      <c r="AG204" s="512"/>
      <c r="AH204" s="547"/>
    </row>
    <row r="205" spans="1:34" s="474" customFormat="1" ht="12.75" customHeight="1" outlineLevel="1">
      <c r="A205" s="262"/>
      <c r="B205" s="262"/>
      <c r="C205" s="262"/>
      <c r="D205" s="262"/>
      <c r="E205" s="4054"/>
      <c r="F205" s="2928" t="s">
        <v>581</v>
      </c>
      <c r="G205" s="459"/>
      <c r="H205" s="458"/>
      <c r="I205" s="458"/>
      <c r="J205" s="458"/>
      <c r="K205" s="460"/>
      <c r="L205" s="459"/>
      <c r="M205" s="458"/>
      <c r="N205" s="458"/>
      <c r="O205" s="458"/>
      <c r="P205" s="475"/>
      <c r="Q205" s="980"/>
      <c r="R205" s="1034"/>
      <c r="S205" s="475"/>
      <c r="T205" s="475"/>
      <c r="U205" s="475">
        <v>0</v>
      </c>
      <c r="V205" s="518"/>
      <c r="W205" s="1030"/>
      <c r="X205" s="1172"/>
      <c r="Y205" s="1172"/>
      <c r="Z205" s="1172"/>
      <c r="AA205" s="462"/>
      <c r="AB205" s="463"/>
      <c r="AC205" s="463"/>
      <c r="AD205" s="463"/>
      <c r="AE205" s="464"/>
      <c r="AF205" s="462"/>
      <c r="AG205" s="463"/>
      <c r="AH205" s="464"/>
    </row>
    <row r="206" spans="1:34" s="474" customFormat="1" ht="12.75" customHeight="1" outlineLevel="1">
      <c r="A206" s="262"/>
      <c r="B206" s="262"/>
      <c r="C206" s="262"/>
      <c r="D206" s="262"/>
      <c r="E206" s="4054"/>
      <c r="F206" s="2930" t="s">
        <v>584</v>
      </c>
      <c r="G206" s="353">
        <f>SUM(G203:G205)</f>
        <v>0</v>
      </c>
      <c r="H206" s="354">
        <f t="shared" ref="H206:V206" si="80">SUM(H203:H205)</f>
        <v>0</v>
      </c>
      <c r="I206" s="354">
        <f t="shared" si="80"/>
        <v>0</v>
      </c>
      <c r="J206" s="354">
        <f t="shared" si="80"/>
        <v>0</v>
      </c>
      <c r="K206" s="450">
        <f t="shared" si="80"/>
        <v>0</v>
      </c>
      <c r="L206" s="353">
        <f t="shared" si="80"/>
        <v>0</v>
      </c>
      <c r="M206" s="354">
        <f t="shared" si="80"/>
        <v>0</v>
      </c>
      <c r="N206" s="354">
        <f t="shared" si="80"/>
        <v>0</v>
      </c>
      <c r="O206" s="354">
        <f t="shared" si="80"/>
        <v>0</v>
      </c>
      <c r="P206" s="354">
        <f t="shared" si="80"/>
        <v>0</v>
      </c>
      <c r="Q206" s="1027">
        <f t="shared" si="80"/>
        <v>0</v>
      </c>
      <c r="R206" s="353">
        <f t="shared" si="80"/>
        <v>0</v>
      </c>
      <c r="S206" s="354">
        <f t="shared" si="80"/>
        <v>0</v>
      </c>
      <c r="T206" s="354">
        <f t="shared" si="80"/>
        <v>0</v>
      </c>
      <c r="U206" s="354">
        <f t="shared" si="80"/>
        <v>1031998.7940312697</v>
      </c>
      <c r="V206" s="450">
        <f t="shared" si="80"/>
        <v>0</v>
      </c>
      <c r="W206" s="1030"/>
      <c r="X206" s="1172"/>
      <c r="Y206" s="1172"/>
      <c r="Z206" s="1172"/>
      <c r="AA206" s="353">
        <f>SUM(AA203:AA205)</f>
        <v>0</v>
      </c>
      <c r="AB206" s="354">
        <f t="shared" ref="AB206:AH206" si="81">SUM(AB203:AB205)</f>
        <v>0</v>
      </c>
      <c r="AC206" s="354">
        <f t="shared" si="81"/>
        <v>0</v>
      </c>
      <c r="AD206" s="354">
        <f t="shared" si="81"/>
        <v>0</v>
      </c>
      <c r="AE206" s="450">
        <f t="shared" si="81"/>
        <v>0</v>
      </c>
      <c r="AF206" s="353">
        <f t="shared" si="81"/>
        <v>0</v>
      </c>
      <c r="AG206" s="354">
        <f t="shared" si="81"/>
        <v>0</v>
      </c>
      <c r="AH206" s="450">
        <f t="shared" si="81"/>
        <v>0</v>
      </c>
    </row>
    <row r="207" spans="1:34" s="474" customFormat="1" ht="9.75" customHeight="1" outlineLevel="1">
      <c r="A207" s="262"/>
      <c r="B207" s="262"/>
      <c r="C207" s="262"/>
      <c r="D207" s="262"/>
      <c r="E207" s="4054"/>
      <c r="F207" s="2928" t="s">
        <v>35</v>
      </c>
      <c r="G207" s="459"/>
      <c r="H207" s="458"/>
      <c r="I207" s="458"/>
      <c r="J207" s="458"/>
      <c r="K207" s="460"/>
      <c r="L207" s="459"/>
      <c r="M207" s="458"/>
      <c r="N207" s="458"/>
      <c r="O207" s="458"/>
      <c r="P207" s="458"/>
      <c r="Q207" s="980"/>
      <c r="R207" s="459"/>
      <c r="S207" s="458"/>
      <c r="T207" s="458"/>
      <c r="U207" s="458">
        <v>0</v>
      </c>
      <c r="V207" s="460"/>
      <c r="W207" s="1030"/>
      <c r="X207" s="1172"/>
      <c r="Y207" s="1172"/>
      <c r="Z207" s="1172"/>
      <c r="AA207" s="462"/>
      <c r="AB207" s="463"/>
      <c r="AC207" s="463"/>
      <c r="AD207" s="463"/>
      <c r="AE207" s="464"/>
      <c r="AF207" s="462"/>
      <c r="AG207" s="463"/>
      <c r="AH207" s="464"/>
    </row>
    <row r="208" spans="1:34" s="474" customFormat="1" ht="13.5" customHeight="1" outlineLevel="1" thickBot="1">
      <c r="A208" s="262"/>
      <c r="B208" s="262"/>
      <c r="C208" s="262"/>
      <c r="D208" s="262"/>
      <c r="E208" s="4055"/>
      <c r="F208" s="357" t="s">
        <v>585</v>
      </c>
      <c r="G208" s="1370">
        <f t="shared" ref="G208:V208" si="82">G206-G207</f>
        <v>0</v>
      </c>
      <c r="H208" s="356">
        <f t="shared" si="82"/>
        <v>0</v>
      </c>
      <c r="I208" s="356">
        <f t="shared" si="82"/>
        <v>0</v>
      </c>
      <c r="J208" s="356">
        <f t="shared" si="82"/>
        <v>0</v>
      </c>
      <c r="K208" s="503">
        <f t="shared" si="82"/>
        <v>0</v>
      </c>
      <c r="L208" s="1370">
        <f t="shared" si="82"/>
        <v>0</v>
      </c>
      <c r="M208" s="356">
        <f t="shared" si="82"/>
        <v>0</v>
      </c>
      <c r="N208" s="356">
        <f t="shared" si="82"/>
        <v>0</v>
      </c>
      <c r="O208" s="356">
        <f t="shared" si="82"/>
        <v>0</v>
      </c>
      <c r="P208" s="356">
        <f t="shared" si="82"/>
        <v>0</v>
      </c>
      <c r="Q208" s="1028">
        <f t="shared" si="82"/>
        <v>0</v>
      </c>
      <c r="R208" s="1370">
        <f t="shared" si="82"/>
        <v>0</v>
      </c>
      <c r="S208" s="356">
        <f t="shared" si="82"/>
        <v>0</v>
      </c>
      <c r="T208" s="356">
        <f t="shared" si="82"/>
        <v>0</v>
      </c>
      <c r="U208" s="356">
        <f t="shared" si="82"/>
        <v>1031998.7940312697</v>
      </c>
      <c r="V208" s="503">
        <f t="shared" si="82"/>
        <v>0</v>
      </c>
      <c r="W208" s="1031"/>
      <c r="X208" s="1172"/>
      <c r="Y208" s="1172"/>
      <c r="Z208" s="1172"/>
      <c r="AA208" s="1370">
        <f t="shared" ref="AA208:AH208" si="83">AA206-AA207</f>
        <v>0</v>
      </c>
      <c r="AB208" s="356">
        <f t="shared" si="83"/>
        <v>0</v>
      </c>
      <c r="AC208" s="356">
        <f t="shared" si="83"/>
        <v>0</v>
      </c>
      <c r="AD208" s="356">
        <f t="shared" si="83"/>
        <v>0</v>
      </c>
      <c r="AE208" s="503">
        <f t="shared" si="83"/>
        <v>0</v>
      </c>
      <c r="AF208" s="1370">
        <f t="shared" si="83"/>
        <v>0</v>
      </c>
      <c r="AG208" s="356">
        <f t="shared" si="83"/>
        <v>0</v>
      </c>
      <c r="AH208" s="503">
        <f t="shared" si="83"/>
        <v>0</v>
      </c>
    </row>
    <row r="209" spans="1:34" s="474" customFormat="1" ht="12.75" customHeight="1" outlineLevel="1">
      <c r="A209" s="262"/>
      <c r="B209" s="262"/>
      <c r="C209" s="262"/>
      <c r="D209" s="262"/>
      <c r="E209" s="4053" t="s">
        <v>1469</v>
      </c>
      <c r="F209" s="565" t="s">
        <v>559</v>
      </c>
      <c r="G209" s="374"/>
      <c r="H209" s="375"/>
      <c r="I209" s="375"/>
      <c r="J209" s="375"/>
      <c r="K209" s="1017"/>
      <c r="L209" s="374"/>
      <c r="M209" s="375"/>
      <c r="N209" s="375"/>
      <c r="O209" s="375"/>
      <c r="P209" s="375"/>
      <c r="Q209" s="375"/>
      <c r="R209" s="459"/>
      <c r="S209" s="458"/>
      <c r="T209" s="458"/>
      <c r="U209" s="458"/>
      <c r="V209" s="460">
        <v>40851.428660378137</v>
      </c>
      <c r="W209" s="1029"/>
      <c r="X209" s="1172"/>
      <c r="Y209" s="1172"/>
      <c r="Z209" s="1172"/>
      <c r="AA209" s="374"/>
      <c r="AB209" s="375"/>
      <c r="AC209" s="375"/>
      <c r="AD209" s="375"/>
      <c r="AE209" s="1017"/>
      <c r="AF209" s="374"/>
      <c r="AG209" s="375"/>
      <c r="AH209" s="1017"/>
    </row>
    <row r="210" spans="1:34" s="474" customFormat="1" ht="12.75" customHeight="1" outlineLevel="1">
      <c r="A210" s="262"/>
      <c r="B210" s="262"/>
      <c r="C210" s="262"/>
      <c r="D210" s="262"/>
      <c r="E210" s="4054"/>
      <c r="F210" s="2928" t="s">
        <v>558</v>
      </c>
      <c r="G210" s="374"/>
      <c r="H210" s="375"/>
      <c r="I210" s="375"/>
      <c r="J210" s="375"/>
      <c r="K210" s="1017"/>
      <c r="L210" s="374"/>
      <c r="M210" s="375"/>
      <c r="N210" s="375"/>
      <c r="O210" s="375"/>
      <c r="P210" s="375"/>
      <c r="Q210" s="375"/>
      <c r="R210" s="459"/>
      <c r="S210" s="458"/>
      <c r="T210" s="458"/>
      <c r="U210" s="458"/>
      <c r="V210" s="460">
        <v>980434.28784907516</v>
      </c>
      <c r="W210" s="1030"/>
      <c r="X210" s="1172"/>
      <c r="Y210" s="1172"/>
      <c r="Z210" s="1172"/>
      <c r="AA210" s="374"/>
      <c r="AB210" s="375"/>
      <c r="AC210" s="375"/>
      <c r="AD210" s="375"/>
      <c r="AE210" s="1017"/>
      <c r="AF210" s="374"/>
      <c r="AG210" s="375"/>
      <c r="AH210" s="1017"/>
    </row>
    <row r="211" spans="1:34" s="474" customFormat="1" ht="12.75" customHeight="1" outlineLevel="1">
      <c r="A211" s="262"/>
      <c r="B211" s="262"/>
      <c r="C211" s="262"/>
      <c r="D211" s="262"/>
      <c r="E211" s="4054"/>
      <c r="F211" s="2928" t="s">
        <v>578</v>
      </c>
      <c r="G211" s="374"/>
      <c r="H211" s="375"/>
      <c r="I211" s="375"/>
      <c r="J211" s="375"/>
      <c r="K211" s="1017"/>
      <c r="L211" s="374"/>
      <c r="M211" s="375"/>
      <c r="N211" s="375"/>
      <c r="O211" s="375"/>
      <c r="P211" s="375"/>
      <c r="Q211" s="375"/>
      <c r="R211" s="459"/>
      <c r="S211" s="458"/>
      <c r="T211" s="458"/>
      <c r="U211" s="458"/>
      <c r="V211" s="460">
        <v>0</v>
      </c>
      <c r="W211" s="1030"/>
      <c r="X211" s="1172"/>
      <c r="Y211" s="1172"/>
      <c r="Z211" s="1172"/>
      <c r="AA211" s="374"/>
      <c r="AB211" s="375"/>
      <c r="AC211" s="375"/>
      <c r="AD211" s="375"/>
      <c r="AE211" s="1017"/>
      <c r="AF211" s="374"/>
      <c r="AG211" s="375"/>
      <c r="AH211" s="1017"/>
    </row>
    <row r="212" spans="1:34" s="474" customFormat="1" ht="12.75" customHeight="1" outlineLevel="1">
      <c r="A212" s="262"/>
      <c r="B212" s="262"/>
      <c r="C212" s="262"/>
      <c r="D212" s="262"/>
      <c r="E212" s="4054"/>
      <c r="F212" s="2930" t="s">
        <v>579</v>
      </c>
      <c r="G212" s="459"/>
      <c r="H212" s="458"/>
      <c r="I212" s="458"/>
      <c r="J212" s="458"/>
      <c r="K212" s="460"/>
      <c r="L212" s="429"/>
      <c r="M212" s="476"/>
      <c r="N212" s="476"/>
      <c r="O212" s="476"/>
      <c r="P212" s="477"/>
      <c r="Q212" s="980"/>
      <c r="R212" s="353">
        <f>SUM(R209:R211)</f>
        <v>0</v>
      </c>
      <c r="S212" s="354">
        <f>SUM(S209:S211)</f>
        <v>0</v>
      </c>
      <c r="T212" s="354">
        <f>SUM(T209:T211)</f>
        <v>0</v>
      </c>
      <c r="U212" s="354">
        <f>SUM(U209:U211)</f>
        <v>0</v>
      </c>
      <c r="V212" s="450">
        <f>SUM(V209:V211)</f>
        <v>1021285.7165094533</v>
      </c>
      <c r="W212" s="1030"/>
      <c r="X212" s="1172"/>
      <c r="Y212" s="1172"/>
      <c r="Z212" s="1172"/>
      <c r="AA212" s="462"/>
      <c r="AB212" s="463"/>
      <c r="AC212" s="463"/>
      <c r="AD212" s="463"/>
      <c r="AE212" s="464"/>
      <c r="AF212" s="511"/>
      <c r="AG212" s="512"/>
      <c r="AH212" s="547"/>
    </row>
    <row r="213" spans="1:34" s="474" customFormat="1" ht="12.75" customHeight="1" outlineLevel="1">
      <c r="A213" s="262"/>
      <c r="B213" s="262"/>
      <c r="C213" s="262"/>
      <c r="D213" s="262"/>
      <c r="E213" s="4054"/>
      <c r="F213" s="2928" t="s">
        <v>583</v>
      </c>
      <c r="G213" s="459"/>
      <c r="H213" s="458"/>
      <c r="I213" s="458"/>
      <c r="J213" s="458"/>
      <c r="K213" s="460"/>
      <c r="L213" s="429"/>
      <c r="M213" s="476"/>
      <c r="N213" s="476"/>
      <c r="O213" s="476"/>
      <c r="P213" s="477"/>
      <c r="Q213" s="980"/>
      <c r="R213" s="564"/>
      <c r="S213" s="477"/>
      <c r="T213" s="477"/>
      <c r="U213" s="477"/>
      <c r="V213" s="460">
        <v>76585.340970620877</v>
      </c>
      <c r="W213" s="1030"/>
      <c r="X213" s="1172"/>
      <c r="Y213" s="1172"/>
      <c r="Z213" s="1172"/>
      <c r="AA213" s="462"/>
      <c r="AB213" s="463"/>
      <c r="AC213" s="463"/>
      <c r="AD213" s="463"/>
      <c r="AE213" s="464"/>
      <c r="AF213" s="511"/>
      <c r="AG213" s="512"/>
      <c r="AH213" s="547"/>
    </row>
    <row r="214" spans="1:34" s="474" customFormat="1" ht="12.75" customHeight="1" outlineLevel="1">
      <c r="A214" s="262"/>
      <c r="B214" s="262"/>
      <c r="C214" s="262"/>
      <c r="D214" s="262"/>
      <c r="E214" s="4054"/>
      <c r="F214" s="2928" t="s">
        <v>581</v>
      </c>
      <c r="G214" s="459"/>
      <c r="H214" s="458"/>
      <c r="I214" s="458"/>
      <c r="J214" s="458"/>
      <c r="K214" s="460"/>
      <c r="L214" s="459"/>
      <c r="M214" s="458"/>
      <c r="N214" s="458"/>
      <c r="O214" s="458"/>
      <c r="P214" s="475"/>
      <c r="Q214" s="980"/>
      <c r="R214" s="1034"/>
      <c r="S214" s="475"/>
      <c r="T214" s="475"/>
      <c r="U214" s="475"/>
      <c r="V214" s="518">
        <v>0</v>
      </c>
      <c r="W214" s="1030"/>
      <c r="X214" s="1172"/>
      <c r="Y214" s="1172"/>
      <c r="Z214" s="1172"/>
      <c r="AA214" s="462"/>
      <c r="AB214" s="463"/>
      <c r="AC214" s="463"/>
      <c r="AD214" s="463"/>
      <c r="AE214" s="464"/>
      <c r="AF214" s="462"/>
      <c r="AG214" s="463"/>
      <c r="AH214" s="464"/>
    </row>
    <row r="215" spans="1:34" s="474" customFormat="1" ht="12.75" customHeight="1" outlineLevel="1">
      <c r="A215" s="262"/>
      <c r="B215" s="262"/>
      <c r="C215" s="262"/>
      <c r="D215" s="262"/>
      <c r="E215" s="4054"/>
      <c r="F215" s="2930" t="s">
        <v>584</v>
      </c>
      <c r="G215" s="353">
        <f>SUM(G212:G214)</f>
        <v>0</v>
      </c>
      <c r="H215" s="354">
        <f t="shared" ref="H215:V215" si="84">SUM(H212:H214)</f>
        <v>0</v>
      </c>
      <c r="I215" s="354">
        <f t="shared" si="84"/>
        <v>0</v>
      </c>
      <c r="J215" s="354">
        <f t="shared" si="84"/>
        <v>0</v>
      </c>
      <c r="K215" s="450">
        <f t="shared" si="84"/>
        <v>0</v>
      </c>
      <c r="L215" s="353">
        <f t="shared" si="84"/>
        <v>0</v>
      </c>
      <c r="M215" s="354">
        <f t="shared" si="84"/>
        <v>0</v>
      </c>
      <c r="N215" s="354">
        <f t="shared" si="84"/>
        <v>0</v>
      </c>
      <c r="O215" s="354">
        <f t="shared" si="84"/>
        <v>0</v>
      </c>
      <c r="P215" s="354">
        <f t="shared" si="84"/>
        <v>0</v>
      </c>
      <c r="Q215" s="1027">
        <f t="shared" si="84"/>
        <v>0</v>
      </c>
      <c r="R215" s="353">
        <f t="shared" si="84"/>
        <v>0</v>
      </c>
      <c r="S215" s="354">
        <f t="shared" si="84"/>
        <v>0</v>
      </c>
      <c r="T215" s="354">
        <f t="shared" si="84"/>
        <v>0</v>
      </c>
      <c r="U215" s="354">
        <f t="shared" si="84"/>
        <v>0</v>
      </c>
      <c r="V215" s="450">
        <f t="shared" si="84"/>
        <v>1097871.0574800742</v>
      </c>
      <c r="W215" s="1030"/>
      <c r="X215" s="1172"/>
      <c r="Y215" s="1172"/>
      <c r="Z215" s="1172"/>
      <c r="AA215" s="353">
        <f>SUM(AA212:AA214)</f>
        <v>0</v>
      </c>
      <c r="AB215" s="354">
        <f t="shared" ref="AB215:AH215" si="85">SUM(AB212:AB214)</f>
        <v>0</v>
      </c>
      <c r="AC215" s="354">
        <f t="shared" si="85"/>
        <v>0</v>
      </c>
      <c r="AD215" s="354">
        <f t="shared" si="85"/>
        <v>0</v>
      </c>
      <c r="AE215" s="450">
        <f t="shared" si="85"/>
        <v>0</v>
      </c>
      <c r="AF215" s="353">
        <f t="shared" si="85"/>
        <v>0</v>
      </c>
      <c r="AG215" s="354">
        <f t="shared" si="85"/>
        <v>0</v>
      </c>
      <c r="AH215" s="450">
        <f t="shared" si="85"/>
        <v>0</v>
      </c>
    </row>
    <row r="216" spans="1:34" s="474" customFormat="1" ht="12.75" customHeight="1" outlineLevel="1">
      <c r="A216" s="262"/>
      <c r="B216" s="262"/>
      <c r="C216" s="262"/>
      <c r="D216" s="262"/>
      <c r="E216" s="4054"/>
      <c r="F216" s="2928" t="s">
        <v>35</v>
      </c>
      <c r="G216" s="459"/>
      <c r="H216" s="458"/>
      <c r="I216" s="458"/>
      <c r="J216" s="458"/>
      <c r="K216" s="460"/>
      <c r="L216" s="459"/>
      <c r="M216" s="458"/>
      <c r="N216" s="458"/>
      <c r="O216" s="458"/>
      <c r="P216" s="458"/>
      <c r="Q216" s="980"/>
      <c r="R216" s="459"/>
      <c r="S216" s="458"/>
      <c r="T216" s="458"/>
      <c r="U216" s="458"/>
      <c r="V216" s="460">
        <v>0</v>
      </c>
      <c r="W216" s="1030"/>
      <c r="X216" s="1172"/>
      <c r="Y216" s="1172"/>
      <c r="Z216" s="1172"/>
      <c r="AA216" s="462"/>
      <c r="AB216" s="463"/>
      <c r="AC216" s="463"/>
      <c r="AD216" s="463"/>
      <c r="AE216" s="464"/>
      <c r="AF216" s="462"/>
      <c r="AG216" s="463"/>
      <c r="AH216" s="464"/>
    </row>
    <row r="217" spans="1:34" s="474" customFormat="1" ht="13.5" customHeight="1" outlineLevel="1" thickBot="1">
      <c r="A217" s="262"/>
      <c r="B217" s="262"/>
      <c r="C217" s="262"/>
      <c r="D217" s="262"/>
      <c r="E217" s="4055"/>
      <c r="F217" s="357" t="s">
        <v>585</v>
      </c>
      <c r="G217" s="1370">
        <f t="shared" ref="G217:V217" si="86">G215-G216</f>
        <v>0</v>
      </c>
      <c r="H217" s="356">
        <f t="shared" si="86"/>
        <v>0</v>
      </c>
      <c r="I217" s="356">
        <f t="shared" si="86"/>
        <v>0</v>
      </c>
      <c r="J217" s="356">
        <f t="shared" si="86"/>
        <v>0</v>
      </c>
      <c r="K217" s="503">
        <f t="shared" si="86"/>
        <v>0</v>
      </c>
      <c r="L217" s="1370">
        <f t="shared" si="86"/>
        <v>0</v>
      </c>
      <c r="M217" s="356">
        <f t="shared" si="86"/>
        <v>0</v>
      </c>
      <c r="N217" s="356">
        <f t="shared" si="86"/>
        <v>0</v>
      </c>
      <c r="O217" s="356">
        <f t="shared" si="86"/>
        <v>0</v>
      </c>
      <c r="P217" s="356">
        <f t="shared" si="86"/>
        <v>0</v>
      </c>
      <c r="Q217" s="1028">
        <f t="shared" si="86"/>
        <v>0</v>
      </c>
      <c r="R217" s="1370">
        <f t="shared" si="86"/>
        <v>0</v>
      </c>
      <c r="S217" s="356">
        <f t="shared" si="86"/>
        <v>0</v>
      </c>
      <c r="T217" s="356">
        <f t="shared" si="86"/>
        <v>0</v>
      </c>
      <c r="U217" s="356">
        <f t="shared" si="86"/>
        <v>0</v>
      </c>
      <c r="V217" s="503">
        <f t="shared" si="86"/>
        <v>1097871.0574800742</v>
      </c>
      <c r="W217" s="1031"/>
      <c r="X217" s="1172"/>
      <c r="Y217" s="1172"/>
      <c r="Z217" s="1172"/>
      <c r="AA217" s="1370">
        <f t="shared" ref="AA217:AH217" si="87">AA215-AA216</f>
        <v>0</v>
      </c>
      <c r="AB217" s="356">
        <f t="shared" si="87"/>
        <v>0</v>
      </c>
      <c r="AC217" s="356">
        <f t="shared" si="87"/>
        <v>0</v>
      </c>
      <c r="AD217" s="356">
        <f t="shared" si="87"/>
        <v>0</v>
      </c>
      <c r="AE217" s="503">
        <f t="shared" si="87"/>
        <v>0</v>
      </c>
      <c r="AF217" s="1370">
        <f t="shared" si="87"/>
        <v>0</v>
      </c>
      <c r="AG217" s="356">
        <f t="shared" si="87"/>
        <v>0</v>
      </c>
      <c r="AH217" s="503">
        <f t="shared" si="87"/>
        <v>0</v>
      </c>
    </row>
    <row r="218" spans="1:34" s="474" customFormat="1" ht="12.75" customHeight="1" outlineLevel="1">
      <c r="A218" s="262"/>
      <c r="B218" s="262"/>
      <c r="C218" s="262"/>
      <c r="D218" s="262"/>
      <c r="E218" s="4053" t="s">
        <v>1470</v>
      </c>
      <c r="F218" s="565" t="s">
        <v>559</v>
      </c>
      <c r="G218" s="374"/>
      <c r="H218" s="375"/>
      <c r="I218" s="375"/>
      <c r="J218" s="375"/>
      <c r="K218" s="1017"/>
      <c r="L218" s="374"/>
      <c r="M218" s="375"/>
      <c r="N218" s="375"/>
      <c r="O218" s="375"/>
      <c r="P218" s="375"/>
      <c r="Q218" s="375"/>
      <c r="R218" s="459"/>
      <c r="S218" s="458">
        <v>142980.00031132347</v>
      </c>
      <c r="T218" s="458"/>
      <c r="U218" s="458"/>
      <c r="V218" s="460"/>
      <c r="W218" s="1029"/>
      <c r="X218" s="1172"/>
      <c r="Y218" s="1172"/>
      <c r="Z218" s="1172"/>
      <c r="AA218" s="374"/>
      <c r="AB218" s="375"/>
      <c r="AC218" s="375"/>
      <c r="AD218" s="375"/>
      <c r="AE218" s="1017"/>
      <c r="AF218" s="374"/>
      <c r="AG218" s="375"/>
      <c r="AH218" s="1017"/>
    </row>
    <row r="219" spans="1:34" s="474" customFormat="1" ht="12.75" customHeight="1" outlineLevel="1">
      <c r="A219" s="262"/>
      <c r="B219" s="262"/>
      <c r="C219" s="262"/>
      <c r="D219" s="262"/>
      <c r="E219" s="4054"/>
      <c r="F219" s="2928" t="s">
        <v>558</v>
      </c>
      <c r="G219" s="374"/>
      <c r="H219" s="375"/>
      <c r="I219" s="375"/>
      <c r="J219" s="375"/>
      <c r="K219" s="1017"/>
      <c r="L219" s="374"/>
      <c r="M219" s="375"/>
      <c r="N219" s="375"/>
      <c r="O219" s="375"/>
      <c r="P219" s="375"/>
      <c r="Q219" s="375"/>
      <c r="R219" s="459"/>
      <c r="S219" s="458">
        <v>3431520.0074717631</v>
      </c>
      <c r="T219" s="458"/>
      <c r="U219" s="458"/>
      <c r="V219" s="460"/>
      <c r="W219" s="1030"/>
      <c r="X219" s="1172"/>
      <c r="Y219" s="1172"/>
      <c r="Z219" s="1172"/>
      <c r="AA219" s="374"/>
      <c r="AB219" s="375"/>
      <c r="AC219" s="375"/>
      <c r="AD219" s="375"/>
      <c r="AE219" s="1017"/>
      <c r="AF219" s="374"/>
      <c r="AG219" s="375"/>
      <c r="AH219" s="1017"/>
    </row>
    <row r="220" spans="1:34" s="474" customFormat="1" ht="12.75" customHeight="1" outlineLevel="1">
      <c r="A220" s="262"/>
      <c r="B220" s="262"/>
      <c r="C220" s="262"/>
      <c r="D220" s="262"/>
      <c r="E220" s="4054"/>
      <c r="F220" s="2928" t="s">
        <v>578</v>
      </c>
      <c r="G220" s="374"/>
      <c r="H220" s="375"/>
      <c r="I220" s="375"/>
      <c r="J220" s="375"/>
      <c r="K220" s="1017"/>
      <c r="L220" s="374"/>
      <c r="M220" s="375"/>
      <c r="N220" s="375"/>
      <c r="O220" s="375"/>
      <c r="P220" s="375"/>
      <c r="Q220" s="375"/>
      <c r="R220" s="459"/>
      <c r="S220" s="458">
        <v>0</v>
      </c>
      <c r="T220" s="458"/>
      <c r="U220" s="458"/>
      <c r="V220" s="460"/>
      <c r="W220" s="1030"/>
      <c r="X220" s="1172"/>
      <c r="Y220" s="1172"/>
      <c r="Z220" s="1172"/>
      <c r="AA220" s="374"/>
      <c r="AB220" s="375"/>
      <c r="AC220" s="375"/>
      <c r="AD220" s="375"/>
      <c r="AE220" s="1017"/>
      <c r="AF220" s="374"/>
      <c r="AG220" s="375"/>
      <c r="AH220" s="1017"/>
    </row>
    <row r="221" spans="1:34" s="474" customFormat="1" ht="12.75" customHeight="1" outlineLevel="1">
      <c r="A221" s="262"/>
      <c r="B221" s="262"/>
      <c r="C221" s="262"/>
      <c r="D221" s="262"/>
      <c r="E221" s="4054"/>
      <c r="F221" s="2930" t="s">
        <v>579</v>
      </c>
      <c r="G221" s="459"/>
      <c r="H221" s="458"/>
      <c r="I221" s="458"/>
      <c r="J221" s="458"/>
      <c r="K221" s="460"/>
      <c r="L221" s="429"/>
      <c r="M221" s="476"/>
      <c r="N221" s="476"/>
      <c r="O221" s="476"/>
      <c r="P221" s="477"/>
      <c r="Q221" s="980"/>
      <c r="R221" s="353">
        <f>SUM(R218:R220)</f>
        <v>0</v>
      </c>
      <c r="S221" s="354">
        <f>SUM(S218:S220)</f>
        <v>3574500.0077830865</v>
      </c>
      <c r="T221" s="354">
        <f>SUM(T218:T220)</f>
        <v>0</v>
      </c>
      <c r="U221" s="354">
        <f>SUM(U218:U220)</f>
        <v>0</v>
      </c>
      <c r="V221" s="450">
        <f>SUM(V218:V220)</f>
        <v>0</v>
      </c>
      <c r="W221" s="1030"/>
      <c r="X221" s="1172"/>
      <c r="Y221" s="1172"/>
      <c r="Z221" s="1172"/>
      <c r="AA221" s="462"/>
      <c r="AB221" s="463"/>
      <c r="AC221" s="463"/>
      <c r="AD221" s="463"/>
      <c r="AE221" s="464"/>
      <c r="AF221" s="511"/>
      <c r="AG221" s="512"/>
      <c r="AH221" s="547"/>
    </row>
    <row r="222" spans="1:34" s="474" customFormat="1" ht="12.75" customHeight="1" outlineLevel="1">
      <c r="A222" s="262"/>
      <c r="B222" s="262"/>
      <c r="C222" s="262"/>
      <c r="D222" s="262"/>
      <c r="E222" s="4054"/>
      <c r="F222" s="2928" t="s">
        <v>583</v>
      </c>
      <c r="G222" s="459"/>
      <c r="H222" s="458"/>
      <c r="I222" s="458"/>
      <c r="J222" s="458"/>
      <c r="K222" s="460"/>
      <c r="L222" s="429"/>
      <c r="M222" s="476"/>
      <c r="N222" s="476"/>
      <c r="O222" s="476"/>
      <c r="P222" s="477"/>
      <c r="Q222" s="980"/>
      <c r="R222" s="564"/>
      <c r="S222" s="458">
        <v>268048.69339717308</v>
      </c>
      <c r="T222" s="477"/>
      <c r="U222" s="477"/>
      <c r="V222" s="519"/>
      <c r="W222" s="1030"/>
      <c r="X222" s="1172"/>
      <c r="Y222" s="1172"/>
      <c r="Z222" s="1172"/>
      <c r="AA222" s="462"/>
      <c r="AB222" s="463"/>
      <c r="AC222" s="463"/>
      <c r="AD222" s="463"/>
      <c r="AE222" s="464"/>
      <c r="AF222" s="511"/>
      <c r="AG222" s="512"/>
      <c r="AH222" s="547"/>
    </row>
    <row r="223" spans="1:34" s="474" customFormat="1" ht="12.75" customHeight="1" outlineLevel="1">
      <c r="A223" s="262"/>
      <c r="B223" s="262"/>
      <c r="C223" s="262"/>
      <c r="D223" s="262"/>
      <c r="E223" s="4054"/>
      <c r="F223" s="2928" t="s">
        <v>581</v>
      </c>
      <c r="G223" s="459"/>
      <c r="H223" s="458"/>
      <c r="I223" s="458"/>
      <c r="J223" s="458"/>
      <c r="K223" s="460"/>
      <c r="L223" s="459"/>
      <c r="M223" s="458"/>
      <c r="N223" s="458"/>
      <c r="O223" s="458"/>
      <c r="P223" s="475"/>
      <c r="Q223" s="980"/>
      <c r="R223" s="1034"/>
      <c r="S223" s="475">
        <v>0</v>
      </c>
      <c r="T223" s="475"/>
      <c r="U223" s="475"/>
      <c r="V223" s="518"/>
      <c r="W223" s="1030"/>
      <c r="X223" s="1172"/>
      <c r="Y223" s="1172"/>
      <c r="Z223" s="1172"/>
      <c r="AA223" s="462"/>
      <c r="AB223" s="463"/>
      <c r="AC223" s="463"/>
      <c r="AD223" s="463"/>
      <c r="AE223" s="464"/>
      <c r="AF223" s="462"/>
      <c r="AG223" s="463"/>
      <c r="AH223" s="464"/>
    </row>
    <row r="224" spans="1:34" s="474" customFormat="1" ht="12.75" customHeight="1" outlineLevel="1">
      <c r="A224" s="262"/>
      <c r="B224" s="262"/>
      <c r="C224" s="262"/>
      <c r="D224" s="262"/>
      <c r="E224" s="4054"/>
      <c r="F224" s="2930" t="s">
        <v>584</v>
      </c>
      <c r="G224" s="353">
        <f>SUM(G221:G223)</f>
        <v>0</v>
      </c>
      <c r="H224" s="354">
        <f t="shared" ref="H224:V224" si="88">SUM(H221:H223)</f>
        <v>0</v>
      </c>
      <c r="I224" s="354">
        <f t="shared" si="88"/>
        <v>0</v>
      </c>
      <c r="J224" s="354">
        <f t="shared" si="88"/>
        <v>0</v>
      </c>
      <c r="K224" s="450">
        <f t="shared" si="88"/>
        <v>0</v>
      </c>
      <c r="L224" s="353">
        <f t="shared" si="88"/>
        <v>0</v>
      </c>
      <c r="M224" s="354">
        <f t="shared" si="88"/>
        <v>0</v>
      </c>
      <c r="N224" s="354">
        <f t="shared" si="88"/>
        <v>0</v>
      </c>
      <c r="O224" s="354">
        <f t="shared" si="88"/>
        <v>0</v>
      </c>
      <c r="P224" s="354">
        <f t="shared" si="88"/>
        <v>0</v>
      </c>
      <c r="Q224" s="1027">
        <f t="shared" si="88"/>
        <v>0</v>
      </c>
      <c r="R224" s="353">
        <f t="shared" si="88"/>
        <v>0</v>
      </c>
      <c r="S224" s="354">
        <f t="shared" si="88"/>
        <v>3842548.7011802597</v>
      </c>
      <c r="T224" s="354">
        <f t="shared" si="88"/>
        <v>0</v>
      </c>
      <c r="U224" s="354">
        <f t="shared" si="88"/>
        <v>0</v>
      </c>
      <c r="V224" s="450">
        <f t="shared" si="88"/>
        <v>0</v>
      </c>
      <c r="W224" s="1030"/>
      <c r="X224" s="1172"/>
      <c r="Y224" s="1172"/>
      <c r="Z224" s="1172"/>
      <c r="AA224" s="353">
        <f>SUM(AA221:AA223)</f>
        <v>0</v>
      </c>
      <c r="AB224" s="354">
        <f t="shared" ref="AB224:AH224" si="89">SUM(AB221:AB223)</f>
        <v>0</v>
      </c>
      <c r="AC224" s="354">
        <f t="shared" si="89"/>
        <v>0</v>
      </c>
      <c r="AD224" s="354">
        <f t="shared" si="89"/>
        <v>0</v>
      </c>
      <c r="AE224" s="450">
        <f t="shared" si="89"/>
        <v>0</v>
      </c>
      <c r="AF224" s="353">
        <f t="shared" si="89"/>
        <v>0</v>
      </c>
      <c r="AG224" s="354">
        <f t="shared" si="89"/>
        <v>0</v>
      </c>
      <c r="AH224" s="450">
        <f t="shared" si="89"/>
        <v>0</v>
      </c>
    </row>
    <row r="225" spans="1:34" s="474" customFormat="1" ht="12.75" customHeight="1" outlineLevel="1">
      <c r="A225" s="262"/>
      <c r="B225" s="262"/>
      <c r="C225" s="262"/>
      <c r="D225" s="262"/>
      <c r="E225" s="4054"/>
      <c r="F225" s="2928" t="s">
        <v>35</v>
      </c>
      <c r="G225" s="459"/>
      <c r="H225" s="458"/>
      <c r="I225" s="458"/>
      <c r="J225" s="458"/>
      <c r="K225" s="460"/>
      <c r="L225" s="459"/>
      <c r="M225" s="458"/>
      <c r="N225" s="458"/>
      <c r="O225" s="458"/>
      <c r="P225" s="458"/>
      <c r="Q225" s="980"/>
      <c r="R225" s="459"/>
      <c r="S225" s="458">
        <v>0</v>
      </c>
      <c r="T225" s="458"/>
      <c r="U225" s="458"/>
      <c r="V225" s="460"/>
      <c r="W225" s="1030"/>
      <c r="X225" s="1172"/>
      <c r="Y225" s="1172"/>
      <c r="Z225" s="1172"/>
      <c r="AA225" s="462"/>
      <c r="AB225" s="463"/>
      <c r="AC225" s="463"/>
      <c r="AD225" s="463"/>
      <c r="AE225" s="464"/>
      <c r="AF225" s="462"/>
      <c r="AG225" s="463"/>
      <c r="AH225" s="464"/>
    </row>
    <row r="226" spans="1:34" s="474" customFormat="1" ht="13.5" customHeight="1" outlineLevel="1" thickBot="1">
      <c r="A226" s="262"/>
      <c r="B226" s="262"/>
      <c r="C226" s="262"/>
      <c r="D226" s="262"/>
      <c r="E226" s="4055"/>
      <c r="F226" s="357" t="s">
        <v>585</v>
      </c>
      <c r="G226" s="1370">
        <f t="shared" ref="G226:V226" si="90">G224-G225</f>
        <v>0</v>
      </c>
      <c r="H226" s="356">
        <f t="shared" si="90"/>
        <v>0</v>
      </c>
      <c r="I226" s="356">
        <f t="shared" si="90"/>
        <v>0</v>
      </c>
      <c r="J226" s="356">
        <f t="shared" si="90"/>
        <v>0</v>
      </c>
      <c r="K226" s="503">
        <f t="shared" si="90"/>
        <v>0</v>
      </c>
      <c r="L226" s="1370">
        <f t="shared" si="90"/>
        <v>0</v>
      </c>
      <c r="M226" s="356">
        <f t="shared" si="90"/>
        <v>0</v>
      </c>
      <c r="N226" s="356">
        <f t="shared" si="90"/>
        <v>0</v>
      </c>
      <c r="O226" s="356">
        <f t="shared" si="90"/>
        <v>0</v>
      </c>
      <c r="P226" s="356">
        <f t="shared" si="90"/>
        <v>0</v>
      </c>
      <c r="Q226" s="1028">
        <f t="shared" si="90"/>
        <v>0</v>
      </c>
      <c r="R226" s="1370">
        <f t="shared" si="90"/>
        <v>0</v>
      </c>
      <c r="S226" s="356">
        <f t="shared" si="90"/>
        <v>3842548.7011802597</v>
      </c>
      <c r="T226" s="356">
        <f t="shared" si="90"/>
        <v>0</v>
      </c>
      <c r="U226" s="356">
        <f t="shared" si="90"/>
        <v>0</v>
      </c>
      <c r="V226" s="503">
        <f t="shared" si="90"/>
        <v>0</v>
      </c>
      <c r="W226" s="1031"/>
      <c r="X226" s="1172"/>
      <c r="Y226" s="1172"/>
      <c r="Z226" s="1172"/>
      <c r="AA226" s="1370">
        <f t="shared" ref="AA226:AH226" si="91">AA224-AA225</f>
        <v>0</v>
      </c>
      <c r="AB226" s="356">
        <f t="shared" si="91"/>
        <v>0</v>
      </c>
      <c r="AC226" s="356">
        <f t="shared" si="91"/>
        <v>0</v>
      </c>
      <c r="AD226" s="356">
        <f t="shared" si="91"/>
        <v>0</v>
      </c>
      <c r="AE226" s="503">
        <f t="shared" si="91"/>
        <v>0</v>
      </c>
      <c r="AF226" s="1370">
        <f t="shared" si="91"/>
        <v>0</v>
      </c>
      <c r="AG226" s="356">
        <f t="shared" si="91"/>
        <v>0</v>
      </c>
      <c r="AH226" s="503">
        <f t="shared" si="91"/>
        <v>0</v>
      </c>
    </row>
    <row r="227" spans="1:34" s="474" customFormat="1" ht="12.75" customHeight="1" outlineLevel="1">
      <c r="A227" s="262"/>
      <c r="B227" s="262"/>
      <c r="C227" s="262"/>
      <c r="D227" s="262"/>
      <c r="E227" s="4053" t="s">
        <v>1471</v>
      </c>
      <c r="F227" s="565" t="s">
        <v>559</v>
      </c>
      <c r="G227" s="374"/>
      <c r="H227" s="375"/>
      <c r="I227" s="375"/>
      <c r="J227" s="375"/>
      <c r="K227" s="1017"/>
      <c r="L227" s="374"/>
      <c r="M227" s="375"/>
      <c r="N227" s="375"/>
      <c r="O227" s="375"/>
      <c r="P227" s="375"/>
      <c r="Q227" s="375"/>
      <c r="R227" s="459"/>
      <c r="S227" s="458">
        <v>65362.285856605013</v>
      </c>
      <c r="T227" s="458"/>
      <c r="U227" s="458"/>
      <c r="V227" s="460"/>
      <c r="W227" s="1029"/>
      <c r="X227" s="1172"/>
      <c r="Y227" s="1172"/>
      <c r="Z227" s="1172"/>
      <c r="AA227" s="374"/>
      <c r="AB227" s="375"/>
      <c r="AC227" s="375"/>
      <c r="AD227" s="375"/>
      <c r="AE227" s="1017"/>
      <c r="AF227" s="374"/>
      <c r="AG227" s="375"/>
      <c r="AH227" s="1017"/>
    </row>
    <row r="228" spans="1:34" s="474" customFormat="1" ht="12.75" customHeight="1" outlineLevel="1">
      <c r="A228" s="262"/>
      <c r="B228" s="262"/>
      <c r="C228" s="262"/>
      <c r="D228" s="262"/>
      <c r="E228" s="4054"/>
      <c r="F228" s="2928" t="s">
        <v>558</v>
      </c>
      <c r="G228" s="374"/>
      <c r="H228" s="375"/>
      <c r="I228" s="375"/>
      <c r="J228" s="375"/>
      <c r="K228" s="1017"/>
      <c r="L228" s="374"/>
      <c r="M228" s="375"/>
      <c r="N228" s="375"/>
      <c r="O228" s="375"/>
      <c r="P228" s="375"/>
      <c r="Q228" s="375"/>
      <c r="R228" s="459"/>
      <c r="S228" s="458">
        <v>1568694.8605585203</v>
      </c>
      <c r="T228" s="458"/>
      <c r="U228" s="458"/>
      <c r="V228" s="460"/>
      <c r="W228" s="1030"/>
      <c r="X228" s="1172"/>
      <c r="Y228" s="1172"/>
      <c r="Z228" s="1172"/>
      <c r="AA228" s="374"/>
      <c r="AB228" s="375"/>
      <c r="AC228" s="375"/>
      <c r="AD228" s="375"/>
      <c r="AE228" s="1017"/>
      <c r="AF228" s="374"/>
      <c r="AG228" s="375"/>
      <c r="AH228" s="1017"/>
    </row>
    <row r="229" spans="1:34" s="474" customFormat="1" ht="12.75" customHeight="1" outlineLevel="1">
      <c r="A229" s="262"/>
      <c r="B229" s="262"/>
      <c r="C229" s="262"/>
      <c r="D229" s="262"/>
      <c r="E229" s="4054"/>
      <c r="F229" s="2928" t="s">
        <v>578</v>
      </c>
      <c r="G229" s="374"/>
      <c r="H229" s="375"/>
      <c r="I229" s="375"/>
      <c r="J229" s="375"/>
      <c r="K229" s="1017"/>
      <c r="L229" s="374"/>
      <c r="M229" s="375"/>
      <c r="N229" s="375"/>
      <c r="O229" s="375"/>
      <c r="P229" s="375"/>
      <c r="Q229" s="375"/>
      <c r="R229" s="459"/>
      <c r="S229" s="458">
        <v>0</v>
      </c>
      <c r="T229" s="458"/>
      <c r="U229" s="458"/>
      <c r="V229" s="460"/>
      <c r="W229" s="1030"/>
      <c r="X229" s="1172"/>
      <c r="Y229" s="1172"/>
      <c r="Z229" s="1172"/>
      <c r="AA229" s="374"/>
      <c r="AB229" s="375"/>
      <c r="AC229" s="375"/>
      <c r="AD229" s="375"/>
      <c r="AE229" s="1017"/>
      <c r="AF229" s="374"/>
      <c r="AG229" s="375"/>
      <c r="AH229" s="1017"/>
    </row>
    <row r="230" spans="1:34" s="474" customFormat="1" ht="12.75" customHeight="1" outlineLevel="1">
      <c r="A230" s="262"/>
      <c r="B230" s="262"/>
      <c r="C230" s="262"/>
      <c r="D230" s="262"/>
      <c r="E230" s="4054"/>
      <c r="F230" s="2930" t="s">
        <v>579</v>
      </c>
      <c r="G230" s="459"/>
      <c r="H230" s="458"/>
      <c r="I230" s="458"/>
      <c r="J230" s="458"/>
      <c r="K230" s="460"/>
      <c r="L230" s="429"/>
      <c r="M230" s="476"/>
      <c r="N230" s="476"/>
      <c r="O230" s="476"/>
      <c r="P230" s="477"/>
      <c r="Q230" s="980"/>
      <c r="R230" s="353">
        <f>SUM(R227:R229)</f>
        <v>0</v>
      </c>
      <c r="S230" s="354">
        <f>SUM(S227:S229)</f>
        <v>1634057.1464151253</v>
      </c>
      <c r="T230" s="354">
        <f>SUM(T227:T229)</f>
        <v>0</v>
      </c>
      <c r="U230" s="354">
        <f>SUM(U227:U229)</f>
        <v>0</v>
      </c>
      <c r="V230" s="450">
        <f>SUM(V227:V229)</f>
        <v>0</v>
      </c>
      <c r="W230" s="1030"/>
      <c r="X230" s="1172"/>
      <c r="Y230" s="1172"/>
      <c r="Z230" s="1172"/>
      <c r="AA230" s="462"/>
      <c r="AB230" s="463"/>
      <c r="AC230" s="463"/>
      <c r="AD230" s="463"/>
      <c r="AE230" s="464"/>
      <c r="AF230" s="511"/>
      <c r="AG230" s="512"/>
      <c r="AH230" s="547"/>
    </row>
    <row r="231" spans="1:34" s="474" customFormat="1" ht="12.75" customHeight="1" outlineLevel="1">
      <c r="A231" s="262"/>
      <c r="B231" s="262"/>
      <c r="C231" s="262"/>
      <c r="D231" s="262"/>
      <c r="E231" s="4054"/>
      <c r="F231" s="2928" t="s">
        <v>583</v>
      </c>
      <c r="G231" s="459"/>
      <c r="H231" s="458"/>
      <c r="I231" s="458"/>
      <c r="J231" s="458"/>
      <c r="K231" s="460"/>
      <c r="L231" s="429"/>
      <c r="M231" s="476"/>
      <c r="N231" s="476"/>
      <c r="O231" s="476"/>
      <c r="P231" s="477"/>
      <c r="Q231" s="980"/>
      <c r="R231" s="564"/>
      <c r="S231" s="458">
        <v>122536.5455529934</v>
      </c>
      <c r="T231" s="477"/>
      <c r="U231" s="477"/>
      <c r="V231" s="519"/>
      <c r="W231" s="1030"/>
      <c r="X231" s="1172"/>
      <c r="Y231" s="1172"/>
      <c r="Z231" s="1172"/>
      <c r="AA231" s="462"/>
      <c r="AB231" s="463"/>
      <c r="AC231" s="463"/>
      <c r="AD231" s="463"/>
      <c r="AE231" s="464"/>
      <c r="AF231" s="511"/>
      <c r="AG231" s="512"/>
      <c r="AH231" s="547"/>
    </row>
    <row r="232" spans="1:34" s="474" customFormat="1" ht="12.75" customHeight="1" outlineLevel="1">
      <c r="A232" s="262"/>
      <c r="B232" s="262"/>
      <c r="C232" s="262"/>
      <c r="D232" s="262"/>
      <c r="E232" s="4054"/>
      <c r="F232" s="2928" t="s">
        <v>581</v>
      </c>
      <c r="G232" s="459"/>
      <c r="H232" s="458"/>
      <c r="I232" s="458"/>
      <c r="J232" s="458"/>
      <c r="K232" s="460"/>
      <c r="L232" s="459"/>
      <c r="M232" s="458"/>
      <c r="N232" s="458"/>
      <c r="O232" s="458"/>
      <c r="P232" s="475"/>
      <c r="Q232" s="980"/>
      <c r="R232" s="1034"/>
      <c r="S232" s="458">
        <v>0</v>
      </c>
      <c r="T232" s="475"/>
      <c r="U232" s="475"/>
      <c r="V232" s="518"/>
      <c r="W232" s="1030"/>
      <c r="X232" s="1172"/>
      <c r="Y232" s="1172"/>
      <c r="Z232" s="1172"/>
      <c r="AA232" s="462"/>
      <c r="AB232" s="463"/>
      <c r="AC232" s="463"/>
      <c r="AD232" s="463"/>
      <c r="AE232" s="464"/>
      <c r="AF232" s="462"/>
      <c r="AG232" s="463"/>
      <c r="AH232" s="464"/>
    </row>
    <row r="233" spans="1:34" s="474" customFormat="1" ht="12.75" customHeight="1" outlineLevel="1">
      <c r="A233" s="262"/>
      <c r="B233" s="262"/>
      <c r="C233" s="262"/>
      <c r="D233" s="262"/>
      <c r="E233" s="4054"/>
      <c r="F233" s="2930" t="s">
        <v>584</v>
      </c>
      <c r="G233" s="353">
        <f>SUM(G230:G232)</f>
        <v>0</v>
      </c>
      <c r="H233" s="354">
        <f t="shared" ref="H233:V233" si="92">SUM(H230:H232)</f>
        <v>0</v>
      </c>
      <c r="I233" s="354">
        <f t="shared" si="92"/>
        <v>0</v>
      </c>
      <c r="J233" s="354">
        <f t="shared" si="92"/>
        <v>0</v>
      </c>
      <c r="K233" s="450">
        <f t="shared" si="92"/>
        <v>0</v>
      </c>
      <c r="L233" s="353">
        <f t="shared" si="92"/>
        <v>0</v>
      </c>
      <c r="M233" s="354">
        <f t="shared" si="92"/>
        <v>0</v>
      </c>
      <c r="N233" s="354">
        <f t="shared" si="92"/>
        <v>0</v>
      </c>
      <c r="O233" s="354">
        <f t="shared" si="92"/>
        <v>0</v>
      </c>
      <c r="P233" s="354">
        <f t="shared" si="92"/>
        <v>0</v>
      </c>
      <c r="Q233" s="1027">
        <f t="shared" si="92"/>
        <v>0</v>
      </c>
      <c r="R233" s="353">
        <f t="shared" si="92"/>
        <v>0</v>
      </c>
      <c r="S233" s="354">
        <f t="shared" si="92"/>
        <v>1756593.6919681188</v>
      </c>
      <c r="T233" s="354">
        <f t="shared" si="92"/>
        <v>0</v>
      </c>
      <c r="U233" s="354">
        <f t="shared" si="92"/>
        <v>0</v>
      </c>
      <c r="V233" s="450">
        <f t="shared" si="92"/>
        <v>0</v>
      </c>
      <c r="W233" s="1030"/>
      <c r="X233" s="1172"/>
      <c r="Y233" s="1172"/>
      <c r="Z233" s="1172"/>
      <c r="AA233" s="353">
        <f>SUM(AA230:AA232)</f>
        <v>0</v>
      </c>
      <c r="AB233" s="354">
        <f t="shared" ref="AB233:AH233" si="93">SUM(AB230:AB232)</f>
        <v>0</v>
      </c>
      <c r="AC233" s="354">
        <f t="shared" si="93"/>
        <v>0</v>
      </c>
      <c r="AD233" s="354">
        <f t="shared" si="93"/>
        <v>0</v>
      </c>
      <c r="AE233" s="450">
        <f t="shared" si="93"/>
        <v>0</v>
      </c>
      <c r="AF233" s="353">
        <f t="shared" si="93"/>
        <v>0</v>
      </c>
      <c r="AG233" s="354">
        <f t="shared" si="93"/>
        <v>0</v>
      </c>
      <c r="AH233" s="450">
        <f t="shared" si="93"/>
        <v>0</v>
      </c>
    </row>
    <row r="234" spans="1:34" s="474" customFormat="1" ht="12.75" customHeight="1" outlineLevel="1">
      <c r="A234" s="262"/>
      <c r="B234" s="262"/>
      <c r="C234" s="262"/>
      <c r="D234" s="262"/>
      <c r="E234" s="4054"/>
      <c r="F234" s="2928" t="s">
        <v>35</v>
      </c>
      <c r="G234" s="459"/>
      <c r="H234" s="458"/>
      <c r="I234" s="458"/>
      <c r="J234" s="458"/>
      <c r="K234" s="460"/>
      <c r="L234" s="459"/>
      <c r="M234" s="458"/>
      <c r="N234" s="458"/>
      <c r="O234" s="458"/>
      <c r="P234" s="458"/>
      <c r="Q234" s="980"/>
      <c r="R234" s="459"/>
      <c r="S234" s="458">
        <v>0</v>
      </c>
      <c r="T234" s="458"/>
      <c r="U234" s="458"/>
      <c r="V234" s="460"/>
      <c r="W234" s="1030"/>
      <c r="X234" s="1172"/>
      <c r="Y234" s="1172"/>
      <c r="Z234" s="1172"/>
      <c r="AA234" s="462"/>
      <c r="AB234" s="463"/>
      <c r="AC234" s="463"/>
      <c r="AD234" s="463"/>
      <c r="AE234" s="464"/>
      <c r="AF234" s="462"/>
      <c r="AG234" s="463"/>
      <c r="AH234" s="464"/>
    </row>
    <row r="235" spans="1:34" s="474" customFormat="1" ht="13.5" customHeight="1" outlineLevel="1" thickBot="1">
      <c r="A235" s="262"/>
      <c r="B235" s="262"/>
      <c r="C235" s="262"/>
      <c r="D235" s="262"/>
      <c r="E235" s="4055"/>
      <c r="F235" s="357" t="s">
        <v>585</v>
      </c>
      <c r="G235" s="1370">
        <f t="shared" ref="G235:V235" si="94">G233-G234</f>
        <v>0</v>
      </c>
      <c r="H235" s="356">
        <f t="shared" si="94"/>
        <v>0</v>
      </c>
      <c r="I235" s="356">
        <f t="shared" si="94"/>
        <v>0</v>
      </c>
      <c r="J235" s="356">
        <f t="shared" si="94"/>
        <v>0</v>
      </c>
      <c r="K235" s="503">
        <f t="shared" si="94"/>
        <v>0</v>
      </c>
      <c r="L235" s="1370">
        <f t="shared" si="94"/>
        <v>0</v>
      </c>
      <c r="M235" s="356">
        <f t="shared" si="94"/>
        <v>0</v>
      </c>
      <c r="N235" s="356">
        <f t="shared" si="94"/>
        <v>0</v>
      </c>
      <c r="O235" s="356">
        <f t="shared" si="94"/>
        <v>0</v>
      </c>
      <c r="P235" s="356">
        <f t="shared" si="94"/>
        <v>0</v>
      </c>
      <c r="Q235" s="1028">
        <f t="shared" si="94"/>
        <v>0</v>
      </c>
      <c r="R235" s="1370">
        <f t="shared" si="94"/>
        <v>0</v>
      </c>
      <c r="S235" s="356">
        <f t="shared" si="94"/>
        <v>1756593.6919681188</v>
      </c>
      <c r="T235" s="356">
        <f t="shared" si="94"/>
        <v>0</v>
      </c>
      <c r="U235" s="356">
        <f t="shared" si="94"/>
        <v>0</v>
      </c>
      <c r="V235" s="503">
        <f t="shared" si="94"/>
        <v>0</v>
      </c>
      <c r="W235" s="1031"/>
      <c r="X235" s="1172"/>
      <c r="Y235" s="1172"/>
      <c r="Z235" s="1172"/>
      <c r="AA235" s="1370">
        <f t="shared" ref="AA235:AH235" si="95">AA233-AA234</f>
        <v>0</v>
      </c>
      <c r="AB235" s="356">
        <f t="shared" si="95"/>
        <v>0</v>
      </c>
      <c r="AC235" s="356">
        <f t="shared" si="95"/>
        <v>0</v>
      </c>
      <c r="AD235" s="356">
        <f t="shared" si="95"/>
        <v>0</v>
      </c>
      <c r="AE235" s="503">
        <f t="shared" si="95"/>
        <v>0</v>
      </c>
      <c r="AF235" s="1370">
        <f t="shared" si="95"/>
        <v>0</v>
      </c>
      <c r="AG235" s="356">
        <f t="shared" si="95"/>
        <v>0</v>
      </c>
      <c r="AH235" s="503">
        <f t="shared" si="95"/>
        <v>0</v>
      </c>
    </row>
    <row r="236" spans="1:34" s="474" customFormat="1" ht="12.75" customHeight="1" outlineLevel="1">
      <c r="A236" s="262"/>
      <c r="B236" s="262"/>
      <c r="C236" s="262"/>
      <c r="D236" s="262"/>
      <c r="E236" s="4053" t="s">
        <v>1472</v>
      </c>
      <c r="F236" s="565" t="s">
        <v>559</v>
      </c>
      <c r="G236" s="374"/>
      <c r="H236" s="375"/>
      <c r="I236" s="375"/>
      <c r="J236" s="375"/>
      <c r="K236" s="1017"/>
      <c r="L236" s="374"/>
      <c r="M236" s="375"/>
      <c r="N236" s="375"/>
      <c r="O236" s="375"/>
      <c r="P236" s="375"/>
      <c r="Q236" s="375"/>
      <c r="R236" s="459"/>
      <c r="S236" s="458"/>
      <c r="T236" s="458"/>
      <c r="U236" s="458"/>
      <c r="V236" s="460"/>
      <c r="W236" s="1029"/>
      <c r="X236" s="1172"/>
      <c r="Y236" s="1172"/>
      <c r="Z236" s="1172"/>
      <c r="AA236" s="374"/>
      <c r="AB236" s="375"/>
      <c r="AC236" s="375"/>
      <c r="AD236" s="375"/>
      <c r="AE236" s="1017"/>
      <c r="AF236" s="374"/>
      <c r="AG236" s="375"/>
      <c r="AH236" s="1017"/>
    </row>
    <row r="237" spans="1:34" s="474" customFormat="1" ht="12.75" customHeight="1" outlineLevel="1">
      <c r="A237" s="262"/>
      <c r="B237" s="262"/>
      <c r="C237" s="262"/>
      <c r="D237" s="262"/>
      <c r="E237" s="4054"/>
      <c r="F237" s="2928" t="s">
        <v>558</v>
      </c>
      <c r="G237" s="374"/>
      <c r="H237" s="375"/>
      <c r="I237" s="375"/>
      <c r="J237" s="375"/>
      <c r="K237" s="1017"/>
      <c r="L237" s="374"/>
      <c r="M237" s="375"/>
      <c r="N237" s="375"/>
      <c r="O237" s="375"/>
      <c r="P237" s="375"/>
      <c r="Q237" s="375"/>
      <c r="R237" s="459"/>
      <c r="S237" s="458"/>
      <c r="T237" s="458"/>
      <c r="U237" s="458"/>
      <c r="V237" s="460"/>
      <c r="W237" s="1030"/>
      <c r="X237" s="1172"/>
      <c r="Y237" s="1172"/>
      <c r="Z237" s="1172"/>
      <c r="AA237" s="374"/>
      <c r="AB237" s="375"/>
      <c r="AC237" s="375"/>
      <c r="AD237" s="375"/>
      <c r="AE237" s="1017"/>
      <c r="AF237" s="374"/>
      <c r="AG237" s="375"/>
      <c r="AH237" s="1017"/>
    </row>
    <row r="238" spans="1:34" s="474" customFormat="1" ht="12.75" customHeight="1" outlineLevel="1">
      <c r="A238" s="262"/>
      <c r="B238" s="262"/>
      <c r="C238" s="262"/>
      <c r="D238" s="262"/>
      <c r="E238" s="4054"/>
      <c r="F238" s="2928" t="s">
        <v>578</v>
      </c>
      <c r="G238" s="374"/>
      <c r="H238" s="375"/>
      <c r="I238" s="375"/>
      <c r="J238" s="375"/>
      <c r="K238" s="1017"/>
      <c r="L238" s="374"/>
      <c r="M238" s="375"/>
      <c r="N238" s="375"/>
      <c r="O238" s="375"/>
      <c r="P238" s="375"/>
      <c r="Q238" s="375"/>
      <c r="R238" s="459"/>
      <c r="S238" s="458"/>
      <c r="T238" s="458"/>
      <c r="U238" s="458"/>
      <c r="V238" s="460"/>
      <c r="W238" s="1030"/>
      <c r="X238" s="1172"/>
      <c r="Y238" s="1172"/>
      <c r="Z238" s="1172"/>
      <c r="AA238" s="374"/>
      <c r="AB238" s="375"/>
      <c r="AC238" s="375"/>
      <c r="AD238" s="375"/>
      <c r="AE238" s="1017"/>
      <c r="AF238" s="374"/>
      <c r="AG238" s="375"/>
      <c r="AH238" s="1017"/>
    </row>
    <row r="239" spans="1:34" s="474" customFormat="1" ht="12.75" customHeight="1" outlineLevel="1">
      <c r="A239" s="262"/>
      <c r="B239" s="262"/>
      <c r="C239" s="262"/>
      <c r="D239" s="262"/>
      <c r="E239" s="4054"/>
      <c r="F239" s="2930" t="s">
        <v>579</v>
      </c>
      <c r="G239" s="458">
        <v>2452592.2730999999</v>
      </c>
      <c r="H239" s="458"/>
      <c r="I239" s="458"/>
      <c r="J239" s="458"/>
      <c r="K239" s="460"/>
      <c r="L239" s="429"/>
      <c r="M239" s="476"/>
      <c r="N239" s="476"/>
      <c r="O239" s="476"/>
      <c r="P239" s="477"/>
      <c r="Q239" s="980"/>
      <c r="R239" s="353">
        <f>SUM(R236:R238)</f>
        <v>0</v>
      </c>
      <c r="S239" s="354"/>
      <c r="T239" s="354">
        <f>SUM(T236:T238)</f>
        <v>0</v>
      </c>
      <c r="U239" s="354">
        <f>SUM(U236:U238)</f>
        <v>0</v>
      </c>
      <c r="V239" s="450">
        <f>SUM(V236:V238)</f>
        <v>0</v>
      </c>
      <c r="W239" s="1030"/>
      <c r="X239" s="1172"/>
      <c r="Y239" s="1172"/>
      <c r="Z239" s="1172"/>
      <c r="AA239" s="462"/>
      <c r="AB239" s="463"/>
      <c r="AC239" s="463"/>
      <c r="AD239" s="463"/>
      <c r="AE239" s="464"/>
      <c r="AF239" s="511"/>
      <c r="AG239" s="512"/>
      <c r="AH239" s="547"/>
    </row>
    <row r="240" spans="1:34" s="474" customFormat="1" ht="12.75" customHeight="1" outlineLevel="1">
      <c r="A240" s="262"/>
      <c r="B240" s="262"/>
      <c r="C240" s="262"/>
      <c r="D240" s="262"/>
      <c r="E240" s="4054"/>
      <c r="F240" s="2928" t="s">
        <v>583</v>
      </c>
      <c r="G240" s="458">
        <v>503773.0727140524</v>
      </c>
      <c r="H240" s="458"/>
      <c r="I240" s="458"/>
      <c r="J240" s="458"/>
      <c r="K240" s="460"/>
      <c r="L240" s="429"/>
      <c r="M240" s="476"/>
      <c r="N240" s="476"/>
      <c r="O240" s="476"/>
      <c r="P240" s="477"/>
      <c r="Q240" s="980"/>
      <c r="R240" s="564"/>
      <c r="S240" s="458"/>
      <c r="T240" s="477"/>
      <c r="U240" s="477"/>
      <c r="V240" s="519"/>
      <c r="W240" s="1030"/>
      <c r="X240" s="1172"/>
      <c r="Y240" s="1172"/>
      <c r="Z240" s="1172"/>
      <c r="AA240" s="462"/>
      <c r="AB240" s="463"/>
      <c r="AC240" s="463"/>
      <c r="AD240" s="463"/>
      <c r="AE240" s="464"/>
      <c r="AF240" s="511"/>
      <c r="AG240" s="512"/>
      <c r="AH240" s="547"/>
    </row>
    <row r="241" spans="1:34" s="474" customFormat="1" ht="12.75" customHeight="1" outlineLevel="1">
      <c r="A241" s="262"/>
      <c r="B241" s="262"/>
      <c r="C241" s="262"/>
      <c r="D241" s="262"/>
      <c r="E241" s="4054"/>
      <c r="F241" s="2928" t="s">
        <v>581</v>
      </c>
      <c r="G241" s="458"/>
      <c r="H241" s="458"/>
      <c r="I241" s="458"/>
      <c r="J241" s="458"/>
      <c r="K241" s="460"/>
      <c r="L241" s="459"/>
      <c r="M241" s="458"/>
      <c r="N241" s="458"/>
      <c r="O241" s="458"/>
      <c r="P241" s="475"/>
      <c r="Q241" s="980"/>
      <c r="R241" s="1034"/>
      <c r="S241" s="458"/>
      <c r="T241" s="475"/>
      <c r="U241" s="475"/>
      <c r="V241" s="518"/>
      <c r="W241" s="1030"/>
      <c r="X241" s="1172"/>
      <c r="Y241" s="1172"/>
      <c r="Z241" s="1172"/>
      <c r="AA241" s="462"/>
      <c r="AB241" s="463"/>
      <c r="AC241" s="463"/>
      <c r="AD241" s="463"/>
      <c r="AE241" s="464"/>
      <c r="AF241" s="462"/>
      <c r="AG241" s="463"/>
      <c r="AH241" s="464"/>
    </row>
    <row r="242" spans="1:34" s="474" customFormat="1" ht="12.75" customHeight="1" outlineLevel="1">
      <c r="A242" s="262"/>
      <c r="B242" s="262"/>
      <c r="C242" s="262"/>
      <c r="D242" s="262"/>
      <c r="E242" s="4054"/>
      <c r="F242" s="2930" t="s">
        <v>584</v>
      </c>
      <c r="G242" s="353">
        <f>SUM(G239:G241)</f>
        <v>2956365.345814052</v>
      </c>
      <c r="H242" s="354">
        <f t="shared" ref="H242:V242" si="96">SUM(H239:H241)</f>
        <v>0</v>
      </c>
      <c r="I242" s="354">
        <f t="shared" si="96"/>
        <v>0</v>
      </c>
      <c r="J242" s="354">
        <f t="shared" si="96"/>
        <v>0</v>
      </c>
      <c r="K242" s="450">
        <f t="shared" si="96"/>
        <v>0</v>
      </c>
      <c r="L242" s="353">
        <f t="shared" si="96"/>
        <v>0</v>
      </c>
      <c r="M242" s="354">
        <f t="shared" si="96"/>
        <v>0</v>
      </c>
      <c r="N242" s="354">
        <f t="shared" si="96"/>
        <v>0</v>
      </c>
      <c r="O242" s="354">
        <f t="shared" si="96"/>
        <v>0</v>
      </c>
      <c r="P242" s="354">
        <f t="shared" si="96"/>
        <v>0</v>
      </c>
      <c r="Q242" s="1027">
        <f t="shared" si="96"/>
        <v>0</v>
      </c>
      <c r="R242" s="353">
        <f t="shared" si="96"/>
        <v>0</v>
      </c>
      <c r="S242" s="354"/>
      <c r="T242" s="354">
        <f t="shared" si="96"/>
        <v>0</v>
      </c>
      <c r="U242" s="354">
        <f t="shared" si="96"/>
        <v>0</v>
      </c>
      <c r="V242" s="450">
        <f t="shared" si="96"/>
        <v>0</v>
      </c>
      <c r="W242" s="1030"/>
      <c r="X242" s="1172"/>
      <c r="Y242" s="1172"/>
      <c r="Z242" s="1172"/>
      <c r="AA242" s="353">
        <f>SUM(AA239:AA241)</f>
        <v>0</v>
      </c>
      <c r="AB242" s="354">
        <f t="shared" ref="AB242:AH242" si="97">SUM(AB239:AB241)</f>
        <v>0</v>
      </c>
      <c r="AC242" s="354">
        <f t="shared" si="97"/>
        <v>0</v>
      </c>
      <c r="AD242" s="354">
        <f t="shared" si="97"/>
        <v>0</v>
      </c>
      <c r="AE242" s="450">
        <f t="shared" si="97"/>
        <v>0</v>
      </c>
      <c r="AF242" s="353">
        <f t="shared" si="97"/>
        <v>0</v>
      </c>
      <c r="AG242" s="354">
        <f t="shared" si="97"/>
        <v>0</v>
      </c>
      <c r="AH242" s="450">
        <f t="shared" si="97"/>
        <v>0</v>
      </c>
    </row>
    <row r="243" spans="1:34" s="474" customFormat="1" ht="12.75" customHeight="1" outlineLevel="1">
      <c r="A243" s="262"/>
      <c r="B243" s="262"/>
      <c r="C243" s="262"/>
      <c r="D243" s="262"/>
      <c r="E243" s="4054"/>
      <c r="F243" s="2928" t="s">
        <v>35</v>
      </c>
      <c r="G243" s="459"/>
      <c r="H243" s="458"/>
      <c r="I243" s="458"/>
      <c r="J243" s="458"/>
      <c r="K243" s="460"/>
      <c r="L243" s="459"/>
      <c r="M243" s="458"/>
      <c r="N243" s="458"/>
      <c r="O243" s="458"/>
      <c r="P243" s="458"/>
      <c r="Q243" s="980"/>
      <c r="R243" s="459"/>
      <c r="S243" s="458"/>
      <c r="T243" s="458"/>
      <c r="U243" s="458"/>
      <c r="V243" s="460"/>
      <c r="W243" s="1030"/>
      <c r="X243" s="1172"/>
      <c r="Y243" s="1172"/>
      <c r="Z243" s="1172"/>
      <c r="AA243" s="462"/>
      <c r="AB243" s="463"/>
      <c r="AC243" s="463"/>
      <c r="AD243" s="463"/>
      <c r="AE243" s="464"/>
      <c r="AF243" s="462"/>
      <c r="AG243" s="463"/>
      <c r="AH243" s="464"/>
    </row>
    <row r="244" spans="1:34" s="474" customFormat="1" ht="13.5" customHeight="1" outlineLevel="1" thickBot="1">
      <c r="A244" s="262"/>
      <c r="B244" s="262"/>
      <c r="C244" s="262"/>
      <c r="D244" s="262"/>
      <c r="E244" s="4055"/>
      <c r="F244" s="357" t="s">
        <v>585</v>
      </c>
      <c r="G244" s="1370">
        <f t="shared" ref="G244:V244" si="98">G242-G243</f>
        <v>2956365.345814052</v>
      </c>
      <c r="H244" s="356">
        <f t="shared" si="98"/>
        <v>0</v>
      </c>
      <c r="I244" s="356">
        <f t="shared" si="98"/>
        <v>0</v>
      </c>
      <c r="J244" s="356">
        <f t="shared" si="98"/>
        <v>0</v>
      </c>
      <c r="K244" s="503">
        <f t="shared" si="98"/>
        <v>0</v>
      </c>
      <c r="L244" s="1370">
        <f t="shared" si="98"/>
        <v>0</v>
      </c>
      <c r="M244" s="356">
        <f t="shared" si="98"/>
        <v>0</v>
      </c>
      <c r="N244" s="356">
        <f t="shared" si="98"/>
        <v>0</v>
      </c>
      <c r="O244" s="356">
        <f t="shared" si="98"/>
        <v>0</v>
      </c>
      <c r="P244" s="356">
        <f t="shared" si="98"/>
        <v>0</v>
      </c>
      <c r="Q244" s="1028">
        <f t="shared" si="98"/>
        <v>0</v>
      </c>
      <c r="R244" s="1370">
        <f t="shared" si="98"/>
        <v>0</v>
      </c>
      <c r="S244" s="356"/>
      <c r="T244" s="356">
        <f t="shared" si="98"/>
        <v>0</v>
      </c>
      <c r="U244" s="356">
        <f t="shared" si="98"/>
        <v>0</v>
      </c>
      <c r="V244" s="503">
        <f t="shared" si="98"/>
        <v>0</v>
      </c>
      <c r="W244" s="1031"/>
      <c r="X244" s="1172"/>
      <c r="Y244" s="1172"/>
      <c r="Z244" s="1172"/>
      <c r="AA244" s="1370">
        <f t="shared" ref="AA244:AH244" si="99">AA242-AA243</f>
        <v>0</v>
      </c>
      <c r="AB244" s="356">
        <f t="shared" si="99"/>
        <v>0</v>
      </c>
      <c r="AC244" s="356">
        <f t="shared" si="99"/>
        <v>0</v>
      </c>
      <c r="AD244" s="356">
        <f t="shared" si="99"/>
        <v>0</v>
      </c>
      <c r="AE244" s="503">
        <f t="shared" si="99"/>
        <v>0</v>
      </c>
      <c r="AF244" s="1370">
        <f t="shared" si="99"/>
        <v>0</v>
      </c>
      <c r="AG244" s="356">
        <f t="shared" si="99"/>
        <v>0</v>
      </c>
      <c r="AH244" s="503">
        <f t="shared" si="99"/>
        <v>0</v>
      </c>
    </row>
    <row r="245" spans="1:34" s="474" customFormat="1" ht="12.75" customHeight="1" outlineLevel="1">
      <c r="A245" s="262"/>
      <c r="B245" s="262"/>
      <c r="C245" s="262"/>
      <c r="D245" s="262"/>
      <c r="E245" s="4053" t="s">
        <v>1473</v>
      </c>
      <c r="F245" s="565" t="s">
        <v>559</v>
      </c>
      <c r="G245" s="374"/>
      <c r="H245" s="375"/>
      <c r="I245" s="375"/>
      <c r="J245" s="375"/>
      <c r="K245" s="1017"/>
      <c r="L245" s="374"/>
      <c r="M245" s="375"/>
      <c r="N245" s="375"/>
      <c r="O245" s="375"/>
      <c r="P245" s="375"/>
      <c r="Q245" s="375"/>
      <c r="R245" s="459"/>
      <c r="S245" s="458"/>
      <c r="T245" s="458"/>
      <c r="U245" s="458"/>
      <c r="V245" s="460"/>
      <c r="W245" s="1029"/>
      <c r="X245" s="1172"/>
      <c r="Y245" s="1172"/>
      <c r="Z245" s="1172"/>
      <c r="AA245" s="374"/>
      <c r="AB245" s="375"/>
      <c r="AC245" s="375"/>
      <c r="AD245" s="375"/>
      <c r="AE245" s="1017"/>
      <c r="AF245" s="374"/>
      <c r="AG245" s="375"/>
      <c r="AH245" s="1017"/>
    </row>
    <row r="246" spans="1:34" s="474" customFormat="1" ht="12.75" customHeight="1" outlineLevel="1">
      <c r="A246" s="262"/>
      <c r="B246" s="262"/>
      <c r="C246" s="262"/>
      <c r="D246" s="262"/>
      <c r="E246" s="4054"/>
      <c r="F246" s="2928" t="s">
        <v>558</v>
      </c>
      <c r="G246" s="374"/>
      <c r="H246" s="375"/>
      <c r="I246" s="375"/>
      <c r="J246" s="375"/>
      <c r="K246" s="1017"/>
      <c r="L246" s="374"/>
      <c r="M246" s="375"/>
      <c r="N246" s="375"/>
      <c r="O246" s="375"/>
      <c r="P246" s="375"/>
      <c r="Q246" s="375"/>
      <c r="R246" s="459"/>
      <c r="S246" s="458"/>
      <c r="T246" s="458"/>
      <c r="U246" s="458"/>
      <c r="V246" s="460"/>
      <c r="W246" s="1030"/>
      <c r="X246" s="1172"/>
      <c r="Y246" s="1172"/>
      <c r="Z246" s="1172"/>
      <c r="AA246" s="374"/>
      <c r="AB246" s="375"/>
      <c r="AC246" s="375"/>
      <c r="AD246" s="375"/>
      <c r="AE246" s="1017"/>
      <c r="AF246" s="374"/>
      <c r="AG246" s="375"/>
      <c r="AH246" s="1017"/>
    </row>
    <row r="247" spans="1:34" s="474" customFormat="1" ht="12.75" customHeight="1" outlineLevel="1">
      <c r="A247" s="262"/>
      <c r="B247" s="262"/>
      <c r="C247" s="262"/>
      <c r="D247" s="262"/>
      <c r="E247" s="4054"/>
      <c r="F247" s="2928" t="s">
        <v>578</v>
      </c>
      <c r="G247" s="374"/>
      <c r="H247" s="375"/>
      <c r="I247" s="375"/>
      <c r="J247" s="375"/>
      <c r="K247" s="1017"/>
      <c r="L247" s="374"/>
      <c r="M247" s="375"/>
      <c r="N247" s="375"/>
      <c r="O247" s="375"/>
      <c r="P247" s="375"/>
      <c r="Q247" s="375"/>
      <c r="R247" s="459"/>
      <c r="S247" s="458"/>
      <c r="T247" s="458"/>
      <c r="U247" s="458"/>
      <c r="V247" s="460"/>
      <c r="W247" s="1030"/>
      <c r="X247" s="1172"/>
      <c r="Y247" s="1172"/>
      <c r="Z247" s="1172"/>
      <c r="AA247" s="374"/>
      <c r="AB247" s="375"/>
      <c r="AC247" s="375"/>
      <c r="AD247" s="375"/>
      <c r="AE247" s="1017"/>
      <c r="AF247" s="374"/>
      <c r="AG247" s="375"/>
      <c r="AH247" s="1017"/>
    </row>
    <row r="248" spans="1:34" s="474" customFormat="1" ht="12.75" customHeight="1" outlineLevel="1">
      <c r="A248" s="262"/>
      <c r="B248" s="262"/>
      <c r="C248" s="262"/>
      <c r="D248" s="262"/>
      <c r="E248" s="4054"/>
      <c r="F248" s="2930" t="s">
        <v>579</v>
      </c>
      <c r="G248" s="459"/>
      <c r="H248" s="458">
        <v>927696.5613354533</v>
      </c>
      <c r="I248" s="458"/>
      <c r="J248" s="458"/>
      <c r="K248" s="460"/>
      <c r="L248" s="429"/>
      <c r="M248" s="476"/>
      <c r="N248" s="476"/>
      <c r="O248" s="476"/>
      <c r="P248" s="477"/>
      <c r="Q248" s="980"/>
      <c r="R248" s="353">
        <f>SUM(R245:R247)</f>
        <v>0</v>
      </c>
      <c r="S248" s="354"/>
      <c r="T248" s="354">
        <f>SUM(T245:T247)</f>
        <v>0</v>
      </c>
      <c r="U248" s="354">
        <f>SUM(U245:U247)</f>
        <v>0</v>
      </c>
      <c r="V248" s="450">
        <f>SUM(V245:V247)</f>
        <v>0</v>
      </c>
      <c r="W248" s="1030"/>
      <c r="X248" s="1172"/>
      <c r="Y248" s="1172"/>
      <c r="Z248" s="1172"/>
      <c r="AA248" s="462"/>
      <c r="AB248" s="463"/>
      <c r="AC248" s="463"/>
      <c r="AD248" s="463"/>
      <c r="AE248" s="464"/>
      <c r="AF248" s="511"/>
      <c r="AG248" s="512"/>
      <c r="AH248" s="547"/>
    </row>
    <row r="249" spans="1:34" s="474" customFormat="1" ht="12.75" customHeight="1" outlineLevel="1">
      <c r="A249" s="262"/>
      <c r="B249" s="262"/>
      <c r="C249" s="262"/>
      <c r="D249" s="262"/>
      <c r="E249" s="4054"/>
      <c r="F249" s="2928" t="s">
        <v>583</v>
      </c>
      <c r="G249" s="459"/>
      <c r="H249" s="458">
        <v>146860.9983787291</v>
      </c>
      <c r="I249" s="458"/>
      <c r="J249" s="458"/>
      <c r="K249" s="460"/>
      <c r="L249" s="429"/>
      <c r="M249" s="476"/>
      <c r="N249" s="476"/>
      <c r="O249" s="476"/>
      <c r="P249" s="477"/>
      <c r="Q249" s="980"/>
      <c r="R249" s="564"/>
      <c r="S249" s="458"/>
      <c r="T249" s="477"/>
      <c r="U249" s="477"/>
      <c r="V249" s="519"/>
      <c r="W249" s="1030"/>
      <c r="X249" s="1172"/>
      <c r="Y249" s="1172"/>
      <c r="Z249" s="1172"/>
      <c r="AA249" s="462"/>
      <c r="AB249" s="463"/>
      <c r="AC249" s="463"/>
      <c r="AD249" s="463"/>
      <c r="AE249" s="464"/>
      <c r="AF249" s="511"/>
      <c r="AG249" s="512"/>
      <c r="AH249" s="547"/>
    </row>
    <row r="250" spans="1:34" s="474" customFormat="1" ht="12.75" customHeight="1" outlineLevel="1">
      <c r="A250" s="262"/>
      <c r="B250" s="262"/>
      <c r="C250" s="262"/>
      <c r="D250" s="262"/>
      <c r="E250" s="4054"/>
      <c r="F250" s="2928" t="s">
        <v>581</v>
      </c>
      <c r="G250" s="459"/>
      <c r="H250" s="458"/>
      <c r="I250" s="458"/>
      <c r="J250" s="458"/>
      <c r="K250" s="460"/>
      <c r="L250" s="459"/>
      <c r="M250" s="458"/>
      <c r="N250" s="458"/>
      <c r="O250" s="458"/>
      <c r="P250" s="475"/>
      <c r="Q250" s="980"/>
      <c r="R250" s="1034"/>
      <c r="S250" s="458"/>
      <c r="T250" s="475"/>
      <c r="U250" s="475"/>
      <c r="V250" s="518"/>
      <c r="W250" s="1030"/>
      <c r="X250" s="1172"/>
      <c r="Y250" s="1172"/>
      <c r="Z250" s="1172"/>
      <c r="AA250" s="462"/>
      <c r="AB250" s="463"/>
      <c r="AC250" s="463"/>
      <c r="AD250" s="463"/>
      <c r="AE250" s="464"/>
      <c r="AF250" s="462"/>
      <c r="AG250" s="463"/>
      <c r="AH250" s="464"/>
    </row>
    <row r="251" spans="1:34" s="474" customFormat="1" ht="12.75" customHeight="1" outlineLevel="1">
      <c r="A251" s="262"/>
      <c r="B251" s="262"/>
      <c r="C251" s="262"/>
      <c r="D251" s="262"/>
      <c r="E251" s="4054"/>
      <c r="F251" s="2930" t="s">
        <v>584</v>
      </c>
      <c r="G251" s="353">
        <f>SUM(G248:G250)</f>
        <v>0</v>
      </c>
      <c r="H251" s="354">
        <f t="shared" ref="H251:V251" si="100">SUM(H248:H250)</f>
        <v>1074557.5597141823</v>
      </c>
      <c r="I251" s="354">
        <f t="shared" si="100"/>
        <v>0</v>
      </c>
      <c r="J251" s="354">
        <f t="shared" si="100"/>
        <v>0</v>
      </c>
      <c r="K251" s="450">
        <f t="shared" si="100"/>
        <v>0</v>
      </c>
      <c r="L251" s="353">
        <f t="shared" si="100"/>
        <v>0</v>
      </c>
      <c r="M251" s="354">
        <f t="shared" si="100"/>
        <v>0</v>
      </c>
      <c r="N251" s="354">
        <f t="shared" si="100"/>
        <v>0</v>
      </c>
      <c r="O251" s="354">
        <f t="shared" si="100"/>
        <v>0</v>
      </c>
      <c r="P251" s="354">
        <f t="shared" si="100"/>
        <v>0</v>
      </c>
      <c r="Q251" s="1027">
        <f t="shared" si="100"/>
        <v>0</v>
      </c>
      <c r="R251" s="353">
        <f t="shared" si="100"/>
        <v>0</v>
      </c>
      <c r="S251" s="354"/>
      <c r="T251" s="354">
        <f t="shared" si="100"/>
        <v>0</v>
      </c>
      <c r="U251" s="354">
        <f t="shared" si="100"/>
        <v>0</v>
      </c>
      <c r="V251" s="450">
        <f t="shared" si="100"/>
        <v>0</v>
      </c>
      <c r="W251" s="1030"/>
      <c r="X251" s="1172"/>
      <c r="Y251" s="1172"/>
      <c r="Z251" s="1172"/>
      <c r="AA251" s="353">
        <f>SUM(AA248:AA250)</f>
        <v>0</v>
      </c>
      <c r="AB251" s="354">
        <f t="shared" ref="AB251:AH251" si="101">SUM(AB248:AB250)</f>
        <v>0</v>
      </c>
      <c r="AC251" s="354">
        <f t="shared" si="101"/>
        <v>0</v>
      </c>
      <c r="AD251" s="354">
        <f t="shared" si="101"/>
        <v>0</v>
      </c>
      <c r="AE251" s="450">
        <f t="shared" si="101"/>
        <v>0</v>
      </c>
      <c r="AF251" s="353">
        <f t="shared" si="101"/>
        <v>0</v>
      </c>
      <c r="AG251" s="354">
        <f t="shared" si="101"/>
        <v>0</v>
      </c>
      <c r="AH251" s="450">
        <f t="shared" si="101"/>
        <v>0</v>
      </c>
    </row>
    <row r="252" spans="1:34" s="474" customFormat="1" ht="12.75" customHeight="1" outlineLevel="1">
      <c r="A252" s="262"/>
      <c r="B252" s="262"/>
      <c r="C252" s="262"/>
      <c r="D252" s="262"/>
      <c r="E252" s="4054"/>
      <c r="F252" s="2928" t="s">
        <v>35</v>
      </c>
      <c r="G252" s="459"/>
      <c r="H252" s="458"/>
      <c r="I252" s="458"/>
      <c r="J252" s="458"/>
      <c r="K252" s="460"/>
      <c r="L252" s="459"/>
      <c r="M252" s="458"/>
      <c r="N252" s="458"/>
      <c r="O252" s="458"/>
      <c r="P252" s="458"/>
      <c r="Q252" s="980"/>
      <c r="R252" s="459"/>
      <c r="S252" s="458"/>
      <c r="T252" s="458"/>
      <c r="U252" s="458"/>
      <c r="V252" s="460"/>
      <c r="W252" s="1030"/>
      <c r="X252" s="1172"/>
      <c r="Y252" s="1172"/>
      <c r="Z252" s="1172"/>
      <c r="AA252" s="462"/>
      <c r="AB252" s="463"/>
      <c r="AC252" s="463"/>
      <c r="AD252" s="463"/>
      <c r="AE252" s="464"/>
      <c r="AF252" s="462"/>
      <c r="AG252" s="463"/>
      <c r="AH252" s="464"/>
    </row>
    <row r="253" spans="1:34" s="474" customFormat="1" ht="13.5" customHeight="1" outlineLevel="1" thickBot="1">
      <c r="A253" s="262"/>
      <c r="B253" s="262"/>
      <c r="C253" s="262"/>
      <c r="D253" s="262"/>
      <c r="E253" s="4055"/>
      <c r="F253" s="357" t="s">
        <v>585</v>
      </c>
      <c r="G253" s="1370">
        <f t="shared" ref="G253:V253" si="102">G251-G252</f>
        <v>0</v>
      </c>
      <c r="H253" s="356">
        <f t="shared" si="102"/>
        <v>1074557.5597141823</v>
      </c>
      <c r="I253" s="356">
        <f t="shared" si="102"/>
        <v>0</v>
      </c>
      <c r="J253" s="356">
        <f t="shared" si="102"/>
        <v>0</v>
      </c>
      <c r="K253" s="503">
        <f t="shared" si="102"/>
        <v>0</v>
      </c>
      <c r="L253" s="1370">
        <f t="shared" si="102"/>
        <v>0</v>
      </c>
      <c r="M253" s="356">
        <f t="shared" si="102"/>
        <v>0</v>
      </c>
      <c r="N253" s="356">
        <f t="shared" si="102"/>
        <v>0</v>
      </c>
      <c r="O253" s="356">
        <f t="shared" si="102"/>
        <v>0</v>
      </c>
      <c r="P253" s="356">
        <f t="shared" si="102"/>
        <v>0</v>
      </c>
      <c r="Q253" s="1028">
        <f t="shared" si="102"/>
        <v>0</v>
      </c>
      <c r="R253" s="1370">
        <f t="shared" si="102"/>
        <v>0</v>
      </c>
      <c r="S253" s="356"/>
      <c r="T253" s="356">
        <f t="shared" si="102"/>
        <v>0</v>
      </c>
      <c r="U253" s="356">
        <f t="shared" si="102"/>
        <v>0</v>
      </c>
      <c r="V253" s="503">
        <f t="shared" si="102"/>
        <v>0</v>
      </c>
      <c r="W253" s="1031"/>
      <c r="X253" s="1172"/>
      <c r="Y253" s="1172"/>
      <c r="Z253" s="1172"/>
      <c r="AA253" s="1370">
        <f t="shared" ref="AA253:AH253" si="103">AA251-AA252</f>
        <v>0</v>
      </c>
      <c r="AB253" s="356">
        <f t="shared" si="103"/>
        <v>0</v>
      </c>
      <c r="AC253" s="356">
        <f t="shared" si="103"/>
        <v>0</v>
      </c>
      <c r="AD253" s="356">
        <f t="shared" si="103"/>
        <v>0</v>
      </c>
      <c r="AE253" s="503">
        <f t="shared" si="103"/>
        <v>0</v>
      </c>
      <c r="AF253" s="1370">
        <f t="shared" si="103"/>
        <v>0</v>
      </c>
      <c r="AG253" s="356">
        <f t="shared" si="103"/>
        <v>0</v>
      </c>
      <c r="AH253" s="503">
        <f t="shared" si="103"/>
        <v>0</v>
      </c>
    </row>
    <row r="254" spans="1:34" s="474" customFormat="1" ht="12.75" customHeight="1" outlineLevel="1">
      <c r="A254" s="262"/>
      <c r="B254" s="262"/>
      <c r="C254" s="262"/>
      <c r="D254" s="262"/>
      <c r="E254" s="4053" t="s">
        <v>1474</v>
      </c>
      <c r="F254" s="565" t="s">
        <v>559</v>
      </c>
      <c r="G254" s="374"/>
      <c r="H254" s="375"/>
      <c r="I254" s="375"/>
      <c r="J254" s="375"/>
      <c r="K254" s="1017"/>
      <c r="L254" s="374"/>
      <c r="M254" s="375"/>
      <c r="N254" s="375"/>
      <c r="O254" s="375"/>
      <c r="P254" s="375"/>
      <c r="Q254" s="375"/>
      <c r="R254" s="459"/>
      <c r="S254" s="458"/>
      <c r="T254" s="458"/>
      <c r="U254" s="458"/>
      <c r="V254" s="460"/>
      <c r="W254" s="1029"/>
      <c r="X254" s="1172"/>
      <c r="Y254" s="1172"/>
      <c r="Z254" s="1172"/>
      <c r="AA254" s="374"/>
      <c r="AB254" s="375"/>
      <c r="AC254" s="375"/>
      <c r="AD254" s="375"/>
      <c r="AE254" s="1017"/>
      <c r="AF254" s="374"/>
      <c r="AG254" s="375"/>
      <c r="AH254" s="1017"/>
    </row>
    <row r="255" spans="1:34" s="474" customFormat="1" ht="12.75" customHeight="1" outlineLevel="1">
      <c r="A255" s="262"/>
      <c r="B255" s="262"/>
      <c r="C255" s="262"/>
      <c r="D255" s="262"/>
      <c r="E255" s="4054"/>
      <c r="F255" s="2928" t="s">
        <v>558</v>
      </c>
      <c r="G255" s="374"/>
      <c r="H255" s="375"/>
      <c r="I255" s="375"/>
      <c r="J255" s="375"/>
      <c r="K255" s="1017"/>
      <c r="L255" s="374"/>
      <c r="M255" s="375"/>
      <c r="N255" s="375"/>
      <c r="O255" s="375"/>
      <c r="P255" s="375"/>
      <c r="Q255" s="375"/>
      <c r="R255" s="459"/>
      <c r="S255" s="458"/>
      <c r="T255" s="458"/>
      <c r="U255" s="458"/>
      <c r="V255" s="460"/>
      <c r="W255" s="1030"/>
      <c r="X255" s="1172"/>
      <c r="Y255" s="1172"/>
      <c r="Z255" s="1172"/>
      <c r="AA255" s="374"/>
      <c r="AB255" s="375"/>
      <c r="AC255" s="375"/>
      <c r="AD255" s="375"/>
      <c r="AE255" s="1017"/>
      <c r="AF255" s="374"/>
      <c r="AG255" s="375"/>
      <c r="AH255" s="1017"/>
    </row>
    <row r="256" spans="1:34" s="474" customFormat="1" ht="12.75" customHeight="1" outlineLevel="1">
      <c r="A256" s="262"/>
      <c r="B256" s="262"/>
      <c r="C256" s="262"/>
      <c r="D256" s="262"/>
      <c r="E256" s="4054"/>
      <c r="F256" s="2928" t="s">
        <v>578</v>
      </c>
      <c r="G256" s="374"/>
      <c r="H256" s="375"/>
      <c r="I256" s="375"/>
      <c r="J256" s="375"/>
      <c r="K256" s="1017"/>
      <c r="L256" s="374"/>
      <c r="M256" s="375"/>
      <c r="N256" s="375"/>
      <c r="O256" s="375"/>
      <c r="P256" s="375"/>
      <c r="Q256" s="375"/>
      <c r="R256" s="459"/>
      <c r="S256" s="458"/>
      <c r="T256" s="458"/>
      <c r="U256" s="458"/>
      <c r="V256" s="460"/>
      <c r="W256" s="1030"/>
      <c r="X256" s="1172"/>
      <c r="Y256" s="1172"/>
      <c r="Z256" s="1172"/>
      <c r="AA256" s="374"/>
      <c r="AB256" s="375"/>
      <c r="AC256" s="375"/>
      <c r="AD256" s="375"/>
      <c r="AE256" s="1017"/>
      <c r="AF256" s="374"/>
      <c r="AG256" s="375"/>
      <c r="AH256" s="1017"/>
    </row>
    <row r="257" spans="1:34" s="474" customFormat="1" ht="12.75" customHeight="1" outlineLevel="1">
      <c r="A257" s="262"/>
      <c r="B257" s="262"/>
      <c r="C257" s="262"/>
      <c r="D257" s="262"/>
      <c r="E257" s="4054"/>
      <c r="F257" s="2930" t="s">
        <v>579</v>
      </c>
      <c r="G257" s="459"/>
      <c r="H257" s="458"/>
      <c r="I257" s="458">
        <v>555910.13576308277</v>
      </c>
      <c r="J257" s="458"/>
      <c r="K257" s="460"/>
      <c r="L257" s="429"/>
      <c r="M257" s="476"/>
      <c r="N257" s="476"/>
      <c r="O257" s="476"/>
      <c r="P257" s="477"/>
      <c r="Q257" s="980"/>
      <c r="R257" s="353">
        <f>SUM(R254:R256)</f>
        <v>0</v>
      </c>
      <c r="S257" s="354"/>
      <c r="T257" s="354">
        <f>SUM(T254:T256)</f>
        <v>0</v>
      </c>
      <c r="U257" s="354">
        <f>SUM(U254:U256)</f>
        <v>0</v>
      </c>
      <c r="V257" s="450">
        <f>SUM(V254:V256)</f>
        <v>0</v>
      </c>
      <c r="W257" s="1030"/>
      <c r="X257" s="1172"/>
      <c r="Y257" s="1172"/>
      <c r="Z257" s="1172"/>
      <c r="AA257" s="462"/>
      <c r="AB257" s="463"/>
      <c r="AC257" s="463"/>
      <c r="AD257" s="463"/>
      <c r="AE257" s="464"/>
      <c r="AF257" s="511"/>
      <c r="AG257" s="512"/>
      <c r="AH257" s="547"/>
    </row>
    <row r="258" spans="1:34" s="474" customFormat="1" ht="12.75" customHeight="1" outlineLevel="1">
      <c r="A258" s="262"/>
      <c r="B258" s="262"/>
      <c r="C258" s="262"/>
      <c r="D258" s="262"/>
      <c r="E258" s="4054"/>
      <c r="F258" s="2928" t="s">
        <v>583</v>
      </c>
      <c r="G258" s="459"/>
      <c r="H258" s="458"/>
      <c r="I258" s="458">
        <v>115167.98128923708</v>
      </c>
      <c r="J258" s="458"/>
      <c r="K258" s="460"/>
      <c r="L258" s="429"/>
      <c r="M258" s="476"/>
      <c r="N258" s="476"/>
      <c r="O258" s="476"/>
      <c r="P258" s="477"/>
      <c r="Q258" s="980"/>
      <c r="R258" s="564"/>
      <c r="S258" s="458"/>
      <c r="T258" s="477"/>
      <c r="U258" s="477"/>
      <c r="V258" s="519"/>
      <c r="W258" s="1030"/>
      <c r="X258" s="1172"/>
      <c r="Y258" s="1172"/>
      <c r="Z258" s="1172"/>
      <c r="AA258" s="462"/>
      <c r="AB258" s="463"/>
      <c r="AC258" s="463"/>
      <c r="AD258" s="463"/>
      <c r="AE258" s="464"/>
      <c r="AF258" s="511"/>
      <c r="AG258" s="512"/>
      <c r="AH258" s="547"/>
    </row>
    <row r="259" spans="1:34" s="474" customFormat="1" ht="12.75" customHeight="1" outlineLevel="1">
      <c r="A259" s="262"/>
      <c r="B259" s="262"/>
      <c r="C259" s="262"/>
      <c r="D259" s="262"/>
      <c r="E259" s="4054"/>
      <c r="F259" s="2928" t="s">
        <v>581</v>
      </c>
      <c r="G259" s="459"/>
      <c r="H259" s="458"/>
      <c r="I259" s="458"/>
      <c r="J259" s="458"/>
      <c r="K259" s="460"/>
      <c r="L259" s="459"/>
      <c r="M259" s="458"/>
      <c r="N259" s="458"/>
      <c r="O259" s="458"/>
      <c r="P259" s="475"/>
      <c r="Q259" s="980"/>
      <c r="R259" s="1034"/>
      <c r="S259" s="458"/>
      <c r="T259" s="475"/>
      <c r="U259" s="475"/>
      <c r="V259" s="518"/>
      <c r="W259" s="1030"/>
      <c r="X259" s="1172"/>
      <c r="Y259" s="1172"/>
      <c r="Z259" s="1172"/>
      <c r="AA259" s="462"/>
      <c r="AB259" s="463"/>
      <c r="AC259" s="463"/>
      <c r="AD259" s="463"/>
      <c r="AE259" s="464"/>
      <c r="AF259" s="462"/>
      <c r="AG259" s="463"/>
      <c r="AH259" s="464"/>
    </row>
    <row r="260" spans="1:34" s="474" customFormat="1" ht="12.75" customHeight="1" outlineLevel="1">
      <c r="A260" s="262"/>
      <c r="B260" s="262"/>
      <c r="C260" s="262"/>
      <c r="D260" s="262"/>
      <c r="E260" s="4054"/>
      <c r="F260" s="2930" t="s">
        <v>584</v>
      </c>
      <c r="G260" s="353">
        <f>SUM(G257:G259)</f>
        <v>0</v>
      </c>
      <c r="H260" s="354">
        <f t="shared" ref="H260:V260" si="104">SUM(H257:H259)</f>
        <v>0</v>
      </c>
      <c r="I260" s="354">
        <f t="shared" si="104"/>
        <v>671078.11705231981</v>
      </c>
      <c r="J260" s="354">
        <f t="shared" si="104"/>
        <v>0</v>
      </c>
      <c r="K260" s="450">
        <f t="shared" si="104"/>
        <v>0</v>
      </c>
      <c r="L260" s="353">
        <f t="shared" si="104"/>
        <v>0</v>
      </c>
      <c r="M260" s="354">
        <f t="shared" si="104"/>
        <v>0</v>
      </c>
      <c r="N260" s="354">
        <f t="shared" si="104"/>
        <v>0</v>
      </c>
      <c r="O260" s="354">
        <f t="shared" si="104"/>
        <v>0</v>
      </c>
      <c r="P260" s="354">
        <f t="shared" si="104"/>
        <v>0</v>
      </c>
      <c r="Q260" s="1027">
        <f t="shared" si="104"/>
        <v>0</v>
      </c>
      <c r="R260" s="353">
        <f t="shared" si="104"/>
        <v>0</v>
      </c>
      <c r="S260" s="354"/>
      <c r="T260" s="354">
        <f t="shared" si="104"/>
        <v>0</v>
      </c>
      <c r="U260" s="354">
        <f t="shared" si="104"/>
        <v>0</v>
      </c>
      <c r="V260" s="450">
        <f t="shared" si="104"/>
        <v>0</v>
      </c>
      <c r="W260" s="1030"/>
      <c r="X260" s="1172"/>
      <c r="Y260" s="1172"/>
      <c r="Z260" s="1172"/>
      <c r="AA260" s="353">
        <f>SUM(AA257:AA259)</f>
        <v>0</v>
      </c>
      <c r="AB260" s="354">
        <f t="shared" ref="AB260:AH260" si="105">SUM(AB257:AB259)</f>
        <v>0</v>
      </c>
      <c r="AC260" s="354">
        <f t="shared" si="105"/>
        <v>0</v>
      </c>
      <c r="AD260" s="354">
        <f t="shared" si="105"/>
        <v>0</v>
      </c>
      <c r="AE260" s="450">
        <f t="shared" si="105"/>
        <v>0</v>
      </c>
      <c r="AF260" s="353">
        <f t="shared" si="105"/>
        <v>0</v>
      </c>
      <c r="AG260" s="354">
        <f t="shared" si="105"/>
        <v>0</v>
      </c>
      <c r="AH260" s="450">
        <f t="shared" si="105"/>
        <v>0</v>
      </c>
    </row>
    <row r="261" spans="1:34" s="474" customFormat="1" ht="9.75" customHeight="1" outlineLevel="1">
      <c r="A261" s="262"/>
      <c r="B261" s="262"/>
      <c r="C261" s="262"/>
      <c r="D261" s="262"/>
      <c r="E261" s="4054"/>
      <c r="F261" s="2928" t="s">
        <v>35</v>
      </c>
      <c r="G261" s="459"/>
      <c r="H261" s="458"/>
      <c r="I261" s="458"/>
      <c r="J261" s="458"/>
      <c r="K261" s="460"/>
      <c r="L261" s="459"/>
      <c r="M261" s="458"/>
      <c r="N261" s="458"/>
      <c r="O261" s="458"/>
      <c r="P261" s="458"/>
      <c r="Q261" s="980"/>
      <c r="R261" s="459"/>
      <c r="S261" s="458"/>
      <c r="T261" s="458"/>
      <c r="U261" s="458"/>
      <c r="V261" s="460"/>
      <c r="W261" s="1030"/>
      <c r="X261" s="1172"/>
      <c r="Y261" s="1172"/>
      <c r="Z261" s="1172"/>
      <c r="AA261" s="462"/>
      <c r="AB261" s="463"/>
      <c r="AC261" s="463"/>
      <c r="AD261" s="463"/>
      <c r="AE261" s="464"/>
      <c r="AF261" s="462"/>
      <c r="AG261" s="463"/>
      <c r="AH261" s="464"/>
    </row>
    <row r="262" spans="1:34" s="474" customFormat="1" ht="13.5" customHeight="1" outlineLevel="1" thickBot="1">
      <c r="A262" s="262"/>
      <c r="B262" s="262"/>
      <c r="C262" s="262"/>
      <c r="D262" s="262"/>
      <c r="E262" s="4055"/>
      <c r="F262" s="357" t="s">
        <v>585</v>
      </c>
      <c r="G262" s="1370">
        <f t="shared" ref="G262:V262" si="106">G260-G261</f>
        <v>0</v>
      </c>
      <c r="H262" s="356">
        <f t="shared" si="106"/>
        <v>0</v>
      </c>
      <c r="I262" s="356">
        <f t="shared" si="106"/>
        <v>671078.11705231981</v>
      </c>
      <c r="J262" s="356">
        <f t="shared" si="106"/>
        <v>0</v>
      </c>
      <c r="K262" s="503">
        <f t="shared" si="106"/>
        <v>0</v>
      </c>
      <c r="L262" s="1370">
        <f t="shared" si="106"/>
        <v>0</v>
      </c>
      <c r="M262" s="356">
        <f t="shared" si="106"/>
        <v>0</v>
      </c>
      <c r="N262" s="356">
        <f t="shared" si="106"/>
        <v>0</v>
      </c>
      <c r="O262" s="356">
        <f t="shared" si="106"/>
        <v>0</v>
      </c>
      <c r="P262" s="356">
        <f t="shared" si="106"/>
        <v>0</v>
      </c>
      <c r="Q262" s="1028">
        <f t="shared" si="106"/>
        <v>0</v>
      </c>
      <c r="R262" s="1370">
        <f t="shared" si="106"/>
        <v>0</v>
      </c>
      <c r="S262" s="356"/>
      <c r="T262" s="356">
        <f t="shared" si="106"/>
        <v>0</v>
      </c>
      <c r="U262" s="356">
        <f t="shared" si="106"/>
        <v>0</v>
      </c>
      <c r="V262" s="503">
        <f t="shared" si="106"/>
        <v>0</v>
      </c>
      <c r="W262" s="1031"/>
      <c r="X262" s="1172"/>
      <c r="Y262" s="1172"/>
      <c r="Z262" s="1172"/>
      <c r="AA262" s="1370">
        <f t="shared" ref="AA262:AH262" si="107">AA260-AA261</f>
        <v>0</v>
      </c>
      <c r="AB262" s="356">
        <f t="shared" si="107"/>
        <v>0</v>
      </c>
      <c r="AC262" s="356">
        <f t="shared" si="107"/>
        <v>0</v>
      </c>
      <c r="AD262" s="356">
        <f t="shared" si="107"/>
        <v>0</v>
      </c>
      <c r="AE262" s="503">
        <f t="shared" si="107"/>
        <v>0</v>
      </c>
      <c r="AF262" s="1370">
        <f t="shared" si="107"/>
        <v>0</v>
      </c>
      <c r="AG262" s="356">
        <f t="shared" si="107"/>
        <v>0</v>
      </c>
      <c r="AH262" s="503">
        <f t="shared" si="107"/>
        <v>0</v>
      </c>
    </row>
    <row r="263" spans="1:34" s="474" customFormat="1" ht="12.75" customHeight="1" outlineLevel="1">
      <c r="A263" s="262"/>
      <c r="B263" s="262"/>
      <c r="C263" s="262"/>
      <c r="D263" s="262"/>
      <c r="E263" s="4053" t="s">
        <v>1475</v>
      </c>
      <c r="F263" s="565" t="s">
        <v>559</v>
      </c>
      <c r="G263" s="374"/>
      <c r="H263" s="375"/>
      <c r="I263" s="375"/>
      <c r="J263" s="375"/>
      <c r="K263" s="1017"/>
      <c r="L263" s="374"/>
      <c r="M263" s="375"/>
      <c r="N263" s="375"/>
      <c r="O263" s="375"/>
      <c r="P263" s="375"/>
      <c r="Q263" s="375"/>
      <c r="R263" s="459"/>
      <c r="S263" s="458"/>
      <c r="T263" s="458"/>
      <c r="U263" s="458"/>
      <c r="V263" s="460"/>
      <c r="W263" s="1029"/>
      <c r="X263" s="1172"/>
      <c r="Y263" s="1172"/>
      <c r="Z263" s="1172"/>
      <c r="AA263" s="374"/>
      <c r="AB263" s="375"/>
      <c r="AC263" s="375"/>
      <c r="AD263" s="375"/>
      <c r="AE263" s="1017"/>
      <c r="AF263" s="374"/>
      <c r="AG263" s="375"/>
      <c r="AH263" s="1017"/>
    </row>
    <row r="264" spans="1:34" s="474" customFormat="1" ht="12.75" customHeight="1" outlineLevel="1">
      <c r="A264" s="262"/>
      <c r="B264" s="262"/>
      <c r="C264" s="262"/>
      <c r="D264" s="262"/>
      <c r="E264" s="4054"/>
      <c r="F264" s="2928" t="s">
        <v>558</v>
      </c>
      <c r="G264" s="374"/>
      <c r="H264" s="375"/>
      <c r="I264" s="375"/>
      <c r="J264" s="375"/>
      <c r="K264" s="1017"/>
      <c r="L264" s="374"/>
      <c r="M264" s="375"/>
      <c r="N264" s="375"/>
      <c r="O264" s="375"/>
      <c r="P264" s="375"/>
      <c r="Q264" s="375"/>
      <c r="R264" s="459"/>
      <c r="S264" s="458"/>
      <c r="T264" s="458"/>
      <c r="U264" s="458"/>
      <c r="V264" s="460"/>
      <c r="W264" s="1030"/>
      <c r="X264" s="1172"/>
      <c r="Y264" s="1172"/>
      <c r="Z264" s="1172"/>
      <c r="AA264" s="374"/>
      <c r="AB264" s="375"/>
      <c r="AC264" s="375"/>
      <c r="AD264" s="375"/>
      <c r="AE264" s="1017"/>
      <c r="AF264" s="374"/>
      <c r="AG264" s="375"/>
      <c r="AH264" s="1017"/>
    </row>
    <row r="265" spans="1:34" s="474" customFormat="1" ht="12.75" customHeight="1" outlineLevel="1">
      <c r="A265" s="262"/>
      <c r="B265" s="262"/>
      <c r="C265" s="262"/>
      <c r="D265" s="262"/>
      <c r="E265" s="4054"/>
      <c r="F265" s="2928" t="s">
        <v>578</v>
      </c>
      <c r="G265" s="374"/>
      <c r="H265" s="375"/>
      <c r="I265" s="375"/>
      <c r="J265" s="375"/>
      <c r="K265" s="1017"/>
      <c r="L265" s="374"/>
      <c r="M265" s="375"/>
      <c r="N265" s="375"/>
      <c r="O265" s="375"/>
      <c r="P265" s="375"/>
      <c r="Q265" s="375"/>
      <c r="R265" s="459"/>
      <c r="S265" s="458"/>
      <c r="T265" s="458"/>
      <c r="U265" s="458"/>
      <c r="V265" s="460"/>
      <c r="W265" s="1030"/>
      <c r="X265" s="1172"/>
      <c r="Y265" s="1172"/>
      <c r="Z265" s="1172"/>
      <c r="AA265" s="374"/>
      <c r="AB265" s="375"/>
      <c r="AC265" s="375"/>
      <c r="AD265" s="375"/>
      <c r="AE265" s="1017"/>
      <c r="AF265" s="374"/>
      <c r="AG265" s="375"/>
      <c r="AH265" s="1017"/>
    </row>
    <row r="266" spans="1:34" s="474" customFormat="1" ht="12.75" customHeight="1" outlineLevel="1">
      <c r="A266" s="262"/>
      <c r="B266" s="262"/>
      <c r="C266" s="262"/>
      <c r="D266" s="262"/>
      <c r="E266" s="4054"/>
      <c r="F266" s="2930" t="s">
        <v>579</v>
      </c>
      <c r="G266" s="459"/>
      <c r="H266" s="458"/>
      <c r="I266" s="458"/>
      <c r="J266" s="458">
        <v>3517253.5350226639</v>
      </c>
      <c r="K266" s="460"/>
      <c r="L266" s="429"/>
      <c r="M266" s="476"/>
      <c r="N266" s="476"/>
      <c r="O266" s="476"/>
      <c r="P266" s="477"/>
      <c r="Q266" s="980"/>
      <c r="R266" s="353">
        <f>SUM(R263:R265)</f>
        <v>0</v>
      </c>
      <c r="S266" s="354"/>
      <c r="T266" s="354">
        <f>SUM(T263:T265)</f>
        <v>0</v>
      </c>
      <c r="U266" s="354">
        <f>SUM(U263:U265)</f>
        <v>0</v>
      </c>
      <c r="V266" s="450">
        <f>SUM(V263:V265)</f>
        <v>0</v>
      </c>
      <c r="W266" s="1030"/>
      <c r="X266" s="1172"/>
      <c r="Y266" s="1172"/>
      <c r="Z266" s="1172"/>
      <c r="AA266" s="462"/>
      <c r="AB266" s="463"/>
      <c r="AC266" s="463"/>
      <c r="AD266" s="463"/>
      <c r="AE266" s="464"/>
      <c r="AF266" s="511"/>
      <c r="AG266" s="512"/>
      <c r="AH266" s="547"/>
    </row>
    <row r="267" spans="1:34" s="474" customFormat="1" ht="12.75" customHeight="1" outlineLevel="1">
      <c r="A267" s="262"/>
      <c r="B267" s="262"/>
      <c r="C267" s="262"/>
      <c r="D267" s="262"/>
      <c r="E267" s="4054"/>
      <c r="F267" s="2928" t="s">
        <v>583</v>
      </c>
      <c r="G267" s="459"/>
      <c r="H267" s="458"/>
      <c r="I267" s="458"/>
      <c r="J267" s="458">
        <v>624732.97835628502</v>
      </c>
      <c r="K267" s="460"/>
      <c r="L267" s="429"/>
      <c r="M267" s="476"/>
      <c r="N267" s="476"/>
      <c r="O267" s="476"/>
      <c r="P267" s="477"/>
      <c r="Q267" s="980"/>
      <c r="R267" s="564"/>
      <c r="S267" s="458"/>
      <c r="T267" s="477"/>
      <c r="U267" s="477"/>
      <c r="V267" s="519"/>
      <c r="W267" s="1030"/>
      <c r="X267" s="1172"/>
      <c r="Y267" s="1172"/>
      <c r="Z267" s="1172"/>
      <c r="AA267" s="462"/>
      <c r="AB267" s="463"/>
      <c r="AC267" s="463"/>
      <c r="AD267" s="463"/>
      <c r="AE267" s="464"/>
      <c r="AF267" s="511"/>
      <c r="AG267" s="512"/>
      <c r="AH267" s="547"/>
    </row>
    <row r="268" spans="1:34" s="474" customFormat="1" ht="12.75" customHeight="1" outlineLevel="1">
      <c r="A268" s="262"/>
      <c r="B268" s="262"/>
      <c r="C268" s="262"/>
      <c r="D268" s="262"/>
      <c r="E268" s="4054"/>
      <c r="F268" s="2928" t="s">
        <v>581</v>
      </c>
      <c r="G268" s="459"/>
      <c r="H268" s="458"/>
      <c r="I268" s="458"/>
      <c r="J268" s="458"/>
      <c r="K268" s="460"/>
      <c r="L268" s="459"/>
      <c r="M268" s="458"/>
      <c r="N268" s="458"/>
      <c r="O268" s="458"/>
      <c r="P268" s="475"/>
      <c r="Q268" s="980"/>
      <c r="R268" s="1034"/>
      <c r="S268" s="458"/>
      <c r="T268" s="475"/>
      <c r="U268" s="475"/>
      <c r="V268" s="518"/>
      <c r="W268" s="1030"/>
      <c r="X268" s="1172"/>
      <c r="Y268" s="1172"/>
      <c r="Z268" s="1172"/>
      <c r="AA268" s="462"/>
      <c r="AB268" s="463"/>
      <c r="AC268" s="463"/>
      <c r="AD268" s="463"/>
      <c r="AE268" s="464"/>
      <c r="AF268" s="462"/>
      <c r="AG268" s="463"/>
      <c r="AH268" s="464"/>
    </row>
    <row r="269" spans="1:34" s="474" customFormat="1" ht="12.75" customHeight="1" outlineLevel="1">
      <c r="A269" s="262"/>
      <c r="B269" s="262"/>
      <c r="C269" s="262"/>
      <c r="D269" s="262"/>
      <c r="E269" s="4054"/>
      <c r="F269" s="2930" t="s">
        <v>584</v>
      </c>
      <c r="G269" s="353">
        <f>SUM(G266:G268)</f>
        <v>0</v>
      </c>
      <c r="H269" s="354">
        <f t="shared" ref="H269:V269" si="108">SUM(H266:H268)</f>
        <v>0</v>
      </c>
      <c r="I269" s="354">
        <f t="shared" si="108"/>
        <v>0</v>
      </c>
      <c r="J269" s="354">
        <f t="shared" si="108"/>
        <v>4141986.5133789489</v>
      </c>
      <c r="K269" s="450">
        <f t="shared" si="108"/>
        <v>0</v>
      </c>
      <c r="L269" s="353">
        <f t="shared" si="108"/>
        <v>0</v>
      </c>
      <c r="M269" s="354">
        <f t="shared" si="108"/>
        <v>0</v>
      </c>
      <c r="N269" s="354">
        <f t="shared" si="108"/>
        <v>0</v>
      </c>
      <c r="O269" s="354">
        <f t="shared" si="108"/>
        <v>0</v>
      </c>
      <c r="P269" s="354">
        <f t="shared" si="108"/>
        <v>0</v>
      </c>
      <c r="Q269" s="1027">
        <f t="shared" si="108"/>
        <v>0</v>
      </c>
      <c r="R269" s="353">
        <f t="shared" si="108"/>
        <v>0</v>
      </c>
      <c r="S269" s="354"/>
      <c r="T269" s="354">
        <f t="shared" si="108"/>
        <v>0</v>
      </c>
      <c r="U269" s="354">
        <f t="shared" si="108"/>
        <v>0</v>
      </c>
      <c r="V269" s="450">
        <f t="shared" si="108"/>
        <v>0</v>
      </c>
      <c r="W269" s="1030"/>
      <c r="X269" s="1172"/>
      <c r="Y269" s="1172"/>
      <c r="Z269" s="1172"/>
      <c r="AA269" s="353">
        <f>SUM(AA266:AA268)</f>
        <v>0</v>
      </c>
      <c r="AB269" s="354">
        <f t="shared" ref="AB269:AH269" si="109">SUM(AB266:AB268)</f>
        <v>0</v>
      </c>
      <c r="AC269" s="354">
        <f t="shared" si="109"/>
        <v>0</v>
      </c>
      <c r="AD269" s="354">
        <f t="shared" si="109"/>
        <v>0</v>
      </c>
      <c r="AE269" s="450">
        <f t="shared" si="109"/>
        <v>0</v>
      </c>
      <c r="AF269" s="353">
        <f t="shared" si="109"/>
        <v>0</v>
      </c>
      <c r="AG269" s="354">
        <f t="shared" si="109"/>
        <v>0</v>
      </c>
      <c r="AH269" s="450">
        <f t="shared" si="109"/>
        <v>0</v>
      </c>
    </row>
    <row r="270" spans="1:34" s="474" customFormat="1" ht="12.75" customHeight="1" outlineLevel="1">
      <c r="A270" s="262"/>
      <c r="B270" s="262"/>
      <c r="C270" s="262"/>
      <c r="D270" s="262"/>
      <c r="E270" s="4054"/>
      <c r="F270" s="2928" t="s">
        <v>35</v>
      </c>
      <c r="G270" s="459"/>
      <c r="H270" s="458"/>
      <c r="I270" s="458"/>
      <c r="J270" s="458"/>
      <c r="K270" s="460"/>
      <c r="L270" s="459"/>
      <c r="M270" s="458"/>
      <c r="N270" s="458"/>
      <c r="O270" s="458"/>
      <c r="P270" s="458"/>
      <c r="Q270" s="980"/>
      <c r="R270" s="459"/>
      <c r="S270" s="458"/>
      <c r="T270" s="458"/>
      <c r="U270" s="458"/>
      <c r="V270" s="460"/>
      <c r="W270" s="1030"/>
      <c r="X270" s="1172"/>
      <c r="Y270" s="1172"/>
      <c r="Z270" s="1172"/>
      <c r="AA270" s="462"/>
      <c r="AB270" s="463"/>
      <c r="AC270" s="463"/>
      <c r="AD270" s="463"/>
      <c r="AE270" s="464"/>
      <c r="AF270" s="462"/>
      <c r="AG270" s="463"/>
      <c r="AH270" s="464"/>
    </row>
    <row r="271" spans="1:34" s="474" customFormat="1" ht="13.5" customHeight="1" outlineLevel="1" thickBot="1">
      <c r="A271" s="262"/>
      <c r="B271" s="262"/>
      <c r="C271" s="262"/>
      <c r="D271" s="262"/>
      <c r="E271" s="4055"/>
      <c r="F271" s="357" t="s">
        <v>585</v>
      </c>
      <c r="G271" s="1370">
        <f t="shared" ref="G271:V271" si="110">G269-G270</f>
        <v>0</v>
      </c>
      <c r="H271" s="356">
        <f t="shared" si="110"/>
        <v>0</v>
      </c>
      <c r="I271" s="356">
        <f t="shared" si="110"/>
        <v>0</v>
      </c>
      <c r="J271" s="356">
        <f t="shared" si="110"/>
        <v>4141986.5133789489</v>
      </c>
      <c r="K271" s="503">
        <f t="shared" si="110"/>
        <v>0</v>
      </c>
      <c r="L271" s="1370">
        <f t="shared" si="110"/>
        <v>0</v>
      </c>
      <c r="M271" s="356">
        <f t="shared" si="110"/>
        <v>0</v>
      </c>
      <c r="N271" s="356">
        <f t="shared" si="110"/>
        <v>0</v>
      </c>
      <c r="O271" s="356">
        <f t="shared" si="110"/>
        <v>0</v>
      </c>
      <c r="P271" s="356">
        <f t="shared" si="110"/>
        <v>0</v>
      </c>
      <c r="Q271" s="1028">
        <f t="shared" si="110"/>
        <v>0</v>
      </c>
      <c r="R271" s="1370">
        <f t="shared" si="110"/>
        <v>0</v>
      </c>
      <c r="S271" s="356"/>
      <c r="T271" s="356">
        <f t="shared" si="110"/>
        <v>0</v>
      </c>
      <c r="U271" s="356">
        <f t="shared" si="110"/>
        <v>0</v>
      </c>
      <c r="V271" s="503">
        <f t="shared" si="110"/>
        <v>0</v>
      </c>
      <c r="W271" s="1031"/>
      <c r="X271" s="1172"/>
      <c r="Y271" s="1172"/>
      <c r="Z271" s="1172"/>
      <c r="AA271" s="1370">
        <f t="shared" ref="AA271:AH271" si="111">AA269-AA270</f>
        <v>0</v>
      </c>
      <c r="AB271" s="356">
        <f t="shared" si="111"/>
        <v>0</v>
      </c>
      <c r="AC271" s="356">
        <f t="shared" si="111"/>
        <v>0</v>
      </c>
      <c r="AD271" s="356">
        <f t="shared" si="111"/>
        <v>0</v>
      </c>
      <c r="AE271" s="503">
        <f t="shared" si="111"/>
        <v>0</v>
      </c>
      <c r="AF271" s="1370">
        <f t="shared" si="111"/>
        <v>0</v>
      </c>
      <c r="AG271" s="356">
        <f t="shared" si="111"/>
        <v>0</v>
      </c>
      <c r="AH271" s="503">
        <f t="shared" si="111"/>
        <v>0</v>
      </c>
    </row>
    <row r="272" spans="1:34" s="474" customFormat="1" ht="12.75" customHeight="1" outlineLevel="1">
      <c r="A272" s="262"/>
      <c r="B272" s="262"/>
      <c r="C272" s="262"/>
      <c r="D272" s="262"/>
      <c r="E272" s="4053" t="s">
        <v>1476</v>
      </c>
      <c r="F272" s="565" t="s">
        <v>559</v>
      </c>
      <c r="G272" s="374"/>
      <c r="H272" s="375"/>
      <c r="I272" s="375"/>
      <c r="J272" s="375"/>
      <c r="K272" s="1017"/>
      <c r="L272" s="374"/>
      <c r="M272" s="375"/>
      <c r="N272" s="375"/>
      <c r="O272" s="375"/>
      <c r="P272" s="375"/>
      <c r="Q272" s="375"/>
      <c r="R272" s="459"/>
      <c r="S272" s="458"/>
      <c r="T272" s="458"/>
      <c r="U272" s="458"/>
      <c r="V272" s="460"/>
      <c r="W272" s="1029"/>
      <c r="X272" s="1172"/>
      <c r="Y272" s="1172"/>
      <c r="Z272" s="1172"/>
      <c r="AA272" s="374"/>
      <c r="AB272" s="375"/>
      <c r="AC272" s="375"/>
      <c r="AD272" s="375"/>
      <c r="AE272" s="1017"/>
      <c r="AF272" s="374"/>
      <c r="AG272" s="375"/>
      <c r="AH272" s="1017"/>
    </row>
    <row r="273" spans="1:34" s="474" customFormat="1" ht="12.75" customHeight="1" outlineLevel="1">
      <c r="A273" s="262"/>
      <c r="B273" s="262"/>
      <c r="C273" s="262"/>
      <c r="D273" s="262"/>
      <c r="E273" s="4054"/>
      <c r="F273" s="2928" t="s">
        <v>558</v>
      </c>
      <c r="G273" s="374"/>
      <c r="H273" s="375"/>
      <c r="I273" s="375"/>
      <c r="J273" s="375"/>
      <c r="K273" s="1017"/>
      <c r="L273" s="374"/>
      <c r="M273" s="375"/>
      <c r="N273" s="375"/>
      <c r="O273" s="375"/>
      <c r="P273" s="375"/>
      <c r="Q273" s="375"/>
      <c r="R273" s="459"/>
      <c r="S273" s="458"/>
      <c r="T273" s="458"/>
      <c r="U273" s="458"/>
      <c r="V273" s="460"/>
      <c r="W273" s="1030"/>
      <c r="X273" s="1172"/>
      <c r="Y273" s="1172"/>
      <c r="Z273" s="1172"/>
      <c r="AA273" s="374"/>
      <c r="AB273" s="375"/>
      <c r="AC273" s="375"/>
      <c r="AD273" s="375"/>
      <c r="AE273" s="1017"/>
      <c r="AF273" s="374"/>
      <c r="AG273" s="375"/>
      <c r="AH273" s="1017"/>
    </row>
    <row r="274" spans="1:34" s="474" customFormat="1" ht="12.75" customHeight="1" outlineLevel="1">
      <c r="A274" s="262"/>
      <c r="B274" s="262"/>
      <c r="C274" s="262"/>
      <c r="D274" s="262"/>
      <c r="E274" s="4054"/>
      <c r="F274" s="2928" t="s">
        <v>578</v>
      </c>
      <c r="G274" s="374"/>
      <c r="H274" s="375"/>
      <c r="I274" s="375"/>
      <c r="J274" s="375"/>
      <c r="K274" s="1017"/>
      <c r="L274" s="374"/>
      <c r="M274" s="375"/>
      <c r="N274" s="375"/>
      <c r="O274" s="375"/>
      <c r="P274" s="375"/>
      <c r="Q274" s="375"/>
      <c r="R274" s="459"/>
      <c r="S274" s="458"/>
      <c r="T274" s="458"/>
      <c r="U274" s="458"/>
      <c r="V274" s="460"/>
      <c r="W274" s="1030"/>
      <c r="X274" s="1172"/>
      <c r="Y274" s="1172"/>
      <c r="Z274" s="1172"/>
      <c r="AA274" s="374"/>
      <c r="AB274" s="375"/>
      <c r="AC274" s="375"/>
      <c r="AD274" s="375"/>
      <c r="AE274" s="1017"/>
      <c r="AF274" s="374"/>
      <c r="AG274" s="375"/>
      <c r="AH274" s="1017"/>
    </row>
    <row r="275" spans="1:34" s="474" customFormat="1" ht="12.75" customHeight="1" outlineLevel="1">
      <c r="A275" s="262"/>
      <c r="B275" s="262"/>
      <c r="C275" s="262"/>
      <c r="D275" s="262"/>
      <c r="E275" s="4054"/>
      <c r="F275" s="2930" t="s">
        <v>579</v>
      </c>
      <c r="G275" s="459"/>
      <c r="H275" s="458"/>
      <c r="I275" s="458"/>
      <c r="J275" s="458"/>
      <c r="K275" s="458">
        <v>2317290.9372351603</v>
      </c>
      <c r="L275" s="429"/>
      <c r="M275" s="476"/>
      <c r="N275" s="476"/>
      <c r="O275" s="476"/>
      <c r="P275" s="477"/>
      <c r="Q275" s="980"/>
      <c r="R275" s="353">
        <f>SUM(R272:R274)</f>
        <v>0</v>
      </c>
      <c r="S275" s="354"/>
      <c r="T275" s="354">
        <f>SUM(T272:T274)</f>
        <v>0</v>
      </c>
      <c r="U275" s="354">
        <f>SUM(U272:U274)</f>
        <v>0</v>
      </c>
      <c r="V275" s="450">
        <f>SUM(V272:V274)</f>
        <v>0</v>
      </c>
      <c r="W275" s="1030"/>
      <c r="X275" s="1172"/>
      <c r="Y275" s="1172"/>
      <c r="Z275" s="1172"/>
      <c r="AA275" s="462"/>
      <c r="AB275" s="463"/>
      <c r="AC275" s="463"/>
      <c r="AD275" s="463"/>
      <c r="AE275" s="464"/>
      <c r="AF275" s="511"/>
      <c r="AG275" s="512"/>
      <c r="AH275" s="547"/>
    </row>
    <row r="276" spans="1:34" s="474" customFormat="1" ht="12.75" customHeight="1" outlineLevel="1">
      <c r="A276" s="262"/>
      <c r="B276" s="262"/>
      <c r="C276" s="262"/>
      <c r="D276" s="262"/>
      <c r="E276" s="4054"/>
      <c r="F276" s="2928" t="s">
        <v>583</v>
      </c>
      <c r="G276" s="459"/>
      <c r="H276" s="458"/>
      <c r="I276" s="458"/>
      <c r="J276" s="458"/>
      <c r="K276" s="458">
        <v>442938.31648230832</v>
      </c>
      <c r="L276" s="429"/>
      <c r="M276" s="476"/>
      <c r="N276" s="476"/>
      <c r="O276" s="476"/>
      <c r="P276" s="477"/>
      <c r="Q276" s="980"/>
      <c r="R276" s="564"/>
      <c r="S276" s="458"/>
      <c r="T276" s="477"/>
      <c r="U276" s="477"/>
      <c r="V276" s="519"/>
      <c r="W276" s="1030"/>
      <c r="X276" s="1172"/>
      <c r="Y276" s="1172"/>
      <c r="Z276" s="1172"/>
      <c r="AA276" s="462"/>
      <c r="AB276" s="463"/>
      <c r="AC276" s="463"/>
      <c r="AD276" s="463"/>
      <c r="AE276" s="464"/>
      <c r="AF276" s="511"/>
      <c r="AG276" s="512"/>
      <c r="AH276" s="547"/>
    </row>
    <row r="277" spans="1:34" s="474" customFormat="1" ht="12.75" customHeight="1" outlineLevel="1">
      <c r="A277" s="262"/>
      <c r="B277" s="262"/>
      <c r="C277" s="262"/>
      <c r="D277" s="262"/>
      <c r="E277" s="4054"/>
      <c r="F277" s="2928" t="s">
        <v>581</v>
      </c>
      <c r="G277" s="459"/>
      <c r="H277" s="458"/>
      <c r="I277" s="458"/>
      <c r="J277" s="458"/>
      <c r="K277" s="460"/>
      <c r="L277" s="459"/>
      <c r="M277" s="458"/>
      <c r="N277" s="458"/>
      <c r="O277" s="458"/>
      <c r="P277" s="475"/>
      <c r="Q277" s="980"/>
      <c r="R277" s="1034"/>
      <c r="S277" s="458"/>
      <c r="T277" s="475"/>
      <c r="U277" s="475"/>
      <c r="V277" s="518"/>
      <c r="W277" s="1030"/>
      <c r="X277" s="1172"/>
      <c r="Y277" s="1172"/>
      <c r="Z277" s="1172"/>
      <c r="AA277" s="462"/>
      <c r="AB277" s="463"/>
      <c r="AC277" s="463"/>
      <c r="AD277" s="463"/>
      <c r="AE277" s="464"/>
      <c r="AF277" s="462"/>
      <c r="AG277" s="463"/>
      <c r="AH277" s="464"/>
    </row>
    <row r="278" spans="1:34" s="474" customFormat="1" ht="12.75" customHeight="1" outlineLevel="1">
      <c r="A278" s="262"/>
      <c r="B278" s="262"/>
      <c r="C278" s="262"/>
      <c r="D278" s="262"/>
      <c r="E278" s="4054"/>
      <c r="F278" s="2930" t="s">
        <v>584</v>
      </c>
      <c r="G278" s="353">
        <f>SUM(G275:G277)</f>
        <v>0</v>
      </c>
      <c r="H278" s="354">
        <f t="shared" ref="H278:V278" si="112">SUM(H275:H277)</f>
        <v>0</v>
      </c>
      <c r="I278" s="354">
        <f t="shared" si="112"/>
        <v>0</v>
      </c>
      <c r="J278" s="354">
        <f t="shared" si="112"/>
        <v>0</v>
      </c>
      <c r="K278" s="450">
        <f t="shared" si="112"/>
        <v>2760229.2537174686</v>
      </c>
      <c r="L278" s="353">
        <f t="shared" si="112"/>
        <v>0</v>
      </c>
      <c r="M278" s="354">
        <f t="shared" si="112"/>
        <v>0</v>
      </c>
      <c r="N278" s="354">
        <f t="shared" si="112"/>
        <v>0</v>
      </c>
      <c r="O278" s="354">
        <f t="shared" si="112"/>
        <v>0</v>
      </c>
      <c r="P278" s="354">
        <f t="shared" si="112"/>
        <v>0</v>
      </c>
      <c r="Q278" s="1027">
        <f t="shared" si="112"/>
        <v>0</v>
      </c>
      <c r="R278" s="353">
        <f t="shared" si="112"/>
        <v>0</v>
      </c>
      <c r="S278" s="354"/>
      <c r="T278" s="354">
        <f t="shared" si="112"/>
        <v>0</v>
      </c>
      <c r="U278" s="354">
        <f t="shared" si="112"/>
        <v>0</v>
      </c>
      <c r="V278" s="450">
        <f t="shared" si="112"/>
        <v>0</v>
      </c>
      <c r="W278" s="1030"/>
      <c r="X278" s="1172"/>
      <c r="Y278" s="1172"/>
      <c r="Z278" s="1172"/>
      <c r="AA278" s="353">
        <f>SUM(AA275:AA277)</f>
        <v>0</v>
      </c>
      <c r="AB278" s="354">
        <f t="shared" ref="AB278:AH278" si="113">SUM(AB275:AB277)</f>
        <v>0</v>
      </c>
      <c r="AC278" s="354">
        <f t="shared" si="113"/>
        <v>0</v>
      </c>
      <c r="AD278" s="354">
        <f t="shared" si="113"/>
        <v>0</v>
      </c>
      <c r="AE278" s="450">
        <f t="shared" si="113"/>
        <v>0</v>
      </c>
      <c r="AF278" s="353">
        <f t="shared" si="113"/>
        <v>0</v>
      </c>
      <c r="AG278" s="354">
        <f t="shared" si="113"/>
        <v>0</v>
      </c>
      <c r="AH278" s="450">
        <f t="shared" si="113"/>
        <v>0</v>
      </c>
    </row>
    <row r="279" spans="1:34" s="474" customFormat="1" ht="12.75" customHeight="1" outlineLevel="1">
      <c r="A279" s="262"/>
      <c r="B279" s="262"/>
      <c r="C279" s="262"/>
      <c r="D279" s="262"/>
      <c r="E279" s="4054"/>
      <c r="F279" s="2928" t="s">
        <v>35</v>
      </c>
      <c r="G279" s="459"/>
      <c r="H279" s="458"/>
      <c r="I279" s="458"/>
      <c r="J279" s="458"/>
      <c r="K279" s="460"/>
      <c r="L279" s="459"/>
      <c r="M279" s="458"/>
      <c r="N279" s="458"/>
      <c r="O279" s="458"/>
      <c r="P279" s="458"/>
      <c r="Q279" s="980"/>
      <c r="R279" s="459"/>
      <c r="S279" s="458"/>
      <c r="T279" s="458"/>
      <c r="U279" s="458"/>
      <c r="V279" s="460"/>
      <c r="W279" s="1030"/>
      <c r="X279" s="1172"/>
      <c r="Y279" s="1172"/>
      <c r="Z279" s="1172"/>
      <c r="AA279" s="462"/>
      <c r="AB279" s="463"/>
      <c r="AC279" s="463"/>
      <c r="AD279" s="463"/>
      <c r="AE279" s="464"/>
      <c r="AF279" s="462"/>
      <c r="AG279" s="463"/>
      <c r="AH279" s="464"/>
    </row>
    <row r="280" spans="1:34" s="474" customFormat="1" ht="13.5" customHeight="1" outlineLevel="1" thickBot="1">
      <c r="A280" s="262"/>
      <c r="B280" s="262"/>
      <c r="C280" s="262"/>
      <c r="D280" s="262"/>
      <c r="E280" s="4055"/>
      <c r="F280" s="357" t="s">
        <v>585</v>
      </c>
      <c r="G280" s="1370">
        <f t="shared" ref="G280:V280" si="114">G278-G279</f>
        <v>0</v>
      </c>
      <c r="H280" s="356">
        <f t="shared" si="114"/>
        <v>0</v>
      </c>
      <c r="I280" s="356">
        <f t="shared" si="114"/>
        <v>0</v>
      </c>
      <c r="J280" s="356">
        <f t="shared" si="114"/>
        <v>0</v>
      </c>
      <c r="K280" s="503">
        <f t="shared" si="114"/>
        <v>2760229.2537174686</v>
      </c>
      <c r="L280" s="1370">
        <f t="shared" si="114"/>
        <v>0</v>
      </c>
      <c r="M280" s="356">
        <f t="shared" si="114"/>
        <v>0</v>
      </c>
      <c r="N280" s="356">
        <f t="shared" si="114"/>
        <v>0</v>
      </c>
      <c r="O280" s="356">
        <f t="shared" si="114"/>
        <v>0</v>
      </c>
      <c r="P280" s="356">
        <f t="shared" si="114"/>
        <v>0</v>
      </c>
      <c r="Q280" s="1028">
        <f t="shared" si="114"/>
        <v>0</v>
      </c>
      <c r="R280" s="1370">
        <f t="shared" si="114"/>
        <v>0</v>
      </c>
      <c r="S280" s="356"/>
      <c r="T280" s="356">
        <f t="shared" si="114"/>
        <v>0</v>
      </c>
      <c r="U280" s="356">
        <f t="shared" si="114"/>
        <v>0</v>
      </c>
      <c r="V280" s="503">
        <f t="shared" si="114"/>
        <v>0</v>
      </c>
      <c r="W280" s="1031"/>
      <c r="X280" s="1172"/>
      <c r="Y280" s="1172"/>
      <c r="Z280" s="1172"/>
      <c r="AA280" s="1370">
        <f t="shared" ref="AA280:AH280" si="115">AA278-AA279</f>
        <v>0</v>
      </c>
      <c r="AB280" s="356">
        <f t="shared" si="115"/>
        <v>0</v>
      </c>
      <c r="AC280" s="356">
        <f t="shared" si="115"/>
        <v>0</v>
      </c>
      <c r="AD280" s="356">
        <f t="shared" si="115"/>
        <v>0</v>
      </c>
      <c r="AE280" s="503">
        <f t="shared" si="115"/>
        <v>0</v>
      </c>
      <c r="AF280" s="1370">
        <f t="shared" si="115"/>
        <v>0</v>
      </c>
      <c r="AG280" s="356">
        <f t="shared" si="115"/>
        <v>0</v>
      </c>
      <c r="AH280" s="503">
        <f t="shared" si="115"/>
        <v>0</v>
      </c>
    </row>
    <row r="281" spans="1:34" ht="13.5" outlineLevel="1" thickBot="1">
      <c r="A281" s="262"/>
      <c r="B281" s="262"/>
      <c r="C281" s="262"/>
      <c r="E281" s="1372"/>
      <c r="F281" s="1373"/>
      <c r="G281" s="391"/>
      <c r="H281" s="392"/>
      <c r="I281" s="392"/>
      <c r="J281" s="392"/>
      <c r="K281" s="572"/>
      <c r="L281" s="391"/>
      <c r="M281" s="392"/>
      <c r="N281" s="392"/>
      <c r="O281" s="392"/>
      <c r="P281" s="392"/>
      <c r="Q281" s="372"/>
      <c r="R281" s="3409"/>
      <c r="S281" s="3410"/>
      <c r="T281" s="3410"/>
      <c r="U281" s="3410"/>
      <c r="V281" s="3411"/>
      <c r="W281" s="1032"/>
      <c r="AA281" s="391"/>
      <c r="AB281" s="392"/>
      <c r="AC281" s="392"/>
      <c r="AD281" s="392"/>
      <c r="AE281" s="572"/>
      <c r="AF281" s="391"/>
      <c r="AG281" s="392"/>
      <c r="AH281" s="572"/>
    </row>
    <row r="282" spans="1:34">
      <c r="A282" s="262"/>
      <c r="B282" s="262"/>
      <c r="C282" s="262"/>
      <c r="E282" s="4056" t="s">
        <v>341</v>
      </c>
      <c r="F282" s="1365" t="s">
        <v>580</v>
      </c>
      <c r="G282" s="3414">
        <f ca="1">SUMIF($F$20:$V$280,"Total direct expenditure",G20:G280)</f>
        <v>2452592.2730999999</v>
      </c>
      <c r="H282" s="3415">
        <f t="shared" ref="H282:V282" ca="1" si="116">SUMIF($F$20:$V$280,"Total direct expenditure",H20:H280)</f>
        <v>927696.5613354533</v>
      </c>
      <c r="I282" s="3415">
        <f t="shared" ca="1" si="116"/>
        <v>555910.13576308277</v>
      </c>
      <c r="J282" s="3415">
        <f t="shared" ca="1" si="116"/>
        <v>3517253.5350226639</v>
      </c>
      <c r="K282" s="3416">
        <f t="shared" ca="1" si="116"/>
        <v>2317290.9372351603</v>
      </c>
      <c r="L282" s="3414">
        <f t="shared" ca="1" si="116"/>
        <v>220038.58999999997</v>
      </c>
      <c r="M282" s="3415">
        <f t="shared" ca="1" si="116"/>
        <v>1896380.0400000003</v>
      </c>
      <c r="N282" s="3415">
        <f t="shared" ca="1" si="116"/>
        <v>2884280.9400000004</v>
      </c>
      <c r="O282" s="3415">
        <f t="shared" ca="1" si="116"/>
        <v>3806760.34</v>
      </c>
      <c r="P282" s="3415">
        <f t="shared" ca="1" si="116"/>
        <v>0</v>
      </c>
      <c r="Q282" s="3416">
        <f t="shared" ca="1" si="116"/>
        <v>0</v>
      </c>
      <c r="R282" s="3414">
        <f t="shared" ca="1" si="116"/>
        <v>1112180.1452787947</v>
      </c>
      <c r="S282" s="3415">
        <f t="shared" ca="1" si="116"/>
        <v>5443452.8689953862</v>
      </c>
      <c r="T282" s="3415">
        <f t="shared" ca="1" si="116"/>
        <v>367662.85794340319</v>
      </c>
      <c r="U282" s="3415">
        <f t="shared" ca="1" si="116"/>
        <v>1542141.4319292745</v>
      </c>
      <c r="V282" s="3416">
        <f t="shared" ca="1" si="116"/>
        <v>3155772.8640142111</v>
      </c>
      <c r="W282" s="1033"/>
      <c r="AA282" s="1019"/>
      <c r="AB282" s="390"/>
      <c r="AC282" s="390"/>
      <c r="AD282" s="390"/>
      <c r="AE282" s="1020"/>
      <c r="AF282" s="1019"/>
      <c r="AG282" s="390"/>
      <c r="AH282" s="1020"/>
    </row>
    <row r="283" spans="1:34">
      <c r="A283" s="262"/>
      <c r="B283" s="262"/>
      <c r="C283" s="262"/>
      <c r="E283" s="4057"/>
      <c r="F283" s="1366" t="s">
        <v>12</v>
      </c>
      <c r="G283" s="353">
        <f t="shared" ref="G283:V283" si="117">SUMIF($F$20:$F$280,"Total overhead expenditure",G20:G280)</f>
        <v>503773.0727140524</v>
      </c>
      <c r="H283" s="354">
        <f t="shared" si="117"/>
        <v>146860.9983787291</v>
      </c>
      <c r="I283" s="354">
        <f t="shared" si="117"/>
        <v>115167.98128923708</v>
      </c>
      <c r="J283" s="354">
        <f t="shared" si="117"/>
        <v>624732.97835628502</v>
      </c>
      <c r="K283" s="626">
        <f t="shared" si="117"/>
        <v>442938.31648230832</v>
      </c>
      <c r="L283" s="353">
        <f t="shared" si="117"/>
        <v>19803.489999999998</v>
      </c>
      <c r="M283" s="354">
        <f t="shared" si="117"/>
        <v>170674.22</v>
      </c>
      <c r="N283" s="354">
        <f t="shared" si="117"/>
        <v>243888.70999999996</v>
      </c>
      <c r="O283" s="354">
        <f t="shared" si="117"/>
        <v>279003.88</v>
      </c>
      <c r="P283" s="354">
        <f t="shared" si="117"/>
        <v>0</v>
      </c>
      <c r="Q283" s="626">
        <f t="shared" si="117"/>
        <v>0</v>
      </c>
      <c r="R283" s="3417">
        <f t="shared" si="117"/>
        <v>83401.436317006141</v>
      </c>
      <c r="S283" s="3412">
        <f t="shared" si="117"/>
        <v>408199.86737340933</v>
      </c>
      <c r="T283" s="3412">
        <f t="shared" si="117"/>
        <v>27570.722749423512</v>
      </c>
      <c r="U283" s="3412">
        <f t="shared" si="117"/>
        <v>115643.86486563752</v>
      </c>
      <c r="V283" s="3418">
        <f t="shared" si="117"/>
        <v>236648.70359921851</v>
      </c>
      <c r="W283" s="1033"/>
      <c r="AA283" s="353">
        <f t="shared" ref="AA283:AH283" si="118">SUMIF($F$20:$F$28,"Total overhead expenditure",AA20:AA28)</f>
        <v>0</v>
      </c>
      <c r="AB283" s="354">
        <f t="shared" si="118"/>
        <v>0</v>
      </c>
      <c r="AC283" s="354">
        <f t="shared" si="118"/>
        <v>0</v>
      </c>
      <c r="AD283" s="354">
        <f t="shared" si="118"/>
        <v>0</v>
      </c>
      <c r="AE283" s="450">
        <f t="shared" si="118"/>
        <v>0</v>
      </c>
      <c r="AF283" s="353">
        <f t="shared" si="118"/>
        <v>0</v>
      </c>
      <c r="AG283" s="354">
        <f t="shared" si="118"/>
        <v>0</v>
      </c>
      <c r="AH283" s="450">
        <f t="shared" si="118"/>
        <v>0</v>
      </c>
    </row>
    <row r="284" spans="1:34">
      <c r="A284" s="262"/>
      <c r="B284" s="262"/>
      <c r="C284" s="262"/>
      <c r="E284" s="4057"/>
      <c r="F284" s="1366" t="s">
        <v>581</v>
      </c>
      <c r="G284" s="353">
        <f t="shared" ref="G284:V284" si="119">SUMIF($F$20:$F$280,"Related party margin expenditure",G20:G280)</f>
        <v>0</v>
      </c>
      <c r="H284" s="354">
        <f t="shared" si="119"/>
        <v>0</v>
      </c>
      <c r="I284" s="354">
        <f t="shared" si="119"/>
        <v>0</v>
      </c>
      <c r="J284" s="354">
        <f t="shared" si="119"/>
        <v>0</v>
      </c>
      <c r="K284" s="626">
        <f t="shared" si="119"/>
        <v>0</v>
      </c>
      <c r="L284" s="353">
        <f t="shared" si="119"/>
        <v>0</v>
      </c>
      <c r="M284" s="354">
        <f t="shared" si="119"/>
        <v>0</v>
      </c>
      <c r="N284" s="354">
        <f t="shared" si="119"/>
        <v>0</v>
      </c>
      <c r="O284" s="354">
        <f t="shared" si="119"/>
        <v>0</v>
      </c>
      <c r="P284" s="354">
        <f t="shared" si="119"/>
        <v>0</v>
      </c>
      <c r="Q284" s="626">
        <f t="shared" si="119"/>
        <v>0</v>
      </c>
      <c r="R284" s="3417">
        <f t="shared" si="119"/>
        <v>0</v>
      </c>
      <c r="S284" s="3412">
        <f t="shared" si="119"/>
        <v>0</v>
      </c>
      <c r="T284" s="3412">
        <f t="shared" si="119"/>
        <v>0</v>
      </c>
      <c r="U284" s="3412">
        <f t="shared" si="119"/>
        <v>0</v>
      </c>
      <c r="V284" s="3418">
        <f t="shared" si="119"/>
        <v>0</v>
      </c>
      <c r="W284" s="1033"/>
      <c r="AA284" s="353">
        <f t="shared" ref="AA284:AH284" si="120">SUMIF($F$20:$F$28,"Related party margin expenditure",AA20:AA28)</f>
        <v>0</v>
      </c>
      <c r="AB284" s="354">
        <f t="shared" si="120"/>
        <v>0</v>
      </c>
      <c r="AC284" s="354">
        <f t="shared" si="120"/>
        <v>0</v>
      </c>
      <c r="AD284" s="354">
        <f t="shared" si="120"/>
        <v>0</v>
      </c>
      <c r="AE284" s="450">
        <f t="shared" si="120"/>
        <v>0</v>
      </c>
      <c r="AF284" s="353">
        <f t="shared" si="120"/>
        <v>0</v>
      </c>
      <c r="AG284" s="354">
        <f t="shared" si="120"/>
        <v>0</v>
      </c>
      <c r="AH284" s="450">
        <f t="shared" si="120"/>
        <v>0</v>
      </c>
    </row>
    <row r="285" spans="1:34" ht="13.5" thickBot="1">
      <c r="A285" s="262"/>
      <c r="B285" s="262"/>
      <c r="C285" s="262"/>
      <c r="E285" s="4057"/>
      <c r="F285" s="1367" t="s">
        <v>584</v>
      </c>
      <c r="G285" s="1024">
        <f t="shared" ref="G285:V285" si="121">SUMIF($F$20:$F$280,"Total gross expenditure",G20:G280)</f>
        <v>2956365.345814052</v>
      </c>
      <c r="H285" s="1025">
        <f t="shared" si="121"/>
        <v>1074557.5597141823</v>
      </c>
      <c r="I285" s="1025">
        <f t="shared" si="121"/>
        <v>671078.11705231981</v>
      </c>
      <c r="J285" s="1025">
        <f t="shared" si="121"/>
        <v>4141986.5133789489</v>
      </c>
      <c r="K285" s="3407">
        <f t="shared" si="121"/>
        <v>2760229.2537174686</v>
      </c>
      <c r="L285" s="1646">
        <f t="shared" si="121"/>
        <v>239842.07999999996</v>
      </c>
      <c r="M285" s="1025">
        <f t="shared" si="121"/>
        <v>2067054.2600000002</v>
      </c>
      <c r="N285" s="1025">
        <f t="shared" si="121"/>
        <v>3128169.6500000004</v>
      </c>
      <c r="O285" s="1025">
        <f t="shared" si="121"/>
        <v>4085764.2199999997</v>
      </c>
      <c r="P285" s="1025">
        <f t="shared" si="121"/>
        <v>0</v>
      </c>
      <c r="Q285" s="3408">
        <f t="shared" si="121"/>
        <v>0</v>
      </c>
      <c r="R285" s="3419">
        <f t="shared" si="121"/>
        <v>1195581.5815958008</v>
      </c>
      <c r="S285" s="3413">
        <f t="shared" si="121"/>
        <v>5851652.7363687959</v>
      </c>
      <c r="T285" s="3413">
        <f t="shared" si="121"/>
        <v>395233.58069282671</v>
      </c>
      <c r="U285" s="3413">
        <f t="shared" si="121"/>
        <v>1657785.2967949118</v>
      </c>
      <c r="V285" s="3420">
        <f t="shared" si="121"/>
        <v>3392421.5676134294</v>
      </c>
      <c r="W285" s="1033"/>
      <c r="AA285" s="1021">
        <f t="shared" ref="AA285:AH285" si="122">SUMIF($F$20:$F$28,"Total gross expenditure",AA20:AA28)</f>
        <v>0</v>
      </c>
      <c r="AB285" s="1022">
        <f t="shared" si="122"/>
        <v>0</v>
      </c>
      <c r="AC285" s="1022">
        <f t="shared" si="122"/>
        <v>0</v>
      </c>
      <c r="AD285" s="1022">
        <f t="shared" si="122"/>
        <v>0</v>
      </c>
      <c r="AE285" s="1023">
        <f t="shared" si="122"/>
        <v>0</v>
      </c>
      <c r="AF285" s="1021">
        <f t="shared" si="122"/>
        <v>0</v>
      </c>
      <c r="AG285" s="1022">
        <f t="shared" si="122"/>
        <v>0</v>
      </c>
      <c r="AH285" s="1023">
        <f t="shared" si="122"/>
        <v>0</v>
      </c>
    </row>
    <row r="286" spans="1:34">
      <c r="A286" s="262"/>
      <c r="B286" s="262"/>
      <c r="C286" s="262"/>
      <c r="E286" s="4057"/>
      <c r="F286" s="1366" t="s">
        <v>35</v>
      </c>
      <c r="G286" s="353">
        <f t="shared" ref="G286:V286" si="123">SUMIF($F$20:$F$280,"Less customer contributions",G20:G280)</f>
        <v>0</v>
      </c>
      <c r="H286" s="354">
        <f t="shared" si="123"/>
        <v>0</v>
      </c>
      <c r="I286" s="354">
        <f t="shared" si="123"/>
        <v>0</v>
      </c>
      <c r="J286" s="354">
        <f t="shared" si="123"/>
        <v>0</v>
      </c>
      <c r="K286" s="626">
        <f t="shared" si="123"/>
        <v>0</v>
      </c>
      <c r="L286" s="353">
        <f t="shared" si="123"/>
        <v>0</v>
      </c>
      <c r="M286" s="354">
        <f t="shared" si="123"/>
        <v>0</v>
      </c>
      <c r="N286" s="354">
        <f t="shared" si="123"/>
        <v>0</v>
      </c>
      <c r="O286" s="354">
        <f t="shared" si="123"/>
        <v>0</v>
      </c>
      <c r="P286" s="354">
        <f t="shared" si="123"/>
        <v>0</v>
      </c>
      <c r="Q286" s="626">
        <f t="shared" si="123"/>
        <v>0</v>
      </c>
      <c r="R286" s="3417">
        <f t="shared" si="123"/>
        <v>0</v>
      </c>
      <c r="S286" s="3412">
        <f t="shared" si="123"/>
        <v>0</v>
      </c>
      <c r="T286" s="3412">
        <f t="shared" si="123"/>
        <v>0</v>
      </c>
      <c r="U286" s="3412">
        <f t="shared" si="123"/>
        <v>0</v>
      </c>
      <c r="V286" s="3418">
        <f t="shared" si="123"/>
        <v>0</v>
      </c>
      <c r="W286" s="1033"/>
      <c r="AA286" s="353">
        <f t="shared" ref="AA286:AH286" si="124">SUMIF($F$20:$F$28,"Less customer contributions",AA20:AA28)</f>
        <v>0</v>
      </c>
      <c r="AB286" s="354">
        <f t="shared" si="124"/>
        <v>0</v>
      </c>
      <c r="AC286" s="354">
        <f t="shared" si="124"/>
        <v>0</v>
      </c>
      <c r="AD286" s="354">
        <f t="shared" si="124"/>
        <v>0</v>
      </c>
      <c r="AE286" s="450">
        <f t="shared" si="124"/>
        <v>0</v>
      </c>
      <c r="AF286" s="353">
        <f t="shared" si="124"/>
        <v>0</v>
      </c>
      <c r="AG286" s="354">
        <f t="shared" si="124"/>
        <v>0</v>
      </c>
      <c r="AH286" s="450">
        <f t="shared" si="124"/>
        <v>0</v>
      </c>
    </row>
    <row r="287" spans="1:34" ht="13.5" thickBot="1">
      <c r="A287" s="262"/>
      <c r="B287" s="262"/>
      <c r="C287" s="262"/>
      <c r="E287" s="4058"/>
      <c r="F287" s="1368" t="s">
        <v>585</v>
      </c>
      <c r="G287" s="1024">
        <f t="shared" ref="G287:V287" si="125">SUMIF($F$20:$F$280,"Total net expenditure",G20:G280)</f>
        <v>2956365.345814052</v>
      </c>
      <c r="H287" s="1025">
        <f t="shared" si="125"/>
        <v>1074557.5597141823</v>
      </c>
      <c r="I287" s="1025">
        <f t="shared" si="125"/>
        <v>671078.11705231981</v>
      </c>
      <c r="J287" s="1025">
        <f t="shared" si="125"/>
        <v>4141986.5133789489</v>
      </c>
      <c r="K287" s="3407">
        <f t="shared" si="125"/>
        <v>2760229.2537174686</v>
      </c>
      <c r="L287" s="1646">
        <f t="shared" si="125"/>
        <v>239842.07999999996</v>
      </c>
      <c r="M287" s="1025">
        <f t="shared" si="125"/>
        <v>2067054.2600000002</v>
      </c>
      <c r="N287" s="1025">
        <f t="shared" si="125"/>
        <v>3128169.6500000004</v>
      </c>
      <c r="O287" s="1025">
        <f t="shared" si="125"/>
        <v>4085764.2199999997</v>
      </c>
      <c r="P287" s="1025">
        <f t="shared" si="125"/>
        <v>0</v>
      </c>
      <c r="Q287" s="3408">
        <f t="shared" si="125"/>
        <v>0</v>
      </c>
      <c r="R287" s="3421">
        <f t="shared" si="125"/>
        <v>1195581.5815958008</v>
      </c>
      <c r="S287" s="3422">
        <f t="shared" si="125"/>
        <v>5851652.7363687959</v>
      </c>
      <c r="T287" s="3422">
        <f t="shared" si="125"/>
        <v>395233.58069282671</v>
      </c>
      <c r="U287" s="3422">
        <f t="shared" si="125"/>
        <v>1657785.2967949118</v>
      </c>
      <c r="V287" s="3423">
        <f t="shared" si="125"/>
        <v>3392421.5676134294</v>
      </c>
      <c r="W287" s="1033"/>
      <c r="AA287" s="1646">
        <f t="shared" ref="AA287:AH287" si="126">SUMIF($F$20:$F$28,"Total net expenditure",AA20:AA28)</f>
        <v>0</v>
      </c>
      <c r="AB287" s="1025">
        <f t="shared" si="126"/>
        <v>0</v>
      </c>
      <c r="AC287" s="1025">
        <f t="shared" si="126"/>
        <v>0</v>
      </c>
      <c r="AD287" s="1025">
        <f t="shared" si="126"/>
        <v>0</v>
      </c>
      <c r="AE287" s="1026">
        <f t="shared" si="126"/>
        <v>0</v>
      </c>
      <c r="AF287" s="1646">
        <f t="shared" si="126"/>
        <v>0</v>
      </c>
      <c r="AG287" s="1025">
        <f t="shared" si="126"/>
        <v>0</v>
      </c>
      <c r="AH287" s="1026">
        <f t="shared" si="126"/>
        <v>0</v>
      </c>
    </row>
    <row r="288" spans="1:34" s="69" customFormat="1" ht="47.25" customHeight="1" thickBot="1">
      <c r="A288" s="314"/>
      <c r="B288" s="314"/>
      <c r="C288" s="314"/>
      <c r="D288" s="314"/>
      <c r="E288" s="4059" t="s">
        <v>121</v>
      </c>
      <c r="F288" s="4060"/>
      <c r="G288" s="4085" t="s">
        <v>1566</v>
      </c>
      <c r="H288" s="4086"/>
      <c r="I288" s="4086"/>
      <c r="J288" s="4086"/>
      <c r="K288" s="4086"/>
      <c r="L288" s="4086" t="s">
        <v>2105</v>
      </c>
      <c r="M288" s="4086"/>
      <c r="N288" s="4086"/>
      <c r="O288" s="4086" t="s">
        <v>1786</v>
      </c>
      <c r="P288" s="4086"/>
      <c r="Q288" s="4086"/>
      <c r="R288" s="4086"/>
      <c r="S288" s="4086"/>
      <c r="T288" s="4086"/>
      <c r="U288" s="4086"/>
      <c r="V288" s="4086"/>
      <c r="W288" s="3635"/>
      <c r="X288"/>
      <c r="Y288"/>
      <c r="Z288"/>
      <c r="AA288" s="1635"/>
      <c r="AB288" s="1644"/>
      <c r="AC288" s="1644"/>
      <c r="AD288" s="1644"/>
      <c r="AE288" s="1644"/>
      <c r="AF288" s="1644"/>
      <c r="AG288" s="1644"/>
      <c r="AH288" s="1647"/>
    </row>
    <row r="289" spans="1:34" s="78" customFormat="1" ht="33" customHeight="1" thickBot="1">
      <c r="A289" s="262"/>
      <c r="B289" s="262"/>
      <c r="C289" s="262"/>
      <c r="D289" s="262"/>
      <c r="E289" s="82"/>
      <c r="F289" s="82"/>
      <c r="G289" s="183"/>
      <c r="H289" s="183"/>
      <c r="I289" s="183"/>
      <c r="J289" s="183"/>
      <c r="K289" s="183"/>
      <c r="L289" s="82"/>
      <c r="M289" s="82"/>
      <c r="N289" s="82"/>
      <c r="O289" s="82"/>
      <c r="P289" s="82"/>
      <c r="Q289" s="82"/>
      <c r="R289" s="82"/>
      <c r="S289" s="82"/>
      <c r="T289" s="82"/>
      <c r="U289" s="82"/>
      <c r="V289" s="183"/>
      <c r="X289"/>
      <c r="Y289"/>
      <c r="Z289"/>
      <c r="AA289" s="82"/>
      <c r="AB289" s="82"/>
      <c r="AC289" s="82"/>
      <c r="AD289" s="82"/>
      <c r="AE289" s="82"/>
      <c r="AF289" s="82"/>
      <c r="AG289" s="82"/>
      <c r="AH289" s="82"/>
    </row>
    <row r="290" spans="1:34" s="65" customFormat="1" ht="16.5" thickBot="1">
      <c r="A290" s="243"/>
      <c r="B290" s="243"/>
      <c r="C290" s="243"/>
      <c r="D290" s="243"/>
      <c r="E290" s="1258" t="s">
        <v>586</v>
      </c>
      <c r="F290" s="1258"/>
      <c r="G290" s="1259"/>
      <c r="H290" s="1259"/>
      <c r="I290" s="1259"/>
      <c r="J290" s="1259"/>
      <c r="K290" s="1259"/>
      <c r="L290" s="1259"/>
      <c r="M290" s="1259"/>
      <c r="N290" s="1259"/>
      <c r="O290" s="1259"/>
      <c r="P290" s="1260"/>
      <c r="Q290" s="1172"/>
      <c r="R290" s="1172"/>
      <c r="S290" s="1172"/>
      <c r="T290" s="1172"/>
      <c r="U290" s="1172"/>
      <c r="V290" s="1172"/>
      <c r="W290"/>
      <c r="X290"/>
      <c r="Y290"/>
      <c r="Z290"/>
      <c r="AA290" s="1258"/>
      <c r="AB290" s="1259"/>
      <c r="AC290" s="1259"/>
      <c r="AD290" s="1259"/>
      <c r="AE290" s="1259"/>
      <c r="AF290" s="1259"/>
      <c r="AG290" s="1259"/>
      <c r="AH290" s="1260"/>
    </row>
    <row r="291" spans="1:34" s="65" customFormat="1" ht="18" customHeight="1">
      <c r="A291" s="242"/>
      <c r="B291" s="242"/>
      <c r="C291" s="242"/>
      <c r="D291" s="242"/>
      <c r="E291" s="4067"/>
      <c r="F291" s="4068"/>
      <c r="G291" s="4047" t="s">
        <v>36</v>
      </c>
      <c r="H291" s="4048"/>
      <c r="I291" s="4048"/>
      <c r="J291" s="4048"/>
      <c r="K291" s="4049"/>
      <c r="L291" s="4050" t="s">
        <v>37</v>
      </c>
      <c r="M291" s="4051"/>
      <c r="N291" s="4051"/>
      <c r="O291" s="4051"/>
      <c r="P291" s="4052"/>
      <c r="Q291" s="1172"/>
      <c r="R291" s="1172"/>
      <c r="S291" s="1172"/>
      <c r="T291" s="1172"/>
      <c r="U291" s="1172"/>
      <c r="V291" s="1172"/>
      <c r="X291"/>
      <c r="Y291"/>
      <c r="Z291"/>
      <c r="AA291" s="4073" t="s">
        <v>36</v>
      </c>
      <c r="AB291" s="3997"/>
      <c r="AC291" s="3997"/>
      <c r="AD291" s="3997"/>
      <c r="AE291" s="3997"/>
      <c r="AF291" s="4074" t="s">
        <v>37</v>
      </c>
      <c r="AG291" s="4075"/>
      <c r="AH291" s="4082"/>
    </row>
    <row r="292" spans="1:34" s="65" customFormat="1" ht="15" customHeight="1">
      <c r="A292" s="242"/>
      <c r="B292" s="242"/>
      <c r="C292" s="242"/>
      <c r="D292" s="242"/>
      <c r="E292" s="4069"/>
      <c r="F292" s="4070"/>
      <c r="G292" s="3985" t="str">
        <f>CONCATENATE("$0's, real ",dms_DollarReal)</f>
        <v>$0's, real December 2017</v>
      </c>
      <c r="H292" s="3986"/>
      <c r="I292" s="3986"/>
      <c r="J292" s="3986"/>
      <c r="K292" s="3986"/>
      <c r="L292" s="3986"/>
      <c r="M292" s="3986"/>
      <c r="N292" s="3986"/>
      <c r="O292" s="3986"/>
      <c r="P292" s="4030"/>
      <c r="Q292" s="1172"/>
      <c r="R292" s="1172"/>
      <c r="S292" s="1172"/>
      <c r="T292" s="1172"/>
      <c r="U292" s="1172"/>
      <c r="V292" s="1172"/>
      <c r="X292"/>
      <c r="Y292"/>
      <c r="Z292"/>
      <c r="AA292" s="4083" t="str">
        <f>CONCATENATE("$0's, real ",dms_DollarReal)</f>
        <v>$0's, real December 2017</v>
      </c>
      <c r="AB292" s="3989"/>
      <c r="AC292" s="3989"/>
      <c r="AD292" s="3989"/>
      <c r="AE292" s="3989"/>
      <c r="AF292" s="3989"/>
      <c r="AG292" s="3989"/>
      <c r="AH292" s="3990"/>
    </row>
    <row r="293" spans="1:34" s="65" customFormat="1" ht="15">
      <c r="A293" s="242"/>
      <c r="B293" s="242"/>
      <c r="C293" s="242"/>
      <c r="D293" s="242"/>
      <c r="E293" s="4069"/>
      <c r="F293" s="4070"/>
      <c r="G293" s="3985" t="s">
        <v>74</v>
      </c>
      <c r="H293" s="3986"/>
      <c r="I293" s="3986"/>
      <c r="J293" s="3986"/>
      <c r="K293" s="3986"/>
      <c r="L293" s="3986"/>
      <c r="M293" s="3986"/>
      <c r="N293" s="3986"/>
      <c r="O293" s="3986"/>
      <c r="P293" s="4030"/>
      <c r="Q293" s="1172"/>
      <c r="R293" s="1172"/>
      <c r="S293" s="1172"/>
      <c r="T293" s="1172"/>
      <c r="U293" s="1172"/>
      <c r="V293" s="1172"/>
      <c r="X293"/>
      <c r="Y293"/>
      <c r="Z293"/>
      <c r="AA293" s="3991" t="s">
        <v>74</v>
      </c>
      <c r="AB293" s="3992"/>
      <c r="AC293" s="3992"/>
      <c r="AD293" s="3992"/>
      <c r="AE293" s="3992"/>
      <c r="AF293" s="3992"/>
      <c r="AG293" s="3992"/>
      <c r="AH293" s="4084"/>
    </row>
    <row r="294" spans="1:34" s="65" customFormat="1" ht="15.75" thickBot="1">
      <c r="A294" s="242"/>
      <c r="B294" s="242"/>
      <c r="C294" s="242"/>
      <c r="D294" s="242"/>
      <c r="E294" s="4071"/>
      <c r="F294" s="4072"/>
      <c r="G294" s="343">
        <f t="array" ref="G294:K294">PRCP</f>
        <v>2008</v>
      </c>
      <c r="H294" s="342">
        <v>2009</v>
      </c>
      <c r="I294" s="342">
        <v>2010</v>
      </c>
      <c r="J294" s="342">
        <v>2011</v>
      </c>
      <c r="K294" s="342">
        <v>2012</v>
      </c>
      <c r="L294" s="344">
        <f>CRCP_y1</f>
        <v>2013</v>
      </c>
      <c r="M294" s="344">
        <f>CRCP_y2</f>
        <v>2014</v>
      </c>
      <c r="N294" s="344">
        <f>CRCP_y3</f>
        <v>2015</v>
      </c>
      <c r="O294" s="344">
        <f>CRCP_y4</f>
        <v>2016</v>
      </c>
      <c r="P294" s="542">
        <f>CRCP_y5</f>
        <v>2017</v>
      </c>
      <c r="Q294" s="1172"/>
      <c r="R294" s="1172"/>
      <c r="S294" s="1172"/>
      <c r="T294" s="1172"/>
      <c r="U294" s="1172"/>
      <c r="V294" s="1172"/>
      <c r="X294"/>
      <c r="Y294"/>
      <c r="Z294"/>
      <c r="AA294" s="1438">
        <f t="array" ref="AA294:AE294">PRCP</f>
        <v>2008</v>
      </c>
      <c r="AB294" s="342">
        <v>2009</v>
      </c>
      <c r="AC294" s="342">
        <v>2010</v>
      </c>
      <c r="AD294" s="342">
        <v>2011</v>
      </c>
      <c r="AE294" s="342">
        <v>2012</v>
      </c>
      <c r="AF294" s="344">
        <f>CRCP_y1</f>
        <v>2013</v>
      </c>
      <c r="AG294" s="344">
        <f>CRCP_y2</f>
        <v>2014</v>
      </c>
      <c r="AH294" s="542">
        <f>CRCP_y3</f>
        <v>2015</v>
      </c>
    </row>
    <row r="295" spans="1:34" ht="18" customHeight="1" outlineLevel="2">
      <c r="A295" s="262"/>
      <c r="B295" s="262"/>
      <c r="C295" s="262"/>
      <c r="E295" s="4079" t="s">
        <v>2101</v>
      </c>
      <c r="F295" s="336" t="s">
        <v>579</v>
      </c>
      <c r="G295" s="459">
        <v>2310000</v>
      </c>
      <c r="H295" s="458">
        <v>1530000</v>
      </c>
      <c r="I295" s="458">
        <v>270000</v>
      </c>
      <c r="J295" s="458">
        <v>1730000</v>
      </c>
      <c r="K295" s="460">
        <v>530000</v>
      </c>
      <c r="L295" s="413">
        <v>6601799.6738789184</v>
      </c>
      <c r="M295" s="458">
        <v>6430267.5709097888</v>
      </c>
      <c r="N295" s="458">
        <v>7370306.8847106025</v>
      </c>
      <c r="O295" s="458">
        <v>1048213.8976059066</v>
      </c>
      <c r="P295" s="460">
        <v>2423109.1283217683</v>
      </c>
      <c r="Q295" s="455"/>
      <c r="R295" s="455"/>
      <c r="S295" s="455"/>
      <c r="T295" s="455"/>
      <c r="U295" s="455"/>
      <c r="V295" s="455"/>
      <c r="W295" s="77"/>
      <c r="AA295" s="462"/>
      <c r="AB295" s="463"/>
      <c r="AC295" s="463"/>
      <c r="AD295" s="463"/>
      <c r="AE295" s="464"/>
      <c r="AF295" s="513"/>
      <c r="AG295" s="463"/>
      <c r="AH295" s="464"/>
    </row>
    <row r="296" spans="1:34" outlineLevel="2">
      <c r="A296" s="262"/>
      <c r="B296" s="262"/>
      <c r="C296" s="262"/>
      <c r="E296" s="4079"/>
      <c r="F296" s="191" t="s">
        <v>583</v>
      </c>
      <c r="G296" s="459"/>
      <c r="H296" s="458"/>
      <c r="I296" s="458"/>
      <c r="J296" s="458"/>
      <c r="K296" s="460"/>
      <c r="L296" s="413"/>
      <c r="M296" s="458"/>
      <c r="N296" s="458"/>
      <c r="O296" s="458"/>
      <c r="P296" s="460"/>
      <c r="Q296" s="455"/>
      <c r="R296" s="455"/>
      <c r="S296" s="455"/>
      <c r="T296" s="455"/>
      <c r="U296" s="455"/>
      <c r="V296" s="455"/>
      <c r="W296" s="77"/>
      <c r="AA296" s="462"/>
      <c r="AB296" s="463"/>
      <c r="AC296" s="463"/>
      <c r="AD296" s="463"/>
      <c r="AE296" s="464"/>
      <c r="AF296" s="513"/>
      <c r="AG296" s="463"/>
      <c r="AH296" s="464"/>
    </row>
    <row r="297" spans="1:34" outlineLevel="2">
      <c r="A297" s="262"/>
      <c r="B297" s="262"/>
      <c r="C297" s="262"/>
      <c r="E297" s="4079"/>
      <c r="F297" s="191" t="s">
        <v>581</v>
      </c>
      <c r="G297" s="459"/>
      <c r="H297" s="458"/>
      <c r="I297" s="458"/>
      <c r="J297" s="458"/>
      <c r="K297" s="460"/>
      <c r="L297" s="413"/>
      <c r="M297" s="458"/>
      <c r="N297" s="458"/>
      <c r="O297" s="458"/>
      <c r="P297" s="460"/>
      <c r="Q297" s="455"/>
      <c r="R297" s="455"/>
      <c r="S297" s="455"/>
      <c r="T297" s="455"/>
      <c r="U297" s="455"/>
      <c r="V297" s="455"/>
      <c r="W297" s="77"/>
      <c r="AA297" s="462"/>
      <c r="AB297" s="463"/>
      <c r="AC297" s="463"/>
      <c r="AD297" s="463"/>
      <c r="AE297" s="464"/>
      <c r="AF297" s="513"/>
      <c r="AG297" s="463"/>
      <c r="AH297" s="464"/>
    </row>
    <row r="298" spans="1:34" outlineLevel="2">
      <c r="A298" s="262"/>
      <c r="B298" s="262"/>
      <c r="C298" s="262"/>
      <c r="E298" s="4079"/>
      <c r="F298" s="194" t="s">
        <v>584</v>
      </c>
      <c r="G298" s="382">
        <f t="shared" ref="G298:P298" si="127">SUM(G296:G297)</f>
        <v>0</v>
      </c>
      <c r="H298" s="362">
        <f t="shared" si="127"/>
        <v>0</v>
      </c>
      <c r="I298" s="362">
        <f t="shared" si="127"/>
        <v>0</v>
      </c>
      <c r="J298" s="362">
        <f t="shared" si="127"/>
        <v>0</v>
      </c>
      <c r="K298" s="363">
        <f t="shared" si="127"/>
        <v>0</v>
      </c>
      <c r="L298" s="1012">
        <f t="shared" si="127"/>
        <v>0</v>
      </c>
      <c r="M298" s="362">
        <f t="shared" si="127"/>
        <v>0</v>
      </c>
      <c r="N298" s="362">
        <f t="shared" si="127"/>
        <v>0</v>
      </c>
      <c r="O298" s="362">
        <f t="shared" si="127"/>
        <v>0</v>
      </c>
      <c r="P298" s="363">
        <f t="shared" si="127"/>
        <v>0</v>
      </c>
      <c r="Q298" s="455"/>
      <c r="R298" s="455"/>
      <c r="S298" s="455"/>
      <c r="T298" s="455"/>
      <c r="U298" s="455"/>
      <c r="V298" s="455"/>
      <c r="W298" s="77"/>
      <c r="AA298" s="1650">
        <f t="shared" ref="AA298:AH298" si="128">SUM(AA296:AA297)</f>
        <v>0</v>
      </c>
      <c r="AB298" s="1651">
        <f t="shared" si="128"/>
        <v>0</v>
      </c>
      <c r="AC298" s="1651">
        <f t="shared" si="128"/>
        <v>0</v>
      </c>
      <c r="AD298" s="1651">
        <f t="shared" si="128"/>
        <v>0</v>
      </c>
      <c r="AE298" s="1652">
        <f t="shared" si="128"/>
        <v>0</v>
      </c>
      <c r="AF298" s="1653">
        <f t="shared" si="128"/>
        <v>0</v>
      </c>
      <c r="AG298" s="1651">
        <f t="shared" si="128"/>
        <v>0</v>
      </c>
      <c r="AH298" s="1652">
        <f t="shared" si="128"/>
        <v>0</v>
      </c>
    </row>
    <row r="299" spans="1:34" outlineLevel="2">
      <c r="A299" s="262"/>
      <c r="B299" s="262"/>
      <c r="C299" s="262"/>
      <c r="E299" s="4079"/>
      <c r="F299" s="191" t="s">
        <v>35</v>
      </c>
      <c r="G299" s="459"/>
      <c r="H299" s="458"/>
      <c r="I299" s="458"/>
      <c r="J299" s="458"/>
      <c r="K299" s="460"/>
      <c r="L299" s="413"/>
      <c r="M299" s="458"/>
      <c r="N299" s="458"/>
      <c r="O299" s="458"/>
      <c r="P299" s="460"/>
      <c r="Q299" s="455"/>
      <c r="R299" s="455"/>
      <c r="S299" s="455"/>
      <c r="T299" s="455"/>
      <c r="U299" s="455"/>
      <c r="V299" s="455"/>
      <c r="W299" s="77"/>
      <c r="AA299" s="462"/>
      <c r="AB299" s="463"/>
      <c r="AC299" s="463"/>
      <c r="AD299" s="463"/>
      <c r="AE299" s="464"/>
      <c r="AF299" s="513"/>
      <c r="AG299" s="463"/>
      <c r="AH299" s="464"/>
    </row>
    <row r="300" spans="1:34" ht="13.5" outlineLevel="2" thickBot="1">
      <c r="A300" s="262"/>
      <c r="B300" s="262"/>
      <c r="C300" s="262"/>
      <c r="E300" s="4080"/>
      <c r="F300" s="357" t="s">
        <v>585</v>
      </c>
      <c r="G300" s="383">
        <f t="shared" ref="G300:P312" si="129">G298-G299</f>
        <v>0</v>
      </c>
      <c r="H300" s="364">
        <f t="shared" si="129"/>
        <v>0</v>
      </c>
      <c r="I300" s="364">
        <f t="shared" si="129"/>
        <v>0</v>
      </c>
      <c r="J300" s="364">
        <f t="shared" si="129"/>
        <v>0</v>
      </c>
      <c r="K300" s="365">
        <f t="shared" si="129"/>
        <v>0</v>
      </c>
      <c r="L300" s="1013">
        <f t="shared" si="129"/>
        <v>0</v>
      </c>
      <c r="M300" s="364">
        <f t="shared" si="129"/>
        <v>0</v>
      </c>
      <c r="N300" s="364">
        <f t="shared" si="129"/>
        <v>0</v>
      </c>
      <c r="O300" s="364">
        <f t="shared" si="129"/>
        <v>0</v>
      </c>
      <c r="P300" s="365">
        <f t="shared" si="129"/>
        <v>0</v>
      </c>
      <c r="Q300" s="455"/>
      <c r="R300" s="455"/>
      <c r="S300" s="455"/>
      <c r="T300" s="455"/>
      <c r="U300" s="455"/>
      <c r="V300" s="455"/>
      <c r="W300" s="77"/>
      <c r="AA300" s="1654">
        <f t="shared" ref="AA300:AH300" si="130">AA298-AA299</f>
        <v>0</v>
      </c>
      <c r="AB300" s="1655">
        <f t="shared" si="130"/>
        <v>0</v>
      </c>
      <c r="AC300" s="1655">
        <f t="shared" si="130"/>
        <v>0</v>
      </c>
      <c r="AD300" s="1655">
        <f t="shared" si="130"/>
        <v>0</v>
      </c>
      <c r="AE300" s="1656">
        <f t="shared" si="130"/>
        <v>0</v>
      </c>
      <c r="AF300" s="1657">
        <f t="shared" si="130"/>
        <v>0</v>
      </c>
      <c r="AG300" s="1655">
        <f t="shared" si="130"/>
        <v>0</v>
      </c>
      <c r="AH300" s="1656">
        <f t="shared" si="130"/>
        <v>0</v>
      </c>
    </row>
    <row r="301" spans="1:34" s="474" customFormat="1" outlineLevel="2">
      <c r="A301" s="262"/>
      <c r="B301" s="262"/>
      <c r="C301" s="262"/>
      <c r="D301" s="262"/>
      <c r="E301" s="4081" t="s">
        <v>88</v>
      </c>
      <c r="F301" s="1420" t="s">
        <v>579</v>
      </c>
      <c r="G301" s="472"/>
      <c r="H301" s="467"/>
      <c r="I301" s="467"/>
      <c r="J301" s="467"/>
      <c r="K301" s="480"/>
      <c r="L301" s="1011"/>
      <c r="M301" s="467"/>
      <c r="N301" s="467"/>
      <c r="O301" s="467"/>
      <c r="P301" s="480"/>
      <c r="Q301" s="455"/>
      <c r="R301" s="455"/>
      <c r="S301" s="455"/>
      <c r="T301" s="455"/>
      <c r="U301" s="455"/>
      <c r="V301" s="455"/>
      <c r="X301" s="1172"/>
      <c r="Y301" s="1172"/>
      <c r="Z301" s="1172"/>
      <c r="AA301" s="462"/>
      <c r="AB301" s="463"/>
      <c r="AC301" s="463"/>
      <c r="AD301" s="463"/>
      <c r="AE301" s="464"/>
      <c r="AF301" s="513"/>
      <c r="AG301" s="463"/>
      <c r="AH301" s="464"/>
    </row>
    <row r="302" spans="1:34" s="474" customFormat="1" outlineLevel="2">
      <c r="A302" s="262"/>
      <c r="B302" s="262"/>
      <c r="C302" s="262"/>
      <c r="D302" s="262"/>
      <c r="E302" s="4079"/>
      <c r="F302" s="1419" t="s">
        <v>583</v>
      </c>
      <c r="G302" s="459"/>
      <c r="H302" s="458"/>
      <c r="I302" s="458"/>
      <c r="J302" s="458"/>
      <c r="K302" s="460"/>
      <c r="L302" s="413"/>
      <c r="M302" s="458"/>
      <c r="N302" s="458"/>
      <c r="O302" s="458"/>
      <c r="P302" s="460"/>
      <c r="Q302" s="455"/>
      <c r="R302" s="455"/>
      <c r="S302" s="455"/>
      <c r="T302" s="455"/>
      <c r="U302" s="455"/>
      <c r="V302" s="455"/>
      <c r="X302" s="1172"/>
      <c r="Y302" s="1172"/>
      <c r="Z302" s="1172"/>
      <c r="AA302" s="462"/>
      <c r="AB302" s="463"/>
      <c r="AC302" s="463"/>
      <c r="AD302" s="463"/>
      <c r="AE302" s="464"/>
      <c r="AF302" s="513"/>
      <c r="AG302" s="463"/>
      <c r="AH302" s="464"/>
    </row>
    <row r="303" spans="1:34" s="474" customFormat="1" outlineLevel="2">
      <c r="A303" s="262"/>
      <c r="B303" s="262"/>
      <c r="C303" s="262"/>
      <c r="D303" s="262"/>
      <c r="E303" s="4079"/>
      <c r="F303" s="1419" t="s">
        <v>581</v>
      </c>
      <c r="G303" s="459"/>
      <c r="H303" s="458"/>
      <c r="I303" s="458"/>
      <c r="J303" s="458"/>
      <c r="K303" s="460"/>
      <c r="L303" s="413"/>
      <c r="M303" s="458"/>
      <c r="N303" s="458"/>
      <c r="O303" s="458"/>
      <c r="P303" s="460"/>
      <c r="Q303" s="455"/>
      <c r="R303" s="455"/>
      <c r="S303" s="455"/>
      <c r="T303" s="455"/>
      <c r="U303" s="455"/>
      <c r="V303" s="455"/>
      <c r="X303" s="1172"/>
      <c r="Y303" s="1172"/>
      <c r="Z303" s="1172"/>
      <c r="AA303" s="462"/>
      <c r="AB303" s="463"/>
      <c r="AC303" s="463"/>
      <c r="AD303" s="463"/>
      <c r="AE303" s="464"/>
      <c r="AF303" s="513"/>
      <c r="AG303" s="463"/>
      <c r="AH303" s="464"/>
    </row>
    <row r="304" spans="1:34" s="474" customFormat="1" outlineLevel="2">
      <c r="A304" s="262"/>
      <c r="B304" s="262"/>
      <c r="C304" s="262"/>
      <c r="D304" s="262"/>
      <c r="E304" s="4079"/>
      <c r="F304" s="1420" t="s">
        <v>584</v>
      </c>
      <c r="G304" s="382">
        <f t="shared" ref="G304:P304" si="131">SUM(G302:G303)</f>
        <v>0</v>
      </c>
      <c r="H304" s="362">
        <f t="shared" si="131"/>
        <v>0</v>
      </c>
      <c r="I304" s="362">
        <f t="shared" si="131"/>
        <v>0</v>
      </c>
      <c r="J304" s="362">
        <f t="shared" si="131"/>
        <v>0</v>
      </c>
      <c r="K304" s="363">
        <f t="shared" si="131"/>
        <v>0</v>
      </c>
      <c r="L304" s="1012">
        <f t="shared" si="131"/>
        <v>0</v>
      </c>
      <c r="M304" s="362">
        <f t="shared" si="131"/>
        <v>0</v>
      </c>
      <c r="N304" s="362">
        <f t="shared" si="131"/>
        <v>0</v>
      </c>
      <c r="O304" s="362">
        <f t="shared" si="131"/>
        <v>0</v>
      </c>
      <c r="P304" s="363">
        <f t="shared" si="131"/>
        <v>0</v>
      </c>
      <c r="Q304" s="455"/>
      <c r="R304" s="455"/>
      <c r="S304" s="455"/>
      <c r="T304" s="455"/>
      <c r="U304" s="455"/>
      <c r="V304" s="455"/>
      <c r="X304" s="1172"/>
      <c r="Y304" s="1172"/>
      <c r="Z304" s="1172"/>
      <c r="AA304" s="1650">
        <f t="shared" ref="AA304:AH304" si="132">SUM(AA302:AA303)</f>
        <v>0</v>
      </c>
      <c r="AB304" s="1651">
        <f t="shared" si="132"/>
        <v>0</v>
      </c>
      <c r="AC304" s="1651">
        <f t="shared" si="132"/>
        <v>0</v>
      </c>
      <c r="AD304" s="1651">
        <f t="shared" si="132"/>
        <v>0</v>
      </c>
      <c r="AE304" s="1652">
        <f t="shared" si="132"/>
        <v>0</v>
      </c>
      <c r="AF304" s="1653">
        <f t="shared" si="132"/>
        <v>0</v>
      </c>
      <c r="AG304" s="1651">
        <f t="shared" si="132"/>
        <v>0</v>
      </c>
      <c r="AH304" s="1652">
        <f t="shared" si="132"/>
        <v>0</v>
      </c>
    </row>
    <row r="305" spans="1:34" s="474" customFormat="1" outlineLevel="2">
      <c r="A305" s="262"/>
      <c r="B305" s="262"/>
      <c r="C305" s="262"/>
      <c r="D305" s="262"/>
      <c r="E305" s="4079"/>
      <c r="F305" s="1419" t="s">
        <v>35</v>
      </c>
      <c r="G305" s="459"/>
      <c r="H305" s="458"/>
      <c r="I305" s="458"/>
      <c r="J305" s="458"/>
      <c r="K305" s="460"/>
      <c r="L305" s="413"/>
      <c r="M305" s="458"/>
      <c r="N305" s="458"/>
      <c r="O305" s="458"/>
      <c r="P305" s="460"/>
      <c r="Q305" s="455"/>
      <c r="R305" s="455"/>
      <c r="S305" s="455"/>
      <c r="T305" s="455"/>
      <c r="U305" s="455"/>
      <c r="V305" s="455"/>
      <c r="X305" s="1172"/>
      <c r="Y305" s="1172"/>
      <c r="Z305" s="1172"/>
      <c r="AA305" s="462"/>
      <c r="AB305" s="463"/>
      <c r="AC305" s="463"/>
      <c r="AD305" s="463"/>
      <c r="AE305" s="464"/>
      <c r="AF305" s="513"/>
      <c r="AG305" s="463"/>
      <c r="AH305" s="464"/>
    </row>
    <row r="306" spans="1:34" s="474" customFormat="1" ht="13.5" outlineLevel="2" thickBot="1">
      <c r="A306" s="262"/>
      <c r="B306" s="262"/>
      <c r="C306" s="262"/>
      <c r="D306" s="262"/>
      <c r="E306" s="4080"/>
      <c r="F306" s="357" t="s">
        <v>585</v>
      </c>
      <c r="G306" s="383">
        <f t="shared" ref="G306:P306" si="133">G304-G305</f>
        <v>0</v>
      </c>
      <c r="H306" s="364">
        <f t="shared" si="133"/>
        <v>0</v>
      </c>
      <c r="I306" s="364">
        <f t="shared" si="133"/>
        <v>0</v>
      </c>
      <c r="J306" s="364">
        <f t="shared" si="133"/>
        <v>0</v>
      </c>
      <c r="K306" s="365">
        <f t="shared" si="133"/>
        <v>0</v>
      </c>
      <c r="L306" s="1013">
        <f t="shared" si="133"/>
        <v>0</v>
      </c>
      <c r="M306" s="364">
        <f t="shared" si="133"/>
        <v>0</v>
      </c>
      <c r="N306" s="364">
        <f t="shared" si="133"/>
        <v>0</v>
      </c>
      <c r="O306" s="364">
        <f t="shared" si="133"/>
        <v>0</v>
      </c>
      <c r="P306" s="365">
        <f t="shared" si="133"/>
        <v>0</v>
      </c>
      <c r="Q306" s="455"/>
      <c r="R306" s="455"/>
      <c r="S306" s="455"/>
      <c r="T306" s="455"/>
      <c r="U306" s="455"/>
      <c r="V306" s="455"/>
      <c r="X306" s="1172"/>
      <c r="Y306" s="1172"/>
      <c r="Z306" s="1172"/>
      <c r="AA306" s="1654">
        <f t="shared" ref="AA306:AH306" si="134">AA304-AA305</f>
        <v>0</v>
      </c>
      <c r="AB306" s="1655">
        <f t="shared" si="134"/>
        <v>0</v>
      </c>
      <c r="AC306" s="1655">
        <f t="shared" si="134"/>
        <v>0</v>
      </c>
      <c r="AD306" s="1655">
        <f t="shared" si="134"/>
        <v>0</v>
      </c>
      <c r="AE306" s="1656">
        <f t="shared" si="134"/>
        <v>0</v>
      </c>
      <c r="AF306" s="1657">
        <f t="shared" si="134"/>
        <v>0</v>
      </c>
      <c r="AG306" s="1655">
        <f t="shared" si="134"/>
        <v>0</v>
      </c>
      <c r="AH306" s="1656">
        <f t="shared" si="134"/>
        <v>0</v>
      </c>
    </row>
    <row r="307" spans="1:34" outlineLevel="2">
      <c r="A307" s="262"/>
      <c r="B307" s="262"/>
      <c r="C307" s="262"/>
      <c r="E307" s="4081" t="s">
        <v>88</v>
      </c>
      <c r="F307" s="194" t="s">
        <v>579</v>
      </c>
      <c r="G307" s="472"/>
      <c r="H307" s="467"/>
      <c r="I307" s="467"/>
      <c r="J307" s="467"/>
      <c r="K307" s="480"/>
      <c r="L307" s="1011"/>
      <c r="M307" s="467"/>
      <c r="N307" s="467"/>
      <c r="O307" s="467"/>
      <c r="P307" s="480"/>
      <c r="Q307" s="455"/>
      <c r="R307" s="455"/>
      <c r="S307" s="455"/>
      <c r="T307" s="455"/>
      <c r="U307" s="455"/>
      <c r="V307" s="455"/>
      <c r="W307" s="77"/>
      <c r="AA307" s="462"/>
      <c r="AB307" s="463"/>
      <c r="AC307" s="463"/>
      <c r="AD307" s="463"/>
      <c r="AE307" s="464"/>
      <c r="AF307" s="513"/>
      <c r="AG307" s="463"/>
      <c r="AH307" s="464"/>
    </row>
    <row r="308" spans="1:34" outlineLevel="2">
      <c r="A308" s="262"/>
      <c r="B308" s="262"/>
      <c r="C308" s="262"/>
      <c r="E308" s="4079"/>
      <c r="F308" s="191" t="s">
        <v>583</v>
      </c>
      <c r="G308" s="459"/>
      <c r="H308" s="458"/>
      <c r="I308" s="458"/>
      <c r="J308" s="458"/>
      <c r="K308" s="460"/>
      <c r="L308" s="413"/>
      <c r="M308" s="458"/>
      <c r="N308" s="458"/>
      <c r="O308" s="458"/>
      <c r="P308" s="460"/>
      <c r="Q308" s="455"/>
      <c r="R308" s="455"/>
      <c r="S308" s="455"/>
      <c r="T308" s="455"/>
      <c r="U308" s="455"/>
      <c r="V308" s="455"/>
      <c r="W308" s="77"/>
      <c r="AA308" s="462"/>
      <c r="AB308" s="463"/>
      <c r="AC308" s="463"/>
      <c r="AD308" s="463"/>
      <c r="AE308" s="464"/>
      <c r="AF308" s="513"/>
      <c r="AG308" s="463"/>
      <c r="AH308" s="464"/>
    </row>
    <row r="309" spans="1:34" outlineLevel="2">
      <c r="A309" s="262"/>
      <c r="B309" s="262"/>
      <c r="C309" s="262"/>
      <c r="E309" s="4079"/>
      <c r="F309" s="191" t="s">
        <v>581</v>
      </c>
      <c r="G309" s="459"/>
      <c r="H309" s="458"/>
      <c r="I309" s="458"/>
      <c r="J309" s="458"/>
      <c r="K309" s="460"/>
      <c r="L309" s="413"/>
      <c r="M309" s="458"/>
      <c r="N309" s="458"/>
      <c r="O309" s="458"/>
      <c r="P309" s="460"/>
      <c r="Q309" s="455"/>
      <c r="R309" s="455"/>
      <c r="S309" s="455"/>
      <c r="T309" s="455"/>
      <c r="U309" s="455"/>
      <c r="V309" s="455"/>
      <c r="W309" s="77"/>
      <c r="AA309" s="462"/>
      <c r="AB309" s="463"/>
      <c r="AC309" s="463"/>
      <c r="AD309" s="463"/>
      <c r="AE309" s="464"/>
      <c r="AF309" s="513"/>
      <c r="AG309" s="463"/>
      <c r="AH309" s="464"/>
    </row>
    <row r="310" spans="1:34" outlineLevel="2">
      <c r="A310" s="262"/>
      <c r="B310" s="262"/>
      <c r="C310" s="262"/>
      <c r="E310" s="4079"/>
      <c r="F310" s="194" t="s">
        <v>584</v>
      </c>
      <c r="G310" s="382">
        <f t="shared" ref="G310:P310" si="135">SUM(G308:G309)</f>
        <v>0</v>
      </c>
      <c r="H310" s="362">
        <f t="shared" si="135"/>
        <v>0</v>
      </c>
      <c r="I310" s="362">
        <f t="shared" si="135"/>
        <v>0</v>
      </c>
      <c r="J310" s="362">
        <f t="shared" si="135"/>
        <v>0</v>
      </c>
      <c r="K310" s="363">
        <f t="shared" si="135"/>
        <v>0</v>
      </c>
      <c r="L310" s="1012">
        <f t="shared" si="135"/>
        <v>0</v>
      </c>
      <c r="M310" s="362">
        <f t="shared" si="135"/>
        <v>0</v>
      </c>
      <c r="N310" s="362">
        <f t="shared" si="135"/>
        <v>0</v>
      </c>
      <c r="O310" s="362">
        <f t="shared" si="135"/>
        <v>0</v>
      </c>
      <c r="P310" s="363">
        <f t="shared" si="135"/>
        <v>0</v>
      </c>
      <c r="Q310" s="455"/>
      <c r="R310" s="455"/>
      <c r="S310" s="455"/>
      <c r="T310" s="455"/>
      <c r="U310" s="455"/>
      <c r="V310" s="455"/>
      <c r="W310" s="77"/>
      <c r="AA310" s="1650">
        <f t="shared" ref="AA310:AH310" si="136">SUM(AA308:AA309)</f>
        <v>0</v>
      </c>
      <c r="AB310" s="1651">
        <f t="shared" si="136"/>
        <v>0</v>
      </c>
      <c r="AC310" s="1651">
        <f t="shared" si="136"/>
        <v>0</v>
      </c>
      <c r="AD310" s="1651">
        <f t="shared" si="136"/>
        <v>0</v>
      </c>
      <c r="AE310" s="1652">
        <f t="shared" si="136"/>
        <v>0</v>
      </c>
      <c r="AF310" s="1653">
        <f t="shared" si="136"/>
        <v>0</v>
      </c>
      <c r="AG310" s="1651">
        <f t="shared" si="136"/>
        <v>0</v>
      </c>
      <c r="AH310" s="1652">
        <f t="shared" si="136"/>
        <v>0</v>
      </c>
    </row>
    <row r="311" spans="1:34" outlineLevel="2">
      <c r="A311" s="262"/>
      <c r="B311" s="262"/>
      <c r="C311" s="262"/>
      <c r="E311" s="4079"/>
      <c r="F311" s="191" t="s">
        <v>35</v>
      </c>
      <c r="G311" s="459"/>
      <c r="H311" s="458"/>
      <c r="I311" s="458"/>
      <c r="J311" s="458"/>
      <c r="K311" s="460"/>
      <c r="L311" s="413"/>
      <c r="M311" s="458"/>
      <c r="N311" s="458"/>
      <c r="O311" s="458"/>
      <c r="P311" s="460"/>
      <c r="Q311" s="455"/>
      <c r="R311" s="455"/>
      <c r="S311" s="455"/>
      <c r="T311" s="455"/>
      <c r="U311" s="455"/>
      <c r="V311" s="455"/>
      <c r="W311" s="77"/>
      <c r="AA311" s="462"/>
      <c r="AB311" s="463"/>
      <c r="AC311" s="463"/>
      <c r="AD311" s="463"/>
      <c r="AE311" s="464"/>
      <c r="AF311" s="513"/>
      <c r="AG311" s="463"/>
      <c r="AH311" s="464"/>
    </row>
    <row r="312" spans="1:34" ht="13.5" outlineLevel="2" thickBot="1">
      <c r="A312" s="262"/>
      <c r="B312" s="262"/>
      <c r="C312" s="262"/>
      <c r="E312" s="4080"/>
      <c r="F312" s="357" t="s">
        <v>585</v>
      </c>
      <c r="G312" s="383">
        <f t="shared" ref="G312:M312" si="137">G310-G311</f>
        <v>0</v>
      </c>
      <c r="H312" s="364">
        <f t="shared" si="137"/>
        <v>0</v>
      </c>
      <c r="I312" s="364">
        <f t="shared" si="137"/>
        <v>0</v>
      </c>
      <c r="J312" s="364">
        <f t="shared" si="137"/>
        <v>0</v>
      </c>
      <c r="K312" s="365">
        <f t="shared" si="137"/>
        <v>0</v>
      </c>
      <c r="L312" s="1013">
        <f t="shared" si="137"/>
        <v>0</v>
      </c>
      <c r="M312" s="364">
        <f t="shared" si="137"/>
        <v>0</v>
      </c>
      <c r="N312" s="364">
        <f t="shared" si="129"/>
        <v>0</v>
      </c>
      <c r="O312" s="364">
        <f t="shared" si="129"/>
        <v>0</v>
      </c>
      <c r="P312" s="365">
        <f t="shared" si="129"/>
        <v>0</v>
      </c>
      <c r="Q312" s="455"/>
      <c r="R312" s="455"/>
      <c r="S312" s="455"/>
      <c r="T312" s="455"/>
      <c r="U312" s="455"/>
      <c r="V312" s="455"/>
      <c r="W312" s="77"/>
      <c r="AA312" s="1654">
        <f t="shared" ref="AA312:AH312" si="138">AA310-AA311</f>
        <v>0</v>
      </c>
      <c r="AB312" s="1655">
        <f t="shared" si="138"/>
        <v>0</v>
      </c>
      <c r="AC312" s="1655">
        <f t="shared" si="138"/>
        <v>0</v>
      </c>
      <c r="AD312" s="1655">
        <f t="shared" si="138"/>
        <v>0</v>
      </c>
      <c r="AE312" s="1656">
        <f t="shared" si="138"/>
        <v>0</v>
      </c>
      <c r="AF312" s="1657">
        <f t="shared" si="138"/>
        <v>0</v>
      </c>
      <c r="AG312" s="1655">
        <f t="shared" si="138"/>
        <v>0</v>
      </c>
      <c r="AH312" s="1656">
        <f t="shared" si="138"/>
        <v>0</v>
      </c>
    </row>
    <row r="313" spans="1:34" outlineLevel="2">
      <c r="A313" s="262"/>
      <c r="B313" s="262"/>
      <c r="C313" s="262"/>
      <c r="E313" s="4081" t="s">
        <v>88</v>
      </c>
      <c r="F313" s="194" t="s">
        <v>579</v>
      </c>
      <c r="G313" s="472"/>
      <c r="H313" s="467"/>
      <c r="I313" s="467"/>
      <c r="J313" s="467"/>
      <c r="K313" s="480"/>
      <c r="L313" s="1011"/>
      <c r="M313" s="467"/>
      <c r="N313" s="467"/>
      <c r="O313" s="467"/>
      <c r="P313" s="480"/>
      <c r="Q313" s="455"/>
      <c r="R313" s="455"/>
      <c r="S313" s="455"/>
      <c r="T313" s="455"/>
      <c r="U313" s="455"/>
      <c r="V313" s="455"/>
      <c r="W313" s="77"/>
      <c r="AA313" s="462"/>
      <c r="AB313" s="463"/>
      <c r="AC313" s="463"/>
      <c r="AD313" s="463"/>
      <c r="AE313" s="464"/>
      <c r="AF313" s="513"/>
      <c r="AG313" s="463"/>
      <c r="AH313" s="464"/>
    </row>
    <row r="314" spans="1:34" outlineLevel="2">
      <c r="A314" s="262"/>
      <c r="B314" s="262"/>
      <c r="C314" s="262"/>
      <c r="E314" s="4079"/>
      <c r="F314" s="191" t="s">
        <v>583</v>
      </c>
      <c r="G314" s="459"/>
      <c r="H314" s="458"/>
      <c r="I314" s="458"/>
      <c r="J314" s="458"/>
      <c r="K314" s="460"/>
      <c r="L314" s="413"/>
      <c r="M314" s="458"/>
      <c r="N314" s="458"/>
      <c r="O314" s="458"/>
      <c r="P314" s="460"/>
      <c r="Q314" s="455"/>
      <c r="R314" s="455"/>
      <c r="S314" s="455"/>
      <c r="T314" s="455"/>
      <c r="U314" s="455"/>
      <c r="V314" s="455"/>
      <c r="W314" s="77"/>
      <c r="AA314" s="462"/>
      <c r="AB314" s="463"/>
      <c r="AC314" s="463"/>
      <c r="AD314" s="463"/>
      <c r="AE314" s="464"/>
      <c r="AF314" s="513"/>
      <c r="AG314" s="463"/>
      <c r="AH314" s="464"/>
    </row>
    <row r="315" spans="1:34" outlineLevel="2">
      <c r="A315" s="262"/>
      <c r="B315" s="262"/>
      <c r="C315" s="262"/>
      <c r="E315" s="4079"/>
      <c r="F315" s="191" t="s">
        <v>581</v>
      </c>
      <c r="G315" s="459"/>
      <c r="H315" s="458"/>
      <c r="I315" s="458"/>
      <c r="J315" s="458"/>
      <c r="K315" s="460"/>
      <c r="L315" s="413"/>
      <c r="M315" s="458"/>
      <c r="N315" s="458"/>
      <c r="O315" s="458"/>
      <c r="P315" s="460"/>
      <c r="Q315" s="455"/>
      <c r="R315" s="455"/>
      <c r="S315" s="455"/>
      <c r="T315" s="455"/>
      <c r="U315" s="455"/>
      <c r="V315" s="455"/>
      <c r="W315" s="77"/>
      <c r="AA315" s="462"/>
      <c r="AB315" s="463"/>
      <c r="AC315" s="463"/>
      <c r="AD315" s="463"/>
      <c r="AE315" s="464"/>
      <c r="AF315" s="513"/>
      <c r="AG315" s="463"/>
      <c r="AH315" s="464"/>
    </row>
    <row r="316" spans="1:34" outlineLevel="2">
      <c r="A316" s="262"/>
      <c r="B316" s="262"/>
      <c r="C316" s="262"/>
      <c r="E316" s="4079"/>
      <c r="F316" s="194" t="s">
        <v>584</v>
      </c>
      <c r="G316" s="382">
        <f t="shared" ref="G316:P316" si="139">SUM(G314:G315)</f>
        <v>0</v>
      </c>
      <c r="H316" s="362">
        <f t="shared" si="139"/>
        <v>0</v>
      </c>
      <c r="I316" s="362">
        <f t="shared" si="139"/>
        <v>0</v>
      </c>
      <c r="J316" s="362">
        <f t="shared" si="139"/>
        <v>0</v>
      </c>
      <c r="K316" s="363">
        <f t="shared" si="139"/>
        <v>0</v>
      </c>
      <c r="L316" s="1012">
        <f t="shared" si="139"/>
        <v>0</v>
      </c>
      <c r="M316" s="362">
        <f t="shared" si="139"/>
        <v>0</v>
      </c>
      <c r="N316" s="362">
        <f t="shared" si="139"/>
        <v>0</v>
      </c>
      <c r="O316" s="362">
        <f t="shared" si="139"/>
        <v>0</v>
      </c>
      <c r="P316" s="363">
        <f t="shared" si="139"/>
        <v>0</v>
      </c>
      <c r="Q316" s="455"/>
      <c r="R316" s="455"/>
      <c r="S316" s="455"/>
      <c r="T316" s="455"/>
      <c r="U316" s="455"/>
      <c r="V316" s="455"/>
      <c r="W316" s="77"/>
      <c r="AA316" s="1650">
        <f t="shared" ref="AA316:AH316" si="140">SUM(AA314:AA315)</f>
        <v>0</v>
      </c>
      <c r="AB316" s="1651">
        <f t="shared" si="140"/>
        <v>0</v>
      </c>
      <c r="AC316" s="1651">
        <f t="shared" si="140"/>
        <v>0</v>
      </c>
      <c r="AD316" s="1651">
        <f t="shared" si="140"/>
        <v>0</v>
      </c>
      <c r="AE316" s="1652">
        <f t="shared" si="140"/>
        <v>0</v>
      </c>
      <c r="AF316" s="1653">
        <f t="shared" si="140"/>
        <v>0</v>
      </c>
      <c r="AG316" s="1651">
        <f t="shared" si="140"/>
        <v>0</v>
      </c>
      <c r="AH316" s="1652">
        <f t="shared" si="140"/>
        <v>0</v>
      </c>
    </row>
    <row r="317" spans="1:34" outlineLevel="2">
      <c r="A317" s="262"/>
      <c r="B317" s="262"/>
      <c r="C317" s="262"/>
      <c r="E317" s="4079"/>
      <c r="F317" s="191" t="s">
        <v>35</v>
      </c>
      <c r="G317" s="459"/>
      <c r="H317" s="458"/>
      <c r="I317" s="458"/>
      <c r="J317" s="458"/>
      <c r="K317" s="460"/>
      <c r="L317" s="413"/>
      <c r="M317" s="458"/>
      <c r="N317" s="458"/>
      <c r="O317" s="458"/>
      <c r="P317" s="460"/>
      <c r="Q317" s="455"/>
      <c r="R317" s="455"/>
      <c r="S317" s="455"/>
      <c r="T317" s="455"/>
      <c r="U317" s="455"/>
      <c r="V317" s="455"/>
      <c r="W317" s="77"/>
      <c r="AA317" s="462"/>
      <c r="AB317" s="463"/>
      <c r="AC317" s="463"/>
      <c r="AD317" s="463"/>
      <c r="AE317" s="464"/>
      <c r="AF317" s="513"/>
      <c r="AG317" s="463"/>
      <c r="AH317" s="464"/>
    </row>
    <row r="318" spans="1:34" ht="13.5" outlineLevel="2" thickBot="1">
      <c r="A318" s="262"/>
      <c r="B318" s="262"/>
      <c r="C318" s="262"/>
      <c r="E318" s="4080"/>
      <c r="F318" s="357" t="s">
        <v>585</v>
      </c>
      <c r="G318" s="383">
        <f t="shared" ref="G318:P318" si="141">G316-G317</f>
        <v>0</v>
      </c>
      <c r="H318" s="364">
        <f t="shared" si="141"/>
        <v>0</v>
      </c>
      <c r="I318" s="364">
        <f t="shared" si="141"/>
        <v>0</v>
      </c>
      <c r="J318" s="364">
        <f t="shared" si="141"/>
        <v>0</v>
      </c>
      <c r="K318" s="365">
        <f t="shared" si="141"/>
        <v>0</v>
      </c>
      <c r="L318" s="1013">
        <f t="shared" si="141"/>
        <v>0</v>
      </c>
      <c r="M318" s="364">
        <f t="shared" si="141"/>
        <v>0</v>
      </c>
      <c r="N318" s="364">
        <f t="shared" ref="N318" si="142">N316-N317</f>
        <v>0</v>
      </c>
      <c r="O318" s="364">
        <f t="shared" si="141"/>
        <v>0</v>
      </c>
      <c r="P318" s="365">
        <f t="shared" si="141"/>
        <v>0</v>
      </c>
      <c r="Q318" s="455"/>
      <c r="R318" s="455"/>
      <c r="S318" s="455"/>
      <c r="T318" s="455"/>
      <c r="U318" s="455"/>
      <c r="V318" s="455"/>
      <c r="W318" s="77"/>
      <c r="AA318" s="1654">
        <f t="shared" ref="AA318:AH318" si="143">AA316-AA317</f>
        <v>0</v>
      </c>
      <c r="AB318" s="1655">
        <f t="shared" si="143"/>
        <v>0</v>
      </c>
      <c r="AC318" s="1655">
        <f t="shared" si="143"/>
        <v>0</v>
      </c>
      <c r="AD318" s="1655">
        <f t="shared" si="143"/>
        <v>0</v>
      </c>
      <c r="AE318" s="1656">
        <f t="shared" si="143"/>
        <v>0</v>
      </c>
      <c r="AF318" s="1657">
        <f t="shared" si="143"/>
        <v>0</v>
      </c>
      <c r="AG318" s="1655">
        <f t="shared" si="143"/>
        <v>0</v>
      </c>
      <c r="AH318" s="1656">
        <f t="shared" si="143"/>
        <v>0</v>
      </c>
    </row>
    <row r="319" spans="1:34">
      <c r="A319" s="262"/>
      <c r="B319" s="262"/>
      <c r="C319" s="262"/>
      <c r="E319" s="4056" t="s">
        <v>341</v>
      </c>
      <c r="F319" s="1342" t="s">
        <v>580</v>
      </c>
      <c r="G319" s="366">
        <f t="shared" ref="G319:P319" ca="1" si="144">SUMIF($F$295:$P$318,"Total direct expenditure",G295:G318)</f>
        <v>2310000</v>
      </c>
      <c r="H319" s="367">
        <f t="shared" ca="1" si="144"/>
        <v>1530000</v>
      </c>
      <c r="I319" s="367">
        <f t="shared" ca="1" si="144"/>
        <v>270000</v>
      </c>
      <c r="J319" s="367">
        <f t="shared" ca="1" si="144"/>
        <v>1730000</v>
      </c>
      <c r="K319" s="386">
        <f t="shared" ca="1" si="144"/>
        <v>530000</v>
      </c>
      <c r="L319" s="1014">
        <f t="shared" ca="1" si="144"/>
        <v>6601799.6738789184</v>
      </c>
      <c r="M319" s="367">
        <f t="shared" ca="1" si="144"/>
        <v>6430267.5709097888</v>
      </c>
      <c r="N319" s="367">
        <f t="shared" ca="1" si="144"/>
        <v>7370306.8847106025</v>
      </c>
      <c r="O319" s="367">
        <f t="shared" ca="1" si="144"/>
        <v>1048213.8976059066</v>
      </c>
      <c r="P319" s="386">
        <f t="shared" ca="1" si="144"/>
        <v>2423109.1283217683</v>
      </c>
      <c r="Q319" s="143"/>
      <c r="R319" s="143"/>
      <c r="S319" s="143"/>
      <c r="T319" s="143"/>
      <c r="U319" s="143"/>
      <c r="V319" s="134"/>
      <c r="W319" s="77"/>
      <c r="AA319" s="1648">
        <f t="shared" ref="AA319:AH319" ca="1" si="145">SUMIF($F$295:$P$318,"Total direct expenditure",AA295:AA318)</f>
        <v>0</v>
      </c>
      <c r="AB319" s="367">
        <f t="shared" ca="1" si="145"/>
        <v>0</v>
      </c>
      <c r="AC319" s="367">
        <f t="shared" ca="1" si="145"/>
        <v>0</v>
      </c>
      <c r="AD319" s="367">
        <f t="shared" ca="1" si="145"/>
        <v>0</v>
      </c>
      <c r="AE319" s="386">
        <f t="shared" ca="1" si="145"/>
        <v>0</v>
      </c>
      <c r="AF319" s="1014">
        <f t="shared" ca="1" si="145"/>
        <v>0</v>
      </c>
      <c r="AG319" s="367">
        <f t="shared" ca="1" si="145"/>
        <v>0</v>
      </c>
      <c r="AH319" s="386">
        <f t="shared" ca="1" si="145"/>
        <v>0</v>
      </c>
    </row>
    <row r="320" spans="1:34">
      <c r="A320" s="262"/>
      <c r="B320" s="262"/>
      <c r="C320" s="262"/>
      <c r="E320" s="4057"/>
      <c r="F320" s="1363" t="s">
        <v>12</v>
      </c>
      <c r="G320" s="368">
        <f t="shared" ref="G320:P320" ca="1" si="146">SUMIF($F$295:$P$318,"Total overhead expenditure",G295:G318)</f>
        <v>0</v>
      </c>
      <c r="H320" s="369">
        <f t="shared" ca="1" si="146"/>
        <v>0</v>
      </c>
      <c r="I320" s="369">
        <f t="shared" ca="1" si="146"/>
        <v>0</v>
      </c>
      <c r="J320" s="369">
        <f t="shared" ca="1" si="146"/>
        <v>0</v>
      </c>
      <c r="K320" s="384">
        <f t="shared" ca="1" si="146"/>
        <v>0</v>
      </c>
      <c r="L320" s="1015">
        <f t="shared" ca="1" si="146"/>
        <v>0</v>
      </c>
      <c r="M320" s="369">
        <f t="shared" ca="1" si="146"/>
        <v>0</v>
      </c>
      <c r="N320" s="369">
        <f t="shared" ca="1" si="146"/>
        <v>0</v>
      </c>
      <c r="O320" s="369">
        <f t="shared" ca="1" si="146"/>
        <v>0</v>
      </c>
      <c r="P320" s="384">
        <f t="shared" ca="1" si="146"/>
        <v>0</v>
      </c>
      <c r="Q320" s="121"/>
      <c r="R320" s="23"/>
      <c r="S320" s="23"/>
      <c r="T320" s="23"/>
      <c r="U320" s="23"/>
      <c r="V320" s="23"/>
      <c r="W320" s="77"/>
      <c r="AA320" s="368">
        <f t="shared" ref="AA320:AH320" ca="1" si="147">SUMIF($F$295:$P$318,"Total overhead expenditure",AA295:AA318)</f>
        <v>0</v>
      </c>
      <c r="AB320" s="369">
        <f t="shared" ca="1" si="147"/>
        <v>0</v>
      </c>
      <c r="AC320" s="369">
        <f t="shared" ca="1" si="147"/>
        <v>0</v>
      </c>
      <c r="AD320" s="369">
        <f t="shared" ca="1" si="147"/>
        <v>0</v>
      </c>
      <c r="AE320" s="384">
        <f t="shared" ca="1" si="147"/>
        <v>0</v>
      </c>
      <c r="AF320" s="1015">
        <f t="shared" ca="1" si="147"/>
        <v>0</v>
      </c>
      <c r="AG320" s="369">
        <f t="shared" ca="1" si="147"/>
        <v>0</v>
      </c>
      <c r="AH320" s="384">
        <f t="shared" ca="1" si="147"/>
        <v>0</v>
      </c>
    </row>
    <row r="321" spans="1:34">
      <c r="A321" s="262"/>
      <c r="B321" s="262"/>
      <c r="C321" s="262"/>
      <c r="E321" s="4057"/>
      <c r="F321" s="1363" t="s">
        <v>581</v>
      </c>
      <c r="G321" s="368">
        <f t="shared" ref="G321:P321" ca="1" si="148">SUMIF($F$295:$P$318,"Related party margin expenditure",G295:G318)</f>
        <v>0</v>
      </c>
      <c r="H321" s="369">
        <f t="shared" ca="1" si="148"/>
        <v>0</v>
      </c>
      <c r="I321" s="369">
        <f t="shared" ca="1" si="148"/>
        <v>0</v>
      </c>
      <c r="J321" s="369">
        <f t="shared" ca="1" si="148"/>
        <v>0</v>
      </c>
      <c r="K321" s="384">
        <f t="shared" ca="1" si="148"/>
        <v>0</v>
      </c>
      <c r="L321" s="1015">
        <f t="shared" ca="1" si="148"/>
        <v>0</v>
      </c>
      <c r="M321" s="369">
        <f t="shared" ca="1" si="148"/>
        <v>0</v>
      </c>
      <c r="N321" s="369">
        <f t="shared" ca="1" si="148"/>
        <v>0</v>
      </c>
      <c r="O321" s="369">
        <f t="shared" ca="1" si="148"/>
        <v>0</v>
      </c>
      <c r="P321" s="384">
        <f t="shared" ca="1" si="148"/>
        <v>0</v>
      </c>
      <c r="Q321" s="23"/>
      <c r="R321" s="23"/>
      <c r="S321" s="23"/>
      <c r="T321" s="23"/>
      <c r="U321" s="23"/>
      <c r="V321" s="23"/>
      <c r="W321" s="77"/>
      <c r="AA321" s="368">
        <f t="shared" ref="AA321:AH321" ca="1" si="149">SUMIF($F$295:$P$318,"Related party margin expenditure",AA295:AA318)</f>
        <v>0</v>
      </c>
      <c r="AB321" s="369">
        <f t="shared" ca="1" si="149"/>
        <v>0</v>
      </c>
      <c r="AC321" s="369">
        <f t="shared" ca="1" si="149"/>
        <v>0</v>
      </c>
      <c r="AD321" s="369">
        <f t="shared" ca="1" si="149"/>
        <v>0</v>
      </c>
      <c r="AE321" s="384">
        <f t="shared" ca="1" si="149"/>
        <v>0</v>
      </c>
      <c r="AF321" s="1015">
        <f t="shared" ca="1" si="149"/>
        <v>0</v>
      </c>
      <c r="AG321" s="369">
        <f t="shared" ca="1" si="149"/>
        <v>0</v>
      </c>
      <c r="AH321" s="384">
        <f t="shared" ca="1" si="149"/>
        <v>0</v>
      </c>
    </row>
    <row r="322" spans="1:34" s="69" customFormat="1">
      <c r="A322" s="314"/>
      <c r="B322" s="314"/>
      <c r="C322" s="314"/>
      <c r="D322" s="314"/>
      <c r="E322" s="4057"/>
      <c r="F322" s="825" t="s">
        <v>584</v>
      </c>
      <c r="G322" s="370">
        <f t="shared" ref="G322:P322" ca="1" si="150">SUMIF($F$295:$P$318,"Total gross expenditure",G295:G318)</f>
        <v>0</v>
      </c>
      <c r="H322" s="359">
        <f t="shared" ca="1" si="150"/>
        <v>0</v>
      </c>
      <c r="I322" s="359">
        <f t="shared" ca="1" si="150"/>
        <v>0</v>
      </c>
      <c r="J322" s="359">
        <f t="shared" ca="1" si="150"/>
        <v>0</v>
      </c>
      <c r="K322" s="385">
        <f t="shared" ca="1" si="150"/>
        <v>0</v>
      </c>
      <c r="L322" s="358">
        <f t="shared" ca="1" si="150"/>
        <v>0</v>
      </c>
      <c r="M322" s="359">
        <f t="shared" ca="1" si="150"/>
        <v>0</v>
      </c>
      <c r="N322" s="359">
        <f t="shared" ca="1" si="150"/>
        <v>0</v>
      </c>
      <c r="O322" s="359">
        <f t="shared" ca="1" si="150"/>
        <v>0</v>
      </c>
      <c r="P322" s="385">
        <f t="shared" ca="1" si="150"/>
        <v>0</v>
      </c>
      <c r="Q322" s="156"/>
      <c r="R322" s="134"/>
      <c r="S322" s="134"/>
      <c r="T322" s="134"/>
      <c r="U322" s="134"/>
      <c r="V322" s="134"/>
      <c r="X322"/>
      <c r="Y322"/>
      <c r="Z322"/>
      <c r="AA322" s="370">
        <f t="shared" ref="AA322:AH322" ca="1" si="151">SUMIF($F$295:$P$318,"Total gross expenditure",AA295:AA318)</f>
        <v>0</v>
      </c>
      <c r="AB322" s="359">
        <f t="shared" ca="1" si="151"/>
        <v>0</v>
      </c>
      <c r="AC322" s="359">
        <f t="shared" ca="1" si="151"/>
        <v>0</v>
      </c>
      <c r="AD322" s="359">
        <f t="shared" ca="1" si="151"/>
        <v>0</v>
      </c>
      <c r="AE322" s="385">
        <f t="shared" ca="1" si="151"/>
        <v>0</v>
      </c>
      <c r="AF322" s="358">
        <f t="shared" ca="1" si="151"/>
        <v>0</v>
      </c>
      <c r="AG322" s="359">
        <f t="shared" ca="1" si="151"/>
        <v>0</v>
      </c>
      <c r="AH322" s="385">
        <f t="shared" ca="1" si="151"/>
        <v>0</v>
      </c>
    </row>
    <row r="323" spans="1:34" s="69" customFormat="1">
      <c r="A323" s="314"/>
      <c r="B323" s="314"/>
      <c r="C323" s="314"/>
      <c r="D323" s="314"/>
      <c r="E323" s="4057"/>
      <c r="F323" s="1363" t="s">
        <v>35</v>
      </c>
      <c r="G323" s="368">
        <f t="shared" ref="G323:P323" ca="1" si="152">SUMIF($F$295:$P$318,"Less customer contributions",G295:G318)</f>
        <v>0</v>
      </c>
      <c r="H323" s="369">
        <f t="shared" ca="1" si="152"/>
        <v>0</v>
      </c>
      <c r="I323" s="369">
        <f t="shared" ca="1" si="152"/>
        <v>0</v>
      </c>
      <c r="J323" s="369">
        <f t="shared" ca="1" si="152"/>
        <v>0</v>
      </c>
      <c r="K323" s="384">
        <f t="shared" ca="1" si="152"/>
        <v>0</v>
      </c>
      <c r="L323" s="1015">
        <f t="shared" ca="1" si="152"/>
        <v>0</v>
      </c>
      <c r="M323" s="369">
        <f t="shared" ca="1" si="152"/>
        <v>0</v>
      </c>
      <c r="N323" s="369">
        <f t="shared" ca="1" si="152"/>
        <v>0</v>
      </c>
      <c r="O323" s="369">
        <f t="shared" ca="1" si="152"/>
        <v>0</v>
      </c>
      <c r="P323" s="384">
        <f t="shared" ca="1" si="152"/>
        <v>0</v>
      </c>
      <c r="Q323" s="138"/>
      <c r="R323" s="133"/>
      <c r="S323" s="133"/>
      <c r="T323" s="133"/>
      <c r="U323" s="133"/>
      <c r="V323" s="133"/>
      <c r="X323"/>
      <c r="Y323"/>
      <c r="Z323"/>
      <c r="AA323" s="368">
        <f t="shared" ref="AA323:AH323" ca="1" si="153">SUMIF($F$295:$P$318,"Less customer contributions",AA295:AA318)</f>
        <v>0</v>
      </c>
      <c r="AB323" s="369">
        <f t="shared" ca="1" si="153"/>
        <v>0</v>
      </c>
      <c r="AC323" s="369">
        <f t="shared" ca="1" si="153"/>
        <v>0</v>
      </c>
      <c r="AD323" s="369">
        <f t="shared" ca="1" si="153"/>
        <v>0</v>
      </c>
      <c r="AE323" s="384">
        <f t="shared" ca="1" si="153"/>
        <v>0</v>
      </c>
      <c r="AF323" s="1015">
        <f t="shared" ca="1" si="153"/>
        <v>0</v>
      </c>
      <c r="AG323" s="369">
        <f t="shared" ca="1" si="153"/>
        <v>0</v>
      </c>
      <c r="AH323" s="384">
        <f t="shared" ca="1" si="153"/>
        <v>0</v>
      </c>
    </row>
    <row r="324" spans="1:34" s="69" customFormat="1" ht="13.5" thickBot="1">
      <c r="A324" s="314"/>
      <c r="B324" s="314"/>
      <c r="C324" s="314"/>
      <c r="D324" s="314"/>
      <c r="E324" s="4058"/>
      <c r="F324" s="1364" t="s">
        <v>585</v>
      </c>
      <c r="G324" s="387">
        <f t="shared" ref="G324:P324" ca="1" si="154">SUMIF($F$295:$P$318,"Total net expenditure",G295:G318)</f>
        <v>0</v>
      </c>
      <c r="H324" s="388">
        <f t="shared" ca="1" si="154"/>
        <v>0</v>
      </c>
      <c r="I324" s="388">
        <f t="shared" ca="1" si="154"/>
        <v>0</v>
      </c>
      <c r="J324" s="388">
        <f t="shared" ca="1" si="154"/>
        <v>0</v>
      </c>
      <c r="K324" s="389">
        <f t="shared" ca="1" si="154"/>
        <v>0</v>
      </c>
      <c r="L324" s="1016">
        <f t="shared" ca="1" si="154"/>
        <v>0</v>
      </c>
      <c r="M324" s="388">
        <f t="shared" ca="1" si="154"/>
        <v>0</v>
      </c>
      <c r="N324" s="388">
        <f t="shared" ca="1" si="154"/>
        <v>0</v>
      </c>
      <c r="O324" s="388">
        <f t="shared" ca="1" si="154"/>
        <v>0</v>
      </c>
      <c r="P324" s="389">
        <f t="shared" ca="1" si="154"/>
        <v>0</v>
      </c>
      <c r="Q324" s="1172"/>
      <c r="R324" s="1172"/>
      <c r="S324" s="1172"/>
      <c r="T324" s="1172"/>
      <c r="U324" s="1172"/>
      <c r="V324" s="1172"/>
      <c r="W324"/>
      <c r="X324"/>
      <c r="Y324"/>
      <c r="Z324"/>
      <c r="AA324" s="1649">
        <f t="shared" ref="AA324:AH324" ca="1" si="155">SUMIF($F$295:$P$318,"Total net expenditure",AA295:AA318)</f>
        <v>0</v>
      </c>
      <c r="AB324" s="388">
        <f t="shared" ca="1" si="155"/>
        <v>0</v>
      </c>
      <c r="AC324" s="388">
        <f t="shared" ca="1" si="155"/>
        <v>0</v>
      </c>
      <c r="AD324" s="388">
        <f t="shared" ca="1" si="155"/>
        <v>0</v>
      </c>
      <c r="AE324" s="389">
        <f t="shared" ca="1" si="155"/>
        <v>0</v>
      </c>
      <c r="AF324" s="1016">
        <f t="shared" ca="1" si="155"/>
        <v>0</v>
      </c>
      <c r="AG324" s="388">
        <f t="shared" ca="1" si="155"/>
        <v>0</v>
      </c>
      <c r="AH324" s="389">
        <f t="shared" ca="1" si="155"/>
        <v>0</v>
      </c>
    </row>
    <row r="325" spans="1:34" s="69" customFormat="1" ht="40.5" customHeight="1" thickBot="1">
      <c r="A325" s="314"/>
      <c r="B325" s="314"/>
      <c r="C325" s="314"/>
      <c r="D325" s="314"/>
      <c r="E325" s="4059" t="s">
        <v>121</v>
      </c>
      <c r="F325" s="4060"/>
      <c r="G325" s="3982" t="s">
        <v>1787</v>
      </c>
      <c r="H325" s="3980"/>
      <c r="I325" s="3980"/>
      <c r="J325" s="3980"/>
      <c r="K325" s="3980"/>
      <c r="L325" s="3983" t="s">
        <v>1788</v>
      </c>
      <c r="M325" s="3983"/>
      <c r="N325" s="3983"/>
      <c r="O325" s="3983"/>
      <c r="P325" s="3984"/>
      <c r="Q325" s="1172"/>
      <c r="R325" s="1172"/>
      <c r="S325" s="1172"/>
      <c r="T325" s="1172"/>
      <c r="U325" s="1172"/>
      <c r="V325" s="1172"/>
      <c r="W325"/>
      <c r="X325"/>
      <c r="Y325"/>
      <c r="Z325"/>
      <c r="AA325" s="1635"/>
      <c r="AB325" s="1658"/>
      <c r="AC325" s="1658"/>
      <c r="AD325" s="1658"/>
      <c r="AE325" s="1658"/>
      <c r="AF325" s="1658"/>
      <c r="AG325" s="1658"/>
      <c r="AH325" s="1659"/>
    </row>
    <row r="326" spans="1:34" collapsed="1">
      <c r="A326" s="262"/>
      <c r="B326" s="262"/>
      <c r="C326" s="262"/>
      <c r="G326" s="474"/>
      <c r="H326" s="474"/>
      <c r="I326" s="474"/>
      <c r="J326" s="474"/>
      <c r="K326" s="474"/>
      <c r="L326" s="474"/>
      <c r="M326" s="474"/>
      <c r="N326" s="474"/>
      <c r="O326" s="474"/>
      <c r="P326" s="474"/>
      <c r="Q326" s="474"/>
      <c r="R326" s="474"/>
      <c r="S326" s="474"/>
      <c r="T326" s="474"/>
      <c r="U326" s="474"/>
      <c r="V326" s="474"/>
    </row>
    <row r="327" spans="1:34">
      <c r="A327" s="262"/>
      <c r="B327" s="262"/>
      <c r="C327" s="262"/>
      <c r="F327" s="92"/>
      <c r="G327" s="455"/>
      <c r="H327" s="455"/>
      <c r="I327" s="455"/>
      <c r="J327" s="455"/>
      <c r="K327" s="474"/>
      <c r="L327" s="474"/>
      <c r="M327" s="474"/>
      <c r="N327" s="474"/>
      <c r="O327" s="474"/>
      <c r="P327" s="474"/>
      <c r="Q327" s="474"/>
      <c r="R327" s="474"/>
      <c r="S327" s="474"/>
      <c r="T327" s="474"/>
      <c r="U327" s="474"/>
      <c r="V327" s="474"/>
      <c r="AA327" s="455"/>
      <c r="AB327" s="455"/>
      <c r="AC327" s="455"/>
      <c r="AD327" s="455"/>
    </row>
    <row r="328" spans="1:34">
      <c r="A328" s="262"/>
      <c r="B328" s="262"/>
      <c r="C328" s="262"/>
      <c r="F328" s="134"/>
      <c r="G328" s="134"/>
      <c r="H328" s="134"/>
      <c r="I328" s="134"/>
      <c r="J328" s="134"/>
      <c r="K328" s="474"/>
      <c r="L328" s="474"/>
      <c r="M328" s="474"/>
      <c r="N328" s="474"/>
      <c r="O328" s="474"/>
      <c r="P328" s="474"/>
      <c r="Q328" s="474"/>
      <c r="R328" s="474"/>
      <c r="S328" s="474"/>
      <c r="T328" s="474"/>
      <c r="U328" s="474"/>
      <c r="V328" s="474"/>
      <c r="AA328" s="134"/>
      <c r="AB328" s="134"/>
      <c r="AC328" s="134"/>
      <c r="AD328" s="134"/>
    </row>
    <row r="329" spans="1:34">
      <c r="A329" s="262"/>
      <c r="B329" s="262"/>
      <c r="C329" s="262"/>
      <c r="F329" s="92"/>
      <c r="G329" s="455"/>
      <c r="H329" s="455"/>
      <c r="I329" s="455"/>
      <c r="J329" s="455"/>
      <c r="K329" s="474"/>
      <c r="L329" s="474"/>
      <c r="M329" s="474"/>
      <c r="N329" s="474"/>
      <c r="O329" s="474"/>
      <c r="P329" s="474"/>
      <c r="Q329" s="474"/>
      <c r="R329" s="474"/>
      <c r="S329" s="474"/>
      <c r="T329" s="474"/>
      <c r="U329" s="474"/>
      <c r="V329" s="474"/>
      <c r="AA329" s="455"/>
      <c r="AB329" s="455"/>
      <c r="AC329" s="455"/>
      <c r="AD329" s="455"/>
    </row>
    <row r="330" spans="1:34">
      <c r="F330" s="92"/>
      <c r="G330" s="455"/>
      <c r="H330" s="455"/>
      <c r="I330" s="455"/>
      <c r="J330" s="455"/>
      <c r="K330" s="474"/>
      <c r="L330" s="474"/>
      <c r="M330" s="474"/>
      <c r="N330" s="474"/>
      <c r="O330" s="474"/>
      <c r="P330" s="474"/>
      <c r="Q330" s="474"/>
      <c r="R330" s="474"/>
      <c r="S330" s="474"/>
      <c r="T330" s="474"/>
      <c r="U330" s="474"/>
      <c r="V330" s="474"/>
      <c r="AA330" s="455"/>
      <c r="AB330" s="455"/>
      <c r="AC330" s="455"/>
      <c r="AD330" s="455"/>
    </row>
    <row r="331" spans="1:34">
      <c r="F331" s="92"/>
      <c r="G331" s="455"/>
      <c r="H331" s="455"/>
      <c r="I331" s="455"/>
      <c r="J331" s="455"/>
      <c r="K331" s="474"/>
      <c r="L331" s="474"/>
      <c r="M331" s="474"/>
      <c r="N331" s="474"/>
      <c r="O331" s="474"/>
      <c r="P331" s="474"/>
      <c r="Q331" s="474"/>
      <c r="R331" s="474"/>
      <c r="S331" s="474"/>
      <c r="T331" s="474"/>
      <c r="U331" s="474"/>
      <c r="V331" s="474"/>
      <c r="AA331" s="455"/>
      <c r="AB331" s="455"/>
      <c r="AC331" s="455"/>
      <c r="AD331" s="455"/>
    </row>
    <row r="332" spans="1:34">
      <c r="F332" s="92"/>
      <c r="G332" s="455"/>
      <c r="H332" s="455"/>
      <c r="I332" s="455"/>
      <c r="J332" s="455"/>
      <c r="K332" s="474"/>
      <c r="L332" s="474"/>
      <c r="M332" s="474"/>
      <c r="N332" s="474"/>
      <c r="O332" s="474"/>
      <c r="P332" s="474"/>
      <c r="Q332" s="474"/>
      <c r="R332" s="474"/>
      <c r="S332" s="474"/>
      <c r="T332" s="474"/>
      <c r="U332" s="474"/>
      <c r="V332" s="474"/>
      <c r="AA332" s="455"/>
      <c r="AB332" s="455"/>
      <c r="AC332" s="455"/>
      <c r="AD332" s="455"/>
    </row>
    <row r="333" spans="1:34">
      <c r="F333" s="92"/>
      <c r="G333" s="455"/>
      <c r="H333" s="455"/>
      <c r="I333" s="455"/>
      <c r="J333" s="455"/>
      <c r="K333" s="474"/>
      <c r="L333" s="474"/>
      <c r="M333" s="474"/>
      <c r="N333" s="474"/>
      <c r="O333" s="474"/>
      <c r="P333" s="474"/>
      <c r="Q333" s="474"/>
      <c r="R333" s="474"/>
      <c r="S333" s="474"/>
      <c r="T333" s="474"/>
      <c r="U333" s="474"/>
      <c r="V333" s="474"/>
      <c r="AA333" s="455"/>
      <c r="AB333" s="455"/>
      <c r="AC333" s="455"/>
      <c r="AD333" s="455"/>
    </row>
    <row r="334" spans="1:34">
      <c r="F334" s="92"/>
      <c r="G334" s="455"/>
      <c r="H334" s="455"/>
      <c r="I334" s="455"/>
      <c r="J334" s="455"/>
      <c r="K334" s="474"/>
      <c r="L334" s="474"/>
      <c r="M334" s="474"/>
      <c r="N334" s="474"/>
      <c r="O334" s="474"/>
      <c r="P334" s="474"/>
      <c r="Q334" s="474"/>
      <c r="R334" s="474"/>
      <c r="S334" s="474"/>
      <c r="T334" s="474"/>
      <c r="U334" s="474"/>
      <c r="V334" s="474"/>
      <c r="AA334" s="455"/>
      <c r="AB334" s="455"/>
      <c r="AC334" s="455"/>
      <c r="AD334" s="455"/>
    </row>
    <row r="335" spans="1:34">
      <c r="F335" s="92"/>
      <c r="G335" s="455"/>
      <c r="H335" s="455"/>
      <c r="I335" s="455"/>
      <c r="J335" s="455"/>
      <c r="K335" s="474"/>
      <c r="L335" s="474"/>
      <c r="M335" s="474"/>
      <c r="N335" s="474"/>
      <c r="O335" s="474"/>
      <c r="P335" s="474"/>
      <c r="Q335" s="474"/>
      <c r="R335" s="474"/>
      <c r="S335" s="474"/>
      <c r="T335" s="474"/>
      <c r="U335" s="474"/>
      <c r="V335" s="474"/>
      <c r="AA335" s="455"/>
      <c r="AB335" s="455"/>
      <c r="AC335" s="455"/>
      <c r="AD335" s="455"/>
    </row>
    <row r="336" spans="1:34">
      <c r="F336" s="92"/>
      <c r="G336" s="455"/>
      <c r="H336" s="455"/>
      <c r="I336" s="455"/>
      <c r="J336" s="455"/>
      <c r="K336" s="474"/>
      <c r="L336" s="474"/>
      <c r="M336" s="474"/>
      <c r="N336" s="474"/>
      <c r="O336" s="474"/>
      <c r="P336" s="474"/>
      <c r="Q336" s="474"/>
      <c r="R336" s="474"/>
      <c r="S336" s="474"/>
      <c r="T336" s="474"/>
      <c r="U336" s="474"/>
      <c r="V336" s="474"/>
      <c r="AA336" s="455"/>
      <c r="AB336" s="455"/>
      <c r="AC336" s="455"/>
      <c r="AD336" s="455"/>
    </row>
    <row r="337" spans="6:30">
      <c r="F337" s="92"/>
      <c r="G337" s="455"/>
      <c r="H337" s="455"/>
      <c r="I337" s="455"/>
      <c r="J337" s="455"/>
      <c r="K337" s="474"/>
      <c r="L337" s="474"/>
      <c r="M337" s="474"/>
      <c r="N337" s="474"/>
      <c r="O337" s="474"/>
      <c r="P337" s="474"/>
      <c r="Q337" s="474"/>
      <c r="R337" s="474"/>
      <c r="S337" s="474"/>
      <c r="T337" s="474"/>
      <c r="U337" s="474"/>
      <c r="V337" s="474"/>
      <c r="AA337" s="455"/>
      <c r="AB337" s="455"/>
      <c r="AC337" s="455"/>
      <c r="AD337" s="455"/>
    </row>
    <row r="338" spans="6:30">
      <c r="F338" s="92"/>
      <c r="G338" s="455"/>
      <c r="H338" s="455"/>
      <c r="I338" s="455"/>
      <c r="J338" s="455"/>
      <c r="K338" s="474"/>
      <c r="L338" s="474"/>
      <c r="M338" s="474"/>
      <c r="N338" s="474"/>
      <c r="O338" s="474"/>
      <c r="P338" s="474"/>
      <c r="Q338" s="474"/>
      <c r="R338" s="474"/>
      <c r="S338" s="474"/>
      <c r="T338" s="474"/>
      <c r="U338" s="474"/>
      <c r="V338" s="474"/>
      <c r="AA338" s="455"/>
      <c r="AB338" s="455"/>
      <c r="AC338" s="455"/>
      <c r="AD338" s="455"/>
    </row>
    <row r="339" spans="6:30">
      <c r="F339" s="92"/>
      <c r="G339" s="455"/>
      <c r="H339" s="455"/>
      <c r="I339" s="455"/>
      <c r="J339" s="455"/>
      <c r="K339" s="474"/>
      <c r="L339" s="474"/>
      <c r="M339" s="474"/>
      <c r="N339" s="474"/>
      <c r="O339" s="474"/>
      <c r="P339" s="474"/>
      <c r="Q339" s="474"/>
      <c r="R339" s="474"/>
      <c r="S339" s="474"/>
      <c r="T339" s="474"/>
      <c r="U339" s="474"/>
      <c r="V339" s="474"/>
      <c r="AA339" s="455"/>
      <c r="AB339" s="455"/>
      <c r="AC339" s="455"/>
      <c r="AD339" s="455"/>
    </row>
    <row r="340" spans="6:30">
      <c r="F340" s="134"/>
      <c r="G340" s="134"/>
      <c r="H340" s="134"/>
      <c r="I340" s="134"/>
      <c r="J340" s="134"/>
      <c r="K340" s="474"/>
      <c r="L340" s="474"/>
      <c r="M340" s="474"/>
      <c r="N340" s="474"/>
      <c r="O340" s="474"/>
      <c r="P340" s="474"/>
      <c r="Q340" s="474"/>
      <c r="R340" s="474"/>
      <c r="S340" s="474"/>
      <c r="T340" s="474"/>
      <c r="U340" s="474"/>
      <c r="V340" s="474"/>
      <c r="AA340" s="134"/>
      <c r="AB340" s="134"/>
      <c r="AC340" s="134"/>
      <c r="AD340" s="134"/>
    </row>
    <row r="341" spans="6:30">
      <c r="F341" s="92"/>
      <c r="G341" s="455"/>
      <c r="H341" s="455"/>
      <c r="I341" s="455"/>
      <c r="J341" s="455"/>
      <c r="K341" s="474"/>
      <c r="L341" s="474"/>
      <c r="M341" s="474"/>
      <c r="N341" s="474"/>
      <c r="O341" s="474"/>
      <c r="P341" s="474"/>
      <c r="Q341" s="474"/>
      <c r="R341" s="474"/>
      <c r="S341" s="474"/>
      <c r="T341" s="474"/>
      <c r="U341" s="474"/>
      <c r="V341" s="474"/>
      <c r="AA341" s="455"/>
      <c r="AB341" s="455"/>
      <c r="AC341" s="455"/>
      <c r="AD341" s="455"/>
    </row>
    <row r="342" spans="6:30">
      <c r="F342" s="92"/>
      <c r="G342" s="455"/>
      <c r="H342" s="455"/>
      <c r="I342" s="455"/>
      <c r="J342" s="455"/>
      <c r="K342" s="474"/>
      <c r="L342" s="474"/>
      <c r="M342" s="474"/>
      <c r="N342" s="474"/>
      <c r="O342" s="474"/>
      <c r="P342" s="474"/>
      <c r="Q342" s="474"/>
      <c r="R342" s="474"/>
      <c r="S342" s="474"/>
      <c r="T342" s="474"/>
      <c r="U342" s="474"/>
      <c r="V342" s="474"/>
      <c r="AA342" s="455"/>
      <c r="AB342" s="455"/>
      <c r="AC342" s="455"/>
      <c r="AD342" s="455"/>
    </row>
    <row r="343" spans="6:30">
      <c r="F343" s="92"/>
      <c r="G343" s="455"/>
      <c r="H343" s="455"/>
      <c r="I343" s="455"/>
      <c r="J343" s="455"/>
      <c r="K343" s="474"/>
      <c r="L343" s="474"/>
      <c r="M343" s="474"/>
      <c r="N343" s="474"/>
      <c r="O343" s="474"/>
      <c r="P343" s="474"/>
      <c r="Q343" s="474"/>
      <c r="R343" s="474"/>
      <c r="S343" s="474"/>
      <c r="T343" s="474"/>
      <c r="U343" s="474"/>
      <c r="V343" s="474"/>
      <c r="AA343" s="455"/>
      <c r="AB343" s="455"/>
      <c r="AC343" s="455"/>
      <c r="AD343" s="455"/>
    </row>
    <row r="344" spans="6:30">
      <c r="F344" s="92"/>
      <c r="G344" s="455"/>
      <c r="H344" s="455"/>
      <c r="I344" s="455"/>
      <c r="J344" s="455"/>
      <c r="K344" s="474"/>
      <c r="L344" s="474"/>
      <c r="M344" s="474"/>
      <c r="N344" s="474"/>
      <c r="O344" s="474"/>
      <c r="P344" s="474"/>
      <c r="Q344" s="474"/>
      <c r="R344" s="474"/>
      <c r="S344" s="474"/>
      <c r="T344" s="474"/>
      <c r="U344" s="474"/>
      <c r="V344" s="474"/>
      <c r="AA344" s="455"/>
      <c r="AB344" s="455"/>
      <c r="AC344" s="455"/>
      <c r="AD344" s="455"/>
    </row>
    <row r="345" spans="6:30">
      <c r="F345" s="92"/>
      <c r="G345" s="455"/>
      <c r="H345" s="455"/>
      <c r="I345" s="455"/>
      <c r="J345" s="455"/>
      <c r="K345" s="474"/>
      <c r="L345" s="474"/>
      <c r="M345" s="474"/>
      <c r="N345" s="474"/>
      <c r="O345" s="474"/>
      <c r="P345" s="474"/>
      <c r="Q345" s="474"/>
      <c r="R345" s="474"/>
      <c r="S345" s="474"/>
      <c r="T345" s="474"/>
      <c r="U345" s="474"/>
      <c r="V345" s="474"/>
      <c r="AA345" s="455"/>
      <c r="AB345" s="455"/>
      <c r="AC345" s="455"/>
      <c r="AD345" s="455"/>
    </row>
    <row r="346" spans="6:30">
      <c r="F346" s="92"/>
      <c r="G346" s="455"/>
      <c r="H346" s="455"/>
      <c r="I346" s="455"/>
      <c r="J346" s="455"/>
      <c r="K346" s="474"/>
      <c r="L346" s="474"/>
      <c r="M346" s="474"/>
      <c r="N346" s="474"/>
      <c r="O346" s="474"/>
      <c r="P346" s="474"/>
      <c r="Q346" s="474"/>
      <c r="R346" s="474"/>
      <c r="S346" s="474"/>
      <c r="T346" s="474"/>
      <c r="U346" s="474"/>
      <c r="V346" s="474"/>
      <c r="AA346" s="455"/>
      <c r="AB346" s="455"/>
      <c r="AC346" s="455"/>
      <c r="AD346" s="455"/>
    </row>
    <row r="347" spans="6:30">
      <c r="F347" s="92"/>
      <c r="G347" s="455"/>
      <c r="H347" s="455"/>
      <c r="I347" s="455"/>
      <c r="J347" s="455"/>
      <c r="K347" s="474"/>
      <c r="L347" s="474"/>
      <c r="M347" s="474"/>
      <c r="N347" s="474"/>
      <c r="O347" s="474"/>
      <c r="P347" s="474"/>
      <c r="Q347" s="474"/>
      <c r="R347" s="474"/>
      <c r="S347" s="474"/>
      <c r="T347" s="474"/>
      <c r="U347" s="474"/>
      <c r="V347" s="474"/>
      <c r="AA347" s="455"/>
      <c r="AB347" s="455"/>
      <c r="AC347" s="455"/>
      <c r="AD347" s="455"/>
    </row>
    <row r="348" spans="6:30">
      <c r="F348" s="92"/>
      <c r="G348" s="455"/>
      <c r="H348" s="455"/>
      <c r="I348" s="455"/>
      <c r="J348" s="455"/>
      <c r="K348" s="474"/>
      <c r="L348" s="474"/>
      <c r="M348" s="474"/>
      <c r="N348" s="474"/>
      <c r="O348" s="474"/>
      <c r="P348" s="474"/>
      <c r="Q348" s="474"/>
      <c r="R348" s="474"/>
      <c r="S348" s="474"/>
      <c r="T348" s="474"/>
      <c r="U348" s="474"/>
      <c r="V348" s="474"/>
      <c r="AA348" s="455"/>
      <c r="AB348" s="455"/>
      <c r="AC348" s="455"/>
      <c r="AD348" s="455"/>
    </row>
    <row r="349" spans="6:30">
      <c r="F349" s="92"/>
      <c r="G349" s="455"/>
      <c r="H349" s="455"/>
      <c r="I349" s="455"/>
      <c r="J349" s="455"/>
      <c r="K349" s="474"/>
      <c r="L349" s="474"/>
      <c r="M349" s="474"/>
      <c r="N349" s="474"/>
      <c r="O349" s="474"/>
      <c r="P349" s="474"/>
      <c r="Q349" s="474"/>
      <c r="R349" s="474"/>
      <c r="S349" s="474"/>
      <c r="T349" s="474"/>
      <c r="U349" s="474"/>
      <c r="V349" s="474"/>
      <c r="AA349" s="455"/>
      <c r="AB349" s="455"/>
      <c r="AC349" s="455"/>
      <c r="AD349" s="455"/>
    </row>
    <row r="350" spans="6:30">
      <c r="F350" s="92"/>
      <c r="G350" s="455"/>
      <c r="H350" s="455"/>
      <c r="I350" s="455"/>
      <c r="J350" s="455"/>
      <c r="K350" s="474"/>
      <c r="L350" s="474"/>
      <c r="M350" s="474"/>
      <c r="N350" s="474"/>
      <c r="O350" s="474"/>
      <c r="P350" s="474"/>
      <c r="Q350" s="474"/>
      <c r="R350" s="474"/>
      <c r="S350" s="474"/>
      <c r="T350" s="474"/>
      <c r="U350" s="474"/>
      <c r="V350" s="474"/>
      <c r="AA350" s="455"/>
      <c r="AB350" s="455"/>
      <c r="AC350" s="455"/>
      <c r="AD350" s="455"/>
    </row>
    <row r="351" spans="6:30">
      <c r="F351" s="92"/>
      <c r="G351" s="455"/>
      <c r="H351" s="455"/>
      <c r="I351" s="455"/>
      <c r="J351" s="455"/>
      <c r="K351" s="474"/>
      <c r="L351" s="474"/>
      <c r="M351" s="474"/>
      <c r="N351" s="474"/>
      <c r="O351" s="474"/>
      <c r="P351" s="474"/>
      <c r="Q351" s="474"/>
      <c r="R351" s="474"/>
      <c r="S351" s="474"/>
      <c r="T351" s="474"/>
      <c r="U351" s="474"/>
      <c r="V351" s="474"/>
      <c r="AA351" s="455"/>
      <c r="AB351" s="455"/>
      <c r="AC351" s="455"/>
      <c r="AD351" s="455"/>
    </row>
    <row r="352" spans="6:30">
      <c r="F352" s="129"/>
      <c r="G352" s="1155"/>
      <c r="H352" s="1155"/>
      <c r="I352" s="1155"/>
      <c r="J352" s="1155"/>
      <c r="K352" s="474"/>
      <c r="L352" s="474"/>
      <c r="M352" s="474"/>
      <c r="N352" s="474"/>
      <c r="O352" s="474"/>
      <c r="P352" s="474"/>
      <c r="Q352" s="474"/>
      <c r="R352" s="474"/>
      <c r="S352" s="474"/>
      <c r="T352" s="474"/>
      <c r="U352" s="474"/>
      <c r="V352" s="474"/>
      <c r="AA352" s="1155"/>
      <c r="AB352" s="1155"/>
      <c r="AC352" s="1155"/>
      <c r="AD352" s="1155"/>
    </row>
    <row r="353" spans="6:30">
      <c r="F353" s="129"/>
      <c r="G353" s="1155"/>
      <c r="H353" s="1155"/>
      <c r="I353" s="1155"/>
      <c r="J353" s="1155"/>
      <c r="K353" s="474"/>
      <c r="L353" s="474"/>
      <c r="M353" s="474"/>
      <c r="N353" s="474"/>
      <c r="O353" s="474"/>
      <c r="P353" s="474"/>
      <c r="Q353" s="474"/>
      <c r="R353" s="474"/>
      <c r="S353" s="474"/>
      <c r="T353" s="474"/>
      <c r="U353" s="474"/>
      <c r="V353" s="474"/>
      <c r="AA353" s="1155"/>
      <c r="AB353" s="1155"/>
      <c r="AC353" s="1155"/>
      <c r="AD353" s="1155"/>
    </row>
    <row r="354" spans="6:30">
      <c r="F354" s="129"/>
      <c r="G354" s="1155"/>
      <c r="H354" s="1155"/>
      <c r="I354" s="1155"/>
      <c r="J354" s="1155"/>
      <c r="K354" s="474"/>
      <c r="L354" s="474"/>
      <c r="M354" s="474"/>
      <c r="N354" s="474"/>
      <c r="O354" s="474"/>
      <c r="P354" s="474"/>
      <c r="Q354" s="474"/>
      <c r="R354" s="474"/>
      <c r="S354" s="474"/>
      <c r="T354" s="474"/>
      <c r="U354" s="474"/>
      <c r="V354" s="474"/>
      <c r="AA354" s="1155"/>
      <c r="AB354" s="1155"/>
      <c r="AC354" s="1155"/>
      <c r="AD354" s="1155"/>
    </row>
    <row r="355" spans="6:30">
      <c r="F355" s="129"/>
      <c r="G355" s="1155"/>
      <c r="H355" s="1155"/>
      <c r="I355" s="1155"/>
      <c r="J355" s="1155"/>
      <c r="K355" s="474"/>
      <c r="L355" s="474"/>
      <c r="M355" s="474"/>
      <c r="N355" s="474"/>
      <c r="O355" s="474"/>
      <c r="P355" s="474"/>
      <c r="Q355" s="474"/>
      <c r="R355" s="474"/>
      <c r="S355" s="474"/>
      <c r="T355" s="474"/>
      <c r="U355" s="474"/>
      <c r="V355" s="474"/>
      <c r="AA355" s="1155"/>
      <c r="AB355" s="1155"/>
      <c r="AC355" s="1155"/>
      <c r="AD355" s="1155"/>
    </row>
    <row r="356" spans="6:30">
      <c r="F356" s="129"/>
      <c r="G356" s="1155"/>
      <c r="H356" s="1155"/>
      <c r="I356" s="1155"/>
      <c r="J356" s="1155"/>
      <c r="K356" s="474"/>
      <c r="L356" s="474"/>
      <c r="M356" s="474"/>
      <c r="N356" s="474"/>
      <c r="O356" s="474"/>
      <c r="P356" s="474"/>
      <c r="Q356" s="474"/>
      <c r="R356" s="474"/>
      <c r="S356" s="474"/>
      <c r="T356" s="474"/>
      <c r="U356" s="474"/>
      <c r="V356" s="474"/>
      <c r="AA356" s="1155"/>
      <c r="AB356" s="1155"/>
      <c r="AC356" s="1155"/>
      <c r="AD356" s="1155"/>
    </row>
    <row r="357" spans="6:30">
      <c r="F357" s="129"/>
      <c r="G357" s="1155"/>
      <c r="H357" s="1155"/>
      <c r="I357" s="1155"/>
      <c r="J357" s="1155"/>
      <c r="K357" s="474"/>
      <c r="L357" s="474"/>
      <c r="M357" s="474"/>
      <c r="N357" s="474"/>
      <c r="O357" s="474"/>
      <c r="P357" s="474"/>
      <c r="Q357" s="474"/>
      <c r="R357" s="474"/>
      <c r="S357" s="474"/>
      <c r="T357" s="474"/>
      <c r="U357" s="474"/>
      <c r="V357" s="474"/>
      <c r="AA357" s="1155"/>
      <c r="AB357" s="1155"/>
      <c r="AC357" s="1155"/>
      <c r="AD357" s="1155"/>
    </row>
    <row r="358" spans="6:30">
      <c r="F358" s="129"/>
      <c r="G358" s="1155"/>
      <c r="H358" s="1155"/>
      <c r="I358" s="1155"/>
      <c r="J358" s="1155"/>
      <c r="K358" s="474"/>
      <c r="L358" s="474"/>
      <c r="M358" s="474"/>
      <c r="N358" s="474"/>
      <c r="O358" s="474"/>
      <c r="P358" s="474"/>
      <c r="Q358" s="474"/>
      <c r="R358" s="474"/>
      <c r="S358" s="474"/>
      <c r="T358" s="474"/>
      <c r="U358" s="474"/>
      <c r="V358" s="474"/>
      <c r="AA358" s="1155"/>
      <c r="AB358" s="1155"/>
      <c r="AC358" s="1155"/>
      <c r="AD358" s="1155"/>
    </row>
    <row r="359" spans="6:30">
      <c r="F359" s="129"/>
      <c r="G359" s="1155"/>
      <c r="H359" s="1155"/>
      <c r="I359" s="1155"/>
      <c r="J359" s="1155"/>
      <c r="K359" s="474"/>
      <c r="L359" s="474"/>
      <c r="M359" s="474"/>
      <c r="N359" s="474"/>
      <c r="O359" s="474"/>
      <c r="P359" s="474"/>
      <c r="Q359" s="474"/>
      <c r="R359" s="474"/>
      <c r="S359" s="474"/>
      <c r="T359" s="474"/>
      <c r="U359" s="474"/>
      <c r="V359" s="474"/>
      <c r="AA359" s="1155"/>
      <c r="AB359" s="1155"/>
      <c r="AC359" s="1155"/>
      <c r="AD359" s="1155"/>
    </row>
    <row r="360" spans="6:30">
      <c r="F360" s="129"/>
      <c r="G360" s="1155"/>
      <c r="H360" s="1155"/>
      <c r="I360" s="1155"/>
      <c r="J360" s="1155"/>
      <c r="K360" s="474"/>
      <c r="L360" s="474"/>
      <c r="M360" s="474"/>
      <c r="N360" s="474"/>
      <c r="O360" s="474"/>
      <c r="P360" s="474"/>
      <c r="Q360" s="474"/>
      <c r="R360" s="474"/>
      <c r="S360" s="474"/>
      <c r="T360" s="474"/>
      <c r="U360" s="474"/>
      <c r="V360" s="474"/>
      <c r="AA360" s="1155"/>
      <c r="AB360" s="1155"/>
      <c r="AC360" s="1155"/>
      <c r="AD360" s="1155"/>
    </row>
    <row r="361" spans="6:30">
      <c r="F361" s="129"/>
      <c r="G361" s="1155"/>
      <c r="H361" s="1155"/>
      <c r="I361" s="1155"/>
      <c r="J361" s="1155"/>
      <c r="K361" s="474"/>
      <c r="L361" s="474"/>
      <c r="M361" s="474"/>
      <c r="N361" s="474"/>
      <c r="O361" s="474"/>
      <c r="P361" s="474"/>
      <c r="Q361" s="474"/>
      <c r="R361" s="474"/>
      <c r="S361" s="474"/>
      <c r="T361" s="474"/>
      <c r="U361" s="474"/>
      <c r="V361" s="474"/>
      <c r="AA361" s="1155"/>
      <c r="AB361" s="1155"/>
      <c r="AC361" s="1155"/>
      <c r="AD361" s="1155"/>
    </row>
    <row r="362" spans="6:30">
      <c r="F362" s="129"/>
      <c r="G362" s="1155"/>
      <c r="H362" s="1155"/>
      <c r="I362" s="1155"/>
      <c r="J362" s="1155"/>
      <c r="K362" s="474"/>
      <c r="L362" s="474"/>
      <c r="M362" s="474"/>
      <c r="N362" s="474"/>
      <c r="O362" s="474"/>
      <c r="P362" s="474"/>
      <c r="Q362" s="474"/>
      <c r="R362" s="474"/>
      <c r="S362" s="474"/>
      <c r="T362" s="474"/>
      <c r="U362" s="474"/>
      <c r="V362" s="474"/>
      <c r="AA362" s="1155"/>
      <c r="AB362" s="1155"/>
      <c r="AC362" s="1155"/>
      <c r="AD362" s="1155"/>
    </row>
    <row r="363" spans="6:30">
      <c r="F363" s="129"/>
      <c r="G363" s="1155"/>
      <c r="H363" s="1155"/>
      <c r="I363" s="1155"/>
      <c r="J363" s="1155"/>
      <c r="K363" s="474"/>
      <c r="L363" s="474"/>
      <c r="M363" s="474"/>
      <c r="N363" s="474"/>
      <c r="O363" s="474"/>
      <c r="P363" s="474"/>
      <c r="Q363" s="474"/>
      <c r="R363" s="474"/>
      <c r="S363" s="474"/>
      <c r="T363" s="474"/>
      <c r="U363" s="474"/>
      <c r="V363" s="474"/>
      <c r="AA363" s="1155"/>
      <c r="AB363" s="1155"/>
      <c r="AC363" s="1155"/>
      <c r="AD363" s="1155"/>
    </row>
    <row r="364" spans="6:30">
      <c r="F364" s="129"/>
      <c r="G364" s="1155"/>
      <c r="H364" s="1155"/>
      <c r="I364" s="1155"/>
      <c r="J364" s="1155"/>
      <c r="K364" s="474"/>
      <c r="L364" s="474"/>
      <c r="M364" s="474"/>
      <c r="N364" s="474"/>
      <c r="O364" s="474"/>
      <c r="P364" s="474"/>
      <c r="Q364" s="474"/>
      <c r="R364" s="474"/>
      <c r="S364" s="474"/>
      <c r="T364" s="474"/>
      <c r="U364" s="474"/>
      <c r="V364" s="474"/>
      <c r="AA364" s="1155"/>
      <c r="AB364" s="1155"/>
      <c r="AC364" s="1155"/>
      <c r="AD364" s="1155"/>
    </row>
    <row r="365" spans="6:30">
      <c r="F365" s="129"/>
      <c r="G365" s="1155"/>
      <c r="H365" s="1155"/>
      <c r="I365" s="1155"/>
      <c r="J365" s="1155"/>
      <c r="K365" s="474"/>
      <c r="L365" s="474"/>
      <c r="M365" s="474"/>
      <c r="N365" s="474"/>
      <c r="O365" s="474"/>
      <c r="P365" s="474"/>
      <c r="Q365" s="474"/>
      <c r="R365" s="474"/>
      <c r="S365" s="474"/>
      <c r="T365" s="474"/>
      <c r="U365" s="474"/>
      <c r="V365" s="474"/>
      <c r="AA365" s="1155"/>
      <c r="AB365" s="1155"/>
      <c r="AC365" s="1155"/>
      <c r="AD365" s="1155"/>
    </row>
    <row r="366" spans="6:30">
      <c r="F366" s="129"/>
      <c r="G366" s="1155"/>
      <c r="H366" s="1155"/>
      <c r="I366" s="1155"/>
      <c r="J366" s="1155"/>
      <c r="K366" s="474"/>
      <c r="L366" s="474"/>
      <c r="M366" s="474"/>
      <c r="N366" s="474"/>
      <c r="O366" s="474"/>
      <c r="P366" s="474"/>
      <c r="Q366" s="474"/>
      <c r="R366" s="474"/>
      <c r="S366" s="474"/>
      <c r="T366" s="474"/>
      <c r="U366" s="474"/>
      <c r="V366" s="474"/>
      <c r="AA366" s="1155"/>
      <c r="AB366" s="1155"/>
      <c r="AC366" s="1155"/>
      <c r="AD366" s="1155"/>
    </row>
    <row r="367" spans="6:30">
      <c r="F367" s="129"/>
      <c r="G367" s="1155"/>
      <c r="H367" s="1155"/>
      <c r="I367" s="1155"/>
      <c r="J367" s="1155"/>
      <c r="K367" s="474"/>
      <c r="L367" s="474"/>
      <c r="M367" s="474"/>
      <c r="N367" s="474"/>
      <c r="O367" s="474"/>
      <c r="P367" s="474"/>
      <c r="Q367" s="474"/>
      <c r="R367" s="474"/>
      <c r="S367" s="474"/>
      <c r="T367" s="474"/>
      <c r="U367" s="474"/>
      <c r="V367" s="474"/>
      <c r="AA367" s="1155"/>
      <c r="AB367" s="1155"/>
      <c r="AC367" s="1155"/>
      <c r="AD367" s="1155"/>
    </row>
    <row r="368" spans="6:30">
      <c r="F368" s="129"/>
      <c r="G368" s="1155"/>
      <c r="H368" s="1155"/>
      <c r="I368" s="1155"/>
      <c r="J368" s="1155"/>
      <c r="K368" s="474"/>
      <c r="L368" s="474"/>
      <c r="M368" s="474"/>
      <c r="N368" s="474"/>
      <c r="O368" s="474"/>
      <c r="P368" s="474"/>
      <c r="Q368" s="474"/>
      <c r="R368" s="474"/>
      <c r="S368" s="474"/>
      <c r="T368" s="474"/>
      <c r="U368" s="474"/>
      <c r="V368" s="474"/>
      <c r="AA368" s="1155"/>
      <c r="AB368" s="1155"/>
      <c r="AC368" s="1155"/>
      <c r="AD368" s="1155"/>
    </row>
    <row r="369" spans="6:30">
      <c r="F369" s="129"/>
      <c r="G369" s="1155"/>
      <c r="H369" s="1155"/>
      <c r="I369" s="1155"/>
      <c r="J369" s="1155"/>
      <c r="K369" s="474"/>
      <c r="L369" s="474"/>
      <c r="M369" s="474"/>
      <c r="N369" s="474"/>
      <c r="O369" s="474"/>
      <c r="P369" s="474"/>
      <c r="Q369" s="474"/>
      <c r="R369" s="474"/>
      <c r="S369" s="474"/>
      <c r="T369" s="474"/>
      <c r="U369" s="474"/>
      <c r="V369" s="474"/>
      <c r="AA369" s="1155"/>
      <c r="AB369" s="1155"/>
      <c r="AC369" s="1155"/>
      <c r="AD369" s="1155"/>
    </row>
    <row r="370" spans="6:30">
      <c r="F370" s="129"/>
      <c r="G370" s="1155"/>
      <c r="H370" s="1155"/>
      <c r="I370" s="1155"/>
      <c r="J370" s="1155"/>
      <c r="K370" s="474"/>
      <c r="L370" s="474"/>
      <c r="M370" s="474"/>
      <c r="N370" s="474"/>
      <c r="O370" s="474"/>
      <c r="P370" s="474"/>
      <c r="Q370" s="474"/>
      <c r="R370" s="474"/>
      <c r="S370" s="474"/>
      <c r="T370" s="474"/>
      <c r="U370" s="474"/>
      <c r="V370" s="474"/>
      <c r="AA370" s="1155"/>
      <c r="AB370" s="1155"/>
      <c r="AC370" s="1155"/>
      <c r="AD370" s="1155"/>
    </row>
    <row r="371" spans="6:30">
      <c r="F371" s="129"/>
      <c r="G371" s="1155"/>
      <c r="H371" s="1155"/>
      <c r="I371" s="1155"/>
      <c r="J371" s="1155"/>
      <c r="K371" s="474"/>
      <c r="L371" s="474"/>
      <c r="M371" s="474"/>
      <c r="N371" s="474"/>
      <c r="O371" s="474"/>
      <c r="P371" s="474"/>
      <c r="Q371" s="474"/>
      <c r="R371" s="474"/>
      <c r="S371" s="474"/>
      <c r="T371" s="474"/>
      <c r="U371" s="474"/>
      <c r="V371" s="474"/>
      <c r="AA371" s="1155"/>
      <c r="AB371" s="1155"/>
      <c r="AC371" s="1155"/>
      <c r="AD371" s="1155"/>
    </row>
    <row r="372" spans="6:30">
      <c r="F372" s="129"/>
      <c r="G372" s="1155"/>
      <c r="H372" s="1155"/>
      <c r="I372" s="1155"/>
      <c r="J372" s="1155"/>
      <c r="K372" s="474"/>
      <c r="L372" s="474"/>
      <c r="M372" s="474"/>
      <c r="N372" s="474"/>
      <c r="O372" s="474"/>
      <c r="P372" s="474"/>
      <c r="Q372" s="474"/>
      <c r="R372" s="474"/>
      <c r="S372" s="474"/>
      <c r="T372" s="474"/>
      <c r="U372" s="474"/>
      <c r="V372" s="474"/>
      <c r="AA372" s="1155"/>
      <c r="AB372" s="1155"/>
      <c r="AC372" s="1155"/>
      <c r="AD372" s="1155"/>
    </row>
    <row r="373" spans="6:30">
      <c r="F373" s="129"/>
      <c r="G373" s="1155"/>
      <c r="H373" s="1155"/>
      <c r="I373" s="1155"/>
      <c r="J373" s="1155"/>
      <c r="K373" s="474"/>
      <c r="L373" s="474"/>
      <c r="M373" s="474"/>
      <c r="N373" s="474"/>
      <c r="O373" s="474"/>
      <c r="P373" s="474"/>
      <c r="Q373" s="474"/>
      <c r="R373" s="474"/>
      <c r="S373" s="474"/>
      <c r="T373" s="474"/>
      <c r="U373" s="474"/>
      <c r="V373" s="474"/>
      <c r="AA373" s="1155"/>
      <c r="AB373" s="1155"/>
      <c r="AC373" s="1155"/>
      <c r="AD373" s="1155"/>
    </row>
    <row r="374" spans="6:30">
      <c r="F374" s="129"/>
      <c r="G374" s="1155"/>
      <c r="H374" s="1155"/>
      <c r="I374" s="1155"/>
      <c r="J374" s="1155"/>
      <c r="K374" s="474"/>
      <c r="L374" s="474"/>
      <c r="M374" s="474"/>
      <c r="N374" s="474"/>
      <c r="O374" s="474"/>
      <c r="P374" s="474"/>
      <c r="Q374" s="474"/>
      <c r="R374" s="474"/>
      <c r="S374" s="474"/>
      <c r="T374" s="474"/>
      <c r="U374" s="474"/>
      <c r="V374" s="474"/>
      <c r="AA374" s="1155"/>
      <c r="AB374" s="1155"/>
      <c r="AC374" s="1155"/>
      <c r="AD374" s="1155"/>
    </row>
    <row r="375" spans="6:30">
      <c r="F375" s="129"/>
      <c r="G375" s="1155"/>
      <c r="H375" s="1155"/>
      <c r="I375" s="1155"/>
      <c r="J375" s="1155"/>
      <c r="K375" s="474"/>
      <c r="L375" s="474"/>
      <c r="M375" s="474"/>
      <c r="N375" s="474"/>
      <c r="O375" s="474"/>
      <c r="P375" s="474"/>
      <c r="Q375" s="474"/>
      <c r="R375" s="474"/>
      <c r="S375" s="474"/>
      <c r="T375" s="474"/>
      <c r="U375" s="474"/>
      <c r="V375" s="474"/>
      <c r="AA375" s="1155"/>
      <c r="AB375" s="1155"/>
      <c r="AC375" s="1155"/>
      <c r="AD375" s="1155"/>
    </row>
    <row r="376" spans="6:30">
      <c r="F376" s="129"/>
      <c r="G376" s="1155"/>
      <c r="H376" s="1155"/>
      <c r="I376" s="1155"/>
      <c r="J376" s="1155"/>
      <c r="K376" s="474"/>
      <c r="L376" s="474"/>
      <c r="M376" s="474"/>
      <c r="N376" s="474"/>
      <c r="O376" s="474"/>
      <c r="P376" s="474"/>
      <c r="Q376" s="474"/>
      <c r="R376" s="474"/>
      <c r="S376" s="474"/>
      <c r="T376" s="474"/>
      <c r="U376" s="474"/>
      <c r="V376" s="474"/>
      <c r="AA376" s="1155"/>
      <c r="AB376" s="1155"/>
      <c r="AC376" s="1155"/>
      <c r="AD376" s="1155"/>
    </row>
    <row r="377" spans="6:30">
      <c r="F377" s="129"/>
      <c r="G377" s="1155"/>
      <c r="H377" s="1155"/>
      <c r="I377" s="1155"/>
      <c r="J377" s="1155"/>
      <c r="K377" s="474"/>
      <c r="L377" s="474"/>
      <c r="M377" s="474"/>
      <c r="N377" s="474"/>
      <c r="O377" s="474"/>
      <c r="P377" s="474"/>
      <c r="Q377" s="474"/>
      <c r="R377" s="474"/>
      <c r="S377" s="474"/>
      <c r="T377" s="474"/>
      <c r="U377" s="474"/>
      <c r="V377" s="474"/>
      <c r="AA377" s="1155"/>
      <c r="AB377" s="1155"/>
      <c r="AC377" s="1155"/>
      <c r="AD377" s="1155"/>
    </row>
    <row r="378" spans="6:30">
      <c r="F378" s="129"/>
      <c r="G378" s="1155"/>
      <c r="H378" s="1155"/>
      <c r="I378" s="1155"/>
      <c r="J378" s="1155"/>
      <c r="K378" s="474"/>
      <c r="L378" s="474"/>
      <c r="M378" s="474"/>
      <c r="N378" s="474"/>
      <c r="O378" s="474"/>
      <c r="P378" s="474"/>
      <c r="Q378" s="474"/>
      <c r="R378" s="474"/>
      <c r="S378" s="474"/>
      <c r="T378" s="474"/>
      <c r="U378" s="474"/>
      <c r="V378" s="474"/>
      <c r="AA378" s="1155"/>
      <c r="AB378" s="1155"/>
      <c r="AC378" s="1155"/>
      <c r="AD378" s="1155"/>
    </row>
    <row r="379" spans="6:30">
      <c r="F379" s="129"/>
      <c r="G379" s="1155"/>
      <c r="H379" s="1155"/>
      <c r="I379" s="1155"/>
      <c r="J379" s="1155"/>
      <c r="K379" s="474"/>
      <c r="L379" s="474"/>
      <c r="M379" s="474"/>
      <c r="N379" s="474"/>
      <c r="O379" s="474"/>
      <c r="P379" s="474"/>
      <c r="Q379" s="474"/>
      <c r="R379" s="474"/>
      <c r="S379" s="474"/>
      <c r="T379" s="474"/>
      <c r="U379" s="474"/>
      <c r="V379" s="474"/>
      <c r="AA379" s="1155"/>
      <c r="AB379" s="1155"/>
      <c r="AC379" s="1155"/>
      <c r="AD379" s="1155"/>
    </row>
    <row r="380" spans="6:30">
      <c r="F380" s="129"/>
      <c r="G380" s="129"/>
      <c r="H380" s="129"/>
      <c r="I380" s="129"/>
      <c r="J380" s="129"/>
      <c r="AA380" s="1155"/>
      <c r="AB380" s="1155"/>
      <c r="AC380" s="1155"/>
      <c r="AD380" s="1155"/>
    </row>
    <row r="381" spans="6:30">
      <c r="F381" s="129"/>
      <c r="G381" s="129"/>
      <c r="H381" s="129"/>
      <c r="I381" s="129"/>
      <c r="J381" s="129"/>
      <c r="AA381" s="1155"/>
      <c r="AB381" s="1155"/>
      <c r="AC381" s="1155"/>
      <c r="AD381" s="1155"/>
    </row>
    <row r="382" spans="6:30">
      <c r="F382" s="129"/>
      <c r="G382" s="129"/>
      <c r="H382" s="129"/>
      <c r="I382" s="129"/>
      <c r="J382" s="129"/>
      <c r="AA382" s="1155"/>
      <c r="AB382" s="1155"/>
      <c r="AC382" s="1155"/>
      <c r="AD382" s="1155"/>
    </row>
    <row r="383" spans="6:30">
      <c r="F383" s="129"/>
      <c r="G383" s="129"/>
      <c r="H383" s="129"/>
      <c r="I383" s="129"/>
      <c r="J383" s="129"/>
      <c r="AA383" s="1155"/>
      <c r="AB383" s="1155"/>
      <c r="AC383" s="1155"/>
      <c r="AD383" s="1155"/>
    </row>
    <row r="384" spans="6:30">
      <c r="F384" s="129"/>
      <c r="G384" s="129"/>
      <c r="H384" s="129"/>
      <c r="I384" s="129"/>
      <c r="J384" s="129"/>
      <c r="AA384" s="1155"/>
      <c r="AB384" s="1155"/>
      <c r="AC384" s="1155"/>
      <c r="AD384" s="1155"/>
    </row>
    <row r="385" spans="6:30">
      <c r="F385" s="129"/>
      <c r="G385" s="129"/>
      <c r="H385" s="129"/>
      <c r="I385" s="129"/>
      <c r="J385" s="129"/>
      <c r="AA385" s="1155"/>
      <c r="AB385" s="1155"/>
      <c r="AC385" s="1155"/>
      <c r="AD385" s="1155"/>
    </row>
    <row r="386" spans="6:30">
      <c r="F386" s="129"/>
      <c r="G386" s="129"/>
      <c r="H386" s="129"/>
      <c r="I386" s="129"/>
      <c r="J386" s="129"/>
      <c r="AA386" s="1155"/>
      <c r="AB386" s="1155"/>
      <c r="AC386" s="1155"/>
      <c r="AD386" s="1155"/>
    </row>
    <row r="387" spans="6:30">
      <c r="F387" s="129"/>
      <c r="G387" s="129"/>
      <c r="H387" s="129"/>
      <c r="I387" s="129"/>
      <c r="J387" s="129"/>
      <c r="AA387" s="1155"/>
      <c r="AB387" s="1155"/>
      <c r="AC387" s="1155"/>
      <c r="AD387" s="1155"/>
    </row>
    <row r="388" spans="6:30">
      <c r="F388" s="129"/>
      <c r="G388" s="129"/>
      <c r="H388" s="129"/>
      <c r="I388" s="129"/>
      <c r="J388" s="129"/>
      <c r="AA388" s="1155"/>
      <c r="AB388" s="1155"/>
      <c r="AC388" s="1155"/>
      <c r="AD388" s="1155"/>
    </row>
    <row r="389" spans="6:30">
      <c r="F389" s="129"/>
      <c r="G389" s="129"/>
      <c r="H389" s="129"/>
      <c r="I389" s="129"/>
      <c r="J389" s="129"/>
      <c r="AA389" s="1155"/>
      <c r="AB389" s="1155"/>
      <c r="AC389" s="1155"/>
      <c r="AD389" s="1155"/>
    </row>
    <row r="390" spans="6:30">
      <c r="F390" s="129"/>
      <c r="G390" s="129"/>
      <c r="H390" s="129"/>
      <c r="I390" s="129"/>
      <c r="J390" s="129"/>
      <c r="AA390" s="1155"/>
      <c r="AB390" s="1155"/>
      <c r="AC390" s="1155"/>
      <c r="AD390" s="1155"/>
    </row>
    <row r="391" spans="6:30">
      <c r="F391" s="129"/>
      <c r="G391" s="129"/>
      <c r="H391" s="129"/>
      <c r="I391" s="129"/>
      <c r="J391" s="129"/>
      <c r="AA391" s="1155"/>
      <c r="AB391" s="1155"/>
      <c r="AC391" s="1155"/>
      <c r="AD391" s="1155"/>
    </row>
    <row r="392" spans="6:30">
      <c r="F392" s="129"/>
      <c r="G392" s="129"/>
      <c r="H392" s="129"/>
      <c r="I392" s="129"/>
      <c r="J392" s="129"/>
      <c r="AA392" s="1155"/>
      <c r="AB392" s="1155"/>
      <c r="AC392" s="1155"/>
      <c r="AD392" s="1155"/>
    </row>
    <row r="393" spans="6:30">
      <c r="F393" s="129"/>
      <c r="G393" s="129"/>
      <c r="H393" s="129"/>
      <c r="I393" s="129"/>
      <c r="J393" s="129"/>
      <c r="AA393" s="1155"/>
      <c r="AB393" s="1155"/>
      <c r="AC393" s="1155"/>
      <c r="AD393" s="1155"/>
    </row>
    <row r="394" spans="6:30">
      <c r="F394" s="129"/>
      <c r="G394" s="129"/>
      <c r="H394" s="129"/>
      <c r="I394" s="129"/>
      <c r="J394" s="129"/>
      <c r="AA394" s="1155"/>
      <c r="AB394" s="1155"/>
      <c r="AC394" s="1155"/>
      <c r="AD394" s="1155"/>
    </row>
    <row r="395" spans="6:30">
      <c r="F395" s="129"/>
      <c r="G395" s="129"/>
      <c r="H395" s="129"/>
      <c r="I395" s="129"/>
      <c r="J395" s="129"/>
      <c r="AA395" s="1155"/>
      <c r="AB395" s="1155"/>
      <c r="AC395" s="1155"/>
      <c r="AD395" s="1155"/>
    </row>
    <row r="396" spans="6:30">
      <c r="F396" s="129"/>
      <c r="G396" s="129"/>
      <c r="H396" s="129"/>
      <c r="I396" s="129"/>
      <c r="J396" s="129"/>
      <c r="AA396" s="1155"/>
      <c r="AB396" s="1155"/>
      <c r="AC396" s="1155"/>
      <c r="AD396" s="1155"/>
    </row>
    <row r="397" spans="6:30">
      <c r="F397" s="129"/>
      <c r="G397" s="129"/>
      <c r="H397" s="129"/>
      <c r="I397" s="129"/>
      <c r="J397" s="129"/>
      <c r="AA397" s="1155"/>
      <c r="AB397" s="1155"/>
      <c r="AC397" s="1155"/>
      <c r="AD397" s="1155"/>
    </row>
    <row r="398" spans="6:30">
      <c r="F398" s="129"/>
      <c r="G398" s="129"/>
      <c r="H398" s="129"/>
      <c r="I398" s="129"/>
      <c r="J398" s="129"/>
      <c r="AA398" s="1155"/>
      <c r="AB398" s="1155"/>
      <c r="AC398" s="1155"/>
      <c r="AD398" s="1155"/>
    </row>
    <row r="399" spans="6:30">
      <c r="F399" s="129"/>
      <c r="G399" s="129"/>
      <c r="H399" s="129"/>
      <c r="I399" s="129"/>
      <c r="J399" s="129"/>
      <c r="AA399" s="1155"/>
      <c r="AB399" s="1155"/>
      <c r="AC399" s="1155"/>
      <c r="AD399" s="1155"/>
    </row>
    <row r="400" spans="6:30">
      <c r="F400" s="129"/>
      <c r="G400" s="129"/>
      <c r="H400" s="129"/>
      <c r="I400" s="129"/>
      <c r="J400" s="129"/>
      <c r="AA400" s="1155"/>
      <c r="AB400" s="1155"/>
      <c r="AC400" s="1155"/>
      <c r="AD400" s="1155"/>
    </row>
    <row r="401" spans="6:30">
      <c r="F401" s="129"/>
      <c r="G401" s="129"/>
      <c r="H401" s="129"/>
      <c r="I401" s="129"/>
      <c r="J401" s="129"/>
      <c r="AA401" s="1155"/>
      <c r="AB401" s="1155"/>
      <c r="AC401" s="1155"/>
      <c r="AD401" s="1155"/>
    </row>
    <row r="402" spans="6:30">
      <c r="F402" s="129"/>
      <c r="G402" s="129"/>
      <c r="H402" s="129"/>
      <c r="I402" s="129"/>
      <c r="J402" s="129"/>
      <c r="AA402" s="1155"/>
      <c r="AB402" s="1155"/>
      <c r="AC402" s="1155"/>
      <c r="AD402" s="1155"/>
    </row>
    <row r="403" spans="6:30">
      <c r="F403" s="129"/>
      <c r="G403" s="129"/>
      <c r="H403" s="129"/>
      <c r="I403" s="129"/>
      <c r="J403" s="129"/>
      <c r="AA403" s="1155"/>
      <c r="AB403" s="1155"/>
      <c r="AC403" s="1155"/>
      <c r="AD403" s="1155"/>
    </row>
    <row r="404" spans="6:30">
      <c r="F404" s="129"/>
      <c r="G404" s="129"/>
      <c r="H404" s="129"/>
      <c r="I404" s="129"/>
      <c r="J404" s="129"/>
      <c r="AA404" s="1155"/>
      <c r="AB404" s="1155"/>
      <c r="AC404" s="1155"/>
      <c r="AD404" s="1155"/>
    </row>
    <row r="405" spans="6:30">
      <c r="F405" s="129"/>
      <c r="G405" s="129"/>
      <c r="H405" s="129"/>
      <c r="I405" s="129"/>
      <c r="J405" s="129"/>
      <c r="AA405" s="1155"/>
      <c r="AB405" s="1155"/>
      <c r="AC405" s="1155"/>
      <c r="AD405" s="1155"/>
    </row>
    <row r="406" spans="6:30">
      <c r="F406" s="129"/>
      <c r="G406" s="129"/>
      <c r="H406" s="129"/>
      <c r="I406" s="129"/>
      <c r="J406" s="129"/>
      <c r="AA406" s="1155"/>
      <c r="AB406" s="1155"/>
      <c r="AC406" s="1155"/>
      <c r="AD406" s="1155"/>
    </row>
    <row r="407" spans="6:30">
      <c r="F407" s="129"/>
      <c r="G407" s="129"/>
      <c r="H407" s="129"/>
      <c r="I407" s="129"/>
      <c r="J407" s="129"/>
      <c r="AA407" s="1155"/>
      <c r="AB407" s="1155"/>
      <c r="AC407" s="1155"/>
      <c r="AD407" s="1155"/>
    </row>
    <row r="408" spans="6:30">
      <c r="F408" s="129"/>
      <c r="G408" s="129"/>
      <c r="H408" s="129"/>
      <c r="I408" s="129"/>
      <c r="J408" s="129"/>
      <c r="AA408" s="1155"/>
      <c r="AB408" s="1155"/>
      <c r="AC408" s="1155"/>
      <c r="AD408" s="1155"/>
    </row>
    <row r="409" spans="6:30">
      <c r="F409" s="129"/>
      <c r="G409" s="129"/>
      <c r="H409" s="129"/>
      <c r="I409" s="129"/>
      <c r="J409" s="129"/>
      <c r="AA409" s="1155"/>
      <c r="AB409" s="1155"/>
      <c r="AC409" s="1155"/>
      <c r="AD409" s="1155"/>
    </row>
    <row r="410" spans="6:30">
      <c r="F410" s="129"/>
      <c r="G410" s="129"/>
      <c r="H410" s="129"/>
      <c r="I410" s="129"/>
      <c r="J410" s="129"/>
      <c r="AA410" s="1155"/>
      <c r="AB410" s="1155"/>
      <c r="AC410" s="1155"/>
      <c r="AD410" s="1155"/>
    </row>
    <row r="411" spans="6:30">
      <c r="F411" s="129"/>
      <c r="G411" s="129"/>
      <c r="H411" s="129"/>
      <c r="I411" s="129"/>
      <c r="J411" s="129"/>
      <c r="AA411" s="1155"/>
      <c r="AB411" s="1155"/>
      <c r="AC411" s="1155"/>
      <c r="AD411" s="1155"/>
    </row>
    <row r="412" spans="6:30">
      <c r="F412" s="129"/>
      <c r="G412" s="129"/>
      <c r="H412" s="129"/>
      <c r="I412" s="129"/>
      <c r="J412" s="129"/>
      <c r="AA412" s="1155"/>
      <c r="AB412" s="1155"/>
      <c r="AC412" s="1155"/>
      <c r="AD412" s="1155"/>
    </row>
    <row r="413" spans="6:30">
      <c r="F413" s="129"/>
      <c r="G413" s="129"/>
      <c r="H413" s="129"/>
      <c r="I413" s="129"/>
      <c r="J413" s="129"/>
      <c r="AA413" s="1155"/>
      <c r="AB413" s="1155"/>
      <c r="AC413" s="1155"/>
      <c r="AD413" s="1155"/>
    </row>
  </sheetData>
  <mergeCells count="75">
    <mergeCell ref="G288:K288"/>
    <mergeCell ref="L288:N288"/>
    <mergeCell ref="O288:V288"/>
    <mergeCell ref="G325:K325"/>
    <mergeCell ref="L325:P325"/>
    <mergeCell ref="E191:E199"/>
    <mergeCell ref="E200:E208"/>
    <mergeCell ref="E254:E262"/>
    <mergeCell ref="E263:E271"/>
    <mergeCell ref="E272:E280"/>
    <mergeCell ref="E209:E217"/>
    <mergeCell ref="E218:E226"/>
    <mergeCell ref="E227:E235"/>
    <mergeCell ref="E236:E244"/>
    <mergeCell ref="E245:E253"/>
    <mergeCell ref="E146:E154"/>
    <mergeCell ref="E155:E163"/>
    <mergeCell ref="E164:E172"/>
    <mergeCell ref="E173:E181"/>
    <mergeCell ref="E182:E190"/>
    <mergeCell ref="E101:E109"/>
    <mergeCell ref="E110:E118"/>
    <mergeCell ref="E119:E127"/>
    <mergeCell ref="E128:E136"/>
    <mergeCell ref="E137:E145"/>
    <mergeCell ref="AA291:AE291"/>
    <mergeCell ref="AF291:AH291"/>
    <mergeCell ref="AA292:AH292"/>
    <mergeCell ref="AA293:AH293"/>
    <mergeCell ref="AA16:AE16"/>
    <mergeCell ref="AF16:AH16"/>
    <mergeCell ref="AA17:AH17"/>
    <mergeCell ref="AA18:AH18"/>
    <mergeCell ref="O17:P17"/>
    <mergeCell ref="G17:N17"/>
    <mergeCell ref="E319:E324"/>
    <mergeCell ref="E325:F325"/>
    <mergeCell ref="E295:E300"/>
    <mergeCell ref="E307:E312"/>
    <mergeCell ref="E313:E318"/>
    <mergeCell ref="E301:E306"/>
    <mergeCell ref="E29:E37"/>
    <mergeCell ref="E38:E46"/>
    <mergeCell ref="E47:E55"/>
    <mergeCell ref="E56:E64"/>
    <mergeCell ref="E65:E73"/>
    <mergeCell ref="E74:E82"/>
    <mergeCell ref="E83:E91"/>
    <mergeCell ref="E92:E100"/>
    <mergeCell ref="E7:G7"/>
    <mergeCell ref="E8:G8"/>
    <mergeCell ref="E9:G9"/>
    <mergeCell ref="E10:G10"/>
    <mergeCell ref="E11:G11"/>
    <mergeCell ref="A18:A19"/>
    <mergeCell ref="B18:B19"/>
    <mergeCell ref="C18:C19"/>
    <mergeCell ref="G291:K291"/>
    <mergeCell ref="L291:P291"/>
    <mergeCell ref="E20:E28"/>
    <mergeCell ref="E282:E287"/>
    <mergeCell ref="E288:F288"/>
    <mergeCell ref="E16:F19"/>
    <mergeCell ref="E291:F294"/>
    <mergeCell ref="G293:P293"/>
    <mergeCell ref="G16:K16"/>
    <mergeCell ref="L16:P16"/>
    <mergeCell ref="O18:P18"/>
    <mergeCell ref="G18:N18"/>
    <mergeCell ref="G292:P292"/>
    <mergeCell ref="R16:V16"/>
    <mergeCell ref="Q16:Q17"/>
    <mergeCell ref="R17:V17"/>
    <mergeCell ref="R18:V18"/>
    <mergeCell ref="W16:W19"/>
  </mergeCells>
  <pageMargins left="0.75" right="0.75" top="1" bottom="1" header="0.5" footer="0.5"/>
  <pageSetup paperSize="9" orientation="landscape" r:id="rId1"/>
  <headerFooter alignWithMargins="0"/>
  <customProperties>
    <customPr name="_pios_id" r:id="rId2"/>
  </customPropertie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323</vt:i4>
      </vt:variant>
    </vt:vector>
  </HeadingPairs>
  <TitlesOfParts>
    <vt:vector size="367" baseType="lpstr">
      <vt:lpstr>Contents</vt:lpstr>
      <vt:lpstr>Instructions</vt:lpstr>
      <vt:lpstr>Business &amp; other details</vt:lpstr>
      <vt:lpstr>1. CPI</vt:lpstr>
      <vt:lpstr>2. Escalators</vt:lpstr>
      <vt:lpstr>3 - Capex summary</vt:lpstr>
      <vt:lpstr>4. Connections market expansn</vt:lpstr>
      <vt:lpstr>5. Mains augmentation</vt:lpstr>
      <vt:lpstr>6. Mains replacement</vt:lpstr>
      <vt:lpstr>7. Telemetry</vt:lpstr>
      <vt:lpstr>8. Meter replacement</vt:lpstr>
      <vt:lpstr>9. Other capex</vt:lpstr>
      <vt:lpstr>12. IT</vt:lpstr>
      <vt:lpstr>14. Overheads</vt:lpstr>
      <vt:lpstr>15. Related party transactions</vt:lpstr>
      <vt:lpstr>16. Capex allocation</vt:lpstr>
      <vt:lpstr>17. Gross Capex </vt:lpstr>
      <vt:lpstr>20. Changes in provisions</vt:lpstr>
      <vt:lpstr>21 - Indicative bill impacts</vt:lpstr>
      <vt:lpstr>22. WACC Inputs</vt:lpstr>
      <vt:lpstr>23.1 Opex incl. RPM</vt:lpstr>
      <vt:lpstr>23.2 Opex excl. RPM</vt:lpstr>
      <vt:lpstr>23.3 Opex base-step-trend</vt:lpstr>
      <vt:lpstr>23.4 Opex incentive mechanism</vt:lpstr>
      <vt:lpstr>24. Cost category matrix</vt:lpstr>
      <vt:lpstr>25. ARS</vt:lpstr>
      <vt:lpstr>26. Allocation of total revenue</vt:lpstr>
      <vt:lpstr>27. Customer numbers</vt:lpstr>
      <vt:lpstr>28. Consumption and demand</vt:lpstr>
      <vt:lpstr>29.1.1 Gas extenstions ($)</vt:lpstr>
      <vt:lpstr>29.1.2 Gas extenstions ($)</vt:lpstr>
      <vt:lpstr>29.1.3 Gas extenstions ($)</vt:lpstr>
      <vt:lpstr>29.1.4 Gas extenstions ($)</vt:lpstr>
      <vt:lpstr>29.2.1 Gas extenstions cust no</vt:lpstr>
      <vt:lpstr>29.2.2 Gas extenstions cust no</vt:lpstr>
      <vt:lpstr>29.2.3 Gas extenstions cust no</vt:lpstr>
      <vt:lpstr>29.2.4 Gas extenstions cust no</vt:lpstr>
      <vt:lpstr>29.3.1 Gas extensions - demand</vt:lpstr>
      <vt:lpstr>29.3.2 Gas extensions - demand</vt:lpstr>
      <vt:lpstr>29.3.3 Gas extensions - demand</vt:lpstr>
      <vt:lpstr>29.3.4 Gas extensions - demand</vt:lpstr>
      <vt:lpstr>29.4 Gas extensions - tariffs</vt:lpstr>
      <vt:lpstr>30. Network characteristics</vt:lpstr>
      <vt:lpstr>31 - Pass throughs</vt:lpstr>
      <vt:lpstr>CRCP</vt:lpstr>
      <vt:lpstr>CRCP_y1</vt:lpstr>
      <vt:lpstr>CRCP_y10</vt:lpstr>
      <vt:lpstr>CRCP_y2</vt:lpstr>
      <vt:lpstr>CRCP_y3</vt:lpstr>
      <vt:lpstr>CRCP_y4</vt:lpstr>
      <vt:lpstr>CRCP_y5</vt:lpstr>
      <vt:lpstr>CRCP_y6</vt:lpstr>
      <vt:lpstr>CRCP_y7</vt:lpstr>
      <vt:lpstr>CRCP_y8</vt:lpstr>
      <vt:lpstr>CRCP_y9</vt:lpstr>
      <vt:lpstr>dms_0203_ProjectType</vt:lpstr>
      <vt:lpstr>dms_020303_01_UOM</vt:lpstr>
      <vt:lpstr>dms_020501_01_UOM</vt:lpstr>
      <vt:lpstr>dms_020501_02_UOM</vt:lpstr>
      <vt:lpstr>dms_020501_03_UOM</vt:lpstr>
      <vt:lpstr>dms_020501_04_UOM</vt:lpstr>
      <vt:lpstr>dms_020603_01_UOM</vt:lpstr>
      <vt:lpstr>dms_030601_01_UOM</vt:lpstr>
      <vt:lpstr>dms_030601_02_UOM</vt:lpstr>
      <vt:lpstr>dms_030701_01_UOM</vt:lpstr>
      <vt:lpstr>dms_030702_01_UOM</vt:lpstr>
      <vt:lpstr>dms_030703_01_UOM</vt:lpstr>
      <vt:lpstr>dms_040102_01_UOM</vt:lpstr>
      <vt:lpstr>dms_040102_04_UOM</vt:lpstr>
      <vt:lpstr>dms_663</vt:lpstr>
      <vt:lpstr>'Business &amp; other details'!dms_663_List</vt:lpstr>
      <vt:lpstr>dms_663_List</vt:lpstr>
      <vt:lpstr>dms_ABN</vt:lpstr>
      <vt:lpstr>'Business &amp; other details'!dms_ABN_List</vt:lpstr>
      <vt:lpstr>dms_ABN_List</vt:lpstr>
      <vt:lpstr>dms_Addr1</vt:lpstr>
      <vt:lpstr>'Business &amp; other details'!dms_Addr1_List</vt:lpstr>
      <vt:lpstr>dms_Addr1_List</vt:lpstr>
      <vt:lpstr>dms_Addr2</vt:lpstr>
      <vt:lpstr>'Business &amp; other details'!dms_Addr2_List</vt:lpstr>
      <vt:lpstr>dms_Addr2_List</vt:lpstr>
      <vt:lpstr>dms_AmendmentReason</vt:lpstr>
      <vt:lpstr>dms_ARR</vt:lpstr>
      <vt:lpstr>dms_CA</vt:lpstr>
      <vt:lpstr>dms_CBD_flag</vt:lpstr>
      <vt:lpstr>'Business &amp; other details'!dms_CFinalYear_List</vt:lpstr>
      <vt:lpstr>dms_CFinalYear_List</vt:lpstr>
      <vt:lpstr>dms_Classification</vt:lpstr>
      <vt:lpstr>dms_ContactEmail</vt:lpstr>
      <vt:lpstr>'Business &amp; other details'!dms_ContactEmail_List</vt:lpstr>
      <vt:lpstr>dms_ContactEmail_List</vt:lpstr>
      <vt:lpstr>dms_ContactEmail2</vt:lpstr>
      <vt:lpstr>dms_ContactName1</vt:lpstr>
      <vt:lpstr>'Business &amp; other details'!dms_ContactName1_List</vt:lpstr>
      <vt:lpstr>dms_ContactName1_List</vt:lpstr>
      <vt:lpstr>dms_ContactName2</vt:lpstr>
      <vt:lpstr>dms_ContactPh1</vt:lpstr>
      <vt:lpstr>'Business &amp; other details'!dms_ContactPh1_List</vt:lpstr>
      <vt:lpstr>dms_ContactPh1_List</vt:lpstr>
      <vt:lpstr>dms_ContactPh2</vt:lpstr>
      <vt:lpstr>dms_crcp_cy1</vt:lpstr>
      <vt:lpstr>dms_crcp_cy10</vt:lpstr>
      <vt:lpstr>dms_crcp_cy11</vt:lpstr>
      <vt:lpstr>dms_crcp_cy12</vt:lpstr>
      <vt:lpstr>dms_crcp_cy13</vt:lpstr>
      <vt:lpstr>dms_crcp_cy14</vt:lpstr>
      <vt:lpstr>dms_crcp_cy15</vt:lpstr>
      <vt:lpstr>dms_crcp_cy2</vt:lpstr>
      <vt:lpstr>dms_crcp_cy3</vt:lpstr>
      <vt:lpstr>dms_crcp_cy4</vt:lpstr>
      <vt:lpstr>dms_crcp_cy5</vt:lpstr>
      <vt:lpstr>dms_crcp_cy6</vt:lpstr>
      <vt:lpstr>dms_crcp_cy7</vt:lpstr>
      <vt:lpstr>dms_crcp_cy8</vt:lpstr>
      <vt:lpstr>dms_crcp_cy9</vt:lpstr>
      <vt:lpstr>dms_CRCP_FinalYear_Ref</vt:lpstr>
      <vt:lpstr>dms_CRCP_FinalYear_Result</vt:lpstr>
      <vt:lpstr>dms_CRCP_FirstYear_Result</vt:lpstr>
      <vt:lpstr>'Business &amp; other details'!dms_CRCP_index</vt:lpstr>
      <vt:lpstr>dms_CRCP_index</vt:lpstr>
      <vt:lpstr>'Business &amp; other details'!dms_CRCP_years</vt:lpstr>
      <vt:lpstr>dms_CRCP_years</vt:lpstr>
      <vt:lpstr>'Business &amp; other details'!dms_CRCP_yM</vt:lpstr>
      <vt:lpstr>dms_CRCP_yM</vt:lpstr>
      <vt:lpstr>'Business &amp; other details'!dms_CRCP_yN</vt:lpstr>
      <vt:lpstr>dms_CRCP_yN</vt:lpstr>
      <vt:lpstr>'Business &amp; other details'!dms_CRCP_yO</vt:lpstr>
      <vt:lpstr>dms_CRCP_yO</vt:lpstr>
      <vt:lpstr>'Business &amp; other details'!dms_CRCP_yP</vt:lpstr>
      <vt:lpstr>dms_CRCP_yP</vt:lpstr>
      <vt:lpstr>'Business &amp; other details'!dms_CRCP_yQ</vt:lpstr>
      <vt:lpstr>dms_CRCP_yQ</vt:lpstr>
      <vt:lpstr>'Business &amp; other details'!dms_CRCP_yR</vt:lpstr>
      <vt:lpstr>dms_CRCP_yR</vt:lpstr>
      <vt:lpstr>'Business &amp; other details'!dms_CRCP_yS</vt:lpstr>
      <vt:lpstr>dms_CRCP_yS</vt:lpstr>
      <vt:lpstr>'Business &amp; other details'!dms_CRCP_yT</vt:lpstr>
      <vt:lpstr>dms_CRCP_yT</vt:lpstr>
      <vt:lpstr>'Business &amp; other details'!dms_CRCP_yU</vt:lpstr>
      <vt:lpstr>dms_CRCP_yU</vt:lpstr>
      <vt:lpstr>'Business &amp; other details'!dms_CRCP_yV</vt:lpstr>
      <vt:lpstr>dms_CRCP_yV</vt:lpstr>
      <vt:lpstr>'Business &amp; other details'!dms_CRCP_yW</vt:lpstr>
      <vt:lpstr>dms_CRCP_yW</vt:lpstr>
      <vt:lpstr>'Business &amp; other details'!dms_CRCP_yX</vt:lpstr>
      <vt:lpstr>dms_CRCP_yX</vt:lpstr>
      <vt:lpstr>'Business &amp; other details'!dms_CRCP_yY</vt:lpstr>
      <vt:lpstr>dms_CRCP_yY</vt:lpstr>
      <vt:lpstr>'Business &amp; other details'!dms_CRCP_yZ</vt:lpstr>
      <vt:lpstr>dms_CRCP_yZ</vt:lpstr>
      <vt:lpstr>'Business &amp; other details'!dms_CRCPlength_List</vt:lpstr>
      <vt:lpstr>dms_CRCPlength_List</vt:lpstr>
      <vt:lpstr>dms_CRCPlength_Num</vt:lpstr>
      <vt:lpstr>'Business &amp; other details'!dms_CRCPlength_Num_List</vt:lpstr>
      <vt:lpstr>dms_CRCPlength_Num_List</vt:lpstr>
      <vt:lpstr>'Business &amp; other details'!dms_CRY_ListC</vt:lpstr>
      <vt:lpstr>dms_CRY_ListC</vt:lpstr>
      <vt:lpstr>'Business &amp; other details'!dms_CRY_ListF</vt:lpstr>
      <vt:lpstr>dms_CRY_ListF</vt:lpstr>
      <vt:lpstr>dms_cy1</vt:lpstr>
      <vt:lpstr>dms_cy10</vt:lpstr>
      <vt:lpstr>dms_cy11</vt:lpstr>
      <vt:lpstr>dms_cy12</vt:lpstr>
      <vt:lpstr>dms_cy13</vt:lpstr>
      <vt:lpstr>dms_cy14</vt:lpstr>
      <vt:lpstr>dms_cy15</vt:lpstr>
      <vt:lpstr>dms_cy2</vt:lpstr>
      <vt:lpstr>dms_cy3</vt:lpstr>
      <vt:lpstr>dms_cy4</vt:lpstr>
      <vt:lpstr>dms_cy5</vt:lpstr>
      <vt:lpstr>dms_cy6</vt:lpstr>
      <vt:lpstr>dms_cy7</vt:lpstr>
      <vt:lpstr>dms_cy8</vt:lpstr>
      <vt:lpstr>dms_cy9</vt:lpstr>
      <vt:lpstr>dms_DataQuality</vt:lpstr>
      <vt:lpstr>'Business &amp; other details'!dms_DataQuality_List</vt:lpstr>
      <vt:lpstr>dms_DataQuality_List</vt:lpstr>
      <vt:lpstr>dms_Defined_Names_Used</vt:lpstr>
      <vt:lpstr>'Business &amp; other details'!dms_DeterminationRef_List</vt:lpstr>
      <vt:lpstr>dms_DeterminationRef_List</vt:lpstr>
      <vt:lpstr>dms_DollarReal</vt:lpstr>
      <vt:lpstr>dms_EB</vt:lpstr>
      <vt:lpstr>'Business &amp; other details'!dms_EBSS_status</vt:lpstr>
      <vt:lpstr>'2. Escalators'!dms_ESCALATOR_rows</vt:lpstr>
      <vt:lpstr>dms_FeederName_1</vt:lpstr>
      <vt:lpstr>dms_FeederName_2</vt:lpstr>
      <vt:lpstr>dms_FeederName_3</vt:lpstr>
      <vt:lpstr>dms_FeederName_4</vt:lpstr>
      <vt:lpstr>dms_FeederName_5</vt:lpstr>
      <vt:lpstr>dms_FeederType_5_flag</vt:lpstr>
      <vt:lpstr>'Business &amp; other details'!dms_FinalYear_List</vt:lpstr>
      <vt:lpstr>dms_FinalYear_List</vt:lpstr>
      <vt:lpstr>dms_FormControl</vt:lpstr>
      <vt:lpstr>dms_FormControl_Choices</vt:lpstr>
      <vt:lpstr>'Business &amp; other details'!dms_FormControl_List</vt:lpstr>
      <vt:lpstr>dms_FormControl_List</vt:lpstr>
      <vt:lpstr>dms_FRCP_cyear_list</vt:lpstr>
      <vt:lpstr>dms_frcp_fy1</vt:lpstr>
      <vt:lpstr>dms_frcp_fy10</vt:lpstr>
      <vt:lpstr>dms_frcp_fy11</vt:lpstr>
      <vt:lpstr>dms_frcp_fy12</vt:lpstr>
      <vt:lpstr>dms_frcp_fy13</vt:lpstr>
      <vt:lpstr>dms_frcp_fy14</vt:lpstr>
      <vt:lpstr>dms_frcp_fy15</vt:lpstr>
      <vt:lpstr>dms_frcp_fy2</vt:lpstr>
      <vt:lpstr>dms_frcp_fy3</vt:lpstr>
      <vt:lpstr>dms_frcp_fy4</vt:lpstr>
      <vt:lpstr>dms_frcp_fy5</vt:lpstr>
      <vt:lpstr>dms_frcp_fy6</vt:lpstr>
      <vt:lpstr>dms_frcp_fy7</vt:lpstr>
      <vt:lpstr>dms_frcp_fy8</vt:lpstr>
      <vt:lpstr>dms_frcp_fy9</vt:lpstr>
      <vt:lpstr>dms_FRCP_fyear_list</vt:lpstr>
      <vt:lpstr>'Business &amp; other details'!dms_FRCP_ListC</vt:lpstr>
      <vt:lpstr>dms_FRCP_ListC</vt:lpstr>
      <vt:lpstr>'Business &amp; other details'!dms_FRCP_ListF</vt:lpstr>
      <vt:lpstr>dms_FRCP_ListF</vt:lpstr>
      <vt:lpstr>'Business &amp; other details'!dms_FRCP_y1</vt:lpstr>
      <vt:lpstr>dms_FRCP_y1</vt:lpstr>
      <vt:lpstr>'Business &amp; other details'!dms_FRCP_y10</vt:lpstr>
      <vt:lpstr>dms_FRCP_y10</vt:lpstr>
      <vt:lpstr>'Business &amp; other details'!dms_FRCP_y11</vt:lpstr>
      <vt:lpstr>dms_FRCP_y11</vt:lpstr>
      <vt:lpstr>'Business &amp; other details'!dms_FRCP_y12</vt:lpstr>
      <vt:lpstr>dms_FRCP_y12</vt:lpstr>
      <vt:lpstr>'Business &amp; other details'!dms_FRCP_y13</vt:lpstr>
      <vt:lpstr>dms_FRCP_y13</vt:lpstr>
      <vt:lpstr>'Business &amp; other details'!dms_FRCP_y14</vt:lpstr>
      <vt:lpstr>dms_FRCP_y14</vt:lpstr>
      <vt:lpstr>'Business &amp; other details'!dms_FRCP_y2</vt:lpstr>
      <vt:lpstr>dms_FRCP_y2</vt:lpstr>
      <vt:lpstr>'Business &amp; other details'!dms_FRCP_y3</vt:lpstr>
      <vt:lpstr>dms_FRCP_y3</vt:lpstr>
      <vt:lpstr>'Business &amp; other details'!dms_FRCP_y4</vt:lpstr>
      <vt:lpstr>dms_FRCP_y4</vt:lpstr>
      <vt:lpstr>'Business &amp; other details'!dms_FRCP_y5</vt:lpstr>
      <vt:lpstr>dms_FRCP_y5</vt:lpstr>
      <vt:lpstr>'Business &amp; other details'!dms_FRCP_y6</vt:lpstr>
      <vt:lpstr>dms_FRCP_y6</vt:lpstr>
      <vt:lpstr>'Business &amp; other details'!dms_FRCP_y7</vt:lpstr>
      <vt:lpstr>dms_FRCP_y7</vt:lpstr>
      <vt:lpstr>'Business &amp; other details'!dms_FRCP_y8</vt:lpstr>
      <vt:lpstr>dms_FRCP_y8</vt:lpstr>
      <vt:lpstr>'Business &amp; other details'!dms_FRCP_y9</vt:lpstr>
      <vt:lpstr>dms_FRCP_y9</vt:lpstr>
      <vt:lpstr>dms_FRCP_years</vt:lpstr>
      <vt:lpstr>'Business &amp; other details'!dms_FRCPlength_List</vt:lpstr>
      <vt:lpstr>dms_FRCPlength_List</vt:lpstr>
      <vt:lpstr>dms_FRCPlength_Num</vt:lpstr>
      <vt:lpstr>'Business &amp; other details'!dms_FRCPlength_Num_List</vt:lpstr>
      <vt:lpstr>dms_FRCPlength_Num_List</vt:lpstr>
      <vt:lpstr>dms_fy1</vt:lpstr>
      <vt:lpstr>dms_fy10</vt:lpstr>
      <vt:lpstr>dms_fy11</vt:lpstr>
      <vt:lpstr>dms_fy12</vt:lpstr>
      <vt:lpstr>dms_fy13</vt:lpstr>
      <vt:lpstr>dms_fy14</vt:lpstr>
      <vt:lpstr>dms_fy15</vt:lpstr>
      <vt:lpstr>dms_fy2</vt:lpstr>
      <vt:lpstr>dms_fy3</vt:lpstr>
      <vt:lpstr>dms_fy4</vt:lpstr>
      <vt:lpstr>dms_fy5</vt:lpstr>
      <vt:lpstr>dms_fy6</vt:lpstr>
      <vt:lpstr>dms_fy7</vt:lpstr>
      <vt:lpstr>dms_fy8</vt:lpstr>
      <vt:lpstr>dms_fy9</vt:lpstr>
      <vt:lpstr>dms_Jurisdiction</vt:lpstr>
      <vt:lpstr>'Business &amp; other details'!dms_JurisdictionList</vt:lpstr>
      <vt:lpstr>dms_JurisdictionList</vt:lpstr>
      <vt:lpstr>dms_LongRural_flag</vt:lpstr>
      <vt:lpstr>dms_MAIFI_flag_List</vt:lpstr>
      <vt:lpstr>dms_Model</vt:lpstr>
      <vt:lpstr>'Business &amp; other details'!dms_Model_List</vt:lpstr>
      <vt:lpstr>dms_Model_List</vt:lpstr>
      <vt:lpstr>dms_MultiYear_FinalYear_Ref</vt:lpstr>
      <vt:lpstr>dms_MultiYear_FinalYear_Result</vt:lpstr>
      <vt:lpstr>dms_MultiYear_Flag</vt:lpstr>
      <vt:lpstr>dms_PAddr1</vt:lpstr>
      <vt:lpstr>'Business &amp; other details'!dms_PAddr1_List</vt:lpstr>
      <vt:lpstr>dms_PAddr1_List</vt:lpstr>
      <vt:lpstr>dms_PAddr2</vt:lpstr>
      <vt:lpstr>'Business &amp; other details'!dms_PAddr2_List</vt:lpstr>
      <vt:lpstr>dms_PAddr2_List</vt:lpstr>
      <vt:lpstr>dms_PostCode</vt:lpstr>
      <vt:lpstr>'Business &amp; other details'!dms_PostCode_List</vt:lpstr>
      <vt:lpstr>dms_PostCode_List</vt:lpstr>
      <vt:lpstr>dms_PPostCode</vt:lpstr>
      <vt:lpstr>'Business &amp; other details'!dms_PPostCode_List</vt:lpstr>
      <vt:lpstr>dms_PPostCode_List</vt:lpstr>
      <vt:lpstr>dms_PState</vt:lpstr>
      <vt:lpstr>'Business &amp; other details'!dms_PState_List</vt:lpstr>
      <vt:lpstr>dms_PState_List</vt:lpstr>
      <vt:lpstr>dms_PSuburb</vt:lpstr>
      <vt:lpstr>'Business &amp; other details'!dms_PSuburb_List</vt:lpstr>
      <vt:lpstr>dms_PSuburb_List</vt:lpstr>
      <vt:lpstr>dms_RCP_cyear_list</vt:lpstr>
      <vt:lpstr>dms_RCP_fyear_list</vt:lpstr>
      <vt:lpstr>dms_Reason_Interruption</vt:lpstr>
      <vt:lpstr>dms_Reason_Interruption_Detailed</vt:lpstr>
      <vt:lpstr>dms_Reg_Year_Span</vt:lpstr>
      <vt:lpstr>dms_RINversion</vt:lpstr>
      <vt:lpstr>dms_RPT</vt:lpstr>
      <vt:lpstr>'Business &amp; other details'!dms_RPT_List</vt:lpstr>
      <vt:lpstr>dms_RPT_List</vt:lpstr>
      <vt:lpstr>dms_RPTMonth</vt:lpstr>
      <vt:lpstr>'Business &amp; other details'!dms_RPTMonth_List</vt:lpstr>
      <vt:lpstr>dms_RPTMonth_List</vt:lpstr>
      <vt:lpstr>dms_RYE</vt:lpstr>
      <vt:lpstr>'Business &amp; other details'!dms_RYE_Formula_Result</vt:lpstr>
      <vt:lpstr>dms_RYE_Formula_Result</vt:lpstr>
      <vt:lpstr>dms_Sector</vt:lpstr>
      <vt:lpstr>'Business &amp; other details'!dms_Sector_List</vt:lpstr>
      <vt:lpstr>dms_Sector_List</vt:lpstr>
      <vt:lpstr>dms_Segment</vt:lpstr>
      <vt:lpstr>'Business &amp; other details'!dms_Segment_List</vt:lpstr>
      <vt:lpstr>dms_Segment_List</vt:lpstr>
      <vt:lpstr>dms_ShortRural_flag</vt:lpstr>
      <vt:lpstr>dms_SingleYear_FinalYear_Ref</vt:lpstr>
      <vt:lpstr>dms_SingleYear_FinalYear_Result</vt:lpstr>
      <vt:lpstr>dms_SingleYear_Model</vt:lpstr>
      <vt:lpstr>dms_Source</vt:lpstr>
      <vt:lpstr>'Business &amp; other details'!dms_SourceList</vt:lpstr>
      <vt:lpstr>dms_SourceList</vt:lpstr>
      <vt:lpstr>dms_Specified_FinalYear</vt:lpstr>
      <vt:lpstr>dms_State</vt:lpstr>
      <vt:lpstr>'Business &amp; other details'!dms_State_List</vt:lpstr>
      <vt:lpstr>dms_State_List</vt:lpstr>
      <vt:lpstr>dms_STPIS_exclusions</vt:lpstr>
      <vt:lpstr>dms_SubmissionDate</vt:lpstr>
      <vt:lpstr>dms_Suburb</vt:lpstr>
      <vt:lpstr>'Business &amp; other details'!dms_Suburb_List</vt:lpstr>
      <vt:lpstr>dms_Suburb_List</vt:lpstr>
      <vt:lpstr>dms_TemplateNumber</vt:lpstr>
      <vt:lpstr>dms_TradingName</vt:lpstr>
      <vt:lpstr>'Business &amp; other details'!dms_TradingName_List</vt:lpstr>
      <vt:lpstr>dms_TradingName_List</vt:lpstr>
      <vt:lpstr>dms_TradingNameFull</vt:lpstr>
      <vt:lpstr>'Business &amp; other details'!dms_TradingNameFull_List</vt:lpstr>
      <vt:lpstr>dms_TradingNameFull_List</vt:lpstr>
      <vt:lpstr>dms_Urban_flag</vt:lpstr>
      <vt:lpstr>'Business &amp; other details'!dms_Worksheet_List</vt:lpstr>
      <vt:lpstr>dms_Worksheet_List</vt:lpstr>
      <vt:lpstr>'23.4 Opex incentive mechanism'!EBSS</vt:lpstr>
      <vt:lpstr>FRCP</vt:lpstr>
      <vt:lpstr>FRCP_y1</vt:lpstr>
      <vt:lpstr>FRCP_y10</vt:lpstr>
      <vt:lpstr>FRCP_y2</vt:lpstr>
      <vt:lpstr>FRCP_y3</vt:lpstr>
      <vt:lpstr>FRCP_y4</vt:lpstr>
      <vt:lpstr>FRCP_y5</vt:lpstr>
      <vt:lpstr>FRCP_y6</vt:lpstr>
      <vt:lpstr>FRCP_y7</vt:lpstr>
      <vt:lpstr>FRCP_y8</vt:lpstr>
      <vt:lpstr>FRCP_y9</vt:lpstr>
      <vt:lpstr>MAIFI_flag</vt:lpstr>
      <vt:lpstr>'23.1 Opex incl. RPM'!OLE_LINK1</vt:lpstr>
      <vt:lpstr>PRCP</vt:lpstr>
      <vt:lpstr>PRCP_y1</vt:lpstr>
      <vt:lpstr>PRCP_y2</vt:lpstr>
      <vt:lpstr>PRCP_y3</vt:lpstr>
      <vt:lpstr>PRCP_y4</vt:lpstr>
      <vt:lpstr>PRCP_y5</vt:lpstr>
      <vt:lpstr>'17. Gross Capex '!Print_Area</vt:lpstr>
      <vt:lpstr>'23.4 Opex incentive mechanism'!Print_Area</vt:lpstr>
      <vt:lpstr>Contents!Print_Area</vt:lpstr>
      <vt:lpstr>SheetHeader</vt:lpstr>
      <vt:lpstr>Years</vt:lpstr>
    </vt:vector>
  </TitlesOfParts>
  <Company>Essential Services Commission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Envestra Victoria Data templates</dc:title>
  <dc:subject>Data templates for GAAR 2008</dc:subject>
  <dc:creator>Essential Services Commission</dc:creator>
  <cp:lastModifiedBy>Namrata Powale</cp:lastModifiedBy>
  <cp:lastPrinted>2016-12-01T08:24:32Z</cp:lastPrinted>
  <dcterms:created xsi:type="dcterms:W3CDTF">2006-05-08T03:46:56Z</dcterms:created>
  <dcterms:modified xsi:type="dcterms:W3CDTF">2016-12-16T02:02:37Z</dcterms:modified>
  <cp:category>Data templates</cp:category>
  <cp:contentStatus>CURRENT @ 20160905</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f">
    <vt:lpwstr>\\cdchnas-evs02\home$\gabatt\aer - final rin ausnet gaar 2018-22 regulatory templates - yyyymmdd (D2016-00130823).xlsx</vt:lpwstr>
  </property>
  <property fmtid="{D5CDD505-2E9C-101B-9397-08002B2CF9AE}" pid="3" name="URI">
    <vt:lpwstr>8759653</vt:lpwstr>
  </property>
  <property fmtid="{D5CDD505-2E9C-101B-9397-08002B2CF9AE}" pid="4" name="currfile">
    <vt:lpwstr>\\cdchnas-evs02\home$\jseym\aer - final rin ausnet gaar 2018-22 regulatory templates - 20161028 (D2016-00130823).xlsx</vt:lpwstr>
  </property>
</Properties>
</file>